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working\waccache\SG2PEPF0010616D\EXCELCNV\261b1f87-a9e6-41cf-9965-647b7aa99a02\"/>
    </mc:Choice>
  </mc:AlternateContent>
  <xr:revisionPtr revIDLastSave="0" documentId="8_{636C8EA6-71A1-41D6-9AA1-7B597B8528ED}" xr6:coauthVersionLast="47" xr6:coauthVersionMax="47" xr10:uidLastSave="{00000000-0000-0000-0000-000000000000}"/>
  <bookViews>
    <workbookView xWindow="-60" yWindow="-60" windowWidth="15480" windowHeight="11640" xr2:uid="{23F61135-3315-4164-A945-4A5940FA545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9" i="1" l="1"/>
  <c r="AA26" i="1"/>
  <c r="AA28" i="1"/>
  <c r="AA29" i="1"/>
  <c r="AA30" i="1"/>
  <c r="AA31" i="1"/>
  <c r="AA45" i="1"/>
  <c r="AA46" i="1"/>
  <c r="AA53" i="1"/>
  <c r="AA55" i="1"/>
  <c r="AA56" i="1"/>
  <c r="AA57" i="1"/>
  <c r="AB57" i="1"/>
  <c r="Z68" i="1"/>
  <c r="AA68" i="1"/>
  <c r="AB68" i="1"/>
  <c r="AA90" i="1"/>
  <c r="AA94" i="1"/>
  <c r="AA98" i="1"/>
  <c r="Z99" i="1"/>
  <c r="Z100" i="1"/>
  <c r="Z101" i="1"/>
  <c r="AA108" i="1"/>
  <c r="AA116" i="1"/>
  <c r="Y123" i="1"/>
  <c r="Z123" i="1"/>
  <c r="AA123" i="1"/>
  <c r="Z124" i="1"/>
  <c r="AA125" i="1"/>
  <c r="AA129" i="1"/>
  <c r="Z133" i="1"/>
  <c r="AA133" i="1"/>
  <c r="Z134" i="1"/>
  <c r="AA134" i="1"/>
  <c r="Y136" i="1"/>
  <c r="AA136" i="1"/>
  <c r="Z142" i="1"/>
  <c r="AA142" i="1"/>
  <c r="Z145" i="1"/>
  <c r="AA145" i="1"/>
  <c r="Z146" i="1"/>
  <c r="AA146" i="1"/>
  <c r="Z148" i="1"/>
  <c r="AA148" i="1"/>
  <c r="AA149" i="1"/>
  <c r="AA152" i="1"/>
  <c r="Y155" i="1"/>
  <c r="Z155" i="1"/>
  <c r="AB155" i="1"/>
  <c r="AA157" i="1"/>
  <c r="AA161" i="1"/>
  <c r="AA162" i="1"/>
  <c r="AA163" i="1"/>
  <c r="AA170" i="1"/>
  <c r="AA172" i="1"/>
  <c r="AA176" i="1"/>
  <c r="AA178" i="1"/>
  <c r="AA179" i="1"/>
  <c r="Z194" i="1"/>
  <c r="Z203" i="1"/>
  <c r="AA203" i="1"/>
  <c r="AA226" i="1"/>
  <c r="Y242" i="1"/>
  <c r="Z242" i="1"/>
  <c r="AA256" i="1"/>
  <c r="AA257" i="1"/>
  <c r="AB257" i="1"/>
  <c r="AA258" i="1"/>
  <c r="Z272" i="1"/>
  <c r="Z273" i="1"/>
  <c r="Z274" i="1"/>
  <c r="AA278" i="1"/>
  <c r="AA279" i="1"/>
  <c r="AA310" i="1"/>
  <c r="Z317" i="1"/>
  <c r="AA317" i="1"/>
  <c r="Z324" i="1"/>
  <c r="AA337" i="1"/>
  <c r="AA342" i="1"/>
  <c r="AA352" i="1"/>
  <c r="AA356" i="1"/>
  <c r="Z358" i="1"/>
  <c r="AA358" i="1"/>
  <c r="AA367" i="1"/>
  <c r="AA372" i="1"/>
  <c r="Y374" i="1"/>
  <c r="Z374" i="1"/>
  <c r="AA374" i="1"/>
  <c r="Z375" i="1"/>
  <c r="Z392" i="1"/>
  <c r="AA395" i="1"/>
  <c r="AA405" i="1"/>
  <c r="AA411" i="1"/>
  <c r="AA414" i="1"/>
  <c r="AA415" i="1"/>
  <c r="AA416" i="1"/>
  <c r="AA423" i="1"/>
  <c r="Z426" i="1"/>
  <c r="Z427" i="1"/>
  <c r="Z428" i="1"/>
  <c r="Z429" i="1"/>
  <c r="AA430" i="1"/>
  <c r="AA441" i="1"/>
  <c r="AA442" i="1"/>
  <c r="AA448" i="1"/>
  <c r="AA449" i="1"/>
  <c r="AA450" i="1"/>
  <c r="Z464" i="1"/>
  <c r="AA464" i="1"/>
  <c r="Y468" i="1"/>
  <c r="Z468" i="1"/>
  <c r="AA468" i="1"/>
  <c r="AA471" i="1"/>
  <c r="AA496" i="1"/>
  <c r="AA497" i="1"/>
  <c r="AA506" i="1"/>
  <c r="Z511" i="1"/>
  <c r="AA511" i="1"/>
  <c r="Z520" i="1"/>
  <c r="AA520" i="1"/>
  <c r="AA522" i="1"/>
  <c r="AA526" i="1"/>
  <c r="Y528" i="1"/>
  <c r="Z533" i="1"/>
  <c r="Z534" i="1"/>
  <c r="Z535" i="1"/>
  <c r="Z536" i="1"/>
  <c r="Z537" i="1"/>
  <c r="Z538" i="1"/>
  <c r="Z539" i="1"/>
  <c r="Z540" i="1"/>
  <c r="Z541" i="1"/>
  <c r="Z574" i="1"/>
  <c r="Z577" i="1"/>
  <c r="AA577" i="1"/>
  <c r="Y585" i="1"/>
  <c r="Z585" i="1"/>
  <c r="AA585" i="1"/>
  <c r="AA588" i="1"/>
  <c r="AA589" i="1"/>
  <c r="Z595" i="1"/>
  <c r="Z596" i="1"/>
  <c r="Z597" i="1"/>
  <c r="Z598" i="1"/>
  <c r="AB598" i="1"/>
  <c r="Z599" i="1"/>
  <c r="Z600" i="1"/>
  <c r="Z601" i="1"/>
  <c r="Z636" i="1"/>
  <c r="AA636" i="1"/>
  <c r="AA638" i="1"/>
  <c r="AA639" i="1"/>
  <c r="Z640" i="1"/>
  <c r="AA640" i="1"/>
  <c r="Z642" i="1"/>
  <c r="AA642" i="1"/>
  <c r="Z643" i="1"/>
  <c r="AA643" i="1"/>
  <c r="Z651" i="1"/>
  <c r="AA651" i="1"/>
  <c r="AA653" i="1"/>
  <c r="AA654" i="1"/>
  <c r="AA655" i="1"/>
  <c r="Z656" i="1"/>
  <c r="AA656" i="1"/>
  <c r="Z659" i="1"/>
  <c r="AA659" i="1"/>
  <c r="Z664" i="1"/>
  <c r="AA664" i="1"/>
  <c r="AB664" i="1"/>
  <c r="Z667" i="1"/>
  <c r="AA667" i="1"/>
  <c r="Z669" i="1"/>
  <c r="AA669" i="1"/>
  <c r="AB669" i="1"/>
  <c r="Z673" i="1"/>
  <c r="AA673" i="1"/>
  <c r="AA680" i="1"/>
  <c r="Z685" i="1"/>
  <c r="AA685" i="1"/>
  <c r="Z686" i="1"/>
  <c r="AA686" i="1"/>
  <c r="Z687" i="1"/>
  <c r="AA687" i="1"/>
  <c r="AA696" i="1"/>
  <c r="Z711" i="1"/>
  <c r="AA711" i="1"/>
  <c r="Z712" i="1"/>
  <c r="AA725" i="1"/>
  <c r="AA729" i="1"/>
  <c r="AA739" i="1"/>
  <c r="AA744" i="1"/>
  <c r="AA749" i="1"/>
  <c r="Z775" i="1"/>
  <c r="Z776" i="1"/>
  <c r="Z777" i="1"/>
  <c r="Z787" i="1"/>
  <c r="Z788" i="1"/>
  <c r="Z798" i="1"/>
  <c r="AA801" i="1"/>
  <c r="AA805" i="1"/>
  <c r="AA807" i="1"/>
  <c r="Z814" i="1"/>
  <c r="AA814" i="1"/>
  <c r="AA815" i="1"/>
  <c r="Z816" i="1"/>
  <c r="AA818" i="1"/>
  <c r="AA827" i="1"/>
  <c r="Z834" i="1"/>
  <c r="AA850" i="1"/>
  <c r="AA860" i="1"/>
  <c r="Z861" i="1"/>
  <c r="AA863" i="1"/>
  <c r="AA881" i="1"/>
  <c r="Z893" i="1"/>
  <c r="Z900" i="1"/>
  <c r="Z908" i="1"/>
  <c r="AA908" i="1"/>
  <c r="Z917" i="1"/>
  <c r="AA917" i="1"/>
  <c r="Z926" i="1"/>
  <c r="AA936" i="1"/>
  <c r="AA939" i="1"/>
  <c r="AA940" i="1"/>
  <c r="AA944" i="1"/>
  <c r="Z945" i="1"/>
  <c r="Z946" i="1"/>
  <c r="Z947" i="1"/>
  <c r="Z948" i="1"/>
  <c r="Z949" i="1"/>
  <c r="Z950" i="1"/>
  <c r="AA951" i="1"/>
  <c r="Z952" i="1"/>
  <c r="AA953" i="1"/>
  <c r="AA957" i="1"/>
  <c r="AA969" i="1"/>
  <c r="Z978" i="1"/>
  <c r="AA978" i="1"/>
  <c r="Y979" i="1"/>
  <c r="AA979" i="1"/>
  <c r="Z995" i="1"/>
  <c r="Z996" i="1"/>
  <c r="Z997" i="1"/>
  <c r="Z998" i="1"/>
  <c r="Z999" i="1"/>
  <c r="Z1011" i="1"/>
  <c r="AA1011" i="1"/>
  <c r="Y1019" i="1"/>
  <c r="Z1019" i="1"/>
  <c r="AA1019" i="1"/>
  <c r="Z1020" i="1"/>
  <c r="Z1025" i="1"/>
  <c r="AA1029" i="1"/>
  <c r="AA1031" i="1"/>
  <c r="AA1032" i="1"/>
  <c r="Z1034" i="1"/>
  <c r="AA1034" i="1"/>
  <c r="Z1035" i="1"/>
  <c r="AA1035" i="1"/>
  <c r="AA1037" i="1"/>
  <c r="AA1038" i="1"/>
  <c r="Z1039" i="1"/>
  <c r="AA1039" i="1"/>
  <c r="AA1040" i="1"/>
  <c r="Z1044" i="1"/>
  <c r="AA1044" i="1"/>
  <c r="Z1049" i="1"/>
  <c r="Y1054" i="1"/>
  <c r="AA1054" i="1"/>
  <c r="Z1056" i="1"/>
  <c r="AB1056" i="1"/>
  <c r="Z1057" i="1"/>
  <c r="AB1057" i="1"/>
  <c r="Z1058" i="1"/>
  <c r="Z1059" i="1"/>
  <c r="Z1060" i="1"/>
  <c r="Z1061" i="1"/>
  <c r="Z1062" i="1"/>
  <c r="Z1063" i="1"/>
  <c r="Z1064" i="1"/>
  <c r="Z1065" i="1"/>
  <c r="Y1066" i="1"/>
  <c r="Z1068" i="1"/>
  <c r="AA1068" i="1"/>
  <c r="Y1076" i="1"/>
  <c r="Z1076" i="1"/>
  <c r="AA1076" i="1"/>
  <c r="Z1077" i="1"/>
  <c r="AA1077" i="1"/>
  <c r="Z1086" i="1"/>
  <c r="AA1086" i="1"/>
  <c r="AA1088" i="1"/>
  <c r="AA1089" i="1"/>
  <c r="AA1091" i="1"/>
  <c r="AA1093" i="1"/>
  <c r="AA1099" i="1"/>
  <c r="AA1107" i="1"/>
  <c r="AA1108" i="1"/>
  <c r="AA1121" i="1"/>
  <c r="AA1122" i="1"/>
  <c r="AA1123" i="1"/>
  <c r="AA1124" i="1"/>
  <c r="AA1128" i="1"/>
  <c r="AA1135" i="1"/>
  <c r="AA1139" i="1"/>
  <c r="AA1152" i="1"/>
  <c r="Z1158" i="1"/>
  <c r="AA1158" i="1"/>
  <c r="AA1171" i="1"/>
  <c r="Z1175" i="1"/>
  <c r="AA1175" i="1"/>
  <c r="Y1180" i="1"/>
  <c r="AA1180" i="1"/>
  <c r="Z1193" i="1"/>
  <c r="Z1194" i="1"/>
  <c r="Y1195" i="1"/>
  <c r="Z1195" i="1"/>
  <c r="AA1195" i="1"/>
  <c r="Z1196" i="1"/>
  <c r="AA1199" i="1"/>
  <c r="AA1200" i="1"/>
  <c r="AA1203" i="1"/>
  <c r="AA1204" i="1"/>
  <c r="AA1206" i="1"/>
  <c r="AA1207" i="1"/>
  <c r="AA1209" i="1"/>
  <c r="AA1212" i="1"/>
  <c r="Y1234" i="1"/>
  <c r="Z1235" i="1"/>
  <c r="AA1235" i="1"/>
  <c r="AA1240" i="1"/>
  <c r="Z1242" i="1"/>
  <c r="AA1242" i="1"/>
  <c r="Z1243" i="1"/>
  <c r="AA1243" i="1"/>
  <c r="Y1250" i="1"/>
  <c r="Z1252" i="1"/>
  <c r="AA1252" i="1"/>
  <c r="AA1254" i="1"/>
  <c r="Z1256" i="1"/>
  <c r="AA1256" i="1"/>
  <c r="Z1265" i="1"/>
  <c r="AA1265" i="1"/>
  <c r="Z1271" i="1"/>
  <c r="AA1275" i="1"/>
  <c r="Z1297" i="1"/>
  <c r="AA1297" i="1"/>
  <c r="Z1302" i="1"/>
  <c r="AB1302" i="1"/>
  <c r="AA1304" i="1"/>
  <c r="AA1305" i="1"/>
  <c r="Z1306" i="1"/>
  <c r="AA1306" i="1"/>
  <c r="AA1312" i="1"/>
  <c r="AA1314" i="1"/>
  <c r="AA1318" i="1"/>
  <c r="Z1331" i="1"/>
  <c r="Z1332" i="1"/>
  <c r="Z1333" i="1"/>
  <c r="Z1334" i="1"/>
  <c r="Z1335" i="1"/>
  <c r="AA1337" i="1"/>
  <c r="AA1343" i="1"/>
  <c r="AA1345" i="1"/>
  <c r="Z1347" i="1"/>
  <c r="AA1347" i="1"/>
  <c r="Z1348" i="1"/>
  <c r="AA1348" i="1"/>
  <c r="AA1354" i="1"/>
  <c r="Z1356" i="1"/>
  <c r="AA1356" i="1"/>
  <c r="AA1361" i="1"/>
  <c r="AA1362" i="1"/>
  <c r="AA1363" i="1"/>
  <c r="Y1364" i="1"/>
  <c r="Z1364" i="1"/>
  <c r="AA1364" i="1"/>
  <c r="Y1370" i="1"/>
  <c r="Z1370" i="1"/>
  <c r="AA1370" i="1"/>
  <c r="Z1371" i="1"/>
  <c r="AB1371" i="1"/>
  <c r="Z1376" i="1"/>
  <c r="AA1376" i="1"/>
  <c r="AA1377" i="1"/>
  <c r="AA1380" i="1"/>
  <c r="AA1398" i="1"/>
  <c r="AA1404" i="1"/>
  <c r="AA1420" i="1"/>
  <c r="AA1425" i="1"/>
  <c r="AA1430" i="1"/>
  <c r="Z1439" i="1"/>
  <c r="AA1439" i="1"/>
  <c r="AA1441" i="1"/>
  <c r="Z1442" i="1"/>
  <c r="AA1443" i="1"/>
  <c r="Y1444" i="1"/>
  <c r="Z1444" i="1"/>
  <c r="AA1444" i="1"/>
  <c r="Z1445" i="1"/>
  <c r="AA1445" i="1"/>
  <c r="AA1446" i="1"/>
  <c r="Y1448" i="1"/>
  <c r="Z1448" i="1"/>
  <c r="AA1448" i="1"/>
  <c r="Z1455" i="1"/>
  <c r="AA1455" i="1"/>
  <c r="AA1465" i="1"/>
  <c r="AA1469" i="1"/>
  <c r="AA1471" i="1"/>
  <c r="Z1485" i="1"/>
  <c r="Z1486" i="1"/>
  <c r="Z1487" i="1"/>
  <c r="Z1488" i="1"/>
  <c r="Z1489" i="1"/>
  <c r="Z1490" i="1"/>
  <c r="AA1490" i="1"/>
  <c r="Z1491" i="1"/>
  <c r="AA1491" i="1"/>
  <c r="AA1497" i="1"/>
  <c r="Z1498" i="1"/>
  <c r="AA1498" i="1"/>
  <c r="Z1505" i="1"/>
  <c r="AA1505" i="1"/>
  <c r="AA1510" i="1"/>
  <c r="AA1525" i="1"/>
  <c r="AA1527" i="1"/>
  <c r="AA1528" i="1"/>
  <c r="AA1533" i="1"/>
  <c r="AA1535" i="1"/>
  <c r="AA1540" i="1"/>
  <c r="AA1551" i="1"/>
  <c r="AA1552" i="1"/>
  <c r="Y1553" i="1"/>
  <c r="Z1553" i="1"/>
  <c r="AA1553" i="1"/>
  <c r="AA1554" i="1"/>
  <c r="Z1555" i="1"/>
  <c r="Z1556" i="1"/>
  <c r="AA1559" i="1"/>
  <c r="AA1560" i="1"/>
  <c r="AB1564" i="1"/>
  <c r="Y1582" i="1"/>
  <c r="Z1582" i="1"/>
  <c r="AA1582" i="1"/>
  <c r="Z1583" i="1"/>
  <c r="AA1583" i="1"/>
  <c r="Z1584" i="1"/>
  <c r="AA1584" i="1"/>
  <c r="AA1586" i="1"/>
  <c r="Z1599" i="1"/>
  <c r="AB1599" i="1"/>
  <c r="Z1600" i="1"/>
  <c r="Z1601" i="1"/>
  <c r="Z1602" i="1"/>
  <c r="Z1603" i="1"/>
  <c r="Z1604" i="1"/>
  <c r="Z1605" i="1"/>
  <c r="Z1606" i="1"/>
  <c r="AA1614" i="1"/>
  <c r="Z1621" i="1"/>
  <c r="Y1623" i="1"/>
  <c r="Z1623" i="1"/>
  <c r="AA1623" i="1"/>
  <c r="Z1624" i="1"/>
  <c r="Z1625" i="1"/>
  <c r="Z1626" i="1"/>
  <c r="Z1627" i="1"/>
  <c r="Z1628" i="1"/>
  <c r="Z1629" i="1"/>
  <c r="Z1630" i="1"/>
  <c r="Z1631" i="1"/>
  <c r="Z1632" i="1"/>
  <c r="Z1633" i="1"/>
  <c r="Z1634" i="1"/>
  <c r="Z1635" i="1"/>
  <c r="Z1636" i="1"/>
  <c r="Y1639" i="1"/>
  <c r="Z1639" i="1"/>
  <c r="AA1639" i="1"/>
  <c r="AA1654" i="1"/>
  <c r="AA1656" i="1"/>
  <c r="Z1660" i="1"/>
  <c r="AA1660" i="1"/>
  <c r="AA1662" i="1"/>
  <c r="AA1674" i="1"/>
  <c r="Y1676" i="1"/>
  <c r="Z1676" i="1"/>
  <c r="AA1676" i="1"/>
  <c r="AB1676" i="1"/>
  <c r="AA1696" i="1"/>
  <c r="Y1701" i="1"/>
  <c r="Z1701" i="1"/>
  <c r="AA1701" i="1"/>
  <c r="AA1702" i="1"/>
  <c r="AA1718" i="1"/>
  <c r="AA1720" i="1"/>
  <c r="AA1722" i="1"/>
  <c r="AA1724" i="1"/>
  <c r="AA1729" i="1"/>
  <c r="Y1732" i="1"/>
  <c r="Z1732" i="1"/>
  <c r="AA1732" i="1"/>
  <c r="AA1745" i="1"/>
  <c r="AA1749" i="1"/>
  <c r="AA1752" i="1"/>
  <c r="Y1754" i="1"/>
  <c r="Z1754" i="1"/>
  <c r="AA1754" i="1"/>
  <c r="AA1756" i="1"/>
  <c r="Z1761" i="1"/>
  <c r="AA1761" i="1"/>
  <c r="Z1762" i="1"/>
  <c r="AA1770" i="1"/>
  <c r="Z1777" i="1"/>
  <c r="AA1777" i="1"/>
  <c r="Z1780" i="1"/>
  <c r="AA1780" i="1"/>
  <c r="Y1782" i="1"/>
  <c r="Z1782" i="1"/>
  <c r="AA1782" i="1"/>
  <c r="AB1782" i="1"/>
  <c r="Y1783" i="1"/>
  <c r="Z1783" i="1"/>
  <c r="AA1783" i="1"/>
  <c r="AA1789" i="1"/>
  <c r="AA1791" i="1"/>
  <c r="Z1795" i="1"/>
  <c r="AA1797" i="1"/>
  <c r="Z1800" i="1"/>
  <c r="Z1801" i="1"/>
  <c r="Z1802" i="1"/>
  <c r="Z1803" i="1"/>
  <c r="Z1804" i="1"/>
  <c r="AA1806" i="1"/>
  <c r="Z1809" i="1"/>
  <c r="AA1809" i="1"/>
  <c r="Z1812" i="1"/>
  <c r="Z1814" i="1"/>
  <c r="Z1817" i="1"/>
  <c r="AA1817" i="1"/>
  <c r="Y1822" i="1"/>
  <c r="AA1822" i="1"/>
  <c r="Y1825" i="1"/>
  <c r="Z1825" i="1"/>
  <c r="AA1825" i="1"/>
  <c r="Z1845" i="1"/>
  <c r="AA1845" i="1"/>
  <c r="AA1849" i="1"/>
  <c r="AA1850" i="1"/>
  <c r="AA1869" i="1"/>
  <c r="AA1870" i="1"/>
  <c r="AA1883" i="1"/>
  <c r="Z1885" i="1"/>
  <c r="AB1885" i="1"/>
  <c r="Z1888" i="1"/>
  <c r="AA1888" i="1"/>
  <c r="AA1890" i="1"/>
  <c r="Z1894" i="1"/>
  <c r="Z1895" i="1"/>
  <c r="Z1896" i="1"/>
  <c r="Z1897" i="1"/>
  <c r="Z1898" i="1"/>
  <c r="AA1899" i="1"/>
  <c r="AB1899" i="1"/>
  <c r="AA1902" i="1"/>
  <c r="Z1907" i="1"/>
  <c r="AA1907" i="1"/>
  <c r="AA1922" i="1"/>
  <c r="AA1928" i="1"/>
  <c r="AA1929" i="1"/>
  <c r="AA1930" i="1"/>
  <c r="Z1931" i="1"/>
  <c r="AA1931" i="1"/>
  <c r="AA1939" i="1"/>
  <c r="Z1950" i="1"/>
  <c r="AA1950" i="1"/>
  <c r="AA1953" i="1"/>
  <c r="Z1964" i="1"/>
  <c r="Z1965" i="1"/>
  <c r="Z1966" i="1"/>
  <c r="Z1967" i="1"/>
  <c r="Z1968" i="1"/>
  <c r="Z1969" i="1"/>
  <c r="Z1970" i="1"/>
  <c r="Z1971" i="1"/>
  <c r="Y1975" i="1"/>
  <c r="Z1975" i="1"/>
  <c r="Z1976" i="1"/>
  <c r="AA1976" i="1"/>
  <c r="AA1977" i="1"/>
  <c r="Y1982" i="1"/>
  <c r="Z1982" i="1"/>
  <c r="AA1982" i="1"/>
  <c r="Z1984" i="1"/>
  <c r="AA1984" i="1"/>
  <c r="AA1987" i="1"/>
  <c r="AA1989" i="1"/>
  <c r="Y1990" i="1"/>
  <c r="Z1990" i="1"/>
  <c r="AA1994" i="1"/>
  <c r="Z1995" i="1"/>
  <c r="AA1995" i="1"/>
  <c r="Z1998" i="1"/>
  <c r="AA1998" i="1"/>
  <c r="AA2004" i="1"/>
  <c r="Y2005" i="1"/>
  <c r="Z2005" i="1"/>
  <c r="AA2005" i="1"/>
  <c r="AA2013" i="1"/>
  <c r="Y2014" i="1"/>
  <c r="AA2014" i="1"/>
  <c r="AA2018" i="1"/>
  <c r="AA2024" i="1"/>
  <c r="AA2047" i="1"/>
  <c r="AA2049" i="1"/>
  <c r="Y2050" i="1"/>
  <c r="Z2050" i="1"/>
  <c r="AA2050" i="1"/>
  <c r="AA2056" i="1"/>
  <c r="AA2057" i="1"/>
  <c r="Z2059" i="1"/>
  <c r="AA2075" i="1"/>
  <c r="Y2081" i="1"/>
  <c r="Z2081" i="1"/>
  <c r="AA2081" i="1"/>
  <c r="Z2082" i="1"/>
  <c r="AA2082" i="1"/>
  <c r="Z2084" i="1"/>
  <c r="AA2084" i="1"/>
  <c r="AA2085" i="1"/>
  <c r="AA2089" i="1"/>
  <c r="Y2099" i="1"/>
  <c r="Z2101" i="1"/>
  <c r="AA2101" i="1"/>
  <c r="AA2103" i="1"/>
  <c r="Z2107" i="1"/>
  <c r="AA2107" i="1"/>
  <c r="AB2107" i="1"/>
  <c r="Z2108" i="1"/>
  <c r="AA2108" i="1"/>
  <c r="AB2108" i="1"/>
  <c r="AA2110" i="1"/>
  <c r="Z2131" i="1"/>
  <c r="Z2132" i="1"/>
  <c r="Z2133" i="1"/>
  <c r="Z2134" i="1"/>
  <c r="Z2135" i="1"/>
  <c r="Z2136" i="1"/>
  <c r="Z2137" i="1"/>
  <c r="AA2146" i="1"/>
  <c r="AA2157" i="1"/>
  <c r="Z2170" i="1"/>
  <c r="Z2171" i="1"/>
  <c r="AB2171" i="1"/>
  <c r="Z2172" i="1"/>
  <c r="Z2173" i="1"/>
  <c r="Z2174" i="1"/>
  <c r="Z2181" i="1"/>
  <c r="Z2182" i="1"/>
  <c r="AA2182" i="1"/>
  <c r="AB2182" i="1"/>
  <c r="Y2186" i="1"/>
  <c r="Z2186" i="1"/>
  <c r="Y2187" i="1"/>
  <c r="Z2187" i="1"/>
  <c r="AA2191" i="1"/>
  <c r="AA2192" i="1"/>
  <c r="Z2193" i="1"/>
  <c r="AA2196" i="1"/>
  <c r="AA2198" i="1"/>
  <c r="AA2199" i="1"/>
  <c r="AA2210" i="1"/>
  <c r="Z2217" i="1"/>
  <c r="Z2218" i="1"/>
  <c r="AB2218" i="1"/>
  <c r="Z2219" i="1"/>
  <c r="AB2219" i="1"/>
  <c r="Z2231" i="1"/>
  <c r="AA2231" i="1"/>
  <c r="AA2234" i="1"/>
  <c r="AA2240" i="1"/>
  <c r="AA2243" i="1"/>
  <c r="Z2244" i="1"/>
  <c r="Z2245" i="1"/>
  <c r="Z2246" i="1"/>
  <c r="Z2247" i="1"/>
  <c r="AA2247" i="1"/>
  <c r="AA2248" i="1"/>
  <c r="AA2249" i="1"/>
  <c r="AA2253" i="1"/>
  <c r="AA2259" i="1"/>
  <c r="AC2259" i="1"/>
  <c r="AA2270" i="1"/>
  <c r="AA2278" i="1"/>
  <c r="AA2281" i="1"/>
  <c r="Z2282" i="1"/>
  <c r="AA2288" i="1"/>
  <c r="AA2289" i="1"/>
  <c r="AA2295" i="1"/>
  <c r="AA2304" i="1"/>
  <c r="Y2312" i="1"/>
  <c r="Z2312" i="1"/>
  <c r="AA2312" i="1"/>
  <c r="Z2322" i="1"/>
  <c r="AA2322" i="1"/>
  <c r="AA2323" i="1"/>
  <c r="Z2337" i="1"/>
  <c r="Z2338" i="1"/>
  <c r="Z2339" i="1"/>
  <c r="AB2339" i="1"/>
  <c r="Z2340" i="1"/>
  <c r="AA2355" i="1"/>
  <c r="AA2357" i="1"/>
  <c r="Z2358" i="1"/>
  <c r="AA2358" i="1"/>
  <c r="Z2383" i="1"/>
  <c r="Z2384" i="1"/>
  <c r="AB2384" i="1"/>
  <c r="AA2386" i="1"/>
  <c r="AA2390" i="1"/>
  <c r="AA2395" i="1"/>
  <c r="Z2397" i="1"/>
  <c r="Z2398" i="1"/>
  <c r="Z2399" i="1"/>
  <c r="Z2400" i="1"/>
  <c r="Z2402" i="1"/>
  <c r="Z2404" i="1"/>
  <c r="AB2404" i="1"/>
  <c r="Z2421" i="1"/>
  <c r="Z2423" i="1"/>
  <c r="AA2423" i="1"/>
  <c r="Z2424" i="1"/>
  <c r="AA2424" i="1"/>
  <c r="Y2426" i="1"/>
  <c r="AA2426" i="1"/>
  <c r="AA2429" i="1"/>
  <c r="AA2433" i="1"/>
  <c r="Z2434" i="1"/>
  <c r="AA2434" i="1"/>
  <c r="Z2439" i="1"/>
  <c r="AA2439" i="1"/>
  <c r="Y2440" i="1"/>
  <c r="AA2440" i="1"/>
  <c r="AA2445" i="1"/>
  <c r="AA2447" i="1"/>
  <c r="AA2451" i="1"/>
  <c r="AA2452" i="1"/>
  <c r="Y2456" i="1"/>
  <c r="AA2456" i="1"/>
  <c r="Z2457" i="1"/>
  <c r="AA2457" i="1"/>
  <c r="Z2459" i="1"/>
  <c r="AA2459" i="1"/>
  <c r="Z2473" i="1"/>
  <c r="AA2473" i="1"/>
  <c r="AA2474" i="1"/>
  <c r="Z2477" i="1"/>
  <c r="AA2477" i="1"/>
  <c r="Z2480" i="1"/>
  <c r="AA2480" i="1"/>
  <c r="Y2483" i="1"/>
  <c r="Z2483" i="1"/>
  <c r="Y2486" i="1"/>
  <c r="Z2486" i="1"/>
  <c r="AA2486" i="1"/>
  <c r="AA2519" i="1"/>
  <c r="Z2520" i="1"/>
  <c r="AA2520" i="1"/>
  <c r="Y2524" i="1"/>
  <c r="Z2524" i="1"/>
  <c r="AA2524" i="1"/>
  <c r="AA2528" i="1"/>
  <c r="Z2531" i="1"/>
  <c r="AA2531" i="1"/>
  <c r="Y2538" i="1"/>
  <c r="Z2538" i="1"/>
  <c r="AA2538" i="1"/>
  <c r="Y2542" i="1"/>
  <c r="AA2542" i="1"/>
  <c r="AA2544" i="1"/>
  <c r="Z2546" i="1"/>
  <c r="AA2546" i="1"/>
  <c r="AA2558" i="1"/>
  <c r="AA2563" i="1"/>
  <c r="AA2567" i="1"/>
  <c r="Z2570" i="1"/>
  <c r="Z2571" i="1"/>
  <c r="Y2578" i="1"/>
  <c r="Z2578" i="1"/>
  <c r="AA2578" i="1"/>
  <c r="AA2579" i="1"/>
  <c r="Z2580" i="1"/>
  <c r="Z2582" i="1"/>
  <c r="Z2584" i="1"/>
  <c r="AB2584" i="1"/>
  <c r="AA2588" i="1"/>
  <c r="AA2590" i="1"/>
  <c r="Z2591" i="1"/>
  <c r="AA2591" i="1"/>
  <c r="AA2607" i="1"/>
  <c r="Y2608" i="1"/>
  <c r="Z2608" i="1"/>
  <c r="AA2608" i="1"/>
  <c r="Y2610" i="1"/>
  <c r="Z2610" i="1"/>
  <c r="AA2610" i="1"/>
  <c r="AB2610" i="1"/>
  <c r="Z2611" i="1"/>
  <c r="Z2613" i="1"/>
  <c r="Z2614" i="1"/>
  <c r="Z2620" i="1"/>
  <c r="AA2621" i="1"/>
  <c r="Z2623" i="1"/>
  <c r="Z2626" i="1"/>
  <c r="Z2634" i="1"/>
  <c r="AA2634" i="1"/>
  <c r="Z2639" i="1"/>
  <c r="Z2642" i="1"/>
  <c r="Y2648" i="1"/>
  <c r="Z2648" i="1"/>
  <c r="Z2653" i="1"/>
  <c r="Z2654" i="1"/>
  <c r="Z2655" i="1"/>
  <c r="AB2655" i="1"/>
  <c r="Z2656" i="1"/>
  <c r="Z2657" i="1"/>
  <c r="AB2657" i="1"/>
  <c r="Z2658" i="1"/>
  <c r="AA2659" i="1"/>
  <c r="AA2661" i="1"/>
  <c r="Z2675" i="1"/>
  <c r="AA2675" i="1"/>
  <c r="AA2693" i="1"/>
  <c r="Y2715" i="1"/>
  <c r="Z2715" i="1"/>
  <c r="AA2715" i="1"/>
  <c r="Y2716" i="1"/>
  <c r="Z2716" i="1"/>
  <c r="AA2716" i="1"/>
  <c r="AB2716" i="1"/>
  <c r="Z2717" i="1"/>
  <c r="Y2720" i="1"/>
  <c r="Z2720" i="1"/>
  <c r="AA2720" i="1"/>
  <c r="AA2738" i="1"/>
  <c r="AA2739" i="1"/>
  <c r="AA2745" i="1"/>
  <c r="Z2758" i="1"/>
  <c r="AA2758" i="1"/>
  <c r="Z2760" i="1"/>
  <c r="AA2761" i="1"/>
  <c r="AA2770" i="1"/>
  <c r="AA2773" i="1"/>
  <c r="AA2778" i="1"/>
  <c r="Z2782" i="1"/>
  <c r="AA2782" i="1"/>
  <c r="Z2788" i="1"/>
  <c r="AA2788" i="1"/>
  <c r="AA2792" i="1"/>
  <c r="AA2795" i="1"/>
  <c r="AA2796" i="1"/>
  <c r="AA2812" i="1"/>
  <c r="Z2826" i="1"/>
  <c r="Z2828" i="1"/>
  <c r="AA2828" i="1"/>
  <c r="Y2831" i="1"/>
  <c r="Z2831" i="1"/>
  <c r="AA2831" i="1"/>
  <c r="Z2832" i="1"/>
  <c r="AA2832" i="1"/>
  <c r="Y2834" i="1"/>
  <c r="Z2834" i="1"/>
  <c r="AA2834" i="1"/>
  <c r="Y2835" i="1"/>
  <c r="AA2835" i="1"/>
  <c r="Z2840" i="1"/>
  <c r="Z2841" i="1"/>
  <c r="Z2843" i="1"/>
  <c r="AA2843" i="1"/>
  <c r="AA2847" i="1"/>
  <c r="AA2850" i="1"/>
  <c r="AA2855" i="1"/>
  <c r="AA2856" i="1"/>
  <c r="AA2862" i="1"/>
  <c r="AA2863" i="1"/>
  <c r="Z2870" i="1"/>
  <c r="Z2871" i="1"/>
  <c r="AA2873" i="1"/>
  <c r="AA2888" i="1"/>
  <c r="AA2902" i="1"/>
  <c r="Z2915" i="1"/>
  <c r="Z2916" i="1"/>
  <c r="AA2926" i="1"/>
  <c r="Y2931" i="1"/>
  <c r="Z2931" i="1"/>
  <c r="AA2931" i="1"/>
  <c r="Y2932" i="1"/>
  <c r="Z2932" i="1"/>
  <c r="AA2932" i="1"/>
  <c r="AA2933" i="1"/>
  <c r="AA2934" i="1"/>
  <c r="Z2936" i="1"/>
  <c r="AA2936" i="1"/>
  <c r="Z2941" i="1"/>
  <c r="AA2941" i="1"/>
  <c r="AB2941" i="1"/>
  <c r="Z2942" i="1"/>
  <c r="Y2948" i="1"/>
  <c r="Z2948" i="1"/>
  <c r="AA2948" i="1"/>
  <c r="Z2951" i="1"/>
  <c r="AA2951" i="1"/>
  <c r="Z2952" i="1"/>
  <c r="Z2953" i="1"/>
  <c r="Z2954" i="1"/>
  <c r="Z2955" i="1"/>
  <c r="Z2956" i="1"/>
  <c r="Z2964" i="1"/>
  <c r="AA2964" i="1"/>
  <c r="AB2966" i="1"/>
  <c r="Y2970" i="1"/>
  <c r="Z2970" i="1"/>
  <c r="AA2970" i="1"/>
  <c r="AA2972" i="1"/>
  <c r="AA2981" i="1"/>
  <c r="AA2995" i="1"/>
  <c r="Z2996" i="1"/>
  <c r="Z2997" i="1"/>
  <c r="AA3002" i="1"/>
  <c r="AA3003" i="1"/>
  <c r="AA3004" i="1"/>
  <c r="AA3005" i="1"/>
  <c r="Z3013" i="1"/>
  <c r="Z3015" i="1"/>
  <c r="AB3015" i="1"/>
  <c r="Z3016" i="1"/>
  <c r="Z3017" i="1"/>
  <c r="Z3018" i="1"/>
  <c r="AA3018" i="1"/>
  <c r="AA3019" i="1"/>
  <c r="AA3022" i="1"/>
  <c r="AA3023" i="1"/>
  <c r="AA3032" i="1"/>
  <c r="Y3039" i="1"/>
  <c r="Z3039" i="1"/>
  <c r="Z3047" i="1"/>
  <c r="AA3047" i="1"/>
  <c r="Z3049" i="1"/>
  <c r="AA3049" i="1"/>
  <c r="AA3050" i="1"/>
  <c r="AA3051" i="1"/>
  <c r="AA3064" i="1"/>
  <c r="Z3073" i="1"/>
  <c r="AA3073" i="1"/>
  <c r="Z3081" i="1"/>
  <c r="AA3081" i="1"/>
  <c r="Z3082" i="1"/>
  <c r="AA3082" i="1"/>
  <c r="Z3084" i="1"/>
  <c r="AA3084" i="1"/>
  <c r="Z3085" i="1"/>
  <c r="AA3085" i="1"/>
  <c r="Z3086" i="1"/>
  <c r="AA3086" i="1"/>
  <c r="Z3087" i="1"/>
  <c r="AA3087" i="1"/>
  <c r="Z3094" i="1"/>
  <c r="AA3094" i="1"/>
  <c r="AA3099" i="1"/>
  <c r="Z3102" i="1"/>
  <c r="AA3102" i="1"/>
  <c r="AA3113" i="1"/>
  <c r="Z3115" i="1"/>
  <c r="AA3115" i="1"/>
  <c r="Z3116" i="1"/>
  <c r="AA3117" i="1"/>
  <c r="AA3118" i="1"/>
  <c r="AA3137" i="1"/>
  <c r="Z3142" i="1"/>
  <c r="AA3142" i="1"/>
  <c r="Y3154" i="1"/>
  <c r="Z3154" i="1"/>
  <c r="AA3154" i="1"/>
  <c r="Y3155" i="1"/>
  <c r="Z3155" i="1"/>
  <c r="AA3155" i="1"/>
  <c r="Y3162" i="1"/>
  <c r="AA3162" i="1"/>
  <c r="Y3163" i="1"/>
  <c r="Z3163" i="1"/>
  <c r="AA3163" i="1"/>
  <c r="AB3163" i="1"/>
  <c r="AA3165" i="1"/>
  <c r="Z3166" i="1"/>
  <c r="AA3166" i="1"/>
  <c r="Z3176" i="1"/>
  <c r="Z3179" i="1"/>
  <c r="Y3181" i="1"/>
  <c r="Z3181" i="1"/>
  <c r="AA3181" i="1"/>
  <c r="AB3181" i="1"/>
  <c r="Z3191" i="1"/>
  <c r="AA3191" i="1"/>
  <c r="Y3192" i="1"/>
  <c r="Z3192" i="1"/>
  <c r="Y3194" i="1"/>
  <c r="Z3194" i="1"/>
  <c r="Y3203" i="1"/>
  <c r="Z3203" i="1"/>
  <c r="AA3203" i="1"/>
  <c r="Y3204" i="1"/>
  <c r="Z3204" i="1"/>
  <c r="AA3204" i="1"/>
  <c r="AB3204" i="1"/>
  <c r="Z3207" i="1"/>
  <c r="AA3207" i="1"/>
  <c r="Z3215" i="1"/>
  <c r="AA3222" i="1"/>
  <c r="AA3223" i="1"/>
  <c r="AA3224" i="1"/>
  <c r="AA3225" i="1"/>
  <c r="AB3233" i="1"/>
  <c r="Z3236" i="1"/>
  <c r="Z3237" i="1"/>
  <c r="Y3253" i="1"/>
  <c r="AA3253" i="1"/>
  <c r="AA3257" i="1"/>
  <c r="Y3260" i="1"/>
  <c r="Z3260" i="1"/>
  <c r="AA3260" i="1"/>
  <c r="Y3261" i="1"/>
  <c r="Z3261" i="1"/>
  <c r="AA3261" i="1"/>
  <c r="AA3268" i="1"/>
  <c r="Y3270" i="1"/>
  <c r="Z3270" i="1"/>
  <c r="AA3270" i="1"/>
  <c r="AA3276" i="1"/>
  <c r="AA3277" i="1"/>
  <c r="AA3278" i="1"/>
  <c r="AA3279" i="1"/>
  <c r="AA3286" i="1"/>
  <c r="AA3298" i="1"/>
  <c r="AA3299" i="1"/>
  <c r="Z3303" i="1"/>
  <c r="AA3303" i="1"/>
  <c r="AA3306" i="1"/>
  <c r="Y3318" i="1"/>
  <c r="Z3318" i="1"/>
  <c r="AA3318" i="1"/>
  <c r="AA3319" i="1"/>
  <c r="Z3323" i="1"/>
  <c r="AA3323" i="1"/>
  <c r="AB3323" i="1"/>
  <c r="AC3323" i="1"/>
  <c r="Z3325" i="1"/>
  <c r="AA3325" i="1"/>
  <c r="Z3330" i="1"/>
  <c r="Z3331" i="1"/>
  <c r="Z3332" i="1"/>
  <c r="Z3333" i="1"/>
  <c r="AB3333" i="1"/>
  <c r="Z3339" i="1"/>
  <c r="AA3340" i="1"/>
  <c r="Z3341" i="1"/>
  <c r="Z3342" i="1"/>
  <c r="Y3343" i="1"/>
  <c r="Z3343" i="1"/>
  <c r="AA3343" i="1"/>
  <c r="Y3344" i="1"/>
  <c r="AA3345" i="1"/>
  <c r="AA3348" i="1"/>
  <c r="AA3349" i="1"/>
  <c r="AA3353" i="1"/>
  <c r="Z3390" i="1"/>
  <c r="AA3390" i="1"/>
  <c r="Z3395" i="1"/>
  <c r="Z3396" i="1"/>
  <c r="Z3397" i="1"/>
  <c r="Z3398" i="1"/>
  <c r="Z3399" i="1"/>
  <c r="AA3399" i="1"/>
  <c r="Y3413" i="1"/>
  <c r="Z3413" i="1"/>
  <c r="AA3413" i="1"/>
  <c r="Z3414" i="1"/>
  <c r="AA3414" i="1"/>
  <c r="Z3416" i="1"/>
  <c r="Y3421" i="1"/>
  <c r="Z3421" i="1"/>
  <c r="AA3421" i="1"/>
  <c r="Z3423" i="1"/>
  <c r="AA3423" i="1"/>
  <c r="AA3427" i="1"/>
  <c r="Z3437" i="1"/>
  <c r="AB3437" i="1"/>
  <c r="Z3438" i="1"/>
  <c r="AB3438" i="1"/>
  <c r="Z3439" i="1"/>
  <c r="Z3440" i="1"/>
  <c r="Z3441" i="1"/>
  <c r="Z3442" i="1"/>
  <c r="Y3444" i="1"/>
  <c r="Z3444" i="1"/>
  <c r="AB3444" i="1"/>
  <c r="Z3445" i="1"/>
  <c r="Z3446" i="1"/>
  <c r="Z3447" i="1"/>
  <c r="Z3448" i="1"/>
  <c r="Z3449" i="1"/>
  <c r="Z3450" i="1"/>
  <c r="Z3451" i="1"/>
  <c r="Z3452" i="1"/>
  <c r="Z3453" i="1"/>
  <c r="AA3454" i="1"/>
  <c r="Z3455" i="1"/>
  <c r="AA3458" i="1"/>
  <c r="AA3464" i="1"/>
  <c r="AA3472" i="1"/>
  <c r="AA3473" i="1"/>
  <c r="Z3497" i="1"/>
  <c r="AA3497" i="1"/>
  <c r="Z3500" i="1"/>
  <c r="AA3500" i="1"/>
  <c r="Z3507" i="1"/>
  <c r="AA3507" i="1"/>
  <c r="Z3508" i="1"/>
  <c r="AA3508" i="1"/>
  <c r="AA3514" i="1"/>
  <c r="AA3520" i="1"/>
  <c r="Z3522" i="1"/>
  <c r="AA3522" i="1"/>
  <c r="Z3523" i="1"/>
  <c r="AA3525" i="1"/>
  <c r="AA3526" i="1"/>
  <c r="Y3530" i="1"/>
  <c r="Z3530" i="1"/>
  <c r="AA3530" i="1"/>
  <c r="Z3538" i="1"/>
  <c r="AA3538" i="1"/>
  <c r="Y3540" i="1"/>
  <c r="Z3540" i="1"/>
  <c r="AA3540" i="1"/>
  <c r="AA3561" i="1"/>
  <c r="AA3565" i="1"/>
  <c r="AA3569" i="1"/>
  <c r="AA3570" i="1"/>
  <c r="AA3571" i="1"/>
  <c r="AA3572" i="1"/>
  <c r="Z3582" i="1"/>
  <c r="AA3582" i="1"/>
  <c r="AA3592" i="1"/>
  <c r="AA3594" i="1"/>
  <c r="Z3608" i="1"/>
  <c r="AA3608" i="1"/>
  <c r="Z3611" i="1"/>
  <c r="AA3611" i="1"/>
  <c r="AA3613" i="1"/>
  <c r="AA3618" i="1"/>
  <c r="Z3621" i="1"/>
  <c r="AA3621" i="1"/>
  <c r="Z3622" i="1"/>
  <c r="AA3622" i="1"/>
  <c r="Z3638" i="1"/>
  <c r="Z3639" i="1"/>
  <c r="AA3646" i="1"/>
  <c r="Y3647" i="1"/>
  <c r="Z3647" i="1"/>
  <c r="AA3647" i="1"/>
  <c r="Y3655" i="1"/>
  <c r="Z3655" i="1"/>
  <c r="AA3655" i="1"/>
  <c r="Z3663" i="1"/>
  <c r="AA3682" i="1"/>
  <c r="Y3683" i="1"/>
  <c r="Z3683" i="1"/>
  <c r="AA3683" i="1"/>
  <c r="Z3685" i="1"/>
  <c r="AA3690" i="1"/>
  <c r="Z3695" i="1"/>
  <c r="Z3699" i="1"/>
  <c r="AA3699" i="1"/>
  <c r="Z3714" i="1"/>
  <c r="Z3715" i="1"/>
  <c r="AB3715" i="1"/>
  <c r="AA3722" i="1"/>
  <c r="AA3723" i="1"/>
  <c r="AA3724" i="1"/>
  <c r="AA3725" i="1"/>
  <c r="AA3726" i="1"/>
  <c r="AA3727" i="1"/>
  <c r="AA3729" i="1"/>
  <c r="Y3730" i="1"/>
  <c r="Z3730" i="1"/>
  <c r="AA3730" i="1"/>
  <c r="Z3731" i="1"/>
  <c r="AA3731" i="1"/>
  <c r="Z3732" i="1"/>
  <c r="AB3732" i="1"/>
  <c r="AA3739" i="1"/>
  <c r="Y3741" i="1"/>
  <c r="Z3741" i="1"/>
  <c r="AA3741" i="1"/>
  <c r="AA3765" i="1"/>
  <c r="Z3771" i="1"/>
  <c r="Z3775" i="1"/>
  <c r="Z3776" i="1"/>
  <c r="AB3776" i="1"/>
  <c r="AA3777" i="1"/>
  <c r="Z3788" i="1"/>
  <c r="AA3788" i="1"/>
  <c r="Y3794" i="1"/>
  <c r="Z3794" i="1"/>
  <c r="AA3794" i="1"/>
  <c r="AA3803" i="1"/>
  <c r="Y3804" i="1"/>
  <c r="Z3804" i="1"/>
  <c r="AA3804" i="1"/>
  <c r="AB3804" i="1"/>
  <c r="AA3808" i="1"/>
  <c r="AA3811" i="1"/>
  <c r="Z3822" i="1"/>
  <c r="Z3823" i="1"/>
  <c r="Z3824" i="1"/>
  <c r="Z3825" i="1"/>
  <c r="Z3826" i="1"/>
  <c r="Z3827" i="1"/>
  <c r="Z3828" i="1"/>
  <c r="Z3829" i="1"/>
  <c r="Z3830" i="1"/>
  <c r="AB3830" i="1"/>
  <c r="Y3831" i="1"/>
  <c r="Z3831" i="1"/>
  <c r="AA3831" i="1"/>
  <c r="Z3832" i="1"/>
  <c r="AA3832" i="1"/>
  <c r="AA3833" i="1"/>
  <c r="AA3834" i="1"/>
  <c r="AA3835" i="1"/>
  <c r="Z3843" i="1"/>
  <c r="AA3843" i="1"/>
  <c r="Y3847" i="1"/>
  <c r="Z3847" i="1"/>
  <c r="Z3849" i="1"/>
  <c r="Y3850" i="1"/>
  <c r="Z3850" i="1"/>
  <c r="AA3850" i="1"/>
  <c r="AB3850" i="1"/>
  <c r="Z3851" i="1"/>
  <c r="AA3851" i="1"/>
  <c r="Y3852" i="1"/>
  <c r="Z3852" i="1"/>
  <c r="Y3853" i="1"/>
  <c r="Z3853" i="1"/>
  <c r="Z3883" i="1"/>
  <c r="Y3884" i="1"/>
  <c r="Z3884" i="1"/>
  <c r="AA3884" i="1"/>
  <c r="Y3885" i="1"/>
  <c r="Z3885" i="1"/>
  <c r="AA3885" i="1"/>
  <c r="AA3887" i="1"/>
  <c r="Z3891" i="1"/>
  <c r="AA3891" i="1"/>
  <c r="AA3892" i="1"/>
  <c r="Y3911" i="1"/>
  <c r="Z3911" i="1"/>
  <c r="AA3911" i="1"/>
  <c r="Y3928" i="1"/>
  <c r="Z3928" i="1"/>
  <c r="AA3928" i="1"/>
  <c r="AB3928" i="1"/>
  <c r="Y3929" i="1"/>
  <c r="Z3929" i="1"/>
  <c r="AA3929" i="1"/>
  <c r="AB3929" i="1"/>
  <c r="Z3930" i="1"/>
  <c r="AA3939" i="1"/>
  <c r="AA3946" i="1"/>
  <c r="Z3948" i="1"/>
  <c r="Z3949" i="1"/>
  <c r="AA3949" i="1"/>
  <c r="AA3950" i="1"/>
  <c r="Y3962" i="1"/>
  <c r="Z3962" i="1"/>
  <c r="Z3966" i="1"/>
  <c r="AA3966" i="1"/>
  <c r="AA3970" i="1"/>
  <c r="Z3975" i="1"/>
  <c r="AA3975" i="1"/>
  <c r="Z3981" i="1"/>
  <c r="AA3982" i="1"/>
  <c r="AA3983" i="1"/>
  <c r="AA3984" i="1"/>
  <c r="AA3985" i="1"/>
  <c r="AA4005" i="1"/>
  <c r="AA4006" i="1"/>
  <c r="AA4007" i="1"/>
  <c r="AA4008" i="1"/>
  <c r="AA4009" i="1"/>
  <c r="AA4010" i="1"/>
  <c r="AA4011" i="1"/>
  <c r="AA4012" i="1"/>
  <c r="Y4015" i="1"/>
  <c r="Z4015" i="1"/>
  <c r="AA4018" i="1"/>
  <c r="AA4019" i="1"/>
  <c r="AA4020" i="1"/>
  <c r="AA4021" i="1"/>
  <c r="Y4040" i="1"/>
  <c r="Z4040" i="1"/>
  <c r="AA4040" i="1"/>
  <c r="Y4041" i="1"/>
  <c r="Z4041" i="1"/>
  <c r="AA4041" i="1"/>
  <c r="Z4046" i="1"/>
  <c r="AA4046" i="1"/>
  <c r="Y4048" i="1"/>
  <c r="AA4048" i="1"/>
  <c r="AB4048" i="1"/>
  <c r="Y4049" i="1"/>
  <c r="AA4049" i="1"/>
  <c r="Z4050" i="1"/>
  <c r="Z4057" i="1"/>
  <c r="Y4058" i="1"/>
  <c r="AA4058" i="1"/>
  <c r="Y4059" i="1"/>
  <c r="Z4059" i="1"/>
  <c r="AA4059" i="1"/>
  <c r="AB4059" i="1"/>
  <c r="Y4072" i="1"/>
  <c r="Z4072" i="1"/>
  <c r="Z4073" i="1"/>
  <c r="Z4106" i="1"/>
  <c r="AA4106" i="1"/>
  <c r="Z4109" i="1"/>
  <c r="AA4109" i="1"/>
  <c r="AA4116" i="1"/>
  <c r="Z4122" i="1"/>
  <c r="AB4122" i="1"/>
  <c r="Z4123" i="1"/>
  <c r="Y4126" i="1"/>
  <c r="AA4126" i="1"/>
  <c r="Z4129" i="1"/>
  <c r="AA4149" i="1"/>
  <c r="AA4150" i="1"/>
  <c r="AA4152" i="1"/>
  <c r="AA4153" i="1"/>
  <c r="Z4155" i="1"/>
  <c r="Z4159" i="1"/>
  <c r="Z4160" i="1"/>
  <c r="AB4160" i="1"/>
  <c r="Z4161" i="1"/>
  <c r="Z4162" i="1"/>
  <c r="Y4163" i="1"/>
  <c r="Z4163" i="1"/>
  <c r="AA4163" i="1"/>
  <c r="Z4166" i="1"/>
  <c r="Z4174" i="1"/>
  <c r="AA4174" i="1"/>
  <c r="AA4191" i="1"/>
  <c r="AA4192" i="1"/>
  <c r="Y4195" i="1"/>
  <c r="AA4195" i="1"/>
  <c r="Z4197" i="1"/>
  <c r="AA4228" i="1"/>
  <c r="Y4234" i="1"/>
  <c r="Z4234" i="1"/>
  <c r="Y4243" i="1"/>
  <c r="Z4243" i="1"/>
  <c r="AA4243" i="1"/>
  <c r="Z4244" i="1"/>
  <c r="AD4244" i="1"/>
  <c r="AB4245" i="1"/>
  <c r="Z4246" i="1"/>
  <c r="Y4247" i="1"/>
  <c r="Z4247" i="1"/>
  <c r="AA4247" i="1"/>
  <c r="AA4253" i="1"/>
  <c r="AA4254" i="1"/>
  <c r="AA4255" i="1"/>
  <c r="AA4256" i="1"/>
  <c r="AA4257" i="1"/>
  <c r="AA4258" i="1"/>
  <c r="AA4259" i="1"/>
  <c r="AA4260" i="1"/>
  <c r="AA4277" i="1"/>
  <c r="AA4278" i="1"/>
  <c r="AA4279" i="1"/>
  <c r="Z4289" i="1"/>
  <c r="Z4294" i="1"/>
  <c r="AA4294" i="1"/>
  <c r="Z4295" i="1"/>
  <c r="AA4295" i="1"/>
  <c r="Z4306" i="1"/>
  <c r="AA4306" i="1"/>
  <c r="Z4312" i="1"/>
  <c r="Y4327" i="1"/>
  <c r="AA4334" i="1"/>
  <c r="Y4337" i="1"/>
  <c r="AA4337" i="1"/>
  <c r="Z4338" i="1"/>
  <c r="AA4338" i="1"/>
  <c r="AA4339" i="1"/>
  <c r="Z4350" i="1"/>
  <c r="Z4351" i="1"/>
  <c r="AB4351" i="1"/>
  <c r="Z4352" i="1"/>
  <c r="AB4352" i="1"/>
  <c r="Z4353" i="1"/>
  <c r="AB4353" i="1"/>
  <c r="Z4361" i="1"/>
  <c r="AA4361" i="1"/>
  <c r="AA4381" i="1"/>
  <c r="AA4382" i="1"/>
  <c r="AA4383" i="1"/>
  <c r="AA4384" i="1"/>
  <c r="AA4385" i="1"/>
  <c r="AA4386" i="1"/>
  <c r="AA4387" i="1"/>
  <c r="Z4388" i="1"/>
  <c r="AA4389" i="1"/>
  <c r="Z4402" i="1"/>
  <c r="AA4402" i="1"/>
  <c r="AA4413" i="1"/>
  <c r="Y4419" i="1"/>
  <c r="Z4419" i="1"/>
  <c r="AA4419" i="1"/>
  <c r="Z4421" i="1"/>
  <c r="AA4421" i="1"/>
  <c r="Y4426" i="1"/>
  <c r="Z4426" i="1"/>
  <c r="AA4426" i="1"/>
  <c r="Y4427" i="1"/>
  <c r="Z4427" i="1"/>
  <c r="AA4427" i="1"/>
  <c r="Z4428" i="1"/>
  <c r="Z4429" i="1"/>
  <c r="Z4430" i="1"/>
  <c r="AA4430" i="1"/>
  <c r="AA4432" i="1"/>
  <c r="AA4433" i="1"/>
  <c r="AA4434" i="1"/>
  <c r="AA4435" i="1"/>
  <c r="AA4436" i="1"/>
  <c r="Z4451" i="1"/>
  <c r="AA4451" i="1"/>
  <c r="Z4452" i="1"/>
  <c r="AA4452" i="1"/>
  <c r="Z4464" i="1"/>
  <c r="AA4464" i="1"/>
  <c r="AA4466" i="1"/>
  <c r="AA4468" i="1"/>
  <c r="Z4476" i="1"/>
  <c r="AA4476" i="1"/>
  <c r="AA4479" i="1"/>
  <c r="AA4480" i="1"/>
  <c r="Y4488" i="1"/>
  <c r="Z4488" i="1"/>
  <c r="AA4488" i="1"/>
  <c r="AB4488" i="1"/>
  <c r="Z4499" i="1"/>
  <c r="AA4499" i="1"/>
  <c r="AA4519" i="1"/>
  <c r="Z4524" i="1"/>
  <c r="AB4524" i="1"/>
  <c r="Z4528" i="1"/>
  <c r="AA4528" i="1"/>
  <c r="AA4529" i="1"/>
  <c r="AA4530" i="1"/>
  <c r="Z4533" i="1"/>
  <c r="Z4534" i="1"/>
  <c r="AA4542" i="1"/>
  <c r="AA4545" i="1"/>
  <c r="Y4549" i="1"/>
  <c r="Z4549" i="1"/>
  <c r="AA4549" i="1"/>
  <c r="AA4568" i="1"/>
  <c r="AA4569" i="1"/>
  <c r="AA4573" i="1"/>
  <c r="Z4583" i="1"/>
  <c r="Y4588" i="1"/>
  <c r="Z4588" i="1"/>
  <c r="AA4588" i="1"/>
  <c r="AA4592" i="1"/>
  <c r="AA4593" i="1"/>
  <c r="Y4599" i="1"/>
  <c r="Z4599" i="1"/>
  <c r="AA4599" i="1"/>
  <c r="Y4600" i="1"/>
  <c r="Z4600" i="1"/>
  <c r="Z4601" i="1"/>
  <c r="AA4601" i="1"/>
  <c r="Y4615" i="1"/>
  <c r="Z4615" i="1"/>
  <c r="Z4616" i="1"/>
  <c r="AA4616" i="1"/>
  <c r="AA4621" i="1"/>
  <c r="AA4624" i="1"/>
  <c r="AA4625" i="1"/>
  <c r="AA4632" i="1"/>
  <c r="AA4639" i="1"/>
  <c r="AA4640" i="1"/>
  <c r="AA4641" i="1"/>
  <c r="AA4643" i="1"/>
  <c r="AA4645" i="1"/>
  <c r="AA4646" i="1"/>
  <c r="AA4647" i="1"/>
  <c r="AA4660" i="1"/>
  <c r="AA4662" i="1"/>
  <c r="Z4663" i="1"/>
  <c r="AA4663" i="1"/>
  <c r="AA4666" i="1"/>
  <c r="AA4688" i="1"/>
  <c r="Y4708" i="1"/>
  <c r="Z4708" i="1"/>
  <c r="AA4708" i="1"/>
  <c r="AB4708" i="1"/>
  <c r="Z4709" i="1"/>
  <c r="Z4710" i="1"/>
  <c r="AA4713" i="1"/>
  <c r="Y4735" i="1"/>
  <c r="Z4735" i="1"/>
  <c r="AA4735" i="1"/>
  <c r="Y4738" i="1"/>
  <c r="AA4738" i="1"/>
  <c r="AB4738" i="1"/>
  <c r="Z4748" i="1"/>
  <c r="Y4758" i="1"/>
  <c r="Z4758" i="1"/>
  <c r="AA4758" i="1"/>
  <c r="Z4759" i="1"/>
  <c r="AA4759" i="1"/>
  <c r="Z4760" i="1"/>
  <c r="Y4767" i="1"/>
  <c r="Z4767" i="1"/>
  <c r="AA4767" i="1"/>
  <c r="AA4775" i="1"/>
  <c r="Z4788" i="1"/>
  <c r="AA4788" i="1"/>
  <c r="AB4788" i="1"/>
  <c r="Z4790" i="1"/>
  <c r="AA4790" i="1"/>
  <c r="AA4793" i="1"/>
  <c r="AA4799" i="1"/>
  <c r="AA4800" i="1"/>
  <c r="AA4801" i="1"/>
  <c r="AA4804" i="1"/>
  <c r="AA4809" i="1"/>
  <c r="AA4810" i="1"/>
  <c r="AA4811" i="1"/>
  <c r="Z4822" i="1"/>
  <c r="AA4822" i="1"/>
  <c r="AA4826" i="1"/>
  <c r="AA4841" i="1"/>
  <c r="AA4843" i="1"/>
  <c r="Z4847" i="1"/>
  <c r="AA4852" i="1"/>
  <c r="AA4855" i="1"/>
  <c r="Z4859" i="1"/>
  <c r="Y4865" i="1"/>
  <c r="Z4865" i="1"/>
  <c r="AA4865" i="1"/>
  <c r="Y4866" i="1"/>
  <c r="Z4866" i="1"/>
  <c r="AA4866" i="1"/>
  <c r="Y4867" i="1"/>
  <c r="Z4867" i="1"/>
  <c r="AA4867" i="1"/>
  <c r="AB4867" i="1"/>
  <c r="Y4871" i="1"/>
  <c r="AA4871" i="1"/>
  <c r="AB4871" i="1"/>
  <c r="AA4872" i="1"/>
  <c r="AA4874" i="1"/>
  <c r="AA4875" i="1"/>
  <c r="Z4889" i="1"/>
  <c r="AA4889" i="1"/>
  <c r="AA4890" i="1"/>
  <c r="AA4896" i="1"/>
  <c r="Z4898" i="1"/>
  <c r="Y4908" i="1"/>
  <c r="AA4908" i="1"/>
  <c r="Y4909" i="1"/>
  <c r="Z4909" i="1"/>
  <c r="AA4909" i="1"/>
  <c r="Y4910" i="1"/>
  <c r="AA4910" i="1"/>
  <c r="Y4911" i="1"/>
  <c r="Z4911" i="1"/>
  <c r="AA4911" i="1"/>
  <c r="AB4911" i="1"/>
  <c r="Y4912" i="1"/>
  <c r="Z4912" i="1"/>
  <c r="AA4912" i="1"/>
  <c r="Y4913" i="1"/>
  <c r="Z4913" i="1"/>
  <c r="AA4913" i="1"/>
  <c r="Z4925" i="1"/>
  <c r="AA4930" i="1"/>
  <c r="AA4931" i="1"/>
  <c r="AA4934" i="1"/>
  <c r="Z4939" i="1"/>
  <c r="AA4939" i="1"/>
  <c r="AC4939" i="1"/>
  <c r="AA4947" i="1"/>
  <c r="AA4949" i="1"/>
  <c r="AA4950" i="1"/>
  <c r="Z4953" i="1"/>
  <c r="AA4953" i="1"/>
  <c r="AD4953" i="1"/>
  <c r="Z4962" i="1"/>
  <c r="AA4962" i="1"/>
  <c r="AA4964" i="1"/>
  <c r="Z4971" i="1"/>
  <c r="AA4971" i="1"/>
  <c r="Z4973" i="1"/>
  <c r="AA4973" i="1"/>
  <c r="AA4981" i="1"/>
  <c r="Z4991" i="1"/>
  <c r="AA4991" i="1"/>
  <c r="Y5020" i="1"/>
  <c r="Y5021" i="1"/>
  <c r="AA5021" i="1"/>
  <c r="Y5022" i="1"/>
  <c r="Z5022" i="1"/>
  <c r="AA5022" i="1"/>
  <c r="Y5023" i="1"/>
  <c r="Z5023" i="1"/>
  <c r="AA5023" i="1"/>
  <c r="AA5031" i="1"/>
  <c r="AA5039" i="1"/>
  <c r="Z5043" i="1"/>
  <c r="AA5043" i="1"/>
  <c r="Y5044" i="1"/>
  <c r="Z5044" i="1"/>
  <c r="AA5049" i="1"/>
  <c r="AA5053" i="1"/>
  <c r="AA5055" i="1"/>
  <c r="Z5061" i="1"/>
  <c r="AA5071" i="1"/>
  <c r="Y5127" i="1"/>
  <c r="AA5127" i="1"/>
  <c r="Y5128" i="1"/>
  <c r="Y5129" i="1"/>
  <c r="Z5129" i="1"/>
  <c r="AA5129" i="1"/>
  <c r="Y5130" i="1"/>
  <c r="Z5130" i="1"/>
  <c r="AA5130" i="1"/>
  <c r="Z5131" i="1"/>
  <c r="AA5131" i="1"/>
  <c r="Y5132" i="1"/>
  <c r="Z5132" i="1"/>
  <c r="AA5132" i="1"/>
  <c r="Y5134" i="1"/>
  <c r="Z5134" i="1"/>
  <c r="AA5134" i="1"/>
  <c r="AA5140" i="1"/>
  <c r="AA5141" i="1"/>
  <c r="AA5143" i="1"/>
  <c r="Y5151" i="1"/>
  <c r="Z5151" i="1"/>
  <c r="AA5152" i="1"/>
  <c r="Z5155" i="1"/>
  <c r="AA5155" i="1"/>
  <c r="Z5158" i="1"/>
  <c r="Y5162" i="1"/>
  <c r="Z5162" i="1"/>
  <c r="AA5169" i="1"/>
  <c r="AA5186" i="1"/>
  <c r="Z5188" i="1"/>
  <c r="AA5188" i="1"/>
  <c r="Z5189" i="1"/>
  <c r="AA5189" i="1"/>
  <c r="Y5193" i="1"/>
  <c r="Z5193" i="1"/>
  <c r="AA5193" i="1"/>
  <c r="Z5202" i="1"/>
  <c r="Y5203" i="1"/>
  <c r="AA5203" i="1"/>
  <c r="Z5204" i="1"/>
  <c r="AA5204" i="1"/>
  <c r="Z5205" i="1"/>
  <c r="Z5210" i="1"/>
  <c r="AA5210" i="1"/>
  <c r="Z5219" i="1"/>
  <c r="AA5219" i="1"/>
  <c r="AA5233" i="1"/>
  <c r="AA5241" i="1"/>
  <c r="AA5245" i="1"/>
  <c r="AA5246" i="1"/>
  <c r="Z5250" i="1"/>
  <c r="Z5258" i="1"/>
  <c r="AA5260" i="1"/>
  <c r="AA5264" i="1"/>
  <c r="Z5265" i="1"/>
  <c r="Z5266" i="1"/>
  <c r="AA5266" i="1"/>
  <c r="Z5267" i="1"/>
  <c r="AA5276" i="1"/>
  <c r="Z5279" i="1"/>
  <c r="Z5282" i="1"/>
  <c r="AA5286" i="1"/>
  <c r="AA5287" i="1"/>
  <c r="AA5288" i="1"/>
  <c r="Y5292" i="1"/>
  <c r="Z5292" i="1"/>
  <c r="AA5292" i="1"/>
  <c r="AA5317" i="1"/>
  <c r="Y5324" i="1"/>
  <c r="Z5324" i="1"/>
  <c r="AA5324" i="1"/>
  <c r="AA5356" i="1"/>
  <c r="AA5357" i="1"/>
  <c r="AA5376" i="1"/>
  <c r="Z5390" i="1"/>
  <c r="Z5391" i="1"/>
  <c r="Z5397" i="1"/>
  <c r="Z5408" i="1"/>
  <c r="AA5422" i="1"/>
  <c r="Z5447" i="1"/>
  <c r="AA5447" i="1"/>
  <c r="Z5448" i="1"/>
  <c r="Z5449" i="1"/>
  <c r="Z5453" i="1"/>
  <c r="AA5460" i="1"/>
  <c r="AA5464" i="1"/>
  <c r="Z5467" i="1"/>
  <c r="Z5468" i="1"/>
  <c r="Z5469" i="1"/>
  <c r="Z5470" i="1"/>
  <c r="Z5471" i="1"/>
  <c r="Z5472" i="1"/>
  <c r="Z5483" i="1"/>
  <c r="Y5491" i="1"/>
  <c r="Z5491" i="1"/>
  <c r="Y5492" i="1"/>
  <c r="Z5493" i="1"/>
  <c r="Z5496" i="1"/>
  <c r="Z5510" i="1"/>
  <c r="AB5510" i="1"/>
  <c r="Y5533" i="1"/>
  <c r="Z5533" i="1"/>
  <c r="AA5533" i="1"/>
  <c r="Z5538" i="1"/>
  <c r="Z5539" i="1"/>
  <c r="Z5545" i="1"/>
  <c r="AA5545" i="1"/>
  <c r="Y5546" i="1"/>
  <c r="Z5546" i="1"/>
  <c r="AA5546" i="1"/>
  <c r="Z5549" i="1"/>
  <c r="AA5549" i="1"/>
  <c r="Z5562" i="1"/>
  <c r="Z5565" i="1"/>
  <c r="Z5569" i="1"/>
  <c r="Z5570" i="1"/>
  <c r="AA5570" i="1"/>
  <c r="Y5571" i="1"/>
  <c r="Z5571" i="1"/>
  <c r="AA5574" i="1"/>
  <c r="Z5581" i="1"/>
  <c r="Z5582" i="1"/>
  <c r="Z5590" i="1"/>
  <c r="Z5592" i="1"/>
  <c r="AA5592" i="1"/>
  <c r="AA5604" i="1"/>
  <c r="AA5605" i="1"/>
  <c r="Z5609" i="1"/>
  <c r="AA5610" i="1"/>
  <c r="Z5615" i="1"/>
  <c r="Z5616" i="1"/>
  <c r="Z5626" i="1"/>
  <c r="Z5629" i="1"/>
  <c r="Z5640" i="1"/>
  <c r="AA5640" i="1"/>
  <c r="Y5642" i="1"/>
  <c r="Z5642" i="1"/>
  <c r="AB5642" i="1"/>
  <c r="Y5643" i="1"/>
  <c r="Z5643" i="1"/>
  <c r="AA5646" i="1"/>
  <c r="Z5650" i="1"/>
  <c r="Z5652" i="1"/>
  <c r="Z5656" i="1"/>
  <c r="Z5657" i="1"/>
  <c r="Z5662" i="1"/>
  <c r="AA5663" i="1"/>
  <c r="Z5666" i="1"/>
  <c r="Z5669" i="1"/>
  <c r="AA5669" i="1"/>
  <c r="Z5674" i="1"/>
  <c r="AA5674" i="1"/>
  <c r="Z5675" i="1"/>
  <c r="Z5681" i="1"/>
  <c r="Z5682" i="1"/>
  <c r="Z5683" i="1"/>
  <c r="Z5709" i="1"/>
  <c r="Z5710" i="1"/>
  <c r="Z5712" i="1"/>
  <c r="Z5713" i="1"/>
  <c r="Y5725" i="1"/>
  <c r="Z5725" i="1"/>
  <c r="AA5725" i="1"/>
  <c r="Y5726" i="1"/>
  <c r="Z5726" i="1"/>
  <c r="AA5726" i="1"/>
  <c r="Z5727" i="1"/>
  <c r="Z5728" i="1"/>
  <c r="AA5731" i="1"/>
  <c r="Y5739" i="1"/>
  <c r="Z5739" i="1"/>
  <c r="AA5739" i="1"/>
  <c r="Z5740" i="1"/>
  <c r="Y5741" i="1"/>
  <c r="Z5741" i="1"/>
  <c r="Z5742" i="1"/>
  <c r="Z5756" i="1"/>
  <c r="AA5758" i="1"/>
  <c r="Z5759" i="1"/>
  <c r="AA5759" i="1"/>
  <c r="Z5762" i="1"/>
  <c r="AA5769" i="1"/>
  <c r="Z5771" i="1"/>
  <c r="Z5772" i="1"/>
  <c r="Z5778" i="1"/>
  <c r="AA5780" i="1"/>
  <c r="Z5786" i="1"/>
  <c r="AA5786" i="1"/>
  <c r="AA5787" i="1"/>
  <c r="Z5788" i="1"/>
  <c r="Z5793" i="1"/>
  <c r="Z5796" i="1"/>
  <c r="Z5799" i="1"/>
  <c r="Z5802" i="1"/>
  <c r="Z5824" i="1"/>
  <c r="Z5842" i="1"/>
  <c r="Z5845" i="1"/>
  <c r="Z5847" i="1"/>
  <c r="Z5853" i="1"/>
  <c r="AA5854" i="1"/>
  <c r="AA5864" i="1"/>
  <c r="AA5866" i="1"/>
  <c r="AA5867" i="1"/>
  <c r="Z5871" i="1"/>
  <c r="AA5871" i="1"/>
  <c r="Z5874" i="1"/>
  <c r="Z5893" i="1"/>
  <c r="Z5894" i="1"/>
  <c r="Z5895" i="1"/>
  <c r="AA5903" i="1"/>
  <c r="Z5911" i="1"/>
  <c r="AA5911" i="1"/>
  <c r="AA5915" i="1"/>
  <c r="Z5916" i="1"/>
  <c r="Z5924" i="1"/>
  <c r="Z5927" i="1"/>
  <c r="Z5929" i="1"/>
  <c r="AA5929" i="1"/>
  <c r="Z5930" i="1"/>
  <c r="AA5932" i="1"/>
  <c r="Z5974" i="1"/>
  <c r="Z5976" i="1"/>
  <c r="Z5987" i="1"/>
  <c r="AA5996" i="1"/>
  <c r="Z5997" i="1"/>
  <c r="AA5998" i="1"/>
  <c r="Z6008" i="1"/>
  <c r="Z6019" i="1"/>
  <c r="Z6025" i="1"/>
  <c r="AA6025" i="1"/>
  <c r="AA6033" i="1"/>
  <c r="Z6034" i="1"/>
  <c r="AB6034" i="1"/>
  <c r="Z6059" i="1"/>
  <c r="Z6061" i="1"/>
  <c r="AA6061" i="1"/>
  <c r="Z6071" i="1"/>
  <c r="AA6071" i="1"/>
  <c r="Z6077" i="1"/>
  <c r="Y6084" i="1"/>
  <c r="Z6084" i="1"/>
  <c r="AA6084" i="1"/>
  <c r="Z6090" i="1"/>
  <c r="Z6097" i="1"/>
  <c r="Z6099" i="1"/>
  <c r="Z6112" i="1"/>
  <c r="AA6112" i="1"/>
  <c r="Z6117" i="1"/>
  <c r="AA6125" i="1"/>
  <c r="AA6135" i="1"/>
  <c r="Z6148" i="1"/>
  <c r="Z6152" i="1"/>
  <c r="Z6171" i="1"/>
  <c r="AA6175" i="1"/>
  <c r="AA6176" i="1"/>
  <c r="Z6190" i="1"/>
  <c r="AA6190" i="1"/>
  <c r="AB6190" i="1"/>
  <c r="Z6194" i="1"/>
  <c r="Z6200" i="1"/>
  <c r="Z6204" i="1"/>
  <c r="Z6209" i="1"/>
  <c r="Z6210" i="1"/>
  <c r="Z6212" i="1"/>
  <c r="Z6215" i="1"/>
  <c r="Z6222" i="1"/>
  <c r="Z6225" i="1"/>
  <c r="AA6225" i="1"/>
  <c r="AA6227" i="1"/>
  <c r="Z6229" i="1"/>
  <c r="AA6229" i="1"/>
  <c r="AB6229" i="1"/>
  <c r="Z6231" i="1"/>
  <c r="AA6231" i="1"/>
  <c r="Z6237" i="1"/>
  <c r="Z6239" i="1"/>
  <c r="Z6252" i="1"/>
  <c r="AA6252" i="1"/>
  <c r="Z6257" i="1"/>
  <c r="AA6257" i="1"/>
  <c r="Z6258" i="1"/>
  <c r="AA6259" i="1"/>
  <c r="AA6263" i="1"/>
  <c r="Z6267" i="1"/>
  <c r="AA6267" i="1"/>
  <c r="AA6268" i="1"/>
  <c r="Z6270" i="1"/>
  <c r="AA6270" i="1"/>
  <c r="Z6275" i="1"/>
  <c r="Z6282" i="1"/>
  <c r="AA6282" i="1"/>
  <c r="Z6286" i="1"/>
  <c r="Z6287" i="1"/>
  <c r="Y6291" i="1"/>
  <c r="Y6293" i="1"/>
  <c r="Z6293" i="1"/>
  <c r="Z6294" i="1"/>
  <c r="AA6294" i="1"/>
  <c r="Z6307" i="1"/>
  <c r="Z6308" i="1"/>
  <c r="Z6309" i="1"/>
  <c r="Z6310" i="1"/>
  <c r="Z6311" i="1"/>
  <c r="Z6312" i="1"/>
  <c r="Z6313" i="1"/>
  <c r="Z6324" i="1"/>
  <c r="Z6334" i="1"/>
  <c r="Y6343" i="1"/>
  <c r="Z6343" i="1"/>
  <c r="AA6343" i="1"/>
  <c r="Z6345" i="1"/>
  <c r="Z6348" i="1"/>
  <c r="Z6355" i="1"/>
  <c r="Z6392" i="1"/>
  <c r="Z6403" i="1"/>
  <c r="Z6408" i="1"/>
  <c r="Z6409" i="1"/>
  <c r="Z6413" i="1"/>
  <c r="Z6420" i="1"/>
  <c r="AA6423" i="1"/>
  <c r="AA6424" i="1"/>
  <c r="Z6430" i="1"/>
  <c r="Y6439" i="1"/>
  <c r="Z6439" i="1"/>
  <c r="Z6450" i="1"/>
  <c r="Z6454" i="1"/>
  <c r="AA6454" i="1"/>
  <c r="Z6468" i="1"/>
  <c r="Z6469" i="1"/>
  <c r="Z6475" i="1"/>
  <c r="AA6475" i="1"/>
  <c r="Z6476" i="1"/>
  <c r="AA6476" i="1"/>
  <c r="AA6481" i="1"/>
  <c r="Z6482" i="1"/>
  <c r="Z6483" i="1"/>
  <c r="Z6484" i="1"/>
  <c r="Z6485" i="1"/>
  <c r="Z6488" i="1"/>
  <c r="Z6489" i="1"/>
  <c r="Z6490" i="1"/>
  <c r="Z6493" i="1"/>
  <c r="Z6500" i="1"/>
  <c r="AA6500" i="1"/>
  <c r="Z6501" i="1"/>
  <c r="Z6508" i="1"/>
  <c r="AA6508" i="1"/>
  <c r="AA6513" i="1"/>
  <c r="AA6514" i="1"/>
  <c r="Z6523" i="1"/>
  <c r="AA6523" i="1"/>
  <c r="Z6524" i="1"/>
  <c r="AA6524" i="1"/>
  <c r="Z6525" i="1"/>
  <c r="AA6525" i="1"/>
  <c r="Z6526" i="1"/>
  <c r="AA6526" i="1"/>
  <c r="Z6530" i="1"/>
  <c r="AA6532" i="1"/>
  <c r="Z6546" i="1"/>
  <c r="Z6557" i="1"/>
  <c r="Z6560" i="1"/>
  <c r="AA6560" i="1"/>
  <c r="Z6561" i="1"/>
  <c r="Z6565" i="1"/>
  <c r="AB6565" i="1"/>
  <c r="Z6576" i="1"/>
  <c r="Z6584" i="1"/>
  <c r="AA6584" i="1"/>
  <c r="Z6590" i="1"/>
  <c r="Z6595" i="1"/>
  <c r="Z6599" i="1"/>
  <c r="AA6599" i="1"/>
  <c r="Z6603" i="1"/>
  <c r="Z6604" i="1"/>
  <c r="Z6605" i="1"/>
  <c r="Z6614" i="1"/>
  <c r="AA6614" i="1"/>
  <c r="Z6645" i="1"/>
  <c r="AA6645" i="1"/>
  <c r="AB6647" i="1"/>
  <c r="Z6658" i="1"/>
  <c r="AA6683" i="1"/>
  <c r="Z6693" i="1"/>
  <c r="AA6693" i="1"/>
  <c r="Z6694" i="1"/>
  <c r="Z6695" i="1"/>
  <c r="Z6696" i="1"/>
  <c r="AA6700" i="1"/>
  <c r="Z6701" i="1"/>
  <c r="AA6701" i="1"/>
  <c r="Z6702" i="1"/>
  <c r="AA6702" i="1"/>
  <c r="Z6706" i="1"/>
  <c r="AA6706" i="1"/>
  <c r="Z6710" i="1"/>
  <c r="Z6717" i="1"/>
  <c r="AA6718" i="1"/>
  <c r="Z6735" i="1"/>
  <c r="Z6736" i="1"/>
  <c r="Z6745" i="1"/>
  <c r="Z6746" i="1"/>
  <c r="AA6746" i="1"/>
  <c r="Z6757" i="1"/>
  <c r="Y6759" i="1"/>
  <c r="Z6759" i="1"/>
  <c r="Z6763" i="1"/>
  <c r="Z6764" i="1"/>
  <c r="Z6786" i="1"/>
  <c r="AA6786" i="1"/>
  <c r="Z6787" i="1"/>
  <c r="AA6787" i="1"/>
  <c r="Z6796" i="1"/>
  <c r="Z6806" i="1"/>
  <c r="AA6807" i="1"/>
  <c r="Z6810" i="1"/>
  <c r="AA6810" i="1"/>
  <c r="Z6818" i="1"/>
  <c r="Z6823" i="1"/>
  <c r="AA6823" i="1"/>
  <c r="Z6828" i="1"/>
  <c r="AA6828" i="1"/>
  <c r="Z6829" i="1"/>
  <c r="Y6833" i="1"/>
  <c r="AA6833" i="1"/>
  <c r="Z6836" i="1"/>
  <c r="AA6836" i="1"/>
  <c r="Z6840" i="1"/>
  <c r="AA6840" i="1"/>
  <c r="AC6840" i="1"/>
  <c r="Z6863" i="1"/>
  <c r="Z6864" i="1"/>
  <c r="AA6869" i="1"/>
  <c r="AA6870" i="1"/>
  <c r="Z6876" i="1"/>
  <c r="Z6882" i="1"/>
  <c r="Z6885" i="1"/>
  <c r="Z6888" i="1"/>
  <c r="Z6889" i="1"/>
  <c r="Z6890" i="1"/>
  <c r="Z6891" i="1"/>
  <c r="AA6891" i="1"/>
  <c r="Z6898" i="1"/>
  <c r="Z6907" i="1"/>
  <c r="Z6909" i="1"/>
  <c r="AA6909" i="1"/>
  <c r="AA6919" i="1"/>
  <c r="AB6919" i="1"/>
  <c r="Z6922" i="1"/>
  <c r="Z6925" i="1"/>
  <c r="Z6926" i="1"/>
  <c r="Z6929" i="1"/>
  <c r="Z6935" i="1"/>
  <c r="Z6938" i="1"/>
  <c r="Z6940" i="1"/>
  <c r="AA6940" i="1"/>
  <c r="Z6947" i="1"/>
  <c r="Z6948" i="1"/>
  <c r="Z6949" i="1"/>
  <c r="Z6953" i="1"/>
  <c r="Z6960" i="1"/>
  <c r="AA6960" i="1"/>
  <c r="AA6967" i="1"/>
  <c r="Z6969" i="1"/>
  <c r="Z6970" i="1"/>
  <c r="Z6972" i="1"/>
  <c r="Z6974" i="1"/>
  <c r="Z6975" i="1"/>
  <c r="Z6981" i="1"/>
  <c r="Z6986" i="1"/>
  <c r="AA6986" i="1"/>
  <c r="Z6990" i="1"/>
  <c r="Z6994" i="1"/>
  <c r="AA6994" i="1"/>
  <c r="Z7016" i="1"/>
  <c r="Z7017" i="1"/>
  <c r="Z7018" i="1"/>
  <c r="Z7034" i="1"/>
  <c r="AA7034" i="1"/>
  <c r="AA7038" i="1"/>
  <c r="AA7048" i="1"/>
  <c r="Z7049" i="1"/>
  <c r="Z7064" i="1"/>
  <c r="Z7069" i="1"/>
  <c r="AA7069" i="1"/>
  <c r="AB7069" i="1"/>
  <c r="Z7070" i="1"/>
  <c r="AA7070" i="1"/>
  <c r="AB7070" i="1"/>
  <c r="Z7073" i="1"/>
  <c r="AA7073" i="1"/>
  <c r="AA7074" i="1"/>
  <c r="Z7076" i="1"/>
  <c r="Z7078" i="1"/>
  <c r="Z7083" i="1"/>
  <c r="Z7087" i="1"/>
  <c r="AA7087" i="1"/>
  <c r="Z7088" i="1"/>
  <c r="AA7088" i="1"/>
  <c r="Z7110" i="1"/>
  <c r="Z7111" i="1"/>
  <c r="Z7113" i="1"/>
  <c r="Z7118" i="1"/>
  <c r="Z7124" i="1"/>
  <c r="AA7124" i="1"/>
  <c r="Z7128" i="1"/>
  <c r="Z7129" i="1"/>
  <c r="Z7139" i="1"/>
  <c r="AA7141" i="1"/>
  <c r="AA7142" i="1"/>
  <c r="Y7149" i="1"/>
  <c r="Z7149" i="1"/>
  <c r="Z7153" i="1"/>
  <c r="Y7158" i="1"/>
  <c r="Z7158" i="1"/>
  <c r="Z7170" i="1"/>
  <c r="Z7171" i="1"/>
  <c r="Z7172" i="1"/>
  <c r="Z7173" i="1"/>
  <c r="Z7177" i="1"/>
  <c r="AA7177" i="1"/>
  <c r="Z7214" i="1"/>
  <c r="Z7234" i="1"/>
  <c r="Z7236" i="1"/>
  <c r="AA7242" i="1"/>
  <c r="Z7246" i="1"/>
  <c r="AA7246" i="1"/>
  <c r="Z7251" i="1"/>
  <c r="Z7254" i="1"/>
  <c r="Z7255" i="1"/>
  <c r="Z7256" i="1"/>
  <c r="Z7257" i="1"/>
  <c r="Z7258" i="1"/>
  <c r="Z7259" i="1"/>
  <c r="Z7261" i="1"/>
  <c r="AA7261" i="1"/>
  <c r="Z7279" i="1"/>
  <c r="Z7303" i="1"/>
  <c r="AA7303" i="1"/>
  <c r="Z7305" i="1"/>
  <c r="AA7305" i="1"/>
  <c r="AA7324" i="1"/>
  <c r="AA7325" i="1"/>
  <c r="Z7341" i="1"/>
  <c r="AA7341" i="1"/>
  <c r="Z7343" i="1"/>
  <c r="AA7343" i="1"/>
  <c r="Z7351" i="1"/>
  <c r="Z7358" i="1"/>
  <c r="AA7364" i="1"/>
  <c r="Z7367" i="1"/>
  <c r="Z7368" i="1"/>
  <c r="AA7376" i="1"/>
  <c r="Y7382" i="1"/>
  <c r="Z7382" i="1"/>
  <c r="AA7382" i="1"/>
  <c r="AA7399" i="1"/>
  <c r="Z7414" i="1"/>
  <c r="Z7419" i="1"/>
  <c r="Z7420" i="1"/>
  <c r="Z7421" i="1"/>
  <c r="Z7422" i="1"/>
  <c r="Z7423" i="1"/>
  <c r="Z7424" i="1"/>
  <c r="Z7425" i="1"/>
  <c r="Z7426" i="1"/>
  <c r="Z7427" i="1"/>
  <c r="Z7428" i="1"/>
  <c r="AA7432" i="1"/>
  <c r="Z7436" i="1"/>
  <c r="AA7440" i="1"/>
  <c r="AA7446" i="1"/>
  <c r="AA7447" i="1"/>
  <c r="Z7450" i="1"/>
  <c r="Z7455" i="1"/>
  <c r="AA7455" i="1"/>
  <c r="Z7456" i="1"/>
  <c r="Z7466" i="1"/>
  <c r="Z7475" i="1"/>
  <c r="Z7484" i="1"/>
  <c r="Z7490" i="1"/>
  <c r="AA7490" i="1"/>
  <c r="Z7502" i="1"/>
  <c r="Y7503" i="1"/>
  <c r="Z7503" i="1"/>
  <c r="AA7503" i="1"/>
  <c r="AA7506" i="1"/>
  <c r="AA7516" i="1"/>
  <c r="AA7517" i="1"/>
  <c r="Z7518" i="1"/>
  <c r="Z7520" i="1"/>
  <c r="Z7532" i="1"/>
  <c r="AA7532" i="1"/>
  <c r="Z7541" i="1"/>
  <c r="Z7542" i="1"/>
  <c r="AA7544" i="1"/>
  <c r="Z7545" i="1"/>
  <c r="AA7546" i="1"/>
  <c r="Z7560" i="1"/>
  <c r="Z7567" i="1"/>
  <c r="AA7567" i="1"/>
  <c r="Z7569" i="1"/>
  <c r="AA7569" i="1"/>
  <c r="Z7586" i="1"/>
  <c r="Z7587" i="1"/>
  <c r="Z7589" i="1"/>
  <c r="AA7589" i="1"/>
  <c r="Z7612" i="1"/>
  <c r="Z7613" i="1"/>
  <c r="Z7614" i="1"/>
  <c r="Z7615" i="1"/>
  <c r="Z7618" i="1"/>
  <c r="Z7626" i="1"/>
  <c r="Z7630" i="1"/>
  <c r="Z7640" i="1"/>
  <c r="AA7640" i="1"/>
  <c r="Z7641" i="1"/>
  <c r="AA7641" i="1"/>
  <c r="Z7643" i="1"/>
  <c r="Z7644" i="1"/>
  <c r="Z7645" i="1"/>
  <c r="AA7645" i="1"/>
  <c r="Z7649" i="1"/>
  <c r="AA7656" i="1"/>
  <c r="Z7657" i="1"/>
  <c r="Z7658" i="1"/>
  <c r="AA7658" i="1"/>
  <c r="AA7660" i="1"/>
  <c r="Y7661" i="1"/>
  <c r="Z7661" i="1"/>
  <c r="AA7661" i="1"/>
  <c r="AA7663" i="1"/>
  <c r="Z7666" i="1"/>
  <c r="Z7668" i="1"/>
  <c r="Z7671" i="1"/>
  <c r="Z7682" i="1"/>
  <c r="Z7683" i="1"/>
  <c r="Z7686" i="1"/>
  <c r="Z7697" i="1"/>
  <c r="Z7702" i="1"/>
  <c r="Z7715" i="1"/>
  <c r="Z7716" i="1"/>
  <c r="AA7716" i="1"/>
  <c r="Z7720" i="1"/>
  <c r="Z7721" i="1"/>
  <c r="Z7742" i="1"/>
  <c r="Z7745" i="1"/>
  <c r="Z7748" i="1"/>
  <c r="Z7759" i="1"/>
  <c r="Z7761" i="1"/>
  <c r="AA7764" i="1"/>
  <c r="Z7766" i="1"/>
  <c r="Z7767" i="1"/>
  <c r="Z7768" i="1"/>
  <c r="Z7769" i="1"/>
  <c r="Z7775" i="1"/>
  <c r="Z7776" i="1"/>
  <c r="Z7779" i="1"/>
  <c r="AA7805" i="1"/>
  <c r="Z7806" i="1"/>
  <c r="Z7808" i="1"/>
  <c r="Z7810" i="1"/>
  <c r="Z7815" i="1"/>
  <c r="Y7816" i="1"/>
  <c r="Z7816" i="1"/>
  <c r="AA7816" i="1"/>
  <c r="Z7826" i="1"/>
  <c r="Z7827" i="1"/>
  <c r="Y7828" i="1"/>
  <c r="AA7829" i="1"/>
  <c r="Z7834" i="1"/>
  <c r="AA7834" i="1"/>
  <c r="Z7835" i="1"/>
  <c r="AA7835" i="1"/>
  <c r="Z7859" i="1"/>
  <c r="Z7860" i="1"/>
  <c r="Z7862" i="1"/>
  <c r="AA7862" i="1"/>
  <c r="Z7863" i="1"/>
  <c r="Z7864" i="1"/>
  <c r="Z7865" i="1"/>
  <c r="Z7871" i="1"/>
  <c r="Z7888" i="1"/>
  <c r="Z7897" i="1"/>
  <c r="Z7898" i="1"/>
  <c r="Z7899" i="1"/>
  <c r="Z7903" i="1"/>
  <c r="Z7904" i="1"/>
  <c r="Z7906" i="1"/>
  <c r="AA7906" i="1"/>
  <c r="AA7907" i="1"/>
  <c r="AA7908" i="1"/>
  <c r="AA7909" i="1"/>
  <c r="AA7910" i="1"/>
  <c r="Z7911" i="1"/>
  <c r="AA7911" i="1"/>
  <c r="Z7912" i="1"/>
  <c r="AA7912" i="1"/>
  <c r="Z7920" i="1"/>
  <c r="Z7929" i="1"/>
  <c r="AA7929" i="1"/>
  <c r="Z7934" i="1"/>
  <c r="AA7934" i="1"/>
  <c r="AA7935" i="1"/>
  <c r="AA7936" i="1"/>
  <c r="AB7936" i="1"/>
  <c r="Z7937" i="1"/>
  <c r="AA7937" i="1"/>
  <c r="Z7945" i="1"/>
  <c r="Z7946" i="1"/>
  <c r="AA7948" i="1"/>
  <c r="AA7953" i="1"/>
  <c r="Y7954" i="1"/>
  <c r="Z7954" i="1"/>
  <c r="AA7954" i="1"/>
  <c r="Z7955" i="1"/>
  <c r="Z7982" i="1"/>
  <c r="Z7983" i="1"/>
  <c r="Z7984" i="1"/>
  <c r="Z7993" i="1"/>
  <c r="AA7993" i="1"/>
  <c r="Y7996" i="1"/>
  <c r="Z7996" i="1"/>
  <c r="AA7996" i="1"/>
  <c r="Y7997" i="1"/>
  <c r="Z7997" i="1"/>
  <c r="AA7997" i="1"/>
  <c r="Y8001" i="1"/>
  <c r="Z8001" i="1"/>
  <c r="AA8001" i="1"/>
  <c r="Z8002" i="1"/>
  <c r="AA8006" i="1"/>
  <c r="AA8010" i="1"/>
  <c r="Z8011" i="1"/>
  <c r="Z8012" i="1"/>
  <c r="Z8014" i="1"/>
  <c r="AA8014" i="1"/>
  <c r="AA8015" i="1"/>
  <c r="Y8018" i="1"/>
  <c r="Z8018" i="1"/>
  <c r="AA8018" i="1"/>
  <c r="Y8022" i="1"/>
  <c r="Z8022" i="1"/>
  <c r="AA8022" i="1"/>
  <c r="AA8023" i="1"/>
  <c r="Z8024" i="1"/>
  <c r="Z8034" i="1"/>
  <c r="Z8035" i="1"/>
  <c r="AA8062" i="1"/>
  <c r="Z8063" i="1"/>
  <c r="AA8064" i="1"/>
  <c r="Y8065" i="1"/>
  <c r="Z8065" i="1"/>
  <c r="Z8068" i="1"/>
  <c r="AA8068" i="1"/>
  <c r="AA8069" i="1"/>
  <c r="Z8072" i="1"/>
  <c r="AA8072" i="1"/>
  <c r="AC8074" i="1"/>
  <c r="Z8082" i="1"/>
  <c r="Z8086" i="1"/>
  <c r="AA8086" i="1"/>
  <c r="Z8087" i="1"/>
  <c r="AB8087" i="1"/>
  <c r="Z8091" i="1"/>
  <c r="Z8094" i="1"/>
  <c r="AA8094" i="1"/>
  <c r="AA8098" i="1"/>
  <c r="Z8106" i="1"/>
  <c r="AA8121" i="1"/>
  <c r="Z8123" i="1"/>
  <c r="Z8124" i="1"/>
  <c r="AA8134" i="1"/>
  <c r="Y8159" i="1"/>
  <c r="AA8159" i="1"/>
  <c r="Z8163" i="1"/>
  <c r="AA8170" i="1"/>
  <c r="Z8179" i="1"/>
  <c r="Z8183" i="1"/>
  <c r="Z8189" i="1"/>
  <c r="Y8196" i="1"/>
  <c r="Z8196" i="1"/>
  <c r="AA8196" i="1"/>
  <c r="Y8197" i="1"/>
  <c r="Z8197" i="1"/>
  <c r="AA8197" i="1"/>
  <c r="AA8205" i="1"/>
  <c r="AA8207" i="1"/>
  <c r="AA8209" i="1"/>
  <c r="AA8216" i="1"/>
  <c r="Z8220" i="1"/>
  <c r="AA8220" i="1"/>
  <c r="Z8225" i="1"/>
  <c r="AA8225" i="1"/>
  <c r="AB8225" i="1"/>
  <c r="Z8227" i="1"/>
  <c r="AA8227" i="1"/>
  <c r="Z8236" i="1"/>
  <c r="Z8244" i="1"/>
  <c r="Z8245" i="1"/>
  <c r="Z8246" i="1"/>
  <c r="Z8247" i="1"/>
  <c r="AA8247" i="1"/>
  <c r="Z8248" i="1"/>
  <c r="AA8250" i="1"/>
  <c r="Z8260" i="1"/>
  <c r="Z8274" i="1"/>
  <c r="AA8276" i="1"/>
  <c r="AA8278" i="1"/>
  <c r="AA8279" i="1"/>
  <c r="Z8282" i="1"/>
  <c r="Z8289" i="1"/>
  <c r="Z8290" i="1"/>
  <c r="AA8296" i="1"/>
  <c r="Z8300" i="1"/>
  <c r="Z8301" i="1"/>
  <c r="Z8311" i="1"/>
  <c r="Z8312" i="1"/>
  <c r="AA8312" i="1"/>
  <c r="Z8325" i="1"/>
  <c r="Z8326" i="1"/>
  <c r="AA8326" i="1"/>
  <c r="AA8327" i="1"/>
  <c r="Z8328" i="1"/>
  <c r="Z8356" i="1"/>
  <c r="AA8356" i="1"/>
  <c r="Z8357" i="1"/>
  <c r="Y8360" i="1"/>
  <c r="Z8360" i="1"/>
  <c r="AA8360" i="1"/>
  <c r="AA8366" i="1"/>
  <c r="AA8381" i="1"/>
  <c r="Y8382" i="1"/>
  <c r="AA8382" i="1"/>
  <c r="Y8385" i="1"/>
  <c r="Z8385" i="1"/>
  <c r="AA8385" i="1"/>
  <c r="Y8390" i="1"/>
  <c r="AA8390" i="1"/>
  <c r="Y8391" i="1"/>
  <c r="AA8391" i="1"/>
  <c r="Z8400" i="1"/>
  <c r="Z8402" i="1"/>
  <c r="AA8402" i="1"/>
  <c r="AB8402" i="1"/>
  <c r="Z8403" i="1"/>
  <c r="AA8403" i="1"/>
  <c r="AA8407" i="1"/>
  <c r="Z8412" i="1"/>
  <c r="Z8419" i="1"/>
  <c r="AA8448" i="1"/>
  <c r="Z8449" i="1"/>
  <c r="Z8450" i="1"/>
  <c r="AA8454" i="1"/>
  <c r="Y8465" i="1"/>
  <c r="AA8465" i="1"/>
  <c r="Z8466" i="1"/>
  <c r="Z8467" i="1"/>
  <c r="Z8468" i="1"/>
  <c r="AC8468" i="1"/>
  <c r="Z8469" i="1"/>
  <c r="AA8469" i="1"/>
  <c r="Z8470" i="1"/>
  <c r="Y8488" i="1"/>
  <c r="AA8488" i="1"/>
  <c r="AC8488" i="1"/>
  <c r="Z8491" i="1"/>
  <c r="Z8492" i="1"/>
  <c r="Z8493" i="1"/>
  <c r="Z8494" i="1"/>
  <c r="Z8495" i="1"/>
  <c r="Z8496" i="1"/>
  <c r="AA8504" i="1"/>
  <c r="Z8513" i="1"/>
  <c r="Z8514" i="1"/>
  <c r="Z8515" i="1"/>
  <c r="Z8516" i="1"/>
  <c r="Z8517" i="1"/>
  <c r="Z8518" i="1"/>
  <c r="Z8537" i="1"/>
  <c r="AA8537" i="1"/>
  <c r="AC8537" i="1"/>
  <c r="Z8550" i="1"/>
  <c r="AA8550" i="1"/>
  <c r="Z8561" i="1"/>
  <c r="Z8562" i="1"/>
  <c r="Z8563" i="1"/>
  <c r="Z8564" i="1"/>
  <c r="Z8565" i="1"/>
  <c r="Z8603" i="1"/>
  <c r="Z8607" i="1"/>
  <c r="AA8609" i="1"/>
  <c r="Z8616" i="1"/>
  <c r="Z8617" i="1"/>
  <c r="Z8618" i="1"/>
  <c r="Z8619" i="1"/>
  <c r="Z8620" i="1"/>
  <c r="Y8624" i="1"/>
  <c r="Z8624" i="1"/>
  <c r="AA8624" i="1"/>
  <c r="Y8636" i="1"/>
  <c r="Z8636" i="1"/>
  <c r="AA8636" i="1"/>
  <c r="AC8636" i="1"/>
  <c r="Y8644" i="1"/>
  <c r="Z8644" i="1"/>
  <c r="AA8644" i="1"/>
  <c r="Z8676" i="1"/>
  <c r="Z8677" i="1"/>
  <c r="Z8679" i="1"/>
  <c r="AA8679" i="1"/>
  <c r="AB8679" i="1"/>
  <c r="AA8720" i="1"/>
  <c r="Z8726" i="1"/>
  <c r="Z8727" i="1"/>
  <c r="Z8728" i="1"/>
  <c r="Z8729" i="1"/>
  <c r="Z8748" i="1"/>
  <c r="Z8750" i="1"/>
  <c r="AA8750" i="1"/>
  <c r="AB8750" i="1"/>
  <c r="Z8755" i="1"/>
  <c r="AA8755" i="1"/>
  <c r="Z8758" i="1"/>
  <c r="AA8758" i="1"/>
  <c r="AB8758" i="1"/>
  <c r="Z8759" i="1"/>
  <c r="AA8759" i="1"/>
  <c r="Z8760" i="1"/>
  <c r="AA8760" i="1"/>
  <c r="Z8781" i="1"/>
  <c r="AA8781" i="1"/>
  <c r="Y8795" i="1"/>
  <c r="Z8795" i="1"/>
  <c r="AA8795" i="1"/>
  <c r="Z8796" i="1"/>
  <c r="Z8797" i="1"/>
  <c r="Z8868" i="1"/>
  <c r="AA8868" i="1"/>
  <c r="AA8874" i="1"/>
  <c r="Z8895" i="1"/>
  <c r="Z8896" i="1"/>
  <c r="Z8897" i="1"/>
  <c r="Z8904" i="1"/>
  <c r="Z8907" i="1"/>
  <c r="Z8908" i="1"/>
  <c r="Z8909" i="1"/>
  <c r="Z8912" i="1"/>
  <c r="Z8921" i="1"/>
  <c r="AA8921" i="1"/>
  <c r="Z8924" i="1"/>
  <c r="Z8965" i="1"/>
  <c r="Z8967" i="1"/>
  <c r="Z8968" i="1"/>
  <c r="Z8969" i="1"/>
  <c r="Z8970" i="1"/>
  <c r="AA8972" i="1"/>
  <c r="AA8976" i="1"/>
  <c r="AA8985" i="1"/>
  <c r="AA8986" i="1"/>
  <c r="AA8987" i="1"/>
  <c r="AA8995" i="1"/>
  <c r="Z8996" i="1"/>
  <c r="Z8998" i="1"/>
  <c r="AA8999" i="1"/>
  <c r="Z9000" i="1"/>
  <c r="Z9004" i="1"/>
  <c r="AA9008" i="1"/>
  <c r="AA9009" i="1"/>
  <c r="AA9010" i="1"/>
  <c r="Z9011" i="1"/>
  <c r="Y9018" i="1"/>
  <c r="AA9018" i="1"/>
  <c r="Z9043" i="1"/>
  <c r="Z9044" i="1"/>
  <c r="Z9055" i="1"/>
  <c r="Z9058" i="1"/>
  <c r="Z9060" i="1"/>
  <c r="Z9061" i="1"/>
  <c r="Z9062" i="1"/>
  <c r="Z9064" i="1"/>
  <c r="Z9071" i="1"/>
  <c r="Z9078" i="1"/>
  <c r="Y9088" i="1"/>
  <c r="Z9088" i="1"/>
  <c r="AA9088" i="1"/>
  <c r="Z9092" i="1"/>
  <c r="Z9095" i="1"/>
  <c r="Z9097" i="1"/>
  <c r="AA9097" i="1"/>
  <c r="Z9100" i="1"/>
  <c r="Z9101" i="1"/>
  <c r="Z9112" i="1"/>
  <c r="Z9135" i="1"/>
  <c r="AA9136" i="1"/>
  <c r="AA9137" i="1"/>
  <c r="AA9138" i="1"/>
  <c r="AA9139" i="1"/>
  <c r="Z9140" i="1"/>
  <c r="AA9140" i="1"/>
  <c r="Z9142" i="1"/>
  <c r="Z9143" i="1"/>
  <c r="Z9144" i="1"/>
  <c r="Z9145" i="1"/>
  <c r="Z9146" i="1"/>
  <c r="AA9147" i="1"/>
  <c r="Z9148" i="1"/>
  <c r="AA9148" i="1"/>
  <c r="AA9149" i="1"/>
  <c r="AA9150" i="1"/>
  <c r="AA9151" i="1"/>
  <c r="Z9156" i="1"/>
  <c r="AA9156" i="1"/>
  <c r="Z9157" i="1"/>
  <c r="AA9157" i="1"/>
  <c r="Z9160" i="1"/>
  <c r="Z9161" i="1"/>
  <c r="AA9161" i="1"/>
  <c r="Z9165" i="1"/>
  <c r="Y9183" i="1"/>
  <c r="Z9183" i="1"/>
  <c r="AA9183" i="1"/>
  <c r="Y9184" i="1"/>
  <c r="Z9184" i="1"/>
  <c r="AA9184" i="1"/>
  <c r="Z9190" i="1"/>
  <c r="AA9190" i="1"/>
  <c r="Z9191" i="1"/>
  <c r="AA9191" i="1"/>
  <c r="AB9191" i="1"/>
  <c r="AA9201" i="1"/>
  <c r="AA9202" i="1"/>
  <c r="AA9203" i="1"/>
  <c r="AA9204" i="1"/>
  <c r="AA9205" i="1"/>
  <c r="Y9227" i="1"/>
  <c r="Z9227" i="1"/>
  <c r="AA9227" i="1"/>
  <c r="AA9249" i="1"/>
  <c r="AA9250" i="1"/>
  <c r="Y9264" i="1"/>
  <c r="Z9264" i="1"/>
  <c r="AA9264" i="1"/>
  <c r="Z9268" i="1"/>
  <c r="AA9268" i="1"/>
  <c r="AA9269" i="1"/>
  <c r="AA9279" i="1"/>
  <c r="AB9279" i="1"/>
  <c r="AC9279" i="1"/>
  <c r="AA9288" i="1"/>
  <c r="AA9289" i="1"/>
  <c r="AA9290" i="1"/>
  <c r="AA9296" i="1"/>
  <c r="Y9297" i="1"/>
  <c r="Z9297" i="1"/>
  <c r="AA9297" i="1"/>
  <c r="Z9302" i="1"/>
  <c r="Z9303" i="1"/>
  <c r="AA9310" i="1"/>
  <c r="AA9311" i="1"/>
  <c r="AA9312" i="1"/>
  <c r="AA9313" i="1"/>
  <c r="AA9314" i="1"/>
  <c r="AA9315" i="1"/>
  <c r="Y9316" i="1"/>
  <c r="AA9317" i="1"/>
  <c r="Z9320" i="1"/>
  <c r="AA9320" i="1"/>
  <c r="Z9348" i="1"/>
  <c r="AA9348" i="1"/>
  <c r="AA9350" i="1"/>
  <c r="Z9358" i="1"/>
  <c r="AA9358" i="1"/>
  <c r="AA9359" i="1"/>
  <c r="Z9369" i="1"/>
  <c r="AA9369" i="1"/>
  <c r="Z9405" i="1"/>
  <c r="AA9405" i="1"/>
  <c r="AC9405" i="1"/>
  <c r="AA9418" i="1"/>
  <c r="AA9419" i="1"/>
  <c r="AA9420" i="1"/>
  <c r="AA9421" i="1"/>
  <c r="AA9422" i="1"/>
  <c r="AA9423" i="1"/>
  <c r="Y9424" i="1"/>
  <c r="AA9424" i="1"/>
  <c r="AA9425" i="1"/>
  <c r="AA9467" i="1"/>
  <c r="AA9468" i="1"/>
  <c r="Z9472" i="1"/>
  <c r="AA9472" i="1"/>
  <c r="Z9475" i="1"/>
  <c r="AA9475" i="1"/>
  <c r="Z9493" i="1"/>
  <c r="AA9493" i="1"/>
  <c r="Z9494" i="1"/>
  <c r="AA9494" i="1"/>
  <c r="Y9505" i="1"/>
  <c r="AA9505" i="1"/>
  <c r="Z9506" i="1"/>
  <c r="Z9507" i="1"/>
  <c r="AA9507" i="1"/>
  <c r="AB9507" i="1"/>
  <c r="Y9510" i="1"/>
  <c r="Z9510" i="1"/>
  <c r="AA9510" i="1"/>
  <c r="AB9510" i="1"/>
  <c r="AA9513" i="1"/>
  <c r="AA9514" i="1"/>
  <c r="AA9515" i="1"/>
  <c r="AA9524" i="1"/>
  <c r="AA9537" i="1"/>
  <c r="AA9538" i="1"/>
  <c r="AA9548" i="1"/>
  <c r="AA9549" i="1"/>
  <c r="AA9551" i="1"/>
  <c r="AA9552" i="1"/>
  <c r="Y9600" i="1"/>
  <c r="AA9600" i="1"/>
  <c r="Y9602" i="1"/>
  <c r="AA9602" i="1"/>
  <c r="Z9606" i="1"/>
  <c r="Z9607" i="1"/>
  <c r="Z9608" i="1"/>
  <c r="Z9609" i="1"/>
  <c r="Z9615" i="1"/>
  <c r="AA9615" i="1"/>
  <c r="Z9617" i="1"/>
  <c r="AA9617" i="1"/>
  <c r="Z9632" i="1"/>
  <c r="Z9633" i="1"/>
  <c r="Z9637" i="1"/>
  <c r="Y9674" i="1"/>
  <c r="Z9674" i="1"/>
  <c r="AA9674" i="1"/>
  <c r="AB9674" i="1"/>
  <c r="Z9679" i="1"/>
  <c r="AA9695" i="1"/>
  <c r="Y9700" i="1"/>
  <c r="AA9700" i="1"/>
  <c r="AB9700" i="1"/>
  <c r="AC9700" i="1"/>
  <c r="AA9716" i="1"/>
  <c r="AA9717" i="1"/>
  <c r="Y9737" i="1"/>
  <c r="Z9737" i="1"/>
  <c r="AA9737" i="1"/>
  <c r="AB9737" i="1"/>
  <c r="AC9737" i="1"/>
  <c r="Y9768" i="1"/>
  <c r="Z9768" i="1"/>
  <c r="AA9768" i="1"/>
  <c r="AB9768" i="1"/>
  <c r="AA9772" i="1"/>
  <c r="AB9772" i="1"/>
  <c r="AC9772" i="1"/>
  <c r="AA9773" i="1"/>
  <c r="AB9773" i="1"/>
  <c r="Z9782" i="1"/>
  <c r="Z9784" i="1"/>
  <c r="AA9784" i="1"/>
  <c r="Z9792" i="1"/>
  <c r="AB9792" i="1"/>
  <c r="AA9807" i="1"/>
  <c r="AA9809" i="1"/>
  <c r="Z9819" i="1"/>
  <c r="AA9821" i="1"/>
  <c r="AA9822" i="1"/>
  <c r="Y9824" i="1"/>
  <c r="Z9824" i="1"/>
  <c r="Z9825" i="1"/>
  <c r="Z9840" i="1"/>
  <c r="AA9846" i="1"/>
  <c r="Z9847" i="1"/>
  <c r="AA9847" i="1"/>
  <c r="AB9847" i="1"/>
  <c r="AA9848" i="1"/>
  <c r="AA9853" i="1"/>
  <c r="Z9872" i="1"/>
  <c r="Y9877" i="1"/>
  <c r="AA9877" i="1"/>
  <c r="AB9877" i="1"/>
  <c r="Y9878" i="1"/>
  <c r="AA9878" i="1"/>
  <c r="AB9878" i="1"/>
  <c r="AC9878" i="1"/>
  <c r="AA9893" i="1"/>
  <c r="Z9895" i="1"/>
  <c r="Z9897" i="1"/>
  <c r="AA9910" i="1"/>
  <c r="AA9911" i="1"/>
  <c r="Z9914" i="1"/>
  <c r="AA9917" i="1"/>
  <c r="AA9920" i="1"/>
  <c r="AA9921" i="1"/>
  <c r="AA9925" i="1"/>
  <c r="AB9925" i="1"/>
  <c r="AC9925" i="1"/>
  <c r="Y9926" i="1"/>
  <c r="Z9926" i="1"/>
  <c r="AA9926" i="1"/>
  <c r="Z9928" i="1"/>
  <c r="Z9932" i="1"/>
  <c r="Z9939" i="1"/>
  <c r="AA9942" i="1"/>
  <c r="AA9948" i="1"/>
  <c r="AA9951" i="1"/>
  <c r="Z9963" i="1"/>
  <c r="AA9971" i="1"/>
  <c r="Z9973" i="1"/>
  <c r="Z9977" i="1"/>
  <c r="Y9979" i="1"/>
  <c r="Z9979" i="1"/>
  <c r="Y9990" i="1"/>
  <c r="Z9990" i="1"/>
  <c r="AA9990" i="1"/>
  <c r="AA9997" i="1"/>
  <c r="Z10008" i="1"/>
  <c r="AA10008" i="1"/>
  <c r="Z10015" i="1"/>
  <c r="Y10018" i="1"/>
  <c r="AC10026" i="1"/>
  <c r="AA10029" i="1"/>
  <c r="Y10033" i="1"/>
  <c r="AA10035" i="1"/>
  <c r="AA10051" i="1"/>
  <c r="AA10057" i="1"/>
  <c r="Z10065" i="1"/>
  <c r="AA10066" i="1"/>
  <c r="AC10066" i="1"/>
  <c r="AA10069" i="1"/>
</calcChain>
</file>

<file path=xl/sharedStrings.xml><?xml version="1.0" encoding="utf-8"?>
<sst xmlns="http://schemas.openxmlformats.org/spreadsheetml/2006/main" count="206945" uniqueCount="60644">
  <si>
    <t>Flow Status</t>
  </si>
  <si>
    <t>Submission Date</t>
  </si>
  <si>
    <t>DATE</t>
  </si>
  <si>
    <t>CUSTOMER</t>
  </si>
  <si>
    <t>ADDRESS</t>
  </si>
  <si>
    <t>REGION</t>
  </si>
  <si>
    <t>PROVINCE</t>
  </si>
  <si>
    <t>DEPARTMENT</t>
  </si>
  <si>
    <t>BILLABLE</t>
  </si>
  <si>
    <t>TYPE OF SERVICE</t>
  </si>
  <si>
    <t>PRINCIPAL</t>
  </si>
  <si>
    <t>FSE NAME</t>
  </si>
  <si>
    <t>CONTACT NO.</t>
  </si>
  <si>
    <t>FSE EMAIL</t>
  </si>
  <si>
    <t>ADDITIONAL CUSTOMER EMAIL</t>
  </si>
  <si>
    <t>IF, OTHERS:</t>
  </si>
  <si>
    <t>SR NUMBER</t>
  </si>
  <si>
    <t>ACCOUNT TYPE</t>
  </si>
  <si>
    <t>CUSTOMER EMAIL</t>
  </si>
  <si>
    <t>AVERAGE MODULE / ROOM TEMPERATURE</t>
  </si>
  <si>
    <t>ASSAY STATISTICS</t>
  </si>
  <si>
    <t>PARTS REFERENCE DOCUMENT DATE</t>
  </si>
  <si>
    <t>MODEL</t>
  </si>
  <si>
    <t>SERIAL NO</t>
  </si>
  <si>
    <t>REPORTED PROBLEM/S</t>
  </si>
  <si>
    <t>CORRECTIVE ACTION/S</t>
  </si>
  <si>
    <t>SERVICE/S DONE</t>
  </si>
  <si>
    <t>UNIT'S CONDITION AND STATUS</t>
  </si>
  <si>
    <t>ADDITIONAL REMARKS</t>
  </si>
  <si>
    <t>PARTS USED</t>
  </si>
  <si>
    <t>PARTS REFERENCE DOCUMENT</t>
  </si>
  <si>
    <t>SERVICE ENGINEER NAME</t>
  </si>
  <si>
    <t>SERVICE ENGINEER SIGN</t>
  </si>
  <si>
    <t>CUSTOMER NAME</t>
  </si>
  <si>
    <t>CUSTOMER SIGN</t>
  </si>
  <si>
    <t>Tanay Rural Health Unit</t>
  </si>
  <si>
    <t>Tanay, Rizal</t>
  </si>
  <si>
    <t>4A</t>
  </si>
  <si>
    <t>Rizal</t>
  </si>
  <si>
    <t>Laboratory</t>
  </si>
  <si>
    <t>NO</t>
  </si>
  <si>
    <t>REPAIR
MAINTENANCE</t>
  </si>
  <si>
    <t>CEPHEID</t>
  </si>
  <si>
    <t>John Monsour Doctor</t>
  </si>
  <si>
    <t>jmdoctor@macare-medicals.com</t>
  </si>
  <si>
    <t>PBSP</t>
  </si>
  <si>
    <t>maryjunnette@gmail.com</t>
  </si>
  <si>
    <t xml:space="preserve">ASSAY: Xpert HIV-1 Viral Load, COUNT: 30
ASSAY: Xpert MTB/RIF Ultra, COUNT: 1489
ASSAY: Xpert HIV-1 Viral Load, COUNT: 52
</t>
  </si>
  <si>
    <t>GX-IV-D-6C</t>
  </si>
  <si>
    <t>Module A4 for replacement</t>
  </si>
  <si>
    <t>Replaced module A4</t>
  </si>
  <si>
    <t>Performed maintenance 
Replaced module A4
Performed self test 
Generated reports</t>
  </si>
  <si>
    <t>Unit is operational. Module A2/862098 not operational,for reporting.</t>
  </si>
  <si>
    <t>Old: A4/642666
New: A4/612866</t>
  </si>
  <si>
    <t>N/A</t>
  </si>
  <si>
    <t>https://www.jotform.com/uploads/macarewecare/222927978372067/6522213259617317353/6522213259617317353_signature_28.png</t>
  </si>
  <si>
    <t>Mary Junnette Fulgueras</t>
  </si>
  <si>
    <t>https://www.jotform.com/uploads/macarewecare/222927978372067/6522213259617317353/6522213259617317353_signature_31.png</t>
  </si>
  <si>
    <t>Region II Trauma and Medical Center</t>
  </si>
  <si>
    <t>Magsaysay, Bayombong, Nueva Vizcaya</t>
  </si>
  <si>
    <t>Nueva Vizcaya</t>
  </si>
  <si>
    <t>Molecular Laboratory</t>
  </si>
  <si>
    <t>CALIBRATION
MAINTENANCE</t>
  </si>
  <si>
    <t>Matthew Roxas</t>
  </si>
  <si>
    <t>roxasmatthew659@yahoo.com.ph</t>
  </si>
  <si>
    <t>r2tmcmolec@gmail.com</t>
  </si>
  <si>
    <t>GXIV-6C</t>
  </si>
  <si>
    <t>Due for Calibration</t>
  </si>
  <si>
    <t>Performed Calibration
(3 Modules Passed and Module B4/784302 Failed)</t>
  </si>
  <si>
    <t>Peformed Maintenance
Gathered Reports
Performed Functionality Test</t>
  </si>
  <si>
    <t>Unit is Operational</t>
  </si>
  <si>
    <t>Module B4/784302 for Replacement</t>
  </si>
  <si>
    <t>Xpertcheck kit(Genexpert Calibrator)</t>
  </si>
  <si>
    <t>https://www.jotform.com/uploads/macarewecare/222927978372067/6522207734712337142/6522207734712337142_signature_28.png</t>
  </si>
  <si>
    <t>Karen O. Ramiro, RMT</t>
  </si>
  <si>
    <t>https://www.jotform.com/uploads/macarewecare/222927978372067/6522207734712337142/6522207734712337142_signature_31.png</t>
  </si>
  <si>
    <t>Binan CHO II</t>
  </si>
  <si>
    <t>Binan, Laguna</t>
  </si>
  <si>
    <t>Laguna</t>
  </si>
  <si>
    <t>REPAIR</t>
  </si>
  <si>
    <t>Harold Toco</t>
  </si>
  <si>
    <t>htoco@macare-medicals.com</t>
  </si>
  <si>
    <t>montanezaira016@gmail.com</t>
  </si>
  <si>
    <t xml:space="preserve">ASSAY: Xpert HIV-1 Viral Load, COUNT: 581
ASSAY: Xpert MTB/RIF Ultra, COUNT: 1628
</t>
  </si>
  <si>
    <t>GXIV</t>
  </si>
  <si>
    <t>CPU booting issue.</t>
  </si>
  <si>
    <t>Replaced Bios battery.</t>
  </si>
  <si>
    <t>Replaced Bios Battery.
Performed system restart.</t>
  </si>
  <si>
    <t>Unit is operational.</t>
  </si>
  <si>
    <t>https://www.jotform.com/uploads/macarewecare/222927978372067/6522144523915188602/6522144523915188602_signature_28.png</t>
  </si>
  <si>
    <t>Jasmine Aira Montañez</t>
  </si>
  <si>
    <t>https://www.jotform.com/uploads/macarewecare/222927978372067/6522144523915188602/6522144523915188602_signature_31.png</t>
  </si>
  <si>
    <t>The Medical City South Luzon</t>
  </si>
  <si>
    <t>Santa Rosa City, Laguna</t>
  </si>
  <si>
    <t>YES</t>
  </si>
  <si>
    <t>COMMERCIAL</t>
  </si>
  <si>
    <t>tmcsl-molecularlab@themedicalcity.com</t>
  </si>
  <si>
    <t xml:space="preserve">ASSAY: Xpert HBV VL, COUNT: 28
ASSAY: Xpert HIV-1 Viral Load, COUNT: 52
ASSAY: Xpert MTB/RIF Ultra, COUNT: 249
ASSAY: Xpress SARS-CoV-2_Flu_RSV plus, COUNT: 2
</t>
  </si>
  <si>
    <t>For unit xpertcheck calibration and maintenance.</t>
  </si>
  <si>
    <t>Performed xpertcheck calibration.</t>
  </si>
  <si>
    <t>Performed maintennce.
Performed xpertcheck calibration.</t>
  </si>
  <si>
    <t>Modules B1 and B2--failed in xpertcheck calibration, recommended for replacement.
Module B3-skipped and retest required, needs addional xpertcheck cartridge.
Module B4- not performed, needs addional xpertcheck cartridge.</t>
  </si>
  <si>
    <t>1kit Xprtcheck</t>
  </si>
  <si>
    <t>NA</t>
  </si>
  <si>
    <t>https://www.jotform.com/uploads/macarewecare/222927978372067/6522062403918624052/6522062403918624052_signature_28.png</t>
  </si>
  <si>
    <t>Ruskin Relucio</t>
  </si>
  <si>
    <t>https://www.jotform.com/uploads/macarewecare/222927978372067/6522062403918624052/6522062403918624052_signature_31.png</t>
  </si>
  <si>
    <t>Cainta Rural Health Unit</t>
  </si>
  <si>
    <t>Cainta, Rizal</t>
  </si>
  <si>
    <t>MAINTENANCE</t>
  </si>
  <si>
    <t>0992 594 5027</t>
  </si>
  <si>
    <t>ballesterrichard18@gmail.com</t>
  </si>
  <si>
    <t xml:space="preserve">ASSAY: Xpert HIV-1 Viral Load, COUNT: 93
ASSAY: Xpert MTB/RIF Ultra, COUNT: 9o4
ASSAY: Xpert HIV-1 Viral Load, COUNT: 106
</t>
  </si>
  <si>
    <t>For swapping of modules</t>
  </si>
  <si>
    <t>Swapped modules</t>
  </si>
  <si>
    <t>Performed maintenance 
Cleaned:
-cartridge bay 
-plunger rod 
-icore 
-filter 
Replaced module 701436 with 807131</t>
  </si>
  <si>
    <t>https://www.jotform.com/uploads/macarewecare/222927978372067/6522045199618207104/6522045199618207104_signature_28.png</t>
  </si>
  <si>
    <t>Richard Ballester</t>
  </si>
  <si>
    <t>https://www.jotform.com/uploads/macarewecare/222927978372067/6522045199618207104/6522045199618207104_signature_31.png</t>
  </si>
  <si>
    <t>DOH</t>
  </si>
  <si>
    <t xml:space="preserve">ASSAY: Xpert HIV-1 Viral Load, COUNT: 109
ASSAY: Xpert MTB/RIF Ultra, COUNT: 1146
ASSAY: Xpert HIV-1 Viral Load, COUNT: 111
</t>
  </si>
  <si>
    <t>For maintenance</t>
  </si>
  <si>
    <t>Performed maintenance</t>
  </si>
  <si>
    <t>Performed maintenance 
Cleaned:
-cartridge bay 
-plunger rod 
-icore 
-filter 
Generated reports</t>
  </si>
  <si>
    <t>Unit is operational. Monitor is shutting down frequently. 
Monitor SN:CNK832243R</t>
  </si>
  <si>
    <t>https://www.jotform.com/uploads/macarewecare/222927978372067/6522044439613332287/6522044439613332287_signature_28.png</t>
  </si>
  <si>
    <t>https://www.jotform.com/uploads/macarewecare/222927978372067/6522044439613332287/6522044439613332287_signature_31.png</t>
  </si>
  <si>
    <t xml:space="preserve">ASSAY: Xpert MTB/RIF Ultra, COUNT: 953
</t>
  </si>
  <si>
    <t>Module B2 has error 1002</t>
  </si>
  <si>
    <t>Unit is operational. Module B2/888288 not operational, for reporting.</t>
  </si>
  <si>
    <t>https://www.jotform.com/uploads/macarewecare/222927978372067/6522043939611817209/6522043939611817209_signature_28.png</t>
  </si>
  <si>
    <t>https://www.jotform.com/uploads/macarewecare/222927978372067/6522043939611817209/6522043939611817209_signature_31.png</t>
  </si>
  <si>
    <t>Apalit Rural Health Unit</t>
  </si>
  <si>
    <t>Municipal Grounds Apalit Pampanga</t>
  </si>
  <si>
    <t>Pampanga</t>
  </si>
  <si>
    <t>Mark Joseph Venzon</t>
  </si>
  <si>
    <t>mark10venzon@gmail.com</t>
  </si>
  <si>
    <t>duenasblesilda@gmail.com</t>
  </si>
  <si>
    <t>GXIV-D 6C</t>
  </si>
  <si>
    <t>B2/758106 and B4/674002 for module replacement</t>
  </si>
  <si>
    <t>Preventive maintenance 
Module replacement</t>
  </si>
  <si>
    <t>Performed preventive maintenance 
Performed module 
Gathered reports 
Performed functionality</t>
  </si>
  <si>
    <t>Unit is operational
B2/734293
B4/730935
Newly replaced modules</t>
  </si>
  <si>
    <t>https://www.jotform.com/uploads/macarewecare/222927978372067/6522012076415815557/6522012076415815557_signature_28.png</t>
  </si>
  <si>
    <t>Blesilda Duenñas</t>
  </si>
  <si>
    <t>https://www.jotform.com/uploads/macarewecare/222927978372067/6522012076415815557/6522012076415815557_signature_31.png</t>
  </si>
  <si>
    <t>Cardinal Santos Medical Center</t>
  </si>
  <si>
    <t>Wilson St, Greenhills, San Juan</t>
  </si>
  <si>
    <t>NCR</t>
  </si>
  <si>
    <t>NCR 2nd - San Juan</t>
  </si>
  <si>
    <t>Microbiology</t>
  </si>
  <si>
    <t>renalyn.cabaltea@medilinx.com.ph</t>
  </si>
  <si>
    <t xml:space="preserve">ASSAY: Xpert MTB/RIF Ultra, COUNT: 1241
</t>
  </si>
  <si>
    <t>GX-IV-D-10C</t>
  </si>
  <si>
    <t>Unit is operational. Modules B3 and B4 not operational.</t>
  </si>
  <si>
    <t>Recommended to replace modules B1-B4 due to errors and failed in XpertCheck last October 2025.</t>
  </si>
  <si>
    <t>https://www.jotform.com/uploads/macarewecare/222927978372067/6522010709618569374/6522010709618569374_signature_28.png</t>
  </si>
  <si>
    <t>Renalyn Cabaltea</t>
  </si>
  <si>
    <t>https://www.jotform.com/uploads/macarewecare/222927978372067/6522010709618569374/6522010709618569374_signature_31.png</t>
  </si>
  <si>
    <t>Calamba Medical Center</t>
  </si>
  <si>
    <t>Calamba, Laguna</t>
  </si>
  <si>
    <t>aivee.alcantara@medilinx.com.ph</t>
  </si>
  <si>
    <t xml:space="preserve">ASSAY: Xpert BCR-ABL Ultra, COUNT: 4
ASSAY: Xpert HBV VL, COUNT: 29
ASSAY: Xpert MTB/RIF Ultra, COUNT: 729
</t>
  </si>
  <si>
    <t>GXIV-2 Modules</t>
  </si>
  <si>
    <t>For unit maintenance and Xpertcheck Calibration</t>
  </si>
  <si>
    <t>Performed preventive maintenance.
Performed xpertcheck calibration.</t>
  </si>
  <si>
    <t>Performed unit preventive maintenance and xpertcheck calibration.</t>
  </si>
  <si>
    <t>All 2 modules Passed.</t>
  </si>
  <si>
    <t>1 kit Xpertcheck Calibrator</t>
  </si>
  <si>
    <t>https://www.jotform.com/uploads/macarewecare/222927978372067/6521357553911242378/6521357553911242378_signature_28.png</t>
  </si>
  <si>
    <t>Aivee Alcantara</t>
  </si>
  <si>
    <t>https://www.jotform.com/uploads/macarewecare/222927978372067/6521357553911242378/6521357553911242378_signature_31.png</t>
  </si>
  <si>
    <t>San Rafael Rural Health Unit</t>
  </si>
  <si>
    <t>San Rafael</t>
  </si>
  <si>
    <t>Bulacan</t>
  </si>
  <si>
    <t>Ronnel Belizar</t>
  </si>
  <si>
    <t>rcb.macare@gmail.com</t>
  </si>
  <si>
    <t>tatsdayrit25@gmail.com</t>
  </si>
  <si>
    <t>Module B1(793141) for replacement</t>
  </si>
  <si>
    <t>Replaced module B1</t>
  </si>
  <si>
    <t>- replaced module B1 by 677963
- generated reports
- performed self test</t>
  </si>
  <si>
    <t>Unit is operational</t>
  </si>
  <si>
    <t>GeneXpert Module</t>
  </si>
  <si>
    <t>G 8402</t>
  </si>
  <si>
    <t>https://www.jotform.com/uploads/macarewecare/222927978372067/6521301006991590594/6521301006991590594_signature_28.png</t>
  </si>
  <si>
    <t>Ma. Suzie Villaraga</t>
  </si>
  <si>
    <t>https://www.jotform.com/uploads/macarewecare/222927978372067/6521301006991590594/6521301006991590594_signature_31.png</t>
  </si>
  <si>
    <t>Batangas City Health Office</t>
  </si>
  <si>
    <t>Batangas City</t>
  </si>
  <si>
    <t>Batangas</t>
  </si>
  <si>
    <t>MAINTENANCE
TROUBLESHOOTING</t>
  </si>
  <si>
    <t>lumanglasmariejane@gmsil.com</t>
  </si>
  <si>
    <t>For check up due to Error 5007. Probe check error.</t>
  </si>
  <si>
    <t>Performed maintenance.
Clean ICORE lense.</t>
  </si>
  <si>
    <t>Performed maitenance.
Clean ICORE lense.</t>
  </si>
  <si>
    <t>Module A2 with HW error. For reporting.
Midules A1,A3,A4 for actual sample result monitoring.</t>
  </si>
  <si>
    <t>https://www.jotform.com/uploads/macarewecare/222927978372067/6521267073916206442/6521267073916206442_signature_28.png</t>
  </si>
  <si>
    <t>Marie Jsne Lumanglas</t>
  </si>
  <si>
    <t>https://www.jotform.com/uploads/macarewecare/222927978372067/6521267073916206442/6521267073916206442_signature_31.png</t>
  </si>
  <si>
    <t>Lupon Rural Health Unit</t>
  </si>
  <si>
    <t>Poblacion, Lupon Davao Oriental</t>
  </si>
  <si>
    <t>Davao Oriental</t>
  </si>
  <si>
    <t>TB-DOTS</t>
  </si>
  <si>
    <t>MAINTENANCE
TROUBLESHOOTING
ON-SITE ASSISTANCE
Pull out Modules (Defective and Buffer)</t>
  </si>
  <si>
    <t>Roi Kenneth Fagutao</t>
  </si>
  <si>
    <t>rkfagutao.macare@gmail.com</t>
  </si>
  <si>
    <t>karentemplado16@gmail.com</t>
  </si>
  <si>
    <t xml:space="preserve">ASSAY: Xpert MTB/RIF Ultra, COUNT: 303
</t>
  </si>
  <si>
    <t>GX-IV 6C 4D</t>
  </si>
  <si>
    <t>For Preventive Maintenance
For pullout GeneXpert Module</t>
  </si>
  <si>
    <t>Clean Surface Area, Cartridge Bay, Plunger Rod, Fan Filters and Icore Lenses
Generate IQR, Assay Stat and System Log
Archived Data test results
Pull out the defective Module SN:694691
And Buffer Working Module SN:210060725</t>
  </si>
  <si>
    <t>Perform Preventive Maintenance
Perform pull out Modules</t>
  </si>
  <si>
    <t>All Modules are operational
Machine is Operational
High Room Temperature, enduser was advised to achieve ideal room temperature before operating the machine</t>
  </si>
  <si>
    <t>Pull out modules SN 694691 / Defective and SN 210060725 / working buffer</t>
  </si>
  <si>
    <t>https://www.jotform.com/uploads/macarewecare/222927978372067/6521245093313758800/6521245093313758800_signature_28.png</t>
  </si>
  <si>
    <t>Josephine C. Millan,. RMT</t>
  </si>
  <si>
    <t>https://www.jotform.com/uploads/macarewecare/222927978372067/6521245093313758800/6521245093313758800_signature_31.png</t>
  </si>
  <si>
    <t>Olongapo City Health Office</t>
  </si>
  <si>
    <t>West Bajac-bajac Olongapo City</t>
  </si>
  <si>
    <t>Zambales</t>
  </si>
  <si>
    <t>INSTALLATION
REPAIR
MAINTENANCE</t>
  </si>
  <si>
    <t>olongapochotmlandrtdl@gmail.com</t>
  </si>
  <si>
    <t>D2/617387 for replacement</t>
  </si>
  <si>
    <t>Performed preventive maintenance 
Performed module replacement 
Gathered 
Performed functionality test</t>
  </si>
  <si>
    <t>Unit is operational
D2/695675 new module</t>
  </si>
  <si>
    <t>https://www.jotform.com/uploads/macarewecare/222927978372067/6521199518614426717/6521199518614426717_signature_28.png</t>
  </si>
  <si>
    <t>Ann Malinay</t>
  </si>
  <si>
    <t>https://www.jotform.com/uploads/macarewecare/222927978372067/6521199518614426717/6521199518614426717_signature_31.png</t>
  </si>
  <si>
    <t>Mandaluyong City Health Office</t>
  </si>
  <si>
    <t>Mandaluyong</t>
  </si>
  <si>
    <t>NCR 2nd - Mandaluyong</t>
  </si>
  <si>
    <t>mandaluyongcityhealthlab@gmail.com</t>
  </si>
  <si>
    <t>Module A1 (210101730) for replacement</t>
  </si>
  <si>
    <t>Replaced module A1</t>
  </si>
  <si>
    <t>- replaced module A1 by 642313
- checked and cleaned cartridge bay, plunger rod, filter
- generated reports</t>
  </si>
  <si>
    <t>G 8400</t>
  </si>
  <si>
    <t>https://www.jotform.com/uploads/macarewecare/222927978372067/6521188646993755842/6521188646993755842_signature_28.png</t>
  </si>
  <si>
    <t>Rosemarie Guerrero</t>
  </si>
  <si>
    <t>https://www.jotform.com/uploads/macarewecare/222927978372067/6521188646993755842/6521188646993755842_signature_31.png</t>
  </si>
  <si>
    <t>Modules C1(619782) and C3(765956) for replacement</t>
  </si>
  <si>
    <t>Replaced modules</t>
  </si>
  <si>
    <t>- replaced modules by 210034563 and 210033908
- checked and cleaned cartridge bay, plunger rod, filter
- generated reports</t>
  </si>
  <si>
    <t>https://www.jotform.com/uploads/macarewecare/222927978372067/6521188206997568889/6521188206997568889_signature_28.png</t>
  </si>
  <si>
    <t>https://www.jotform.com/uploads/macarewecare/222927978372067/6521188206997568889/6521188206997568889_signature_31.png</t>
  </si>
  <si>
    <t>Taysan Super Health Center</t>
  </si>
  <si>
    <t>Taysan, Batangas</t>
  </si>
  <si>
    <t>kiajaikaatienza0928@gmail.com</t>
  </si>
  <si>
    <t xml:space="preserve">ASSAY: Xpert MTB/RIF Ultra, COUNT: 3
</t>
  </si>
  <si>
    <t>For Xpertcheck calibration and maintenance.</t>
  </si>
  <si>
    <t>Performed maintenance and cleaning.
Performed xprtcheck calibration</t>
  </si>
  <si>
    <t>2 modules Failed.
1 module skipped and retest required.
1 module not performed due to insufficient cartridge.</t>
  </si>
  <si>
    <t>Xpettcheck kit</t>
  </si>
  <si>
    <t>https://www.jotform.com/uploads/macarewecare/222927978372067/6521165550509128712/6521165550509128712_signature_28.png</t>
  </si>
  <si>
    <t>KIA JAIKA A. PEREZ</t>
  </si>
  <si>
    <t>https://www.jotform.com/uploads/macarewecare/222927978372067/6521165550509128712/6521165550509128712_signature_31.png</t>
  </si>
  <si>
    <t>Tinambacan Main Health Center</t>
  </si>
  <si>
    <t>Tinambacan, Calbayog city</t>
  </si>
  <si>
    <t>Samar</t>
  </si>
  <si>
    <t>TB Laboratory</t>
  </si>
  <si>
    <t>John Paul Labutap</t>
  </si>
  <si>
    <t>johnpaullabutap@gmail.com</t>
  </si>
  <si>
    <t>porlaressteph@gmail.com</t>
  </si>
  <si>
    <t>GXIV 6c 2SITES</t>
  </si>
  <si>
    <t>n/a</t>
  </si>
  <si>
    <t>https://www.jotform.com/uploads/macarewecare/222927978372067/6521136716122418436/6521136716122418436_signature_28.png</t>
  </si>
  <si>
    <t>stephanie jis rosalez</t>
  </si>
  <si>
    <t>https://www.jotform.com/uploads/macarewecare/222927978372067/6521136716122418436/6521136716122418436_signature_31.png</t>
  </si>
  <si>
    <t>Bindoy District Hospital</t>
  </si>
  <si>
    <t>Bindoy, Negros Oriental</t>
  </si>
  <si>
    <t>Negros Oriental</t>
  </si>
  <si>
    <t>Gerald Fritz Selga</t>
  </si>
  <si>
    <t>gselga@macare-medicals.com</t>
  </si>
  <si>
    <t>kristinemorales032118@gmail.com</t>
  </si>
  <si>
    <t xml:space="preserve">ASSAY: Xpert MTB/RIF Ultra, COUNT: 678
</t>
  </si>
  <si>
    <t>GX4 6C R2</t>
  </si>
  <si>
    <t>CMOS battery for replacement, causing date-time result issues.</t>
  </si>
  <si>
    <t>Preventive Maintenance - cleaned optics, module bays, filter, plunger rods; archive tests</t>
  </si>
  <si>
    <t>Replaced CMOS battery.
Configure date and time settings.
Generate reports.</t>
  </si>
  <si>
    <t>All 4 modules in working condition.</t>
  </si>
  <si>
    <t>https://www.jotform.com/uploads/macarewecare/222927978372067/6521135691017813351/6521135691017813351_signature_28.png</t>
  </si>
  <si>
    <t>Kristine Katrina M. Morales</t>
  </si>
  <si>
    <t>https://www.jotform.com/uploads/macarewecare/222927978372067/6521135691017813351/6521135691017813351_signature_31.png</t>
  </si>
  <si>
    <t>Abucay Rural Health Unit( Roving)</t>
  </si>
  <si>
    <t>Dacena Ave. Abucay Bataan</t>
  </si>
  <si>
    <t>Bataan</t>
  </si>
  <si>
    <t>parreraledelina22176@gmail.com</t>
  </si>
  <si>
    <t>A3/701939 for module replacement</t>
  </si>
  <si>
    <t>Performed preventive maintenance 
Performed module replacement 
Gathered reports
Performed functionality test</t>
  </si>
  <si>
    <t>Unit is operational
A3/729668 new module</t>
  </si>
  <si>
    <t>https://www.jotform.com/uploads/macarewecare/222927978372067/6521125078619394686/6521125078619394686_signature_28.png</t>
  </si>
  <si>
    <t>Ledelina Parrera</t>
  </si>
  <si>
    <t>https://www.jotform.com/uploads/macarewecare/222927978372067/6521125078619394686/6521125078619394686_signature_31.png</t>
  </si>
  <si>
    <t>St. Louis Molecular Diagnostic Laboratoy</t>
  </si>
  <si>
    <t>Tacurong City, Sultan Kudarat</t>
  </si>
  <si>
    <t>Sultan Kudarat</t>
  </si>
  <si>
    <t>Molecular laboratory</t>
  </si>
  <si>
    <t>Jesson Tupas</t>
  </si>
  <si>
    <t>jessontupas.macaremed@gmail.com</t>
  </si>
  <si>
    <t>stlouismoleculardiagnosticslab@gmail.com</t>
  </si>
  <si>
    <t xml:space="preserve">ASSAY: Xpert HIV-1 Viral Load, COUNT: 12
ASSAY: Xpert MTB/RIF Ultra, COUNT: 38
</t>
  </si>
  <si>
    <t>GxlV-10 color</t>
  </si>
  <si>
    <t>None</t>
  </si>
  <si>
    <t>Perform genexpert machine maintenance and cleaning
Module cleaning
Plunger rod and optics cleaning
Fan and filter cleaning
Checking of module status and errors
Data collection</t>
  </si>
  <si>
    <t>Genexpert machine Preventive maintenance</t>
  </si>
  <si>
    <t>4 operational modulea</t>
  </si>
  <si>
    <t>https://www.jotform.com/uploads/macarewecare/222927978372067/6521123522907422720/6521123522907422720_signature_28.png</t>
  </si>
  <si>
    <t>Johana Shane De Pedro</t>
  </si>
  <si>
    <t>https://www.jotform.com/uploads/macarewecare/222927978372067/6521123522907422720/6521123522907422720_signature_31.png</t>
  </si>
  <si>
    <t>Velasquez Health Center</t>
  </si>
  <si>
    <t>Manila</t>
  </si>
  <si>
    <t>NCR 1st - Manila</t>
  </si>
  <si>
    <t>wcpatron11x4@gmail.com</t>
  </si>
  <si>
    <t>Module A2 (616338) for replacement</t>
  </si>
  <si>
    <t>Replaced module A2
Relocated unit</t>
  </si>
  <si>
    <t>- replaced module by 908646
- checked and cleaned cartrige bay, plunger rod, filter
- generated reports
- performed self test
- relocated unit</t>
  </si>
  <si>
    <t>Unit is operational
Temporarily relocated unit for appropriate air condition (Current module temperatures exceed 30 degrees)</t>
  </si>
  <si>
    <t>https://www.jotform.com/uploads/macarewecare/222927978372067/6520431905816436764/6520431905816436764_signature_28.png</t>
  </si>
  <si>
    <t>Wilma Patron</t>
  </si>
  <si>
    <t>https://www.jotform.com/uploads/macarewecare/222927978372067/6520431905816436764/6520431905816436764_signature_31.png</t>
  </si>
  <si>
    <t>San Pablo  Social Hygiene Clinic</t>
  </si>
  <si>
    <t>San Pablo City, Laguna</t>
  </si>
  <si>
    <t>INSTALLATION</t>
  </si>
  <si>
    <t>MACARE-HBDC</t>
  </si>
  <si>
    <t>chrisnoeaninias@gmail.com</t>
  </si>
  <si>
    <t xml:space="preserve">ASSAY: Xpert MTB/RIF Ultra, COUNT: 5
</t>
  </si>
  <si>
    <t>GXXVI</t>
  </si>
  <si>
    <t>For unit installation.</t>
  </si>
  <si>
    <t>Performed unit installatiion.</t>
  </si>
  <si>
    <t>Performed unit installation.
Performed functionality test.</t>
  </si>
  <si>
    <t>https://www.jotform.com/uploads/macarewecare/222927978372067/6520386296511262287/6520386296511262287_signature_28.png</t>
  </si>
  <si>
    <t>Chris Noe C. Aninias</t>
  </si>
  <si>
    <t>https://www.jotform.com/uploads/macarewecare/222927978372067/6520386296511262287/6520386296511262287_signature_31.png</t>
  </si>
  <si>
    <t>Canossa Health Center</t>
  </si>
  <si>
    <t>acapuli.pbsp@gmail.com</t>
  </si>
  <si>
    <t>Module A3(210068328) for replacement</t>
  </si>
  <si>
    <t>Replaced module A3</t>
  </si>
  <si>
    <t>- replaced module A3 by (625517)
- checked and cleaned cartridge bay, plunger rod, filter
- generated reports
- performed self test</t>
  </si>
  <si>
    <t>https://www.jotform.com/uploads/macarewecare/222927978372067/6520364255013447140/6520364255013447140_signature_28.png</t>
  </si>
  <si>
    <t>Alexis Rica Claire Apuli - Ang</t>
  </si>
  <si>
    <t>https://www.jotform.com/uploads/macarewecare/222927978372067/6520364255013447140/6520364255013447140_signature_31.png</t>
  </si>
  <si>
    <t>Baybay City Health Office</t>
  </si>
  <si>
    <t>Baybay City, Leyte</t>
  </si>
  <si>
    <t>Leyte</t>
  </si>
  <si>
    <t>Wynnona Reoma</t>
  </si>
  <si>
    <t>wbreoma.2020@gmail.com</t>
  </si>
  <si>
    <t>sajecopooh20@gmail.com</t>
  </si>
  <si>
    <t xml:space="preserve">ASSAY: Xpert MTB/RIF Ultra, COUNT: 1390
</t>
  </si>
  <si>
    <t>GXIV-4D 6C</t>
  </si>
  <si>
    <t>Machine is functional.</t>
  </si>
  <si>
    <t>https://www.jotform.com/uploads/macarewecare/222927978372067/6520236489816310440/6520236489816310440_signature_28.png</t>
  </si>
  <si>
    <t>Sarah Jean G. Pasana</t>
  </si>
  <si>
    <t>https://www.jotform.com/uploads/macarewecare/222927978372067/6520236489816310440/6520236489816310440_signature_31.png</t>
  </si>
  <si>
    <t>SLH-NRL SACCL</t>
  </si>
  <si>
    <t>Quiricada St., Sta. Cruz, Manila</t>
  </si>
  <si>
    <t>National Reference Laboratory</t>
  </si>
  <si>
    <t>TROUBLESHOOTING
ON-SITE ASSISTANCE</t>
  </si>
  <si>
    <t>Julius Marion Biteng</t>
  </si>
  <si>
    <t>techsupport@macare-medicals.com</t>
  </si>
  <si>
    <t>sacclkitevaluation@slh.doh.gov.ph</t>
  </si>
  <si>
    <t xml:space="preserve">ASSAY: Xpert HIV-1 Viral Load, COUNT: 18
</t>
  </si>
  <si>
    <t>GX4</t>
  </si>
  <si>
    <t>Loss Communication Error</t>
  </si>
  <si>
    <t>Reconnected Lan Cable GX and Laptop. 
Informed End user to check and reconnect the Lan cable if loss communication error occurs.
Informed end user to follow the sequence when turning on the machine.</t>
  </si>
  <si>
    <t>Checked Lan Cable Connection
Checked IP Address (IP address is already set)</t>
  </si>
  <si>
    <t>Machine is Operational</t>
  </si>
  <si>
    <t>Observe Module D3 Error 4014 encountered and UPS Fuse for replacement</t>
  </si>
  <si>
    <t>https://www.jotform.com/uploads/macarewecare/222927978372067/6519631186223170401/6519631186223170401_signature_28.png</t>
  </si>
  <si>
    <t>Janine Navarro</t>
  </si>
  <si>
    <t>https://www.jotform.com/uploads/macarewecare/222927978372067/6519631186223170401/6519631186223170401_signature_31.png</t>
  </si>
  <si>
    <t>Dr. Jose N. Rodriguez Memorial Hospital</t>
  </si>
  <si>
    <t>Caloocan</t>
  </si>
  <si>
    <t>NCR 3rd - Caloocan</t>
  </si>
  <si>
    <t>molecular.lab@djnrmhs.doh.gov.ph</t>
  </si>
  <si>
    <t>GXIV-10C</t>
  </si>
  <si>
    <t>Unit for maintenance</t>
  </si>
  <si>
    <t>Cleaned filter</t>
  </si>
  <si>
    <t>Unit is operational
Unit is due for calibration</t>
  </si>
  <si>
    <t>https://www.jotform.com/uploads/https:/www.jotform.com/uploads/https:/www.jotform.com/uploads/macarewecare/222927978372067/6519589767111467157/6519589767111467157_signature_28.png</t>
  </si>
  <si>
    <t>Noreen Morales</t>
  </si>
  <si>
    <t>https://www.jotform.com/uploads/macarewecare/222927978372067/6519591177114300050/6519591177114300050_signature_31.png</t>
  </si>
  <si>
    <t>https://www.jotform.com/uploads/https:/www.jotform.com/uploads/macarewecare/222927978372067/6519589767111467157/6519589767111467157_signature_28.png</t>
  </si>
  <si>
    <t>https://www.jotform.com/uploads/macarewecare/222927978372067/6519590677119292426/6519590677119292426_signature_31.png</t>
  </si>
  <si>
    <t>https://www.jotform.com/uploads/macarewecare/222927978372067/6519590227114558362/6519590227114558362_signature_31.png</t>
  </si>
  <si>
    <t>https://www.jotform.com/uploads/macarewecare/222927978372067/6519589767111467157/6519589767111467157_signature_28.png</t>
  </si>
  <si>
    <t>https://www.jotform.com/uploads/macarewecare/222927978372067/6519589767111467157/6519589767111467157_signature_31.png</t>
  </si>
  <si>
    <t>Wilson St., Greenhills, San Juan</t>
  </si>
  <si>
    <t>Bloodbank</t>
  </si>
  <si>
    <t>HAEMONETICS</t>
  </si>
  <si>
    <t>biomed@csmc.ph</t>
  </si>
  <si>
    <t>csmclab@csmc.ph</t>
  </si>
  <si>
    <t>MCS+</t>
  </si>
  <si>
    <t>08M461</t>
  </si>
  <si>
    <t>Performed maintenance 
Run simulation 
Verified calibration parameters 
Functionality test</t>
  </si>
  <si>
    <t>https://www.jotform.com/uploads/macarewecare/222927978372067/6519547498984191556/6519547498984191556_signature_28.png</t>
  </si>
  <si>
    <t>Angel Lynn  Grace Pagulayan</t>
  </si>
  <si>
    <t>https://www.jotform.com/uploads/macarewecare/222927978372067/6519547498984191556/6519547498984191556_signature_31.png</t>
  </si>
  <si>
    <t>West Bajac--Bajac Olongapo City</t>
  </si>
  <si>
    <t>GXIV-D 10c</t>
  </si>
  <si>
    <t>B1/220013803 for module eplacement</t>
  </si>
  <si>
    <t>Performed preventive maintenance 
Performed module replacement
Gathered reports
Performed functionality test</t>
  </si>
  <si>
    <t>Unit is operational
B1/668577 new module</t>
  </si>
  <si>
    <t>https://www.jotform.com/uploads/macarewecare/222927978372067/6519531854017288523/6519531854017288523_signature_28.png</t>
  </si>
  <si>
    <t>Roselyn Milan</t>
  </si>
  <si>
    <t>https://www.jotform.com/uploads/macarewecare/222927978372067/6519531854017288523/6519531854017288523_signature_31.png</t>
  </si>
  <si>
    <t>DOST - Industrial Technology Development Institute</t>
  </si>
  <si>
    <t>DOST Compound, General Santos Avenue, Brgy. Central Bicutan, Taguig City</t>
  </si>
  <si>
    <t>NCR 4th - Taguig</t>
  </si>
  <si>
    <t>Industrial Technology Development Institute</t>
  </si>
  <si>
    <t>OTHERS</t>
  </si>
  <si>
    <t>Carlos Leniel Origenes</t>
  </si>
  <si>
    <t>carlos.leniel.origenes@gmail.com</t>
  </si>
  <si>
    <t>Miltenyi Biotec</t>
  </si>
  <si>
    <t>jbpadaon.dost@gmail.com</t>
  </si>
  <si>
    <t>gentleMACS Octo Dissociator with Heaters</t>
  </si>
  <si>
    <t>Installed instrument based on gentleMACS Octo Dissociator with Heaters User Manual Original Instructions, Issued February 2024, 140-006-564-004.04
Performed functionality test</t>
  </si>
  <si>
    <t>Instrument is operational</t>
  </si>
  <si>
    <t>https://www.jotform.com/uploads/macarewecare/222927978372067/6519465106958831844/6519465106958831844_signature_28.png</t>
  </si>
  <si>
    <t>DOST-ITDI</t>
  </si>
  <si>
    <t>https://www.jotform.com/uploads/macarewecare/222927978372067/6519465106958831844/6519465106958831844_signature_31.png</t>
  </si>
  <si>
    <t>Maysan 3S Health Station</t>
  </si>
  <si>
    <t>Valenzuela</t>
  </si>
  <si>
    <t>NCR 3rd - Valenzuela</t>
  </si>
  <si>
    <t>neldimatera@gmail.com</t>
  </si>
  <si>
    <t>GXIV 10C</t>
  </si>
  <si>
    <t>Module B3 for replacement</t>
  </si>
  <si>
    <t>Replaced module B3</t>
  </si>
  <si>
    <t>- replaced B3 (220013986) by (635735)
- generated reports
- performed self test</t>
  </si>
  <si>
    <t>https://www.jotform.com/uploads/macarewecare/222927978372067/6519446751113454881/6519446751113454881_signature_28.png</t>
  </si>
  <si>
    <t>Nelliza Dimatera</t>
  </si>
  <si>
    <t>https://www.jotform.com/uploads/macarewecare/222927978372067/6519446751113454881/6519446751113454881_signature_31.png</t>
  </si>
  <si>
    <t>Chong Hua Hospital-Mandaue</t>
  </si>
  <si>
    <t>Mandaue, Cebu City</t>
  </si>
  <si>
    <t>Cebu</t>
  </si>
  <si>
    <t>Raymond Laurito</t>
  </si>
  <si>
    <t>daymon899@gmail.com</t>
  </si>
  <si>
    <t>irl.maderazo@gmail.com</t>
  </si>
  <si>
    <t>Mcs+</t>
  </si>
  <si>
    <t>11J217</t>
  </si>
  <si>
    <t>Due Date for Apheresis Calibration</t>
  </si>
  <si>
    <t>Correcting the out of range calibration datas</t>
  </si>
  <si>
    <t>Preventive Maintenance
Calibration of Apheresis Machine</t>
  </si>
  <si>
    <t>Systems Operational</t>
  </si>
  <si>
    <t>https://www.jotform.com/uploads/macarewecare/222927978372067/6518710870746668853/6518710870746668853_signature_28.png</t>
  </si>
  <si>
    <t>Inna Rose Maderazo</t>
  </si>
  <si>
    <t>https://www.jotform.com/uploads/macarewecare/222927978372067/6518710870746668853/6518710870746668853_signature_31.png</t>
  </si>
  <si>
    <t>QC Jail</t>
  </si>
  <si>
    <t>Payatas rd QC</t>
  </si>
  <si>
    <t>NCR 2nd - Quezon City</t>
  </si>
  <si>
    <t>Noel Floresca</t>
  </si>
  <si>
    <t>.</t>
  </si>
  <si>
    <t>nfloresca@macare-medicals.com</t>
  </si>
  <si>
    <t>aubreydurian@gmail.com</t>
  </si>
  <si>
    <t xml:space="preserve">ASSAY: Xpert MTB/RIF Ultra, COUNT: 2159
</t>
  </si>
  <si>
    <t>GX4D 6C</t>
  </si>
  <si>
    <t>For module replacement A3 661626 - 220043288</t>
  </si>
  <si>
    <t>Performed module replacement
‎Cleaned unit
‎Cleaned plunger rod,filter,icore,cartridge bay
‎Gathered reports
‎Test run unit</t>
  </si>
  <si>
    <t>Performed module replacement</t>
  </si>
  <si>
    <t>A1 disabled reported already
A2, A3, A4 operational</t>
  </si>
  <si>
    <t>https://www.jotform.com/uploads/macarewecare/222927978372067/6518542483611375231/6518542483611375231_signature_28.png</t>
  </si>
  <si>
    <t>Aubrey D Singh</t>
  </si>
  <si>
    <t>https://www.jotform.com/uploads/macarewecare/222927978372067/6518542483611375231/6518542483611375231_signature_31.png</t>
  </si>
  <si>
    <t>Masambong Health Center</t>
  </si>
  <si>
    <t>Masambong QC</t>
  </si>
  <si>
    <t>Labortory</t>
  </si>
  <si>
    <t>michellebonrostro@gmail.com</t>
  </si>
  <si>
    <t xml:space="preserve">ASSAY: Xpert MTB/RIF Ultra, COUNT: 1422
ASSAY: Xpert MTB-XDR, COUNT: 134
</t>
  </si>
  <si>
    <t>GX4 10 C</t>
  </si>
  <si>
    <t>For module replacement B1 220011408-644800, B3 220011590-652195, B4 220011633-667004</t>
  </si>
  <si>
    <t>B2 dusabled due to temp error 2014 already reported thru jotform
B1, B3, B4 operational</t>
  </si>
  <si>
    <t>https://www.jotform.com/uploads/macarewecare/222927978372067/6518541513618740021/6518541513618740021_signature_28.png</t>
  </si>
  <si>
    <t>Michelle Bonrostro</t>
  </si>
  <si>
    <t>https://www.jotform.com/uploads/macarewecare/222927978372067/6518541513618740021/6518541513618740021_signature_31.png</t>
  </si>
  <si>
    <t>Philippine Blood Center</t>
  </si>
  <si>
    <t>Quezon Avenue QC</t>
  </si>
  <si>
    <t>Blood donor room</t>
  </si>
  <si>
    <t>pbcapheresis@doh.gov.ph</t>
  </si>
  <si>
    <t>MCS +</t>
  </si>
  <si>
    <t>15H029G</t>
  </si>
  <si>
    <t>Due for maintenance
Urethane rollers yellowish need to be replace</t>
  </si>
  <si>
    <t>Cleaned unit
‎Checked program parameters
‎Checked and adjust line sensor value
‎Checked rollers,dpm,spm,centrifuge,weigher
‎Performed functionality test
‎Performed simulation running</t>
  </si>
  <si>
    <t>Oerational
Urethane rollers for replacement</t>
  </si>
  <si>
    <t>https://www.jotform.com/uploads/macarewecare/222927978372067/6518540663619407340/6518540663619407340_signature_28.png</t>
  </si>
  <si>
    <t>PBC</t>
  </si>
  <si>
    <t>https://www.jotform.com/uploads/macarewecare/222927978372067/6518540663619407340/6518540663619407340_signature_31.png</t>
  </si>
  <si>
    <t>13C269</t>
  </si>
  <si>
    <t>Due for maintenance</t>
  </si>
  <si>
    <t>Operational</t>
  </si>
  <si>
    <t>https://www.jotform.com/uploads/macarewecare/222927978372067/6518540083615412873/6518540083615412873_signature_28.png</t>
  </si>
  <si>
    <t>https://www.jotform.com/uploads/macarewecare/222927978372067/6518540083615412873/6518540083615412873_signature_31.png</t>
  </si>
  <si>
    <t>16L505SPG</t>
  </si>
  <si>
    <t>https://www.jotform.com/uploads/macarewecare/222927978372067/6518539423614648715/6518539423614648715_signature_28.png</t>
  </si>
  <si>
    <t>https://www.jotform.com/uploads/macarewecare/222927978372067/6518539423614648715/6518539423614648715_signature_31.png</t>
  </si>
  <si>
    <t>15H030G</t>
  </si>
  <si>
    <t>Due for maintenance 
Missing screw lock of weigher
Urethane rollers yellowish color need to be replace</t>
  </si>
  <si>
    <t>Cleaned unit
‎Checked program parameters
‎Checked and adjust line sensor value
‎Checked rollers,dpm,spm,centrifuge,weigher
Replaced screw lock 
‎Performed functionality test
‎Performed simulation running</t>
  </si>
  <si>
    <t>Operational
Urethane rollers need to replace</t>
  </si>
  <si>
    <t>https://www.jotform.com/uploads/macarewecare/222927978372067/6518531893619144368/6518531893619144368_signature_28.png</t>
  </si>
  <si>
    <t>https://www.jotform.com/uploads/macarewecare/222927978372067/6518531893619144368/6518531893619144368_signature_31.png</t>
  </si>
  <si>
    <t>Mandaue City Health Office</t>
  </si>
  <si>
    <t>Mandaue City, Cebu</t>
  </si>
  <si>
    <t>Laboratoy</t>
  </si>
  <si>
    <t>mchoclinical.laboratory@gmail.com</t>
  </si>
  <si>
    <t>Gx4</t>
  </si>
  <si>
    <t>Error code 2124 and 2120: Module 4 communication lost</t>
  </si>
  <si>
    <t>Reset Lan of module 4 
Reset gatewayboard</t>
  </si>
  <si>
    <t>Under observation module 4</t>
  </si>
  <si>
    <t>https://www.jotform.com/uploads/macarewecare/222927978372067/6518379537618859977/6518379537618859977_signature_28.png</t>
  </si>
  <si>
    <t>Elma Gonzales</t>
  </si>
  <si>
    <t>https://www.jotform.com/uploads/macarewecare/222927978372067/6518379537618859977/6518379537618859977_signature_31.png</t>
  </si>
  <si>
    <t>Notre Dame De Chartres Hospital</t>
  </si>
  <si>
    <t>Baguio City</t>
  </si>
  <si>
    <t>CAR</t>
  </si>
  <si>
    <t>Benguet</t>
  </si>
  <si>
    <t>Blood Bank</t>
  </si>
  <si>
    <t>jarrenmadiam1@gmail.com</t>
  </si>
  <si>
    <t>10M103</t>
  </si>
  <si>
    <t>For unit calibration and maintenance.</t>
  </si>
  <si>
    <t>Unit calibration and naintenance.</t>
  </si>
  <si>
    <t>Performed unit calibration.
Replaced pump rotor roller.
Peformed maintenance.</t>
  </si>
  <si>
    <t>Pump rotor roller</t>
  </si>
  <si>
    <t>SI 102474</t>
  </si>
  <si>
    <t>https://www.jotform.com/uploads/macarewecare/222927978372067/6516130791526520993/6516130791526520993_signature_28.png</t>
  </si>
  <si>
    <t>Jarren Madiam</t>
  </si>
  <si>
    <t>https://www.jotform.com/uploads/macarewecare/222927978372067/6516130791526520993/6516130791526520993_signature_31.png</t>
  </si>
  <si>
    <t>Calaanan Health Center</t>
  </si>
  <si>
    <t>TROUBLESHOOTING</t>
  </si>
  <si>
    <t>rosaleslorina0917@gmail.com</t>
  </si>
  <si>
    <t>GX Workstation for troubleshooting</t>
  </si>
  <si>
    <t>Replaced BIOS battery
Changed boot configuration</t>
  </si>
  <si>
    <t>Unit is not operational
Workstation unable to boot
For reporting</t>
  </si>
  <si>
    <t>https://www.jotform.com/uploads/macarewecare/222927978372067/6516044948652580191/6516044948652580191_signature_28.png</t>
  </si>
  <si>
    <t>Jusmie Yomari Mar</t>
  </si>
  <si>
    <t>https://www.jotform.com/uploads/macarewecare/222927978372067/6516044948652580191/6516044948652580191_signature_31.png</t>
  </si>
  <si>
    <t>San Jose Del Monte City Health Center XII</t>
  </si>
  <si>
    <t>San Jose Del Monte</t>
  </si>
  <si>
    <t>krizetteamorio@gmail.com</t>
  </si>
  <si>
    <t>GX XVI</t>
  </si>
  <si>
    <t>Cleaned filters</t>
  </si>
  <si>
    <t>Unit is operational
A3, B1, C3 for reporting</t>
  </si>
  <si>
    <t>https://www.jotform.com/uploads/macarewecare/222927978372067/6515980338653019394/6515980338653019394_signature_28.png</t>
  </si>
  <si>
    <t>Krizette Marie Amorio</t>
  </si>
  <si>
    <t>https://www.jotform.com/uploads/macarewecare/222927978372067/6515980338653019394/6515980338653019394_signature_31.png</t>
  </si>
  <si>
    <t>Marikina City Health Office</t>
  </si>
  <si>
    <t>Shoe Ave Marikina City</t>
  </si>
  <si>
    <t>NCR 2nd - Marikina</t>
  </si>
  <si>
    <t>estyaragon2019@gmail.com</t>
  </si>
  <si>
    <t xml:space="preserve">ASSAY: Xpert MTB/RIF Ultra, COUNT: 501
ASSAY: Xpert MTB-XDR, COUNT: 25
</t>
  </si>
  <si>
    <t>Performed maintenance 
Cleaned:
-Cartridge bay 
-Plunger rod 
-Icore 
-Filter 
Generated reports</t>
  </si>
  <si>
    <t>Unit is operational. All modules operational.</t>
  </si>
  <si>
    <t>https://www.jotform.com/uploads/macarewecare/222927978372067/6515892501634367055/6515892501634367055_signature_28.png</t>
  </si>
  <si>
    <t>Estrelita Aragon</t>
  </si>
  <si>
    <t>https://www.jotform.com/uploads/macarewecare/222927978372067/6515892501634367055/6515892501634367055_signature_31.png</t>
  </si>
  <si>
    <t>Shoe Ave, Marikina City</t>
  </si>
  <si>
    <t xml:space="preserve">ASSAY: Xpert MTB/RIF Ultra, COUNT: 1363
</t>
  </si>
  <si>
    <t>https://www.jotform.com/uploads/macarewecare/222927978372067/6515892451631975372/6515892451631975372_signature_28.png</t>
  </si>
  <si>
    <t>https://www.jotform.com/uploads/macarewecare/222927978372067/6515892451631975372/6515892451631975372_signature_31.png</t>
  </si>
  <si>
    <t>Taguig Pateros District Hospital</t>
  </si>
  <si>
    <t>C5 Service Road, Taguig City</t>
  </si>
  <si>
    <t>ierlanegail@gmail.com</t>
  </si>
  <si>
    <t>Module A3 for replacement</t>
  </si>
  <si>
    <t>Performed maintenance 
Replaced module A3
Performed Self test 
Generated reports</t>
  </si>
  <si>
    <t>Old: A3/694973
New: A3/908766</t>
  </si>
  <si>
    <t>https://www.jotform.com/uploads/macarewecare/222927978372067/6515892451632065955/6515892451632065955_signature_28.png</t>
  </si>
  <si>
    <t>Erlanegail Isla</t>
  </si>
  <si>
    <t>https://www.jotform.com/uploads/macarewecare/222927978372067/6515892451632065955/6515892451632065955_signature_31.png</t>
  </si>
  <si>
    <t xml:space="preserve">ASSAY: Xpert MTB/RIF Ultra, COUNT: 748
ASSAY: Xpert MTB-XDR, COUNT: 3
</t>
  </si>
  <si>
    <t>unit is operational. All modules operational.</t>
  </si>
  <si>
    <t>https://www.jotform.com/uploads/macarewecare/222927978372067/6515892451636816182/6515892451636816182_signature_28.png</t>
  </si>
  <si>
    <t>Estrelita 6</t>
  </si>
  <si>
    <t>https://www.jotform.com/uploads/macarewecare/222927978372067/6515892451636816182/6515892451636816182_signature_31.png</t>
  </si>
  <si>
    <t>Module A2 for replacement</t>
  </si>
  <si>
    <t>Replaced module A2</t>
  </si>
  <si>
    <t>Performed maintenance 
Replaced module A2
Performed Self test 
Generated reports</t>
  </si>
  <si>
    <t>Old: A2/646295
New:A2/210089348</t>
  </si>
  <si>
    <t>https://www.jotform.com/uploads/macarewecare/222927978372067/6515892451637759431/6515892451637759431_signature_28.png</t>
  </si>
  <si>
    <t>Esty Aragon</t>
  </si>
  <si>
    <t>https://www.jotform.com/uploads/macarewecare/222927978372067/6515892451637759431/6515892451637759431_signature_31.png</t>
  </si>
  <si>
    <t>Shoe Ave, Marikina</t>
  </si>
  <si>
    <t xml:space="preserve">ASSAY: Xpert MTB/RIF Ultra, COUNT: 723
</t>
  </si>
  <si>
    <t>https://www.jotform.com/uploads/macarewecare/222927978372067/6515892451638645202/6515892451638645202_signature_28.png</t>
  </si>
  <si>
    <t>https://www.jotform.com/uploads/macarewecare/222927978372067/6515892451638645202/6515892451638645202_signature_31.png</t>
  </si>
  <si>
    <t>Old Balara RTDL</t>
  </si>
  <si>
    <t>Quezon City</t>
  </si>
  <si>
    <t>ON-SITE ASSISTANCE</t>
  </si>
  <si>
    <t>rcb.nacare@gmail.com</t>
  </si>
  <si>
    <t>obooogs@gmail.com</t>
  </si>
  <si>
    <t>UPS for installation</t>
  </si>
  <si>
    <t>Installed UPS</t>
  </si>
  <si>
    <t>Unit is operational
UPS under observation</t>
  </si>
  <si>
    <t>https://www.jotform.com/uploads/macarewecare/222927978372067/6514444121115677537/6514444121115677537_signature_28.png</t>
  </si>
  <si>
    <t>Rushelle Obogne</t>
  </si>
  <si>
    <t>https://www.jotform.com/uploads/macarewecare/222927978372067/6514444121115677537/6514444121115677537_signature_31.png</t>
  </si>
  <si>
    <t>Silliman University Medical Center</t>
  </si>
  <si>
    <t>Aldecoa str. Dumaguete City Neg.Oriental</t>
  </si>
  <si>
    <t>Jovy Noel</t>
  </si>
  <si>
    <t>jdnoel.eisi@gmail.com</t>
  </si>
  <si>
    <t>sumcmoleclab@gmail.com</t>
  </si>
  <si>
    <t>GXIV 6C</t>
  </si>
  <si>
    <t>Due for Calibration.</t>
  </si>
  <si>
    <t>. Save File for XpertCal.
. Save Installation Qualifications Report.
. Save Assay Statistics Report</t>
  </si>
  <si>
    <t>. Perform Xpertcheck for module A1,A3,A4
. A2 deffective</t>
  </si>
  <si>
    <t>. Module A1,A3 passed 
. Module A4 calibration fail.</t>
  </si>
  <si>
    <t>Hot room area for GeneXpert need for additional aircon due to temperature error.</t>
  </si>
  <si>
    <t>https://www.jotform.com/uploads/macarewecare/222927978372067/6514393253709015707/6514393253709015707_signature_28.png</t>
  </si>
  <si>
    <t>Maryjune bangalando</t>
  </si>
  <si>
    <t>https://www.jotform.com/uploads/macarewecare/222927978372067/6514393253709015707/6514393253709015707_signature_31.png</t>
  </si>
  <si>
    <t>Cebu South Medical Center</t>
  </si>
  <si>
    <t>San Isidro, Talisay City Cebu</t>
  </si>
  <si>
    <t>Tb laboratory</t>
  </si>
  <si>
    <t>MAINTENANCE
ON-SITE ASSISTANCE</t>
  </si>
  <si>
    <t>Mark Efren Ramas</t>
  </si>
  <si>
    <t>ramasmarkefren@gmail.com</t>
  </si>
  <si>
    <t>csmcmicro@gmail.com</t>
  </si>
  <si>
    <t>csmcgenexpert@gmail.com</t>
  </si>
  <si>
    <t xml:space="preserve">ASSAY: Xpert MTB/RIF Ultra, COUNT: 1623
</t>
  </si>
  <si>
    <t>- For assessment of the GeneXpert machine as requirements for purchase of warranty over the machine and/ or modules.
- Module 3 is available during the assessment and noted in the System log encountered error 4009 during interim period from November 2025 until April 3, 2026.
- This error occurrence started when it was transfer from other room due additional machine in the laboratory.</t>
  </si>
  <si>
    <t>- Inform end-user to transfer the machine as soon as possible to avoid overshooting of temperature in the Module 3 during the test procedure.
- Isolate the GeneXpert machine from any heating device or heat source area.
- Report the data to immediate supervisor that NCR was already inform the error 4009 several times but no personnel was immediately dispatched.
- Module 3 required to be replaced after several error occurrence.</t>
  </si>
  <si>
    <t>Unit modules are available during the self-test except Module 3 due to Error 4009.</t>
  </si>
  <si>
    <t>https://www.jotform.com/uploads/macarewecare/222927978372067/6514385350128697784/6514385350128697784_signature_28.png</t>
  </si>
  <si>
    <t>https://www.jotform.com/uploads/macarewecare/222927978372067/6514385350128697784/6514385350128697784_signature_31.png</t>
  </si>
  <si>
    <t>Wenceslao Dela Paz Health Center</t>
  </si>
  <si>
    <t>ramosfely38@gmail.com</t>
  </si>
  <si>
    <t>GX unit for switch</t>
  </si>
  <si>
    <t>Installed GX</t>
  </si>
  <si>
    <t>Unit is operational
Room ambient temperature exceeds 30 deg C
Room air conditioner is recommended for repair/replacement to prevent module damage</t>
  </si>
  <si>
    <t>https://www.jotform.com/uploads/https:/www.jotform.com/uploads/macarewecare/222927978372067/6508182296418282170/6508182296418282170_signature_28.png</t>
  </si>
  <si>
    <t>Felicidad De Castro</t>
  </si>
  <si>
    <t>https://www.jotform.com/uploads/macarewecare/222927978372067/6514366695316677158/6514366695316677158_signature_31.png</t>
  </si>
  <si>
    <t>Salcedo Rural Health Unit</t>
  </si>
  <si>
    <t>Salcedo Eastern Samar</t>
  </si>
  <si>
    <t>Eastern Samar</t>
  </si>
  <si>
    <t>TB laboratory</t>
  </si>
  <si>
    <t>Johnpaullabutap@gmail.com</t>
  </si>
  <si>
    <t>angelinegarcia_23@yahoo.com</t>
  </si>
  <si>
    <t>GXIV - 2 Sites 6c</t>
  </si>
  <si>
    <t>https://www.jotform.com/uploads/macarewecare/222927978372067/6514350051715314452/6514350051715314452_signature_28.png</t>
  </si>
  <si>
    <t>Angeline G. Bandoy</t>
  </si>
  <si>
    <t>https://www.jotform.com/uploads/macarewecare/222927978372067/6514350051715314452/6514350051715314452_signature_31.png</t>
  </si>
  <si>
    <t>Mariveles Rural Health Unit</t>
  </si>
  <si>
    <t>Mariveles Bataan</t>
  </si>
  <si>
    <t>angelicaroseconos@gmail.com</t>
  </si>
  <si>
    <t>B2/761029 for replacement</t>
  </si>
  <si>
    <t>Performed preventive maintenance 
Replaced module B2
Gathered reports
Performed functionality test</t>
  </si>
  <si>
    <t>Unit is operational
B2:210089345</t>
  </si>
  <si>
    <t>https://www.jotform.com/uploads/macarewecare/222927978372067/6514334659207133795/6514334659207133795_signature_28.png</t>
  </si>
  <si>
    <t>Angelica Rose Conos</t>
  </si>
  <si>
    <t>https://www.jotform.com/uploads/macarewecare/222927978372067/6514334659207133795/6514334659207133795_signature_31.png</t>
  </si>
  <si>
    <t>Biopath Garden Heights</t>
  </si>
  <si>
    <t>E. RodriguezQC</t>
  </si>
  <si>
    <t>THERMO FISHER SCIENTIFIC</t>
  </si>
  <si>
    <t>florescanoel77@gmail.com</t>
  </si>
  <si>
    <t>debuyanterahgrace@gmail.com</t>
  </si>
  <si>
    <t>88400D</t>
  </si>
  <si>
    <t>Encounter high temp unable ro reach desire temp -80
High ambient temp</t>
  </si>
  <si>
    <t>Checked temp setting 
Adjust to -50 deg. 
Checked amperage low side and high side of compressor
Checked leakage</t>
  </si>
  <si>
    <t>Perforedm troubleshooting</t>
  </si>
  <si>
    <t>For observation</t>
  </si>
  <si>
    <t>https://www.jotform.com/uploads/macarewecare/222927978372067/6514269436815270249/6514269436815270249_signature_28.png</t>
  </si>
  <si>
    <t>Terah Debuyan</t>
  </si>
  <si>
    <t>https://www.jotform.com/uploads/macarewecare/222927978372067/6514269436815270249/6514269436815270249_signature_31.png</t>
  </si>
  <si>
    <t>National Children's Hospital</t>
  </si>
  <si>
    <t>E. Rodriguez QC</t>
  </si>
  <si>
    <t>Molecular</t>
  </si>
  <si>
    <t>biomed@nch.doh.gov.ph</t>
  </si>
  <si>
    <t>ajunio16@yahoo.com</t>
  </si>
  <si>
    <t xml:space="preserve">ASSAY: Xpert HIV-1 Viral Load, COUNT: 1
ASSAY: Xpert MTB/RIF Ultra, COUNT: 1749
ASSAY: Xpress SARS-CoV-2_Flu_RSV plus, COUNT: 15
</t>
  </si>
  <si>
    <t>GX4 6C</t>
  </si>
  <si>
    <t>For module replacement B3 607894 (def) - 650075 (NEW)</t>
  </si>
  <si>
    <t>Performed module replacement
Cleaned unit
‎Cleaned plunger rod,filter,icore,cartridge bay
‎Gathered reports
‎Test run unit</t>
  </si>
  <si>
    <t>B1, B2, B3 operational
B4 for bservation enable module</t>
  </si>
  <si>
    <t>900-0491Rs</t>
  </si>
  <si>
    <t>https://www.jotform.com/uploads/macarewecare/222927978372067/6514255228714666183/6514255228714666183_signature_28.png</t>
  </si>
  <si>
    <t>Armando V. Junio Jr.</t>
  </si>
  <si>
    <t>https://www.jotform.com/uploads/macarewecare/222927978372067/6514255228714666183/6514255228714666183_signature_31.png</t>
  </si>
  <si>
    <t>Philippine Tuberculosis Society Inc.</t>
  </si>
  <si>
    <t>sannymisorena@gmail.com</t>
  </si>
  <si>
    <t xml:space="preserve">ASSAY: Xpert MTB/RIF Ultra, COUNT: 360
ASSAY: Xpert MTB-XDR, COUNT: 42
</t>
  </si>
  <si>
    <t>GX 4 10C</t>
  </si>
  <si>
    <t>As per wnd user they encpunter 2005 error in module b3</t>
  </si>
  <si>
    <t>Cleaned unit
‎Cleaned plunger rod,filter,icore,cartridge bay
‎Gathered reports
‎Test run unit</t>
  </si>
  <si>
    <t>Performed maintenance and troubleshooting</t>
  </si>
  <si>
    <t>https://www.jotform.com/uploads/macarewecare/222927978372067/6514254878713476139/6514254878713476139_signature_28.png</t>
  </si>
  <si>
    <t>Sanny Isorena</t>
  </si>
  <si>
    <t>https://www.jotform.com/uploads/macarewecare/222927978372067/6514254878713476139/6514254878713476139_signature_31.png</t>
  </si>
  <si>
    <t>Limay Rural Health Unit</t>
  </si>
  <si>
    <t>Pagcor Bldg. Limay Bataan</t>
  </si>
  <si>
    <t>nelsonchavez40771@gmail.com</t>
  </si>
  <si>
    <t>C1/687261
C2/210021632
C3/210100613
C4/609681
For replacement</t>
  </si>
  <si>
    <t>Unit is operational
C1/220003502
C2/210089363
C3/210101852
C4/210112370
Newly replaced module</t>
  </si>
  <si>
    <t>https://www.jotform.com/uploads/macarewecare/222927978372067/6514233552533198876/6514233552533198876_signature_28.png</t>
  </si>
  <si>
    <t>Nelson Chavez</t>
  </si>
  <si>
    <t>https://www.jotform.com/uploads/macarewecare/222927978372067/6514233552533198876/6514233552533198876_signature_31.png</t>
  </si>
  <si>
    <t>Samal Super Health Center</t>
  </si>
  <si>
    <t>Brgy. Tabing Ilog, Samal Bataan</t>
  </si>
  <si>
    <t>Labor</t>
  </si>
  <si>
    <t>samalrhulab@gmail.com</t>
  </si>
  <si>
    <t>A4: 784697 for replacement</t>
  </si>
  <si>
    <t>Performed preventive maintenance 
Replaced module A4
Gathered reports
Performed functionality test</t>
  </si>
  <si>
    <t>Unit is operational 
A4: 220001481 new module</t>
  </si>
  <si>
    <t>https://www.jotform.com/uploads/macarewecare/222927978372067/6514168502532672338/6514168502532672338_signature_28.png</t>
  </si>
  <si>
    <t>Maria Del Mar Cortez</t>
  </si>
  <si>
    <t>https://www.jotform.com/uploads/macarewecare/222927978372067/6514168502532672338/6514168502532672338_signature_31.png</t>
  </si>
  <si>
    <t>Kalinga Health Hub</t>
  </si>
  <si>
    <t>CONSORTIUM</t>
  </si>
  <si>
    <t>kalingahealth.manda@innovationsch.org</t>
  </si>
  <si>
    <t>Module B1 (220000585) for replacement</t>
  </si>
  <si>
    <t>- replaced module by 628967
- checked and cleaned cartridge bay, plunger rod, filter
- performed self test
- generated reports</t>
  </si>
  <si>
    <t>GeneXpert Module
SN: 628967</t>
  </si>
  <si>
    <t>https://www.jotform.com/uploads/macarewecare/222927978372067/6513590423117505920/6513590423117505920_signature_28.png</t>
  </si>
  <si>
    <t>Chin Lyn Corpin</t>
  </si>
  <si>
    <t>https://www.jotform.com/uploads/macarewecare/222927978372067/6513590423117505920/6513590423117505920_signature_31.png</t>
  </si>
  <si>
    <t>Module B2(220000649) for replacement</t>
  </si>
  <si>
    <t>Replaced module B2</t>
  </si>
  <si>
    <t>- replaced module by 618089
- checked and cleaned cartridge bay, plunger rod, filter
- performed self test
- generated reports</t>
  </si>
  <si>
    <t>GeneXpert Module
SN: 618089</t>
  </si>
  <si>
    <t>https://www.jotform.com/uploads/macarewecare/222927978372067/6513587053112341412/6513587053112341412_signature_28.png</t>
  </si>
  <si>
    <t>https://www.jotform.com/uploads/macarewecare/222927978372067/6513587053112341412/6513587053112341412_signature_31.png</t>
  </si>
  <si>
    <t>San Remigio Rural Health Unit</t>
  </si>
  <si>
    <t>Poblacion</t>
  </si>
  <si>
    <t>WHO</t>
  </si>
  <si>
    <t>rodacanetecamay@gmail.com</t>
  </si>
  <si>
    <t>Lost communication all modules die to earth quake.</t>
  </si>
  <si>
    <t>. Save System Log file
. Save Installation Qualifications Report 
. Save Assay Statistics Report.</t>
  </si>
  <si>
    <t>. Resit all wire in module's and check voltage supply of gateway board.
. Run sample test for all module's for B1,B2,B3,B4.
. B1 for observation lost communication error 2123.</t>
  </si>
  <si>
    <t>All module are functional ok to use</t>
  </si>
  <si>
    <t>https://www.jotform.com/uploads/macarewecare/222927978372067/6513541458422005868/6513541458422005868_signature_28.png</t>
  </si>
  <si>
    <t>Roda Camay</t>
  </si>
  <si>
    <t>https://www.jotform.com/uploads/macarewecare/222927978372067/6513541458422005868/6513541458422005868_signature_31.png</t>
  </si>
  <si>
    <t>Ramos Rural Health Unit</t>
  </si>
  <si>
    <t>Ramos Tarlac</t>
  </si>
  <si>
    <t>Tarlac</t>
  </si>
  <si>
    <t>jadeeh8143@yahoo.com</t>
  </si>
  <si>
    <t>B2: 757555 for module replacement</t>
  </si>
  <si>
    <t>Unit is operational
New module B2:220000611</t>
  </si>
  <si>
    <t>https://www.jotform.com/uploads/macarewecare/222927978372067/6513524355911020766/6513524355911020766_signature_28.png</t>
  </si>
  <si>
    <t>Emily Jade Gabriel</t>
  </si>
  <si>
    <t>https://www.jotform.com/uploads/macarewecare/222927978372067/6513524355911020766/6513524355911020766_signature_31.png</t>
  </si>
  <si>
    <t>Giporlos Rural Health Unit</t>
  </si>
  <si>
    <t>Giporlos Eastern Samar</t>
  </si>
  <si>
    <t>CALIBRATION
TROUBLESHOOTING
ON-SITE ASSISTANCE</t>
  </si>
  <si>
    <t>chenniegabornes25@gmail.com</t>
  </si>
  <si>
    <t>GXIV - 6c</t>
  </si>
  <si>
    <t>CPU - not working properly</t>
  </si>
  <si>
    <t>https://www.jotform.com/uploads/macarewecare/222927978372067/6513474668793150478/6513474668793150478_signature_28.png</t>
  </si>
  <si>
    <t>Ma. Chennie I. Gabornes</t>
  </si>
  <si>
    <t>https://www.jotform.com/uploads/macarewecare/222927978372067/6513474668793150478/6513474668793150478_signature_31.png</t>
  </si>
  <si>
    <t>Dasmariñas Social Hygiene Clinic</t>
  </si>
  <si>
    <t>Green Breeze Village, 4 Sitio Piela, Barangay Sampaloc 3, Dasmariñas, Cavite</t>
  </si>
  <si>
    <t>Cavite</t>
  </si>
  <si>
    <t>manzanomarkdave060790@gmail.com</t>
  </si>
  <si>
    <t>For installation</t>
  </si>
  <si>
    <t>Installed the GeneXpert system</t>
  </si>
  <si>
    <t>Installed the GeneXpert system 
-GeneXpert unit
-Workstation
-UPS
-Printer
-Barcode scanner
Functionality test 
Import assay 
Generated IQR</t>
  </si>
  <si>
    <t>Unit is operational.  All modules operational.</t>
  </si>
  <si>
    <t>https://www.jotform.com/uploads/macarewecare/222927978372067/6513463800529201867/6513463800529201867_signature_28.png</t>
  </si>
  <si>
    <t>Mark Dave Manzano</t>
  </si>
  <si>
    <t>https://www.jotform.com/uploads/macarewecare/222927978372067/6513463800529201867/6513463800529201867_signature_31.png</t>
  </si>
  <si>
    <t>Malilipot Rural Health Unit</t>
  </si>
  <si>
    <t>Malilipot, Albay</t>
  </si>
  <si>
    <t>Albay</t>
  </si>
  <si>
    <t>REPAIR
TROUBLESHOOTING</t>
  </si>
  <si>
    <t>Dan Emil Bodino</t>
  </si>
  <si>
    <t>danemilbodino23@gmail.com</t>
  </si>
  <si>
    <t>faithbuban2124@gmail.com</t>
  </si>
  <si>
    <t xml:space="preserve">ASSAY: Xpert MTB/RIF Ultra, COUNT: 3157
</t>
  </si>
  <si>
    <t>GX4-6C</t>
  </si>
  <si>
    <t>Date and time reset
Stuck cartridge</t>
  </si>
  <si>
    <t>Replaced CRC BIOS battery
Stuck cartridge readjust(resolved)
Data collection</t>
  </si>
  <si>
    <t>Performed troubleshooting</t>
  </si>
  <si>
    <t>https://www.jotform.com/uploads/macarewecare/222927978372067/6512898543103634223/6512898543103634223_signature_28.png</t>
  </si>
  <si>
    <t>Faith Buban</t>
  </si>
  <si>
    <t>https://www.jotform.com/uploads/macarewecare/222927978372067/6512898543103634223/6512898543103634223_signature_31.png</t>
  </si>
  <si>
    <t>Alabang Health Center</t>
  </si>
  <si>
    <t>Alabang, Muntinlupa</t>
  </si>
  <si>
    <t>NCR 4th - Muntinlupa</t>
  </si>
  <si>
    <t>cathycarasig@yahoo.com</t>
  </si>
  <si>
    <t>For CPU replacement</t>
  </si>
  <si>
    <t>Replaced CPU</t>
  </si>
  <si>
    <t>Replaced defective CPU 
Performed maintenance 
Functionality test 
Import assay
Generated reports</t>
  </si>
  <si>
    <t>Old CPU: 2UA8471W1J
New CPU: CPH0625F59729</t>
  </si>
  <si>
    <t>https://www.jotform.com/uploads/macarewecare/222927978372067/6512702023612682600/6512702023612682600_signature_28.png</t>
  </si>
  <si>
    <t>Catherine Carasig</t>
  </si>
  <si>
    <t>https://www.jotform.com/uploads/macarewecare/222927978372067/6512702023612682600/6512702023612682600_signature_31.png</t>
  </si>
  <si>
    <t>Pasig Treatment Hub - Sumilang</t>
  </si>
  <si>
    <t>Sumilang, Pasig City</t>
  </si>
  <si>
    <t>NCR 2nd - Pasig</t>
  </si>
  <si>
    <t>pathmedtech@gmail.com</t>
  </si>
  <si>
    <t>dansumulong.pasigcho@gmail.com</t>
  </si>
  <si>
    <t xml:space="preserve">ASSAY: Xpert HIV-1 Viral Load, COUNT: 
</t>
  </si>
  <si>
    <t>Error 1001/2014 on module A2</t>
  </si>
  <si>
    <t>Performed maintenance 
Cleaned:
-Cartridge bay 
-Plunger rod 
-icore 
-Filter 
Generated reports</t>
  </si>
  <si>
    <t>Unit is operational. Module A2/210129252 under observation.</t>
  </si>
  <si>
    <t>https://www.jotform.com/uploads/macarewecare/222927978372067/6512702023614783598/6512702023614783598_signature_28.png</t>
  </si>
  <si>
    <t>Dan Nathaniel Sumulong</t>
  </si>
  <si>
    <t>https://www.jotform.com/uploads/macarewecare/222927978372067/6512702023614783598/6512702023614783598_signature_31.png</t>
  </si>
  <si>
    <t>Department of Health Treatment and Rehabilitation Center - Bicutan</t>
  </si>
  <si>
    <t>Bicutan, Taguig</t>
  </si>
  <si>
    <t>dohtrcbicutan.lab@gmail.com</t>
  </si>
  <si>
    <t xml:space="preserve">ASSAY: Xpert MTB/RIF Ultra, COUNT: 1754
</t>
  </si>
  <si>
    <t>For storing to other room</t>
  </si>
  <si>
    <t>Transferred GeneXpert system to other room</t>
  </si>
  <si>
    <t>Performed maintenance 
Cleaned:
-Cartridge bay 
-Plunger rod
-icore 
-Filter
Generated reports 
Transferred GeneXpert system to other rooms</t>
  </si>
  <si>
    <t>Unit temporarily stored in other room.</t>
  </si>
  <si>
    <t>https://www.jotform.com/uploads/macarewecare/222927978372067/6512702023617526244/6512702023617526244_signature_28.png</t>
  </si>
  <si>
    <t>Ulric Lane D Angosta</t>
  </si>
  <si>
    <t>https://www.jotform.com/uploads/macarewecare/222927978372067/6512702023617526244/6512702023617526244_signature_31.png</t>
  </si>
  <si>
    <t>Pasig Treatment Hub - Champ</t>
  </si>
  <si>
    <t>Pasig City</t>
  </si>
  <si>
    <t xml:space="preserve">ASSAY: Xpert HIV-1 Viral Load, COUNT: 135
ASSAY: Xpert HIV-1 Viral Load, COUNT: 645
</t>
  </si>
  <si>
    <t>https://www.jotform.com/uploads/macarewecare/222927978372067/6512702023619906229/6512702023619906229_signature_28.png</t>
  </si>
  <si>
    <t>Jhozza Jose</t>
  </si>
  <si>
    <t>https://www.jotform.com/uploads/macarewecare/222927978372067/6512702023619906229/6512702023619906229_signature_31.png</t>
  </si>
  <si>
    <t>Metro Health Specialist Hospital Inc.</t>
  </si>
  <si>
    <t>Poblacion, Sorsogon City</t>
  </si>
  <si>
    <t>Sorsogon</t>
  </si>
  <si>
    <t>cmanalansan45@gmail.com</t>
  </si>
  <si>
    <t xml:space="preserve">ASSAY: Xpert HBV VL, COUNT: 24
ASSAY: Xpert HIV-1 Viral Load, COUNT: 2
ASSAY: Xpert HPV, COUNT: 2
ASSAY: Xpert MTB/RIF Ultra, COUNT: 51
ASSAY: Others, COUNT: 2
ASSAY: Xpert HCV VL, COUNT: 3
</t>
  </si>
  <si>
    <t>GX4-10C</t>
  </si>
  <si>
    <t>Gx for Preventive Maintenance</t>
  </si>
  <si>
    <t>Cleaned cartridge bays, plunger rod
Self test module
Generate data</t>
  </si>
  <si>
    <t>Performed Preventive Maintenance</t>
  </si>
  <si>
    <t>Unit is operational
All 4 modules are operational</t>
  </si>
  <si>
    <t>https://www.jotform.com/uploads/macarewecare/222927978372067/6512559843107928125/6512559843107928125_signature_28.png</t>
  </si>
  <si>
    <t>Shawn manalansan</t>
  </si>
  <si>
    <t>https://www.jotform.com/uploads/macarewecare/222927978372067/6512559843107928125/6512559843107928125_signature_31.png</t>
  </si>
  <si>
    <t>Balud Rural Health Unit</t>
  </si>
  <si>
    <t>Balud, Masbate</t>
  </si>
  <si>
    <t>Masbate</t>
  </si>
  <si>
    <t>rhu_balud1@yahoo.com</t>
  </si>
  <si>
    <t xml:space="preserve">ASSAY: Xpert MTB/RIF Ultra, COUNT: 631
</t>
  </si>
  <si>
    <t>687101 for replacement
Date and time reset</t>
  </si>
  <si>
    <t>Module B1: 687101 &gt;&gt; 210114896
Replaced CRC BIOS battery
Cleaned cartridge bays, plunger rod, icore, fan filter
Generate Data</t>
  </si>
  <si>
    <t>Performed module replacement 
Performed Preventive Maintenance 
Performed CRC BIOS battery replacement</t>
  </si>
  <si>
    <t>Unit is operational 
All Gx modules are operational</t>
  </si>
  <si>
    <t>https://www.jotform.com/uploads/macarewecare/222927978372067/6512558973101004704/6512558973101004704_signature_28.png</t>
  </si>
  <si>
    <t>Sharon Oliva</t>
  </si>
  <si>
    <t>https://www.jotform.com/uploads/macarewecare/222927978372067/6512558973101004704/6512558973101004704_signature_31.png</t>
  </si>
  <si>
    <t>Bicol Medical Center</t>
  </si>
  <si>
    <t>Pequeña, Naga</t>
  </si>
  <si>
    <t>Camarines Sur</t>
  </si>
  <si>
    <t>bamborjaph@gmail.com</t>
  </si>
  <si>
    <t>15H027G</t>
  </si>
  <si>
    <t>Unit leaked fluid in centrifuge</t>
  </si>
  <si>
    <t>Cleaned Unit surface
Cleaned Centrifuge bowl
Checked parameters</t>
  </si>
  <si>
    <t>https://www.jotform.com/uploads/macarewecare/222927978372067/6512510583101256620/6512510583101256620_signature_28.png</t>
  </si>
  <si>
    <t>Reynan Borja</t>
  </si>
  <si>
    <t>https://www.jotform.com/uploads/macarewecare/222927978372067/6512510583101256620/6512510583101256620_signature_31.png</t>
  </si>
  <si>
    <t>15H031G</t>
  </si>
  <si>
    <t>Dirty waste bag</t>
  </si>
  <si>
    <t>Cleaned unit surface
Cleanes centrifuge bowl
Checked parameters
Replaced waste bag</t>
  </si>
  <si>
    <t>Replaced waste bag
Performed preventive maintenance</t>
  </si>
  <si>
    <t>Unit is operarional</t>
  </si>
  <si>
    <t>https://www.jotform.com/uploads/macarewecare/222927978372067/6512506433102445350/6512506433102445350_signature_28.png</t>
  </si>
  <si>
    <t>REYNAN BORJA</t>
  </si>
  <si>
    <t>https://www.jotform.com/uploads/macarewecare/222927978372067/6512506433102445350/6512506433102445350_signature_31.png</t>
  </si>
  <si>
    <t>St Lukes Extension Clinic</t>
  </si>
  <si>
    <t>J. Bocobo St, Manila</t>
  </si>
  <si>
    <t>Patrick Los Baños</t>
  </si>
  <si>
    <t>plosbanos@macare-medicals.com</t>
  </si>
  <si>
    <t>laboratory@slec.ph</t>
  </si>
  <si>
    <t>Infinity 48s</t>
  </si>
  <si>
    <t>Conveyor belt not working during operation</t>
  </si>
  <si>
    <t>Adjusted damaged conveyor belt to avoid stuck up</t>
  </si>
  <si>
    <t>Performed basic troubleshooting</t>
  </si>
  <si>
    <t>Unit is operational, conveyor belt temporarily fixed but shows signs of wear and tear damage and needs replacing</t>
  </si>
  <si>
    <t>https://www.jotform.com/uploads/macarewecare/222927978372067/6512470093618282457/6512470093618282457_signature_28.png</t>
  </si>
  <si>
    <t>Ma. Sarah Salvador</t>
  </si>
  <si>
    <t>https://www.jotform.com/uploads/macarewecare/222927978372067/6512470093618282457/6512470093618282457_signature_31.png</t>
  </si>
  <si>
    <t>PGH MRL</t>
  </si>
  <si>
    <t>Taft Avenue</t>
  </si>
  <si>
    <t>MRL</t>
  </si>
  <si>
    <t>mcreyes@up.edu.ph</t>
  </si>
  <si>
    <t xml:space="preserve">ASSAY: Xpert HIV-1 Viral Load, COUNT: 189
ASSAY: Xpert MTB/RIF Ultra, COUNT: 1475
ASSAY: Xpert HIV-1 Viral Load, COUNT: 1272
</t>
  </si>
  <si>
    <t>Due for xpertcheck and maintenance</t>
  </si>
  <si>
    <t>Cleaned unit
Cleaned plunger rod, filter, icore
Gathered reports
Performed xpertcheck
Back up gxx files</t>
  </si>
  <si>
    <t>Performed xpertcheck</t>
  </si>
  <si>
    <t>B3 806677 failed in xpertcheck
B1 ,B2 passed
B4 unable to perform xpertcheck due to lack of cartridge</t>
  </si>
  <si>
    <t>https://www.jotform.com/uploads/macarewecare/222927978372067/6512431363618273122/6512431363618273122_signature_28.png</t>
  </si>
  <si>
    <t>Marjorie C. Reyes</t>
  </si>
  <si>
    <t>https://www.jotform.com/uploads/macarewecare/222927978372067/6512431363618273122/6512431363618273122_signature_31.png</t>
  </si>
  <si>
    <t>Cleaned unit 
Cleaned filter, plunger rod, cartridge bay
Gathered reports
Back up gxx files</t>
  </si>
  <si>
    <t>Performed xpertcheck and maintenance</t>
  </si>
  <si>
    <t>C4 passed
C1, C2, C3 unable to performed xpertcheck lack of kits</t>
  </si>
  <si>
    <t>https://www.jotform.com/uploads/macarewecare/222927978372067/6512428491227198919/6512428491227198919_signature_28.png</t>
  </si>
  <si>
    <t>https://www.jotform.com/uploads/macarewecare/222927978372067/6512428491227198919/6512428491227198919_signature_31.png</t>
  </si>
  <si>
    <t>E. Rodriguez</t>
  </si>
  <si>
    <t>High temp due to high ambient temp
Formation  of ice in tubings</t>
  </si>
  <si>
    <t>Check unit
Checked connwction 
Checked amperage
Shut down unit</t>
  </si>
  <si>
    <t>Advise end user turn on the machine thus coming monday 4/6/2026
For further observation</t>
  </si>
  <si>
    <t>https://www.jotform.com/uploads/macarewecare/222927978372067/6508515433344252231/6508515433344252231_signature_28.png</t>
  </si>
  <si>
    <t>Terah debuyan</t>
  </si>
  <si>
    <t>https://www.jotform.com/uploads/macarewecare/222927978372067/6508515433344252231/6508515433344252231_signature_31.png</t>
  </si>
  <si>
    <t>PGH</t>
  </si>
  <si>
    <t>Central Lab</t>
  </si>
  <si>
    <t>Pghmolecularlab@gmail.com</t>
  </si>
  <si>
    <t>GX16</t>
  </si>
  <si>
    <t>B1, B3, C2 HW failed
A3, A4, B2, B4, C1, C3, C4, D2, D3, D4 disabled due to error</t>
  </si>
  <si>
    <t>Cleaned unit
Cleaned filter, plunger rod, icore, cartridge bay
Back up data
Gathered reports</t>
  </si>
  <si>
    <t>A1, A2, D1 operational</t>
  </si>
  <si>
    <t>https://www.jotform.com/uploads/macarewecare/222927978372067/6508515023348710274/6508515023348710274_signature_28.png</t>
  </si>
  <si>
    <t>Kleante Bautro</t>
  </si>
  <si>
    <t>https://www.jotform.com/uploads/macarewecare/222927978372067/6508515023348710274/6508515023348710274_signature_31.png</t>
  </si>
  <si>
    <t>Central lab</t>
  </si>
  <si>
    <t xml:space="preserve">ASSAY: Xpert CT/NG, COUNT: 4
ASSAY: Xpert HPV, COUNT: 46
ASSAY: Xpert SARS-CoV-2, COUNT: 360
</t>
  </si>
  <si>
    <t>B2, B3, B4 disabled
Defective keyboard</t>
  </si>
  <si>
    <t>Cleaned unit
Cleaned filter, Icore, Plunger rod, Cartridge bay
Gathered reports</t>
  </si>
  <si>
    <t>B1 operational</t>
  </si>
  <si>
    <t>https://www.jotform.com/uploads/macarewecare/222927978372067/6508514583342954148/6508514583342954148_signature_28.png</t>
  </si>
  <si>
    <t>https://www.jotform.com/uploads/macarewecare/222927978372067/6508514583342954148/6508514583342954148_signature_31.png</t>
  </si>
  <si>
    <t>Valeriano Fugoso Health Center RTDL</t>
  </si>
  <si>
    <t>Lacson cor Arago st., Sta Cruz Manila</t>
  </si>
  <si>
    <t>julie19_esguerra@yahoo.com</t>
  </si>
  <si>
    <t>For module replacement 702259 - 210079099   650710 - 210087033
For monitor replacement s/n cnk832243y -  cn-01hrfc-fcc00-4cj-eoux-A00
For CPU replacement 2ua8471v20 - CPH0625F59728</t>
  </si>
  <si>
    <t>Replaced module, CPU and monitor
Upload Adf and user account
Performed self test 
Cleaned plunger 
Gathered reports</t>
  </si>
  <si>
    <t>Performed repair</t>
  </si>
  <si>
    <t>Genexpert 6 color module
Monitor
Dell workstation</t>
  </si>
  <si>
    <t>https://www.jotform.com/uploads/macarewecare/222927978372067/6508513783342856922/6508513783342856922_signature_28.png</t>
  </si>
  <si>
    <t>Julie o. Esguerra</t>
  </si>
  <si>
    <t>https://www.jotform.com/uploads/macarewecare/222927978372067/6508513783342856922/6508513783342856922_signature_31.png</t>
  </si>
  <si>
    <t>UST Hospital</t>
  </si>
  <si>
    <t>Espana, Mania</t>
  </si>
  <si>
    <t>bloodbank@usthospital.com.ph</t>
  </si>
  <si>
    <t>02F069</t>
  </si>
  <si>
    <t>Unit for regular maintenance</t>
  </si>
  <si>
    <t>Performed maintwnance.</t>
  </si>
  <si>
    <t>Performed unit maintenance and cleaning.
Checked pump rotor roller.
Performed functionality test.</t>
  </si>
  <si>
    <t>https://www.jotform.com/uploads/macarewecare/222927978372067/6508376051118272218/6508376051118272218_signature_28.png</t>
  </si>
  <si>
    <t>Cherrissa Gabriel</t>
  </si>
  <si>
    <t>https://www.jotform.com/uploads/macarewecare/222927978372067/6508376051118272218/6508376051118272218_signature_31.png</t>
  </si>
  <si>
    <t>Surigao Doctors Hospital</t>
  </si>
  <si>
    <t>Brgy. Rizal, Surigao City</t>
  </si>
  <si>
    <t>Surigao del Norte</t>
  </si>
  <si>
    <t>Microbiology Laboratory</t>
  </si>
  <si>
    <t>Faizar Avenido</t>
  </si>
  <si>
    <t>avenido.faifai@gmail.com</t>
  </si>
  <si>
    <t>surigaodoctors@gmail.com</t>
  </si>
  <si>
    <t>GX4 6 Colors 4 sites</t>
  </si>
  <si>
    <t>Installation of GeneXpert Machine and its peripherals.
Discussing Preventive Maintenance and functionality of GX Software.</t>
  </si>
  <si>
    <t>All modules and units are functional.</t>
  </si>
  <si>
    <t>https://www.jotform.com/uploads/macarewecare/222927978372067/6508351821229157787/6508351821229157787_signature_28.png</t>
  </si>
  <si>
    <t>Russ Wayan</t>
  </si>
  <si>
    <t>https://www.jotform.com/uploads/macarewecare/222927978372067/6508351821229157787/6508351821229157787_signature_31.png</t>
  </si>
  <si>
    <t>ustimp@yahoo.com</t>
  </si>
  <si>
    <t xml:space="preserve">ASSAY: Xpert BCR-ABL Ultra, COUNT: 21
ASSAY: Xpert HIV-1 Viral Load, COUNT: 17
ASSAY: Xpert MTB/RIF Ultra, COUNT: 5
ASSAY: , COUNT: 744
</t>
  </si>
  <si>
    <t>For unit xpertcheck calibration.</t>
  </si>
  <si>
    <t>Performed unit mintenance and xpertcheck calibration.</t>
  </si>
  <si>
    <t>Perforned unit maintanance and cleaning.
Performed xpertcheck calibration.</t>
  </si>
  <si>
    <t>Unit is operational.
Module B2: 210004296 - service required.</t>
  </si>
  <si>
    <t>Xpertcheck kit</t>
  </si>
  <si>
    <t>https://www.jotform.com/uploads/macarewecare/222927978372067/6508332190422444220/6508332190422444220_signature_28.png</t>
  </si>
  <si>
    <t>SHERLEEN CALAUNAN</t>
  </si>
  <si>
    <t>https://www.jotform.com/uploads/macarewecare/222927978372067/6508332190422444220/6508332190422444220_signature_31.png</t>
  </si>
  <si>
    <t>Aloguinsan Rural Health Unit</t>
  </si>
  <si>
    <t>Poblacion Aloguinsan Cebu</t>
  </si>
  <si>
    <t>CPU Pullout</t>
  </si>
  <si>
    <t>aloguinsanrhulaboratory@gmail.com</t>
  </si>
  <si>
    <t>Cannot power ON cpu Serial number CPH119F04158</t>
  </si>
  <si>
    <t>Pull out CPU</t>
  </si>
  <si>
    <t>For repair.</t>
  </si>
  <si>
    <t>https://www.jotform.com/uploads/macarewecare/222927978372067/6508208711224614617/6508208711224614617_signature_28.png</t>
  </si>
  <si>
    <t>Jennifer Sayson</t>
  </si>
  <si>
    <t>https://www.jotform.com/uploads/macarewecare/222927978372067/6508208711224614617/6508208711224614617_signature_31.png</t>
  </si>
  <si>
    <t>CPU for replacement</t>
  </si>
  <si>
    <t>https://www.jotform.com/uploads/macarewecare/222927978372067/6508182296418282170/6508182296418282170_signature_28.png</t>
  </si>
  <si>
    <t>https://www.jotform.com/uploads/macarewecare/222927978372067/6508182296418282170/6508182296418282170_signature_31.png</t>
  </si>
  <si>
    <t>Isulan Rural Health Unit</t>
  </si>
  <si>
    <t>Isulan, Sultan Kudarat</t>
  </si>
  <si>
    <t>UNOPS</t>
  </si>
  <si>
    <t>isulanrhuclin.lab@gmail.com</t>
  </si>
  <si>
    <t xml:space="preserve">ASSAY: Xpert MTB/RIF Ultra, COUNT: 1224
ASSAY: Xpert HIV-1 Viral Load, COUNT: 10
</t>
  </si>
  <si>
    <t>GxIV-10C</t>
  </si>
  <si>
    <t>Perform Genexpert machine Cleaning and maintenance 
Module cleaning 
Plunger rod and Optics cleaning 
Fan and filter cleaning 
Checking of module status and problem 
Data collection</t>
  </si>
  <si>
    <t>4 operational modules</t>
  </si>
  <si>
    <t>https://www.jotform.com/uploads/macarewecare/222927978372067/6507740157323381313/6507740157323381313_signature_28.png</t>
  </si>
  <si>
    <t>FEBIE JEN APIADO</t>
  </si>
  <si>
    <t>https://www.jotform.com/uploads/macarewecare/222927978372067/6507740157323381313/6507740157323381313_signature_31.png</t>
  </si>
  <si>
    <t>Norala District Hospital</t>
  </si>
  <si>
    <t>Norala, South Cotabato</t>
  </si>
  <si>
    <t>South Cotabato</t>
  </si>
  <si>
    <t>noralaDHlaboratory@gmail.com</t>
  </si>
  <si>
    <t xml:space="preserve">ASSAY: Xpert MTB/RIF Ultra, COUNT: 1266
</t>
  </si>
  <si>
    <t>GxIV-6C</t>
  </si>
  <si>
    <t>https://www.jotform.com/uploads/macarewecare/222927978372067/6507740157329196244/6507740157329196244_signature_28.png</t>
  </si>
  <si>
    <t>Geraldine Magan, RMT</t>
  </si>
  <si>
    <t>https://www.jotform.com/uploads/macarewecare/222927978372067/6507740157329196244/6507740157329196244_signature_31.png</t>
  </si>
  <si>
    <t>Pasig City General Hospital</t>
  </si>
  <si>
    <t>vilmarumadhay@gmail.com</t>
  </si>
  <si>
    <t>For CPU and Gateway board replacement</t>
  </si>
  <si>
    <t>Replaced CPU and gateway board</t>
  </si>
  <si>
    <t>Replaced CPU
Replaced gateway board 
Configured gateway board SN
Installed assay
Performed maintenance 
Generated reports</t>
  </si>
  <si>
    <t>Unit is operational. All modules operational</t>
  </si>
  <si>
    <t>Old CPU SN: 2UA3520W1P
New CPU SN: CPH0625F59563
Old gateway board SN: 720025735
New Gateway board SN: 720053450</t>
  </si>
  <si>
    <t>https://www.jotform.com/uploads/macarewecare/222927978372067/6507471301323061400/6507471301323061400_signature_28.png</t>
  </si>
  <si>
    <t>Vilma Umadhay</t>
  </si>
  <si>
    <t>https://www.jotform.com/uploads/macarewecare/222927978372067/6507471301323061400/6507471301323061400_signature_31.png</t>
  </si>
  <si>
    <t>Klinika Project 7 Health Center</t>
  </si>
  <si>
    <t>CALIBRATION</t>
  </si>
  <si>
    <t>freyaoriana@yahoo.com</t>
  </si>
  <si>
    <t>Unit for calibration</t>
  </si>
  <si>
    <t>Performed XpertCheck</t>
  </si>
  <si>
    <t>Unit is operational
B1: Failed
B2: Passed
B3: Failed
B4: Passed</t>
  </si>
  <si>
    <t>https://www.jotform.com/uploads/macarewecare/222927978372067/6507459929515502034/6507459929515502034_signature_28.png</t>
  </si>
  <si>
    <t>Alyanna Faye Zerudo</t>
  </si>
  <si>
    <t>https://www.jotform.com/uploads/macarewecare/222927978372067/6507459929515502034/6507459929515502034_signature_31.png</t>
  </si>
  <si>
    <t>Bogo City Health Office</t>
  </si>
  <si>
    <t>Bogo City, Cebu</t>
  </si>
  <si>
    <t>CALIBRATION
MAINTENANCE
ON-SITE ASSISTANCE</t>
  </si>
  <si>
    <t>bogocholab@gmail.com</t>
  </si>
  <si>
    <t>Gx 4</t>
  </si>
  <si>
    <t>retry modules 2 and 4</t>
  </si>
  <si>
    <t>Re-run for retry modules 2 and 4
Gather data IQR and calibration data
Transfer location of genexpert machine from Bogo Provincial hospital to super health center</t>
  </si>
  <si>
    <t>Systems operational</t>
  </si>
  <si>
    <t>https://www.jotform.com/uploads/macarewecare/222927978372067/6507396746214679673/6507396746214679673_signature_28.png</t>
  </si>
  <si>
    <t>Reggie V. Dahili</t>
  </si>
  <si>
    <t>https://www.jotform.com/uploads/macarewecare/222927978372067/6507396746214679673/6507396746214679673_signature_31.png</t>
  </si>
  <si>
    <t>Tarlac City Health Center X</t>
  </si>
  <si>
    <t>Brgy. Tibag, Tarlac City</t>
  </si>
  <si>
    <t>Laboratories</t>
  </si>
  <si>
    <t>jayteecornelius@gmail.com</t>
  </si>
  <si>
    <t>CPU:2UA8471VSN For replacement
B2:784728 for replacement</t>
  </si>
  <si>
    <t>Preventive maintenance 
Installation and setup
Module replacement</t>
  </si>
  <si>
    <t>Performed preventive maintenance 
Performed CPU installation and setup
Performed module replacement 
Gathered reports
Performed functionality test</t>
  </si>
  <si>
    <t>Unit is operation
New CPU:CPH0625F59558
New B2:736799</t>
  </si>
  <si>
    <t>https://www.jotform.com/uploads/macarewecare/222927978372067/6507365547986760962/6507365547986760962_signature_28.png</t>
  </si>
  <si>
    <t>Jaytee Cornelius Bachiller</t>
  </si>
  <si>
    <t>https://www.jotform.com/uploads/macarewecare/222927978372067/6507365547986760962/6507365547986760962_signature_31.png</t>
  </si>
  <si>
    <t>Asian Hospital and Medical Center</t>
  </si>
  <si>
    <t>Civic Dr., Filinvest, Muntinlupa</t>
  </si>
  <si>
    <t>Brenguiler Bagbaguen</t>
  </si>
  <si>
    <t>bagbaguenbrenguiler@gmail.com</t>
  </si>
  <si>
    <t>molecularpathology@asianhospital.com</t>
  </si>
  <si>
    <t xml:space="preserve">ASSAY: Xpert BCR-ABL Ultra, COUNT: 10
ASSAY: Xpert CT/NG, COUNT: 86
ASSAY: Xpert HBV VL, COUNT: 177
ASSAY: Xpert HIV-1 Viral Load, COUNT: 56
ASSAY: Xpert HPV, COUNT: 201
ASSAY: Xpert MTB/RIF Ultra, COUNT: 1294
ASSAY: Others, COUNT: 94
</t>
  </si>
  <si>
    <t>GXIV-D-10C</t>
  </si>
  <si>
    <t>Module 2 with Temperature Error(Error Code:2014)</t>
  </si>
  <si>
    <t>Module Replacement.</t>
  </si>
  <si>
    <t>Replaced Defective Module with New Module.
Performed Self-test.
Generate Reports.
Performed Functionality Test.</t>
  </si>
  <si>
    <t>B2: Def/210076074 -&gt; New/210077663</t>
  </si>
  <si>
    <t>https://www.jotform.com/uploads/macarewecare/222927978372067/6507330110911140939/6507330110911140939_signature_28.png</t>
  </si>
  <si>
    <t>Trisha Faye Pastor</t>
  </si>
  <si>
    <t>https://www.jotform.com/uploads/macarewecare/222927978372067/6507330110911140939/6507330110911140939_signature_31.png</t>
  </si>
  <si>
    <t>Quezon City Molecular Diagnostics Laboratory</t>
  </si>
  <si>
    <t>molecularlab.cityhealth@quezoncity.gov.ph</t>
  </si>
  <si>
    <t>https://www.jotform.com/uploads/macarewecare/222927978372067/6507318739514968204/6507318739514968204_signature_28.png</t>
  </si>
  <si>
    <t>https://www.jotform.com/uploads/macarewecare/222927978372067/6507318739514968204/6507318739514968204_signature_31.png</t>
  </si>
  <si>
    <t>Bayambang District Hospital</t>
  </si>
  <si>
    <t>Bayambang, Pangasinan</t>
  </si>
  <si>
    <t>Pangasinan</t>
  </si>
  <si>
    <t>TB DOTS</t>
  </si>
  <si>
    <t>Yasser Salih</t>
  </si>
  <si>
    <t>yass.salih97@gmail.com</t>
  </si>
  <si>
    <t>bevzneri@gmail.com</t>
  </si>
  <si>
    <t>GXIV-4-D-6C</t>
  </si>
  <si>
    <t>For Preventive Maintenance</t>
  </si>
  <si>
    <t>Unit is Partially Operational 
Modules A1 and A4 currently disabled after failed XpertCheck on 08.22.2025</t>
  </si>
  <si>
    <t>https://www.jotform.com/uploads/macarewecare/222927978372067/6507284893644654559/6507284893644654559_signature_28.png</t>
  </si>
  <si>
    <t>Beverly A. Neri</t>
  </si>
  <si>
    <t>https://www.jotform.com/uploads/macarewecare/222927978372067/6507284893644654559/6507284893644654559_signature_31.png</t>
  </si>
  <si>
    <t>Urdaneta Sacred Heart Hospital</t>
  </si>
  <si>
    <t>Urdaneta City, Pangasinan</t>
  </si>
  <si>
    <t>annabellelcatbagan@gmail.com</t>
  </si>
  <si>
    <t>GXII-2D</t>
  </si>
  <si>
    <t>Unit is Partially Operational 
Module A1 is currently Disabled</t>
  </si>
  <si>
    <t>https://www.jotform.com/uploads/macarewecare/222927978372067/6507284093645737837/6507284093645737837_signature_28.png</t>
  </si>
  <si>
    <t>ANGELA KATE DELA PEÑA</t>
  </si>
  <si>
    <t>https://www.jotform.com/uploads/macarewecare/222927978372067/6507284093645737837/6507284093645737837_signature_31.png</t>
  </si>
  <si>
    <t>Mangatarem Rural Health Unit</t>
  </si>
  <si>
    <t>Mangatarem, Pangasinan</t>
  </si>
  <si>
    <t>slasheiji1988new@gmail.com</t>
  </si>
  <si>
    <t>https://www.jotform.com/uploads/macarewecare/222927978372067/6507282843645785995/6507282843645785995_signature_28.png</t>
  </si>
  <si>
    <t>Ken Lee Aquino</t>
  </si>
  <si>
    <t>https://www.jotform.com/uploads/macarewecare/222927978372067/6507282843645785995/6507282843645785995_signature_31.png</t>
  </si>
  <si>
    <t>Vicente Sotto Memorial Medical Center</t>
  </si>
  <si>
    <t>B. Rodriguez St. , Cebu City</t>
  </si>
  <si>
    <t>vsmmcbloodservices@gmail.com</t>
  </si>
  <si>
    <t>02A090</t>
  </si>
  <si>
    <t>Purple valve problem during startup of the procedure of apheresis.</t>
  </si>
  <si>
    <t>Check pneumatic assembly in the MCS+.
Restart machine and test in the diagnostic mode.
Check voltage supply and UPS side.</t>
  </si>
  <si>
    <t>MCS+ unit is operational. Pneumatic assembly sometimes noisy during startup. Require end-user to observe during the week.</t>
  </si>
  <si>
    <t>https://www.jotform.com/uploads/macarewecare/222927978372067/6506783513423956221/6506783513423956221_signature_28.png</t>
  </si>
  <si>
    <t>Charlotte Mae Ygoña, RMT</t>
  </si>
  <si>
    <t>https://www.jotform.com/uploads/macarewecare/222927978372067/6506783513423956221/6506783513423956221_signature_31.png</t>
  </si>
  <si>
    <t>The Medical City</t>
  </si>
  <si>
    <t>Ortigas Ave Pasig City</t>
  </si>
  <si>
    <t>IPMM</t>
  </si>
  <si>
    <t>regenerativemedicine@themedicalcity.com</t>
  </si>
  <si>
    <t>04H070</t>
  </si>
  <si>
    <t>https://www.jotform.com/uploads/macarewecare/222927978372067/6506679153611717097/6506679153611717097_signature_28.png</t>
  </si>
  <si>
    <t>Gracia Tina A. Angara</t>
  </si>
  <si>
    <t>https://www.jotform.com/uploads/macarewecare/222927978372067/6506679153611717097/6506679153611717097_signature_31.png</t>
  </si>
  <si>
    <t>St. Luke's Medical Center -BGC</t>
  </si>
  <si>
    <t>Rizal Dr., Taguig City</t>
  </si>
  <si>
    <t>biomedreports@stlukes.com.ph</t>
  </si>
  <si>
    <t>advancedmoleculardx@stlukes.com.ph</t>
  </si>
  <si>
    <t xml:space="preserve">ASSAY: Xpert BCR-ABL Ultra, COUNT: 50
ASSAY: Xpert CT/NG, COUNT: 192
ASSAY: Xpert HBV VL, COUNT: 151
ASSAY: Xpert HPV, COUNT: 349
ASSAY: Xpert MTB/RIF Ultra, COUNT: 852
ASSAY: Xpert HCV VL, COUNT: 17
ASSAY: Xpert HIV-1 Viral Load, COUNT: 146
</t>
  </si>
  <si>
    <t>Performed maintenance
Cleaned:
-Cartridge bay 
-Plunger rod 
-Icore 
-Filter 
Generated reports</t>
  </si>
  <si>
    <t>Unit is operational. Module A2/866696 not operational, reported already.</t>
  </si>
  <si>
    <t>https://www.jotform.com/uploads/macarewecare/222927978372067/6506679153612002138/6506679153612002138_signature_28.png</t>
  </si>
  <si>
    <t>Jordan Purpura</t>
  </si>
  <si>
    <t>https://www.jotform.com/uploads/macarewecare/222927978372067/6506679153612002138/6506679153612002138_signature_31.png</t>
  </si>
  <si>
    <t>St. Luke's Medical Center - BGC</t>
  </si>
  <si>
    <t xml:space="preserve">ASSAY: Xpert BCR-ABL Ultra, COUNT: 158
ASSAY: Xpert CT/NG, COUNT: 549
ASSAY: Others, COUNT: 7
ASSAY: Xpert HBV VL, COUNT: 190
ASSAY: Xpert HIV-1 Viral Load, COUNT: 153
ASSAY: Xpert HPV, COUNT: 788
ASSAY: Xpert MTB/RIF Ultra, COUNT: 2075
ASSAY: Xpert MTB-XDR, COUNT: 34
ASSAY: Xpert HCV VL, COUNT: 47
ASSAY: Xpert HIV-1 Viral Load, COUNT: 237
</t>
  </si>
  <si>
    <t>Error 2120/2124 in mdoule B1, B2 and B3</t>
  </si>
  <si>
    <t>Reseat cables</t>
  </si>
  <si>
    <t>Performed maintenance 
Checked connections
Reseat cables
Performed Self test 
Generated reports</t>
  </si>
  <si>
    <t>Unit is operational. All modules operational but under observation.</t>
  </si>
  <si>
    <t>https://www.jotform.com/uploads/macarewecare/222927978372067/6506679153613239209/6506679153613239209_signature_28.png</t>
  </si>
  <si>
    <t>https://www.jotform.com/uploads/macarewecare/222927978372067/6506679153613239209/6506679153613239209_signature_31.png</t>
  </si>
  <si>
    <t>Angono Rural Health Unit</t>
  </si>
  <si>
    <t>Angono, Rizal</t>
  </si>
  <si>
    <t>aimielyvonnedla@gmail.com</t>
  </si>
  <si>
    <t xml:space="preserve">ASSAY: Xpert MTB/RIF Ultra, COUNT: 1237
</t>
  </si>
  <si>
    <t>For XpertCheck</t>
  </si>
  <si>
    <t>Performed maintenance 
Cleaned:
-Cartridge bay
-Plunger rod 
-Icore 
-filter 
Run XpertCheck 
Generated reports</t>
  </si>
  <si>
    <t>Unit is operational. Module A3/624401 failed in XpertCheck.</t>
  </si>
  <si>
    <t>https://www.jotform.com/uploads/macarewecare/222927978372067/6506679153617432621/6506679153617432621_signature_28.png</t>
  </si>
  <si>
    <t>Aimiel Yvonne De Las Alas</t>
  </si>
  <si>
    <t>https://www.jotform.com/uploads/macarewecare/222927978372067/6506679153617432621/6506679153617432621_signature_31.png</t>
  </si>
  <si>
    <t>Don Emilio Del Valle Memorial Hospital</t>
  </si>
  <si>
    <t>Ubay Bohol</t>
  </si>
  <si>
    <t>drmpbrmtmd28@gmail.com</t>
  </si>
  <si>
    <t>Module A2,A3,A4 continuous error code # 2120,2124,4014</t>
  </si>
  <si>
    <t>. Save Installation Qualifications Report 
. Save System log Report 
. Save Assay Statistics Report.</t>
  </si>
  <si>
    <t>. Cleaning filter and plunger rod cleaning.</t>
  </si>
  <si>
    <t>Under observation.</t>
  </si>
  <si>
    <t>https://www.jotform.com/uploads/macarewecare/222927978372067/6506592247616894749/6506592247616894749_signature_28.png</t>
  </si>
  <si>
    <t>Michelle P. Bacaling</t>
  </si>
  <si>
    <t>https://www.jotform.com/uploads/macarewecare/222927978372067/6506592247616894749/6506592247616894749_signature_31.png</t>
  </si>
  <si>
    <t>Eastern Visayas Medical Center</t>
  </si>
  <si>
    <t>Tacloban City</t>
  </si>
  <si>
    <t>earosales80@gmail.com</t>
  </si>
  <si>
    <t xml:space="preserve">ASSAY: Xpert MTB/RIF Ultra, COUNT: 2991
ASSAY: Xpert MTB-XDR, COUNT: 40
</t>
  </si>
  <si>
    <t>GXIV 10c</t>
  </si>
  <si>
    <t>https://www.jotform.com/uploads/macarewecare/222927978372067/6506568606715247604/6506568606715247604_signature_28.png</t>
  </si>
  <si>
    <t>Emmylou Rosales</t>
  </si>
  <si>
    <t>https://www.jotform.com/uploads/macarewecare/222927978372067/6506568606715247604/6506568606715247604_signature_31.png</t>
  </si>
  <si>
    <t>San Mateo Super Health Center</t>
  </si>
  <si>
    <t>GSIS rd, San Mateo</t>
  </si>
  <si>
    <t>superhealthlaboratory@gmail.com</t>
  </si>
  <si>
    <t xml:space="preserve">ASSAY: Xpert HIV-1 Viral Load, COUNT: 15
ASSAY: Xpert MTB/RIF Ultra, COUNT: 2108
ASSAY: Xpert HIV-1 Viral Load, COUNT: 119
</t>
  </si>
  <si>
    <t>GX4D</t>
  </si>
  <si>
    <t>As per end user they booting issue in workstation</t>
  </si>
  <si>
    <t>Checked workstation 
Cleaned memory card 
Reset all cable
Checked bios set up
Test run unit</t>
  </si>
  <si>
    <t>https://www.jotform.com/uploads/macarewecare/222927978372067/6506503494716002737/6506503494716002737_signature_28.png</t>
  </si>
  <si>
    <t>San Mateo Super Health</t>
  </si>
  <si>
    <t>https://www.jotform.com/uploads/macarewecare/222927978372067/6506503494716002737/6506503494716002737_signature_31.png</t>
  </si>
  <si>
    <t>Lung Center of the Philippines</t>
  </si>
  <si>
    <t>Quezon Avenue</t>
  </si>
  <si>
    <t>lcpmicrolab@gmail.com</t>
  </si>
  <si>
    <t xml:space="preserve">ASSAY: Xpert HIV-1 Viral Load, COUNT: 2
ASSAY: Xpert MTB/RIF Ultra, COUNT: 24
ASSAY: Xpert MTB-XDR, COUNT: 1
ASSAY: Xpert HIV-1 Viral Load, COUNT: 4
</t>
  </si>
  <si>
    <t>For printer installtion</t>
  </si>
  <si>
    <t>Performed printer installation
Test unit</t>
  </si>
  <si>
    <t>Printer installation</t>
  </si>
  <si>
    <t>https://www.jotform.com/uploads/macarewecare/222927978372067/6506503024719277193/6506503024719277193_signature_28.png</t>
  </si>
  <si>
    <t>Laurence Laquindanum</t>
  </si>
  <si>
    <t>https://www.jotform.com/uploads/macarewecare/222927978372067/6506503024719277193/6506503024719277193_signature_31.png</t>
  </si>
  <si>
    <t>To Love Yourself</t>
  </si>
  <si>
    <t>Anglo Shaw blvd</t>
  </si>
  <si>
    <t>CALIBRATION
MAINTENANCE
TROUBLESHOOTING</t>
  </si>
  <si>
    <t>LW Scientific C3 select</t>
  </si>
  <si>
    <t>laboratory@loveyourself.ph</t>
  </si>
  <si>
    <t>EZ Swing 3k</t>
  </si>
  <si>
    <t>Defective gas spring of lid assy
Timer switch malfunction</t>
  </si>
  <si>
    <t>Checked unit 
Cleaned unit 
Checked and test timer switch
Checked Gas spring
Performed functionality test
Performed calibration
Test run unit</t>
  </si>
  <si>
    <t>Performed troubleshooting
Performed calibration and maintenance</t>
  </si>
  <si>
    <t>Checked availabilty of the parts
For replacement of timer switch and gas spring</t>
  </si>
  <si>
    <t>https://www.jotform.com/uploads/macarewecare/222927978372067/6506502454711989943/6506502454711989943_signature_28.png</t>
  </si>
  <si>
    <t>Raecel Lipang</t>
  </si>
  <si>
    <t>https://www.jotform.com/uploads/macarewecare/222927978372067/6506502454711989943/6506502454711989943_signature_31.png</t>
  </si>
  <si>
    <t>St. Lukes Extension Clinic</t>
  </si>
  <si>
    <t>J. Bocobo St., Manila</t>
  </si>
  <si>
    <t xml:space="preserve">REPAIR
</t>
  </si>
  <si>
    <t>Conveyor belt damaged</t>
  </si>
  <si>
    <t>Replaced conveyor belt, checked conveyor belt functionality</t>
  </si>
  <si>
    <t>Performed conveyor belt replacement</t>
  </si>
  <si>
    <t>200-5571 golden yellow v-guided type 658 belt</t>
  </si>
  <si>
    <t>DR 13833</t>
  </si>
  <si>
    <t>https://www.jotform.com/uploads/macarewecare/222927978372067/6504108386137497361/6504108386137497361_signature_28.png</t>
  </si>
  <si>
    <t>Jasper Ian Sonieda</t>
  </si>
  <si>
    <t>https://www.jotform.com/uploads/macarewecare/222927978372067/6504108386137497361/6504108386137497361_signature_31.png</t>
  </si>
  <si>
    <t>Northern Palawan Provincial Hospital</t>
  </si>
  <si>
    <t>Taytay, Palawan</t>
  </si>
  <si>
    <t>4B</t>
  </si>
  <si>
    <t>Palawan</t>
  </si>
  <si>
    <t>markjakepaduga@gmail.com</t>
  </si>
  <si>
    <t xml:space="preserve">ASSAY: Xpert MTB/RIF Ultra, COUNT: 278
</t>
  </si>
  <si>
    <t>Module B : 778977 for module replacement.</t>
  </si>
  <si>
    <t>Replaced modile B2 by module sn: 887889
Performed functionality test.
Generate reports.</t>
  </si>
  <si>
    <t>Perfromed module replacement.
Performed maintenance.</t>
  </si>
  <si>
    <t>All 4 modules operational.</t>
  </si>
  <si>
    <t>1 module</t>
  </si>
  <si>
    <t>https://www.jotform.com/uploads/macarewecare/222927978372067/6504094435407970967/6504094435407970967_signature_28.png</t>
  </si>
  <si>
    <t>Mark Jake Paduga</t>
  </si>
  <si>
    <t>https://www.jotform.com/uploads/macarewecare/222927978372067/6504094435407970967/6504094435407970967_signature_31.png</t>
  </si>
  <si>
    <t>Roxas RHU</t>
  </si>
  <si>
    <t>Roxas, Palawan</t>
  </si>
  <si>
    <t>benjpaul.1994@gmail.com</t>
  </si>
  <si>
    <t>Module B2: 210139025 for module replacement</t>
  </si>
  <si>
    <t>Performwd  module replacement.
Performed maintenance
Generate reports.</t>
  </si>
  <si>
    <t>Replaced module 2100139025 by moduke sn: 801928</t>
  </si>
  <si>
    <t>DR 13811</t>
  </si>
  <si>
    <t>https://www.jotform.com/uploads/macarewecare/222927978372067/6503959449013456705/6503959449013456705_signature_28.png</t>
  </si>
  <si>
    <t>Paul John B. Benjamin</t>
  </si>
  <si>
    <t>https://www.jotform.com/uploads/macarewecare/222927978372067/6503959449013456705/6503959449013456705_signature_31.png</t>
  </si>
  <si>
    <t>Southern Philippines Medical Center</t>
  </si>
  <si>
    <t>JP Laurel Bajada Avenue</t>
  </si>
  <si>
    <t>Davao del Sur</t>
  </si>
  <si>
    <t>spmcrhivda@gmail.com</t>
  </si>
  <si>
    <t xml:space="preserve">ASSAY: Xpert MTB/RIF Ultra, COUNT: 329
</t>
  </si>
  <si>
    <t>Onsite Assistance
Module B1/ Lost communication</t>
  </si>
  <si>
    <t>Clean Surface Area, Cartridge Bay, Plunger Rod, Fan Filters and Icore Lenses
Reset network cable connection and gatewayboard
Generate IQR, Assay Stat, and System Log</t>
  </si>
  <si>
    <t>Perform Preventive Maintenance, and Onsite Troubleshooting</t>
  </si>
  <si>
    <t>All Modules are operational</t>
  </si>
  <si>
    <t>Pullout the Defective UPS for SN 110023506</t>
  </si>
  <si>
    <t>https://www.jotform.com/uploads/macarewecare/222927978372067/6503934780328477243/6503934780328477243_signature_28.png</t>
  </si>
  <si>
    <t>Christelle Clarisse Sienes,. RMT</t>
  </si>
  <si>
    <t>https://www.jotform.com/uploads/macarewecare/222927978372067/6503934780328477243/6503934780328477243_signature_31.png</t>
  </si>
  <si>
    <t>Bustos Rural Health Unit</t>
  </si>
  <si>
    <t>Bustos</t>
  </si>
  <si>
    <t>ronald_galvez2002@yahoo.com</t>
  </si>
  <si>
    <t>https://www.jotform.com/uploads/macarewecare/222927978372067/6503889567517206432/6503889567517206432_signature_28.png</t>
  </si>
  <si>
    <t>Ronald Galvez</t>
  </si>
  <si>
    <t>https://www.jotform.com/uploads/macarewecare/222927978372067/6503889567517206432/6503889567517206432_signature_31.png</t>
  </si>
  <si>
    <t>Morong Rural Health Unit</t>
  </si>
  <si>
    <t>Morong, Rizal</t>
  </si>
  <si>
    <t>moronglab@gmail.com</t>
  </si>
  <si>
    <t xml:space="preserve">ASSAY: Xpert MTB/RIF Ultra, COUNT: 618
</t>
  </si>
  <si>
    <t>Boot device not found</t>
  </si>
  <si>
    <t>Replaced CMOS battery</t>
  </si>
  <si>
    <t>Replaced CMOS battery 
Configured boot options 
Performed maintenance 
Functional test
Generated reports</t>
  </si>
  <si>
    <t>https://www.jotform.com/uploads/macarewecare/222927978372067/6503852147212142863/6503852147212142863_signature_28.png</t>
  </si>
  <si>
    <t>Necitas V Perez</t>
  </si>
  <si>
    <t>https://www.jotform.com/uploads/macarewecare/222927978372067/6503852147212142863/6503852147212142863_signature_31.png</t>
  </si>
  <si>
    <t>Pulupandan PCF</t>
  </si>
  <si>
    <t>Pulupandan, Negros Occidental</t>
  </si>
  <si>
    <t>Negros Occidental</t>
  </si>
  <si>
    <t>pulupandantbdots@gmail.com</t>
  </si>
  <si>
    <t xml:space="preserve">ASSAY: Xpert MTB/RIF Ultra, COUNT: 492
</t>
  </si>
  <si>
    <t>UPS problem - No power</t>
  </si>
  <si>
    <t>Reinstall chaeged batteries, functional test for UPS.</t>
  </si>
  <si>
    <t>. Pullout and recharge 2 units 12 V 7AH batreries.</t>
  </si>
  <si>
    <t>UPS operational, Genexpert system operational.</t>
  </si>
  <si>
    <t>https://www.jotform.com/uploads/macarewecare/222927978372067/6503848627164832078/6503848627164832078_signature_28.png</t>
  </si>
  <si>
    <t>arriane gaye escanes</t>
  </si>
  <si>
    <t>https://www.jotform.com/uploads/macarewecare/222927978372067/6503848627164832078/6503848627164832078_signature_31.png</t>
  </si>
  <si>
    <t>San Juan Apalit Pampanga</t>
  </si>
  <si>
    <t>INSTALLATION
REPAIR
CALIBRATION
MAINTENANCE</t>
  </si>
  <si>
    <t>Due for calibration 
CPU for replacement 
Defective CPU SN:2UA8471VWH</t>
  </si>
  <si>
    <t>CPU replacement 
Preventive maintenance 
Xpertcheck</t>
  </si>
  <si>
    <t>Performed preventive maintenance 
Performed CPU replacement 
Performed xpertcheck 
Gathered reports
Performed functionality test</t>
  </si>
  <si>
    <t>Unit is operational
New CPU: CPH0625F59565
Xpertcheck result
B1: 210019116 PASSED
B2: 758106 FAILED / 1 Retry
B3: 663076 PASSED
B4: 674002 FAILED</t>
  </si>
  <si>
    <t>https://www.jotform.com/uploads/macarewecare/222927978372067/6503837093726092848/6503837093726092848_signature_28.png</t>
  </si>
  <si>
    <t>Blesilda Duenas</t>
  </si>
  <si>
    <t>https://www.jotform.com/uploads/macarewecare/222927978372067/6503837093726092848/6503837093726092848_signature_31.png</t>
  </si>
  <si>
    <t>Sulu provincial hospital</t>
  </si>
  <si>
    <t>Asturias ,scott rd, Jolo, sulu</t>
  </si>
  <si>
    <t>BARMM</t>
  </si>
  <si>
    <t>Sulu</t>
  </si>
  <si>
    <t>Gian Carlo Aizon</t>
  </si>
  <si>
    <t>niagnozia54@gmail.com</t>
  </si>
  <si>
    <t>sphcl2016@gmail.com</t>
  </si>
  <si>
    <t xml:space="preserve">ASSAY: Xpert MTB/RIF Ultra, COUNT: 1980
</t>
  </si>
  <si>
    <t>GX 4 - 6c</t>
  </si>
  <si>
    <t>Site inspection, preventive Maintenence, checked machine status and data collection.</t>
  </si>
  <si>
    <t>All modules are operational</t>
  </si>
  <si>
    <t>https://www.jotform.com/uploads/macarewecare/222927978372067/6503470083411318648/6503470083411318648_signature_28.png</t>
  </si>
  <si>
    <t>Anam H. Nuh</t>
  </si>
  <si>
    <t>https://www.jotform.com/uploads/macarewecare/222927978372067/6503470083411318648/6503470083411318648_signature_31.png</t>
  </si>
  <si>
    <t>Asturias ,scott rd, jolo, sulu</t>
  </si>
  <si>
    <t>IOM</t>
  </si>
  <si>
    <t xml:space="preserve">ASSAY: Xpert HIV-1 Viral Load, COUNT: 2
ASSAY: Xpert MTB-XDR, COUNT: 12
</t>
  </si>
  <si>
    <t>GX 4 - 10c</t>
  </si>
  <si>
    <t>Module 2, 3 and 4 are not in use due to communication lost error.</t>
  </si>
  <si>
    <t>Module 1 is operational while module 2, 3 and 4 is not in use due to communication errors.</t>
  </si>
  <si>
    <t>Only module 1 is operational while module 2, 3 and 4 gives communication errors.</t>
  </si>
  <si>
    <t>https://www.jotform.com/uploads/macarewecare/222927978372067/6503452543414965240/6503452543414965240_signature_28.png</t>
  </si>
  <si>
    <t>https://www.jotform.com/uploads/macarewecare/222927978372067/6503452543414965240/6503452543414965240_signature_31.png</t>
  </si>
  <si>
    <t>Sulu Provincial Hospital</t>
  </si>
  <si>
    <t xml:space="preserve">ASSAY: Xpert MTB/RIF Ultra, COUNT: 1150
ASSAY: Xpert HIV-1 Viral Load, COUNT: 1
</t>
  </si>
  <si>
    <t>module 3 gives an error of 2008, 2037, 2034</t>
  </si>
  <si>
    <t>Site inspection, Preventive Maintenence, checked machine status and data collection.</t>
  </si>
  <si>
    <t>Module 1, 2 and 4 are operational while module 3 gives an error of 2008, 2037, 2034.</t>
  </si>
  <si>
    <t>module 3 gives an error of 2008, 2037, 2034. This genexpert machine must have a new Uninterrupted power supply as soon as possible.</t>
  </si>
  <si>
    <t>https://www.jotform.com/uploads/macarewecare/222927978372067/6503451513414818285/6503451513414818285_signature_28.png</t>
  </si>
  <si>
    <t>https://www.jotform.com/uploads/macarewecare/222927978372067/6503451513414818285/6503451513414818285_signature_31.png</t>
  </si>
  <si>
    <t>Western Visayas Medical Center</t>
  </si>
  <si>
    <t>Iloilo City</t>
  </si>
  <si>
    <t>Iloilo</t>
  </si>
  <si>
    <t>TB Culture Laboratory</t>
  </si>
  <si>
    <t>Joseph Acebedo</t>
  </si>
  <si>
    <t>jacebedo.macare@gmail.com</t>
  </si>
  <si>
    <t>meobordo.pbsp@gmail.com</t>
  </si>
  <si>
    <t xml:space="preserve">ASSAY: Xpert MTB/RIF Ultra, COUNT: 346
ASSAY: Xpert HPV, COUNT: 69
</t>
  </si>
  <si>
    <t>GX-IV</t>
  </si>
  <si>
    <t>EQUIPMENT IS OPERATIONAL</t>
  </si>
  <si>
    <t>https://www.jotform.com/uploads/macarewecare/222927978372067/6503366525469565988/6503366525469565988_signature_28.png</t>
  </si>
  <si>
    <t>Melnia Andrea E. Obordo,RMT</t>
  </si>
  <si>
    <t>https://www.jotform.com/uploads/macarewecare/222927978372067/6503366525469565988/6503366525469565988_signature_31.png</t>
  </si>
  <si>
    <t>St Pauls Hospital of Iloilo</t>
  </si>
  <si>
    <t>ILOILO CITY</t>
  </si>
  <si>
    <t>sphi.bloodbank@yahoo.com</t>
  </si>
  <si>
    <t>98B020</t>
  </si>
  <si>
    <t>Blood Pump Ruber Rotor noise</t>
  </si>
  <si>
    <t>-Inspect Pump rotors, confirm rubber wear for blood pump
-Replace rubber roller(2 pcs used)
-Perform functionality test, passed</t>
  </si>
  <si>
    <t>Equipment is operational</t>
  </si>
  <si>
    <t>https://www.jotform.com/uploads/macarewecare/222927978372067/6503362615463488886/6503362615463488886_signature_28.png</t>
  </si>
  <si>
    <t>Mariejol G. Dureza</t>
  </si>
  <si>
    <t>https://www.jotform.com/uploads/macarewecare/222927978372067/6503362615463488886/6503362615463488886_signature_31.png</t>
  </si>
  <si>
    <t>San Rafael RHU</t>
  </si>
  <si>
    <t>San Rafael, Bulacan</t>
  </si>
  <si>
    <t>REPAIR
CALIBRATION
MAINTENANCE</t>
  </si>
  <si>
    <t>Desktop for replacement
Unit for calibration</t>
  </si>
  <si>
    <t>Replaced CPU
Performed XpertCheck</t>
  </si>
  <si>
    <t>Unit is operational
All modules passed the calibration except B1</t>
  </si>
  <si>
    <t>https://www.jotform.com/uploads/macarewecare/222927978372067/6503189721512063548/6503189721512063548_signature_28.png</t>
  </si>
  <si>
    <t>Joana Dayrit</t>
  </si>
  <si>
    <t>https://www.jotform.com/uploads/macarewecare/222927978372067/6503189721512063548/6503189721512063548_signature_31.png</t>
  </si>
  <si>
    <t>Davao Reproductive Health and Wellness Center</t>
  </si>
  <si>
    <t>TB-HIV</t>
  </si>
  <si>
    <t>rhwclab@gmail.com</t>
  </si>
  <si>
    <t xml:space="preserve">ASSAY: Xpert MTB/RIF Ultra, COUNT: 408
ASSAY: Xpert HIV-1 Viral Load, COUNT: 3228
</t>
  </si>
  <si>
    <t>Modules C3/ SN 807728 and C4/ SN: 210043526 Encounter Errors 5007/5017</t>
  </si>
  <si>
    <t>Clean Surface Area, Cartridge Bay, Plunger Rod, Fan Filters and Icore Lenses
Generate IQR, Assay Stat and System Log
Archived Data test results</t>
  </si>
  <si>
    <t>Onsite Assistance, Troubleshooting and Data Gathering</t>
  </si>
  <si>
    <t>Sent datas and documentation to higher ups for further assessment</t>
  </si>
  <si>
    <t>https://www.jotform.com/uploads/macarewecare/222927978372067/6503103604789753647/6503103604789753647_signature_28.png</t>
  </si>
  <si>
    <t>Elaine Malano,. RMT</t>
  </si>
  <si>
    <t>https://www.jotform.com/uploads/macarewecare/222927978372067/6503103604789753647/6503103604789753647_signature_31.png</t>
  </si>
  <si>
    <t>Jacinto St, Poblacion Davao City</t>
  </si>
  <si>
    <t>Multiple Error on Modules B1/ SN:210003270 and B4/ SN:866835</t>
  </si>
  <si>
    <t>Errors codes are Error 5007, 5017.
Clean Surface Area, Cartridge Bay, Plunger Rod, Fan Filters and Icore Lenses
Generate IQR, Assay Stat and System Log
Archived Data test results</t>
  </si>
  <si>
    <t>Perform Onsite Assistance and Troubleshoot</t>
  </si>
  <si>
    <t>Only 3 Modules are available, Module B3/ SN:866834 Hardware Failure</t>
  </si>
  <si>
    <t>Data gathered sent to higherups for further assessment</t>
  </si>
  <si>
    <t>https://www.jotform.com/uploads/macarewecare/222927978372067/6503094124784542391/6503094124784542391_signature_28.png</t>
  </si>
  <si>
    <t>https://www.jotform.com/uploads/macarewecare/222927978372067/6503094124784542391/6503094124784542391_signature_31.png</t>
  </si>
  <si>
    <t>Klinika Bernardo Health Center</t>
  </si>
  <si>
    <t>klinikabernardolaboratory@gmail.com</t>
  </si>
  <si>
    <t>Module D4: 667961 for replacement
Gateway board for replacement</t>
  </si>
  <si>
    <t>Replaced module
Replaced gateway board</t>
  </si>
  <si>
    <t>- replaced module by 912901
- replaced gateway board
- generated reports
- performed self test</t>
  </si>
  <si>
    <t>https://www.jotform.com/uploads/macarewecare/222927978372067/6503053711513138658/6503053711513138658_signature_28.png</t>
  </si>
  <si>
    <t>Mylen Manongsong-Sibal</t>
  </si>
  <si>
    <t>https://www.jotform.com/uploads/macarewecare/222927978372067/6503053711513138658/6503053711513138658_signature_31.png</t>
  </si>
  <si>
    <t>Leyte Provincial Hospital</t>
  </si>
  <si>
    <t>Palo Leyte</t>
  </si>
  <si>
    <t>lphlabdeptcovid19@gmail.com</t>
  </si>
  <si>
    <t xml:space="preserve">ASSAY: Xpert MTB/RIF Ultra, COUNT: 1613
</t>
  </si>
  <si>
    <t>GXIV - 10c</t>
  </si>
  <si>
    <t>https://www.jotform.com/uploads/macarewecare/222927978372067/6503027838413010466/6503027838413010466_signature_28.png</t>
  </si>
  <si>
    <t>Elnora Ortiz</t>
  </si>
  <si>
    <t>https://www.jotform.com/uploads/macarewecare/222927978372067/6503027838413010466/6503027838413010466_signature_31.png</t>
  </si>
  <si>
    <t>Abucay Rural Health Unit</t>
  </si>
  <si>
    <t>Dacena Ave. Abucay, Bataan</t>
  </si>
  <si>
    <t>CPU for replacement
CPU:2UA8471W2N</t>
  </si>
  <si>
    <t>Repair and installation 
Preventive maintenance</t>
  </si>
  <si>
    <t>Performed preventive maintenance 
Replaced defective CPU
Gathered reports
Performed functionality test</t>
  </si>
  <si>
    <t>Unit is operational
New CPU:CPH0625F59732</t>
  </si>
  <si>
    <t>https://www.jotform.com/uploads/macarewecare/222927978372067/6503019603727736386/6503019603727736386_signature_28.png</t>
  </si>
  <si>
    <t>https://www.jotform.com/uploads/macarewecare/222927978372067/6503019603727736386/6503019603727736386_signature_31.png</t>
  </si>
  <si>
    <t>Sulu Sanitarium General Hospital</t>
  </si>
  <si>
    <t>Upper san raymundo, jolo, sulu</t>
  </si>
  <si>
    <t>ssghlaboratory@gmail.com</t>
  </si>
  <si>
    <t>Delivered Xpert MTB/RIF Ultra (50 test) 2kits with Lot no. 1001507217. Checked if all modules are working and in condition to operate. Preventive Maintenence</t>
  </si>
  <si>
    <t>Delivered Xpert MTB/RIF Ultra (50 test) 2kits with Lot no. 1001507217. Checked if all modules are working and in condition to operate. Preventive Maintenance.</t>
  </si>
  <si>
    <t>All modules are available and operational.</t>
  </si>
  <si>
    <t>No test have been conducted in the machine since installation.</t>
  </si>
  <si>
    <t>GXMTB/RIF-ULTRA-50</t>
  </si>
  <si>
    <t>https://www.jotform.com/uploads/macarewecare/222927978372067/6503012019729579106/6503012019729579106_signature_28.png</t>
  </si>
  <si>
    <t>Shirley y. Julkanain</t>
  </si>
  <si>
    <t>https://www.jotform.com/uploads/macarewecare/222927978372067/6503012019729579106/6503012019729579106_signature_31.png</t>
  </si>
  <si>
    <t>INSTALLATION
REPAIR</t>
  </si>
  <si>
    <t>CPU For replacements 
Defective CPU SN:2UA5201PHZ</t>
  </si>
  <si>
    <t>CPU Replacement</t>
  </si>
  <si>
    <t>Unit is operational 
New CPU:CPH0625F59733</t>
  </si>
  <si>
    <t>https://www.jotform.com/uploads/macarewecare/222927978372067/6503011133722514463/6503011133722514463_signature_28.png</t>
  </si>
  <si>
    <t>https://www.jotform.com/uploads/macarewecare/222927978372067/6503011133722514463/6503011133722514463_signature_31.png</t>
  </si>
  <si>
    <t>CEBU CITY JAIL MALE DORM</t>
  </si>
  <si>
    <t>Kalunasan Guadalupe Cebu City</t>
  </si>
  <si>
    <t>jasperperanco@gmail.com</t>
  </si>
  <si>
    <t xml:space="preserve">ASSAY: Xpert MTB/RIF Ultra, COUNT: 1710
</t>
  </si>
  <si>
    <t>Module 4 SN# 865164 encountered Error 2126 communication error for several times.</t>
  </si>
  <si>
    <t>All modules are available after checking. Required end-user to observe within the week.</t>
  </si>
  <si>
    <t>https://www.jotform.com/uploads/macarewecare/222927978372067/6502381223211220088/6502381223211220088_signature_28.png</t>
  </si>
  <si>
    <t>Jasper Peranco</t>
  </si>
  <si>
    <t>https://www.jotform.com/uploads/macarewecare/222927978372067/6502381223211220088/6502381223211220088_signature_31.png</t>
  </si>
  <si>
    <t>Kananga Rural Health Unit</t>
  </si>
  <si>
    <t>Kananga, Leyte</t>
  </si>
  <si>
    <t>retulla_den@yahoo.com</t>
  </si>
  <si>
    <t xml:space="preserve">ASSAY: Xpert MTB/RIF Ultra, COUNT: 690
</t>
  </si>
  <si>
    <t>6C GXIV-4D 2 Sites</t>
  </si>
  <si>
    <t>https://www.jotform.com/uploads/macarewecare/222927978372067/6502320059911363662/6502320059911363662_signature_28.png</t>
  </si>
  <si>
    <t>Dennis O. Retulla</t>
  </si>
  <si>
    <t>https://www.jotform.com/uploads/macarewecare/222927978372067/6502320059911363662/6502320059911363662_signature_31.png</t>
  </si>
  <si>
    <t>Lugait RHU</t>
  </si>
  <si>
    <t>Masilakon 1, poblacion Lugait, Misamis Oriental</t>
  </si>
  <si>
    <t>Misamis Oriental</t>
  </si>
  <si>
    <t>ON-SITE ASSISTANCE
Remove carthridge</t>
  </si>
  <si>
    <t>sacabinlancelot@gmail.com</t>
  </si>
  <si>
    <t>Stuck-up carthridge module 1 &amp;4</t>
  </si>
  <si>
    <t>Removal of Stuck-up carthridge module 1 &amp;4
Gather data IQR, System log</t>
  </si>
  <si>
    <t>Last Xpertcheck Calibration Oct. 10, 2024 by Engr. Mark Efren Ramas</t>
  </si>
  <si>
    <t>https://www.jotform.com/uploads/macarewecare/222927978372067/6501304855428877932/6501304855428877932_signature_28.png</t>
  </si>
  <si>
    <t>Lancelot Sacabin</t>
  </si>
  <si>
    <t>https://www.jotform.com/uploads/macarewecare/222927978372067/6501304855428877932/6501304855428877932_signature_31.png</t>
  </si>
  <si>
    <t>Mayorga Rural Health Unit</t>
  </si>
  <si>
    <t>Mayorga Leyte</t>
  </si>
  <si>
    <t>irenepsia@yahoo.com</t>
  </si>
  <si>
    <t xml:space="preserve">ASSAY: Xpert MTB/RIF Ultra, COUNT: 772
</t>
  </si>
  <si>
    <t>GXIV - 6C 2module</t>
  </si>
  <si>
    <t>https://www.jotform.com/uploads/macarewecare/222927978372067/6501282094618129691/6501282094618129691_signature_28.png</t>
  </si>
  <si>
    <t>IRENE P. SIA</t>
  </si>
  <si>
    <t>https://www.jotform.com/uploads/macarewecare/222927978372067/6501282094618129691/6501282094618129691_signature_31.png</t>
  </si>
  <si>
    <t>Bulan Rural Health Unit</t>
  </si>
  <si>
    <t>Poblacion, Bulan</t>
  </si>
  <si>
    <t>bing.gonzales33@gmail.com</t>
  </si>
  <si>
    <t>Cleaned cartridge bays, plunger rod 
Generate Data</t>
  </si>
  <si>
    <t>Unit is Operational 
All 4 modules are Operational</t>
  </si>
  <si>
    <t>https://www.jotform.com/uploads/macarewecare/222927978372067/6501263314318748709/6501263314318748709_signature_28.png</t>
  </si>
  <si>
    <t>Claribel G Nacion</t>
  </si>
  <si>
    <t>https://www.jotform.com/uploads/macarewecare/222927978372067/6501263314318748709/6501263314318748709_signature_31.png</t>
  </si>
  <si>
    <t>Benguet Provincial Health Office</t>
  </si>
  <si>
    <t>La Trinidad Benguet</t>
  </si>
  <si>
    <t>Relocation</t>
  </si>
  <si>
    <t>benguetphortdl@gmail.com</t>
  </si>
  <si>
    <t>GXIV-4-D-10C</t>
  </si>
  <si>
    <t>For Relocation</t>
  </si>
  <si>
    <t>Temporary Relocated GX to Molecular Laboratory for Training</t>
  </si>
  <si>
    <t>Performed Relocation</t>
  </si>
  <si>
    <t>Unit is Fully Operational</t>
  </si>
  <si>
    <t>https://www.jotform.com/uploads/macarewecare/222927978372067/6501261036616420725/6501261036616420725_signature_28.png</t>
  </si>
  <si>
    <t>Tillber Baniaga</t>
  </si>
  <si>
    <t>https://www.jotform.com/uploads/macarewecare/222927978372067/6501261036616420725/6501261036616420725_signature_31.png</t>
  </si>
  <si>
    <t>San Jacinto Rural Health Unit</t>
  </si>
  <si>
    <t>Poblacion, San Jacinto</t>
  </si>
  <si>
    <t>janet.bragais@yahoo.com</t>
  </si>
  <si>
    <t>Module B2/712979 H/W failed</t>
  </si>
  <si>
    <t>Replaced module SN: 712979 &gt;&gt; 781465
Cleaned cartridge bays, plunger rod 
Generate Data</t>
  </si>
  <si>
    <t>Replaced defective module
Performed Preventive Maintenance</t>
  </si>
  <si>
    <t>Unit is Operational 
All 4-4-modules are Operational</t>
  </si>
  <si>
    <t>https://www.jotform.com/uploads/macarewecare/222927978372067/6501260904312747182/6501260904312747182_signature_28.png</t>
  </si>
  <si>
    <t>Janet A. Bragais</t>
  </si>
  <si>
    <t>https://www.jotform.com/uploads/macarewecare/222927978372067/6501260904312747182/6501260904312747182_signature_31.png</t>
  </si>
  <si>
    <t>Cordova Primary Health Care</t>
  </si>
  <si>
    <t>Poblacion, Cordova Cebu</t>
  </si>
  <si>
    <t>CALIBRATION
TROUBLESHOOTING</t>
  </si>
  <si>
    <t>melodyjoynoelle0428@gmail.com</t>
  </si>
  <si>
    <t xml:space="preserve">ASSAY: Xpert MTB/RIF Ultra, COUNT: 62
</t>
  </si>
  <si>
    <t>Module 3 SN# 807134 sample overflow in the cartridge bay during the process.</t>
  </si>
  <si>
    <t>- Test run Module 3 with sample, observed during the test.
-  Pull out the Module 1, Module 3 and Module 4 and found out the door hinges is defective
- Recommend the replacement of the module 1, Module 3 and Module 4 due door problem.</t>
  </si>
  <si>
    <t>- Troubleshoot the problem and conduct calibration of the Module 3 SN# 807134 
- Pull out the Module 1, Module 3 and Module 4 and found out the door hinges is defective</t>
  </si>
  <si>
    <t>All modules are operational but the door of Module 1 , 3 and 4 recommended for replacement.</t>
  </si>
  <si>
    <t>MM-DD-YYYY</t>
  </si>
  <si>
    <t>https://www.jotform.com/uploads/macarewecare/222927978372067/6501260733219416602/6501260733219416602_signature_28.png</t>
  </si>
  <si>
    <t>Melody Arasan</t>
  </si>
  <si>
    <t>https://www.jotform.com/uploads/macarewecare/222927978372067/6501260733219416602/6501260733219416602_signature_31.png</t>
  </si>
  <si>
    <t>Benguet General Hospital</t>
  </si>
  <si>
    <t>La Trinidad, Benguet</t>
  </si>
  <si>
    <t>bevlapisac@gmail.com</t>
  </si>
  <si>
    <t>Transferred GX room to new designated room</t>
  </si>
  <si>
    <t>https://www.jotform.com/uploads/macarewecare/222927978372067/6501258626614497282/6501258626614497282_signature_28.png</t>
  </si>
  <si>
    <t>Beverlee Lapisac</t>
  </si>
  <si>
    <t>https://www.jotform.com/uploads/macarewecare/222927978372067/6501258626614497282/6501258626614497282_signature_31.png</t>
  </si>
  <si>
    <t>San Isidro Rural Health Unit</t>
  </si>
  <si>
    <t>San Isidro, Leyte</t>
  </si>
  <si>
    <t>rosel.alesna@gmail.com</t>
  </si>
  <si>
    <t xml:space="preserve">ASSAY: Xpert MTB/RIF Ultra, COUNT: 547
</t>
  </si>
  <si>
    <t>Module B1 error</t>
  </si>
  <si>
    <t>Machine is functional</t>
  </si>
  <si>
    <t>https://www.jotform.com/uploads/macarewecare/222927978372067/6501243272357638336/6501243272357638336_signature_28.png</t>
  </si>
  <si>
    <t>Rosel B. Alesna</t>
  </si>
  <si>
    <t>https://www.jotform.com/uploads/macarewecare/222927978372067/6501243272357638336/6501243272357638336_signature_31.png</t>
  </si>
  <si>
    <t>Koronadal City Health Office</t>
  </si>
  <si>
    <t>Koronadal City</t>
  </si>
  <si>
    <t>Tb-Lab</t>
  </si>
  <si>
    <t>INSTALLATION
MAINTENANCE
Software re installation</t>
  </si>
  <si>
    <t>calvokenneth12@gmail.com</t>
  </si>
  <si>
    <t xml:space="preserve">ASSAY: Xpert MTB/RIF Ultra, COUNT: 2667
</t>
  </si>
  <si>
    <t>Laptop problem
Module 4 problem</t>
  </si>
  <si>
    <t>Set up computer for Genexpert use
Gx software Installation</t>
  </si>
  <si>
    <t>Genexpert re-installation 
Genexpert machine Preventive maintenance</t>
  </si>
  <si>
    <t>3 operational modules</t>
  </si>
  <si>
    <t>https://www.jotform.com/uploads/macarewecare/222927978372067/6501191527321023032/6501191527321023032_signature_28.png</t>
  </si>
  <si>
    <t>Kenneth Paolo T. Calvo</t>
  </si>
  <si>
    <t>https://www.jotform.com/uploads/macarewecare/222927978372067/6501191527321023032/6501191527321023032_signature_31.png</t>
  </si>
  <si>
    <t>Soccsksargen General Hospital</t>
  </si>
  <si>
    <t>Surallah, South Cotabato</t>
  </si>
  <si>
    <t>johnellamarisbautista@gmail.com</t>
  </si>
  <si>
    <t xml:space="preserve">ASSAY: Xpert MTB/RIF Ultra, COUNT: 1934
ASSAY: Xpert MTB-XDR, COUNT: 22
</t>
  </si>
  <si>
    <t>Genexpert module B3/220011574 Defective</t>
  </si>
  <si>
    <t>Replaced module B3/220011574 with new module SN:210034700
Perform Genexpert Cleaning and maintenance 
Checking of module status and problem 
Fan and filter cleaning 
Data collection</t>
  </si>
  <si>
    <t>Genexpert machine module repair 
Genexpert machine Preventive maintenance</t>
  </si>
  <si>
    <t>Genexpert module 10 color</t>
  </si>
  <si>
    <t>Work Order: 336538</t>
  </si>
  <si>
    <t>https://www.jotform.com/uploads/macarewecare/222927978372067/6501191527326018273/6501191527326018273_signature_28.png</t>
  </si>
  <si>
    <t>Johnella Bautista</t>
  </si>
  <si>
    <t>https://www.jotform.com/uploads/macarewecare/222927978372067/6501191527326018273/6501191527326018273_signature_31.png</t>
  </si>
  <si>
    <t>Palompon Rural Health Unit</t>
  </si>
  <si>
    <t>Palompon, Leyte</t>
  </si>
  <si>
    <t>TB Dots</t>
  </si>
  <si>
    <t>luzvmindanavidad2@gmail.com</t>
  </si>
  <si>
    <t xml:space="preserve">ASSAY: Xpert MTB/RIF Ultra, COUNT: 932
</t>
  </si>
  <si>
    <t>6C GXIV-4D</t>
  </si>
  <si>
    <t>https://www.jotform.com/uploads/macarewecare/222927978372067/6500567739329037583/6500567739329037583_signature_28.png</t>
  </si>
  <si>
    <t>Melinda Laroa</t>
  </si>
  <si>
    <t>https://www.jotform.com/uploads/macarewecare/222927978372067/6500567739329037583/6500567739329037583_signature_31.png</t>
  </si>
  <si>
    <t>DUMALAG SUPER HEALTH CENTER</t>
  </si>
  <si>
    <t>Dumalag, Capiz</t>
  </si>
  <si>
    <t>Capiz</t>
  </si>
  <si>
    <t>dumalag.rhucl@gmail.com</t>
  </si>
  <si>
    <t xml:space="preserve">ASSAY: Xpert MTB/RIF Ultra, COUNT: 0
</t>
  </si>
  <si>
    <t>-UPS Defective
-System Unit SN 2UA3520VY6 HP Z220
is defective</t>
  </si>
  <si>
    <t>Gx operational, for system unit servicing.</t>
  </si>
  <si>
    <t>https://www.jotform.com/uploads/macarewecare/222927978372067/6500472213113369102/6500472213113369102_signature_28.png</t>
  </si>
  <si>
    <t>Rica Enate</t>
  </si>
  <si>
    <t>https://www.jotform.com/uploads/macarewecare/222927978372067/6500472213113369102/6500472213113369102_signature_31.png</t>
  </si>
  <si>
    <t>Cardona Rural Health Unit</t>
  </si>
  <si>
    <t>Cardona, Rizal</t>
  </si>
  <si>
    <t>renalyn_villaran@yahoo.com</t>
  </si>
  <si>
    <t xml:space="preserve">ASSAY: Xpert MTB/RIF Ultra, COUNT: 479
</t>
  </si>
  <si>
    <t>Run XpertCheck</t>
  </si>
  <si>
    <t>Performed maintenance 
Cleaned:
-Cartridge bay 
-Plunger rod
-Icore
-filter 
Run XpertCheck 
Generated reports</t>
  </si>
  <si>
    <t>Unit is operational. All modules passed.</t>
  </si>
  <si>
    <t>https://www.jotform.com/uploads/macarewecare/222927978372067/6500443453615412913/6500443453615412913_signature_28.png</t>
  </si>
  <si>
    <t>Renalyn E. Villaran</t>
  </si>
  <si>
    <t>https://www.jotform.com/uploads/macarewecare/222927978372067/6500443453615412913/6500443453615412913_signature_31.png</t>
  </si>
  <si>
    <t>SAN RAFAEL RURAL HEALTH UNIT</t>
  </si>
  <si>
    <t>SAN RAFAEL, ILOILO</t>
  </si>
  <si>
    <t>apilmayfaith@gmail.com</t>
  </si>
  <si>
    <t xml:space="preserve">ASSAY: Xpert MTB/RIF Ultra, COUNT: 283
</t>
  </si>
  <si>
    <t>PREVENTIVE MAINTENANCE</t>
  </si>
  <si>
    <t>https://www.jotform.com/uploads/macarewecare/222927978372067/6500418726179090975/6500418726179090975_signature_28.png</t>
  </si>
  <si>
    <t>May Faith Apil</t>
  </si>
  <si>
    <t>https://www.jotform.com/uploads/macarewecare/222927978372067/6500418726179090975/6500418726179090975_signature_31.png</t>
  </si>
  <si>
    <t>Eastern Samar Provincial Hospital</t>
  </si>
  <si>
    <t>Borongan City</t>
  </si>
  <si>
    <t>elvalynlom@gmail.com</t>
  </si>
  <si>
    <t xml:space="preserve">ASSAY: Xpert MTB/RIF Ultra, COUNT: 1252
ASSAY: Xpert MTB-XDR, COUNT: 33
ASSAY: Xpert HIV-1 Viral Load, COUNT: 41
</t>
  </si>
  <si>
    <t>GXIV - 10C</t>
  </si>
  <si>
    <t>https://www.jotform.com/uploads/macarewecare/222927978372067/6500410618616151950/6500410618616151950_signature_28.png</t>
  </si>
  <si>
    <t>ELVALYN GRACIA G. LOMUNTAD</t>
  </si>
  <si>
    <t>https://www.jotform.com/uploads/macarewecare/222927978372067/6500410618616151950/6500410618616151950_signature_31.png</t>
  </si>
  <si>
    <t>Earnshaw Health Center</t>
  </si>
  <si>
    <t>Earnshaw St, Sampaloc, Manila</t>
  </si>
  <si>
    <t>Social Hygiene Clinic</t>
  </si>
  <si>
    <t>CALIBRATION
MAINTENANCE
XpertCheck</t>
  </si>
  <si>
    <t>johndarrellturato@gmail.com</t>
  </si>
  <si>
    <t xml:space="preserve">ASSAY: Xpert HIV-1 Viral Load, COUNT: 796
ASSAY: Xpert MTB/RIF Ultra, COUNT: 262
</t>
  </si>
  <si>
    <t>Unit is due for XpertCheck.</t>
  </si>
  <si>
    <t>Preventive Maintenance.</t>
  </si>
  <si>
    <t>Cleaned Cartridge Bay, Plunger Rod and Icore Optics.
Checked Filter if Clogged.
Performed XpertCheck.
Performed Self-test.
Generate Reports.</t>
  </si>
  <si>
    <t>B1 and B2 Pass.
B3 Service Required.
B4 for Retry.</t>
  </si>
  <si>
    <t>https://www.jotform.com/uploads/macarewecare/222927978372067/6500350783614193244/6500350783614193244_signature_28.png</t>
  </si>
  <si>
    <t>John Darrell Turato</t>
  </si>
  <si>
    <t>https://www.jotform.com/uploads/macarewecare/222927978372067/6500350783614193244/6500350783614193244_signature_31.png</t>
  </si>
  <si>
    <t>Perpetual Soccour Hospital</t>
  </si>
  <si>
    <t>Cebu City</t>
  </si>
  <si>
    <t>pshclinlab@gmail.com</t>
  </si>
  <si>
    <t>11H307</t>
  </si>
  <si>
    <t>Due date for Calibration/PM</t>
  </si>
  <si>
    <t>Little adjustment for out of range sensors and weigher</t>
  </si>
  <si>
    <t>Calibration and Preventive Maintenance</t>
  </si>
  <si>
    <t>https://www.jotform.com/uploads/macarewecare/222927978372067/6499917347893666522/6499917347893666522_signature_28.png</t>
  </si>
  <si>
    <t>Debbie Joyce A. Baga</t>
  </si>
  <si>
    <t>https://www.jotform.com/uploads/macarewecare/222927978372067/6499917347893666522/6499917347893666522_signature_31.png</t>
  </si>
  <si>
    <t>Albuera Rural Health Unit</t>
  </si>
  <si>
    <t>Albuera, Leyte</t>
  </si>
  <si>
    <t>mariaana.barte@yahoo.com</t>
  </si>
  <si>
    <t xml:space="preserve">ASSAY: Xpert MTB/RIF Ultra, COUNT: 267
</t>
  </si>
  <si>
    <t>6C GXIV-2D</t>
  </si>
  <si>
    <t>https://www.jotform.com/uploads/macarewecare/222927978372067/6498848289116365681/6498848289116365681_signature_28.png</t>
  </si>
  <si>
    <t>Maria Ana S. Barte</t>
  </si>
  <si>
    <t>https://www.jotform.com/uploads/macarewecare/222927978372067/6498848289116365681/6498848289116365681_signature_31.png</t>
  </si>
  <si>
    <t xml:space="preserve">ASSAY: Xpert MTB/RIF Ultra, COUNT: 19
ASSAY: Xpert MTB-XDR, COUNT: 1
ASSAY: Xpert HIV-1 Viral Load, COUNT: 4
</t>
  </si>
  <si>
    <t>GX4 D 10C</t>
  </si>
  <si>
    <t>As per end user they encounter undetected module</t>
  </si>
  <si>
    <t>Checked I.P address and and input ip address
Plug and unplug all cables
Performed functionality test
Cleaned plunger
Test run unit</t>
  </si>
  <si>
    <t>https://www.jotform.com/uploads/macarewecare/222927978372067/6498166296619476738/6498166296619476738_signature_28.png</t>
  </si>
  <si>
    <t>https://www.jotform.com/uploads/macarewecare/222927978372067/6498166296619476738/6498166296619476738_signature_31.png</t>
  </si>
  <si>
    <t>Casimiro A. Ynares Memorial Hospital</t>
  </si>
  <si>
    <t>Becco St.,Rodriguez Rizal</t>
  </si>
  <si>
    <t>caysmhlab@gmail.com</t>
  </si>
  <si>
    <t>HX4 D</t>
  </si>
  <si>
    <t>Due for xpertcheck
For Workstation Replacement 2UA8471W3L - CPH0625F59726
Module 4 loss communication</t>
  </si>
  <si>
    <t>Delivered and replaced workstation
Performed xpertcheck
Cleaned unit
Cleaned plunger rod,filter,icore,cartridge bay
Gathered reports
Test run unit</t>
  </si>
  <si>
    <t>Performed xpertcheck and workstation replacement</t>
  </si>
  <si>
    <t>Workstationoperational
Module 4 for reporting
Module B1,B2,B3 passed xpertcheck</t>
  </si>
  <si>
    <t>Workstation dellcomputer</t>
  </si>
  <si>
    <t>https://www.jotform.com/uploads/macarewecare/222927978372067/6498165786618269035/6498165786618269035_signature_28.png</t>
  </si>
  <si>
    <t>Aileen A. Docto,RMT</t>
  </si>
  <si>
    <t>https://www.jotform.com/uploads/macarewecare/222927978372067/6498165786618269035/6498165786618269035_signature_31.png</t>
  </si>
  <si>
    <t>Sulat Rural Health Unit</t>
  </si>
  <si>
    <t>Sulat Eastern Samar</t>
  </si>
  <si>
    <t>REPAIR
MAINTENANCE
TROUBLESHOOTING</t>
  </si>
  <si>
    <t>katherinelupos@gmail.com</t>
  </si>
  <si>
    <t xml:space="preserve">ASSAY: Xpert MTB/RIF Ultra, COUNT: 757
</t>
  </si>
  <si>
    <t>GXIV - 2 Module 6C</t>
  </si>
  <si>
    <t>- Troubleshooting
- Preventive maintenance
-</t>
  </si>
  <si>
    <t>Unit out of Warranty</t>
  </si>
  <si>
    <t>https://www.jotform.com/uploads/macarewecare/222927978372067/6497125006713051206/6497125006713051206_signature_28.png</t>
  </si>
  <si>
    <t>Katherine Ann L. Alday</t>
  </si>
  <si>
    <t>https://www.jotform.com/uploads/macarewecare/222927978372067/6497125006713051206/6497125006713051206_signature_31.png</t>
  </si>
  <si>
    <t>Module B2,B4 same error's code error's 2126,2014</t>
  </si>
  <si>
    <t>. Save System Log Report 
. Save Installation Qualifications Report.
. Save assay Statistics Report</t>
  </si>
  <si>
    <t>. Perform preventive maintenance.
. Clean filter 
. Check cable wire for gateway board 
. Check voltage supply 
. Run sample test for module B2, B4.</t>
  </si>
  <si>
    <t>. Module B1,B3 okay to use
. Module B2 hardware fail during run sample
. Module B4 under observation.</t>
  </si>
  <si>
    <t>https://www.jotform.com/uploads/macarewecare/222927978372067/6497093673528722147/6497093673528722147_signature_28.png</t>
  </si>
  <si>
    <t>https://www.jotform.com/uploads/macarewecare/222927978372067/6497093673528722147/6497093673528722147_signature_31.png</t>
  </si>
  <si>
    <t>Camarin Health Center</t>
  </si>
  <si>
    <t>Camarin</t>
  </si>
  <si>
    <t>jasminfalala@gmail.com</t>
  </si>
  <si>
    <t>Replaced filter</t>
  </si>
  <si>
    <t>https://www.jotform.com/uploads/macarewecare/222927978372067/6497073505617403318/6497073505617403318_signature_28.png</t>
  </si>
  <si>
    <t>Arianne Jasmin Roma</t>
  </si>
  <si>
    <t>https://www.jotform.com/uploads/macarewecare/222927978372067/6497073505617403318/6497073505617403318_signature_31.png</t>
  </si>
  <si>
    <t>Hagonoy Rural Health Unit</t>
  </si>
  <si>
    <t>Poblacion, Hagonoy</t>
  </si>
  <si>
    <t>acresofrosemt@gmail.com</t>
  </si>
  <si>
    <t xml:space="preserve">ASSAY: Xpert MTB/RIF Ultra, COUNT: 544
</t>
  </si>
  <si>
    <t>Due for Preventive Maintenance and XpertCheck Calibration</t>
  </si>
  <si>
    <t>Clean Surface Area, Cartridge Bay, Plunger Rod, Fan Filters and Icore Lenses
Generate IQR, Assay Stat and System Log
Run XpertCheck on Four Modules</t>
  </si>
  <si>
    <t>Perform Preventive Maintenance and XpertCheck Calibration</t>
  </si>
  <si>
    <t>Module B1/ SN: 876411 For Service Required
Module B4/ SN: 910190 skipped and retest required all Cartidges avaliable was used
Module B2: Passed
Module B3: Retry and Passed</t>
  </si>
  <si>
    <t>High Room Temperature, enduser was advised to achieve the ideal operating temperature before using the machine to avoid Errors</t>
  </si>
  <si>
    <t>https://www.jotform.com/uploads/macarewecare/222927978372067/6497062617119438891/6497062617119438891_signature_28.png</t>
  </si>
  <si>
    <t>Arnel Cresar Nerosa</t>
  </si>
  <si>
    <t>https://www.jotform.com/uploads/macarewecare/222927978372067/6497062617119438891/6497062617119438891_signature_31.png</t>
  </si>
  <si>
    <t>Ipil Rural Health Unit</t>
  </si>
  <si>
    <t>Ipil, Zamboanga sibugay</t>
  </si>
  <si>
    <t>Zamboanga Sibugay</t>
  </si>
  <si>
    <t>rheasolana@gmail.com</t>
  </si>
  <si>
    <t xml:space="preserve">ASSAY: Xpert HIV-1 Viral Load, COUNT: 122
ASSAY: Xpert MTB/RIF Ultra, COUNT: 1434
ASSAY: Others, COUNT: 21
</t>
  </si>
  <si>
    <t>Module 4 gives temperature error of 1001, 1002, 4017.</t>
  </si>
  <si>
    <t>Preventive Maintenence as PM checklist Document #D20843. Data collection. Site inspection</t>
  </si>
  <si>
    <t>Preventive Maintenence as PM checklist Document #D20843. Data collection. Site inspection.</t>
  </si>
  <si>
    <t>Module 1, 2 and 3 are working properly while module 4 is under observation because of frequent temperature error.</t>
  </si>
  <si>
    <t>https://www.jotform.com/uploads/macarewecare/222927978372067/6496996078216127625/6496996078216127625_signature_28.png</t>
  </si>
  <si>
    <t>Rheamay Solana</t>
  </si>
  <si>
    <t>https://www.jotform.com/uploads/macarewecare/222927978372067/6496996078216127625/6496996078216127625_signature_31.png</t>
  </si>
  <si>
    <t>Casiguran RHU</t>
  </si>
  <si>
    <t>Casiguran, Aurora</t>
  </si>
  <si>
    <t>Aurora</t>
  </si>
  <si>
    <t>harolduno0905@gmail.com</t>
  </si>
  <si>
    <t>cezalen@gmail.com</t>
  </si>
  <si>
    <t xml:space="preserve">ASSAY: Xpert MTB/RIF Ultra, COUNT: 771
</t>
  </si>
  <si>
    <t>Module A2: 757662 for replacement.
For unit maintenance.</t>
  </si>
  <si>
    <t>Performed module replacement and maintenance.</t>
  </si>
  <si>
    <t>Replaced module A2 by module sn: 903921
Performed unit maintenance.</t>
  </si>
  <si>
    <t>All 4 modules opwrational.</t>
  </si>
  <si>
    <t>Module SN: 903921</t>
  </si>
  <si>
    <t>https://www.jotform.com/uploads/macarewecare/222927978372067/6496985910615327005/6496985910615327005_signature_28.png</t>
  </si>
  <si>
    <t>Princess Alen A. Cabunoc, RMT,MPA</t>
  </si>
  <si>
    <t>https://www.jotform.com/uploads/macarewecare/222927978372067/6496985910615327005/6496985910615327005_signature_31.png</t>
  </si>
  <si>
    <t>Ormoc City Health Office</t>
  </si>
  <si>
    <t>Ormoc City, Leyte</t>
  </si>
  <si>
    <t>theresesaladaga@gmail.com</t>
  </si>
  <si>
    <t xml:space="preserve">ASSAY: Xpert MTB/RIF Ultra, COUNT: 3021
ASSAY: Xpert HIV-1 Viral Load, COUNT: 151
</t>
  </si>
  <si>
    <t>Module B2 failed XpertCheck</t>
  </si>
  <si>
    <t>-Replace module B2/210089520 with module SN: 897494</t>
  </si>
  <si>
    <t>https://www.jotform.com/uploads/macarewecare/222927978372067/6496855567757538894/6496855567757538894_signature_28.png</t>
  </si>
  <si>
    <t>Ma. Therese A. Saladaga</t>
  </si>
  <si>
    <t>https://www.jotform.com/uploads/macarewecare/222927978372067/6496855567757538894/6496855567757538894_signature_31.png</t>
  </si>
  <si>
    <t>Northern Samar Provincial Hospital</t>
  </si>
  <si>
    <t>Catarman Northern Samar</t>
  </si>
  <si>
    <t>Northern Samar</t>
  </si>
  <si>
    <t>maryanthonettedellosa@gmail.com</t>
  </si>
  <si>
    <t>https://www.jotform.com/uploads/macarewecare/222927978372067/6496283886416464126/6496283886416464126_signature_28.png</t>
  </si>
  <si>
    <t>Mary Anthonette Dellosa</t>
  </si>
  <si>
    <t>https://www.jotform.com/uploads/macarewecare/222927978372067/6496283886416464126/6496283886416464126_signature_31.png</t>
  </si>
  <si>
    <t>https://www.jotform.com/uploads/macarewecare/222927978372067/6496283866415686404/6496283866415686404_signature_28.png</t>
  </si>
  <si>
    <t>https://www.jotform.com/uploads/macarewecare/222927978372067/6496283866415686404/6496283866415686404_signature_31.png</t>
  </si>
  <si>
    <t>Pedro Gil Health Center</t>
  </si>
  <si>
    <t>Pedro Gil</t>
  </si>
  <si>
    <t>acg_medtech@yahoo.com</t>
  </si>
  <si>
    <t>Module B1 868124 for replacement</t>
  </si>
  <si>
    <t>- checked and cleaned cartridge bay, plunger rod, filter
- replaced module B1 by 210057345
- generated reports
- performed self test</t>
  </si>
  <si>
    <t>https://www.jotform.com/uploads/macarewecare/222927978372067/6496267990216324499/6496267990216324499_signature_28.png</t>
  </si>
  <si>
    <t>Agnes Ranches</t>
  </si>
  <si>
    <t>https://www.jotform.com/uploads/macarewecare/222927978372067/6496267990216324499/6496267990216324499_signature_31.png</t>
  </si>
  <si>
    <t>Rosario Super Health Center</t>
  </si>
  <si>
    <t>Rosario, Pasig</t>
  </si>
  <si>
    <t>consalaneljaine@gmail.com</t>
  </si>
  <si>
    <t xml:space="preserve">ASSAY: Xpert MTB/RIF Ultra, COUNT: 893
</t>
  </si>
  <si>
    <t>Performed maintenance 
Cleaned:
-Cartridge bay 
-Plunger rod 
-Icore 
-filter 
Generated reports</t>
  </si>
  <si>
    <t>https://www.jotform.com/uploads/macarewecare/222927978372067/6496221973616267005/6496221973616267005_signature_28.png</t>
  </si>
  <si>
    <t>Eden Cawayan</t>
  </si>
  <si>
    <t>https://www.jotform.com/uploads/macarewecare/222927978372067/6496221973616267005/6496221973616267005_signature_31.png</t>
  </si>
  <si>
    <t>Santolan Super Health Center</t>
  </si>
  <si>
    <t>Santolan, Pasig</t>
  </si>
  <si>
    <t>samandlet17@gmail.com</t>
  </si>
  <si>
    <t xml:space="preserve">ASSAY: Xpert MTB/RIF Ultra, COUNT: 1683
</t>
  </si>
  <si>
    <t>Performed maintenance 
Cleaned:
-Cartridge bay 
-plunger rod 
-Icore 
-Filter
Generated reports</t>
  </si>
  <si>
    <t>https://www.jotform.com/uploads/macarewecare/222927978372067/6496221963614047218/6496221963614047218_signature_28.png</t>
  </si>
  <si>
    <t>Lolita Ong Formalejo</t>
  </si>
  <si>
    <t>https://www.jotform.com/uploads/macarewecare/222927978372067/6496221963614047218/6496221963614047218_signature_31.png</t>
  </si>
  <si>
    <t xml:space="preserve">ASSAY: Xpert MTB/RIF Ultra, COUNT: 1349
</t>
  </si>
  <si>
    <t>performed maintenance</t>
  </si>
  <si>
    <t>Performed maintenance 
Cleaned:
-Cartridge bay 
-Plunger rod 
-Icore 
-filter
Generated reports</t>
  </si>
  <si>
    <t>https://www.jotform.com/uploads/macarewecare/222927978372067/6496221973614389332/6496221973614389332_signature_28.png</t>
  </si>
  <si>
    <t>https://www.jotform.com/uploads/macarewecare/222927978372067/6496221973614389332/6496221973614389332_signature_31.png</t>
  </si>
  <si>
    <t>Taytay Rural Health Unit 5-B</t>
  </si>
  <si>
    <t>Taytay, Rizal</t>
  </si>
  <si>
    <t>zenresurreccion@gmail.com</t>
  </si>
  <si>
    <t xml:space="preserve">ASSAY: Xpert HIV-1 Viral Load, COUNT: 70
ASSAY: Xpert MTB/RIF Ultra, COUNT: 1452
ASSAY: Xpert HIV-1 Viral Load, COUNT: 83
</t>
  </si>
  <si>
    <t>Error 1001 on module B4/684235
Monitor auto adjustment and buttons not functioning</t>
  </si>
  <si>
    <t>Performed maintenance 
Cleaned:
-Cartridge bay 
-Plunger rod 
-Icore 
-filter
Generated reports 
Checked monitor</t>
  </si>
  <si>
    <t>Unit is operational. Module B4 not operational, for reporting. Monitor buttons not functioning and auto adjustment always shows, recommend to replace.</t>
  </si>
  <si>
    <t>https://www.jotform.com/uploads/macarewecare/222927978372067/6496221973617144302/6496221973617144302_signature_28.png</t>
  </si>
  <si>
    <t>Zenilynn R. Bobiles</t>
  </si>
  <si>
    <t>https://www.jotform.com/uploads/macarewecare/222927978372067/6496221973617144302/6496221973617144302_signature_31.png</t>
  </si>
  <si>
    <t xml:space="preserve">ASSAY: Xpert MTB/RIF Ultra, COUNT: 1258
</t>
  </si>
  <si>
    <t>Performed maintenance 
Cleaned:
-Cartridge bay 
-plunger rod 
-icore 
-filter 
Generated reports</t>
  </si>
  <si>
    <t>https://www.jotform.com/uploads/macarewecare/222927978372067/6496221973619012882/6496221973619012882_signature_28.png</t>
  </si>
  <si>
    <t>https://www.jotform.com/uploads/macarewecare/222927978372067/6496221973619012882/6496221973619012882_signature_31.png</t>
  </si>
  <si>
    <t>Calbayog City Health Office</t>
  </si>
  <si>
    <t>Calbayog Samar</t>
  </si>
  <si>
    <t>Bogart.sd.1970@gmail.com</t>
  </si>
  <si>
    <t>N/a</t>
  </si>
  <si>
    <t>https://www.jotform.com/uploads/macarewecare/222927978372067/6496095549715765181/6496095549715765181_signature_28.png</t>
  </si>
  <si>
    <t>ma.leonora dejapin</t>
  </si>
  <si>
    <t>https://www.jotform.com/uploads/macarewecare/222927978372067/6496095549715765181/6496095549715765181_signature_31.png</t>
  </si>
  <si>
    <t>San Jose City General Hospital</t>
  </si>
  <si>
    <t>Malasin, San Jose City, Nueva Ecija</t>
  </si>
  <si>
    <t>Nueva Ecija</t>
  </si>
  <si>
    <t>katsorzadp@gmail.com</t>
  </si>
  <si>
    <t xml:space="preserve">ASSAY: Xpert MTB/RIF Ultra, COUNT: 2004
</t>
  </si>
  <si>
    <t>Module B2 failed Xpertcheck</t>
  </si>
  <si>
    <t>Performed Module Replacement
B2(643773 - 745192)</t>
  </si>
  <si>
    <t>Performed Maintenance
Gathered Reports
Performed Functionality Test</t>
  </si>
  <si>
    <t>https://www.jotform.com/uploads/macarewecare/222927978372067/6495425229113539216/6495425229113539216_signature_28.png</t>
  </si>
  <si>
    <t>Katherine Dela Pena</t>
  </si>
  <si>
    <t>https://www.jotform.com/uploads/macarewecare/222927978372067/6495425229113539216/6495425229113539216_signature_31.png</t>
  </si>
  <si>
    <t>Amparo Health Center</t>
  </si>
  <si>
    <t>Amparo</t>
  </si>
  <si>
    <t>josephgescuetarmt@gmail.com</t>
  </si>
  <si>
    <t>Unit is operational
Valve related errors (1018, 2006, 4004) found on Module B2 (706384)
B2 for reporting/follow up</t>
  </si>
  <si>
    <t>https://www.jotform.com/uploads/macarewecare/222927978372067/6495379139911339865/6495379139911339865_signature_28.png</t>
  </si>
  <si>
    <t>Joseph Gherico Navarro Escueta</t>
  </si>
  <si>
    <t>https://www.jotform.com/uploads/macarewecare/222927978372067/6495379139911339865/6495379139911339865_signature_31.png</t>
  </si>
  <si>
    <t>Mariveles District Hospital</t>
  </si>
  <si>
    <t>Batanes</t>
  </si>
  <si>
    <t>Pull-out</t>
  </si>
  <si>
    <t>laboratoryomdh2020@gmail.com</t>
  </si>
  <si>
    <t>GXIV-Laptop 6C</t>
  </si>
  <si>
    <t>For pull-out</t>
  </si>
  <si>
    <t>Preventive maintenance 
Pull-out</t>
  </si>
  <si>
    <t>Collect Data
Performaned preventive maintenance 
Performed functionality test 
Pull-out machine</t>
  </si>
  <si>
    <t>https://www.jotform.com/uploads/macarewecare/222927978372067/6495372620187088106/6495372620187088106_signature_28.png</t>
  </si>
  <si>
    <t>Marigae Monilla</t>
  </si>
  <si>
    <t>https://www.jotform.com/uploads/macarewecare/222927978372067/6495372620187088106/6495372620187088106_signature_31.png</t>
  </si>
  <si>
    <t>Abucay Rural Health Unit ( Roving GX)</t>
  </si>
  <si>
    <t>Decena Ave Abucay Bataan</t>
  </si>
  <si>
    <t>Due for calibration</t>
  </si>
  <si>
    <t>Preventive maintenance 
Xpertcheck</t>
  </si>
  <si>
    <t>Performed surface cleaning 
Performed cleaning of plunger rod, cartridge bay, icore and filter 
Archived test results 
Performed Xpertcheck 
Performed functionality test 
Gathered reports</t>
  </si>
  <si>
    <t>Unit is operational 
D1: 685708 PASSED
D2: 210068621 PASSED
D3: 701939 FAILED 
D4: 706514 PASSED</t>
  </si>
  <si>
    <t>https://www.jotform.com/uploads/macarewecare/222927978372067/6495358590188128419/6495358590188128419_signature_28.png</t>
  </si>
  <si>
    <t>https://www.jotform.com/uploads/macarewecare/222927978372067/6495358590188128419/6495358590188128419_signature_31.png</t>
  </si>
  <si>
    <t>Davao de Oro Provincial Hospital - Montevista</t>
  </si>
  <si>
    <t>Poblacion, Davao de Oro</t>
  </si>
  <si>
    <t>Davao de Oro</t>
  </si>
  <si>
    <t>cecillejagurilles1122@gmail.com</t>
  </si>
  <si>
    <t xml:space="preserve">ASSAY: Xpert MTB/RIF Ultra, COUNT: 1448
</t>
  </si>
  <si>
    <t>Defective Module SN 730686/ A4 due to Multiple temperature errors
Defective Module SN 210068367/ A1 due to XpertCheck Calibration Failure</t>
  </si>
  <si>
    <t>Clean Surface Area, Cartridge Bay, Plunger Rod, Fan Filters and Icore Lenses
Generate IQR, Assay Stat and System Log
Replaced the Defective Module SN: 730686/A4 with new Module SN: 892960
Replaced the Defective Module SN: 210068367 with new Module SN: 802376</t>
  </si>
  <si>
    <t>Perform Module Replacement
Perform Preventive Maintenance</t>
  </si>
  <si>
    <t>All Modules are operational, machine is functional</t>
  </si>
  <si>
    <t>https://www.jotform.com/uploads/macarewecare/222927978372067/6495319736218883593/6495319736218883593_signature_28.png</t>
  </si>
  <si>
    <t>Cecille Jagurilles,. RMT</t>
  </si>
  <si>
    <t>https://www.jotform.com/uploads/macarewecare/222927978372067/6495319736218883593/6495319736218883593_signature_31.png</t>
  </si>
  <si>
    <t>Norzagaray Rural Health Unit</t>
  </si>
  <si>
    <t>Norzagaray</t>
  </si>
  <si>
    <t>chelseajempolicarpio@gmail.com</t>
  </si>
  <si>
    <t>https://www.jotform.com/uploads/macarewecare/222927978372067/6495319209913039620/6495319209913039620_signature_28.png</t>
  </si>
  <si>
    <t>Chelsea Policarpio</t>
  </si>
  <si>
    <t>https://www.jotform.com/uploads/macarewecare/222927978372067/6495319209913039620/6495319209913039620_signature_31.png</t>
  </si>
  <si>
    <t>Decena Ave. Abucay Bataan</t>
  </si>
  <si>
    <t>Unit is operational 
D1: 667624 PASSED
D2: 210029873 PASSED
D3: 757993 PASSED
D4: 784680</t>
  </si>
  <si>
    <t>https://www.jotform.com/uploads/macarewecare/222927978372067/6495297108213727686/6495297108213727686_signature_28.png</t>
  </si>
  <si>
    <t>https://www.jotform.com/uploads/macarewecare/222927978372067/6495297108213727686/6495297108213727686_signature_31.png</t>
  </si>
  <si>
    <t>Angat Rural Health Unit</t>
  </si>
  <si>
    <t>Angat, Bulacan</t>
  </si>
  <si>
    <t>eileenrowenaicba@yaoo.com</t>
  </si>
  <si>
    <t>Module door for troubleshooting</t>
  </si>
  <si>
    <t>Adjusted module door</t>
  </si>
  <si>
    <t>https://www.jotform.com/uploads/macarewecare/222927978372067/6495268379917154521/6495268379917154521_signature_28.png</t>
  </si>
  <si>
    <t>Eileen Fernandez</t>
  </si>
  <si>
    <t>https://www.jotform.com/uploads/macarewecare/222927978372067/6495268379917154521/6495268379917154521_signature_31.png</t>
  </si>
  <si>
    <t>Biliran Provincial Hospital</t>
  </si>
  <si>
    <t>Naval, Biliran</t>
  </si>
  <si>
    <t>Biliran</t>
  </si>
  <si>
    <t>ghelmission13@yahoo.com</t>
  </si>
  <si>
    <t xml:space="preserve">ASSAY: Xpert MTB/RIF Ultra, COUNT: 1231
ASSAY: Xpert MTB-XDR, COUNT: 14
ASSAY: Xpert HIV-1 Viral Load, COUNT: 53
</t>
  </si>
  <si>
    <t>10C GXIV-4</t>
  </si>
  <si>
    <t>Module B1 and B3 defective</t>
  </si>
  <si>
    <t>-Replace defective module B1/210103041 with module SN: 210041632
-Replace defective module B3/210103139 with module SN: 210040553</t>
  </si>
  <si>
    <t>Machine is functional. Module B2 is defective for reporting</t>
  </si>
  <si>
    <t>https://www.jotform.com/uploads/macarewecare/222927978372067/6495222171126520699/6495222171126520699_signature_28.png</t>
  </si>
  <si>
    <t>Gheland Corto</t>
  </si>
  <si>
    <t>https://www.jotform.com/uploads/macarewecare/222927978372067/6495222171126520699/6495222171126520699_signature_31.png</t>
  </si>
  <si>
    <t>Hermosa Super Health Center</t>
  </si>
  <si>
    <t>Palihan Hermosa, Bataan</t>
  </si>
  <si>
    <t>kryztynangela@gmail.com</t>
  </si>
  <si>
    <t>Performed surface cleaning
Performed cleaning of plunger rod, cartridge bay, icore and filter
Archived test results
Performed Xpertcheck 
Performed functionality test
Gathered reports</t>
  </si>
  <si>
    <t>Unit is operational 
B1: 756769 PASSED
B2: 756768 PASSED
B3: 651999 PASSED
B4: 756766 PASSED</t>
  </si>
  <si>
    <t>https://www.jotform.com/uploads/macarewecare/222927978372067/6495209748214331041/6495209748214331041_signature_28.png</t>
  </si>
  <si>
    <t>Mary Ann Patambag</t>
  </si>
  <si>
    <t>https://www.jotform.com/uploads/macarewecare/222927978372067/6495209748214331041/6495209748214331041_signature_31.png</t>
  </si>
  <si>
    <t>Talisay City Health Office</t>
  </si>
  <si>
    <t>INSTALLATION
MAINTENANCE</t>
  </si>
  <si>
    <t>hadmeoffguard@gmail.com</t>
  </si>
  <si>
    <t>Defective module B1</t>
  </si>
  <si>
    <t>. Save Installation Qualifications Report.
. Save System Log Report</t>
  </si>
  <si>
    <t>Replace module B1 with new serial number 210074046</t>
  </si>
  <si>
    <t>All modules are functional okay to use.</t>
  </si>
  <si>
    <t>https://www.jotform.com/uploads/macarewecare/222927978372067/6494561920395236966/6494561920395236966_signature_28.png</t>
  </si>
  <si>
    <t>Hadney Besa</t>
  </si>
  <si>
    <t>https://www.jotform.com/uploads/macarewecare/222927978372067/6494561920395236966/6494561920395236966_signature_31.png</t>
  </si>
  <si>
    <t>Cebu TB Reference Lab-SRP</t>
  </si>
  <si>
    <t>asmantiquilla.pbsp@gmail.com</t>
  </si>
  <si>
    <t>Gx4-10c</t>
  </si>
  <si>
    <t>Defective Module B4</t>
  </si>
  <si>
    <t>New Module Installed B4
Clean Fan Filter</t>
  </si>
  <si>
    <t>https://www.jotform.com/uploads/macarewecare/222927978372067/6494505685899829033/6494505685899829033_signature_28.png</t>
  </si>
  <si>
    <t>Allan S. Mantiquilla</t>
  </si>
  <si>
    <t>https://www.jotform.com/uploads/macarewecare/222927978372067/6494505685899829033/6494505685899829033_signature_31.png</t>
  </si>
  <si>
    <t>Cebu TB Reference Lab</t>
  </si>
  <si>
    <t>Cebu City-SRP</t>
  </si>
  <si>
    <t>Gx4-10C</t>
  </si>
  <si>
    <t>Defective Module B1,B3 &amp; B4</t>
  </si>
  <si>
    <t>New Module Installed B1,B3 &amp; B4
Clean Fan Filter</t>
  </si>
  <si>
    <t>https://www.jotform.com/uploads/macarewecare/222927978372067/6494501185898600143/6494501185898600143_signature_28.png</t>
  </si>
  <si>
    <t>https://www.jotform.com/uploads/macarewecare/222927978372067/6494501185898600143/6494501185898600143_signature_31.png</t>
  </si>
  <si>
    <t>Manapla Rural Health Unit</t>
  </si>
  <si>
    <t>magalonaruderic@gmail.com</t>
  </si>
  <si>
    <t>Module A2 and A3 Defective.</t>
  </si>
  <si>
    <t>. Save Installation Qualifications Report.
. Save System Log Report.
. GXX file</t>
  </si>
  <si>
    <t>Replace module A2 with new serial number 801491 A3 with new serial number 679135</t>
  </si>
  <si>
    <t>https://www.jotform.com/uploads/macarewecare/222927978372067/6494493718299776092/6494493718299776092_signature_28.png</t>
  </si>
  <si>
    <t>Ruderic Magalona</t>
  </si>
  <si>
    <t>https://www.jotform.com/uploads/macarewecare/222927978372067/6494493718299776092/6494493718299776092_signature_31.png</t>
  </si>
  <si>
    <t xml:space="preserve">ASSAY: Xpert MTB/RIF Ultra, COUNT: 500
</t>
  </si>
  <si>
    <t>Printer cannot proceed to print operation</t>
  </si>
  <si>
    <t>Installation of printer driver 
Generate IQR, System Log, and Gxx files.
Test print after installation.</t>
  </si>
  <si>
    <t>Unit machine and its printer is operational.</t>
  </si>
  <si>
    <t>https://www.jotform.com/uploads/macarewecare/222927978372067/6494486235895063042/6494486235895063042_signature_28.png</t>
  </si>
  <si>
    <t>https://www.jotform.com/uploads/macarewecare/222927978372067/6494486235895063042/6494486235895063042_signature_31.png</t>
  </si>
  <si>
    <t>Vicente Mendiola Center for Health Infirmary</t>
  </si>
  <si>
    <t>Poblacion Naga City, Cebu</t>
  </si>
  <si>
    <t>INSTALLATION
TROUBLESHOOTING</t>
  </si>
  <si>
    <t>geccaprocianos26@gmail.com</t>
  </si>
  <si>
    <t>Printer cannot proceed to print due driver corrupted.</t>
  </si>
  <si>
    <t>Installation of printer driver 
Generate IQR, System Log, and Gxx files.
Test print after installation.
Load test assay such HIV, HCV and MTB Ultra</t>
  </si>
  <si>
    <t>https://www.jotform.com/uploads/macarewecare/222927978372067/6494483965899798517/6494483965899798517_signature_28.png</t>
  </si>
  <si>
    <t>Gene Carmel T..Procianos</t>
  </si>
  <si>
    <t>https://www.jotform.com/uploads/macarewecare/222927978372067/6494483965899798517/6494483965899798517_signature_31.png</t>
  </si>
  <si>
    <t>Macare in house</t>
  </si>
  <si>
    <t>1005 Aurora Grand,Aurora blvd QC</t>
  </si>
  <si>
    <t>Macare 8n house</t>
  </si>
  <si>
    <t>APC UPS</t>
  </si>
  <si>
    <t>UPS</t>
  </si>
  <si>
    <t>4B1011PS3727</t>
  </si>
  <si>
    <t>Defective battery</t>
  </si>
  <si>
    <t>Replaced and installed battery with s/n 548682</t>
  </si>
  <si>
    <t>Battery</t>
  </si>
  <si>
    <t>https://www.jotform.com/uploads/macarewecare/222927978372067/6494426683613845889/6494426683613845889_signature_28.png</t>
  </si>
  <si>
    <t>https://www.jotform.com/uploads/macarewecare/222927978372067/6494426683613845889/6494426683613845889_signature_31.png</t>
  </si>
  <si>
    <t>1005 Aurora grand Aurora blvd QC</t>
  </si>
  <si>
    <t>Accupower UPS</t>
  </si>
  <si>
    <t>1KVA ups</t>
  </si>
  <si>
    <t>AT1000190123ST0255</t>
  </si>
  <si>
    <t>No power defective battery</t>
  </si>
  <si>
    <t>Replaced and installed battery witn s/n 573259/573260</t>
  </si>
  <si>
    <t>Performed repair and troubleshooting</t>
  </si>
  <si>
    <t>12v 7ah battery</t>
  </si>
  <si>
    <t>https://www.jotform.com/uploads/macarewecare/222927978372067/6494421583611252951/6494421583611252951_signature_28.png</t>
  </si>
  <si>
    <t>Macare on house</t>
  </si>
  <si>
    <t>https://www.jotform.com/uploads/macarewecare/222927978372067/6494421583611252951/6494421583611252951_signature_31.png</t>
  </si>
  <si>
    <t>1005 Aurora grand ,Aurora blvd QC</t>
  </si>
  <si>
    <t>1kva</t>
  </si>
  <si>
    <t>At1000190123ST0160</t>
  </si>
  <si>
    <t>No power 
Defective battery</t>
  </si>
  <si>
    <t>Replaced defective battery witn s/n 573257/573258</t>
  </si>
  <si>
    <t>Performed troubleshooting and repair</t>
  </si>
  <si>
    <t>https://www.jotform.com/uploads/macarewecare/222927978372067/6494418543619503011/6494418543619503011_signature_28.png</t>
  </si>
  <si>
    <t>https://www.jotform.com/uploads/macarewecare/222927978372067/6494418543619503011/6494418543619503011_signature_31.png</t>
  </si>
  <si>
    <t>Cotabato Regional and Medical Center</t>
  </si>
  <si>
    <t>Sinsuat Avenue, Cotabato City</t>
  </si>
  <si>
    <t>Maguindanao</t>
  </si>
  <si>
    <t>crmcmolecularlab@gmail.com</t>
  </si>
  <si>
    <t xml:space="preserve">ASSAY: Xpert HBV VL, COUNT: 35
ASSAY: Xpert MTB/RIF Ultra, COUNT: 3673
ASSAY: Xpert HIV-1 Viral Load, COUNT: 18
</t>
  </si>
  <si>
    <t>GX-XVI 6C</t>
  </si>
  <si>
    <t>Module B3/ 717133 encounter multiple temperature related errors</t>
  </si>
  <si>
    <t>Clean Surface Area, Cartridge Bay, Plunger Rod, Fan Filters and Icore Lenses
Generate IQR, Assay Stat and System Log</t>
  </si>
  <si>
    <t>Perform Module Troubleshooting and Preventive Maintenance</t>
  </si>
  <si>
    <t>Module B3/ SN 717133 still encounter multiple temperature related errors</t>
  </si>
  <si>
    <t>Errors sent to Cepheid For further assessment</t>
  </si>
  <si>
    <t>https://www.jotform.com/uploads/macarewecare/222927978372067/6494409621312784126/6494409621312784126_signature_28.png</t>
  </si>
  <si>
    <t>Joseph Romy Pascasio</t>
  </si>
  <si>
    <t>https://www.jotform.com/uploads/macarewecare/222927978372067/6494409621312784126/6494409621312784126_signature_31.png</t>
  </si>
  <si>
    <t>REPAIR
TROUBLESHOOTING
ON-SITE ASSISTANCE</t>
  </si>
  <si>
    <t xml:space="preserve">ASSAY: Xpert HBV VL, COUNT: 595
ASSAY: Xpert HPV, COUNT: 50
ASSAY: Xpert MTB/RIF Ultra, COUNT: 40
ASSAY: Xpert HIV-1 Viral Load, COUNT: 513
</t>
  </si>
  <si>
    <t>Stuck Cartidges at Modules 2 and 4</t>
  </si>
  <si>
    <t>Clean Surface Area, Cartridge Bay, Plunger Rod, Fan Filters and Icore Lenses
Generate IQR, Assay Stat and System Log
Remove the Stuck Cartidges at Modules 2 and 4</t>
  </si>
  <si>
    <t>Perform Troubleshooting and extraction of stuck cartridges</t>
  </si>
  <si>
    <t>Successfully removed the Stucked Cartidges
All Modules are operational</t>
  </si>
  <si>
    <t>https://www.jotform.com/uploads/macarewecare/222927978372067/6494408991317307065/6494408991317307065_signature_28.png</t>
  </si>
  <si>
    <t>https://www.jotform.com/uploads/macarewecare/222927978372067/6494408991317307065/6494408991317307065_signature_31.png</t>
  </si>
  <si>
    <t>Ilocos Training and Regional Medical Center</t>
  </si>
  <si>
    <t>San Fernando, La Union</t>
  </si>
  <si>
    <t>La Union</t>
  </si>
  <si>
    <t>raalili.pbsp@gmail.com</t>
  </si>
  <si>
    <t>itrmc.tblaboratory@gmail.com</t>
  </si>
  <si>
    <t>GXIV-4-D-6C R1</t>
  </si>
  <si>
    <t>For Gateway Board Replacement</t>
  </si>
  <si>
    <t>Performed Gatewayboard Replacement</t>
  </si>
  <si>
    <t>Unit is Partially Operational 
Modules B3 and B4 are disabled</t>
  </si>
  <si>
    <t>Gatewayboard</t>
  </si>
  <si>
    <t>https://www.jotform.com/uploads/macarewecare/222927978372067/6494386126615953033/6494386126615953033_signature_28.png</t>
  </si>
  <si>
    <t>Russel Alili</t>
  </si>
  <si>
    <t>https://www.jotform.com/uploads/macarewecare/222927978372067/6494386126615953033/6494386126615953033_signature_31.png</t>
  </si>
  <si>
    <t>Ilocos Sur Provincial Hospital Gabriela Silang</t>
  </si>
  <si>
    <t>Vigan, Ilocos Sur</t>
  </si>
  <si>
    <t>Ilocos Sur</t>
  </si>
  <si>
    <t>mary.alexis.tahil@gmail.com</t>
  </si>
  <si>
    <t>For Module Replacement</t>
  </si>
  <si>
    <t>- Cleaned Cartridge Bays, Plunger Rods and I-CORE 
- Replaced Defective Module B2  220013578 &gt;&gt;&gt; 795939
- Generated Reports</t>
  </si>
  <si>
    <t>Performed Module Replacement</t>
  </si>
  <si>
    <t>GeneXpert Module 795939</t>
  </si>
  <si>
    <t>https://www.jotform.com/uploads/macarewecare/222927978372067/6494383966611182881/6494383966611182881_signature_28.png</t>
  </si>
  <si>
    <t>Mary Alexis F. TAHIL</t>
  </si>
  <si>
    <t>https://www.jotform.com/uploads/macarewecare/222927978372067/6494383966611182881/6494383966611182881_signature_31.png</t>
  </si>
  <si>
    <t>Bantay Municipal Health Office</t>
  </si>
  <si>
    <t>Bantay, Ilocos Sur</t>
  </si>
  <si>
    <t>lornarabara_23@yahoo.com</t>
  </si>
  <si>
    <t>For Troubleshooting</t>
  </si>
  <si>
    <t>Performed Troubleshooting</t>
  </si>
  <si>
    <t>Unit is Partially Operational</t>
  </si>
  <si>
    <t>Module 4 for Reporting</t>
  </si>
  <si>
    <t>https://www.jotform.com/uploads/macarewecare/222927978372067/6494382736613822805/6494382736613822805_signature_28.png</t>
  </si>
  <si>
    <t>Lorna Rabara</t>
  </si>
  <si>
    <t>https://www.jotform.com/uploads/macarewecare/222927978372067/6494382736613822805/6494382736613822805_signature_31.png</t>
  </si>
  <si>
    <t>Juan Posadas Health Center</t>
  </si>
  <si>
    <t>Rodriguez St. Tondo Manila</t>
  </si>
  <si>
    <t>Shiedrick Daroya</t>
  </si>
  <si>
    <t>sdaroya.macare@gmail.com</t>
  </si>
  <si>
    <t>lizjunio67@gmail.com</t>
  </si>
  <si>
    <t>Unit for preventive maintenance. 
For module replacement of module A4.</t>
  </si>
  <si>
    <t>Preventive maintenance and module replacement.</t>
  </si>
  <si>
    <t>Performed Preventive Maintenance.
-Cleaned and disinfect plunger
-Cleaned and disinfect cartridge bay
-Cleaned and disinfect instrument surface
-Cleaned icore sensors
-Cleaned filter fan
-Archived test results
Performed module replacement.
Generated reports.</t>
  </si>
  <si>
    <t>Def Module (632590), New Module (672062)</t>
  </si>
  <si>
    <t>https://www.jotform.com/uploads/macarewecare/222927978372067/6494382563619159304/6494382563619159304_signature_28.png</t>
  </si>
  <si>
    <t>Eliza Junio</t>
  </si>
  <si>
    <t>https://www.jotform.com/uploads/macarewecare/222927978372067/6494382563619159304/6494382563619159304_signature_31.png</t>
  </si>
  <si>
    <t>Ilocos Sur District Hospital- Narvacan</t>
  </si>
  <si>
    <t>Narvacan, Ilocos Sur</t>
  </si>
  <si>
    <t>lfm11141977@gmail.com</t>
  </si>
  <si>
    <t>- Cleaned Cartridge Bays, Plunger Rods and I-CORE
- Reprogrammed Gateway board to orginal SN (910765241 &gt;&gt;&gt; 807578)
- Performed XpertCheck 
- Generated Reports</t>
  </si>
  <si>
    <t>Module D2 failed XpertCheck</t>
  </si>
  <si>
    <t>XpertCheck Kits</t>
  </si>
  <si>
    <t>https://www.jotform.com/uploads/macarewecare/222927978372067/6494380096617837906/6494380096617837906_signature_28.png</t>
  </si>
  <si>
    <t>Lorely Miranda</t>
  </si>
  <si>
    <t>https://www.jotform.com/uploads/macarewecare/222927978372067/6494380096617837906/6494380096617837906_signature_31.png</t>
  </si>
  <si>
    <t>Moonwalk Health Center</t>
  </si>
  <si>
    <t>St.Francis, Moonwalk, Parañaque</t>
  </si>
  <si>
    <t>NCR 4th - Parañaque</t>
  </si>
  <si>
    <t>Site Assessment</t>
  </si>
  <si>
    <t>mayeemariel17@gmail.com</t>
  </si>
  <si>
    <t>GXIV-D-6C</t>
  </si>
  <si>
    <t>GeneXpert Unit for Assessment.</t>
  </si>
  <si>
    <t>Data Gathering.</t>
  </si>
  <si>
    <t>Generate Reports.
Performed Self-test.</t>
  </si>
  <si>
    <t>B1,B2 and B3 are Operational.
B4/ 724769 for Reporting.
Check for Warranty Status.</t>
  </si>
  <si>
    <t>Last XpertCheck: 10/27/2025</t>
  </si>
  <si>
    <t>https://www.jotform.com/uploads/macarewecare/222927978372067/6494318323617227054/6494318323617227054_signature_28.png</t>
  </si>
  <si>
    <t>Mariel Murillo</t>
  </si>
  <si>
    <t>https://www.jotform.com/uploads/macarewecare/222927978372067/6494318323617227054/6494318323617227054_signature_31.png</t>
  </si>
  <si>
    <t>Dapitan St., Manila</t>
  </si>
  <si>
    <t xml:space="preserve">ASSAY: Xpert MTB/RIF Ultra, COUNT: 766
ASSAY: Xpert BCR-ABL Ultra, COUNT: 22
ASSAY: Xpert HBV VL, COUNT: 16
</t>
  </si>
  <si>
    <t>Unit is due for Maintenance.</t>
  </si>
  <si>
    <t>Cleaned Cartridge Bay, Plunger Rod and Icore Optics.
Checked Filter if Clogged.
Performed Self-test.
Generate Reports.</t>
  </si>
  <si>
    <t>B1 is Disabled.
B2,B3 and B4 are Good.</t>
  </si>
  <si>
    <t>Data Assessment for Purchasing of Warranty.</t>
  </si>
  <si>
    <t>https://www.jotform.com/uploads/macarewecare/222927978372067/6494318323618135687/6494318323618135687_signature_28.png</t>
  </si>
  <si>
    <t>Maria Liova Sherleen Calaunan</t>
  </si>
  <si>
    <t>https://www.jotform.com/uploads/macarewecare/222927978372067/6494318323618135687/6494318323618135687_signature_31.png</t>
  </si>
  <si>
    <t>Parañaque City Clinical and Drug Testing Laboratory</t>
  </si>
  <si>
    <t>San Antonio Ave, Parañaque</t>
  </si>
  <si>
    <t>mariannelibot@gmail.com</t>
  </si>
  <si>
    <t xml:space="preserve">ASSAY: Xpert HIV-1 Viral Load, COUNT: 224
ASSAY: Xpert HPV, COUNT: 765
ASSAY: Xpert MTB/RIF Ultra, COUNT: 1547
</t>
  </si>
  <si>
    <t>For Site Assessment.</t>
  </si>
  <si>
    <t>B1, B2, B3 and B4 are Operational.
Unit needs to be XpertCheck.</t>
  </si>
  <si>
    <t>Last XpertCheck: 11/06/2024</t>
  </si>
  <si>
    <t>https://www.jotform.com/uploads/macarewecare/222927978372067/6494318313614167160/6494318313614167160_signature_28.png</t>
  </si>
  <si>
    <t>MARIANNE TIMTIM</t>
  </si>
  <si>
    <t>https://www.jotform.com/uploads/macarewecare/222927978372067/6494318313614167160/6494318313614167160_signature_31.png</t>
  </si>
  <si>
    <t>San Isidro Health Center</t>
  </si>
  <si>
    <t>UPS5, San Isidro, Parañaque</t>
  </si>
  <si>
    <t>herminadoa@yahoo.com</t>
  </si>
  <si>
    <t xml:space="preserve">ASSAY: Xpert HPV, COUNT: 46
ASSAY: Xpert MTB/RIF Ultra, COUNT: 1858
ASSAY: Xpert MTB-XDR, COUNT: 62
</t>
  </si>
  <si>
    <t>Generate Data for Reporting.
Performed Self-test.</t>
  </si>
  <si>
    <t>B1,B2 and B3 are in Good Condition.
B4 for Observation with 2014 Error Code occurred last 09/30/2025.</t>
  </si>
  <si>
    <t>Last XpertCheck: 11/20/2025</t>
  </si>
  <si>
    <t>https://www.jotform.com/uploads/macarewecare/222927978372067/6494318313617157810/6494318313617157810_signature_28.png</t>
  </si>
  <si>
    <t>Amelia G.Herminado</t>
  </si>
  <si>
    <t>https://www.jotform.com/uploads/macarewecare/222927978372067/6494318313617157810/6494318313617157810_signature_31.png</t>
  </si>
  <si>
    <t>MMC Medilinx</t>
  </si>
  <si>
    <t>Amorsolo st , Makati</t>
  </si>
  <si>
    <t>NCR 4th - Makati</t>
  </si>
  <si>
    <t>reinaluz.bactol@medilinx.com.ph</t>
  </si>
  <si>
    <t xml:space="preserve">ASSAY: Xpert BCR-ABL Ultra, COUNT: 314
ASSAY: Others, COUNT: 2
ASSAY: Others, COUNT: 2
ASSAY: Xpert CT/NG, COUNT: 803
ASSAY: Others, COUNT: 2
ASSAY: Xpert HBV VL, COUNT: 118
ASSAY: Xpert HIV-1 Viral Load, COUNT: 151
ASSAY: Xpert HPV, COUNT: 489
ASSAY: Xpert MTB/RIF Ultra, COUNT: 4375
ASSAY: Others, COUNT: 21
ASSAY: Xpert HCV VL, COUNT: 213
ASSAY: Xpert HIV-1 Viral Load, COUNT: 1874
ASSAY: Xpress SARS-CoV-2_Flu_RSV plus, COUNT: 12
</t>
  </si>
  <si>
    <t>GX16D 10C</t>
  </si>
  <si>
    <t>Cleaned unit
Cleaned plunger rod,filter,icore,cartridge bay
Gathered reports
Test run unit</t>
  </si>
  <si>
    <t>https://www.jotform.com/uploads/macarewecare/222927978372067/6494302763618746960/6494302763618746960_signature_28.png</t>
  </si>
  <si>
    <t>Maria Reinaluz Bactol</t>
  </si>
  <si>
    <t>https://www.jotform.com/uploads/macarewecare/222927978372067/6494302763618746960/6494302763618746960_signature_31.png</t>
  </si>
  <si>
    <t>biomed@themedicalcity.com</t>
  </si>
  <si>
    <t>moleculardx@themedicalcity.com</t>
  </si>
  <si>
    <t xml:space="preserve">ASSAY: Xpert BCR-ABL Ultra, COUNT: 59
ASSAY: Xpert CT/NG, COUNT: 83
ASSAY: Xpert HBV VL, COUNT: 632
ASSAY: Xpert HIV-1 Viral Load, COUNT: 363
ASSAY: Xpert HPV, COUNT: 376
ASSAY: Xpert MTB/RIF Ultra, COUNT: 6484
ASSAY: Xpert MTB-XDR, COUNT: 5
ASSAY: Others, COUNT: 7
ASSAY: Xpert HCV VL, COUNT: 186
ASSAY: Xpert HIV-1 Viral Load, COUNT: 903
ASSAY: Xpress SARS-CoV-2_Flu_RSV plus, COUNT: 920
</t>
  </si>
  <si>
    <t>GX-XVI-10C</t>
  </si>
  <si>
    <t>Performed maintenance 
Cleaned:
-Cartridge bay 
-plunger rod 
-Icore 
-Filter 
Generated reports</t>
  </si>
  <si>
    <t>Unit is operational. Module D1/210082300 not operational.</t>
  </si>
  <si>
    <t>https://www.jotform.com/uploads/macarewecare/222927978372067/6494280143612721980/6494280143612721980_signature_28.png</t>
  </si>
  <si>
    <t>Xchosa Kay C. Repatacodo</t>
  </si>
  <si>
    <t>https://www.jotform.com/uploads/macarewecare/222927978372067/6494280143612721980/6494280143612721980_signature_31.png</t>
  </si>
  <si>
    <t>Felipe Abrigo Memorial Hospital</t>
  </si>
  <si>
    <t>Guiuan Eastern Samar</t>
  </si>
  <si>
    <t>famhlaboratory@gmail.com</t>
  </si>
  <si>
    <t xml:space="preserve">ASSAY: Xpert MTB/RIF Ultra, COUNT: 676
</t>
  </si>
  <si>
    <t>Default CPU</t>
  </si>
  <si>
    <t>https://www.jotform.com/uploads/macarewecare/222927978372067/6492675833788314949/6492675833788314949_signature_28.png</t>
  </si>
  <si>
    <t>Myla M. Aparejado</t>
  </si>
  <si>
    <t>https://www.jotform.com/uploads/macarewecare/222927978372067/6492675833788314949/6492675833788314949_signature_31.png</t>
  </si>
  <si>
    <t>Bagong Silang Ph. 9 Health Center</t>
  </si>
  <si>
    <t>bsphase9hclaboratory@gmail.com</t>
  </si>
  <si>
    <t>Module B2 for replacement</t>
  </si>
  <si>
    <t>- replaced module by 903458
- generated reports
- performed self test</t>
  </si>
  <si>
    <t>https://www.jotform.com/uploads/macarewecare/222927978372067/6492008388225640914/6492008388225640914_signature_28.png</t>
  </si>
  <si>
    <t>Sheryl Dela Cerna</t>
  </si>
  <si>
    <t>https://www.jotform.com/uploads/macarewecare/222927978372067/6492008388225640914/6492008388225640914_signature_31.png</t>
  </si>
  <si>
    <t>Module A3 for replacement due to hardware failure due to temperature error</t>
  </si>
  <si>
    <t>Replaced module A3 (698176 &gt; 903325)</t>
  </si>
  <si>
    <t>Performed module replacement 
Performed maintenance cleaning</t>
  </si>
  <si>
    <t>Certified pre-owned GeneXpert Module (S/N: 903325)
Modified ejector 
Assy door GeneXpert module</t>
  </si>
  <si>
    <t>DR 13812</t>
  </si>
  <si>
    <t>https://www.jotform.com/uploads/macarewecare/222927978372067/6491966320424809840/6491966320424809840_signature_28.png</t>
  </si>
  <si>
    <t>https://www.jotform.com/uploads/macarewecare/222927978372067/6491966320424809840/6491966320424809840_signature_31.png</t>
  </si>
  <si>
    <t>Balabac RTDL</t>
  </si>
  <si>
    <t>Poblacion 1, Balabac</t>
  </si>
  <si>
    <t>TB Lab</t>
  </si>
  <si>
    <t>kalim.jaycylmae@gmail.com</t>
  </si>
  <si>
    <t>Due fpr Xpertcheck</t>
  </si>
  <si>
    <t>Performed PM
Cleaned cartridge bays, icores and plunger rods
Performed xpertcheck</t>
  </si>
  <si>
    <t>Units is operational. A1 passed. A2, A3, and A4 not available</t>
  </si>
  <si>
    <t>https://www.jotform.com/uploads/macarewecare/222927978372067/6491912392013060675/6491912392013060675_signature_28.png</t>
  </si>
  <si>
    <t>Jaycyl Mae A. Kalim</t>
  </si>
  <si>
    <t>https://www.jotform.com/uploads/macarewecare/222927978372067/6491912392013060675/6491912392013060675_signature_31.png</t>
  </si>
  <si>
    <t>Ospital ng Palawan</t>
  </si>
  <si>
    <t>Malvar, Puerto Princesa City, Palawan</t>
  </si>
  <si>
    <t>TB Culture Lab</t>
  </si>
  <si>
    <t>onptbclab@gmail.com</t>
  </si>
  <si>
    <t>Due for Xpertcheck</t>
  </si>
  <si>
    <t>Performed preventive maintenance
Cleaned cartridge bays, icores, plunger rods, and replaced filter
Performed xpertcheck
Performed functionality test</t>
  </si>
  <si>
    <t>Unit is operational. All modules passed Xpertcheck</t>
  </si>
  <si>
    <t>https://www.jotform.com/uploads/macarewecare/222927978372067/6491911692017828423/6491911692017828423_signature_28.png</t>
  </si>
  <si>
    <t>Karizz Mae Santos</t>
  </si>
  <si>
    <t>https://www.jotform.com/uploads/macarewecare/222927978372067/6491911692017828423/6491911692017828423_signature_31.png</t>
  </si>
  <si>
    <t>Hagonoy</t>
  </si>
  <si>
    <t>lanielyncastro@yahoo.com</t>
  </si>
  <si>
    <t>Module C1(662453) and C2(668985) for replacement</t>
  </si>
  <si>
    <t>- replaced modules C1, C2 by 753916 and 756989
- generated reports
- performed self test</t>
  </si>
  <si>
    <t>https://www.jotform.com/uploads/macarewecare/222927978372067/6491906148221823076/6491906148221823076_signature_28.png</t>
  </si>
  <si>
    <t>Lanielyn Abadam</t>
  </si>
  <si>
    <t>https://www.jotform.com/uploads/macarewecare/222927978372067/6491906148221823076/6491906148221823076_signature_31.png</t>
  </si>
  <si>
    <t>Ortigas Ave, Pasig City</t>
  </si>
  <si>
    <t>bloodbank@themedicalcity.com</t>
  </si>
  <si>
    <t>02F070</t>
  </si>
  <si>
    <t>Performed maintenance 
Run simulation 
Checked rotor pumps 
Verified calibration parameters 
Functionality test</t>
  </si>
  <si>
    <t>Recommend to calibrate the unit</t>
  </si>
  <si>
    <t>https://www.jotform.com/uploads/macarewecare/222927978372067/6491905557519837062/6491905557519837062_signature_28.png</t>
  </si>
  <si>
    <t>Roxanne mercado</t>
  </si>
  <si>
    <t>https://www.jotform.com/uploads/macarewecare/222927978372067/6491905557519837062/6491905557519837062_signature_31.png</t>
  </si>
  <si>
    <t xml:space="preserve">ASSAY: Xpert MTB/RIF Ultra, COUNT: 759
</t>
  </si>
  <si>
    <t>Performed maintenance 
Cleaned:
-Cartridge bay 
-Plunger rod 
-Icore 
-Filter 
Run XpertCheck 
Generated reports</t>
  </si>
  <si>
    <t>Unit is operational. All modules passed. All modules operational.</t>
  </si>
  <si>
    <t>https://www.jotform.com/uploads/macarewecare/222927978372067/6491897007512348714/6491897007512348714_signature_28.png</t>
  </si>
  <si>
    <t>Girlie De Guzman</t>
  </si>
  <si>
    <t>https://www.jotform.com/uploads/macarewecare/222927978372067/6491897007512348714/6491897007512348714_signature_31.png</t>
  </si>
  <si>
    <t xml:space="preserve">ASSAY: Xpert HIV-1 Viral Load, COUNT: 35
ASSAY: Xpert MTB/RIF Ultra, COUNT: 557
ASSAY: Xpert MTB-XDR, COUNT: 26
ASSAY: Xpert HIV-1 Viral Load, COUNT: 405
</t>
  </si>
  <si>
    <t>Unit is operational. Wll modules operational.</t>
  </si>
  <si>
    <t>https://www.jotform.com/uploads/macarewecare/222927978372067/6491897007516839740/6491897007516839740_signature_28.png</t>
  </si>
  <si>
    <t>https://www.jotform.com/uploads/macarewecare/222927978372067/6491897007516839740/6491897007516839740_signature_31.png</t>
  </si>
  <si>
    <t xml:space="preserve">ASSAY: Xpert HIV-1 Viral Load, COUNT: 35
ASSAY: Xpert MTB/RIF Ultra, COUNT: 515
ASSAY: Xpert MTB-XDR, COUNT: 36
ASSAY: Xpert HIV-1 Viral Load, COUNT: 193
</t>
  </si>
  <si>
    <t>Performed maintenance 
Cleaned:
-Cartridge bay
-Plunger rod 
-Icore 
-Filter 
Generated reports</t>
  </si>
  <si>
    <t>https://www.jotform.com/uploads/macarewecare/222927978372067/6491897007518954192/6491897007518954192_signature_28.png</t>
  </si>
  <si>
    <t>https://www.jotform.com/uploads/macarewecare/222927978372067/6491897007518954192/6491897007518954192_signature_31.png</t>
  </si>
  <si>
    <t>Mary Mediatrix Medical Center</t>
  </si>
  <si>
    <t>Lipa, Batangas</t>
  </si>
  <si>
    <t>biomedmgrmi.mmmc2@gmail.com</t>
  </si>
  <si>
    <t>mmmcpcrlab@yahoo.com</t>
  </si>
  <si>
    <t>Unit for preventive maintenance.</t>
  </si>
  <si>
    <t>Preventive maintenance.</t>
  </si>
  <si>
    <t>Performed Preventive Maintenance.
-Cleaned and disinfect plunger
-Cleaned and disinfect cartridge bay
-Cleaned and disinfect instrument surface
-Cleaned icore sensors
-Cleaned filter fan
-Archived test results
Generated reports.</t>
  </si>
  <si>
    <t>Unit is operational and ready to use.</t>
  </si>
  <si>
    <t>https://www.jotform.com/uploads/macarewecare/222927978372067/6491886875612009902/6491886875612009902_signature_28.png</t>
  </si>
  <si>
    <t>Irish Kristine Culla</t>
  </si>
  <si>
    <t>https://www.jotform.com/uploads/macarewecare/222927978372067/6491886875612009902/6491886875612009902_signature_31.png</t>
  </si>
  <si>
    <t>San Jose Rural Health Unit</t>
  </si>
  <si>
    <t>San Jose, Batangas</t>
  </si>
  <si>
    <t>sanjoserhulab@yahoo.com</t>
  </si>
  <si>
    <t>Unit for preventive maintenance.
For module replacement.</t>
  </si>
  <si>
    <t>Def Module 220024256, New Module 620116</t>
  </si>
  <si>
    <t>https://www.jotform.com/uploads/macarewecare/222927978372067/6491882995619399220/6491882995619399220_signature_28.png</t>
  </si>
  <si>
    <t>Paul T. Tajanlamgit</t>
  </si>
  <si>
    <t>https://www.jotform.com/uploads/macarewecare/222927978372067/6491882995619399220/6491882995619399220_signature_31.png</t>
  </si>
  <si>
    <t>San Remegio Rural Health Unit</t>
  </si>
  <si>
    <t>Poblacion San Remegio Cebu</t>
  </si>
  <si>
    <t>LCD Monitor Installation</t>
  </si>
  <si>
    <t>Installation of New LCD Monitor</t>
  </si>
  <si>
    <t>. Save setup pecture
. Save Installation Qualifications Report.</t>
  </si>
  <si>
    <t>Replace the deffective LCD
Install new LCD monitor woth serial number CN-01HRFC-FCC00-4CJ-DYPX-A00</t>
  </si>
  <si>
    <t>LCD functional okay to use.</t>
  </si>
  <si>
    <t>https://www.jotform.com/uploads/macarewecare/222927978372067/6491792814318216467/6491792814318216467_signature_28.png</t>
  </si>
  <si>
    <t>https://www.jotform.com/uploads/macarewecare/222927978372067/6491792814318216467/6491792814318216467_signature_31.png</t>
  </si>
  <si>
    <t>Gingoog City Health Office</t>
  </si>
  <si>
    <t>Gingoog City, Misamis Oriental</t>
  </si>
  <si>
    <t>RTDL</t>
  </si>
  <si>
    <t>mabellagbas@gmail.com</t>
  </si>
  <si>
    <t>GX-4 6 Colors</t>
  </si>
  <si>
    <t>Module B3 found defective.</t>
  </si>
  <si>
    <t>Module Replacement</t>
  </si>
  <si>
    <t>Replacing Module B3 with SN: 782563 to SN: 220001429
Preventive Maintenance</t>
  </si>
  <si>
    <t>All modules and units are functional</t>
  </si>
  <si>
    <t>https://www.jotform.com/uploads/macarewecare/222927978372067/6491120546223213730/6491120546223213730_signature_28.png</t>
  </si>
  <si>
    <t>Mabel Lagbas</t>
  </si>
  <si>
    <t>https://www.jotform.com/uploads/macarewecare/222927978372067/6491120546223213730/6491120546223213730_signature_31.png</t>
  </si>
  <si>
    <t>Cotabato Regional Medical Center-Blood Center</t>
  </si>
  <si>
    <t>Cotabato City, Maguindanao</t>
  </si>
  <si>
    <t>Cotabato</t>
  </si>
  <si>
    <t>Blood Center</t>
  </si>
  <si>
    <t>bloodcenter@ro12.doh.gov.ph</t>
  </si>
  <si>
    <t>MCS+ Heamonetics</t>
  </si>
  <si>
    <t>15H042G</t>
  </si>
  <si>
    <t>Check and adjust optimal value of: 
Line Sensor
SPM
DPM
Perfom cycle test for Actual Functionality</t>
  </si>
  <si>
    <t>Calibration
Preventive maintenance</t>
  </si>
  <si>
    <t>Heamonetics machine is operational</t>
  </si>
  <si>
    <t>https://www.jotform.com/uploads/macarewecare/222927978372067/6491112928026304751/6491112928026304751_signature_28.png</t>
  </si>
  <si>
    <t>Rhea Lim-Mancion, RMT, MSMLS</t>
  </si>
  <si>
    <t>https://www.jotform.com/uploads/macarewecare/222927978372067/6491112928026304751/6491112928026304751_signature_31.png</t>
  </si>
  <si>
    <t>Teresa Rural Health Unit</t>
  </si>
  <si>
    <t>Teresa, Rizal</t>
  </si>
  <si>
    <t>teresa_rhu@yahoo.com</t>
  </si>
  <si>
    <t xml:space="preserve">ASSAY: Xpert MTB/RIF Ultra, COUNT: 1174
</t>
  </si>
  <si>
    <t>Performed maintenance 
Run XpertCheck 
Performed Self test 
Generated reports</t>
  </si>
  <si>
    <t>Unit is operational. All modules operational. All modules passed</t>
  </si>
  <si>
    <t>https://www.jotform.com/uploads/macarewecare/222927978372067/6491075018413158907/6491075018413158907_signature_28.png</t>
  </si>
  <si>
    <t>Jia Mercado</t>
  </si>
  <si>
    <t>https://www.jotform.com/uploads/macarewecare/222927978372067/6491075018413158907/6491075018413158907_signature_31.png</t>
  </si>
  <si>
    <t>Baras Rural Health Unit</t>
  </si>
  <si>
    <t>Baras, Rizal</t>
  </si>
  <si>
    <t>mitchz0323@gmail.com</t>
  </si>
  <si>
    <t xml:space="preserve">ASSAY: Xpert MTB/RIF Ultra, COUNT: 454
</t>
  </si>
  <si>
    <t>Performed maintenance
Cleaned:
-Cartridge bay 
-Plunger rod 
-Icore 
-Filter 
Generated reports 
Checked old CPU</t>
  </si>
  <si>
    <t>https://www.jotform.com/uploads/macarewecare/222927978372067/6491075018416528989/6491075018416528989_signature_28.png</t>
  </si>
  <si>
    <t>Michelle R. Mendoza-Avela</t>
  </si>
  <si>
    <t>https://www.jotform.com/uploads/macarewecare/222927978372067/6491075018416528989/6491075018416528989_signature_31.png</t>
  </si>
  <si>
    <t>Module B4 for replacement</t>
  </si>
  <si>
    <t>Replaced module B4</t>
  </si>
  <si>
    <t>- replaced module B4(635671) by 210008410
- generated reports
- performed self test</t>
  </si>
  <si>
    <t>https://www.jotform.com/uploads/macarewecare/222927978372067/6491068218225101522/6491068218225101522_signature_28.png</t>
  </si>
  <si>
    <t>https://www.jotform.com/uploads/macarewecare/222927978372067/6491068218225101522/6491068218225101522_signature_31.png</t>
  </si>
  <si>
    <t>REPAIR
CALIBRATION</t>
  </si>
  <si>
    <t>- checked and cleaned cartridge bay, plunger rod, filter, icore slot
- performed XpertCheck
- replaced module A2 (756790) by 210017852
- generated reports</t>
  </si>
  <si>
    <t>Module A2 for replacement
Unit for calibration</t>
  </si>
  <si>
    <t>Unit is operational
A1: Passed
A2: Newly replaced
A3: Passed
A4: Passed</t>
  </si>
  <si>
    <t>https://www.jotform.com/uploads/macarewecare/222927978372067/6491066278224230908/6491066278224230908_signature_28.png</t>
  </si>
  <si>
    <t>https://www.jotform.com/uploads/macarewecare/222927978372067/6491066278224230908/6491066278224230908_signature_31.png</t>
  </si>
  <si>
    <t>East Avenue Medical Center</t>
  </si>
  <si>
    <t>East avenue QC</t>
  </si>
  <si>
    <t>Bloodbank donor room</t>
  </si>
  <si>
    <t>blooddonorsection@gmail.com</t>
  </si>
  <si>
    <t>15H044G</t>
  </si>
  <si>
    <t>As per user they encounter lid lock problem unble to lock properly</t>
  </si>
  <si>
    <t>Checked unit
Checked and adjust screw
Performed functionality test 
Test run unit ok</t>
  </si>
  <si>
    <t>https://www.jotform.com/uploads/macarewecare/222927978372067/6491058187547467198/6491058187547467198_signature_28.png</t>
  </si>
  <si>
    <t>Daniel Gabriel Querijero</t>
  </si>
  <si>
    <t>https://www.jotform.com/uploads/macarewecare/222927978372067/6491058187547467198/6491058187547467198_signature_31.png</t>
  </si>
  <si>
    <t>Liloan RHu</t>
  </si>
  <si>
    <t>Liloan</t>
  </si>
  <si>
    <t>MAINTENANCE
Gather data Gxx file</t>
  </si>
  <si>
    <t>vickcabahugmt@gmail.com</t>
  </si>
  <si>
    <t>Gx4-2 module</t>
  </si>
  <si>
    <t>Gather data
Nxx file
IQR and System log</t>
  </si>
  <si>
    <t>https://www.jotform.com/uploads/macarewecare/222927978372067/6491035304617008995/6491035304617008995_signature_28.png</t>
  </si>
  <si>
    <t>Vick Csbahug</t>
  </si>
  <si>
    <t>https://www.jotform.com/uploads/macarewecare/222927978372067/6491035304617008995/6491035304617008995_signature_31.png</t>
  </si>
  <si>
    <t>Tukuran rural health unit</t>
  </si>
  <si>
    <t>Barangay curved, tukuran, Zamboanga del sur</t>
  </si>
  <si>
    <t>Zamboanga del Sur</t>
  </si>
  <si>
    <t>REPAIR
MAINTENANCE
Data collection</t>
  </si>
  <si>
    <t>niagnozia@gmail.com</t>
  </si>
  <si>
    <t>donnamarielanzaderas@gmail.com</t>
  </si>
  <si>
    <t xml:space="preserve">ASSAY: Xpert MTB/RIF Ultra, COUNT: 307
</t>
  </si>
  <si>
    <t>Module 1 code 2120 communication error</t>
  </si>
  <si>
    <t>Preventive Maintenence, data collection and repaired module 1.</t>
  </si>
  <si>
    <t>All modules are available while module 1 is under observation.</t>
  </si>
  <si>
    <t>https://www.jotform.com/uploads/macarewecare/222927978372067/6491018180756694906/6491018180756694906_signature_28.png</t>
  </si>
  <si>
    <t>Donna Marie D. Lanzaderas, RMT</t>
  </si>
  <si>
    <t>https://www.jotform.com/uploads/macarewecare/222927978372067/6491018180756694906/6491018180756694906_signature_31.png</t>
  </si>
  <si>
    <t>Puerto Princesa City Health Office</t>
  </si>
  <si>
    <t>Santa Monica, Puerto Princesa City, Palawan</t>
  </si>
  <si>
    <t>Lab</t>
  </si>
  <si>
    <t>jocal0324@gmail.com</t>
  </si>
  <si>
    <t>Performed preventive maintenace
Cleaned cartridge bays, icores, and replaced filter
Performed Xpertcheck</t>
  </si>
  <si>
    <t>All modules are available but modules b1, b2, and b3 are service required while module b4 is skipped and retry</t>
  </si>
  <si>
    <t>https://www.jotform.com/uploads/macarewecare/222927978372067/6490971780818346262/6490971780818346262_signature_28.png</t>
  </si>
  <si>
    <t>Jocelyn Calalin</t>
  </si>
  <si>
    <t>https://www.jotform.com/uploads/macarewecare/222927978372067/6490971780818346262/6490971780818346262_signature_31.png</t>
  </si>
  <si>
    <t>rose.guerrero597@gmail.com</t>
  </si>
  <si>
    <t>Unit is operational
A1: Failed
A2: Passed
A3: Passed
A4: Retry</t>
  </si>
  <si>
    <t>https://www.jotform.com/uploads/macarewecare/222927978372067/6490954188228853092/6490954188228853092_signature_28.png</t>
  </si>
  <si>
    <t>https://www.jotform.com/uploads/macarewecare/222927978372067/6490954188228853092/6490954188228853092_signature_31.png</t>
  </si>
  <si>
    <t>Zamboanga del sur medical center</t>
  </si>
  <si>
    <t>Zamboanga del sur medical center, pagadian city</t>
  </si>
  <si>
    <t>MAINTENANCE
Data collection</t>
  </si>
  <si>
    <t>limboemillie@gmail.com</t>
  </si>
  <si>
    <t xml:space="preserve">ASSAY: Xpert MTB/RIF Ultra, COUNT: 3797
ASSAY: Xpert HIV-1 Viral Load, COUNT: 98
</t>
  </si>
  <si>
    <t>Gx 4 - 6c</t>
  </si>
  <si>
    <t>Checked genexpert machine gatewayboard revision number. Preventive Maintenance</t>
  </si>
  <si>
    <t>Preventive Maintenence and data collection requested by ceiphied.</t>
  </si>
  <si>
    <t>All modules are working properly. All modules are operational.</t>
  </si>
  <si>
    <t>https://www.jotform.com/uploads/macarewecare/222927978372067/6490902580753158187/6490902580753158187_signature_28.png</t>
  </si>
  <si>
    <t>Emillie Limbo</t>
  </si>
  <si>
    <t>https://www.jotform.com/uploads/macarewecare/222927978372067/6490902580753158187/6490902580753158187_signature_31.png</t>
  </si>
  <si>
    <t>Balamban Rural Health Unit</t>
  </si>
  <si>
    <t>Poblacion Balamban Cebu</t>
  </si>
  <si>
    <t>climaco.mildred@yahoo.com</t>
  </si>
  <si>
    <t>Module A2 serial number 806987 hardware fail.</t>
  </si>
  <si>
    <t>. Save System Log Report.
. Save Installation Qualifications Report.
. Assay statistics Report.
. Save GXX file.</t>
  </si>
  <si>
    <t>Perform preventive maintenance for GeneXpert machine.</t>
  </si>
  <si>
    <t>Module A1,A3,A4 okay to use.
Module A2 Hardware fail not okay to use.</t>
  </si>
  <si>
    <t>https://www.jotform.com/uploads/macarewecare/222927978372067/6490898570011996520/6490898570011996520_signature_28.png</t>
  </si>
  <si>
    <t>Mildred Climaco</t>
  </si>
  <si>
    <t>https://www.jotform.com/uploads/macarewecare/222927978372067/6490898570011996520/6490898570011996520_signature_31.png</t>
  </si>
  <si>
    <t>Santa Rosa City Health Office 2</t>
  </si>
  <si>
    <t>Santa Rosa Laguna</t>
  </si>
  <si>
    <t>annie.soliman@yahoo.com</t>
  </si>
  <si>
    <t>Def Module 662327, New Module 210103817</t>
  </si>
  <si>
    <t>https://www.jotform.com/uploads/macarewecare/222927978372067/6490483257424848977/6490483257424848977_signature_28.png</t>
  </si>
  <si>
    <t>Annie Soliman</t>
  </si>
  <si>
    <t>https://www.jotform.com/uploads/macarewecare/222927978372067/6490483257424848977/6490483257424848977_signature_31.png</t>
  </si>
  <si>
    <t>Talisay Rural Health Unit</t>
  </si>
  <si>
    <t>Talisay Batangas</t>
  </si>
  <si>
    <t>rodriguezadett@gmail.com</t>
  </si>
  <si>
    <t>Def Module 721276, New Module 210021426</t>
  </si>
  <si>
    <t>https://www.jotform.com/uploads/macarewecare/222927978372067/6490481657422402003/6490481657422402003_signature_28.png</t>
  </si>
  <si>
    <t>Adettlou A. Rodriguez</t>
  </si>
  <si>
    <t>https://www.jotform.com/uploads/macarewecare/222927978372067/6490481657422402003/6490481657422402003_signature_31.png</t>
  </si>
  <si>
    <t>Rosario Rural Health Unit</t>
  </si>
  <si>
    <t>Rosario, Batangas</t>
  </si>
  <si>
    <t>liberty_yutuc@yahoo.com</t>
  </si>
  <si>
    <t>Def Module 784137, New Module 687705</t>
  </si>
  <si>
    <t>https://www.jotform.com/uploads/macarewecare/222927978372067/6490480807426883501/6490480807426883501_signature_28.png</t>
  </si>
  <si>
    <t>Liberty I. Yutuc</t>
  </si>
  <si>
    <t>https://www.jotform.com/uploads/macarewecare/222927978372067/6490480807426883501/6490480807426883501_signature_31.png</t>
  </si>
  <si>
    <t>Ospital ng Makati</t>
  </si>
  <si>
    <t>Sampaguita St Makati City</t>
  </si>
  <si>
    <t>osmakproperty@yahoo.com</t>
  </si>
  <si>
    <t>jinx1gs@yahoo.com</t>
  </si>
  <si>
    <t xml:space="preserve">ASSAY: Xpert MTB/RIF Ultra, COUNT: 739
</t>
  </si>
  <si>
    <t>https://www.jotform.com/uploads/macarewecare/222927978372067/6490271835731024937/6490271835731024937_signature_28.png</t>
  </si>
  <si>
    <t>Cristina Lee</t>
  </si>
  <si>
    <t>https://www.jotform.com/uploads/macarewecare/222927978372067/6490271835731024937/6490271835731024937_signature_31.png</t>
  </si>
  <si>
    <t>Chinese General Hospital</t>
  </si>
  <si>
    <t>Blumentritt St., Sta. Cruz, Manila</t>
  </si>
  <si>
    <t>Blood bank</t>
  </si>
  <si>
    <t>biomed@cghmc.com.ph</t>
  </si>
  <si>
    <t>cghmcbloodbank2016@gmail.com</t>
  </si>
  <si>
    <t>08M463</t>
  </si>
  <si>
    <t>Performed Preventive Maintenance.
Checked and cleaned rotor pumps.
Verified calibration parameters.
Performed simulation running.</t>
  </si>
  <si>
    <t>https://www.jotform.com/uploads/macarewecare/222927978372067/6490264784811783700/6490264784811783700_signature_28.png</t>
  </si>
  <si>
    <t>Katrina mae pineda</t>
  </si>
  <si>
    <t>https://www.jotform.com/uploads/macarewecare/222927978372067/6490264784811783700/6490264784811783700_signature_31.png</t>
  </si>
  <si>
    <t>Blumentritt, Sta. Cruz, Manila</t>
  </si>
  <si>
    <t>sabclaridad@gmail.com</t>
  </si>
  <si>
    <t>https://www.jotform.com/uploads/macarewecare/222927978372067/6490225544813573041/6490225544813573041_signature_28.png</t>
  </si>
  <si>
    <t>Sandra Abigail Claridad</t>
  </si>
  <si>
    <t>https://www.jotform.com/uploads/macarewecare/222927978372067/6490225544813573041/6490225544813573041_signature_31.png</t>
  </si>
  <si>
    <t>https://www.jotform.com/uploads/macarewecare/222927978372067/6490225544815036845/6490225544815036845_signature_28.png</t>
  </si>
  <si>
    <t>https://www.jotform.com/uploads/macarewecare/222927978372067/6490225544815036845/6490225544815036845_signature_31.png</t>
  </si>
  <si>
    <t>Poblacion Naga Cebu</t>
  </si>
  <si>
    <t>Tb Laboratory</t>
  </si>
  <si>
    <t>Cpu Problem</t>
  </si>
  <si>
    <t>Install the cpu after recovery of Operating System</t>
  </si>
  <si>
    <t>Format and Operating System recovery</t>
  </si>
  <si>
    <t>Unit cpu is operational</t>
  </si>
  <si>
    <t>https://www.jotform.com/uploads/macarewecare/222927978372067/6490223018024065425/6490223018024065425_signature_28.png</t>
  </si>
  <si>
    <t>https://www.jotform.com/uploads/macarewecare/222927978372067/6490223018024065425/6490223018024065425_signature_31.png</t>
  </si>
  <si>
    <t>Poblacion San Remigio Cebu</t>
  </si>
  <si>
    <t>Due for preventive Maintenance.</t>
  </si>
  <si>
    <t>. Save Installation Qualifications Report 
. Save Assay Statistics Report 
. Save system log report.</t>
  </si>
  <si>
    <t>. Replace new filter of GX machine
. Clean all modules inside the machine.
. Clean all wire's of GX machine.</t>
  </si>
  <si>
    <t>https://www.jotform.com/uploads/macarewecare/222927978372067/6490113153814950556/6490113153814950556_signature_28.png</t>
  </si>
  <si>
    <t>https://www.jotform.com/uploads/macarewecare/222927978372067/6490113153814950556/6490113153814950556_signature_31.png</t>
  </si>
  <si>
    <t>Due date for xpertcheck calibration</t>
  </si>
  <si>
    <t>Xpertcheck calibration
Gather data IQR,system log,assay stats 
And calibration data</t>
  </si>
  <si>
    <t>Systems operational
Module 1&amp;3 passed
Module 2&amp;4 retry</t>
  </si>
  <si>
    <t>https://www.jotform.com/uploads/macarewecare/222927978372067/6490108064615999243/6490108064615999243_signature_28.png</t>
  </si>
  <si>
    <t>Reggie V Dahili</t>
  </si>
  <si>
    <t>https://www.jotform.com/uploads/macarewecare/222927978372067/6490108064615999243/6490108064615999243_signature_31.png</t>
  </si>
  <si>
    <t>Makati City NTP Office (From West Rembo)</t>
  </si>
  <si>
    <t>Makati City</t>
  </si>
  <si>
    <t>ntpmakati@gmail.com</t>
  </si>
  <si>
    <t>kapid5sepe@yahoo.com</t>
  </si>
  <si>
    <t>Replaced BIOS battery</t>
  </si>
  <si>
    <t>Replaced BIOS battery 
Change boot options 
Configure secure boot
Functionality test</t>
  </si>
  <si>
    <t>Unit is operational. UPS not operational.</t>
  </si>
  <si>
    <t>https://www.jotform.com/uploads/macarewecare/222927978372067/6490102673426460101/6490102673426460101_signature_28.png</t>
  </si>
  <si>
    <t>Marco Anonas</t>
  </si>
  <si>
    <t>https://www.jotform.com/uploads/macarewecare/222927978372067/6490102673426460101/6490102673426460101_signature_31.png</t>
  </si>
  <si>
    <t>Makati City NTP Office (From East Rembo)</t>
  </si>
  <si>
    <t>Makati City Hall</t>
  </si>
  <si>
    <t>Bios battery replacement and CPU not powering on sometimes</t>
  </si>
  <si>
    <t>Troubleshoot CPU</t>
  </si>
  <si>
    <t>Replaced BIOS battery 
Reseat internal connections
Checked CPU</t>
  </si>
  <si>
    <t>Unit is operational but under observation due to CPU not powering on sometimes. UPS not operational.</t>
  </si>
  <si>
    <t>https://www.jotform.com/uploads/macarewecare/222927978372067/6490101943422185164/6490101943422185164_signature_28.png</t>
  </si>
  <si>
    <t>https://www.jotform.com/uploads/macarewecare/222927978372067/6490101943422185164/6490101943422185164_signature_31.png</t>
  </si>
  <si>
    <t>Medellin Rural Health Unit</t>
  </si>
  <si>
    <t>Poblacion Medellin Cebu</t>
  </si>
  <si>
    <t>rhumedellin@gmail.com</t>
  </si>
  <si>
    <t xml:space="preserve">ASSAY: Xpert MTB/RIF Ultra, COUNT: 600
</t>
  </si>
  <si>
    <t>CPU defective no power.</t>
  </si>
  <si>
    <t>Need to replace the CPU Unit of the GeneXpert machine</t>
  </si>
  <si>
    <t>Troubleshoot CPU power supply and motherboard.
Power supply no output voltage.</t>
  </si>
  <si>
    <t>Unit CPU is out of warranty need for quotation of the unit.</t>
  </si>
  <si>
    <t>https://www.jotform.com/uploads/macarewecare/222927978372067/6490074345895449733/6490074345895449733_signature_28.png</t>
  </si>
  <si>
    <t>Raul Galano</t>
  </si>
  <si>
    <t>https://www.jotform.com/uploads/macarewecare/222927978372067/6490074345895449733/6490074345895449733_signature_31.png</t>
  </si>
  <si>
    <t>TANJAY CITY HEALTH OFFICE</t>
  </si>
  <si>
    <t>Tanjay City, Negros Oriental</t>
  </si>
  <si>
    <t>skyskynemueco@gmail.com</t>
  </si>
  <si>
    <t xml:space="preserve">ASSAY: Xpert MTB/RIF Ultra, COUNT: 780
</t>
  </si>
  <si>
    <t>-PERFORM PREVENTIVE MAINTENANCE PROCEDURE
-PERFORM XPERTCHECK CALIBRATION 
-MODULE 2 RETRY THEN FOR SERVICE
-MODULE 1,3,4 PASSED</t>
  </si>
  <si>
    <t>XPERTCHECK-CE-5
LOT 1001495845
2027-08-15</t>
  </si>
  <si>
    <t>https://www.jotform.com/uploads/macarewecare/222927978372067/6490060245778800080/6490060245778800080_signature_28.png</t>
  </si>
  <si>
    <t>Resurrecion F.Mueco</t>
  </si>
  <si>
    <t>https://www.jotform.com/uploads/macarewecare/222927978372067/6490060245778800080/6490060245778800080_signature_31.png</t>
  </si>
  <si>
    <t>Taguig City</t>
  </si>
  <si>
    <t xml:space="preserve">ASSAY: Xpert HIV-1 Viral Load, COUNT: 132
ASSAY: Xpert MTB/RIF Ultra, COUNT: 3335
ASSAY: Xpert HIV-1 Viral Load, COUNT: 1210
</t>
  </si>
  <si>
    <t>Moduel A1/691267 and A2/681512 for replacement</t>
  </si>
  <si>
    <t>Replaced module A1 and A2</t>
  </si>
  <si>
    <t>Replaced module A1 and A2
Performed maintenance 
Performed self test 
Generated reports</t>
  </si>
  <si>
    <t>Unit is operational. All modules operational. A3 and A4 has error 2120 and 2037, for reporting.</t>
  </si>
  <si>
    <t>Old:A1/291267, A2/681512
New: A1/210035807, A2/210052069</t>
  </si>
  <si>
    <t>https://www.jotform.com/uploads/macarewecare/222927978372067/6489981904644655755/6489981904644655755_signature_28.png</t>
  </si>
  <si>
    <t>https://www.jotform.com/uploads/macarewecare/222927978372067/6489981904644655755/6489981904644655755_signature_31.png</t>
  </si>
  <si>
    <t>Department of Health - Treatment and Rehabilitation Center</t>
  </si>
  <si>
    <t>Camp Bagong Diwa, Taguig City</t>
  </si>
  <si>
    <t xml:space="preserve">ASSAY: Xpert MTB/RIF Ultra, COUNT: 1748
</t>
  </si>
  <si>
    <t>For maintenance 
Error 2005 and 2008 in all modules
Broken stand</t>
  </si>
  <si>
    <t>Performed maintenance 
Cleaned:
-Cartridge bay 
-plunger rod 
-icore 
-Filter 
Generated reports</t>
  </si>
  <si>
    <t>https://www.jotform.com/uploads/macarewecare/222927978372067/6489981904646231500/6489981904646231500_signature_28.png</t>
  </si>
  <si>
    <t>April Chakee A. Javier</t>
  </si>
  <si>
    <t>https://www.jotform.com/uploads/macarewecare/222927978372067/6489981904646231500/6489981904646231500_signature_31.png</t>
  </si>
  <si>
    <t>West Dadiangas Rural Health Unit</t>
  </si>
  <si>
    <t>Brgy. West Dadiangas, General Santos City tb</t>
  </si>
  <si>
    <t>renlizros11@gmail.com</t>
  </si>
  <si>
    <t xml:space="preserve">ASSAY: Xpert MTB/RIF Ultra, COUNT: 
</t>
  </si>
  <si>
    <t>Perform Genexpert annual Xpertcheck 
Perform Genexpert machine Cleaning and maintenance 
Module cleaning 
Fan and filter cleaning 
Plunger rod and Optics cleaning 
Checking of module status and errors 
Data collection</t>
  </si>
  <si>
    <t>Genexpert machine Xpertcheck Calibration 
Genexpert machine Preventive maintenance</t>
  </si>
  <si>
    <t>3 operational modules 
Xpertcheck result:
Module C1 SN:696269 -Requiring for Service 
Module C2,C3 and C4 -Passed</t>
  </si>
  <si>
    <t>https://www.jotform.com/uploads/macarewecare/222927978372067/6489545057326007528/6489545057326007528_signature_28.png</t>
  </si>
  <si>
    <t>Renee Liz Gomez</t>
  </si>
  <si>
    <t>https://www.jotform.com/uploads/macarewecare/222927978372067/6489545057326007528/6489545057326007528_signature_31.png</t>
  </si>
  <si>
    <t>sghlab21@gmail.com</t>
  </si>
  <si>
    <t xml:space="preserve">ASSAY: Xpert MTB/RIF Ultra, COUNT: 1925
ASSAY: Xpert MTB-XDR, COUNT: 22
</t>
  </si>
  <si>
    <t>Module 3 for Service Required</t>
  </si>
  <si>
    <t>Perform Genexpert machine Cleaning and maintenance 
Module cleaning 
Fan and filter cleaning 
Plunger rod and Optics cleaning 
Checking of module status and errors 
Data collection</t>
  </si>
  <si>
    <t>https://www.jotform.com/uploads/macarewecare/222927978372067/6489522887326689149/6489522887326689149_signature_28.png</t>
  </si>
  <si>
    <t>SARAH MAE AGUILAR</t>
  </si>
  <si>
    <t>https://www.jotform.com/uploads/macarewecare/222927978372067/6489522887326689149/6489522887326689149_signature_31.png</t>
  </si>
  <si>
    <t>Cordova RHU Primary Health Care</t>
  </si>
  <si>
    <t>Poblacion Naga City Cebu</t>
  </si>
  <si>
    <t xml:space="preserve">ASSAY: Xpert MTB/RIF Ultra, COUNT: 200
</t>
  </si>
  <si>
    <t>GX 4</t>
  </si>
  <si>
    <t>Module 2 SN 882343 due for replacement due to error 2025 home position error</t>
  </si>
  <si>
    <t>Replaced new module with new module SN # 750060</t>
  </si>
  <si>
    <t>Unit modules are operational.</t>
  </si>
  <si>
    <t>https://www.jotform.com/uploads/macarewecare/222927978372067/6489512435895450575/6489512435895450575_signature_28.png</t>
  </si>
  <si>
    <t>https://www.jotform.com/uploads/macarewecare/222927978372067/6489512435895450575/6489512435895450575_signature_31.png</t>
  </si>
  <si>
    <t>Kolambugan Rural Health Unit</t>
  </si>
  <si>
    <t>Kolambugan, Lanao del Norte</t>
  </si>
  <si>
    <t>Lanao del Norte</t>
  </si>
  <si>
    <t>yojecinaj@gmail.com</t>
  </si>
  <si>
    <t>GX 4 6 Colors</t>
  </si>
  <si>
    <t>Module B1,B2 and B4 found Service Required.</t>
  </si>
  <si>
    <t>Nine</t>
  </si>
  <si>
    <t>XpertCheck Calibration
Preventive Maintenance</t>
  </si>
  <si>
    <t>1 module working
3 modules for replacement due to xpc result</t>
  </si>
  <si>
    <t>https://www.jotform.com/uploads/macarewecare/222927978372067/6489237937702887099/6489237937702887099_signature_28.png</t>
  </si>
  <si>
    <t>Janice Joy R. Siso</t>
  </si>
  <si>
    <t>https://www.jotform.com/uploads/macarewecare/222927978372067/6489237937702887099/6489237937702887099_signature_31.png</t>
  </si>
  <si>
    <t>02D167</t>
  </si>
  <si>
    <t>Possoble mixing og plasma and red cell</t>
  </si>
  <si>
    <t>Calibrate and Preventive Maintenance</t>
  </si>
  <si>
    <t>https://www.jotform.com/uploads/macarewecare/222927978372067/6489170933423077552/6489170933423077552_signature_28.png</t>
  </si>
  <si>
    <t>Debbie Joyce Baga</t>
  </si>
  <si>
    <t>https://www.jotform.com/uploads/macarewecare/222927978372067/6489170933423077552/6489170933423077552_signature_31.png</t>
  </si>
  <si>
    <t>Concepcion District Hospital</t>
  </si>
  <si>
    <t>Concepcion Tarlac</t>
  </si>
  <si>
    <t>cdh.laboratorydept@gmail.com</t>
  </si>
  <si>
    <t>C3:210068087 for module replacement</t>
  </si>
  <si>
    <t>Performed surface cleaning 
Performaned Module replacement 
Gathered reports 
Performaned functionality test</t>
  </si>
  <si>
    <t>Unit is operational 
C3: 745839 new module</t>
  </si>
  <si>
    <t>https://www.jotform.com/uploads/macarewecare/222927978372067/6489115437225930349/6489115437225930349_signature_28.png</t>
  </si>
  <si>
    <t>Innah Coleen David</t>
  </si>
  <si>
    <t>https://www.jotform.com/uploads/macarewecare/222927978372067/6489115437225930349/6489115437225930349_signature_31.png</t>
  </si>
  <si>
    <t>Tunasan Health Center</t>
  </si>
  <si>
    <t>E.Rodriguez St, Tunasan, Muntinlupa</t>
  </si>
  <si>
    <t>gtrazothc@gmail.com</t>
  </si>
  <si>
    <t xml:space="preserve">ASSAY: Xpert MTB/RIF Ultra, COUNT: 1417
</t>
  </si>
  <si>
    <t>Modules 2 and 4 Service Required in XpertCheck.</t>
  </si>
  <si>
    <t>Replaced Modules 2 and 4.
Performed Self-test.
Generate Reports.</t>
  </si>
  <si>
    <t>B2: 657230 replaced with 210071466.
B4: 662484 replaced with 210071561.
Modules 1 and 3 are Operational.</t>
  </si>
  <si>
    <t>https://www.jotform.com/uploads/macarewecare/222927978372067/6488553883616212910/6488553883616212910_signature_28.png</t>
  </si>
  <si>
    <t>Geraldine T. Tan</t>
  </si>
  <si>
    <t>https://www.jotform.com/uploads/macarewecare/222927978372067/6488553883616212910/6488553883616212910_signature_31.png</t>
  </si>
  <si>
    <t>Capitol Medical Center</t>
  </si>
  <si>
    <t>Quezon Ave., Quezon City</t>
  </si>
  <si>
    <t>laboratory@capitolmedical.com.ph</t>
  </si>
  <si>
    <t>07C002</t>
  </si>
  <si>
    <t>Bowl Breakage during Procedure.</t>
  </si>
  <si>
    <t>Cleaned Centrifuge Chamber, Pumps, and Sensors.
Checked Sensors Value.
Performed Simulation Test.</t>
  </si>
  <si>
    <t>Unit is Good. All Values in Range of Normal Operation.</t>
  </si>
  <si>
    <t>https://www.jotform.com/uploads/macarewecare/222927978372067/6488548263612254090/6488548263612254090_signature_28.png</t>
  </si>
  <si>
    <t>Eryll Joy Agojo</t>
  </si>
  <si>
    <t>https://www.jotform.com/uploads/macarewecare/222927978372067/6488548263612254090/6488548263612254090_signature_31.png</t>
  </si>
  <si>
    <t>General Emilio Aguinaldo Memorial Hospital</t>
  </si>
  <si>
    <t>Trece-Indang Road, Trece Martires, Cavite</t>
  </si>
  <si>
    <t>djaemiel@gmail.com</t>
  </si>
  <si>
    <t xml:space="preserve">ASSAY: Xpert MTB/RIF Ultra, COUNT: 554
</t>
  </si>
  <si>
    <t>GXIV-L-6C</t>
  </si>
  <si>
    <t>Unit for Gateway Board Replacement.</t>
  </si>
  <si>
    <t>Repair.</t>
  </si>
  <si>
    <t>Replaced Gateway Board.
Run Software to Change Random SN.
Performed Self-test.
Generate Reports.</t>
  </si>
  <si>
    <t>All Modules are Good.
New Gateway Board.</t>
  </si>
  <si>
    <t>https://www.jotform.com/uploads/macarewecare/222927978372067/6488548263612376437/6488548263612376437_signature_28.png</t>
  </si>
  <si>
    <t>Jaemiel Juvirens A. Dimaranan</t>
  </si>
  <si>
    <t>https://www.jotform.com/uploads/macarewecare/222927978372067/6488548263612376437/6488548263612376437_signature_31.png</t>
  </si>
  <si>
    <t>San Dionisio Health Center</t>
  </si>
  <si>
    <t>Pelaez St, San Dionisio, Parañaque</t>
  </si>
  <si>
    <t>marubi1019@gmail.com</t>
  </si>
  <si>
    <t xml:space="preserve">ASSAY: Xpert HPV, COUNT: 39
ASSAY: Xpert MTB/RIF Ultra, COUNT: 1593
</t>
  </si>
  <si>
    <t>Module 1 is Defective and needs to be Replacement .</t>
  </si>
  <si>
    <t>Module Replacement.
Preventive Maintenance.</t>
  </si>
  <si>
    <t>Replaced Module 1.
Cleaned Cartridge Bay, Plunger Rod, and Icore Optics. 
Performed Self-test.
Generate Reports.</t>
  </si>
  <si>
    <t>Module 1: 210008304 -&gt; 210030476
Modules 2, 3 and 4 are Operational.</t>
  </si>
  <si>
    <t>https://www.jotform.com/uploads/macarewecare/222927978372067/6488548263615440927/6488548263615440927_signature_28.png</t>
  </si>
  <si>
    <t>Fatima Joyce Tresvalles</t>
  </si>
  <si>
    <t>https://www.jotform.com/uploads/macarewecare/222927978372067/6488548263615440927/6488548263615440927_signature_31.png</t>
  </si>
  <si>
    <t>Taal Rural Health Unit</t>
  </si>
  <si>
    <t>Carsuche, Taal, Batangas</t>
  </si>
  <si>
    <t>taalrhulaboratory@gmail.com</t>
  </si>
  <si>
    <t xml:space="preserve">ASSAY: Xpert MTB/RIF Ultra, COUNT: 2178
</t>
  </si>
  <si>
    <t>Module 2 is Defective for Replacement.</t>
  </si>
  <si>
    <t>Replaced Defective Module with New Module.
Cleaned Cartridge Bay, Plunger Rod and Icore Optics.
Replaced Filter.
Performed Self-test.
Generate Reports.</t>
  </si>
  <si>
    <t>Modules 1,3 and 4 are Good.
Module 2: 647538(Defective) -&gt; 657307(New).</t>
  </si>
  <si>
    <t>https://www.jotform.com/uploads/macarewecare/222927978372067/6488548263611092193/6488548263611092193_signature_28.png</t>
  </si>
  <si>
    <t>Juanita Balbacal</t>
  </si>
  <si>
    <t>https://www.jotform.com/uploads/macarewecare/222927978372067/6488548263611092193/6488548263611092193_signature_31.png</t>
  </si>
  <si>
    <t>Philippine Red Cross Tower</t>
  </si>
  <si>
    <t>bloodcollection.tower@gmail.com</t>
  </si>
  <si>
    <t>01J038</t>
  </si>
  <si>
    <t>CPU Board for replacement</t>
  </si>
  <si>
    <t>Replaced CPU board
Checked calibration parameters</t>
  </si>
  <si>
    <t>MCS+ CPU Board Assembly
SN: C111252810</t>
  </si>
  <si>
    <t>https://www.jotform.com/uploads/macarewecare/222927978372067/6488505413512152256/6488505413512152256_signature_28.png</t>
  </si>
  <si>
    <t>ardel brecinio</t>
  </si>
  <si>
    <t>https://www.jotform.com/uploads/macarewecare/222927978372067/6488505413512152256/6488505413512152256_signature_31.png</t>
  </si>
  <si>
    <t>Dauin Primary Care Facility</t>
  </si>
  <si>
    <t>Dauin, Negros Oriental</t>
  </si>
  <si>
    <t>gfmselga@gmail.com</t>
  </si>
  <si>
    <t>dkannahmae@gmail.com</t>
  </si>
  <si>
    <t xml:space="preserve">ASSAY: Xpert MTB/RIF Ultra, COUNT: 326
</t>
  </si>
  <si>
    <t>GX4 6c</t>
  </si>
  <si>
    <t>Module B1 Hardware Fail.
Module B1 SN 0, Temp 320.0
System Date/time problem.</t>
  </si>
  <si>
    <t>https://www.jotform.com/uploads/macarewecare/222927978372067/6488504342686638729/6488504342686638729_signature_28.png</t>
  </si>
  <si>
    <t>kannah mae dizon</t>
  </si>
  <si>
    <t>https://www.jotform.com/uploads/macarewecare/222927978372067/6488504342686638729/6488504342686638729_signature_31.png</t>
  </si>
  <si>
    <t>Hilongos Rural Health Unit</t>
  </si>
  <si>
    <t>Hilongos, Leyte</t>
  </si>
  <si>
    <t>MAINTENANCE
Data Gather</t>
  </si>
  <si>
    <t>leovillaflor@gmail.com</t>
  </si>
  <si>
    <t xml:space="preserve">ASSAY: Xpert MTB/RIF Ultra, COUNT: 724
</t>
  </si>
  <si>
    <t>https://www.jotform.com/uploads/macarewecare/222927978372067/6488496445894805749/6488496445894805749_signature_28.png</t>
  </si>
  <si>
    <t>Leonides Villaflor</t>
  </si>
  <si>
    <t>https://www.jotform.com/uploads/macarewecare/222927978372067/6488496445894805749/6488496445894805749_signature_31.png</t>
  </si>
  <si>
    <t>Lucena City Health Office</t>
  </si>
  <si>
    <t>Lucena City Government Center</t>
  </si>
  <si>
    <t>Quezon</t>
  </si>
  <si>
    <t>czarinapalillo@gmail.com</t>
  </si>
  <si>
    <t xml:space="preserve">ASSAY: Xpert MTB/RIF Ultra, COUNT: 1766
</t>
  </si>
  <si>
    <t>For xpertCheck 
Module D2 for replacement</t>
  </si>
  <si>
    <t>Replaced module D2
Run xpertCheck</t>
  </si>
  <si>
    <t>Performed maintenance 
Replaced module D2
Run xpertCheck 
Performed self test 
Generated reports</t>
  </si>
  <si>
    <t>Unit is operational. All modules operational. Module D2 newly replaced not XpertChecked.</t>
  </si>
  <si>
    <t>Old: D2/776975
New: D2/210106501</t>
  </si>
  <si>
    <t>https://www.jotform.com/uploads/macarewecare/222927978372067/6488464323613587657/6488464323613587657_signature_28.png</t>
  </si>
  <si>
    <t>Czarina Palillo</t>
  </si>
  <si>
    <t>https://www.jotform.com/uploads/macarewecare/222927978372067/6488464323613587657/6488464323613587657_signature_31.png</t>
  </si>
  <si>
    <t>Sariaya Rural Health Unit</t>
  </si>
  <si>
    <t>Sariaya, Quezon</t>
  </si>
  <si>
    <t>smcl_2012@yahoo.com</t>
  </si>
  <si>
    <t xml:space="preserve">ASSAY: Xpert MTB/RIF Ultra, COUNT: 1869
</t>
  </si>
  <si>
    <t>Module A1 for replacement</t>
  </si>
  <si>
    <t>Performed maintenance 
Replaced module A1
Performed self test 
Generated reports</t>
  </si>
  <si>
    <t>Old: A1/758224
New: A1/65799</t>
  </si>
  <si>
    <t>https://www.jotform.com/uploads/macarewecare/222927978372067/6488464323613774019/6488464323613774019_signature_28.png</t>
  </si>
  <si>
    <t>Marie Linnet Abril</t>
  </si>
  <si>
    <t>https://www.jotform.com/uploads/macarewecare/222927978372067/6488464323613774019/6488464323613774019_signature_31.png</t>
  </si>
  <si>
    <t>Calauag Municipal Hospital</t>
  </si>
  <si>
    <t>Calauag, Quezon</t>
  </si>
  <si>
    <t>jamila17carmel@gmail.com</t>
  </si>
  <si>
    <t xml:space="preserve">ASSAY: Xpert MTB/RIF Ultra, COUNT: 513
</t>
  </si>
  <si>
    <t>Unit is operational. All modules operational. Monitor is lagging and has a line on upper part.</t>
  </si>
  <si>
    <t>Old: A4/758384
New: A4/633391</t>
  </si>
  <si>
    <t>https://www.jotform.com/uploads/macarewecare/222927978372067/6488464323617302148/6488464323617302148_signature_28.png</t>
  </si>
  <si>
    <t>Jamila Pedrezuela</t>
  </si>
  <si>
    <t>https://www.jotform.com/uploads/macarewecare/222927978372067/6488464323617302148/6488464323617302148_signature_31.png</t>
  </si>
  <si>
    <t>Quezon Medical Center</t>
  </si>
  <si>
    <t>Lucena, Quezon</t>
  </si>
  <si>
    <t>mariannenaynes081774@gmail.com</t>
  </si>
  <si>
    <t xml:space="preserve">ASSAY: Xpert HIV-1 Viral Load, COUNT: 4
ASSAY: Xpert HPV, COUNT: 50
ASSAY: Xpert MTB/RIF Ultra, COUNT: 2224
</t>
  </si>
  <si>
    <t>Performed maintenance 
Replaced module A4 
Performed self test 
Generated reports</t>
  </si>
  <si>
    <t>Old: A4/210070786
New: A4/220031976</t>
  </si>
  <si>
    <t>https://www.jotform.com/uploads/macarewecare/222927978372067/6488464323617926369/6488464323617926369_signature_28.png</t>
  </si>
  <si>
    <t>Marianne Naynes</t>
  </si>
  <si>
    <t>https://www.jotform.com/uploads/macarewecare/222927978372067/6488464323617926369/6488464323617926369_signature_31.png</t>
  </si>
  <si>
    <t xml:space="preserve">ASSAY: Xpert HPV, COUNT: 36
ASSAY: Xpert MTB/RIF Ultra, COUNT: 1929
ASSAY: Xpert MTB-XDR, COUNT: 119
</t>
  </si>
  <si>
    <t>Performed maintenance 
Cleaned:
-cartridge bay
-plunger rod
-filter
Generated reports</t>
  </si>
  <si>
    <t>https://www.jotform.com/uploads/macarewecare/222927978372067/6488464323618596032/6488464323618596032_signature_28.png</t>
  </si>
  <si>
    <t>https://www.jotform.com/uploads/macarewecare/222927978372067/6488464323618596032/6488464323618596032_signature_31.png</t>
  </si>
  <si>
    <t>Brgy.West Dadiangas, General Santos City</t>
  </si>
  <si>
    <t>Genexpert machine Xpertcheck  
Genexpert  machine Preventive maintenance</t>
  </si>
  <si>
    <t>4 operational modules 
Xpertcheck Results:
All modules passed</t>
  </si>
  <si>
    <t>https://www.jotform.com/uploads/macarewecare/222927978372067/6488437554658638568/6488437554658638568_signature_28.png</t>
  </si>
  <si>
    <t>https://www.jotform.com/uploads/macarewecare/222927978372067/6488437554658638568/6488437554658638568_signature_31.png</t>
  </si>
  <si>
    <t>Bajada, Davao City</t>
  </si>
  <si>
    <t>RHIVDA</t>
  </si>
  <si>
    <t xml:space="preserve">ASSAY: Xpert CT/NG, COUNT: 6
ASSAY: Xpert MTB-XDR, COUNT: 17
ASSAY: Xpert SARS-CoV-2, COUNT: 6
ASSAY: Xpert HIV-1 Viral Load, COUNT: 1352
ASSAY: Xpert MTB/RIF Ultra, COUNT: 2011
</t>
  </si>
  <si>
    <t>GX-IV 10C 4D</t>
  </si>
  <si>
    <t>Perform Preventive Maintenance</t>
  </si>
  <si>
    <t>All Modules are operational
Machine is Operational</t>
  </si>
  <si>
    <t>https://www.jotform.com/uploads/macarewecare/222927978372067/6488381660125565619/6488381660125565619_signature_28.png</t>
  </si>
  <si>
    <t>https://www.jotform.com/uploads/macarewecare/222927978372067/6488381660125565619/6488381660125565619_signature_31.png</t>
  </si>
  <si>
    <t>Bajada Davao City</t>
  </si>
  <si>
    <t>REPAIR
MAINTENANCE
ON-SITE ASSISTANCE</t>
  </si>
  <si>
    <t xml:space="preserve">ASSAY: Xpert MTB/RIF Ultra, COUNT: 1461
ASSAY: Xpert HIV-1 Viral Load, COUNT: 1368
ASSAY: Xpert SARS-CoV-2, COUNT: 19
</t>
  </si>
  <si>
    <t>Module B3 SN:210122278 / For Service Required
Due for Preventive Maintenance</t>
  </si>
  <si>
    <t>Replaced the Defective Module SN:210122278 with new Module SN 614401
Clean Surface Area, Cartridge Bay, Plunger Rod, Fan Filters and Icore Lenses
Generate IQR, Assay Stat and System Log</t>
  </si>
  <si>
    <t>Perform Preventive Maintenance and Module Replacement</t>
  </si>
  <si>
    <t>Machine is operational
Module B2/ SN: 210122382 encounter temp related errors and reportrd for further assessment</t>
  </si>
  <si>
    <t>900-0650RS</t>
  </si>
  <si>
    <t>DR 13738</t>
  </si>
  <si>
    <t>https://www.jotform.com/uploads/macarewecare/222927978372067/6488381240122409869/6488381240122409869_signature_28.png</t>
  </si>
  <si>
    <t>https://www.jotform.com/uploads/macarewecare/222927978372067/6488381240122409869/6488381240122409869_signature_31.png</t>
  </si>
  <si>
    <t>https://www.jotform.com/uploads/macarewecare/222927978372067/6488381110124851723/6488381110124851723_signature_28.png</t>
  </si>
  <si>
    <t>https://www.jotform.com/uploads/macarewecare/222927978372067/6488381110124851723/6488381110124851723_signature_31.png</t>
  </si>
  <si>
    <t>St Lukes Medical Center</t>
  </si>
  <si>
    <t>E.Rodriguez QC</t>
  </si>
  <si>
    <t>Cellular Immunology</t>
  </si>
  <si>
    <t>cellularimmunology.qc@stlukes.com.ph</t>
  </si>
  <si>
    <t xml:space="preserve">ASSAY: Xpert CT/NG, COUNT: 12
ASSAY: Xpert HBV VL, COUNT: 472
ASSAY: Xpert HIV-1 Viral Load, COUNT: 39
ASSAY: Xpert HPV, COUNT: 371
ASSAY: Xpert MTB/RIF Ultra, COUNT: 496
ASSAY: Xpert HCV VL, COUNT: 37
ASSAY: Xpert HIV-1 Viral Load, COUNT: 330
</t>
  </si>
  <si>
    <t>GX4 L 6C</t>
  </si>
  <si>
    <t>As per end user they encounter temp error 1002</t>
  </si>
  <si>
    <t>Cleaned plunger rod,filter,icore,cartridge bay
Gathered reports
Test run unit</t>
  </si>
  <si>
    <t>C1,C2 operational
C3 for observation
C4 disabled</t>
  </si>
  <si>
    <t>https://www.jotform.com/uploads/macarewecare/222927978372067/6488329813614661280/6488329813614661280_signature_28.png</t>
  </si>
  <si>
    <t>Roiland A. Baybayon</t>
  </si>
  <si>
    <t>https://www.jotform.com/uploads/macarewecare/222927978372067/6488329813614661280/6488329813614661280_signature_31.png</t>
  </si>
  <si>
    <t>East Avenue QC</t>
  </si>
  <si>
    <t>Tb dots</t>
  </si>
  <si>
    <t>roseannparnes@yahoo.com</t>
  </si>
  <si>
    <t xml:space="preserve">ASSAY: Xpert MTB/RIF Ultra, COUNT: 2167
</t>
  </si>
  <si>
    <t>For module replacement C4 714498 - 210031101</t>
  </si>
  <si>
    <t>Performed module replacement
Cleaned unit
Cleaned plunger rod,filter,icore,cartridge bay
Gathered reports
Test run unit</t>
  </si>
  <si>
    <t>C4 operational</t>
  </si>
  <si>
    <t>https://www.jotform.com/uploads/macarewecare/222927978372067/6488328953617647265/6488328953617647265_signature_28.png</t>
  </si>
  <si>
    <t>Rose Ann Parnes</t>
  </si>
  <si>
    <t>https://www.jotform.com/uploads/macarewecare/222927978372067/6488328953617647265/6488328953617647265_signature_31.png</t>
  </si>
  <si>
    <t>roseannpatnes@yahoo.com</t>
  </si>
  <si>
    <t>GX4 10C</t>
  </si>
  <si>
    <t>Delivered and installed unit
Performed functionality test
Complete accessories
Upload ADF files
Test run unit</t>
  </si>
  <si>
    <t>Performed installation</t>
  </si>
  <si>
    <t>https://www.jotform.com/uploads/macarewecare/222927978372067/6488328363613193080/6488328363613193080_signature_28.png</t>
  </si>
  <si>
    <t>Rose Ann Parnes-Le</t>
  </si>
  <si>
    <t>https://www.jotform.com/uploads/macarewecare/222927978372067/6488328363613193080/6488328363613193080_signature_31.png</t>
  </si>
  <si>
    <t>Batac City Health Office</t>
  </si>
  <si>
    <t>Batac, Ilocos Norte</t>
  </si>
  <si>
    <t>Ilocos Norte</t>
  </si>
  <si>
    <t>bataccholaboratory@gmail.com</t>
  </si>
  <si>
    <t>For Gatewayboard Replacement</t>
  </si>
  <si>
    <t>- Cleaned Cartridge Bays, Plunger Rods and I-CORE 
- Replaced Gatewayboard 805272 &gt;&gt;&gt; 910767956
- Programmed New Gatewayboard with Old SN 910767 &gt;&gt;&gt; 805272
- Generated</t>
  </si>
  <si>
    <t>- Unit is Partially Operational 
- Module D2 is currently Disabled; Already reported in Jotform</t>
  </si>
  <si>
    <t>Gatewayboard Kit</t>
  </si>
  <si>
    <t>https://www.jotform.com/uploads/macarewecare/222927978372067/6486506532325882015/6486506532325882015_signature_28.png</t>
  </si>
  <si>
    <t>JOY E. RACACHO</t>
  </si>
  <si>
    <t>https://www.jotform.com/uploads/macarewecare/222927978372067/6486506532325882015/6486506532325882015_signature_31.png</t>
  </si>
  <si>
    <t>Mariano Marcos Memorial Hospital and Medical Center</t>
  </si>
  <si>
    <t>mmmh.molecularlab@gmail.com</t>
  </si>
  <si>
    <t>All Modules passed XpertCheck</t>
  </si>
  <si>
    <t>https://www.jotform.com/uploads/macarewecare/222927978372067/6486504172321728570/6486504172321728570_signature_28.png</t>
  </si>
  <si>
    <t>Allan Fellizar</t>
  </si>
  <si>
    <t>https://www.jotform.com/uploads/macarewecare/222927978372067/6486504172321728570/6486504172321728570_signature_31.png</t>
  </si>
  <si>
    <t>Bacarra Rural Health Unit</t>
  </si>
  <si>
    <t>Bacarra, Ilocos Norte</t>
  </si>
  <si>
    <t>davidangelogamidobarrozo@gmail.com</t>
  </si>
  <si>
    <t>https://www.jotform.com/uploads/macarewecare/222927978372067/6486503002322505619/6486503002322505619_signature_28.png</t>
  </si>
  <si>
    <t>David Angelo Barrozo</t>
  </si>
  <si>
    <t>https://www.jotform.com/uploads/macarewecare/222927978372067/6486503002322505619/6486503002322505619_signature_31.png</t>
  </si>
  <si>
    <t>Infanta Rural Health Unit</t>
  </si>
  <si>
    <t>Infanta, Pangasinan</t>
  </si>
  <si>
    <t>charissealmandres8@gmail.com</t>
  </si>
  <si>
    <t>https://www.jotform.com/uploads/macarewecare/222927978372067/6486501122321683043/6486501122321683043_signature_28.png</t>
  </si>
  <si>
    <t>Charisse A. Alferez</t>
  </si>
  <si>
    <t>https://www.jotform.com/uploads/macarewecare/222927978372067/6486501122321683043/6486501122321683043_signature_31.png</t>
  </si>
  <si>
    <t>UPD The Marine Science Institute</t>
  </si>
  <si>
    <t>P. Velasquez St., Diliman, Quezon City</t>
  </si>
  <si>
    <t>Algal Lab</t>
  </si>
  <si>
    <t>CARL ZEISS</t>
  </si>
  <si>
    <t>scgonzaga@up.edu.ph</t>
  </si>
  <si>
    <t>Stemi 305 Trino with Axiocam ERc5s</t>
  </si>
  <si>
    <t>Enduser stated equipment not powering-on</t>
  </si>
  <si>
    <t>None, suggest for monitoring</t>
  </si>
  <si>
    <t>Check-up and Cleaning</t>
  </si>
  <si>
    <t>https://www.jotform.com/uploads/macarewecare/222927978372067/6486400973713930554/6486400973713930554_signature_28.png</t>
  </si>
  <si>
    <t>Shienna Mae Gonzaga</t>
  </si>
  <si>
    <t>https://www.jotform.com/uploads/macarewecare/222927978372067/6486400973713930554/6486400973713930554_signature_31.png</t>
  </si>
  <si>
    <t>Los Banos Rural Health Unit</t>
  </si>
  <si>
    <t>Los Banos Laguna</t>
  </si>
  <si>
    <t>rheamarie019@gmail.com</t>
  </si>
  <si>
    <t>Def module 210091372, New Module 701588</t>
  </si>
  <si>
    <t>https://www.jotform.com/uploads/macarewecare/222927978372067/6485925950424652318/6485925950424652318_signature_28.png</t>
  </si>
  <si>
    <t>Rhea Marie Dorado</t>
  </si>
  <si>
    <t>https://www.jotform.com/uploads/macarewecare/222927978372067/6485925950424652318/6485925950424652318_signature_31.png</t>
  </si>
  <si>
    <t>Magalang Super Health Center</t>
  </si>
  <si>
    <t>13th st. Guanzon Sbd. Sta. Cruz, Magalang Pampanga</t>
  </si>
  <si>
    <t>bevlozano29@gmail.com</t>
  </si>
  <si>
    <t>B3: 905016 for Module replacement</t>
  </si>
  <si>
    <t>Performed surface cleaning 
Performed Module replacement 
Gathered reports 
Performed functionality test</t>
  </si>
  <si>
    <t>Unit is operational 
B3: 210114859 new module</t>
  </si>
  <si>
    <t>https://www.jotform.com/uploads/macarewecare/222927978372067/6485847949812589190/6485847949812589190_signature_28.png</t>
  </si>
  <si>
    <t>Beverly Lozano</t>
  </si>
  <si>
    <t>https://www.jotform.com/uploads/macarewecare/222927978372067/6485847949812589190/6485847949812589190_signature_31.png</t>
  </si>
  <si>
    <t xml:space="preserve">ASSAY: Xpert MTB/RIF, COUNT: 800
</t>
  </si>
  <si>
    <t>CPU problem boot system problem</t>
  </si>
  <si>
    <t>Pull out cpu for hardisk testing.</t>
  </si>
  <si>
    <t>CPU is for pull out.</t>
  </si>
  <si>
    <t>https://www.jotform.com/uploads/macarewecare/222927978372067/6485824398028127483/6485824398028127483_signature_28.png</t>
  </si>
  <si>
    <t>GENE CARMEL T. PROCIANOS</t>
  </si>
  <si>
    <t>https://www.jotform.com/uploads/macarewecare/222927978372067/6485824398028127483/6485824398028127483_signature_31.png</t>
  </si>
  <si>
    <t>eileenrowenaicban@yahoo.com</t>
  </si>
  <si>
    <t>Module B4 door for replacement</t>
  </si>
  <si>
    <t>Replaced module door</t>
  </si>
  <si>
    <t>https://www.jotform.com/uploads/macarewecare/222927978372067/6485822620275797784/6485822620275797784_signature_28.png</t>
  </si>
  <si>
    <t>https://www.jotform.com/uploads/macarewecare/222927978372067/6485822620275797784/6485822620275797784_signature_31.png</t>
  </si>
  <si>
    <t>Ilagan City Health Office</t>
  </si>
  <si>
    <t>Ilagan City, Isabela</t>
  </si>
  <si>
    <t>Isabela</t>
  </si>
  <si>
    <t>cho1ilagan.laboratory@gmail.com</t>
  </si>
  <si>
    <t xml:space="preserve">ASSAY: Xpert MTB/RIF Ultra, COUNT: 2442
</t>
  </si>
  <si>
    <t>Genexpert PC restarts while running test</t>
  </si>
  <si>
    <t>Troubleshoot PC
Cleaned Ram
Replaced Bios Battery</t>
  </si>
  <si>
    <t>Performed Maintenance 
Gathered Reports
Performed Functionality Test</t>
  </si>
  <si>
    <t>https://www.jotform.com/uploads/macarewecare/222927978372067/6485784590027581879/6485784590027581879_signature_28.png</t>
  </si>
  <si>
    <t>Hannah Jean Sanggo</t>
  </si>
  <si>
    <t>https://www.jotform.com/uploads/macarewecare/222927978372067/6485784590027581879/6485784590027581879_signature_31.png</t>
  </si>
  <si>
    <t>Lubao Rural Health Unit</t>
  </si>
  <si>
    <t>Lubao Pampanga</t>
  </si>
  <si>
    <t>nathaliecoleencovar@gmail.com</t>
  </si>
  <si>
    <t>GXIV-D</t>
  </si>
  <si>
    <t>GatewayBoard replacement 
Defective gateway board sn:812834</t>
  </si>
  <si>
    <t>Preventive maintenance 
GatewayBoard replacement</t>
  </si>
  <si>
    <t>Performed surface cleaning 
Gathered reports
Perfomed GatewayBoard replacement 
Performed functionaity test</t>
  </si>
  <si>
    <t>Unit is operational 
New gateway board:910767928</t>
  </si>
  <si>
    <t>https://www.jotform.com/uploads/macarewecare/222927978372067/6485751289816258035/6485751289816258035_signature_28.png</t>
  </si>
  <si>
    <t>Nathalie Covar</t>
  </si>
  <si>
    <t>https://www.jotform.com/uploads/macarewecare/222927978372067/6485751289816258035/6485751289816258035_signature_31.png</t>
  </si>
  <si>
    <t>Gamu Rural Health Unit</t>
  </si>
  <si>
    <t>Gamu, Isabela</t>
  </si>
  <si>
    <t>Gamugeneralclinicallaboratory@gmail.com</t>
  </si>
  <si>
    <t xml:space="preserve">ASSAY: Xpert MTB/RIF Ultra, COUNT: 1225
</t>
  </si>
  <si>
    <t>Due for Maintenance</t>
  </si>
  <si>
    <t>Performed Genexpert Assessment</t>
  </si>
  <si>
    <t>https://www.jotform.com/uploads/macarewecare/222927978372067/6485694600029783648/6485694600029783648_signature_28.png</t>
  </si>
  <si>
    <t>Precious Alma Maravilla</t>
  </si>
  <si>
    <t>https://www.jotform.com/uploads/macarewecare/222927978372067/6485694600029783648/6485694600029783648_signature_31.png</t>
  </si>
  <si>
    <t>Dinalupihan Rural Health Unit</t>
  </si>
  <si>
    <t>Brgy. Culo Dinalupihan Bataan</t>
  </si>
  <si>
    <t>villanuevarevienel@gmail.com</t>
  </si>
  <si>
    <t>B4:720070 for replacement</t>
  </si>
  <si>
    <t>Performed surface cleaning 
Gatahered Pre IQR
Perforemd Module replacement 
Gathered post IQR
Performed functionality test</t>
  </si>
  <si>
    <t>Unit is operational 
New Module SN: 661112</t>
  </si>
  <si>
    <t>https://www.jotform.com/uploads/macarewecare/222927978372067/6485667099817583370/6485667099817583370_signature_28.png</t>
  </si>
  <si>
    <t>Revienel Villanueva</t>
  </si>
  <si>
    <t>https://www.jotform.com/uploads/macarewecare/222927978372067/6485667099817583370/6485667099817583370_signature_31.png</t>
  </si>
  <si>
    <t>Cabagan Rural Health Unit</t>
  </si>
  <si>
    <t>Poblacion Centro, Cabagan, Isabela</t>
  </si>
  <si>
    <t>rhuCLcabagan2022@gmail.com</t>
  </si>
  <si>
    <t>Performex Xpertcheck
(Module 807263/B2 - Service Required)
(Module B1, B3 &amp; B4 - Passed)</t>
  </si>
  <si>
    <t>https://www.jotform.com/uploads/macarewecare/222927978372067/6485054020026968852/6485054020026968852_signature_28.png</t>
  </si>
  <si>
    <t>Rosemarie Peca-at</t>
  </si>
  <si>
    <t>https://www.jotform.com/uploads/macarewecare/222927978372067/6485054020026968852/6485054020026968852_signature_31.png</t>
  </si>
  <si>
    <t>Ilo-ilo City</t>
  </si>
  <si>
    <t>Due for Xpertcheck.</t>
  </si>
  <si>
    <t>. Save System Log Report 
. Save Installation Qualifications Report 
. Save Xpertcal file.</t>
  </si>
  <si>
    <t>Perform Xpertcheck for all modules.</t>
  </si>
  <si>
    <t>A1, A3, A4 - Fail for Xpertcheck
C1, C3 - Fail for Xpertcheck
D4 - fail for Xpertcheck</t>
  </si>
  <si>
    <t>https://www.jotform.com/uploads/macarewecare/222927978372067/6484998686614558352/6484998686614558352_signature_28.png</t>
  </si>
  <si>
    <t>Melnia Andrea Obordo</t>
  </si>
  <si>
    <t>https://www.jotform.com/uploads/macarewecare/222927978372067/6484998686614558352/6484998686614558352_signature_31.png</t>
  </si>
  <si>
    <t>Cagayan Valley Center for Health Development</t>
  </si>
  <si>
    <t>Carig Norte, Tuguegarao City, Cagayan</t>
  </si>
  <si>
    <t>Cagayan</t>
  </si>
  <si>
    <t>mctorio.pbsp@gmail.com</t>
  </si>
  <si>
    <t>Cleaned Icore
Cleaned Cartridge Bay
Cleaned Plunger Rod
Cleaned Filters</t>
  </si>
  <si>
    <t>Performed Maintenance 
Gathered Reports 
Performed Functionality Test</t>
  </si>
  <si>
    <t>https://www.jotform.com/uploads/macarewecare/222927978372067/6484923670028667154/6484923670028667154_signature_28.png</t>
  </si>
  <si>
    <t>Mikaela Anne Torio</t>
  </si>
  <si>
    <t>https://www.jotform.com/uploads/macarewecare/222927978372067/6484923670028667154/6484923670028667154_signature_31.png</t>
  </si>
  <si>
    <t>Cleaned Icore
Cleaned Cartridge Bay
Cleaned Filters
Cleaned Plunger Rod</t>
  </si>
  <si>
    <t>https://www.jotform.com/uploads/macarewecare/222927978372067/6484923553795074021/6484923553795074021_signature_28.png</t>
  </si>
  <si>
    <t>https://www.jotform.com/uploads/macarewecare/222927978372067/6484923553795074021/6484923553795074021_signature_31.png</t>
  </si>
  <si>
    <t>Module C2 Failed Xpertcheck
Gateway board for Replacement</t>
  </si>
  <si>
    <t>Module SN: 210063113 Replaced with Module SN: 210011539
Replaced Gateway Board
Programmed Gateway Board</t>
  </si>
  <si>
    <t>https://www.jotform.com/uploads/macarewecare/222927978372067/6484919363799453207/6484919363799453207_signature_28.png</t>
  </si>
  <si>
    <t>https://www.jotform.com/uploads/macarewecare/222927978372067/6484919363799453207/6484919363799453207_signature_31.png</t>
  </si>
  <si>
    <t>https://www.jotform.com/uploads/macarewecare/222927978372067/6484904062702897301/6484904062702897301_signature_28.png</t>
  </si>
  <si>
    <t>https://www.jotform.com/uploads/macarewecare/222927978372067/6484904062702897301/6484904062702897301_signature_31.png</t>
  </si>
  <si>
    <t>https://www.jotform.com/uploads/macarewecare/222927978372067/6484903852705329252/6484903852705329252_signature_28.png</t>
  </si>
  <si>
    <t>https://www.jotform.com/uploads/macarewecare/222927978372067/6484903852705329252/6484903852705329252_signature_31.png</t>
  </si>
  <si>
    <t>Botolan Rural Health Unit</t>
  </si>
  <si>
    <t>Baton Lapoc Botolan, Zambales</t>
  </si>
  <si>
    <t>abby.peboyjr@gmail.com</t>
  </si>
  <si>
    <t>B4:640579 for module replacement</t>
  </si>
  <si>
    <t>Performance preventive maintenance 
Performed module replacement 
Performed functionality test</t>
  </si>
  <si>
    <t>Unit is operational 
Defective module SN: 645079
New Module SN: 705270</t>
  </si>
  <si>
    <t>https://www.jotform.com/uploads/macarewecare/222927978372067/6484892638815520786/6484892638815520786_signature_28.png</t>
  </si>
  <si>
    <t>Abigail V. Jaring</t>
  </si>
  <si>
    <t>https://www.jotform.com/uploads/macarewecare/222927978372067/6484892638815520786/6484892638815520786_signature_31.png</t>
  </si>
  <si>
    <t>Module B3 SN:210122278 / For Service Required
UPS Not working
Due for Preventive Maintenance</t>
  </si>
  <si>
    <t>Replaced the Defective Module SN:210122278 with new Module SN 614401
Clean Surface Area, Cartridge Bay, Plunger Rod, Fan Filters and Icore Lenses
Generate IQR, Assay Stat and System Log
Replaced the Defective UPS SN: AT1K231111ST0024 with new SN: 310026737FA3728000436</t>
  </si>
  <si>
    <t>Perform Preventive Maintenance, UPS and Module Replacement</t>
  </si>
  <si>
    <t>Machine is operational
Module B2/ SN: 210122382 encounter temp related errors and reported for further assessment</t>
  </si>
  <si>
    <t>Roi Kenneth R Fagutao</t>
  </si>
  <si>
    <t>https://www.jotform.com/uploads/macarewecare/222927978372067/6484882042706960277/6484882042706960277_signature_28.png</t>
  </si>
  <si>
    <t>https://www.jotform.com/uploads/macarewecare/222927978372067/6484882042706960277/6484882042706960277_signature_31.png</t>
  </si>
  <si>
    <t>https://www.jotform.com/uploads/macarewecare/222927978372067/6484882042707985119/6484882042707985119_signature_28.png</t>
  </si>
  <si>
    <t>https://www.jotform.com/uploads/macarewecare/222927978372067/6484882042707985119/6484882042707985119_signature_31.png</t>
  </si>
  <si>
    <t xml:space="preserve">ASSAY: Xpert MTB/RIF Ultra, COUNT: 237
ASSAY: Xpert HIV-1 Viral Load, COUNT: 140
</t>
  </si>
  <si>
    <t>All Modules functional 
Machine is Operational</t>
  </si>
  <si>
    <t>https://www.jotform.com/uploads/macarewecare/222927978372067/6484877272705896892/6484877272705896892_signature_28.png</t>
  </si>
  <si>
    <t>https://www.jotform.com/uploads/macarewecare/222927978372067/6484877272705896892/6484877272705896892_signature_31.png</t>
  </si>
  <si>
    <t>Passi City Health Office</t>
  </si>
  <si>
    <t>Poblacion Passi City</t>
  </si>
  <si>
    <t>passicholab@gmail.com</t>
  </si>
  <si>
    <t>GX IV 10C</t>
  </si>
  <si>
    <t>Module B1 Hardware fail serial number 210067154</t>
  </si>
  <si>
    <t>. Save Installation Qualifications Report.
. Save System Log Report 
. Save assay statistics Report</t>
  </si>
  <si>
    <t>Replace module B1 with new module serial number 721585</t>
  </si>
  <si>
    <t>https://www.jotform.com/uploads/macarewecare/222927978372067/6484870716614440610/6484870716614440610_signature_28.png</t>
  </si>
  <si>
    <t>Kaycee Rhee Pormilos</t>
  </si>
  <si>
    <t>https://www.jotform.com/uploads/macarewecare/222927978372067/6484870716614440610/6484870716614440610_signature_31.png</t>
  </si>
  <si>
    <t>Cagayan Valley Medical Center</t>
  </si>
  <si>
    <t>Carig Sur, Tuguegarao City, Cagayan</t>
  </si>
  <si>
    <t>ruellamorena@gmail.com</t>
  </si>
  <si>
    <t>Due for Maintenance
Modules High Temperature</t>
  </si>
  <si>
    <t>Plugged in the Fan connector</t>
  </si>
  <si>
    <t>https://www.jotform.com/uploads/macarewecare/222927978372067/6484837919287260955/6484837919287260955_signature_28.png</t>
  </si>
  <si>
    <t>Ruel Lamorena</t>
  </si>
  <si>
    <t>https://www.jotform.com/uploads/macarewecare/222927978372067/6484837919287260955/6484837919287260955_signature_31.png</t>
  </si>
  <si>
    <t>GX XVI-6C</t>
  </si>
  <si>
    <t>Performed Machine assessment</t>
  </si>
  <si>
    <t>https://www.jotform.com/uploads/macarewecare/222927978372067/6484837180023967203/6484837180023967203_signature_28.png</t>
  </si>
  <si>
    <t>https://www.jotform.com/uploads/macarewecare/222927978372067/6484837180023967203/6484837180023967203_signature_31.png</t>
  </si>
  <si>
    <t>Fatima Rural Health Unit</t>
  </si>
  <si>
    <t>Brgy. FATIMA, General Santos City</t>
  </si>
  <si>
    <t>dglemao9087@gmail.com</t>
  </si>
  <si>
    <t xml:space="preserve">ASSAY: Xpert MTB/RIF Ultra, COUNT: 71
</t>
  </si>
  <si>
    <t>Defective CPU</t>
  </si>
  <si>
    <t>Perform Genexpert machine CPU replacement 
Perform Genexpert Annual Xpertcheck 
Perform Genexpert machine cleaning and maintenance 
Data collection</t>
  </si>
  <si>
    <t>Genexpert machine replacement 
Genexpert machine Xpertcheck Calibration 
Genexpert machine Preventive maintenance</t>
  </si>
  <si>
    <t>3 operational modules 
Xpertcheck result 
Module 1 and 3 -Passed
Module 2 skipped and retest required 
Module 4 requiring for Service</t>
  </si>
  <si>
    <t>https://www.jotform.com/uploads/macarewecare/222927978372067/6484250977322697534/6484250977322697534_signature_28.png</t>
  </si>
  <si>
    <t>Dante Ariel A. Glemao</t>
  </si>
  <si>
    <t>https://www.jotform.com/uploads/macarewecare/222927978372067/6484250977322697534/6484250977322697534_signature_31.png</t>
  </si>
  <si>
    <t>Dr.Jorge P. Royeca Hospital</t>
  </si>
  <si>
    <t>General Santos City</t>
  </si>
  <si>
    <t>elsigh76@gmail.com</t>
  </si>
  <si>
    <t xml:space="preserve">ASSAY: Xpert MTB/RIF Ultra, COUNT: 455
ASSAY: Xpert HIV-1 Viral Load, COUNT: 188
</t>
  </si>
  <si>
    <t>Module B3 defective module</t>
  </si>
  <si>
    <t>Replace defective module B3 SN:806717 with new module SN:676837
Perform Genexpert machine Cleaning and maintenance 
Fan and filter cleaning 
Module cleaning 
Plunger rod and Optics cleaning 
Data collection</t>
  </si>
  <si>
    <t>Genexpert 6-color module 
SN:676837</t>
  </si>
  <si>
    <t>https://www.jotform.com/uploads/macarewecare/222927978372067/6484250977329355519/6484250977329355519_signature_28.png</t>
  </si>
  <si>
    <t>Elsie  R. Dacua</t>
  </si>
  <si>
    <t>https://www.jotform.com/uploads/macarewecare/222927978372067/6484250977329355519/6484250977329355519_signature_31.png</t>
  </si>
  <si>
    <t>St lukes Medical Center</t>
  </si>
  <si>
    <t>Microbiologu</t>
  </si>
  <si>
    <t>biomed.qc@stlukes.com.ph</t>
  </si>
  <si>
    <t>megapo@stlukes.com.ph</t>
  </si>
  <si>
    <t xml:space="preserve">ASSAY: Xpert CT/NG, COUNT: 225
ASSAY: Xpert MTB/RIF Ultra, COUNT: 2233
</t>
  </si>
  <si>
    <t>As per end user they encounter 5007 in module B2.
B1,B3,B4 confirmed for replacement</t>
  </si>
  <si>
    <t>B2 for observation</t>
  </si>
  <si>
    <t>https://www.jotform.com/uploads/macarewecare/222927978372067/6484200431592240115/6484200431592240115_signature_28.png</t>
  </si>
  <si>
    <t>Ma.Eliza Apo</t>
  </si>
  <si>
    <t>https://www.jotform.com/uploads/macarewecare/222927978372067/6484200431592240115/6484200431592240115_signature_31.png</t>
  </si>
  <si>
    <t>Bagumbong Health Center</t>
  </si>
  <si>
    <t>Caloocan City</t>
  </si>
  <si>
    <t>jenilyn_duenas@yahoo.com</t>
  </si>
  <si>
    <t>Module A2 (210045625) for replacement</t>
  </si>
  <si>
    <t>Replaced module A2
Replaced filter</t>
  </si>
  <si>
    <t>- replaced module A2 by 210036060
- checked and cleaned cartridge bay, plunger rod, filter 
- replaced filter
- performed self test</t>
  </si>
  <si>
    <t>https://www.jotform.com/uploads/macarewecare/222927978372067/6484153689198052364/6484153689198052364_signature_28.png</t>
  </si>
  <si>
    <t>Bea Francisco</t>
  </si>
  <si>
    <t>https://www.jotform.com/uploads/macarewecare/222927978372067/6484153689198052364/6484153689198052364_signature_31.png</t>
  </si>
  <si>
    <t>Bondoc Peninsula District Hospital</t>
  </si>
  <si>
    <t>Catanauan, Quezon</t>
  </si>
  <si>
    <t>bpdhrtdl@gmail.com</t>
  </si>
  <si>
    <t xml:space="preserve">ASSAY: Xpert MTB/RIF Ultra, COUNT: 1366
</t>
  </si>
  <si>
    <t>Performed maintenance
Replaced module B4
Performed self test 
Generated reports</t>
  </si>
  <si>
    <t>Old: B4/210068502
New: B4/643575</t>
  </si>
  <si>
    <t>https://www.jotform.com/uploads/macarewecare/222927978372067/6484149491503342670/6484149491503342670_signature_28.png</t>
  </si>
  <si>
    <t>Trinity carisse puyal</t>
  </si>
  <si>
    <t>https://www.jotform.com/uploads/macarewecare/222927978372067/6484149491503342670/6484149491503342670_signature_31.png</t>
  </si>
  <si>
    <t>Davao Regional Medical Center</t>
  </si>
  <si>
    <t>Apokon, Tagum City</t>
  </si>
  <si>
    <t>Davao del Norte</t>
  </si>
  <si>
    <t>vincentmilestone20@gmail.com</t>
  </si>
  <si>
    <t xml:space="preserve">ASSAY: Xpert MTB/RIF Ultra, COUNT: 2793
ASSAY: Xpert HIV-1 Viral Load, COUNT: 182
ASSAY: Xpert MTB-XDR, COUNT: 63
ASSAY: Xpert SARS-CoV-2, COUNT: 1107
</t>
  </si>
  <si>
    <t>For Preventive Maintenance and XpertCheck Calibration</t>
  </si>
  <si>
    <t>Clean Surface Area, Cartridge Bay, Plunger Rod, Fan Filters and Icore Lenses
Generate IQR, Assay Stat and System Log
Archived Data test results
Install XPERTCHECK Version 1.5B
Run XpertCheck on 4 Modules</t>
  </si>
  <si>
    <t>Modules B1 and B2 Retry and Passed
Moduels B3 and B4 Passed
All Modules Passed the Calibration
Machine is Operational and Functional</t>
  </si>
  <si>
    <t>Pull out extra XPC Calibration Cartidge</t>
  </si>
  <si>
    <t>https://www.jotform.com/uploads/macarewecare/222927978372067/6484130951286114313/6484130951286114313_signature_28.png</t>
  </si>
  <si>
    <t>Jenry Ken Vincent Mibato</t>
  </si>
  <si>
    <t>https://www.jotform.com/uploads/macarewecare/222927978372067/6484130951286114313/6484130951286114313_signature_31.png</t>
  </si>
  <si>
    <t xml:space="preserve">ASSAY: Xpert MTB/RIF Ultra, COUNT: 2793
ASSAY: Xpert MTB-XDR, COUNT: 63
ASSAY: Xpert HIV-1 Viral Load, COUNT: 182
</t>
  </si>
  <si>
    <t>https://www.jotform.com/uploads/macarewecare/222927978372067/6484108521286774120/6484108521286774120_signature_28.png</t>
  </si>
  <si>
    <t>https://www.jotform.com/uploads/macarewecare/222927978372067/6484108521286774120/6484108521286774120_signature_31.png</t>
  </si>
  <si>
    <t>Molecular Lab</t>
  </si>
  <si>
    <t xml:space="preserve">ASSAY: Xpert MTB/RIF Ultra, COUNT: 2793
ASSAY: Xpert MTB-XDR, COUNT: 63
ASSAY: Xpert HIV-1 Viral Load, COUNT: 182
ASSAY: Xpert SARS-CoV-2, COUNT: 1107
</t>
  </si>
  <si>
    <t>Due for Preventive Maintenance</t>
  </si>
  <si>
    <t>https://www.jotform.com/uploads/macarewecare/222927978372067/6484108081281674765/6484108081281674765_signature_28.png</t>
  </si>
  <si>
    <t>https://www.jotform.com/uploads/macarewecare/222927978372067/6484108081281674765/6484108081281674765_signature_31.png</t>
  </si>
  <si>
    <t>Margosatubig Regional Hospital</t>
  </si>
  <si>
    <t>Margosatubig, Zamboanga del sur</t>
  </si>
  <si>
    <t>clairemorales62@gmail.com</t>
  </si>
  <si>
    <t xml:space="preserve">ASSAY: Xpert HIV-1 Viral Load, COUNT: 48
ASSAY: Xpert MTB/RIF Ultra, COUNT: 2166
ASSAY: Xpert MTB-XDR, COUNT: 32
ASSAY: Others, COUNT: 3
</t>
  </si>
  <si>
    <t>Module 4 hardware failed.</t>
  </si>
  <si>
    <t>Preventive Maintenence done as per PM checklist Document #D20843
Replaced defective module 210099163 with new module 210018099 as per Document #301-0569 rev A.
Decontamination done as per Documen# 07203</t>
  </si>
  <si>
    <t>Preventive Maintenence, Replaced module 4 with new module.</t>
  </si>
  <si>
    <t>All modules are available and operational. 
Genexpert machine is ready to use.</t>
  </si>
  <si>
    <t>https://www.jotform.com/uploads/macarewecare/222927978372067/6484080154124184309/6484080154124184309_signature_28.png</t>
  </si>
  <si>
    <t>Claire Morales</t>
  </si>
  <si>
    <t>https://www.jotform.com/uploads/macarewecare/222927978372067/6484080154124184309/6484080154124184309_signature_31.png</t>
  </si>
  <si>
    <t>Davao Regional Medical Center - BloodBank</t>
  </si>
  <si>
    <t>CALIBRATION
MAINTENANCE
TROUBLESHOOTING
ON-SITE ASSISTANCE</t>
  </si>
  <si>
    <t>hkdrdsales@gmail.com</t>
  </si>
  <si>
    <t>bloodbank@drmc.gov.ph</t>
  </si>
  <si>
    <t>21M389SPG</t>
  </si>
  <si>
    <t>For Preventive Maintenance, and
Calibration</t>
  </si>
  <si>
    <t>Clean Surface Area
Check the roller assay pumps
Check and set the optimal values for Bowl Optics, SPM &amp; DPM Sensors, Weigher and Line Sensors
Run Cycle Test for functionality Test</t>
  </si>
  <si>
    <t>Perform Preventive Maintenance, Calibration</t>
  </si>
  <si>
    <t>https://www.jotform.com/uploads/macarewecare/222927978372067/6484076755161463587/6484076755161463587_signature_28.png</t>
  </si>
  <si>
    <t>Mae Ann Leyrita</t>
  </si>
  <si>
    <t>https://www.jotform.com/uploads/macarewecare/222927978372067/6484076755161463587/6484076755161463587_signature_31.png</t>
  </si>
  <si>
    <t>Gateway board replacement 
GatewayBoard SN: 805124</t>
  </si>
  <si>
    <t>Repair/ gateway board replacement</t>
  </si>
  <si>
    <t>Performed surface cleaning 
Gathered reports
Performed Gateway board replacement 
Changed Gateway board SN FROM 910767922 to 805124
Performed functionality test</t>
  </si>
  <si>
    <t>Unit is operational 
Gateway board defective SN: 805124 to New SN 910767922</t>
  </si>
  <si>
    <t>https://www.jotform.com/uploads/macarewecare/222927978372067/6484048261917893786/6484048261917893786_signature_28.png</t>
  </si>
  <si>
    <t>Maria Lorena Ginauli</t>
  </si>
  <si>
    <t>https://www.jotform.com/uploads/macarewecare/222927978372067/6484048261917893786/6484048261917893786_signature_31.png</t>
  </si>
  <si>
    <t>San Francisco Rural Health Unit</t>
  </si>
  <si>
    <t>San Francisco, Quezon</t>
  </si>
  <si>
    <t>annlouhpalma20@gmail.com</t>
  </si>
  <si>
    <t>Performed maintenance 
Replaced module A3
Performed self test 
Generated reports</t>
  </si>
  <si>
    <t>Unit os operational. All modules operational.</t>
  </si>
  <si>
    <t>Old: A3/615114
New: A3/705087</t>
  </si>
  <si>
    <t>https://www.jotform.com/uploads/macarewecare/222927978372067/6483993473015008717/6483993473015008717_signature_28.png</t>
  </si>
  <si>
    <t>Ann Lorraine Palma</t>
  </si>
  <si>
    <t>https://www.jotform.com/uploads/macarewecare/222927978372067/6483993473015008717/6483993473015008717_signature_31.png</t>
  </si>
  <si>
    <t>San Isidro Northern Samar</t>
  </si>
  <si>
    <t>hsdelamitas59@gmail.com</t>
  </si>
  <si>
    <t xml:space="preserve">ASSAY: Xpert MTB/RIF Ultra, COUNT: 484
</t>
  </si>
  <si>
    <t>Module B4 Defective SN:210121815</t>
  </si>
  <si>
    <t>- Replaced defective module B4/210121815 new Module B4/886791
- Archived Data
- Data Collection
- Performed functionality test</t>
  </si>
  <si>
    <t>1 Genexpert 10C module SN: 886791</t>
  </si>
  <si>
    <t>https://www.jotform.com/uploads/macarewecare/222927978372067/6483976768711672922/6483976768711672922_signature_28.png</t>
  </si>
  <si>
    <t>Hazel G. Salinas</t>
  </si>
  <si>
    <t>https://www.jotform.com/uploads/macarewecare/222927978372067/6483976768711672922/6483976768711672922_signature_31.png</t>
  </si>
  <si>
    <t>Dr. Jose Rizal Memorial Hospital</t>
  </si>
  <si>
    <t>Dapitan</t>
  </si>
  <si>
    <t>Zamboanga del Norte</t>
  </si>
  <si>
    <t>calumbamendel@gmail.com</t>
  </si>
  <si>
    <t>Defective Module B3</t>
  </si>
  <si>
    <t>Install new module B3 SN 210106257
Gather data IQR, System log, assay stats</t>
  </si>
  <si>
    <t>https://www.jotform.com/uploads/macarewecare/222927978372067/6483956072928694418/6483956072928694418_signature_28.png</t>
  </si>
  <si>
    <t>Mendel Q. CALUMBA</t>
  </si>
  <si>
    <t>https://www.jotform.com/uploads/macarewecare/222927978372067/6483956072928694418/6483956072928694418_signature_31.png</t>
  </si>
  <si>
    <t>Manila Medical Center</t>
  </si>
  <si>
    <t>U.N. Ave., Manila</t>
  </si>
  <si>
    <t>microbiologylab.manilamed@gmail.com</t>
  </si>
  <si>
    <t>https://www.jotform.com/uploads/macarewecare/222927978372067/6483310136611466651/6483310136611466651_signature_28.png</t>
  </si>
  <si>
    <t>Frances Levina Velarde</t>
  </si>
  <si>
    <t>https://www.jotform.com/uploads/macarewecare/222927978372067/6483310136611466651/6483310136611466651_signature_31.png</t>
  </si>
  <si>
    <t>Jacinto St, Davao City</t>
  </si>
  <si>
    <t xml:space="preserve">ASSAY: Xpert MTB/RIF Ultra, COUNT: 417
ASSAY: Xpert HIV-1 Viral Load, COUNT: 3278
</t>
  </si>
  <si>
    <t>Clean Surface Area, Cartridge Bay, Plunger Rod, Fan Filters and Icore Lenses
Generate IQR, Assay Stat, and System Log
Archived Data test results</t>
  </si>
  <si>
    <t>Only Three Modules are operational
Module B3 SN 866834 encounter multiple temperature related errors</t>
  </si>
  <si>
    <t>Module B3 subjected for replacement</t>
  </si>
  <si>
    <t>https://www.jotform.com/uploads/macarewecare/222927978372067/6483231207163102650/6483231207163102650_signature_28.png</t>
  </si>
  <si>
    <t>https://www.jotform.com/uploads/macarewecare/222927978372067/6483231207163102650/6483231207163102650_signature_31.png</t>
  </si>
  <si>
    <t>For Preventive Maintenance  and Onsite Assistance</t>
  </si>
  <si>
    <t>Perform Preventive Maintenance and Module Troubleshooting</t>
  </si>
  <si>
    <t>All. Modules are operational</t>
  </si>
  <si>
    <t>https://www.jotform.com/uploads/macarewecare/222927978372067/6483227897167673014/6483227897167673014_signature_28.png</t>
  </si>
  <si>
    <t>https://www.jotform.com/uploads/macarewecare/222927978372067/6483227897167673014/6483227897167673014_signature_31.png</t>
  </si>
  <si>
    <t>Taguig Social Hygiene Clinic Drop-in Center</t>
  </si>
  <si>
    <t>East Service Rd. Taguig City</t>
  </si>
  <si>
    <t>nikko.eugenio26@gmail.com</t>
  </si>
  <si>
    <t>Installed the GeneXpert System</t>
  </si>
  <si>
    <t>Installed the GeneXpert System 
-GeneXpert Unit 
-Workstation 
-Printer
-Barcode scanner 
-UPS
Functionality test</t>
  </si>
  <si>
    <t>https://www.jotform.com/uploads/macarewecare/222927978372067/6483221349146035784/6483221349146035784_signature_28.png</t>
  </si>
  <si>
    <t>Nikko Eugenio</t>
  </si>
  <si>
    <t>https://www.jotform.com/uploads/macarewecare/222927978372067/6483221349146035784/6483221349146035784_signature_31.png</t>
  </si>
  <si>
    <t>Taguig Social Hygiene Clinic</t>
  </si>
  <si>
    <t>Col P Cruz, Taguig City</t>
  </si>
  <si>
    <t>tshcdic@gmail.com</t>
  </si>
  <si>
    <t>Installed the GeneXpert System:
-GeneXpert Unit
-Workstation
-Printer
-UPS
-Barcode scanner 
Functionality test</t>
  </si>
  <si>
    <t>https://www.jotform.com/uploads/macarewecare/222927978372067/6483212809146647410/6483212809146647410_signature_28.png</t>
  </si>
  <si>
    <t>Lazo, Stephanie Lorraine</t>
  </si>
  <si>
    <t>https://www.jotform.com/uploads/macarewecare/222927978372067/6483212809146647410/6483212809146647410_signature_31.png</t>
  </si>
  <si>
    <t>Salvacion Oppus-Yñiguez Memorial Provincial Hospital</t>
  </si>
  <si>
    <t>Maasin City, Southern Leyte</t>
  </si>
  <si>
    <t>Southern Leyte</t>
  </si>
  <si>
    <t>GeneXpert Laboratory</t>
  </si>
  <si>
    <t>montillacherry2@gmail.com</t>
  </si>
  <si>
    <t xml:space="preserve">ASSAY: Xpert MTB/RIF Ultra, COUNT: 777
ASSAY: Xpert MTB-XDR, COUNT: 38
</t>
  </si>
  <si>
    <t>10C GXIV-4D</t>
  </si>
  <si>
    <t>XpertCheck Due</t>
  </si>
  <si>
    <t>Machine is functional. Module B1 for replacement.</t>
  </si>
  <si>
    <t>https://www.jotform.com/uploads/macarewecare/222927978372067/6483063828599479213/6483063828599479213_signature_28.png</t>
  </si>
  <si>
    <t>Cherry Oja</t>
  </si>
  <si>
    <t>https://www.jotform.com/uploads/macarewecare/222927978372067/6483063828599479213/6483063828599479213_signature_31.png</t>
  </si>
  <si>
    <t>Mindanao Central sanitarium General Hospital</t>
  </si>
  <si>
    <t>Pasabolong, Zamboanga City</t>
  </si>
  <si>
    <t>MAINTENANCE
Module and gateway board replacement</t>
  </si>
  <si>
    <t>ybioamie@gmail.com</t>
  </si>
  <si>
    <t xml:space="preserve">ASSAY: Xpert MTB/RIF Ultra, COUNT: 1236
</t>
  </si>
  <si>
    <t>Module 1, Module 2 and gateway board due for replacement.</t>
  </si>
  <si>
    <t>Replaced module A1, A2 and gateway board. Preventive Maintenance. Data collection. Defective modules decontamination.</t>
  </si>
  <si>
    <t>Preventive Maintenence as per PM checklist Document #D20843.
Replaced defective modules 909139 and 744189 with new modules SN 865399 and 805020 respectively as per Document #301-0569 Rev A.
Replaced Gateway board 700-3183 Rev F with new gateway board 700-6140S, Rev C as per Document #301-0569 Rev A.
Decontamination done as per Document #07203.</t>
  </si>
  <si>
    <t>All modules are operational and ready to use.</t>
  </si>
  <si>
    <t>New modules SN (865399), (805020) and gateway board SN 910765525.</t>
  </si>
  <si>
    <t>900-0491rs, 700-6140s</t>
  </si>
  <si>
    <t>0054096 / 0055023</t>
  </si>
  <si>
    <t>https://www.jotform.com/uploads/macarewecare/222927978372067/6482774035307583384/6482774035307583384_signature_28.png</t>
  </si>
  <si>
    <t>Amie B. Ybio</t>
  </si>
  <si>
    <t>https://www.jotform.com/uploads/macarewecare/222927978372067/6482774035307583384/6482774035307583384_signature_31.png</t>
  </si>
  <si>
    <t>Estevez Memorial Hospital Inc.</t>
  </si>
  <si>
    <t>Rizal st, Legazpi</t>
  </si>
  <si>
    <t>rllaneta666@gmail.com</t>
  </si>
  <si>
    <t>Gx result loss communication error (all modules)</t>
  </si>
  <si>
    <t>Checked UPS, CPU connection to power source
Check power supply of UPS</t>
  </si>
  <si>
    <t>Unit is operational 
Defective UPS</t>
  </si>
  <si>
    <t>UPS drained battery(request for replacement)</t>
  </si>
  <si>
    <t>https://www.jotform.com/uploads/macarewecare/222927978372067/6482701947701203243/6482701947701203243_signature_28.png</t>
  </si>
  <si>
    <t>Roldan Llaneta</t>
  </si>
  <si>
    <t>https://www.jotform.com/uploads/macarewecare/222927978372067/6482701947701203243/6482701947701203243_signature_31.png</t>
  </si>
  <si>
    <t>Tinambac Rural Health Unit</t>
  </si>
  <si>
    <t>Poblacion, Tinambac</t>
  </si>
  <si>
    <t>allancaballero623@gmail.com</t>
  </si>
  <si>
    <t>Gx for Calibration 
Gx for Preventive Maintenance 
Date &amp; Time reset</t>
  </si>
  <si>
    <t>XpertCheck Result:
  B1/210100891 - service required
  B2/651554 - passed 
  B3/699314 - passed 
  B4/652128 - passed 
Cleaned cartridge bays, plunger rod, icore
Replaced CMOS Bios Battery
reset/adjusted date and time 
Generate Data</t>
  </si>
  <si>
    <t>Performed XpertCheck 
Performed Preventive Maintenance
Replaced Bios Battery</t>
  </si>
  <si>
    <t>B1/210100891 - service required</t>
  </si>
  <si>
    <t>https://www.jotform.com/uploads/macarewecare/222927978372067/6482698467708241563/6482698467708241563_signature_28.png</t>
  </si>
  <si>
    <t>Allan F. Caballero</t>
  </si>
  <si>
    <t>https://www.jotform.com/uploads/macarewecare/222927978372067/6482698467708241563/6482698467708241563_signature_31.png</t>
  </si>
  <si>
    <t>Tabaco City Health Unit</t>
  </si>
  <si>
    <t>Taihi, Tabaco</t>
  </si>
  <si>
    <t>elyjoy17rmt@gmail.com</t>
  </si>
  <si>
    <t>Relocation of Gx set</t>
  </si>
  <si>
    <t>Relocation of Gx set to new nearby lab(building is at the back of the previous facility)
Reboxing and reinstalling of Gx set
Generate Data</t>
  </si>
  <si>
    <t>Unboxing and Reinstalling of Gx set</t>
  </si>
  <si>
    <t>Unit is Operational 
All 4-modules are Operational</t>
  </si>
  <si>
    <t>https://www.jotform.com/uploads/macarewecare/222927978372067/6482669457708322937/6482669457708322937_signature_28.png</t>
  </si>
  <si>
    <t>Ely joy</t>
  </si>
  <si>
    <t>https://www.jotform.com/uploads/macarewecare/222927978372067/6482669457708322937/6482669457708322937_signature_31.png</t>
  </si>
  <si>
    <t>btsc@bmc.doh.gov.ph</t>
  </si>
  <si>
    <t>Unit for Preventive Maintenance</t>
  </si>
  <si>
    <t>Cleaned Unit surface
Cleaned centrifuge, valve, rotor pump
Checked parameters</t>
  </si>
  <si>
    <t>https://www.jotform.com/uploads/macarewecare/222927978372067/6482664457709915406/6482664457709915406_signature_28.png</t>
  </si>
  <si>
    <t>Sergs Bryan S Bausas</t>
  </si>
  <si>
    <t>https://www.jotform.com/uploads/macarewecare/222927978372067/6482664457709915406/6482664457709915406_signature_31.png</t>
  </si>
  <si>
    <t>- Cleaned Cartridge Bays, Plunger Rods and I-CORE
- Replaced Defective Module B1 210091156 &gt;&gt;&gt; 760173
- Generated Reports</t>
  </si>
  <si>
    <t>GeneXpert Module 760173</t>
  </si>
  <si>
    <t>https://www.jotform.com/uploads/macarewecare/222927978372067/6482587128818667076/6482587128818667076_signature_28.png</t>
  </si>
  <si>
    <t>https://www.jotform.com/uploads/macarewecare/222927978372067/6482587128818667076/6482587128818667076_signature_31.png</t>
  </si>
  <si>
    <t>Region 1 Medical Center</t>
  </si>
  <si>
    <t>Dagupan City</t>
  </si>
  <si>
    <t>romarmtamayo@gmail.com</t>
  </si>
  <si>
    <t>https://www.jotform.com/uploads/macarewecare/222927978372067/6482584738816335076/6482584738816335076_signature_28.png</t>
  </si>
  <si>
    <t>James elisha b. Balolong</t>
  </si>
  <si>
    <t>https://www.jotform.com/uploads/macarewecare/222927978372067/6482584738816335076/6482584738816335076_signature_31.png</t>
  </si>
  <si>
    <t>Mangatarem District Hospital</t>
  </si>
  <si>
    <t>sweetsellveras1@gmail.com</t>
  </si>
  <si>
    <t>‐ Cleaned Cartridge Bays, Plunger Rods and I-CORE
‐ Performed XpertCheck 
‐ Generated Reports</t>
  </si>
  <si>
    <t>https://www.jotform.com/uploads/macarewecare/222927978372067/6482583928819255280/6482583928819255280_signature_28.png</t>
  </si>
  <si>
    <t>Kimberly C. Soriano</t>
  </si>
  <si>
    <t>https://www.jotform.com/uploads/macarewecare/222927978372067/6482583928819255280/6482583928819255280_signature_31.png</t>
  </si>
  <si>
    <t xml:space="preserve">ASSAY: Xpert MTB/RIF Ultra, COUNT: 4255
ASSAY: Xpert SARS-CoV-2, COUNT: 819
ASSAY: Xpert HIV-1 Viral Load, COUNT: 536
ASSAY: Xpress SARS-CoV-2_Flu_RSV plus, COUNT: 6
</t>
  </si>
  <si>
    <t>GX-XVI 16D</t>
  </si>
  <si>
    <t>For Preventive Maintenance
LCD Monitor Problem</t>
  </si>
  <si>
    <t>Clean Surface Area, Cartridge Bay, Plunger Rod, Fan Filters and Icore Lenses
Generate IQR, Assay Stat and System Log
Archived Data test results
Reset cable connection of the Monitor, isolate the problem by changing the display cable</t>
  </si>
  <si>
    <t>Perform Preventive Maintenance and LCD Monitor Troubleshooting</t>
  </si>
  <si>
    <t>Monitor LCD problem documented and sent to higher ups for further assessment</t>
  </si>
  <si>
    <t>https://www.jotform.com/uploads/macarewecare/222927978372067/6482500925165226526/6482500925165226526_signature_28.png</t>
  </si>
  <si>
    <t>https://www.jotform.com/uploads/macarewecare/222927978372067/6482500925165226526/6482500925165226526_signature_31.png</t>
  </si>
  <si>
    <t>Antipolo City Health Office</t>
  </si>
  <si>
    <t>M. Santos St. Antipolo, Rizal</t>
  </si>
  <si>
    <t>acho.laboratory@gmail.com</t>
  </si>
  <si>
    <t xml:space="preserve">ASSAY: Xpert HIV-1 Viral Load, COUNT: 202
ASSAY: Xpert MTB/RIF Ultra, COUNT: 61
ASSAY: Xpert MTB-XDR, COUNT: 187
ASSAY: Xpert HIV-1 Viral Load, COUNT: 669
</t>
  </si>
  <si>
    <t>https://www.jotform.com/uploads/macarewecare/222927978372067/6482484803615542450/6482484803615542450_signature_28.png</t>
  </si>
  <si>
    <t>Christine Suarez</t>
  </si>
  <si>
    <t>https://www.jotform.com/uploads/macarewecare/222927978372067/6482484803615542450/6482484803615542450_signature_31.png</t>
  </si>
  <si>
    <t>E. Rodriguez St. Tondo Manila</t>
  </si>
  <si>
    <t>Unit for preventive maintenance.
Unit for module replacement.</t>
  </si>
  <si>
    <t>New module 210043557, Def module 761520</t>
  </si>
  <si>
    <t>https://www.jotform.com/uploads/macarewecare/222927978372067/6482482563615699959/6482482563615699959_signature_28.png</t>
  </si>
  <si>
    <t>https://www.jotform.com/uploads/macarewecare/222927978372067/6482482563615699959/6482482563615699959_signature_31.png</t>
  </si>
  <si>
    <t>Masbong Health Center</t>
  </si>
  <si>
    <t>Masambong, Quezon City</t>
  </si>
  <si>
    <t>Unit for preventive maintenance.
Unit for Xpertcheck.</t>
  </si>
  <si>
    <t>Preventive maintenance and Xpertcheck.</t>
  </si>
  <si>
    <t>Performed Preventive Maintenance.
-Cleaned and disinfect plunger
-Cleaned and disinfect cartridge bay
-Cleaned and disinfect instrument surface
-Cleaned icore sensors
-Cleaned filter fan
-Archived test results
Performed Xpertcheck.
Generated reports.</t>
  </si>
  <si>
    <t>Unit is operational. Modules 1, 3 and 4 service required.</t>
  </si>
  <si>
    <t>https://www.jotform.com/uploads/macarewecare/222927978372067/6482481733611936285/6482481733611936285_signature_28.png</t>
  </si>
  <si>
    <t>https://www.jotform.com/uploads/macarewecare/222927978372067/6482481733611936285/6482481733611936285_signature_31.png</t>
  </si>
  <si>
    <t>Caloocan City Health Office</t>
  </si>
  <si>
    <t>Sangandaan, Caloocan City</t>
  </si>
  <si>
    <t>caloocancentrallaboratory@gmail.com</t>
  </si>
  <si>
    <t>Unit for preventive maintenance.
For module replacement of module A2 (210000207).</t>
  </si>
  <si>
    <t>New module A2 (210026094)</t>
  </si>
  <si>
    <t>https://www.jotform.com/uploads/macarewecare/222927978372067/6482481423618161884/6482481423618161884_signature_28.png</t>
  </si>
  <si>
    <t>Anna Alcantara</t>
  </si>
  <si>
    <t>https://www.jotform.com/uploads/macarewecare/222927978372067/6482481423618161884/6482481423618161884_signature_31.png</t>
  </si>
  <si>
    <t>SHELL FOUNDATION</t>
  </si>
  <si>
    <t>nimezsheilamarie@gmail.com</t>
  </si>
  <si>
    <t xml:space="preserve">ASSAY: Xpert HIV-1 Viral Load, COUNT: 1316
ASSAY: Xpert SARS-CoV-2, COUNT: 5
</t>
  </si>
  <si>
    <t>For Preventive Maintenance and Module Replacement</t>
  </si>
  <si>
    <t>Replaced the Defective Module SN: 220011059 with new Module SN: 721010
Replaced the Defective Module SN: 220011388 with New Module SN: 721596
Clean Surface Area, Cartridge Bay, Plunger Rod, Fan Filters and Icore Lenses
Generate IQR, Assay Stat and System Log</t>
  </si>
  <si>
    <t>All Modules are Operational</t>
  </si>
  <si>
    <t>https://www.jotform.com/uploads/macarewecare/222927978372067/6482461695167002860/6482461695167002860_signature_28.png</t>
  </si>
  <si>
    <t>Sheila Nimez,. RMT</t>
  </si>
  <si>
    <t>https://www.jotform.com/uploads/macarewecare/222927978372067/6482461695167002860/6482461695167002860_signature_31.png</t>
  </si>
  <si>
    <t>Quezon City Jail</t>
  </si>
  <si>
    <t>Payatas Rd. QC</t>
  </si>
  <si>
    <t>carleecruz0@gmail.com</t>
  </si>
  <si>
    <t xml:space="preserve">ASSAY: Xpert MTB/RIF Ultra, COUNT: 2156
</t>
  </si>
  <si>
    <t>Performed xpertcheck
Cleaned unit
Cleaned plunger rod,filter,icore,cartridge bay
Gathered reports
Test run unit</t>
  </si>
  <si>
    <t>A1 666882 ,A3 661626 failed xc
A2,A4 passed xc</t>
  </si>
  <si>
    <t>https://www.jotform.com/uploads/macarewecare/222927978372067/6482446323615506637/6482446323615506637_signature_28.png</t>
  </si>
  <si>
    <t>Carlee Mae L Cruz</t>
  </si>
  <si>
    <t>https://www.jotform.com/uploads/macarewecare/222927978372067/6482446323615506637/6482446323615506637_signature_31.png</t>
  </si>
  <si>
    <t>Payatas B Health Center</t>
  </si>
  <si>
    <t>Bulacan st.,Payatas QC</t>
  </si>
  <si>
    <t>racquelmrocero@gmail.com</t>
  </si>
  <si>
    <t xml:space="preserve">ASSAY: Xpert MTB/RIF Ultra, COUNT: 1904
ASSAY: Xpert MTB/RIF Ultra, COUNT: 1904
</t>
  </si>
  <si>
    <t>Due for Xpertcheck and maintenance</t>
  </si>
  <si>
    <t>Performed Xpertcheck and maintenance</t>
  </si>
  <si>
    <t>All module passed in xpertcheck</t>
  </si>
  <si>
    <t>https://www.jotform.com/uploads/macarewecare/222927978372067/6482443843617613375/6482443843617613375_signature_28.png</t>
  </si>
  <si>
    <t>Racquel M. Rocero</t>
  </si>
  <si>
    <t>https://www.jotform.com/uploads/macarewecare/222927978372067/6482443843617613375/6482443843617613375_signature_31.png</t>
  </si>
  <si>
    <t>eamcmolecularlab@gmail.com</t>
  </si>
  <si>
    <t xml:space="preserve">ASSAY: Xpert CT/NG, COUNT: 1113
ASSAY: Xpert HBV VL, COUNT: 167
ASSAY: Xpert HPV, COUNT: 55
ASSAY: Xpert SARS-CoV-2, COUNT: 447
ASSAY: Xpert SARS-CoV-2, COUNT: 129
ASSAY: Xpert HIV-1 Viral Load, COUNT: 17
ASSAY: Xpress SARS-CoV-2_Flu_RSV plus, COUNT: 620
</t>
  </si>
  <si>
    <t>https://www.jotform.com/uploads/macarewecare/222927978372067/6482443153618926783/6482443153618926783_signature_28.png</t>
  </si>
  <si>
    <t>https://www.jotform.com/uploads/macarewecare/222927978372067/6482443153618926783/6482443153618926783_signature_31.png</t>
  </si>
  <si>
    <t>Casimiro Ynares Sr .Memorial Hospital</t>
  </si>
  <si>
    <t>Becco St.Rodriguez Rizal</t>
  </si>
  <si>
    <t>Booting problem of workstation HP Z240 2UA8471W3L</t>
  </si>
  <si>
    <t>Checked and reset hdd cable
Replaced bios battery
Checked bios set up and configuration
Restart multiple time but error still occur
Cleaned memory slot and swap in onter slot.</t>
  </si>
  <si>
    <t>Unoperational</t>
  </si>
  <si>
    <t>https://www.jotform.com/uploads/macarewecare/222927978372067/6482441993616670593/6482441993616670593_signature_28.png</t>
  </si>
  <si>
    <t>Aileen A. Docto</t>
  </si>
  <si>
    <t>https://www.jotform.com/uploads/macarewecare/222927978372067/6482441993616670593/6482441993616670593_signature_31.png</t>
  </si>
  <si>
    <t>Liloan RHU</t>
  </si>
  <si>
    <t>Replace fan filter
Gather data IQR, system log</t>
  </si>
  <si>
    <t>https://www.jotform.com/uploads/macarewecare/222927978372067/6482435390129065439/6482435390129065439_signature_28.png</t>
  </si>
  <si>
    <t>Vick Cabahug</t>
  </si>
  <si>
    <t>https://www.jotform.com/uploads/macarewecare/222927978372067/6482435390129065439/6482435390129065439_signature_31.png</t>
  </si>
  <si>
    <t>Roxas City Health Office</t>
  </si>
  <si>
    <t>Roxas City, Capiz</t>
  </si>
  <si>
    <t>ruby_camacho@ymail.com</t>
  </si>
  <si>
    <t xml:space="preserve">ASSAY: Xpert HIV-1 Viral Load, COUNT: 17
ASSAY: Xpert MTB/RIF Ultra, COUNT: 511
ASSAY: Xpert MTB-XDR, COUNT: 3
</t>
  </si>
  <si>
    <t>https://www.jotform.com/uploads/macarewecare/222927978372067/6481148083812235802/6481148083812235802_signature_28.png</t>
  </si>
  <si>
    <t>Ruby Lut</t>
  </si>
  <si>
    <t>https://www.jotform.com/uploads/macarewecare/222927978372067/6481148083812235802/6481148083812235802_signature_31.png</t>
  </si>
  <si>
    <t>Unit is operational 
B1: 698746 Passed
B2: 761029 Failed 
B3: 758206 Passed
B4: 601578 Passed</t>
  </si>
  <si>
    <t>https://www.jotform.com/uploads/macarewecare/222927978372067/6479969538322815689/6479969538322815689_signature_28.png</t>
  </si>
  <si>
    <t>https://www.jotform.com/uploads/macarewecare/222927978372067/6479969538322815689/6479969538322815689_signature_31.png</t>
  </si>
  <si>
    <t>Printer cannot operate due to errors in loading printer driver.</t>
  </si>
  <si>
    <t>Clean up printer and conduct preventive maintenance.
Install new printer updated driver
Generate IQR, System Log, and Gxx files.
Test Print</t>
  </si>
  <si>
    <t>Units is operational including printer.</t>
  </si>
  <si>
    <t>OSMENA BLVD. CAPITOL SITE CEBU CITY</t>
  </si>
  <si>
    <t>https://www.jotform.com/uploads/macarewecare/222927978372067/6479913625898742860/6479913625898742860_signature_28.png</t>
  </si>
  <si>
    <t>https://www.jotform.com/uploads/macarewecare/222927978372067/6479913625898742860/6479913625898742860_signature_31.png</t>
  </si>
  <si>
    <t>Manila Doctors Hospital</t>
  </si>
  <si>
    <t>United Nations Avenue, Ermita, Manila</t>
  </si>
  <si>
    <t>Molecular Pathology Laboratory</t>
  </si>
  <si>
    <t>engineering@macare-medicals.com</t>
  </si>
  <si>
    <t>mjrivera@maniladoctors.com.ph</t>
  </si>
  <si>
    <t>rfbuentiempo@maniladoctors.com.ph</t>
  </si>
  <si>
    <t xml:space="preserve">ASSAY: Xpert MTB/RIF Ultra, COUNT: 1254
ASSAY: Xpert CT/NG, COUNT: 57
ASSAY: Xpert HBV VL, COUNT: 97
ASSAY: Xpert HIV-1 Viral Load, COUNT: 14
ASSAY: Xpert HPV, COUNT: 33
ASSAY: Xpert HCV VL, COUNT: 18
</t>
  </si>
  <si>
    <t>GX4 - 10C</t>
  </si>
  <si>
    <t>Unit is due for Maintenance</t>
  </si>
  <si>
    <t>Preventive Maintenance</t>
  </si>
  <si>
    <t>Cleaned Cartridge Bay, Plunger Rod and Icore Optics
Checked filter if clogged
Performed self-test
Generate reports</t>
  </si>
  <si>
    <t>Fan Filter for replacement</t>
  </si>
  <si>
    <t>https://www.jotform.com/uploads/macarewecare/222927978372067/6479859931711544404/6479859931711544404_signature_28.png</t>
  </si>
  <si>
    <t>Alexa Beatrice Martinez</t>
  </si>
  <si>
    <t>https://www.jotform.com/uploads/macarewecare/222927978372067/6479859931711544404/6479859931711544404_signature_31.png</t>
  </si>
  <si>
    <t xml:space="preserve">ASSAY: Xpert HIV-1 Viral Load, COUNT: 24
ASSAY: Xpert MTB/RIF Ultra, COUNT: 1444
ASSAY: Xpert HIV-1 Viral Load, COUNT: 79
</t>
  </si>
  <si>
    <t>Performed maintenance 
Cleaned:
-Cartridge bay 
-Plunger rod 
-Icore 
-filter
Run XpertCheck 
Generated reports</t>
  </si>
  <si>
    <t>Unit is operational. Module B4 service required.</t>
  </si>
  <si>
    <t>https://www.jotform.com/uploads/macarewecare/222927978372067/6479852343817033584/6479852343817033584_signature_28.png</t>
  </si>
  <si>
    <t>https://www.jotform.com/uploads/macarewecare/222927978372067/6479852343817033584/6479852343817033584_signature_31.png</t>
  </si>
  <si>
    <t>Bulacan Medical Center</t>
  </si>
  <si>
    <t>Malolos, Bulacan</t>
  </si>
  <si>
    <t>bmcrhivda@gmail.com</t>
  </si>
  <si>
    <t>Replaced filter
Performed XpertCheck</t>
  </si>
  <si>
    <t>Unit is operational
All modules passed</t>
  </si>
  <si>
    <t>https://www.jotform.com/uploads/macarewecare/222927978372067/6479840323127671327/6479840323127671327_signature_28.png</t>
  </si>
  <si>
    <t>Alyssa Ico</t>
  </si>
  <si>
    <t>https://www.jotform.com/uploads/macarewecare/222927978372067/6479840323127671327/6479840323127671327_signature_31.png</t>
  </si>
  <si>
    <t>Limay Bataan</t>
  </si>
  <si>
    <t>Due for calibration 
B1: valve error</t>
  </si>
  <si>
    <t>Preventive maintenance 
Xpertcheck 
Module B1 remove stuck cartridge</t>
  </si>
  <si>
    <t>Performed surface cleaning 
Performed cleaning of plunger rod, cartridge bay, icore and filter 
Archived test results 
Xpertcheck 
Performed functionality test 
Gathered reports</t>
  </si>
  <si>
    <t>Unit is not fully operational 
B1: 687261 Xpertcheck didn't go through Valve error
B2: 210021632 Failed
B3: 210100613 Failed
B4: 609681 Failed</t>
  </si>
  <si>
    <t>https://www.jotform.com/uploads/macarewecare/222927978372067/6479755302111196426/6479755302111196426_signature_28.png</t>
  </si>
  <si>
    <t>https://www.jotform.com/uploads/macarewecare/222927978372067/6479755302111196426/6479755302111196426_signature_31.png</t>
  </si>
  <si>
    <t>Zamboanga City Health Office</t>
  </si>
  <si>
    <t>Pettit Baracks, Zamboanga City</t>
  </si>
  <si>
    <t>floresteresitaj25@gmail.com</t>
  </si>
  <si>
    <t xml:space="preserve">ASSAY: Xpert MTB/RIF Ultra, COUNT: 1976
</t>
  </si>
  <si>
    <t>GX4 - 6C</t>
  </si>
  <si>
    <t>Module 1, 2,3 and 4 undergo xpertcheck calibration and passed. Preventive Maintenance and data collection.</t>
  </si>
  <si>
    <t>Xpertcheck calibration and Preventive Maintenence.</t>
  </si>
  <si>
    <t>All modules are available and ready to use</t>
  </si>
  <si>
    <t>https://www.jotform.com/uploads/macarewecare/222927978372067/6479748606412932274/6479748606412932274_signature_28.png</t>
  </si>
  <si>
    <t>Teresita Flores</t>
  </si>
  <si>
    <t>https://www.jotform.com/uploads/macarewecare/222927978372067/6479748606412932274/6479748606412932274_signature_31.png</t>
  </si>
  <si>
    <t>Sultan Kudarat Provincial Hospital</t>
  </si>
  <si>
    <t>Isulan,Sultan Kudarat</t>
  </si>
  <si>
    <t>CALIBRATION
MAINTENANCE
Xpertcheck</t>
  </si>
  <si>
    <t>hazyljoy_05@yahoo.com</t>
  </si>
  <si>
    <t xml:space="preserve">ASSAY: Xpert HIV-1 Viral Load, COUNT: 27
ASSAY: Xpert MTB/RIF Ultra, COUNT: 2184
ASSAY: Xpert MTB-XDR, COUNT: 46
</t>
  </si>
  <si>
    <t>Perform Genexpert machine annual Xpertcheck Calibration 
Perform Genexpert machine Preventive maintenance 
Checking of modules status and errors 
Data reporting</t>
  </si>
  <si>
    <t>PM Done as per checklist document #D20843
Xpertcheck Done as per Document # 301-1896 rev. D</t>
  </si>
  <si>
    <t>4 operational modules 
Xpertcheck Results:
Module B1,B2 and B4 -PASSED
Module B3 - Requiring Service</t>
  </si>
  <si>
    <t>Xpertcheck cartridge CE-5</t>
  </si>
  <si>
    <t>https://www.jotform.com/uploads/macarewecare/222927978372067/6479745796719792821/6479745796719792821_signature_28.png</t>
  </si>
  <si>
    <t>Hazyl Joy Balindua</t>
  </si>
  <si>
    <t>https://www.jotform.com/uploads/macarewecare/222927978372067/6479745796719792821/6479745796719792821_signature_31.png</t>
  </si>
  <si>
    <t xml:space="preserve">ASSAY: Xpert HIV-1 Viral Load, COUNT: 84
ASSAY: Xpert MTB/RIF Ultra, COUNT: 9947
ASSAY: Xpert HIV-1 Viral Load, COUNT: 442
</t>
  </si>
  <si>
    <t>GX-XVI-D-6C</t>
  </si>
  <si>
    <t>Performed maintenance 
Cleaned:
-Cartridge bay 
-Plunger rod 
-Icore 
-Filter
Generated reports</t>
  </si>
  <si>
    <t>Unit is operational. Modules B2, C2, C4, D1 not operational. For reporting.</t>
  </si>
  <si>
    <t>https://www.jotform.com/uploads/macarewecare/222927978372067/6479726616342396098/6479726616342396098_signature_28.png</t>
  </si>
  <si>
    <t>https://www.jotform.com/uploads/macarewecare/222927978372067/6479726616342396098/6479726616342396098_signature_31.png</t>
  </si>
  <si>
    <t>Performed maintenance 
Cleaned:
-Cartridge bay
-Plunger rod 
-Icore 
-Filter 
Run XpertCheck 
Generated reports 
Return the GeneXpert to the box</t>
  </si>
  <si>
    <t>https://www.jotform.com/uploads/macarewecare/222927978372067/6479726616348246694/6479726616348246694_signature_28.png</t>
  </si>
  <si>
    <t>https://www.jotform.com/uploads/macarewecare/222927978372067/6479726616348246694/6479726616348246694_signature_31.png</t>
  </si>
  <si>
    <t>https://www.jotform.com/uploads/macarewecare/222927978372067/6479722366341697837/6479722366341697837_signature_28.png</t>
  </si>
  <si>
    <t>https://www.jotform.com/uploads/macarewecare/222927978372067/6479722366341697837/6479722366341697837_signature_31.png</t>
  </si>
  <si>
    <t>https://www.jotform.com/uploads/macarewecare/222927978372067/6479722366349555384/6479722366349555384_signature_28.png</t>
  </si>
  <si>
    <t>https://www.jotform.com/uploads/macarewecare/222927978372067/6479722366349555384/6479722366349555384_signature_31.png</t>
  </si>
  <si>
    <t xml:space="preserve">ASSAY: Xpert MTB/RIF Ultra, COUNT: 1283
ASSAY: Xpert MTB-XDR, COUNT: 46
ASSAY: Xpert HIV-1 Viral Load, COUNT: 28
</t>
  </si>
  <si>
    <t>Due for XPC</t>
  </si>
  <si>
    <t>Perform Genexpert Cleaning and maintenance 
Module cleaning 
Plunger rod and Optics cleaning 
Fan and filter cleaning 
Data collection</t>
  </si>
  <si>
    <t>3 operational modules
Module 1 for troubleshooting due to temperature error</t>
  </si>
  <si>
    <t>https://www.jotform.com/uploads/macarewecare/222927978372067/6479700766711450930/6479700766711450930_signature_28.png</t>
  </si>
  <si>
    <t>https://www.jotform.com/uploads/macarewecare/222927978372067/6479700766711450930/6479700766711450930_signature_31.png</t>
  </si>
  <si>
    <t>Tulunan Rural Health Unit</t>
  </si>
  <si>
    <t>Poblacion Tulunan, North Cotabato</t>
  </si>
  <si>
    <t>MAINTENANCE
Xpertcheck</t>
  </si>
  <si>
    <t>marshalawrenceangeles@gmail.com</t>
  </si>
  <si>
    <t xml:space="preserve">ASSAY: Xpert MTB/RIF Ultra, COUNT: 493
</t>
  </si>
  <si>
    <t>Perform annual Xpertcheck 
Perform Genexpert maintenance and cleaning 
Checking of modules status and errors
Plunger rod and Optics cleaning 
Fan and filter cleaning 
Data collection</t>
  </si>
  <si>
    <t>4 operational modules 
Xpertcheck result 
Module B1 - requiring for Service 
Module B2,B3 and B4 - Passed</t>
  </si>
  <si>
    <t>Xpertcheck CE-5 cartridge</t>
  </si>
  <si>
    <t>https://www.jotform.com/uploads/macarewecare/222927978372067/6479700766714996664/6479700766714996664_signature_28.png</t>
  </si>
  <si>
    <t>Marsha Lawrence Porras-Angeles</t>
  </si>
  <si>
    <t>https://www.jotform.com/uploads/macarewecare/222927978372067/6479700766714996664/6479700766714996664_signature_31.png</t>
  </si>
  <si>
    <t>Workstation for further troubleshooting</t>
  </si>
  <si>
    <t>Replaced bios battery</t>
  </si>
  <si>
    <t>Unit is not operational
For follow up report</t>
  </si>
  <si>
    <t>https://www.jotform.com/uploads/macarewecare/222927978372067/6478972910804981511/6478972910804981511_signature_28.png</t>
  </si>
  <si>
    <t>Joana Manelle Dayrit</t>
  </si>
  <si>
    <t>https://www.jotform.com/uploads/macarewecare/222927978372067/6478972910804981511/6478972910804981511_signature_31.png</t>
  </si>
  <si>
    <t>Poblacion South Ramos, Tarlac</t>
  </si>
  <si>
    <t>B4: 631022 for module replacement 
Due For calibration</t>
  </si>
  <si>
    <t>Preventive maintenance 
Xpertcheck 
Repair/ module replacement</t>
  </si>
  <si>
    <t>Performed surface cleaning 
Performed module replacement 
Performed cleaning of plunger rod, cartridge bay, icore and filter 
Archived test results 
Xpertcheck 
Performed functionality test 
Gathered reports</t>
  </si>
  <si>
    <t>Unit is operational 
B1:7575544 Passed
B2: 757555 Failed 
B3: 766472 Passed
B4: 745405 Newly replaced module
Defective SN:631022</t>
  </si>
  <si>
    <t>https://www.jotform.com/uploads/macarewecare/222927978372067/6478963275794462651/6478963275794462651_signature_28.png</t>
  </si>
  <si>
    <t>https://www.jotform.com/uploads/macarewecare/222927978372067/6478963275794462651/6478963275794462651_signature_31.png</t>
  </si>
  <si>
    <t>Mauban Rural Health Unit</t>
  </si>
  <si>
    <t>Mauban, Quezon</t>
  </si>
  <si>
    <t>rhumauban.laboratory@gmail.com</t>
  </si>
  <si>
    <t xml:space="preserve">ASSAY: Xpert MTB/RIF Ultra, COUNT: 875
</t>
  </si>
  <si>
    <t>Unit is operational. Module B3/674744 not operational due to error 4017.</t>
  </si>
  <si>
    <t>https://www.jotform.com/uploads/macarewecare/222927978372067/6478949133416317277/6478949133416317277_signature_28.png</t>
  </si>
  <si>
    <t>Rhandy Buraga</t>
  </si>
  <si>
    <t>https://www.jotform.com/uploads/macarewecare/222927978372067/6478949133416317277/6478949133416317277_signature_31.png</t>
  </si>
  <si>
    <t xml:space="preserve">ASSAY: Xpert HPV, COUNT: 7
ASSAY: Xpert MTB/RIF Ultra, COUNT: 699
ASSAY: Xpert MTB-XDR, COUNT: 13
</t>
  </si>
  <si>
    <t>Performed maintenance 
Cleaned:
-Cartridge bay 
-Plunger rod
-Icore 
-Filter 
Run XpertCheck 
Generated reports</t>
  </si>
  <si>
    <t>Unit is operational.  Module B3/210077858 service required</t>
  </si>
  <si>
    <t>https://www.jotform.com/uploads/macarewecare/222927978372067/6478947023415562546/6478947023415562546_signature_28.png</t>
  </si>
  <si>
    <t>https://www.jotform.com/uploads/macarewecare/222927978372067/6478947023415562546/6478947023415562546_signature_31.png</t>
  </si>
  <si>
    <t>Meycauayan City Health Unit VII</t>
  </si>
  <si>
    <t>Meycauayan, Bulacan</t>
  </si>
  <si>
    <t>ronamarieiris_25@yahoo.com</t>
  </si>
  <si>
    <t>Performed XpertCheck
Replaced filter</t>
  </si>
  <si>
    <t>Unit is operational
All modules passed calibration</t>
  </si>
  <si>
    <t>https://www.jotform.com/uploads/macarewecare/222927978372067/6478915032707243798/6478915032707243798_signature_28.png</t>
  </si>
  <si>
    <t>Rona Iris De Leon</t>
  </si>
  <si>
    <t>https://www.jotform.com/uploads/macarewecare/222927978372067/6478915032707243798/6478915032707243798_signature_31.png</t>
  </si>
  <si>
    <t>Toledo City Health Office</t>
  </si>
  <si>
    <t>Poblacion Toledo City</t>
  </si>
  <si>
    <t>tchcl6038@gmail.com</t>
  </si>
  <si>
    <t>GX IV 6C</t>
  </si>
  <si>
    <t>Module B4 Always booting.</t>
  </si>
  <si>
    <t>Save File's system log , installation qualifications report.</t>
  </si>
  <si>
    <t>Module B4 transfer to Module B3 is functional but the of the ultrasonic horn are twisting.</t>
  </si>
  <si>
    <t>Module B4 for observation only.</t>
  </si>
  <si>
    <t>https://www.jotform.com/uploads/macarewecare/222927978372067/6478859260323605739/6478859260323605739_signature_28.png</t>
  </si>
  <si>
    <t>Mary June Elemino</t>
  </si>
  <si>
    <t>https://www.jotform.com/uploads/macarewecare/222927978372067/6478859260323605739/6478859260323605739_signature_31.png</t>
  </si>
  <si>
    <t>Hinabangan Rural Health Unit</t>
  </si>
  <si>
    <t>Hinabangan Samar</t>
  </si>
  <si>
    <t>Johnpaullabutap@gmail.cok</t>
  </si>
  <si>
    <t>nabloruth58@gmail.com</t>
  </si>
  <si>
    <t xml:space="preserve">ASSAY: Xpert MTB/RIF Ultra, COUNT: 275
</t>
  </si>
  <si>
    <t>GXIV - 2 SITES</t>
  </si>
  <si>
    <t>Modules not detected on Genexpert App</t>
  </si>
  <si>
    <t>Unit is now operational</t>
  </si>
  <si>
    <t>https://www.jotform.com/uploads/macarewecare/222927978372067/6478849975226862545/6478849975226862545_signature_28.png</t>
  </si>
  <si>
    <t>Ruth C Nablo</t>
  </si>
  <si>
    <t>https://www.jotform.com/uploads/macarewecare/222927978372067/6478849975226862545/6478849975226862545_signature_31.png</t>
  </si>
  <si>
    <t>Mandaue City</t>
  </si>
  <si>
    <t>mendozarey42@gmail.com</t>
  </si>
  <si>
    <t>Stucked up cartridge in module 4
Clean Fan Filter</t>
  </si>
  <si>
    <t>Remove Stucked up cartridge in module 4
Clean Fan Filter
Clean module 4 bay</t>
  </si>
  <si>
    <t>https://www.jotform.com/uploads/macarewecare/222927978372067/6478849405556629093/6478849405556629093_signature_28.png</t>
  </si>
  <si>
    <t>REY C. MENDOZA</t>
  </si>
  <si>
    <t>https://www.jotform.com/uploads/macarewecare/222927978372067/6478849405556629093/6478849405556629093_signature_31.png</t>
  </si>
  <si>
    <t>San Leonardo Super Health Center</t>
  </si>
  <si>
    <t>San Bartolome San Leonardo Nueva Ecija</t>
  </si>
  <si>
    <t>rhu1sanleonardo@gmail.com</t>
  </si>
  <si>
    <t xml:space="preserve">ASSAY: Xpert MTB/RIF Ultra, COUNT: 462
</t>
  </si>
  <si>
    <t>Due for Maintenance
Due for Calibration</t>
  </si>
  <si>
    <t>Performed Xpertcheck
(Module B1 and B4 = Passed)
(Mdoule B2(904939) and B3(904942) = Failed)</t>
  </si>
  <si>
    <t>https://www.jotform.com/uploads/macarewecare/222927978372067/6478835798228760650/6478835798228760650_signature_28.png</t>
  </si>
  <si>
    <t>Ligaya Domingo</t>
  </si>
  <si>
    <t>https://www.jotform.com/uploads/macarewecare/222927978372067/6478835798228760650/6478835798228760650_signature_31.png</t>
  </si>
  <si>
    <t>Cuyapo Rural Health Unit</t>
  </si>
  <si>
    <t>Cuyapo Nueva Ecija</t>
  </si>
  <si>
    <t>jolenerodico09171998@gmail.com</t>
  </si>
  <si>
    <t>Unit is operational 
A1: 757044 PASSED
A2: 682096 PASSED
A3: 682096 PASSED
A4: 884790 PASSED/ 1 Retry</t>
  </si>
  <si>
    <t>https://www.jotform.com/uploads/macarewecare/222927978372067/6478825414012792375/6478825414012792375_signature_28.png</t>
  </si>
  <si>
    <t>Jolene Rodico</t>
  </si>
  <si>
    <t>https://www.jotform.com/uploads/macarewecare/222927978372067/6478825414012792375/6478825414012792375_signature_31.png</t>
  </si>
  <si>
    <t>Agdao District Health Center</t>
  </si>
  <si>
    <t>Agdao, Davao City</t>
  </si>
  <si>
    <t>agdao.lab@gmail.com</t>
  </si>
  <si>
    <t xml:space="preserve">ASSAY: Xpert MTB/RIF Ultra, COUNT: 873
</t>
  </si>
  <si>
    <t>For Module Replacement and Preventive Maintenance</t>
  </si>
  <si>
    <t>Clean Surface Area, Cartridge Bay, Plunger Rod, Fan Filters and Icore Lenses
Generate IQR, Assay Stat and System Log
Archived Data test results
Replaced the Defective Module SN:910215 with new Module SN 870986</t>
  </si>
  <si>
    <t>https://www.jotform.com/uploads/macarewecare/222927978372067/6478786153914531922/6478786153914531922_signature_28.png</t>
  </si>
  <si>
    <t>Princess Joy R. Aquino</t>
  </si>
  <si>
    <t>https://www.jotform.com/uploads/macarewecare/222927978372067/6478786153914531922/6478786153914531922_signature_31.png</t>
  </si>
  <si>
    <t>De La Salle Health Sciences Institute</t>
  </si>
  <si>
    <t>Congressional Ave, Dasmariñas, Cavite</t>
  </si>
  <si>
    <t>lmmasangcay@my.dlshsi.edu.ph</t>
  </si>
  <si>
    <t xml:space="preserve">ASSAY: Xpert MTB/RIF Ultra, COUNT: 911
</t>
  </si>
  <si>
    <t>GX16-D-6C</t>
  </si>
  <si>
    <t>All Modules are Operational.</t>
  </si>
  <si>
    <t>https://www.jotform.com/uploads/macarewecare/222927978372067/6478377150415423564/6478377150415423564_signature_28.png</t>
  </si>
  <si>
    <t>Leonedy M. Masangcay</t>
  </si>
  <si>
    <t>https://www.jotform.com/uploads/macarewecare/222927978372067/6478377150415423564/6478377150415423564_signature_31.png</t>
  </si>
  <si>
    <t>Congressional Ave., Dasmariñas, Cavite</t>
  </si>
  <si>
    <t>lmrodil@dlsmhsi.edu.ph</t>
  </si>
  <si>
    <t xml:space="preserve">ASSAY: Xpert MTB/RIF Ultra, COUNT: 1367
</t>
  </si>
  <si>
    <t>Module 3 With 5007 Error.</t>
  </si>
  <si>
    <t>Cleaned Cartridge Bay, Plunger Rod and Icore Optics. 
Performed Self-test.
Generate Reports.</t>
  </si>
  <si>
    <t>B1, B2 and B4 are Operational.
B3 for Further Observation after Icore Cleaning.</t>
  </si>
  <si>
    <t>https://www.jotform.com/uploads/macarewecare/222927978372067/6478377150417634800/6478377150417634800_signature_28.png</t>
  </si>
  <si>
    <t>Leigh Danica M. Rodil</t>
  </si>
  <si>
    <t>https://www.jotform.com/uploads/macarewecare/222927978372067/6478377150417634800/6478377150417634800_signature_31.png</t>
  </si>
  <si>
    <t xml:space="preserve">ASSAY: Xpert MTB/RIF Ultra, COUNT: 204
</t>
  </si>
  <si>
    <t>Module 4 with Booting Problem.</t>
  </si>
  <si>
    <t>Troubleshooting.
Preventive Maintenance</t>
  </si>
  <si>
    <t>Reset Gateway Board.
Swap Modules to Isolate Problem.
Performed Self-test.
Cleaned Cartridge Bay, Plunger Rod and Icore Optics.
Replaced Filter.
Generate Reports.</t>
  </si>
  <si>
    <t>B4 Booting Problem Resolved.
All Modules are Operational.</t>
  </si>
  <si>
    <t>https://www.jotform.com/uploads/macarewecare/222927978372067/6478377150419952417/6478377150419952417_signature_28.png</t>
  </si>
  <si>
    <t>Leigh Danica Rodil</t>
  </si>
  <si>
    <t>https://www.jotform.com/uploads/macarewecare/222927978372067/6478377150419952417/6478377150419952417_signature_31.png</t>
  </si>
  <si>
    <t>West Bajac-Bajac Olongapo City Health Office</t>
  </si>
  <si>
    <t>Preventative maintenance 
Xpertcheck</t>
  </si>
  <si>
    <t>Unit is operational 
D1: 629603 PASSED
D2: 617387 FAILED/ 1 retry 
D3:672030 PASSED
D4: 210053177 PASSED</t>
  </si>
  <si>
    <t>https://www.jotform.com/uploads/macarewecare/222927978372067/6478146214627012664/6478146214627012664_signature_28.png</t>
  </si>
  <si>
    <t>https://www.jotform.com/uploads/macarewecare/222927978372067/6478146214627012664/6478146214627012664_signature_31.png</t>
  </si>
  <si>
    <t>University of The East Ramon Magsaysay Memorial Medical Center</t>
  </si>
  <si>
    <t>biomed@uerm.edu.ph</t>
  </si>
  <si>
    <t>Unit for calibration
Unit for maintenance</t>
  </si>
  <si>
    <t>Unit is operational
B1: Passed
B2: Service Required
B3: Service Required 
B4: Service Required
Modules B2, B3, B4 are recommended for replacement</t>
  </si>
  <si>
    <t>XpertCheck Kit 
Lot: 1001480606</t>
  </si>
  <si>
    <t>https://www.jotform.com/uploads/macarewecare/222927978372067/6478136728325130754/6478136728325130754_signature_28.png</t>
  </si>
  <si>
    <t>Osang Comendador</t>
  </si>
  <si>
    <t>https://www.jotform.com/uploads/macarewecare/222927978372067/6478136728325130754/6478136728325130754_signature_31.png</t>
  </si>
  <si>
    <t>West Bajac-Bajac Olongapo City Zambales</t>
  </si>
  <si>
    <t>GXIV-D 10C</t>
  </si>
  <si>
    <t>Performed surface cleaning 
Performed cleaning of plunger rod, cartridge bay, icore and filter 
Archived test results
Performed Xpertcheck 
Performed functionality test 
Gathered reports</t>
  </si>
  <si>
    <t>Unit is operational 
B1: 220013803 FAILED/ 1 retry 
B2: 220013798 PASSED
B3: 220013768 PASSED
B4: 220013766 PASSED/ 1 retry</t>
  </si>
  <si>
    <t>https://www.jotform.com/uploads/macarewecare/222927978372067/6478112614625213759/6478112614625213759_signature_28.png</t>
  </si>
  <si>
    <t>https://www.jotform.com/uploads/macarewecare/222927978372067/6478112614625213759/6478112614625213759_signature_31.png</t>
  </si>
  <si>
    <t xml:space="preserve">ASSAY: Xpert MTB/RIF Ultra, COUNT: 627
</t>
  </si>
  <si>
    <t>Performed maintenance 
Cleaned:
-Cartridge bay 
-Plunger rod 
-icore 
-Filter 
Run XpertCheck 
Generated reports</t>
  </si>
  <si>
    <t>https://www.jotform.com/uploads/macarewecare/222927978372067/6478093272813435095/6478093272813435095_signature_28.png</t>
  </si>
  <si>
    <t>https://www.jotform.com/uploads/macarewecare/222927978372067/6478093272813435095/6478093272813435095_signature_31.png</t>
  </si>
  <si>
    <t>Lantawan Rural Health Unit</t>
  </si>
  <si>
    <t>Lantawan, Basilan</t>
  </si>
  <si>
    <t>Basilan</t>
  </si>
  <si>
    <t>abdurrauflakibulsagala@gmail.com</t>
  </si>
  <si>
    <t xml:space="preserve">ASSAY: Xpert MTB/RIF Ultra, COUNT: 570
</t>
  </si>
  <si>
    <t>Module stucked cartridge and hardware failed.</t>
  </si>
  <si>
    <t>Preventive Maintenence, troubleshoot module 3, Swapped location at module 4, error carried over by the module at new location error, confirming module related issue.</t>
  </si>
  <si>
    <t>Preventive Maintenence and removed stucked cartridge in module 3. Troubleshoot module 3 error 4008.</t>
  </si>
  <si>
    <t>Module 1, 2 and 4 is available and ready to use. While module 2 is on observation.</t>
  </si>
  <si>
    <t>Module 3 sn (631762) is for replacement.</t>
  </si>
  <si>
    <t>https://www.jotform.com/uploads/macarewecare/222927978372067/6478052796911452866/6478052796911452866_signature_28.png</t>
  </si>
  <si>
    <t>Abdurrauf Sagala</t>
  </si>
  <si>
    <t>https://www.jotform.com/uploads/macarewecare/222927978372067/6478052796911452866/6478052796911452866_signature_31.png</t>
  </si>
  <si>
    <t>Guagua Rural Health Unit</t>
  </si>
  <si>
    <t>Cerville Subd. Guagua Pampanga</t>
  </si>
  <si>
    <t>abigailgsula@gmail.com</t>
  </si>
  <si>
    <t>Unit is operational 
A1: 210001116 Passed
A2: 720724 Passed
A3: 739422 Passed
A4: 210008371</t>
  </si>
  <si>
    <t>https://www.jotform.com/uploads/macarewecare/222927978372067/6478004274624096597/6478004274624096597_signature_28.png</t>
  </si>
  <si>
    <t>Abigail G. Sula</t>
  </si>
  <si>
    <t>https://www.jotform.com/uploads/macarewecare/222927978372067/6478004274624096597/6478004274624096597_signature_31.png</t>
  </si>
  <si>
    <t>Carles Primary Care Facility</t>
  </si>
  <si>
    <t>Carles, Iloilo</t>
  </si>
  <si>
    <t>vangieyuro3@gmail.com</t>
  </si>
  <si>
    <t>Module B2 and B3 failed XPC</t>
  </si>
  <si>
    <t>-Replace defective module B2/210122299 with SN: 643939 
-Replace defective module B3/21012296 with SN: 892742</t>
  </si>
  <si>
    <t>Machine is fuctional.</t>
  </si>
  <si>
    <t>Certified pre-owned GeneXpert 10-Color Module SN. 643939 and SN. 892742</t>
  </si>
  <si>
    <t>DR no. 13736</t>
  </si>
  <si>
    <t>https://www.jotform.com/uploads/macarewecare/222927978372067/6477941365616576480/6477941365616576480_signature_28.png</t>
  </si>
  <si>
    <t>Gilda Marcelo</t>
  </si>
  <si>
    <t>https://www.jotform.com/uploads/macarewecare/222927978372067/6477941365616576480/6477941365616576480_signature_31.png</t>
  </si>
  <si>
    <t>Angeles Rural Health Unit 3</t>
  </si>
  <si>
    <t>Fajardo St. Lourdes Sur, Angeles City Pampanga</t>
  </si>
  <si>
    <t>femiepangilinan@yahoo.com</t>
  </si>
  <si>
    <t>Unit is operational 
B1: 210004953 PASSED
B2: 670856 PASSED
B3: 647576 For reporting Temperature error
B4:875099 PASSED</t>
  </si>
  <si>
    <t>B3: 647576 For reporting Temperature error</t>
  </si>
  <si>
    <t>https://www.jotform.com/uploads/macarewecare/222927978372067/6477909575123939925/6477909575123939925_signature_28.png</t>
  </si>
  <si>
    <t>Femie Pangilinan</t>
  </si>
  <si>
    <t>https://www.jotform.com/uploads/macarewecare/222927978372067/6477909575123939925/6477909575123939925_signature_31.png</t>
  </si>
  <si>
    <t>ILOILO PROVINCIAL HOSPITAL</t>
  </si>
  <si>
    <t>POTOTAN, ILOILO</t>
  </si>
  <si>
    <t>MAINTENANCE
Transfer</t>
  </si>
  <si>
    <t>ipg.molab@gmail.com</t>
  </si>
  <si>
    <t xml:space="preserve">ASSAY: Xpert MTB/RIF Ultra, COUNT: 1628
ASSAY: Xpert HIV-1 Viral Load, COUNT: 22
</t>
  </si>
  <si>
    <t>https://www.jotform.com/uploads/macarewecare/222927978372067/6477898595899511020/6477898595899511020_signature_28.png</t>
  </si>
  <si>
    <t>Vannessa Bianca Principe, RMT</t>
  </si>
  <si>
    <t>https://www.jotform.com/uploads/macarewecare/222927978372067/6477898595899511020/6477898595899511020_signature_31.png</t>
  </si>
  <si>
    <t>Unit is Partially Operational 
Module A1 is disabled</t>
  </si>
  <si>
    <t>https://www.jotform.com/uploads/macarewecare/222927978372067/6477254220113227126/6477254220113227126_signature_28.png</t>
  </si>
  <si>
    <t>Annabelle Catbagan</t>
  </si>
  <si>
    <t>https://www.jotform.com/uploads/macarewecare/222927978372067/6477254220113227126/6477254220113227126_signature_31.png</t>
  </si>
  <si>
    <t xml:space="preserve">ASSAY: Xpert MTB/RIF Ultra, COUNT: 582
ASSAY: Xpert MTB-XDR, COUNT: 24
</t>
  </si>
  <si>
    <t>Unit is operational. Module B4 under observation due to erro 2005.</t>
  </si>
  <si>
    <t>https://www.jotform.com/uploads/macarewecare/222927978372067/6477253622452328164/6477253622452328164_signature_28.png</t>
  </si>
  <si>
    <t>https://www.jotform.com/uploads/macarewecare/222927978372067/6477253622452328164/6477253622452328164_signature_31.png</t>
  </si>
  <si>
    <t xml:space="preserve">ASSAY: Xpert MTB/RIF Ultra, COUNT: 814
</t>
  </si>
  <si>
    <t>https://www.jotform.com/uploads/macarewecare/222927978372067/6477253622457451179/6477253622457451179_signature_28.png</t>
  </si>
  <si>
    <t>https://www.jotform.com/uploads/macarewecare/222927978372067/6477253622457451179/6477253622457451179_signature_31.png</t>
  </si>
  <si>
    <t>https://www.jotform.com/uploads/macarewecare/222927978372067/6477253622457813283/6477253622457813283_signature_28.png</t>
  </si>
  <si>
    <t>https://www.jotform.com/uploads/macarewecare/222927978372067/6477253622457813283/6477253622457813283_signature_31.png</t>
  </si>
  <si>
    <t xml:space="preserve">ASSAY: Xpert MTB/RIF Ultra, COUNT: 1564
</t>
  </si>
  <si>
    <t>For XpertCheck 
No boot device found</t>
  </si>
  <si>
    <t>Run XpertCheck 
Troubleshoot CPU</t>
  </si>
  <si>
    <t>Replaced BIOS battery
Change boot order and settings
Performed maintenance 
Cleaned:
-Cartridge bay 
-plunger rod 
-icore 
-filter 
Generated reports 
Run XpertCheck</t>
  </si>
  <si>
    <t>Unit is operational. Modules 1,3 and 4 passed. Module 2 not calibrated due to it cannot be detected.</t>
  </si>
  <si>
    <t>https://www.jotform.com/uploads/macarewecare/222927978372067/6477253622458421446/6477253622458421446_signature_28.png</t>
  </si>
  <si>
    <t>https://www.jotform.com/uploads/macarewecare/222927978372067/6477253622458421446/6477253622458421446_signature_31.png</t>
  </si>
  <si>
    <t xml:space="preserve">ASSAY: Xpert MTB/RIF Ultra, COUNT: 843
ASSAY: Xpert MTB-XDR, COUNT: 3
</t>
  </si>
  <si>
    <t>Unit os operational.  All modules operational.</t>
  </si>
  <si>
    <t>https://www.jotform.com/uploads/macarewecare/222927978372067/6477253622459996888/6477253622459996888_signature_28.png</t>
  </si>
  <si>
    <t>https://www.jotform.com/uploads/macarewecare/222927978372067/6477253622459996888/6477253622459996888_signature_31.png</t>
  </si>
  <si>
    <t>Bagac Rural Health Unit</t>
  </si>
  <si>
    <t>Bagac Bataan</t>
  </si>
  <si>
    <t>jonathanricalde_17@yahoo.com.ph</t>
  </si>
  <si>
    <t>GXII-D</t>
  </si>
  <si>
    <t>Unit is operational 
B1: 788614 Passed
B2: 788615 Passed</t>
  </si>
  <si>
    <t>https://www.jotform.com/uploads/macarewecare/222927978372067/6477233062715313443/6477233062715313443_signature_28.png</t>
  </si>
  <si>
    <t>Jonathan Ricalde</t>
  </si>
  <si>
    <t>https://www.jotform.com/uploads/macarewecare/222927978372067/6477233062715313443/6477233062715313443_signature_31.png</t>
  </si>
  <si>
    <t>CEBU DOCTORS UNIVERSITY HOSPITAL</t>
  </si>
  <si>
    <t>cduhbloodbank2@gmail.com</t>
  </si>
  <si>
    <t>14F014</t>
  </si>
  <si>
    <t>Damage rubber of centrifuge cover.</t>
  </si>
  <si>
    <t>Replacement of new cover of centrifuge.</t>
  </si>
  <si>
    <t>https://www.jotform.com/uploads/macarewecare/222927978372067/6477216855892092385/6477216855892092385_signature_28.png</t>
  </si>
  <si>
    <t>Cebu Doctors Hospital University Bloodbank</t>
  </si>
  <si>
    <t>https://www.jotform.com/uploads/macarewecare/222927978372067/6477216855892092385/6477216855892092385_signature_31.png</t>
  </si>
  <si>
    <t>Badian Rural Health Center( Primary Health Care)</t>
  </si>
  <si>
    <t>Poblacion, Badian Cebu</t>
  </si>
  <si>
    <t>avenzr@gmail.com</t>
  </si>
  <si>
    <t xml:space="preserve">ASSAY: Xpert MTB/RIF Ultra, COUNT: 1500
</t>
  </si>
  <si>
    <t>Due for Calibration of GeneXpert machine.</t>
  </si>
  <si>
    <t>Perform calibration in Module 1, 3 and 4. 
Performed preventive maintenance, clean up Icore, ultrasonic horn, filter and fan.
Generate data IQR, System log, and Gxx files.</t>
  </si>
  <si>
    <t>All modules passed Module 1, 2 and 3 except Module 2 service required.</t>
  </si>
  <si>
    <t>https://www.jotform.com/uploads/macarewecare/222927978372067/6477214805899475044/6477214805899475044_signature_28.png</t>
  </si>
  <si>
    <t>Avenizer Absin</t>
  </si>
  <si>
    <t>https://www.jotform.com/uploads/macarewecare/222927978372067/6477214805899475044/6477214805899475044_signature_31.png</t>
  </si>
  <si>
    <t>GX4 6 colors</t>
  </si>
  <si>
    <t>Defective Gateway Board
Defective Module</t>
  </si>
  <si>
    <t>Replaced Module SN: 610218 with SN: 866080
Replaced Gateway Board
Preventive Maintenance</t>
  </si>
  <si>
    <t>https://www.jotform.com/uploads/macarewecare/222927978372067/6477201983442391712/6477201983442391712_signature_28.png</t>
  </si>
  <si>
    <t>https://www.jotform.com/uploads/macarewecare/222927978372067/6477201983442391712/6477201983442391712_signature_31.png</t>
  </si>
  <si>
    <t>South Road Property - Cebu</t>
  </si>
  <si>
    <t>Due Date for Xpertcheck Calibration
Gather data IQR, System log
Calibration Data</t>
  </si>
  <si>
    <t>Xpertcheck Calibration
Module 2 passed
Module 1,3 &amp;4 Service Require</t>
  </si>
  <si>
    <t>https://www.jotform.com/uploads/macarewecare/222927978372067/6477197652324924881/6477197652324924881_signature_28.png</t>
  </si>
  <si>
    <t>https://www.jotform.com/uploads/macarewecare/222927978372067/6477197652324924881/6477197652324924881_signature_31.png</t>
  </si>
  <si>
    <t>https://www.jotform.com/uploads/macarewecare/222927978372067/6477197442224319525/6477197442224319525_signature_28.png</t>
  </si>
  <si>
    <t>https://www.jotform.com/uploads/macarewecare/222927978372067/6477197442224319525/6477197442224319525_signature_31.png</t>
  </si>
  <si>
    <t>Cebu City Jail Male Dorm</t>
  </si>
  <si>
    <t>Upper Kalunasan</t>
  </si>
  <si>
    <t>Defective modules B3: 912371
                                B4: 21012208</t>
  </si>
  <si>
    <t>New module Installed: B3-805754 and B4-865164
Gather data IQR,System log
Clean Fan and Fan Filter</t>
  </si>
  <si>
    <t>https://www.jotform.com/uploads/macarewecare/222927978372067/6477194822516322180/6477194822516322180_signature_28.png</t>
  </si>
  <si>
    <t>https://www.jotform.com/uploads/macarewecare/222927978372067/6477194822516322180/6477194822516322180_signature_31.png</t>
  </si>
  <si>
    <t>Zamboanga city Health office</t>
  </si>
  <si>
    <t>Pettit Baracks, Zamboanga city</t>
  </si>
  <si>
    <t xml:space="preserve">ASSAY: Xpert MTB/RIF Ultra, COUNT: 1961
ASSAY: Xpert MTB/RIF Ultra, COUNT: 1961
</t>
  </si>
  <si>
    <t>Preventive Maintenence, Site inspection and checked module and room temperatures.</t>
  </si>
  <si>
    <t>All modules are available and ready to use.</t>
  </si>
  <si>
    <t>https://www.jotform.com/uploads/macarewecare/222927978372067/6477150248716676277/6477150248716676277_signature_28.png</t>
  </si>
  <si>
    <t>https://www.jotform.com/uploads/macarewecare/222927978372067/6477150248716676277/6477150248716676277_signature_31.png</t>
  </si>
  <si>
    <t>Samal Bataan</t>
  </si>
  <si>
    <t>Unit is operational 
A1:674018 PASSED
A2:757532 PASSED
A3:757533 PASSED
A4:784697 Failed/ 1 retry</t>
  </si>
  <si>
    <t>https://www.jotform.com/uploads/macarewecare/222927978372067/6477073849617569261/6477073849617569261_signature_28.png</t>
  </si>
  <si>
    <t>https://www.jotform.com/uploads/macarewecare/222927978372067/6477073849617569261/6477073849617569261_signature_31.png</t>
  </si>
  <si>
    <t>Lambayong Rural Health Unit</t>
  </si>
  <si>
    <t>Lambayong, Sultan Kudarat</t>
  </si>
  <si>
    <t>jeanalonzo73@gmail.com</t>
  </si>
  <si>
    <t xml:space="preserve">ASSAY: Xpert MTB/RIF Ultra, COUNT: 952
</t>
  </si>
  <si>
    <t>Module B1 SN: 749488 defective module</t>
  </si>
  <si>
    <t>Replaced defective module B1 SN:749488 with new module SN:875091
Perform Genexpert maintenance and cleaning 
Module cleaning 
Fan and filter cleaning 
Plunger rod and Optics cleaning 
Checking of modules status and errors 
Data collection</t>
  </si>
  <si>
    <t>Genexpert 6-color module SN:875091</t>
  </si>
  <si>
    <t>https://www.jotform.com/uploads/macarewecare/222927978372067/6476548737323184603/6476548737323184603_signature_28.png</t>
  </si>
  <si>
    <t>Jean Alonzo</t>
  </si>
  <si>
    <t>https://www.jotform.com/uploads/macarewecare/222927978372067/6476548737323184603/6476548737323184603_signature_31.png</t>
  </si>
  <si>
    <t>Tboli Rural Health Unit</t>
  </si>
  <si>
    <t>Tboli, South Cotabato</t>
  </si>
  <si>
    <t>tbolirhulab@gmail.com</t>
  </si>
  <si>
    <t xml:space="preserve">ASSAY: Xpert MTB/RIF Ultra, COUNT: 763
</t>
  </si>
  <si>
    <t>Module B3 requiring service</t>
  </si>
  <si>
    <t>Replace defective B3 SN:696323 with new module SN:872017
Perform Genexpert Cleaning and maintenance 
Module cleaning 
Fan and filter cleaning 
Plunger rod and Optics cleaning 
Data collection</t>
  </si>
  <si>
    <t>Genexpert machine Preventive maintenance 
Genexpert machine module repair</t>
  </si>
  <si>
    <t>Genexpert 6 color module SN:872017</t>
  </si>
  <si>
    <t>https://www.jotform.com/uploads/macarewecare/222927978372067/6476548737324519135/6476548737324519135_signature_28.png</t>
  </si>
  <si>
    <t>Judessa San Juan</t>
  </si>
  <si>
    <t>https://www.jotform.com/uploads/macarewecare/222927978372067/6476548737324519135/6476548737324519135_signature_31.png</t>
  </si>
  <si>
    <t>Philippine Tuberculosis Society, Inc. - Roxas City</t>
  </si>
  <si>
    <t>pinkmansiontreatmenthub@gmail.com</t>
  </si>
  <si>
    <t>-Installed New GeneXpert Unit with SN: 120007067</t>
  </si>
  <si>
    <t>DR no. 13679</t>
  </si>
  <si>
    <t>https://www.jotform.com/uploads/macarewecare/222927978372067/6476470597263444562/6476470597263444562_signature_28.png</t>
  </si>
  <si>
    <t>Michael Alajada</t>
  </si>
  <si>
    <t>https://www.jotform.com/uploads/macarewecare/222927978372067/6476470597263444562/6476470597263444562_signature_31.png</t>
  </si>
  <si>
    <t>https://www.jotform.com/uploads/macarewecare/222927978372067/6476463387817881258/6476463387817881258_signature_28.png</t>
  </si>
  <si>
    <t>https://www.jotform.com/uploads/macarewecare/222927978372067/6476463387817881258/6476463387817881258_signature_31.png</t>
  </si>
  <si>
    <t>https://www.jotform.com/uploads/macarewecare/222927978372067/6476463367818975582/6476463367818975582_signature_28.png</t>
  </si>
  <si>
    <t>https://www.jotform.com/uploads/macarewecare/222927978372067/6476463367818975582/6476463367818975582_signature_31.png</t>
  </si>
  <si>
    <t>Sen. Gerardo M. Roxas Memorial District Hospital</t>
  </si>
  <si>
    <t>Dao, Capiz</t>
  </si>
  <si>
    <t>bermendirowena@gmail.com</t>
  </si>
  <si>
    <t xml:space="preserve">ASSAY: Xpert MTB/RIF Ultra, COUNT: 1474
</t>
  </si>
  <si>
    <t>Module 4 failed XPC</t>
  </si>
  <si>
    <t>Machine is function. Module B4 for replacement</t>
  </si>
  <si>
    <t>https://www.jotform.com/uploads/macarewecare/222927978372067/6476323517268696367/6476323517268696367_signature_28.png</t>
  </si>
  <si>
    <t>Rowena L. Bermendi</t>
  </si>
  <si>
    <t>https://www.jotform.com/uploads/macarewecare/222927978372067/6476323517268696367/6476323517268696367_signature_31.png</t>
  </si>
  <si>
    <t>Unit is for Preventive Maintenance</t>
  </si>
  <si>
    <t>https://www.jotform.com/uploads/macarewecare/222927978372067/6476250387703332373/6476250387703332373_signature_28.png</t>
  </si>
  <si>
    <t>https://www.jotform.com/uploads/macarewecare/222927978372067/6476250387703332373/6476250387703332373_signature_31.png</t>
  </si>
  <si>
    <t>16K520SPG</t>
  </si>
  <si>
    <t>Protocol caed not compatible</t>
  </si>
  <si>
    <t>Cleaned Unit
Cleaned surface of manifold sensor
Cleaned valve, rotor pump, centrifuge 
Checked parameter</t>
  </si>
  <si>
    <t>Performed Preventive Maintenance 
Performed Troubleshooting</t>
  </si>
  <si>
    <t>Unit is operational
Unit is for observation</t>
  </si>
  <si>
    <t>https://www.jotform.com/uploads/macarewecare/222927978372067/6476250057702122416/6476250057702122416_signature_28.png</t>
  </si>
  <si>
    <t>https://www.jotform.com/uploads/macarewecare/222927978372067/6476250057702122416/6476250057702122416_signature_31.png</t>
  </si>
  <si>
    <t>Tayasan Rural Health Unit</t>
  </si>
  <si>
    <t>Tayasan, Negros Oriental</t>
  </si>
  <si>
    <t>porshcabz151@yahoo.com</t>
  </si>
  <si>
    <t xml:space="preserve">ASSAY: Xpert MTB/RIF Ultra, COUNT: 556
</t>
  </si>
  <si>
    <t>Modules 210122342/B1 and 210122340/B4 failed recent Xpertcheck.</t>
  </si>
  <si>
    <t>Replaced B1 and B4 with new modules with SN 747039 and 800797 respectively.</t>
  </si>
  <si>
    <t>4 modules operational.</t>
  </si>
  <si>
    <t>Genexpert modules 6-colors</t>
  </si>
  <si>
    <t>DR 13737</t>
  </si>
  <si>
    <t>https://www.jotform.com/uploads/macarewecare/222927978372067/6476229143817288453/6476229143817288453_signature_28.png</t>
  </si>
  <si>
    <t>Portia Cabanting</t>
  </si>
  <si>
    <t>https://www.jotform.com/uploads/macarewecare/222927978372067/6476229143817288453/6476229143817288453_signature_31.png</t>
  </si>
  <si>
    <t>Karangalan Dr., Cainta, Rizal</t>
  </si>
  <si>
    <t xml:space="preserve">ASSAY: Xpert HIV-1 Viral Load, COUNT: 24
ASSAY: Xpert MTB/RIF Ultra, COUNT: 1107
ASSAY: Others, COUNT: 148
</t>
  </si>
  <si>
    <t>Performed maintenance 
Cleaned:
-cartridge bay 
-Plunger rod 
-Icore 
-Filter 
Generated reports</t>
  </si>
  <si>
    <t>https://www.jotform.com/uploads/macarewecare/222927978372067/6476186373616634938/6476186373616634938_signature_28.png</t>
  </si>
  <si>
    <t>https://www.jotform.com/uploads/macarewecare/222927978372067/6476186373616634938/6476186373616634938_signature_31.png</t>
  </si>
  <si>
    <t xml:space="preserve">ASSAY: Xpert MTB/RIF Ultra, COUNT: 881
</t>
  </si>
  <si>
    <t>Unit is operational. Module B3 has error 2008 and 2005. Under observation.</t>
  </si>
  <si>
    <t>https://www.jotform.com/uploads/macarewecare/222927978372067/6476186273617229493/6476186273617229493_signature_28.png</t>
  </si>
  <si>
    <t>https://www.jotform.com/uploads/macarewecare/222927978372067/6476186273617229493/6476186273617229493_signature_31.png</t>
  </si>
  <si>
    <t xml:space="preserve">ASSAY: Xpert HIV-1 Viral Load, COUNT: 137
ASSAY: Xpert MTB/RIF Ultra, COUNT: 945
ASSAY: Others, COUNT: 20
</t>
  </si>
  <si>
    <t>Unit is operational. Module B3 has error 1001 2014. Under observation.</t>
  </si>
  <si>
    <t>https://www.jotform.com/uploads/macarewecare/222927978372067/6476186143613100022/6476186143613100022_signature_28.png</t>
  </si>
  <si>
    <t>Richard A. Ballester</t>
  </si>
  <si>
    <t>https://www.jotform.com/uploads/macarewecare/222927978372067/6476186143613100022/6476186143613100022_signature_31.png</t>
  </si>
  <si>
    <t>Jala-Jala Rural Health Unit</t>
  </si>
  <si>
    <t>Jala-Jala Municipal Compound, Jala-Jala, Rizal</t>
  </si>
  <si>
    <t>jjrhu@yahoo.com</t>
  </si>
  <si>
    <t xml:space="preserve">ASSAY: Xpert MTB/RIF Ultra, COUNT: 318
</t>
  </si>
  <si>
    <t>Performed maintenance
Cleaned:
-Cartridge bay 
-Plunger rod
-Icore 
-Filter
Run XpertCheck 
Generated reports</t>
  </si>
  <si>
    <t>https://www.jotform.com/uploads/macarewecare/222927978372067/6476185963617608023/6476185963617608023_signature_28.png</t>
  </si>
  <si>
    <t>Loisita Libertad</t>
  </si>
  <si>
    <t>https://www.jotform.com/uploads/macarewecare/222927978372067/6476185963617608023/6476185963617608023_signature_31.png</t>
  </si>
  <si>
    <t>rosbenildatamayo@gmail.com</t>
  </si>
  <si>
    <t xml:space="preserve">ASSAY: Xpert MTB/RIF Ultra, COUNT: 1192
</t>
  </si>
  <si>
    <t>Performed maintenance 
Cleaned:
-Cartridge bay 
-Plunger rod
-Icore
-Filter
Generated reports</t>
  </si>
  <si>
    <t>https://www.jotform.com/uploads/macarewecare/222927978372067/6476185813618925219/6476185813618925219_signature_28.png</t>
  </si>
  <si>
    <t>Rosbenilda Tamayo</t>
  </si>
  <si>
    <t>https://www.jotform.com/uploads/macarewecare/222927978372067/6476185813618925219/6476185813618925219_signature_31.png</t>
  </si>
  <si>
    <t>Eusebio, Pasig City</t>
  </si>
  <si>
    <t>pcghlaboratory@gmail.com</t>
  </si>
  <si>
    <t>Black screen on cursor only ate displayed in the monitor</t>
  </si>
  <si>
    <t>Checked connections
Reseat cables and components
Tried startup repair</t>
  </si>
  <si>
    <t>Unit is not operational. Possible corrupted operating system.</t>
  </si>
  <si>
    <t>https://www.jotform.com/uploads/macarewecare/222927978372067/6476185513614848780/6476185513614848780_signature_28.png</t>
  </si>
  <si>
    <t>Anne Patricia L. Lipana</t>
  </si>
  <si>
    <t>https://www.jotform.com/uploads/macarewecare/222927978372067/6476185513614848780/6476185513614848780_signature_31.png</t>
  </si>
  <si>
    <t>Ospital ng Lungsod ng San Jose Del Monte</t>
  </si>
  <si>
    <t>San Jose Del Monte, Bulacan</t>
  </si>
  <si>
    <t>olsjdmrtdlgenexpert@gmail.com</t>
  </si>
  <si>
    <t>Unit is operational
B1: passed
B2: passed
B3: passed
B4: passed</t>
  </si>
  <si>
    <t>https://www.jotform.com/uploads/macarewecare/222927978372067/6473857606324909461/6473857606324909461_signature_28.png</t>
  </si>
  <si>
    <t>Mary Ann Celestino</t>
  </si>
  <si>
    <t>https://www.jotform.com/uploads/macarewecare/222927978372067/6473857606324909461/6473857606324909461_signature_31.png</t>
  </si>
  <si>
    <t>PRC Benguet</t>
  </si>
  <si>
    <t>lykabagano@yahoo.com</t>
  </si>
  <si>
    <t>benguet@redcross.org.ph</t>
  </si>
  <si>
    <t>17H363SPG</t>
  </si>
  <si>
    <t>Pump problem during UPP procedure.</t>
  </si>
  <si>
    <t>Performed troubleshooting.
Performed function trst.</t>
  </si>
  <si>
    <t>Checked and clean the pump rotors..
Performed functuonality.
Performed simulation run.</t>
  </si>
  <si>
    <t>https://www.jotform.com/uploads/macarewecare/222927978372067/6473840789614646291/6473840789614646291_signature_28.png</t>
  </si>
  <si>
    <t>LYKAINE KATE D. BAGANO</t>
  </si>
  <si>
    <t>https://www.jotform.com/uploads/macarewecare/222927978372067/6473840789614646291/6473840789614646291_signature_31.png</t>
  </si>
  <si>
    <t>Makati City NTP Office (From West Rembo Health Center</t>
  </si>
  <si>
    <t>Morong St, Makati City</t>
  </si>
  <si>
    <t>NTP officr</t>
  </si>
  <si>
    <t>Check up</t>
  </si>
  <si>
    <t>For check-up</t>
  </si>
  <si>
    <t>Checked system functionality</t>
  </si>
  <si>
    <t>Check system functionality
Checked CPU 
Reseat internal connections
Performed hard drive check</t>
  </si>
  <si>
    <t>CPU is cannot boot to Windows. Drained CMOS battery. Possible hard drive failure. Unit is not operational.</t>
  </si>
  <si>
    <t>https://www.jotform.com/uploads/macarewecare/222927978372067/6473834862565811666/6473834862565811666_signature_28.png</t>
  </si>
  <si>
    <t>Eduardo O. Sepe</t>
  </si>
  <si>
    <t>https://www.jotform.com/uploads/macarewecare/222927978372067/6473834862565811666/6473834862565811666_signature_31.png</t>
  </si>
  <si>
    <t>Makati City NTP Office (From East Rembo Health Center)</t>
  </si>
  <si>
    <t>NTP Office</t>
  </si>
  <si>
    <t>Checked GeneXpert system</t>
  </si>
  <si>
    <t>Check GeneXpert system 
Performed maintenance</t>
  </si>
  <si>
    <t>Unit is operational. CMOS battery for replacement. The rear stand of GeneXpert is damaged/cut. UPS is not operational.</t>
  </si>
  <si>
    <t>https://www.jotform.com/uploads/macarewecare/222927978372067/6473834082561263576/6473834082561263576_signature_28.png</t>
  </si>
  <si>
    <t>https://www.jotform.com/uploads/macarewecare/222927978372067/6473834082561263576/6473834082561263576_signature_31.png</t>
  </si>
  <si>
    <t>Bangkal Health Center</t>
  </si>
  <si>
    <t>Rodriguez Ave, Bangkal, Makati City</t>
  </si>
  <si>
    <t>mhdbangkalsatlab@gmail.com</t>
  </si>
  <si>
    <t xml:space="preserve">ASSAY: Xpert MTB/RIF Ultra, COUNT: 4546
ASSAY: Xpert MTB-XDR, COUNT: 43
</t>
  </si>
  <si>
    <t>Performed maintenance 
Cleaned:
-Cartridge bay 
-Plunger rod 
-Icore
-Filter
Run XpertCheck 
Generated reports</t>
  </si>
  <si>
    <t>https://www.jotform.com/uploads/macarewecare/222927978372067/6473804547492172918/6473804547492172918_signature_28.png</t>
  </si>
  <si>
    <t>Danica R. Adolfo</t>
  </si>
  <si>
    <t>https://www.jotform.com/uploads/macarewecare/222927978372067/6473804547492172918/6473804547492172918_signature_31.png</t>
  </si>
  <si>
    <t>https://www.jotform.com/uploads/macarewecare/222927978372067/6473804547499284808/6473804547499284808_signature_28.png</t>
  </si>
  <si>
    <t>Danica Adolfo</t>
  </si>
  <si>
    <t>https://www.jotform.com/uploads/macarewecare/222927978372067/6473804547499284808/6473804547499284808_signature_31.png</t>
  </si>
  <si>
    <t>Bulakan Rural Health Unit</t>
  </si>
  <si>
    <t>Bulakan, Bulacan</t>
  </si>
  <si>
    <t>ventanilla_amiefaith@yahoo.com</t>
  </si>
  <si>
    <t>Unit is operational
A1: 
A2: 
A3: 
A4:</t>
  </si>
  <si>
    <t>https://www.jotform.com/uploads/macarewecare/222927978372067/6473772254221120320/6473772254221120320_signature_28.png</t>
  </si>
  <si>
    <t>Amie Faith Bautista</t>
  </si>
  <si>
    <t>https://www.jotform.com/uploads/macarewecare/222927978372067/6473772254221120320/6473772254221120320_signature_31.png</t>
  </si>
  <si>
    <t>Boni Avenue,Mandaluyong</t>
  </si>
  <si>
    <t xml:space="preserve">ASSAY: Xpert MTB/RIF Ultra, COUNT: 619
</t>
  </si>
  <si>
    <t>Due for xpertcheck and maintenance
B3 and B4 hw failed</t>
  </si>
  <si>
    <t>Performed xpertcheck
Cleaned unit
Cleaned plunger rod,filter,icore,cartridge bay
Restart system
Gathered reports
Test run unit</t>
  </si>
  <si>
    <t>Performed xpertcheck 
Performed Maintenance</t>
  </si>
  <si>
    <t>All module failed in xpertcheck
B1 220000585
B2 220000750
B3 210035689
B4 210035694
For reporting</t>
  </si>
  <si>
    <t>Xpertcheck kits</t>
  </si>
  <si>
    <t>https://www.jotform.com/uploads/macarewecare/222927978372067/6473737910819704263/6473737910819704263_signature_28.png</t>
  </si>
  <si>
    <t>https://www.jotform.com/uploads/macarewecare/222927978372067/6473737910819704263/6473737910819704263_signature_31.png</t>
  </si>
  <si>
    <t>Boni Avenue Mandaluyong</t>
  </si>
  <si>
    <t xml:space="preserve">ASSAY: Xpert MTB/RIF Ultra, COUNT: 1000
</t>
  </si>
  <si>
    <t>Due for xpertcheck and maintenance
B3 hw failed error 1002</t>
  </si>
  <si>
    <t>Performed maintenance
Performed xpertcheck</t>
  </si>
  <si>
    <t>B1 220000619,B2 220000649 failed xpertcheck
B3 210035636 continous error 1002
B4 passed xpertcheck</t>
  </si>
  <si>
    <t>https://www.jotform.com/uploads/macarewecare/222927978372067/6473736400818282853/6473736400818282853_signature_28.png</t>
  </si>
  <si>
    <t>Chinlyn corpin</t>
  </si>
  <si>
    <t>https://www.jotform.com/uploads/macarewecare/222927978372067/6473736400818282853/6473736400818282853_signature_31.png</t>
  </si>
  <si>
    <t>Sta. Ana Hospital</t>
  </si>
  <si>
    <t>sahrhivdalab@gmail.com</t>
  </si>
  <si>
    <t>Perfomed XpertCheck
Replaced filter</t>
  </si>
  <si>
    <t>Unit is operational
C1: passed
C2: passed
C3: passed
C4: passed</t>
  </si>
  <si>
    <t>https://www.jotform.com/uploads/macarewecare/222927978372067/6472934854327192306/6472934854327192306_signature_28.png</t>
  </si>
  <si>
    <t>Bon Angelo Reyes</t>
  </si>
  <si>
    <t>https://www.jotform.com/uploads/macarewecare/222927978372067/6472934854327192306/6472934854327192306_signature_31.png</t>
  </si>
  <si>
    <t>leoomarvinreyesjacinto@gmail.com</t>
  </si>
  <si>
    <t>Unit is operational
C1: Service Required
C2: Retry
C3: Service Required
C4: Retry</t>
  </si>
  <si>
    <t>https://www.jotform.com/uploads/macarewecare/222927978372067/6472876114328330275/6472876114328330275_signature_28.png</t>
  </si>
  <si>
    <t>Leo Jacinto</t>
  </si>
  <si>
    <t>https://www.jotform.com/uploads/macarewecare/222927978372067/6472876114328330275/6472876114328330275_signature_31.png</t>
  </si>
  <si>
    <t>Unit for maintenance
Unit for calibration</t>
  </si>
  <si>
    <t>Unit is operational
B1: Passed
B2: Service Required
B3: Passed
B4: Passed</t>
  </si>
  <si>
    <t>https://www.jotform.com/uploads/macarewecare/222927978372067/6472874454327193618/6472874454327193618_signature_28.png</t>
  </si>
  <si>
    <t>Johanna Mae Ortiz</t>
  </si>
  <si>
    <t>https://www.jotform.com/uploads/macarewecare/222927978372067/6472874454327193618/6472874454327193618_signature_31.png</t>
  </si>
  <si>
    <t>Veterans Memorial Medical Center</t>
  </si>
  <si>
    <t>North avenue, Diliman. Quezon City</t>
  </si>
  <si>
    <t>Pathology - Molecular Laboratory</t>
  </si>
  <si>
    <t>ON-SITE ASSISTANCE
Perform Run Test (MTB/Rif Ultra) for compliance on VMMC inspectors</t>
  </si>
  <si>
    <t>ralphcayetanormt@gmail.com</t>
  </si>
  <si>
    <t>vmmc.moleclab@gmail.com</t>
  </si>
  <si>
    <t>GX-4</t>
  </si>
  <si>
    <t>120007530/120007529</t>
  </si>
  <si>
    <t>N/A ko</t>
  </si>
  <si>
    <t>Perform Run Test (MTB/Rif Ultra) for compliance on VMMC inspectors</t>
  </si>
  <si>
    <t>https://www.jotform.com/uploads/macarewecare/222927978372067/6472791785425859401/6472791785425859401_signature_28.png</t>
  </si>
  <si>
    <t>Cayetano, Ralph Joseph Pangilinan</t>
  </si>
  <si>
    <t>https://www.jotform.com/uploads/macarewecare/222927978372067/6472791785425859401/6472791785425859401_signature_31.png</t>
  </si>
  <si>
    <t>Metro Antipolo Hospital and Medical Center</t>
  </si>
  <si>
    <t>Marcos Highway, Antipolo, Rizal</t>
  </si>
  <si>
    <t>biomed@mahmc.com.ph</t>
  </si>
  <si>
    <t xml:space="preserve">ASSAY: Xpert HBV VL, COUNT: 16
ASSAY: Xpert HPV, COUNT: 1
ASSAY: Xpert MTB/RIF Ultra, COUNT: 182
ASSAY: Xpert HIV-1 Viral Load, COUNT: 26
</t>
  </si>
  <si>
    <t>Performed maintenance 
Cleaned:
-Cartridge bay 
-plunger rod 
-Icore 
-Filter 
Run XpertCheck 
Generated reports</t>
  </si>
  <si>
    <t>Unit is operational. Module B1 passed. Module B2, B3 and B4 skipped and retry, recommend to replace modules.</t>
  </si>
  <si>
    <t>Modules B2, B3 and B4 failed in XpertCheck last April 11, 2025.</t>
  </si>
  <si>
    <t>https://www.jotform.com/uploads/macarewecare/222927978372067/6472704921329118407/6472704921329118407_signature_28.png</t>
  </si>
  <si>
    <t>Gehru bedayos</t>
  </si>
  <si>
    <t>https://www.jotform.com/uploads/macarewecare/222927978372067/6472704921329118407/6472704921329118407_signature_31.png</t>
  </si>
  <si>
    <t>Philippine Heart Center</t>
  </si>
  <si>
    <t>avabichuela3216@gmail.com</t>
  </si>
  <si>
    <t xml:space="preserve">ASSAY: Xpert MTB/RIF Ultra, COUNT: 414
ASSAY: Others, COUNT: 1
ASSAY: Xpert SARS-CoV-2, COUNT: 86
ASSAY: Xpert SARS-CoV-2, COUNT: 7
ASSAY: Xpress SARS-CoV-2_Flu_RSV plus, COUNT: 2
ASSAY: Xpress SARS-CoV-2_Flu_RSV plus, COUNT: 11
</t>
  </si>
  <si>
    <t>GX16D 6C</t>
  </si>
  <si>
    <t>Due for maintenance
C2 encounter temp error 4009</t>
  </si>
  <si>
    <t>Cleaned unit
Cleaned plunger rod,filter,icore,cartridge bay
Restart system
Gathered reports
Test run unit</t>
  </si>
  <si>
    <t>C2 hw failed for reporting
B2,B3,C3 failed xc last nov 2025
8 modules in operational
4 modules disabled no xpertcheck perform.</t>
  </si>
  <si>
    <t>https://www.jotform.com/uploads/macarewecare/222927978372067/6472686003614329999/6472686003614329999_signature_28.png</t>
  </si>
  <si>
    <t>Riza Angelica Cacayan</t>
  </si>
  <si>
    <t>https://www.jotform.com/uploads/macarewecare/222927978372067/6472686003614329999/6472686003614329999_signature_31.png</t>
  </si>
  <si>
    <t>phc_bb@yahoo.com</t>
  </si>
  <si>
    <t>11H204</t>
  </si>
  <si>
    <t>No power, busted fuse</t>
  </si>
  <si>
    <t>Checked unit 
Checked voltage out ok 215 volts
Checked power cord continuity ok
Replaced fuse
Performed functionality test
Performed simulation running</t>
  </si>
  <si>
    <t>https://www.jotform.com/uploads/macarewecare/222927978372067/6472684453618177294/6472684453618177294_signature_28.png</t>
  </si>
  <si>
    <t>Josephine Montilla</t>
  </si>
  <si>
    <t>https://www.jotform.com/uploads/macarewecare/222927978372067/6472684453618177294/6472684453618177294_signature_31.png</t>
  </si>
  <si>
    <t>Hi-Precision Diagnostics</t>
  </si>
  <si>
    <t>D. Tuazon St., Quezon City</t>
  </si>
  <si>
    <t>jose@hi-precision.com.ph</t>
  </si>
  <si>
    <t>https://www.jotform.com/uploads/macarewecare/222927978372067/6472074299676141843/6472074299676141843_signature_28.png</t>
  </si>
  <si>
    <t>Andrei Mina</t>
  </si>
  <si>
    <t>https://www.jotform.com/uploads/macarewecare/222927978372067/6472074299676141843/6472074299676141843_signature_31.png</t>
  </si>
  <si>
    <t>D. Tuazon St. Quezon City</t>
  </si>
  <si>
    <t>https://www.jotform.com/uploads/macarewecare/222927978372067/6472073829679305433/6472073829679305433_signature_28.png</t>
  </si>
  <si>
    <t>https://www.jotform.com/uploads/macarewecare/222927978372067/6472073829679305433/6472073829679305433_signature_31.png</t>
  </si>
  <si>
    <t>Marilao Rural Health Unit</t>
  </si>
  <si>
    <t>Marilao, Bulacan</t>
  </si>
  <si>
    <t>jmjenilo27@gmail.com</t>
  </si>
  <si>
    <t>Unit is operational
A1: passed
A2: service required
A3: passed
A4: passed</t>
  </si>
  <si>
    <t>https://www.jotform.com/uploads/macarewecare/222927978372067/6472071158108119341/6472071158108119341_signature_28.png</t>
  </si>
  <si>
    <t>Christopher M. Dilag</t>
  </si>
  <si>
    <t>https://www.jotform.com/uploads/macarewecare/222927978372067/6472071158108119341/6472071158108119341_signature_31.png</t>
  </si>
  <si>
    <t>Philippine Red Cross</t>
  </si>
  <si>
    <t>Intramuros Manila</t>
  </si>
  <si>
    <t>dolly.banares@redcross.org</t>
  </si>
  <si>
    <t>16K521SPG</t>
  </si>
  <si>
    <t>https://www.jotform.com/uploads/macarewecare/222927978372067/6472040589672720634/6472040589672720634_signature_28.png</t>
  </si>
  <si>
    <t>Dolly Banares</t>
  </si>
  <si>
    <t>https://www.jotform.com/uploads/macarewecare/222927978372067/6472040589672720634/6472040589672720634_signature_31.png</t>
  </si>
  <si>
    <t>Atang dela Rama Health Center</t>
  </si>
  <si>
    <t>Gagalangin, Tondo Manila</t>
  </si>
  <si>
    <t>monskie_22@yahoo.com</t>
  </si>
  <si>
    <t>https://www.jotform.com/uploads/macarewecare/222927978372067/6472024639677134280/6472024639677134280_signature_28.png</t>
  </si>
  <si>
    <t>Lenie I. Malicdem</t>
  </si>
  <si>
    <t>https://www.jotform.com/uploads/macarewecare/222927978372067/6472024639677134280/6472024639677134280_signature_31.png</t>
  </si>
  <si>
    <t>For Installation of GeneXpert System</t>
  </si>
  <si>
    <t>Performed Installation of GeneXpert System</t>
  </si>
  <si>
    <t>GeneXpert System</t>
  </si>
  <si>
    <t>DR 13729</t>
  </si>
  <si>
    <t>https://www.jotform.com/uploads/macarewecare/222927978372067/6472023284028233455/6472023284028233455_signature_28.png</t>
  </si>
  <si>
    <t>Beverlee lapisac</t>
  </si>
  <si>
    <t>https://www.jotform.com/uploads/macarewecare/222927978372067/6472023284028233455/6472023284028233455_signature_31.png</t>
  </si>
  <si>
    <t>Umingan Community Hospital</t>
  </si>
  <si>
    <t>Umingan, Pangasinan</t>
  </si>
  <si>
    <t>seansimonpaloyo@gmail.com</t>
  </si>
  <si>
    <t>https://www.jotform.com/uploads/macarewecare/222927978372067/6472022104021213377/6472022104021213377_signature_28.png</t>
  </si>
  <si>
    <t>Manolo Paloyo</t>
  </si>
  <si>
    <t>https://www.jotform.com/uploads/macarewecare/222927978372067/6472022104021213377/6472022104021213377_signature_31.png</t>
  </si>
  <si>
    <t>Sta. Barbara Rural Health Unit</t>
  </si>
  <si>
    <t>Sta. Barbara, Pangasinan</t>
  </si>
  <si>
    <t>dianeruiz147@gmail.com</t>
  </si>
  <si>
    <t>https://www.jotform.com/uploads/macarewecare/222927978372067/6472017554026447623/6472017554026447623_signature_28.png</t>
  </si>
  <si>
    <t>Diane Joy Ruiz</t>
  </si>
  <si>
    <t>https://www.jotform.com/uploads/macarewecare/222927978372067/6472017554026447623/6472017554026447623_signature_31.png</t>
  </si>
  <si>
    <t>https://www.jotform.com/uploads/macarewecare/222927978372067/6472016414024557273/6472016414024557273_signature_28.png</t>
  </si>
  <si>
    <t>https://www.jotform.com/uploads/macarewecare/222927978372067/6472016414024557273/6472016414024557273_signature_31.png</t>
  </si>
  <si>
    <t>Marulas 3S Health Station</t>
  </si>
  <si>
    <t>melissamartin0828@gmail.com</t>
  </si>
  <si>
    <t>Unit is operational
A1: passed
A2: passed
A3: retry
A4: retry</t>
  </si>
  <si>
    <t>https://www.jotform.com/uploads/macarewecare/222927978372067/6471991028109782425/6471991028109782425_signature_28.png</t>
  </si>
  <si>
    <t>Melissa Martin</t>
  </si>
  <si>
    <t>https://www.jotform.com/uploads/macarewecare/222927978372067/6471991028109782425/6471991028109782425_signature_31.png</t>
  </si>
  <si>
    <t>Oriental Mindoro Provincial Hospital</t>
  </si>
  <si>
    <t>Oriental Mindoro</t>
  </si>
  <si>
    <t>omphlabsarscov2@gmail.com</t>
  </si>
  <si>
    <t>Unit for preventive maintenance
Unit for Xpertcheck.</t>
  </si>
  <si>
    <t>Preventive maintenance and xpertcheck.</t>
  </si>
  <si>
    <t>https://www.jotform.com/uploads/macarewecare/222927978372067/6471244359476485216/6471244359476485216_signature_28.png</t>
  </si>
  <si>
    <t>Morre Elmido</t>
  </si>
  <si>
    <t>https://www.jotform.com/uploads/macarewecare/222927978372067/6471244359476485216/6471244359476485216_signature_31.png</t>
  </si>
  <si>
    <t>Trece Martires City Health Office</t>
  </si>
  <si>
    <t>Governor's Drive, City Health Office Building, Brgy San Agustin, Trece Martires, Cavite</t>
  </si>
  <si>
    <t>loricavivian@yahoo.com</t>
  </si>
  <si>
    <t>Unit is due for Installation.</t>
  </si>
  <si>
    <t>Installation.</t>
  </si>
  <si>
    <t>Installed GeneXpert System.
Checked Functionality.
Generate Reports.</t>
  </si>
  <si>
    <t>All Modules are Good.
UPS and Printer are good.</t>
  </si>
  <si>
    <t>SI 101586</t>
  </si>
  <si>
    <t>https://www.jotform.com/uploads/macarewecare/222927978372067/6470402903611842103/6470402903611842103_signature_28.png</t>
  </si>
  <si>
    <t>Vivian D. Lorica</t>
  </si>
  <si>
    <t>https://www.jotform.com/uploads/macarewecare/222927978372067/6470402903611842103/6470402903611842103_signature_31.png</t>
  </si>
  <si>
    <t>jniebres@asianhospital.com</t>
  </si>
  <si>
    <t>bloodbank@asianhospital.com</t>
  </si>
  <si>
    <t>01F116</t>
  </si>
  <si>
    <t>Prompting Fluid Detected Error.</t>
  </si>
  <si>
    <t>Troubleshooting.</t>
  </si>
  <si>
    <t>Cleaned Centrifuge Chamber.
Checked Spill Detector Sensor.
Checked A/D Values.
Performed Simulation Test.</t>
  </si>
  <si>
    <t>Unit is Operational.</t>
  </si>
  <si>
    <t>Recommendation for Assitance of Technical During Procedure.</t>
  </si>
  <si>
    <t>https://www.jotform.com/uploads/macarewecare/222927978372067/6470402763613372868/6470402763613372868_signature_28.png</t>
  </si>
  <si>
    <t>Roi Jordan Ocay</t>
  </si>
  <si>
    <t>https://www.jotform.com/uploads/macarewecare/222927978372067/6470402763613372868/6470402763613372868_signature_31.png</t>
  </si>
  <si>
    <t>General Trias City Health Office</t>
  </si>
  <si>
    <t>Pinagtipunan, General Trias, Cavite</t>
  </si>
  <si>
    <t>chogentri.lab@gmail.com</t>
  </si>
  <si>
    <t>mackchico00@gmail.com</t>
  </si>
  <si>
    <t xml:space="preserve">ASSAY: Xpert MTB/RIF Ultra, COUNT: 4436
ASSAY: Xpert HIV-1 Viral Load, COUNT: 36
</t>
  </si>
  <si>
    <t>Preventive Maintenance.
XpertCheck.</t>
  </si>
  <si>
    <t>Cleaned Cartridge Bay, Plunger Rod and Icore Optics.
Replaced Filter.
Performed Self-test.
Archived Teat Results.
Generate Reports.</t>
  </si>
  <si>
    <t>All Modules Passed XpertCheck.</t>
  </si>
  <si>
    <t>XpertCheck Details : 1001480607 (2027-03-21)</t>
  </si>
  <si>
    <t>https://www.jotform.com/uploads/macarewecare/222927978372067/6470402553618038158/6470402553618038158_signature_28.png</t>
  </si>
  <si>
    <t>MACK ALFRED L. CHICO</t>
  </si>
  <si>
    <t>https://www.jotform.com/uploads/macarewecare/222927978372067/6470402553618038158/6470402553618038158_signature_31.png</t>
  </si>
  <si>
    <t>Pulupandan Rural Health Unit</t>
  </si>
  <si>
    <t>jackieorcajada@gmail.com</t>
  </si>
  <si>
    <t xml:space="preserve">ASSAY: Xpert MTB/RIF Ultra, COUNT: 514
</t>
  </si>
  <si>
    <t>Due for PM and Xpertcheck</t>
  </si>
  <si>
    <t>Preventive Maintenance 
- cleaned optic slots, module bays, plunger rods, filter.</t>
  </si>
  <si>
    <t>Performed Xpertcheck
Pulled out 2 pcs UPS batteries for recharging (12V 7AH)</t>
  </si>
  <si>
    <t>All 4 modules Passed the Xpertcheck;
4 modules operational</t>
  </si>
  <si>
    <t>https://www.jotform.com/uploads/macarewecare/222927978372067/6470342095215021313/6470342095215021313_signature_28.png</t>
  </si>
  <si>
    <t>JACKIE LOU O. ORCAJADA</t>
  </si>
  <si>
    <t>https://www.jotform.com/uploads/macarewecare/222927978372067/6470342095215021313/6470342095215021313_signature_31.png</t>
  </si>
  <si>
    <t>Ilog RHU and Birthing Center</t>
  </si>
  <si>
    <t>Dancalan, Ilog, Negros Occidental</t>
  </si>
  <si>
    <t>villavicencioemyrose@gmail.com</t>
  </si>
  <si>
    <t xml:space="preserve">ASSAY: Xpert MTB/RIF Ultra, COUNT: 299
</t>
  </si>
  <si>
    <t>Defective module A2/671781 and A4/885751.</t>
  </si>
  <si>
    <t>Preventive maintenance - cleaned optics, module bays, plunger rods, filter; archive tests</t>
  </si>
  <si>
    <t>- Replaced modules A2 and A4 with new module SN 801603 and 801599 respectively.
- Performed Xpertcheck in all 4 modules</t>
  </si>
  <si>
    <t>A2, A4 - Passed Xpertcheck 
A1, A3 - Requiring Service, For report to Jotform</t>
  </si>
  <si>
    <t>https://www.jotform.com/uploads/macarewecare/222927978372067/6470167491013617916/6470167491013617916_signature_28.png</t>
  </si>
  <si>
    <t>Emy Rose V. Garanganao</t>
  </si>
  <si>
    <t>https://www.jotform.com/uploads/macarewecare/222927978372067/6470167491013617916/6470167491013617916_signature_31.png</t>
  </si>
  <si>
    <t>North Avenue QC</t>
  </si>
  <si>
    <t>Installed unit
Upload ADF Files
Complete accessories
Test run unit</t>
  </si>
  <si>
    <t>https://www.jotform.com/uploads/macarewecare/222927978372067/6470165103619206503/6470165103619206503_signature_28.png</t>
  </si>
  <si>
    <t>RALPH JOSEPH P. CAYETANO</t>
  </si>
  <si>
    <t>https://www.jotform.com/uploads/macarewecare/222927978372067/6470165103619206503/6470165103619206503_signature_31.png</t>
  </si>
  <si>
    <t>Installed unit 
Upload ADF files
Complete accessories
Test run unit</t>
  </si>
  <si>
    <t>https://www.jotform.com/uploads/macarewecare/222927978372067/6470164573613516095/6470164573613516095_signature_28.png</t>
  </si>
  <si>
    <t>https://www.jotform.com/uploads/macarewecare/222927978372067/6470164573613516095/6470164573613516095_signature_31.png</t>
  </si>
  <si>
    <t>Port Area Manila</t>
  </si>
  <si>
    <t>dolly.banares@redcross.org.ph</t>
  </si>
  <si>
    <t>No power</t>
  </si>
  <si>
    <t>Checked voltage output of ups 
Checked and test power cord
Test fuse continuity
Replaced fuse
Performed fuctionality test
Performed simulation running</t>
  </si>
  <si>
    <t>https://www.jotform.com/uploads/macarewecare/222927978372067/6470163563617725784/6470163563617725784_signature_28.png</t>
  </si>
  <si>
    <t>https://www.jotform.com/uploads/macarewecare/222927978372067/6470163563617725784/6470163563617725784_signature_31.png</t>
  </si>
  <si>
    <t>Varona St. Tondo Manila</t>
  </si>
  <si>
    <t>Unit for prefentive maintenance.
Unit for Xpertcheck.</t>
  </si>
  <si>
    <t>https://www.jotform.com/uploads/macarewecare/222927978372067/6470138133619335195/6470138133619335195_signature_28.png</t>
  </si>
  <si>
    <t>https://www.jotform.com/uploads/macarewecare/222927978372067/6470138133619335195/6470138133619335195_signature_31.png</t>
  </si>
  <si>
    <t>Philippine Red Cross Benguet</t>
  </si>
  <si>
    <t>Lan Trinidad, Benguet</t>
  </si>
  <si>
    <t>17H636</t>
  </si>
  <si>
    <t>Adjusted centrifuge full scale value
Replaced rotor roller rubbers</t>
  </si>
  <si>
    <t>Unit is operational
Calibration parameters are within acceptable range</t>
  </si>
  <si>
    <t>MCS+ Urethane Roller Assy</t>
  </si>
  <si>
    <t>https://www.jotform.com/uploads/macarewecare/222927978372067/6470124013617309755/6470124013617309755_signature_28.png</t>
  </si>
  <si>
    <t>Lykaine Kate D. Bagano</t>
  </si>
  <si>
    <t>https://www.jotform.com/uploads/macarewecare/222927978372067/6470124013617309755/6470124013617309755_signature_31.png</t>
  </si>
  <si>
    <t>https://www.jotform.com/uploads/macarewecare/222927978372067/6470123483615230952/6470123483615230952_signature_28.png</t>
  </si>
  <si>
    <t>https://www.jotform.com/uploads/macarewecare/222927978372067/6470123483615230952/6470123483615230952_signature_31.png</t>
  </si>
  <si>
    <t>Far Eastern University - NRMF</t>
  </si>
  <si>
    <t>Regalado, Fairview, Quezon City</t>
  </si>
  <si>
    <t>biomed.hhfi@healthway.com.ph</t>
  </si>
  <si>
    <t>mdflorentin.hhfi@gmail.com</t>
  </si>
  <si>
    <t xml:space="preserve">ASSAY: Xpert HBV VL, COUNT: 12
ASSAY: Xpert HPV, COUNT: 53
ASSAY: Xpert MTB/RIF Ultra, COUNT: 421
</t>
  </si>
  <si>
    <t>Performed maintenance 
Cleaned:
-Cartridge bay 
-plunger rod 
-Icore 
-filter 
Generated reports</t>
  </si>
  <si>
    <t>https://www.jotform.com/uploads/macarewecare/222927978372067/6470099523615023358/6470099523615023358_signature_28.png</t>
  </si>
  <si>
    <t>Maria Janella D. Florentin</t>
  </si>
  <si>
    <t>https://www.jotform.com/uploads/macarewecare/222927978372067/6470099523615023358/6470099523615023358_signature_31.png</t>
  </si>
  <si>
    <t>Cotabato Provincial Hospital</t>
  </si>
  <si>
    <t>Brgy.Amas, Kidapawan City, Cotabato</t>
  </si>
  <si>
    <t>januarybing1206@gmail.com</t>
  </si>
  <si>
    <t xml:space="preserve">ASSAY: Xpert MTB/RIF Ultra, COUNT: 699
ASSAY: Xpert MTB-XDR, COUNT: 36
ASSAY: Xpert HIV-1 Viral Load, COUNT: 238
</t>
  </si>
  <si>
    <t>Perform Genexpert Xpertcheck Calibration 
Perform Genexpert Cleaning and maintenance</t>
  </si>
  <si>
    <t>PM done as per PM checklist document #:D20843
Xpertcheck done as per document #: 301-1896 rev. D</t>
  </si>
  <si>
    <t>4 operational modules 
Xpertcheck result 
All modules passed</t>
  </si>
  <si>
    <t>https://www.jotform.com/uploads/macarewecare/222927978372067/6469734967324370546/6469734967324370546_signature_28.png</t>
  </si>
  <si>
    <t>Hermosilla Enero</t>
  </si>
  <si>
    <t>https://www.jotform.com/uploads/macarewecare/222927978372067/6469734967324370546/6469734967324370546_signature_31.png</t>
  </si>
  <si>
    <t>Koronadal City, South Cotabato</t>
  </si>
  <si>
    <t xml:space="preserve">ASSAY: Xpert MTB/RIF Ultra, COUNT: 2621
</t>
  </si>
  <si>
    <t>Module 4 H/W failed</t>
  </si>
  <si>
    <t>Repair Gx Fan problem 
Perform Genexpert Cleaning and maintenance 
Checking of module status and errors 
Data collection</t>
  </si>
  <si>
    <t>https://www.jotform.com/uploads/macarewecare/222927978372067/6469734967328484553/6469734967328484553_signature_28.png</t>
  </si>
  <si>
    <t>https://www.jotform.com/uploads/macarewecare/222927978372067/6469734967328484553/6469734967328484553_signature_31.png</t>
  </si>
  <si>
    <t>Eversly childs sanitarium</t>
  </si>
  <si>
    <t>Jagobiao, Mandaue</t>
  </si>
  <si>
    <t>MAINTENANCE
Site Visit</t>
  </si>
  <si>
    <t>alimurungjane@gmail.com</t>
  </si>
  <si>
    <t>Site Visit
Clean Fan Filter
Gather data IQR, System log and Assay Stats</t>
  </si>
  <si>
    <t>https://www.jotform.com/uploads/macarewecare/222927978372067/6467764842124761576/6467764842124761576_signature_28.png</t>
  </si>
  <si>
    <t>Juanita alimurung</t>
  </si>
  <si>
    <t>https://www.jotform.com/uploads/macarewecare/222927978372067/6467764842124761576/6467764842124761576_signature_31.png</t>
  </si>
  <si>
    <t>Narra MHO</t>
  </si>
  <si>
    <t>Narra, Palawan</t>
  </si>
  <si>
    <t>esg110478@gmail.com</t>
  </si>
  <si>
    <t xml:space="preserve">ASSAY: Xpert MTB/RIF Ultra, COUNT: 1812
</t>
  </si>
  <si>
    <t>For module replacement.
Def SN: 685799</t>
  </si>
  <si>
    <t>Perforned module replacement and maintwnance.</t>
  </si>
  <si>
    <t>Perfotmed module replacement.
New Mod SN:663292
Performed maintenance and cleaning.</t>
  </si>
  <si>
    <t>Def module SN: 685799</t>
  </si>
  <si>
    <t>https://www.jotform.com/uploads/macarewecare/222927978372067/6467760609254547746/6467760609254547746_signature_28.png</t>
  </si>
  <si>
    <t>Elizabeth S. Gapulao</t>
  </si>
  <si>
    <t>https://www.jotform.com/uploads/macarewecare/222927978372067/6467760609254547746/6467760609254547746_signature_31.png</t>
  </si>
  <si>
    <t>TROUBLESHOOTING
Data Collection</t>
  </si>
  <si>
    <t>vsmmdeptpatho.genexpert@gmail.com</t>
  </si>
  <si>
    <t xml:space="preserve">ASSAY: Xpert HPV, COUNT: 30
ASSAY: Xpert MTB/RIF Ultra, COUNT: 3560
</t>
  </si>
  <si>
    <t>Error 5007</t>
  </si>
  <si>
    <t>https://www.jotform.com/uploads/macarewecare/222927978372067/6467708494614422629/6467708494614422629_signature_28.png</t>
  </si>
  <si>
    <t>Giovanni Heyrana</t>
  </si>
  <si>
    <t>https://www.jotform.com/uploads/macarewecare/222927978372067/6467708494614422629/6467708494614422629_signature_31.png</t>
  </si>
  <si>
    <t>https://www.jotform.com/uploads/macarewecare/222927978372067/6467707024617715454/6467707024617715454_signature_28.png</t>
  </si>
  <si>
    <t>https://www.jotform.com/uploads/macarewecare/222927978372067/6467707024617715454/6467707024617715454_signature_31.png</t>
  </si>
  <si>
    <t>Graman Medical and Maternity Hospital</t>
  </si>
  <si>
    <t>gramanmolecularlab@gmail.com</t>
  </si>
  <si>
    <t>Printer problem</t>
  </si>
  <si>
    <t>Removed colored cartridge</t>
  </si>
  <si>
    <t>Unit is operational
Printer is working normally
Suspected defective colored cartridge (printer unable to detect)</t>
  </si>
  <si>
    <t>https://www.jotform.com/uploads/macarewecare/222927978372067/6467588759586908486/6467588759586908486_signature_28.png</t>
  </si>
  <si>
    <t>Maria Elizabeth S. de Leon</t>
  </si>
  <si>
    <t>https://www.jotform.com/uploads/macarewecare/222927978372067/6467588759586908486/6467588759586908486_signature_31.png</t>
  </si>
  <si>
    <t>Taguig City Health Office</t>
  </si>
  <si>
    <t>ginabuendumawal@gmail.com</t>
  </si>
  <si>
    <t xml:space="preserve">ASSAY: Xpert MTB/RIF Ultra, COUNT: 5025
</t>
  </si>
  <si>
    <t>Performed maintenance:
Cleaned:
-Cartridge bay 
-Plunger rod 
-Icore 
-Filter 
Generated reports</t>
  </si>
  <si>
    <t>https://www.jotform.com/uploads/macarewecare/222927978372067/6467544183612333967/6467544183612333967_signature_28.png</t>
  </si>
  <si>
    <t>Gina Dumawal</t>
  </si>
  <si>
    <t>https://www.jotform.com/uploads/macarewecare/222927978372067/6467544183612333967/6467544183612333967_signature_31.png</t>
  </si>
  <si>
    <t>Cadiz City Health Office</t>
  </si>
  <si>
    <t>Poblacion,Cadiz City</t>
  </si>
  <si>
    <t>zhevebacomo@gmail.com</t>
  </si>
  <si>
    <t>GXIV 6-C</t>
  </si>
  <si>
    <t>. Defective Module Serial Number: 861159 / C4</t>
  </si>
  <si>
    <t>.Gathered Report ( Pre.and Post Installation Qualifications Report &amp; System Log Report.
. Done replace defective module with SN:792502</t>
  </si>
  <si>
    <t>. Replace defective module C4 / SN : 861159.</t>
  </si>
  <si>
    <t>https://www.jotform.com/uploads/macarewecare/222927978372067/6467107522812948005/6467107522812948005_signature_28.png</t>
  </si>
  <si>
    <t>Zherlyn Eve Bacomo</t>
  </si>
  <si>
    <t>https://www.jotform.com/uploads/macarewecare/222927978372067/6467107522812948005/6467107522812948005_signature_31.png</t>
  </si>
  <si>
    <t>biopathqc123@gmail.com</t>
  </si>
  <si>
    <t xml:space="preserve">ASSAY: Xpert CT/NG, COUNT: 43
ASSAY: Others, COUNT: 2
ASSAY: Xpert HPV, COUNT: 106
ASSAY: Xpert MTB/RIF Ultra, COUNT: 40
ASSAY: Others, COUNT: 9
ASSAY: Xpert SARS-CoV-2, COUNT: 6
</t>
  </si>
  <si>
    <t>Gx16 D 6C</t>
  </si>
  <si>
    <t>Due for maintenance
UPS unable to back up due to battery worn out</t>
  </si>
  <si>
    <t>Cleaned unit
Cleaned plunger rod,filter,icore,cartridge bay
Gathered reports
Checked battery output voltage
Test run unit</t>
  </si>
  <si>
    <t>Performed maintenance
Performed troubleshooting</t>
  </si>
  <si>
    <t>A1,A4,B2,B4,C2,D2 failed Xpertcheck
A3 hw failed
A2,B1,B3,C1,C3,C4,D1,D3,D4 operational</t>
  </si>
  <si>
    <t>For replacement of battery 6pcs</t>
  </si>
  <si>
    <t>https://www.jotform.com/uploads/macarewecare/222927978372067/6466997854211847019/6466997854211847019_signature_28.png</t>
  </si>
  <si>
    <t>Rana Valerie Milanes</t>
  </si>
  <si>
    <t>https://www.jotform.com/uploads/macarewecare/222927978372067/6466997854211847019/6466997854211847019_signature_31.png</t>
  </si>
  <si>
    <t>npphclinlab2022@gmail.com</t>
  </si>
  <si>
    <t xml:space="preserve">ASSAY: Xpert MTB/RIF Ultra, COUNT: 197
</t>
  </si>
  <si>
    <t>For Xpertcheck calibration.</t>
  </si>
  <si>
    <t>Performed maintenance and cleaning.
Run xpertcheck calibration.</t>
  </si>
  <si>
    <t>3 modules operational.
1 modul with H/W failed.</t>
  </si>
  <si>
    <t>https://www.jotform.com/uploads/macarewecare/222927978372067/6466930293024638948/6466930293024638948_signature_28.png</t>
  </si>
  <si>
    <t>https://www.jotform.com/uploads/macarewecare/222927978372067/6466930293024638948/6466930293024638948_signature_31.png</t>
  </si>
  <si>
    <t>Bangkerohan Sur, Montevista</t>
  </si>
  <si>
    <t xml:space="preserve">ASSAY: Xpert MTB/RIF Ultra, COUNT: 1401
</t>
  </si>
  <si>
    <t>Clean Surface Area, Cartridge Bay, Plunger Rod, Fan Filters and Icore Lenses
Generate IQR, Assay Stat and System Log
Run XpertCheck on Modules 1, 2 and 3 only</t>
  </si>
  <si>
    <t>Module 1 Retry and Skipped
Module 2 Pass
Module 3 Pass
Module 4 Excluded due to H/W Failure
Only 2 Modules Passed the Calibration</t>
  </si>
  <si>
    <t>Module 1 for under observation, Only 3 XPC Cartidge Available on the site. Module 4 reported to higherups for assessment. And High ambient temperature, enduser was advised to achieve the optimal operating temperature</t>
  </si>
  <si>
    <t>https://www.jotform.com/uploads/macarewecare/222927978372067/6466872732517004999/6466872732517004999_signature_28.png</t>
  </si>
  <si>
    <t>Cecille A. Jagurilles,. RMT</t>
  </si>
  <si>
    <t>https://www.jotform.com/uploads/macarewecare/222927978372067/6466872732517004999/6466872732517004999_signature_31.png</t>
  </si>
  <si>
    <t xml:space="preserve">ASSAY: Xpert MTB/RIF Ultra, COUNT: 29
</t>
  </si>
  <si>
    <t>-Cartridge stucked in Module 2 SN # 882343.
- Module 2 error in position in ultrasonic horn.</t>
  </si>
  <si>
    <t>- Removal of cartridge stucked in Module 2 SN # 882343.
- Conduct preventive maintenance in all modules.
- Clean up all plunger, Icore and cartridge bay.
- Clean up air filter and dust inside the machine.</t>
  </si>
  <si>
    <t>Removal of cartridge stucked in Module 2 SN # 882343.</t>
  </si>
  <si>
    <t>- All modules are operational except module 2 SN: 882343 ultrasonic horn out of position.</t>
  </si>
  <si>
    <t>https://www.jotform.com/uploads/macarewecare/222927978372067/6466844631248323056/6466844631248323056_signature_28.png</t>
  </si>
  <si>
    <t>https://www.jotform.com/uploads/macarewecare/222927978372067/6466844631248323056/6466844631248323056_signature_31.png</t>
  </si>
  <si>
    <t xml:space="preserve">ASSAY: Xpert HIV-1 Viral Load, COUNT: 93
ASSAY: Xpert MTB/RIF Ultra, COUNT: 3387
ASSAY: Xpert HIV-1 Viral Load, COUNT: 1295
</t>
  </si>
  <si>
    <t>Unit is operational. Module A1 and A2 waiting for module replacement. Module A3 has error 1001, 1017, 2005 and 2008. Reported in jotform.</t>
  </si>
  <si>
    <t>https://www.jotform.com/uploads/macarewecare/222927978372067/6466789301211925468/6466789301211925468_signature_28.png</t>
  </si>
  <si>
    <t>https://www.jotform.com/uploads/macarewecare/222927978372067/6466789301211925468/6466789301211925468_signature_31.png</t>
  </si>
  <si>
    <t>Santa Lucia Main Health Center</t>
  </si>
  <si>
    <t>Diablo street, snta Lucia district, pagadian city</t>
  </si>
  <si>
    <t>baguioelsie@yahoo.com</t>
  </si>
  <si>
    <t xml:space="preserve">ASSAY: Xpert MTB/RIF Ultra, COUNT: 352
</t>
  </si>
  <si>
    <t>Due xpertcheck calibration</t>
  </si>
  <si>
    <t>-Pm done as per PM checklist document #D20843.
-Xpertcheck done as per Document # 301-1896, Rev. D.</t>
  </si>
  <si>
    <t>All modules passed the xpertcheck calibration.</t>
  </si>
  <si>
    <t>All modules passed.</t>
  </si>
  <si>
    <t>https://www.jotform.com/uploads/macarewecare/222927978372067/6466708065811609312/6466708065811609312_signature_28.png</t>
  </si>
  <si>
    <t>Elsie Baguio</t>
  </si>
  <si>
    <t>https://www.jotform.com/uploads/macarewecare/222927978372067/6466708065811609312/6466708065811609312_signature_31.png</t>
  </si>
  <si>
    <t>Molave Rural Health unit</t>
  </si>
  <si>
    <t>Molave, Zamboanga del sur</t>
  </si>
  <si>
    <t>aldrinacain@gmail.com</t>
  </si>
  <si>
    <t xml:space="preserve">ASSAY: Xpert MTB/RIF Ultra, COUNT: 1044
</t>
  </si>
  <si>
    <t>GX 4 - 6C</t>
  </si>
  <si>
    <t>System unit unable to turn on.</t>
  </si>
  <si>
    <t>Preventive maintenance, conducted troubleshooting, replaced cmos batteries and rearrange RAM location.</t>
  </si>
  <si>
    <t>All modules are operational.
System unit is operational and ready to use.</t>
  </si>
  <si>
    <t>https://www.jotform.com/uploads/macarewecare/222927978372067/6466707145813362251/6466707145813362251_signature_28.png</t>
  </si>
  <si>
    <t>Aldrin Acain</t>
  </si>
  <si>
    <t>https://www.jotform.com/uploads/macarewecare/222927978372067/6466707145813362251/6466707145813362251_signature_31.png</t>
  </si>
  <si>
    <t xml:space="preserve">ASSAY: Xpert MTB/RIF Ultra, COUNT: 1847
ASSAY: Xpress SARS-CoV-2_Flu_RSV plus, COUNT: 29
</t>
  </si>
  <si>
    <t>For module replacement 
B1 210000965 - 210072558
B2 642784 - 210073114
B3 hw failed
B4 service required xc performed 8/22/25</t>
  </si>
  <si>
    <t>Performed module replacement
Performed decon 
Gathered reports 
Cleaned plunger rod,filter,icore,cartridge bay
Test run unit</t>
  </si>
  <si>
    <t>B1,B2 operational
B3,B4 for reporting</t>
  </si>
  <si>
    <t>https://www.jotform.com/uploads/macarewecare/222927978372067/6466668943615456869/6466668943615456869_signature_28.png</t>
  </si>
  <si>
    <t>https://www.jotform.com/uploads/macarewecare/222927978372067/6466668943615456869/6466668943615456869_signature_31.png</t>
  </si>
  <si>
    <t>nchmolecularlab2021@gmail.com</t>
  </si>
  <si>
    <t>Myspin 12</t>
  </si>
  <si>
    <t>Cleaned unit 
Checked wear and tear parts
Performed functionality test
Checked program parameters
Test run unit</t>
  </si>
  <si>
    <t>https://www.jotform.com/uploads/macarewecare/222927978372067/6466668273616142523/6466668273616142523_signature_28.png</t>
  </si>
  <si>
    <t>Jessica Basilla</t>
  </si>
  <si>
    <t>https://www.jotform.com/uploads/macarewecare/222927978372067/6466668273616142523/6466668273616142523_signature_31.png</t>
  </si>
  <si>
    <t>Rizal Dr, BGC, Taguig City</t>
  </si>
  <si>
    <t>CI</t>
  </si>
  <si>
    <t xml:space="preserve">ASSAY: Xpert BCR-ABL Ultra, COUNT: 48
ASSAY: Xpert CT/NG, COUNT: 177
ASSAY: Xpert HBV VL, COUNT: 129
ASSAY: Xpert HPV, COUNT: 348
ASSAY: Xpert MTB/RIF Ultra, COUNT: 816
ASSAY: Xpert HCV VL, COUNT: 12
ASSAY: Xpert HIV-1 Viral Load, COUNT: 160
</t>
  </si>
  <si>
    <t>Unit is operational. Module A2 service required, recommend to replace.</t>
  </si>
  <si>
    <t>Item used: XpertCheck kit</t>
  </si>
  <si>
    <t>SI# 102106</t>
  </si>
  <si>
    <t>https://www.jotform.com/uploads/macarewecare/222927978372067/6466062184115673867/6466062184115673867_signature_28.png</t>
  </si>
  <si>
    <t>Vincent Dy</t>
  </si>
  <si>
    <t>https://www.jotform.com/uploads/macarewecare/222927978372067/6466062184115673867/6466062184115673867_signature_31.png</t>
  </si>
  <si>
    <t>Rizal Dr., BGC, Taguig City</t>
  </si>
  <si>
    <t xml:space="preserve">ASSAY: Xpert BCR-ABL Ultra, COUNT: 150
ASSAY: Xpert CT/NG, COUNT: 575
ASSAY: Others, COUNT: 7
ASSAY: Xpert HBV VL, COUNT: 170
ASSAY: Xpert HIV-1 Viral Load, COUNT: 78
ASSAY: Xpert HPV, COUNT: 831
ASSAY: Xpert MTB/RIF Ultra, COUNT: 2130
ASSAY: Xpert MTB-XDR, COUNT: 34
ASSAY: Xpert HCV VL, COUNT: 42
ASSAY: Xpert HIV-1 Viral Load, COUNT: 292
</t>
  </si>
  <si>
    <t>https://www.jotform.com/uploads/macarewecare/222927978372067/6466062184116921697/6466062184116921697_signature_28.png</t>
  </si>
  <si>
    <t>https://www.jotform.com/uploads/macarewecare/222927978372067/6466062184116921697/6466062184116921697_signature_31.png</t>
  </si>
  <si>
    <t>Cabatuan Rural Health Unit</t>
  </si>
  <si>
    <t>Cabatuan, Iloilo</t>
  </si>
  <si>
    <t>padrillanleonisa@gmail.com</t>
  </si>
  <si>
    <t>Machine is functional. Module 2 and 4 for replacement.</t>
  </si>
  <si>
    <t>https://www.jotform.com/uploads/macarewecare/222927978372067/6466059529916185783/6466059529916185783_signature_28.png</t>
  </si>
  <si>
    <t>Leonisa Padrillan</t>
  </si>
  <si>
    <t>https://www.jotform.com/uploads/macarewecare/222927978372067/6466059529916185783/6466059529916185783_signature_31.png</t>
  </si>
  <si>
    <t>Dinagat District Hospital</t>
  </si>
  <si>
    <t>Escolta, Dinagat, Dinagat Islands</t>
  </si>
  <si>
    <t>Dinagat Islands</t>
  </si>
  <si>
    <t>idhona@yahoo.com</t>
  </si>
  <si>
    <t>https://www.jotform.com/uploads/macarewecare/222927978372067/6466030520517867355/6466030520517867355_signature_28.png</t>
  </si>
  <si>
    <t>Idhona N. Tillo</t>
  </si>
  <si>
    <t>https://www.jotform.com/uploads/macarewecare/222927978372067/6466030520517867355/6466030520517867355_signature_31.png</t>
  </si>
  <si>
    <t>Digos City Health Office</t>
  </si>
  <si>
    <t>Lapu Lapu St, Digos City</t>
  </si>
  <si>
    <t>enzodino.lpb@gmail.com</t>
  </si>
  <si>
    <t xml:space="preserve">ASSAY: Xpert MTB/RIF Ultra, COUNT: 1321
</t>
  </si>
  <si>
    <t>Defective Gateway Board
Error at Module 1
Due for Preventive Maintenance</t>
  </si>
  <si>
    <t>Replaced the Defective Gateway Board SN 3010538 with new Gateway Board SN 910767915
Clean Surface Area, Cartridge Bay, Plunger Rod, Fan Filters and Icore Lenses
Generate IQR, Assay Stat and System Log
Archived Data test results</t>
  </si>
  <si>
    <t>Perform Gateway Board Replacement
Perform Module Troubleshooting
Perform Preventive Maintenance</t>
  </si>
  <si>
    <t>Module 1 Disabled due to Hardware Failure/ Error 4004
Only Three Modules are operational</t>
  </si>
  <si>
    <t>Damaged Module Door; Broke by NCR Atleos Engineer</t>
  </si>
  <si>
    <t>PN 700-6140S</t>
  </si>
  <si>
    <t>Monarch DR NO 0054999</t>
  </si>
  <si>
    <t>https://www.jotform.com/uploads/macarewecare/222927978372067/6466002339019954600/6466002339019954600_signature_28.png</t>
  </si>
  <si>
    <t>Lorenzo Paolo Butaslac</t>
  </si>
  <si>
    <t>https://www.jotform.com/uploads/macarewecare/222927978372067/6466002339019954600/6466002339019954600_signature_31.png</t>
  </si>
  <si>
    <t>Snta lucia Main Health Center</t>
  </si>
  <si>
    <t>Damon street, santa Lucia, pagadian city</t>
  </si>
  <si>
    <t>Due Xpertcheck calibration.</t>
  </si>
  <si>
    <t>-PM done as per PM checklist document #D20843
-Xpertcheck done as per Document #301-1896, Rev. D.</t>
  </si>
  <si>
    <t>All modules passed the calibration.
All modules are operational.
UPS broken and unable to be repaired.</t>
  </si>
  <si>
    <t>UPS ( un interruptible power supply) must be purchased and installed as soon as possible.( ASAP)</t>
  </si>
  <si>
    <t>https://www.jotform.com/uploads/macarewecare/222927978372067/6466000354673156556/6466000354673156556_signature_28.png</t>
  </si>
  <si>
    <t>https://www.jotform.com/uploads/macarewecare/222927978372067/6466000354673156556/6466000354673156556_signature_31.png</t>
  </si>
  <si>
    <t>Sub National Laboratory</t>
  </si>
  <si>
    <t>ON-SITE ASSISTANCE
Transfer GeneXpert Unit</t>
  </si>
  <si>
    <t>zialjsparcia1116@gmail.com</t>
  </si>
  <si>
    <t xml:space="preserve">ASSAY: Xpert HIV-1 Viral Load, COUNT: 1734
</t>
  </si>
  <si>
    <t>https://www.jotform.com/uploads/macarewecare/222927978372067/6465998130168071815/6465998130168071815_signature_28.png</t>
  </si>
  <si>
    <t>Zialjs Jayme</t>
  </si>
  <si>
    <t>https://www.jotform.com/uploads/macarewecare/222927978372067/6465998130168071815/6465998130168071815_signature_31.png</t>
  </si>
  <si>
    <t>Barangay 1A Manapla</t>
  </si>
  <si>
    <t>GXIV 4 6C</t>
  </si>
  <si>
    <t>Module A2,A3 Hardware fail.</t>
  </si>
  <si>
    <t>. Save System log file
. Save Installation Qualifications Report.
. Save assay statistics Report 
. Save GXC file.</t>
  </si>
  <si>
    <t>Perform preventive maintenance for all modules.
Clean filter.</t>
  </si>
  <si>
    <t>Module A1,A4 okay to use.
Module A2,A3 not okay to use.</t>
  </si>
  <si>
    <t>https://www.jotform.com/uploads/macarewecare/222927978372067/6465994830516745612/6465994830516745612_signature_28.png</t>
  </si>
  <si>
    <t>Ruderic f. Magalona</t>
  </si>
  <si>
    <t>https://www.jotform.com/uploads/macarewecare/222927978372067/6465994830516745612/6465994830516745612_signature_31.png</t>
  </si>
  <si>
    <t>Nadurata St. Caloocan City</t>
  </si>
  <si>
    <t>Unit is operational. Module 1, 2 and 3 Service Requires. Module 4 passed.</t>
  </si>
  <si>
    <t>https://www.jotform.com/uploads/macarewecare/222927978372067/6465956221873953635/6465956221873953635_signature_28.png</t>
  </si>
  <si>
    <t>Lorina Rosales</t>
  </si>
  <si>
    <t>https://www.jotform.com/uploads/macarewecare/222927978372067/6465956221873953635/6465956221873953635_signature_31.png</t>
  </si>
  <si>
    <t>Philippine Tuberculosis Society, Inc. - Iloilo</t>
  </si>
  <si>
    <t>rdureza.iccd@philtbsociety.org</t>
  </si>
  <si>
    <t>https://www.jotform.com/uploads/macarewecare/222927978372067/6465869194763044297/6465869194763044297_signature_28.png</t>
  </si>
  <si>
    <t>Rhoda Anne C. Dureza</t>
  </si>
  <si>
    <t>https://www.jotform.com/uploads/macarewecare/222927978372067/6465869194763044297/6465869194763044297_signature_31.png</t>
  </si>
  <si>
    <t>SRP-CEBU</t>
  </si>
  <si>
    <t>Gather data IQR, System log, Assay stats &amp; Calibration data
Clean Fan Filter</t>
  </si>
  <si>
    <t>Xpertcheck Calibration
Gather data IQR, System log, Assay stats &amp; Calibration data
Clean Fan Filter</t>
  </si>
  <si>
    <t>Module 1,2 &amp; 3 passed and module 4 service require during xpert check</t>
  </si>
  <si>
    <t>https://www.jotform.com/uploads/macarewecare/222927978372067/6465199208018006245/6465199208018006245_signature_28.png</t>
  </si>
  <si>
    <t>Allan S. Mantiquillla</t>
  </si>
  <si>
    <t>https://www.jotform.com/uploads/macarewecare/222927978372067/6465199208018006245/6465199208018006245_signature_31.png</t>
  </si>
  <si>
    <t>Metro Health Specialists Hospital Inc</t>
  </si>
  <si>
    <t>Sorsogon City</t>
  </si>
  <si>
    <t>mhshimolecularpathology@gmail.com</t>
  </si>
  <si>
    <t xml:space="preserve">ASSAY: Xpert HBV VL, COUNT: 17
ASSAY: Xpert HIV-1 Viral Load, COUNT: 2
ASSAY: Xpert HPV, COUNT: 2
ASSAY: Xpert MTB/RIF Ultra, COUNT: 43
ASSAY: Others, COUNT: 1
ASSAY: Xpert HCV VL, COUNT: 1
</t>
  </si>
  <si>
    <t>Unit is operational 
All 4-modules are Operational</t>
  </si>
  <si>
    <t>https://www.jotform.com/uploads/macarewecare/222927978372067/6465183595316891901/6465183595316891901_signature_28.png</t>
  </si>
  <si>
    <t>Shawn Manalansan</t>
  </si>
  <si>
    <t>https://www.jotform.com/uploads/macarewecare/222927978372067/6465183595316891901/6465183595316891901_signature_31.png</t>
  </si>
  <si>
    <t>Casimiro Ynares Sr. Memorial Hospital</t>
  </si>
  <si>
    <t>Becco Street, Rodriguez, 1860 Rizal</t>
  </si>
  <si>
    <t>Due for xpertcheck
Unable to perform xpertcheck due to workstation booting problem</t>
  </si>
  <si>
    <t>Checked workstation
Reset all connection
Reset memory
After troubleshooting is performed issue still occur</t>
  </si>
  <si>
    <t>Unit unoperational</t>
  </si>
  <si>
    <t>https://www.jotform.com/uploads/macarewecare/222927978372067/6465133513614251878/6465133513614251878_signature_28.png</t>
  </si>
  <si>
    <t>Marjorie Ann Santos</t>
  </si>
  <si>
    <t>https://www.jotform.com/uploads/macarewecare/222927978372067/6465133513614251878/6465133513614251878_signature_31.png</t>
  </si>
  <si>
    <t>Esperanza Rural Health Unit</t>
  </si>
  <si>
    <t>Esperanza, Sultan Kudarat</t>
  </si>
  <si>
    <t>nilosubido722@gmail.com</t>
  </si>
  <si>
    <t xml:space="preserve">ASSAY: Xpert MTB/RIF Ultra, COUNT: 573
</t>
  </si>
  <si>
    <t>GxlV - 6C</t>
  </si>
  <si>
    <t>Pm Done as per PM checklist doc. # D20843
Xpertcheck Done as per document# 301-1896
Checking of modules status and Errors
Data collection</t>
  </si>
  <si>
    <t>Genexpert machine Xpertcheck
Genexpert machine Preventive maintenance</t>
  </si>
  <si>
    <t>https://www.jotform.com/uploads/macarewecare/222927978372067/6465114161618840403/6465114161618840403_signature_28.png</t>
  </si>
  <si>
    <t>Nilo P. Subido</t>
  </si>
  <si>
    <t>https://www.jotform.com/uploads/macarewecare/222927978372067/6465114161618840403/6465114161618840403_signature_31.png</t>
  </si>
  <si>
    <t>Medi Linx Laboratory Inc (CLDH)</t>
  </si>
  <si>
    <t>Hospital Drive Brgy. San Vicente, Tarlac City</t>
  </si>
  <si>
    <t>mea.delacruz@medilinx.com.ph</t>
  </si>
  <si>
    <t>CPU not booting up
CPU SN: CPH0420F06989</t>
  </si>
  <si>
    <t>CPU troubleshooting</t>
  </si>
  <si>
    <t>Performed CPU troubleshooting 
Performed functionality test</t>
  </si>
  <si>
    <t>Unit is operationl</t>
  </si>
  <si>
    <t>CPU under observation</t>
  </si>
  <si>
    <t>https://www.jotform.com/uploads/macarewecare/222927978372067/6464991315367305063/6464991315367305063_signature_28.png</t>
  </si>
  <si>
    <t>Mea Dela Cruz</t>
  </si>
  <si>
    <t>https://www.jotform.com/uploads/macarewecare/222927978372067/6464991315367305063/6464991315367305063_signature_31.png</t>
  </si>
  <si>
    <t>Sorsogon Provincial Hospital</t>
  </si>
  <si>
    <t>carranzadoloiras21@gmail.com</t>
  </si>
  <si>
    <t xml:space="preserve">ASSAY: Xpert MTB/RIF Ultra, COUNT: 1541
ASSAY: Xpert MTB-XDR, COUNT: 75
</t>
  </si>
  <si>
    <t>https://www.jotform.com/uploads/macarewecare/222927978372067/6464443540901002467/6464443540901002467_signature_28.png</t>
  </si>
  <si>
    <t>Maria Sheila C. Doloiras</t>
  </si>
  <si>
    <t>https://www.jotform.com/uploads/macarewecare/222927978372067/6464443540901002467/6464443540901002467_signature_31.png</t>
  </si>
  <si>
    <t>Estevez Memorial Hospital, Inc.</t>
  </si>
  <si>
    <t>labestevez@gmail.com</t>
  </si>
  <si>
    <t xml:space="preserve">ASSAY: Xpert BCR-ABL Ultra, COUNT: 6
ASSAY: Xpert CT/NG, COUNT: 2
ASSAY: Xpert HBV VL, COUNT: 201
ASSAY: Xpert MTB/RIF Ultra, COUNT: 175
ASSAY: Xpert MTB-XDR, COUNT: 7
ASSAY: Xpress SARS-CoV-2_Flu_RSV plus, COUNT: 2
</t>
  </si>
  <si>
    <t>Cleaned cartridge bays, plunger rod, fan filter
Generate Data</t>
  </si>
  <si>
    <t>https://www.jotform.com/uploads/macarewecare/222927978372067/6464442480908724300/6464442480908724300_signature_28.png</t>
  </si>
  <si>
    <t>Estevez Memorial Hospital</t>
  </si>
  <si>
    <t>https://www.jotform.com/uploads/macarewecare/222927978372067/6464442480908724300/6464442480908724300_signature_31.png</t>
  </si>
  <si>
    <t>Bicol Regional Hospital and Medical Center</t>
  </si>
  <si>
    <t>Sagpon, Daraga</t>
  </si>
  <si>
    <t>brtth.covid19lab@gmail.com</t>
  </si>
  <si>
    <t xml:space="preserve">ASSAY: Xpert BCR-ABL Ultra, COUNT: 4
ASSAY: Xpert HIV-1 Viral Load, COUNT: 278
ASSAY: Xpert HPV, COUNT: 73
ASSAY: Xpert HIV-1 Viral Load, COUNT: 78
ASSAY: Xpert HPV, COUNT: 7
</t>
  </si>
  <si>
    <t>https://www.jotform.com/uploads/macarewecare/222927978372067/6464441730902112797/6464441730902112797_signature_28.png</t>
  </si>
  <si>
    <t>Jennifer Vitasa</t>
  </si>
  <si>
    <t>https://www.jotform.com/uploads/macarewecare/222927978372067/6464441730902112797/6464441730902112797_signature_31.png</t>
  </si>
  <si>
    <t>Philippine Red Cross QC</t>
  </si>
  <si>
    <t>Kalayaan Avenue QC</t>
  </si>
  <si>
    <t>prcqc.bloodservices@gmail.com</t>
  </si>
  <si>
    <t>02A227</t>
  </si>
  <si>
    <t>Cleaned unit
Checked rollers
Checked and line sensor value
Checked and test keypad and lcd display.
Checked program parameters
Performed functionality test
Performed simulation running</t>
  </si>
  <si>
    <t>https://www.jotform.com/uploads/macarewecare/222927978372067/6464359264212857492/6464359264212857492_signature_28.png</t>
  </si>
  <si>
    <t>Evangeline Villamar</t>
  </si>
  <si>
    <t>https://www.jotform.com/uploads/macarewecare/222927978372067/6464359264212857492/6464359264212857492_signature_31.png</t>
  </si>
  <si>
    <t>eamc.biomed@gmail.com</t>
  </si>
  <si>
    <t>paulinobernaldo1419@gmail.com</t>
  </si>
  <si>
    <t>15H044</t>
  </si>
  <si>
    <t>Due for maintenance and calibration</t>
  </si>
  <si>
    <t>Cleaned unit
Checked rollers
Checked line sensor
Checked and test keypad and lcd display.
Checked program parameters
Performed calibration
Performed simulation running
Performed functionality test</t>
  </si>
  <si>
    <t>Performed calibration and maintenance</t>
  </si>
  <si>
    <t>https://www.jotform.com/uploads/macarewecare/222927978372067/6464358534212493159/6464358534212493159_signature_28.png</t>
  </si>
  <si>
    <t>Christopher Paul Bernaldo</t>
  </si>
  <si>
    <t>https://www.jotform.com/uploads/macarewecare/222927978372067/6464358534212493159/6464358534212493159_signature_31.png</t>
  </si>
  <si>
    <t>Danao City Health Office</t>
  </si>
  <si>
    <t>Danao City, Cebu</t>
  </si>
  <si>
    <t>INSTALLATION
TROUBLESHOOTING
ON-SITE ASSISTANCE</t>
  </si>
  <si>
    <t>chockenriquez@gmail.com</t>
  </si>
  <si>
    <t>Defective CPU from Bogo CHO genexpert unit</t>
  </si>
  <si>
    <t>Install personal PC from end user
Install Genexpert Software version 5.1
Install assay MTB ultra and HIV viral load</t>
  </si>
  <si>
    <t>https://www.jotform.com/uploads/macarewecare/222927978372067/6464227748724462247/6464227748724462247_signature_28.png</t>
  </si>
  <si>
    <t>Nicanor Enriquez</t>
  </si>
  <si>
    <t>https://www.jotform.com/uploads/macarewecare/222927978372067/6464227748724462247/6464227748724462247_signature_31.png</t>
  </si>
  <si>
    <t>irisrano@ymail.com</t>
  </si>
  <si>
    <t xml:space="preserve">ASSAY: Xpert MTB/RIF Ultra, COUNT: 1889
ASSAY: Xpert MTB-XDR, COUNT: 19
</t>
  </si>
  <si>
    <t>Perform Genexpert maintenance and cleaning
Module cleaning
Plunger rod and optics cleaning
Fan and filter cleaning
Checking of module status and errors
Data collection</t>
  </si>
  <si>
    <t>4 operational module</t>
  </si>
  <si>
    <t>https://www.jotform.com/uploads/macarewecare/222927978372067/6464177647426245816/6464177647426245816_signature_28.png</t>
  </si>
  <si>
    <t>Iris Rano</t>
  </si>
  <si>
    <t>https://www.jotform.com/uploads/macarewecare/222927978372067/6464177647426245816/6464177647426245816_signature_31.png</t>
  </si>
  <si>
    <t>Danao City</t>
  </si>
  <si>
    <t>CPU problem
PC won't turn On</t>
  </si>
  <si>
    <t>Replace new CMOS Battery
Reset and Clean RAM</t>
  </si>
  <si>
    <t>Reset and Clean RAM
Replace new CMOS Battery</t>
  </si>
  <si>
    <t>PC won't turn on</t>
  </si>
  <si>
    <t>https://www.jotform.com/uploads/macarewecare/222927978372067/6464159538722477357/6464159538722477357_signature_28.png</t>
  </si>
  <si>
    <t>https://www.jotform.com/uploads/macarewecare/222927978372067/6464159538722477357/6464159538722477357_signature_31.png</t>
  </si>
  <si>
    <t>St. Louis Molecular Diagnostic Laboratory</t>
  </si>
  <si>
    <t>Brgy. New Carmen Tacurong City, Sultan Kudarat</t>
  </si>
  <si>
    <t xml:space="preserve">ASSAY: Xpert HBV VL, COUNT: 8
ASSAY: Xpert MTB/RIF Ultra, COUNT: 29
ASSAY: Xpert HIV-1 Viral Load, COUNT: 30
</t>
  </si>
  <si>
    <t>https://www.jotform.com/uploads/macarewecare/222927978372067/6464155786444129923/6464155786444129923_signature_28.png</t>
  </si>
  <si>
    <t>Shane Delposo</t>
  </si>
  <si>
    <t>https://www.jotform.com/uploads/macarewecare/222927978372067/6464155786444129923/6464155786444129923_signature_31.png</t>
  </si>
  <si>
    <t>https://www.jotform.com/uploads/macarewecare/222927978372067/6461753362128600643/6461753362128600643_signature_28.png</t>
  </si>
  <si>
    <t>https://www.jotform.com/uploads/macarewecare/222927978372067/6461753362128600643/6461753362128600643_signature_31.png</t>
  </si>
  <si>
    <t>12D063</t>
  </si>
  <si>
    <t>https://www.jotform.com/uploads/macarewecare/222927978372067/6461753062129615758/6461753062129615758_signature_28.png</t>
  </si>
  <si>
    <t>https://www.jotform.com/uploads/macarewecare/222927978372067/6461753062129615758/6461753062129615758_signature_31.png</t>
  </si>
  <si>
    <t>Jose B. Lingad Memorial General Hospital</t>
  </si>
  <si>
    <t>City of San Fernando Pampanga</t>
  </si>
  <si>
    <t>jblmgh.mtblab@gmail.com</t>
  </si>
  <si>
    <t>Unit is operational 
All modules passed calibration 
C1:693690- Passed
C2:721058- Passed
C3: 691412- Passed
C4:691294- Passed</t>
  </si>
  <si>
    <t>https://www.jotform.com/uploads/macarewecare/222927978372067/6461718874329045704/6461718874329045704_signature_28.png</t>
  </si>
  <si>
    <t>Earvin Justin Carlos</t>
  </si>
  <si>
    <t>https://www.jotform.com/uploads/macarewecare/222927978372067/6461718874329045704/6461718874329045704_signature_31.png</t>
  </si>
  <si>
    <t>Pililla Rural Health Unit</t>
  </si>
  <si>
    <t>Pililla, Rizal</t>
  </si>
  <si>
    <t>tbdotspililla@gmail.com</t>
  </si>
  <si>
    <t xml:space="preserve">ASSAY: Xpert MTB/RIF Ultra, COUNT: 981
</t>
  </si>
  <si>
    <t>https://www.jotform.com/uploads/macarewecare/222927978372067/6461685539629771596/6461685539629771596_signature_28.png</t>
  </si>
  <si>
    <t>Ayen Olaya</t>
  </si>
  <si>
    <t>https://www.jotform.com/uploads/macarewecare/222927978372067/6461685539629771596/6461685539629771596_signature_31.png</t>
  </si>
  <si>
    <t>Cainta City Health Office</t>
  </si>
  <si>
    <t>Karangalan Dr, Cainta, Rizal</t>
  </si>
  <si>
    <t xml:space="preserve">ASSAY: Others, COUNT: 57
ASSAY: Xpert MTB/RIF Ultra, COUNT: 1112
ASSAY: Xpert HIV-1 Viral Load, COUNT: 146
</t>
  </si>
  <si>
    <t>https://www.jotform.com/uploads/macarewecare/222927978372067/6461673689622393207/6461673689622393207_signature_28.png</t>
  </si>
  <si>
    <t>https://www.jotform.com/uploads/macarewecare/222927978372067/6461673689622393207/6461673689622393207_signature_31.png</t>
  </si>
  <si>
    <t>Performed maintenance 
Cleaned:
-Cartridge bay 
-Plunger rod 
-Icore 
-Filter
Run XpertCheck 
Generated reports</t>
  </si>
  <si>
    <t>https://www.jotform.com/uploads/macarewecare/222927978372067/6461673689628093868/6461673689628093868_signature_28.png</t>
  </si>
  <si>
    <t>Richard 6</t>
  </si>
  <si>
    <t>https://www.jotform.com/uploads/macarewecare/222927978372067/6461673689628093868/6461673689628093868_signature_31.png</t>
  </si>
  <si>
    <t>Panabo City Health Office</t>
  </si>
  <si>
    <t>Poblacion, Panabo City Davao del Norte</t>
  </si>
  <si>
    <t>MAINTENANCE
TROUBLESHOOTING
ON-SITE ASSISTANCE</t>
  </si>
  <si>
    <t>nadineeust67@gmail.com</t>
  </si>
  <si>
    <t xml:space="preserve">ASSAY: Xpert MTB/RIF Ultra, COUNT: 2190
</t>
  </si>
  <si>
    <t>For Preventive Maintenance
Barcode reader error</t>
  </si>
  <si>
    <t>Clean Surface Area, Cartridge Bay, Plunger Rod, Fan Filters and Icore Lenses
Generate IQR, Assay Stat and System Log
Check the Barcode if it is operational</t>
  </si>
  <si>
    <t>Perform Preventive Maintenance and Troubleshooting</t>
  </si>
  <si>
    <t>All Modules are operational
Barcode reader is  operational</t>
  </si>
  <si>
    <t>https://www.jotform.com/uploads/macarewecare/222927978372067/6461635238453965958/6461635238453965958_signature_28.png</t>
  </si>
  <si>
    <t>Nadine Gemma Eustaquio,. RMT</t>
  </si>
  <si>
    <t>https://www.jotform.com/uploads/macarewecare/222927978372067/6461635238453965958/6461635238453965958_signature_31.png</t>
  </si>
  <si>
    <t>Palayan City Health Office</t>
  </si>
  <si>
    <t>Singalat, Palayan City, Nueva Ecija</t>
  </si>
  <si>
    <t>riazarizzamae@gmail.com</t>
  </si>
  <si>
    <t xml:space="preserve">ASSAY: Xpert MTB/RIF Ultra, COUNT: 684
</t>
  </si>
  <si>
    <t>Performed Calibration
(All Modules Passed)</t>
  </si>
  <si>
    <t>https://www.jotform.com/uploads/macarewecare/222927978372067/6461618334127284726/6461618334127284726_signature_28.png</t>
  </si>
  <si>
    <t>Rizza Mae Lagazo</t>
  </si>
  <si>
    <t>https://www.jotform.com/uploads/macarewecare/222927978372067/6461618334127284726/6461618334127284726_signature_31.png</t>
  </si>
  <si>
    <t>https://www.jotform.com/uploads/macarewecare/222927978372067/6461582283586213824/6461582283586213824_signature_28.png</t>
  </si>
  <si>
    <t>https://www.jotform.com/uploads/macarewecare/222927978372067/6461582283586213824/6461582283586213824_signature_31.png</t>
  </si>
  <si>
    <t>Cebu Tb Reference Lab-SRP</t>
  </si>
  <si>
    <t>SRP-Cebu</t>
  </si>
  <si>
    <t>Due Date for XPC</t>
  </si>
  <si>
    <t>Site Visit/PM
Gather data IQR, System log</t>
  </si>
  <si>
    <t>Systems operational
Waiting Approval of Cephied to perform XPC calibration</t>
  </si>
  <si>
    <t>https://www.jotform.com/uploads/macarewecare/222927978372067/6461581143581799211/6461581143581799211_signature_28.png</t>
  </si>
  <si>
    <t>Allan Mantiquilla</t>
  </si>
  <si>
    <t>https://www.jotform.com/uploads/macarewecare/222927978372067/6461581143581799211/6461581143581799211_signature_31.png</t>
  </si>
  <si>
    <t>Baliuag District Hospital</t>
  </si>
  <si>
    <t>reyeshannahxx@gmail.com</t>
  </si>
  <si>
    <t>Unit is operational
Unit is dur for calibration (28 Feb 2026)</t>
  </si>
  <si>
    <t>https://www.jotform.com/uploads/macarewecare/222927978372067/6460846458304561985/6460846458304561985_signature_28.png</t>
  </si>
  <si>
    <t>Hannah Reyes - Fajardo</t>
  </si>
  <si>
    <t>https://www.jotform.com/uploads/macarewecare/222927978372067/6460846458304561985/6460846458304561985_signature_31.png</t>
  </si>
  <si>
    <t>Checked unit Workstation</t>
  </si>
  <si>
    <t>Unit is not operational
Unable to perform XpertCheck due to workstation problem</t>
  </si>
  <si>
    <t>https://www.jotform.com/uploads/macarewecare/222927978372067/6460825615425615345/6460825615425615345_signature_28.png</t>
  </si>
  <si>
    <t>https://www.jotform.com/uploads/macarewecare/222927978372067/6460825615425615345/6460825615425615345_signature_31.png</t>
  </si>
  <si>
    <t>Tuburan rural health unit</t>
  </si>
  <si>
    <t>Poblacion Tuburan Cebu</t>
  </si>
  <si>
    <t>romero_rissa@yahoo.com</t>
  </si>
  <si>
    <t>GXIV 6 C</t>
  </si>
  <si>
    <t>Site Visit</t>
  </si>
  <si>
    <t>. Save Installation Qualifications Report 
. Save System Log file
. Save Assay Statistics Report</t>
  </si>
  <si>
    <t>Perform preventive maintenance.</t>
  </si>
  <si>
    <t>All modules are functional ok to use.</t>
  </si>
  <si>
    <t>https://www.jotform.com/uploads/macarewecare/222927978372067/6460762297113238340/6460762297113238340_signature_28.png</t>
  </si>
  <si>
    <t>Rissa R. Diamante</t>
  </si>
  <si>
    <t>https://www.jotform.com/uploads/macarewecare/222927978372067/6460762297113238340/6460762297113238340_signature_31.png</t>
  </si>
  <si>
    <t>https://www.jotform.com/uploads/macarewecare/222927978372067/6460762277119460164/6460762277119460164_signature_28.png</t>
  </si>
  <si>
    <t>https://www.jotform.com/uploads/macarewecare/222927978372067/6460762277119460164/6460762277119460164_signature_31.png</t>
  </si>
  <si>
    <t>Tropical Disease Foundation</t>
  </si>
  <si>
    <t>Amorsolo st., Makati</t>
  </si>
  <si>
    <t>krcueno@tdf.org.ph</t>
  </si>
  <si>
    <t>wlsalarda@tdf.org.ph</t>
  </si>
  <si>
    <t xml:space="preserve">ASSAY: Xpert HIV-1 Viral Load, COUNT: 14
ASSAY: Xpert MTB/RIF Ultra, COUNT: 196
ASSAY: Xpert MTB-XDR, COUNT: 33
</t>
  </si>
  <si>
    <t>https://www.jotform.com/uploads/macarewecare/222927978372067/6460751151324289825/6460751151324289825_signature_28.png</t>
  </si>
  <si>
    <t>Wyeth Kevin Salarda</t>
  </si>
  <si>
    <t>https://www.jotform.com/uploads/macarewecare/222927978372067/6460751151324289825/6460751151324289825_signature_31.png</t>
  </si>
  <si>
    <t>Quezon Avenue,QC</t>
  </si>
  <si>
    <t>GX4 D(10C)</t>
  </si>
  <si>
    <t>Delivered and installed unit
Checked voltage output 
Checked accessories complete
Upload ADF
Generate IQR
Test run unit ok</t>
  </si>
  <si>
    <t>https://www.jotform.com/uploads/macarewecare/222927978372067/6460750661326812986/6460750661326812986_signature_28.png</t>
  </si>
  <si>
    <t>https://www.jotform.com/uploads/macarewecare/222927978372067/6460750661326812986/6460750661326812986_signature_31.png</t>
  </si>
  <si>
    <t>Amorsolo st  Makati</t>
  </si>
  <si>
    <t>aiza.pelayo@medilinx.com.ph</t>
  </si>
  <si>
    <t xml:space="preserve">ASSAY: Xpert BCR-ABL Ultra, COUNT: 275
ASSAY: Xpert C. difficile BT, COUNT: 1
ASSAY: Others, COUNT: 2
ASSAY: Xpert CT/NG, COUNT: 716
ASSAY: Others, COUNT: 2
ASSAY: Xpert HBV VL, COUNT: 108
ASSAY: Xpert HIV-1 Viral Load, COUNT: 10
ASSAY: Xpert HPV, COUNT: 418
ASSAY: Xpert MTB/RIF Ultra, COUNT: 3827
ASSAY: Others, COUNT: 20
ASSAY: Xpert HCV VL, COUNT: 193
ASSAY: Xpert HIV-1 Viral Load, COUNT: 1744
ASSAY: Xpress SARS-CoV-2_Flu_RSV plus, COUNT: 12
</t>
  </si>
  <si>
    <t>GX16 D 10C</t>
  </si>
  <si>
    <t>A1 disabled
15 modules operational</t>
  </si>
  <si>
    <t>https://www.jotform.com/uploads/macarewecare/222927978372067/6460749811327573927/6460749811327573927_signature_28.png</t>
  </si>
  <si>
    <t>Aiza Pelayo</t>
  </si>
  <si>
    <t>https://www.jotform.com/uploads/macarewecare/222927978372067/6460749811327573927/6460749811327573927_signature_31.png</t>
  </si>
  <si>
    <t>Xpertcheck 
Preventive maintenance</t>
  </si>
  <si>
    <t>Unit is operational 
Passed Calibration 
C1:787181
C2:210011996
C4:692832
Failed Calibration 
C3: 210068087</t>
  </si>
  <si>
    <t>C3: 210068087 for reporting and replacement</t>
  </si>
  <si>
    <t>https://www.jotform.com/uploads/macarewecare/222927978372067/6460722913412673032/6460722913412673032_signature_28.png</t>
  </si>
  <si>
    <t>Maria Rowena T. Punsalan</t>
  </si>
  <si>
    <t>https://www.jotform.com/uploads/macarewecare/222927978372067/6460722913412673032/6460722913412673032_signature_31.png</t>
  </si>
  <si>
    <t>Mindanao central sanitarium</t>
  </si>
  <si>
    <t>TROUBLESHOOTING
Genexpert and system unit assessment</t>
  </si>
  <si>
    <t>Cpu unable to boot up properly, monitor lcd broken, 2 modules are down.</t>
  </si>
  <si>
    <t>Genexpert machine and system unit assessment. Cpu and monitor already been troubleshoot and must be replaced immediately.</t>
  </si>
  <si>
    <t>Genexpert machine and system unit assessment. Troubleshooted system unit due to unable to start up properly.</t>
  </si>
  <si>
    <t>Broken monitor with serial number CNK831071F and a broken system unit with a serial number 2UA8471RTK for replacement and has been reported and confirmed by the end user. 2 new modules are already in site with a serial number of 865399 and 805020 that needs to be serviced.</t>
  </si>
  <si>
    <t>Monitor and cpu are on the way as per end user, while 2 new modules are already in the laboratory but not have been replaced yet.</t>
  </si>
  <si>
    <t>https://www.jotform.com/uploads/macarewecare/222927978372067/6460662933186850314/6460662933186850314_signature_28.png</t>
  </si>
  <si>
    <t>https://www.jotform.com/uploads/macarewecare/222927978372067/6460662933186850314/6460662933186850314_signature_31.png</t>
  </si>
  <si>
    <t>Malita Rural Health Unit</t>
  </si>
  <si>
    <t>Poblacion, Malita Davao Occidental</t>
  </si>
  <si>
    <t>Davao Occidental</t>
  </si>
  <si>
    <t>erguerrostella@gmail.com</t>
  </si>
  <si>
    <t>rhumalitalaboratory@gmail.com</t>
  </si>
  <si>
    <t>Errors at Four Modules
Due For Preventive Maintenance</t>
  </si>
  <si>
    <t>Module 1 and 2 - Disabled
Only Module 3 and 4 are working and for under observation</t>
  </si>
  <si>
    <t>Data and other documentation recorded and send to higherups for further assessment</t>
  </si>
  <si>
    <t>https://www.jotform.com/uploads/macarewecare/222927978372067/6460013190772539270/6460013190772539270_signature_28.png</t>
  </si>
  <si>
    <t>Maria Stella E. Solitana</t>
  </si>
  <si>
    <t>https://www.jotform.com/uploads/macarewecare/222927978372067/6460013190772539270/6460013190772539270_signature_31.png</t>
  </si>
  <si>
    <t>uermbloodbank@gmail.com</t>
  </si>
  <si>
    <t>13C270</t>
  </si>
  <si>
    <t>Unit is operational
Calibration parameters are within normal range</t>
  </si>
  <si>
    <t>https://www.jotform.com/uploads/macarewecare/222927978372067/6459927493231399435/6459927493231399435_signature_28.png</t>
  </si>
  <si>
    <t>Ruel</t>
  </si>
  <si>
    <t>https://www.jotform.com/uploads/macarewecare/222927978372067/6459927493231399435/6459927493231399435_signature_31.png</t>
  </si>
  <si>
    <t>Medi Linx Laboratory Inc. ( CLDH)</t>
  </si>
  <si>
    <t>Hospital Drive Brgy San Vicente Tarlac City</t>
  </si>
  <si>
    <t>Due for Monthly PMS</t>
  </si>
  <si>
    <t>Preventive maintenance</t>
  </si>
  <si>
    <t>Performed surface cleaning 
Performed cleaning of plunger rod, cartridge bay, icore and filter 
Archived test results 
Performed functionality test 
Gathered reports</t>
  </si>
  <si>
    <t>Unit is operational except module C2:62096 fir module replacement</t>
  </si>
  <si>
    <t>https://www.jotform.com/uploads/macarewecare/222927978372067/6459923546415929983/6459923546415929983_signature_28.png</t>
  </si>
  <si>
    <t>https://www.jotform.com/uploads/macarewecare/222927978372067/6459923546415929983/6459923546415929983_signature_31.png</t>
  </si>
  <si>
    <t>Hospital drive Brgy. San Vicente Tarlac City</t>
  </si>
  <si>
    <t>Unit is operational except module B4:738203 for Module replacement</t>
  </si>
  <si>
    <t>https://www.jotform.com/uploads/macarewecare/222927978372067/6459923016414324690/6459923016414324690_signature_28.png</t>
  </si>
  <si>
    <t>https://www.jotform.com/uploads/macarewecare/222927978372067/6459923016414324690/6459923016414324690_signature_31.png</t>
  </si>
  <si>
    <t>Poblacion Toledo City,Cebu</t>
  </si>
  <si>
    <t>mljlongakit@gmail.com</t>
  </si>
  <si>
    <t>Always booting module B4 653904.</t>
  </si>
  <si>
    <t>.Save Installation Qualifications Report 
. Save system log file.
. Save Assay Statistics Report</t>
  </si>
  <si>
    <t>Perform self test not functioning always booting.</t>
  </si>
  <si>
    <t>Module B1,2,3 are functional 
.Not ok to use module B4</t>
  </si>
  <si>
    <t>https://www.jotform.com/uploads/macarewecare/222927978372067/6459915554513489821/6459915554513489821_signature_28.png</t>
  </si>
  <si>
    <t>Lorie Mae Diapen-Longakit</t>
  </si>
  <si>
    <t>https://www.jotform.com/uploads/macarewecare/222927978372067/6459915554513489821/6459915554513489821_signature_31.png</t>
  </si>
  <si>
    <t>Isabela city health office</t>
  </si>
  <si>
    <t>Isabela, Basilan</t>
  </si>
  <si>
    <t>MAINTENANCE
Genexpert and system unit assessment.</t>
  </si>
  <si>
    <t>reynantemontano@yahoo.com</t>
  </si>
  <si>
    <t xml:space="preserve">ASSAY: Xpert MTB/RIF Ultra, COUNT: 1210
</t>
  </si>
  <si>
    <t>Module 3 failed the xpertcheck last April 13, 2025 and not yet been replaced.</t>
  </si>
  <si>
    <t>Preventive Maintenence, assessment of Genexpert Machine and the system unit.</t>
  </si>
  <si>
    <t>Module 3 pending for replacement due to xpertcheck result last April 2025. Xpertcheck calibration due date is April 2026.</t>
  </si>
  <si>
    <t>https://www.jotform.com/uploads/macarewecare/222927978372067/6459900689864310063/6459900689864310063_signature_28.png</t>
  </si>
  <si>
    <t>Reynante Montaño</t>
  </si>
  <si>
    <t>https://www.jotform.com/uploads/macarewecare/222927978372067/6459900689864310063/6459900689864310063_signature_31.png</t>
  </si>
  <si>
    <t>Jaro Rural Health Unit</t>
  </si>
  <si>
    <t>Jaro Leyte</t>
  </si>
  <si>
    <t>tbdotslaboratoryjaroleyte@gmail.com</t>
  </si>
  <si>
    <t xml:space="preserve">ASSAY: Xpert MTB/RIF Ultra, COUNT: 75
</t>
  </si>
  <si>
    <t>GXIV 2</t>
  </si>
  <si>
    <t>CPU not turning ON</t>
  </si>
  <si>
    <t>https://www.jotform.com/uploads/macarewecare/222927978372067/6459893324536596517/6459893324536596517_signature_28.png</t>
  </si>
  <si>
    <t>Jocelyn Pagpaguitan</t>
  </si>
  <si>
    <t>https://www.jotform.com/uploads/macarewecare/222927978372067/6459893324536596517/6459893324536596517_signature_31.png</t>
  </si>
  <si>
    <t>Basilan General Hospital</t>
  </si>
  <si>
    <t>basgenlab@gmail.com</t>
  </si>
  <si>
    <t>Module 1 confirmed h/w failed and cannot be use.</t>
  </si>
  <si>
    <t>Preventive Maintenence for genexpert machine, condition assessment for genexpert machine and system unit including ups.</t>
  </si>
  <si>
    <t>Preventive Maintenence for genexpert machine, condition assessment for genexpert machine and system unit including ups. Checked module temperatures.</t>
  </si>
  <si>
    <t>Module 1 confirmed h/w failed and cannot be use. Over all assessment Genexpert machine all four modules need to undergo xpertcheck calibration.</t>
  </si>
  <si>
    <t>Requires calibration</t>
  </si>
  <si>
    <t>https://www.jotform.com/uploads/macarewecare/222927978372067/6459886469867162453/6459886469867162453_signature_28.png</t>
  </si>
  <si>
    <t>Ahmadil-kubaysi m. Sawadjaan</t>
  </si>
  <si>
    <t>https://www.jotform.com/uploads/macarewecare/222927978372067/6459886469867162453/6459886469867162453_signature_31.png</t>
  </si>
  <si>
    <t>St Luke's Medical Center</t>
  </si>
  <si>
    <t>E.Rodriguez</t>
  </si>
  <si>
    <t xml:space="preserve">ASSAY: Xpert CT/NG, COUNT: 223
ASSAY: Xpert MTB/RIF Ultra, COUNT: 2240
</t>
  </si>
  <si>
    <t>As per end user they encounter  intermittent temp error 1002 in B1 module</t>
  </si>
  <si>
    <t>Checked unit
Checked fan ok operational
Checked filter
Gathered reports</t>
  </si>
  <si>
    <t>B3,B4 disabled
B1 for reporting advise end user not to use b1 module due to temp error.
B2 in use</t>
  </si>
  <si>
    <t>https://www.jotform.com/uploads/macarewecare/222927978372067/6459882847121949016/6459882847121949016_signature_28.png</t>
  </si>
  <si>
    <t>https://www.jotform.com/uploads/macarewecare/222927978372067/6459882847121949016/6459882847121949016_signature_31.png</t>
  </si>
  <si>
    <t>https://www.jotform.com/uploads/macarewecare/222927978372067/6459842054517312835/6459842054517312835_signature_28.png</t>
  </si>
  <si>
    <t>https://www.jotform.com/uploads/macarewecare/222927978372067/6459842054517312835/6459842054517312835_signature_31.png</t>
  </si>
  <si>
    <t>INSTALLATION
MAINTENANCE
TROUBLESHOOTING</t>
  </si>
  <si>
    <t>GeneXpert machine installation.</t>
  </si>
  <si>
    <t>. Save system log file
. Save Installation Qualifications Report.
. Save Assay Statistics Report</t>
  </si>
  <si>
    <t>Install GeneXpert Machine
Install CPU
Install LCD
Install UPS</t>
  </si>
  <si>
    <t>https://www.jotform.com/uploads/macarewecare/222927978372067/6459835704511010203/6459835704511010203_signature_28.png</t>
  </si>
  <si>
    <t>https://www.jotform.com/uploads/macarewecare/222927978372067/6459835704511010203/6459835704511010203_signature_31.png</t>
  </si>
  <si>
    <t>Rizal Medical Center</t>
  </si>
  <si>
    <t>Pasig Blvd, Pasig City</t>
  </si>
  <si>
    <t>jadepelaez@gmail.com</t>
  </si>
  <si>
    <t>molecularlab@rmc.doh.gov.ph</t>
  </si>
  <si>
    <t xml:space="preserve">ASSAY: Xpert HPV, COUNT: 8
ASSAY: Xpert MTB/RIF Ultra, COUNT: 4783
ASSAY: Xpert HIV-1 Viral Load, COUNT: 182
</t>
  </si>
  <si>
    <t>For maintenance 
Error 5007 on modules B2 and B3</t>
  </si>
  <si>
    <t>Unit is operational. Modules B2 and B3 for reporting</t>
  </si>
  <si>
    <t>https://www.jotform.com/uploads/macarewecare/222927978372067/6459835553619221905/6459835553619221905_signature_28.png</t>
  </si>
  <si>
    <t>Justine Lorenz V. Falzado, RMT</t>
  </si>
  <si>
    <t>https://www.jotform.com/uploads/macarewecare/222927978372067/6459835553619221905/6459835553619221905_signature_31.png</t>
  </si>
  <si>
    <t>rmcbloodbank@gmail.com</t>
  </si>
  <si>
    <t>15H045G</t>
  </si>
  <si>
    <t>Run simulation 
Verified calibration parameters 
Checked rotor pumps 
Functionality test</t>
  </si>
  <si>
    <t>https://www.jotform.com/uploads/macarewecare/222927978372067/6459835553619794623/6459835553619794623_signature_28.png</t>
  </si>
  <si>
    <t>Ferdinand B. Barroga, RMT</t>
  </si>
  <si>
    <t>https://www.jotform.com/uploads/macarewecare/222927978372067/6459835553619794623/6459835553619794623_signature_31.png</t>
  </si>
  <si>
    <t xml:space="preserve">ASSAY: Xpert BCR-ABL Ultra, COUNT: 7
ASSAY: Xpert HPV, COUNT: 58
ASSAY: Xpert MTB/RIF Ultra, COUNT: 317
ASSAY: Xpert HIV-1 Viral Load, COUNT: 111
ASSAY: Xpress SARS-CoV-2_Flu_RSV plus, COUNT: 445
</t>
  </si>
  <si>
    <t>For maintenance 
Error 2034 and 4014 on module C3</t>
  </si>
  <si>
    <t>Unit is operational. Module C3 not operational. For reporting. Modules A2, A4, B1, B3, C4, D4 not operational. Reported already.</t>
  </si>
  <si>
    <t>https://www.jotform.com/uploads/macarewecare/222927978372067/6459835563613550847/6459835563613550847_signature_28.png</t>
  </si>
  <si>
    <t>Justine Lorenz Falzado, RMT</t>
  </si>
  <si>
    <t>https://www.jotform.com/uploads/macarewecare/222927978372067/6459835563613550847/6459835563613550847_signature_31.png</t>
  </si>
  <si>
    <t>Unit for preventive maintenance.
Loss communication error on module 4</t>
  </si>
  <si>
    <t>Preventive maintenance and troubleshooting.</t>
  </si>
  <si>
    <t>Performed Preventive Maintenance.
-Cleaned and disinfect plunger
-Cleaned and disinfect cartridge bay
-Cleaned and disinfect instrument surface
-Cleaned icore sensors
-Cleaned filter fan
-Archived test results
Generated reports.
Performed troubleshooting on module 4.</t>
  </si>
  <si>
    <t>Unit is operational. Module 4 has broken ultrasonic horn cable. Module 4 for replacement.</t>
  </si>
  <si>
    <t>https://www.jotform.com/uploads/macarewecare/222927978372067/6459789155338126613/6459789155338126613_signature_28.png</t>
  </si>
  <si>
    <t>https://www.jotform.com/uploads/macarewecare/222927978372067/6459789155338126613/6459789155338126613_signature_31.png</t>
  </si>
  <si>
    <t>vsmmcdeptpatho.genexpert@gmail.com</t>
  </si>
  <si>
    <t xml:space="preserve">ASSAY: Xpert HPV, COUNT: 30
ASSAY: Xpert MTB/RIF Ultra, COUNT: 2675
</t>
  </si>
  <si>
    <t>Module A2 and A4 encountered error 5007</t>
  </si>
  <si>
    <t>https://www.jotform.com/uploads/macarewecare/222927978372067/6459744288022993051/6459744288022993051_signature_28.png</t>
  </si>
  <si>
    <t>Leah Karen Noynay</t>
  </si>
  <si>
    <t>https://www.jotform.com/uploads/macarewecare/222927978372067/6459744288022993051/6459744288022993051_signature_31.png</t>
  </si>
  <si>
    <t>Tampakan Rural Health Unit</t>
  </si>
  <si>
    <t>Poblacion Tampakan, South Cotabato</t>
  </si>
  <si>
    <t>jmedtech_lab@yahoo.com</t>
  </si>
  <si>
    <t xml:space="preserve">ASSAY: Xpert MTB/RIF Ultra, COUNT: 879
</t>
  </si>
  <si>
    <t>GxlV-6C</t>
  </si>
  <si>
    <t>Perform Genexpert machine cleaning and maintenance
Module cleaning
Plunger rod and optics cleaning
Fan and filter cleaning
Checking of module cleaning
Data collection</t>
  </si>
  <si>
    <t>Perform Genexpert machine preventive maintenance</t>
  </si>
  <si>
    <t>https://www.jotform.com/uploads/macarewecare/222927978372067/6459327107327319386/6459327107327319386_signature_28.png</t>
  </si>
  <si>
    <t>Jovi Gelio</t>
  </si>
  <si>
    <t>https://www.jotform.com/uploads/macarewecare/222927978372067/6459327107327319386/6459327107327319386_signature_31.png</t>
  </si>
  <si>
    <t>Alang Alang Rural Health Unit</t>
  </si>
  <si>
    <t>Alang- Alang Leyte</t>
  </si>
  <si>
    <t>vinagatela@yahoo.com</t>
  </si>
  <si>
    <t xml:space="preserve">ASSAY: Xpert MTB/RIF Ultra, COUNT: 665
</t>
  </si>
  <si>
    <t>Error 2123: Lost Communication</t>
  </si>
  <si>
    <t>TROUBLESHOOTING 
Check Module Connections
  - Properly connected 
Check Environmental Conditions  
Check Network and Security Settings
 - Disabled both private and public network
Check System Performance
Check Gateway Board Revision
Check Ultrasonic Horn Cable
 - No problem encountered 
Check power supply 
 - 24VDC output 
Check the F1 fuse on the module
- Connected 
- Preformed self test
- Preformed Preventive Maintenance 
- Temporary change UPS due to low voltage output
- Change CMOS battery</t>
  </si>
  <si>
    <t>Low voltage output UPS</t>
  </si>
  <si>
    <t>https://www.jotform.com/uploads/macarewecare/222927978372067/6459123731617976701/6459123731617976701_signature_28.png</t>
  </si>
  <si>
    <t>Vina Milagros G. Villanueva</t>
  </si>
  <si>
    <t>https://www.jotform.com/uploads/macarewecare/222927978372067/6459123731617976701/6459123731617976701_signature_31.png</t>
  </si>
  <si>
    <t>Gather data IQR</t>
  </si>
  <si>
    <t>Gather data IQR
Check machine capability</t>
  </si>
  <si>
    <t>Systems operational
Minimal slow CPU speed</t>
  </si>
  <si>
    <t>https://www.jotform.com/uploads/macarewecare/222927978372067/6459062213518196640/6459062213518196640_signature_28.png</t>
  </si>
  <si>
    <t>https://www.jotform.com/uploads/macarewecare/222927978372067/6459062213518196640/6459062213518196640_signature_31.png</t>
  </si>
  <si>
    <t>Jacinto St,. Davao City</t>
  </si>
  <si>
    <t xml:space="preserve">ASSAY: Xpert MTB/RIF Ultra, COUNT: 405
ASSAY: Xpert HIV-1 Viral Load, COUNT: 3245
</t>
  </si>
  <si>
    <t>Module 3 encounter multiple temperature related errors module is currently disable.
Only Three Modules are working</t>
  </si>
  <si>
    <t>https://www.jotform.com/uploads/macarewecare/222927978372067/6459051041416182426/6459051041416182426_signature_28.png</t>
  </si>
  <si>
    <t>Kent ferolin</t>
  </si>
  <si>
    <t>https://www.jotform.com/uploads/macarewecare/222927978372067/6459051041416182426/6459051041416182426_signature_31.png</t>
  </si>
  <si>
    <t>https://www.jotform.com/uploads/macarewecare/222927978372067/6459050491418046750/6459050491418046750_signature_28.png</t>
  </si>
  <si>
    <t>https://www.jotform.com/uploads/macarewecare/222927978372067/6459050491418046750/6459050491418046750_signature_31.png</t>
  </si>
  <si>
    <t>Likhaan Center For Women’s Health</t>
  </si>
  <si>
    <t>clatras@likhaan.org</t>
  </si>
  <si>
    <t>Na</t>
  </si>
  <si>
    <t>Unit is operational
No hardware related errors found</t>
  </si>
  <si>
    <t>https://www.jotform.com/uploads/macarewecare/222927978372067/6459048718022139716/6459048718022139716_signature_28.png</t>
  </si>
  <si>
    <t>Jocelyn Latras</t>
  </si>
  <si>
    <t>https://www.jotform.com/uploads/macarewecare/222927978372067/6459048718022139716/6459048718022139716_signature_31.png</t>
  </si>
  <si>
    <t>https://www.jotform.com/uploads/macarewecare/222927978372067/6459038544615993868/6459038544615993868_signature_28.png</t>
  </si>
  <si>
    <t>https://www.jotform.com/uploads/macarewecare/222927978372067/6459038544615993868/6459038544615993868_signature_31.png</t>
  </si>
  <si>
    <t>Libacao Rural Health Unit</t>
  </si>
  <si>
    <t>Libacao, Aklan</t>
  </si>
  <si>
    <t>Aklan</t>
  </si>
  <si>
    <t>haladeeb18@gmail.com</t>
  </si>
  <si>
    <t>- Replaced batteries for UPS - 2 pcs. 12V 7AH
- Replaced LCD with brand new LCD monitor with SN H22V8VL658A250716622</t>
  </si>
  <si>
    <t>- 4 modules operational 
- damaged USB cable for Barcode Scanner</t>
  </si>
  <si>
    <t>https://www.jotform.com/uploads/macarewecare/222927978372067/6458951220123969696/6458951220123969696_signature_28.png</t>
  </si>
  <si>
    <t>Maria Hala Deeb Zaulda</t>
  </si>
  <si>
    <t>https://www.jotform.com/uploads/macarewecare/222927978372067/6458951220123969696/6458951220123969696_signature_31.png</t>
  </si>
  <si>
    <t>Poblacion,  Tabaco City</t>
  </si>
  <si>
    <t xml:space="preserve">ASSAY: Xpert MTB/RIF Ultra, COUNT: 4980
ASSAY: Xpert MTB-XDR, COUNT: 60
</t>
  </si>
  <si>
    <t>Cleaned cartridge bays, plunger rod, icore 
Generate Data</t>
  </si>
  <si>
    <t>Unit is operational 
All modules are Operational</t>
  </si>
  <si>
    <t>https://www.jotform.com/uploads/macarewecare/222927978372067/6458524796013892064/6458524796013892064_signature_28.png</t>
  </si>
  <si>
    <t>Ely Joy Hilario-Cao</t>
  </si>
  <si>
    <t>https://www.jotform.com/uploads/macarewecare/222927978372067/6458524796013892064/6458524796013892064_signature_31.png</t>
  </si>
  <si>
    <t>Masbate City Health Office</t>
  </si>
  <si>
    <t>City Hall Compound, Masbate City</t>
  </si>
  <si>
    <t>deosenovilla@gmail.com</t>
  </si>
  <si>
    <t xml:space="preserve">ASSAY: Xpert MTB/RIF Ultra, COUNT: 1862
ASSAY: Xpert MTB-XDR, COUNT: 52
</t>
  </si>
  <si>
    <t>Gx for Calibration 
Gx for Preventive Maintenance</t>
  </si>
  <si>
    <t>XpertCheck Result:
   A1/210121669 - passed
   A2/210122064 - passed
   A3/210117513 - passed
   A4/210120091 - passed
Cleaned cartridge bays, plunger rod 
Generate Data</t>
  </si>
  <si>
    <t>Performed XpertCheck 
Performed Preventive Maintenance</t>
  </si>
  <si>
    <t>All 4-modules passed XpertCheck Calibration</t>
  </si>
  <si>
    <t>https://www.jotform.com/uploads/macarewecare/222927978372067/6458508706019220091/6458508706019220091_signature_28.png</t>
  </si>
  <si>
    <t>Deosenia Tabo</t>
  </si>
  <si>
    <t>https://www.jotform.com/uploads/macarewecare/222927978372067/6458508706019220091/6458508706019220091_signature_31.png</t>
  </si>
  <si>
    <t>Manuel J. Santos Hospital</t>
  </si>
  <si>
    <t>554 Montilla Blvd, Butuan City</t>
  </si>
  <si>
    <t>Agusan del Norte</t>
  </si>
  <si>
    <t>biomed@mjsantos.com.ph</t>
  </si>
  <si>
    <t>2 modules found service required in XpertCheck Calibration, 2 modules was found an error in temperature. All modules are no longer working and in need of replacement.</t>
  </si>
  <si>
    <t>Troubleshooting</t>
  </si>
  <si>
    <t>All module are no longer functional.
Other peripherals are working.</t>
  </si>
  <si>
    <t>4 modules ( 1,2,3 and 4) are in need of module replacement.</t>
  </si>
  <si>
    <t>https://www.jotform.com/uploads/macarewecare/222927978372067/6458300391473442314/6458300391473442314_signature_28.png</t>
  </si>
  <si>
    <t>https://www.jotform.com/uploads/macarewecare/222927978372067/6458300391473442314/6458300391473442314_signature_31.png</t>
  </si>
  <si>
    <t>Best Diagnostic Corp.</t>
  </si>
  <si>
    <t>Masikap st,QC</t>
  </si>
  <si>
    <t>arvinrealr@gmail.com</t>
  </si>
  <si>
    <t xml:space="preserve">ASSAY: Xpert CT/NG, COUNT: 2
ASSAY: Xpert HBV VL, COUNT: 11
ASSAY: Xpert HIV-1 Viral Load, COUNT: 1
ASSAY: Xpert MTB/RIF Ultra, COUNT: 1
ASSAY: Xpert HCV VL, COUNT: 2
</t>
  </si>
  <si>
    <t>As per end user they encounter workstation booting and due for maintenance</t>
  </si>
  <si>
    <t>Reset workstation
Cleaned unit
Cleaned plunger rod,filter,icore,cartridge bay
Gathered reports
Test run unit</t>
  </si>
  <si>
    <t>Performed troubleshooting and performed maintenance</t>
  </si>
  <si>
    <t>Oprational</t>
  </si>
  <si>
    <t>https://www.jotform.com/uploads/macarewecare/222927978372067/6458230763613395890/6458230763613395890_signature_28.png</t>
  </si>
  <si>
    <t>Best Diagnostic Corp</t>
  </si>
  <si>
    <t>https://www.jotform.com/uploads/macarewecare/222927978372067/6458230763613395890/6458230763613395890_signature_31.png</t>
  </si>
  <si>
    <t>San Manuel Rural Health Unit</t>
  </si>
  <si>
    <t>San Manuel, Pangasinan</t>
  </si>
  <si>
    <t>serly_reyes@yahoo.com</t>
  </si>
  <si>
    <t>https://www.jotform.com/uploads/macarewecare/222927978372067/6458115652116027458/6458115652116027458_signature_28.png</t>
  </si>
  <si>
    <t>Serly Galamgam</t>
  </si>
  <si>
    <t>https://www.jotform.com/uploads/macarewecare/222927978372067/6458115652116027458/6458115652116027458_signature_31.png</t>
  </si>
  <si>
    <t>https://www.jotform.com/uploads/macarewecare/222927978372067/6458114532117329423/6458114532117329423_signature_28.png</t>
  </si>
  <si>
    <t>https://www.jotform.com/uploads/macarewecare/222927978372067/6458114532117329423/6458114532117329423_signature_31.png</t>
  </si>
  <si>
    <t>Mangaldan Rural Health Unit</t>
  </si>
  <si>
    <t>Mangaldan, Pangasinan</t>
  </si>
  <si>
    <t>arleneabad32@gmail.com</t>
  </si>
  <si>
    <t>https://www.jotform.com/uploads/macarewecare/222927978372067/6458113712118101922/6458113712118101922_signature_28.png</t>
  </si>
  <si>
    <t>Arlene Abad</t>
  </si>
  <si>
    <t>https://www.jotform.com/uploads/macarewecare/222927978372067/6458113712118101922/6458113712118101922_signature_31.png</t>
  </si>
  <si>
    <t>Pozorrubio Rural Health Unit</t>
  </si>
  <si>
    <t>Pozorrubio, Pangasinan</t>
  </si>
  <si>
    <t>rhupozlab@gmail.com</t>
  </si>
  <si>
    <t>https://www.jotform.com/uploads/macarewecare/222927978372067/6458112112114843801/6458112112114843801_signature_28.png</t>
  </si>
  <si>
    <t>Azellamie V Castro</t>
  </si>
  <si>
    <t>https://www.jotform.com/uploads/macarewecare/222927978372067/6458112112114843801/6458112112114843801_signature_31.png</t>
  </si>
  <si>
    <t>Dagupan City Health Office</t>
  </si>
  <si>
    <t>kath101278@gmail.com</t>
  </si>
  <si>
    <t>https://www.jotform.com/uploads/macarewecare/222927978372067/6458102002118980943/6458102002118980943_signature_28.png</t>
  </si>
  <si>
    <t>Katherine Guarin</t>
  </si>
  <si>
    <t>https://www.jotform.com/uploads/macarewecare/222927978372067/6458102002118980943/6458102002118980943_signature_31.png</t>
  </si>
  <si>
    <t>Rosales Rural Health Unit</t>
  </si>
  <si>
    <t>Rosales, Pangasinan</t>
  </si>
  <si>
    <t>allan.vinluan2013@gmail.com</t>
  </si>
  <si>
    <t>https://www.jotform.com/uploads/macarewecare/222927978372067/6458101012113944746/6458101012113944746_signature_28.png</t>
  </si>
  <si>
    <t>Allan Vinluan</t>
  </si>
  <si>
    <t>https://www.jotform.com/uploads/macarewecare/222927978372067/6458101012113944746/6458101012113944746_signature_31.png</t>
  </si>
  <si>
    <t>Pangasinan Provincial Hospital</t>
  </si>
  <si>
    <t>Bulingit, San Carlos City</t>
  </si>
  <si>
    <t>judzfm@gmail.com</t>
  </si>
  <si>
    <t>https://www.jotform.com/uploads/macarewecare/222927978372067/6458098692115099257/6458098692115099257_signature_28.png</t>
  </si>
  <si>
    <t>Judy Ann Mabunga</t>
  </si>
  <si>
    <t>https://www.jotform.com/uploads/macarewecare/222927978372067/6458098692115099257/6458098692115099257_signature_31.png</t>
  </si>
  <si>
    <t>Bonuan Binloc, Dagupan City</t>
  </si>
  <si>
    <t>Unit is Partially Operational 
Module A2 and D3 Disabled</t>
  </si>
  <si>
    <t>For Observation</t>
  </si>
  <si>
    <t>https://www.jotform.com/uploads/macarewecare/222927978372067/6458095532117432125/6458095532117432125_signature_28.png</t>
  </si>
  <si>
    <t>Mark Lawrence B. Reyes</t>
  </si>
  <si>
    <t>https://www.jotform.com/uploads/macarewecare/222927978372067/6458095532117432125/6458095532117432125_signature_31.png</t>
  </si>
  <si>
    <t>For Preventive Maintenance and XpertCheck</t>
  </si>
  <si>
    <t>Performed Preventive Maintenance and Xper</t>
  </si>
  <si>
    <t>Unit is Fully Operational 
All Modules passed XpertCheck</t>
  </si>
  <si>
    <t>DR 13646</t>
  </si>
  <si>
    <t>https://www.jotform.com/uploads/macarewecare/222927978372067/6458094022113412548/6458094022113412548_signature_28.png</t>
  </si>
  <si>
    <t>Mark lawrence B. Reyes</t>
  </si>
  <si>
    <t>https://www.jotform.com/uploads/macarewecare/222927978372067/6458094022113412548/6458094022113412548_signature_31.png</t>
  </si>
  <si>
    <t>Batis Health Center</t>
  </si>
  <si>
    <t>F. Manalo St. San Juan</t>
  </si>
  <si>
    <t>almacenaio16@gmail.com</t>
  </si>
  <si>
    <t xml:space="preserve">ASSAY: Others, COUNT: 26
ASSAY: Xpert MTB/RIF Ultra, COUNT: 1767
ASSAY: Xpert HIV-1 Viral Load, COUNT: 210
</t>
  </si>
  <si>
    <t>Unit is operational. Module A3 not operational. For reporting.</t>
  </si>
  <si>
    <t>https://www.jotform.com/uploads/macarewecare/222927978372067/6458054073611689021/6458054073611689021_signature_28.png</t>
  </si>
  <si>
    <t>Rosario T. Almacen</t>
  </si>
  <si>
    <t>https://www.jotform.com/uploads/macarewecare/222927978372067/6458054073611689021/6458054073611689021_signature_31.png</t>
  </si>
  <si>
    <t>Banlat Health Center</t>
  </si>
  <si>
    <t>Felicia st.,San Antonio homes</t>
  </si>
  <si>
    <t>Workstation no power</t>
  </si>
  <si>
    <t>Check workstation 
Replaced power cord and checked all connection
Checked power supply.</t>
  </si>
  <si>
    <t>Performed teoubleshooting</t>
  </si>
  <si>
    <t>Unit unoperational
Defective workstation</t>
  </si>
  <si>
    <t>https://www.jotform.com/uploads/macarewecare/222927978372067/6457891934217595921/6457891934217595921_signature_28.png</t>
  </si>
  <si>
    <t>https://www.jotform.com/uploads/macarewecare/222927978372067/6457891934217595921/6457891934217595921_signature_31.png</t>
  </si>
  <si>
    <t>Philippine Red Cross - Cagayan de Oro Chapter</t>
  </si>
  <si>
    <t>Capitol Grounds, Cagayan de Oro City</t>
  </si>
  <si>
    <t>REPAIR
MAINTENANCE
TROUBLESHOOTING
ON-SITE ASSISTANCE</t>
  </si>
  <si>
    <t>mrbc2@redcross.org.ph</t>
  </si>
  <si>
    <t>02H080</t>
  </si>
  <si>
    <t>Error at pump motors</t>
  </si>
  <si>
    <t>Check and replace fhe roller pumps and assay
Check the parameters of line sensor, SPM and DPM Values, weigher and cuff values
Run cycle test</t>
  </si>
  <si>
    <t>Troubleshooting the machine</t>
  </si>
  <si>
    <t>https://www.jotform.com/uploads/macarewecare/222927978372067/6457491258518638799/6457491258518638799_signature_28.png</t>
  </si>
  <si>
    <t>Sheloah Emmanuelle Seriña</t>
  </si>
  <si>
    <t>https://www.jotform.com/uploads/macarewecare/222927978372067/6457491258518638799/6457491258518638799_signature_31.png</t>
  </si>
  <si>
    <t>https://www.jotform.com/uploads/macarewecare/222927978372067/6457491228514316148/6457491228514316148_signature_28.png</t>
  </si>
  <si>
    <t>https://www.jotform.com/uploads/macarewecare/222927978372067/6457491228514316148/6457491228514316148_signature_31.png</t>
  </si>
  <si>
    <t xml:space="preserve">ASSAY: Xpert MTB/RIF Ultra, COUNT: 594
ASSAY: Xpert MTB-XDR, COUNT: 31
</t>
  </si>
  <si>
    <t>https://www.jotform.com/uploads/macarewecare/222927978372067/6455609907211682753/6455609907211682753_signature_28.png</t>
  </si>
  <si>
    <t>https://www.jotform.com/uploads/macarewecare/222927978372067/6455609907211682753/6455609907211682753_signature_31.png</t>
  </si>
  <si>
    <t>Shoe Avenue, Marikina City</t>
  </si>
  <si>
    <t xml:space="preserve">ASSAY: Xpert MTB/RIF Ultra, COUNT: 830
</t>
  </si>
  <si>
    <t>https://www.jotform.com/uploads/macarewecare/222927978372067/6455609907213800468/6455609907213800468_signature_28.png</t>
  </si>
  <si>
    <t>https://www.jotform.com/uploads/macarewecare/222927978372067/6455609907213800468/6455609907213800468_signature_31.png</t>
  </si>
  <si>
    <t>Shoe Ave., Marikina City</t>
  </si>
  <si>
    <t xml:space="preserve">ASSAY: Xpert MTB/RIF Ultra, COUNT: 1633
</t>
  </si>
  <si>
    <t>Module A2 not detected</t>
  </si>
  <si>
    <t>Unit is operational. Module A2 not operational.</t>
  </si>
  <si>
    <t>https://www.jotform.com/uploads/macarewecare/222927978372067/6455609897212682412/6455609897212682412_signature_28.png</t>
  </si>
  <si>
    <t>https://www.jotform.com/uploads/macarewecare/222927978372067/6455609897212682412/6455609897212682412_signature_31.png</t>
  </si>
  <si>
    <t>https://www.jotform.com/uploads/macarewecare/222927978372067/6455609897219889245/6455609897219889245_signature_28.png</t>
  </si>
  <si>
    <t>https://www.jotform.com/uploads/macarewecare/222927978372067/6455609897219889245/6455609897219889245_signature_31.png</t>
  </si>
  <si>
    <t xml:space="preserve">ASSAY: Xpert MTB/RIF Ultra, COUNT: 864
ASSAY: Xpert MTB-XDR, COUNT: 2
</t>
  </si>
  <si>
    <t>for maintenance</t>
  </si>
  <si>
    <t>https://www.jotform.com/uploads/macarewecare/222927978372067/6455609907213826738/6455609907213826738_signature_28.png</t>
  </si>
  <si>
    <t>https://www.jotform.com/uploads/macarewecare/222927978372067/6455609907213826738/6455609907213826738_signature_31.png</t>
  </si>
  <si>
    <t>Tanza Wellness Center</t>
  </si>
  <si>
    <t>Anterio Soriano Highway, Tanza, Cavite</t>
  </si>
  <si>
    <t>tanzarhu.clinicallab@gmail.com</t>
  </si>
  <si>
    <t>Cleaned Cartridge Bay, Plunger Rod and Icore Optics.
Replaced Filter.
Performed Self-test.
Installed LGU's Printer.
Install HIV XC Assay.
Generate Reports.</t>
  </si>
  <si>
    <t>4 Modules are Good.</t>
  </si>
  <si>
    <t>https://www.jotform.com/uploads/macarewecare/222927978372067/6455009225152530274/6455009225152530274_signature_28.png</t>
  </si>
  <si>
    <t>MERRIAM JOY G. SIBBALUCA</t>
  </si>
  <si>
    <t>https://www.jotform.com/uploads/macarewecare/222927978372067/6455009225152530274/6455009225152530274_signature_31.png</t>
  </si>
  <si>
    <t>agalang@asianhospital.com</t>
  </si>
  <si>
    <t>B2 is Disabled for Module Replacement.
B1, B3 and B4 are Good.</t>
  </si>
  <si>
    <t>https://www.jotform.com/uploads/macarewecare/222927978372067/6455009225156450630/6455009225156450630_signature_28.png</t>
  </si>
  <si>
    <t>Alyssa R Galang</t>
  </si>
  <si>
    <t>https://www.jotform.com/uploads/macarewecare/222927978372067/6455009225156450630/6455009225156450630_signature_31.png</t>
  </si>
  <si>
    <t>Apheresis room</t>
  </si>
  <si>
    <t>Noisy sound came frm transfer pump during procedure</t>
  </si>
  <si>
    <t>Checked rollers 
Checked unit 
Checked program parameters</t>
  </si>
  <si>
    <t>For replacement of urethane rollers</t>
  </si>
  <si>
    <t>https://www.jotform.com/uploads/macarewecare/222927978372067/6454787335477504029/6454787335477504029_signature_28.png</t>
  </si>
  <si>
    <t>Xyrich Viem Lucas</t>
  </si>
  <si>
    <t>https://www.jotform.com/uploads/macarewecare/222927978372067/6454787335477504029/6454787335477504029_signature_31.png</t>
  </si>
  <si>
    <t>Noisy sound came from transfer pump during procedure</t>
  </si>
  <si>
    <t>Checked rollers
Checked program parameters
Checked unit</t>
  </si>
  <si>
    <t>https://www.jotform.com/uploads/macarewecare/222927978372067/6454786335473234696/6454786335473234696_signature_28.png</t>
  </si>
  <si>
    <t>https://www.jotform.com/uploads/macarewecare/222927978372067/6454786335473234696/6454786335473234696_signature_31.png</t>
  </si>
  <si>
    <t>St.Luke's Medical Center</t>
  </si>
  <si>
    <t xml:space="preserve">ASSAY: Xpert CT/NG, COUNT: 3
ASSAY: Xpert HBV VL, COUNT: 468
ASSAY: Xpert HIV-1 Viral Load, COUNT: 10
ASSAY: Xpert HPV, COUNT: 380
ASSAY: Xpert MTB/RIF Ultra, COUNT: 481
ASSAY: Xpert HCV VL, COUNT: 37
ASSAY: Xpert HIV-1 Viral Load, COUNT: 334
</t>
  </si>
  <si>
    <t>Due for maintenance
C4 disabled due to error</t>
  </si>
  <si>
    <t>C1,C2,C3 operational
C4 disabled</t>
  </si>
  <si>
    <t>https://www.jotform.com/uploads/macarewecare/222927978372067/6454785435472513846/6454785435472513846_signature_28.png</t>
  </si>
  <si>
    <t>Roiland Baybayon</t>
  </si>
  <si>
    <t>https://www.jotform.com/uploads/macarewecare/222927978372067/6454785435472513846/6454785435472513846_signature_31.png</t>
  </si>
  <si>
    <t>St. Luke's Medical Center</t>
  </si>
  <si>
    <t xml:space="preserve">ASSAY: Xpert CT/NG, COUNT: 217
ASSAY: Xpert MTB/RIF Ultra, COUNT: 2270
</t>
  </si>
  <si>
    <t>Due for maintenance
B3 and B4 reported already</t>
  </si>
  <si>
    <t>B1 and B2 in use
B3 and B4 reported already</t>
  </si>
  <si>
    <t>https://www.jotform.com/uploads/macarewecare/222927978372067/6454784995472048795/6454784995472048795_signature_28.png</t>
  </si>
  <si>
    <t>https://www.jotform.com/uploads/macarewecare/222927978372067/6454784995472048795/6454784995472048795_signature_31.png</t>
  </si>
  <si>
    <t xml:space="preserve">ASSAY: Xpert MTB/RIF Ultra, COUNT: 65
ASSAY: Xpert HIV-1 Viral Load, COUNT: 29
ASSAY: Xpress SARS-CoV-2_Flu_RSV plus, COUNT: 61
</t>
  </si>
  <si>
    <t>GX4 6 color</t>
  </si>
  <si>
    <t>All module encounter errors</t>
  </si>
  <si>
    <t>Gathered reports
Cleaned filter</t>
  </si>
  <si>
    <t>Unit unoperational
B1 879215 failed xpertcheck last 8/15/24
B2 882381 temp error 4009,1002
B3 602135 temp error 1002,4009,2022
B4 780860 temp error 4009</t>
  </si>
  <si>
    <t>https://www.jotform.com/uploads/macarewecare/222927978372067/6454784645472244939/6454784645472244939_signature_28.png</t>
  </si>
  <si>
    <t>https://www.jotform.com/uploads/macarewecare/222927978372067/6454784645472244939/6454784645472244939_signature_31.png</t>
  </si>
  <si>
    <t>Marcos Highway, Antipolo Rizal</t>
  </si>
  <si>
    <t>gehbedayos@gmail.com</t>
  </si>
  <si>
    <t>mahmci_labcmt@gmail.com</t>
  </si>
  <si>
    <t xml:space="preserve">ASSAY: Xpert HBV VL, COUNT: 16
ASSAY: Xpert HPV, COUNT: 1
ASSAY: Xpert MTB/RIF Ultra, COUNT: 183
ASSAY: Xpert HIV-1 Viral Load, COUNT: 15
</t>
  </si>
  <si>
    <t>Error 5007 on B1 and B3</t>
  </si>
  <si>
    <t>Unit is operational. Module B1, B2 and B3 not operational.</t>
  </si>
  <si>
    <t>https://www.jotform.com/uploads/macarewecare/222927978372067/6454751992715089818/6454751992715089818_signature_28.png</t>
  </si>
  <si>
    <t>Fatima Busar</t>
  </si>
  <si>
    <t>https://www.jotform.com/uploads/macarewecare/222927978372067/6454751992715089818/6454751992715089818_signature_31.png</t>
  </si>
  <si>
    <t>Philippine Red Cross - Cagayan de Oro</t>
  </si>
  <si>
    <t>Cagayan de Oro City</t>
  </si>
  <si>
    <t>UPS can't back up power during power interruption.</t>
  </si>
  <si>
    <t>Replacement and Troubleshooting.</t>
  </si>
  <si>
    <t>Replacing rollers for a new one.
Replacing Battery Supply in UPS with new one.
Replacing worn out cuff.</t>
  </si>
  <si>
    <t>The unit is functional and working.</t>
  </si>
  <si>
    <t>For replacement of Stand Roller.</t>
  </si>
  <si>
    <t>https://www.jotform.com/uploads/macarewecare/222927978372067/6454644039676646245/6454644039676646245_signature_28.png</t>
  </si>
  <si>
    <t>https://www.jotform.com/uploads/macarewecare/222927978372067/6454644039676646245/6454644039676646245_signature_31.png</t>
  </si>
  <si>
    <t>Altavas Rural Health Unit</t>
  </si>
  <si>
    <t>Altavas, Aklan</t>
  </si>
  <si>
    <t>joricarmt29@gmail.com</t>
  </si>
  <si>
    <t>Module B4/861443 for replacement</t>
  </si>
  <si>
    <t>-Replaxed B4 with new module SN 673337</t>
  </si>
  <si>
    <t>4 modules operational</t>
  </si>
  <si>
    <t>Genexpert module</t>
  </si>
  <si>
    <t>https://www.jotform.com/uploads/macarewecare/222927978372067/6454559535205533879/6454559535205533879_signature_28.png</t>
  </si>
  <si>
    <t>Jorica Lynn Duronio</t>
  </si>
  <si>
    <t>https://www.jotform.com/uploads/macarewecare/222927978372067/6454559535205533879/6454559535205533879_signature_31.png</t>
  </si>
  <si>
    <t>Philippine Red Cross Davao City Chapter</t>
  </si>
  <si>
    <t>Roxas Avenue, Davao City</t>
  </si>
  <si>
    <t>davaocitybloodservices@gmail.com</t>
  </si>
  <si>
    <t>02J021</t>
  </si>
  <si>
    <t>Machine not working, safety board issue</t>
  </si>
  <si>
    <t>Replaced the Defective Safety Board SN:MM050902198 with service safety board SN: SP081700879G
Perform Preventive Maintenance and Calibration; check the sensors and recalibrate to operational values
Perform cycle test to ensure the machine is functional and operational</t>
  </si>
  <si>
    <t>Perform Safety Board Replacement
Perform Calibration</t>
  </si>
  <si>
    <t>https://www.jotform.com/uploads/macarewecare/222927978372067/6453851676517375157/6453851676517375157_signature_28.png</t>
  </si>
  <si>
    <t>Mars Panes</t>
  </si>
  <si>
    <t>https://www.jotform.com/uploads/macarewecare/222927978372067/6453851676517375157/6453851676517375157_signature_31.png</t>
  </si>
  <si>
    <t>Saguiaran Rural Health Health</t>
  </si>
  <si>
    <t>Saguiaran Lanao Del Sur</t>
  </si>
  <si>
    <t>Lanao del Sur</t>
  </si>
  <si>
    <t>aiylacalandada01@gmail.com</t>
  </si>
  <si>
    <t>Defective Module 2 Sn 808278</t>
  </si>
  <si>
    <t>Gather data IQR, System log and Assay Statistics
Replace new Fan Filter
Clean Fan</t>
  </si>
  <si>
    <t>New module Installation Sn 731829
Gather data IQR, System log and Assay Statistics
Replace new Fan Filter
Clean Fan</t>
  </si>
  <si>
    <t>Systems operational
Module 3 temperature error related
Under observation</t>
  </si>
  <si>
    <t>https://www.jotform.com/uploads/macarewecare/222927978372067/6453776256275930385/6453776256275930385_signature_28.png</t>
  </si>
  <si>
    <t>Asmalia A hadji Salic</t>
  </si>
  <si>
    <t>https://www.jotform.com/uploads/macarewecare/222927978372067/6453776256275930385/6453776256275930385_signature_31.png</t>
  </si>
  <si>
    <t>Kidapawan City Health Office</t>
  </si>
  <si>
    <t>Kidapawan City, Cotabato</t>
  </si>
  <si>
    <t>kidcho@gmail.com</t>
  </si>
  <si>
    <t xml:space="preserve">ASSAY: Xpert MTB/RIF Ultra, COUNT: 2616
</t>
  </si>
  <si>
    <t>Perform Genexpert cleaning and maintenance
Module Cleaning
Plunger rod and optics cleaning
Fan and Filter cleaning
Checking of module status and problem
Data collection</t>
  </si>
  <si>
    <t>https://www.jotform.com/uploads/macarewecare/222927978372067/6453747008659958949/6453747008659958949_signature_28.png</t>
  </si>
  <si>
    <t>Kidapawan City Health Office Primary Care Facility</t>
  </si>
  <si>
    <t>https://www.jotform.com/uploads/macarewecare/222927978372067/6453747008659958949/6453747008659958949_signature_31.png</t>
  </si>
  <si>
    <t>San Joaquin Super Health Center</t>
  </si>
  <si>
    <t>Elizco Rd, San Joaquin, Pasig City</t>
  </si>
  <si>
    <t>peachmango318@gmail.com</t>
  </si>
  <si>
    <t>https://www.jotform.com/uploads/macarewecare/222927978372067/6453684763613874822/6453684763613874822_signature_28.png</t>
  </si>
  <si>
    <t>Arlene Delgado</t>
  </si>
  <si>
    <t>https://www.jotform.com/uploads/macarewecare/222927978372067/6453684763613874822/6453684763613874822_signature_31.png</t>
  </si>
  <si>
    <t xml:space="preserve">ASSAY: Xpert MTB/RIF Ultra, COUNT: 2067
</t>
  </si>
  <si>
    <t>For relocation</t>
  </si>
  <si>
    <t>Installed the GeneXpert System:
-GeneXpert unit
-workstation 
-UPS 
-Printer 
-Barcode Scanner with stand
Performed maintenance</t>
  </si>
  <si>
    <t>Unit is operational. Unit from Pinagbuhatan TB Microscopy Laboratory</t>
  </si>
  <si>
    <t>https://www.jotform.com/uploads/macarewecare/222927978372067/6453684763615673533/6453684763615673533_signature_28.png</t>
  </si>
  <si>
    <t>https://www.jotform.com/uploads/macarewecare/222927978372067/6453684763615673533/6453684763615673533_signature_31.png</t>
  </si>
  <si>
    <t>Brgy. Amas, Kidapawan City, North Cotabato</t>
  </si>
  <si>
    <t xml:space="preserve">ASSAY: Xpert MTB/RIF Ultra, COUNT: 87
ASSAY: Xpert MTB-XDR, COUNT: 9
ASSAY: Xpert HIV-1 Viral Load, COUNT: 206
</t>
  </si>
  <si>
    <t>GxlV- 10C</t>
  </si>
  <si>
    <t>Perform Genexpert machine cleaning and maintenance
Module cleaning
Plunger rod and Optics cleaning
Fan and Filter cleaning
Checking of module status and problem
Data collection</t>
  </si>
  <si>
    <t>https://www.jotform.com/uploads/macarewecare/222927978372067/6453130508653839261/6453130508653839261_signature_28.png</t>
  </si>
  <si>
    <t>https://www.jotform.com/uploads/macarewecare/222927978372067/6453130508653839261/6453130508653839261_signature_31.png</t>
  </si>
  <si>
    <t>https://www.jotform.com/uploads/macarewecare/222927978372067/6453130408659905489/6453130408659905489_signature_28.png</t>
  </si>
  <si>
    <t>https://www.jotform.com/uploads/macarewecare/222927978372067/6453130408659905489/6453130408659905489_signature_31.png</t>
  </si>
  <si>
    <t>Centrifuge chuck problem due to leak of blood during the procedure.</t>
  </si>
  <si>
    <t>Clean up the blood residue in the centrifuge chuck.</t>
  </si>
  <si>
    <t>https://www.jotform.com/uploads/macarewecare/222927978372067/6453109580122102003/6453109580122102003_signature_28.png</t>
  </si>
  <si>
    <t>https://www.jotform.com/uploads/macarewecare/222927978372067/6453109580122102003/6453109580122102003_signature_31.png</t>
  </si>
  <si>
    <t>Brgy. 4, Poblacion, Malilipot</t>
  </si>
  <si>
    <t>faith.buban2124@gmail.com</t>
  </si>
  <si>
    <t xml:space="preserve">ASSAY: Xpert MTB/RIF Ultra, COUNT: 3046
</t>
  </si>
  <si>
    <t>Cleaned cartridge bays,  plunger rod,  fan filter
Generate Data</t>
  </si>
  <si>
    <t>https://www.jotform.com/uploads/macarewecare/222927978372067/6453065911716504427/6453065911716504427_signature_28.png</t>
  </si>
  <si>
    <t>Fatima ana cabiles</t>
  </si>
  <si>
    <t>https://www.jotform.com/uploads/macarewecare/222927978372067/6453065911716504427/6453065911716504427_signature_31.png</t>
  </si>
  <si>
    <t>Macare Medicals Inc</t>
  </si>
  <si>
    <t>1005 Aurora Grand, Aurora blvd</t>
  </si>
  <si>
    <t>In house</t>
  </si>
  <si>
    <t>Randox</t>
  </si>
  <si>
    <t>Evidence Multistat</t>
  </si>
  <si>
    <t>052-23-0712</t>
  </si>
  <si>
    <t>Unable to initialize</t>
  </si>
  <si>
    <t>Replaced and installed thermal system PCB s/n 23013212
Checked all connection and connectors
Performed initialization</t>
  </si>
  <si>
    <t>Unit operational</t>
  </si>
  <si>
    <t>Returned def parts s/n 23028209</t>
  </si>
  <si>
    <t>Thermal system PCB s/n 23013212</t>
  </si>
  <si>
    <t>https://www.jotform.com/uploads/macarewecare/222927978372067/6452984393618008718/6452984393618008718_signature_28.png</t>
  </si>
  <si>
    <t>https://www.jotform.com/uploads/macarewecare/222927978372067/6452984393618008718/6452984393618008718_signature_31.png</t>
  </si>
  <si>
    <t>Don Jose S. Monfort Medical Center</t>
  </si>
  <si>
    <t>Barotac Nuevo, Iloilo</t>
  </si>
  <si>
    <t>judyboglosa35@gmail.com</t>
  </si>
  <si>
    <t xml:space="preserve">ASSAY: Xpert MTB/RIF Ultra, COUNT: 2042
ASSAY: Xpert HIV-1 Viral Load, COUNT: 22
</t>
  </si>
  <si>
    <t>Module B4 HW Fail, Temperature-related errors</t>
  </si>
  <si>
    <t>PM, cleaned filter, module bays, optics, pkunger rod</t>
  </si>
  <si>
    <t>Installed repaired UPS</t>
  </si>
  <si>
    <t>-UPS operational;
- 3 modules operational- B1, B2, B3
- module B4 non-operational, for report to Cepheid</t>
  </si>
  <si>
    <t>https://www.jotform.com/uploads/macarewecare/222927978372067/6452922128902097813/6452922128902097813_signature_28.png</t>
  </si>
  <si>
    <t>judy boglosa</t>
  </si>
  <si>
    <t>https://www.jotform.com/uploads/macarewecare/222927978372067/6452922128902097813/6452922128902097813_signature_31.png</t>
  </si>
  <si>
    <t>Nagpayong Super Health Center</t>
  </si>
  <si>
    <t>Nagpayong, Pasig City</t>
  </si>
  <si>
    <t>mnoreend@gmail.com</t>
  </si>
  <si>
    <t>For maintenance 
Installation of UPS</t>
  </si>
  <si>
    <t>Installed UPS:
Performed maintenance 
Cleaned:
-Cartridge bay 
-Plunger rod 
-Icore 
-Filter 
Generated reports</t>
  </si>
  <si>
    <t>https://www.jotform.com/uploads/macarewecare/222927978372067/6452919021211763069/6452919021211763069_signature_28.png</t>
  </si>
  <si>
    <t>Ma Noreen De Leon</t>
  </si>
  <si>
    <t>https://www.jotform.com/uploads/macarewecare/222927978372067/6452919021211763069/6452919021211763069_signature_31.png</t>
  </si>
  <si>
    <t>Pinagbuhatan TB Microscopy Laboratory</t>
  </si>
  <si>
    <t>Urbano Velasco Ave, Pasig City</t>
  </si>
  <si>
    <t>Packing</t>
  </si>
  <si>
    <t>For pull out</t>
  </si>
  <si>
    <t>Packed the GeneXpert system</t>
  </si>
  <si>
    <t>Packed the GeneXpert System:
-GeneXpert unit 
-UPS
-Workstation 
-Printer 
-Keyboard and mouse
-Barcode Scanner with stand
-Monitor</t>
  </si>
  <si>
    <t>Unit ready for pull out.</t>
  </si>
  <si>
    <t>https://www.jotform.com/uploads/macarewecare/222927978372067/6452919021217957599/6452919021217957599_signature_28.png</t>
  </si>
  <si>
    <t>Arlen Delgado, RMT</t>
  </si>
  <si>
    <t>https://www.jotform.com/uploads/macarewecare/222927978372067/6452919021217957599/6452919021217957599_signature_31.png</t>
  </si>
  <si>
    <t>GX-II</t>
  </si>
  <si>
    <t>https://www.jotform.com/uploads/macarewecare/222927978372067/6452284422117750459/6452284422117750459_signature_28.png</t>
  </si>
  <si>
    <t>https://www.jotform.com/uploads/macarewecare/222927978372067/6452284422117750459/6452284422117750459_signature_31.png</t>
  </si>
  <si>
    <t>INSTALLATION
REPAIR
CALIBRATION</t>
  </si>
  <si>
    <t>16L508SPG</t>
  </si>
  <si>
    <t>- SN: 10M104 Unit pull-out
- Installation of demo unit machine SN: 16L508SPG</t>
  </si>
  <si>
    <t>- SN: 10M104 Unit pull-out
- Installation of demo unit machine SN: 16L508SPG 
   (New Unit of Pneumatic Assembly, Line Sensor, CPU Board of 10M104)
- Calibrate and Test Run the demo unit</t>
  </si>
  <si>
    <t>https://www.jotform.com/uploads/macarewecare/222927978372067/6449713248426912348/6449713248426912348_signature_28.png</t>
  </si>
  <si>
    <t>https://www.jotform.com/uploads/macarewecare/222927978372067/6449713248426912348/6449713248426912348_signature_31.png</t>
  </si>
  <si>
    <t>Perpetual Help Medical Center</t>
  </si>
  <si>
    <t>Las Pinas</t>
  </si>
  <si>
    <t>NCR 4th - Las Piñas</t>
  </si>
  <si>
    <t>phmclp.mdl@gmail.com</t>
  </si>
  <si>
    <t>Module A4(784666) for replacement</t>
  </si>
  <si>
    <t>Replaced module</t>
  </si>
  <si>
    <t>- checked and cleaned cartridge bay, plunger rod, filter
- replaced module by 220049150
- generated reports
- performed self tezt</t>
  </si>
  <si>
    <t>Unit is operational
Installed new module on A4
Modules A1, A2, A3 are recommended for replacement (Existing Cepheid case numbers)</t>
  </si>
  <si>
    <t>https://www.jotform.com/uploads/macarewecare/222927978372067/6449573124738053225/6449573124738053225_signature_28.png</t>
  </si>
  <si>
    <t>Donn Dave Clerigo</t>
  </si>
  <si>
    <t>https://www.jotform.com/uploads/macarewecare/222927978372067/6449573124738053225/6449573124738053225_signature_31.png</t>
  </si>
  <si>
    <t>Iligan Society of Internists</t>
  </si>
  <si>
    <t>Iligan City</t>
  </si>
  <si>
    <t>dayolaermajessica@gmail.com</t>
  </si>
  <si>
    <t xml:space="preserve">ASSAY: Xpert MTB/RIF Ultra, COUNT: 2949
ASSAY: Xpert HIV-1 Viral Load, COUNT: 263
</t>
  </si>
  <si>
    <t>Frequent H/W failures</t>
  </si>
  <si>
    <t>For reporting</t>
  </si>
  <si>
    <t>https://www.jotform.com/uploads/macarewecare/222927978372067/6449496894253155279/6449496894253155279_signature_28.png</t>
  </si>
  <si>
    <t>Erma Jessica Dayola</t>
  </si>
  <si>
    <t>https://www.jotform.com/uploads/macarewecare/222927978372067/6449496894253155279/6449496894253155279_signature_31.png</t>
  </si>
  <si>
    <t>Puerto Princesa CHO</t>
  </si>
  <si>
    <t>Puerto Princesa, Palawa</t>
  </si>
  <si>
    <t xml:space="preserve">ASSAY: Xpert MTB/RIF Ultra, COUNT: 289
</t>
  </si>
  <si>
    <t>For Xpertcheck caliration and maintenance.</t>
  </si>
  <si>
    <t>Peroformed xpertcheck calibration.
Performed preventive maintenance..</t>
  </si>
  <si>
    <t>Performed xpertcheck and preventive maintenance.</t>
  </si>
  <si>
    <t>All 4 modules PASSED the xpertcheck calibration.
All 4 modules operational.</t>
  </si>
  <si>
    <t>https://www.jotform.com/uploads/macarewecare/222927978372067/6449394558518968529/6449394558518968529_signature_28.png</t>
  </si>
  <si>
    <t>Jocelyn L. Calalin</t>
  </si>
  <si>
    <t>https://www.jotform.com/uploads/macarewecare/222927978372067/6449394558518968529/6449394558518968529_signature_31.png</t>
  </si>
  <si>
    <t>Sumilang Super Health Center</t>
  </si>
  <si>
    <t>Dr. García St. Sumilang, Pasig City</t>
  </si>
  <si>
    <t>maricordevilla@yahoo.com</t>
  </si>
  <si>
    <t xml:space="preserve">ASSAY: Xpert MTB/RIF Ultra, COUNT: 1160
ASSAY: Xpert MTB-XDR, COUNT: 163
</t>
  </si>
  <si>
    <t>Unit is operational. Module B4 not operational.</t>
  </si>
  <si>
    <t>https://www.jotform.com/uploads/macarewecare/222927978372067/6449393600917115091/6449393600917115091_signature_28.png</t>
  </si>
  <si>
    <t>Maria Corazon Obnamia</t>
  </si>
  <si>
    <t>https://www.jotform.com/uploads/macarewecare/222927978372067/6449393600917115091/6449393600917115091_signature_31.png</t>
  </si>
  <si>
    <t>Wilson St. Greenhills, San Juan</t>
  </si>
  <si>
    <t>jovincelim5@gmail.com</t>
  </si>
  <si>
    <t>For maintenance 
DPM occasionally have unstable pressure
Red valve error from time to time</t>
  </si>
  <si>
    <t>Performed maintenance 
Run simulation 
Checked rotor pumps 
Verified calibration parameters 
Check valves
Functionality test</t>
  </si>
  <si>
    <t>Recommend to calibrate the unit.</t>
  </si>
  <si>
    <t>https://www.jotform.com/uploads/macarewecare/222927978372067/6449393540912064153/6449393540912064153_signature_28.png</t>
  </si>
  <si>
    <t>Josh Lim</t>
  </si>
  <si>
    <t>https://www.jotform.com/uploads/macarewecare/222927978372067/6449393540912064153/6449393540912064153_signature_31.png</t>
  </si>
  <si>
    <t xml:space="preserve">ASSAY: Xpert HBV VL, COUNT: 16
ASSAY: Xpert HPV, COUNT: 9
ASSAY: Xpert MTB/RIF Ultra, COUNT: 1188
</t>
  </si>
  <si>
    <t>Performed maintenance 
Cleaned:
-Cartridge bay 
-Plunger rod
-Icore 
-Filter 
Generated reports</t>
  </si>
  <si>
    <t>https://www.jotform.com/uploads/macarewecare/222927978372067/6449393540912149355/6449393540912149355_signature_28.png</t>
  </si>
  <si>
    <t>https://www.jotform.com/uploads/macarewecare/222927978372067/6449393540912149355/6449393540912149355_signature_31.png</t>
  </si>
  <si>
    <t>Dr. Garcia St. Sumilang, Pasig City</t>
  </si>
  <si>
    <t xml:space="preserve">ASSAY: Xpert HIV-1 Viral Load, COUNT: 886
</t>
  </si>
  <si>
    <t>https://www.jotform.com/uploads/macarewecare/222927978372067/6449393540914880842/6449393540914880842_signature_28.png</t>
  </si>
  <si>
    <t>Jhozza Rei Jose</t>
  </si>
  <si>
    <t>https://www.jotform.com/uploads/macarewecare/222927978372067/6449393540914880842/6449393540914880842_signature_31.png</t>
  </si>
  <si>
    <t>Pasig Treatment Hub - CHAMP</t>
  </si>
  <si>
    <t>CHAMP bldg., Pasig City</t>
  </si>
  <si>
    <t xml:space="preserve">ASSAY: Xpert HIV-1 Viral Load, COUNT: 794
ASSAY: Others, COUNT: 19
</t>
  </si>
  <si>
    <t>https://www.jotform.com/uploads/macarewecare/222927978372067/6449393540919408892/6449393540919408892_signature_28.png</t>
  </si>
  <si>
    <t>Dan Sumulong</t>
  </si>
  <si>
    <t>https://www.jotform.com/uploads/macarewecare/222927978372067/6449393540919408892/6449393540919408892_signature_31.png</t>
  </si>
  <si>
    <t xml:space="preserve">ASSAY: Xpert MTB/RIF Ultra, COUNT: 1185
</t>
  </si>
  <si>
    <t>Unit is operational. Module B4 not operational</t>
  </si>
  <si>
    <t>https://www.jotform.com/uploads/macarewecare/222927978372067/6449393540919858264/6449393540919858264_signature_28.png</t>
  </si>
  <si>
    <t>https://www.jotform.com/uploads/macarewecare/222927978372067/6449393540919858264/6449393540919858264_signature_31.png</t>
  </si>
  <si>
    <t>Tamparan District Hospital</t>
  </si>
  <si>
    <t>Tamparan, Lanao del Sur</t>
  </si>
  <si>
    <t>pmamowalas@yahoo.com</t>
  </si>
  <si>
    <t>DR no. 5471</t>
  </si>
  <si>
    <t>https://www.jotform.com/uploads/macarewecare/222927978372067/6448853235257134779/6448853235257134779_signature_28.png</t>
  </si>
  <si>
    <t>Pangilamun Mamowalas Jr.</t>
  </si>
  <si>
    <t>https://www.jotform.com/uploads/macarewecare/222927978372067/6448853235257134779/6448853235257134779_signature_31.png</t>
  </si>
  <si>
    <t>10M104</t>
  </si>
  <si>
    <t>SPM TEST FAILED.</t>
  </si>
  <si>
    <t>Calibrate SPM to standard pressure from offset to Fullscale.
Troubleshoot SPM switch.
Need to pull out from the end-user.</t>
  </si>
  <si>
    <t>Calibrate SPM to standard pressure from offset to Fullscale.
Troubleshoot SPM switch.</t>
  </si>
  <si>
    <t>Unit is not operational due to SPM is defective.</t>
  </si>
  <si>
    <t>https://www.jotform.com/uploads/macarewecare/222927978372067/6448757298428828722/6448757298428828722_signature_28.png</t>
  </si>
  <si>
    <t>https://www.jotform.com/uploads/macarewecare/222927978372067/6448757298428828722/6448757298428828722_signature_31.png</t>
  </si>
  <si>
    <t>Palawan PHO-Molecular Diagnostics Laboratory</t>
  </si>
  <si>
    <t>Compound South National HW Irawan, Puerto Princesa City</t>
  </si>
  <si>
    <t>phomblpalawan@gmail.com</t>
  </si>
  <si>
    <t xml:space="preserve">ASSAY: Xpert MTB/RIF Ultra, COUNT: 224
</t>
  </si>
  <si>
    <t>For Xpertcheck.
For maintenance.</t>
  </si>
  <si>
    <t>Performed PM and calibration.</t>
  </si>
  <si>
    <t>Performed unit maintenance.
Run xpertcheck.</t>
  </si>
  <si>
    <t>All 4 modules Passed.
All4 modules operational.</t>
  </si>
  <si>
    <t>DR Num: 13650</t>
  </si>
  <si>
    <t>https://www.jotform.com/uploads/macarewecare/222927978372067/6448686044022988566/6448686044022988566_signature_28.png</t>
  </si>
  <si>
    <t>Cyrus Cecilio A. Caabay RMT MPHA</t>
  </si>
  <si>
    <t>https://www.jotform.com/uploads/macarewecare/222927978372067/6448686044022988566/6448686044022988566_signature_31.png</t>
  </si>
  <si>
    <t>National Center For Mental Health</t>
  </si>
  <si>
    <t>iancristrono@gnail.com</t>
  </si>
  <si>
    <t>https://www.jotform.com/uploads/macarewecare/222927978372067/6448685738687050600/6448685738687050600_signature_28.png</t>
  </si>
  <si>
    <t>Ian Cris Trono</t>
  </si>
  <si>
    <t>https://www.jotform.com/uploads/macarewecare/222927978372067/6448685738687050600/6448685738687050600_signature_31.png</t>
  </si>
  <si>
    <t>iancristrono@gmail.com</t>
  </si>
  <si>
    <t>https://www.jotform.com/uploads/macarewecare/222927978372067/6448685358689141306/6448685358689141306_signature_28.png</t>
  </si>
  <si>
    <t>https://www.jotform.com/uploads/macarewecare/222927978372067/6448685358689141306/6448685358689141306_signature_31.png</t>
  </si>
  <si>
    <t>Cebu Doctors' University Hospital</t>
  </si>
  <si>
    <t>Capitol Site</t>
  </si>
  <si>
    <t>PCR</t>
  </si>
  <si>
    <t>cduhcovidpcrlab@gmail.com</t>
  </si>
  <si>
    <t>. Installation of GeneXpert Machine System.
. Installation of CPU
. Installation of UPS
. Installation LCD</t>
  </si>
  <si>
    <t>Save Installation Qualifications Report
Save System Log Report</t>
  </si>
  <si>
    <t>Installation of GeneXpert Machine System.
. Installation of CPU
. Installation of UPS
. Installation LCD</t>
  </si>
  <si>
    <t>All are functional ok to use.</t>
  </si>
  <si>
    <t>https://www.jotform.com/uploads/macarewecare/222927978372067/6447871187998225447/6447871187998225447_signature_28.png</t>
  </si>
  <si>
    <t>Colleen Allison Libi</t>
  </si>
  <si>
    <t>https://www.jotform.com/uploads/macarewecare/222927978372067/6447871187998225447/6447871187998225447_signature_31.png</t>
  </si>
  <si>
    <t>marnelli.manuel@gmail.com</t>
  </si>
  <si>
    <t>Adjusted line sensor offset value</t>
  </si>
  <si>
    <t>- checked rotor roller pumps
- checked calibration parameters
- adjusted line sensor offset value 2800 to 3000
- performed self test</t>
  </si>
  <si>
    <t>https://www.jotform.com/uploads/macarewecare/222927978372067/6447862299918231671/6447862299918231671_signature_28.png</t>
  </si>
  <si>
    <t>Marnelli Mari Manuel</t>
  </si>
  <si>
    <t>https://www.jotform.com/uploads/macarewecare/222927978372067/6447862299918231671/6447862299918231671_signature_31.png</t>
  </si>
  <si>
    <t>Ciudad medical zamboanga</t>
  </si>
  <si>
    <t>Mayor, vitaliano agan avenue, Zamboanga City</t>
  </si>
  <si>
    <t>thairaphoebegrey13@gmail.com</t>
  </si>
  <si>
    <t xml:space="preserve">ASSAY: Xpert CT/NG, COUNT: 5
ASSAY: Xpert HBV VL, COUNT: 63
ASSAY: Xpert HPV, COUNT: 10
ASSAY: Xpert MTB/RIF Ultra, COUNT: 513
ASSAY: Xpert HCV VL, COUNT: 12
</t>
  </si>
  <si>
    <t>GX 2</t>
  </si>
  <si>
    <t>Preventive maintenance, checked module status, checked system logs for recent errors, checked module and room temperatures.</t>
  </si>
  <si>
    <t>https://www.jotform.com/uploads/macarewecare/222927978372067/6447814291112535661/6447814291112535661_signature_28.png</t>
  </si>
  <si>
    <t>Shereemer A. Cheong</t>
  </si>
  <si>
    <t>https://www.jotform.com/uploads/macarewecare/222927978372067/6447814291112535661/6447814291112535661_signature_31.png</t>
  </si>
  <si>
    <t>Pasig Treatment Hub - Manggahan</t>
  </si>
  <si>
    <t>Manggahan, Pasig City</t>
  </si>
  <si>
    <t>pasigtreatmentmanggahan@gmail.com</t>
  </si>
  <si>
    <t xml:space="preserve">ASSAY: Xpert HIV-1 Viral Load, COUNT: 27
</t>
  </si>
  <si>
    <t>Can't import ADF</t>
  </si>
  <si>
    <t>Import ADF</t>
  </si>
  <si>
    <t>Import ADF for HIV Viral Load XC
Scan cartridge 
Performed maintenance 
Cleaned: 
-Cartridge bay 
-Plunger rod 
-Icore 
-Filter 
Generated reports</t>
  </si>
  <si>
    <t>Unit is operational. Modules A2 and A4 not operational.</t>
  </si>
  <si>
    <t>https://www.jotform.com/uploads/macarewecare/222927978372067/6447708553511436484/6447708553511436484_signature_28.png</t>
  </si>
  <si>
    <t>Katherine Godoy</t>
  </si>
  <si>
    <t>https://www.jotform.com/uploads/macarewecare/222927978372067/6447708553511436484/6447708553511436484_signature_31.png</t>
  </si>
  <si>
    <t>Bagong Ilog Health Center I</t>
  </si>
  <si>
    <t>Sgt. L Pascua, Bagong Ilog, Pasig</t>
  </si>
  <si>
    <t>agasangevelyn7@gmail.com</t>
  </si>
  <si>
    <t xml:space="preserve">ASSAY: Xpert MTB/RIF Ultra, COUNT: 295
</t>
  </si>
  <si>
    <t>https://www.jotform.com/uploads/macarewecare/222927978372067/6447708553515938846/6447708553515938846_signature_28.png</t>
  </si>
  <si>
    <t>Evelyn Agasang</t>
  </si>
  <si>
    <t>https://www.jotform.com/uploads/macarewecare/222927978372067/6447708553515938846/6447708553515938846_signature_31.png</t>
  </si>
  <si>
    <t>Sta. Maria Rural Health Unit</t>
  </si>
  <si>
    <t>Sta. Maria, Ilocos Sur</t>
  </si>
  <si>
    <t>jomarcaberto24@gmail.com</t>
  </si>
  <si>
    <t>Performed Preventive Maintenance and XpertCheck</t>
  </si>
  <si>
    <t>Unit is Fully Operational 
All modules passed XpertCheck</t>
  </si>
  <si>
    <t>DR 13654</t>
  </si>
  <si>
    <t>https://www.jotform.com/uploads/macarewecare/222927978372067/6447135042112829720/6447135042112829720_signature_28.png</t>
  </si>
  <si>
    <t>Jomar Caberto</t>
  </si>
  <si>
    <t>https://www.jotform.com/uploads/macarewecare/222927978372067/6447135042112829720/6447135042112829720_signature_31.png</t>
  </si>
  <si>
    <t>Abra Provincial Hospital</t>
  </si>
  <si>
    <t>Bangued, Abra</t>
  </si>
  <si>
    <t>Abra</t>
  </si>
  <si>
    <t>aphpathologydepartment@gmail.com</t>
  </si>
  <si>
    <t>https://www.jotform.com/uploads/macarewecare/222927978372067/6447133712117233236/6447133712117233236_signature_28.png</t>
  </si>
  <si>
    <t>Riverlie Valera</t>
  </si>
  <si>
    <t>https://www.jotform.com/uploads/macarewecare/222927978372067/6447133712117233236/6447133712117233236_signature_31.png</t>
  </si>
  <si>
    <t>DR 13640</t>
  </si>
  <si>
    <t>https://www.jotform.com/uploads/macarewecare/222927978372067/6447131342119420314/6447131342119420314_signature_28.png</t>
  </si>
  <si>
    <t>https://www.jotform.com/uploads/macarewecare/222927978372067/6447131342119420314/6447131342119420314_signature_31.png</t>
  </si>
  <si>
    <t>DR 13642</t>
  </si>
  <si>
    <t>https://www.jotform.com/uploads/macarewecare/222927978372067/6447129872114061833/6447129872114061833_signature_28.png</t>
  </si>
  <si>
    <t>https://www.jotform.com/uploads/macarewecare/222927978372067/6447129872114061833/6447129872114061833_signature_31.png</t>
  </si>
  <si>
    <t>Performed Preventive Maintenance and</t>
  </si>
  <si>
    <t>Module 1 failed XpertCheck on June 4, 2025</t>
  </si>
  <si>
    <t>https://www.jotform.com/uploads/macarewecare/222927978372067/6447127822111960681/6447127822111960681_signature_28.png</t>
  </si>
  <si>
    <t>https://www.jotform.com/uploads/macarewecare/222927978372067/6447127822111960681/6447127822111960681_signature_31.png</t>
  </si>
  <si>
    <t>San Carlos City Health Office</t>
  </si>
  <si>
    <t>San Carlos City, Pangasinan</t>
  </si>
  <si>
    <t>gbmmbg@yahoo.com</t>
  </si>
  <si>
    <t>Unit is Fully Operational 
Module B1 for Observation</t>
  </si>
  <si>
    <t>https://www.jotform.com/uploads/macarewecare/222927978372067/6447126472112269256/6447126472112269256_signature_28.png</t>
  </si>
  <si>
    <t>Maricar Galleon</t>
  </si>
  <si>
    <t>https://www.jotform.com/uploads/macarewecare/222927978372067/6447126472112269256/6447126472112269256_signature_31.png</t>
  </si>
  <si>
    <t>https://www.jotform.com/uploads/macarewecare/222927978372067/6447125512114774689/6447125512114774689_signature_28.png</t>
  </si>
  <si>
    <t>https://www.jotform.com/uploads/macarewecare/222927978372067/6447125512114774689/6447125512114774689_signature_31.png</t>
  </si>
  <si>
    <t>Modules B1(220000626), B2(220000643), B3(210036044) for replacement</t>
  </si>
  <si>
    <t>Upgraded GxDx software
Replaced modules</t>
  </si>
  <si>
    <t>- checked and cleaned catridge bay, plunger rod, filter
- database back up and tests archiving
- upgraded GxDx version 6.4 to 6.5
- replaced modules 
New modules SN: 
B1:  210088521 (10C)
B2: 220049203
B3: 220049128
- performed self test</t>
  </si>
  <si>
    <t>Unit is operational
All modules are functional</t>
  </si>
  <si>
    <t>https://www.jotform.com/uploads/macarewecare/222927978372067/6447062002222602640/6447062002222602640_signature_28.png</t>
  </si>
  <si>
    <t>https://www.jotform.com/uploads/macarewecare/222927978372067/6447062002222602640/6447062002222602640_signature_31.png</t>
  </si>
  <si>
    <t>Sarangani Islands Rural Health Unit</t>
  </si>
  <si>
    <t>Mabila, Sarangani Islands Davao Occidental</t>
  </si>
  <si>
    <t>lovitosquennie26@gmail.com</t>
  </si>
  <si>
    <t xml:space="preserve">ASSAY: Xpert MTB/RIF Ultra, COUNT: 320
</t>
  </si>
  <si>
    <t>System Unit is not working</t>
  </si>
  <si>
    <t>Replaced the Defective System Unit SN: CPH0520F08269
With new System Unit SN: PC1135EB
Install GX Software GX 6.4
Clean Surface Area, Cartridge Bay, Plunger Rod, Fan Filters and Icore Lenses
Generate IQR, Assay Stat and System Log</t>
  </si>
  <si>
    <t>Perform System Unit replacement
Perform Preventive Maintenance</t>
  </si>
  <si>
    <t>Successfully install the new system unit and All Modules are operational</t>
  </si>
  <si>
    <t>No ACU Available</t>
  </si>
  <si>
    <t>fc-it-desktop</t>
  </si>
  <si>
    <t>DR 13497</t>
  </si>
  <si>
    <t>https://www.jotform.com/uploads/macarewecare/222927978372067/6446891796885571626/6446891796885571626_signature_28.png</t>
  </si>
  <si>
    <t>Quennie Lovitos,. RMT</t>
  </si>
  <si>
    <t>https://www.jotform.com/uploads/macarewecare/222927978372067/6446891796885571626/6446891796885571626_signature_31.png</t>
  </si>
  <si>
    <t>Bicol South Luzon Sub National Reference Laboratory</t>
  </si>
  <si>
    <t>rbalzaga.pbsp@gmail.com</t>
  </si>
  <si>
    <t xml:space="preserve">ASSAY: Xpert MTB/RIF Ultra, COUNT: 954
ASSAY: Xpert MTB-XDR, COUNT: 141
</t>
  </si>
  <si>
    <t>https://www.jotform.com/uploads/macarewecare/222927978372067/6446429882216413430/6446429882216413430_signature_28.png</t>
  </si>
  <si>
    <t>Richard Alzaga</t>
  </si>
  <si>
    <t>https://www.jotform.com/uploads/macarewecare/222927978372067/6446429882216413430/6446429882216413430_signature_31.png</t>
  </si>
  <si>
    <t xml:space="preserve">ASSAY: Xpert MTB/RIF Ultra, COUNT: 2595
ASSAY: Xpert HIV-1 Viral Load, COUNT: 871
</t>
  </si>
  <si>
    <t>https://www.jotform.com/uploads/macarewecare/222927978372067/6446428302218317864/6446428302218317864_signature_28.png</t>
  </si>
  <si>
    <t>https://www.jotform.com/uploads/macarewecare/222927978372067/6446428302218317864/6446428302218317864_signature_31.png</t>
  </si>
  <si>
    <t xml:space="preserve">ASSAY: Xpert MTB/RIF Ultra, COUNT: 1669
ASSAY: Xpert HIV-1 Viral Load, COUNT: 569
</t>
  </si>
  <si>
    <t>Cleaned cartridge bays, plunger rod, 
Generate Data</t>
  </si>
  <si>
    <t>https://www.jotform.com/uploads/macarewecare/222927978372067/6446426462219611299/6446426462219611299_signature_28.png</t>
  </si>
  <si>
    <t>https://www.jotform.com/uploads/macarewecare/222927978372067/6446426462219611299/6446426462219611299_signature_31.png</t>
  </si>
  <si>
    <t>Legazpi City Health Office</t>
  </si>
  <si>
    <t>Capitol, Legazpi</t>
  </si>
  <si>
    <t>chanjanzhel@gmail.com</t>
  </si>
  <si>
    <t xml:space="preserve">ASSAY: Xpert MTB/RIF Ultra, COUNT: 1746
</t>
  </si>
  <si>
    <t>Gx for Preventive Maintenance 
Date and Time resets</t>
  </si>
  <si>
    <t>Replace CPU Bios Battery for date and time(resolved)
Cleaned cartridge bays,  plunger rod,  fan filter
Generate Data</t>
  </si>
  <si>
    <t>https://www.jotform.com/uploads/macarewecare/222927978372067/6446424532214624653/6446424532214624653_signature_28.png</t>
  </si>
  <si>
    <t>Janzhel Marie Chan</t>
  </si>
  <si>
    <t>https://www.jotform.com/uploads/macarewecare/222927978372067/6446424532214624653/6446424532214624653_signature_31.png</t>
  </si>
  <si>
    <t>lcpbloodbank@gmail.com</t>
  </si>
  <si>
    <t>08H188</t>
  </si>
  <si>
    <t>Due for maintenance
Urethane rollers yellowish color</t>
  </si>
  <si>
    <t>Cleaned unit
Checked rollers
Checked and test tube sensor
Checked and test keypad and lcd display.
Checked program parameters
Performed functionality test
Performed simulation running</t>
  </si>
  <si>
    <t>Unit still can use but need to replace urethane rollers 6pcs</t>
  </si>
  <si>
    <t>https://www.jotform.com/uploads/macarewecare/222927978372067/6446097833614737065/6446097833614737065_signature_28.png</t>
  </si>
  <si>
    <t>Rhona Babilonia</t>
  </si>
  <si>
    <t>https://www.jotform.com/uploads/macarewecare/222927978372067/6446097833614737065/6446097833614737065_signature_31.png</t>
  </si>
  <si>
    <t>Apheresis donor room</t>
  </si>
  <si>
    <t>As per enduser they encounter unusual sound came frm transfer pump</t>
  </si>
  <si>
    <t>Checked unit
Checked if worn out rollers
Checked program parameters
Performed functionality test
Performed simulation running</t>
  </si>
  <si>
    <t>https://www.jotform.com/uploads/macarewecare/222927978372067/6446097333613684421/6446097333613684421_signature_28.png</t>
  </si>
  <si>
    <t>https://www.jotform.com/uploads/macarewecare/222927978372067/6446097333613684421/6446097333613684421_signature_31.png</t>
  </si>
  <si>
    <t>Lake Sebu Rural Health Unit</t>
  </si>
  <si>
    <t>Lake Sebu, South Cotabato</t>
  </si>
  <si>
    <t>jennypingkian23@yahoo.com</t>
  </si>
  <si>
    <t xml:space="preserve">ASSAY: Xpert MTB/RIF Ultra, COUNT: 539
</t>
  </si>
  <si>
    <t>Replace defective module B1 SN:705884 with new Module SN: 716372
Perform Genexpert machine cleaning and maintenance 
Module cleaning 
Plunger rod and Optics cleaning 
Fan and filter cleaning 
Checking of module status and errors
Data collection</t>
  </si>
  <si>
    <t>Genexpert machine module repair
Genexpert machine Preventive maintenance</t>
  </si>
  <si>
    <t>Genexpert 6-color module 
SN:716372</t>
  </si>
  <si>
    <t>DR#: 13627</t>
  </si>
  <si>
    <t>https://www.jotform.com/uploads/macarewecare/222927978372067/6445506187324926267/6445506187324926267_signature_28.png</t>
  </si>
  <si>
    <t>Jenny A Pingki-an</t>
  </si>
  <si>
    <t>https://www.jotform.com/uploads/macarewecare/222927978372067/6445506187324926267/6445506187324926267_signature_31.png</t>
  </si>
  <si>
    <t>South Cotabato Provincial Hospital</t>
  </si>
  <si>
    <t>Koronadal City,  South Cotabato</t>
  </si>
  <si>
    <t>anamariermt22@gmail.com</t>
  </si>
  <si>
    <t xml:space="preserve">ASSAY: Xpert MTB/RIF Ultra, COUNT: 3000
ASSAY: Xpert MTB-XDR, COUNT: 48
ASSAY: Xpert HIV-1 Viral Load, COUNT: 345
</t>
  </si>
  <si>
    <t>GX- XVl</t>
  </si>
  <si>
    <t>Instrument letter interchange</t>
  </si>
  <si>
    <t>Fixed module instrument letters back to position 
Perform Genexpert Cleaning and maintenance 
Module cleaning 
Plunger rod and Optics cleaning 
Fan and filter cleaning 
Checking of module status and problem 
Data collection</t>
  </si>
  <si>
    <t>Genexpert module troubleshooting
Genexpert machine Preventive maintenance</t>
  </si>
  <si>
    <t>11 functional modules</t>
  </si>
  <si>
    <t>https://www.jotform.com/uploads/macarewecare/222927978372067/6445506187328161513/6445506187328161513_signature_28.png</t>
  </si>
  <si>
    <t>Ana Marie Grace Egasan</t>
  </si>
  <si>
    <t>https://www.jotform.com/uploads/macarewecare/222927978372067/6445506187328161513/6445506187328161513_signature_31.png</t>
  </si>
  <si>
    <t>MEDI LINX LABORATORY INC. / St.Elizabeth Hospital Inc</t>
  </si>
  <si>
    <t>General Santos City, South Cotabato</t>
  </si>
  <si>
    <t>Bacteriology</t>
  </si>
  <si>
    <t>sofia.maclang@medilinx.com.ph</t>
  </si>
  <si>
    <t xml:space="preserve">ASSAY: Xpert MTB/RIF Ultra, COUNT: 93
</t>
  </si>
  <si>
    <t>Module 2 and 4 for module replacement</t>
  </si>
  <si>
    <t>Perform Genexpert cleaning and maintenance 
Module cleaning 
Plunger rod and Optics cleaning 
Fan and filter cleaning 
Checking of module status and problem 
Data collection</t>
  </si>
  <si>
    <t>2 operational modules (module 1 and 3)</t>
  </si>
  <si>
    <t>https://www.jotform.com/uploads/macarewecare/222927978372067/6445506187329473369/6445506187329473369_signature_28.png</t>
  </si>
  <si>
    <t>Richei Hernandez</t>
  </si>
  <si>
    <t>https://www.jotform.com/uploads/macarewecare/222927978372067/6445506187329473369/6445506187329473369_signature_31.png</t>
  </si>
  <si>
    <t>tayasanrhu2023@gmail.com</t>
  </si>
  <si>
    <t xml:space="preserve">ASSAY: Xpert MTB/RIF Ultra, COUNT: 418
</t>
  </si>
  <si>
    <t>Clean optics, filter, plunger rods, module bays; archive tests, backup</t>
  </si>
  <si>
    <t>.Perform Xpertcheck</t>
  </si>
  <si>
    <t>- B2, B3 Passed Xpertcheck;
- B1, B4 Requiring Service (modules will be replaced by Cepheid)</t>
  </si>
  <si>
    <t>Xpertcheck Kit</t>
  </si>
  <si>
    <t>https://www.jotform.com/uploads/macarewecare/222927978372067/6444618972238510702/6444618972238510702_signature_28.png</t>
  </si>
  <si>
    <t>Welyn C. Mahinay</t>
  </si>
  <si>
    <t>https://www.jotform.com/uploads/macarewecare/222927978372067/6444618972238510702/6444618972238510702_signature_31.png</t>
  </si>
  <si>
    <t>Bataan General Hospital and Medical Center</t>
  </si>
  <si>
    <t>Balanga,Bataan</t>
  </si>
  <si>
    <t>bghmcpcrlab@yahoo.com</t>
  </si>
  <si>
    <t>https://www.jotform.com/uploads/macarewecare/222927978372067/6443623804398827566/6443623804398827566_signature_28.png</t>
  </si>
  <si>
    <t>Rosemin Taguinod</t>
  </si>
  <si>
    <t>https://www.jotform.com/uploads/macarewecare/222927978372067/6443623804398827566/6443623804398827566_signature_31.png</t>
  </si>
  <si>
    <t>Modules E4, F2, G2, G3 for replacement after XpertCheck</t>
  </si>
  <si>
    <t>Replaced defective modules (695334 &gt; 642045, 692341 &gt; 608480, 695066 &gt; 800987, 694263 &gt; 210059833)</t>
  </si>
  <si>
    <t>Replaced defective modules
Performed functionality test
Performed maintenance cleaning
Generated reports</t>
  </si>
  <si>
    <t>Certified pre-owned GeneXpert module (x4)
Modified ejector (x4)
Assy Door GeneXpert module (x4)</t>
  </si>
  <si>
    <t>DR 13681</t>
  </si>
  <si>
    <t>https://www.jotform.com/uploads/macarewecare/222927978372067/6443596922319836015/6443596922319836015_signature_28.png</t>
  </si>
  <si>
    <t>https://www.jotform.com/uploads/macarewecare/222927978372067/6443596922319836015/6443596922319836015_signature_31.png</t>
  </si>
  <si>
    <t>Philippine Red Cross - Davao City Chapter</t>
  </si>
  <si>
    <t>Error during self test</t>
  </si>
  <si>
    <t>Check line voltages and power
Reset the connection, Safety Board, Valve Board, Cpu Board and Motor Board</t>
  </si>
  <si>
    <t>Perform error troubleshooting</t>
  </si>
  <si>
    <t>Found a burned part at safety board
Machine not operational</t>
  </si>
  <si>
    <t>Documented the faulty board and reported to higher ups for further assessment</t>
  </si>
  <si>
    <t>https://www.jotform.com/uploads/macarewecare/222927978372067/6443461977266364065/6443461977266364065_signature_28.png</t>
  </si>
  <si>
    <t>Joy Chua</t>
  </si>
  <si>
    <t>https://www.jotform.com/uploads/macarewecare/222927978372067/6443461977266364065/6443461977266364065_signature_31.png</t>
  </si>
  <si>
    <t>1005 Aurora Grand,Aurora QC</t>
  </si>
  <si>
    <t>02H078</t>
  </si>
  <si>
    <t>For return and installation of display cable, display cable stand by parts from NCH.
Display cable originally came from 02H078</t>
  </si>
  <si>
    <t>Returned and installed display cable</t>
  </si>
  <si>
    <t>https://www.jotform.com/uploads/macarewecare/222927978372067/6443434643615480561/6443434643615480561_signature_28.png</t>
  </si>
  <si>
    <t>Macare In House</t>
  </si>
  <si>
    <t>https://www.jotform.com/uploads/macarewecare/222927978372067/6443434643615480561/6443434643615480561_signature_31.png</t>
  </si>
  <si>
    <t>Dr. Paulino J. Garcia Memorial Research and Medical Center</t>
  </si>
  <si>
    <t>Mabini, Cabanatuan City, Nueva Ecija</t>
  </si>
  <si>
    <t>molecularlab@drpjgmrmc.doh.gov.ph</t>
  </si>
  <si>
    <t xml:space="preserve">ASSAY: Xpert MTB/RIF Ultra, COUNT: 2854
ASSAY: Xpert HBV VL, COUNT: 5
ASSAY: Xpert MTB-XDR, COUNT: 84
ASSAY: Xpert HCV VL, COUNT: 1
ASSAY: Xpert HIV-1 Viral Load, COUNT: 446
</t>
  </si>
  <si>
    <t>Performed Xpertcheck
(All Modules Passed)</t>
  </si>
  <si>
    <t>https://www.jotform.com/uploads/macarewecare/222927978372067/6443390640618084042/6443390640618084042_signature_28.png</t>
  </si>
  <si>
    <t>Kenneth Delos Santos</t>
  </si>
  <si>
    <t>https://www.jotform.com/uploads/macarewecare/222927978372067/6443390640618084042/6443390640618084042_signature_31.png</t>
  </si>
  <si>
    <t>Silang Rural Health Unit</t>
  </si>
  <si>
    <t>New Municipal Compound, Silang, Cavite</t>
  </si>
  <si>
    <t>silangrhu@gmail.com</t>
  </si>
  <si>
    <t>B1 for Observation after Icore Cleaning.
B2-B4 in Good Condition.</t>
  </si>
  <si>
    <t>Last XpertCheck - 11/11/25</t>
  </si>
  <si>
    <t>https://www.jotform.com/uploads/macarewecare/222927978372067/6442741538317164901/6442741538317164901_signature_28.png</t>
  </si>
  <si>
    <t>Evalyn Martin</t>
  </si>
  <si>
    <t>https://www.jotform.com/uploads/macarewecare/222927978372067/6442741538317164901/6442741538317164901_signature_31.png</t>
  </si>
  <si>
    <t>Santa Rosa City Health Office 1</t>
  </si>
  <si>
    <t>Santa Rosa, Laguna</t>
  </si>
  <si>
    <t>santarosacho1clinlab@gmail.com</t>
  </si>
  <si>
    <t>DR#13655</t>
  </si>
  <si>
    <t>https://www.jotform.com/uploads/macarewecare/222927978372067/6442586622914999999/6442586622914999999_signature_28.png</t>
  </si>
  <si>
    <t>Alona Alvaro</t>
  </si>
  <si>
    <t>https://www.jotform.com/uploads/macarewecare/222927978372067/6442586622914999999/6442586622914999999_signature_31.png</t>
  </si>
  <si>
    <t>https://www.jotform.com/uploads/macarewecare/222927978372067/6442585822915277274/6442585822915277274_signature_28.png</t>
  </si>
  <si>
    <t>https://www.jotform.com/uploads/macarewecare/222927978372067/6442585822915277274/6442585822915277274_signature_31.png</t>
  </si>
  <si>
    <t>https://www.jotform.com/uploads/macarewecare/222927978372067/6442585152916035916/6442585152916035916_signature_28.png</t>
  </si>
  <si>
    <t>https://www.jotform.com/uploads/macarewecare/222927978372067/6442585152916035916/6442585152916035916_signature_31.png</t>
  </si>
  <si>
    <t xml:space="preserve">ASSAY: Xpert HIV-1 Viral Load, COUNT: 838
ASSAY: Xpert MTB/RIF Ultra, COUNT: 63
ASSAY: Xpert MTB-XDR, COUNT: 174
</t>
  </si>
  <si>
    <t>Lot no.: 1001490130</t>
  </si>
  <si>
    <t>DR# 13641</t>
  </si>
  <si>
    <t>https://www.jotform.com/uploads/macarewecare/222927978372067/6442572703396172904/6442572703396172904_signature_28.png</t>
  </si>
  <si>
    <t>https://www.jotform.com/uploads/macarewecare/222927978372067/6442572703396172904/6442572703396172904_signature_31.png</t>
  </si>
  <si>
    <t>Urbano Velasco Ave, Pinagbuhatan, Pasig City</t>
  </si>
  <si>
    <t xml:space="preserve">ASSAY: Xpert MTB/RIF Ultra, COUNT: 2000
</t>
  </si>
  <si>
    <t>https://www.jotform.com/uploads/macarewecare/222927978372067/6442562343392768773/6442562343392768773_signature_28.png</t>
  </si>
  <si>
    <t>https://www.jotform.com/uploads/macarewecare/222927978372067/6442562343392768773/6442562343392768773_signature_31.png</t>
  </si>
  <si>
    <t>Klinika Eastwood</t>
  </si>
  <si>
    <t>CityWalk 2, Eastwood, Quezon City</t>
  </si>
  <si>
    <t>klinikaeastwood@gmail.com</t>
  </si>
  <si>
    <t xml:space="preserve">ASSAY: Xpert HIV-1 Viral Load, COUNT: 158
</t>
  </si>
  <si>
    <t>Database problem when opening GeneXpert software</t>
  </si>
  <si>
    <t>Restart SQL configuration</t>
  </si>
  <si>
    <t>Restart SQL Database Configuration 
Performed maintenance 
Cleaned:
-Cartridge bay 
-plunger rod 
-Icore 
-Filter 
Generated reports</t>
  </si>
  <si>
    <t>https://www.jotform.com/uploads/macarewecare/222927978372067/6442562343393353479/6442562343393353479_signature_28.png</t>
  </si>
  <si>
    <t>Robelyn B. Dacanay</t>
  </si>
  <si>
    <t>https://www.jotform.com/uploads/macarewecare/222927978372067/6442562343393353479/6442562343393353479_signature_31.png</t>
  </si>
  <si>
    <t xml:space="preserve">ASSAY: Xpert BCR-ABL Ultra, COUNT: 57
ASSAY: Xpert CT/NG, COUNT: 74
ASSAY: Xpert HBV VL, COUNT: 617
ASSAY: Xpert HIV-1 Viral Load, COUNT: 1147
ASSAY: Xpert HPV, COUNT: 415
ASSAY: Xpert MTB/RIF Ultra, COUNT: 6753
ASSAY: Xpert MTB-XDR, COUNT: 6
ASSAY: Others, COUNT: 7
ASSAY: Xpert HCV VL, COUNT: 202
ASSAY: Xpress SARS-CoV-2_Flu_RSV plus, COUNT: 1133
</t>
  </si>
  <si>
    <t>GX-XVI-D-10C</t>
  </si>
  <si>
    <t>Performed maintenance:
Cleaned:
-Cartridge bay 
-plunger rod 
-Icore 
-Filter 
Generated reports 
Checked setting for MTB XDR upload to LIS</t>
  </si>
  <si>
    <t>Unit is operational. Module D1 not operational.</t>
  </si>
  <si>
    <t>https://www.jotform.com/uploads/macarewecare/222927978372067/6442562343393778139/6442562343393778139_signature_28.png</t>
  </si>
  <si>
    <t>https://www.jotform.com/uploads/macarewecare/222927978372067/6442562343393778139/6442562343393778139_signature_31.png</t>
  </si>
  <si>
    <t>Ortigas ave, Pasig City</t>
  </si>
  <si>
    <t>https://www.jotform.com/uploads/macarewecare/222927978372067/6442562343396800977/6442562343396800977_signature_28.png</t>
  </si>
  <si>
    <t>Roxanne Paulina Mercado</t>
  </si>
  <si>
    <t>https://www.jotform.com/uploads/macarewecare/222927978372067/6442562343396800977/6442562343396800977_signature_31.png</t>
  </si>
  <si>
    <t>Ospital Ng Muntinlupa</t>
  </si>
  <si>
    <t>Civic Dr, Filinvest, Muntinlupa</t>
  </si>
  <si>
    <t>osmunclinlab@gmail.com</t>
  </si>
  <si>
    <t>osmunmicro@yahoo.com</t>
  </si>
  <si>
    <t xml:space="preserve">ASSAY: Xpert MTB/RIF Ultra, COUNT: 728
</t>
  </si>
  <si>
    <t>XpertCheck.</t>
  </si>
  <si>
    <t>Cleaned Cartridge Bay, Plunger Rod and Icore Optics.
Checked Filter If Clogged.
Archived Test Results.
Performed XpertCheck.
Performed Self-Test.
Generate Reports.</t>
  </si>
  <si>
    <t>B1 - Pass
B2 - Pass
B3 - Pass
B4 - Pass</t>
  </si>
  <si>
    <t>XpertCheck Kit.</t>
  </si>
  <si>
    <t>DR 13649</t>
  </si>
  <si>
    <t>https://www.jotform.com/uploads/macarewecare/222927978372067/6442449367421425038/6442449367421425038_signature_28.png</t>
  </si>
  <si>
    <t>Jesse Jasper Sanchez</t>
  </si>
  <si>
    <t>https://www.jotform.com/uploads/macarewecare/222927978372067/6442449367421425038/6442449367421425038_signature_31.png</t>
  </si>
  <si>
    <t>Jose Reyes Memorial Medical Center</t>
  </si>
  <si>
    <t>Rizal Ave, Manila</t>
  </si>
  <si>
    <t>nelsonmarksalvador17@yahoo.com</t>
  </si>
  <si>
    <t xml:space="preserve">ASSAY: Xpert HPV, COUNT: 9
ASSAY: Xpert MTB/RIF Ultra, COUNT: 641
</t>
  </si>
  <si>
    <t>Cleaned Cartridge Bay, Plunger Rod and Icore Optics.
Changed Filter.
Performed Self-test.
Generate Reports.</t>
  </si>
  <si>
    <t>B3 with Temperature Errors.
B1 Disabled for Errors.
B2 and B4 are Operational.</t>
  </si>
  <si>
    <t>https://www.jotform.com/uploads/macarewecare/222927978372067/6442449357421770502/6442449357421770502_signature_28.png</t>
  </si>
  <si>
    <t>Nelson Mark Salvador</t>
  </si>
  <si>
    <t>https://www.jotform.com/uploads/macarewecare/222927978372067/6442449357421770502/6442449357421770502_signature_31.png</t>
  </si>
  <si>
    <t>Rizal Ave., Manila</t>
  </si>
  <si>
    <t xml:space="preserve">ASSAY: Xpert HPV, COUNT: 876
ASSAY: Xpert MTB/RIF Ultra, COUNT: 472
ASSAY: Xpert SARS-CoV-2, COUNT: 82
</t>
  </si>
  <si>
    <t>GX16-D-10C</t>
  </si>
  <si>
    <t>Cleaned Cartridge Bay, Plunger Rod and Icore Optics.
Replaced Filter.
Performed Self-test.
Generate Reports</t>
  </si>
  <si>
    <t>Modules A2, B2, B3, B4 were disabled with temperature Errors.</t>
  </si>
  <si>
    <t>https://www.jotform.com/uploads/macarewecare/222927978372067/6442449297422259745/6442449297422259745_signature_28.png</t>
  </si>
  <si>
    <t>https://www.jotform.com/uploads/macarewecare/222927978372067/6442449297422259745/6442449297422259745_signature_31.png</t>
  </si>
  <si>
    <t>Dasmariñas City Health Office 2</t>
  </si>
  <si>
    <t>DBB-E, Sta.Cruz, Dasmariñas City, Cavite</t>
  </si>
  <si>
    <t>hazelmilan0777@gmail.com</t>
  </si>
  <si>
    <t>Install GeneXpert System.
Generate Reports.</t>
  </si>
  <si>
    <t>Unit is Operational.
UPS and Printer is Good.</t>
  </si>
  <si>
    <t>DR 13611</t>
  </si>
  <si>
    <t>https://www.jotform.com/uploads/macarewecare/222927978372067/6442449297427838508/6442449297427838508_signature_28.png</t>
  </si>
  <si>
    <t>Hazel Milan</t>
  </si>
  <si>
    <t>https://www.jotform.com/uploads/macarewecare/222927978372067/6442449297427838508/6442449297427838508_signature_31.png</t>
  </si>
  <si>
    <t>kcaangay@asianhospital.com</t>
  </si>
  <si>
    <t>10B129</t>
  </si>
  <si>
    <t>Reported Valve Problem</t>
  </si>
  <si>
    <t>Troubleshoot.</t>
  </si>
  <si>
    <t>Checked Valve Pressure.
Checked Diagnostic Parameters.
Performed Simulation Test.</t>
  </si>
  <si>
    <t>Unit is Operational.
Valves are Okay.</t>
  </si>
  <si>
    <t>https://www.jotform.com/uploads/macarewecare/222927978372067/6442449297429626992/6442449297429626992_signature_28.png</t>
  </si>
  <si>
    <t>Keano Riggs Caañgay</t>
  </si>
  <si>
    <t>https://www.jotform.com/uploads/macarewecare/222927978372067/6442449297429626992/6442449297429626992_signature_31.png</t>
  </si>
  <si>
    <t>Unit has Defective Compressor Assay.</t>
  </si>
  <si>
    <t>Part Replacement.</t>
  </si>
  <si>
    <t>Replaced Compressor Assay.
Checked Diagnostic Parameters.
Performed Simulation Run.</t>
  </si>
  <si>
    <t>Compressor Assay.</t>
  </si>
  <si>
    <t>DR 13637</t>
  </si>
  <si>
    <t>https://www.jotform.com/uploads/macarewecare/222927978372067/6442449297429818486/6442449297429818486_signature_28.png</t>
  </si>
  <si>
    <t>https://www.jotform.com/uploads/macarewecare/222927978372067/6442449297429818486/6442449297429818486_signature_31.png</t>
  </si>
  <si>
    <t>Pamplona Rural Health Unit</t>
  </si>
  <si>
    <t>Centro, Pamplona, Cagayan</t>
  </si>
  <si>
    <t>rhupamplonalaboratory@gmail.com</t>
  </si>
  <si>
    <t xml:space="preserve">ASSAY: Xpert MTB/RIF Ultra, COUNT: 2863
</t>
  </si>
  <si>
    <t>Performed Maintenance
Gathered Reports
Performed Functionality Test
Performed Calibration</t>
  </si>
  <si>
    <t>https://www.jotform.com/uploads/macarewecare/222927978372067/6441828194781585670/6441828194781585670_signature_28.png</t>
  </si>
  <si>
    <t>Wicki Zena Gerona</t>
  </si>
  <si>
    <t>https://www.jotform.com/uploads/macarewecare/222927978372067/6441828194781585670/6441828194781585670_signature_31.png</t>
  </si>
  <si>
    <t>Tondo Foreshore Super Health Center</t>
  </si>
  <si>
    <t>Pacheco St. Tondo Manila</t>
  </si>
  <si>
    <t>daguilon.intp@gmail.com</t>
  </si>
  <si>
    <t>synch28@yahoo.com</t>
  </si>
  <si>
    <t>https://www.jotform.com/uploads/macarewecare/222927978372067/6441813573414078181/6441813573414078181_signature_28.png</t>
  </si>
  <si>
    <t>Dennis Aguilon</t>
  </si>
  <si>
    <t>https://www.jotform.com/uploads/macarewecare/222927978372067/6441813573414078181/6441813573414078181_signature_31.png</t>
  </si>
  <si>
    <t>Jordan Primary Care Facility</t>
  </si>
  <si>
    <t>Jordan, Guimaras</t>
  </si>
  <si>
    <t>Guimaras</t>
  </si>
  <si>
    <t>badette1815@gmail.com</t>
  </si>
  <si>
    <t xml:space="preserve">ASSAY: Xpert MTB/RIF Ultra, COUNT: 422
</t>
  </si>
  <si>
    <t>all module passed</t>
  </si>
  <si>
    <t>Xpert Check kit</t>
  </si>
  <si>
    <t>https://www.jotform.com/uploads/macarewecare/222927978372067/6441812923877303395/6441812923877303395_signature_28.png</t>
  </si>
  <si>
    <t>Bernadette Galila</t>
  </si>
  <si>
    <t>https://www.jotform.com/uploads/macarewecare/222927978372067/6441812923877303395/6441812923877303395_signature_31.png</t>
  </si>
  <si>
    <t>Tondo Foreshore Suoer Health Center</t>
  </si>
  <si>
    <t>GX16-10C</t>
  </si>
  <si>
    <t>https://www.jotform.com/uploads/macarewecare/222927978372067/6441811293411227332/6441811293411227332_signature_28.png</t>
  </si>
  <si>
    <t>https://www.jotform.com/uploads/macarewecare/222927978372067/6441811293411227332/6441811293411227332_signature_31.png</t>
  </si>
  <si>
    <t>Quezon City General Hospital</t>
  </si>
  <si>
    <t>jomarilitonjua@gmail.com</t>
  </si>
  <si>
    <t>Performed calibration</t>
  </si>
  <si>
    <t>XpertCheck Kit
Lot: 1001495845</t>
  </si>
  <si>
    <t>https://www.jotform.com/uploads/macarewecare/222927978372067/6441804529516273393/6441804529516273393_signature_28.png</t>
  </si>
  <si>
    <t>Jomari Litonjua</t>
  </si>
  <si>
    <t>https://www.jotform.com/uploads/macarewecare/222927978372067/6441804529516273393/6441804529516273393_signature_31.png</t>
  </si>
  <si>
    <t>arizzamendoza@gmail.com</t>
  </si>
  <si>
    <t>Unit is operational
Unit is due for calibration (last calibration date: 6-25-24)</t>
  </si>
  <si>
    <t>https://www.jotform.com/uploads/macarewecare/222927978372067/6441799909518339859/6441799909518339859_signature_28.png</t>
  </si>
  <si>
    <t>Arizza Sheena Mendoza</t>
  </si>
  <si>
    <t>https://www.jotform.com/uploads/macarewecare/222927978372067/6441799909518339859/6441799909518339859_signature_31.png</t>
  </si>
  <si>
    <t>Guimaras Provincial Health Office</t>
  </si>
  <si>
    <t>vjangel31@gmail.com</t>
  </si>
  <si>
    <t xml:space="preserve">ASSAY: Xpert MTB/RIF Ultra, COUNT: 334
</t>
  </si>
  <si>
    <t>All module passed</t>
  </si>
  <si>
    <t>1 Xpert Check kit</t>
  </si>
  <si>
    <t>https://www.jotform.com/uploads/macarewecare/222927978372067/6441736327614588305/6441736327614588305_signature_28.png</t>
  </si>
  <si>
    <t>VJ Angeli L. Dalisay</t>
  </si>
  <si>
    <t>https://www.jotform.com/uploads/macarewecare/222927978372067/6441736327614588305/6441736327614588305_signature_31.png</t>
  </si>
  <si>
    <t>Mabuhay Rural Health Unit</t>
  </si>
  <si>
    <t>Mabuhay, Zamboanga sibugay</t>
  </si>
  <si>
    <t>sumondongcrmt@gmail.com</t>
  </si>
  <si>
    <t xml:space="preserve">ASSAY: Xpert MTB/RIF Ultra, COUNT: 850
</t>
  </si>
  <si>
    <t>Preventive maintenance and Xpertcheck calibration. All modules passed the xpertcheck calibration.</t>
  </si>
  <si>
    <t>Preventive maintenance and Xpertcheck calibration.</t>
  </si>
  <si>
    <t>All modules passed and ready to use.</t>
  </si>
  <si>
    <t>XPERTCHECK-CE-5</t>
  </si>
  <si>
    <t>https://www.jotform.com/uploads/macarewecare/222927978372067/6441726479029766097/6441726479029766097_signature_28.png</t>
  </si>
  <si>
    <t>Charliza M. Sumondong</t>
  </si>
  <si>
    <t>https://www.jotform.com/uploads/macarewecare/222927978372067/6441726479029766097/6441726479029766097_signature_31.png</t>
  </si>
  <si>
    <t>Sibunag Rural Health Unit</t>
  </si>
  <si>
    <t>Sibunag, Guimaras</t>
  </si>
  <si>
    <t>rhodatrance1994@gmail.com</t>
  </si>
  <si>
    <t>https://www.jotform.com/uploads/macarewecare/222927978372067/6441704723823540124/6441704723823540124_signature_28.png</t>
  </si>
  <si>
    <t>Ma Rhoda Lyn Villarta</t>
  </si>
  <si>
    <t>https://www.jotform.com/uploads/macarewecare/222927978372067/6441704723823540124/6441704723823540124_signature_31.png</t>
  </si>
  <si>
    <t>San Lorenzo Rural Health Unit</t>
  </si>
  <si>
    <t>San Lorenzo, Guimaras</t>
  </si>
  <si>
    <t>ellenpearlf@gmail.com</t>
  </si>
  <si>
    <t xml:space="preserve">ASSAY: Xpert MTB/RIF Ultra, COUNT: 863
</t>
  </si>
  <si>
    <t>https://www.jotform.com/uploads/macarewecare/222927978372067/6441672477673250204/6441672477673250204_signature_28.png</t>
  </si>
  <si>
    <t>ELLEN PEARL F. TALABAN</t>
  </si>
  <si>
    <t>https://www.jotform.com/uploads/macarewecare/222927978372067/6441672477673250204/6441672477673250204_signature_31.png</t>
  </si>
  <si>
    <t>Buenavista Emergency Hospital</t>
  </si>
  <si>
    <t>Buenavista, Guimaras</t>
  </si>
  <si>
    <t>janicedelacruz.0909@gmail.com</t>
  </si>
  <si>
    <t>Duedate for xpercheck calibration</t>
  </si>
  <si>
    <t>Xpertcheck calibration
Gather data IQR, syatem log and Calibration info
Clean Fan Filter</t>
  </si>
  <si>
    <t>Systems operational
All modules passed</t>
  </si>
  <si>
    <t>https://www.jotform.com/uploads/macarewecare/222927978372067/6441639217675744962/6441639217675744962_signature_28.png</t>
  </si>
  <si>
    <t>Janice de cruz</t>
  </si>
  <si>
    <t>https://www.jotform.com/uploads/macarewecare/222927978372067/6441639217675744962/6441639217675744962_signature_31.png</t>
  </si>
  <si>
    <t>Philippine Tuberculosis Society Inc</t>
  </si>
  <si>
    <t>Installed unit
Complete accesories
Upload ADF 
Performed functionality test</t>
  </si>
  <si>
    <t>https://www.jotform.com/uploads/macarewecare/222927978372067/6441044626116076944/6441044626116076944_signature_28.png</t>
  </si>
  <si>
    <t>Sanny M. Isorena</t>
  </si>
  <si>
    <t>https://www.jotform.com/uploads/macarewecare/222927978372067/6441044626116076944/6441044626116076944_signature_31.png</t>
  </si>
  <si>
    <t>NRL</t>
  </si>
  <si>
    <t>Fujifilm</t>
  </si>
  <si>
    <t>hazelcguevarra04@gmail.com</t>
  </si>
  <si>
    <t>Limusave MT 7500</t>
  </si>
  <si>
    <t>Delivered and installed unit 
Performed functionality test
Test run unit</t>
  </si>
  <si>
    <t>Cooling station s/n 2410016A, thermostation s/n 36920311,1kva ups s/n AT1000181128ST0106</t>
  </si>
  <si>
    <t>https://www.jotform.com/uploads/macarewecare/222927978372067/6441044126114199045/6441044126114199045_signature_28.png</t>
  </si>
  <si>
    <t>Hazel Guevarra</t>
  </si>
  <si>
    <t>https://www.jotform.com/uploads/macarewecare/222927978372067/6441044126114199045/6441044126114199045_signature_31.png</t>
  </si>
  <si>
    <t>Medi Linx Laboratory Inc. (CLDH)</t>
  </si>
  <si>
    <t>Unit is operational except module C2: 620096 for module replacement</t>
  </si>
  <si>
    <t>https://www.jotform.com/uploads/macarewecare/222927978372067/6441021104397008076/6441021104397008076_signature_28.png</t>
  </si>
  <si>
    <t>https://www.jotform.com/uploads/macarewecare/222927978372067/6441021104397008076/6441021104397008076_signature_31.png</t>
  </si>
  <si>
    <t>Medi Linx Laboratory Inc.(CLDH)</t>
  </si>
  <si>
    <t>Hospital Dr. Brgy. San Vicente, Tarlac City</t>
  </si>
  <si>
    <t xml:space="preserve">ASSAY: Xpert MTB/RIF Ultra, COUNT: 202
</t>
  </si>
  <si>
    <t>Due for monthly preventive maintenance</t>
  </si>
  <si>
    <t>Unut is operational except module B4: 738203 for replacement</t>
  </si>
  <si>
    <t>https://www.jotform.com/uploads/macarewecare/222927978372067/6441020744396912682/6441020744396912682_signature_28.png</t>
  </si>
  <si>
    <t>https://www.jotform.com/uploads/macarewecare/222927978372067/6441020744396912682/6441020744396912682_signature_31.png</t>
  </si>
  <si>
    <t>Cauayan City Health Office</t>
  </si>
  <si>
    <t>Cauayan City, Isabela</t>
  </si>
  <si>
    <t>cho1lab14@gmail.com</t>
  </si>
  <si>
    <t xml:space="preserve">ASSAY: Xpert MTB/RIF Ultra, COUNT: 1875
</t>
  </si>
  <si>
    <t>https://www.jotform.com/uploads/macarewecare/222927978372067/6440998785321469569/6440998785321469569_signature_28.png</t>
  </si>
  <si>
    <t>Pamela Uy</t>
  </si>
  <si>
    <t>https://www.jotform.com/uploads/macarewecare/222927978372067/6440998785321469569/6440998785321469569_signature_31.png</t>
  </si>
  <si>
    <t>Mambajao Municipal Health Office PCF</t>
  </si>
  <si>
    <t>Lakas, Mambajao, Camiguin</t>
  </si>
  <si>
    <t>Camiguin</t>
  </si>
  <si>
    <t>TB-DOTS RTDL</t>
  </si>
  <si>
    <t>mirasolflores76@gmail.com</t>
  </si>
  <si>
    <t>Gx 4 10c</t>
  </si>
  <si>
    <t>UPS don't work. Cant power ON</t>
  </si>
  <si>
    <t>Troubleshooting UPS</t>
  </si>
  <si>
    <t>XpertCheck Calibration and Maintenance</t>
  </si>
  <si>
    <t>All modules are functional
Units are functional except for UPS</t>
  </si>
  <si>
    <t>XpertCheck CE-IVD 5 Cartridges/Kit</t>
  </si>
  <si>
    <t>https://www.jotform.com/uploads/macarewecare/222927978372067/6440994710425280689/6440994710425280689_signature_28.png</t>
  </si>
  <si>
    <t>Mirasol Flores</t>
  </si>
  <si>
    <t>https://www.jotform.com/uploads/macarewecare/222927978372067/6440994710425280689/6440994710425280689_signature_31.png</t>
  </si>
  <si>
    <t>Dumarao Primary Care Facility</t>
  </si>
  <si>
    <t>Dumarao</t>
  </si>
  <si>
    <t>doregoshielamarie@gmail.com</t>
  </si>
  <si>
    <t xml:space="preserve">ASSAY: Xpert MTB/RIF Ultra, COUNT: 725
</t>
  </si>
  <si>
    <t>https://www.jotform.com/uploads/macarewecare/222927978372067/6440959066367139744/6440959066367139744_signature_28.png</t>
  </si>
  <si>
    <t>Shiela Marie D. Dorego</t>
  </si>
  <si>
    <t>https://www.jotform.com/uploads/macarewecare/222927978372067/6440959066367139744/6440959066367139744_signature_31.png</t>
  </si>
  <si>
    <t>Dumangas Municipal Health Health Office</t>
  </si>
  <si>
    <t>Burgos Regidor, dumangas</t>
  </si>
  <si>
    <t>marilyn_dusaran@yahoo.com</t>
  </si>
  <si>
    <t>Xpertcheck calibration
Gather data, IQR, system log, assay stats &amp; Xpertcheck calibration</t>
  </si>
  <si>
    <t>https://www.jotform.com/uploads/macarewecare/222927978372067/6440950864419781473/6440950864419781473_signature_28.png</t>
  </si>
  <si>
    <t>Marilyn P. Dusaran</t>
  </si>
  <si>
    <t>https://www.jotform.com/uploads/macarewecare/222927978372067/6440950864419781473/6440950864419781473_signature_31.png</t>
  </si>
  <si>
    <t>bmcgenexpert@gmail.com</t>
  </si>
  <si>
    <t>Unit is operational
Unit is due for calibration (last calibration date: 1-2-25)</t>
  </si>
  <si>
    <t>https://www.jotform.com/uploads/macarewecare/222927978372067/6440930161519960433/6440930161519960433_signature_28.png</t>
  </si>
  <si>
    <t>https://www.jotform.com/uploads/macarewecare/222927978372067/6440930161519960433/6440930161519960433_signature_31.png</t>
  </si>
  <si>
    <t>Unit for maintenance
Monitor problem</t>
  </si>
  <si>
    <t>Reset VGA cable</t>
  </si>
  <si>
    <t>Unit is operational
Unit is due for calibration (last calibration date: 2-22-24)
Monitor is recommended for repair due to intermittent freezing</t>
  </si>
  <si>
    <t>https://www.jotform.com/uploads/macarewecare/222927978372067/6440929901513104046/6440929901513104046_signature_28.png</t>
  </si>
  <si>
    <t>https://www.jotform.com/uploads/macarewecare/222927978372067/6440929901513104046/6440929901513104046_signature_31.png</t>
  </si>
  <si>
    <t>Unit is operational
A1: passed
A2: passed
A3: passed
A4: passed</t>
  </si>
  <si>
    <t>https://www.jotform.com/uploads/macarewecare/222927978372067/6440929571519408942/6440929571519408942_signature_28.png</t>
  </si>
  <si>
    <t>https://www.jotform.com/uploads/macarewecare/222927978372067/6440929571519408942/6440929571519408942_signature_31.png</t>
  </si>
  <si>
    <t>Maayon Rural Health Unit</t>
  </si>
  <si>
    <t>Maayon, Capiz</t>
  </si>
  <si>
    <t>pamskii_28@yahoo.com</t>
  </si>
  <si>
    <t xml:space="preserve">ASSAY: Xpert MTB/RIF Ultra, COUNT: 403
</t>
  </si>
  <si>
    <t>https://www.jotform.com/uploads/macarewecare/222927978372067/6440864385843533104/6440864385843533104_signature_28.png</t>
  </si>
  <si>
    <t>pamela b. cerujano</t>
  </si>
  <si>
    <t>https://www.jotform.com/uploads/macarewecare/222927978372067/6440864385843533104/6440864385843533104_signature_31.png</t>
  </si>
  <si>
    <t>Southern Philippines Medical Center - RHIVDA</t>
  </si>
  <si>
    <t>JP Laurel Avenue</t>
  </si>
  <si>
    <t xml:space="preserve">ASSAY: Xpert CT/NG, COUNT: 6
ASSAY: Xpert MTB/RIF Ultra, COUNT: 2040
ASSAY: Xpert MTB-XDR, COUNT: 14
ASSAY: Xpert SARS-CoV-2, COUNT: 8
ASSAY: Xpert HIV-1 Viral Load, COUNT: 1398
</t>
  </si>
  <si>
    <t>Clean Surface Area, Cartridge Bay, Plunger Rod, Icore lenses and changed fan filters
Install XPERTCHECK 1.5B
Run XpertCheck on four modules
Generate IQR, Assay Stat and System Log</t>
  </si>
  <si>
    <t>All Modules passed the Calibration
Machine is Operational</t>
  </si>
  <si>
    <t>XPERTCHECK CE 5</t>
  </si>
  <si>
    <t>DR 13657</t>
  </si>
  <si>
    <t>https://www.jotform.com/uploads/macarewecare/222927978372067/6440832491777931443/6440832491777931443_signature_28.png</t>
  </si>
  <si>
    <t>https://www.jotform.com/uploads/macarewecare/222927978372067/6440832491777931443/6440832491777931443_signature_31.png</t>
  </si>
  <si>
    <t>JP Laurel Avenue, Davao City</t>
  </si>
  <si>
    <t xml:space="preserve">ASSAY: Xpert MTB/RIF Ultra, COUNT: 1267
ASSAY: Xpert SARS-CoV-2, COUNT: 72
ASSAY: Xpert HIV-1 Viral Load, COUNT: 1379
</t>
  </si>
  <si>
    <t>For Preventive Maintenance and XpertCheck Calibration
UPS Not working on battery and line mode</t>
  </si>
  <si>
    <t>Clean Surface Area, Cartridge Bay, Plunger Rod, Icore Lenses and Changed the Fan Filters
Install XPERTCHECK 1.5B
Run XpertCheck on four modules
Generate IQR, Assay Stat and System Log
Check the UPS Line Voltages, Battery Voltages, reset its connection</t>
  </si>
  <si>
    <t>Perform Preventive Maintenance and XpertCheck
Perform UPS Troubleshooting</t>
  </si>
  <si>
    <t>Module Three for Service Required
Three Modules only Passed on Calibration
Machine is Operational
UPS still not working</t>
  </si>
  <si>
    <t>Reported to Jotform for further assessment</t>
  </si>
  <si>
    <t>https://www.jotform.com/uploads/macarewecare/222927978372067/6440832111778349658/6440832111778349658_signature_28.png</t>
  </si>
  <si>
    <t>https://www.jotform.com/uploads/macarewecare/222927978372067/6440832111778349658/6440832111778349658_signature_31.png</t>
  </si>
  <si>
    <t>Jamindan Rural Health Unit</t>
  </si>
  <si>
    <t>Jamindan, Capiz</t>
  </si>
  <si>
    <t>louiseannaries.laa@gmail.com</t>
  </si>
  <si>
    <t>https://www.jotform.com/uploads/macarewecare/222927978372067/6440792264277297625/6440792264277297625_signature_28.png</t>
  </si>
  <si>
    <t>Louise Ann B. Aries</t>
  </si>
  <si>
    <t>https://www.jotform.com/uploads/macarewecare/222927978372067/6440792264277297625/6440792264277297625_signature_31.png</t>
  </si>
  <si>
    <t>Mandurriao, Iloilo City</t>
  </si>
  <si>
    <t>wvmcrhivdacrcl@gmail.com</t>
  </si>
  <si>
    <t>Duedate for xpertcheck calibration</t>
  </si>
  <si>
    <t>Xpertcheck calibration
Gather data IQR, system log, assay stats &amp; calibration info
Clean fan filter</t>
  </si>
  <si>
    <t>https://www.jotform.com/uploads/macarewecare/222927978372067/6440750232023956087/6440750232023956087_signature_28.png</t>
  </si>
  <si>
    <t>Harry Al Villaruz</t>
  </si>
  <si>
    <t>https://www.jotform.com/uploads/macarewecare/222927978372067/6440750232023956087/6440750232023956087_signature_31.png</t>
  </si>
  <si>
    <t>Tb-lab</t>
  </si>
  <si>
    <t>namcymoscoso18@gmail.com</t>
  </si>
  <si>
    <t xml:space="preserve">ASSAY: Xpert MTB/RIF Ultra, COUNT: 1166
ASSAY: Xpert HIV-1 Viral Load, COUNT: 14
ASSAY: Xpert MTB-XDR, COUNT: 1
</t>
  </si>
  <si>
    <t>GxlV-10C</t>
  </si>
  <si>
    <t>Perform Genexpert annual Xpertcheck calibration
Perform Genexpert machine cleaning and maintenance
Modules cleaning
Plunger rod and Optics cleaning
Fan and filter cleaning
Checking of modules status and problem
Data collection</t>
  </si>
  <si>
    <t>Genexpert machine Xpertcheck Calibration
Genexpert machine Preventive Maintenance</t>
  </si>
  <si>
    <t>4 operational modules
Xpertcheck calibration results
-All modules Passed</t>
  </si>
  <si>
    <t>DR#:13581</t>
  </si>
  <si>
    <t>https://www.jotform.com/uploads/macarewecare/222927978372067/6440297413567339908/6440297413567339908_signature_28.png</t>
  </si>
  <si>
    <t>Nancy Moscoso</t>
  </si>
  <si>
    <t>https://www.jotform.com/uploads/macarewecare/222927978372067/6440297413567339908/6440297413567339908_signature_31.png</t>
  </si>
  <si>
    <t>Leon Rural Health Unit</t>
  </si>
  <si>
    <t>LEON, ILOILO</t>
  </si>
  <si>
    <t>camiquejolyn10@gmail.com</t>
  </si>
  <si>
    <t>Xpertcheck calibration
Clean fan filter
Gather data IQR, system log, assay stats and Calibration info</t>
  </si>
  <si>
    <t>https://www.jotform.com/uploads/macarewecare/222927978372067/6440156500416202585/6440156500416202585_signature_28.png</t>
  </si>
  <si>
    <t>Jolyn C. Maloco</t>
  </si>
  <si>
    <t>https://www.jotform.com/uploads/macarewecare/222927978372067/6440156500416202585/6440156500416202585_signature_31.png</t>
  </si>
  <si>
    <t>https://www.jotform.com/uploads/macarewecare/222927978372067/6440156150411447150/6440156150411447150_signature_28.png</t>
  </si>
  <si>
    <t>https://www.jotform.com/uploads/macarewecare/222927978372067/6440156150411447150/6440156150411447150_signature_31.png</t>
  </si>
  <si>
    <t xml:space="preserve">ASSAY: Xpert MTB/RIF Ultra, COUNT: 491
</t>
  </si>
  <si>
    <t>https://www.jotform.com/uploads/macarewecare/222927978372067/6440127945184919479/6440127945184919479_signature_28.png</t>
  </si>
  <si>
    <t>Vangie C.Yuro</t>
  </si>
  <si>
    <t>https://www.jotform.com/uploads/macarewecare/222927978372067/6440127945184919479/6440127945184919479_signature_31.png</t>
  </si>
  <si>
    <t>Oton Municipal Health Office Diagnostic Center</t>
  </si>
  <si>
    <t>Oton, Iloilo</t>
  </si>
  <si>
    <t>gracie05191980@gmail.com</t>
  </si>
  <si>
    <t>Xpertcheck calibration
Gather data IQR, system log and calibration info
Clean fan filter</t>
  </si>
  <si>
    <t>https://www.jotform.com/uploads/macarewecare/222927978372067/6440107163914291802/6440107163914291802_signature_28.png</t>
  </si>
  <si>
    <t>Mary Grace Ong-Lumasag</t>
  </si>
  <si>
    <t>https://www.jotform.com/uploads/macarewecare/222927978372067/6440107163914291802/6440107163914291802_signature_31.png</t>
  </si>
  <si>
    <t>Spillage in the bowl entry port during procedure.</t>
  </si>
  <si>
    <t>Check centrifuge chuck and clean up. 
Test run the centrifuge</t>
  </si>
  <si>
    <t>Unit is operational. Recommended for use.</t>
  </si>
  <si>
    <t>https://www.jotform.com/uploads/macarewecare/222927978372067/6440068118831985248/6440068118831985248_signature_28.png</t>
  </si>
  <si>
    <t>https://www.jotform.com/uploads/macarewecare/222927978372067/6440068118831985248/6440068118831985248_signature_31.png</t>
  </si>
  <si>
    <t>Concepcion Rural Health Unit</t>
  </si>
  <si>
    <t>Concepcion, Iloilo</t>
  </si>
  <si>
    <t>jescelmaymesias@gmail.com</t>
  </si>
  <si>
    <t>Module B3 Retry and Passed</t>
  </si>
  <si>
    <t>https://www.jotform.com/uploads/macarewecare/222927978372067/6440059759117290413/6440059759117290413_signature_28.png</t>
  </si>
  <si>
    <t>Jescel May Mesias Melgar</t>
  </si>
  <si>
    <t>https://www.jotform.com/uploads/macarewecare/222927978372067/6440059759117290413/6440059759117290413_signature_31.png</t>
  </si>
  <si>
    <t>Tubungan rural health unit</t>
  </si>
  <si>
    <t>Tubungan, Iloilo</t>
  </si>
  <si>
    <t>sheryltacadao@gmail.com</t>
  </si>
  <si>
    <t>Xpertcheck calibration
Clean fan filter
Collect data IQR, system log,assay stats and calibration info</t>
  </si>
  <si>
    <t>Sytems operational</t>
  </si>
  <si>
    <t>https://www.jotform.com/uploads/macarewecare/222927978372067/6439987958472667303/6439987958472667303_signature_28.png</t>
  </si>
  <si>
    <t>SHERYL TACADAO</t>
  </si>
  <si>
    <t>https://www.jotform.com/uploads/macarewecare/222927978372067/6439987958472667303/6439987958472667303_signature_31.png</t>
  </si>
  <si>
    <t>San Rafael Iloilo</t>
  </si>
  <si>
    <t xml:space="preserve">ASSAY: Xpert MTB/RIF Ultra, COUNT: 285
</t>
  </si>
  <si>
    <t>https://www.jotform.com/uploads/macarewecare/222927978372067/6439979869024105227/6439979869024105227_signature_28.png</t>
  </si>
  <si>
    <t>https://www.jotform.com/uploads/macarewecare/222927978372067/6439979869024105227/6439979869024105227_signature_31.png</t>
  </si>
  <si>
    <t>Assay test not found</t>
  </si>
  <si>
    <t>-Import assay definition file of Xpert HIV-1 Viral Load XC</t>
  </si>
  <si>
    <t>https://www.jotform.com/uploads/macarewecare/222927978372067/6439952948832899914/6439952948832899914_signature_28.png</t>
  </si>
  <si>
    <t>Rey C. Mendoza</t>
  </si>
  <si>
    <t>https://www.jotform.com/uploads/macarewecare/222927978372067/6439952948832899914/6439952948832899914_signature_31.png</t>
  </si>
  <si>
    <t>1005 Aurora Grand QC</t>
  </si>
  <si>
    <t>Engineering</t>
  </si>
  <si>
    <t>14K081G</t>
  </si>
  <si>
    <t>For replacement of cpu board</t>
  </si>
  <si>
    <t>Replaced and installed cpu board 
Performed calibration.
Performed functionality test</t>
  </si>
  <si>
    <t>Operational
CPU board s/n SP082100803G</t>
  </si>
  <si>
    <t>https://www.jotform.com/uploads/macarewecare/222927978372067/6439950733612849079/6439950733612849079_signature_28.png</t>
  </si>
  <si>
    <t>https://www.jotform.com/uploads/macarewecare/222927978372067/6439950733612849079/6439950733612849079_signature_31.png</t>
  </si>
  <si>
    <t>1005 Aurora Grand,QC</t>
  </si>
  <si>
    <t>Machine testing</t>
  </si>
  <si>
    <t>For testing
During testing CRC bios error appear on display</t>
  </si>
  <si>
    <t>Performed cpu board reset
Check battery voltage 1.2v
Reset unit</t>
  </si>
  <si>
    <t>Unit unoperational
For replacement of CPU board
Def C091428352G</t>
  </si>
  <si>
    <t>https://www.jotform.com/uploads/macarewecare/222927978372067/6439948133616920590/6439948133616920590_signature_28.png</t>
  </si>
  <si>
    <t>https://www.jotform.com/uploads/macarewecare/222927978372067/6439948133616920590/6439948133616920590_signature_31.png</t>
  </si>
  <si>
    <t>Calinog Rural Health Unit</t>
  </si>
  <si>
    <t>Calinog iloilo</t>
  </si>
  <si>
    <t>icjssca@gmail.com</t>
  </si>
  <si>
    <t xml:space="preserve">ASSAY: Xpert MTB/RIF Ultra, COUNT: 660
</t>
  </si>
  <si>
    <t>All module passed for calibration</t>
  </si>
  <si>
    <t>https://www.jotform.com/uploads/macarewecare/222927978372067/6439903090323163460/6439903090323163460_signature_28.png</t>
  </si>
  <si>
    <t>Ic Jessica Coronado</t>
  </si>
  <si>
    <t>https://www.jotform.com/uploads/macarewecare/222927978372067/6439903090323163460/6439903090323163460_signature_31.png</t>
  </si>
  <si>
    <t>Makati Medical Center</t>
  </si>
  <si>
    <t>Amorsolo st.,Makati City</t>
  </si>
  <si>
    <t>CRM</t>
  </si>
  <si>
    <t>BIOMED@makatimed.net.ph</t>
  </si>
  <si>
    <t>Biotec</t>
  </si>
  <si>
    <t>AlcorDeeond.Padilla@makatimed.net.ph</t>
  </si>
  <si>
    <t>Clinimacs</t>
  </si>
  <si>
    <t>Cleaned unit
Test keypad
Checked bearings
Checked and test clamp
Checked program parameters
Performed functionality</t>
  </si>
  <si>
    <t>https://www.jotform.com/uploads/macarewecare/222927978372067/6437543808699990080/6437543808699990080_signature_28.png</t>
  </si>
  <si>
    <t>Alcor Deeond F. Padilla</t>
  </si>
  <si>
    <t>https://www.jotform.com/uploads/macarewecare/222927978372067/6437543808699990080/6437543808699990080_signature_31.png</t>
  </si>
  <si>
    <t>Amorsolo St., Makati City</t>
  </si>
  <si>
    <t>Bloodbnak</t>
  </si>
  <si>
    <t>Blood.Bank@makatimed.net.ph</t>
  </si>
  <si>
    <t>97H330</t>
  </si>
  <si>
    <t>Cleaned unit
Checked program parameters
Checked and adjust line sensor value
Performed calibration dpm,spm,centrifuge,weigher
Replaced 6pcs urethane rollers
Performed functionality test
Performed simulation running</t>
  </si>
  <si>
    <t>Performed maintenance and clibration</t>
  </si>
  <si>
    <t>Surrender waste material</t>
  </si>
  <si>
    <t>Urethane rollers</t>
  </si>
  <si>
    <t>https://www.jotform.com/uploads/macarewecare/222927978372067/6437510878691729626/6437510878691729626_signature_28.png</t>
  </si>
  <si>
    <t>Allysa Grace C. Batronel</t>
  </si>
  <si>
    <t>https://www.jotform.com/uploads/macarewecare/222927978372067/6437510878691729626/6437510878691729626_signature_31.png</t>
  </si>
  <si>
    <t>Iriga City Health Office</t>
  </si>
  <si>
    <t>Sta Cruz Sur, Iriga</t>
  </si>
  <si>
    <t>mongealyzza@yahoo.com.ph</t>
  </si>
  <si>
    <t xml:space="preserve">ASSAY: Xpert MTB/RIF Ultra, COUNT: 1520
ASSAY: Xpert MTB-XDR, COUNT: 70
</t>
  </si>
  <si>
    <t>Gx for Calibration</t>
  </si>
  <si>
    <t>XpertCheck Result:
   B1/210117798 - passed
   B2/210121970 - passed
   B3/210119501 - passed
   B4/210120184 - passed
Cleaned cartridge bays, plunger rod 
Generate Data</t>
  </si>
  <si>
    <t>https://www.jotform.com/uploads/macarewecare/222927978372067/6437505595326701843/6437505595326701843_signature_28.png</t>
  </si>
  <si>
    <t>Alyzza Rosabelle M. Gonzalgo</t>
  </si>
  <si>
    <t>https://www.jotform.com/uploads/macarewecare/222927978372067/6437505595326701843/6437505595326701843_signature_31.png</t>
  </si>
  <si>
    <t>Sampaguita St. Makati City</t>
  </si>
  <si>
    <t>jinx01gs@yahoo.com</t>
  </si>
  <si>
    <t xml:space="preserve">ASSAY: Xpert MTB/RIF Ultra, COUNT: 680
</t>
  </si>
  <si>
    <t>https://www.jotform.com/uploads/macarewecare/222927978372067/6437465553614080177/6437465553614080177_signature_28.png</t>
  </si>
  <si>
    <t>https://www.jotform.com/uploads/macarewecare/222927978372067/6437465553614080177/6437465553614080177_signature_31.png</t>
  </si>
  <si>
    <t xml:space="preserve">ASSAY: Xpert MTB/RIF Ultra, COUNT: 537
ASSAY: Xpert MTB-XDR, COUNT: 26
ASSAY: Xpert HIV-1 Viral Load, COUNT: 505
</t>
  </si>
  <si>
    <t>Performed maintenance 
Cleaned:
-Cartridge bay
-plunger rod
-icore 
-Filter 
Generated reports</t>
  </si>
  <si>
    <t>https://www.jotform.com/uploads/macarewecare/222927978372067/6437465553616124724/6437465553616124724_signature_28.png</t>
  </si>
  <si>
    <t>https://www.jotform.com/uploads/macarewecare/222927978372067/6437465553616124724/6437465553616124724_signature_31.png</t>
  </si>
  <si>
    <t xml:space="preserve">ASSAY: Xpert MTB/RIF Ultra, COUNT: 527
ASSAY: Xpert MTB-XDR, COUNT: 34
ASSAY: Xpert HIV-1 Viral Load, COUNT: 278
</t>
  </si>
  <si>
    <t>https://www.jotform.com/uploads/macarewecare/222927978372067/6437465553619711695/6437465553619711695_signature_28.png</t>
  </si>
  <si>
    <t>https://www.jotform.com/uploads/macarewecare/222927978372067/6437465553619711695/6437465553619711695_signature_31.png</t>
  </si>
  <si>
    <t>Manila Central University Hospital</t>
  </si>
  <si>
    <t>lab_mcuhospital@yahoo.com</t>
  </si>
  <si>
    <t>purchasing@mcufdtmf.org</t>
  </si>
  <si>
    <t>https://www.jotform.com/uploads/macarewecare/222927978372067/6437465401103037486/6437465401103037486_signature_28.png</t>
  </si>
  <si>
    <t>Michelle Cruz</t>
  </si>
  <si>
    <t>https://www.jotform.com/uploads/macarewecare/222927978372067/6437465401103037486/6437465401103037486_signature_31.png</t>
  </si>
  <si>
    <t>laboratory</t>
  </si>
  <si>
    <t xml:space="preserve">ASSAY: Xpert HIV-1 Viral Load, COUNT: 78
ASSAY: Xpert HPV, COUNT: 7
ASSAY: Xpert HPV, COUNT: 56
ASSAY: Xpert HIV-1 Viral Load, COUNT: 193
</t>
  </si>
  <si>
    <t>End user request of removing basic HPV, HIV assay</t>
  </si>
  <si>
    <t>Removed HIV, HPV assay
Cleaned cartridge bays, plunger rod 
Generate Data</t>
  </si>
  <si>
    <t>Removed Assay
Performed Preventive Maintenance</t>
  </si>
  <si>
    <t>https://www.jotform.com/uploads/macarewecare/222927978372067/6437454735321390172/6437454735321390172_signature_28.png</t>
  </si>
  <si>
    <t>Regina Coeli Naldo</t>
  </si>
  <si>
    <t>https://www.jotform.com/uploads/macarewecare/222927978372067/6437454735321390172/6437454735321390172_signature_31.png</t>
  </si>
  <si>
    <t>Rizal st., Legazpi City</t>
  </si>
  <si>
    <t xml:space="preserve">ASSAY: Xpert BCR-ABL Ultra, COUNT: 6
ASSAY: Xpert CT/NG, COUNT: 2
ASSAY: Xpert HBV VL, COUNT: 226
ASSAY: Xpert MTB/RIF Ultra, COUNT: 175
ASSAY: Xpert MTB-XDR, COUNT: 10
ASSAY: Xpress SARS-CoV-2_Flu_RSV plus, COUNT: 3
</t>
  </si>
  <si>
    <t>Cleaned cartridge bays Plunger rod 
Generate Data</t>
  </si>
  <si>
    <t>https://www.jotform.com/uploads/macarewecare/222927978372067/6437449045321403278/6437449045321403278_signature_28.png</t>
  </si>
  <si>
    <t>Daria, Mary Grace M.</t>
  </si>
  <si>
    <t>https://www.jotform.com/uploads/macarewecare/222927978372067/6437449045321403278/6437449045321403278_signature_31.png</t>
  </si>
  <si>
    <t>JP Laurel Avenue, Bajada</t>
  </si>
  <si>
    <t xml:space="preserve">ASSAY: Xpert HIV-1 Viral Load, COUNT: 1379
ASSAY: Xpert SARS-CoV-2, COUNT: 72
ASSAY: Xpert MTB/RIF Ultra, COUNT: 1267
</t>
  </si>
  <si>
    <t>Stuck Cartidge</t>
  </si>
  <si>
    <t>Remove the Stuck Cartidge
Clean Surface Area, Cartridge Bay, Plunger Rod, Fan Filters and Icore Lenses
Generate IQR, Assay Stat and System Log</t>
  </si>
  <si>
    <t>Perform Cartidge Removal</t>
  </si>
  <si>
    <t>Successfully Removed The Cartidge
All Modules are operational</t>
  </si>
  <si>
    <t>https://www.jotform.com/uploads/macarewecare/222927978372067/6437342341112300737/6437342341112300737_signature_28.png</t>
  </si>
  <si>
    <t>Christelle Clarisse Sienes RMT</t>
  </si>
  <si>
    <t>https://www.jotform.com/uploads/macarewecare/222927978372067/6437342341112300737/6437342341112300737_signature_31.png</t>
  </si>
  <si>
    <t>Cebu City Health Office</t>
  </si>
  <si>
    <t>Cebu city, cebu</t>
  </si>
  <si>
    <t>laureanjo@yahoo.com</t>
  </si>
  <si>
    <t>Expertcheck calibration
Clean fan filter
Gather data, IQR, system log assay stats &amp; calibration info</t>
  </si>
  <si>
    <t>https://www.jotform.com/uploads/macarewecare/222927978372067/6436653864349328271/6436653864349328271_signature_28.png</t>
  </si>
  <si>
    <t>Laurean Jo. Cabase</t>
  </si>
  <si>
    <t>https://www.jotform.com/uploads/macarewecare/222927978372067/6436653864349328271/6436653864349328271_signature_31.png</t>
  </si>
  <si>
    <t>Padre Burgos Rural Health Unit</t>
  </si>
  <si>
    <t>Pandre Burgos Southern Leyte</t>
  </si>
  <si>
    <t>keishaelezze14@gmail.com</t>
  </si>
  <si>
    <t xml:space="preserve">ASSAY: Xpert MTB/RIF Ultra, COUNT: 314
</t>
  </si>
  <si>
    <t>https://www.jotform.com/uploads/macarewecare/222927978372067/6436614675595184637/6436614675595184637_signature_28.png</t>
  </si>
  <si>
    <t>KEISHA ELEZZE C. BATALON</t>
  </si>
  <si>
    <t>https://www.jotform.com/uploads/macarewecare/222927978372067/6436614675595184637/6436614675595184637_signature_31.png</t>
  </si>
  <si>
    <t xml:space="preserve">ASSAY: Xpert HBV VL, COUNT: 8
ASSAY: Xpert MTB/RIF Ultra, COUNT: 4830
ASSAY: Xpert HCV VL, COUNT: 110
</t>
  </si>
  <si>
    <t>https://www.jotform.com/uploads/macarewecare/222927978372067/6436612675223982992/6436612675223982992_signature_28.png</t>
  </si>
  <si>
    <t>https://www.jotform.com/uploads/macarewecare/222927978372067/6436612675223982992/6436612675223982992_signature_31.png</t>
  </si>
  <si>
    <t>Cebu City Medical Center</t>
  </si>
  <si>
    <t>ccmclaboratory01@gmail.com</t>
  </si>
  <si>
    <t xml:space="preserve">ASSAY: Xpert MTB/RIF Ultra, COUNT: 2358
</t>
  </si>
  <si>
    <t>https://www.jotform.com/uploads/macarewecare/222927978372067/6436612675226037422/6436612675226037422_signature_28.png</t>
  </si>
  <si>
    <t>Hannah Jane Resuento</t>
  </si>
  <si>
    <t>https://www.jotform.com/uploads/macarewecare/222927978372067/6436612675226037422/6436612675226037422_signature_31.png</t>
  </si>
  <si>
    <t>Calamba rural health unit</t>
  </si>
  <si>
    <t>Southwestern poblacion, Calamba, misamis occidental</t>
  </si>
  <si>
    <t>Misamis Occidental</t>
  </si>
  <si>
    <t>palubonibn@gmail.com</t>
  </si>
  <si>
    <t xml:space="preserve">ASSAY: Xpert MTB/RIF Ultra, COUNT: 928
</t>
  </si>
  <si>
    <t>Preventive maintenance and xpertcheck calibration for all modules.</t>
  </si>
  <si>
    <t>All modules passed the calibration and ready to use.</t>
  </si>
  <si>
    <t>https://www.jotform.com/uploads/macarewecare/222927978372067/6436540463855448634/6436540463855448634_signature_28.png</t>
  </si>
  <si>
    <t>Mary-ibn E. Palubon</t>
  </si>
  <si>
    <t>https://www.jotform.com/uploads/macarewecare/222927978372067/6436540463855448634/6436540463855448634_signature_31.png</t>
  </si>
  <si>
    <t>Marcos highway, Antipolo Rizal</t>
  </si>
  <si>
    <t>mahmci_labcmt@yahoo.com</t>
  </si>
  <si>
    <t xml:space="preserve">ASSAY: Xpert HBV VL, COUNT: 16
ASSAY: Xpert HPV, COUNT: 1
ASSAY: Xpert MTB/RIF Ultra, COUNT: 193
ASSAY: Xpert HIV-1 Viral Load, COUNT: 25
</t>
  </si>
  <si>
    <t>Unit os operational. Module B2 not operational. Disabled.</t>
  </si>
  <si>
    <t>https://www.jotform.com/uploads/macarewecare/222927978372067/6436520237817552205/6436520237817552205_signature_28.png</t>
  </si>
  <si>
    <t>https://www.jotform.com/uploads/macarewecare/222927978372067/6436520237817552205/6436520237817552205_signature_31.png</t>
  </si>
  <si>
    <t>Evangelista Ave, Pasig City</t>
  </si>
  <si>
    <t xml:space="preserve">ASSAY: Xpert MTB/RIF Ultra, COUNT: 1574
</t>
  </si>
  <si>
    <t>Performed maintenance 
Cleaned:
-Cartridge bay 
-Plunger rod 
-Icore
-Filter 
Generated reports</t>
  </si>
  <si>
    <t>https://www.jotform.com/uploads/macarewecare/222927978372067/6436520227811611046/6436520227811611046_signature_28.png</t>
  </si>
  <si>
    <t>https://www.jotform.com/uploads/macarewecare/222927978372067/6436520227811611046/6436520227811611046_signature_31.png</t>
  </si>
  <si>
    <t xml:space="preserve">ASSAY: Xpert MTB/RIF Ultra, COUNT: 1150
</t>
  </si>
  <si>
    <t>Performed maintenance
Cleaned:
-Cartridge bay 
-Plunger rod 
-icore 
-Filter 
Generated reports</t>
  </si>
  <si>
    <t>https://www.jotform.com/uploads/macarewecare/222927978372067/6436520227818521339/6436520227818521339_signature_28.png</t>
  </si>
  <si>
    <t>https://www.jotform.com/uploads/macarewecare/222927978372067/6436520227818521339/6436520227818521339_signature_31.png</t>
  </si>
  <si>
    <t>Poblacion San Remigio</t>
  </si>
  <si>
    <t>GXIV-4</t>
  </si>
  <si>
    <t>LCD Defective due to earthquake with serial number.</t>
  </si>
  <si>
    <t>Need to replace new LCD monitor.</t>
  </si>
  <si>
    <t>. Save System Log file.
. Save Installation Qualifications Reoort.
. Save Assay Statistics Report.</t>
  </si>
  <si>
    <t>LCD not ok to use GeneXpert machine functional ok to use.</t>
  </si>
  <si>
    <t>https://www.jotform.com/uploads/macarewecare/222927978372067/6436514814229448529/6436514814229448529_signature_28.png</t>
  </si>
  <si>
    <t>https://www.jotform.com/uploads/macarewecare/222927978372067/6436514814229448529/6436514814229448529_signature_31.png</t>
  </si>
  <si>
    <t>National Kidney and Transplant Institute</t>
  </si>
  <si>
    <t>gsd-biomed@nkti.gov.ph</t>
  </si>
  <si>
    <t>molecularlabnkti@gmail.com</t>
  </si>
  <si>
    <t>Performed installation
Upload ADF files
Performed functionality test</t>
  </si>
  <si>
    <t>Performed delivery and installation</t>
  </si>
  <si>
    <t>Operational
Complete accessories</t>
  </si>
  <si>
    <t>https://www.jotform.com/uploads/macarewecare/222927978372067/6436006019418612078/6436006019418612078_signature_28.png</t>
  </si>
  <si>
    <t>Ma.Odessa Barretto</t>
  </si>
  <si>
    <t>https://www.jotform.com/uploads/macarewecare/222927978372067/6436006019418612078/6436006019418612078_signature_31.png</t>
  </si>
  <si>
    <t>Unit is operational except module B4: 738203</t>
  </si>
  <si>
    <t>https://www.jotform.com/uploads/macarewecare/222927978372067/6435987144394545791/6435987144394545791_signature_28.png</t>
  </si>
  <si>
    <t>https://www.jotform.com/uploads/macarewecare/222927978372067/6435987144394545791/6435987144394545791_signature_31.png</t>
  </si>
  <si>
    <t>San Juan District Health Center</t>
  </si>
  <si>
    <t>Purok 3, Brgy. San Juan, Surigao City</t>
  </si>
  <si>
    <t>sanjuandistricthealthcenter@yahoo.com</t>
  </si>
  <si>
    <t>GX 4 10c</t>
  </si>
  <si>
    <t>XpertCheck, CE-IVD 5 Cartridges/Kit</t>
  </si>
  <si>
    <t>https://www.jotform.com/uploads/macarewecare/222927978372067/6435807517515053669/6435807517515053669_signature_28.png</t>
  </si>
  <si>
    <t>Anarose Ogdol</t>
  </si>
  <si>
    <t>https://www.jotform.com/uploads/macarewecare/222927978372067/6435807517515053669/6435807517515053669_signature_31.png</t>
  </si>
  <si>
    <t>08B049</t>
  </si>
  <si>
    <t>Set offset values of cuff and weigher</t>
  </si>
  <si>
    <t>https://www.jotform.com/uploads/macarewecare/222927978372067/6435753918125246072/6435753918125246072_signature_28.png</t>
  </si>
  <si>
    <t>https://www.jotform.com/uploads/macarewecare/222927978372067/6435753918125246072/6435753918125246072_signature_31.png</t>
  </si>
  <si>
    <t>Makilala Rural Health Unit</t>
  </si>
  <si>
    <t>Poblacion, Makilala North Cotabato</t>
  </si>
  <si>
    <t>abegailweill17@gmail.com</t>
  </si>
  <si>
    <t xml:space="preserve">ASSAY: Xpert MTB/RIF Ultra, COUNT: 481
ASSAY: Xpert MTB-XDR, COUNT: 2
</t>
  </si>
  <si>
    <t>Clean Surface Area, Cartridge Bay, Plunger Rod, Fan Filters and Icore Lenses
Generate IQR, Assay Stat and System Log
Install XPERTCHECK version 1.5B
Run XpertCheck on four modules</t>
  </si>
  <si>
    <t>All Modules Passed the Calibration
All Modules are operational</t>
  </si>
  <si>
    <t>DR NO 13572</t>
  </si>
  <si>
    <t>https://www.jotform.com/uploads/macarewecare/222927978372067/6435741183529839106/6435741183529839106_signature_28.png</t>
  </si>
  <si>
    <t>Abegail W. Publico,. RMT</t>
  </si>
  <si>
    <t>https://www.jotform.com/uploads/macarewecare/222927978372067/6435741183529839106/6435741183529839106_signature_31.png</t>
  </si>
  <si>
    <t>Dipolog City Health Office</t>
  </si>
  <si>
    <t>Dipolog city</t>
  </si>
  <si>
    <t>mandelzoelugasan@gmail.com</t>
  </si>
  <si>
    <t xml:space="preserve">ASSAY: Xpert MTB/RIF Ultra, COUNT: 978
ASSAY: Xpert HIV-1 Viral Load, COUNT: 85
</t>
  </si>
  <si>
    <t>Preventive maintenance, xpertcheck calibration.</t>
  </si>
  <si>
    <t>All modules passed the expertcheck calibration and ready to use.</t>
  </si>
  <si>
    <t>https://www.jotform.com/uploads/macarewecare/222927978372067/6435661224718789696/6435661224718789696_signature_28.png</t>
  </si>
  <si>
    <t>Mandel Zoe B. Lugasan</t>
  </si>
  <si>
    <t>https://www.jotform.com/uploads/macarewecare/222927978372067/6435661224718789696/6435661224718789696_signature_31.png</t>
  </si>
  <si>
    <t>Cotabato City Health Office</t>
  </si>
  <si>
    <t>gmpelaez144@gmail.com</t>
  </si>
  <si>
    <t xml:space="preserve">ASSAY: Xpert MTB/RIF Ultra, COUNT: 1245
</t>
  </si>
  <si>
    <t>Perform Genexpert machine Cleaning and maintenance 
Module cleaning 
Plunger rod and Optics cleaning 
Fan and filter cleaning 
Data collection</t>
  </si>
  <si>
    <t>https://www.jotform.com/uploads/macarewecare/222927978372067/6435629559023457745/6435629559023457745_signature_28.png</t>
  </si>
  <si>
    <t>Gladiola Marie E. Pelaez</t>
  </si>
  <si>
    <t>https://www.jotform.com/uploads/macarewecare/222927978372067/6435629559023457745/6435629559023457745_signature_31.png</t>
  </si>
  <si>
    <t>Cotabato City</t>
  </si>
  <si>
    <t xml:space="preserve">ASSAY: Xpert MTB/RIF Ultra, COUNT: 1245
ASSAY: Xpert MTB-XDR, COUNT: 5
</t>
  </si>
  <si>
    <t>Perform annual Xpertcheck Calibration 
Perform Genexpert machine Cleaning and maintenance 
Module cleaning 
Plunger rod and Optics cleaning 
Fan and filter cleaning 
Data collection</t>
  </si>
  <si>
    <t>4 operational modules 
Xpertcheck results
-All modules passed</t>
  </si>
  <si>
    <t>Xpertcheck cartridge CE-5 
Lot#:1001436469</t>
  </si>
  <si>
    <t>DR#: 13574</t>
  </si>
  <si>
    <t>https://www.jotform.com/uploads/macarewecare/222927978372067/6435627369029376157/6435627369029376157_signature_28.png</t>
  </si>
  <si>
    <t>https://www.jotform.com/uploads/macarewecare/222927978372067/6435627369029376157/6435627369029376157_signature_31.png</t>
  </si>
  <si>
    <t>Socorro Rural Health Unit</t>
  </si>
  <si>
    <t>Brgy. Navarro, Socorro, Surigao del Norte</t>
  </si>
  <si>
    <t>dynamite.tux@gmail.com</t>
  </si>
  <si>
    <t>XpertCheck Calibration and Preventive Maintenance</t>
  </si>
  <si>
    <t>https://www.jotform.com/uploads/macarewecare/222927978372067/6435590462934457669/6435590462934457669_signature_28.png</t>
  </si>
  <si>
    <t>Janikka Chluie Guma</t>
  </si>
  <si>
    <t>https://www.jotform.com/uploads/macarewecare/222927978372067/6435590462934457669/6435590462934457669_signature_31.png</t>
  </si>
  <si>
    <t>Pump Rollers problem</t>
  </si>
  <si>
    <t>Replace 3 defective pump rollers with new pump rollers 
Perform Heamonetics Preventive maintenance</t>
  </si>
  <si>
    <t>Heamonetics parts repair
Heamonetics machine Preventive maintenance</t>
  </si>
  <si>
    <t>Heamonetics Apheresis machine operational</t>
  </si>
  <si>
    <t>https://www.jotform.com/uploads/macarewecare/222927978372067/6434948331656356338/6434948331656356338_signature_28.png</t>
  </si>
  <si>
    <t>Rhea Lim-Macion,RMT,MSMLS</t>
  </si>
  <si>
    <t>https://www.jotform.com/uploads/macarewecare/222927978372067/6434948331656356338/6434948331656356338_signature_31.png</t>
  </si>
  <si>
    <t>oncologycgh@gmail.com</t>
  </si>
  <si>
    <t>https://www.jotform.com/uploads/macarewecare/222927978372067/6434939304028672410/6434939304028672410_signature_28.png</t>
  </si>
  <si>
    <t>Kendrick Gregorio</t>
  </si>
  <si>
    <t>https://www.jotform.com/uploads/macarewecare/222927978372067/6434939304028672410/6434939304028672410_signature_31.png</t>
  </si>
  <si>
    <t>GXIV-19C</t>
  </si>
  <si>
    <t>For relocation from Bacteriology to Molecular Laboratory.
Unit for preventive maintenance.</t>
  </si>
  <si>
    <t>Relocation and preventive maintenance.</t>
  </si>
  <si>
    <t>Performed relocation and installed the GeneXpert System.
Performed Preventive Maintenance.
-Cleaned and disinfect plunger
-Cleaned and disinfect cartridge bay
-Cleaned and disinfect instrument surface
-Cleaned icore sensors
-Cleaned filter fan
-Archived test results
Generated reports.</t>
  </si>
  <si>
    <t>https://www.jotform.com/uploads/macarewecare/222927978372067/6434938874028542438/6434938874028542438_signature_28.png</t>
  </si>
  <si>
    <t>https://www.jotform.com/uploads/macarewecare/222927978372067/6434938874028542438/6434938874028542438_signature_31.png</t>
  </si>
  <si>
    <t xml:space="preserve">ASSAY: Xpert HBV VL, COUNT: 9
ASSAY: Xpert HIV-1 Viral Load, COUNT: 2
ASSAY: Xpert HPV, COUNT: 2
ASSAY: Xpert MTB/RIF Ultra, COUNT: 32
ASSAY: Xpert HCV VL, COUNT: 1
</t>
  </si>
  <si>
    <t>GeneXpert not detected</t>
  </si>
  <si>
    <t>Check and adjusted network configuration to Cepheid settings
Cleaned cartridge bays, plunger 
Generate Data</t>
  </si>
  <si>
    <t>https://www.jotform.com/uploads/macarewecare/222927978372067/6434901369024077563/6434901369024077563_signature_28.png</t>
  </si>
  <si>
    <t>AILEEN LOPEZ</t>
  </si>
  <si>
    <t>https://www.jotform.com/uploads/macarewecare/222927978372067/6434901369024077563/6434901369024077563_signature_31.png</t>
  </si>
  <si>
    <t>ci.bgc@stlukes.com.ph</t>
  </si>
  <si>
    <t xml:space="preserve">ASSAY: Xpert BCR-ABL Ultra, COUNT: 158
ASSAY: Xpert CT/NG, COUNT: 597
ASSAY: Others, COUNT: 7
ASSAY: Xpert HBV VL, COUNT: 150
ASSAY: Xpert HIV-1 Viral Load, COUNT: 348
ASSAY: Xpert HPV, COUNT: 872
ASSAY: Xpert MTB/RIF Ultra, COUNT: 2285
ASSAY: Xpert MTB-XDR, COUNT: 30
ASSAY: Xpert HCV VL, COUNT: 42
</t>
  </si>
  <si>
    <t>Broken module B3 door</t>
  </si>
  <si>
    <t>Replaced module B3 door</t>
  </si>
  <si>
    <t>Performed maintenance 
Replaced module B3 door 
Functionality test 
Generated reports</t>
  </si>
  <si>
    <t>https://www.jotform.com/uploads/macarewecare/222927978372067/6434899523618750598/6434899523618750598_signature_28.png</t>
  </si>
  <si>
    <t>Jezelle Nanett Pinic</t>
  </si>
  <si>
    <t>https://www.jotform.com/uploads/macarewecare/222927978372067/6434899523618750598/6434899523618750598_signature_31.png</t>
  </si>
  <si>
    <t xml:space="preserve">ASSAY: Xpert BCR-ABL Ultra, COUNT: 44
ASSAY: Xpert CT/NG, COUNT: 170
ASSAY: Xpert HBV VL, COUNT: 93
ASSAY: Xpert HPV, COUNT: 331
ASSAY: Xpert MTB/RIF Ultra, COUNT: 724
ASSAY: Xpert HCV VL, COUNT: 12
ASSAY: Xpert HIV-1 Viral Load, COUNT: 166
</t>
  </si>
  <si>
    <t>https://www.jotform.com/uploads/macarewecare/222927978372067/6434899523619030031/6434899523619030031_signature_28.png</t>
  </si>
  <si>
    <t>https://www.jotform.com/uploads/macarewecare/222927978372067/6434899523619030031/6434899523619030031_signature_31.png</t>
  </si>
  <si>
    <t>jmtentica@stlukes.com.ph</t>
  </si>
  <si>
    <t>09C125</t>
  </si>
  <si>
    <t>Performed maintenance:
Run simulation 
Checked rotor pumps 
Verified calibration parameters 
Functionality test</t>
  </si>
  <si>
    <t>https://www.jotform.com/uploads/macarewecare/222927978372067/6434899533616607262/6434899533616607262_signature_28.png</t>
  </si>
  <si>
    <t>Jen Michelle Entica</t>
  </si>
  <si>
    <t>https://www.jotform.com/uploads/macarewecare/222927978372067/6434899533616607262/6434899533616607262_signature_31.png</t>
  </si>
  <si>
    <t>Candon City Health Office</t>
  </si>
  <si>
    <t>Brgy. Calaosan Candon, Ilocos Sur</t>
  </si>
  <si>
    <t>candoncholaboratory@gmail.com</t>
  </si>
  <si>
    <t xml:space="preserve">ASSAY: Xpert MTB/RIF Ultra, COUNT: 731
</t>
  </si>
  <si>
    <t>B4: 807695 for module replacement</t>
  </si>
  <si>
    <t>Module replacement</t>
  </si>
  <si>
    <t>Performed surface cleaning 
Performed module replacement 
Performed cleaning of plunger rod, cartridge bay, icore and filter 
Performed functionality test 
Gathered reports</t>
  </si>
  <si>
    <t>Unit is operational 
B4: 669777 new module
Defective module: 807695</t>
  </si>
  <si>
    <t>https://www.jotform.com/uploads/macarewecare/222927978372067/6434880246544080262/6434880246544080262_signature_28.png</t>
  </si>
  <si>
    <t>Michelle Bucalen</t>
  </si>
  <si>
    <t>https://www.jotform.com/uploads/macarewecare/222927978372067/6434880246544080262/6434880246544080262_signature_31.png</t>
  </si>
  <si>
    <t>Site visit
Clean fan filter
Gather data IQR, system log</t>
  </si>
  <si>
    <t>https://www.jotform.com/uploads/macarewecare/222927978372067/6434826393525071542/6434826393525071542_signature_28.png</t>
  </si>
  <si>
    <t>Laurean jo cabase</t>
  </si>
  <si>
    <t>https://www.jotform.com/uploads/macarewecare/222927978372067/6434826393525071542/6434826393525071542_signature_31.png</t>
  </si>
  <si>
    <t xml:space="preserve">ASSAY: Xpert MTB/RIF Ultra, COUNT: 392
</t>
  </si>
  <si>
    <t>GX 10C</t>
  </si>
  <si>
    <t>Dur for Calibration</t>
  </si>
  <si>
    <t>Xpert check Kit</t>
  </si>
  <si>
    <t>https://www.jotform.com/uploads/macarewecare/222927978372067/6434754923481447074/6434754923481447074_signature_28.png</t>
  </si>
  <si>
    <t>https://www.jotform.com/uploads/macarewecare/222927978372067/6434754923481447074/6434754923481447074_signature_31.png</t>
  </si>
  <si>
    <t>https://www.jotform.com/uploads/macarewecare/222927978372067/6434253504817938921/6434253504817938921_signature_28.png</t>
  </si>
  <si>
    <t>https://www.jotform.com/uploads/macarewecare/222927978372067/6434253504817938921/6434253504817938921_signature_31.png</t>
  </si>
  <si>
    <t>Unit for maintenance
All four modules for replacement</t>
  </si>
  <si>
    <t>- replaced modules 
   A1: 220027774
   A2: 220027708
   A3: 220027747
   A4: 220027712
by 676870, 210047402, 210047888, 887290 respectively
- generated reports
- performed self test</t>
  </si>
  <si>
    <t>GeneXpert Modules</t>
  </si>
  <si>
    <t>https://www.jotform.com/uploads/macarewecare/222927978372067/6434044763824186681/6434044763824186681_signature_28.png</t>
  </si>
  <si>
    <t>https://www.jotform.com/uploads/macarewecare/222927978372067/6434044763824186681/6434044763824186681_signature_31.png</t>
  </si>
  <si>
    <t xml:space="preserve">ASSAY: Xpert HIV-1 Viral Load, COUNT: 78
ASSAY: Xpert HPV, COUNT: 7
ASSAY: Others, COUNT: 182
ASSAY: Others, COUNT: 56
</t>
  </si>
  <si>
    <t>https://www.jotform.com/uploads/macarewecare/222927978372067/6433884666814686920/6433884666814686920_signature_28.png</t>
  </si>
  <si>
    <t>Regina naldo</t>
  </si>
  <si>
    <t>https://www.jotform.com/uploads/macarewecare/222927978372067/6433884666814686920/6433884666814686920_signature_31.png</t>
  </si>
  <si>
    <t>St lukes Medical Center Global City</t>
  </si>
  <si>
    <t>Global City Taguig</t>
  </si>
  <si>
    <t xml:space="preserve">ASSAY: Xpert BCR-ABL Ultra, COUNT: 158
ASSAY: Xpert CT/NG, COUNT: 598
ASSAY: Others, COUNT: 7
ASSAY: Xpert HBV VL, COUNT: 146
ASSAY: Xpert HIV-1 Viral Load, COUNT: 20
ASSAY: Xpert HPV, COUNT: 874
ASSAY: Xpert MTB/RIF Ultra, COUNT: 2290
ASSAY: Xpert MTB-XDR, COUNT: 30
ASSAY: Xpert HCV VL, COUNT: 42
ASSAY: Xpert HIV-1 Viral Load, COUNT: 328
</t>
  </si>
  <si>
    <t>As per end user they encounter Stuck cartridge in  module B3
Sticky cartridge bay
Damage door of b3 module</t>
  </si>
  <si>
    <t>Cleaned unit
Cleaned plunger rod,filter,icore,cartridge bay
Gathered reports
Removed stuck cartridge
Test run unit</t>
  </si>
  <si>
    <t>B3 disable need to replaced door</t>
  </si>
  <si>
    <t>https://www.jotform.com/uploads/macarewecare/222927978372067/6433378476413645111/6433378476413645111_signature_28.png</t>
  </si>
  <si>
    <t>JOSHUA ALLEN V. AYAAY/ VINCENT-RAQUIZA DY</t>
  </si>
  <si>
    <t>https://www.jotform.com/uploads/macarewecare/222927978372067/6433378476413645111/6433378476413645111_signature_31.png</t>
  </si>
  <si>
    <t>Crossing, Asian Highway, Calamba, Laguna</t>
  </si>
  <si>
    <t>biomedtech@cmc.ph</t>
  </si>
  <si>
    <t>katpayosrmt@gmail.com</t>
  </si>
  <si>
    <t>19G058SPG</t>
  </si>
  <si>
    <t>Installed the MCS+ System</t>
  </si>
  <si>
    <t>Installed the MCS+ System
Verified calibration parameters 
Replaced rollers
Functionality test</t>
  </si>
  <si>
    <t>https://www.jotform.com/uploads/macarewecare/222927978372067/6431277373528847874/6431277373528847874_signature_28.png</t>
  </si>
  <si>
    <t>Katrina Librero</t>
  </si>
  <si>
    <t>https://www.jotform.com/uploads/macarewecare/222927978372067/6431277373528847874/6431277373528847874_signature_31.png</t>
  </si>
  <si>
    <t>East Ave. QC</t>
  </si>
  <si>
    <t>Centrifuge lock unable to close.</t>
  </si>
  <si>
    <t>Performed centrifuge lock mechanism troubleshooting.
Performed functionality test.
Observe performance during actual UPP procedure.</t>
  </si>
  <si>
    <t>Cheched the centrifuge lock mechanism.
Apply lubrication oil on lock mechanism.</t>
  </si>
  <si>
    <t>https://www.jotform.com/uploads/macarewecare/222927978372067/6428042632114947390/6428042632114947390_signature_28.png</t>
  </si>
  <si>
    <t>PAULA BETTINA. BARTOLOME</t>
  </si>
  <si>
    <t>https://www.jotform.com/uploads/macarewecare/222927978372067/6428042632114947390/6428042632114947390_signature_31.png</t>
  </si>
  <si>
    <t>Calamba Laguna</t>
  </si>
  <si>
    <t>lorieanneaquino@yahoo.com</t>
  </si>
  <si>
    <t>laboratory@cmc.ph</t>
  </si>
  <si>
    <t>https://www.jotform.com/uploads/macarewecare/222927978372067/6427899453318206090/6427899453318206090_signature_28.png</t>
  </si>
  <si>
    <t>Lorie Anne Hidalgo</t>
  </si>
  <si>
    <t>https://www.jotform.com/uploads/macarewecare/222927978372067/6427899453318206090/6427899453318206090_signature_31.png</t>
  </si>
  <si>
    <t>franchescadeguzman.medilinx@outlook.com</t>
  </si>
  <si>
    <t>GXII</t>
  </si>
  <si>
    <t>https://www.jotform.com/uploads/macarewecare/222927978372067/6427890393313832606/6427890393313832606_signature_28.png</t>
  </si>
  <si>
    <t>Franchesca Renee de Guzman</t>
  </si>
  <si>
    <t>https://www.jotform.com/uploads/macarewecare/222927978372067/6427890393313832606/6427890393313832606_signature_31.png</t>
  </si>
  <si>
    <t>St.Louis Molecular Diagnostic Laboratory</t>
  </si>
  <si>
    <t>MAINTENANCE
Cartridge delivery</t>
  </si>
  <si>
    <t xml:space="preserve">ASSAY: Xpert MTB/RIF Ultra, COUNT: 10
ASSAY: Xpert HBV VL, COUNT: 5
ASSAY: Xpert HIV-1 Viral Load, COUNT: 30
</t>
  </si>
  <si>
    <t>Perform Genexpert cleaning and maintenance
Module cleaning 
Plunger rod and Optics cleaning 
Fan and filter cleaning 
Checking of modules status and errors 
Data collection</t>
  </si>
  <si>
    <t>Genexpert machine Preventive maintenance 
Cartridge delivery</t>
  </si>
  <si>
    <t>https://www.jotform.com/uploads/macarewecare/222927978372067/6426521687322238408/6426521687322238408_signature_28.png</t>
  </si>
  <si>
    <t>Lyra Huyong</t>
  </si>
  <si>
    <t>https://www.jotform.com/uploads/macarewecare/222927978372067/6426521687322238408/6426521687322238408_signature_31.png</t>
  </si>
  <si>
    <t>Malungon Rural Health Unit</t>
  </si>
  <si>
    <t>Malungon, Sarangani</t>
  </si>
  <si>
    <t>Sarangani</t>
  </si>
  <si>
    <t>MAINTENANCE
CPU replacement</t>
  </si>
  <si>
    <t>madameerrmie@gmail.com</t>
  </si>
  <si>
    <t>Replace defective CPU SN:MJOBKE21 with new CPU SN:PC1135E9
Perform Genexpert machine cleaning and maintenance 
Module cleaning 
Plunger rod and Optics cleaning 
Fan and filter cleaning 
Checking of modules status and errors 
Data collection</t>
  </si>
  <si>
    <t>CPU replacement 
Preventive maintenance</t>
  </si>
  <si>
    <t>https://www.jotform.com/uploads/macarewecare/222927978372067/6426521687328256372/6426521687328256372_signature_28.png</t>
  </si>
  <si>
    <t>Ermie Ulbenario</t>
  </si>
  <si>
    <t>https://www.jotform.com/uploads/macarewecare/222927978372067/6426521687328256372/6426521687328256372_signature_31.png</t>
  </si>
  <si>
    <t>Vinzons RHU</t>
  </si>
  <si>
    <t>Vinzons, Cam Norte</t>
  </si>
  <si>
    <t>Camarines Norte</t>
  </si>
  <si>
    <t>bardonamabel@gmail.com</t>
  </si>
  <si>
    <t xml:space="preserve">ASSAY: Xpert MTB/RIF, COUNT: 1222
</t>
  </si>
  <si>
    <t>Module B4 for module replacement.</t>
  </si>
  <si>
    <t>Replaced module B4: 675496.
Good Mod SN: 868967</t>
  </si>
  <si>
    <t>Performed module replacement.
Performed maintenance and cleaning..</t>
  </si>
  <si>
    <t>All 4 modules opwrational</t>
  </si>
  <si>
    <t>Good module SN: 868967</t>
  </si>
  <si>
    <t>DR NUMBER: 13616</t>
  </si>
  <si>
    <t>https://www.jotform.com/uploads/macarewecare/222927978372067/6426288779355640236/6426288779355640236_signature_28.png</t>
  </si>
  <si>
    <t>Amabel A. Bardon</t>
  </si>
  <si>
    <t>https://www.jotform.com/uploads/macarewecare/222927978372067/6426288779355640236/6426288779355640236_signature_31.png</t>
  </si>
  <si>
    <t>Pili Rural Health Unit</t>
  </si>
  <si>
    <t>Pili, Cam Sur</t>
  </si>
  <si>
    <t>mariechristineorcine@gmail.com</t>
  </si>
  <si>
    <t xml:space="preserve">ASSAY: Xpert MTB/RIF Ultra, COUNT: 1519
</t>
  </si>
  <si>
    <t>Module B4: 662296 for module replacement.</t>
  </si>
  <si>
    <t>Peplaced module B4 with module SN: 677390.</t>
  </si>
  <si>
    <t>Perforned module replacement on module B4.
Performed maintenance and cleaning.
Perforned functionality test.</t>
  </si>
  <si>
    <t>Defective mod SN: 662296
Good Module SN: 677390</t>
  </si>
  <si>
    <t>DR number: 13617</t>
  </si>
  <si>
    <t>https://www.jotform.com/uploads/macarewecare/222927978372067/6425237040894301009/6425237040894301009_signature_28.png</t>
  </si>
  <si>
    <t>Marie Christine O. Nobleza</t>
  </si>
  <si>
    <t>https://www.jotform.com/uploads/macarewecare/222927978372067/6425237040894301009/6425237040894301009_signature_31.png</t>
  </si>
  <si>
    <t>Muntinlupa</t>
  </si>
  <si>
    <t>Valve errors</t>
  </si>
  <si>
    <t>Checked valve compressor</t>
  </si>
  <si>
    <t>Unit is not operational
Valve compressor for further troubleshooting/repair</t>
  </si>
  <si>
    <t>https://www.jotform.com/uploads/macarewecare/222927978372067/6424471283684731972/6424471283684731972_signature_28.png</t>
  </si>
  <si>
    <t>Maritoni Morales</t>
  </si>
  <si>
    <t>https://www.jotform.com/uploads/macarewecare/222927978372067/6424471283684731972/6424471283684731972_signature_31.png</t>
  </si>
  <si>
    <t>Easy Avenue Medical Center</t>
  </si>
  <si>
    <t>15H055</t>
  </si>
  <si>
    <t>Centrifuge not locking</t>
  </si>
  <si>
    <t>Adjusted centrifuge lock ball</t>
  </si>
  <si>
    <t>https://www.jotform.com/uploads/macarewecare/222927978372067/6423625864915403838/6423625864915403838_signature_28.png</t>
  </si>
  <si>
    <t>Christopher Bernaldo</t>
  </si>
  <si>
    <t>https://www.jotform.com/uploads/macarewecare/222927978372067/6423625864915403838/6423625864915403838_signature_31.png</t>
  </si>
  <si>
    <t>Bleeding room</t>
  </si>
  <si>
    <t>As per end user they encounter of malfunction to lock the latch cover.</t>
  </si>
  <si>
    <t>Check latch cover 
Cleaned latch cover mechanism 
Checked adjustment height
Reset cable 
Test lock and unlocking of latch cover.</t>
  </si>
  <si>
    <t>Unit unoperational
After troubleshooting is performed error still occur
For further troubleshooting</t>
  </si>
  <si>
    <t>https://www.jotform.com/uploads/macarewecare/222927978372067/6423622539416538657/6423622539416538657_signature_28.png</t>
  </si>
  <si>
    <t>Christopher paul Bernaldo</t>
  </si>
  <si>
    <t>https://www.jotform.com/uploads/macarewecare/222927978372067/6423622539416538657/6423622539416538657_signature_31.png</t>
  </si>
  <si>
    <t>U.N. Ave.,</t>
  </si>
  <si>
    <t>xcaguas@maniladoctorscomph.onmicrosoft.com</t>
  </si>
  <si>
    <t>Unit for preventive maintenance.
For module replacement of module B1.</t>
  </si>
  <si>
    <t>GX module 10C (210075055) in replacement to defective module (210010344).</t>
  </si>
  <si>
    <t>SI# 101646</t>
  </si>
  <si>
    <t>https://www.jotform.com/uploads/macarewecare/222927978372067/6422662986336487363/6422662986336487363_signature_28.png</t>
  </si>
  <si>
    <t>Neriz Magne Burdan</t>
  </si>
  <si>
    <t>https://www.jotform.com/uploads/macarewecare/222927978372067/6422662986336487363/6422662986336487363_signature_31.png</t>
  </si>
  <si>
    <t>ssacdalan@cmc.ph</t>
  </si>
  <si>
    <t>MLibiano@cmc.ph</t>
  </si>
  <si>
    <t>Installed the MCS+</t>
  </si>
  <si>
    <t>Installed the MCS+ System
-MCS+ unit
-UPS
-Stand
Functionality test 
Actual running</t>
  </si>
  <si>
    <t>Unit is not operational. The rollers in the blood pump cracks and came off during actual procedure. Other rollers have signs of damage also.</t>
  </si>
  <si>
    <t>https://www.jotform.com/uploads/macarewecare/222927978372067/6421964066316011028/6421964066316011028_signature_28.png</t>
  </si>
  <si>
    <t>Maria Anthonette Libiani</t>
  </si>
  <si>
    <t>https://www.jotform.com/uploads/macarewecare/222927978372067/6421964066316011028/6421964066316011028_signature_31.png</t>
  </si>
  <si>
    <t>Mandaluyong City</t>
  </si>
  <si>
    <t>https://www.jotform.com/uploads/macarewecare/222927978372067/6421904915212684015/6421904915212684015_signature_28.png</t>
  </si>
  <si>
    <t>https://www.jotform.com/uploads/macarewecare/222927978372067/6421904915212684015/6421904915212684015_signature_31.png</t>
  </si>
  <si>
    <t>Quezon Ave, Quezon City</t>
  </si>
  <si>
    <t>princeosena@gmail.com</t>
  </si>
  <si>
    <t xml:space="preserve">ASSAY: Xpert MTB/RIF Ultra, COUNT: 611
</t>
  </si>
  <si>
    <t>Cleaned Cartridge Bay, Plunger Rod and Icore Optics.
Cleaned Filter.
Performed Self-test.
Checked System's Functionality.
Generate Reports.</t>
  </si>
  <si>
    <t>B1 with 2014 Error for Observation.
B2 and B3 in Good Condition.
B4 for Replacement (Service Required).</t>
  </si>
  <si>
    <t>https://www.jotform.com/uploads/macarewecare/222927978372067/6421811743619192758/6421811743619192758_signature_28.png</t>
  </si>
  <si>
    <t>Prince Henry Osena</t>
  </si>
  <si>
    <t>https://www.jotform.com/uploads/macarewecare/222927978372067/6421811743619192758/6421811743619192758_signature_31.png</t>
  </si>
  <si>
    <t>https://www.jotform.com/uploads/macarewecare/222927978372067/6421810403615843541/6421810403615843541_signature_28.png</t>
  </si>
  <si>
    <t>https://www.jotform.com/uploads/macarewecare/222927978372067/6421810403615843541/6421810403615843541_signature_31.png</t>
  </si>
  <si>
    <t>Muntinlupa Reproductive Health and Wellness Center</t>
  </si>
  <si>
    <t>Laguerta Health Center, Tunasan, Muntinlupa</t>
  </si>
  <si>
    <t>petelerica@gmail.com</t>
  </si>
  <si>
    <t xml:space="preserve">ASSAY: Xpert HIV-1 Viral Load, COUNT: 508
ASSAY: Others, COUNT: 16
</t>
  </si>
  <si>
    <t>Cleaned Cartridge Bay, Plunger Rod and Icore Optics.
Checked Filter if Clogged.
Performed Self-test.
Checked System's Functionality 
Generate Report.</t>
  </si>
  <si>
    <t>DR 13563</t>
  </si>
  <si>
    <t>https://www.jotform.com/uploads/macarewecare/222927978372067/6421808963611879920/6421808963611879920_signature_28.png</t>
  </si>
  <si>
    <t>Erica Monique Petel</t>
  </si>
  <si>
    <t>https://www.jotform.com/uploads/macarewecare/222927978372067/6421808963611879920/6421808963611879920_signature_31.png</t>
  </si>
  <si>
    <t>princeosenarmt@gmail.com</t>
  </si>
  <si>
    <t xml:space="preserve">ASSAY: Xpert MTB/RIF Ultra, COUNT: 608
</t>
  </si>
  <si>
    <t>B4 is Service Required on XpertCheck.</t>
  </si>
  <si>
    <t>Replaced B4.
Checked System's Functionality.
Performed Self-test.
Generate Reports.</t>
  </si>
  <si>
    <t>All Modules are Operational.
UPS is good.</t>
  </si>
  <si>
    <t>B4: 210128226 -&gt; 694287</t>
  </si>
  <si>
    <t>GeneXpert Module.</t>
  </si>
  <si>
    <t>DR 13598</t>
  </si>
  <si>
    <t>https://www.jotform.com/uploads/macarewecare/222927978372067/6421808963616823660/6421808963616823660_signature_28.png</t>
  </si>
  <si>
    <t>https://www.jotform.com/uploads/macarewecare/222927978372067/6421808963616823660/6421808963616823660_signature_31.png</t>
  </si>
  <si>
    <t>Dasmariñas City Health Office 3</t>
  </si>
  <si>
    <t>Burmas St., Central A, San Marino, Salawag, Dasmariñas, Cavite</t>
  </si>
  <si>
    <t>ajcmalcaraz@gmail.com</t>
  </si>
  <si>
    <t>Install GeneXpert System.
Checked Funtionality.
Generate Reports.</t>
  </si>
  <si>
    <t>GX System is Good.</t>
  </si>
  <si>
    <t>SI 101601</t>
  </si>
  <si>
    <t>https://www.jotform.com/uploads/macarewecare/222927978372067/6421808963614304950/6421808963614304950_signature_28.png</t>
  </si>
  <si>
    <t>ALYSSA JANE ALCARAZ,RMT</t>
  </si>
  <si>
    <t>https://www.jotform.com/uploads/macarewecare/222927978372067/6421808963614304950/6421808963614304950_signature_31.png</t>
  </si>
  <si>
    <t>Dapitan St, Manila</t>
  </si>
  <si>
    <t>Checked Parameters and Sensors.
Cleaned Pump Rollers.
Checked Centrifuge, Bowl Optics and Liquid Detectors.
Performed Simulation.
Checked UPS Function.</t>
  </si>
  <si>
    <t>MCS+ is Good.
UPS is Operational (With Backup).</t>
  </si>
  <si>
    <t>https://www.jotform.com/uploads/macarewecare/222927978372067/6421808963618514686/6421808963618514686_signature_28.png</t>
  </si>
  <si>
    <t>Mylene Balboa</t>
  </si>
  <si>
    <t>https://www.jotform.com/uploads/macarewecare/222927978372067/6421808963618514686/6421808963618514686_signature_31.png</t>
  </si>
  <si>
    <t>National Childrens Hospital</t>
  </si>
  <si>
    <t>nch.jeff22@gmail.com</t>
  </si>
  <si>
    <t>michaeliza1205@gmail.com</t>
  </si>
  <si>
    <t>17H632SPG</t>
  </si>
  <si>
    <t>Defective display cable and line sensor</t>
  </si>
  <si>
    <t>Delivered and installed display cable and line sensor
Adjust line sensor value 3071
Checked program parameters
Performed functionality test
Performed simulation running
Endorse waste material display cable and line sensor</t>
  </si>
  <si>
    <t>Display cable and line sensor</t>
  </si>
  <si>
    <t>101617/13597</t>
  </si>
  <si>
    <t>https://www.jotform.com/uploads/macarewecare/222927978372067/6421725883618889254/6421725883618889254_signature_28.png</t>
  </si>
  <si>
    <t>Michaeliza Bravante</t>
  </si>
  <si>
    <t>https://www.jotform.com/uploads/macarewecare/222927978372067/6421725883618889254/6421725883618889254_signature_31.png</t>
  </si>
  <si>
    <t>Amorsolo st.,Makati</t>
  </si>
  <si>
    <t xml:space="preserve">ASSAY: Xpert BCR-ABL Ultra, COUNT: 246
ASSAY: Xpert C. difficile BT, COUNT: 1
ASSAY: Xpert CT/NG, COUNT: 634
ASSAY: Xpert HBV VL, COUNT: 102
ASSAY: Xpert HIV-1 Viral Load, COUNT: 10
ASSAY: Xpert HPV, COUNT: 363
ASSAY: Xpert MTB/RIF Ultra, COUNT: 3149
ASSAY: Others, COUNT: 16
ASSAY: Xpert HCV VL, COUNT: 162
ASSAY: Xpert HIV-1 Viral Load, COUNT: 1442
ASSAY: Xpress SARS-CoV-2_Flu_RSV plus, COUNT: 12
</t>
  </si>
  <si>
    <t>GX XV1 D 10C</t>
  </si>
  <si>
    <t>For module replacement A1 210052199 - 794510
For maintenance</t>
  </si>
  <si>
    <t>Performed module replacement and maintenance</t>
  </si>
  <si>
    <t>Genexpert 10 color module</t>
  </si>
  <si>
    <t>https://www.jotform.com/uploads/macarewecare/222927978372067/6421725313618612534/6421725313618612534_signature_28.png</t>
  </si>
  <si>
    <t>https://www.jotform.com/uploads/macarewecare/222927978372067/6421725313618612534/6421725313618612534_signature_31.png</t>
  </si>
  <si>
    <t>East avenue qc</t>
  </si>
  <si>
    <t>Unresponsive keyboard
Defective display cable
Roller worn out</t>
  </si>
  <si>
    <t>Delivered and installed dispaly cable and roller
Checked program parameters 
Performed functionality test
Performed simulation running</t>
  </si>
  <si>
    <t>Dispaly cable and rollers</t>
  </si>
  <si>
    <t>https://www.jotform.com/uploads/macarewecare/222927978372067/6421724613611516568/6421724613611516568_signature_28.png</t>
  </si>
  <si>
    <t>https://www.jotform.com/uploads/macarewecare/222927978372067/6421724613611516568/6421724613611516568_signature_31.png</t>
  </si>
  <si>
    <t>Unit is operational
Unit is due for calibration (01–16-26)</t>
  </si>
  <si>
    <t>https://www.jotform.com/uploads/macarewecare/222927978372067/6419232793423943134/6419232793423943134_signature_28.png</t>
  </si>
  <si>
    <t>Maria Cecilia Vasquez</t>
  </si>
  <si>
    <t>https://www.jotform.com/uploads/macarewecare/222927978372067/6419232793423943134/6419232793423943134_signature_31.png</t>
  </si>
  <si>
    <t>Tagum City Health Office</t>
  </si>
  <si>
    <t>Mabini Street, Tagum</t>
  </si>
  <si>
    <t>cristiarafernandez@gmail.com</t>
  </si>
  <si>
    <t xml:space="preserve">ASSAY: Xpert MTB/RIF Ultra, COUNT: 3317
</t>
  </si>
  <si>
    <t>UPS Not Working
Broken LCD Monitor display</t>
  </si>
  <si>
    <t>Replaced the Defective Monitor SN: CK943032R with new Monitor SN: H22V8VL658A250922828
Replaced the Defective UPS SN: AT1000180910ST0672 with new UPS SN: AD1K240612ST0022
Generate IQR, Assay Stat and System Log</t>
  </si>
  <si>
    <t>Replacement of UPS and Monitor</t>
  </si>
  <si>
    <t>Monitor and UPS is Operational
All Modules are functional</t>
  </si>
  <si>
    <t>FC-IT-UPS-ACCU1K (UPS) 
FC-E-Monitor</t>
  </si>
  <si>
    <t>DR 13515 AND DR13481</t>
  </si>
  <si>
    <t>https://www.jotform.com/uploads/macarewecare/222927978372067/6419227002109035959/6419227002109035959_signature_28.png</t>
  </si>
  <si>
    <t>Cristina Tiara A. Fernandez,. RMT</t>
  </si>
  <si>
    <t>https://www.jotform.com/uploads/macarewecare/222927978372067/6419227002109035959/6419227002109035959_signature_31.png</t>
  </si>
  <si>
    <t>mahmci_laboratory@yahoo.com</t>
  </si>
  <si>
    <t xml:space="preserve">ASSAY: Xpert CT/NG, COUNT: 2
ASSAY: Xpert HBV VL, COUNT: 11
ASSAY: Xpert HPV, COUNT: 1
ASSAY: Xpert MTB/RIF Ultra, COUNT: 217
ASSAY: Xpert HIV-1 Viral Load, COUNT: 20
</t>
  </si>
  <si>
    <t>Performed maintenance
Cleaned:
-Cartridge bay 
-plunger rod 
-Icore 
-Filter 
Generated reports</t>
  </si>
  <si>
    <t>Unit is operational. Module B2 disabled.</t>
  </si>
  <si>
    <t>https://www.jotform.com/uploads/macarewecare/222927978372067/6419178653616943257/6419178653616943257_signature_28.png</t>
  </si>
  <si>
    <t>https://www.jotform.com/uploads/macarewecare/222927978372067/6419178653616943257/6419178653616943257_signature_31.png</t>
  </si>
  <si>
    <t>Philippine Red Cross Laguna</t>
  </si>
  <si>
    <t>Sta. Cruz, Laguna</t>
  </si>
  <si>
    <t>lagunablood@redcross.org.ph</t>
  </si>
  <si>
    <t>02J046</t>
  </si>
  <si>
    <t>UPS has no backup</t>
  </si>
  <si>
    <t>replaced UPS
Performed calibration</t>
  </si>
  <si>
    <t>Replaced UPS
Performed maintenance
Performed calibration 
Checked rotor pumps 
Verified calibration parameters 
Simulation run 
Functionality test</t>
  </si>
  <si>
    <t>https://www.jotform.com/uploads/macarewecare/222927978372067/6419148493613779496/6419148493613779496_signature_28.png</t>
  </si>
  <si>
    <t>Zyrine Villacentino</t>
  </si>
  <si>
    <t>https://www.jotform.com/uploads/macarewecare/222927978372067/6419148493613779496/6419148493613779496_signature_31.png</t>
  </si>
  <si>
    <t xml:space="preserve">ASSAY: Xpert BCR-ABL Ultra, COUNT: 56
ASSAY: Xpert CT/NG, COUNT: 75
ASSAY: Xpert HBV VL, COUNT: 628
ASSAY: Xpert HIV-1 Viral Load, COUNT: 1121
ASSAY: Xpert HPV, COUNT: 423
ASSAY: Xpert MTB/RIF Ultra, COUNT: 6740
ASSAY: Xpert MTB-XDR, COUNT: 6
ASSAY: Others, COUNT: 7
ASSAY: Xpert HCV VL, COUNT: 196
ASSAY: Xpress SARS-CoV-2_Flu_RSV plus, COUNT: 1226
</t>
  </si>
  <si>
    <t>Performed maintenance 
Cleaned:
-Cartridge 
-Plunger rod 
-icore 
-Filter 
Generated reports</t>
  </si>
  <si>
    <t>https://www.jotform.com/uploads/macarewecare/222927978372067/6419148493619774416/6419148493619774416_signature_28.png</t>
  </si>
  <si>
    <t>Ashley Espiel</t>
  </si>
  <si>
    <t>https://www.jotform.com/uploads/macarewecare/222927978372067/6419148493619774416/6419148493619774416_signature_31.png</t>
  </si>
  <si>
    <t>https://www.jotform.com/uploads/macarewecare/222927978372067/6417658194196514927/6417658194196514927_signature_28.png</t>
  </si>
  <si>
    <t>Ma Cyrell Arcueno</t>
  </si>
  <si>
    <t>https://www.jotform.com/uploads/macarewecare/222927978372067/6417658194196514927/6417658194196514927_signature_31.png</t>
  </si>
  <si>
    <t>04H020</t>
  </si>
  <si>
    <t>Dead pixels in display</t>
  </si>
  <si>
    <t>Replaced display panel 
Performed calibration</t>
  </si>
  <si>
    <t>Replaced display panel 
Performed calibration 
Replaced rotor pumps
Verified calibration parameters 
Run simulation functionality test</t>
  </si>
  <si>
    <t>https://www.jotform.com/uploads/macarewecare/222927978372067/6417640566492173520/6417640566492173520_signature_28.png</t>
  </si>
  <si>
    <t>Febbie Lou A Birang</t>
  </si>
  <si>
    <t>https://www.jotform.com/uploads/macarewecare/222927978372067/6417640566492173520/6417640566492173520_signature_31.png</t>
  </si>
  <si>
    <t>Hospital Drive Brgy San Vicente, Tarlac City</t>
  </si>
  <si>
    <t xml:space="preserve">ASSAY: Xpert MTB/RIF Ultra, COUNT: 205
</t>
  </si>
  <si>
    <t>https://www.jotform.com/uploads/macarewecare/222927978372067/6417565452341985652/6417565452341985652_signature_28.png</t>
  </si>
  <si>
    <t>https://www.jotform.com/uploads/macarewecare/222927978372067/6417565452341985652/6417565452341985652_signature_31.png</t>
  </si>
  <si>
    <t>Unit is operational except module B4: 738203 for module replacement</t>
  </si>
  <si>
    <t>https://www.jotform.com/uploads/macarewecare/222927978372067/6417565022344964915/6417565022344964915_signature_28.png</t>
  </si>
  <si>
    <t>https://www.jotform.com/uploads/macarewecare/222927978372067/6417565022344964915/6417565022344964915_signature_31.png</t>
  </si>
  <si>
    <t>Wilson St. Greenhills San Juan</t>
  </si>
  <si>
    <t>kenzasarmiento5@gmail.com</t>
  </si>
  <si>
    <t>Performed maintenance 
Checked rotor pumps 
Functionality test
Cleaned instrument surface</t>
  </si>
  <si>
    <t>Recommended to calibrate the unit.</t>
  </si>
  <si>
    <t>https://www.jotform.com/uploads/macarewecare/222927978372067/6417433773611958500/6417433773611958500_signature_28.png</t>
  </si>
  <si>
    <t>Kenza Sarmiento</t>
  </si>
  <si>
    <t>https://www.jotform.com/uploads/macarewecare/222927978372067/6417433773611958500/6417433773611958500_signature_31.png</t>
  </si>
  <si>
    <t>https://www.jotform.com/uploads/macarewecare/222927978372067/6416763219913007965/6416763219913007965_signature_28.png</t>
  </si>
  <si>
    <t>https://www.jotform.com/uploads/macarewecare/222927978372067/6416763219913007965/6416763219913007965_signature_31.png</t>
  </si>
  <si>
    <t>Wilson St. San Juan</t>
  </si>
  <si>
    <t>janelvelasquez.medilinx@outlook.com</t>
  </si>
  <si>
    <t xml:space="preserve">ASSAY: Xpert HBV VL, COUNT: 26
ASSAY: Xpert HPV, COUNT: 16
ASSAY: Xpert MTB/RIF Ultra, COUNT: 1222
</t>
  </si>
  <si>
    <t>Performed maintenance.</t>
  </si>
  <si>
    <t>Performed maintenance 
Cleaned:
-Cartridge bay 
-plunger rod
-Icore
-Filter 
Generated reports</t>
  </si>
  <si>
    <t>Unit is operational. Modules under observation. Modules B1, B2, and B3 service required on XpertCheck performed last Oct. 17, 2025.</t>
  </si>
  <si>
    <t>https://www.jotform.com/uploads/macarewecare/222927978372067/6416758934212267432/6416758934212267432_signature_28.png</t>
  </si>
  <si>
    <t>Janel Velasquez</t>
  </si>
  <si>
    <t>https://www.jotform.com/uploads/macarewecare/222927978372067/6416758934212267432/6416758934212267432_signature_31.png</t>
  </si>
  <si>
    <t xml:space="preserve">ASSAY: Xpert CT/NG, COUNT: 204
ASSAY: Xpert MTB/RIF Ultra, COUNT: 2308
</t>
  </si>
  <si>
    <t>As per enduser they encounter power fluctuation,ups unable to backup supply due to defective ups battery</t>
  </si>
  <si>
    <t>B1 and B2 operational
B3 and B4 reported already for replacement
UPS already replaced the battery of in house personnel</t>
  </si>
  <si>
    <t>UPS operational</t>
  </si>
  <si>
    <t>https://www.jotform.com/uploads/macarewecare/222927978372067/6416642363615085879/6416642363615085879_signature_28.png</t>
  </si>
  <si>
    <t>Ma. Eliza Apo</t>
  </si>
  <si>
    <t>https://www.jotform.com/uploads/macarewecare/222927978372067/6416642363615085879/6416642363615085879_signature_31.png</t>
  </si>
  <si>
    <t>Elizco Rd. San Joaquin, Pasig City</t>
  </si>
  <si>
    <t>sanjoaquintml@gmail.com</t>
  </si>
  <si>
    <t>For Installation</t>
  </si>
  <si>
    <t>Installed the GeneXpert System:
-GeneXpert unit 
-Workstation 
-Printer
-UPS
Installed assay
Generated IQR
Functionality test</t>
  </si>
  <si>
    <t>Recommended to install airconditioning unit.</t>
  </si>
  <si>
    <t>https://www.jotform.com/uploads/macarewecare/222927978372067/6416623527225435036/6416623527225435036_signature_28.png</t>
  </si>
  <si>
    <t>Ma. Noreen L De Leon</t>
  </si>
  <si>
    <t>https://www.jotform.com/uploads/macarewecare/222927978372067/6416623527225435036/6416623527225435036_signature_31.png</t>
  </si>
  <si>
    <t>Hospital Dr. Brgy. San Vicente Tarlac City</t>
  </si>
  <si>
    <t>Duefor monthly preventive maintenance</t>
  </si>
  <si>
    <t>Unit is operational except module C2: 620096 for replacement</t>
  </si>
  <si>
    <t>https://www.jotform.com/uploads/macarewecare/222927978372067/6416612404397447356/6416612404397447356_signature_28.png</t>
  </si>
  <si>
    <t>https://www.jotform.com/uploads/macarewecare/222927978372067/6416612404397447356/6416612404397447356_signature_31.png</t>
  </si>
  <si>
    <t>JP Laurel Avenue,  Davao City</t>
  </si>
  <si>
    <t xml:space="preserve">ASSAY: Xpert MTB/RIF Ultra, COUNT: 1899
ASSAY: Xpert MTB-XDR, COUNT: 13
ASSAY: Xpert SARS-CoV-2, COUNT: 12
ASSAY: Xpert HIV-1 Viral Load, COUNT: 1441
ASSAY: Xpert CT/NG, COUNT: 6
</t>
  </si>
  <si>
    <t>https://www.jotform.com/uploads/macarewecare/222927978372067/6416599595619421063/6416599595619421063_signature_28.png</t>
  </si>
  <si>
    <t>https://www.jotform.com/uploads/macarewecare/222927978372067/6416599595619421063/6416599595619421063_signature_31.png</t>
  </si>
  <si>
    <t xml:space="preserve">ASSAY: Xpert MTB/RIF Ultra, COUNT: 1169
ASSAY: Xpert SARS-CoV-2, COUNT: 72
ASSAY: Xpert HIV-1 Viral Load, COUNT: 1345
</t>
  </si>
  <si>
    <t>https://www.jotform.com/uploads/macarewecare/222927978372067/6416599125613458108/6416599125613458108_signature_28.png</t>
  </si>
  <si>
    <t>https://www.jotform.com/uploads/macarewecare/222927978372067/6416599125613458108/6416599125613458108_signature_31.png</t>
  </si>
  <si>
    <t>Intramuros, Manila</t>
  </si>
  <si>
    <t>The SPM Test Failed error.</t>
  </si>
  <si>
    <t>Performed Repair.
Replaced PCB Assembly SPM.
Calibrated all parameters.
Performed Preventive Maintenance.
Checked and cleaned rotor pumps.
Verified calibration parameters.
Performed simulation running.</t>
  </si>
  <si>
    <t>Repair and Preventive Maintenance.</t>
  </si>
  <si>
    <t>Unit is now operational.</t>
  </si>
  <si>
    <t>PCS ASSY SPM (HY33107) in replacement to defective (SP091608347G)</t>
  </si>
  <si>
    <t>DR#13587</t>
  </si>
  <si>
    <t>https://www.jotform.com/uploads/macarewecare/222927978372067/6415942012126459713/6415942012126459713_signature_28.png</t>
  </si>
  <si>
    <t>https://www.jotform.com/uploads/macarewecare/222927978372067/6415942012126459713/6415942012126459713_signature_31.png</t>
  </si>
  <si>
    <t>Chong Hua Hospital- Fuente</t>
  </si>
  <si>
    <t>Fuente Osmena, Capitol Site, Cebu City</t>
  </si>
  <si>
    <t>Chhc_bloodbank@chonghua.com.ph</t>
  </si>
  <si>
    <t>11J219</t>
  </si>
  <si>
    <t>Red cell spillage during procedure.</t>
  </si>
  <si>
    <t>Adjust line sensor sensitivity.</t>
  </si>
  <si>
    <t>https://www.jotform.com/uploads/macarewecare/222927978372067/6415922660611884747/6415922660611884747_signature_28.png</t>
  </si>
  <si>
    <t>Chong Hua Hospital</t>
  </si>
  <si>
    <t>https://www.jotform.com/uploads/macarewecare/222927978372067/6415922660611884747/6415922660611884747_signature_31.png</t>
  </si>
  <si>
    <t>Worn-out rubber roller of draw pump and transfer pump.</t>
  </si>
  <si>
    <t>Replacement of transfer pump (white) and draw pump (red)</t>
  </si>
  <si>
    <t>https://www.jotform.com/uploads/macarewecare/222927978372067/6415862860617750131/6415862860617750131_signature_28.png</t>
  </si>
  <si>
    <t>CDUH BLOODBANK</t>
  </si>
  <si>
    <t>https://www.jotform.com/uploads/macarewecare/222927978372067/6415862860617750131/6415862860617750131_signature_31.png</t>
  </si>
  <si>
    <t>https://www.jotform.com/uploads/macarewecare/222927978372067/6415861060614453186/6415861060614453186_signature_28.png</t>
  </si>
  <si>
    <t>https://www.jotform.com/uploads/macarewecare/222927978372067/6415861060614453186/6415861060614453186_signature_31.png</t>
  </si>
  <si>
    <t>r2tmc.bb@gmail.com</t>
  </si>
  <si>
    <t>12D166</t>
  </si>
  <si>
    <t>Due for installation</t>
  </si>
  <si>
    <t>Installed MCS+
Installed UPS</t>
  </si>
  <si>
    <t>Assembled MCS+ Stand</t>
  </si>
  <si>
    <t>https://www.jotform.com/uploads/macarewecare/222927978372067/6415819967796252765/6415819967796252765_signature_28.png</t>
  </si>
  <si>
    <t>Lilian Dumangeng</t>
  </si>
  <si>
    <t>https://www.jotform.com/uploads/macarewecare/222927978372067/6415819967796252765/6415819967796252765_signature_31.png</t>
  </si>
  <si>
    <t>University of the East Ramon Magsaysay Memorial Medical Center</t>
  </si>
  <si>
    <t>64 Aurora Blvd, Quezon City</t>
  </si>
  <si>
    <t>biomedteam@uerm.edu.ph</t>
  </si>
  <si>
    <t>bloodbank@uerm.edu.ph</t>
  </si>
  <si>
    <t>Loose display panel</t>
  </si>
  <si>
    <t>Tighten display panel</t>
  </si>
  <si>
    <t>Tighten display panel
Simulation run 
Functionality test</t>
  </si>
  <si>
    <t>https://www.jotform.com/uploads/macarewecare/222927978372067/6410720093616722320/6410720093616722320_signature_28.png</t>
  </si>
  <si>
    <t>Maxyme Desiderio</t>
  </si>
  <si>
    <t>https://www.jotform.com/uploads/macarewecare/222927978372067/6410720093616722320/6410720093616722320_signature_31.png</t>
  </si>
  <si>
    <t>Pinagbuhatan TB Microscopy Lab</t>
  </si>
  <si>
    <t xml:space="preserve">ASSAY: Xpert MTB/RIF Ultra, COUNT: 2006
</t>
  </si>
  <si>
    <t>Performed maintenance:
Cleaned:
-Cartridge bay 
-Plunger rod 
-Icore
-Filter 
Generated reports</t>
  </si>
  <si>
    <t>https://www.jotform.com/uploads/macarewecare/222927978372067/6410719983619719063/6410719983619719063_signature_28.png</t>
  </si>
  <si>
    <t>Arlen Delgado</t>
  </si>
  <si>
    <t>https://www.jotform.com/uploads/macarewecare/222927978372067/6410719983619719063/6410719983619719063_signature_31.png</t>
  </si>
  <si>
    <t>Evangelista Ave. Pasig City</t>
  </si>
  <si>
    <t xml:space="preserve">ASSAY: Xpert MTB-XDR, COUNT: 2019
</t>
  </si>
  <si>
    <t>Error 2014 on module B3</t>
  </si>
  <si>
    <t>Performed maintenance 
Checked module B3</t>
  </si>
  <si>
    <t>Performed maintenance 
Cleaned:
-Cartridge bay 
-Plunger rod 
-Icore 
-Filter 
Checked module B3
Generated reports</t>
  </si>
  <si>
    <t>Unit is operational. Module B3 under observation.</t>
  </si>
  <si>
    <t>https://www.jotform.com/uploads/macarewecare/222927978372067/6410719823614940145/6410719823614940145_signature_28.png</t>
  </si>
  <si>
    <t>https://www.jotform.com/uploads/macarewecare/222927978372067/6410719823614940145/6410719823614940145_signature_31.png</t>
  </si>
  <si>
    <t>Rosario, Pasig City</t>
  </si>
  <si>
    <t xml:space="preserve">ASSAY: Xpert MTB/RIF Ultra, COUNT: 1094
</t>
  </si>
  <si>
    <t>https://www.jotform.com/uploads/macarewecare/222927978372067/6410719663618345505/6410719663618345505_signature_28.png</t>
  </si>
  <si>
    <t>https://www.jotform.com/uploads/macarewecare/222927978372067/6410719663618345505/6410719663618345505_signature_31.png</t>
  </si>
  <si>
    <t xml:space="preserve">ASSAY: Xpert MTB/RIF Ultra, COUNT: 17
ASSAY: Xpert MTB-XDR, COUNT: 176
ASSAY: Xpert HIV-1 Viral Load, COUNT: 865
</t>
  </si>
  <si>
    <t>https://www.jotform.com/uploads/macarewecare/222927978372067/6410719423614281870/6410719423614281870_signature_28.png</t>
  </si>
  <si>
    <t>https://www.jotform.com/uploads/macarewecare/222927978372067/6410719423614281870/6410719423614281870_signature_31.png</t>
  </si>
  <si>
    <t>U.N. Ave, Manila</t>
  </si>
  <si>
    <t>molecular.lab@maniladoctors.com.ph</t>
  </si>
  <si>
    <t xml:space="preserve">ASSAY: Xpert CT/NG, COUNT: 68
ASSAY: Xpert HBV VL, COUNT: 109
ASSAY: Xpert HPV, COUNT: 35
ASSAY: Xpert MTB/RIF Ultra, COUNT: 1240
ASSAY: Xpert HCV VL, COUNT: 15
ASSAY: Xpert HIV-1 Viral Load, COUNT: 188
</t>
  </si>
  <si>
    <t>Unit is due for Maintenance.
B2 and B4 with 5007 Errors.</t>
  </si>
  <si>
    <t>Cleaned Cartridge Bay, Plunger Rod, And Icore Optics.
Checked Filter if Clogged.
Performed Self-test.
Generate Reports.</t>
  </si>
  <si>
    <t>B1 is Disabled. (Service Required)
B2 and B4 for Observation.
B3 is Good.</t>
  </si>
  <si>
    <t>B2 and B4's 5007 Errors Reported to Cepheid.</t>
  </si>
  <si>
    <t>https://www.jotform.com/uploads/macarewecare/222927978372067/6410539613616965952/6410539613616965952_signature_28.png</t>
  </si>
  <si>
    <t>Earl John Villanueva</t>
  </si>
  <si>
    <t>https://www.jotform.com/uploads/macarewecare/222927978372067/6410539613616965952/6410539613616965952_signature_31.png</t>
  </si>
  <si>
    <t>Marantao Rural Health Unit</t>
  </si>
  <si>
    <t>Marawi City</t>
  </si>
  <si>
    <t>salhamcyo@gmail.com</t>
  </si>
  <si>
    <t>GXIV-4D</t>
  </si>
  <si>
    <t>CPU defective.</t>
  </si>
  <si>
    <t>Save System Log file
Save installation qualification report
Save GXX file.</t>
  </si>
  <si>
    <t>Replace new CPU with serial number. PC1132FH</t>
  </si>
  <si>
    <t>CPU are functional and machine are functional ok to use.</t>
  </si>
  <si>
    <t>https://www.jotform.com/uploads/macarewecare/222927978372067/6410525040616407620/6410525040616407620_signature_28.png</t>
  </si>
  <si>
    <t>Norsaleah M. Ayo</t>
  </si>
  <si>
    <t>https://www.jotform.com/uploads/macarewecare/222927978372067/6410525040616407620/6410525040616407620_signature_31.png</t>
  </si>
  <si>
    <t>Philippine Red Cross Port Area</t>
  </si>
  <si>
    <t>As per end user  they encounter spm error</t>
  </si>
  <si>
    <t>Checked unit 
Checked calibration parameters of spm
Performed visual check in spm 
Performed simulation running
Performed functionality test</t>
  </si>
  <si>
    <t>During simulation running no error encountered
Unit for observation</t>
  </si>
  <si>
    <t>https://www.jotform.com/uploads/macarewecare/222927978372067/6408832389413102494/6408832389413102494_signature_28.png</t>
  </si>
  <si>
    <t>Dolly banares</t>
  </si>
  <si>
    <t>https://www.jotform.com/uploads/macarewecare/222927978372067/6408832389413102494/6408832389413102494_signature_31.png</t>
  </si>
  <si>
    <t xml:space="preserve">ASSAY: Xpert CT/NG, COUNT: 202
ASSAY: Xpert MTB/RIF Ultra, COUNT: 2343
</t>
  </si>
  <si>
    <t>GX4 D</t>
  </si>
  <si>
    <t>As per end user they encounter error 5007 in module 2</t>
  </si>
  <si>
    <t>Cleaned unit
Cleaned plunger rod,filter,icore,cartridge bay
Gathered reports
Restart system
Test run unit</t>
  </si>
  <si>
    <t>Performed troubleshooting and maintenance</t>
  </si>
  <si>
    <t>https://www.jotform.com/uploads/macarewecare/222927978372067/6408831449413860364/6408831449413860364_signature_28.png</t>
  </si>
  <si>
    <t>https://www.jotform.com/uploads/macarewecare/222927978372067/6408831449413860364/6408831449413860364_signature_31.png</t>
  </si>
  <si>
    <t xml:space="preserve">ASSAY: Xpert CT/NG, COUNT: 3
ASSAY: Xpert HBV VL, COUNT: 479
ASSAY: Xpert HIV-1 Viral Load, COUNT: 10
ASSAY: Xpert HPV, COUNT: 385
ASSAY: Xpert MTB/RIF Ultra, COUNT: 416
ASSAY: Xpert HCV VL, COUNT: 42
ASSAY: Xpert HIV-1 Viral Load, COUNT: 331
</t>
  </si>
  <si>
    <t>GX4 L</t>
  </si>
  <si>
    <t>Due for maintenance
As per end user they encounter loss communication during running in module 3</t>
  </si>
  <si>
    <t>Cleaned unit
Cleaned plunger rod,filter,icore,cartridge bay
Gathered reports
Reset gateway board
Replaced cable at module 3
Test run unit</t>
  </si>
  <si>
    <t>https://www.jotform.com/uploads/macarewecare/222927978372067/6408830619416190185/6408830619416190185_signature_28.png</t>
  </si>
  <si>
    <t>https://www.jotform.com/uploads/macarewecare/222927978372067/6408830619416190185/6408830619416190185_signature_31.png</t>
  </si>
  <si>
    <t>Saguiaran Rural Health Unit</t>
  </si>
  <si>
    <t>Marawe City</t>
  </si>
  <si>
    <t>GXIV 4</t>
  </si>
  <si>
    <t>LCD monitor defective 
Module B2 defective</t>
  </si>
  <si>
    <t>. Save Installation Qualifications Report
. Save System Log file
. Save GXX file.</t>
  </si>
  <si>
    <t>Replace old lcd monitor to new lcd monitor with serial number H22V8VL658A250922</t>
  </si>
  <si>
    <t>LCD monitor functional ok to use. 
B2 module not ok to use.</t>
  </si>
  <si>
    <t>https://www.jotform.com/uploads/macarewecare/222927978372067/6407948027712973240/6407948027712973240_signature_28.png</t>
  </si>
  <si>
    <t>Asmalia A. Hadji Salic</t>
  </si>
  <si>
    <t>https://www.jotform.com/uploads/macarewecare/222927978372067/6407948027712973240/6407948027712973240_signature_31.png</t>
  </si>
  <si>
    <t>San Lorenzo Municipal Health Office</t>
  </si>
  <si>
    <t>Stucked up carthridge</t>
  </si>
  <si>
    <t>Removal of stucked up carthridge</t>
  </si>
  <si>
    <t>Removal of stucked up carthridge
Replace new fan filter
Clean carthedige bay
Gather IQR, System log and assay statistics</t>
  </si>
  <si>
    <t>https://www.jotform.com/uploads/macarewecare/222927978372067/6405369549223419514/6405369549223419514_signature_28.png</t>
  </si>
  <si>
    <t>Ellen Pearl Talaban</t>
  </si>
  <si>
    <t>https://www.jotform.com/uploads/macarewecare/222927978372067/6405369549223419514/6405369549223419514_signature_31.png</t>
  </si>
  <si>
    <t>Marine Science Institute</t>
  </si>
  <si>
    <t>UP Diliman, Quezon City</t>
  </si>
  <si>
    <t>rtaguilar1@up.edu.ph</t>
  </si>
  <si>
    <t>Primostar 1</t>
  </si>
  <si>
    <t>Installed microscope
Installed 100x Objective
Placed Blue Filter</t>
  </si>
  <si>
    <t>SI 101499</t>
  </si>
  <si>
    <t>https://www.jotform.com/uploads/macarewecare/222927978372067/6404680323322427948/6404680323322427948_signature_28.png</t>
  </si>
  <si>
    <t>Ronel Aguilar</t>
  </si>
  <si>
    <t>https://www.jotform.com/uploads/macarewecare/222927978372067/6404680323322427948/6404680323322427948_signature_31.png</t>
  </si>
  <si>
    <t>Biopath Clinical Diagnostics, Inc. - Aurora Grand</t>
  </si>
  <si>
    <t>11/F Aurora Grand, 1005 Aurora Blvd., Brgy. Duyan-duyan, Project 3, Quezon City</t>
  </si>
  <si>
    <t>Dwyer</t>
  </si>
  <si>
    <t>rmlao@biopath.ph</t>
  </si>
  <si>
    <t>2300-60PA</t>
  </si>
  <si>
    <t>Pre-Analysis, Analysis, Post-PCR</t>
  </si>
  <si>
    <t>Readings on magnehelic devices are minimal</t>
  </si>
  <si>
    <t>Relocation of (+) and (-) ports of the magnehelic</t>
  </si>
  <si>
    <t>Checked air seals
Verified air flow readings versus those in mechanical contractor's report</t>
  </si>
  <si>
    <t>Magnehelic gauges are operational
Magnehelic readings:
Pre-Analysis -6.5Pa
Analysis -2Pa
Post-Analysis -2.5Pa</t>
  </si>
  <si>
    <t>https://www.jotform.com/uploads/macarewecare/222927978372067/6403756683619517270/6403756683619517270_signature_28.png</t>
  </si>
  <si>
    <t>Rhenee Lao-Castillo</t>
  </si>
  <si>
    <t>https://www.jotform.com/uploads/macarewecare/222927978372067/6403756683619517270/6403756683619517270_signature_31.png</t>
  </si>
  <si>
    <t>Binloc, Dagupan City</t>
  </si>
  <si>
    <t>sorianocmarygrace.17@gmail.com</t>
  </si>
  <si>
    <t>Performed Installation</t>
  </si>
  <si>
    <t>GeneXpert Installed is from Infanta RHU (UNOPS)</t>
  </si>
  <si>
    <t>https://www.jotform.com/uploads/macarewecare/222927978372067/6402732922028416356/6402732922028416356_signature_28.png</t>
  </si>
  <si>
    <t>Mary Grace C. Soriano</t>
  </si>
  <si>
    <t>https://www.jotform.com/uploads/macarewecare/222927978372067/6402732922028416356/6402732922028416356_signature_31.png</t>
  </si>
  <si>
    <t>https://www.jotform.com/uploads/macarewecare/222927978372067/6402731792022345853/6402731792022345853_signature_28.png</t>
  </si>
  <si>
    <t>https://www.jotform.com/uploads/macarewecare/222927978372067/6402731792022345853/6402731792022345853_signature_31.png</t>
  </si>
  <si>
    <t>https://www.jotform.com/uploads/macarewecare/222927978372067/6402730752027348195/6402730752027348195_signature_28.png</t>
  </si>
  <si>
    <t>https://www.jotform.com/uploads/macarewecare/222927978372067/6402730752027348195/6402730752027348195_signature_31.png</t>
  </si>
  <si>
    <t>Amorsolo St. Makati City</t>
  </si>
  <si>
    <t>MAINTENANCE
Relocation</t>
  </si>
  <si>
    <t>aageronimo@tdf.org.ph</t>
  </si>
  <si>
    <t>Transferred GeneXpert unit to other room</t>
  </si>
  <si>
    <t>Transferred GeneXpert unit to other room 
Performed maintenance 
Generated reports 
Functionality test</t>
  </si>
  <si>
    <t>https://www.jotform.com/uploads/macarewecare/222927978372067/6401196964688214924/6401196964688214924_signature_28.png</t>
  </si>
  <si>
    <t>Karl Francis R. Cueno</t>
  </si>
  <si>
    <t>https://www.jotform.com/uploads/macarewecare/222927978372067/6401196964688214924/6401196964688214924_signature_31.png</t>
  </si>
  <si>
    <t xml:space="preserve">ASSAY: Xpert MTB/RIF Ultra, COUNT: 2873
ASSAY: Xpert MTB-XDR, COUNT: 49
ASSAY: Xpert HIV-1 Viral Load, COUNT: 368
</t>
  </si>
  <si>
    <t>Gx-XVl</t>
  </si>
  <si>
    <t>Module C2,D2&amp;D3 H/W Failed due to multiple temperature errors</t>
  </si>
  <si>
    <t>Transfer of Genexpert machine Gx16 from Dr. Arthuro P. Pinggoy Medical Center to South Cotabato Provincial Hospital
Perform Genexpert machine Gx16 Re-installation 
Checking of module status and problem
Data collection</t>
  </si>
  <si>
    <t>Genexpert machine relocation and Re-installation</t>
  </si>
  <si>
    <t>12 operational modules</t>
  </si>
  <si>
    <t>https://www.jotform.com/uploads/macarewecare/222927978372067/6401187271417350036/6401187271417350036_signature_28.png</t>
  </si>
  <si>
    <t>https://www.jotform.com/uploads/macarewecare/222927978372067/6401187271417350036/6401187271417350036_signature_31.png</t>
  </si>
  <si>
    <t>Installed the GeneXpert system 
-GeneXpert unit 
-Workstation 
-Barcode Scanner 
Generated IQR 
Functionality test</t>
  </si>
  <si>
    <t>Printer is delivered but not installed.</t>
  </si>
  <si>
    <t>https://www.jotform.com/uploads/macarewecare/222927978372067/6401181634681556082/6401181634681556082_signature_28.png</t>
  </si>
  <si>
    <t>Karl Francis Cueno</t>
  </si>
  <si>
    <t>https://www.jotform.com/uploads/macarewecare/222927978372067/6401181634681556082/6401181634681556082_signature_31.png</t>
  </si>
  <si>
    <t>Santolan Superhealth Center</t>
  </si>
  <si>
    <t xml:space="preserve">ASSAY: Xpert MTB/RIF Ultra, COUNT: 1480
</t>
  </si>
  <si>
    <t>https://www.jotform.com/uploads/macarewecare/222927978372067/6401163574686808809/6401163574686808809_signature_28.png</t>
  </si>
  <si>
    <t>https://www.jotform.com/uploads/macarewecare/222927978372067/6401163574686808809/6401163574686808809_signature_31.png</t>
  </si>
  <si>
    <t>Sta. Rosa Community Hospital</t>
  </si>
  <si>
    <t>Olango Island, Lapu-lapu Island</t>
  </si>
  <si>
    <t>INSTALLATION
CALIBRATION</t>
  </si>
  <si>
    <t>ariestumz@yahoo.com</t>
  </si>
  <si>
    <t>Defective monitor hp sn CNK9430328
outdated time and date in CPU</t>
  </si>
  <si>
    <t>Replace new monitor Nvision Sn H22V8VL658A250922989
Install new CMOS battery</t>
  </si>
  <si>
    <t>https://www.jotform.com/uploads/macarewecare/222927978372067/6401088547023049496/6401088547023049496_signature_28.png</t>
  </si>
  <si>
    <t>Ma.Anunciacian G.Ahat</t>
  </si>
  <si>
    <t>https://www.jotform.com/uploads/macarewecare/222927978372067/6401088547023049496/6401088547023049496_signature_31.png</t>
  </si>
  <si>
    <t>Unit is due for Maintenance.
Busted Fuse.</t>
  </si>
  <si>
    <t>Cleaned Surface Area of the Unit.
Checked Sensors' Values.
Checked and Cleaned Pumps' Rollers.
Run Simulation Test.
Replaced 2 2.5A New Fuse.</t>
  </si>
  <si>
    <t>Unit is Good and Operational.
Cart Roller Worn-out</t>
  </si>
  <si>
    <t>https://www.jotform.com/uploads/macarewecare/222927978372067/6400280775362403677/6400280775362403677_signature_28.png</t>
  </si>
  <si>
    <t>https://www.jotform.com/uploads/macarewecare/222927978372067/6400280775362403677/6400280775362403677_signature_31.png</t>
  </si>
  <si>
    <t>Cleaned Surface Area of the Unit.
Checked Sensors' Values.
Checked and Cleaned Pumps' Rollers.
Run Simulation Test.</t>
  </si>
  <si>
    <t>Unit is in Good Condition.</t>
  </si>
  <si>
    <t>https://www.jotform.com/uploads/macarewecare/222927978372067/6400280775369833411/6400280775369833411_signature_28.png</t>
  </si>
  <si>
    <t>https://www.jotform.com/uploads/macarewecare/222927978372067/6400280775369833411/6400280775369833411_signature_31.png</t>
  </si>
  <si>
    <t>Baganga Rural Health Unit</t>
  </si>
  <si>
    <t>Poblacion, Baganga</t>
  </si>
  <si>
    <t>rhubaganga@gmail.com</t>
  </si>
  <si>
    <t>UPS not working during battery mode</t>
  </si>
  <si>
    <t>Replaced the Defective UPS Battery with new Batteries</t>
  </si>
  <si>
    <t>Perform Battery Replacement</t>
  </si>
  <si>
    <t>Successfully changed the UPS battery, machine is operational</t>
  </si>
  <si>
    <t>https://www.jotform.com/uploads/macarewecare/222927978372067/6399416622753414992/6399416622753414992_signature_28.png</t>
  </si>
  <si>
    <t>Liza N. Narciso,. RMT</t>
  </si>
  <si>
    <t>https://www.jotform.com/uploads/macarewecare/222927978372067/6399416622753414992/6399416622753414992_signature_31.png</t>
  </si>
  <si>
    <t>Packing of GX for Transfer R1MC</t>
  </si>
  <si>
    <t>For Packing and pullout of GeneXpert System</t>
  </si>
  <si>
    <t>Packed GeneXpert System for Pullout</t>
  </si>
  <si>
    <t>https://www.jotform.com/uploads/macarewecare/222927978372067/6399281612026650558/6399281612026650558_signature_28.png</t>
  </si>
  <si>
    <t>https://www.jotform.com/uploads/macarewecare/222927978372067/6399281612026650558/6399281612026650558_signature_31.png</t>
  </si>
  <si>
    <t>Unit is Partially Operational 
Module A1 is Disabled</t>
  </si>
  <si>
    <t>https://www.jotform.com/uploads/macarewecare/222927978372067/6399280162024308135/6399280162024308135_signature_28.png</t>
  </si>
  <si>
    <t>https://www.jotform.com/uploads/macarewecare/222927978372067/6399280162024308135/6399280162024308135_signature_31.png</t>
  </si>
  <si>
    <t>https://www.jotform.com/uploads/macarewecare/222927978372067/6399279252025283185/6399279252025283185_signature_28.png</t>
  </si>
  <si>
    <t>https://www.jotform.com/uploads/macarewecare/222927978372067/6399279252025283185/6399279252025283185_signature_31.png</t>
  </si>
  <si>
    <t>https://www.jotform.com/uploads/macarewecare/222927978372067/6398684049283808158/6398684049283808158_signature_28.png</t>
  </si>
  <si>
    <t>https://www.jotform.com/uploads/macarewecare/222927978372067/6398684049283808158/6398684049283808158_signature_31.png</t>
  </si>
  <si>
    <t>https://www.jotform.com/uploads/macarewecare/222927978372067/6398684049287700573/6398684049287700573_signature_28.png</t>
  </si>
  <si>
    <t>https://www.jotform.com/uploads/macarewecare/222927978372067/6398684049287700573/6398684049287700573_signature_31.png</t>
  </si>
  <si>
    <t>Cebu city</t>
  </si>
  <si>
    <t>CPU board</t>
  </si>
  <si>
    <t>Check all part of the machine.</t>
  </si>
  <si>
    <t>Swap unit haemonetics machine. 
Sr. 02A090</t>
  </si>
  <si>
    <t>Ok to use.</t>
  </si>
  <si>
    <t>https://www.jotform.com/uploads/macarewecare/222927978372067/6398431793029985547/6398431793029985547_signature_28.png</t>
  </si>
  <si>
    <t>Charlotte Mae Ygoña</t>
  </si>
  <si>
    <t>https://www.jotform.com/uploads/macarewecare/222927978372067/6398431793029985547/6398431793029985547_signature_31.png</t>
  </si>
  <si>
    <t>Aurora grand,1005 Aurora blvd.QC</t>
  </si>
  <si>
    <t>Inspection</t>
  </si>
  <si>
    <t>Brand new unit for inspection</t>
  </si>
  <si>
    <t>Checked unit
Performed visual inspection</t>
  </si>
  <si>
    <t>Performed inspection</t>
  </si>
  <si>
    <t>Unit findings crack in the cover</t>
  </si>
  <si>
    <t>https://www.jotform.com/uploads/macarewecare/222927978372067/6397982056513543706/6397982056513543706_signature_28.png</t>
  </si>
  <si>
    <t>https://www.jotform.com/uploads/macarewecare/222927978372067/6397982056513543706/6397982056513543706_signature_31.png</t>
  </si>
  <si>
    <t>Medi Linx Laboratory Inc./ St. Elizabeth Hospital Inc.</t>
  </si>
  <si>
    <t>marylou.villaruel@medilinx.com.ph</t>
  </si>
  <si>
    <t xml:space="preserve">ASSAY: Xpert MTB/RIF Ultra, COUNT: 18
</t>
  </si>
  <si>
    <t>Perform Genexpert machine Cleaning and maintenance 
Module cleaning 
Plunger rod and Optics cleaning 
Fan and filter cleaning 
Checking of module status and errors 
Data collection</t>
  </si>
  <si>
    <t>2 operational modules ( module 1 and 3)</t>
  </si>
  <si>
    <t>https://www.jotform.com/uploads/macarewecare/222927978372067/6397973757325792376/6397973757325792376_signature_28.png</t>
  </si>
  <si>
    <t>Richei Grace Hernandez</t>
  </si>
  <si>
    <t>https://www.jotform.com/uploads/macarewecare/222927978372067/6397973757325792376/6397973757325792376_signature_31.png</t>
  </si>
  <si>
    <t>Biopath Clinical Diagnostics Inc.</t>
  </si>
  <si>
    <t>Aurora Grand,1005 Aurora blvd QC</t>
  </si>
  <si>
    <t>LW Scientific</t>
  </si>
  <si>
    <t>E8 Portafuge</t>
  </si>
  <si>
    <t>Cleaned unit
Checked rotor and motor
Checked wear and tear parts
Performed functionality test
Performed calibration
Test run unit</t>
  </si>
  <si>
    <t>Performed maintenance and calibration</t>
  </si>
  <si>
    <t>https://www.jotform.com/uploads/macarewecare/222927978372067/6397753743618046036/6397753743618046036_signature_28.png</t>
  </si>
  <si>
    <t>https://www.jotform.com/uploads/macarewecare/222927978372067/6397753743618046036/6397753743618046036_signature_31.png</t>
  </si>
  <si>
    <t>Microscope</t>
  </si>
  <si>
    <t>Cleaned unit
Cleaned eyepiece and objective
Checked mechanical parts
Checked coarse and fine adjustment
Performed functionality test
Test run unit</t>
  </si>
  <si>
    <t>https://www.jotform.com/uploads/macarewecare/222927978372067/6397750553619062203/6397750553619062203_signature_28.png</t>
  </si>
  <si>
    <t>'</t>
  </si>
  <si>
    <t>https://www.jotform.com/uploads/macarewecare/222927978372067/6397750553619062203/6397750553619062203_signature_31.png</t>
  </si>
  <si>
    <t>Revalation III</t>
  </si>
  <si>
    <t>https://www.jotform.com/uploads/macarewecare/222927978372067/6397748003617692732/6397748003617692732_signature_28.png</t>
  </si>
  <si>
    <t>https://www.jotform.com/uploads/macarewecare/222927978372067/6397748003617692732/6397748003617692732_signature_31.png</t>
  </si>
  <si>
    <t>Don Juan st., Brgy Cabangan, Legazpi</t>
  </si>
  <si>
    <t>reylovendino83@gmail.com</t>
  </si>
  <si>
    <t xml:space="preserve">ASSAY: Xpert BCR-ABL Ultra, COUNT: 9
ASSAY: Xpert CT/NG, COUNT: 2
ASSAY: Xpert HBV VL, COUNT: 230
ASSAY: Xpert MTB/RIF Ultra, COUNT: 208
ASSAY: Xpert MTB-XDR, COUNT: 11
ASSAY: Xpress SARS-CoV-2_Flu_RSV plus, COUNT: 4
</t>
  </si>
  <si>
    <t>Cleaned cartridge bays,  plunger rod 
Generate Data</t>
  </si>
  <si>
    <t>https://www.jotform.com/uploads/macarewecare/222927978372067/6397615074519414661/6397615074519414661_signature_28.png</t>
  </si>
  <si>
    <t>Rey A. Lovendino</t>
  </si>
  <si>
    <t>https://www.jotform.com/uploads/macarewecare/222927978372067/6397615074519414661/6397615074519414661_signature_31.png</t>
  </si>
  <si>
    <t>VICENTE SOTTO MEMORIAL MEDICAL CENTER</t>
  </si>
  <si>
    <t>ON-SITE ASSISTANCE
Pull out MCS+</t>
  </si>
  <si>
    <t>vsmmcbloodservices@gmail.con</t>
  </si>
  <si>
    <t>-PULL OUT MCS+ WITH SN: 02A090 FOR TROUBLESHOOTING</t>
  </si>
  <si>
    <t>-INSTALL SERVICE UNIT SN 14K081G
-PERFORM FUNCTIONALITY TEST,PASSED</t>
  </si>
  <si>
    <t>https://www.jotform.com/uploads/macarewecare/222927978372067/6397612908975324905/6397612908975324905_signature_28.png</t>
  </si>
  <si>
    <t>Kristine Jane Agasin</t>
  </si>
  <si>
    <t>https://www.jotform.com/uploads/macarewecare/222927978372067/6397612908975324905/6397612908975324905_signature_31.png</t>
  </si>
  <si>
    <t>St. Lukes Medical Center</t>
  </si>
  <si>
    <t>Error 5007 on module B2</t>
  </si>
  <si>
    <t>Generated reports</t>
  </si>
  <si>
    <t>- checked and scanned system logs for hardware errors (None found)
- checked and scanned test reports for errors (5007—Sample related)
- generated reports</t>
  </si>
  <si>
    <t>Unit is operational
No hardware related errors found on modules B1, B2
Unit is overdue of calibration (Mar. 2023 last cal)
Unit is advised for calibration
Error 5007 to be forwarded to technical specialist team for further validation</t>
  </si>
  <si>
    <t>https://www.jotform.com/uploads/macarewecare/222927978372067/6396925269022469873/6396925269022469873_signature_28.png</t>
  </si>
  <si>
    <t>Cherry Ann P. Pereda</t>
  </si>
  <si>
    <t>https://www.jotform.com/uploads/macarewecare/222927978372067/6396925269022469873/6396925269022469873_signature_31.png</t>
  </si>
  <si>
    <t>JP Laurel Avenue, Bajada,Davao City</t>
  </si>
  <si>
    <t>ICU-2</t>
  </si>
  <si>
    <t>icu2estuya@gmail.com</t>
  </si>
  <si>
    <t>15HO34G</t>
  </si>
  <si>
    <t>No power on Machine</t>
  </si>
  <si>
    <t>Check for line voltages, reset connection, check fuses</t>
  </si>
  <si>
    <t>Perform Machine Troubleshooting</t>
  </si>
  <si>
    <t>Machine successfully power on, unit is operational.</t>
  </si>
  <si>
    <t>https://www.jotform.com/uploads/macarewecare/222927978372067/6396184206211817991/6396184206211817991_signature_28.png</t>
  </si>
  <si>
    <t>Shiela Nicolas</t>
  </si>
  <si>
    <t>https://www.jotform.com/uploads/macarewecare/222927978372067/6396184206211817991/6396184206211817991_signature_31.png</t>
  </si>
  <si>
    <t>San Juan</t>
  </si>
  <si>
    <t>mjoylagrana@gmail.com</t>
  </si>
  <si>
    <t>Centrifuge lock problem</t>
  </si>
  <si>
    <t>https://www.jotform.com/uploads/macarewecare/222927978372067/6396106948118631565/6396106948118631565_signature_28.png</t>
  </si>
  <si>
    <t>Maryjoy Lagrana</t>
  </si>
  <si>
    <t>https://www.jotform.com/uploads/macarewecare/222927978372067/6396106948118631565/6396106948118631565_signature_31.png</t>
  </si>
  <si>
    <t>pbcmbd@doh.gov.ph</t>
  </si>
  <si>
    <t>strobecatcher@gmail.com</t>
  </si>
  <si>
    <t>Delivered and installed unit 
With 1kva ups,transport case,and protocol card,cuff
Performed functionality test</t>
  </si>
  <si>
    <t>https://www.jotform.com/uploads/macarewecare/222927978372067/6395940527119350267/6395940527119350267_signature_28.png</t>
  </si>
  <si>
    <t>Ivan Ritz P. Romero</t>
  </si>
  <si>
    <t>https://www.jotform.com/uploads/macarewecare/222927978372067/6395940527119350267/6395940527119350267_signature_31.png</t>
  </si>
  <si>
    <t>Queson Aveneu QC</t>
  </si>
  <si>
    <t>Apheresis Room</t>
  </si>
  <si>
    <t>Delivered and installed unit
With 1kva ups,transport case and protocol card,cuff
Performed functionality test</t>
  </si>
  <si>
    <t>https://www.jotform.com/uploads/macarewecare/222927978372067/6395940007117144297/6395940007117144297_signature_28.png</t>
  </si>
  <si>
    <t>https://www.jotform.com/uploads/macarewecare/222927978372067/6395940007117144297/6395940007117144297_signature_31.png</t>
  </si>
  <si>
    <t>monet.laxina@yahoo.com.ph</t>
  </si>
  <si>
    <t>Due for maintenance 
D1,D2 reported failed xpertcheck last 11/15/24</t>
  </si>
  <si>
    <t>Unit not in use
D2,D3,D4 disabled</t>
  </si>
  <si>
    <t>https://www.jotform.com/uploads/macarewecare/222927978372067/6395939447113751313/6395939447113751313_signature_28.png</t>
  </si>
  <si>
    <t>Fiel ballena</t>
  </si>
  <si>
    <t>https://www.jotform.com/uploads/macarewecare/222927978372067/6395939447113751313/6395939447113751313_signature_31.png</t>
  </si>
  <si>
    <t>Victor R. Potenciano Medical Center</t>
  </si>
  <si>
    <t>Cleaned clogged filter</t>
  </si>
  <si>
    <t>https://www.jotform.com/uploads/macarewecare/222927978372067/6395168489514580975/6395168489514580975_signature_28.png</t>
  </si>
  <si>
    <t>https://www.jotform.com/uploads/macarewecare/222927978372067/6395168489514580975/6395168489514580975_signature_31.png</t>
  </si>
  <si>
    <t xml:space="preserve">ASSAY: Xpert MTB/RIF Ultra, COUNT: 632
</t>
  </si>
  <si>
    <t>https://www.jotform.com/uploads/macarewecare/222927978372067/6395158419804737703/6395158419804737703_signature_28.png</t>
  </si>
  <si>
    <t>Cristina M. Lee</t>
  </si>
  <si>
    <t>https://www.jotform.com/uploads/macarewecare/222927978372067/6395158419804737703/6395158419804737703_signature_31.png</t>
  </si>
  <si>
    <t>Wester Visayas Sanitarium and General Hospital</t>
  </si>
  <si>
    <t>Sta. Barbara, Iloilo</t>
  </si>
  <si>
    <t>TB Dots Laboratory</t>
  </si>
  <si>
    <t>ruthiedequilla@gmail.com</t>
  </si>
  <si>
    <t xml:space="preserve">ASSAY: Xpert MTB/RIF Ultra, COUNT: 1615
</t>
  </si>
  <si>
    <t>-Replace defective module B1/860474 with new module SN: 914872
-Replace defective module B3/860966 with new module SN: 684758</t>
  </si>
  <si>
    <t>Machine is functional. Module B2 for reporting</t>
  </si>
  <si>
    <t>2 Certified pre-owned GeneXpert module
SN. 684758 and 914872</t>
  </si>
  <si>
    <t>DR no. 13415 and 13418</t>
  </si>
  <si>
    <t>https://www.jotform.com/uploads/macarewecare/222927978372067/6395156208218930944/6395156208218930944_signature_28.png</t>
  </si>
  <si>
    <t>Ruth T. Dequilla</t>
  </si>
  <si>
    <t>https://www.jotform.com/uploads/macarewecare/222927978372067/6395156208218930944/6395156208218930944_signature_31.png</t>
  </si>
  <si>
    <t>Aurora grand 1005 Aurora blvd</t>
  </si>
  <si>
    <t>HP monitor</t>
  </si>
  <si>
    <t>HP pro display</t>
  </si>
  <si>
    <t>CNK831071H</t>
  </si>
  <si>
    <t>Repair monitor 
Checked power supply</t>
  </si>
  <si>
    <t>https://www.jotform.com/uploads/macarewecare/222927978372067/6395074082152114751/6395074082152114751_signature_28.png</t>
  </si>
  <si>
    <t>Macare in House</t>
  </si>
  <si>
    <t>https://www.jotform.com/uploads/macarewecare/222927978372067/6395074082152114751/6395074082152114751_signature_31.png</t>
  </si>
  <si>
    <t>U.P Diliman</t>
  </si>
  <si>
    <t>Diliman QC</t>
  </si>
  <si>
    <t>IB-SCIARM</t>
  </si>
  <si>
    <t>Airinspace</t>
  </si>
  <si>
    <t>amcorachea@up.edu.ph</t>
  </si>
  <si>
    <t>T2006-S</t>
  </si>
  <si>
    <t>2006-TS-833</t>
  </si>
  <si>
    <t>No power
Busted fuse</t>
  </si>
  <si>
    <t>Replaced fuse 
Test power entry module ok functional</t>
  </si>
  <si>
    <t>Unit unoperational
For further troubleshooting possible faulty main board
After replacing fuse unit still unopertional due to short circuit</t>
  </si>
  <si>
    <t>https://www.jotform.com/uploads/macarewecare/222927978372067/6395054992152824584/6395054992152824584_signature_28.png</t>
  </si>
  <si>
    <t>Allen Joy Corachea</t>
  </si>
  <si>
    <t>https://www.jotform.com/uploads/macarewecare/222927978372067/6395054992152824584/6395054992152824584_signature_31.png</t>
  </si>
  <si>
    <t xml:space="preserve">ASSAY: Xpert MTB/RIF Ultra, COUNT: 2087
ASSAY: Xpert HIV-1 Viral Load, COUNT: 863
</t>
  </si>
  <si>
    <t>GX4 D 6C</t>
  </si>
  <si>
    <t>https://www.jotform.com/uploads/macarewecare/222927978372067/6395054622152210352/6395054622152210352_signature_28.png</t>
  </si>
  <si>
    <t>https://www.jotform.com/uploads/macarewecare/222927978372067/6395054622152210352/6395054622152210352_signature_31.png</t>
  </si>
  <si>
    <t>Jones Rural Health Unit</t>
  </si>
  <si>
    <t>Jones, Isabela</t>
  </si>
  <si>
    <t>oroprecy19@gmail.com</t>
  </si>
  <si>
    <t>Module 4 for Replacement</t>
  </si>
  <si>
    <t>Performed Module Replacement
B4(613605 - 619545)</t>
  </si>
  <si>
    <t>Genexpert Module</t>
  </si>
  <si>
    <t>https://www.jotform.com/uploads/macarewecare/222927978372067/6395022725588679254/6395022725588679254_signature_28.png</t>
  </si>
  <si>
    <t>Babylene Mamauag</t>
  </si>
  <si>
    <t>https://www.jotform.com/uploads/macarewecare/222927978372067/6395022725588679254/6395022725588679254_signature_31.png</t>
  </si>
  <si>
    <t>Mariano Marcos Memorial Hospital And Medical Center</t>
  </si>
  <si>
    <t>mmmhmc.molecularlab@gmail.com</t>
  </si>
  <si>
    <t>Performed unit ibstallation.</t>
  </si>
  <si>
    <t>Perforned unit setup and installation.</t>
  </si>
  <si>
    <t>DR 13490</t>
  </si>
  <si>
    <t>https://www.jotform.com/uploads/macarewecare/222927978372067/6395011360522938363/6395011360522938363_signature_28.png</t>
  </si>
  <si>
    <t>https://www.jotform.com/uploads/macarewecare/222927978372067/6395011360522938363/6395011360522938363_signature_31.png</t>
  </si>
  <si>
    <t>debbiebaga@gmail.com</t>
  </si>
  <si>
    <t>Platelet spilling during processing</t>
  </si>
  <si>
    <t>Adjusting line sensor range</t>
  </si>
  <si>
    <t>Troubleshooting Line Sensor
Check rubber pump quality</t>
  </si>
  <si>
    <t>https://www.jotform.com/uploads/macarewecare/222927978372067/6394309663518366214/6394309663518366214_signature_28.png</t>
  </si>
  <si>
    <t>https://www.jotform.com/uploads/macarewecare/222927978372067/6394309663518366214/6394309663518366214_signature_31.png</t>
  </si>
  <si>
    <t>Iloilo Provincial Hospital</t>
  </si>
  <si>
    <t>Pototan, Iloilo</t>
  </si>
  <si>
    <t>djpragale92@gmail.com</t>
  </si>
  <si>
    <t xml:space="preserve">ASSAY: Xpert MTB/RIF Ultra, COUNT: 1560
ASSAY: Xpert HIV-1 Viral Load, COUNT: 3
</t>
  </si>
  <si>
    <t>Monitor Defective</t>
  </si>
  <si>
    <t>Nvision H22V8 21.5" LED Monitor
SN. H22V8VL658A250716588</t>
  </si>
  <si>
    <t>DR no. 13374</t>
  </si>
  <si>
    <t>https://www.jotform.com/uploads/macarewecare/222927978372067/6394265193123461742/6394265193123461742_signature_28.png</t>
  </si>
  <si>
    <t>Rachel Pragale</t>
  </si>
  <si>
    <t>https://www.jotform.com/uploads/macarewecare/222927978372067/6394265193123461742/6394265193123461742_signature_31.png</t>
  </si>
  <si>
    <t>https://www.jotform.com/uploads/macarewecare/222927978372067/6394262429747968071/6394262429747968071_signature_28.png</t>
  </si>
  <si>
    <t>https://www.jotform.com/uploads/macarewecare/222927978372067/6394262429747968071/6394262429747968071_signature_31.png</t>
  </si>
  <si>
    <t>lanoratory@loveyourself.ph</t>
  </si>
  <si>
    <t>https://www.jotform.com/uploads/macarewecare/222927978372067/6394261989742986886/6394261989742986886_signature_28.png</t>
  </si>
  <si>
    <t>https://www.jotform.com/uploads/macarewecare/222927978372067/6394261989742986886/6394261989742986886_signature_31.png</t>
  </si>
  <si>
    <t>Unit for installation
Unit for maintenance</t>
  </si>
  <si>
    <t>Installed unit</t>
  </si>
  <si>
    <t>- installed unit along with 2 other GX units via switch
- checked and cleaned cartridge bay, plunger rod, filter, icore slot
- generated reports
- performed self test</t>
  </si>
  <si>
    <t>https://www.jotform.com/uploads/macarewecare/222927978372067/6394261619746775891/6394261619746775891_signature_28.png</t>
  </si>
  <si>
    <t>https://www.jotform.com/uploads/macarewecare/222927978372067/6394261619746775891/6394261619746775891_signature_31.png</t>
  </si>
  <si>
    <t>Unit is operational
All modules failed calibration
All modules for reporting</t>
  </si>
  <si>
    <t>XpertCheck Kit
Lot: 1001436469
Exp. Date: 5-10-2026</t>
  </si>
  <si>
    <t>https://www.jotform.com/uploads/macarewecare/222927978372067/6394261199746157053/6394261199746157053_signature_28.png</t>
  </si>
  <si>
    <t>https://www.jotform.com/uploads/macarewecare/222927978372067/6394261199746157053/6394261199746157053_signature_31.png</t>
  </si>
  <si>
    <t>ellaine.gatchalian@medilinx.com.ph</t>
  </si>
  <si>
    <t xml:space="preserve">ASSAY: Xpert HBV VL, COUNT: 31
ASSAY: Xpert HPV, COUNT: 24
ASSAY: Xpert MTB/RIF Ultra, COUNT: 1186
</t>
  </si>
  <si>
    <t>Transferred the GeneXpert System</t>
  </si>
  <si>
    <t>Transferred the GeneXpert System to its original location. 
-GeneXpert unit
-Workstation
-barcode Scanner 
-Printer 
-UPS
Performed maintenance</t>
  </si>
  <si>
    <t>No additional testing needed.</t>
  </si>
  <si>
    <t>https://www.jotform.com/uploads/macarewecare/222927978372067/6394255513618680185/6394255513618680185_signature_28.png</t>
  </si>
  <si>
    <t>Ellaine Marie Gatchalian</t>
  </si>
  <si>
    <t>https://www.jotform.com/uploads/macarewecare/222927978372067/6394255513618680185/6394255513618680185_signature_31.png</t>
  </si>
  <si>
    <t>Calamba misamis occidental</t>
  </si>
  <si>
    <t xml:space="preserve">ASSAY: Xpert MTB/RIF Ultra, COUNT: 885
</t>
  </si>
  <si>
    <t>All modules are available angld ready to use.</t>
  </si>
  <si>
    <t>https://www.jotform.com/uploads/macarewecare/222927978372067/6394162888014213528/6394162888014213528_signature_28.png</t>
  </si>
  <si>
    <t>MARY-ibn E. PALUBON</t>
  </si>
  <si>
    <t>https://www.jotform.com/uploads/macarewecare/222927978372067/6394162888014213528/6394162888014213528_signature_31.png</t>
  </si>
  <si>
    <t>For maintenance 
Checked display 
Run simulation 
Verified calibration parameters 
Checked rotor pumps
Functionality test</t>
  </si>
  <si>
    <t>Display panel for replacement</t>
  </si>
  <si>
    <t>https://www.jotform.com/uploads/macarewecare/222927978372067/6393480613612256442/6393480613612256442_signature_28.png</t>
  </si>
  <si>
    <t>Jhan Edisel B. Castillo</t>
  </si>
  <si>
    <t>https://www.jotform.com/uploads/macarewecare/222927978372067/6393480613612256442/6393480613612256442_signature_31.png</t>
  </si>
  <si>
    <t>rpmercado92@gmail.com</t>
  </si>
  <si>
    <t>Performed maintenance 
Checked rotor pumps 
Verified calibration parameters 
Run simulation 
Functionality test</t>
  </si>
  <si>
    <t>https://www.jotform.com/uploads/macarewecare/222927978372067/6393480413616396370/6393480413616396370_signature_28.png</t>
  </si>
  <si>
    <t>https://www.jotform.com/uploads/macarewecare/222927978372067/6393480413616396370/6393480413616396370_signature_31.png</t>
  </si>
  <si>
    <t xml:space="preserve">ASSAY: Xpert BCR-ABL Ultra, COUNT: 56
ASSAY: Xpert CT/NG, COUNT: 75
ASSAY: Xpert HBV VL, COUNT: 624
ASSAY: Xpert HIV-1 Viral Load, COUNT: 1055
ASSAY: Xpert HPV, COUNT: 427
ASSAY: Xpert MTB/RIF Ultra, COUNT: 6731
ASSAY: Xpert MTB-XDR, COUNT: 5
ASSAY: Others, COUNT: 7
ASSAY: Xpert HCV VL, COUNT: 184
ASSAY: Xpress SARS-CoV-2_Flu_RSV plus, COUNT: 1311
</t>
  </si>
  <si>
    <t>Unit is operational. Module D1/210082300 not operational. For module replacement.</t>
  </si>
  <si>
    <t>https://www.jotform.com/uploads/macarewecare/222927978372067/6393480173619218886/6393480173619218886_signature_28.png</t>
  </si>
  <si>
    <t>https://www.jotform.com/uploads/macarewecare/222927978372067/6393480173619218886/6393480173619218886_signature_31.png</t>
  </si>
  <si>
    <t>https://www.jotform.com/uploads/macarewecare/222927978372067/6393479823616729936/6393479823616729936_signature_28.png</t>
  </si>
  <si>
    <t>https://www.jotform.com/uploads/macarewecare/222927978372067/6393479823616729936/6393479823616729936_signature_31.png</t>
  </si>
  <si>
    <t>https://www.jotform.com/uploads/macarewecare/222927978372067/6393479823616380753/6393479823616380753_signature_28.png</t>
  </si>
  <si>
    <t>https://www.jotform.com/uploads/macarewecare/222927978372067/6393479823616380753/6393479823616380753_signature_31.png</t>
  </si>
  <si>
    <t>https://www.jotform.com/uploads/macarewecare/222927978372067/6393479823617230031/6393479823617230031_signature_28.png</t>
  </si>
  <si>
    <t>https://www.jotform.com/uploads/macarewecare/222927978372067/6393479823617230031/6393479823617230031_signature_31.png</t>
  </si>
  <si>
    <t>University of The East Ramon Magsaysay Medical Center</t>
  </si>
  <si>
    <t>lpcomendador@uerm.edu.ph</t>
  </si>
  <si>
    <t>Unit is operational
Module B3 has temperature errors since 2024
Unit is overdue of calibration (March 21, 2025)
Unit is advised to be calibrated</t>
  </si>
  <si>
    <t>https://www.jotform.com/uploads/macarewecare/222927978372067/6393435770716992390/6393435770716992390_signature_28.png</t>
  </si>
  <si>
    <t>https://www.jotform.com/uploads/macarewecare/222927978372067/6393435770716992390/6393435770716992390_signature_31.png</t>
  </si>
  <si>
    <t>Circumferential road biasong dipolog city</t>
  </si>
  <si>
    <t>jz.ebron@yahoo.com.ph</t>
  </si>
  <si>
    <t>https://www.jotform.com/uploads/macarewecare/222927978372067/6393415590018400779/6393415590018400779_signature_28.png</t>
  </si>
  <si>
    <t>James Zebedee C. Ebron</t>
  </si>
  <si>
    <t>https://www.jotform.com/uploads/macarewecare/222927978372067/6393415590018400779/6393415590018400779_signature_31.png</t>
  </si>
  <si>
    <t>Biopath Clinical Diagnostics Inc</t>
  </si>
  <si>
    <t>Evidence Investigator</t>
  </si>
  <si>
    <t>E1-24820</t>
  </si>
  <si>
    <t>Cleaned unit
Checked and test camera alignment
Checked wear and tear parts 
Performed functionality test
Performed calibration</t>
  </si>
  <si>
    <t>https://www.jotform.com/uploads/macarewecare/222927978372067/6392907875425120311/6392907875425120311_signature_28.png</t>
  </si>
  <si>
    <t>https://www.jotform.com/uploads/macarewecare/222927978372067/6392907875425120311/6392907875425120311_signature_31.png</t>
  </si>
  <si>
    <t>Aurora Grand ,1005 Aurora Blvd QC</t>
  </si>
  <si>
    <t>052-23-0711</t>
  </si>
  <si>
    <t>Cleaned unit 
Checked and test lcd display
Checked motors
Checked all connection
Performed functionality test
Performed calibration</t>
  </si>
  <si>
    <t>https://www.jotform.com/uploads/macarewecare/222927978372067/6392905375423965207/6392905375423965207_signature_28.png</t>
  </si>
  <si>
    <t>https://www.jotform.com/uploads/macarewecare/222927978372067/6392905375423965207/6392905375423965207_signature_31.png</t>
  </si>
  <si>
    <t>molecularlab@phc.gov.ph</t>
  </si>
  <si>
    <t xml:space="preserve">ASSAY: Xpert MTB/RIF Ultra, COUNT: 347
ASSAY: Others, COUNT: 3
ASSAY: Xpert SARS-CoV-2, COUNT: 162
ASSAY: Xpert SARS-CoV-2, COUNT: 7
ASSAY: Xpress SARS-CoV-2_Flu_RSV plus, COUNT: 4
</t>
  </si>
  <si>
    <t>Due for maintenance and xpertcheck</t>
  </si>
  <si>
    <t>Performed maintenance and xpertcheck</t>
  </si>
  <si>
    <t>A1,A2,A3,A4,B1,B4,C1,C2,C4 Passed in xpertcheck.
B2,B3,C3 Failed in xpertcheck
D1,D2,D3,D4 xpertcheck not done insufficient cartridges</t>
  </si>
  <si>
    <t>https://www.jotform.com/uploads/macarewecare/222927978372067/6392900885427285364/6392900885427285364_signature_28.png</t>
  </si>
  <si>
    <t>https://www.jotform.com/uploads/macarewecare/222927978372067/6392900885427285364/6392900885427285364_signature_31.png</t>
  </si>
  <si>
    <t>De Los Santos Medical Center</t>
  </si>
  <si>
    <t>Molecular lab</t>
  </si>
  <si>
    <t>biomed@dlsmc.ph</t>
  </si>
  <si>
    <t>mndionisio@dlsmc.ph</t>
  </si>
  <si>
    <t xml:space="preserve">ASSAY: Xpert HBV VL, COUNT: 49
ASSAY: Xpert HPV, COUNT: 7
ASSAY: Xpert MTB/RIF Ultra, COUNT: 556
</t>
  </si>
  <si>
    <t>GX4 (10C)</t>
  </si>
  <si>
    <t>Due for maintenance
As per end user they encounter error 5007 in module 3</t>
  </si>
  <si>
    <t>B3 for reporting
B1,B2,B4 in use
Last xpertcheck performed 3/8/2024</t>
  </si>
  <si>
    <t>https://www.jotform.com/uploads/macarewecare/222927978372067/6392900025427931588/6392900025427931588_signature_28.png</t>
  </si>
  <si>
    <t>https://www.jotform.com/uploads/macarewecare/222927978372067/6392900025427931588/6392900025427931588_signature_31.png</t>
  </si>
  <si>
    <t xml:space="preserve">ASSAY: Xpert HBV VL, COUNT: 33
ASSAY: Xpert HPV, COUNT: 24
ASSAY: Xpert MTB/RIF Ultra, COUNT: 1191
</t>
  </si>
  <si>
    <t>For temporary relocation</t>
  </si>
  <si>
    <t>Relocated the GeneXpert system</t>
  </si>
  <si>
    <t>Transferred the GeneXpert System to other room
Performed maintenance 
Cleaned:
-Cartridge bay 
-Plunger rod
-Icore
-Filter 
Generated reports</t>
  </si>
  <si>
    <t>No additional testing required</t>
  </si>
  <si>
    <t>https://www.jotform.com/uploads/macarewecare/222927978372067/6392574758394078916/6392574758394078916_signature_28.png</t>
  </si>
  <si>
    <t>https://www.jotform.com/uploads/macarewecare/222927978372067/6392574758394078916/6392574758394078916_signature_31.png</t>
  </si>
  <si>
    <t>https://www.jotform.com/uploads/macarewecare/222927978372067/6392543702027264333/6392543702027264333_signature_28.png</t>
  </si>
  <si>
    <t>https://www.jotform.com/uploads/macarewecare/222927978372067/6392543702027264333/6392543702027264333_signature_31.png</t>
  </si>
  <si>
    <t>Sta Cruz Rural Health Unit</t>
  </si>
  <si>
    <t>Poblacion, Sta Cruz</t>
  </si>
  <si>
    <t>chendalagan72@gmail.com</t>
  </si>
  <si>
    <t>Replace the defective batteries with new batteries
Check the line voltages</t>
  </si>
  <si>
    <t>Perform UPS battery replacement</t>
  </si>
  <si>
    <t>Successfully changed the battery, UPS is working during battery mode
All Modules are operational</t>
  </si>
  <si>
    <t>https://www.jotform.com/uploads/macarewecare/222927978372067/6392522566325324989/6392522566325324989_signature_28.png</t>
  </si>
  <si>
    <t>Dorothy Dalagan,. RMT</t>
  </si>
  <si>
    <t>https://www.jotform.com/uploads/macarewecare/222927978372067/6392522566325324989/6392522566325324989_signature_31.png</t>
  </si>
  <si>
    <t>Teodoro B. Galagar District Hospital</t>
  </si>
  <si>
    <t>Jagna, Bohol</t>
  </si>
  <si>
    <t>Bohol</t>
  </si>
  <si>
    <t>venusaton4@gmail.com</t>
  </si>
  <si>
    <t>Gather data IQR, System log and assay stats
Clean Fan and Fan Filter
New installed module B3 sn 913026</t>
  </si>
  <si>
    <t>New installed module B3 sn 913026</t>
  </si>
  <si>
    <t>Systems operational
There are temperature error related occured in module B1</t>
  </si>
  <si>
    <t>https://www.jotform.com/uploads/macarewecare/222927978372067/6392479936914891614/6392479936914891614_signature_28.png</t>
  </si>
  <si>
    <t>Venus Aton</t>
  </si>
  <si>
    <t>https://www.jotform.com/uploads/macarewecare/222927978372067/6392479936914891614/6392479936914891614_signature_31.png</t>
  </si>
  <si>
    <t>Macare Medicals</t>
  </si>
  <si>
    <t>1005 Aurora Blvd., Quezon City</t>
  </si>
  <si>
    <t>Accupower</t>
  </si>
  <si>
    <t>AT1000</t>
  </si>
  <si>
    <t>AT1000190402ST0400</t>
  </si>
  <si>
    <t>Troubleshooting using good battery
Test back-up mode</t>
  </si>
  <si>
    <t>Unit not operational. For decommissioning</t>
  </si>
  <si>
    <t>https://www.jotform.com/uploads/macarewecare/222927978372067/6392474463619208708/6392474463619208708_signature_28.png</t>
  </si>
  <si>
    <t>https://www.jotform.com/uploads/macarewecare/222927978372067/6392474463619208708/6392474463619208708_signature_31.png</t>
  </si>
  <si>
    <t>AT1000211227ST0141</t>
  </si>
  <si>
    <t>https://www.jotform.com/uploads/macarewecare/222927978372067/6392472973618896051/6392472973618896051_signature_28.png</t>
  </si>
  <si>
    <t>https://www.jotform.com/uploads/macarewecare/222927978372067/6392472973618896051/6392472973618896051_signature_31.png</t>
  </si>
  <si>
    <t>AT1000180709ST0052</t>
  </si>
  <si>
    <t>https://www.jotform.com/uploads/macarewecare/222927978372067/6392471833615889536/6392471833615889536_signature_28.png</t>
  </si>
  <si>
    <t>https://www.jotform.com/uploads/macarewecare/222927978372067/6392471833615889536/6392471833615889536_signature_31.png</t>
  </si>
  <si>
    <t>AT1000180709ST0077</t>
  </si>
  <si>
    <t>https://www.jotform.com/uploads/macarewecare/222927978372067/6392470433616966534/6392470433616966534_signature_28.png</t>
  </si>
  <si>
    <t>https://www.jotform.com/uploads/macarewecare/222927978372067/6392470433616966534/6392470433616966534_signature_31.png</t>
  </si>
  <si>
    <t>Calabanga Rural Health Unit</t>
  </si>
  <si>
    <t>Poblacion, Calabanga</t>
  </si>
  <si>
    <t>martyarc11@yahoo.com</t>
  </si>
  <si>
    <t>CPU not powering on</t>
  </si>
  <si>
    <t>Repaired CPU
Data collected</t>
  </si>
  <si>
    <t>Unit is Operational 
All Gx 4-modules are Operational</t>
  </si>
  <si>
    <t>https://www.jotform.com/uploads/macarewecare/222927978372067/6391577563411789691/6391577563411789691_signature_28.png</t>
  </si>
  <si>
    <t>Marty R. Arcayera</t>
  </si>
  <si>
    <t>https://www.jotform.com/uploads/macarewecare/222927978372067/6391577563411789691/6391577563411789691_signature_31.png</t>
  </si>
  <si>
    <t>M. Santos St, Antipolo, Rizal</t>
  </si>
  <si>
    <t xml:space="preserve">ASSAY: Xpert MTB/RIF Ultra, COUNT: 6
ASSAY: Xpert MTB-XDR, COUNT: 98
ASSAY: Xpert HIV-1 Viral Load, COUNT: 725
</t>
  </si>
  <si>
    <t>Performed maintenance 
Cleaned:
-cartridge bay 
-plunger rod
-icore 
-filter 
Generated reports</t>
  </si>
  <si>
    <t>https://www.jotform.com/uploads/macarewecare/222927978372067/6391565883614762155/6391565883614762155_signature_28.png</t>
  </si>
  <si>
    <t>https://www.jotform.com/uploads/macarewecare/222927978372067/6391565883614762155/6391565883614762155_signature_31.png</t>
  </si>
  <si>
    <t xml:space="preserve">ASSAY: Xpert CT/NG, COUNT: 2
ASSAY: Xpert HBV VL, COUNT: 12
ASSAY: Xpert MTB/RIF Ultra, COUNT: 251
ASSAY: Xpert HIV-1 Viral Load, COUNT: 18
</t>
  </si>
  <si>
    <t>https://www.jotform.com/uploads/macarewecare/222927978372067/6391565723611647181/6391565723611647181_signature_28.png</t>
  </si>
  <si>
    <t>https://www.jotform.com/uploads/macarewecare/222927978372067/6391565723611647181/6391565723611647181_signature_31.png</t>
  </si>
  <si>
    <t>https://www.jotform.com/uploads/macarewecare/222927978372067/6391565493613451010/6391565493613451010_signature_28.png</t>
  </si>
  <si>
    <t>https://www.jotform.com/uploads/macarewecare/222927978372067/6391565493613451010/6391565493613451010_signature_31.png</t>
  </si>
  <si>
    <t>https://www.jotform.com/uploads/macarewecare/222927978372067/6391565293616359453/6391565293616359453_signature_28.png</t>
  </si>
  <si>
    <t>https://www.jotform.com/uploads/macarewecare/222927978372067/6391565293616359453/6391565293616359453_signature_31.png</t>
  </si>
  <si>
    <t>https://www.jotform.com/uploads/macarewecare/222927978372067/6391565103615681802/6391565103615681802_signature_28.png</t>
  </si>
  <si>
    <t>https://www.jotform.com/uploads/macarewecare/222927978372067/6391565103615681802/6391565103615681802_signature_31.png</t>
  </si>
  <si>
    <t>Dr. García St, Sumilang, Pasig City</t>
  </si>
  <si>
    <t>marcabapo@gmail.com</t>
  </si>
  <si>
    <t xml:space="preserve">ASSAY: Xpert HIV-1 Viral Load, COUNT: 596
</t>
  </si>
  <si>
    <t>Error 2014 on module A2</t>
  </si>
  <si>
    <t>Performed maintenance 
Checked module 
Cleaned:
-Cartridge bay 
-Plunger rod 
-Icore
-filter 
Generated reports</t>
  </si>
  <si>
    <t>Unit is operational. All modules operational. Module A2 under observation.</t>
  </si>
  <si>
    <t>https://www.jotform.com/uploads/macarewecare/222927978372067/6391562163612341742/6391562163612341742_signature_28.png</t>
  </si>
  <si>
    <t>Marc francis R. Abapo, RN</t>
  </si>
  <si>
    <t>https://www.jotform.com/uploads/macarewecare/222927978372067/6391562163612341742/6391562163612341742_signature_31.png</t>
  </si>
  <si>
    <t>Champ building, Pasig City</t>
  </si>
  <si>
    <t>pasigtreatment@gmail.com</t>
  </si>
  <si>
    <t xml:space="preserve">ASSAY: Xpert HIV-1 Viral Load, COUNT: 646
</t>
  </si>
  <si>
    <t>Module B3 for replacement.</t>
  </si>
  <si>
    <t>Performed maintenance 
Replaced module B3
Cleaned:
-Cartridge bay 
-Plunger rod 
-Icore 
-Filter 
Generated reports</t>
  </si>
  <si>
    <t>Old: B3/210129340
New: B3/210001991</t>
  </si>
  <si>
    <t>DR# 13494</t>
  </si>
  <si>
    <t>https://www.jotform.com/uploads/macarewecare/222927978372067/6391562163615301777/6391562163615301777_signature_28.png</t>
  </si>
  <si>
    <t>Pasig Treatment Hub</t>
  </si>
  <si>
    <t>https://www.jotform.com/uploads/macarewecare/222927978372067/6391562163615301777/6391562163615301777_signature_31.png</t>
  </si>
  <si>
    <t>1005,Aurora Blvd.</t>
  </si>
  <si>
    <t>G 8013</t>
  </si>
  <si>
    <t>https://www.jotform.com/uploads/macarewecare/222927978372067/6391502823613588379/6391502823613588379_signature_28.png</t>
  </si>
  <si>
    <t>https://www.jotform.com/uploads/macarewecare/222927978372067/6391502823613588379/6391502823613588379_signature_31.png</t>
  </si>
  <si>
    <t>Unit is operational
Modules B1, B2, B3 awaiting for module allocation</t>
  </si>
  <si>
    <t>https://www.jotform.com/uploads/macarewecare/222927978372067/6389001497919255270/6389001497919255270_signature_28.png</t>
  </si>
  <si>
    <t>https://www.jotform.com/uploads/macarewecare/222927978372067/6389001497919255270/6389001497919255270_signature_31.png</t>
  </si>
  <si>
    <t xml:space="preserve">ASSAY: Xpert BCR-ABL Ultra, COUNT: 10
ASSAY: Xpert CT/NG, COUNT: 67
ASSAY: Xpert HBV VL, COUNT: 186
ASSAY: Xpert HPV, COUNT: 210
ASSAY: Xpert HIV-1 Viral Load, COUNT: 167
ASSAY: Xpert MTB/RIF Ultra, COUNT: 1205
ASSAY: Others, COUNT: 92
</t>
  </si>
  <si>
    <t>Cleaned Cartridge Bay, Plunger Rod and Icore Optics.
Cleaned Filter.
Performed Self-test.
Generate Reports.</t>
  </si>
  <si>
    <t>Modules 1,3 and 4 are in good condition.
Module 2 with 2014 error for replacement.</t>
  </si>
  <si>
    <t>https://www.jotform.com/uploads/macarewecare/222927978372067/6388963191782086866/6388963191782086866_signature_28.png</t>
  </si>
  <si>
    <t>Alyssa Galang</t>
  </si>
  <si>
    <t>https://www.jotform.com/uploads/macarewecare/222927978372067/6388963191782086866/6388963191782086866_signature_31.png</t>
  </si>
  <si>
    <t>Romblon District Hospital</t>
  </si>
  <si>
    <t>Romblon,Romblon</t>
  </si>
  <si>
    <t>Romblon</t>
  </si>
  <si>
    <t>rdhlab5500@gmail.com</t>
  </si>
  <si>
    <t xml:space="preserve">ASSAY: Xpert MTB/RIF Ultra, COUNT: 636
</t>
  </si>
  <si>
    <t>All Modules are Operational.
GX System is Okay.</t>
  </si>
  <si>
    <t>https://www.jotform.com/uploads/macarewecare/222927978372067/6388963191785295524/6388963191785295524_signature_28.png</t>
  </si>
  <si>
    <t>SHEILAH MAE R. PUNAY</t>
  </si>
  <si>
    <t>https://www.jotform.com/uploads/macarewecare/222927978372067/6388963191785295524/6388963191785295524_signature_31.png</t>
  </si>
  <si>
    <t>Dasmariñas City Health Office II</t>
  </si>
  <si>
    <t>DBB-E , Dasmariñas City, Cavite</t>
  </si>
  <si>
    <t xml:space="preserve">ASSAY: Xpert MTB/RIF Ultra, COUNT: 3427
</t>
  </si>
  <si>
    <t>B2 with Temperature Error.
Unit is due for Maintenance.</t>
  </si>
  <si>
    <t>Cleaned Cartridge Bay, Plunger Rod and Icore Optics.
Checked Filter if Clogged.
Replaced Module 2.
Performed Self-test.
Generate Reports.</t>
  </si>
  <si>
    <t>Module 2 Newly Replaced.
B1, B3, B4 - Good Condition.</t>
  </si>
  <si>
    <t>B2: Old(638084) -&gt; New(897828)</t>
  </si>
  <si>
    <t>DR 13473</t>
  </si>
  <si>
    <t>https://www.jotform.com/uploads/macarewecare/222927978372067/6388963191788138417/6388963191788138417_signature_28.png</t>
  </si>
  <si>
    <t>https://www.jotform.com/uploads/macarewecare/222927978372067/6388963191788138417/6388963191788138417_signature_31.png</t>
  </si>
  <si>
    <t>Bloodbank Service Unit (Sub-National)</t>
  </si>
  <si>
    <t>Red valve out of position problem persisting during platelet procedure.</t>
  </si>
  <si>
    <t>For replacement pneumatic assembly unit of the MCS+.</t>
  </si>
  <si>
    <t>Troubleshoot and check pneumatic assembly unit.</t>
  </si>
  <si>
    <t>Machine is under repair for replacement of pneumatic assembly unit.</t>
  </si>
  <si>
    <t>https://www.jotform.com/uploads/macarewecare/222927978372067/6388454330616500042/6388454330616500042_signature_28.png</t>
  </si>
  <si>
    <t>https://www.jotform.com/uploads/macarewecare/222927978372067/6388454330616500042/6388454330616500042_signature_31.png</t>
  </si>
  <si>
    <t>ronacarmelamdl@gmail.com</t>
  </si>
  <si>
    <t>13B243</t>
  </si>
  <si>
    <t>Unit for check up
AC Pump error</t>
  </si>
  <si>
    <t>Temporary replaced AC Pump rotor roller</t>
  </si>
  <si>
    <t>- checked rotor roller pumps (worn out AC pump rubbers)
- checked calibration parameters (adjusted bowl offset from 200 to 25)
- performed self test</t>
  </si>
  <si>
    <t>Unit is operational
Rotor roller rubbers for replacement</t>
  </si>
  <si>
    <t>https://www.jotform.com/uploads/macarewecare/222927978372067/6388362597915583723/6388362597915583723_signature_28.png</t>
  </si>
  <si>
    <t>Rona Carmela M. De Luna</t>
  </si>
  <si>
    <t>https://www.jotform.com/uploads/macarewecare/222927978372067/6388362597915583723/6388362597915583723_signature_31.png</t>
  </si>
  <si>
    <t>Rizal Dr. BGC, Taguig City</t>
  </si>
  <si>
    <t>alegalit@stlukes.com.ph</t>
  </si>
  <si>
    <t>Limusave MT-7500</t>
  </si>
  <si>
    <t>Performed maintenance 
Cleaned instrument surface 
Checked filter
Functionality test</t>
  </si>
  <si>
    <t>https://www.jotform.com/uploads/macarewecare/222927978372067/6388256403611008081/6388256403611008081_signature_28.png</t>
  </si>
  <si>
    <t>Antoniela Leih Galit</t>
  </si>
  <si>
    <t>https://www.jotform.com/uploads/macarewecare/222927978372067/6388256403611008081/6388256403611008081_signature_31.png</t>
  </si>
  <si>
    <t xml:space="preserve">ASSAY: Xpert BCR-ABL Ultra, COUNT: 37
ASSAY: Xpert CT/NG, COUNT: 170
ASSAY: Xpert HBV VL, COUNT: 55
ASSAY: Xpert HPV, COUNT: 310
ASSAY: Xpert MTB/RIF Ultra, COUNT: 663
ASSAY: Xpert HCV VL, COUNT: 14
ASSAY: Xpert HIV-1 Viral Load, COUNT: 142
</t>
  </si>
  <si>
    <t>Performed maintenance
Cleaned: 
-Cartridge bay 
-Plunger rod 
-Icore 
-Filter 
Generated reports</t>
  </si>
  <si>
    <t>Unit is operational. All modules operational. Module A2/866696 has error 1001. For reporting.</t>
  </si>
  <si>
    <t>https://www.jotform.com/uploads/macarewecare/222927978372067/6388256403615573626/6388256403615573626_signature_28.png</t>
  </si>
  <si>
    <t>Joshua Allen V. Aya-Ay/ Vincent-Raquiza Dy Jr.</t>
  </si>
  <si>
    <t>https://www.jotform.com/uploads/macarewecare/222927978372067/6388256403615573626/6388256403615573626_signature_31.png</t>
  </si>
  <si>
    <t>Rizal Dr, BGC -; Taguig City</t>
  </si>
  <si>
    <t>bloodbank.bgc@stlukes.com.ph</t>
  </si>
  <si>
    <t>Performed maintenance 
Checked rotor pumps 
Verified calibration parameters 
Functionality test</t>
  </si>
  <si>
    <t>https://www.jotform.com/uploads/macarewecare/222927978372067/6388256403618544346/6388256403618544346_signature_28.png</t>
  </si>
  <si>
    <t>Aliah Yvonne Carandang</t>
  </si>
  <si>
    <t>https://www.jotform.com/uploads/macarewecare/222927978372067/6388256403618544346/6388256403618544346_signature_31.png</t>
  </si>
  <si>
    <t xml:space="preserve">ASSAY: Xpert BCR-ABL Ultra, COUNT: 168
ASSAY: Xpert CT/NG, COUNT: 599
ASSAY: Others, COUNT: 7
ASSAY: Xpert HBV VL, COUNT: 125
ASSAY: Xpert HPV, COUNT: 904
ASSAY: Xpert MTB/RIF Ultra, COUNT: 2297
ASSAY: Xpert MTB-XDR, COUNT: 20
ASSAY: Xpert HCV VL, COUNT: 39
ASSAY: Xpert HIV-1 Viral Load, COUNT: 330
</t>
  </si>
  <si>
    <t>https://www.jotform.com/uploads/macarewecare/222927978372067/6388256403619993561/6388256403619993561_signature_28.png</t>
  </si>
  <si>
    <t>https://www.jotform.com/uploads/macarewecare/222927978372067/6388256403619993561/6388256403619993561_signature_31.png</t>
  </si>
  <si>
    <t>Manila Central University</t>
  </si>
  <si>
    <t>Unit is operational
All modules passed the calibration</t>
  </si>
  <si>
    <t>XpertCheck Kit 
Lot: 1001480606
Expiry Date: 3-21-27</t>
  </si>
  <si>
    <t>https://www.jotform.com/uploads/macarewecare/222927978372067/6388239017913461769/6388239017913461769_signature_28.png</t>
  </si>
  <si>
    <t>https://www.jotform.com/uploads/macarewecare/222927978372067/6388239017913461769/6388239017913461769_signature_31.png</t>
  </si>
  <si>
    <t>Laoang Rural Health Unit</t>
  </si>
  <si>
    <t>Laoang northern Samar</t>
  </si>
  <si>
    <t>rosarioadarayan26@gmail.com</t>
  </si>
  <si>
    <t xml:space="preserve">ASSAY: Xpert MTB/RIF Ultra, COUNT: 1093
</t>
  </si>
  <si>
    <t>Module B1/ 807336 Defective</t>
  </si>
  <si>
    <t>-Module B1 replacement SN: 877387
- Preventive Maintenance</t>
  </si>
  <si>
    <t>Unit is Operational 
- Module B4 defective reported to PBSP</t>
  </si>
  <si>
    <t>https://www.jotform.com/uploads/macarewecare/222927978372067/6388175780524954340/6388175780524954340_signature_28.png</t>
  </si>
  <si>
    <t>Rosario B.Adarayan</t>
  </si>
  <si>
    <t>https://www.jotform.com/uploads/macarewecare/222927978372067/6388175780524954340/6388175780524954340_signature_31.png</t>
  </si>
  <si>
    <t>Calamba City Health Office</t>
  </si>
  <si>
    <t>glennmacauba22@gmail.com</t>
  </si>
  <si>
    <t>Unit for preventive maintenance
For module replacement of module B1.</t>
  </si>
  <si>
    <t>GX module B1 (210004539) in replacement to defective module B1 (739631).</t>
  </si>
  <si>
    <t>DR#13474</t>
  </si>
  <si>
    <t>https://www.jotform.com/uploads/macarewecare/222927978372067/6388160508511621984/6388160508511621984_signature_28.png</t>
  </si>
  <si>
    <t>Glenn A. Macauba</t>
  </si>
  <si>
    <t>https://www.jotform.com/uploads/macarewecare/222927978372067/6388160508511621984/6388160508511621984_signature_31.png</t>
  </si>
  <si>
    <t>SILLIMAN UNIVERSITY MEDICAL CENTER FOUNDATION, INC.</t>
  </si>
  <si>
    <t>Dumaguete City</t>
  </si>
  <si>
    <t>bangalando23@gmail.com</t>
  </si>
  <si>
    <t xml:space="preserve">ASSAY: Xpert BCR-ABL Ultra, COUNT: 12
ASSAY: Xpert C. difficile BT, COUNT: 12
ASSAY: Xpert CT/NG, COUNT: 75
ASSAY: Xpert HBV VL, COUNT: 183
ASSAY: Xpert HPV, COUNT: 269
ASSAY: Xpert MTB/RIF Ultra, COUNT: 659
ASSAY: Xpert SARS-CoV-2, COUNT: 12
ASSAY: Xpert HCV VL, COUNT: 66
ASSAY: Xpert HIV-1 Viral Load, COUNT: 13
</t>
  </si>
  <si>
    <t>E2126, Communication Lost Errors, Module Reset for A1 and A4</t>
  </si>
  <si>
    <t>A1  A3, A4 - operational
A2 - for replacement, module for purchase</t>
  </si>
  <si>
    <t>https://www.jotform.com/uploads/macarewecare/222927978372067/6388097393571908182/6388097393571908182_signature_28.png</t>
  </si>
  <si>
    <t>SUMCFI MOLECULAR LABORATORY</t>
  </si>
  <si>
    <t>https://www.jotform.com/uploads/macarewecare/222927978372067/6388097393571908182/6388097393571908182_signature_31.png</t>
  </si>
  <si>
    <t>U. n. Ave., Manila</t>
  </si>
  <si>
    <t>https://www.jotform.com/uploads/macarewecare/222927978372067/6387403599119145103/6387403599119145103_signature_28.png</t>
  </si>
  <si>
    <t>Kaye martelino</t>
  </si>
  <si>
    <t>https://www.jotform.com/uploads/macarewecare/222927978372067/6387403599119145103/6387403599119145103_signature_31.png</t>
  </si>
  <si>
    <t>https://www.jotform.com/uploads/macarewecare/222927978372067/6387306446541977121/6387306446541977121_signature_28.png</t>
  </si>
  <si>
    <t>https://www.jotform.com/uploads/macarewecare/222927978372067/6387306446541977121/6387306446541977121_signature_31.png</t>
  </si>
  <si>
    <t>https://www.jotform.com/uploads/macarewecare/222927978372067/6387306026549351706/6387306026549351706_signature_28.png</t>
  </si>
  <si>
    <t>https://www.jotform.com/uploads/macarewecare/222927978372067/6387306026549351706/6387306026549351706_signature_31.png</t>
  </si>
  <si>
    <t xml:space="preserve">ASSAY: Xpert MTB/RIF Ultra, COUNT: 1182
ASSAY: Xpert HIV-1 Viral Load, COUNT: 13
ASSAY: Xpert MTB-XDR, COUNT: 1
</t>
  </si>
  <si>
    <t>Perform Genexpert cleaning and maintenance 
Module cleaning 
Plunger rod and Optics cleaning 
Fan and filter cleaning 
Checking of module status and errors
Data collection</t>
  </si>
  <si>
    <t>https://www.jotform.com/uploads/macarewecare/222927978372067/6387106217329189628/6387106217329189628_signature_28.png</t>
  </si>
  <si>
    <t>February jen apiado</t>
  </si>
  <si>
    <t>https://www.jotform.com/uploads/macarewecare/222927978372067/6387106217329189628/6387106217329189628_signature_31.png</t>
  </si>
  <si>
    <t>Due for calibration and maintenance</t>
  </si>
  <si>
    <t>Cleaned unit
Checked rollers
Checked and test tube sensor
Checked and test keypad and lcd display.
Checked program parameters
Performed functionality test</t>
  </si>
  <si>
    <t>https://www.jotform.com/uploads/macarewecare/222927978372067/6386404063617028517/6386404063617028517_signature_28.png</t>
  </si>
  <si>
    <t>https://www.jotform.com/uploads/macarewecare/222927978372067/6386404063617028517/6386404063617028517_signature_31.png</t>
  </si>
  <si>
    <t>Apheresis rm</t>
  </si>
  <si>
    <t>Due for calibration and maintenance
Urethane rollers slight worn out</t>
  </si>
  <si>
    <t>Cleaned unit
Checked program parameters
Checked and adjust line sensor value
Checked rollers,dpm,spm,centrifuge,weigher
Performed functionality test
Performed simulation running</t>
  </si>
  <si>
    <t>https://www.jotform.com/uploads/macarewecare/222927978372067/6386403473614310846/6386403473614310846_signature_28.png</t>
  </si>
  <si>
    <t>https://www.jotform.com/uploads/macarewecare/222927978372067/6386403473614310846/6386403473614310846_signature_31.png</t>
  </si>
  <si>
    <t>Due for Calibration and Maintenance
Urethane rollers slight worn out</t>
  </si>
  <si>
    <t>Cleaned unit
Checked program parameters
Checked and adjust line sensor value
Checked rollers,dpm,spm,centrifuge,weigher
Performed calibration
Performed functionality test
Performed simulation running</t>
  </si>
  <si>
    <t>https://www.jotform.com/uploads/macarewecare/222927978372067/6386403003617629483/6386403003617629483_signature_28.png</t>
  </si>
  <si>
    <t>https://www.jotform.com/uploads/macarewecare/222927978372067/6386403003617629483/6386403003617629483_signature_31.png</t>
  </si>
  <si>
    <t>Maluso rural health unit</t>
  </si>
  <si>
    <t>Maluso, basilan</t>
  </si>
  <si>
    <t>sharminahussin@gmail.com</t>
  </si>
  <si>
    <t xml:space="preserve">ASSAY: Xpert MTB/RIF Ultra, COUNT: 597
</t>
  </si>
  <si>
    <t>Module 1 temperature errors.</t>
  </si>
  <si>
    <t>Replaced defective module 863146 with new module 761436. Conducted preventive maitenance.</t>
  </si>
  <si>
    <t>Replaced module 1 and conducted preventive maintenance.</t>
  </si>
  <si>
    <t>All modules are working and ready to use.</t>
  </si>
  <si>
    <t>900-041RS</t>
  </si>
  <si>
    <t>https://www.jotform.com/uploads/macarewecare/222927978372067/6386399097165893097/6386399097165893097_signature_28.png</t>
  </si>
  <si>
    <t>Mudzna D.Salihuddin</t>
  </si>
  <si>
    <t>https://www.jotform.com/uploads/macarewecare/222927978372067/6386399097165893097/6386399097165893097_signature_31.png</t>
  </si>
  <si>
    <t>mcho.laboratory102018@gmail.com</t>
  </si>
  <si>
    <t xml:space="preserve">ASSAY: Xpert MTB/RIF Ultra, COUNT: 468
ASSAY: Xpert MTB-XDR, COUNT: 25
ASSAY: Xpert HIV-1 Viral Load, COUNT: 267
</t>
  </si>
  <si>
    <t>Performed maintenance 
Cleaned:
-Cartridge bay 
-Plunger rod
-Icore 
-Filter
Generated reports</t>
  </si>
  <si>
    <t>https://www.jotform.com/uploads/macarewecare/222927978372067/6386345463612486860/6386345463612486860_signature_28.png</t>
  </si>
  <si>
    <t>Monica Sarmiento</t>
  </si>
  <si>
    <t>https://www.jotform.com/uploads/macarewecare/222927978372067/6386345463612486860/6386345463612486860_signature_31.png</t>
  </si>
  <si>
    <t xml:space="preserve">ASSAY: Xpert MTB/RIF Ultra, COUNT: 465
ASSAY: Xpert MTB-XDR, COUNT: 25
ASSAY: Xpert HIV-1 Viral Load, COUNT: 452
</t>
  </si>
  <si>
    <t>https://www.jotform.com/uploads/macarewecare/222927978372067/6386345463614142484/6386345463614142484_signature_28.png</t>
  </si>
  <si>
    <t>https://www.jotform.com/uploads/macarewecare/222927978372067/6386345463614142484/6386345463614142484_signature_31.png</t>
  </si>
  <si>
    <t>almuetebianca1@mail.com</t>
  </si>
  <si>
    <t xml:space="preserve">ASSAY: Xpert HBV VL, COUNT: 12
ASSAY: Xpert HPV, COUNT: 1
ASSAY: Xpert MTB/RIF Ultra, COUNT: 203
ASSAY: Xpert HIV-1 Viral Load, COUNT: 16
</t>
  </si>
  <si>
    <t>https://www.jotform.com/uploads/macarewecare/222927978372067/6386345463614688742/6386345463614688742_signature_28.png</t>
  </si>
  <si>
    <t>Bianca Almuete</t>
  </si>
  <si>
    <t>https://www.jotform.com/uploads/macarewecare/222927978372067/6386345463614688742/6386345463614688742_signature_31.png</t>
  </si>
  <si>
    <t>St. Luke’s Extension Clinic</t>
  </si>
  <si>
    <t>Bocobo St., Ermita, Manila</t>
  </si>
  <si>
    <t>plosbanos@macare.medicals.com</t>
  </si>
  <si>
    <t>Gx Infinity</t>
  </si>
  <si>
    <t>-&gt; Unit for xpertcheck</t>
  </si>
  <si>
    <t>-&gt; None</t>
  </si>
  <si>
    <t>-&gt; Performed preventive maintenance cleaning
-&gt; Performed xpertcheck</t>
  </si>
  <si>
    <t>-&gt; unit is operational
-&gt; modules E3, F3, F4 passed xpertcheck
-&gt; modules E4, F2, G2, G3 failed xpertcheck</t>
  </si>
  <si>
    <t>-&gt; xpertcheck x2</t>
  </si>
  <si>
    <t>DR13470</t>
  </si>
  <si>
    <t>https://www.jotform.com/uploads/macarewecare/222927978372067/6383165598483577782/6383165598483577782_signature_28.png</t>
  </si>
  <si>
    <t>MA. SARAH R. SALVADOR</t>
  </si>
  <si>
    <t>https://www.jotform.com/uploads/macarewecare/222927978372067/6383165598483577782/6383165598483577782_signature_31.png</t>
  </si>
  <si>
    <t>J Bocobo St, Ermita</t>
  </si>
  <si>
    <t xml:space="preserve">CALIBRATION
MAINTENANCE
</t>
  </si>
  <si>
    <t>Unit for XpertCheck</t>
  </si>
  <si>
    <t>Performed preventive maintenance cleaning 
Performed XpertCheck</t>
  </si>
  <si>
    <t>Unit is operational, all modules passed XpertCheck</t>
  </si>
  <si>
    <t>https://www.jotform.com/uploads/macarewecare/222927978372067/6382951670937940978/6382951670937940978_signature_28.png</t>
  </si>
  <si>
    <t>Lexanne Krysshia Par</t>
  </si>
  <si>
    <t>https://www.jotform.com/uploads/macarewecare/222927978372067/6382951670937940978/6382951670937940978_signature_31.png</t>
  </si>
  <si>
    <t>J Bocobo St., Ermita</t>
  </si>
  <si>
    <t>Performed preventive maintenance cleaning
Performed XpertCheck</t>
  </si>
  <si>
    <t>https://www.jotform.com/uploads/macarewecare/222927978372067/6382950590939240113/6382950590939240113_signature_28.png</t>
  </si>
  <si>
    <t>https://www.jotform.com/uploads/macarewecare/222927978372067/6382950590939240113/6382950590939240113_signature_31.png</t>
  </si>
  <si>
    <t>GX IV</t>
  </si>
  <si>
    <t>Unit for xpertcheck</t>
  </si>
  <si>
    <t>none</t>
  </si>
  <si>
    <t>-&gt; performed preventive maintenance cleaning
-&gt; performed xpertcheck</t>
  </si>
  <si>
    <t>unit is operational, all modules passed xpertcheck</t>
  </si>
  <si>
    <t>https://www.jotform.com/uploads/macarewecare/222927978372067/6382950278488237308/6382950278488237308_signature_28.png</t>
  </si>
  <si>
    <t>https://www.jotform.com/uploads/macarewecare/222927978372067/6382950278488237308/6382950278488237308_signature_31.png</t>
  </si>
  <si>
    <t>Biopath QC</t>
  </si>
  <si>
    <t xml:space="preserve">ASSAY: Xpert CT/NG, COUNT: 38
ASSAY: Others, COUNT: 1
ASSAY: Xpert HPV, COUNT: 75
ASSAY: Xpert MTB/RIF Ultra, COUNT: 17
ASSAY: Others, COUNT: 7
ASSAY: Xpert SARS-CoV-2, COUNT: 16
ASSAY: Xpert HCV VL, COUNT: 1
</t>
  </si>
  <si>
    <t>GX16 D</t>
  </si>
  <si>
    <t>A1,A4,B2,B4,C2,D2 failed xpertcheck disabled
A3 hardware failure disabled
A2,B1,B3,C1,C3,C4,D1,D3,D4</t>
  </si>
  <si>
    <t>https://www.jotform.com/uploads/macarewecare/222927978372067/6382846042625508406/6382846042625508406_signature_28.png</t>
  </si>
  <si>
    <t>Rhenee Lao Castillo</t>
  </si>
  <si>
    <t>https://www.jotform.com/uploads/macarewecare/222927978372067/6382846042625508406/6382846042625508406_signature_31.png</t>
  </si>
  <si>
    <t>Masikap st., QC</t>
  </si>
  <si>
    <t>bestdiagnosticlaboratory@gmail.com</t>
  </si>
  <si>
    <t xml:space="preserve">ASSAY: Xpert CT/NG, COUNT: 1
ASSAY: Xpert HBV VL, COUNT: 11
ASSAY: Xpert MTB/RIF Ultra, COUNT: 2
ASSAY: Xpert HCV VL, COUNT: 2
</t>
  </si>
  <si>
    <t>Operational
Last xpertcheck 2/7/2024</t>
  </si>
  <si>
    <t>https://www.jotform.com/uploads/macarewecare/222927978372067/6382845392629015456/6382845392629015456_signature_28.png</t>
  </si>
  <si>
    <t>https://www.jotform.com/uploads/macarewecare/222927978372067/6382845392629015456/6382845392629015456_signature_31.png</t>
  </si>
  <si>
    <t>https://www.jotform.com/uploads/macarewecare/222927978372067/6382162144408474580/6382162144408474580_signature_28.png</t>
  </si>
  <si>
    <t>https://www.jotform.com/uploads/macarewecare/222927978372067/6382162144408474580/6382162144408474580_signature_31.png</t>
  </si>
  <si>
    <t>Due for maintenance
Urethane rollers need to be replace slight worn out</t>
  </si>
  <si>
    <t>For quotation urethane roller
Unit still can be used</t>
  </si>
  <si>
    <t>https://www.jotform.com/uploads/macarewecare/222927978372067/6382084883313821465/6382084883313821465_signature_28.png</t>
  </si>
  <si>
    <t>Kristia Mae Bigornia</t>
  </si>
  <si>
    <t>https://www.jotform.com/uploads/macarewecare/222927978372067/6382084883313821465/6382084883313821465_signature_31.png</t>
  </si>
  <si>
    <t xml:space="preserve">ASSAY: Xpert CT/NG, COUNT: 1100
ASSAY: Xpert HBV VL, COUNT: 68
ASSAY: Xpert HPV, COUNT: 82
ASSAY: Xpert SARS-CoV-2, COUNT: 658
ASSAY: Xpert SARS-CoV-2, COUNT: 127
ASSAY: Xpert HIV-1 Viral Load, COUNT: 11
ASSAY: Xpress SARS-CoV-2_Flu_RSV plus, COUNT: 518
</t>
  </si>
  <si>
    <t>GX4D 10C</t>
  </si>
  <si>
    <t>Cleaned unit
Cleaned plunger rod,filter,icore,cartridge bay
Gathered reports
Back files
Test run unit</t>
  </si>
  <si>
    <t>https://www.jotform.com/uploads/macarewecare/222927978372067/6382084383314599115/6382084383314599115_signature_28.png</t>
  </si>
  <si>
    <t>Christelle Kimberly Cruz</t>
  </si>
  <si>
    <t>https://www.jotform.com/uploads/macarewecare/222927978372067/6382084383314599115/6382084383314599115_signature_31.png</t>
  </si>
  <si>
    <t>Governor Generoso Municipal Health Office</t>
  </si>
  <si>
    <t>Poblacion, Governor Generoso</t>
  </si>
  <si>
    <t>josephmagallanes72@gmail.com</t>
  </si>
  <si>
    <t xml:space="preserve">ASSAY: Xpert MTB/RIF Ultra, COUNT: 459
</t>
  </si>
  <si>
    <t>Module B2 encounter multiple errors
For Preventive Maintenance</t>
  </si>
  <si>
    <t>Replace the defective Module SN: 615764 with new module SN:912461
Clean Surface Area, Cartridge Bay, Plunger Rod, Fan Filters and Icore Lenses
Generate IQR, Assay Stat and System Log</t>
  </si>
  <si>
    <t>GeneXpert Module 6C</t>
  </si>
  <si>
    <t>DR NO. 13406</t>
  </si>
  <si>
    <t>https://www.jotform.com/uploads/macarewecare/222927978372067/6381348532912919917/6381348532912919917_signature_28.png</t>
  </si>
  <si>
    <t>Charlene Magallanes,. RMT</t>
  </si>
  <si>
    <t>https://www.jotform.com/uploads/macarewecare/222927978372067/6381348532912919917/6381348532912919917_signature_31.png</t>
  </si>
  <si>
    <t>Unit for preventive maintenance.
Unit for calibration.</t>
  </si>
  <si>
    <t>Preventive maintenance and calibration.</t>
  </si>
  <si>
    <t>Performed Calibration.
Performed Preventive Maintenance.
Checked and cleaned rotor pumps.
Verified calibration parameters.
Performed simulation running.</t>
  </si>
  <si>
    <t>https://www.jotform.com/uploads/macarewecare/222927978372067/6381255464119007467/6381255464119007467_signature_28.png</t>
  </si>
  <si>
    <t>Matromanrey M. Castro</t>
  </si>
  <si>
    <t>https://www.jotform.com/uploads/macarewecare/222927978372067/6381255464119007467/6381255464119007467_signature_31.png</t>
  </si>
  <si>
    <t>cghoncolab@gmail.com</t>
  </si>
  <si>
    <t>https://www.jotform.com/uploads/macarewecare/222927978372067/6381231433917188431/6381231433917188431_signature_28.png</t>
  </si>
  <si>
    <t>SANDRA ABIGAIL CLARIDAD</t>
  </si>
  <si>
    <t>https://www.jotform.com/uploads/macarewecare/222927978372067/6381231433917188431/6381231433917188431_signature_31.png</t>
  </si>
  <si>
    <t>cgh_clinicalpathology@yahoo.com</t>
  </si>
  <si>
    <t>Unit is operational. For schedule of transfer the system to Molecular laboratory.</t>
  </si>
  <si>
    <t>https://www.jotform.com/uploads/macarewecare/222927978372067/6381221523919363255/6381221523919363255_signature_28.png</t>
  </si>
  <si>
    <t>Maria Odessa R. Mallillin</t>
  </si>
  <si>
    <t>https://www.jotform.com/uploads/macarewecare/222927978372067/6381221523919363255/6381221523919363255_signature_31.png</t>
  </si>
  <si>
    <t>Manila Med</t>
  </si>
  <si>
    <t>UN Ave., Manila</t>
  </si>
  <si>
    <t>jrcabasug.manilamed@gmail.com</t>
  </si>
  <si>
    <t>Unit for preventive maintenance.
For assay definition file loading.</t>
  </si>
  <si>
    <t>Preventive maintenance and ADF loading.</t>
  </si>
  <si>
    <t>Performed Preventive Maintenance.
-Cleaned and disinfect plunger
-Cleaned and disinfect cartridge bay
-Cleaned and disinfect instrument surface
-Cleaned icore sensors
-Cleaned filter fan
-Archived test results
Loaded ADFs.
Generated reports.</t>
  </si>
  <si>
    <t>https://www.jotform.com/uploads/macarewecare/222927978372067/6381168928226539594/6381168928226539594_signature_28.png</t>
  </si>
  <si>
    <t>Jericho Nolan Cabasug</t>
  </si>
  <si>
    <t>https://www.jotform.com/uploads/macarewecare/222927978372067/6381168928226539594/6381168928226539594_signature_31.png</t>
  </si>
  <si>
    <t>Bagumbayan Rural Health Unit</t>
  </si>
  <si>
    <t>Bagumbayan,Sultan Kudarat</t>
  </si>
  <si>
    <t>marizalenoid@yahoo.com</t>
  </si>
  <si>
    <t xml:space="preserve">ASSAY: Xpert MTB/RIF Ultra, COUNT: 1449
</t>
  </si>
  <si>
    <t>Module 2 H/W failed due to temperature errors</t>
  </si>
  <si>
    <t>Replace defective module B2 SN:624012 with new Module SN: 897368
Perform Genexpert cleaning and maintenance 
Module cleaning 
Plunger rod and Optics cleaning 
Fan and filter cleaning 
Checking of module status and errors
Data collection</t>
  </si>
  <si>
    <t>Genexpert 6 color module SN:897368</t>
  </si>
  <si>
    <t>DR #: 13419</t>
  </si>
  <si>
    <t>https://www.jotform.com/uploads/macarewecare/222927978372067/6380745557325385085/6380745557325385085_signature_28.png</t>
  </si>
  <si>
    <t>Ma. RIZA R. DIONELA, RMT</t>
  </si>
  <si>
    <t>https://www.jotform.com/uploads/macarewecare/222927978372067/6380745557325385085/6380745557325385085_signature_31.png</t>
  </si>
  <si>
    <t>labandadrinah@gmail.com</t>
  </si>
  <si>
    <t xml:space="preserve">ASSAY: Xpert HIV-1 Viral Load, COUNT: 78
ASSAY: Xpert HPV, COUNT: 3
ASSAY: Others, COUNT: 24
</t>
  </si>
  <si>
    <t>B4/210138841 - ERROR 4014</t>
  </si>
  <si>
    <t>Replaced module: B4 - 210138841&gt;&gt;210024476
Generate Data</t>
  </si>
  <si>
    <t>Replaced B4/210138841</t>
  </si>
  <si>
    <t>https://www.jotform.com/uploads/macarewecare/222927978372067/6380419697915552818/6380419697915552818_signature_28.png</t>
  </si>
  <si>
    <t>Drinah L. Labanda</t>
  </si>
  <si>
    <t>https://www.jotform.com/uploads/macarewecare/222927978372067/6380419697915552818/6380419697915552818_signature_31.png</t>
  </si>
  <si>
    <t>Southern Philippines Medical Center - ICU</t>
  </si>
  <si>
    <t>JP Laurel Avenue, Bajada, Davao City</t>
  </si>
  <si>
    <t>ICU</t>
  </si>
  <si>
    <t>spmcimdept@gmail.com</t>
  </si>
  <si>
    <t>15H034G</t>
  </si>
  <si>
    <t>Machine not working, enduser can't perform TPE</t>
  </si>
  <si>
    <t>Check for Line Voltages, reset connection, double check the values and operability of the UPS and MCS+ Machine</t>
  </si>
  <si>
    <t>https://www.jotform.com/uploads/macarewecare/222927978372067/6379739091977923937/6379739091977923937_signature_28.png</t>
  </si>
  <si>
    <t>Shiela Cres Nicolas</t>
  </si>
  <si>
    <t>https://www.jotform.com/uploads/macarewecare/222927978372067/6379739091977923937/6379739091977923937_signature_31.png</t>
  </si>
  <si>
    <t>Philippine Red Cross - Laguna</t>
  </si>
  <si>
    <t>Performed maintenance 
Run simulation 
Verified calibration parameters 
Adjusted cuff value
Functionality test checked UPS</t>
  </si>
  <si>
    <t>Unit is operational. UPS has no backup power. For replacement. 
UPS SN: 20163711301</t>
  </si>
  <si>
    <t>https://www.jotform.com/uploads/macarewecare/222927978372067/6379565363613611447/6379565363613611447_signature_28.png</t>
  </si>
  <si>
    <t>ZYRINE T VILLACENTINO</t>
  </si>
  <si>
    <t>https://www.jotform.com/uploads/macarewecare/222927978372067/6379565363613611447/6379565363613611447_signature_31.png</t>
  </si>
  <si>
    <t>Unit is Partially Operational
Module A1 is Disabled</t>
  </si>
  <si>
    <t>https://www.jotform.com/uploads/macarewecare/222927978372067/6379401588325564215/6379401588325564215_signature_28.png</t>
  </si>
  <si>
    <t>https://www.jotform.com/uploads/macarewecare/222927978372067/6379401588325564215/6379401588325564215_signature_31.png</t>
  </si>
  <si>
    <t>NKTI</t>
  </si>
  <si>
    <t>janettequirino@yahoo.com</t>
  </si>
  <si>
    <t>Indiko Plus</t>
  </si>
  <si>
    <t>Worn out cuvette dispenser belt.</t>
  </si>
  <si>
    <t>Replaced cuvette dispenser belt.
Performed water blank and extra wash
Run calibrator and control.</t>
  </si>
  <si>
    <t>Replaced cuvette dispenser belt.</t>
  </si>
  <si>
    <t>Cuvette dispenser Belt</t>
  </si>
  <si>
    <t>DR num: 13455</t>
  </si>
  <si>
    <t>https://www.jotform.com/uploads/macarewecare/222927978372067/6376172392217218660/6376172392217218660_signature_28.png</t>
  </si>
  <si>
    <t>Janette V. Quirino</t>
  </si>
  <si>
    <t>https://www.jotform.com/uploads/macarewecare/222927978372067/6376172392217218660/6376172392217218660_signature_31.png</t>
  </si>
  <si>
    <t>Jacinto Street, Davao City</t>
  </si>
  <si>
    <t xml:space="preserve">ASSAY: Xpert MTB/RIF Ultra, COUNT: 400
ASSAY: Xpert HIV-1 Viral Load, COUNT: 2732
</t>
  </si>
  <si>
    <t>Clean Surface Area, Cartridge Bay, Plunger Rod, Fan Filters and Icore Lenses
Generate IQR, Assay Stat and System Log
Archived Data test results</t>
  </si>
  <si>
    <t>Three Operational Modules only
Module 3 encounter multiple temperature related errors</t>
  </si>
  <si>
    <t>Error sent to office for further assessment</t>
  </si>
  <si>
    <t>https://www.jotform.com/uploads/macarewecare/222927978372067/6376109536601113007/6376109536601113007_signature_28.png</t>
  </si>
  <si>
    <t>RHEA NIERVO</t>
  </si>
  <si>
    <t>https://www.jotform.com/uploads/macarewecare/222927978372067/6376109536601113007/6376109536601113007_signature_31.png</t>
  </si>
  <si>
    <t>GeneXpert Infinity</t>
  </si>
  <si>
    <t>-&gt; conveyer needs parts replacement 
-&gt; 8 modules for module replacement after XpertCheck</t>
  </si>
  <si>
    <t>-&gt; repaired conveyer
-&gt; calibrated conveyer sensors
-&gt; replaced 8 modules (220001426 &gt; 692061, 710723 &gt; 651705, 701127 &gt; 690277, 792461 &gt; 734837, 647149 &gt; 875016, 652279 &gt; 910590, 611037 &gt; 912929, 695487 &gt; 210062409)
-&gt; performed functionality test</t>
  </si>
  <si>
    <t>-&gt; repaired conveyer 
-&gt; replaced 8 modules</t>
  </si>
  <si>
    <t>-&gt; GeneXpert module x8
-&gt; modified ejector for GeneXpert Infinity module x8
-&gt; assy assembly door GeneXpert module x8
-&gt; coupling (part for the infinity system)</t>
  </si>
  <si>
    <t>DR#13443</t>
  </si>
  <si>
    <t>https://www.jotform.com/uploads/macarewecare/222927978372067/6375332286598590168/6375332286598590168_signature_28.png</t>
  </si>
  <si>
    <t>Ma. Sarah R. Salvador</t>
  </si>
  <si>
    <t>https://www.jotform.com/uploads/macarewecare/222927978372067/6375332286598590168/6375332286598590168_signature_31.png</t>
  </si>
  <si>
    <t>Performed maintenance 
Checked rotor pumps 
Verified calibration parameters 
Run simulation 
Functionality test 
Slight adjustment of DPM and SPM</t>
  </si>
  <si>
    <t>https://www.jotform.com/uploads/macarewecare/222927978372067/6375306093617356288/6375306093617356288_signature_28.png</t>
  </si>
  <si>
    <t>Angel Lynn Grace Pagulayan</t>
  </si>
  <si>
    <t>https://www.jotform.com/uploads/macarewecare/222927978372067/6375306093617356288/6375306093617356288_signature_31.png</t>
  </si>
  <si>
    <t>Blood donation room</t>
  </si>
  <si>
    <t>Due for maintenance
Line sensor malfunction of potentiometer unable to adjust to desired value 3071 line sensor potentionmeter can adjust only to 2614
Left pole loose rod</t>
  </si>
  <si>
    <t>Line sensor assy need to replace for quotation</t>
  </si>
  <si>
    <t>https://www.jotform.com/uploads/macarewecare/222927978372067/6375058663616799770/6375058663616799770_signature_28.png</t>
  </si>
  <si>
    <t>https://www.jotform.com/uploads/macarewecare/222927978372067/6375058663616799770/6375058663616799770_signature_31.png</t>
  </si>
  <si>
    <t>Baguio Health Services Office</t>
  </si>
  <si>
    <t>sherryannemarrero@gmail.com</t>
  </si>
  <si>
    <t>- Cleaned Cartridge Bays,Plunger Rods and I-CORE 
- Replaced Defective Module B3 716721 &gt;&gt;&gt;695483
- Generated Reports</t>
  </si>
  <si>
    <t>GeneXpert Module 695483</t>
  </si>
  <si>
    <t>DR 13414</t>
  </si>
  <si>
    <t>https://www.jotform.com/uploads/macarewecare/222927978372067/6374424135717830796/6374424135717830796_signature_28.png</t>
  </si>
  <si>
    <t>Sherry Anne Marrero</t>
  </si>
  <si>
    <t>https://www.jotform.com/uploads/macarewecare/222927978372067/6374424135717830796/6374424135717830796_signature_31.png</t>
  </si>
  <si>
    <t>San Fernando City, La Union</t>
  </si>
  <si>
    <t>itrmc.mbl@gmail.com</t>
  </si>
  <si>
    <t>For Calibration</t>
  </si>
  <si>
    <t>Performed Calibration</t>
  </si>
  <si>
    <t>All Modules Passed XpertCheck</t>
  </si>
  <si>
    <t>DR 13392</t>
  </si>
  <si>
    <t>https://www.jotform.com/uploads/macarewecare/222927978372067/6374422585716769930/6374422585716769930_signature_28.png</t>
  </si>
  <si>
    <t>Dominga Patacsil</t>
  </si>
  <si>
    <t>https://www.jotform.com/uploads/macarewecare/222927978372067/6374422585716769930/6374422585716769930_signature_31.png</t>
  </si>
  <si>
    <t xml:space="preserve">ASSAY: Xpert MTB/RIF Ultra, COUNT: 1273
</t>
  </si>
  <si>
    <t>https://www.jotform.com/uploads/macarewecare/222927978372067/6374309724555870637/6374309724555870637_signature_28.png</t>
  </si>
  <si>
    <t>https://www.jotform.com/uploads/macarewecare/222927978372067/6374309724555870637/6374309724555870637_signature_31.png</t>
  </si>
  <si>
    <t>https://www.jotform.com/uploads/macarewecare/222927978372067/6374309394556952682/6374309394556952682_signature_28.png</t>
  </si>
  <si>
    <t>https://www.jotform.com/uploads/macarewecare/222927978372067/6374309394556952682/6374309394556952682_signature_31.png</t>
  </si>
  <si>
    <t>https://www.jotform.com/uploads/macarewecare/222927978372067/6374308284551027032/6374308284551027032_signature_28.png</t>
  </si>
  <si>
    <t>https://www.jotform.com/uploads/macarewecare/222927978372067/6374308284551027032/6374308284551027032_signature_31.png</t>
  </si>
  <si>
    <t>Vinzons Rural Health Unit</t>
  </si>
  <si>
    <t>Poblacion, Vinzons</t>
  </si>
  <si>
    <t>jasminlottidp@gmail.com</t>
  </si>
  <si>
    <t xml:space="preserve">ASSAY: Xpert MTB/RIF Ultra, COUNT: 1205
</t>
  </si>
  <si>
    <t>Module B2/862906 - temperature Error</t>
  </si>
  <si>
    <t>Replaced module B2: 862906&gt;&gt;610183
Collected Data</t>
  </si>
  <si>
    <t>Replaced B2/862906</t>
  </si>
  <si>
    <t>https://www.jotform.com/uploads/macarewecare/222927978372067/6373926556412017699/6373926556412017699_signature_28.png</t>
  </si>
  <si>
    <t>Jasmin Lotti A. Dela Peña</t>
  </si>
  <si>
    <t>https://www.jotform.com/uploads/macarewecare/222927978372067/6373926556412017699/6373926556412017699_signature_31.png</t>
  </si>
  <si>
    <t>Naga City General Hospital</t>
  </si>
  <si>
    <t>Balatasan, Naga City</t>
  </si>
  <si>
    <t>Clinical Laboratory</t>
  </si>
  <si>
    <t>paulinefederis@gmail.com</t>
  </si>
  <si>
    <t>ncgh.clinicallaboratory@gmail.com</t>
  </si>
  <si>
    <t>XpertCheck result:
   B1/220030041 - passed
   B2/220030085 - passed
   B3/220030032 - passed
   B4/220030017 - passed
Cleaned cartridge bays, plunger rod 
Generate Data</t>
  </si>
  <si>
    <t>https://www.jotform.com/uploads/macarewecare/222927978372067/6373926246416845978/6373926246416845978_signature_28.png</t>
  </si>
  <si>
    <t>Franz Pauline M. Federis</t>
  </si>
  <si>
    <t>https://www.jotform.com/uploads/macarewecare/222927978372067/6373926246416845978/6373926246416845978_signature_31.png</t>
  </si>
  <si>
    <t>Cotabato Regional Medical Center - Blood Center</t>
  </si>
  <si>
    <t>15HO42G</t>
  </si>
  <si>
    <t>Bloody Plasma collection during procedure</t>
  </si>
  <si>
    <t>Perform Preventive maintenance and cleaning 
Checking of Line Sensor Value and status
Checking Optics bowl value and status
Checking of pump rollers</t>
  </si>
  <si>
    <t>Perform MCS+ Heamonetics problem troubleshooting</t>
  </si>
  <si>
    <t>MCS+ Heamonetics is operational/working 
All pump and sensors is in normal range value</t>
  </si>
  <si>
    <t>https://www.jotform.com/uploads/macarewecare/222927978372067/6373618311546830028/6373618311546830028_signature_28.png</t>
  </si>
  <si>
    <t>Rhea Lim-Macion, RMT,MSMLS</t>
  </si>
  <si>
    <t>https://www.jotform.com/uploads/macarewecare/222927978372067/6373618311546830028/6373618311546830028_signature_31.png</t>
  </si>
  <si>
    <t>Poblacion, Tagum</t>
  </si>
  <si>
    <t xml:space="preserve">ASSAY: Xpert MTB/RIF Ultra, COUNT: 3143
</t>
  </si>
  <si>
    <t>UPS not working</t>
  </si>
  <si>
    <t>Replaced the Defective UPS SN: AT1000190402ST0483 with new UPS SN: AT1000180910ST0672
Check for line connectivity, reset connection</t>
  </si>
  <si>
    <t>Perform UPS and UPS Troubleshooting</t>
  </si>
  <si>
    <t>UPS Still not working. Documented the new UPS reported to office for assessment</t>
  </si>
  <si>
    <t>DR 13372</t>
  </si>
  <si>
    <t>https://www.jotform.com/uploads/macarewecare/222927978372067/6373554177912854780/6373554177912854780_signature_28.png</t>
  </si>
  <si>
    <t>Cristina Tiara A. Fernande,. RMT</t>
  </si>
  <si>
    <t>https://www.jotform.com/uploads/macarewecare/222927978372067/6373554177912854780/6373554177912854780_signature_31.png</t>
  </si>
  <si>
    <t>Philippine Red Cross - Ormoc</t>
  </si>
  <si>
    <t>Ormoc City</t>
  </si>
  <si>
    <t>ormocbloodservice@redcross.org.ph</t>
  </si>
  <si>
    <t>cochingvenus@gmail.com</t>
  </si>
  <si>
    <t>MCS+ 9000</t>
  </si>
  <si>
    <t>15H043G</t>
  </si>
  <si>
    <t>https://www.jotform.com/uploads/macarewecare/222927978372067/6373472212217664828/6373472212217664828_signature_28.png</t>
  </si>
  <si>
    <t>Venus D.Coching</t>
  </si>
  <si>
    <t>https://www.jotform.com/uploads/macarewecare/222927978372067/6373472212217664828/6373472212217664828_signature_31.png</t>
  </si>
  <si>
    <t xml:space="preserve">ASSAY: Xpert BCR-ABL Ultra, COUNT: 188
ASSAY: Xpert C. difficile BT, COUNT: 1
ASSAY: Xpert CT/NG, COUNT: 511
ASSAY: Xpert HBV VL, COUNT: 93
ASSAY: Xpert HIV-1 Viral Load, COUNT: 5
ASSAY: Xpert HPV, COUNT: 293
ASSAY: Xpert MTB/RIF Ultra, COUNT: 2444
ASSAY: Others, COUNT: 14
ASSAY: Xpert HCV VL, COUNT: 132
ASSAY: Xpert HIV-1 Viral Load, COUNT: 1215
ASSAY: Xpress SARS-CoV-2_Flu_RSV plus, COUNT: 12
</t>
  </si>
  <si>
    <t>As per end user they encounter error 2014 A1 module</t>
  </si>
  <si>
    <t>Maintenance and troubleshooting</t>
  </si>
  <si>
    <t>https://www.jotform.com/uploads/macarewecare/222927978372067/6373380103617508945/6373380103617508945_signature_28.png</t>
  </si>
  <si>
    <t>https://www.jotform.com/uploads/macarewecare/222927978372067/6373380103617508945/6373380103617508945_signature_31.png</t>
  </si>
  <si>
    <t xml:space="preserve">ASSAY: Xpert BCR-ABL Ultra, COUNT: 119
ASSAY: Xpert CT/NG, COUNT: 329
ASSAY: Xpert HBV VL, COUNT: 48
ASSAY: Xpert HPV, COUNT: 251
ASSAY: Xpert MTB/RIF Ultra, COUNT: 1680
ASSAY: Others, COUNT: 5
ASSAY: Xpert HCV VL, COUNT: 69
ASSAY: Xpert HIV-1 Viral Load, COUNT: 974
</t>
  </si>
  <si>
    <t>Due for maintenance
B2,B3 failed xpertcheck reported already for module replacement
B1 reported already for module replacement.</t>
  </si>
  <si>
    <t>Maintenance</t>
  </si>
  <si>
    <t>B1,B2,B3 reported for replacement</t>
  </si>
  <si>
    <t>https://www.jotform.com/uploads/macarewecare/222927978372067/6373379443614780057/6373379443614780057_signature_28.png</t>
  </si>
  <si>
    <t>Aiza G. Pelayo</t>
  </si>
  <si>
    <t>https://www.jotform.com/uploads/macarewecare/222927978372067/6373379443614780057/6373379443614780057_signature_31.png</t>
  </si>
  <si>
    <t>efms.biomed@rmc.doh.gov.ph</t>
  </si>
  <si>
    <t xml:space="preserve">ASSAY: Xpert HPV, COUNT: 58
ASSAY: Xpert MTB/RIF Ultra, COUNT: 178
ASSAY: Xpert SARS-CoV-2, COUNT: 12
ASSAY: Xpert HIV-1 Viral Load, COUNT: 61
ASSAY: Xpress SARS-CoV-2_Flu_RSV plus, COUNT: 445
</t>
  </si>
  <si>
    <t>Module A1/220037444 for replacement</t>
  </si>
  <si>
    <t>Replaced module A1
Performed maintenance
Cleaned:
-Cartridge bay 
-Plunger rod 
-Icore 
-Filter 
Generated reports</t>
  </si>
  <si>
    <t>Unit is operational. Modules A2/860940, B3/702534, D4/661946, not operational, reported already. Modules C4/730100 error 4017, A4/647085 and B1/701496 not detected, for reporting.</t>
  </si>
  <si>
    <t>Old: A1/220037444
New: A1/220038018</t>
  </si>
  <si>
    <t>DR# 13421</t>
  </si>
  <si>
    <t>https://www.jotform.com/uploads/macarewecare/222927978372067/6370810433614758546/6370810433614758546_signature_28.png</t>
  </si>
  <si>
    <t>Justine Lorenz Falzado</t>
  </si>
  <si>
    <t>https://www.jotform.com/uploads/macarewecare/222927978372067/6370810433614758546/6370810433614758546_signature_31.png</t>
  </si>
  <si>
    <t>Microbiology Room</t>
  </si>
  <si>
    <t xml:space="preserve">ASSAY: Xpert MTB/RIF Ultra, COUNT: 1821
</t>
  </si>
  <si>
    <t>Performed Maintenance
Cleaned Icore
Cleaned Cartridge Bay
Cleaned Plunger Rod</t>
  </si>
  <si>
    <t>Gathered Reports
Performed Functionality Test</t>
  </si>
  <si>
    <t>https://www.jotform.com/uploads/macarewecare/222927978372067/6370805680771130414/6370805680771130414_signature_28.png</t>
  </si>
  <si>
    <t>Stephen P. Acosta</t>
  </si>
  <si>
    <t>https://www.jotform.com/uploads/macarewecare/222927978372067/6370805680771130414/6370805680771130414_signature_31.png</t>
  </si>
  <si>
    <t>SACCL</t>
  </si>
  <si>
    <t>Quricada St., Sta. Cruz Manila</t>
  </si>
  <si>
    <t>HIV Training Center</t>
  </si>
  <si>
    <t>patriciaantonette.pomar@slh.doh.gov.ph</t>
  </si>
  <si>
    <t>For checking of UPS.</t>
  </si>
  <si>
    <t>Performed checking and troubleshooting of UPS.
Tried on different power outlets.</t>
  </si>
  <si>
    <t>Unit is operational. UPS is not working and also not charging and is for replacement. AT1000 (sn: AT1000211227ST0139).</t>
  </si>
  <si>
    <t>https://www.jotform.com/uploads/macarewecare/222927978372067/6370120531951045146/6370120531951045146_signature_28.png</t>
  </si>
  <si>
    <t>Patricia Antonette Pomar</t>
  </si>
  <si>
    <t>https://www.jotform.com/uploads/macarewecare/222927978372067/6370120531951045146/6370120531951045146_signature_31.png</t>
  </si>
  <si>
    <t>Pullout from demo</t>
  </si>
  <si>
    <t>norwingayle.rmt@gmail.com</t>
  </si>
  <si>
    <t>For pullout of GeneXpert system (demo).</t>
  </si>
  <si>
    <t>Pullout</t>
  </si>
  <si>
    <t>Performed pullout of GeneXpert system. 
Checked all items included on the delivery receipt.
Generated reports.</t>
  </si>
  <si>
    <t>Unit is operational and in good condition.</t>
  </si>
  <si>
    <t>https://www.jotform.com/uploads/macarewecare/222927978372067/6370119651956456730/6370119651956456730_signature_28.png</t>
  </si>
  <si>
    <t>NORWIN GAYLE D MARTIN</t>
  </si>
  <si>
    <t>https://www.jotform.com/uploads/macarewecare/222927978372067/6370119651956456730/6370119651956456730_signature_31.png</t>
  </si>
  <si>
    <t>Bolinao Rural Health Unit</t>
  </si>
  <si>
    <t>Brgy. Germinal, Bolinao, Pangasinan</t>
  </si>
  <si>
    <t>nylemae14@gmail.com</t>
  </si>
  <si>
    <t xml:space="preserve">ASSAY: Xpert MTB/RIF Ultra, COUNT: 793
</t>
  </si>
  <si>
    <t>Replacement of back-up CPU</t>
  </si>
  <si>
    <t>Back-up CPU replacement 
Preventive maintenance</t>
  </si>
  <si>
    <t>Performed surface cleaning 
Performed preventive maintenance 
Archived data and transfer to new CPU
Setup of new CPU
Performed functionality test</t>
  </si>
  <si>
    <t>Back up CPU:2UA5201PHX</t>
  </si>
  <si>
    <t>LENOVO CPU SN:CPH0520F08323</t>
  </si>
  <si>
    <t>https://www.jotform.com/uploads/macarewecare/222927978372067/6370094360711365821/6370094360711365821_signature_28.png</t>
  </si>
  <si>
    <t>Alma sicat</t>
  </si>
  <si>
    <t>https://www.jotform.com/uploads/macarewecare/222927978372067/6370094360711365821/6370094360711365821_signature_31.png</t>
  </si>
  <si>
    <t>Philippine Red Cross Zamboanga</t>
  </si>
  <si>
    <t>Rizal street, Pettit Baracks, Zamboanga City</t>
  </si>
  <si>
    <t>zamboangacity@redcross.org.ph</t>
  </si>
  <si>
    <t>01M256</t>
  </si>
  <si>
    <t>Anticoagulant pump rotor rubber destroyed.</t>
  </si>
  <si>
    <t>Replaced anticoagulant rotor rubber replacement and Preventive Maintenence. Used 2 rotor rubbers. Available rotor rubber on hand 2pcs.</t>
  </si>
  <si>
    <t>Replaced anticoagulant rotor rubbers and Preventive Maintenence. Undergone cycle test using diagnostic card. Checked the other 2 rotor for prevention. All rotor rubber from the three rotors are perfectly fine.</t>
  </si>
  <si>
    <t>Haemonetics machine ready to use.</t>
  </si>
  <si>
    <t>Used 2 rotor rubbers. Available rotor rubbers on hand 2pcs.</t>
  </si>
  <si>
    <t>https://www.jotform.com/uploads/macarewecare/222927978372067/6370078756023187878/6370078756023187878_signature_28.png</t>
  </si>
  <si>
    <t>Nimfa A.Linao</t>
  </si>
  <si>
    <t>https://www.jotform.com/uploads/macarewecare/222927978372067/6370078756023187878/6370078756023187878_signature_31.png</t>
  </si>
  <si>
    <t>shaina.rico@redcross.org.ph</t>
  </si>
  <si>
    <t>REF 9000</t>
  </si>
  <si>
    <t>https://www.jotform.com/uploads/macarewecare/222927978372067/6370026299684093535/6370026299684093535_signature_28.png</t>
  </si>
  <si>
    <t>shaina mae rico,rmt</t>
  </si>
  <si>
    <t>https://www.jotform.com/uploads/macarewecare/222927978372067/6370026299684093535/6370026299684093535_signature_31.png</t>
  </si>
  <si>
    <t>Tuao Rural Health Unit</t>
  </si>
  <si>
    <t>Centro 2, Tuao, Cagayan</t>
  </si>
  <si>
    <t>annrollaine@yahoo.com</t>
  </si>
  <si>
    <t xml:space="preserve">ASSAY: Xpert MTB/RIF Ultra, COUNT: 762
</t>
  </si>
  <si>
    <t>Module 3 and 4 Errors</t>
  </si>
  <si>
    <t>Performed Module Replacement
B3(746175 - 799537)
B4(861441 - 680003)</t>
  </si>
  <si>
    <t>https://www.jotform.com/uploads/macarewecare/222927978372067/6370003184116359747/6370003184116359747_signature_28.png</t>
  </si>
  <si>
    <t>Cling Pamittan</t>
  </si>
  <si>
    <t>https://www.jotform.com/uploads/macarewecare/222927978372067/6370003184116359747/6370003184116359747_signature_31.png</t>
  </si>
  <si>
    <t>Laguindingan Rural Health Unit</t>
  </si>
  <si>
    <t>Zone 10 Poblacion, Laguindingan</t>
  </si>
  <si>
    <t>chellesambaan@gmail.com</t>
  </si>
  <si>
    <t>UPS won't work. Doesn't provide power.</t>
  </si>
  <si>
    <t>UPS Battery Replacement</t>
  </si>
  <si>
    <t>Replacing UPS Battery and Preventive Maintenance</t>
  </si>
  <si>
    <t>All units and modules are functional</t>
  </si>
  <si>
    <t>https://www.jotform.com/uploads/macarewecare/222927978372067/6369999344115715674/6369999344115715674_signature_28.png</t>
  </si>
  <si>
    <t>Rochelle Sambaan</t>
  </si>
  <si>
    <t>https://www.jotform.com/uploads/macarewecare/222927978372067/6369999344115715674/6369999344115715674_signature_31.png</t>
  </si>
  <si>
    <t>Sacred Heart Medical Center</t>
  </si>
  <si>
    <t>McArthur Highway, Sto. Domingo, Angeles City</t>
  </si>
  <si>
    <t>laboratory@acsacredheart.com</t>
  </si>
  <si>
    <t>bloodbank@acsacredheart.com</t>
  </si>
  <si>
    <t>09D157</t>
  </si>
  <si>
    <t>Roller for replacement 
Due for calibration</t>
  </si>
  <si>
    <t>Replacement of roller
Calibration</t>
  </si>
  <si>
    <t>Performed surface cleaning 
Performed replacement of roller
Checked and configure parameters 
Performed functionality test</t>
  </si>
  <si>
    <t>Machine is fully operational 
UPS for Replacement ( atleast 1Kva)</t>
  </si>
  <si>
    <t>https://www.jotform.com/uploads/macarewecare/222927978372067/6369422937585470523/6369422937585470523_signature_28.png</t>
  </si>
  <si>
    <t>Maria Cecilia Tinio</t>
  </si>
  <si>
    <t>https://www.jotform.com/uploads/macarewecare/222927978372067/6369422937585470523/6369422937585470523_signature_31.png</t>
  </si>
  <si>
    <t>Poblacion, Pili</t>
  </si>
  <si>
    <t>lfsanao724@gmail.com</t>
  </si>
  <si>
    <t xml:space="preserve">ASSAY: Xpert MTB/RIF Ultra, COUNT: 1499
</t>
  </si>
  <si>
    <t>CPU not powering on 
B1/688686 temperature Error</t>
  </si>
  <si>
    <t>Replaced module B1 - 688686&gt;&gt;630528
Repaired CPU(resolved)</t>
  </si>
  <si>
    <t>Replaced B1/688686
Repaired CPU</t>
  </si>
  <si>
    <t>Unit is operational 
Module B1, B2, B3 operational 
CPU operational</t>
  </si>
  <si>
    <t>Module B4/662296 pending for replacement</t>
  </si>
  <si>
    <t>https://www.jotform.com/uploads/macarewecare/222927978372067/6369293961716681643/6369293961716681643_signature_28.png</t>
  </si>
  <si>
    <t>Liezl Sanao</t>
  </si>
  <si>
    <t>https://www.jotform.com/uploads/macarewecare/222927978372067/6369293961716681643/6369293961716681643_signature_31.png</t>
  </si>
  <si>
    <t>Poblacion, Makilala</t>
  </si>
  <si>
    <t xml:space="preserve">ASSAY: Xpert MTB/RIF Ultra, COUNT: 505
ASSAY: Xpert MTB-XDR, COUNT: 2
</t>
  </si>
  <si>
    <t>GX-IV 6C 10D</t>
  </si>
  <si>
    <t>https://www.jotform.com/uploads/macarewecare/222927978372067/6369190588443622180/6369190588443622180_signature_28.png</t>
  </si>
  <si>
    <t>Shayne s. Belandres</t>
  </si>
  <si>
    <t>https://www.jotform.com/uploads/macarewecare/222927978372067/6369190588443622180/6369190588443622180_signature_31.png</t>
  </si>
  <si>
    <t>Pamplona, Cagayan</t>
  </si>
  <si>
    <t>wickizena@gmail.com</t>
  </si>
  <si>
    <t xml:space="preserve">ASSAY: Xpert MTB/RIF Ultra, COUNT: 2549
</t>
  </si>
  <si>
    <t>Performed Maintenance
Cleaned Icore
Cleaned Cartridge Bay
Cleaned Plunger Rod
Cleaned Filter</t>
  </si>
  <si>
    <t>https://www.jotform.com/uploads/macarewecare/222927978372067/6369140199323085714/6369140199323085714_signature_28.png</t>
  </si>
  <si>
    <t>https://www.jotform.com/uploads/macarewecare/222927978372067/6369140199323085714/6369140199323085714_signature_31.png</t>
  </si>
  <si>
    <t>cchdserology@gmail.com</t>
  </si>
  <si>
    <t>Defective module A3</t>
  </si>
  <si>
    <t>Collecting data IQR, system log and assay stats</t>
  </si>
  <si>
    <t>Defective module 2 and 3</t>
  </si>
  <si>
    <t>https://www.jotform.com/uploads/macarewecare/222927978372067/6369120668121696019/6369120668121696019_signature_28.png</t>
  </si>
  <si>
    <t>Owen Joshua L. Briones</t>
  </si>
  <si>
    <t>https://www.jotform.com/uploads/macarewecare/222927978372067/6369120668121696019/6369120668121696019_signature_31.png</t>
  </si>
  <si>
    <t>Preventive Maintenance
Clean Module Bay
Gather data IQR, system log and assys statistics</t>
  </si>
  <si>
    <t>https://www.jotform.com/uploads/macarewecare/222927978372067/6369109338124212931/6369109338124212931_signature_28.png</t>
  </si>
  <si>
    <t>Laurean jo. Cabase</t>
  </si>
  <si>
    <t>https://www.jotform.com/uploads/macarewecare/222927978372067/6369109338124212931/6369109338124212931_signature_31.png</t>
  </si>
  <si>
    <t>Unit is Partially Operational. Module A1 is Disabled</t>
  </si>
  <si>
    <t>https://www.jotform.com/uploads/macarewecare/222927978372067/6369074557182155335/6369074557182155335_signature_28.png</t>
  </si>
  <si>
    <t>https://www.jotform.com/uploads/macarewecare/222927978372067/6369074557182155335/6369074557182155335_signature_31.png</t>
  </si>
  <si>
    <t>E. Rodriguez Ave., Quezon City</t>
  </si>
  <si>
    <t>Unit for preventive maintenance.
For generating of reports.</t>
  </si>
  <si>
    <t>Performed Preventive Maintenance.
-Cleaned and disinfect plunger
-Cleaned and disinfect cartridge bay
-Cleaned and disinfect instrument surface
-Cleaned icore sensors
-Cleaned filter fan
-Archived and generated test results.
Generated reports.</t>
  </si>
  <si>
    <t>Unit is operational. Module B2 has 1 error 5007, but after running today, a result was given with reading.</t>
  </si>
  <si>
    <t>https://www.jotform.com/uploads/macarewecare/222927978372067/6368370626918322570/6368370626918322570_signature_28.png</t>
  </si>
  <si>
    <t>liza Apo</t>
  </si>
  <si>
    <t>https://www.jotform.com/uploads/macarewecare/222927978372067/6368370626918322570/6368370626918322570_signature_31.png</t>
  </si>
  <si>
    <t>Sgt. Pascua St, Bagong Ilog, Pasig City</t>
  </si>
  <si>
    <t>Installed the GeneXpert System:
-GeneXpert Unit 
-Workstation 
-UPS
-Barcode Scanner with stand
-Printer
Generated IQR</t>
  </si>
  <si>
    <t>https://www.jotform.com/uploads/macarewecare/222927978372067/6368283319515877320/6368283319515877320_signature_28.png</t>
  </si>
  <si>
    <t>https://www.jotform.com/uploads/macarewecare/222927978372067/6368283319515877320/6368283319515877320_signature_31.png</t>
  </si>
  <si>
    <t>Lubang Rural Health Unit</t>
  </si>
  <si>
    <t>Lubang, Occidental Mindoro</t>
  </si>
  <si>
    <t>Occidental Mindoro</t>
  </si>
  <si>
    <t>lalaine.batalla0821@gmail.com</t>
  </si>
  <si>
    <t xml:space="preserve">ASSAY: Xpert MTB/RIF Ultra, COUNT: 232
</t>
  </si>
  <si>
    <t>Performed maintenance:
Cleaned:
-Cartridge bay 
-Plunger rod 
-Icore
-filter 
Generated reports</t>
  </si>
  <si>
    <t>https://www.jotform.com/uploads/macarewecare/222927978372067/6368272338154769603/6368272338154769603_signature_28.png</t>
  </si>
  <si>
    <t>Lalaine V. Batalla</t>
  </si>
  <si>
    <t>https://www.jotform.com/uploads/macarewecare/222927978372067/6368272338154769603/6368272338154769603_signature_31.png</t>
  </si>
  <si>
    <t>San Fernando Rural Health Unit</t>
  </si>
  <si>
    <t>Poblacion, San Fernando</t>
  </si>
  <si>
    <t>Endorsement letter</t>
  </si>
  <si>
    <t>josephus_garfin@yahoo.com</t>
  </si>
  <si>
    <t>Provide endorsement letter for transition of service</t>
  </si>
  <si>
    <t>Provide endorsement letter</t>
  </si>
  <si>
    <t>https://www.jotform.com/uploads/macarewecare/222927978372067/6367786733319449411/6367786733319449411_signature_28.png</t>
  </si>
  <si>
    <t>Josephus Garfin</t>
  </si>
  <si>
    <t>https://www.jotform.com/uploads/macarewecare/222927978372067/6367786733319449411/6367786733319449411_signature_31.png</t>
  </si>
  <si>
    <t>Cardinal Santos Medical Center (Medilinx)</t>
  </si>
  <si>
    <t>Wilson St., San Juan</t>
  </si>
  <si>
    <t xml:space="preserve">ASSAY: Xpert HBV VL, COUNT: 45
ASSAY: Xpert HPV, COUNT: 29
ASSAY: Xpert MTB/RIF Ultra, COUNT: 1164
</t>
  </si>
  <si>
    <t>GX4D (10C)</t>
  </si>
  <si>
    <t>Due for xpertcheck</t>
  </si>
  <si>
    <t>B1,B2,B3,failed in xpertcheck for replacement
B4 retry lack of kits</t>
  </si>
  <si>
    <t>https://www.jotform.com/uploads/macarewecare/222927978372067/6365592428668107628/6365592428668107628_signature_28.png</t>
  </si>
  <si>
    <t>https://www.jotform.com/uploads/macarewecare/222927978372067/6365592428668107628/6365592428668107628_signature_31.png</t>
  </si>
  <si>
    <t>Medical Center Manila</t>
  </si>
  <si>
    <t>microbiology.manilamed@gmail.com</t>
  </si>
  <si>
    <t>https://www.jotform.com/uploads/macarewecare/222927978372067/6364943935547912770/6364943935547912770_signature_28.png</t>
  </si>
  <si>
    <t>FRANCES B. VELARDE</t>
  </si>
  <si>
    <t>https://www.jotform.com/uploads/macarewecare/222927978372067/6364943935547912770/6364943935547912770_signature_31.png</t>
  </si>
  <si>
    <t>For back up unit and installation</t>
  </si>
  <si>
    <t>Installed unit
Checked program parameters
Checked and adjust line sensor value
Checked rollers,dpm,spm,centrifuge,weigher
Performed functionality test
Performed simulation running</t>
  </si>
  <si>
    <t>MCS + and transport case</t>
  </si>
  <si>
    <t>https://www.jotform.com/uploads/macarewecare/222927978372067/6364940350317577424/6364940350317577424_signature_28.png</t>
  </si>
  <si>
    <t>https://www.jotform.com/uploads/macarewecare/222927978372067/6364940350317577424/6364940350317577424_signature_31.png</t>
  </si>
  <si>
    <t>https://www.jotform.com/uploads/macarewecare/222927978372067/6364936135545086016/6364936135545086016_signature_28.png</t>
  </si>
  <si>
    <t>https://www.jotform.com/uploads/macarewecare/222927978372067/6364936135545086016/6364936135545086016_signature_31.png</t>
  </si>
  <si>
    <t>Performed calibration.
Performed Preventive Maintenance.
Checked and cleaned rotor pumps.
Verified calibration parameters.
Performed simulation running.</t>
  </si>
  <si>
    <t>https://www.jotform.com/uploads/macarewecare/222927978372067/6364936145548780508/6364936145548780508_signature_28.png</t>
  </si>
  <si>
    <t>https://www.jotform.com/uploads/macarewecare/222927978372067/6364936145548780508/6364936145548780508_signature_31.png</t>
  </si>
  <si>
    <t>Pasig</t>
  </si>
  <si>
    <t>Unit is operational
B1: passed
B2: passed
B3: failed
B4: passed</t>
  </si>
  <si>
    <t>XpertCheck Kit</t>
  </si>
  <si>
    <t>https://www.jotform.com/uploads/macarewecare/222927978372067/6364867936919823273/6364867936919823273_signature_28.png</t>
  </si>
  <si>
    <t>Jhozza Rei M. Jose</t>
  </si>
  <si>
    <t>https://www.jotform.com/uploads/macarewecare/222927978372067/6364867936919823273/6364867936919823273_signature_31.png</t>
  </si>
  <si>
    <t xml:space="preserve">ASSAY: Xpert MTB/RIF Ultra, COUNT: 1239
</t>
  </si>
  <si>
    <t>CPU problem</t>
  </si>
  <si>
    <t>Perform Genexpert temporary CPU installation 
Perform Genexpert Cleaning and maintenance 
Module cleaning 
Plunger rod and Optics cleaning 
Fan and filter cleaning 
Checking module status and errors
Data collection</t>
  </si>
  <si>
    <t>Installed and set up temporary CPU 
Genexpert machine Preventive maintenance</t>
  </si>
  <si>
    <t>https://www.jotform.com/uploads/macarewecare/222927978372067/6364667018421021347/6364667018421021347_signature_28.png</t>
  </si>
  <si>
    <t>KOBE SHANE L. BACULIO</t>
  </si>
  <si>
    <t>https://www.jotform.com/uploads/macarewecare/222927978372067/6364667018421021347/6364667018421021347_signature_31.png</t>
  </si>
  <si>
    <t>Calumpang Rural Health Unit</t>
  </si>
  <si>
    <t>Brgy. Calumpang General Santos City</t>
  </si>
  <si>
    <t>jan19.cam@gmail.com</t>
  </si>
  <si>
    <t xml:space="preserve">ASSAY: Xpert MTB/RIF Ultra, COUNT: 1520
</t>
  </si>
  <si>
    <t>Perform Genexpert maintenance and cleaning 
Module cleaning 
Plunger rod and Optics cleaning 
Fan and filter cleaning 
Checking of module status and problem 
Data collection</t>
  </si>
  <si>
    <t>4 functional modules</t>
  </si>
  <si>
    <t>https://www.jotform.com/uploads/macarewecare/222927978372067/6364667018423042970/6364667018423042970_signature_28.png</t>
  </si>
  <si>
    <t>Margareth Zaldivar</t>
  </si>
  <si>
    <t>https://www.jotform.com/uploads/macarewecare/222927978372067/6364667018423042970/6364667018423042970_signature_31.png</t>
  </si>
  <si>
    <t>National Center for Mental Health</t>
  </si>
  <si>
    <t>w/ Jesh</t>
  </si>
  <si>
    <t>https://www.jotform.com/uploads/macarewecare/222927978372067/6364021400751592170/6364021400751592170_signature_28.png</t>
  </si>
  <si>
    <t>https://www.jotform.com/uploads/macarewecare/222927978372067/6364021400751592170/6364021400751592170_signature_31.png</t>
  </si>
  <si>
    <t>Mandaluyong Social Hygiene Clinic</t>
  </si>
  <si>
    <t>mandaluyongshc.laboratory@gmail.com</t>
  </si>
  <si>
    <t>Unit is operational
B1: 
B2: 
B3: 
B4:</t>
  </si>
  <si>
    <t>https://www.jotform.com/uploads/macarewecare/222927978372067/6363948431752980170/6363948431752980170_signature_28.png</t>
  </si>
  <si>
    <t>Ron Ramos</t>
  </si>
  <si>
    <t>https://www.jotform.com/uploads/macarewecare/222927978372067/6363948431752980170/6363948431752980170_signature_31.png</t>
  </si>
  <si>
    <t>San Lazaro Hospital</t>
  </si>
  <si>
    <t>Quiricada St., Sta.Cruz, Manila</t>
  </si>
  <si>
    <t>melanie.perez@slh.doh.gov.ph</t>
  </si>
  <si>
    <t xml:space="preserve">ASSAY: Xpert HBV VL, COUNT: 127
ASSAY: Xpert HIV-1 Viral Load, COUNT: 64
</t>
  </si>
  <si>
    <t>Cleaned Cartridge Bay, Plunger Rod and Icore Optics.
Checked Filter if Clogged.
Checked Printer and UPS Functionality.
Performed Self-test.
Generate Reports.</t>
  </si>
  <si>
    <t>Modules 1,2 and 4 are Operational.
Module 3 is disabled ( with 4017 error).
Black Cartridge of Printer for Replacement.
UPS is Good (with Backup).</t>
  </si>
  <si>
    <t>https://www.jotform.com/uploads/macarewecare/222927978372067/6363923933634063574/6363923933634063574_signature_28.png</t>
  </si>
  <si>
    <t>Melanie S. Perez</t>
  </si>
  <si>
    <t>https://www.jotform.com/uploads/macarewecare/222927978372067/6363923933634063574/6363923933634063574_signature_31.png</t>
  </si>
  <si>
    <t xml:space="preserve">ASSAY: Xpert MTB/RIF Ultra, COUNT: 203
</t>
  </si>
  <si>
    <t>Due for preventive maintenance</t>
  </si>
  <si>
    <t>Unit is operational except module C2</t>
  </si>
  <si>
    <t>C2:620096 for replacement</t>
  </si>
  <si>
    <t>https://www.jotform.com/uploads/macarewecare/222927978372067/6363189560817397262/6363189560817397262_signature_28.png</t>
  </si>
  <si>
    <t>Alyssa Sytu</t>
  </si>
  <si>
    <t>https://www.jotform.com/uploads/macarewecare/222927978372067/6363189560817397262/6363189560817397262_signature_31.png</t>
  </si>
  <si>
    <t>Due for Preventive maintenance</t>
  </si>
  <si>
    <t>Unit is operational except module B4</t>
  </si>
  <si>
    <t>B4: 738203 for replacement</t>
  </si>
  <si>
    <t>https://www.jotform.com/uploads/macarewecare/222927978372067/6363188940813558963/6363188940813558963_signature_28.png</t>
  </si>
  <si>
    <t>https://www.jotform.com/uploads/macarewecare/222927978372067/6363188940813558963/6363188940813558963_signature_31.png</t>
  </si>
  <si>
    <t>monsampayan24@gmail.com</t>
  </si>
  <si>
    <t xml:space="preserve">ASSAY: Xpert MTB/RIF Ultra, COUNT: 361
</t>
  </si>
  <si>
    <t>Data Collection</t>
  </si>
  <si>
    <t>https://www.jotform.com/uploads/macarewecare/222927978372067/6363061006127293262/6363061006127293262_signature_28.png</t>
  </si>
  <si>
    <t>Mon Edcelle Q. Sampayan</t>
  </si>
  <si>
    <t>https://www.jotform.com/uploads/macarewecare/222927978372067/6363061006127293262/6363061006127293262_signature_31.png</t>
  </si>
  <si>
    <t>https://www.jotform.com/uploads/macarewecare/222927978372067/6363016776156601102/6363016776156601102_signature_28.png</t>
  </si>
  <si>
    <t>https://www.jotform.com/uploads/macarewecare/222927978372067/6363016776156601102/6363016776156601102_signature_31.png</t>
  </si>
  <si>
    <t>Sinait District Hospital</t>
  </si>
  <si>
    <t>Sinait,Ilocos Sur</t>
  </si>
  <si>
    <t>isdhsinaitlaboratory@gmail.com</t>
  </si>
  <si>
    <t>https://www.jotform.com/uploads/macarewecare/222927978372067/6363015226153976570/6363015226153976570_signature_28.png</t>
  </si>
  <si>
    <t>Claire Marie Baguyo-Diculen</t>
  </si>
  <si>
    <t>https://www.jotform.com/uploads/macarewecare/222927978372067/6363015226153976570/6363015226153976570_signature_31.png</t>
  </si>
  <si>
    <t>Laoag City Health Office</t>
  </si>
  <si>
    <t>Laoag City, Ilocos Norte</t>
  </si>
  <si>
    <t>denver.mahor@gmail.com</t>
  </si>
  <si>
    <t>https://www.jotform.com/uploads/macarewecare/222927978372067/6363013516155874983/6363013516155874983_signature_28.png</t>
  </si>
  <si>
    <t>MARY STEPHANIE R. SUGUITAN</t>
  </si>
  <si>
    <t>https://www.jotform.com/uploads/macarewecare/222927978372067/6363013516155874983/6363013516155874983_signature_31.png</t>
  </si>
  <si>
    <t>Candon,Ilocos Sur</t>
  </si>
  <si>
    <t>Unit is Partially Operational
Module 4 for Reporting</t>
  </si>
  <si>
    <t>https://www.jotform.com/uploads/macarewecare/222927978372067/6363012586159995182/6363012586159995182_signature_28.png</t>
  </si>
  <si>
    <t>https://www.jotform.com/uploads/macarewecare/222927978372067/6363012586159995182/6363012586159995182_signature_31.png</t>
  </si>
  <si>
    <t>Sudipen Rural Health Unit</t>
  </si>
  <si>
    <t>Sudipen, La Union</t>
  </si>
  <si>
    <t>piaramuj@gmail.com</t>
  </si>
  <si>
    <t>https://www.jotform.com/uploads/macarewecare/222927978372067/6363011616157198558/6363011616157198558_signature_28.png</t>
  </si>
  <si>
    <t>Pia Jumar T. Ramirez</t>
  </si>
  <si>
    <t>https://www.jotform.com/uploads/macarewecare/222927978372067/6363011616157198558/6363011616157198558_signature_31.png</t>
  </si>
  <si>
    <t>For UPS Replacement</t>
  </si>
  <si>
    <t>Replaced Defective UPS</t>
  </si>
  <si>
    <t>DR 13360</t>
  </si>
  <si>
    <t>https://www.jotform.com/uploads/macarewecare/222927978372067/6363010316152765933/6363010316152765933_signature_28.png</t>
  </si>
  <si>
    <t>Agnes Abalos</t>
  </si>
  <si>
    <t>https://www.jotform.com/uploads/macarewecare/222927978372067/6363010316152765933/6363010316152765933_signature_31.png</t>
  </si>
  <si>
    <t>Biopath Clinical Diagnostics</t>
  </si>
  <si>
    <t>Esco</t>
  </si>
  <si>
    <t>BiopathCAP@biopath.ph</t>
  </si>
  <si>
    <t>PCR-3A3</t>
  </si>
  <si>
    <t>2020-154133</t>
  </si>
  <si>
    <t>Due for preventive maintenance.</t>
  </si>
  <si>
    <t>Save file.</t>
  </si>
  <si>
    <t>PCR functional ok to use.</t>
  </si>
  <si>
    <t>https://www.jotform.com/uploads/macarewecare/222927978372067/6362309104213196178/6362309104213196178_signature_28.png</t>
  </si>
  <si>
    <t>Mary Joy Lacsima</t>
  </si>
  <si>
    <t>https://www.jotform.com/uploads/macarewecare/222927978372067/6362309104213196178/6362309104213196178_signature_31.png</t>
  </si>
  <si>
    <t>Due for Preventive Maintenance.</t>
  </si>
  <si>
    <t>Functional ok to use.</t>
  </si>
  <si>
    <t>https://www.jotform.com/uploads/macarewecare/222927978372067/6362305944212605318/6362305944212605318_signature_28.png</t>
  </si>
  <si>
    <t>https://www.jotform.com/uploads/macarewecare/222927978372067/6362305944212605318/6362305944212605318_signature_31.png</t>
  </si>
  <si>
    <t>Due for Quarterly Maintenance</t>
  </si>
  <si>
    <t>Save files.</t>
  </si>
  <si>
    <t>PCR Cabinet are functional ok to use.</t>
  </si>
  <si>
    <t>https://www.jotform.com/uploads/macarewecare/222927978372067/6362298424217074265/6362298424217074265_signature_28.png</t>
  </si>
  <si>
    <t>https://www.jotform.com/uploads/macarewecare/222927978372067/6362298424217074265/6362298424217074265_signature_31.png</t>
  </si>
  <si>
    <t>Pio Duran Rural Health Unit</t>
  </si>
  <si>
    <t>Caratagan, Pio Duran</t>
  </si>
  <si>
    <t>mitzijc@yahoo.com</t>
  </si>
  <si>
    <t xml:space="preserve">ASSAY: Xpert MTB/RIF Ultra, COUNT: 456
</t>
  </si>
  <si>
    <t>https://www.jotform.com/uploads/macarewecare/222927978372067/6362290177006725488/6362290177006725488_signature_28.png</t>
  </si>
  <si>
    <t>Karen Pepan̈o Nieva</t>
  </si>
  <si>
    <t>https://www.jotform.com/uploads/macarewecare/222927978372067/6362290177006725488/6362290177006725488_signature_31.png</t>
  </si>
  <si>
    <t>Sta. Cruz Sur, Iriga</t>
  </si>
  <si>
    <t>GX4-6C for Preventive Maintenance</t>
  </si>
  <si>
    <t>Cleaned cartridge bays, plunger rod 
Generate Data 
Provide endorsement letter</t>
  </si>
  <si>
    <t>https://www.jotform.com/uploads/macarewecare/222927978372067/6362289827009546402/6362289827009546402_signature_28.png</t>
  </si>
  <si>
    <t>https://www.jotform.com/uploads/macarewecare/222927978372067/6362289827009546402/6362289827009546402_signature_31.png</t>
  </si>
  <si>
    <t>Iriga City City Health Office</t>
  </si>
  <si>
    <t>Sta. Cruz Sur</t>
  </si>
  <si>
    <t xml:space="preserve">ASSAY: Xpert MTB/RIF Ultra, COUNT: 1461
ASSAY: Xpert MTB-XDR, COUNT: 58
</t>
  </si>
  <si>
    <t>GX4-10C for Preventive Maintenance</t>
  </si>
  <si>
    <t>https://www.jotform.com/uploads/macarewecare/222927978372067/6362289017007990593/6362289017007990593_signature_28.png</t>
  </si>
  <si>
    <t>https://www.jotform.com/uploads/macarewecare/222927978372067/6362289017007990593/6362289017007990593_signature_31.png</t>
  </si>
  <si>
    <t>https://www.jotform.com/uploads/macarewecare/222927978372067/6362186372515860759/6362186372515860759_signature_28.png</t>
  </si>
  <si>
    <t>Marc francis Abapo</t>
  </si>
  <si>
    <t>https://www.jotform.com/uploads/macarewecare/222927978372067/6362186372515860759/6362186372515860759_signature_31.png</t>
  </si>
  <si>
    <t>Bolinao RHU</t>
  </si>
  <si>
    <t>Bolinao Pangasinan</t>
  </si>
  <si>
    <t>GX IV D</t>
  </si>
  <si>
    <t>Defective workstation</t>
  </si>
  <si>
    <t>Replaced and installed mother board,SSD,PSU
Performed functionality test</t>
  </si>
  <si>
    <t>https://www.jotform.com/uploads/macarewecare/222927978372067/6362160213619174550/6362160213619174550_signature_28.png</t>
  </si>
  <si>
    <t>In house repair</t>
  </si>
  <si>
    <t>https://www.jotform.com/uploads/macarewecare/222927978372067/6362160213619174550/6362160213619174550_signature_31.png</t>
  </si>
  <si>
    <t>Polomolok Rural Health Unit</t>
  </si>
  <si>
    <t>Polomolok, South Cotabato</t>
  </si>
  <si>
    <t>jmmirasolrmt@gmail.com</t>
  </si>
  <si>
    <t xml:space="preserve">ASSAY: Xpert MTB/RIF Ultra, COUNT: 2170
</t>
  </si>
  <si>
    <t>Perform Genexpert machine Cleaning and maintenance 
Module cleaning 
Plunger rod and Optics cleaning 
Fan and filter cleaning 
Checking of modules status and errors 
Data collection</t>
  </si>
  <si>
    <t>https://www.jotform.com/uploads/macarewecare/222927978372067/6361687515321148638/6361687515321148638_signature_28.png</t>
  </si>
  <si>
    <t>June Michele Mirasol</t>
  </si>
  <si>
    <t>https://www.jotform.com/uploads/macarewecare/222927978372067/6361687515321148638/6361687515321148638_signature_31.png</t>
  </si>
  <si>
    <t>Scout Magbanua Street, Quezon City</t>
  </si>
  <si>
    <t xml:space="preserve">ASSAY: Xpert MTB/RIF Ultra, COUNT: 576
</t>
  </si>
  <si>
    <t>Unit is due for XpertCheck.
Unit is due for Preventive Maintenance.</t>
  </si>
  <si>
    <t>Cleaned Cartridge Bay, Plunger Rod and Icore Optics.
Checked Filter if Clogged.
Performed Self-test.
Checked System's Functionality.
Generate Reports.</t>
  </si>
  <si>
    <t>XpertCheck Result:
B1 - Pass
B2- Pass
B3- Pass
B4- Service Required</t>
  </si>
  <si>
    <t>B4/210128226 for Module Replacement</t>
  </si>
  <si>
    <t>SI# 101121</t>
  </si>
  <si>
    <t>https://www.jotform.com/uploads/macarewecare/222927978372067/6361472343613183591/6361472343613183591_signature_28.png</t>
  </si>
  <si>
    <t>Prince Henry Oseña</t>
  </si>
  <si>
    <t>https://www.jotform.com/uploads/macarewecare/222927978372067/6361472343613183591/6361472343613183591_signature_31.png</t>
  </si>
  <si>
    <t>Jose Abad Santos Rural Health Unit</t>
  </si>
  <si>
    <t>Poblacion, Jose Abad Santos</t>
  </si>
  <si>
    <t>alcalend47777@gmail.com</t>
  </si>
  <si>
    <t xml:space="preserve">ASSAY: Xpert MTB/RIF Ultra, COUNT: 468
</t>
  </si>
  <si>
    <t>For Preventive Maintenance
UPS not working
System Unit Not working</t>
  </si>
  <si>
    <t>Change UPS Batteries
Change Cmos Battery, reset network connection
Clean Surface Area, Cartridge Bay, Plunger Rod, Fan Filters and Icore Lenses
Generate IQR, Assay Stat and System Log
Archived Data test results</t>
  </si>
  <si>
    <t>Perform Preventive Maintenance
System Unit Troubleshooting
UPS Battery Replacement</t>
  </si>
  <si>
    <t>All Modules are operational
Successfully replaced UPS Batteries
System Unit is operational</t>
  </si>
  <si>
    <t>https://www.jotform.com/uploads/macarewecare/222927978372067/6361289763023557581/6361289763023557581_signature_28.png</t>
  </si>
  <si>
    <t>Dranreb John T. Alcalen</t>
  </si>
  <si>
    <t>https://www.jotform.com/uploads/macarewecare/222927978372067/6361289763023557581/6361289763023557581_signature_31.png</t>
  </si>
  <si>
    <t>Matalino St., Quezon City</t>
  </si>
  <si>
    <t>No display</t>
  </si>
  <si>
    <t>Troubleshoot the unit</t>
  </si>
  <si>
    <t>Checked connections
Reseat display cable and CPU board
Check display panel</t>
  </si>
  <si>
    <t>Unit is not operational. For possible display cable replacement.</t>
  </si>
  <si>
    <t>https://www.jotform.com/uploads/macarewecare/222927978372067/6360625409301302160/6360625409301302160_signature_28.png</t>
  </si>
  <si>
    <t>Cathlyn Pua</t>
  </si>
  <si>
    <t>https://www.jotform.com/uploads/macarewecare/222927978372067/6360625409301302160/6360625409301302160_signature_31.png</t>
  </si>
  <si>
    <t>Jolo sanitarium and General Hospital</t>
  </si>
  <si>
    <t>Upper san Raymondo, sulu Sanitarium</t>
  </si>
  <si>
    <t>shirleymedtech22@gmail.com</t>
  </si>
  <si>
    <t>Preventive Maintenence and data collection.</t>
  </si>
  <si>
    <t>https://www.jotform.com/uploads/macarewecare/222927978372067/6358958462119414432/6358958462119414432_signature_28.png</t>
  </si>
  <si>
    <t>https://www.jotform.com/uploads/macarewecare/222927978372067/6358958462119414432/6358958462119414432_signature_31.png</t>
  </si>
  <si>
    <t>Pasig Blvd. Pasig City</t>
  </si>
  <si>
    <t>princeszvillaran13@gmail.com</t>
  </si>
  <si>
    <t xml:space="preserve">ASSAY: Xpert HPV, COUNT: 57
ASSAY: Xpert MTB/RIF Ultra, COUNT: 179
ASSAY: Xpert SARS-CoV-2, COUNT: 13
ASSAY: Xpert HIV-1 Viral Load, COUNT: 55
ASSAY: Xpress SARS-CoV-2_Flu_RSV plus, COUNT: 445
</t>
  </si>
  <si>
    <t>Network switch power supply replacement</t>
  </si>
  <si>
    <t>Replaced network switch power supply</t>
  </si>
  <si>
    <t>Performed maintenance 
Replaced network switch power supply
Functionality test
Checked other modules</t>
  </si>
  <si>
    <t>Unit is operational. Module A1/220037444 not detected ,for replacement (under warranty). Module A2/860940, B3/702534, D4/661946 reported already for replacement. Module C4/730100 error 4017 for reporting. Module A4/647085 not detected, for reporting. Module B1/701496 not detected, for reporting. UPS has no backup power. Recommend to replace.</t>
  </si>
  <si>
    <t>Power supply.</t>
  </si>
  <si>
    <t>SI# 101188, DR#13394</t>
  </si>
  <si>
    <t>https://www.jotform.com/uploads/macarewecare/222927978372067/6358926188743300759/6358926188743300759_signature_28.png</t>
  </si>
  <si>
    <t>Benita Gracia N. Viloria, RMT</t>
  </si>
  <si>
    <t>https://www.jotform.com/uploads/macarewecare/222927978372067/6358926188743300759/6358926188743300759_signature_31.png</t>
  </si>
  <si>
    <t>https://www.jotform.com/uploads/macarewecare/222927978372067/6358926188746584267/6358926188746584267_signature_28.png</t>
  </si>
  <si>
    <t>https://www.jotform.com/uploads/macarewecare/222927978372067/6358926188746584267/6358926188746584267_signature_31.png</t>
  </si>
  <si>
    <t>Lung Center Of The Philippines</t>
  </si>
  <si>
    <t>02D166</t>
  </si>
  <si>
    <t>For troibleshooting due to display ang initialization issue..
UPS unable to provide back up power.</t>
  </si>
  <si>
    <t>Performed troubleshooting using good CPU and Battery for UPS.
System initialization was completed after the swapping of CPU..
UPS provide back up after swapping of battery.</t>
  </si>
  <si>
    <t>Swapped CPU.
Swapped UPS battery.</t>
  </si>
  <si>
    <t>Unit not operational..
Recommended for CPU replacement.
UPS recommended for battery replacement.</t>
  </si>
  <si>
    <t>Pulled out the CPU and battery.</t>
  </si>
  <si>
    <t>CPU and Battery for troubleshooting and problem issolation.</t>
  </si>
  <si>
    <t>DR NUMBER: 13384</t>
  </si>
  <si>
    <t>https://www.jotform.com/uploads/macarewecare/222927978372067/6358909580411465942/6358909580411465942_signature_28.png</t>
  </si>
  <si>
    <t>Janella Madulid</t>
  </si>
  <si>
    <t>https://www.jotform.com/uploads/macarewecare/222927978372067/6358909580411465942/6358909580411465942_signature_31.png</t>
  </si>
  <si>
    <t>St. Lukes Medical Center Extension Clinic</t>
  </si>
  <si>
    <t>Bocobo Street Ermita Manila</t>
  </si>
  <si>
    <t>plosbanos@macare-medicals.con</t>
  </si>
  <si>
    <t>Modules A3 and B2 for replacement</t>
  </si>
  <si>
    <t>Replaced modules A3 (754001 &gt; 698176)and B2 (702345 &gt; 866654)</t>
  </si>
  <si>
    <t>Replaced defective modules</t>
  </si>
  <si>
    <t>Genexpert Module, Assembly door, Modified ejector for Genexpert Infinity (x2)</t>
  </si>
  <si>
    <t>DR 13370</t>
  </si>
  <si>
    <t>https://www.jotform.com/uploads/macarewecare/222927978372067/6358894097312664801/6358894097312664801_signature_28.png</t>
  </si>
  <si>
    <t>Jasmine Rule</t>
  </si>
  <si>
    <t>https://www.jotform.com/uploads/macarewecare/222927978372067/6358894097312664801/6358894097312664801_signature_31.png</t>
  </si>
  <si>
    <t>Maimbung District Hospital</t>
  </si>
  <si>
    <t>Maimbung sulu</t>
  </si>
  <si>
    <t>mdhclinlab23@gmail.com</t>
  </si>
  <si>
    <t xml:space="preserve">ASSAY: Xpert MTB/RIF Ultra, COUNT: 458
</t>
  </si>
  <si>
    <t>Preventive Maintenence and Data collection.</t>
  </si>
  <si>
    <t>Preventive Maintenence and data collection</t>
  </si>
  <si>
    <t>All modules are available</t>
  </si>
  <si>
    <t>https://www.jotform.com/uploads/macarewecare/222927978372067/6358848428117679374/6358848428117679374_signature_28.png</t>
  </si>
  <si>
    <t>Amerkhan d adji, RMT</t>
  </si>
  <si>
    <t>https://www.jotform.com/uploads/macarewecare/222927978372067/6358848428117679374/6358848428117679374_signature_31.png</t>
  </si>
  <si>
    <t>Due for PM</t>
  </si>
  <si>
    <t>-Perform preventive maintenance; plunger rod, cartridge bay, fan filter, optic slot</t>
  </si>
  <si>
    <t>https://www.jotform.com/uploads/macarewecare/222927978372067/6358717415027174913/6358717415027174913_signature_28.png</t>
  </si>
  <si>
    <t>https://www.jotform.com/uploads/macarewecare/222927978372067/6358717415027174913/6358717415027174913_signature_31.png</t>
  </si>
  <si>
    <t xml:space="preserve">ASSAY: Xpert BCR-ABL Ultra, COUNT: 1725
ASSAY: Xpert CT/NG, COUNT: 24
ASSAY: Others, COUNT: 115
ASSAY: Xpert HBV VL, COUNT: 914
ASSAY: Xpert HPV, COUNT: 127
ASSAY: Xpert MTB/RIF Ultra, COUNT: 2683
ASSAY: Xpert SARS-CoV-2, COUNT: 840
ASSAY: Xpert HCV VL, COUNT: 169
</t>
  </si>
  <si>
    <t>GX16D</t>
  </si>
  <si>
    <t>Due for Maintenance and Xpertcheck</t>
  </si>
  <si>
    <t>A1,A2,C2,D2 reported already for replacement
A3,B3 failed XC last 9/30/24 reported for replacement
A4,B2,C1,C4,D1,D4 Passed in Xpertcheck
B1,B4,C3,D3 failed in Xpertcheck</t>
  </si>
  <si>
    <t>https://www.jotform.com/uploads/macarewecare/222927978372067/6358688483613599721/6358688483613599721_signature_28.png</t>
  </si>
  <si>
    <t>Ma Odessa Barretto</t>
  </si>
  <si>
    <t>https://www.jotform.com/uploads/macarewecare/222927978372067/6358688483613599721/6358688483613599721_signature_31.png</t>
  </si>
  <si>
    <t xml:space="preserve">ASSAY: Xpert BCR-ABL Ultra, COUNT: 84
ASSAY: Xpert CT/NG, COUNT: 1
ASSAY: Others, COUNT: 8
ASSAY: Xpert HBV VL, COUNT: 49
ASSAY: Xpert HPV, COUNT: 2
ASSAY: Xpert MTB/RIF Ultra, COUNT: 93
ASSAY: Xpert SARS-CoV-2, COUNT: 1
ASSAY: Xpert HCV VL, COUNT: 11
</t>
  </si>
  <si>
    <t>Performed xpertcheck
Cleaned unit
Cleaned plunger rod,filter,icore,cartridge bay
Restart worstation and genexpert
Gathered reports
Test run unit</t>
  </si>
  <si>
    <t>All module passed in xpert check</t>
  </si>
  <si>
    <t>Xpertcheck kits.</t>
  </si>
  <si>
    <t>https://www.jotform.com/uploads/macarewecare/222927978372067/6358684393613025668/6358684393613025668_signature_28.png</t>
  </si>
  <si>
    <t>https://www.jotform.com/uploads/macarewecare/222927978372067/6358684393613025668/6358684393613025668_signature_31.png</t>
  </si>
  <si>
    <t>Bandara-ingud, Camalig Marantao Lanao del Sur</t>
  </si>
  <si>
    <t>sorayajmmuti@gmail.com</t>
  </si>
  <si>
    <t>Monitor problem vertical line with serial number CNK94301W2.</t>
  </si>
  <si>
    <t>Cannot save installation report and other's due to defective CPU problem no power ON.</t>
  </si>
  <si>
    <t>Replace old monitor with new monitor with serial number H22V8VL658A250716069</t>
  </si>
  <si>
    <t>New monitor are functional ok to use.</t>
  </si>
  <si>
    <t>https://www.jotform.com/uploads/macarewecare/222927978372067/6358188910636125748/6358188910636125748_signature_28.png</t>
  </si>
  <si>
    <t>Soraya Jamila M. Muti R.M.T., A.M.T</t>
  </si>
  <si>
    <t>https://www.jotform.com/uploads/macarewecare/222927978372067/6358188910636125748/6358188910636125748_signature_31.png</t>
  </si>
  <si>
    <t>University of the East Ramon Magsaysay Memorial Medical Center, Inc.</t>
  </si>
  <si>
    <t>Aurora Blvd., Quezon City</t>
  </si>
  <si>
    <t>-&gt; set calibration parameters to accepted value range
-&gt; replaced rotor motor pump rubbers</t>
  </si>
  <si>
    <t>-&gt; replaced roller motor pump rubbers
-&gt; checked calibration parameters (set bowl optics offset value and whole scale value; set DPM and SPM whole scale values) 
-&gt; performed self test</t>
  </si>
  <si>
    <t>unit is operational</t>
  </si>
  <si>
    <t>https://www.jotform.com/uploads/macarewecare/222927978372067/6358039528176179345/6358039528176179345_signature_28.png</t>
  </si>
  <si>
    <t>Maxyme Erika B. Desiderio</t>
  </si>
  <si>
    <t>https://www.jotform.com/uploads/macarewecare/222927978372067/6358039528176179345/6358039528176179345_signature_31.png</t>
  </si>
  <si>
    <t>Hi Precision Diagnostics</t>
  </si>
  <si>
    <t>Unit is operational. 2 modules, A2(692016) and A3 (693796) are service required based on the Xpertcheck result by Cepheid PH last June 2025.</t>
  </si>
  <si>
    <t>https://www.jotform.com/uploads/macarewecare/222927978372067/6358025374342688540/6358025374342688540_signature_28.png</t>
  </si>
  <si>
    <t>Joselito T. Chua</t>
  </si>
  <si>
    <t>https://www.jotform.com/uploads/macarewecare/222927978372067/6358025374342688540/6358025374342688540_signature_31.png</t>
  </si>
  <si>
    <t>Unit is operational. 2 modules, B2 (787789) and B3 (891796) are service required based on the Xpertcheck result by Cepheid PH last June 2025.</t>
  </si>
  <si>
    <t>https://www.jotform.com/uploads/macarewecare/222927978372067/6358025374342880401/6358025374342880401_signature_28.png</t>
  </si>
  <si>
    <t>https://www.jotform.com/uploads/macarewecare/222927978372067/6358025374342880401/6358025374342880401_signature_31.png</t>
  </si>
  <si>
    <t>https://www.jotform.com/uploads/macarewecare/222927978372067/6357985885327718727/6357985885327718727_signature_28.png</t>
  </si>
  <si>
    <t>https://www.jotform.com/uploads/macarewecare/222927978372067/6357985885327718727/6357985885327718727_signature_31.png</t>
  </si>
  <si>
    <t>Padada Rural Health Unit</t>
  </si>
  <si>
    <t>zhakie.marvz@gmail.com</t>
  </si>
  <si>
    <t xml:space="preserve">ASSAY: Xpert MTB/RIF Ultra, COUNT: 612
</t>
  </si>
  <si>
    <t>https://www.jotform.com/uploads/macarewecare/222927978372067/6357968534828128656/6357968534828128656_signature_28.png</t>
  </si>
  <si>
    <t>Marvielyn Corpin Lusica</t>
  </si>
  <si>
    <t>https://www.jotform.com/uploads/macarewecare/222927978372067/6357968534828128656/6357968534828128656_signature_31.png</t>
  </si>
  <si>
    <t>Burauen District Hospital</t>
  </si>
  <si>
    <t>Burauen Leyte</t>
  </si>
  <si>
    <t>burauenlab@yahoo.com</t>
  </si>
  <si>
    <t>https://www.jotform.com/uploads/macarewecare/222927978372067/6357951924418027144/6357951924418027144_signature_28.png</t>
  </si>
  <si>
    <t>Mary Ann Sudario</t>
  </si>
  <si>
    <t>https://www.jotform.com/uploads/macarewecare/222927978372067/6357951924418027144/6357951924418027144_signature_31.png</t>
  </si>
  <si>
    <t>Diit District Health Center</t>
  </si>
  <si>
    <t>Diit, Tacloban Leyte</t>
  </si>
  <si>
    <t>dalepenalosa189@gmail.com</t>
  </si>
  <si>
    <t>https://www.jotform.com/uploads/macarewecare/222927978372067/6357290097426555021/6357290097426555021_signature_28.png</t>
  </si>
  <si>
    <t>https://www.jotform.com/uploads/macarewecare/222927978372067/6357290097426555021/6357290097426555021_signature_31.png</t>
  </si>
  <si>
    <t>Mini Forest Health Center</t>
  </si>
  <si>
    <t>Quezon Boulevard, Davao City</t>
  </si>
  <si>
    <t>miniforestlaboratory@gmail.com</t>
  </si>
  <si>
    <t xml:space="preserve">ASSAY: Xpert MTB/RIF Ultra, COUNT: 585
</t>
  </si>
  <si>
    <t>https://www.jotform.com/uploads/macarewecare/222927978372067/6357084504826468832/6357084504826468832_signature_28.png</t>
  </si>
  <si>
    <t>Lolijell Torralba,. RMT</t>
  </si>
  <si>
    <t>https://www.jotform.com/uploads/macarewecare/222927978372067/6357084504826468832/6357084504826468832_signature_31.png</t>
  </si>
  <si>
    <t>Brgy. West Dadiangas, General Santos City</t>
  </si>
  <si>
    <t>celinejean16@gmail.com</t>
  </si>
  <si>
    <t xml:space="preserve">ASSAY: Xpert MTB/RIF Ultra, COUNT: 1777
</t>
  </si>
  <si>
    <t>Perform Genexpert machine cleaning and maintenance 
Module cleaning 
Plunger rod and Optics cleaning 
Fan and filter cleaning 
Checking of module status/problem
Data reporting</t>
  </si>
  <si>
    <t>https://www.jotform.com/uploads/macarewecare/222927978372067/6356517485324116264/6356517485324116264_signature_28.png</t>
  </si>
  <si>
    <t>Celine Jean villanueva</t>
  </si>
  <si>
    <t>https://www.jotform.com/uploads/macarewecare/222927978372067/6356517485324116264/6356517485324116264_signature_31.png</t>
  </si>
  <si>
    <t xml:space="preserve">ASSAY: Xpert MTB/RIF Ultra, COUNT: 2384
</t>
  </si>
  <si>
    <t>Genexpert computer unit /CPU defective</t>
  </si>
  <si>
    <t>Perform CPU troubleshooting 
Perform Genexpert machine Cleaning and maintenance 
CPU problem reporting</t>
  </si>
  <si>
    <t>CPU troubleshooting 
Preventive maintenance</t>
  </si>
  <si>
    <t>CPU motherboard problem 
CPU request for replacement due to Motherboard problem
Genexpert none operational due to computer/CPU problem</t>
  </si>
  <si>
    <t>https://www.jotform.com/uploads/macarewecare/222927978372067/6356516155321910774/6356516155321910774_signature_28.png</t>
  </si>
  <si>
    <t>https://www.jotform.com/uploads/macarewecare/222927978372067/6356516155321910774/6356516155321910774_signature_31.png</t>
  </si>
  <si>
    <t>Tampakan, South Cotabato</t>
  </si>
  <si>
    <t>lotisglegada@gmail.com</t>
  </si>
  <si>
    <t xml:space="preserve">ASSAY: Xpert MTB/RIF Ultra, COUNT: 866
</t>
  </si>
  <si>
    <t>Perform Genexpert Cleaning and maintenance 
Module cleaning 
Plunger rod and Optics cleaning 
Fan and filter cleaning 
Checking of module status/errors 
Data collection</t>
  </si>
  <si>
    <t>https://www.jotform.com/uploads/macarewecare/222927978372067/6356515215327388530/6356515215327388530_signature_28.png</t>
  </si>
  <si>
    <t>Lotis G. Legada</t>
  </si>
  <si>
    <t>https://www.jotform.com/uploads/macarewecare/222927978372067/6356515215327388530/6356515215327388530_signature_31.png</t>
  </si>
  <si>
    <t>MEDI LINX Laboratory Inc. / St. Elizabeth Hospital Inc.</t>
  </si>
  <si>
    <t>therese.cariaga@medilinx.com.ph</t>
  </si>
  <si>
    <t xml:space="preserve">ASSAY: Xpert MTB/RIF Ultra, COUNT: 50
</t>
  </si>
  <si>
    <t>All modules requesting for Module replacement due to H/W failed</t>
  </si>
  <si>
    <t>Replace defective module A1 SN:620845 with new module SN:220045650
Replace defective module A3 SN:713143 with new module SN:220045603
Perform Genexpert machine cleaning and maintenance 
Module cleaning 
Plunger rod and Optics cleaning 
Fan and filter cleaning 
Checking of module status/problem 
Data reporting</t>
  </si>
  <si>
    <t>Module repair 
Preventive maintenance</t>
  </si>
  <si>
    <t>- 2 operational modules ( A1 and A3)
- Module A2 and A4 requesting for module replacement</t>
  </si>
  <si>
    <t>Genexpert 6-color module 
SN: 220045650
SN: 220045603</t>
  </si>
  <si>
    <t>https://www.jotform.com/uploads/macarewecare/222927978372067/6356498245324387232/6356498245324387232_signature_28.png</t>
  </si>
  <si>
    <t>Maricris Sales</t>
  </si>
  <si>
    <t>https://www.jotform.com/uploads/macarewecare/222927978372067/6356498245324387232/6356498245324387232_signature_31.png</t>
  </si>
  <si>
    <t>Blumentrit, Sta. Cruz, Manila</t>
  </si>
  <si>
    <t>Fluid detected on centrifuge.</t>
  </si>
  <si>
    <t>Troubleshooting and cleaning of sensors.</t>
  </si>
  <si>
    <t>Performed troubleshooting of MCS+.
Performed cleaning of fluid sensor.
Performed simulation running and diagnostic setting.</t>
  </si>
  <si>
    <t>https://www.jotform.com/uploads/macarewecare/222927978372067/6356250985187605282/6356250985187605282_signature_28.png</t>
  </si>
  <si>
    <t>Jscqueline Zatzoso</t>
  </si>
  <si>
    <t>https://www.jotform.com/uploads/macarewecare/222927978372067/6356250985187605282/6356250985187605282_signature_31.png</t>
  </si>
  <si>
    <t>Maco Rural Health Unit</t>
  </si>
  <si>
    <t>Poblacion Maco</t>
  </si>
  <si>
    <t>edlienkai26@gmail.com</t>
  </si>
  <si>
    <t xml:space="preserve">ASSAY: Xpert MTB/RIF Ultra, COUNT: 806
</t>
  </si>
  <si>
    <t>https://www.jotform.com/uploads/macarewecare/222927978372067/6356233753785652837/6356233753785652837_signature_28.png</t>
  </si>
  <si>
    <t>La perla Belacho</t>
  </si>
  <si>
    <t>https://www.jotform.com/uploads/macarewecare/222927978372067/6356233753785652837/6356233753785652837_signature_31.png</t>
  </si>
  <si>
    <t>Libon Rural Health Unit</t>
  </si>
  <si>
    <t>Libon, Albay</t>
  </si>
  <si>
    <t>liorinlirio24@gmail.com</t>
  </si>
  <si>
    <t xml:space="preserve">ASSAY: Xpert MTB/RIF Ultra, COUNT: 620
</t>
  </si>
  <si>
    <t>Cleaned cartridge bays, plunger rod
Generate Data 
Provide letter of transition of service</t>
  </si>
  <si>
    <t>https://www.jotform.com/uploads/macarewecare/222927978372067/6356196513422823625/6356196513422823625_signature_28.png</t>
  </si>
  <si>
    <t>Lirio llorin</t>
  </si>
  <si>
    <t>https://www.jotform.com/uploads/macarewecare/222927978372067/6356196513422823625/6356196513422823625_signature_31.png</t>
  </si>
  <si>
    <t>TAYASAN RURAL HEALTH UNIT</t>
  </si>
  <si>
    <t>National Hiway, Tayasan, Negros Oriental</t>
  </si>
  <si>
    <t>ON-SITE ASSISTANCE
Unit transfer to main laboratory building</t>
  </si>
  <si>
    <t xml:space="preserve">ASSAY: Xpert MTB/RIF Ultra, COUNT: 385
</t>
  </si>
  <si>
    <t>Unit for transfer to main laboratory building</t>
  </si>
  <si>
    <t>Assist transfer and installation of Genexpert system and accessories.</t>
  </si>
  <si>
    <t>All modules operational</t>
  </si>
  <si>
    <t>https://www.jotform.com/uploads/macarewecare/222927978372067/6356129050813684541/6356129050813684541_signature_28.png</t>
  </si>
  <si>
    <t>Portia Cabanting RMT</t>
  </si>
  <si>
    <t>https://www.jotform.com/uploads/macarewecare/222927978372067/6356129050813684541/6356129050813684541_signature_31.png</t>
  </si>
  <si>
    <t>Naujan Municipal Health Office</t>
  </si>
  <si>
    <t>Naujan, Oriental Mindoro</t>
  </si>
  <si>
    <t>ellainehernandez27@gmail.com</t>
  </si>
  <si>
    <t>https://www.jotform.com/uploads/macarewecare/222927978372067/6355462723616033014/6355462723616033014_signature_28.png</t>
  </si>
  <si>
    <t>Ellaine Hernandez-Villas</t>
  </si>
  <si>
    <t>https://www.jotform.com/uploads/macarewecare/222927978372067/6355462723616033014/6355462723616033014_signature_31.png</t>
  </si>
  <si>
    <t>Metro Health Specialists Hospital Inc.</t>
  </si>
  <si>
    <t xml:space="preserve">ASSAY: Xpert MTB/RIF Ultra, COUNT: 7
</t>
  </si>
  <si>
    <t>Gx for Preventive</t>
  </si>
  <si>
    <t>https://www.jotform.com/uploads/macarewecare/222927978372067/6354607106123042736/6354607106123042736_signature_28.png</t>
  </si>
  <si>
    <t>https://www.jotform.com/uploads/macarewecare/222927978372067/6354607106123042736/6354607106123042736_signature_31.png</t>
  </si>
  <si>
    <t>brtth.covid19@gmail.com</t>
  </si>
  <si>
    <t>B4/210138841 - 4014 error</t>
  </si>
  <si>
    <t>Restarts Unit
Data collection</t>
  </si>
  <si>
    <t>Unit is Operational 
Modulw B1, B2, B3 Operational</t>
  </si>
  <si>
    <t>Reported Defective Module,  request for replacement</t>
  </si>
  <si>
    <t>https://www.jotform.com/uploads/macarewecare/222927978372067/6354606816124876261/6354606816124876261_signature_28.png</t>
  </si>
  <si>
    <t>https://www.jotform.com/uploads/macarewecare/222927978372067/6354606816124876261/6354606816124876261_signature_31.png</t>
  </si>
  <si>
    <t>Calabanga Rural Health</t>
  </si>
  <si>
    <t>CPU restarting</t>
  </si>
  <si>
    <t>Cleaned RAM
checked/swapped power cables
Resets cable connections from power source in CPU</t>
  </si>
  <si>
    <t>Unit is non operational 
CPU not powering on</t>
  </si>
  <si>
    <t>https://www.jotform.com/uploads/macarewecare/222927978372067/6354604856128684200/6354604856128684200_signature_28.png</t>
  </si>
  <si>
    <t>https://www.jotform.com/uploads/macarewecare/222927978372067/6354604856128684200/6354604856128684200_signature_31.png</t>
  </si>
  <si>
    <t>Our Lady of Mt. Carmel Medical Center</t>
  </si>
  <si>
    <t>San Fernando City Pampanga</t>
  </si>
  <si>
    <t>olmcmc.bloodbank@gmail.com</t>
  </si>
  <si>
    <t>15G043</t>
  </si>
  <si>
    <t>Due for calibration 
Roller for replacement</t>
  </si>
  <si>
    <t>Preventive maintenance
Calibration 
Repair</t>
  </si>
  <si>
    <t>Performed surface cleaning 
Checked parameters 
Performed Calibration 
Replacement of rollers 
Performed functionality test</t>
  </si>
  <si>
    <t>6 pump rotor rollers</t>
  </si>
  <si>
    <t>https://www.jotform.com/uploads/macarewecare/222927978372067/6352754473867298640/6352754473867298640_signature_28.png</t>
  </si>
  <si>
    <t>Genmerch Manabat</t>
  </si>
  <si>
    <t>https://www.jotform.com/uploads/macarewecare/222927978372067/6352754473867298640/6352754473867298640_signature_31.png</t>
  </si>
  <si>
    <t>Mt. Carmel</t>
  </si>
  <si>
    <t>https://www.jotform.com/uploads/macarewecare/222927978372067/6352754453869006730/6352754453869006730_signature_28.png</t>
  </si>
  <si>
    <t>https://www.jotform.com/uploads/macarewecare/222927978372067/6352754453869006730/6352754453869006730_signature_31.png</t>
  </si>
  <si>
    <t>https://www.jotform.com/uploads/macarewecare/222927978372067/6352713844228665752/6352713844228665752_signature_28.png</t>
  </si>
  <si>
    <t>https://www.jotform.com/uploads/macarewecare/222927978372067/6352713844228665752/6352713844228665752_signature_31.png</t>
  </si>
  <si>
    <t>https://www.jotform.com/uploads/macarewecare/222927978372067/6352712124222552367/6352712124222552367_signature_28.png</t>
  </si>
  <si>
    <t>https://www.jotform.com/uploads/macarewecare/222927978372067/6352712124222552367/6352712124222552367_signature_31.png</t>
  </si>
  <si>
    <t>https://www.jotform.com/uploads/macarewecare/222927978372067/6352706864225382187/6352706864225382187_signature_28.png</t>
  </si>
  <si>
    <t>https://www.jotform.com/uploads/macarewecare/222927978372067/6352706864225382187/6352706864225382187_signature_31.png</t>
  </si>
  <si>
    <t>https://www.jotform.com/uploads/macarewecare/222927978372067/6352705044229567081/6352705044229567081_signature_28.png</t>
  </si>
  <si>
    <t>https://www.jotform.com/uploads/macarewecare/222927978372067/6352705044229567081/6352705044229567081_signature_31.png</t>
  </si>
  <si>
    <t>Naguilian District Hospital</t>
  </si>
  <si>
    <t>Naguilian, La Union</t>
  </si>
  <si>
    <t>marjelynrayray01@gmail.com</t>
  </si>
  <si>
    <t>Unit is Fully Operational 
-High temperature due to nonfunctional Air-conditioning unit.</t>
  </si>
  <si>
    <t>https://www.jotform.com/uploads/macarewecare/222927978372067/6352703984224979401/6352703984224979401_signature_28.png</t>
  </si>
  <si>
    <t>Justine Castillo</t>
  </si>
  <si>
    <t>https://www.jotform.com/uploads/macarewecare/222927978372067/6352703984224979401/6352703984224979401_signature_31.png</t>
  </si>
  <si>
    <t>Sta. Cruz Rural Health Unit</t>
  </si>
  <si>
    <t>UPS battery not working
For Preventive Maintenance</t>
  </si>
  <si>
    <t>Reset connection of the UPS, check for line voltages
Clean Surface Area, Cartridge Bay, Plunger Rod, Fan Filters and Icore Lenses
Generate IQR, Assay Stat and System Log</t>
  </si>
  <si>
    <t>Perform Preventive Maintenance
And UPS Troubleshooting</t>
  </si>
  <si>
    <t>All Modules are operational
Faulty UPS Battery</t>
  </si>
  <si>
    <t>Reported to Jotform for assessment</t>
  </si>
  <si>
    <t>https://www.jotform.com/uploads/macarewecare/222927978372067/6351904650428503549/6351904650428503549_signature_28.png</t>
  </si>
  <si>
    <t>https://www.jotform.com/uploads/macarewecare/222927978372067/6351904650428503549/6351904650428503549_signature_31.png</t>
  </si>
  <si>
    <t>Pinamalayan Rural Health Unit</t>
  </si>
  <si>
    <t>Pinamalayan, Oriental Mindoro</t>
  </si>
  <si>
    <t>medtechdave22@gmail.com</t>
  </si>
  <si>
    <t>https://www.jotform.com/uploads/macarewecare/222927978372067/6351831170116658829/6351831170116658829_signature_28.png</t>
  </si>
  <si>
    <t>Kris Allen A. Mabansag</t>
  </si>
  <si>
    <t>https://www.jotform.com/uploads/macarewecare/222927978372067/6351831170116658829/6351831170116658829_signature_31.png</t>
  </si>
  <si>
    <t>Davao City</t>
  </si>
  <si>
    <t>Stuck up mechanical chuck</t>
  </si>
  <si>
    <t>Checked centrifuge assy
Cleaned motor 
Removed and cleaned mechanical chuck
Adjust screw
Reset connector
Checked motor and alignment
Performed functionality test
Test run</t>
  </si>
  <si>
    <t>https://www.jotform.com/uploads/macarewecare/222927978372067/6351756263612933964/6351756263612933964_signature_28.png</t>
  </si>
  <si>
    <t>https://www.jotform.com/uploads/macarewecare/222927978372067/6351756263612933964/6351756263612933964_signature_31.png</t>
  </si>
  <si>
    <t xml:space="preserve">ASSAY: Xpert BCR-ABL Ultra, COUNT: 54
ASSAY: Xpert CT/NG, COUNT: 69
ASSAY: Xpert HBV VL, COUNT: 618
ASSAY: Xpert HIV-1 Viral Load, COUNT: 1020
ASSAY: Xpert HPV, COUNT: 427
ASSAY: Xpert MTB/RIF Ultra, COUNT: 6613
ASSAY: Xpert MTB-XDR, COUNT: 6
ASSAY: Others, COUNT: 6
ASSAY: Others, COUNT: 1
ASSAY: Xpert HCV VL, COUNT: 177
ASSAY: Xpress SARS-CoV-2_Flu_RSV plus, COUNT: 1421
</t>
  </si>
  <si>
    <t>Unit is operational. Module D1 has error 1001, for reporting.</t>
  </si>
  <si>
    <t>https://www.jotform.com/uploads/macarewecare/222927978372067/6351100303555350038/6351100303555350038_signature_28.png</t>
  </si>
  <si>
    <t>https://www.jotform.com/uploads/macarewecare/222927978372067/6351100303555350038/6351100303555350038_signature_31.png</t>
  </si>
  <si>
    <t>Blumentrit, Sta. Cruz Manila</t>
  </si>
  <si>
    <t>SI# 101134</t>
  </si>
  <si>
    <t>https://www.jotform.com/uploads/macarewecare/222927978372067/6351080213972372238/6351080213972372238_signature_28.png</t>
  </si>
  <si>
    <t>Russell Panem</t>
  </si>
  <si>
    <t>https://www.jotform.com/uploads/macarewecare/222927978372067/6351080213972372238/6351080213972372238_signature_31.png</t>
  </si>
  <si>
    <t>Blumentrit, Sta Cruz Manila</t>
  </si>
  <si>
    <t>Unit is operational. Module B1, B3 and B4 passed Xpertcheck. Module B2 (690208) service required.</t>
  </si>
  <si>
    <t>SI# 101133</t>
  </si>
  <si>
    <t>https://www.jotform.com/uploads/macarewecare/222927978372067/6351080203976717015/6351080203976717015_signature_28.png</t>
  </si>
  <si>
    <t>Sab claridad</t>
  </si>
  <si>
    <t>https://www.jotform.com/uploads/macarewecare/222927978372067/6351080203976717015/6351080203976717015_signature_31.png</t>
  </si>
  <si>
    <t>Nasipit Rural Health Unit</t>
  </si>
  <si>
    <t>Brgy. Talisay, Nasipit, ADN</t>
  </si>
  <si>
    <t>peterdolotina29@gmail.com</t>
  </si>
  <si>
    <t>UPS doesn't work. Unable to power ON CPU.</t>
  </si>
  <si>
    <t>Replacing UPS battery.
CPU Troubleshooting, CMOS Battery Replacement.</t>
  </si>
  <si>
    <t>https://www.jotform.com/uploads/macarewecare/222927978372067/6351080013927391028/6351080013927391028_signature_28.png</t>
  </si>
  <si>
    <t>Peter C Dolotina</t>
  </si>
  <si>
    <t>https://www.jotform.com/uploads/macarewecare/222927978372067/6351080013927391028/6351080013927391028_signature_31.png</t>
  </si>
  <si>
    <t>Mabini Street, Tagum City</t>
  </si>
  <si>
    <t>tagumcholab.mabini@gmail.com</t>
  </si>
  <si>
    <t xml:space="preserve">ASSAY: Xpert MTB/RIF Ultra, COUNT: 2947
</t>
  </si>
  <si>
    <t>Monitor Problem, Flickering Issue
For Preventive Maintenance</t>
  </si>
  <si>
    <t>Clean Surface Area, Cartridge Bay, Plunger Rod, Fan Filters and Icore Lenses
Generate IQR, Assay Stat and System Log
Reset power chord, change display cable. Still issue persist</t>
  </si>
  <si>
    <t>Perform Preventive Maintenance
Perform Monitor troubleshooting</t>
  </si>
  <si>
    <t>All Modules are operational
Monitor still having flickering issue</t>
  </si>
  <si>
    <t>Monitor issue reported to Jotform for assessment</t>
  </si>
  <si>
    <t>https://www.jotform.com/uploads/macarewecare/222927978372067/6351059656224420289/6351059656224420289_signature_28.png</t>
  </si>
  <si>
    <t>https://www.jotform.com/uploads/macarewecare/222927978372067/6351059656224420289/6351059656224420289_signature_31.png</t>
  </si>
  <si>
    <t xml:space="preserve">ASSAY: Xpert CT/NG, COUNT: 206
ASSAY: Xpert MTB/RIF Ultra, COUNT: 2453
</t>
  </si>
  <si>
    <t>Cleaned unit
Cleaned plunger rod,filter,icore,cartridge bay
Restart workstation
Gathered reports
Test run unit</t>
  </si>
  <si>
    <t>B1 and B2 operational
B3 and B4 reported already for replacement</t>
  </si>
  <si>
    <t>https://www.jotform.com/uploads/macarewecare/222927978372067/6350963683411226622/6350963683411226622_signature_28.png</t>
  </si>
  <si>
    <t>https://www.jotform.com/uploads/macarewecare/222927978372067/6350963683411226622/6350963683411226622_signature_31.png</t>
  </si>
  <si>
    <t xml:space="preserve">ASSAY: Xpert CT/NG, COUNT: 3
ASSAY: Xpert HBV VL, COUNT: 451
ASSAY: Xpert HIV-1 Viral Load, COUNT: 10
ASSAY: Xpert HPV, COUNT: 392
ASSAY: Xpert MTB/RIF Ultra, COUNT: 305
ASSAY: Xpert HCV VL, COUNT: 36
ASSAY: Xpert HIV-1 Viral Load, COUNT: 286
</t>
  </si>
  <si>
    <t>For maintenance 
C4 disabled</t>
  </si>
  <si>
    <t>Operational C1,C2,C3</t>
  </si>
  <si>
    <t>https://www.jotform.com/uploads/macarewecare/222927978372067/6350963063417038939/6350963063417038939_signature_28.png</t>
  </si>
  <si>
    <t>https://www.jotform.com/uploads/macarewecare/222927978372067/6350963063417038939/6350963063417038939_signature_31.png</t>
  </si>
  <si>
    <t>Liloy rural health unit</t>
  </si>
  <si>
    <t>Liloy Zamboanga del norte</t>
  </si>
  <si>
    <t>nova.timusan79@gmail.com</t>
  </si>
  <si>
    <t xml:space="preserve">ASSAY: Xpert MTB/RIF Ultra, COUNT: 1222
</t>
  </si>
  <si>
    <t>Module 1 temperature error.</t>
  </si>
  <si>
    <t>Preventive Maintenence and data collection. Check module and room temperatures. Module 1 under observation.</t>
  </si>
  <si>
    <t>All modules are available.</t>
  </si>
  <si>
    <t>https://www.jotform.com/uploads/macarewecare/222927978372067/6350342373571269092/6350342373571269092_signature_28.png</t>
  </si>
  <si>
    <t>Nova L Timusan</t>
  </si>
  <si>
    <t>https://www.jotform.com/uploads/macarewecare/222927978372067/6350342373571269092/6350342373571269092_signature_31.png</t>
  </si>
  <si>
    <t>B. Rodriguez Street, Cebu City</t>
  </si>
  <si>
    <t>charlimcmxci03@gmail.com</t>
  </si>
  <si>
    <t>new Installation</t>
  </si>
  <si>
    <t>Unit is in good condition</t>
  </si>
  <si>
    <t>https://www.jotform.com/uploads/macarewecare/222927978372067/6350306806129533557/6350306806129533557_signature_28.png</t>
  </si>
  <si>
    <t>Charlotte Mae M. Ygoña</t>
  </si>
  <si>
    <t>https://www.jotform.com/uploads/macarewecare/222927978372067/6350306806129533557/6350306806129533557_signature_31.png</t>
  </si>
  <si>
    <t xml:space="preserve">ASSAY: Xpert MTB/RIF Ultra, COUNT: 2241
ASSAY: Xpert HIV-1 Viral Load, COUNT: 633
</t>
  </si>
  <si>
    <t>C1,C2,C3,C4 passed in xpertcheck</t>
  </si>
  <si>
    <t>https://www.jotform.com/uploads/macarewecare/222927978372067/6350130973611267126/6350130973611267126_signature_28.png</t>
  </si>
  <si>
    <t>Tropical Disease Foundation, Inc.</t>
  </si>
  <si>
    <t>https://www.jotform.com/uploads/macarewecare/222927978372067/6350130973611267126/6350130973611267126_signature_31.png</t>
  </si>
  <si>
    <t>J.P. Laurel Highway, Lipa, Batangas</t>
  </si>
  <si>
    <t>Unit is due for Intallation.</t>
  </si>
  <si>
    <t>Performed Site Assessment.
Checked Outlet Voltage and Room Temperature.
Install GeneXpert System ( with UPS and Printer).
Checked Funtionality.
Performed Self-test.</t>
  </si>
  <si>
    <t>GeneXpert System is Operational.</t>
  </si>
  <si>
    <t>GeneXpert IV Desktop</t>
  </si>
  <si>
    <t>DR 13349</t>
  </si>
  <si>
    <t>https://www.jotform.com/uploads/macarewecare/222927978372067/6350054853615370591/6350054853615370591_signature_28.png</t>
  </si>
  <si>
    <t>Trisha Mae M. Rivera</t>
  </si>
  <si>
    <t>https://www.jotform.com/uploads/macarewecare/222927978372067/6350054853615370591/6350054853615370591_signature_31.png</t>
  </si>
  <si>
    <t xml:space="preserve">ASSAY: Xpert BCR-ABL Ultra, COUNT: 15
ASSAY: Xpert MTB/RIF Ultra, COUNT: 1006
</t>
  </si>
  <si>
    <t>B1 - With Sample Related Error.
B2,B3,B4 - Good.</t>
  </si>
  <si>
    <t>GX Unit For XpertCheck.</t>
  </si>
  <si>
    <t>https://www.jotform.com/uploads/macarewecare/222927978372067/6350054853616776708/6350054853616776708_signature_28.png</t>
  </si>
  <si>
    <t>Maria Liova Sherleen D. Calaunan</t>
  </si>
  <si>
    <t>https://www.jotform.com/uploads/macarewecare/222927978372067/6350054853616776708/6350054853616776708_signature_31.png</t>
  </si>
  <si>
    <t>Antero Soriano Highway, Tanza, Cavite</t>
  </si>
  <si>
    <t xml:space="preserve">ASSAY: Xpert CT/NG, COUNT: 7
ASSAY: Xpert HBV VL, COUNT: 2
ASSAY: Xpert HPV, COUNT: 8
ASSAY: Xpert HCV VL, COUNT: 4
ASSAY: Xpert HIV-1 Viral Load, COUNT: 156
</t>
  </si>
  <si>
    <t>XpertCheck.
Preventive Maintenance.</t>
  </si>
  <si>
    <t>XpertCheck Result:
B1 -Pass
B2- Pass
B3- Pass
B4- Pass</t>
  </si>
  <si>
    <t>DR# 13299</t>
  </si>
  <si>
    <t>https://www.jotform.com/uploads/macarewecare/222927978372067/6350054853617113872/6350054853617113872_signature_28.png</t>
  </si>
  <si>
    <t>Merriam Joy G. Sibbaluca</t>
  </si>
  <si>
    <t>https://www.jotform.com/uploads/macarewecare/222927978372067/6350054853617113872/6350054853617113872_signature_31.png</t>
  </si>
  <si>
    <t xml:space="preserve">ASSAY: Xpert MTB/RIF Ultra, COUNT: 467
</t>
  </si>
  <si>
    <t>Module 1 under observation due to temperature error</t>
  </si>
  <si>
    <t>Perform troubleshooting at module 1 due to multiple temperature error 
Genexpert machine Cleaning and maintenance 
Module cleaning 
Plunger rod and Optics cleaning 
Fan and filter cleaning 
Data collection</t>
  </si>
  <si>
    <t>Genexpert module 1 troubleshooting 
Preventive maintenance</t>
  </si>
  <si>
    <t>4 operational modules 
Module 1 under observation due to temperature errors</t>
  </si>
  <si>
    <t>https://www.jotform.com/uploads/macarewecare/222927978372067/6349639315323876601/6349639315323876601_signature_28.png</t>
  </si>
  <si>
    <t>Jenny A. Pingki-an</t>
  </si>
  <si>
    <t>https://www.jotform.com/uploads/macarewecare/222927978372067/6349639315323876601/6349639315323876601_signature_31.png</t>
  </si>
  <si>
    <t xml:space="preserve">ASSAY: Xpert HIV-1 Viral Load, COUNT: 52
</t>
  </si>
  <si>
    <t>B4/210138841 - 2008 Error (3rd time this September)</t>
  </si>
  <si>
    <t>Cleaned cartridge bays, plunger rod, 
Collected Data
reported to Cepheid</t>
  </si>
  <si>
    <t>https://www.jotform.com/uploads/macarewecare/222927978372067/6349606464017749349/6349606464017749349_signature_28.png</t>
  </si>
  <si>
    <t>Drinah Labanda</t>
  </si>
  <si>
    <t>https://www.jotform.com/uploads/macarewecare/222927978372067/6349606464017749349/6349606464017749349_signature_31.png</t>
  </si>
  <si>
    <t>Bicol Regional Hospital &amp; Medical Center</t>
  </si>
  <si>
    <t xml:space="preserve">ASSAY: Xpert HIV-1 Viral Load, COUNT: 44
</t>
  </si>
  <si>
    <t>B4/110026767 - 4014 error</t>
  </si>
  <si>
    <t>Cleaned Icore, self test module B4</t>
  </si>
  <si>
    <t>https://www.jotform.com/uploads/macarewecare/222927978372067/6349604194016290796/6349604194016290796_signature_28.png</t>
  </si>
  <si>
    <t>https://www.jotform.com/uploads/macarewecare/222927978372067/6349604194016290796/6349604194016290796_signature_31.png</t>
  </si>
  <si>
    <t>Feunte, Cebu City</t>
  </si>
  <si>
    <t>ronahofquila@gmail.com</t>
  </si>
  <si>
    <t>https://www.jotform.com/uploads/macarewecare/222927978372067/6349262135664329321/6349262135664329321_signature_28.png</t>
  </si>
  <si>
    <t>ronah may ofquila</t>
  </si>
  <si>
    <t>https://www.jotform.com/uploads/macarewecare/222927978372067/6349262135664329321/6349262135664329321_signature_31.png</t>
  </si>
  <si>
    <t>https://www.jotform.com/uploads/macarewecare/222927978372067/6349257234223584823/6349257234223584823_signature_28.png</t>
  </si>
  <si>
    <t>https://www.jotform.com/uploads/macarewecare/222927978372067/6349257234223584823/6349257234223584823_signature_31.png</t>
  </si>
  <si>
    <t>Loveyour Self</t>
  </si>
  <si>
    <t>preforzado@loveyourself.ph</t>
  </si>
  <si>
    <t>. Hardware Fail module 4 with serial number 627679.</t>
  </si>
  <si>
    <t>Save Installation Qualification Reports
Save System Log Report
Save Gxx file</t>
  </si>
  <si>
    <t>Replace old module and install new module with new serial number 210071653</t>
  </si>
  <si>
    <t>Module A1 and A4 ok to use.
Module A2 and A3 not ok to use,hardware fail</t>
  </si>
  <si>
    <t>https://www.jotform.com/uploads/macarewecare/222927978372067/6349238854218267538/6349238854218267538_signature_28.png</t>
  </si>
  <si>
    <t>Paulo Crispo Reforzado</t>
  </si>
  <si>
    <t>https://www.jotform.com/uploads/macarewecare/222927978372067/6349238854218267538/6349238854218267538_signature_31.png</t>
  </si>
  <si>
    <t>Tomas Claudio Health Center</t>
  </si>
  <si>
    <t>Camus St, Poblacion Davao</t>
  </si>
  <si>
    <t>arleen_p_alconera@yahoo.com</t>
  </si>
  <si>
    <t xml:space="preserve">ASSAY: Xpert MTB/RIF Ultra, COUNT: 1109
</t>
  </si>
  <si>
    <t>Clean Surface Area, Cartridge Bay, Plunger Rod, Fan Filters and Icore
Generate IQR, Assay Stat, and System Log</t>
  </si>
  <si>
    <t>https://www.jotform.com/uploads/macarewecare/222927978372067/6346752350227141579/6346752350227141579_signature_28.png</t>
  </si>
  <si>
    <t>Arleen Alconera,. RMT</t>
  </si>
  <si>
    <t>https://www.jotform.com/uploads/macarewecare/222927978372067/6346752350227141579/6346752350227141579_signature_31.png</t>
  </si>
  <si>
    <t>Obrero Main Health Center</t>
  </si>
  <si>
    <t>Brgy. Obrero, Butuan City</t>
  </si>
  <si>
    <t>bmccrcl2022@gmail.com</t>
  </si>
  <si>
    <t>Defective LCD Monitor</t>
  </si>
  <si>
    <t>Monitor Replacement</t>
  </si>
  <si>
    <t>Replacing Defective Monitor with SN: CNK94301W3 with SN: H22V8VL658A250716279
Preventive Maintenance</t>
  </si>
  <si>
    <t>NVISION H22V8 LED MONITOR</t>
  </si>
  <si>
    <t>https://www.jotform.com/uploads/macarewecare/222927978372067/6346733650973767238/6346733650973767238_signature_28.png</t>
  </si>
  <si>
    <t>Kristine Joy Pelletero</t>
  </si>
  <si>
    <t>https://www.jotform.com/uploads/macarewecare/222927978372067/6346733650973767238/6346733650973767238_signature_31.png</t>
  </si>
  <si>
    <t>Talacogon District Hospital</t>
  </si>
  <si>
    <t>Talacogon, Agusan del Sur</t>
  </si>
  <si>
    <t>Agusan del Sur</t>
  </si>
  <si>
    <t>shyra_tortor@gmail.com</t>
  </si>
  <si>
    <t>Defective Monitor</t>
  </si>
  <si>
    <t>Replacing LCD Monitor w/ SN: CNK9430C2P to SN: H22V8VL658A250613059 (NVISION H22V8)</t>
  </si>
  <si>
    <t>NVISION H22V8 21.5" LED MONITOR</t>
  </si>
  <si>
    <t>https://www.jotform.com/uploads/macarewecare/222927978372067/6346725080972546153/6346725080972546153_signature_28.png</t>
  </si>
  <si>
    <t>Shyra Erika Tortor</t>
  </si>
  <si>
    <t>https://www.jotform.com/uploads/macarewecare/222927978372067/6346725080972546153/6346725080972546153_signature_31.png</t>
  </si>
  <si>
    <t>Corazon Locsin Hospital</t>
  </si>
  <si>
    <t>Bacolod City</t>
  </si>
  <si>
    <t>alainjuayang@yahoo.com</t>
  </si>
  <si>
    <t>https://www.jotform.com/uploads/macarewecare/222927978372067/6346692581817745384/6346692581817745384_signature_28.png</t>
  </si>
  <si>
    <t>alain juayang</t>
  </si>
  <si>
    <t>https://www.jotform.com/uploads/macarewecare/222927978372067/6346692581817745384/6346692581817745384_signature_31.png</t>
  </si>
  <si>
    <t>No display
UPS unable to backup electricity supply</t>
  </si>
  <si>
    <t>Reset CPU board
Reset display cable
Checked cable connectors
Checked dispaly cable
Checked ups</t>
  </si>
  <si>
    <t>Unit unoperational
Possible defective display cable
For further assessment</t>
  </si>
  <si>
    <t>For replacement of 2pcs ups battery</t>
  </si>
  <si>
    <t>https://www.jotform.com/uploads/macarewecare/222927978372067/6346558243617840175/6346558243617840175_signature_28.png</t>
  </si>
  <si>
    <t>Janella Bertiz</t>
  </si>
  <si>
    <t>https://www.jotform.com/uploads/macarewecare/222927978372067/6346558243617840175/6346558243617840175_signature_31.png</t>
  </si>
  <si>
    <t>FEU NRMF</t>
  </si>
  <si>
    <t>Dahlia st Fairview QC</t>
  </si>
  <si>
    <t>delosrios.mcq@healthway.com.ph</t>
  </si>
  <si>
    <t>kmtejoso@feu-nrmf.edu.ph</t>
  </si>
  <si>
    <t xml:space="preserve">ASSAY: Xpert HPV, COUNT: 42
ASSAY: Xpert MTB/RIF Ultra, COUNT: 415
</t>
  </si>
  <si>
    <t>Due for maintenance
Stuck cartridge in A3 module</t>
  </si>
  <si>
    <t>Cleaned unit
Cleaned plunger rod,filter,icore,cartridge bay
Fixed stuck cartridge
Gathered reports
Test run unit</t>
  </si>
  <si>
    <t>Operational
Last xpertcheck 3/7/2024</t>
  </si>
  <si>
    <t>https://www.jotform.com/uploads/macarewecare/222927978372067/6346557473615435195/6346557473615435195_signature_28.png</t>
  </si>
  <si>
    <t>Kenneth Anthony M. Tejoso</t>
  </si>
  <si>
    <t>https://www.jotform.com/uploads/macarewecare/222927978372067/6346557473615435195/6346557473615435195_signature_31.png</t>
  </si>
  <si>
    <t>Quezon Ave QC</t>
  </si>
  <si>
    <t>No display during initialization.
Buttons not responsive.</t>
  </si>
  <si>
    <t>Performed troubleshooting.</t>
  </si>
  <si>
    <t>Reset all connectors.
Restart the system.
Checked display cable.</t>
  </si>
  <si>
    <t>Unit is not operational.
For further troubleshooting and repair.
Display cable related issue.</t>
  </si>
  <si>
    <t>For problem isolation using known good display cable.</t>
  </si>
  <si>
    <t>https://www.jotform.com/uploads/macarewecare/222927978372067/6345936806017491932/6345936806017491932_signature_28.png</t>
  </si>
  <si>
    <t>https://www.jotform.com/uploads/macarewecare/222927978372067/6345936806017491932/6345936806017491932_signature_31.png</t>
  </si>
  <si>
    <t>Klinika Project 7</t>
  </si>
  <si>
    <t>Bansalangin, Quezon City</t>
  </si>
  <si>
    <t>Unit for check up
Unit for maintenance</t>
  </si>
  <si>
    <t>Unit is operational
Temperature Errors found on Modules B1, B3.
Modules B1, B3 is recommended for repair/service</t>
  </si>
  <si>
    <t>https://www.jotform.com/uploads/macarewecare/222927978372067/6345935606128169400/6345935606128169400_signature_28.png</t>
  </si>
  <si>
    <t>Alyanna Faye Zerrudo</t>
  </si>
  <si>
    <t>https://www.jotform.com/uploads/macarewecare/222927978372067/6345935606128169400/6345935606128169400_signature_31.png</t>
  </si>
  <si>
    <t>Buhangin Health Center</t>
  </si>
  <si>
    <t>NHA Buhangin, Davao City</t>
  </si>
  <si>
    <t>buhanginlaboratory@gmail.com</t>
  </si>
  <si>
    <t xml:space="preserve">ASSAY: Xpert MTB/RIF Ultra, COUNT: 915
</t>
  </si>
  <si>
    <t>Clean Surface Area, Cartridge Bay, Plunger Rod, Fan Filters and Icore Lenses
Generate IQR, Assay Stat, and System Log</t>
  </si>
  <si>
    <t>https://www.jotform.com/uploads/macarewecare/222927978372067/6345868066716163268/6345868066716163268_signature_28.png</t>
  </si>
  <si>
    <t>Catherine B. Deocampo,. RMT</t>
  </si>
  <si>
    <t>https://www.jotform.com/uploads/macarewecare/222927978372067/6345868066716163268/6345868066716163268_signature_31.png</t>
  </si>
  <si>
    <t>https://www.jotform.com/uploads/macarewecare/222927978372067/6345032816129507189/6345032816129507189_signature_28.png</t>
  </si>
  <si>
    <t>https://www.jotform.com/uploads/macarewecare/222927978372067/6345032816129507189/6345032816129507189_signature_31.png</t>
  </si>
  <si>
    <t>luzvimindanavidad2@gmail.com</t>
  </si>
  <si>
    <t>-Perform preventive maintenance; plunger rod, fan filter, cartridge bay, optic slot</t>
  </si>
  <si>
    <t>Machine is functional. P</t>
  </si>
  <si>
    <t>https://www.jotform.com/uploads/macarewecare/222927978372067/6345011298562032965/6345011298562032965_signature_28.png</t>
  </si>
  <si>
    <t>Luzviminda Navidad</t>
  </si>
  <si>
    <t>https://www.jotform.com/uploads/macarewecare/222927978372067/6345011298562032965/6345011298562032965_signature_31.png</t>
  </si>
  <si>
    <t>Monkayo Rural Health Unit</t>
  </si>
  <si>
    <t>Poblacion, Monkayo</t>
  </si>
  <si>
    <t>kendralois730@gmail.com</t>
  </si>
  <si>
    <t xml:space="preserve">ASSAY: Xpert MTB/RIF Ultra, COUNT: 1066
</t>
  </si>
  <si>
    <t>All Modules are operational
Damaged Fan filter</t>
  </si>
  <si>
    <t>Reported to JotForm</t>
  </si>
  <si>
    <t>https://www.jotform.com/uploads/macarewecare/222927978372067/6345010150714276628/6345010150714276628_signature_28.png</t>
  </si>
  <si>
    <t>Karen S. Anuta,. RMT</t>
  </si>
  <si>
    <t>https://www.jotform.com/uploads/macarewecare/222927978372067/6345010150714276628/6345010150714276628_signature_31.png</t>
  </si>
  <si>
    <t>Don Jose Monfort Medical Center</t>
  </si>
  <si>
    <t>Tabucan, Barotac Nuevo, Iloilo</t>
  </si>
  <si>
    <t xml:space="preserve">ASSAY: Xpert MTB/RIF Ultra, COUNT: 1909
</t>
  </si>
  <si>
    <t>https://www.jotform.com/uploads/macarewecare/222927978372067/6344991529416927233/6344991529416927233_signature_28.png</t>
  </si>
  <si>
    <t>Judy Boglosa</t>
  </si>
  <si>
    <t>https://www.jotform.com/uploads/macarewecare/222927978372067/6344991529416927233/6344991529416927233_signature_31.png</t>
  </si>
  <si>
    <t xml:space="preserve">ASSAY: Xpert MTB/RIF Ultra, COUNT: 1609
</t>
  </si>
  <si>
    <t>LCD monitor SN/ CNK943032K (Defective)</t>
  </si>
  <si>
    <t>https://www.jotform.com/uploads/macarewecare/222927978372067/6344923809417971585/6344923809417971585_signature_28.png</t>
  </si>
  <si>
    <t>Rachel A Pragale</t>
  </si>
  <si>
    <t>https://www.jotform.com/uploads/macarewecare/222927978372067/6344923809417971585/6344923809417971585_signature_31.png</t>
  </si>
  <si>
    <t>Conveyor not working</t>
  </si>
  <si>
    <t>Performed additional troubleshooting</t>
  </si>
  <si>
    <t>Performed additional troubleshooting steps recommended by Cepheid Tech Support</t>
  </si>
  <si>
    <t>Unit is operational, automation still down pending parts replacement of conveyor</t>
  </si>
  <si>
    <t>https://www.jotform.com/uploads/macarewecare/222927978372067/6344245723497958680/6344245723497958680_signature_28.png</t>
  </si>
  <si>
    <t>https://www.jotform.com/uploads/macarewecare/222927978372067/6344245723497958680/6344245723497958680_signature_31.png</t>
  </si>
  <si>
    <t>Iloilo City Health Office</t>
  </si>
  <si>
    <t>mc-molecular@wvsu.edu.ph</t>
  </si>
  <si>
    <t>Collect Data</t>
  </si>
  <si>
    <t>https://www.jotform.com/uploads/macarewecare/222927978372067/6344185186612483557/6344185186612483557_signature_28.png</t>
  </si>
  <si>
    <t>Karla Danielle T. Peralta</t>
  </si>
  <si>
    <t>https://www.jotform.com/uploads/macarewecare/222927978372067/6344185186612483557/6344185186612483557_signature_31.png</t>
  </si>
  <si>
    <t>Molecular and Genome Laboratory</t>
  </si>
  <si>
    <t>West Visayas State University Medical Center</t>
  </si>
  <si>
    <t>Jaro , Iloilo City</t>
  </si>
  <si>
    <t xml:space="preserve">ASSAY: Xpert HIV-1 Viral Load, COUNT: 128
ASSAY: Xpert HPV, COUNT: 53
</t>
  </si>
  <si>
    <t>https://www.jotform.com/uploads/macarewecare/222927978372067/6344169436618427004/6344169436618427004_signature_28.png</t>
  </si>
  <si>
    <t>https://www.jotform.com/uploads/macarewecare/222927978372067/6344169436618427004/6344169436618427004_signature_31.png</t>
  </si>
  <si>
    <t>Unit for maintenance
Unit shutting down during autoloading pumps</t>
  </si>
  <si>
    <t>Unit is operational
Rotor roller pumps for replacement
Unit for calibration next visit</t>
  </si>
  <si>
    <t>https://www.jotform.com/uploads/macarewecare/222927978372067/6344143306126115065/6344143306126115065_signature_28.png</t>
  </si>
  <si>
    <t>https://www.jotform.com/uploads/macarewecare/222927978372067/6344143306126115065/6344143306126115065_signature_31.png</t>
  </si>
  <si>
    <t>Vicente Mendiola Center for Health</t>
  </si>
  <si>
    <t>Save Installation Qualification report. 
Save Assay statistics report. 
Save Systemog report. 
Save GXX file.</t>
  </si>
  <si>
    <t>Perform Preventive maintenance. 
Clean all modules 4.
Clean plunger rod. 
Clean surface near Genexpert Machine.</t>
  </si>
  <si>
    <t>All are functional.</t>
  </si>
  <si>
    <t>https://www.jotform.com/uploads/macarewecare/222927978372067/6344024727716924947/6344024727716924947_signature_28.png</t>
  </si>
  <si>
    <t>GENE CARMEL T. PROCIANOS, RMT</t>
  </si>
  <si>
    <t>https://www.jotform.com/uploads/macarewecare/222927978372067/6344024727716924947/6344024727716924947_signature_31.png</t>
  </si>
  <si>
    <t>FUNTE OSMENA, CEBU</t>
  </si>
  <si>
    <t>No Display in the panel board.</t>
  </si>
  <si>
    <t>Reset cpu board in the machine.
Performed self test.</t>
  </si>
  <si>
    <t>https://www.jotform.com/uploads/macarewecare/222927978372067/6343995155489434132/6343995155489434132_signature_28.png</t>
  </si>
  <si>
    <t>Chong Hua Laboratory</t>
  </si>
  <si>
    <t>https://www.jotform.com/uploads/macarewecare/222927978372067/6343995155489434132/6343995155489434132_signature_31.png</t>
  </si>
  <si>
    <t>Minglanilla Rural Health Unit</t>
  </si>
  <si>
    <t>Pider 1, Minglanilla ,Cebu</t>
  </si>
  <si>
    <t>edhmaruy@gmail.com</t>
  </si>
  <si>
    <t>Installation of Assay HCV and HBV
Due for Monthly Maintenance</t>
  </si>
  <si>
    <t>Performed Preventive in all modules
Performed preventive maintenance and clean filer, Icore, Ultrasonic Heater and plunger cleaning.
Require end-user to separate the phlegm and the saliva of the sputum</t>
  </si>
  <si>
    <t>All modules are operational.</t>
  </si>
  <si>
    <t>https://www.jotform.com/uploads/macarewecare/222927978372067/6343993195484299453/6343993195484299453_signature_28.png</t>
  </si>
  <si>
    <t>Ehd Mar Owen Uy Jambongana</t>
  </si>
  <si>
    <t>https://www.jotform.com/uploads/macarewecare/222927978372067/6343993195484299453/6343993195484299453_signature_31.png</t>
  </si>
  <si>
    <t>Western Visayas Sanitarium</t>
  </si>
  <si>
    <t>rugiedequilla@gmail.com</t>
  </si>
  <si>
    <t xml:space="preserve">ASSAY: Xpert MTB/RIF Ultra, COUNT: 1589
</t>
  </si>
  <si>
    <t>LCD monitor</t>
  </si>
  <si>
    <t>https://www.jotform.com/uploads/macarewecare/222927978372067/6343990943674616078/6343990943674616078_signature_28.png</t>
  </si>
  <si>
    <t>Ruth Dequilla</t>
  </si>
  <si>
    <t>https://www.jotform.com/uploads/macarewecare/222927978372067/6343990943674616078/6343990943674616078_signature_31.png</t>
  </si>
  <si>
    <t>Antipas Rural Health Unit</t>
  </si>
  <si>
    <t>Antipas, North Cotabato</t>
  </si>
  <si>
    <t>codillaalvin06@gmail.com</t>
  </si>
  <si>
    <t>Perform Genexpert machine preventive maintenance
Module cleaning 
Plunger rod and Optics cleaning 
Fan and filter cleaning 
Checking of module status/problem
Data reporting</t>
  </si>
  <si>
    <t>https://www.jotform.com/uploads/macarewecare/222927978372067/6343600535321087902/6343600535321087902_signature_28.png</t>
  </si>
  <si>
    <t>Yvan Kris V. Namo</t>
  </si>
  <si>
    <t>https://www.jotform.com/uploads/macarewecare/222927978372067/6343600535321087902/6343600535321087902_signature_31.png</t>
  </si>
  <si>
    <t>Kidapawan City</t>
  </si>
  <si>
    <t>malufranz5@gmail.com</t>
  </si>
  <si>
    <t xml:space="preserve">ASSAY: Xpert MTB/RIF Ultra, COUNT: 2448
</t>
  </si>
  <si>
    <t>Perform Genexpert machine cleaning and maintenance 
Module cleaning 
Plunger rod and Optics cleaning 
Fan and filter cleaning 
Checking of modules status/problem 
Data reporting</t>
  </si>
  <si>
    <t>https://www.jotform.com/uploads/macarewecare/222927978372067/6343600535323842576/6343600535323842576_signature_28.png</t>
  </si>
  <si>
    <t>Ma. Luisa M. Francisco</t>
  </si>
  <si>
    <t>https://www.jotform.com/uploads/macarewecare/222927978372067/6343600535323842576/6343600535323842576_signature_31.png</t>
  </si>
  <si>
    <t xml:space="preserve">ASSAY: Xpert MTB/RIF Ultra, COUNT: 52
ASSAY: Xpert HIV-1 Viral Load, COUNT: 95
ASSAY: Xpert MTB-XDR, COUNT: 4
</t>
  </si>
  <si>
    <t>Perform Genexpert machine cleaning and maintenance 
Module cleaning 
Plunger rod and Optics cleaning 
Fan and Filter cleaning 
Checking of module status and problem 
Data collection</t>
  </si>
  <si>
    <t>https://www.jotform.com/uploads/macarewecare/222927978372067/6343600535324946694/6343600535324946694_signature_28.png</t>
  </si>
  <si>
    <t>https://www.jotform.com/uploads/macarewecare/222927978372067/6343600535324946694/6343600535324946694_signature_31.png</t>
  </si>
  <si>
    <t>MAINTENANCE
New Assay installation</t>
  </si>
  <si>
    <t xml:space="preserve">ASSAY: Xpert MTB/RIF Ultra, COUNT: 1
ASSAY: Xpert HPV, COUNT: 1
</t>
  </si>
  <si>
    <t>Installed HIV Viral load 1 Assay
Genexpert Cleaning 
Checking of module status and problem 
Data collection</t>
  </si>
  <si>
    <t>Genexpert  machine Preventive maintenance</t>
  </si>
  <si>
    <t>https://www.jotform.com/uploads/macarewecare/222927978372067/6343600535328486316/6343600535328486316_signature_28.png</t>
  </si>
  <si>
    <t>DE PEDRO, JOHANA SHANE</t>
  </si>
  <si>
    <t>https://www.jotform.com/uploads/macarewecare/222927978372067/6343600535328486316/6343600535328486316_signature_31.png</t>
  </si>
  <si>
    <t>Unit is Fully Partially Operational. Module A1 is disabled</t>
  </si>
  <si>
    <t>https://www.jotform.com/uploads/macarewecare/222927978372067/6343263308325780019/6343263308325780019_signature_28.png</t>
  </si>
  <si>
    <t>https://www.jotform.com/uploads/macarewecare/222927978372067/6343263308325780019/6343263308325780019_signature_31.png</t>
  </si>
  <si>
    <t>- Cleaned Cartridge Bays,Plunger Rods and I-CORE 
- Replaced Defective Module B1 806111 &gt;&gt;&gt;656962
- Generated Reports</t>
  </si>
  <si>
    <t>Work with Sir Toco</t>
  </si>
  <si>
    <t>GeneXpert Module 656962</t>
  </si>
  <si>
    <t>DR 13259</t>
  </si>
  <si>
    <t>https://www.jotform.com/uploads/macarewecare/222927978372067/6343262308324712496/6343262308324712496_signature_28.png</t>
  </si>
  <si>
    <t>https://www.jotform.com/uploads/macarewecare/222927978372067/6343262308324712496/6343262308324712496_signature_31.png</t>
  </si>
  <si>
    <t xml:space="preserve">ASSAY: Xpert MTB/RIF Ultra, COUNT: 1193
</t>
  </si>
  <si>
    <t>Gx for Preventive Maintenance 
B4/675496 temperature Error</t>
  </si>
  <si>
    <t>Cleaned cartridge bays, plunger rod, icore
Generate Data</t>
  </si>
  <si>
    <t>Performed Preventive Maintenance
Checked system log</t>
  </si>
  <si>
    <t>Unit is Operational 
B2/862906, B4/675496 temperature Error(1001,2014)</t>
  </si>
  <si>
    <t>B4/675496 request for replacement</t>
  </si>
  <si>
    <t>https://www.jotform.com/uploads/macarewecare/222927978372067/6343190379518519957/6343190379518519957_signature_28.png</t>
  </si>
  <si>
    <t>https://www.jotform.com/uploads/macarewecare/222927978372067/6343190379518519957/6343190379518519957_signature_31.png</t>
  </si>
  <si>
    <t>Labo District Hospital</t>
  </si>
  <si>
    <t>Talobatib, Labo</t>
  </si>
  <si>
    <t>ldh.lab17@gmail.com</t>
  </si>
  <si>
    <t xml:space="preserve">ASSAY: Xpert MTB/RIF Ultra, COUNT: 1372
</t>
  </si>
  <si>
    <t>https://www.jotform.com/uploads/macarewecare/222927978372067/6343187889519904963/6343187889519904963_signature_28.png</t>
  </si>
  <si>
    <t>Analyn C. Consuelo</t>
  </si>
  <si>
    <t>https://www.jotform.com/uploads/macarewecare/222927978372067/6343187889519904963/6343187889519904963_signature_31.png</t>
  </si>
  <si>
    <t>Don Juan S. Estevez Street, Guevarra Subdivision, Legazpi City, 4500 Albay</t>
  </si>
  <si>
    <t xml:space="preserve">ASSAY: Xpert BCR-ABL Ultra, COUNT: 6
ASSAY: Xpert CT/NG, COUNT: 1
ASSAY: Xpert HBV VL, COUNT: 244
ASSAY: Xpert MTB/RIF Ultra, COUNT: 263
ASSAY: Xpert MTB-XDR, COUNT: 14
ASSAY: Xpress SARS-CoV-2_Flu_RSV plus, COUNT: 3
</t>
  </si>
  <si>
    <t>Cleaned cartridge bays, plunger rod, unit surface
Generate Data</t>
  </si>
  <si>
    <t>https://www.jotform.com/uploads/macarewecare/222927978372067/6343186449513859082/6343186449513859082_signature_28.png</t>
  </si>
  <si>
    <t>https://www.jotform.com/uploads/macarewecare/222927978372067/6343186449513859082/6343186449513859082_signature_31.png</t>
  </si>
  <si>
    <t>Nueva Valencia Rural Health Unit</t>
  </si>
  <si>
    <t>Nueva Valencia, Guimaras</t>
  </si>
  <si>
    <t>galletomaeann@gmail.com</t>
  </si>
  <si>
    <t>https://www.jotform.com/uploads/macarewecare/222927978372067/6343186236319555351/6343186236319555351_signature_28.png</t>
  </si>
  <si>
    <t>Mae Ann Galleto</t>
  </si>
  <si>
    <t>https://www.jotform.com/uploads/macarewecare/222927978372067/6343186236319555351/6343186236319555351_signature_31.png</t>
  </si>
  <si>
    <t>Training</t>
  </si>
  <si>
    <t xml:space="preserve">ASSAY: Xpert HIV-1 Viral Load, COUNT: 4
</t>
  </si>
  <si>
    <t>Preventive Maintenance training for biomed engr compliance</t>
  </si>
  <si>
    <t>GeneXpert System Operation and Basic Troubleshooting Training conducted</t>
  </si>
  <si>
    <t>Performed Preventive Maintenance training</t>
  </si>
  <si>
    <t>https://www.jotform.com/uploads/macarewecare/222927978372067/6343185909512349738/6343185909512349738_signature_28.png</t>
  </si>
  <si>
    <t>https://www.jotform.com/uploads/macarewecare/222927978372067/6343185909512349738/6343185909512349738_signature_31.png</t>
  </si>
  <si>
    <t>thisisformyfamily@yahoo.com</t>
  </si>
  <si>
    <t>https://www.jotform.com/uploads/macarewecare/222927978372067/6343176868327208876/6343176868327208876_signature_28.png</t>
  </si>
  <si>
    <t>SHIRLEY G. CAYABYAB</t>
  </si>
  <si>
    <t>https://www.jotform.com/uploads/macarewecare/222927978372067/6343176868327208876/6343176868327208876_signature_31.png</t>
  </si>
  <si>
    <t>For CPU Troubleshooting</t>
  </si>
  <si>
    <t>Performed CPU Troubleshooting</t>
  </si>
  <si>
    <t>https://www.jotform.com/uploads/macarewecare/222927978372067/6343175868322671614/6343175868322671614_signature_28.png</t>
  </si>
  <si>
    <t>https://www.jotform.com/uploads/macarewecare/222927978372067/6343175868322671614/6343175868322671614_signature_31.png</t>
  </si>
  <si>
    <t>For UPS Troubleshooting</t>
  </si>
  <si>
    <t>Performed UPS Troubleshooting</t>
  </si>
  <si>
    <t>Unit is Operational. UPS for Reporting</t>
  </si>
  <si>
    <t>https://www.jotform.com/uploads/macarewecare/222927978372067/6343174888321112528/6343174888321112528_signature_28.png</t>
  </si>
  <si>
    <t>https://www.jotform.com/uploads/macarewecare/222927978372067/6343174888321112528/6343174888321112528_signature_31.png</t>
  </si>
  <si>
    <t>Unit is Partially Operational. Module A1 is disabled</t>
  </si>
  <si>
    <t>https://www.jotform.com/uploads/macarewecare/222927978372067/6343172568323547613/6343172568323547613_signature_28.png</t>
  </si>
  <si>
    <t>https://www.jotform.com/uploads/macarewecare/222927978372067/6343172568323547613/6343172568323547613_signature_31.png</t>
  </si>
  <si>
    <t>https://www.jotform.com/uploads/macarewecare/222927978372067/6343171188322784211/6343171188322784211_signature_28.png</t>
  </si>
  <si>
    <t>https://www.jotform.com/uploads/macarewecare/222927978372067/6343171188322784211/6343171188322784211_signature_31.png</t>
  </si>
  <si>
    <t>https://www.jotform.com/uploads/macarewecare/222927978372067/6343168148324227585/6343168148324227585_signature_28.png</t>
  </si>
  <si>
    <t>https://www.jotform.com/uploads/macarewecare/222927978372067/6343168148324227585/6343168148324227585_signature_31.png</t>
  </si>
  <si>
    <t>For Preventive Maintenance and Troubleshooting</t>
  </si>
  <si>
    <t>Performed Preventive Maintenance and Troubleshooting</t>
  </si>
  <si>
    <t>https://www.jotform.com/uploads/macarewecare/222927978372067/6343167038325655740/6343167038325655740_signature_28.png</t>
  </si>
  <si>
    <t>https://www.jotform.com/uploads/macarewecare/222927978372067/6343167038325655740/6343167038325655740_signature_31.png</t>
  </si>
  <si>
    <t>https://www.jotform.com/uploads/macarewecare/222927978372067/6343165738327919887/6343165738327919887_signature_28.png</t>
  </si>
  <si>
    <t>https://www.jotform.com/uploads/macarewecare/222927978372067/6343165738327919887/6343165738327919887_signature_31.png</t>
  </si>
  <si>
    <t>https://www.jotform.com/uploads/macarewecare/222927978372067/6343163958323661163/6343163958323661163_signature_28.png</t>
  </si>
  <si>
    <t>https://www.jotform.com/uploads/macarewecare/222927978372067/6343163958323661163/6343163958323661163_signature_31.png</t>
  </si>
  <si>
    <t>rhupozorrubio@yahoo.com</t>
  </si>
  <si>
    <t>https://www.jotform.com/uploads/macarewecare/222927978372067/6343158648321598147/6343158648321598147_signature_28.png</t>
  </si>
  <si>
    <t>Azellamie Castro</t>
  </si>
  <si>
    <t>https://www.jotform.com/uploads/macarewecare/222927978372067/6343158648321598147/6343158648321598147_signature_31.png</t>
  </si>
  <si>
    <t>- Replaced Defective Module AT1000190123ST0250 &gt;&gt;&gt; AT1000190123ST0182
- Cleaned Cartridge Bays, Plunger Rods and I-CORE 
- Generated Reports</t>
  </si>
  <si>
    <t>Performed UPS Replacement</t>
  </si>
  <si>
    <t>UPS AT1000190123ST0190</t>
  </si>
  <si>
    <t>DR 13248</t>
  </si>
  <si>
    <t>https://www.jotform.com/uploads/macarewecare/222927978372067/6343157128327931039/6343157128327931039_signature_28.png</t>
  </si>
  <si>
    <t>https://www.jotform.com/uploads/macarewecare/222927978372067/6343157128327931039/6343157128327931039_signature_31.png</t>
  </si>
  <si>
    <t>Rizal Drive, BGC, Taguig City</t>
  </si>
  <si>
    <t>ltortega@stlukes.com.ph</t>
  </si>
  <si>
    <t>Installed the unit</t>
  </si>
  <si>
    <t>Installed the unit:
Limusave MT-7500
Thermostation TS-70/20
-Sn: 47020388
Cooling station
-Sn: 2410015A
Functionality test
Change date and time settings</t>
  </si>
  <si>
    <t>https://www.jotform.com/uploads/macarewecare/222927978372067/6343148773613465553/6343148773613465553_signature_28.png</t>
  </si>
  <si>
    <t>Lorna T. Ortega</t>
  </si>
  <si>
    <t>https://www.jotform.com/uploads/macarewecare/222927978372067/6343148773613465553/6343148773613465553_signature_31.png</t>
  </si>
  <si>
    <t>Sibunag , Guimaras</t>
  </si>
  <si>
    <t xml:space="preserve">ASSAY: Xpert MTB/RIF Ultra, COUNT: 101
</t>
  </si>
  <si>
    <t>GXIV - 10color</t>
  </si>
  <si>
    <t>https://www.jotform.com/uploads/macarewecare/222927978372067/6343125961485577002/6343125961485577002_signature_28.png</t>
  </si>
  <si>
    <t>https://www.jotform.com/uploads/macarewecare/222927978372067/6343125961485577002/6343125961485577002_signature_31.png</t>
  </si>
  <si>
    <t>Balanga City Bataan</t>
  </si>
  <si>
    <t>PCR Laboratory</t>
  </si>
  <si>
    <t>raedionisio@gmail.com</t>
  </si>
  <si>
    <t xml:space="preserve">ASSAY: Xpert HBV VL, COUNT: 203
ASSAY: Xpert HPV, COUNT: 109
ASSAY: Xpert HCV VL, COUNT: 117
ASSAY: Xpert HIV-1 Viral Load, COUNT: 497
</t>
  </si>
  <si>
    <t>Performed Preventive maintenance 
Update and installation of xpertcheck 1 5B
Performed xpertcheck 
Performed functionality test</t>
  </si>
  <si>
    <t>All modules passed</t>
  </si>
  <si>
    <t>5 xpertcheck cartridges</t>
  </si>
  <si>
    <t>https://www.jotform.com/uploads/macarewecare/222927978372067/6340716888215159668/6340716888215159668_signature_28.png</t>
  </si>
  <si>
    <t>Reanne Dionisio</t>
  </si>
  <si>
    <t>https://www.jotform.com/uploads/macarewecare/222927978372067/6340716888215159668/6340716888215159668_signature_31.png</t>
  </si>
  <si>
    <t>554 Montilla Blvd. Butuan City</t>
  </si>
  <si>
    <t>molecularlab@mjsantos.com.ph</t>
  </si>
  <si>
    <t>Module 1 and 2 failed last year's XpertCheck, Module 4 was found temperature error and found for replacement.</t>
  </si>
  <si>
    <t>XpertCheck Calibration
Preventive Maintenance
Data Collection</t>
  </si>
  <si>
    <t>3 modules for replacement. 1 module passed in xpc calibration. All units are functional.</t>
  </si>
  <si>
    <t>https://www.jotform.com/uploads/macarewecare/222927978372067/6340694679227771535/6340694679227771535_signature_28.png</t>
  </si>
  <si>
    <t>Daniella Andrei Plaza</t>
  </si>
  <si>
    <t>https://www.jotform.com/uploads/macarewecare/222927978372067/6340694679227771535/6340694679227771535_signature_31.png</t>
  </si>
  <si>
    <t>Likhaan Center For Women's Health</t>
  </si>
  <si>
    <t>office@likhaan.org</t>
  </si>
  <si>
    <t>Module B1 (210128780) for replacement</t>
  </si>
  <si>
    <t>Replaced B1</t>
  </si>
  <si>
    <t>- replaced B1 by 706221
- generated reports
- performed self test</t>
  </si>
  <si>
    <t>GeneXpert Module
SN: 706221</t>
  </si>
  <si>
    <t>https://www.jotform.com/uploads/macarewecare/222927978372067/6340691458117966514/6340691458117966514_signature_28.png</t>
  </si>
  <si>
    <t>Michelle Armayan</t>
  </si>
  <si>
    <t>https://www.jotform.com/uploads/macarewecare/222927978372067/6340691458117966514/6340691458117966514_signature_31.png</t>
  </si>
  <si>
    <t>Install LCD</t>
  </si>
  <si>
    <t>Install new LCD with serial number V2360HDJKX20230962817</t>
  </si>
  <si>
    <t>Save Installation qualification reports.
Save system Log file.
Save GXX file.</t>
  </si>
  <si>
    <t>https://www.jotform.com/uploads/macarewecare/222927978372067/6340662672716736009/6340662672716736009_signature_28.png</t>
  </si>
  <si>
    <t>https://www.jotform.com/uploads/macarewecare/222927978372067/6340662672716736009/6340662672716736009_signature_31.png</t>
  </si>
  <si>
    <t>MAINTENANCE
LCD</t>
  </si>
  <si>
    <t>Pull-out LCD with serial number ZV0A1910029805</t>
  </si>
  <si>
    <t>Save System Log.
Save Installation Qualification.
Save Gxx file.</t>
  </si>
  <si>
    <t>Functional.</t>
  </si>
  <si>
    <t>https://www.jotform.com/uploads/macarewecare/222927978372067/6340658262713002705/6340658262713002705_signature_28.png</t>
  </si>
  <si>
    <t>https://www.jotform.com/uploads/macarewecare/222927978372067/6340658262713002705/6340658262713002705_signature_31.png</t>
  </si>
  <si>
    <t>C.P.Garcia St.,Teacher Village East QC</t>
  </si>
  <si>
    <t xml:space="preserve">ASSAY: Xpert MTB/RIF Ultra, COUNT: 180
</t>
  </si>
  <si>
    <t>Performed xpertcheck in all module
Cleaned unit
Cleaned and disinfect plunger rod,cartridge bay
Cleaned filter and icore
Gathered reports
Test run unit</t>
  </si>
  <si>
    <t>Operational all module passed</t>
  </si>
  <si>
    <t>https://www.jotform.com/uploads/macarewecare/222927978372067/6340633075777913364/6340633075777913364_signature_28.png</t>
  </si>
  <si>
    <t>Kaneesha Rodriguez</t>
  </si>
  <si>
    <t>https://www.jotform.com/uploads/macarewecare/222927978372067/6340633075777913364/6340633075777913364_signature_31.png</t>
  </si>
  <si>
    <t>Cebu TB Reference Lab - SRP</t>
  </si>
  <si>
    <t>SRP - Cebu City</t>
  </si>
  <si>
    <t>Defective LCD monitor
HP ProDisplay</t>
  </si>
  <si>
    <t>New monitor Installed N-Vision
Sn H22V8VL658A250716492</t>
  </si>
  <si>
    <t>New monitor Installed N-Vision
Sn H22V8VL658A250716492
Defective monitor bring back to cebu office</t>
  </si>
  <si>
    <t>https://www.jotform.com/uploads/macarewecare/222927978372067/6340575516718846334/6340575516718846334_signature_28.png</t>
  </si>
  <si>
    <t>Allan S.Mantiquilla</t>
  </si>
  <si>
    <t>https://www.jotform.com/uploads/macarewecare/222927978372067/6340575516718846334/6340575516718846334_signature_31.png</t>
  </si>
  <si>
    <t>Gandara Rural Health Unit</t>
  </si>
  <si>
    <t>Gandara Samar</t>
  </si>
  <si>
    <t>sarah_yangzon@yahoo.com</t>
  </si>
  <si>
    <t xml:space="preserve">ASSAY: Xpert MTB/RIF Ultra, COUNT: 634
</t>
  </si>
  <si>
    <t>https://www.jotform.com/uploads/macarewecare/222927978372067/6340099356021416794/6340099356021416794_signature_28.png</t>
  </si>
  <si>
    <t>sarah yangzon</t>
  </si>
  <si>
    <t>https://www.jotform.com/uploads/macarewecare/222927978372067/6340099356021416794/6340099356021416794_signature_31.png</t>
  </si>
  <si>
    <t>Malay Primary Care Facility</t>
  </si>
  <si>
    <t>Caticlan, Malay, Aklan</t>
  </si>
  <si>
    <t>mhomalayclinicallaboratory@gmail.com</t>
  </si>
  <si>
    <t>CMOS batt need to be replaced</t>
  </si>
  <si>
    <t>https://www.jotform.com/uploads/macarewecare/222927978372067/6340050532243951171/6340050532243951171_signature_28.png</t>
  </si>
  <si>
    <t>May Soledad</t>
  </si>
  <si>
    <t>https://www.jotform.com/uploads/macarewecare/222927978372067/6340050532243951171/6340050532243951171_signature_31.png</t>
  </si>
  <si>
    <t>Poblacion, Mabila, Sarangani</t>
  </si>
  <si>
    <t xml:space="preserve">ASSAY: Xpert MTB/RIF Ultra, COUNT: 287
</t>
  </si>
  <si>
    <t>UPS Battery not working during battery Mode
System Unit Force Restarting
Due for Preventive Maintenance</t>
  </si>
  <si>
    <t>Clean Surface Area, Cartridge Bay, Plunger Rod, Fan Filters and Icore Lenses
Generate IQR, Assay Stat and System Log
Archived Data test results
Change UPS Batteries
Change Cmos Battery
Clean and reset RAM and its slot
Check for irregularities at line voltage</t>
  </si>
  <si>
    <t>Perform Preventive Maintenance
Perform UPS Battery Replacement
Perform System Unit Troubleshooting</t>
  </si>
  <si>
    <t>All Modules are operational
UPS Battery Successfully Installed</t>
  </si>
  <si>
    <t>https://www.jotform.com/uploads/macarewecare/222927978372067/6339944787218286503/6339944787218286503_signature_28.png</t>
  </si>
  <si>
    <t>QUENNIE C LOVITOS</t>
  </si>
  <si>
    <t>https://www.jotform.com/uploads/macarewecare/222927978372067/6339944787218286503/6339944787218286503_signature_31.png</t>
  </si>
  <si>
    <t>For Xpertcheck</t>
  </si>
  <si>
    <t>Performed additional Xpertcheck with SW Version 1.5b</t>
  </si>
  <si>
    <t>Unit is operational. Modules A2/220001426, B1/710723, C2/701127, D4/734837, E1/695487 require servicing. Modules E3, E4, F2,F3, F4, G2, G3 needs retrying with additional Xpertcheck cartridges</t>
  </si>
  <si>
    <t>https://www.jotform.com/uploads/macarewecare/222927978372067/6339890049119344803/6339890049119344803_signature_28.png</t>
  </si>
  <si>
    <t>Joan Sigrid Goco</t>
  </si>
  <si>
    <t>https://www.jotform.com/uploads/macarewecare/222927978372067/6339890049119344803/6339890049119344803_signature_31.png</t>
  </si>
  <si>
    <t>Unit for maintenance 
Unit for troubleshooting</t>
  </si>
  <si>
    <t>- checked and cleaned cartridge bay,  plunger rod,  filter, icore slot 
- generated reports
- generated .gxx file for futher troubleshooting
- performed self test</t>
  </si>
  <si>
    <t>Modules B1, B2, B3 are recommended for replacement
Modules failed the calibration</t>
  </si>
  <si>
    <t>https://www.jotform.com/uploads/macarewecare/222927978372067/6339840123428126340/6339840123428126340_signature_28.png</t>
  </si>
  <si>
    <t>Maria Elizabeth De Leon</t>
  </si>
  <si>
    <t>https://www.jotform.com/uploads/macarewecare/222927978372067/6339840123428126340/6339840123428126340_signature_31.png</t>
  </si>
  <si>
    <t>Concepcion Pequeña, Naga</t>
  </si>
  <si>
    <t>judebuenaventurarn@gmail.com</t>
  </si>
  <si>
    <t>Display cable temporary borrowed from another machine</t>
  </si>
  <si>
    <t>Replaced Display Cable of Unit
Reset all display cable connections
Cleaned Unit
Cleaned Centrifuge, valves, rotor pumps, rollers
Performed dry run</t>
  </si>
  <si>
    <t>Repaired machine</t>
  </si>
  <si>
    <t>https://www.jotform.com/uploads/macarewecare/222927978372067/6339827709111165413/6339827709111165413_signature_28.png</t>
  </si>
  <si>
    <t>Jude Buenaventura</t>
  </si>
  <si>
    <t>https://www.jotform.com/uploads/macarewecare/222927978372067/6339827709111165413/6339827709111165413_signature_31.png</t>
  </si>
  <si>
    <t>CRC Bios failed</t>
  </si>
  <si>
    <t>Replaced CRC BIOS Battery
Checked/reset display cable connections 
Calibration of machine after BIOS battery replacement 
Checked/adjusted technical parameters 
Cleaned Unit 
Cleaned Centrifuge,  valves, rollers, rotor pump
Calibrate MCS+ Machine</t>
  </si>
  <si>
    <t>Performed Troubleshooting repaired machine
Performed Preventive Maintenance</t>
  </si>
  <si>
    <t>https://www.jotform.com/uploads/macarewecare/222927978372067/6339827329113025094/6339827329113025094_signature_28.png</t>
  </si>
  <si>
    <t>https://www.jotform.com/uploads/macarewecare/222927978372067/6339827329113025094/6339827329113025094_signature_31.png</t>
  </si>
  <si>
    <t>mea.delcruz@medilinx.com.ph</t>
  </si>
  <si>
    <t>https://www.jotform.com/uploads/macarewecare/222927978372067/6338984834516680876/6338984834516680876_signature_28.png</t>
  </si>
  <si>
    <t>https://www.jotform.com/uploads/macarewecare/222927978372067/6338984834516680876/6338984834516680876_signature_31.png</t>
  </si>
  <si>
    <t>Medi Linx Laboratory Inc ( CLDH)</t>
  </si>
  <si>
    <t>mea.delacruz@medilincx.com.ph</t>
  </si>
  <si>
    <t>Duefor Preventive maintenance</t>
  </si>
  <si>
    <t>https://www.jotform.com/uploads/macarewecare/222927978372067/6338984344519679466/6338984344519679466_signature_28.png</t>
  </si>
  <si>
    <t>https://www.jotform.com/uploads/macarewecare/222927978372067/6338984344519679466/6338984344519679466_signature_31.png</t>
  </si>
  <si>
    <t>Libertad Main Health Center</t>
  </si>
  <si>
    <t>Brgy. Libertad, Butuan City</t>
  </si>
  <si>
    <t>suzzettekho34@gmail.com</t>
  </si>
  <si>
    <t>UPS not working. Need Battery Replacement.</t>
  </si>
  <si>
    <t>UPS Battery Replacement
Preventive Maintenance</t>
  </si>
  <si>
    <t>https://www.jotform.com/uploads/macarewecare/222927978372067/6338910768282997522/6338910768282997522_signature_28.png</t>
  </si>
  <si>
    <t>Suzzette Kho</t>
  </si>
  <si>
    <t>https://www.jotform.com/uploads/macarewecare/222927978372067/6338910768282997522/6338910768282997522_signature_31.png</t>
  </si>
  <si>
    <t>Dr. Rafael S. Tumbokon Memorial Hospital</t>
  </si>
  <si>
    <t>Kalibo, Aklan</t>
  </si>
  <si>
    <t>Rhivdha</t>
  </si>
  <si>
    <t>drstmhcrcl@gmail.com</t>
  </si>
  <si>
    <t xml:space="preserve">ASSAY: Xpert MTB/RIF Ultra, COUNT: 1548
ASSAY: Xpert MTB-XDR, COUNT: 3
ASSAY: Xpert HIV-1 Viral Load, COUNT: 447
</t>
  </si>
  <si>
    <t>https://www.jotform.com/uploads/macarewecare/222927978372067/6338872743024641261/6338872743024641261_signature_28.png</t>
  </si>
  <si>
    <t>Lynar Ann C. Neptuno</t>
  </si>
  <si>
    <t>https://www.jotform.com/uploads/macarewecare/222927978372067/6338872743024641261/6338872743024641261_signature_31.png</t>
  </si>
  <si>
    <t xml:space="preserve">ASSAY: Xpert MTB/RIF Ultra, COUNT: 598
</t>
  </si>
  <si>
    <t>https://www.jotform.com/uploads/macarewecare/222927978372067/6338855013613133289/6338855013613133289_signature_28.png</t>
  </si>
  <si>
    <t>https://www.jotform.com/uploads/macarewecare/222927978372067/6338855013613133289/6338855013613133289_signature_31.png</t>
  </si>
  <si>
    <t>https://www.jotform.com/uploads/macarewecare/222927978372067/6338079603896572680/6338079603896572680_signature_28.png</t>
  </si>
  <si>
    <t>Cecille Vasquez</t>
  </si>
  <si>
    <t>https://www.jotform.com/uploads/macarewecare/222927978372067/6338079603896572680/6338079603896572680_signature_31.png</t>
  </si>
  <si>
    <t>Altvas, Aklan</t>
  </si>
  <si>
    <t>nycolebenedicto@gmail.com</t>
  </si>
  <si>
    <t xml:space="preserve">ASSAY: Xpert MTB/RIF Ultra, COUNT: 574
</t>
  </si>
  <si>
    <t>Machine is functional. Module B4 experiencing hardware fail for replacement</t>
  </si>
  <si>
    <t>https://www.jotform.com/uploads/macarewecare/222927978372067/6338077496868231016/6338077496868231016_signature_28.png</t>
  </si>
  <si>
    <t>Ma. Nycole S. Benedicto</t>
  </si>
  <si>
    <t>https://www.jotform.com/uploads/macarewecare/222927978372067/6338077496868231016/6338077496868231016_signature_31.png</t>
  </si>
  <si>
    <t>Everyday adjust the time and date of the computer
Computer CMOS battery is defective</t>
  </si>
  <si>
    <t>Replace new CMOS battery for Computer</t>
  </si>
  <si>
    <t>Replace new CMOS battery for Computer
Gather data IQR system log</t>
  </si>
  <si>
    <t>https://www.jotform.com/uploads/macarewecare/222927978372067/6338075461414589651/6338075461414589651_signature_28.png</t>
  </si>
  <si>
    <t>https://www.jotform.com/uploads/macarewecare/222927978372067/6338075461414589651/6338075461414589651_signature_31.png</t>
  </si>
  <si>
    <t>treatmenthub.qcgh@gmail.com</t>
  </si>
  <si>
    <t>https://www.jotform.com/uploads/macarewecare/222927978372067/6338071520364916872/6338071520364916872_signature_28.png</t>
  </si>
  <si>
    <t>https://www.jotform.com/uploads/macarewecare/222927978372067/6338071520364916872/6338071520364916872_signature_31.png</t>
  </si>
  <si>
    <t>Talomo South Health Center</t>
  </si>
  <si>
    <t>Puan, Libby Road Davao City</t>
  </si>
  <si>
    <t>dyrosemarie71@gmail.com</t>
  </si>
  <si>
    <t>dy_rosemarie71@gmail.com</t>
  </si>
  <si>
    <t xml:space="preserve">ASSAY: Xpert MTB/RIF Ultra, COUNT: 1316
</t>
  </si>
  <si>
    <t>UPS not working dueing battery mode
For Preventive Maintenance</t>
  </si>
  <si>
    <t>Replaced the Defective UPS Battery with new Battery
Clean Surface Area, Cartridge Bay, Plunger Rod, Fan Filters and Icore Lenses
Generate IQR, Assay Stat and System Log</t>
  </si>
  <si>
    <t>Perform Preventive Maintenance
Perform UPS Battery Replacement</t>
  </si>
  <si>
    <t>All Modules are operational
Successfully replaced the UPS Batteries</t>
  </si>
  <si>
    <t>https://www.jotform.com/uploads/macarewecare/222927978372067/6338051791214800526/6338051791214800526_signature_28.png</t>
  </si>
  <si>
    <t>Rosemarie Dy,. RMT</t>
  </si>
  <si>
    <t>https://www.jotform.com/uploads/macarewecare/222927978372067/6338051791214800526/6338051791214800526_signature_31.png</t>
  </si>
  <si>
    <t xml:space="preserve">ASSAY: Xpert MTB/RIF Ultra, COUNT: 419
</t>
  </si>
  <si>
    <t>Machine is functional. UPS does not work properly.</t>
  </si>
  <si>
    <t>UPS batteries for replacement</t>
  </si>
  <si>
    <t>https://www.jotform.com/uploads/macarewecare/222927978372067/6337981077443292856/6337981077443292856_signature_28.png</t>
  </si>
  <si>
    <t>Maria Hala Deeb E. Zaulda</t>
  </si>
  <si>
    <t>https://www.jotform.com/uploads/macarewecare/222927978372067/6337981077443292856/6337981077443292856_signature_31.png</t>
  </si>
  <si>
    <t>ohslabcbo@gmail.com</t>
  </si>
  <si>
    <t xml:space="preserve">ASSAY: Xpert MTB/RIF Ultra, COUNT: 1246
</t>
  </si>
  <si>
    <t>Perform Genexpert cleaning and maintenance 
Module cleaning 
Plunger rod and Optics cleaning 
Fan and filter cleaning 
Data collection</t>
  </si>
  <si>
    <t>https://www.jotform.com/uploads/macarewecare/222927978372067/6337571135329720297/6337571135329720297_signature_28.png</t>
  </si>
  <si>
    <t>Al-Hakim Muhammad</t>
  </si>
  <si>
    <t>https://www.jotform.com/uploads/macarewecare/222927978372067/6337571135329720297/6337571135329720297_signature_31.png</t>
  </si>
  <si>
    <t>Perform Genexpert machine cleaning and maintenance 
Module cleaning
Plunger rod and Optics cleaning 
Fan and filter cleaning 
Data collection</t>
  </si>
  <si>
    <t>https://www.jotform.com/uploads/macarewecare/222927978372067/6337569885323046554/6337569885323046554_signature_28.png</t>
  </si>
  <si>
    <t>Al-hakim Muhammad</t>
  </si>
  <si>
    <t>https://www.jotform.com/uploads/macarewecare/222927978372067/6337569885323046554/6337569885323046554_signature_31.png</t>
  </si>
  <si>
    <t>Sultan Mastura Rural Health Unit</t>
  </si>
  <si>
    <t>Sultan Mastura,Maguindanao</t>
  </si>
  <si>
    <t>salehshahinaz@gmail.com</t>
  </si>
  <si>
    <t xml:space="preserve">ASSAY: Xpert MTB/RIF Ultra, COUNT: 507
</t>
  </si>
  <si>
    <t>Perform Genexpert Cleaning and maintenance 
Module cleaning 
Plunger rod and Optics cleaning 
Fan and filter cleaning 
Checking of module status/problem
Data reporting</t>
  </si>
  <si>
    <t>https://www.jotform.com/uploads/macarewecare/222927978372067/6337569075328404245/6337569075328404245_signature_28.png</t>
  </si>
  <si>
    <t>Shahinaz Saleh</t>
  </si>
  <si>
    <t>https://www.jotform.com/uploads/macarewecare/222927978372067/6337569075328404245/6337569075328404245_signature_31.png</t>
  </si>
  <si>
    <t>1kva ups</t>
  </si>
  <si>
    <t>AT1000190123ST0389</t>
  </si>
  <si>
    <t>Defective battery 2pcs</t>
  </si>
  <si>
    <t>Replaced and installed battery s/n 540428,540429</t>
  </si>
  <si>
    <t>Battery 12v 7ah</t>
  </si>
  <si>
    <t>G8111</t>
  </si>
  <si>
    <t>https://www.jotform.com/uploads/macarewecare/222927978372067/6337288093614527614/6337288093614527614_signature_28.png</t>
  </si>
  <si>
    <t>https://www.jotform.com/uploads/macarewecare/222927978372067/6337288093614527614/6337288093614527614_signature_31.png</t>
  </si>
  <si>
    <t>AT1000190123ST0279</t>
  </si>
  <si>
    <t>Replaced and installed battery s/n 548676,548677</t>
  </si>
  <si>
    <t>https://www.jotform.com/uploads/macarewecare/222927978372067/6337287663617464192/6337287663617464192_signature_28.png</t>
  </si>
  <si>
    <t>https://www.jotform.com/uploads/macarewecare/222927978372067/6337287663617464192/6337287663617464192_signature_31.png</t>
  </si>
  <si>
    <t>Unit is operational.
Unit is due for calibration (3-6-25)</t>
  </si>
  <si>
    <t>https://www.jotform.com/uploads/macarewecare/222927978372067/6337251052906839453/6337251052906839453_signature_28.png</t>
  </si>
  <si>
    <t>https://www.jotform.com/uploads/macarewecare/222927978372067/6337251052906839453/6337251052906839453_signature_31.png</t>
  </si>
  <si>
    <t>Rizal Dr. BGC Taguig City</t>
  </si>
  <si>
    <t xml:space="preserve">ASSAY: Xpert BCR-ABL Ultra, COUNT: 36
ASSAY: Xpert CT/NG, COUNT: 155
ASSAY: Xpert HBV VL, COUNT: 24
ASSAY: Xpert HPV, COUNT: 231
ASSAY: Xpert MTB/RIF Ultra, COUNT: 504
ASSAY: Xpert HCV VL, COUNT: 5
ASSAY: Xpert HIV-1 Viral Load, COUNT: 159
</t>
  </si>
  <si>
    <t>Performed maintenance 
Cleaned:
-Cartridge bay 
-Plunger rod 
-Icore
-filter
Generated reports</t>
  </si>
  <si>
    <t>https://www.jotform.com/uploads/macarewecare/222927978372067/6337180243612727819/6337180243612727819_signature_28.png</t>
  </si>
  <si>
    <t>Joshua Aya-ay</t>
  </si>
  <si>
    <t>https://www.jotform.com/uploads/macarewecare/222927978372067/6337180243612727819/6337180243612727819_signature_31.png</t>
  </si>
  <si>
    <t>jkcidiesca@stlukes.com.ph</t>
  </si>
  <si>
    <t>Performed maintenance 
Checked rotor pumps 
Verified calibration parameters 
Run simulation
Functionality test</t>
  </si>
  <si>
    <t>https://www.jotform.com/uploads/macarewecare/222927978372067/6337180243618400917/6337180243618400917_signature_28.png</t>
  </si>
  <si>
    <t>Kenneth Idiesca</t>
  </si>
  <si>
    <t>https://www.jotform.com/uploads/macarewecare/222927978372067/6337180243618400917/6337180243618400917_signature_31.png</t>
  </si>
  <si>
    <t xml:space="preserve">ASSAY: Xpert BCR-ABL Ultra, COUNT: 186
ASSAY: Xpert CT/NG, COUNT: 664
ASSAY: Others, COUNT: 7
ASSAY: Xpert HBV VL, COUNT: 83
ASSAY: Xpert HPV, COUNT: 951
ASSAY: Xpert MTB/RIF Ultra, COUNT: 2375
ASSAY: Xpert MTB-XDR, COUNT: 10
ASSAY: Xpert HCV VL, COUNT: 39
ASSAY: Xpert HIV-1 Viral Load, COUNT: 356
</t>
  </si>
  <si>
    <t>https://www.jotform.com/uploads/macarewecare/222927978372067/6337180243618846156/6337180243618846156_signature_28.png</t>
  </si>
  <si>
    <t>https://www.jotform.com/uploads/macarewecare/222927978372067/6337180243618846156/6337180243618846156_signature_31.png</t>
  </si>
  <si>
    <t>General Trias Social Hygiene Clinic</t>
  </si>
  <si>
    <t>Hospital Road, General Trias, Cavite</t>
  </si>
  <si>
    <t xml:space="preserve">ASSAY: Xpert HIV-1 Viral Load, COUNT: 1149
</t>
  </si>
  <si>
    <t>https://www.jotform.com/uploads/macarewecare/222927978372067/6337162273616445162/6337162273616445162_signature_28.png</t>
  </si>
  <si>
    <t>Mack Alfred L. Chico</t>
  </si>
  <si>
    <t>https://www.jotform.com/uploads/macarewecare/222927978372067/6337162273616445162/6337162273616445162_signature_31.png</t>
  </si>
  <si>
    <t>Civic Drive, Filinvest, Muntinlupa</t>
  </si>
  <si>
    <t>Unit is Repaired and for Installation.</t>
  </si>
  <si>
    <t>Repair and Cleaning of Centrifuge.
Install MCS+ Unit.
Performed Simulation Test.
Pulled-out Service Unit.</t>
  </si>
  <si>
    <t>Pulled-out Service Unit: 12D166</t>
  </si>
  <si>
    <t>DR 13290</t>
  </si>
  <si>
    <t>https://www.jotform.com/uploads/macarewecare/222927978372067/6337162273612603757/6337162273612603757_signature_28.png</t>
  </si>
  <si>
    <t>Roi Jordan A. Ocay</t>
  </si>
  <si>
    <t>https://www.jotform.com/uploads/macarewecare/222927978372067/6337162273612603757/6337162273612603757_signature_31.png</t>
  </si>
  <si>
    <t>calambatbdots@gmail.com</t>
  </si>
  <si>
    <t>Unit for preventive maintenance.
For installation of new ups.</t>
  </si>
  <si>
    <t>Preventive maintenance and installation of UPS.</t>
  </si>
  <si>
    <t>Performed Preventive Maintenance.
-Cleaned and disinfect plunger
-Cleaned and disinfect cartridge bay
-Cleaned and disinfect instrument surface
-Cleaned icore sensors
-Cleaned filter fan
-Archived test results
Performed installation of UPS.
Generated reports.</t>
  </si>
  <si>
    <t>Unit is operational. For reporting of module B1 (temperature error).</t>
  </si>
  <si>
    <t>AT1000 UPS (AT1000190123ST0100) in replacement to defective AT1000 (AT1000190123ST0256).</t>
  </si>
  <si>
    <t>DR#13308</t>
  </si>
  <si>
    <t>https://www.jotform.com/uploads/macarewecare/222927978372067/6337162193617895951/6337162193617895951_signature_28.png</t>
  </si>
  <si>
    <t>Michelle N Pagkalinawan</t>
  </si>
  <si>
    <t>https://www.jotform.com/uploads/macarewecare/222927978372067/6337162193617895951/6337162193617895951_signature_31.png</t>
  </si>
  <si>
    <t>josefreyes0715@gmail.com</t>
  </si>
  <si>
    <t>Display buttons not working</t>
  </si>
  <si>
    <t>Reset display board cable connections 
Swapped display cable
Cleaned Unit surface 
Cleaned, centrifuge, valves, rotor pumps  rollers
Checked system parameters</t>
  </si>
  <si>
    <t>https://www.jotform.com/uploads/macarewecare/222927978372067/6337097376902127874/6337097376902127874_signature_28.png</t>
  </si>
  <si>
    <t>Josef D. Reyes</t>
  </si>
  <si>
    <t>https://www.jotform.com/uploads/macarewecare/222927978372067/6337097376902127874/6337097376902127874_signature_31.png</t>
  </si>
  <si>
    <t>Unit for relocation</t>
  </si>
  <si>
    <t>https://www.jotform.com/uploads/macarewecare/222927978372067/6334680962909252296/6334680962909252296_signature_28.png</t>
  </si>
  <si>
    <t>Ian Cris Tono</t>
  </si>
  <si>
    <t>https://www.jotform.com/uploads/macarewecare/222927978372067/6334680962909252296/6334680962909252296_signature_31.png</t>
  </si>
  <si>
    <t>Unit for Xpertcheck</t>
  </si>
  <si>
    <t>Unit is operational, 3 out of 6 modules passed. Modules B4/647149, G1/652279, G4/611037 require replacement. Other modules showing up as not available for Xpertcheck.</t>
  </si>
  <si>
    <t>Xpertcheck kit (x8)</t>
  </si>
  <si>
    <t>DR# 13330</t>
  </si>
  <si>
    <t>https://www.jotform.com/uploads/macarewecare/222927978372067/6334672417014059493/6334672417014059493_signature_28.png</t>
  </si>
  <si>
    <t>https://www.jotform.com/uploads/macarewecare/222927978372067/6334672417014059493/6334672417014059493_signature_31.png</t>
  </si>
  <si>
    <t>Poblacion, Panabo</t>
  </si>
  <si>
    <t xml:space="preserve">ASSAY: Xpert MTB/RIF Ultra, COUNT: 1877
</t>
  </si>
  <si>
    <t>https://www.jotform.com/uploads/macarewecare/222927978372067/6334657836882174631/6334657836882174631_signature_28.png</t>
  </si>
  <si>
    <t>https://www.jotform.com/uploads/macarewecare/222927978372067/6334657836882174631/6334657836882174631_signature_31.png</t>
  </si>
  <si>
    <t>Evangelista Ave Santolan Pasig City</t>
  </si>
  <si>
    <t xml:space="preserve">ASSAY: Xpert MTB/RIF Ultra, COUNT: 1541
</t>
  </si>
  <si>
    <t>Performed maintenance 
Cleaned 
-Cartridge bay 
-Plunger rod 
-Icore
-Filter 
Generated reports</t>
  </si>
  <si>
    <t>https://www.jotform.com/uploads/macarewecare/222927978372067/6334478281881414467/6334478281881414467_signature_28.png</t>
  </si>
  <si>
    <t>Lolita Formalejo</t>
  </si>
  <si>
    <t>https://www.jotform.com/uploads/macarewecare/222927978372067/6334478281881414467/6334478281881414467_signature_31.png</t>
  </si>
  <si>
    <t>Dr. Sixto Antonio Avenue Rosario Pasig City</t>
  </si>
  <si>
    <t xml:space="preserve">ASSAY: Xpert MTB/RIF Ultra, COUNT: 1340
</t>
  </si>
  <si>
    <t>Performed maintenance 
Cleaned:
-Cartridge bay 
-Plunger rod 
-Icore
-filter 
Generated reports</t>
  </si>
  <si>
    <t>https://www.jotform.com/uploads/macarewecare/222927978372067/6334478281885796101/6334478281885796101_signature_28.png</t>
  </si>
  <si>
    <t>https://www.jotform.com/uploads/macarewecare/222927978372067/6334478281885796101/6334478281885796101_signature_31.png</t>
  </si>
  <si>
    <t>MAINTENANCE
Check-up</t>
  </si>
  <si>
    <t>pedelacruz@themedicalcity.com</t>
  </si>
  <si>
    <t>Red blood spillage</t>
  </si>
  <si>
    <t>Check sensors</t>
  </si>
  <si>
    <t>Performed maintenance
Checked rotor pumps
Verified calibration parameters 
Cleaned and adjust line sensor
Cleaned bowl optics 
Simulation run
Functionality test</t>
  </si>
  <si>
    <t>https://www.jotform.com/uploads/macarewecare/222927978372067/6334478281887924019/6334478281887924019_signature_28.png</t>
  </si>
  <si>
    <t>Perlita De La Cruz</t>
  </si>
  <si>
    <t>https://www.jotform.com/uploads/macarewecare/222927978372067/6334478281887924019/6334478281887924019_signature_31.png</t>
  </si>
  <si>
    <t>https://www.jotform.com/uploads/macarewecare/222927978372067/6334478281887924864/6334478281887924864_signature_28.png</t>
  </si>
  <si>
    <t>Febbie Lou Birang</t>
  </si>
  <si>
    <t>https://www.jotform.com/uploads/macarewecare/222927978372067/6334478281887924864/6334478281887924864_signature_31.png</t>
  </si>
  <si>
    <t>https://www.jotform.com/uploads/macarewecare/222927978372067/6334478281889466310/6334478281889466310_signature_28.png</t>
  </si>
  <si>
    <t>https://www.jotform.com/uploads/macarewecare/222927978372067/6334478281889466310/6334478281889466310_signature_31.png</t>
  </si>
  <si>
    <t xml:space="preserve">ASSAY: Xpert MTB/RIF Ultra, COUNT: 1528
</t>
  </si>
  <si>
    <t>Gx for Preventive Maintenance 
CPU hard to open</t>
  </si>
  <si>
    <t>Cleaned cartridge bays, plunger rod 
Checked/Cleaned CPU RAM,replugged Power supply cable connections, Swapped power cord 
Collected Dat</t>
  </si>
  <si>
    <t>Unit is non operational(CPU hard to start)
Module B4 662296 - temp error</t>
  </si>
  <si>
    <t>https://www.jotform.com/uploads/macarewecare/222927978372067/6334077571711781620/6334077571711781620_signature_28.png</t>
  </si>
  <si>
    <t>https://www.jotform.com/uploads/macarewecare/222927978372067/6334077571711781620/6334077571711781620_signature_31.png</t>
  </si>
  <si>
    <t xml:space="preserve">ASSAY: Xpert MTB/RIF Ultra, COUNT: 1114
</t>
  </si>
  <si>
    <t>Gx for Preventive Maintenance 
CPU kept restarting</t>
  </si>
  <si>
    <t>Cleaned cartridge bays, plunger rod 
Cleaned CPU RAM, replugged power supply cable connection, swapped power cord
Collect Data</t>
  </si>
  <si>
    <t>Unit is non Operational (CPU kept restarting even after troubleshooting)</t>
  </si>
  <si>
    <t>https://www.jotform.com/uploads/macarewecare/222927978372067/6334074121717403954/6334074121717403954_signature_28.png</t>
  </si>
  <si>
    <t>https://www.jotform.com/uploads/macarewecare/222927978372067/6334074121717403954/6334074121717403954_signature_31.png</t>
  </si>
  <si>
    <t>Sagpon, Legazpi</t>
  </si>
  <si>
    <t>GX4-10C for Installation</t>
  </si>
  <si>
    <t>Installed Gx4-10C(110026767), CPU(CPH0725F60007), Monitor(CN-01HRFC- FCC00-47P- CARX-A00), Printer(CN56658GY4), Barcode Scanner(24303010551949) UPS(AT1K240612ST0012)
Generate Data</t>
  </si>
  <si>
    <t>Performed GX4-10C and parts Installation</t>
  </si>
  <si>
    <t>Unit is Operational 
All 4-modules and parts are fully functional</t>
  </si>
  <si>
    <t>https://www.jotform.com/uploads/macarewecare/222927978372067/6334068941713209146/6334068941713209146_signature_28.png</t>
  </si>
  <si>
    <t>https://www.jotform.com/uploads/macarewecare/222927978372067/6334068941713209146/6334068941713209146_signature_31.png</t>
  </si>
  <si>
    <t>Virac Rural Health Unit</t>
  </si>
  <si>
    <t>Virac</t>
  </si>
  <si>
    <t>Catanduanes</t>
  </si>
  <si>
    <t>rhusiv22@gmail.com</t>
  </si>
  <si>
    <t xml:space="preserve">ASSAY: Xpert MTB/RIF Ultra, COUNT: 2788
</t>
  </si>
  <si>
    <t>https://www.jotform.com/uploads/macarewecare/222927978372067/6334062751715756031/6334062751715756031_signature_28.png</t>
  </si>
  <si>
    <t>Ramil A. Mariano</t>
  </si>
  <si>
    <t>https://www.jotform.com/uploads/macarewecare/222927978372067/6334062751715756031/6334062751715756031_signature_31.png</t>
  </si>
  <si>
    <t>mhshilab@gmail.com</t>
  </si>
  <si>
    <t>https://www.jotform.com/uploads/macarewecare/222927978372067/6334060911715730945/6334060911715730945_signature_28.png</t>
  </si>
  <si>
    <t>Aileen Lopez</t>
  </si>
  <si>
    <t>https://www.jotform.com/uploads/macarewecare/222927978372067/6334060911715730945/6334060911715730945_signature_31.png</t>
  </si>
  <si>
    <t>https://www.jotform.com/uploads/macarewecare/222927978372067/6333810334024837957/6333810334024837957_signature_28.png</t>
  </si>
  <si>
    <t>https://www.jotform.com/uploads/macarewecare/222927978372067/6333810334024837957/6333810334024837957_signature_31.png</t>
  </si>
  <si>
    <t>Conveyor belt not working</t>
  </si>
  <si>
    <t>switched unit to manual mode for now</t>
  </si>
  <si>
    <t>Unit is operational, running possible in manual mode only. Conveyor requires part replacement due to wear and tear damage.</t>
  </si>
  <si>
    <t>https://www.jotform.com/uploads/macarewecare/222927978372067/6333799454013894332/6333799454013894332_signature_28.png</t>
  </si>
  <si>
    <t>https://www.jotform.com/uploads/macarewecare/222927978372067/6333799454013894332/6333799454013894332_signature_31.png</t>
  </si>
  <si>
    <t>Shaw Blvd., Mandaluyong</t>
  </si>
  <si>
    <t>laboratory@loveyourself.com.ph</t>
  </si>
  <si>
    <t>https://www.jotform.com/uploads/macarewecare/222927978372067/6333754170594478124/6333754170594478124_signature_28.png</t>
  </si>
  <si>
    <t>https://www.jotform.com/uploads/macarewecare/222927978372067/6333754170594478124/6333754170594478124_signature_31.png</t>
  </si>
  <si>
    <t>Unit is operational
Module 1&amp;4 for reporting/follow up</t>
  </si>
  <si>
    <t>https://www.jotform.com/uploads/macarewecare/222927978372067/6333753770596968960/6333753770596968960_signature_28.png</t>
  </si>
  <si>
    <t>https://www.jotform.com/uploads/macarewecare/222927978372067/6333753770596968960/6333753770596968960_signature_31.png</t>
  </si>
  <si>
    <t>Unit for installation</t>
  </si>
  <si>
    <t>https://www.jotform.com/uploads/macarewecare/222927978372067/6333752362905719852/6333752362905719852_signature_28.png</t>
  </si>
  <si>
    <t>https://www.jotform.com/uploads/macarewecare/222927978372067/6333752362905719852/6333752362905719852_signature_31.png</t>
  </si>
  <si>
    <t>Solano Rural Health Unit</t>
  </si>
  <si>
    <t>Solano, Nueva Vizcaya</t>
  </si>
  <si>
    <t>rhusolanolab@gmail.com</t>
  </si>
  <si>
    <t xml:space="preserve">ASSAY: Xpert MTB/RIF Ultra, COUNT: 811
</t>
  </si>
  <si>
    <t>Cleaned Icore
Replaced Filter
Cleaned Cartridge Bay
Cleaned Plunger Rod</t>
  </si>
  <si>
    <t>https://www.jotform.com/uploads/macarewecare/222927978372067/6333742979519393134/6333742979519393134_signature_28.png</t>
  </si>
  <si>
    <t>Vanessa Dela Cruz</t>
  </si>
  <si>
    <t>https://www.jotform.com/uploads/macarewecare/222927978372067/6333742979519393134/6333742979519393134_signature_31.png</t>
  </si>
  <si>
    <t>San Pablo Colleges Medical Center</t>
  </si>
  <si>
    <t>spcmc.molecularlab@gmail.com</t>
  </si>
  <si>
    <t xml:space="preserve">ASSAY: Xpert MTB/RIF, COUNT: 222
</t>
  </si>
  <si>
    <t>Unit is operational. All modules passed Xpertcheck.</t>
  </si>
  <si>
    <t>SI# 100898</t>
  </si>
  <si>
    <t>https://www.jotform.com/uploads/macarewecare/222927978372067/6333742527443321362/6333742527443321362_signature_28.png</t>
  </si>
  <si>
    <t>RICHARD E. TEMPLO</t>
  </si>
  <si>
    <t>https://www.jotform.com/uploads/macarewecare/222927978372067/6333742527443321362/6333742527443321362_signature_31.png</t>
  </si>
  <si>
    <t>Talakag Rural Health Unit</t>
  </si>
  <si>
    <t>Talakag, Bukidnon</t>
  </si>
  <si>
    <t>Bukidnon</t>
  </si>
  <si>
    <t>dianaobera26@gmail.com</t>
  </si>
  <si>
    <t>Preventive Maintenance
Signing of documents</t>
  </si>
  <si>
    <t>https://www.jotform.com/uploads/macarewecare/222927978372067/6333721772417413608/6333721772417413608_signature_28.png</t>
  </si>
  <si>
    <t>Diana Obera</t>
  </si>
  <si>
    <t>https://www.jotform.com/uploads/macarewecare/222927978372067/6333721772417413608/6333721772417413608_signature_31.png</t>
  </si>
  <si>
    <t>Diit Tacloban City</t>
  </si>
  <si>
    <t xml:space="preserve">ASSAY: Xpert MTB/RIF Ultra, COUNT: 1083
</t>
  </si>
  <si>
    <t>https://www.jotform.com/uploads/macarewecare/222927978372067/6333714280154801675/6333714280154801675_signature_28.png</t>
  </si>
  <si>
    <t>https://www.jotform.com/uploads/macarewecare/222927978372067/6333714280154801675/6333714280154801675_signature_31.png</t>
  </si>
  <si>
    <t>Ramon Rural Health Unit</t>
  </si>
  <si>
    <t>Ramon, Isabela</t>
  </si>
  <si>
    <t>rhuramonlab@gmail.com</t>
  </si>
  <si>
    <t xml:space="preserve">ASSAY: Xpert MTB/RIF Ultra, COUNT: 661
</t>
  </si>
  <si>
    <t>Cleaned Icore
Cleaned Cartridge Bay
Cleaned Filters
Cleaned Plundger Rod</t>
  </si>
  <si>
    <t>https://www.jotform.com/uploads/macarewecare/222927978372067/6333675119124236287/6333675119124236287_signature_28.png</t>
  </si>
  <si>
    <t>Carmina Jozenas J. Vizcarra</t>
  </si>
  <si>
    <t>https://www.jotform.com/uploads/macarewecare/222927978372067/6333675119124236287/6333675119124236287_signature_31.png</t>
  </si>
  <si>
    <t>Southern Philippines Medical Center - IM</t>
  </si>
  <si>
    <t>IM</t>
  </si>
  <si>
    <t>For pullout defective Centrifuge</t>
  </si>
  <si>
    <t>Pull out the Defective Centrifuge to be sent back to Office for diagnosis and repair</t>
  </si>
  <si>
    <t>Perform Pull-out of the Defective Centrifuge</t>
  </si>
  <si>
    <t>Successfully pullout the Centrifuge</t>
  </si>
  <si>
    <t>https://www.jotform.com/uploads/macarewecare/222927978372067/6333674037017499479/6333674037017499479_signature_28.png</t>
  </si>
  <si>
    <t>Alan S. Togoto</t>
  </si>
  <si>
    <t>https://www.jotform.com/uploads/macarewecare/222927978372067/6333674037017499479/6333674037017499479_signature_31.png</t>
  </si>
  <si>
    <t>Bajada St, Davao City</t>
  </si>
  <si>
    <t xml:space="preserve">ASSAY: Xpert CT/NG, COUNT: 6
ASSAY: Xpert MTB/RIF Ultra, COUNT: 1634
ASSAY: Xpert MTB-XDR, COUNT: 10
ASSAY: Xpert SARS-CoV-2, COUNT: 12
ASSAY: Xpert HCV VL, COUNT: 2
ASSAY: Xpert HIV-1 Viral Load, COUNT: 1320
</t>
  </si>
  <si>
    <t>https://www.jotform.com/uploads/macarewecare/222927978372067/6333635167012831651/6333635167012831651_signature_28.png</t>
  </si>
  <si>
    <t>https://www.jotform.com/uploads/macarewecare/222927978372067/6333635167012831651/6333635167012831651_signature_31.png</t>
  </si>
  <si>
    <t xml:space="preserve">ASSAY: Xpert MTB/RIF Ultra, COUNT: 621
ASSAY: Xpert SARS-CoV-2, COUNT: 72
ASSAY: Xpert HIV-1 Viral Load, COUNT: 858
</t>
  </si>
  <si>
    <t>https://www.jotform.com/uploads/macarewecare/222927978372067/6333634287011238251/6333634287011238251_signature_28.png</t>
  </si>
  <si>
    <t>https://www.jotform.com/uploads/macarewecare/222927978372067/6333634287011238251/6333634287011238251_signature_31.png</t>
  </si>
  <si>
    <t>Cagayan Valley Regional Blood Center</t>
  </si>
  <si>
    <t>Tuguegarao City, Cagayan</t>
  </si>
  <si>
    <t>nvbspchdii2022@gmail.com</t>
  </si>
  <si>
    <t>19G146SPG</t>
  </si>
  <si>
    <t>Rollers worn out</t>
  </si>
  <si>
    <t>Replaced Rollers</t>
  </si>
  <si>
    <t>Performed Maintenance
Cheked Parameters
Performed Test Run</t>
  </si>
  <si>
    <t>Rollers</t>
  </si>
  <si>
    <t>https://www.jotform.com/uploads/macarewecare/222927978372067/6332979116979641711/6332979116979641711_signature_28.png</t>
  </si>
  <si>
    <t>Katherine I. Baclig</t>
  </si>
  <si>
    <t>https://www.jotform.com/uploads/macarewecare/222927978372067/6332979116979641711/6332979116979641711_signature_31.png</t>
  </si>
  <si>
    <t>Blumentritt, Sta. Cruz Manila</t>
  </si>
  <si>
    <t>Unit for preventive maintenance.
For checking of purple valve.</t>
  </si>
  <si>
    <t>Performed Preventive Maintenance.
Checked and cleaned rotor pumps.
Verified calibration parameters.
Checked valve manifold.
Checked all valve's tubings.
Performed toggle valve.
Performed simulation running.
Performed multiple restarting of MCS for monitoring.</t>
  </si>
  <si>
    <t>Unit is operational. No errors on purple valve after start up test. No error on toggle valve.</t>
  </si>
  <si>
    <t>https://www.jotform.com/uploads/macarewecare/222927978372067/6332949871475771494/6332949871475771494_signature_28.png</t>
  </si>
  <si>
    <t>Joan Escolano</t>
  </si>
  <si>
    <t>https://www.jotform.com/uploads/macarewecare/222927978372067/6332949871475771494/6332949871475771494_signature_31.png</t>
  </si>
  <si>
    <t xml:space="preserve">ASSAY: Xpert MTB/RIF Ultra, COUNT: 2354
</t>
  </si>
  <si>
    <t>Due for monthly PM</t>
  </si>
  <si>
    <t>Perform preventive maintenance; plunger rod, fan filter, optic slot, cartridge bay</t>
  </si>
  <si>
    <t>https://www.jotform.com/uploads/macarewecare/222927978372067/6332932756682688325/6332932756682688325_signature_28.png</t>
  </si>
  <si>
    <t>Sheila Mae B. Lariosa</t>
  </si>
  <si>
    <t>https://www.jotform.com/uploads/macarewecare/222927978372067/6332932756682688325/6332932756682688325_signature_31.png</t>
  </si>
  <si>
    <t>Carig, Tuguegarao City, Cagayan</t>
  </si>
  <si>
    <t>BloodBank</t>
  </si>
  <si>
    <t>REPAIR
CALIBRATION
MAINTENANCE
TROUBLESHOOTING</t>
  </si>
  <si>
    <t>iegparayno@gmail.com</t>
  </si>
  <si>
    <t>15H033G</t>
  </si>
  <si>
    <t>Self Test Problem
Bios Battery</t>
  </si>
  <si>
    <t>Troubleshoot Bios Battery
Replaced Bios Battery
Configure Technical Parameters
Performed Calibration</t>
  </si>
  <si>
    <t>Performed Maintenance
Gathered Reports
Performed Test Run 2x ( Procedure Complete)</t>
  </si>
  <si>
    <t>Bios Battery</t>
  </si>
  <si>
    <t>https://www.jotform.com/uploads/macarewecare/222927978372067/6332916185916502587/6332916185916502587_signature_28.png</t>
  </si>
  <si>
    <t>Reggie Parayno</t>
  </si>
  <si>
    <t>https://www.jotform.com/uploads/macarewecare/222927978372067/6332916185916502587/6332916185916502587_signature_31.png</t>
  </si>
  <si>
    <t>Matanao Rural Health Unit</t>
  </si>
  <si>
    <t>Poblacion, Matanao</t>
  </si>
  <si>
    <t>pamsustento@gmail.com</t>
  </si>
  <si>
    <t xml:space="preserve">ASSAY: Xpert MTB/RIF Ultra, COUNT: 481
</t>
  </si>
  <si>
    <t>UPS not working during battery mode
For Preventive Maintenance</t>
  </si>
  <si>
    <t>Replace the defective battery of the UPS
Clean Surface Area, Cartridge Bay, Plunger Rod, Fan Filters, and Icore Lenses
Generate IQR, Assay Stat and System Log</t>
  </si>
  <si>
    <t>Perform Preventive Maintenance and UPS Repair</t>
  </si>
  <si>
    <t>UPS Batteries Successfully Replaced
All Modules are operational</t>
  </si>
  <si>
    <t>https://www.jotform.com/uploads/macarewecare/222927978372067/6332915296025922498/6332915296025922498_signature_28.png</t>
  </si>
  <si>
    <t>Dominador s. Castro III</t>
  </si>
  <si>
    <t>https://www.jotform.com/uploads/macarewecare/222927978372067/6332915296025922498/6332915296025922498_signature_31.png</t>
  </si>
  <si>
    <t>The Medical City Clark</t>
  </si>
  <si>
    <t>Clark Pampanga</t>
  </si>
  <si>
    <t>tmci_laboratory@themedicalcity.com</t>
  </si>
  <si>
    <t>jnasuncion@themedicalcity.com</t>
  </si>
  <si>
    <t xml:space="preserve">ASSAY: Xpert CT/NG, COUNT: 14
ASSAY: Xpert HBV VL, COUNT: 54
ASSAY: Xpert HPV, COUNT: 34
ASSAY: Xpert MTB/RIF Ultra, COUNT: 101
ASSAY: Xpert HIV-1 Viral Load, COUNT: 2
</t>
  </si>
  <si>
    <t>Due for Preventive maintenance and Calibration</t>
  </si>
  <si>
    <t>Calibration</t>
  </si>
  <si>
    <t>Performed surface cleaning 
Performed cleaning of plunger rod, cartridge bay, icore and filter 
Archived test results 
Performed Calibration 
Performed functionality test 
Gathered reports</t>
  </si>
  <si>
    <t>Unit is operational all modules passed calibration</t>
  </si>
  <si>
    <t>Xpertcheck-CE-5</t>
  </si>
  <si>
    <t>https://www.jotform.com/uploads/macarewecare/222927978372067/6332912046324274734/6332912046324274734_signature_28.png</t>
  </si>
  <si>
    <t>James Arthur Asuncion</t>
  </si>
  <si>
    <t>https://www.jotform.com/uploads/macarewecare/222927978372067/6332912046324274734/6332912046324274734_signature_31.png</t>
  </si>
  <si>
    <t>Baybay City</t>
  </si>
  <si>
    <t>https://www.jotform.com/uploads/macarewecare/222927978372067/6332842284537281476/6332842284537281476_signature_28.png</t>
  </si>
  <si>
    <t>Sarah Jean Gabieta</t>
  </si>
  <si>
    <t>https://www.jotform.com/uploads/macarewecare/222927978372067/6332842284537281476/6332842284537281476_signature_31.png</t>
  </si>
  <si>
    <t>CDO Polymedic Medical Plaza</t>
  </si>
  <si>
    <t>cpmpmolecularlab@gmail.com</t>
  </si>
  <si>
    <t>GX 4 10 Colors</t>
  </si>
  <si>
    <t>Preventive Maintenance
Archiving Tests</t>
  </si>
  <si>
    <t>https://www.jotform.com/uploads/macarewecare/222927978372067/6332841497129352370/6332841497129352370_signature_28.png</t>
  </si>
  <si>
    <t>Mary Lou B. Llatuna</t>
  </si>
  <si>
    <t>https://www.jotform.com/uploads/macarewecare/222927978372067/6332841497129352370/6332841497129352370_signature_31.png</t>
  </si>
  <si>
    <t>Bantayan Rural Health Unit</t>
  </si>
  <si>
    <t>Bantayan Island</t>
  </si>
  <si>
    <t>mcdelle916bausin@gmai.com</t>
  </si>
  <si>
    <t>Site Visit
Preventive Maintenance
Gather data IQR, system log
Clean Fan Filter</t>
  </si>
  <si>
    <t>https://www.jotform.com/uploads/macarewecare/222927978372067/6332834707752299847/6332834707752299847_signature_28.png</t>
  </si>
  <si>
    <t>Roxanne Bausin</t>
  </si>
  <si>
    <t>https://www.jotform.com/uploads/macarewecare/222927978372067/6332834707752299847/6332834707752299847_signature_31.png</t>
  </si>
  <si>
    <t>https://www.jotform.com/uploads/macarewecare/222927978372067/6332834397752270215/6332834397752270215_signature_28.png</t>
  </si>
  <si>
    <t>https://www.jotform.com/uploads/macarewecare/222927978372067/6332834397752270215/6332834397752270215_signature_31.png</t>
  </si>
  <si>
    <t>Wilson St San Juan Greenhills</t>
  </si>
  <si>
    <t>janeldvelasquez@gmail.com</t>
  </si>
  <si>
    <t xml:space="preserve">ASSAY: Xpert HBV VL, COUNT: 66
ASSAY: Xpert HPV, COUNT: 39
ASSAY: Xpert MTB/RIF Ultra, COUNT: 1155
</t>
  </si>
  <si>
    <t>Error 5007 on module B4</t>
  </si>
  <si>
    <t>Performed maintenance 
Cleaned:
-Cartridge bay
-Plunger rod 
-Icore 
-Filter 
Generated reports 
Generated.gxx file</t>
  </si>
  <si>
    <t>Unit is operational. Module B3 disabled. Module B4 under observation. GeneXpert unit due for XpertCheck.</t>
  </si>
  <si>
    <t>Liver mass used in B4 with error 5007</t>
  </si>
  <si>
    <t>https://www.jotform.com/uploads/macarewecare/222927978372067/6332273775803479025/6332273775803479025_signature_28.png</t>
  </si>
  <si>
    <t>Janel</t>
  </si>
  <si>
    <t>https://www.jotform.com/uploads/macarewecare/222927978372067/6332273775803479025/6332273775803479025_signature_31.png</t>
  </si>
  <si>
    <t>Tagoloan Rural Health Unit</t>
  </si>
  <si>
    <t>Poblacion, Tagoloan</t>
  </si>
  <si>
    <t>venzbacoy@gmail.com</t>
  </si>
  <si>
    <t>Preventive Maintenance and Signing Documents</t>
  </si>
  <si>
    <t>https://www.jotform.com/uploads/macarewecare/222927978372067/6332153057123288510/6332153057123288510_signature_28.png</t>
  </si>
  <si>
    <t>Venz Michael Bacoy</t>
  </si>
  <si>
    <t>https://www.jotform.com/uploads/macarewecare/222927978372067/6332153057123288510/6332153057123288510_signature_31.png</t>
  </si>
  <si>
    <t>Cotabato Regional Medical Center</t>
  </si>
  <si>
    <t xml:space="preserve">ASSAY: Xpert HIV-1 Viral Load, COUNT: 78
ASSAY: Xpert HBV VL, COUNT: 2
ASSAY: Xpert SARS-CoV-2, COUNT: 3169
ASSAY: Xpress SARS-CoV-2_Flu_RSV plus, COUNT: 704
ASSAY: Xpert SARS-CoV-2, COUNT: 289
</t>
  </si>
  <si>
    <t>GxlV-6color</t>
  </si>
  <si>
    <t>Import HIV viral load XC Assay
Perform genexpert cleaning and maintenance
Module cleaning
Plunger rod and optics cleaning
Fan and filter cleaning
Checking of module status and problem
Data reporting</t>
  </si>
  <si>
    <t>Genexpert Preventive maintenance</t>
  </si>
  <si>
    <t>https://www.jotform.com/uploads/macarewecare/222927978372067/6332129758021306856/6332129758021306856_signature_28.png</t>
  </si>
  <si>
    <t>Darianne Mae Tubilan</t>
  </si>
  <si>
    <t>https://www.jotform.com/uploads/macarewecare/222927978372067/6332129758021306856/6332129758021306856_signature_31.png</t>
  </si>
  <si>
    <t>monetlaxina@yahoo.com.ph</t>
  </si>
  <si>
    <t>GX4L</t>
  </si>
  <si>
    <t>Relocate unit
Set up unit</t>
  </si>
  <si>
    <t>Performed relocation</t>
  </si>
  <si>
    <t>https://www.jotform.com/uploads/macarewecare/222927978372067/6328628393611895360/6328628393611895360_signature_28.png</t>
  </si>
  <si>
    <t>Simonette Laxina</t>
  </si>
  <si>
    <t>https://www.jotform.com/uploads/macarewecare/222927978372067/6328628393611895360/6328628393611895360_signature_31.png</t>
  </si>
  <si>
    <t xml:space="preserve">ASSAY: Xpert BCR-ABL Ultra, COUNT: 150
ASSAY: Others, COUNT: 1
ASSAY: Xpert CT/NG, COUNT: 391
ASSAY: Xpert HBV VL, COUNT: 76
ASSAY: Xpert HPV, COUNT: 219
ASSAY: Xpert MTB/RIF Ultra, COUNT: 1747
ASSAY: Others, COUNT: 9
ASSAY: Xpert HCV VL, COUNT: 98
ASSAY: Xpert HIV-1 Viral Load, COUNT: 951
ASSAY: Xpress SARS-CoV-2_Flu_RSV plus, COUNT: 12
</t>
  </si>
  <si>
    <t>GXXVI D</t>
  </si>
  <si>
    <t>https://www.jotform.com/uploads/macarewecare/222927978372067/6328589503613590257/6328589503613590257_signature_28.png</t>
  </si>
  <si>
    <t>https://www.jotform.com/uploads/macarewecare/222927978372067/6328589503613590257/6328589503613590257_signature_31.png</t>
  </si>
  <si>
    <t>94 Masikap st.,Diliman QC</t>
  </si>
  <si>
    <t>laboratory@bestdiagnotic.com.ph</t>
  </si>
  <si>
    <t xml:space="preserve">ASSAY: Xpert HBV VL, COUNT: 16
ASSAY: Xpert MTB/RIF Ultra, COUNT: 2
ASSAY: Xpert HCV VL, COUNT: 1
</t>
  </si>
  <si>
    <t>https://www.jotform.com/uploads/macarewecare/222927978372067/6328588863611433613/6328588863611433613_signature_28.png</t>
  </si>
  <si>
    <t>Rose Marie Balisi</t>
  </si>
  <si>
    <t>https://www.jotform.com/uploads/macarewecare/222927978372067/6328588863611433613/6328588863611433613_signature_31.png</t>
  </si>
  <si>
    <t>Shoe Avenue Marikina City</t>
  </si>
  <si>
    <t xml:space="preserve">ASSAY: Xpert MTB/RIF Ultra, COUNT: 350
ASSAY: Xpert MTB-XDR, COUNT: 12
ASSAY: Xpert HIV-1 Viral Load, COUNT: 226
</t>
  </si>
  <si>
    <t>https://www.jotform.com/uploads/macarewecare/222927978372067/6328530843244549500/6328530843244549500_signature_28.png</t>
  </si>
  <si>
    <t>https://www.jotform.com/uploads/macarewecare/222927978372067/6328530843244549500/6328530843244549500_signature_31.png</t>
  </si>
  <si>
    <t xml:space="preserve">ASSAY: Xpert MTB/RIF Ultra, COUNT: 343
ASSAY: Xpert MTB-XDR, COUNT: 22
ASSAY: Xpert HIV-1 Viral Load, COUNT: 330
</t>
  </si>
  <si>
    <t>https://www.jotform.com/uploads/macarewecare/222927978372067/6328530843246154409/6328530843246154409_signature_28.png</t>
  </si>
  <si>
    <t>https://www.jotform.com/uploads/macarewecare/222927978372067/6328530843246154409/6328530843246154409_signature_31.png</t>
  </si>
  <si>
    <t>Madrid District Hospital</t>
  </si>
  <si>
    <t>Madrid, Surigao del Sur</t>
  </si>
  <si>
    <t>Surigao del Sur</t>
  </si>
  <si>
    <t>madridlaboratory@gmail.com</t>
  </si>
  <si>
    <t>https://www.jotform.com/uploads/macarewecare/222927978372067/6327815505416922005/6327815505416922005_signature_28.png</t>
  </si>
  <si>
    <t>Rochelle Pueblas</t>
  </si>
  <si>
    <t>https://www.jotform.com/uploads/macarewecare/222927978372067/6327815505416922005/6327815505416922005_signature_31.png</t>
  </si>
  <si>
    <t>Poro Rural Health Unit</t>
  </si>
  <si>
    <t>Poro, Camotes, Cebu</t>
  </si>
  <si>
    <t>avilacharmaine6@gmail.com</t>
  </si>
  <si>
    <t xml:space="preserve">ASSAY: Xpert MTB/RIF Ultra, COUNT: 478
</t>
  </si>
  <si>
    <t>-Replace defective module B2/808037 with module SN: 644627</t>
  </si>
  <si>
    <t>900-0491RS Certified pre-owned GeneXpert module SN. 644627</t>
  </si>
  <si>
    <t>DR no. 13258</t>
  </si>
  <si>
    <t>https://www.jotform.com/uploads/macarewecare/222927978372067/6327732183024744453/6327732183024744453_signature_28.png</t>
  </si>
  <si>
    <t>Charmaine A. Apat</t>
  </si>
  <si>
    <t>https://www.jotform.com/uploads/macarewecare/222927978372067/6327732183024744453/6327732183024744453_signature_31.png</t>
  </si>
  <si>
    <t>Dinas Rural Health Unit</t>
  </si>
  <si>
    <t>Dinas, Zamboanga del sur</t>
  </si>
  <si>
    <t>MAINTENANCE
Module Replacement and UPS Replacement</t>
  </si>
  <si>
    <t>bernantereynacres@gmail.com</t>
  </si>
  <si>
    <t>UPS unable to work properly</t>
  </si>
  <si>
    <t>Replaced defective module 862294 with new module 210059928. Replaced defective ups SN AT1000190123ST0358 with new UPS SN AT1000190123ST0280. Preventive Maintenance, data collection.</t>
  </si>
  <si>
    <t>All modules are working properly while UPS is ready to use and needs to be charged atleast 8hrs.</t>
  </si>
  <si>
    <t>Newly replaced UPS must be charge for atleast 8hrs</t>
  </si>
  <si>
    <t>900-0491RS
FC-IT-UPS-ACCU1K</t>
  </si>
  <si>
    <t>13274/ 13261</t>
  </si>
  <si>
    <t>https://www.jotform.com/uploads/macarewecare/222927978372067/6327730967442417221/6327730967442417221_signature_28.png</t>
  </si>
  <si>
    <t>Reyna Cres Bernante</t>
  </si>
  <si>
    <t>https://www.jotform.com/uploads/macarewecare/222927978372067/6327730967442417221/6327730967442417221_signature_31.png</t>
  </si>
  <si>
    <t>M. Santos St. Antipolo Rizal</t>
  </si>
  <si>
    <t xml:space="preserve">ASSAY: Xpert MTB/RIF Ultra, COUNT: 5
ASSAY: Xpert MTB-XDR, COUNT: 120
ASSAY: Xpert HIV-1 Viral Load, COUNT: 757
</t>
  </si>
  <si>
    <t>https://www.jotform.com/uploads/macarewecare/222927978372067/6327657185807460715/6327657185807460715_signature_28.png</t>
  </si>
  <si>
    <t>https://www.jotform.com/uploads/macarewecare/222927978372067/6327657185807460715/6327657185807460715_signature_31.png</t>
  </si>
  <si>
    <t>ma.charitydelosreyes@yahoo.com</t>
  </si>
  <si>
    <t>Machine display button not working</t>
  </si>
  <si>
    <t>Reset display cables
Swapped display board for testing
Checked display cable connections
Reset machine</t>
  </si>
  <si>
    <t>Unit is non operational 
Display buttons not working</t>
  </si>
  <si>
    <t>https://www.jotform.com/uploads/macarewecare/222927978372067/6326943705325313348/6326943705325313348_signature_28.png</t>
  </si>
  <si>
    <t>Ma. Charity de los Reyes</t>
  </si>
  <si>
    <t>https://www.jotform.com/uploads/macarewecare/222927978372067/6326943705325313348/6326943705325313348_signature_31.png</t>
  </si>
  <si>
    <t>1005 Aurora Grand</t>
  </si>
  <si>
    <t>Accupower 1kva</t>
  </si>
  <si>
    <t>Drain battery 0 volts</t>
  </si>
  <si>
    <t>Checked and test voltage output of battery</t>
  </si>
  <si>
    <t>Unit for replacement of battery 4pcs for UPS s/n AT1000190123ST0389, AT1000190123ST0279</t>
  </si>
  <si>
    <t>https://www.jotform.com/uploads/macarewecare/222927978372067/6326936093619981694/6326936093619981694_signature_28.png</t>
  </si>
  <si>
    <t>https://www.jotform.com/uploads/macarewecare/222927978372067/6326936093619981694/6326936093619981694_signature_31.png</t>
  </si>
  <si>
    <t>Alicia Rural Health Unit</t>
  </si>
  <si>
    <t>Alicia Zamboanga del sur</t>
  </si>
  <si>
    <t>castrojore29@gmail.com</t>
  </si>
  <si>
    <t xml:space="preserve">ASSAY: Xpert MTB/RIF Ultra, COUNT: 187
</t>
  </si>
  <si>
    <t>Monitor lcd malfunctioning.</t>
  </si>
  <si>
    <t>Replaced defective monitor CNK9430C28 with properly functioning monitor CN48180550. Preventive maintenence.</t>
  </si>
  <si>
    <t>Genexpert Machine is working fine and ready to use.</t>
  </si>
  <si>
    <t>FC-E-MON8TOR</t>
  </si>
  <si>
    <t>https://www.jotform.com/uploads/macarewecare/222927978372067/6326880779311999831/6326880779311999831_signature_28.png</t>
  </si>
  <si>
    <t>Joremay Panganoron</t>
  </si>
  <si>
    <t>https://www.jotform.com/uploads/macarewecare/222927978372067/6326880779311999831/6326880779311999831_signature_31.png</t>
  </si>
  <si>
    <t xml:space="preserve">ASSAY: Xpert MTB/RIF Ultra, COUNT: 567
</t>
  </si>
  <si>
    <t>https://www.jotform.com/uploads/macarewecare/222927978372067/6326873776484709572/6326873776484709572_signature_28.png</t>
  </si>
  <si>
    <t>https://www.jotform.com/uploads/macarewecare/222927978372067/6326873776484709572/6326873776484709572_signature_31.png</t>
  </si>
  <si>
    <t xml:space="preserve">ASSAY: Xpert MTB/RIF Ultra, COUNT: 427
</t>
  </si>
  <si>
    <t>Due for Preventive Maintenance
UPS Problem</t>
  </si>
  <si>
    <t>Clean Surface Area, Cartridge Bay, Plunger Rod, Fan Filters, and Icore Lenses
Generate IQR, Assay Stat and System Log
Archived Data test results
Check Line Voltages
Check Battery Voltages</t>
  </si>
  <si>
    <t>Perform Preventive Maintenance
Perform UPS Troubleshooting</t>
  </si>
  <si>
    <t>All Modules are operational
UPS not working during battery mode</t>
  </si>
  <si>
    <t>https://www.jotform.com/uploads/macarewecare/222927978372067/6326853099308801729/6326853099308801729_signature_28.png</t>
  </si>
  <si>
    <t>Liza Narciso,. RMT</t>
  </si>
  <si>
    <t>https://www.jotform.com/uploads/macarewecare/222927978372067/6326853099308801729/6326853099308801729_signature_31.png</t>
  </si>
  <si>
    <t>Cebu TB reference Lab</t>
  </si>
  <si>
    <t>Cebu City - SRP</t>
  </si>
  <si>
    <t>Gather data IQR, System log
Clean Fan Filter
Calibration Info report
Site has own spare LCD monitor to replace the defective LCD monitor for the meantime</t>
  </si>
  <si>
    <t>Sytems operational
All modules passed during xpertcheck calibration</t>
  </si>
  <si>
    <t>https://www.jotform.com/uploads/macarewecare/222927978372067/6326782511152109553/6326782511152109553_signature_28.png</t>
  </si>
  <si>
    <t>https://www.jotform.com/uploads/macarewecare/222927978372067/6326782511152109553/6326782511152109553_signature_31.png</t>
  </si>
  <si>
    <t xml:space="preserve">ASSAY: Xpert CT/NG, COUNT: 1165
ASSAY: Xpert HBV VL, COUNT: 22
ASSAY: Xpert HPV, COUNT: 102
ASSAY: Xpert SARS-CoV-2, COUNT: 708
ASSAY: Xpert SARS-CoV-2, COUNT: 48
ASSAY: Xpert HIV-1 Viral Load, COUNT: 10
ASSAY: Xpress SARS-CoV-2_Flu_RSV plus, COUNT: 547
</t>
  </si>
  <si>
    <t>https://www.jotform.com/uploads/macarewecare/222927978372067/6326687253612993178/6326687253612993178_signature_28.png</t>
  </si>
  <si>
    <t>https://www.jotform.com/uploads/macarewecare/222927978372067/6326687253612993178/6326687253612993178_signature_31.png</t>
  </si>
  <si>
    <t xml:space="preserve">ASSAY: Xpert MTB/RIF Ultra, COUNT: 557
</t>
  </si>
  <si>
    <t>https://www.jotform.com/uploads/macarewecare/222927978372067/6325974016511786263/6325974016511786263_signature_28.png</t>
  </si>
  <si>
    <t>https://www.jotform.com/uploads/macarewecare/222927978372067/6325974016511786263/6325974016511786263_signature_31.png</t>
  </si>
  <si>
    <t>Clean fan
Data gathered system log, IQR
Xpertcheck calibration</t>
  </si>
  <si>
    <t>https://www.jotform.com/uploads/macarewecare/222927978372067/6325951375519327826/6325951375519327826_signature_28.png</t>
  </si>
  <si>
    <t>https://www.jotform.com/uploads/macarewecare/222927978372067/6325951375519327826/6325951375519327826_signature_31.png</t>
  </si>
  <si>
    <t>Cagayancillo Rural Health Unit</t>
  </si>
  <si>
    <t>Brgy. Calsada I, Cagayancillo, Palawan</t>
  </si>
  <si>
    <t>kmricablanca@gmail.com</t>
  </si>
  <si>
    <t>Installed the GeneXpert System 
-GeneXpert Unit 
-Workstation
-Printer
-Barcode Scanner w/ stand
-UPS
Functionality test</t>
  </si>
  <si>
    <t>Repack the GeneXpert System</t>
  </si>
  <si>
    <t>https://www.jotform.com/uploads/macarewecare/222927978372067/6325846093612585623/6325846093612585623_signature_28.png</t>
  </si>
  <si>
    <t>Karen Mae Argamaso</t>
  </si>
  <si>
    <t>https://www.jotform.com/uploads/macarewecare/222927978372067/6325846093612585623/6325846093612585623_signature_31.png</t>
  </si>
  <si>
    <t>Puerto Princesa, Palawan</t>
  </si>
  <si>
    <t xml:space="preserve">ASSAY: Xpert MTB/RIF Ultra, COUNT: 254
</t>
  </si>
  <si>
    <t>Performed maintenance:
Cleaned:
-Cartridge bay 
-Plunger rod 
-Icore 
-filter 
Generated reports</t>
  </si>
  <si>
    <t>https://www.jotform.com/uploads/macarewecare/222927978372067/6325846093613572739/6325846093613572739_signature_28.png</t>
  </si>
  <si>
    <t>Jocelyn L Calalin</t>
  </si>
  <si>
    <t>https://www.jotform.com/uploads/macarewecare/222927978372067/6325846093613572739/6325846093613572739_signature_31.png</t>
  </si>
  <si>
    <t>jocal0324@gmqip.com</t>
  </si>
  <si>
    <t xml:space="preserve">ASSAY: Xpert MTB/RIF Ultra, COUNT: 2142
</t>
  </si>
  <si>
    <t>https://www.jotform.com/uploads/macarewecare/222927978372067/6325846093615241054/6325846093615241054_signature_28.png</t>
  </si>
  <si>
    <t>https://www.jotform.com/uploads/macarewecare/222927978372067/6325846093615241054/6325846093615241054_signature_31.png</t>
  </si>
  <si>
    <t>Claveria Rural Health Unit</t>
  </si>
  <si>
    <t>Poblacion, Claveria</t>
  </si>
  <si>
    <t>mgrmartinez757@gmail.com</t>
  </si>
  <si>
    <t xml:space="preserve">ASSAY: Xpert MTB/RIF Ultra, COUNT: 628
</t>
  </si>
  <si>
    <t>Repaired CPU - CPH0520F08309
Cleaned cartridge bays, plunger rod 
Generate Data</t>
  </si>
  <si>
    <t>Repaired CPU
Performed Preventive Maintenance</t>
  </si>
  <si>
    <t>https://www.jotform.com/uploads/macarewecare/222927978372067/6322638060746258792/6322638060746258792_signature_28.png</t>
  </si>
  <si>
    <t>Mary Grace R.Martinez</t>
  </si>
  <si>
    <t>https://www.jotform.com/uploads/macarewecare/222927978372067/6322638060746258792/6322638060746258792_signature_31.png</t>
  </si>
  <si>
    <t xml:space="preserve">ASSAY: Xpert MTB/RIF Ultra, COUNT: 471
</t>
  </si>
  <si>
    <t>Cleaned cartridge bays and plunger rod
Generate Data</t>
  </si>
  <si>
    <t>https://www.jotform.com/uploads/macarewecare/222927978372067/6322637530745647392/6322637530745647392_signature_28.png</t>
  </si>
  <si>
    <t>Joselyn Oscuro</t>
  </si>
  <si>
    <t>https://www.jotform.com/uploads/macarewecare/222927978372067/6322637530745647392/6322637530745647392_signature_31.png</t>
  </si>
  <si>
    <t>calambatndots@gmail.com</t>
  </si>
  <si>
    <t>Unit for preventive maintenance.
For checking of Ups.</t>
  </si>
  <si>
    <t>Preventive maintenance and troubleshootong.</t>
  </si>
  <si>
    <t>Performed Preventive Maintenance.
-Cleaned and disinfect plunger
-Cleaned and disinfect cartridge bay
-Cleaned and disinfect instrument surface
-Cleaned icore sensors
-Cleaned filter fan
-Archived test results
Generated reports.
Performed inspection of Ups.</t>
  </si>
  <si>
    <t>Unit is operational. UPS AT1000 (sn: AT1000190123ST0256) not backing up and is for replacement.</t>
  </si>
  <si>
    <t>https://www.jotform.com/uploads/macarewecare/222927978372067/6322581353112442617/6322581353112442617_signature_28.png</t>
  </si>
  <si>
    <t>Lily P.Banalan</t>
  </si>
  <si>
    <t>https://www.jotform.com/uploads/macarewecare/222927978372067/6322581353112442617/6322581353112442617_signature_31.png</t>
  </si>
  <si>
    <t>Palawan Molecular Diagnostic Laboratory</t>
  </si>
  <si>
    <t>Irawan, Puerto Princesa, Palawan</t>
  </si>
  <si>
    <t>maejg.gualdrapa@gmail.com</t>
  </si>
  <si>
    <t xml:space="preserve">ASSAY: Xpert MTB/RIF Ultra, COUNT: 534
</t>
  </si>
  <si>
    <t>https://www.jotform.com/uploads/macarewecare/222927978372067/6321794791276684692/6321794791276684692_signature_28.png</t>
  </si>
  <si>
    <t>MYKEANNE MAEJ'G GUALDRAPA</t>
  </si>
  <si>
    <t>https://www.jotform.com/uploads/macarewecare/222927978372067/6321794791276684692/6321794791276684692_signature_31.png</t>
  </si>
  <si>
    <t>Calbiga Rural Health Unit</t>
  </si>
  <si>
    <t>Calbiga Samar</t>
  </si>
  <si>
    <t>lornsabaigar@gmail.com</t>
  </si>
  <si>
    <t xml:space="preserve">ASSAY: Xpert MTB/RIF Ultra, COUNT: 740
</t>
  </si>
  <si>
    <t>https://www.jotform.com/uploads/macarewecare/222927978372067/6321661875419489579/6321661875419489579_signature_28.png</t>
  </si>
  <si>
    <t>Ma. Bella P Lozada</t>
  </si>
  <si>
    <t>https://www.jotform.com/uploads/macarewecare/222927978372067/6321661875419489579/6321661875419489579_signature_31.png</t>
  </si>
  <si>
    <t>Poblacion Sta Cruz</t>
  </si>
  <si>
    <t xml:space="preserve">ASSAY: Xpert MTB/RIF Ultra, COUNT: 498
</t>
  </si>
  <si>
    <t>https://www.jotform.com/uploads/macarewecare/222927978372067/6321659818227944499/6321659818227944499_signature_28.png</t>
  </si>
  <si>
    <t>https://www.jotform.com/uploads/macarewecare/222927978372067/6321659818227944499/6321659818227944499_signature_31.png</t>
  </si>
  <si>
    <t>MCS</t>
  </si>
  <si>
    <t>Defective display cable
Unresponsive keypad</t>
  </si>
  <si>
    <t>Checked program parameters
Checked and adjust line sensor value
Checked rollers,dpm,spm,centrifuge,weigher
Replaced and installed display cable
Performed functionality test
Performed simulation running</t>
  </si>
  <si>
    <t>https://www.jotform.com/uploads/macarewecare/222927978372067/6321531203612762460/6321531203612762460_signature_28.png</t>
  </si>
  <si>
    <t>Lorrabelle Salada</t>
  </si>
  <si>
    <t>https://www.jotform.com/uploads/macarewecare/222927978372067/6321531203612762460/6321531203612762460_signature_31.png</t>
  </si>
  <si>
    <t>Aurora Grand</t>
  </si>
  <si>
    <t>1. Stucked up centrifuge mechanical chuck.
2. Always fluid detected in the centrifuge.</t>
  </si>
  <si>
    <t>Performed centrifuge overhaul and repair.
Performed centrifuge cleaning and unit maintenance.
Verify unit calibration parameters.
Performed functionality test and simulation run.</t>
  </si>
  <si>
    <t>1. Overhaul/cleaned the centrifuge assembly..
2. Repair mechancal chuck. Apply lubricant solutionn.
3. Cleaned fluid detector.</t>
  </si>
  <si>
    <t>Unit is operational. For return to facolity</t>
  </si>
  <si>
    <t>Repaired unit, for return.</t>
  </si>
  <si>
    <t>https://www.jotform.com/uploads/macarewecare/222927978372067/6320869433611231471/6320869433611231471_signature_28.png</t>
  </si>
  <si>
    <t>https://www.jotform.com/uploads/macarewecare/222927978372067/6320869433611231471/6320869433611231471_signature_31.png</t>
  </si>
  <si>
    <t>vsmmcdeptpatho.microbiology@gmail.com</t>
  </si>
  <si>
    <t xml:space="preserve">ASSAY: Xpert HPV, COUNT: 16
ASSAY: Xpert MTB/RIF Ultra, COUNT: 3191
</t>
  </si>
  <si>
    <t>https://www.jotform.com/uploads/macarewecare/222927978372067/6320834538137435903/6320834538137435903_signature_28.png</t>
  </si>
  <si>
    <t>Fran Marie Uberas</t>
  </si>
  <si>
    <t>https://www.jotform.com/uploads/macarewecare/222927978372067/6320834538137435903/6320834538137435903_signature_31.png</t>
  </si>
  <si>
    <t>Pilar Rural Health Unit</t>
  </si>
  <si>
    <t>Calongay, Pilar</t>
  </si>
  <si>
    <t>Lbc</t>
  </si>
  <si>
    <t>manalangmarkramir@gmail.com</t>
  </si>
  <si>
    <t xml:space="preserve">ASSAY: Xpert MTB/RIF Ultra, COUNT: 1871
</t>
  </si>
  <si>
    <t>Gx for Preventive Maintenance 
Auto adjust frequent  appearance on Display</t>
  </si>
  <si>
    <t>Replaced Display Cable(VGA-VGA)
Checked/adjust display resolution
Cleaned cartridge bays, plunger rod 
Generate Data</t>
  </si>
  <si>
    <t>Performed Preventive Maintenance 
Performed Troubleshooting (monitor)</t>
  </si>
  <si>
    <t>https://www.jotform.com/uploads/macarewecare/222927978372067/6320821693692124062/6320821693692124062_signature_28.png</t>
  </si>
  <si>
    <t>Mark Ramir C Manalang Jr</t>
  </si>
  <si>
    <t>https://www.jotform.com/uploads/macarewecare/222927978372067/6320821693692124062/6320821693692124062_signature_31.png</t>
  </si>
  <si>
    <t xml:space="preserve">ASSAY: Xpert MTB/RIF Ultra, COUNT: 389
ASSAY: Xpert HIV-1 Viral Load, COUNT: 2284
</t>
  </si>
  <si>
    <t>https://www.jotform.com/uploads/macarewecare/222927978372067/6320810127029991088/6320810127029991088_signature_28.png</t>
  </si>
  <si>
    <t>https://www.jotform.com/uploads/macarewecare/222927978372067/6320810127029991088/6320810127029991088_signature_31.png</t>
  </si>
  <si>
    <t>Ragay Rural Health Unit</t>
  </si>
  <si>
    <t>Poblacion, Ragay</t>
  </si>
  <si>
    <t>phylgomez0115@gmail.com</t>
  </si>
  <si>
    <t xml:space="preserve">ASSAY: Xpert MTB/RIF Ultra, COUNT: 727
</t>
  </si>
  <si>
    <t>Cleaned cartridge bays, plunger rod, icore</t>
  </si>
  <si>
    <t>Requesting for extra Gx filter</t>
  </si>
  <si>
    <t>https://www.jotform.com/uploads/macarewecare/222927978372067/6320783583695185515/6320783583695185515_signature_28.png</t>
  </si>
  <si>
    <t>Phyl Frances C.Gomez</t>
  </si>
  <si>
    <t>https://www.jotform.com/uploads/macarewecare/222927978372067/6320783583695185515/6320783583695185515_signature_31.png</t>
  </si>
  <si>
    <t>Roxas Rural Health Unit</t>
  </si>
  <si>
    <t>Installed the GeneXpert system
-GeneXpert Unit
-Workstation-
-Barcode scanner with Stand
-Printer
-UPS
Functionality test</t>
  </si>
  <si>
    <t>https://www.jotform.com/uploads/macarewecare/222927978372067/6320776458128976400/6320776458128976400_signature_28.png</t>
  </si>
  <si>
    <t>Paul John Benjamin</t>
  </si>
  <si>
    <t>https://www.jotform.com/uploads/macarewecare/222927978372067/6320776458128976400/6320776458128976400_signature_31.png</t>
  </si>
  <si>
    <t>Diit, Tacloban City</t>
  </si>
  <si>
    <t>cholaboratory23@gmail.com</t>
  </si>
  <si>
    <t>- Module replacement B3/210005379 into B3/731306
- Preventive Maintenance 
- Functionality test</t>
  </si>
  <si>
    <t>1 Genexpert Module 6 color SN/731306</t>
  </si>
  <si>
    <t>https://www.jotform.com/uploads/macarewecare/222927978372067/6320739655442930646/6320739655442930646_signature_28.png</t>
  </si>
  <si>
    <t>Ma. Gennette Dolly D. Garapan</t>
  </si>
  <si>
    <t>https://www.jotform.com/uploads/macarewecare/222927978372067/6320739655442930646/6320739655442930646_signature_31.png</t>
  </si>
  <si>
    <t>jaato@st.lukes.com.ph</t>
  </si>
  <si>
    <t>Performed maintenance 
Checked rotor pumps 
Verified calibration parameters 
Functionality test 
Simulation run</t>
  </si>
  <si>
    <t>https://www.jotform.com/uploads/macarewecare/222927978372067/6320663448126377833/6320663448126377833_signature_28.png</t>
  </si>
  <si>
    <t>JAQUILYN ATO</t>
  </si>
  <si>
    <t>https://www.jotform.com/uploads/macarewecare/222927978372067/6320663448126377833/6320663448126377833_signature_31.png</t>
  </si>
  <si>
    <t xml:space="preserve">ASSAY: Xpert BCR-ABL Ultra, COUNT: 39
ASSAY: Xpert CT/NG, COUNT: 154
ASSAY: Xpert HBV VL, COUNT: 16
ASSAY: Xpert HPV, COUNT: 227
ASSAY: Xpert MTB/RIF Ultra, COUNT: 489
ASSAY: Xpert HCV VL, COUNT: 4
ASSAY: Xpert HIV-1 Viral Load, COUNT: 143
</t>
  </si>
  <si>
    <t>https://www.jotform.com/uploads/macarewecare/222927978372067/6320663438121775177/6320663438121775177_signature_28.png</t>
  </si>
  <si>
    <t>https://www.jotform.com/uploads/macarewecare/222927978372067/6320663438121775177/6320663438121775177_signature_31.png</t>
  </si>
  <si>
    <t>Atimonan Rural Health Unit</t>
  </si>
  <si>
    <t>Atimonan, Quezon</t>
  </si>
  <si>
    <t>AMCL2008@yahoo.com</t>
  </si>
  <si>
    <t xml:space="preserve">ASSAY: Xpert MTB/RIF Ultra, COUNT: 610
</t>
  </si>
  <si>
    <t>Module B1 for replacement</t>
  </si>
  <si>
    <t>Performed maintenance 
Cleaned:
-Cartridge bay 
-Plunger rod 
-Icore 
-Filter 
Replaced module B1
Generated reports</t>
  </si>
  <si>
    <t>Old: B1/807287
New: B1/861246</t>
  </si>
  <si>
    <t>DR# 13262</t>
  </si>
  <si>
    <t>https://www.jotform.com/uploads/macarewecare/222927978372067/6320663438123909370/6320663438123909370_signature_28.png</t>
  </si>
  <si>
    <t>Marife Villamiel</t>
  </si>
  <si>
    <t>https://www.jotform.com/uploads/macarewecare/222927978372067/6320663438123909370/6320663438123909370_signature_31.png</t>
  </si>
  <si>
    <t xml:space="preserve">ASSAY: Xpert BCR-ABL Ultra, COUNT: 187
ASSAY: Xpert CT/NG, COUNT: 670
ASSAY: Xpert HBV VL, COUNT: 67
ASSAY: Xpert HPV, COUNT: 956
ASSAY: Xpert MTB/RIF Ultra, COUNT: 2405
ASSAY: Xpert MTB-XDR, COUNT: 10
ASSAY: Xpert HCV VL, COUNT: 44
ASSAY: Xpert HIV-1 Viral Load, COUNT: 335
</t>
  </si>
  <si>
    <t>https://www.jotform.com/uploads/macarewecare/222927978372067/6320663438126033992/6320663438126033992_signature_28.png</t>
  </si>
  <si>
    <t>https://www.jotform.com/uploads/macarewecare/222927978372067/6320663438126033992/6320663438126033992_signature_31.png</t>
  </si>
  <si>
    <t xml:space="preserve">ASSAY: Xpert MTB/RIF Ultra, COUNT: 1496
</t>
  </si>
  <si>
    <t>Stuck cartridge on module B1</t>
  </si>
  <si>
    <t>Removed stuck cartridge</t>
  </si>
  <si>
    <t>Manual removal of stuck cartridge 
Performed maintenance 
Cleaned:
-Cartridge bay 
-Plunger rod 
-Icore 
-Filter 
Generated reports</t>
  </si>
  <si>
    <t>https://www.jotform.com/uploads/macarewecare/222927978372067/6320663438127210622/6320663438127210622_signature_28.png</t>
  </si>
  <si>
    <t>Maricel m. Cayabyab</t>
  </si>
  <si>
    <t>https://www.jotform.com/uploads/macarewecare/222927978372067/6320663438127210622/6320663438127210622_signature_31.png</t>
  </si>
  <si>
    <t>Columbio Rural Health Unit</t>
  </si>
  <si>
    <t>Columbio, Sultan Kudarat</t>
  </si>
  <si>
    <t>rochelle.toledo19@gmail.com</t>
  </si>
  <si>
    <t xml:space="preserve">ASSAY: Xpert MTB/RIF Ultra, COUNT: 978
</t>
  </si>
  <si>
    <t>Perform Genexpert machine cleaning and maintenance 
Module cleaning 
Plunger rod and Optics cleaning 
Fan and filter cleaning 
Checking of module status and errors 
Data collection</t>
  </si>
  <si>
    <t>https://www.jotform.com/uploads/macarewecare/222927978372067/6320610215327306614/6320610215327306614_signature_28.png</t>
  </si>
  <si>
    <t>Rochelle S. Toledo</t>
  </si>
  <si>
    <t>https://www.jotform.com/uploads/macarewecare/222927978372067/6320610215327306614/6320610215327306614_signature_31.png</t>
  </si>
  <si>
    <t>Pide 1, Minglanilla ,Cebu</t>
  </si>
  <si>
    <t>Cuff pressure problem.</t>
  </si>
  <si>
    <t>Pull out the cuff and restart the machine 
Check the cuff solenoid.
Instruct end-user how to resolve problem</t>
  </si>
  <si>
    <t>https://www.jotform.com/uploads/macarewecare/222927978372067/6319966667754123242/6319966667754123242_signature_28.png</t>
  </si>
  <si>
    <t>https://www.jotform.com/uploads/macarewecare/222927978372067/6319966667754123242/6319966667754123242_signature_31.png</t>
  </si>
  <si>
    <t>Chong Hua Hospital- Fuente MAB</t>
  </si>
  <si>
    <t>chh_microbiology@chonghua.com.ph</t>
  </si>
  <si>
    <t>chhc_laboratory@chonghua.com.ph</t>
  </si>
  <si>
    <t xml:space="preserve">ASSAY: Xpert MTB/RIF Ultra, COUNT: 2936
ASSAY: Xpert BCR-ABL Ultra, COUNT: 70
ASSAY: Xpert CT/NG, COUNT: 368
ASSAY: Xpert HBV VL, COUNT: 460
ASSAY: Xpert HBV VL, COUNT: 201
ASSAY: Xpert MTB-XDR, COUNT: 16
ASSAY: Xpert HCV VL, COUNT: 241
ASSAY: Xpert HIV-1 Viral Load, COUNT: 709
</t>
  </si>
  <si>
    <t>Conduct Preventive Maintenance, and Performed calibration in all modules
Clean Icore, Plunger and Filter
Generate IQR, System log, Gxx Files and Assay Statistics</t>
  </si>
  <si>
    <t>https://www.jotform.com/uploads/macarewecare/222927978372067/6319964257758038382/6319964257758038382_signature_28.png</t>
  </si>
  <si>
    <t>https://www.jotform.com/uploads/macarewecare/222927978372067/6319964257758038382/6319964257758038382_signature_31.png</t>
  </si>
  <si>
    <t>Repeated error of 2008 in different Modules.</t>
  </si>
  <si>
    <t>Require end-user to review the proper procedure in sample process
Performed Preventive in all modules
Performed preventive maintenance and clean filer, Icore, Ultrasonic Heater and plunger cleaning.
Separate the phlegm and the saliva of the sputum
All 2008 errors eliminated as of today.</t>
  </si>
  <si>
    <t>https://www.jotform.com/uploads/macarewecare/222927978372067/6319951087759773608/6319951087759773608_signature_28.png</t>
  </si>
  <si>
    <t>https://www.jotform.com/uploads/macarewecare/222927978372067/6319951087759773608/6319951087759773608_signature_31.png</t>
  </si>
  <si>
    <t>Poblacion, Padada</t>
  </si>
  <si>
    <t>eejjgamboa@gmail.com</t>
  </si>
  <si>
    <t xml:space="preserve">ASSAY: Xpert MTB/RIF Ultra, COUNT: 616
</t>
  </si>
  <si>
    <t>Clean Surface Area, Cartridge Bay, Plunger Rod, Fan Filters, and Icore Lenses
Generate IQR, Assay Stat and System Log
Archived Data test results</t>
  </si>
  <si>
    <t>https://www.jotform.com/uploads/macarewecare/222927978372067/6319908848711308336/6319908848711308336_signature_28.png</t>
  </si>
  <si>
    <t>Erica Jane O. Gamboa</t>
  </si>
  <si>
    <t>https://www.jotform.com/uploads/macarewecare/222927978372067/6319908848711308336/6319908848711308336_signature_31.png</t>
  </si>
  <si>
    <t>Repetitive change time of Computer</t>
  </si>
  <si>
    <t>Install HVB assay
Clean Fan Filter
Gather data IQR, System log</t>
  </si>
  <si>
    <t>Systems operational, need replacement for CMOS battery</t>
  </si>
  <si>
    <t>https://www.jotform.com/uploads/macarewecare/222927978372067/6319904657753861362/6319904657753861362_signature_28.png</t>
  </si>
  <si>
    <t>https://www.jotform.com/uploads/macarewecare/222927978372067/6319904657753861362/6319904657753861362_signature_31.png</t>
  </si>
  <si>
    <t>- Replaced Defective UPS AT1000190123ST0279 &gt;&gt;&gt; AT1000190402ST0370
- Cleaned Cartridge Bays, Plunger Rods and I-CORE 
- Replaced Filter
- Generated Reports</t>
  </si>
  <si>
    <t>UPS AT1000190402ST0370</t>
  </si>
  <si>
    <t>DR 13249</t>
  </si>
  <si>
    <t>https://www.jotform.com/uploads/macarewecare/222927978372067/6319833549247431441/6319833549247431441_signature_28.png</t>
  </si>
  <si>
    <t>Rudolph Guillen</t>
  </si>
  <si>
    <t>https://www.jotform.com/uploads/macarewecare/222927978372067/6319833549247431441/6319833549247431441_signature_31.png</t>
  </si>
  <si>
    <t>Unit is Partially Operational, Module 1 is disabled</t>
  </si>
  <si>
    <t>https://www.jotform.com/uploads/macarewecare/222927978372067/6319831889249262564/6319831889249262564_signature_28.png</t>
  </si>
  <si>
    <t>https://www.jotform.com/uploads/macarewecare/222927978372067/6319831889249262564/6319831889249262564_signature_31.png</t>
  </si>
  <si>
    <t>https://www.jotform.com/uploads/macarewecare/222927978372067/6319829969245496299/6319829969245496299_signature_28.png</t>
  </si>
  <si>
    <t>https://www.jotform.com/uploads/macarewecare/222927978372067/6319829969245496299/6319829969245496299_signature_31.png</t>
  </si>
  <si>
    <t>Resales, Pangasinan</t>
  </si>
  <si>
    <t>https://www.jotform.com/uploads/macarewecare/222927978372067/6319827069245211001/6319827069245211001_signature_28.png</t>
  </si>
  <si>
    <t>https://www.jotform.com/uploads/macarewecare/222927978372067/6319827069245211001/6319827069245211001_signature_31.png</t>
  </si>
  <si>
    <t>https://www.jotform.com/uploads/macarewecare/222927978372067/6319825229249070007/6319825229249070007_signature_28.png</t>
  </si>
  <si>
    <t>Manolo C. Paloyo</t>
  </si>
  <si>
    <t>https://www.jotform.com/uploads/macarewecare/222927978372067/6319825229249070007/6319825229249070007_signature_31.png</t>
  </si>
  <si>
    <t>Bataan General Hospital and Medica Center</t>
  </si>
  <si>
    <t>Balanga Btaan</t>
  </si>
  <si>
    <t xml:space="preserve">ASSAY: Xpert HBV VL, COUNT: 159
ASSAY: Xpert HPV, COUNT: 109
ASSAY: Xpert HCV VL, COUNT: 94
ASSAY: Xpert HIV-1 Viral Load, COUNT: 436
</t>
  </si>
  <si>
    <t>GXIV-D  10C</t>
  </si>
  <si>
    <t>https://www.jotform.com/uploads/macarewecare/222927978372067/6319823167978425067/6319823167978425067_signature_28.png</t>
  </si>
  <si>
    <t>Raeann Dionisio</t>
  </si>
  <si>
    <t>https://www.jotform.com/uploads/macarewecare/222927978372067/6319823167978425067/6319823167978425067_signature_31.png</t>
  </si>
  <si>
    <t>1005 Aurora Blvd., Brgy. Duyan-duyan, Proj. 3, Quezon City</t>
  </si>
  <si>
    <t>Building Administration</t>
  </si>
  <si>
    <t>carlos.peniel.origenes@gmail.com</t>
  </si>
  <si>
    <t>DCM</t>
  </si>
  <si>
    <t>rmagpayo@macare-medicals.com</t>
  </si>
  <si>
    <t>SL-2K-ACE</t>
  </si>
  <si>
    <t>Not backing up</t>
  </si>
  <si>
    <t>Troubleshoot possible battery or board problem</t>
  </si>
  <si>
    <t>Unit for replacement</t>
  </si>
  <si>
    <t>https://www.jotform.com/uploads/macarewecare/222927978372067/6319797923616317841/6319797923616317841_signature_28.png</t>
  </si>
  <si>
    <t>Ramil Magpayo</t>
  </si>
  <si>
    <t>https://www.jotform.com/uploads/macarewecare/222927978372067/6319797923616317841/6319797923616317841_signature_31.png</t>
  </si>
  <si>
    <t>https://www.jotform.com/uploads/macarewecare/222927978372067/6316554294306363826/6316554294306363826_signature_28.png</t>
  </si>
  <si>
    <t>Cyrell Arcueno</t>
  </si>
  <si>
    <t>https://www.jotform.com/uploads/macarewecare/222927978372067/6316554294306363826/6316554294306363826_signature_31.png</t>
  </si>
  <si>
    <t>https://www.jotform.com/uploads/macarewecare/222927978372067/6316554231705651833/6316554231705651833_signature_28.png</t>
  </si>
  <si>
    <t>https://www.jotform.com/uploads/macarewecare/222927978372067/6316554231705651833/6316554231705651833_signature_31.png</t>
  </si>
  <si>
    <t>Santa Rosa City Laguna</t>
  </si>
  <si>
    <t>santarosacho1clinlqb@gmail.com</t>
  </si>
  <si>
    <t>https://www.jotform.com/uploads/macarewecare/222927978372067/6316535550718498730/6316535550718498730_signature_28.png</t>
  </si>
  <si>
    <t>Marivic Batallones</t>
  </si>
  <si>
    <t>https://www.jotform.com/uploads/macarewecare/222927978372067/6316535550718498730/6316535550718498730_signature_31.png</t>
  </si>
  <si>
    <t>Monitor sometimes goes OSD lockout and automatically access menu setting.</t>
  </si>
  <si>
    <t>Reported to Jotform</t>
  </si>
  <si>
    <t>Preventive Maintenance and Troublehooting</t>
  </si>
  <si>
    <t>All modules are functional.
Monitor can be used as for now. 
CPU and other accessories are working.</t>
  </si>
  <si>
    <t>https://www.jotform.com/uploads/macarewecare/222927978372067/6316509694514556886/6316509694514556886_signature_28.png</t>
  </si>
  <si>
    <t>Joechita Doysabas</t>
  </si>
  <si>
    <t>https://www.jotform.com/uploads/macarewecare/222927978372067/6316509694514556886/6316509694514556886_signature_31.png</t>
  </si>
  <si>
    <t>Check Up</t>
  </si>
  <si>
    <t>MEDGYN</t>
  </si>
  <si>
    <t>Cryogun</t>
  </si>
  <si>
    <t>11922, 11918, 11112, 11917</t>
  </si>
  <si>
    <t>Unit for check up</t>
  </si>
  <si>
    <t>Tightened seals</t>
  </si>
  <si>
    <t>Units are operational
O-rings and washers are recommended for replacement since units were stuck for a long time to prevent leaks</t>
  </si>
  <si>
    <t>https://www.jotform.com/uploads/macarewecare/222927978372067/6316501034301843926/6316501034301843926_signature_28.png</t>
  </si>
  <si>
    <t>https://www.jotform.com/uploads/macarewecare/222927978372067/6316501034301843926/6316501034301843926_signature_31.png</t>
  </si>
  <si>
    <t>GXII-10C</t>
  </si>
  <si>
    <t>https://www.jotform.com/uploads/macarewecare/222927978372067/6316500971702859108/6316500971702859108_signature_28.png</t>
  </si>
  <si>
    <t>https://www.jotform.com/uploads/macarewecare/222927978372067/6316500971702859108/6316500971702859108_signature_31.png</t>
  </si>
  <si>
    <t xml:space="preserve">ASSAY: Xpert MTB/RIF Ultra, COUNT: 1402
</t>
  </si>
  <si>
    <t>Require end-user to review the proper procedure in sample process
Performed Preventive in all modules
Performed preventive maintenance and clean filer, Icore, Ultrasonic Heater and plunger cleaning.</t>
  </si>
  <si>
    <t>Performed Preventive in all modules
Performed preventive maintenance and clean filer, Icore, Ultrasonic Heater and plunger cleaning.</t>
  </si>
  <si>
    <t>https://www.jotform.com/uploads/macarewecare/222927978372067/6316349317759671088/6316349317759671088_signature_28.png</t>
  </si>
  <si>
    <t>https://www.jotform.com/uploads/macarewecare/222927978372067/6316349317759671088/6316349317759671088_signature_31.png</t>
  </si>
  <si>
    <t>molecularIab.cityhealth@quezoncity.gov.ph</t>
  </si>
  <si>
    <t>https://www.jotform.com/uploads/macarewecare/222927978372067/6316343932127633565/6316343932127633565_signature_28.png</t>
  </si>
  <si>
    <t>https://www.jotform.com/uploads/macarewecare/222927978372067/6316343932127633565/6316343932127633565_signature_31.png</t>
  </si>
  <si>
    <t>Module latching error on modules A3 (754001) and B2 (702345)</t>
  </si>
  <si>
    <t>Cleared automation error</t>
  </si>
  <si>
    <t>Unit is operational, modules are under observation and for reporting to Cepheid TS</t>
  </si>
  <si>
    <t>https://www.jotform.com/uploads/macarewecare/222927978372067/6316342142422311397/6316342142422311397_signature_28.png</t>
  </si>
  <si>
    <t>https://www.jotform.com/uploads/macarewecare/222927978372067/6316342142422311397/6316342142422311397_signature_31.png</t>
  </si>
  <si>
    <t>Blood donor section</t>
  </si>
  <si>
    <t>hanielzlee@gmail.com</t>
  </si>
  <si>
    <t>Due for calibration
For replacement of  line sensor assy</t>
  </si>
  <si>
    <t>Cleaned unit
Checked program parameters
Checked and adjust line sensor value
Replaced and installed line sensor assy
Checked dpm,spm,centrifuge,weigher
Replaced and installed rollers
Performed functionality test
Performed calibration
Performed simulation running</t>
  </si>
  <si>
    <t>Performed maintenance and calibration.
Performed repair</t>
  </si>
  <si>
    <t>Urethane roller
Line sensor assy</t>
  </si>
  <si>
    <t>100791/13275/13241</t>
  </si>
  <si>
    <t>https://www.jotform.com/uploads/macarewecare/222927978372067/6314844890669268112/6314844890669268112_signature_28.png</t>
  </si>
  <si>
    <t>EAMC</t>
  </si>
  <si>
    <t>https://www.jotform.com/uploads/macarewecare/222927978372067/6314844890669268112/6314844890669268112_signature_31.png</t>
  </si>
  <si>
    <t>Baybay Leyte</t>
  </si>
  <si>
    <t>https://www.jotform.com/uploads/macarewecare/222927978372067/6314756854535958212/6314756854535958212_signature_28.png</t>
  </si>
  <si>
    <t>https://www.jotform.com/uploads/macarewecare/222927978372067/6314756854535958212/6314756854535958212_signature_31.png</t>
  </si>
  <si>
    <t xml:space="preserve">ASSAY: Xpert CT/NG, COUNT: 3
ASSAY: Xpert HBV VL, COUNT: 433
ASSAY: Xpert HPV, COUNT: 411
ASSAY: Xpert MTB/RIF Ultra, COUNT: 262
ASSAY: Xpert HCV VL, COUNT: 36
ASSAY: Xpert HIV-1 Viral Load, COUNT: 254
</t>
  </si>
  <si>
    <t>C4 disabled due to error</t>
  </si>
  <si>
    <t>https://www.jotform.com/uploads/macarewecare/222927978372067/6314571903614195459/6314571903614195459_signature_28.png</t>
  </si>
  <si>
    <t>https://www.jotform.com/uploads/macarewecare/222927978372067/6314571903614195459/6314571903614195459_signature_31.png</t>
  </si>
  <si>
    <t xml:space="preserve">ASSAY: Xpert CT/NG, COUNT: 196
ASSAY: Xpert MTB/RIF Ultra, COUNT: 2541
</t>
  </si>
  <si>
    <t>Due for maintenance
Broken uniframe module B3 866517, B4 866800</t>
  </si>
  <si>
    <t>Cleaned unit
Cleaned plunger rod,filter,icore,cartridge bay
Gathered reports
Checked broken uniframe B3,B4
Test run unit</t>
  </si>
  <si>
    <t>B3,B4 disabled due to failed xpertcheck last march 6,2023 and march 14,2023 and broken uniframe
B1,B2 operational</t>
  </si>
  <si>
    <t>For replacement of module b3,b4</t>
  </si>
  <si>
    <t>https://www.jotform.com/uploads/macarewecare/222927978372067/6314571633614248352/6314571633614248352_signature_28.png</t>
  </si>
  <si>
    <t>https://www.jotform.com/uploads/macarewecare/222927978372067/6314571633614248352/6314571633614248352_signature_31.png</t>
  </si>
  <si>
    <t>https://www.jotform.com/uploads/macarewecare/222927978372067/6313941712313998080/6313941712313998080_signature_28.png</t>
  </si>
  <si>
    <t>Robert Sayo</t>
  </si>
  <si>
    <t>https://www.jotform.com/uploads/macarewecare/222927978372067/6313941712313998080/6313941712313998080_signature_31.png</t>
  </si>
  <si>
    <t>Mabini St, Tagum City</t>
  </si>
  <si>
    <t xml:space="preserve">ASSAY: Xpert MTB/RIF Ultra, COUNT: 2814
</t>
  </si>
  <si>
    <t>For Preventive Maintenance
UPS Troubleshooting</t>
  </si>
  <si>
    <t>Clean Surface Area, Cartridge Bay, Plunger Rod, Fan Filters and Icore Lenses
Generate IQR, Assay Stat and System Log
Check Line Voltages of UPS, reset connection</t>
  </si>
  <si>
    <t>Perform Preventive Maintenance and UPS Troubleshooting</t>
  </si>
  <si>
    <t>No power on UPS in battery or powerline mode
All Modules are operational</t>
  </si>
  <si>
    <t>https://www.jotform.com/uploads/macarewecare/222927978372067/6313916987313205855/6313916987313205855_signature_28.png</t>
  </si>
  <si>
    <t>https://www.jotform.com/uploads/macarewecare/222927978372067/6313916987313205855/6313916987313205855_signature_31.png</t>
  </si>
  <si>
    <t>owenjoshuabriones@yahoo.com</t>
  </si>
  <si>
    <t>Defective module 2</t>
  </si>
  <si>
    <t>Hvb assay installaton
Replace new genexpert filter
Collect data IQR, System log</t>
  </si>
  <si>
    <t>https://www.jotform.com/uploads/macarewecare/222927978372067/6313866538745950653/6313866538745950653_signature_28.png</t>
  </si>
  <si>
    <t>Owen joshua l. Briones</t>
  </si>
  <si>
    <t>https://www.jotform.com/uploads/macarewecare/222927978372067/6313866538745950653/6313866538745950653_signature_31.png</t>
  </si>
  <si>
    <t xml:space="preserve">ASSAY: Xpert MTB/RIF Ultra, COUNT: 977
</t>
  </si>
  <si>
    <t>G</t>
  </si>
  <si>
    <t>https://www.jotform.com/uploads/macarewecare/222927978372067/6313759472121337408/6313759472121337408_signature_28.png</t>
  </si>
  <si>
    <t>https://www.jotform.com/uploads/macarewecare/222927978372067/6313759472121337408/6313759472121337408_signature_31.png</t>
  </si>
  <si>
    <t>San Jose Municipal Health Office</t>
  </si>
  <si>
    <t>San Jose</t>
  </si>
  <si>
    <t>jhuneric2008@yahoo.com</t>
  </si>
  <si>
    <t xml:space="preserve">ASSAY: Xpert MTB/RIF Ultra, COUNT: 956
</t>
  </si>
  <si>
    <t>https://www.jotform.com/uploads/macarewecare/222927978372067/6313759132126773190/6313759132126773190_signature_28.png</t>
  </si>
  <si>
    <t>Rosmar V. Formalejo</t>
  </si>
  <si>
    <t>https://www.jotform.com/uploads/macarewecare/222927978372067/6313759132126773190/6313759132126773190_signature_31.png</t>
  </si>
  <si>
    <t>Tigaon Municipal Health Office</t>
  </si>
  <si>
    <t>Tigaon</t>
  </si>
  <si>
    <t>jingimperial24@gmail.com</t>
  </si>
  <si>
    <t xml:space="preserve">ASSAY: Xpert MTB/RIF Ultra, COUNT: 1218
</t>
  </si>
  <si>
    <t>https://www.jotform.com/uploads/macarewecare/222927978372067/6313757492126769781/6313757492126769781_signature_28.png</t>
  </si>
  <si>
    <t>Maggie Imperial</t>
  </si>
  <si>
    <t>https://www.jotform.com/uploads/macarewecare/222927978372067/6313757492126769781/6313757492126769781_signature_31.png</t>
  </si>
  <si>
    <t>Brgy. San Juan, Surigao City</t>
  </si>
  <si>
    <t>GX4 10 Colors</t>
  </si>
  <si>
    <t>Preventive Maintenanc
Data Collection</t>
  </si>
  <si>
    <t>All module and units are functional</t>
  </si>
  <si>
    <t>https://www.jotform.com/uploads/macarewecare/222927978372067/6313240588814522373/6313240588814522373_signature_28.png</t>
  </si>
  <si>
    <t>https://www.jotform.com/uploads/macarewecare/222927978372067/6313240588814522373/6313240588814522373_signature_31.png</t>
  </si>
  <si>
    <t>Bagumbayan, Sultan Kudarat</t>
  </si>
  <si>
    <t>bambi.vic6@gmail.com</t>
  </si>
  <si>
    <t>Module 2&amp;3 H/W failed</t>
  </si>
  <si>
    <t>Perform module 2 and 3 troubleshooting due to temperature errors
Checking of module status 
Problem reporting 
Data collection</t>
  </si>
  <si>
    <t>Genexpert machine module errors troubleshooting</t>
  </si>
  <si>
    <t>3 operational modules 
Module 2 disabled</t>
  </si>
  <si>
    <t>Module 2 requesting for module replacement</t>
  </si>
  <si>
    <t>https://www.jotform.com/uploads/macarewecare/222927978372067/6313045529282405789/6313045529282405789_signature_28.png</t>
  </si>
  <si>
    <t>Videlyne Carlet</t>
  </si>
  <si>
    <t>https://www.jotform.com/uploads/macarewecare/222927978372067/6313045529282405789/6313045529282405789_signature_31.png</t>
  </si>
  <si>
    <t>jmmirasolrmtrmt@gmail.com</t>
  </si>
  <si>
    <t xml:space="preserve">ASSAY: Xpert MTB/RIF Ultra, COUNT: 2147
</t>
  </si>
  <si>
    <t>https://www.jotform.com/uploads/macarewecare/222927978372067/6313012209282647275/6313012209282647275_signature_28.png</t>
  </si>
  <si>
    <t>Rommel Santiago</t>
  </si>
  <si>
    <t>https://www.jotform.com/uploads/macarewecare/222927978372067/6313012209282647275/6313012209282647275_signature_31.png</t>
  </si>
  <si>
    <t>https://www.jotform.com/uploads/macarewecare/222927978372067/6313012039281949752/6313012039281949752_signature_28.png</t>
  </si>
  <si>
    <t>https://www.jotform.com/uploads/macarewecare/222927978372067/6313012039281949752/6313012039281949752_signature_31.png</t>
  </si>
  <si>
    <t>Pasig Treatment Hub - Klinika Pasig</t>
  </si>
  <si>
    <t>pasigtreatmentsumilang@gmail.com</t>
  </si>
  <si>
    <t xml:space="preserve">ASSAY: Xpert HIV-1 Viral Load, COUNT: 412
</t>
  </si>
  <si>
    <t>https://www.jotform.com/uploads/macarewecare/222927978372067/6312948453611913171/6312948453611913171_signature_28.png</t>
  </si>
  <si>
    <t>Joseph Victor Cainto</t>
  </si>
  <si>
    <t>https://www.jotform.com/uploads/macarewecare/222927978372067/6312948453611913171/6312948453611913171_signature_31.png</t>
  </si>
  <si>
    <t>samantha.gallardo@medilinx.com.ph</t>
  </si>
  <si>
    <t xml:space="preserve">ASSAY: Xpert HBV VL, COUNT: 76
ASSAY: Xpert HPV, COUNT: 41
ASSAY: Xpert MTB/RIF Ultra, COUNT: 1119
</t>
  </si>
  <si>
    <t>Unit is operational. Module B3 disabled.</t>
  </si>
  <si>
    <t>https://www.jotform.com/uploads/macarewecare/222927978372067/6312948453611947254/6312948453611947254_signature_28.png</t>
  </si>
  <si>
    <t>Samantha Victoria A. Gallardo</t>
  </si>
  <si>
    <t>https://www.jotform.com/uploads/macarewecare/222927978372067/6312948453611947254/6312948453611947254_signature_31.png</t>
  </si>
  <si>
    <t>Champ Building, Pasig City</t>
  </si>
  <si>
    <t xml:space="preserve">ASSAY: Xpert HIV-1 Viral Load, COUNT: 388
</t>
  </si>
  <si>
    <t>Performed maintenance 
Cleaned:
-cartridge bay 
-plunger rod
-icore 
-filter
Generated reports</t>
  </si>
  <si>
    <t>https://www.jotform.com/uploads/macarewecare/222927978372067/6312948453618681622/6312948453618681622_signature_28.png</t>
  </si>
  <si>
    <t>Abner D. Godes</t>
  </si>
  <si>
    <t>https://www.jotform.com/uploads/macarewecare/222927978372067/6312948453618681622/6312948453618681622_signature_31.png</t>
  </si>
  <si>
    <t>CSMCLAB@CSMC.PH</t>
  </si>
  <si>
    <t>For maintenance 
SPM low during start of cycle</t>
  </si>
  <si>
    <t>Performed maintenance 
Checked rotor pumps 
Verified calibration parameters 
Simulation run 
Functionality test</t>
  </si>
  <si>
    <t>https://www.jotform.com/uploads/macarewecare/222927978372067/6312948453611326725/6312948453611326725_signature_28.png</t>
  </si>
  <si>
    <t>Kathleen Shane Coloma</t>
  </si>
  <si>
    <t>https://www.jotform.com/uploads/macarewecare/222927978372067/6312948453611326725/6312948453611326725_signature_31.png</t>
  </si>
  <si>
    <t xml:space="preserve">ASSAY: Xpert CT/NG, COUNT: 39
ASSAY: Others, COUNT: 1
ASSAY: Xpert HPV, COUNT: 51
ASSAY: Others, COUNT: 6
ASSAY: Xpert SARS-CoV-2, COUNT: 10
ASSAY: Xpert HCV VL, COUNT: 1
</t>
  </si>
  <si>
    <t>A1,A3,A4,B2,B4,C2,D2</t>
  </si>
  <si>
    <t>A1,A4,B2,B4,C2,D2 failed xpertcheck disabled
A3 hardware failure</t>
  </si>
  <si>
    <t>https://www.jotform.com/uploads/macarewecare/222927978372067/6312926983618102797/6312926983618102797_signature_28.png</t>
  </si>
  <si>
    <t>https://www.jotform.com/uploads/macarewecare/222927978372067/6312926983618102797/6312926983618102797_signature_31.png</t>
  </si>
  <si>
    <t>Rosario Municipal Compound, Rosario, Cavite</t>
  </si>
  <si>
    <t>arlenepenaarmijo@gmail.com</t>
  </si>
  <si>
    <t xml:space="preserve">ASSAY: Xpert MTB/RIF Ultra, COUNT: 1139
</t>
  </si>
  <si>
    <t>4 Modules are Operational.</t>
  </si>
  <si>
    <t>https://www.jotform.com/uploads/macarewecare/222927978372067/6312916533613646587/6312916533613646587_signature_28.png</t>
  </si>
  <si>
    <t>Arlene P. Armijo</t>
  </si>
  <si>
    <t>https://www.jotform.com/uploads/macarewecare/222927978372067/6312916533613646587/6312916533613646587_signature_31.png</t>
  </si>
  <si>
    <t>Centennial Road, Tunasan, Muntinlupa</t>
  </si>
  <si>
    <t xml:space="preserve">ASSAY: Xpert HIV-1 Viral Load, COUNT: 345
</t>
  </si>
  <si>
    <t>Cleaned Cartridge Bay, Plunger Rod and Icore Optics.
Checked Filter if Clogged.
Performed Self-test and Functionality Test.
Generate Reports.</t>
  </si>
  <si>
    <t>https://www.jotform.com/uploads/macarewecare/222927978372067/6312916483619814351/6312916483619814351_signature_28.png</t>
  </si>
  <si>
    <t>Erica Petel</t>
  </si>
  <si>
    <t>https://www.jotform.com/uploads/macarewecare/222927978372067/6312916483619814351/6312916483619814351_signature_31.png</t>
  </si>
  <si>
    <t>University of Santo Tomas Hospital</t>
  </si>
  <si>
    <t>Lacson Ave, Manila</t>
  </si>
  <si>
    <t>Unit is due for Calibration.</t>
  </si>
  <si>
    <t>Calibration.</t>
  </si>
  <si>
    <t>Calibrate A/D and Cebtrifuge Values.
Checked Sensors.
Cleaned Pumps and Sensors.
Performed Simulation Test.</t>
  </si>
  <si>
    <t>Unit is Good and Operational l.</t>
  </si>
  <si>
    <t>https://www.jotform.com/uploads/macarewecare/222927978372067/6312916473613301179/6312916473613301179_signature_28.png</t>
  </si>
  <si>
    <t>https://www.jotform.com/uploads/macarewecare/222927978372067/6312916473613301179/6312916473613301179_signature_31.png</t>
  </si>
  <si>
    <t>bloodbank@asiahospital.com</t>
  </si>
  <si>
    <t>Spill Detected Problem.</t>
  </si>
  <si>
    <t>Pulled-out MCS+ Unit.
Install Service Unit.</t>
  </si>
  <si>
    <t>Pulled-out Defective Unit for Repair and Further Troubleshooting.
Installed Service Unit.</t>
  </si>
  <si>
    <t>Service Unit S/N: 12D166</t>
  </si>
  <si>
    <t>MCS+ Apheresis System.</t>
  </si>
  <si>
    <t>DR 13252</t>
  </si>
  <si>
    <t>https://www.jotform.com/uploads/macarewecare/222927978372067/6312916473613772528/6312916473613772528_signature_28.png</t>
  </si>
  <si>
    <t>https://www.jotform.com/uploads/macarewecare/222927978372067/6312916473613772528/6312916473613772528_signature_31.png</t>
  </si>
  <si>
    <t>Ospital ng Muntinlupa</t>
  </si>
  <si>
    <t>osmunmicro@gmail.com</t>
  </si>
  <si>
    <t xml:space="preserve">ASSAY: Xpert MTB/RIF Ultra, COUNT: 744
</t>
  </si>
  <si>
    <t>Cleaned Cartridge Bay, Plunger Rod, and Icore Optics.
Checked Filter if Clogged.
Performed Self-test.
Generate Reports.</t>
  </si>
  <si>
    <t>https://www.jotform.com/uploads/macarewecare/222927978372067/6312916463613737207/6312916463613737207_signature_28.png</t>
  </si>
  <si>
    <t>https://www.jotform.com/uploads/macarewecare/222927978372067/6312916463613737207/6312916463613737207_signature_31.png</t>
  </si>
  <si>
    <t>DBB-E, Dasmariñas, Cavite</t>
  </si>
  <si>
    <t xml:space="preserve">ASSAY: Xpert MTB/RIF Ultra, COUNT: 3145
</t>
  </si>
  <si>
    <t>Cleaned Cartridge Bay, Plunger Rod and Icore Optics.
Replaced Filter.
Performed Self-test.
Generate Reports.
Checked System's Functionality.</t>
  </si>
  <si>
    <t>https://www.jotform.com/uploads/macarewecare/222927978372067/6312916473618782657/6312916473618782657_signature_28.png</t>
  </si>
  <si>
    <t>https://www.jotform.com/uploads/macarewecare/222927978372067/6312916473618782657/6312916473618782657_signature_31.png</t>
  </si>
  <si>
    <t>Kairos Laboratories and Diagnostics Inc.</t>
  </si>
  <si>
    <t>Mabini St. Ermita Manila</t>
  </si>
  <si>
    <t>kairos.jamartinez@gmail.com</t>
  </si>
  <si>
    <t>GX-IV 10C (2 modules)</t>
  </si>
  <si>
    <t>https://www.jotform.com/uploads/macarewecare/222927978372067/6310476895336220624/6310476895336220624_signature_28.png</t>
  </si>
  <si>
    <t>Jude Martinez</t>
  </si>
  <si>
    <t>https://www.jotform.com/uploads/macarewecare/222927978372067/6310476895336220624/6310476895336220624_signature_31.png</t>
  </si>
  <si>
    <t>Argao Primary Health Care (RHU II)</t>
  </si>
  <si>
    <t>Argao, Poblacion Cebu City</t>
  </si>
  <si>
    <t>victoria.jumamil@gmail.com</t>
  </si>
  <si>
    <t xml:space="preserve">ASSAY: Xpert MTB/RIF Ultra, COUNT: 920
</t>
  </si>
  <si>
    <t>Preventive Maintenance of the Genexpert.
Check UPS voltage and charged the UPS, check power switch.
Check back up voltage.
Short time back up battery.</t>
  </si>
  <si>
    <t>Preventive Maintenance of the Genexpert.
Check UPS voltage and charged the UPS, check power switch.
Check back up voltage.
Generate data gxx, IQR, System log and Assay Statistics</t>
  </si>
  <si>
    <t>Genepert unit is operational.</t>
  </si>
  <si>
    <t>https://www.jotform.com/uploads/macarewecare/222927978372067/6309692547758002875/6309692547758002875_signature_28.png</t>
  </si>
  <si>
    <t>Victoria Jumamil, RMT</t>
  </si>
  <si>
    <t>https://www.jotform.com/uploads/macarewecare/222927978372067/6309692547758002875/6309692547758002875_signature_31.png</t>
  </si>
  <si>
    <t>Western Visayas Sanitarium and General Hospital</t>
  </si>
  <si>
    <t>Sta. Barbara Iloilo</t>
  </si>
  <si>
    <t>-MODULE 1 H/W FAILED</t>
  </si>
  <si>
    <t>EQUIPMENT IS OPERATIONAL,
MODULE B1 FOR REPORTING</t>
  </si>
  <si>
    <t>https://www.jotform.com/uploads/macarewecare/222927978372067/6309658392323396489/6309658392323396489_signature_28.png</t>
  </si>
  <si>
    <t>Ruth Dequila, RMT</t>
  </si>
  <si>
    <t>https://www.jotform.com/uploads/macarewecare/222927978372067/6309658392323396489/6309658392323396489_signature_31.png</t>
  </si>
  <si>
    <t>Caraycayon, Tigaon</t>
  </si>
  <si>
    <t>https://www.jotform.com/uploads/macarewecare/222927978372067/6309625526415488116/6309625526415488116_signature_28.png</t>
  </si>
  <si>
    <t>Maria Jesusa P. Imperial RMT II</t>
  </si>
  <si>
    <t>https://www.jotform.com/uploads/macarewecare/222927978372067/6309625526415488116/6309625526415488116_signature_31.png</t>
  </si>
  <si>
    <t>https://www.jotform.com/uploads/macarewecare/222927978372067/6309624576412503661/6309624576412503661_signature_28.png</t>
  </si>
  <si>
    <t>https://www.jotform.com/uploads/macarewecare/222927978372067/6309624576412503661/6309624576412503661_signature_31.png</t>
  </si>
  <si>
    <t>Poblacion, Maco</t>
  </si>
  <si>
    <t xml:space="preserve">ASSAY: Xpert MTB/RIF Ultra, COUNT: 921
</t>
  </si>
  <si>
    <t>Due for Preventive Maintenance and Data Gathering</t>
  </si>
  <si>
    <t>Clean Surface Area, Cartridge Bay, Plunger Rod, Fan Filters and Icore Lenses
Generate IQR, Assay Stat and System Log
Archived Data test</t>
  </si>
  <si>
    <t>Perform Preventive Maintenance and Data Gathering</t>
  </si>
  <si>
    <t>https://www.jotform.com/uploads/macarewecare/222927978372067/6309596724786011479/6309596724786011479_signature_28.png</t>
  </si>
  <si>
    <t>Mary Jean Soriano</t>
  </si>
  <si>
    <t>https://www.jotform.com/uploads/macarewecare/222927978372067/6309596724786011479/6309596724786011479_signature_31.png</t>
  </si>
  <si>
    <t>Unresponsive keypad</t>
  </si>
  <si>
    <t>Checked display cable
Reset cable
Reser machine
After troubleshooting is performed still the machine keypad is unresponsive
Possible defective parts display cable</t>
  </si>
  <si>
    <t>Unoperational
For replacement of display cable</t>
  </si>
  <si>
    <t>https://www.jotform.com/uploads/macarewecare/222927978372067/6309594375212601556/6309594375212601556_signature_28.png</t>
  </si>
  <si>
    <t>https://www.jotform.com/uploads/macarewecare/222927978372067/6309594375212601556/6309594375212601556_signature_31.png</t>
  </si>
  <si>
    <t xml:space="preserve">ASSAY: Xpert MTB/RIF Ultra, COUNT: 538
</t>
  </si>
  <si>
    <t>https://www.jotform.com/uploads/macarewecare/222927978372067/6309574141217249309/6309574141217249309_signature_28.png</t>
  </si>
  <si>
    <t>https://www.jotform.com/uploads/macarewecare/222927978372067/6309574141217249309/6309574141217249309_signature_31.png</t>
  </si>
  <si>
    <t>https://www.jotform.com/uploads/macarewecare/222927978372067/6309561691515306706/6309561691515306706_signature_28.png</t>
  </si>
  <si>
    <t>https://www.jotform.com/uploads/macarewecare/222927978372067/6309561691515306706/6309561691515306706_signature_31.png</t>
  </si>
  <si>
    <t>Calubian Rural Health Unit</t>
  </si>
  <si>
    <t>Calubian, Leyte</t>
  </si>
  <si>
    <t>mjcabardo6@gmail.com</t>
  </si>
  <si>
    <t xml:space="preserve">ASSAY: Xpert MTB/RIF Ultra, COUNT: 703
</t>
  </si>
  <si>
    <t>https://www.jotform.com/uploads/macarewecare/222927978372067/6309554444542354960/6309554444542354960_signature_28.png</t>
  </si>
  <si>
    <t>Mighty Joy Cabardo</t>
  </si>
  <si>
    <t>https://www.jotform.com/uploads/macarewecare/222927978372067/6309554444542354960/6309554444542354960_signature_31.png</t>
  </si>
  <si>
    <t>https://www.jotform.com/uploads/macarewecare/222927978372067/6309545764549282723/6309545764549282723_signature_28.png</t>
  </si>
  <si>
    <t>https://www.jotform.com/uploads/macarewecare/222927978372067/6309545764549282723/6309545764549282723_signature_31.png</t>
  </si>
  <si>
    <t xml:space="preserve">ASSAY: Xpert MTB/RIF Ultra, COUNT: 1075
ASSAY: Xpert HIV-1 Viral Load, COUNT: 125
</t>
  </si>
  <si>
    <t>https://www.jotform.com/uploads/macarewecare/222927978372067/6309537261519894340/6309537261519894340_signature_28.png</t>
  </si>
  <si>
    <t>Hershelyn Bale</t>
  </si>
  <si>
    <t>https://www.jotform.com/uploads/macarewecare/222927978372067/6309537261519894340/6309537261519894340_signature_31.png</t>
  </si>
  <si>
    <t>Delos Santos Medical Center</t>
  </si>
  <si>
    <t>jdvelarde@dlsmc.ph</t>
  </si>
  <si>
    <t xml:space="preserve">ASSAY: Xpert C. difficile BT, COUNT: 1
ASSAY: Xpert HBV VL, COUNT: 41
ASSAY: Xpert HPV, COUNT: 9
ASSAY: Xpert MTB/RIF Ultra, COUNT: 489
</t>
  </si>
  <si>
    <t>https://www.jotform.com/uploads/macarewecare/222927978372067/6309287892297674682/6309287892297674682_signature_28.png</t>
  </si>
  <si>
    <t>JEANELA D. VELARDE</t>
  </si>
  <si>
    <t>https://www.jotform.com/uploads/macarewecare/222927978372067/6309287892297674682/6309287892297674682_signature_31.png</t>
  </si>
  <si>
    <t>hannahalevon1@gmail.com</t>
  </si>
  <si>
    <t xml:space="preserve">ASSAY: Xpert MTB/RIF Ultra, COUNT: 1459
</t>
  </si>
  <si>
    <t>https://www.jotform.com/uploads/macarewecare/222927978372067/6309120167219843899/6309120167219843899_signature_28.png</t>
  </si>
  <si>
    <t>Hannah Kirsten Novela</t>
  </si>
  <si>
    <t>https://www.jotform.com/uploads/macarewecare/222927978372067/6309120167219843899/6309120167219843899_signature_31.png</t>
  </si>
  <si>
    <t xml:space="preserve">ASSAY: Xpert MTB/RIF Ultra, COUNT: 1261
</t>
  </si>
  <si>
    <t>https://www.jotform.com/uploads/macarewecare/222927978372067/6309119307218251903/6309119307218251903_signature_28.png</t>
  </si>
  <si>
    <t>https://www.jotform.com/uploads/macarewecare/222927978372067/6309119307218251903/6309119307218251903_signature_31.png</t>
  </si>
  <si>
    <t>Don Juan S. Estevez Street, Guevarra Subdivision, Legazpi City</t>
  </si>
  <si>
    <t>emh@estevezhospital.com</t>
  </si>
  <si>
    <t xml:space="preserve">ASSAY: Xpert BCR-ABL Ultra, COUNT: 6
ASSAY: Xpert CT/NG, COUNT: 1
ASSAY: Xpert HBV VL, COUNT: 258
ASSAY: Xpert MTB/RIF Ultra, COUNT: 276
ASSAY: Xpert MTB-XDR, COUNT: 14
ASSAY: Xpress SARS-CoV-2_Flu_RSV plus, COUNT: 4
</t>
  </si>
  <si>
    <t>Cleaned cartridge bays, plunger rod, icore, fan filter 
Generate Data</t>
  </si>
  <si>
    <t>https://www.jotform.com/uploads/macarewecare/222927978372067/6309117167213827247/6309117167213827247_signature_28.png</t>
  </si>
  <si>
    <t>Rey Lovendino</t>
  </si>
  <si>
    <t>https://www.jotform.com/uploads/macarewecare/222927978372067/6309117167213827247/6309117167213827247_signature_31.png</t>
  </si>
  <si>
    <t>Clark City Pampanga</t>
  </si>
  <si>
    <t>tmcclarkbiomed@themedicalcity.com</t>
  </si>
  <si>
    <t xml:space="preserve">ASSAY: Xpert CT/NG, COUNT: 13
ASSAY: Xpert HBV VL, COUNT: 56
ASSAY: Xpert HPV, COUNT: 36
ASSAY: Xpert MTB/RIF Ultra, COUNT: 107
ASSAY: Xpert HIV-1 Viral Load, COUNT: 2
</t>
  </si>
  <si>
    <t>Unit is operational except Module 
B4: 866908 Temperature Error (4012)</t>
  </si>
  <si>
    <t>B4 for replacement</t>
  </si>
  <si>
    <t>https://www.jotform.com/uploads/macarewecare/222927978372067/6308747437317201044/6308747437317201044_signature_28.png</t>
  </si>
  <si>
    <t>Jessa Mae Remorta</t>
  </si>
  <si>
    <t>https://www.jotform.com/uploads/macarewecare/222927978372067/6308747437317201044/6308747437317201044_signature_31.png</t>
  </si>
  <si>
    <t>DON JOSE S MONFORT MEDICAL CENTER</t>
  </si>
  <si>
    <t>Tabucan Barotac Nuevo</t>
  </si>
  <si>
    <t xml:space="preserve">ASSAY: Xpert MTB/RIF Ultra, COUNT: 1959
</t>
  </si>
  <si>
    <t>COLLECT IQR, SYSTEM LOG, AND ARCHIVE</t>
  </si>
  <si>
    <t>-PERFORM PREVENTIVE MAINTENANCE PROCEDURE : CLEAN FAN FILTER, PLUNGER ROD, AND CARTRIDGE BAY
-INSPECT UPS, CONFIRMED DEFECTIVE BATTERY. DEF SN: 1000190123ST0097</t>
  </si>
  <si>
    <t>EQUIPMENT IS OPERATIONAL, UPS FOR PULL-OUT</t>
  </si>
  <si>
    <t>https://www.jotform.com/uploads/macarewecare/222927978372067/6308608950693400787/6308608950693400787_signature_28.png</t>
  </si>
  <si>
    <t>https://www.jotform.com/uploads/macarewecare/222927978372067/6308608950693400787/6308608950693400787_signature_31.png</t>
  </si>
  <si>
    <t xml:space="preserve">ASSAY: Xpert BCR-ABL Ultra, COUNT: 127
ASSAY: Others, COUNT: 1
ASSAY: Xpert CT/NG, COUNT: 348
ASSAY: Xpert HBV VL, COUNT: 66
ASSAY: Xpert HPV, COUNT: 173
ASSAY: Xpert MTB/RIF Ultra, COUNT: 1466
ASSAY: Others, COUNT: 9
ASSAY: Xpert HCV VL, COUNT: 90
ASSAY: Xpert HIV-1 Viral Load, COUNT: 832
</t>
  </si>
  <si>
    <t>End user encounter A1 2014 temp error</t>
  </si>
  <si>
    <t>A1 for observation</t>
  </si>
  <si>
    <t>https://www.jotform.com/uploads/macarewecare/222927978372067/6308535233613807602/6308535233613807602_signature_28.png</t>
  </si>
  <si>
    <t>https://www.jotform.com/uploads/macarewecare/222927978372067/6308535233613807602/6308535233613807602_signature_31.png</t>
  </si>
  <si>
    <t xml:space="preserve">TROUBLESHOOTING
</t>
  </si>
  <si>
    <t>Unit for checking after fire incident in laboratory with fire extinguisher residue on unit</t>
  </si>
  <si>
    <t>Unit is operational, no errors encountered during observation</t>
  </si>
  <si>
    <t>https://www.jotform.com/uploads/macarewecare/222927978372067/6307968021819001712/6307968021819001712_signature_28.png</t>
  </si>
  <si>
    <t>https://www.jotform.com/uploads/macarewecare/222927978372067/6307968021819001712/6307968021819001712_signature_31.png</t>
  </si>
  <si>
    <t xml:space="preserve">ASSAY: Xpert MTB/RIF Ultra, COUNT: 1488
</t>
  </si>
  <si>
    <t>Perform Genexpert machine Cleaning and maintenance 
Module cleaning 
Plunger rod and Optics cleaning 
Fan and filter Cleaning 
Checking of module status and errors 
Data collection</t>
  </si>
  <si>
    <t>https://www.jotform.com/uploads/macarewecare/222927978372067/6307911315324383143/6307911315324383143_signature_28.png</t>
  </si>
  <si>
    <t>MA. RIZA R. DIONELA</t>
  </si>
  <si>
    <t>https://www.jotform.com/uploads/macarewecare/222927978372067/6307911315324383143/6307911315324383143_signature_31.png</t>
  </si>
  <si>
    <t xml:space="preserve">ASSAY: Xpert MTB/RIF Ultra, COUNT: 1090
</t>
  </si>
  <si>
    <t>https://www.jotform.com/uploads/macarewecare/222927978372067/6307873998961899852/6307873998961899852_signature_28.png</t>
  </si>
  <si>
    <t>Dale D. Peñalosa</t>
  </si>
  <si>
    <t>https://www.jotform.com/uploads/macarewecare/222927978372067/6307873998961899852/6307873998961899852_signature_31.png</t>
  </si>
  <si>
    <t>Puan,Davao City</t>
  </si>
  <si>
    <t xml:space="preserve">ASSAY: Xpert MTB/RIF Ultra, COUNT: 1289
</t>
  </si>
  <si>
    <t>Due for Preventive Maintenance
UPS Troubleshooting</t>
  </si>
  <si>
    <t>Clean Surface Area, Cartridge Bay, Plunger Rod, Fan Filters and Icore Lenses
Generate IQR, Assay Stat and System Log
Archived Data test results
Check Line Voltages, reset connection of UPS</t>
  </si>
  <si>
    <t>All Modules are operational
No battery load AT UPS</t>
  </si>
  <si>
    <t>https://www.jotform.com/uploads/macarewecare/222927978372067/6307790360619716550/6307790360619716550_signature_28.png</t>
  </si>
  <si>
    <t>Rhodora Mae I. Salazar</t>
  </si>
  <si>
    <t>https://www.jotform.com/uploads/macarewecare/222927978372067/6307790360619716550/6307790360619716550_signature_31.png</t>
  </si>
  <si>
    <t>WESTERN VISAYAS MEDICAL CENTER</t>
  </si>
  <si>
    <t>Mandurriao, Iloilo</t>
  </si>
  <si>
    <t>rHIVda</t>
  </si>
  <si>
    <t xml:space="preserve">ASSAY: Xpert HIV-1 Viral Load, COUNT: 1422
</t>
  </si>
  <si>
    <t>FOR PREVENTIVE MAINTENANCE</t>
  </si>
  <si>
    <t>https://www.jotform.com/uploads/macarewecare/222927978372067/6307739554205802441/6307739554205802441_signature_28.png</t>
  </si>
  <si>
    <t>Harry Al Villaruz RMT</t>
  </si>
  <si>
    <t>https://www.jotform.com/uploads/macarewecare/222927978372067/6307739554205802441/6307739554205802441_signature_31.png</t>
  </si>
  <si>
    <t>Escalante City Health Office</t>
  </si>
  <si>
    <t>Poblacion Escalante City</t>
  </si>
  <si>
    <t>jirehforester@gmail.com</t>
  </si>
  <si>
    <t>Installation of CPU with serial number CPH05020F08317</t>
  </si>
  <si>
    <t>Repair Power supply of the cpu.
Clean the electronic board and wire of the cpu.</t>
  </si>
  <si>
    <t>Save Installation Qualification Report.
Save System Log Report.
Save GXX file.
Save Assay statistics report.</t>
  </si>
  <si>
    <t>CPU functional ok to use.</t>
  </si>
  <si>
    <t>https://www.jotform.com/uploads/macarewecare/222927978372067/6307735955313369133/6307735955313369133_signature_28.png</t>
  </si>
  <si>
    <t>Jireh Cablos</t>
  </si>
  <si>
    <t>https://www.jotform.com/uploads/macarewecare/222927978372067/6307735955313369133/6307735955313369133_signature_31.png</t>
  </si>
  <si>
    <t>Malungon,Sarangani</t>
  </si>
  <si>
    <t>Madameerrmie@gmail.com</t>
  </si>
  <si>
    <t xml:space="preserve">ASSAY: Xpert MTB/RIF Ultra, COUNT: 2306
</t>
  </si>
  <si>
    <t>Genexpert machine Cleaning and maintenance 
Module cleaning 
Plunger rod and Optics cleaning 
Fan and filter cleaning 
Checking of module status and erros
Data collection</t>
  </si>
  <si>
    <t>Perform Genexpert machine Preventive maintenance</t>
  </si>
  <si>
    <t>https://www.jotform.com/uploads/macarewecare/222927978372067/6307267885327590728/6307267885327590728_signature_28.png</t>
  </si>
  <si>
    <t>Ermie D Ulbenario</t>
  </si>
  <si>
    <t>https://www.jotform.com/uploads/macarewecare/222927978372067/6307267885327590728/6307267885327590728_signature_31.png</t>
  </si>
  <si>
    <t>Brgy. Calumpang,  General Santos City</t>
  </si>
  <si>
    <t>Tb</t>
  </si>
  <si>
    <t xml:space="preserve">ASSAY: Xpert MTB/RIF Ultra, COUNT: 1423
</t>
  </si>
  <si>
    <t>Perform Genexpert machine cleaning and maintenance 
Module cleaning 
Plunger rod and Optics rod
Fan and filter cleaning
Checking of module status and errors
Data collection</t>
  </si>
  <si>
    <t>https://www.jotform.com/uploads/macarewecare/222927978372067/6307267165321027285/6307267165321027285_signature_28.png</t>
  </si>
  <si>
    <t>Janice R Camiña</t>
  </si>
  <si>
    <t>https://www.jotform.com/uploads/macarewecare/222927978372067/6307267165321027285/6307267165321027285_signature_31.png</t>
  </si>
  <si>
    <t>RHU- Magsaysay</t>
  </si>
  <si>
    <t>Kakilgan St. Poblacion, Magsaysay</t>
  </si>
  <si>
    <t>jkakilgan12@gmail.com</t>
  </si>
  <si>
    <t>Preventive Maintenance
Signing documents</t>
  </si>
  <si>
    <t>https://www.jotform.com/uploads/macarewecare/222927978372067/6307241551216409792/6307241551216409792_signature_28.png</t>
  </si>
  <si>
    <t>Jesusa Kakilgan</t>
  </si>
  <si>
    <t>https://www.jotform.com/uploads/macarewecare/222927978372067/6307241551216409792/6307241551216409792_signature_31.png</t>
  </si>
  <si>
    <t>Ramon magsaysay rural health unit</t>
  </si>
  <si>
    <t>Ramon magsaysay, Zamboanga del sur</t>
  </si>
  <si>
    <t>rhuramonmagsaysay7@gmail.com</t>
  </si>
  <si>
    <t>https://www.jotform.com/uploads/macarewecare/222927978372067/6307086293938423057/6307086293938423057_signature_28.png</t>
  </si>
  <si>
    <t>Gina Borinaga</t>
  </si>
  <si>
    <t>https://www.jotform.com/uploads/macarewecare/222927978372067/6307086293938423057/6307086293938423057_signature_31.png</t>
  </si>
  <si>
    <t>Midsalip Rural health unit</t>
  </si>
  <si>
    <t>Midsalip, Zamboanga del sur</t>
  </si>
  <si>
    <t>genaliner@rocketmail.com</t>
  </si>
  <si>
    <t xml:space="preserve">ASSAY: Xpert MTB/RIF Ultra, COUNT: 409
</t>
  </si>
  <si>
    <t>Only module that gives excessive errors of 1001 and 4012.</t>
  </si>
  <si>
    <t>Preventive Maintenence and data collection. Forwarded data collection to ceiphied for further assessment if for replacement.</t>
  </si>
  <si>
    <t>All units except module 3 that gives excessive temperature related errors are OK and ready to use.</t>
  </si>
  <si>
    <t>Only module that gives excessive error of 1001 and 4012.</t>
  </si>
  <si>
    <t>https://www.jotform.com/uploads/macarewecare/222927978372067/6307085883932139849/6307085883932139849_signature_28.png</t>
  </si>
  <si>
    <t>Genaline A. Rodriguez</t>
  </si>
  <si>
    <t>https://www.jotform.com/uploads/macarewecare/222927978372067/6307085883932139849/6307085883932139849_signature_31.png</t>
  </si>
  <si>
    <t xml:space="preserve">ASSAY: Xpert MTB/RIF Ultra, COUNT: 906
</t>
  </si>
  <si>
    <t>All errors are regarding error 2008.</t>
  </si>
  <si>
    <t>https://www.jotform.com/uploads/macarewecare/222927978372067/6307076533932103377/6307076533932103377_signature_28.png</t>
  </si>
  <si>
    <t>https://www.jotform.com/uploads/macarewecare/222927978372067/6307076533932103377/6307076533932103377_signature_31.png</t>
  </si>
  <si>
    <t xml:space="preserve">ASSAY: Xpert MTB/RIF Ultra, COUNT: 1556
</t>
  </si>
  <si>
    <t>Performed maintenance
Cleaned:
-cartridge bay 
-plunger rod 
-icore
-filter
Generated reports</t>
  </si>
  <si>
    <t>https://www.jotform.com/uploads/macarewecare/222927978372067/6307034813618436451/6307034813618436451_signature_28.png</t>
  </si>
  <si>
    <t>https://www.jotform.com/uploads/macarewecare/222927978372067/6307034813618436451/6307034813618436451_signature_31.png</t>
  </si>
  <si>
    <t>WEST VISAYAS STATE UNIVERSITY MEDICAL CENTER</t>
  </si>
  <si>
    <t xml:space="preserve">ASSAY: Xpert HBV VL, COUNT: 103
ASSAY: Xpert HPV, COUNT: 42
ASSAY: Xpert MTB-XDR, COUNT: 3
ASSAY: Xpert HCV VL, COUNT: 5
ASSAY: Xpert HIV-1 Viral Load, COUNT: 54
</t>
  </si>
  <si>
    <t>GX-IV 10C</t>
  </si>
  <si>
    <t>https://www.jotform.com/uploads/macarewecare/222927978372067/6306886692326142060/6306886692326142060_signature_28.png</t>
  </si>
  <si>
    <t>https://www.jotform.com/uploads/macarewecare/222927978372067/6306886692326142060/6306886692326142060_signature_31.png</t>
  </si>
  <si>
    <t>Queson Avenue QC</t>
  </si>
  <si>
    <t>Blood donation rm</t>
  </si>
  <si>
    <t>Due for maintenance
Roller yellowish color need for replacement</t>
  </si>
  <si>
    <t>https://www.jotform.com/uploads/macarewecare/222927978372067/6306824643616354546/6306824643616354546_signature_28.png</t>
  </si>
  <si>
    <t>Clariza Martinez</t>
  </si>
  <si>
    <t>https://www.jotform.com/uploads/macarewecare/222927978372067/6306824643616354546/6306824643616354546_signature_31.png</t>
  </si>
  <si>
    <t>Operarional</t>
  </si>
  <si>
    <t>https://www.jotform.com/uploads/macarewecare/222927978372067/6306822713617457154/6306822713617457154_signature_28.png</t>
  </si>
  <si>
    <t>https://www.jotform.com/uploads/macarewecare/222927978372067/6306822713617457154/6306822713617457154_signature_31.png</t>
  </si>
  <si>
    <t>Kalayaan Ave. QC</t>
  </si>
  <si>
    <t>Delivered and installed urethane rollers
Checked program parameters
Performed functionality test
Test run unit</t>
  </si>
  <si>
    <t>https://www.jotform.com/uploads/macarewecare/222927978372067/6306820503618005351/6306820503618005351_signature_28.png</t>
  </si>
  <si>
    <t>PRC QUEZON CITY</t>
  </si>
  <si>
    <t>https://www.jotform.com/uploads/macarewecare/222927978372067/6306820503618005351/6306820503618005351_signature_31.png</t>
  </si>
  <si>
    <t>St luke's Medical Center</t>
  </si>
  <si>
    <t>UPS battery unable to charge</t>
  </si>
  <si>
    <t>Delivered and replaced 2pcs Battery
Performed functionality test
Test run unit</t>
  </si>
  <si>
    <t>Performed repair ups drain battery
S/N AT1000190402ST0319</t>
  </si>
  <si>
    <t>Operational
C4 disabled due to 5007 error</t>
  </si>
  <si>
    <t>Ups battery s/n 540426,540427</t>
  </si>
  <si>
    <t>https://www.jotform.com/uploads/macarewecare/222927978372067/6306819873617862167/6306819873617862167_signature_28.png</t>
  </si>
  <si>
    <t>https://www.jotform.com/uploads/macarewecare/222927978372067/6306819873617862167/6306819873617862167_signature_31.png</t>
  </si>
  <si>
    <t>Batasan Social Hygiene Clinic</t>
  </si>
  <si>
    <t>Batasan Rd QC</t>
  </si>
  <si>
    <t>nicateves0708@gmail.com</t>
  </si>
  <si>
    <t xml:space="preserve">ASSAY: Xpert CT/NG, COUNT: 26
ASSAY: Xpert HBV VL, COUNT: 49
ASSAY: Xpert HIV-1 Viral Load, COUNT: 1071
</t>
  </si>
  <si>
    <t>Due for maintenance
End user encounter intermittent module not detected during starting the system</t>
  </si>
  <si>
    <t>Cleaned unit
Cleaned plunger rod,filter,icore,cartridge bay
Reset all cables
Reset gatewayboard
Gathered reports
Test run unit</t>
  </si>
  <si>
    <t>During functionality test no error encounter</t>
  </si>
  <si>
    <t>https://www.jotform.com/uploads/macarewecare/222927978372067/6306818753617631040/6306818753617631040_signature_28.png</t>
  </si>
  <si>
    <t>Monique Teves</t>
  </si>
  <si>
    <t>https://www.jotform.com/uploads/macarewecare/222927978372067/6306818753617631040/6306818753617631040_signature_31.png</t>
  </si>
  <si>
    <t>RIVERSIDE MEDICAL CENTER (MEDI LINX LABORATORY INC.)</t>
  </si>
  <si>
    <t>angelalorraineg@gmail.com</t>
  </si>
  <si>
    <t xml:space="preserve">ASSAY: Xpert BCR-ABL Ultra, COUNT: 19
ASSAY: Xpert HBV VL, COUNT: 132
ASSAY: Xpert HPV, COUNT: 23
ASSAY: Xpert MTB/RIF Ultra, COUNT: 369
ASSAY: Xpert HCV VL, COUNT: 53
</t>
  </si>
  <si>
    <t>FOR MODULE B3 &amp; MODULE B4 REPLACEMENT</t>
  </si>
  <si>
    <t>-PERFORM PREV. MAINTENANCE PROCEDURE AND CLEANING OF GX WORKSTATION
-PERFORM MODULE REPLACEMENT:
MODULE B3 DEF SN: 210028770 WITH NEW SN: 220038702
MODULE B4 DEF SN: 210029714 WITH NEW SN: 220038722</t>
  </si>
  <si>
    <t>MODULE B1 &amp; B2 DISABLED</t>
  </si>
  <si>
    <t>GENEXPERT MODULE 6-COLOR</t>
  </si>
  <si>
    <t>https://www.jotform.com/uploads/macarewecare/222927978372067/6304492659322158719/6304492659322158719_signature_28.png</t>
  </si>
  <si>
    <t>Angela Lorraine Gamboa</t>
  </si>
  <si>
    <t>https://www.jotform.com/uploads/macarewecare/222927978372067/6304492659322158719/6304492659322158719_signature_31.png</t>
  </si>
  <si>
    <t>Nueva Vizcaya Provincial Hospital</t>
  </si>
  <si>
    <t>Bambang, Nueva Vizcaya</t>
  </si>
  <si>
    <t>dumlaojoy4@gmail.com</t>
  </si>
  <si>
    <t xml:space="preserve">ASSAY: Xpert MTB/RIF Ultra, COUNT: 1322
</t>
  </si>
  <si>
    <t>AVR not powering on</t>
  </si>
  <si>
    <t>Replaced AVR</t>
  </si>
  <si>
    <t>Performed Maintenance
Gathered Reports
Performed Functionalty Test</t>
  </si>
  <si>
    <t>AVR</t>
  </si>
  <si>
    <t>https://www.jotform.com/uploads/macarewecare/222927978372067/6304461232028022371/6304461232028022371_signature_28.png</t>
  </si>
  <si>
    <t>Gina Jalimao</t>
  </si>
  <si>
    <t>https://www.jotform.com/uploads/macarewecare/222927978372067/6304461232028022371/6304461232028022371_signature_31.png</t>
  </si>
  <si>
    <t>Unit for preventive maintenance.
For Xpertcheck of module B1.</t>
  </si>
  <si>
    <t>Performed Preventive Maintenance.
-Cleaned and disinfect plunger
-Cleaned and disinfect cartridge bay
-Cleaned and disinfect instrument surface
-Cleaned icore sensors
-Cleaned filter fan
-Archived test results
Performed Xpertcheck of module B1.
Generated reports.</t>
  </si>
  <si>
    <t>Unit is operational. Module B1, Service Required. Module B1 is for replacement.</t>
  </si>
  <si>
    <t>https://www.jotform.com/uploads/macarewecare/222927978372067/6304451559394057883/6304451559394057883_signature_28.png</t>
  </si>
  <si>
    <t>Franchesca Agripa</t>
  </si>
  <si>
    <t>https://www.jotform.com/uploads/macarewecare/222927978372067/6304451559394057883/6304451559394057883_signature_31.png</t>
  </si>
  <si>
    <t>Batangas City, Batangas</t>
  </si>
  <si>
    <t>kaimoral68@yyahoo.com</t>
  </si>
  <si>
    <t>GCIV-10C</t>
  </si>
  <si>
    <t>Unit for preventive maintenance.
For module replacement of module B1 and B3.</t>
  </si>
  <si>
    <t>Repair and preventive maintenance.</t>
  </si>
  <si>
    <t>GX Module B1 (692749) and B3 (655724) in replacement to defective B1 (210128840) and B3 (210128781).</t>
  </si>
  <si>
    <t>DR#13213</t>
  </si>
  <si>
    <t>https://www.jotform.com/uploads/macarewecare/222927978372067/6304430831422482006/6304430831422482006_signature_28.png</t>
  </si>
  <si>
    <t>Catherine M.Moral</t>
  </si>
  <si>
    <t>https://www.jotform.com/uploads/macarewecare/222927978372067/6304430831422482006/6304430831422482006_signature_31.png</t>
  </si>
  <si>
    <t>Project 7 Social Hygiene Clinic</t>
  </si>
  <si>
    <t>michelenaval@gmail.com</t>
  </si>
  <si>
    <t>Unit is operational
B4 is not operational
B4 has valve errors
B4 for reporting</t>
  </si>
  <si>
    <t>https://www.jotform.com/uploads/macarewecare/222927978372067/6304423533326157545/6304423533326157545_signature_28.png</t>
  </si>
  <si>
    <t>Michele Flores</t>
  </si>
  <si>
    <t>https://www.jotform.com/uploads/macarewecare/222927978372067/6304423533326157545/6304423533326157545_signature_31.png</t>
  </si>
  <si>
    <t>Poblacion Cebu</t>
  </si>
  <si>
    <t>Lost communication while running error code 2123 for all module's and stuck-up cartridge for all modules.</t>
  </si>
  <si>
    <t>Change cable wire from CPU to Machine. 
Pull out stuck-up cartridge.</t>
  </si>
  <si>
    <t>Save System Log file. 
Save Installation Qualification report. 
Save Assay Statisitcs report.</t>
  </si>
  <si>
    <t>https://www.jotform.com/uploads/macarewecare/222927978372067/6304401354213234659/6304401354213234659_signature_28.png</t>
  </si>
  <si>
    <t>https://www.jotform.com/uploads/macarewecare/222927978372067/6304401354213234659/6304401354213234659_signature_31.png</t>
  </si>
  <si>
    <t>Performed surface cleaning 
Performed cleaning of plunger rod, cartridge bay, icore and filter 
Archived test results 
Performed xpertcheck 
Performed functionality test 
Gathered reports</t>
  </si>
  <si>
    <t>Unit is operational except for modules
B4: 738203 Failed calibration 
Good module
B1:742501 Passed Calibration 
B2:893512 Passed Calibration 
B3:893779 Passed Calibration</t>
  </si>
  <si>
    <t>Module B4 for module replacement, B1 for observation</t>
  </si>
  <si>
    <t>4 xpertcheck Kits</t>
  </si>
  <si>
    <t>https://www.jotform.com/uploads/macarewecare/222927978372067/6304388331983678185/6304388331983678185_signature_28.png</t>
  </si>
  <si>
    <t>https://www.jotform.com/uploads/macarewecare/222927978372067/6304388331983678185/6304388331983678185_signature_31.png</t>
  </si>
  <si>
    <t>Hospital Drive Brgy. San Vicente Tarlac City</t>
  </si>
  <si>
    <t>Unit is operational 
Module 
C1: 210019432 passed calibration 
C2: 620096 H/W Failed ( Temperature Error/ 4012)</t>
  </si>
  <si>
    <t>C2 for module replacement</t>
  </si>
  <si>
    <t>1 Xpertcheck Kit</t>
  </si>
  <si>
    <t>https://www.jotform.com/uploads/macarewecare/222927978372067/6304387861987511695/6304387861987511695_signature_28.png</t>
  </si>
  <si>
    <t>https://www.jotform.com/uploads/macarewecare/222927978372067/6304387861987511695/6304387861987511695_signature_31.png</t>
  </si>
  <si>
    <t>Central Luzon Doctor's Hospital</t>
  </si>
  <si>
    <t>pjlsantos@cldh.com.ph</t>
  </si>
  <si>
    <t xml:space="preserve">ASSAY: Xpert MTB/RIF Ultra, COUNT: 193
</t>
  </si>
  <si>
    <t>https://www.jotform.com/uploads/macarewecare/222927978372067/6304358641988529177/6304358641988529177_signature_28.png</t>
  </si>
  <si>
    <t>Precious Santos</t>
  </si>
  <si>
    <t>https://www.jotform.com/uploads/macarewecare/222927978372067/6304358641988529177/6304358641988529177_signature_31.png</t>
  </si>
  <si>
    <t>cldhlaboratory@cldh.com.ph</t>
  </si>
  <si>
    <t xml:space="preserve">ASSAY: Xpert MTB/RIF, COUNT: 193
</t>
  </si>
  <si>
    <t>https://www.jotform.com/uploads/macarewecare/222927978372067/6304358361986318544/6304358361986318544_signature_28.png</t>
  </si>
  <si>
    <t>Maria Rowena Peralta</t>
  </si>
  <si>
    <t>https://www.jotform.com/uploads/macarewecare/222927978372067/6304358361986318544/6304358361986318544_signature_31.png</t>
  </si>
  <si>
    <t>PCR LABORATORY</t>
  </si>
  <si>
    <t xml:space="preserve">ASSAY: Xpert HBV VL, COUNT: 4
ASSAY: Xpert HPV, COUNT: 27
ASSAY: Xpert SARS-CoV-2, COUNT: 0
ASSAY: Xpert HIV-1 Viral Load, COUNT: 1
ASSAY: Xpress SARS-CoV-2_Flu_RSV plus, COUNT: 1567
</t>
  </si>
  <si>
    <t>Quarterly Preventive maintenance</t>
  </si>
  <si>
    <t>https://www.jotform.com/uploads/macarewecare/222927978372067/6304358181989056483/6304358181989056483_signature_28.png</t>
  </si>
  <si>
    <t>Thea A. Dula</t>
  </si>
  <si>
    <t>https://www.jotform.com/uploads/macarewecare/222927978372067/6304358181989056483/6304358181989056483_signature_31.png</t>
  </si>
  <si>
    <t xml:space="preserve">ASSAY: Xpert SARS-CoV-2, COUNT: 0
ASSAY: Xpress SARS-CoV-2_Flu_RSV plus, COUNT: 981
</t>
  </si>
  <si>
    <t>https://www.jotform.com/uploads/macarewecare/222927978372067/6304357811987665424/6304357811987665424_signature_28.png</t>
  </si>
  <si>
    <t>https://www.jotform.com/uploads/macarewecare/222927978372067/6304357811987665424/6304357811987665424_signature_31.png</t>
  </si>
  <si>
    <t xml:space="preserve">ASSAY: Xpert HBV VL, COUNT: 57
ASSAY: Xpert HPV, COUNT: 52
ASSAY: Xpert HCV VL, COUNT: 17
ASSAY: Xpert HIV-1 Viral Load, COUNT: 324
</t>
  </si>
  <si>
    <t>Unit us operational</t>
  </si>
  <si>
    <t>https://www.jotform.com/uploads/macarewecare/222927978372067/6304357501989881207/6304357501989881207_signature_28.png</t>
  </si>
  <si>
    <t>https://www.jotform.com/uploads/macarewecare/222927978372067/6304357501989881207/6304357501989881207_signature_31.png</t>
  </si>
  <si>
    <t>Jose B. Lingad Memorial and General Hospital</t>
  </si>
  <si>
    <t>Dolores City of Sa Fernando Pampanga</t>
  </si>
  <si>
    <t>jblmgh.is@gmail.com</t>
  </si>
  <si>
    <t xml:space="preserve">ASSAY: Xpert HBV VL, COUNT: 297
ASSAY: Xpert HCV VL, COUNT: 80
ASSAY: Xpert HIV-1 Viral Load, COUNT: 1891
</t>
  </si>
  <si>
    <t>Defective UPS</t>
  </si>
  <si>
    <t>Preventive maintenance 
UPS replacement</t>
  </si>
  <si>
    <t>Performed Preventive maintenance 
Replacement of Defective UPS
Gathered reports 
Performed functionality test</t>
  </si>
  <si>
    <t>https://www.jotform.com/uploads/macarewecare/222927978372067/6304356321981506540/6304356321981506540_signature_28.png</t>
  </si>
  <si>
    <t>CHARLENE MAE LAXAMANA</t>
  </si>
  <si>
    <t>https://www.jotform.com/uploads/macarewecare/222927978372067/6304356321981506540/6304356321981506540_signature_31.png</t>
  </si>
  <si>
    <t xml:space="preserve">ASSAY: Xpert MTB/RIF Ultra, COUNT: 202
ASSAY: Xpert SARS-CoV-2, COUNT: 16
</t>
  </si>
  <si>
    <t>https://www.jotform.com/uploads/macarewecare/222927978372067/6304356121982496964/6304356121982496964_signature_28.png</t>
  </si>
  <si>
    <t>https://www.jotform.com/uploads/macarewecare/222927978372067/6304356121982496964/6304356121982496964_signature_31.png</t>
  </si>
  <si>
    <t>GXII-D 6C</t>
  </si>
  <si>
    <t>https://www.jotform.com/uploads/macarewecare/222927978372067/6304355921986834700/6304355921986834700_signature_28.png</t>
  </si>
  <si>
    <t>https://www.jotform.com/uploads/macarewecare/222927978372067/6304355921986834700/6304355921986834700_signature_31.png</t>
  </si>
  <si>
    <t>Dasol Community Hospital</t>
  </si>
  <si>
    <t>Dasol Pangasinan</t>
  </si>
  <si>
    <t>jeremypulido0521@gmail.com</t>
  </si>
  <si>
    <t>Due for maintenance 
CPU not booting</t>
  </si>
  <si>
    <t>Preventive maintenance 
CPU repair</t>
  </si>
  <si>
    <t>Performed surface cleaning 
Perform CPU troubleshooting 
Performed cleaning of plunger rod, cartridge bay, icore and filter 
Archived test results 
Performed functionality test 
Gathered reports</t>
  </si>
  <si>
    <t>https://www.jotform.com/uploads/macarewecare/222927978372067/6304355341984878983/6304355341984878983_signature_28.png</t>
  </si>
  <si>
    <t>Jeremy Pulido</t>
  </si>
  <si>
    <t>https://www.jotform.com/uploads/macarewecare/222927978372067/6304355341984878983/6304355341984878983_signature_31.png</t>
  </si>
  <si>
    <t>Infanta Pangasinan</t>
  </si>
  <si>
    <t xml:space="preserve">ASSAY: Xpert MTB/RIF Ultra, COUNT: 210
</t>
  </si>
  <si>
    <t>https://www.jotform.com/uploads/macarewecare/222927978372067/6304355151984637398/6304355151984637398_signature_28.png</t>
  </si>
  <si>
    <t>https://www.jotform.com/uploads/macarewecare/222927978372067/6304355151984637398/6304355151984637398_signature_31.png</t>
  </si>
  <si>
    <t>Poblacion Bolinao Pangasinan</t>
  </si>
  <si>
    <t xml:space="preserve">ASSAY: Xpert MTB/RIF Ultra, COUNT: 742
</t>
  </si>
  <si>
    <t>https://www.jotform.com/uploads/macarewecare/222927978372067/6304354731989998839/6304354731989998839_signature_28.png</t>
  </si>
  <si>
    <t>Emylyn Celzo</t>
  </si>
  <si>
    <t>https://www.jotform.com/uploads/macarewecare/222927978372067/6304354731989998839/6304354731989998839_signature_31.png</t>
  </si>
  <si>
    <t xml:space="preserve">ASSAY: Xpert MTB/RIF Ultra, COUNT: 2934
</t>
  </si>
  <si>
    <t>https://www.jotform.com/uploads/macarewecare/222927978372067/6304292076449489651/6304292076449489651_signature_28.png</t>
  </si>
  <si>
    <t>https://www.jotform.com/uploads/macarewecare/222927978372067/6304292076449489651/6304292076449489651_signature_31.png</t>
  </si>
  <si>
    <t>mongeshiela@gmail.com</t>
  </si>
  <si>
    <t>MCS+ for Preventive Maintenance</t>
  </si>
  <si>
    <t>Cleaned Unit surface
Cleaned, rotor pump, roller, valves, centrifuge</t>
  </si>
  <si>
    <t>Unit is non operational (CRC Bios Error)</t>
  </si>
  <si>
    <t>https://www.jotform.com/uploads/macarewecare/222927978372067/6303807859817477141/6303807859817477141_signature_28.png</t>
  </si>
  <si>
    <t>Shiela P. Monge</t>
  </si>
  <si>
    <t>https://www.jotform.com/uploads/macarewecare/222927978372067/6303807859817477141/6303807859817477141_signature_31.png</t>
  </si>
  <si>
    <t>Cleaned surface of unit
Cleaned rotor pumps, rollers, valve, centrifuge
Checked system parameters</t>
  </si>
  <si>
    <t>https://www.jotform.com/uploads/macarewecare/222927978372067/6303805899815452894/6303805899815452894_signature_28.png</t>
  </si>
  <si>
    <t>https://www.jotform.com/uploads/macarewecare/222927978372067/6303805899815452894/6303805899815452894_signature_31.png</t>
  </si>
  <si>
    <t>Concepcion, Pequeña, Naga</t>
  </si>
  <si>
    <t>Installed Unit</t>
  </si>
  <si>
    <t>Installed MCS+(16K520SPG)tie-up
pull out MCS+(11J221)tie-up
Checked parameters of newly installed unit based from Calibration certificate</t>
  </si>
  <si>
    <t>Installed tie-up MCS+ unit</t>
  </si>
  <si>
    <t>https://www.jotform.com/uploads/macarewecare/222927978372067/6303802619813309633/6303802619813309633_signature_28.png</t>
  </si>
  <si>
    <t>https://www.jotform.com/uploads/macarewecare/222927978372067/6303802619813309633/6303802619813309633_signature_31.png</t>
  </si>
  <si>
    <t>aileenrmt@gmail.com</t>
  </si>
  <si>
    <t>Gx scheduled fro Preventive Maintenance</t>
  </si>
  <si>
    <t>Moved machine to new facility inside the hospital compound
Setup/installed Gx machine
Cleaned carridge bays, surface
Generate Data</t>
  </si>
  <si>
    <t>https://www.jotform.com/uploads/macarewecare/222927978372067/6303796999817331522/6303796999817331522_signature_28.png</t>
  </si>
  <si>
    <t>Aileen V. Lopez</t>
  </si>
  <si>
    <t>https://www.jotform.com/uploads/macarewecare/222927978372067/6303796999817331522/6303796999817331522_signature_31.png</t>
  </si>
  <si>
    <t>New Carmen, Tacurong City,  Sultan Kudarat</t>
  </si>
  <si>
    <t>Installed GxIV-10C SN:110024270
Installed Desktop SN:CPH0224F491 with mouse and keyboard 
Installed Monitor Dell SN:CN4AH427DG
Installed Pinter HP 2337 SN: 23103010550471
Checking of modules status 
Data collection</t>
  </si>
  <si>
    <t>Genexpert machine Installation</t>
  </si>
  <si>
    <t>https://www.jotform.com/uploads/macarewecare/222927978372067/6303612413643646321/6303612413643646321_signature_28.png</t>
  </si>
  <si>
    <t>Lyra Luz Huyong</t>
  </si>
  <si>
    <t>https://www.jotform.com/uploads/macarewecare/222927978372067/6303612413643646321/6303612413643646321_signature_31.png</t>
  </si>
  <si>
    <t>Alicia, Isabela</t>
  </si>
  <si>
    <t>labalicia.rhu@gmail.com</t>
  </si>
  <si>
    <t xml:space="preserve">ASSAY: Xpert MTB/RIF Ultra, COUNT: 737
</t>
  </si>
  <si>
    <t>UPS not powering On</t>
  </si>
  <si>
    <t>Replaced UPS</t>
  </si>
  <si>
    <t>https://www.jotform.com/uploads/macarewecare/222927978372067/6303609334617329905/6303609334617329905_signature_28.png</t>
  </si>
  <si>
    <t>Jeslie Raymunda Valdez</t>
  </si>
  <si>
    <t>https://www.jotform.com/uploads/macarewecare/222927978372067/6303609334617329905/6303609334617329905_signature_31.png</t>
  </si>
  <si>
    <t>San Jose de Buenavista, Antique</t>
  </si>
  <si>
    <t>Antique</t>
  </si>
  <si>
    <t>sanjoseantiquegxsite@gmail.com</t>
  </si>
  <si>
    <t xml:space="preserve">ASSAY: Xpert MTB/RIF Ultra, COUNT: 3192
ASSAY: Xpert MTB-XDR, COUNT: 51
ASSAY: Xpert HIV-1 Viral Load, COUNT: 394
</t>
  </si>
  <si>
    <t>https://www.jotform.com/uploads/macarewecare/222927978372067/6303552581113552604/6303552581113552604_signature_28.png</t>
  </si>
  <si>
    <t>Hubert Spencer Francis Ang</t>
  </si>
  <si>
    <t>https://www.jotform.com/uploads/macarewecare/222927978372067/6303552581113552604/6303552581113552604_signature_31.png</t>
  </si>
  <si>
    <t>Checked Rollers Status</t>
  </si>
  <si>
    <t>Cleaned MCS+</t>
  </si>
  <si>
    <t>Rollers for Replacement</t>
  </si>
  <si>
    <t>https://www.jotform.com/uploads/macarewecare/222927978372067/6303465125547049595/6303465125547049595_signature_28.png</t>
  </si>
  <si>
    <t>Baby Jane Taguinod</t>
  </si>
  <si>
    <t>https://www.jotform.com/uploads/macarewecare/222927978372067/6303465125547049595/6303465125547049595_signature_31.png</t>
  </si>
  <si>
    <t xml:space="preserve">ASSAY: Xpert MTB/RIF Ultra, COUNT: 1622
ASSAY: Xpert MTB-XDR, COUNT: 8
ASSAY: Xpert HIV-1 Viral Load, COUNT: 1315
ASSAY: Xpert HCV VL, COUNT: 2
ASSAY: Xpert SARS-CoV-2, COUNT: 12
ASSAY: Xpert CT/NG, COUNT: 6
</t>
  </si>
  <si>
    <t>Clean Surface Area, Cartridge Bay, Plunger Rod, Fan Filters and Icore Lenses
Generate IQR, Assay Stat and System Log</t>
  </si>
  <si>
    <t>https://www.jotform.com/uploads/macarewecare/222927978372067/6303425949964183148/6303425949964183148_signature_28.png</t>
  </si>
  <si>
    <t>https://www.jotform.com/uploads/macarewecare/222927978372067/6303425949964183148/6303425949964183148_signature_31.png</t>
  </si>
  <si>
    <t xml:space="preserve">ASSAY: Xpert MTB/RIF Ultra, COUNT: 433
ASSAY: Xpert SARS-CoV-2, COUNT: 72
ASSAY: Xpert HIV-1 Viral Load, COUNT: 766
</t>
  </si>
  <si>
    <t>https://www.jotform.com/uploads/macarewecare/222927978372067/6303424279961589744/6303424279961589744_signature_28.png</t>
  </si>
  <si>
    <t>https://www.jotform.com/uploads/macarewecare/222927978372067/6303424279961589744/6303424279961589744_signature_31.png</t>
  </si>
  <si>
    <t>materesaaliman78@gmail.com</t>
  </si>
  <si>
    <t>Preventive Maintenance 
Data Collection</t>
  </si>
  <si>
    <t>https://www.jotform.com/uploads/macarewecare/222927978372067/6303423920817024978/6303423920817024978_signature_28.png</t>
  </si>
  <si>
    <t>Ma.Teresa E. Aliman</t>
  </si>
  <si>
    <t>https://www.jotform.com/uploads/macarewecare/222927978372067/6303423920817024978/6303423920817024978_signature_31.png</t>
  </si>
  <si>
    <t>UPS for Troubleshooting</t>
  </si>
  <si>
    <t>https://www.jotform.com/uploads/macarewecare/222927978372067/6302695652863984413/6302695652863984413_signature_28.png</t>
  </si>
  <si>
    <t>https://www.jotform.com/uploads/macarewecare/222927978372067/6302695652863984413/6302695652863984413_signature_31.png</t>
  </si>
  <si>
    <t>Lasam District Hospital</t>
  </si>
  <si>
    <t>Lasam, Cagayan</t>
  </si>
  <si>
    <t>lasamdh.laboratory@gmail.com</t>
  </si>
  <si>
    <t>Monitor Problem</t>
  </si>
  <si>
    <t>Replaced Monitor</t>
  </si>
  <si>
    <t>Monitor</t>
  </si>
  <si>
    <t>https://www.jotform.com/uploads/macarewecare/222927978372067/6302688189517953724/6302688189517953724_signature_28.png</t>
  </si>
  <si>
    <t>Kimberly Kate T. Nicolas</t>
  </si>
  <si>
    <t>https://www.jotform.com/uploads/macarewecare/222927978372067/6302688189517953724/6302688189517953724_signature_31.png</t>
  </si>
  <si>
    <t>Boni, Mandaluyong</t>
  </si>
  <si>
    <t>https://www.jotform.com/uploads/macarewecare/222927978372067/6302670137026069868/6302670137026069868_signature_28.png</t>
  </si>
  <si>
    <t>Ardel Brecinio</t>
  </si>
  <si>
    <t>https://www.jotform.com/uploads/macarewecare/222927978372067/6302670137026069868/6302670137026069868_signature_31.png</t>
  </si>
  <si>
    <t>https://www.jotform.com/uploads/macarewecare/222927978372067/6302669737023668813/6302669737023668813_signature_28.png</t>
  </si>
  <si>
    <t>https://www.jotform.com/uploads/macarewecare/222927978372067/6302669737023668813/6302669737023668813_signature_31.png</t>
  </si>
  <si>
    <t>Laoang Northern Samar</t>
  </si>
  <si>
    <t>markiansarmiento727@gmail.com</t>
  </si>
  <si>
    <t xml:space="preserve">ASSAY: Xpert MTB/RIF Ultra, COUNT: 1052
</t>
  </si>
  <si>
    <t>Module B1 temperature error</t>
  </si>
  <si>
    <t>https://www.jotform.com/uploads/macarewecare/222927978372067/6302649173292122039/6302649173292122039_signature_28.png</t>
  </si>
  <si>
    <t>mark ian sarmiento</t>
  </si>
  <si>
    <t>https://www.jotform.com/uploads/macarewecare/222927978372067/6302649173292122039/6302649173292122039_signature_31.png</t>
  </si>
  <si>
    <t>Bios CRC Failed</t>
  </si>
  <si>
    <t>Checked Bios Battery Voltage
Reset CPU Card</t>
  </si>
  <si>
    <t>Reset CPU Board</t>
  </si>
  <si>
    <t>Unit is not Operational. For Cpu Board Repair(CRC Bios Replacement)</t>
  </si>
  <si>
    <t>CPU Board For Replacement</t>
  </si>
  <si>
    <t>https://www.jotform.com/uploads/macarewecare/222927978372067/6302593533716388615/6302593533716388615_signature_28.png</t>
  </si>
  <si>
    <t>https://www.jotform.com/uploads/macarewecare/222927978372067/6302593533716388615/6302593533716388615_signature_31.png</t>
  </si>
  <si>
    <t>https://www.jotform.com/uploads/macarewecare/222927978372067/6302587943619873874/6302587943619873874_signature_28.png</t>
  </si>
  <si>
    <t>https://www.jotform.com/uploads/macarewecare/222927978372067/6302587943619873874/6302587943619873874_signature_31.png</t>
  </si>
  <si>
    <t>https://www.jotform.com/uploads/macarewecare/222927978372067/6302587123619932960/6302587123619932960_signature_28.png</t>
  </si>
  <si>
    <t>https://www.jotform.com/uploads/macarewecare/222927978372067/6302587123619932960/6302587123619932960_signature_31.png</t>
  </si>
  <si>
    <t>Medi linx Laboratory Inc.</t>
  </si>
  <si>
    <t>Hospital Drive Brgy. San Vicente, Tarlac City ty</t>
  </si>
  <si>
    <t>https://www.jotform.com/uploads/macarewecare/222927978372067/6302583679479183089/6302583679479183089_signature_28.png</t>
  </si>
  <si>
    <t>https://www.jotform.com/uploads/macarewecare/222927978372067/6302583679479183089/6302583679479183089_signature_31.png</t>
  </si>
  <si>
    <t>Medi Linx Laboratory Inc.</t>
  </si>
  <si>
    <t>Hospital drive Brgy. San Vicente, Tarlac City</t>
  </si>
  <si>
    <t>Unit is operational except modules
B1: 742501
B4: 738203</t>
  </si>
  <si>
    <t>https://www.jotform.com/uploads/macarewecare/222927978372067/6302581959479535894/6302581959479535894_signature_28.png</t>
  </si>
  <si>
    <t>https://www.jotform.com/uploads/macarewecare/222927978372067/6302581959479535894/6302581959479535894_signature_31.png</t>
  </si>
  <si>
    <t>San Roque Rural Health Unit</t>
  </si>
  <si>
    <t>San Roque Northern Samar</t>
  </si>
  <si>
    <t>lynnjarito@yahoo.com</t>
  </si>
  <si>
    <t>https://www.jotform.com/uploads/macarewecare/222927978372067/6302566794211553899/6302566794211553899_signature_28.png</t>
  </si>
  <si>
    <t>LYNNN JARITO</t>
  </si>
  <si>
    <t>https://www.jotform.com/uploads/macarewecare/222927978372067/6302566794211553899/6302566794211553899_signature_31.png</t>
  </si>
  <si>
    <t>Citywalk2, Eastwood, Quezon City</t>
  </si>
  <si>
    <t>klinikaeastwoodlaboratory@gmail.com</t>
  </si>
  <si>
    <t>clarabaptista2786@gmail.com</t>
  </si>
  <si>
    <t xml:space="preserve">ASSAY: Xpert HIV-1 Viral Load, COUNT: 98
</t>
  </si>
  <si>
    <t>https://www.jotform.com/uploads/macarewecare/222927978372067/6302505883611309650/6302505883611309650_signature_28.png</t>
  </si>
  <si>
    <t>Mary claire p baptista</t>
  </si>
  <si>
    <t>https://www.jotform.com/uploads/macarewecare/222927978372067/6302505883611309650/6302505883611309650_signature_31.png</t>
  </si>
  <si>
    <t>https://www.jotform.com/uploads/macarewecare/222927978372067/6301870918735098676/6301870918735098676_signature_28.png</t>
  </si>
  <si>
    <t>https://www.jotform.com/uploads/macarewecare/222927978372067/6301870918735098676/6301870918735098676_signature_31.png</t>
  </si>
  <si>
    <t>Sampaguita St, Makati City</t>
  </si>
  <si>
    <t xml:space="preserve">ASSAY: Xpert MTB/RIF Ultra, COUNT: 602
</t>
  </si>
  <si>
    <t>https://www.jotform.com/uploads/macarewecare/222927978372067/6301827480122795591/6301827480122795591_signature_28.png</t>
  </si>
  <si>
    <t>https://www.jotform.com/uploads/macarewecare/222927978372067/6301827480122795591/6301827480122795591_signature_31.png</t>
  </si>
  <si>
    <t xml:space="preserve">ASSAY: Xpert MTB/RIF Ultra, COUNT: 861
</t>
  </si>
  <si>
    <t>UPS unable to work properly.</t>
  </si>
  <si>
    <t>Preventive Maintenence and data collection. Troubleshoot UPS.</t>
  </si>
  <si>
    <t>UPS unable to work properly, module 2 disabled already reported to ceiphied by macare Medicals.</t>
  </si>
  <si>
    <t>UPS batteries will be replaced ASAP.</t>
  </si>
  <si>
    <t>https://www.jotform.com/uploads/macarewecare/222927978372067/6301725917012093170/6301725917012093170_signature_28.png</t>
  </si>
  <si>
    <t>Reyna Cres Bernante-Lazaga</t>
  </si>
  <si>
    <t>https://www.jotform.com/uploads/macarewecare/222927978372067/6301725917012093170/6301725917012093170_signature_31.png</t>
  </si>
  <si>
    <t>Western Visayas Sanitarium and Gen. Hospital</t>
  </si>
  <si>
    <t>Santa barbara, iloilo</t>
  </si>
  <si>
    <t>MAINTENANCE
Collecting data</t>
  </si>
  <si>
    <t>Defective module 3 temperature error
Module 1 first temperature error encounter
Dirty fan filter</t>
  </si>
  <si>
    <t>Gathering data
IQR, System log, gxx files
Clean fan filter</t>
  </si>
  <si>
    <t>Module replacement module 3
Under observation module 1</t>
  </si>
  <si>
    <t>https://www.jotform.com/uploads/macarewecare/222927978372067/6301721043635254209/6301721043635254209_signature_28.png</t>
  </si>
  <si>
    <t>Ruth Dequila</t>
  </si>
  <si>
    <t>https://www.jotform.com/uploads/macarewecare/222927978372067/6301721043635254209/6301721043635254209_signature_31.png</t>
  </si>
  <si>
    <t>Tapaz Super Health Center</t>
  </si>
  <si>
    <t>Tapaz, Capiz</t>
  </si>
  <si>
    <t>MAINTENANCE
Pack Up Machine</t>
  </si>
  <si>
    <t>chadmayrs@gmail.com</t>
  </si>
  <si>
    <t>For transfer to Dumalag RHU</t>
  </si>
  <si>
    <t>UPS is defective</t>
  </si>
  <si>
    <t>https://www.jotform.com/uploads/macarewecare/222927978372067/6301669486214650165/6301669486214650165_signature_28.png</t>
  </si>
  <si>
    <t>Chad May Reyes</t>
  </si>
  <si>
    <t>https://www.jotform.com/uploads/macarewecare/222927978372067/6301669486214650165/6301669486214650165_signature_31.png</t>
  </si>
  <si>
    <t>Makati Medical Center (Medilinx)</t>
  </si>
  <si>
    <t xml:space="preserve">ASSAY: Xpert BCR-ABL Ultra, COUNT: 174
ASSAY: Xpert CT/NG, COUNT: 497
ASSAY: Xpert HBV VL, COUNT: 49
ASSAY: Xpert HPV, COUNT: 390
ASSAY: Xpert MTB/RIF Ultra, COUNT: 2480
ASSAY: Others, COUNT: 8
ASSAY: Xpert HCV VL, COUNT: 94
ASSAY: Xpert HIV-1 Viral Load, COUNT: 1496
</t>
  </si>
  <si>
    <t>Transferred unit to other room</t>
  </si>
  <si>
    <t>Transferred GeneXpert to other room
Functionality test 
Performed maintenance 
Generated reports</t>
  </si>
  <si>
    <t>Unit is operational. Module B1 disabled.</t>
  </si>
  <si>
    <t>https://www.jotform.com/uploads/macarewecare/222927978372067/6301068583614444853/6301068583614444853_signature_28.png</t>
  </si>
  <si>
    <t>https://www.jotform.com/uploads/macarewecare/222927978372067/6301068583614444853/6301068583614444853_signature_31.png</t>
  </si>
  <si>
    <t>yvdelacruz@themedicalcity.com</t>
  </si>
  <si>
    <t>Performed maintenance 
Checked fan
Cleaned instrument surface
Functionality test</t>
  </si>
  <si>
    <t>https://www.jotform.com/uploads/macarewecare/222927978372067/6301068583614617078/6301068583614617078_signature_28.png</t>
  </si>
  <si>
    <t>Yehleen Dela Cruz</t>
  </si>
  <si>
    <t>https://www.jotform.com/uploads/macarewecare/222927978372067/6301068583614617078/6301068583614617078_signature_31.png</t>
  </si>
  <si>
    <t xml:space="preserve">ASSAY: Xpert BCR-ABL Ultra, COUNT: G2
ASSAY: Xpert CT/NG, COUNT: 53
ASSAY: Xpert HBV VL, COUNT: 642
ASSAY: Xpert HPV, COUNT: 382
ASSAY: Xpert MTB/RIF Ultra, COUNT: 6518
ASSAY: Xpert MTB-XDR, COUNT: 5
ASSAY: Others, COUNT: 6
ASSAY: Others, COUNT: 1
ASSAY: Xpert HCV VL, COUNT: 177
ASSAY: Xpert HIV-1 Viral Load, COUNT: 954
ASSAY: Xpress SARS-CoV-2_Flu_RSV plus, COUNT: 1435
</t>
  </si>
  <si>
    <t>Modules B2, B4, C1, C3 and D1 for retry.</t>
  </si>
  <si>
    <t>Run XpertCheck on modules B2, B4, C1, C3 and D1.</t>
  </si>
  <si>
    <t>Performed maintenance 
Cleaned:
-cartridge bay 
-plunger rod 
-icore 
-filter
Run XpertCheck on modules B2, B4, C1, C3 and D1
Generated reports</t>
  </si>
  <si>
    <t>Unit is operational. Modules A1, A3, A4 and B1 service required but operational, under observation(07/01/2025). Module D1 passed but has previous error 1001, currently disabled. Other modules passed and operational.</t>
  </si>
  <si>
    <t>https://www.jotform.com/uploads/macarewecare/222927978372067/6301068593612649551/6301068593612649551_signature_28.png</t>
  </si>
  <si>
    <t>Kristine Chelle Parilla</t>
  </si>
  <si>
    <t>https://www.jotform.com/uploads/macarewecare/222927978372067/6301068593612649551/6301068593612649551_signature_31.png</t>
  </si>
  <si>
    <t xml:space="preserve">ASSAY: Xpert MTB/RIF Ultra, COUNT: 537
</t>
  </si>
  <si>
    <t>GXIV-10C-D</t>
  </si>
  <si>
    <t>Cleaned Cartridge Bay, Plunger Rod and Icore Optics.
Checked Filter if Clogged.
Performed Self-test.
Checked Sytem's Functionality.</t>
  </si>
  <si>
    <t>3 Modules are Operational.
1 Module Disabled with 5007 Error.</t>
  </si>
  <si>
    <t>https://www.jotform.com/uploads/macarewecare/222927978372067/6300948543616694686/6300948543616694686_signature_28.png</t>
  </si>
  <si>
    <t>https://www.jotform.com/uploads/macarewecare/222927978372067/6300948543616694686/6300948543616694686_signature_31.png</t>
  </si>
  <si>
    <t>University of Perpetual Help Dalta Medical Center</t>
  </si>
  <si>
    <t>Alabang-Zapote Road, Las Piñas</t>
  </si>
  <si>
    <t xml:space="preserve">ASSAY: Xpert BCR-ABL Ultra, COUNT: 4
ASSAY: Xpert CT/NG, COUNT: 7
ASSAY: Xpert HBV VL, COUNT: 25
ASSAY: Xpert HPV, COUNT: 26
ASSAY: Xpert MTB/RIF Ultra, COUNT: 242
ASSAY: Xpert HCV VL, COUNT: 4
ASSAY: Xpert HIV-1 Viral Load, COUNT: 2
</t>
  </si>
  <si>
    <t>4 Modules for Replacement.</t>
  </si>
  <si>
    <t>https://www.jotform.com/uploads/macarewecare/222927978372067/6300948213612482822/6300948213612482822_signature_28.png</t>
  </si>
  <si>
    <t>Marissa Machado</t>
  </si>
  <si>
    <t>https://www.jotform.com/uploads/macarewecare/222927978372067/6300948213612482822/6300948213612482822_signature_31.png</t>
  </si>
  <si>
    <t xml:space="preserve">ASSAY: Xpert BCR-ABL Ultra, COUNT: 10
ASSAY: Xpert CT/NG, COUNT: 41
ASSAY: Others, COUNT: 91
ASSAY: Xpert HBV VL, COUNT: 171
ASSAY: Xpert HPV, COUNT: 208
ASSAY: Xpert MTB/RIF Ultra, COUNT: 1142
ASSAY: Xpert HIV-1 Viral Load, COUNT: 143
</t>
  </si>
  <si>
    <t>Cleaned Cartridge Bay, Plunger Rod and Icore Optics.
Checked Filter if Clogged.
Performed XpertCheck.
Performed Self-test.
Checked System's Functionality.
Generate Reports.</t>
  </si>
  <si>
    <t>XpertCheck Result:
B1 - Pass
B2 - Pass
B3 - Pass
B4 - Pass</t>
  </si>
  <si>
    <t>S.I. # 100650</t>
  </si>
  <si>
    <t>https://www.jotform.com/uploads/macarewecare/222927978372067/6300948023619336932/6300948023619336932_signature_28.png</t>
  </si>
  <si>
    <t>https://www.jotform.com/uploads/macarewecare/222927978372067/6300948023619336932/6300948023619336932_signature_31.png</t>
  </si>
  <si>
    <t xml:space="preserve">ASSAY: Xpert HBV VL, COUNT: 2
ASSAY: Xpert HPV, COUNT: 8
ASSAY: Xpert HCV VL, COUNT: 4
ASSAY: Xpert HIV-1 Viral Load, COUNT: 126
</t>
  </si>
  <si>
    <t>Unit is due for Maintenance.
Relocate GeneXpert System.</t>
  </si>
  <si>
    <t>Transfer and Install GX System.
Cleaned Cartridge Bay, Plunger Rod and Icore Optics.
Checked Fikter if Clogged.
Performed Self-test.
Generate Reports.</t>
  </si>
  <si>
    <t>4 Modules are Operational.
Relocate from Social Hygiene Clinic to Laboratory.</t>
  </si>
  <si>
    <t>https://www.jotform.com/uploads/macarewecare/222927978372067/6300946883617271326/6300946883617271326_signature_28.png</t>
  </si>
  <si>
    <t>https://www.jotform.com/uploads/macarewecare/222927978372067/6300946883617271326/6300946883617271326_signature_31.png</t>
  </si>
  <si>
    <t>Fluid Detected Error.</t>
  </si>
  <si>
    <t>Troubleshoot and Cleaning.</t>
  </si>
  <si>
    <t>Cleaned Centrifuge and Spill Detector Sensor.
Cleaned Surface Area and Pump Rotors.
Checked A/D and Calibration Value.</t>
  </si>
  <si>
    <t>Unit is not Operational.
Recommendation for Replacement of Centrifuge Assembly.</t>
  </si>
  <si>
    <t>https://www.jotform.com/uploads/macarewecare/222927978372067/6300946883618047768/6300946883618047768_signature_28.png</t>
  </si>
  <si>
    <t>https://www.jotform.com/uploads/macarewecare/222927978372067/6300946883618047768/6300946883618047768_signature_31.png</t>
  </si>
  <si>
    <t>Cleaned Rollers, Centrifuge and Surface Area.
Checked A/D and Diagnostic Values.
Performed Simulation Test.</t>
  </si>
  <si>
    <t>https://www.jotform.com/uploads/macarewecare/222927978372067/6300946883618764072/6300946883618764072_signature_28.png</t>
  </si>
  <si>
    <t>https://www.jotform.com/uploads/macarewecare/222927978372067/6300946883618764072/6300946883618764072_signature_31.png</t>
  </si>
  <si>
    <t>Blood donation</t>
  </si>
  <si>
    <t>bloodbankeamc@gmail.com</t>
  </si>
  <si>
    <t>Cleaned unit
Checked program parameters
Checked and adjust line sensor value
Checked rollers,dpm,spm,centrifuge,weigher
Performed functionality test
Test run</t>
  </si>
  <si>
    <t>https://www.jotform.com/uploads/macarewecare/222927978372067/6300900783613422460/6300900783613422460_signature_28.png</t>
  </si>
  <si>
    <t>https://www.jotform.com/uploads/macarewecare/222927978372067/6300900783613422460/6300900783613422460_signature_31.png</t>
  </si>
  <si>
    <t>Due for maintenance
Last xpertcheck feb 7,2024</t>
  </si>
  <si>
    <t>Operational
Unit need to performed xpertcheck</t>
  </si>
  <si>
    <t>https://www.jotform.com/uploads/macarewecare/222927978372067/6300900423612768286/6300900423612768286_signature_28.png</t>
  </si>
  <si>
    <t>https://www.jotform.com/uploads/macarewecare/222927978372067/6300900423612768286/6300900423612768286_signature_31.png</t>
  </si>
  <si>
    <t xml:space="preserve">ASSAY: Xpert CT/NG, COUNT: 1176
ASSAY: Xpert HPV, COUNT: 108
ASSAY: Xpert SARS-CoV-2, COUNT: 705
ASSAY: Xpert HIV-1 Viral Load, COUNT: 10
ASSAY: Xpert SARS-CoV-2, COUNT: 488
</t>
  </si>
  <si>
    <t>Due for maintenance
B3 disabled encounter intermittent error 5007</t>
  </si>
  <si>
    <t>B3 for observation 
Enable B3 module 
B1,B2,B4 operational</t>
  </si>
  <si>
    <t>https://www.jotform.com/uploads/macarewecare/222927978372067/6300900063619164959/6300900063619164959_signature_28.png</t>
  </si>
  <si>
    <t>EAMC Molecular Lab</t>
  </si>
  <si>
    <t>https://www.jotform.com/uploads/macarewecare/222927978372067/6300900063619164959/6300900063619164959_signature_31.png</t>
  </si>
  <si>
    <t>https://www.jotform.com/uploads/macarewecare/222927978372067/6300795873619511955/6300795873619511955_signature_28.png</t>
  </si>
  <si>
    <t>https://www.jotform.com/uploads/macarewecare/222927978372067/6300795873619511955/6300795873619511955_signature_31.png</t>
  </si>
  <si>
    <t>https://www.jotform.com/uploads/macarewecare/222927978372067/6300794853613593797/6300794853613593797_signature_28.png</t>
  </si>
  <si>
    <t>https://www.jotform.com/uploads/macarewecare/222927978372067/6300794853613593797/6300794853613593797_signature_31.png</t>
  </si>
  <si>
    <t>Unit is Partially Operational 
UPS for Reporting</t>
  </si>
  <si>
    <t>https://www.jotform.com/uploads/macarewecare/222927978372067/6300792773611813514/6300792773611813514_signature_28.png</t>
  </si>
  <si>
    <t>https://www.jotform.com/uploads/macarewecare/222927978372067/6300792773611813514/6300792773611813514_signature_31.png</t>
  </si>
  <si>
    <t>Unit is fully operational</t>
  </si>
  <si>
    <t>https://www.jotform.com/uploads/macarewecare/222927978372067/6300791433615955251/6300791433615955251_signature_28.png</t>
  </si>
  <si>
    <t>https://www.jotform.com/uploads/macarewecare/222927978372067/6300791433615955251/6300791433615955251_signature_31.png</t>
  </si>
  <si>
    <t>Unit is Partially Operational 
Pending Module 1 Replacement</t>
  </si>
  <si>
    <t>https://www.jotform.com/uploads/macarewecare/222927978372067/6300789153613466768/6300789153613466768_signature_28.png</t>
  </si>
  <si>
    <t>https://www.jotform.com/uploads/macarewecare/222927978372067/6300789153613466768/6300789153613466768_signature_31.png</t>
  </si>
  <si>
    <t>Velasco St., Zone 1, Libon</t>
  </si>
  <si>
    <t>zh.surge@gmail.com</t>
  </si>
  <si>
    <t xml:space="preserve">ASSAY: Xpert MTB/RIF Ultra, COUNT: 835
</t>
  </si>
  <si>
    <t>Cleaned cartridge bays,  plunger rod, icore 
Generate Data</t>
  </si>
  <si>
    <t>https://www.jotform.com/uploads/macarewecare/222927978372067/6300038353529816564/6300038353529816564_signature_28.png</t>
  </si>
  <si>
    <t>Cedric Ravago</t>
  </si>
  <si>
    <t>https://www.jotform.com/uploads/macarewecare/222927978372067/6300038353529816564/6300038353529816564_signature_31.png</t>
  </si>
  <si>
    <t>Modules failed XpertCheck and need replacement</t>
  </si>
  <si>
    <t>Replaced defective modules (210122077 &gt; 210075235, 210121937 &gt; 210024944 )</t>
  </si>
  <si>
    <t>Genexpert 10-color module (x2)</t>
  </si>
  <si>
    <t>DR# 13201</t>
  </si>
  <si>
    <t>https://www.jotform.com/uploads/macarewecare/222927978372067/6298426385428421395/6298426385428421395_signature_28.png</t>
  </si>
  <si>
    <t>Amy allayban</t>
  </si>
  <si>
    <t>https://www.jotform.com/uploads/macarewecare/222927978372067/6298426385428421395/6298426385428421395_signature_31.png</t>
  </si>
  <si>
    <t>zarabellehilario@yahoo.com</t>
  </si>
  <si>
    <t>Noisy vibration when centrifuge is spinning</t>
  </si>
  <si>
    <t>Checked centrifuge alignment
Checked all screw connected ing centrifuge
Aligned centrifuge
Checked centrifuge balance</t>
  </si>
  <si>
    <t>https://www.jotform.com/uploads/macarewecare/222927978372067/6298306126474841449/6298306126474841449_signature_28.png</t>
  </si>
  <si>
    <t>Zarabelle Hilario</t>
  </si>
  <si>
    <t>https://www.jotform.com/uploads/macarewecare/222927978372067/6298306126474841449/6298306126474841449_signature_31.png</t>
  </si>
  <si>
    <t>Stem Cell</t>
  </si>
  <si>
    <t>lcp.mdctl2024@gmail.com</t>
  </si>
  <si>
    <t>Plasmair</t>
  </si>
  <si>
    <t>2006-T 1188</t>
  </si>
  <si>
    <t>Cleaned unit 
Cleaned filter remove dust 
Checked terminal and connection
Checked condition of filters
Performed functionality test
Test run unit</t>
  </si>
  <si>
    <t>Performed maintenance
Dirty Pre filter</t>
  </si>
  <si>
    <t>https://www.jotform.com/uploads/macarewecare/222927978372067/6298305446473204509/6298305446473204509_signature_28.png</t>
  </si>
  <si>
    <t>Jennifer Panuelos</t>
  </si>
  <si>
    <t>https://www.jotform.com/uploads/macarewecare/222927978372067/6298305446473204509/6298305446473204509_signature_31.png</t>
  </si>
  <si>
    <t>Due formaintenance
Rollers slight yellowish color</t>
  </si>
  <si>
    <t>Unit operational
For replacement of urethane rollers</t>
  </si>
  <si>
    <t>https://www.jotform.com/uploads/macarewecare/222927978372067/6298304866474746571/6298304866474746571_signature_28.png</t>
  </si>
  <si>
    <t>https://www.jotform.com/uploads/macarewecare/222927978372067/6298304866474746571/6298304866474746571_signature_31.png</t>
  </si>
  <si>
    <t xml:space="preserve">ASSAY: Xpert MTB/RIF Ultra, COUNT: 2003
</t>
  </si>
  <si>
    <t>https://www.jotform.com/uploads/macarewecare/222927978372067/6298295728445159367/6298295728445159367_signature_28.png</t>
  </si>
  <si>
    <t>Nadine Gemma Eustaquio, RMT</t>
  </si>
  <si>
    <t>https://www.jotform.com/uploads/macarewecare/222927978372067/6298295728445159367/6298295728445159367_signature_31.png</t>
  </si>
  <si>
    <t>Poblacion Balamban</t>
  </si>
  <si>
    <t>balambanrhu45@gmail.com</t>
  </si>
  <si>
    <t>Due for monthly maintenance.</t>
  </si>
  <si>
    <t>Save installation qualification reports. 
Save System log reports. 
Save GXX file</t>
  </si>
  <si>
    <t>Plunger rod maintenance. 
Modules cleaning.</t>
  </si>
  <si>
    <t>All modules are functional.</t>
  </si>
  <si>
    <t>https://www.jotform.com/uploads/macarewecare/222927978372067/6298228127424196960/6298228127424196960_signature_28.png</t>
  </si>
  <si>
    <t>Loraine Mae D. Tagpuno</t>
  </si>
  <si>
    <t>https://www.jotform.com/uploads/macarewecare/222927978372067/6298228127424196960/6298228127424196960_signature_31.png</t>
  </si>
  <si>
    <t>Kapatagan Rural Health Unit</t>
  </si>
  <si>
    <t>Kapatagan, Lanao del Norte</t>
  </si>
  <si>
    <t>aganub2005@yahoo.com</t>
  </si>
  <si>
    <t xml:space="preserve">ASSAY: Xpert MTB/RIF Ultra, COUNT: 450
</t>
  </si>
  <si>
    <t>https://www.jotform.com/uploads/macarewecare/222927978372067/6297598111654500936/6297598111654500936_signature_28.png</t>
  </si>
  <si>
    <t>Angelita Paradero</t>
  </si>
  <si>
    <t>https://www.jotform.com/uploads/macarewecare/222927978372067/6297598111654500936/6297598111654500936_signature_31.png</t>
  </si>
  <si>
    <t xml:space="preserve">ASSAY: Xpert MTB/RIF Ultra, COUNT: 1883
</t>
  </si>
  <si>
    <t>Cleaned cartridge bays, plunger rod
Generate Data</t>
  </si>
  <si>
    <t>https://www.jotform.com/uploads/macarewecare/222927978372067/6297581373235538209/6297581373235538209_signature_28.png</t>
  </si>
  <si>
    <t>https://www.jotform.com/uploads/macarewecare/222927978372067/6297581373235538209/6297581373235538209_signature_31.png</t>
  </si>
  <si>
    <t>Lala Rural Health Unit</t>
  </si>
  <si>
    <t>Lala, Lanao del Norte</t>
  </si>
  <si>
    <t>villagonzalojoyv@gmail.com</t>
  </si>
  <si>
    <t xml:space="preserve">ASSAY: Xpert MTB/RIF Ultra, COUNT: 815
</t>
  </si>
  <si>
    <t>https://www.jotform.com/uploads/macarewecare/222927978372067/6297572537118490907/6297572537118490907_signature_28.png</t>
  </si>
  <si>
    <t>Maria Glenda Villagonzalo</t>
  </si>
  <si>
    <t>https://www.jotform.com/uploads/macarewecare/222927978372067/6297572537118490907/6297572537118490907_signature_31.png</t>
  </si>
  <si>
    <t xml:space="preserve">ASSAY: Xpert MTB/RIF Ultra, COUNT: 1092
</t>
  </si>
  <si>
    <t>https://www.jotform.com/uploads/macarewecare/222927978372067/6297502349448679650/6297502349448679650_signature_28.png</t>
  </si>
  <si>
    <t>https://www.jotform.com/uploads/macarewecare/222927978372067/6297502349448679650/6297502349448679650_signature_31.png</t>
  </si>
  <si>
    <t>Kauswagan Rural Health Unit</t>
  </si>
  <si>
    <t>Kauswagan, Lanao del Norte</t>
  </si>
  <si>
    <t>dextertinoy@gmail.com</t>
  </si>
  <si>
    <t xml:space="preserve">ASSAY: Xpert MTB/RIF Ultra, COUNT: 317
</t>
  </si>
  <si>
    <t>CPU CMOS battery failing</t>
  </si>
  <si>
    <t>https://www.jotform.com/uploads/macarewecare/222927978372067/6297476905231978090/6297476905231978090_signature_28.png</t>
  </si>
  <si>
    <t>Dexter Tinoy</t>
  </si>
  <si>
    <t>https://www.jotform.com/uploads/macarewecare/222927978372067/6297476905231978090/6297476905231978090_signature_31.png</t>
  </si>
  <si>
    <t>Unit is Operational 
(Module B3 disabled)</t>
  </si>
  <si>
    <t>https://www.jotform.com/uploads/macarewecare/222927978372067/6297396180123239262/6297396180123239262_signature_28.png</t>
  </si>
  <si>
    <t>Dale Penalosa</t>
  </si>
  <si>
    <t>https://www.jotform.com/uploads/macarewecare/222927978372067/6297396180123239262/6297396180123239262_signature_31.png</t>
  </si>
  <si>
    <t>E.rodriguez QC</t>
  </si>
  <si>
    <t>arellanojohneric09@gmail.com</t>
  </si>
  <si>
    <t>Encounter fluid detection
Spillage dry dirt bottom of centrifuge</t>
  </si>
  <si>
    <t>Checked unit 
Dismantle centrifuge
Cleaned centrifuge 
Checked program parameters
Performed functionality test
Performed simulation running</t>
  </si>
  <si>
    <t>https://www.jotform.com/uploads/macarewecare/222927978372067/6297389470116869343/6297389470116869343_signature_28.png</t>
  </si>
  <si>
    <t>John Eric L. Arellano</t>
  </si>
  <si>
    <t>https://www.jotform.com/uploads/macarewecare/222927978372067/6297389470116869343/6297389470116869343_signature_31.png</t>
  </si>
  <si>
    <t>Labuan General hospital</t>
  </si>
  <si>
    <t>Labuan Zamboanga city</t>
  </si>
  <si>
    <t>irenecasee@gmail.com</t>
  </si>
  <si>
    <t xml:space="preserve">ASSAY: Xpert MTB/RIF Ultra, COUNT: 2849
</t>
  </si>
  <si>
    <t>All modules modules are available and ready to use</t>
  </si>
  <si>
    <t>https://www.jotform.com/uploads/macarewecare/222927978372067/6297388836467431051/6297388836467431051_signature_28.png</t>
  </si>
  <si>
    <t>Irene Casepe</t>
  </si>
  <si>
    <t>https://www.jotform.com/uploads/macarewecare/222927978372067/6297388836467431051/6297388836467431051_signature_31.png</t>
  </si>
  <si>
    <t>St Lukes Medical Center QC</t>
  </si>
  <si>
    <t xml:space="preserve">ASSAY: Xpert CT/NG, COUNT: 3
ASSAY: Xpert HBV VL, COUNT: 424
ASSAY: Xpert HPV, COUNT: 419
ASSAY: Xpert MTB/RIF Ultra, COUNT: 240
ASSAY: Xpert HCV VL, COUNT: 33
ASSAY: Xpert HIV-1 Viral Load, COUNT: 235
</t>
  </si>
  <si>
    <t>For maintenance
UPS unable to store supply defective battery</t>
  </si>
  <si>
    <t>C1,C2,C3 operational
C4 disabled due to error 5007
For replacement of ups battery</t>
  </si>
  <si>
    <t>https://www.jotform.com/uploads/macarewecare/222927978372067/6297388790115827611/6297388790115827611_signature_28.png</t>
  </si>
  <si>
    <t>NICOLE JOYCE U. TY</t>
  </si>
  <si>
    <t>https://www.jotform.com/uploads/macarewecare/222927978372067/6297388790115827611/6297388790115827611_signature_31.png</t>
  </si>
  <si>
    <t xml:space="preserve">ASSAY: Xpert CT/NG, COUNT: 198
ASSAY: Xpert MTB/RIF Ultra, COUNT: 2582
</t>
  </si>
  <si>
    <t>For maintenance
B3 march 6,2023 and B4 march 14,2023 disabled due to failed xpertcheck last</t>
  </si>
  <si>
    <t>B1 and B2 in use 
B3,B4 disabled failed in xpertcheck</t>
  </si>
  <si>
    <t>https://www.jotform.com/uploads/macarewecare/222927978372067/6297388240112602319/6297388240112602319_signature_28.png</t>
  </si>
  <si>
    <t>https://www.jotform.com/uploads/macarewecare/222927978372067/6297388240112602319/6297388240112602319_signature_31.png</t>
  </si>
  <si>
    <t>Maluso Rural Health Unit</t>
  </si>
  <si>
    <t>Maluso Basilan</t>
  </si>
  <si>
    <t>Module 1 h/w failed.</t>
  </si>
  <si>
    <t>Module 1 undergo troubleshooting by running some sample and provide data for the error. Preventive Maintenence and data collection.</t>
  </si>
  <si>
    <t>Module 1 gave a proper result after running a sample test.</t>
  </si>
  <si>
    <t>Advised to lower the room temperature more if possible. Average module temperatures are slightly higher that the required running temperature.</t>
  </si>
  <si>
    <t>https://www.jotform.com/uploads/macarewecare/222927978372067/6297387596463661651/6297387596463661651_signature_28.png</t>
  </si>
  <si>
    <t>Sharmina A. Hussin</t>
  </si>
  <si>
    <t>https://www.jotform.com/uploads/macarewecare/222927978372067/6297387596463661651/6297387596463661651_signature_31.png</t>
  </si>
  <si>
    <t>Hinaplanon Health Center</t>
  </si>
  <si>
    <t>Iligan City, Lanao del Norte</t>
  </si>
  <si>
    <t>villacortaamy50@gmail.com</t>
  </si>
  <si>
    <t xml:space="preserve">ASSAY: Xpert MTB/RIF Ultra, COUNT: 822
</t>
  </si>
  <si>
    <t>Module B2 H/W failure</t>
  </si>
  <si>
    <t>Module B2 H/W fail for reporting. Machine is functional.</t>
  </si>
  <si>
    <t>https://www.jotform.com/uploads/macarewecare/222927978372067/6296691087479097231/6296691087479097231_signature_28.png</t>
  </si>
  <si>
    <t>Amy Villacorta</t>
  </si>
  <si>
    <t>https://www.jotform.com/uploads/macarewecare/222927978372067/6296691087479097231/6296691087479097231_signature_31.png</t>
  </si>
  <si>
    <t>Camus St., Poblacion, Davao City</t>
  </si>
  <si>
    <t xml:space="preserve">ASSAY: Xpert MTB/RIF Ultra, COUNT: 984
</t>
  </si>
  <si>
    <t>Clean Surface Area, Cartridge Bay, Plunger Rod, Fan Filters, and Icore Lenses
Generate IQR, Assay Stat and System Log</t>
  </si>
  <si>
    <t>https://www.jotform.com/uploads/macarewecare/222927978372067/6296670899446837888/6296670899446837888_signature_28.png</t>
  </si>
  <si>
    <t>https://www.jotform.com/uploads/macarewecare/222927978372067/6296670899446837888/6296670899446837888_signature_31.png</t>
  </si>
  <si>
    <t>Lugait Rural Health Unit</t>
  </si>
  <si>
    <t>Lugait, Misamis Oriental</t>
  </si>
  <si>
    <t>lugaitmaternity@gmail.com</t>
  </si>
  <si>
    <t>CPU not turning on</t>
  </si>
  <si>
    <t>https://www.jotform.com/uploads/macarewecare/222927978372067/6296645929159785607/6296645929159785607_signature_28.png</t>
  </si>
  <si>
    <t>ZOE PHIL CAGAS, RMT</t>
  </si>
  <si>
    <t>https://www.jotform.com/uploads/macarewecare/222927978372067/6296645929159785607/6296645929159785607_signature_31.png</t>
  </si>
  <si>
    <t>Tubungan Rural Health Unit</t>
  </si>
  <si>
    <t>Stucked-up carthridge module 1 and 3</t>
  </si>
  <si>
    <t>Removing stucked-up carthridge
Clean Fan Filter
IQR, System log data gathering</t>
  </si>
  <si>
    <t>https://www.jotform.com/uploads/macarewecare/222927978372067/6296526560418094332/6296526560418094332_signature_28.png</t>
  </si>
  <si>
    <t>https://www.jotform.com/uploads/macarewecare/222927978372067/6296526560418094332/6296526560418094332_signature_31.png</t>
  </si>
  <si>
    <t>Rosario Superhealth Center</t>
  </si>
  <si>
    <t>Dr. Sixto Antonio Avenue, Rosario, Pasig City</t>
  </si>
  <si>
    <t xml:space="preserve">ASSAY: Xpert MTB/RIF Ultra, COUNT: 1334
</t>
  </si>
  <si>
    <t>Performed maintenance 
Cleaned:
-cartridge bay 
-plunger rod 
-icore
-filter
Generated reports</t>
  </si>
  <si>
    <t>https://www.jotform.com/uploads/macarewecare/222927978372067/6296453253612445355/6296453253612445355_signature_28.png</t>
  </si>
  <si>
    <t>https://www.jotform.com/uploads/macarewecare/222927978372067/6296453253612445355/6296453253612445355_signature_31.png</t>
  </si>
  <si>
    <t xml:space="preserve">ASSAY: Xpert MTB/RIF Ultra, COUNT: 1578
</t>
  </si>
  <si>
    <t>Performed maintenance 
Cleaned:
-cartridge bay 
-plunger rod 
-icore 
-filter
Generated reports</t>
  </si>
  <si>
    <t>https://www.jotform.com/uploads/macarewecare/222927978372067/6296453253612661399/6296453253612661399_signature_28.png</t>
  </si>
  <si>
    <t>https://www.jotform.com/uploads/macarewecare/222927978372067/6296453253612661399/6296453253612661399_signature_31.png</t>
  </si>
  <si>
    <t>lalaine.ilagan@redcross.org.ph</t>
  </si>
  <si>
    <t>For installation of photo-optic assembly.</t>
  </si>
  <si>
    <t>Repair</t>
  </si>
  <si>
    <t>Performed installation of photo-optic assembly.
Adjusted bowl optics fullscale value.
Performed simulation running.</t>
  </si>
  <si>
    <t>Unit is now operational and ready to use.</t>
  </si>
  <si>
    <t>Photo-optic assembly</t>
  </si>
  <si>
    <t>DR#13210</t>
  </si>
  <si>
    <t>https://www.jotform.com/uploads/macarewecare/222927978372067/6295898152121207373/6295898152121207373_signature_28.png</t>
  </si>
  <si>
    <t>Lalaine Ilagan</t>
  </si>
  <si>
    <t>https://www.jotform.com/uploads/macarewecare/222927978372067/6295898152121207373/6295898152121207373_signature_31.png</t>
  </si>
  <si>
    <t>avega@likhaan.org</t>
  </si>
  <si>
    <t>Unit is operational
B1: Failed
B2: Pass</t>
  </si>
  <si>
    <t>https://www.jotform.com/uploads/macarewecare/222927978372067/6295796846317092607/6295796846317092607_signature_28.png</t>
  </si>
  <si>
    <t>Arnold Vega</t>
  </si>
  <si>
    <t>https://www.jotform.com/uploads/macarewecare/222927978372067/6295796846317092607/6295796846317092607_signature_31.png</t>
  </si>
  <si>
    <t>Anahawan District Hospital</t>
  </si>
  <si>
    <t>Anahawan Southern Leyte</t>
  </si>
  <si>
    <t>claritomirasol@gmail.com</t>
  </si>
  <si>
    <t xml:space="preserve">ASSAY: Xpert MTB/RIF Ultra, COUNT: 501
</t>
  </si>
  <si>
    <t>https://www.jotform.com/uploads/macarewecare/222927978372067/6295737116018932796/6295737116018932796_signature_28.png</t>
  </si>
  <si>
    <t>mirasol Clarito</t>
  </si>
  <si>
    <t>https://www.jotform.com/uploads/macarewecare/222927978372067/6295737116018932796/6295737116018932796_signature_31.png</t>
  </si>
  <si>
    <t>Laguindingan, Misamis Oriental</t>
  </si>
  <si>
    <t>https://www.jotform.com/uploads/macarewecare/222927978372067/6295712269646249940/6295712269646249940_signature_28.png</t>
  </si>
  <si>
    <t>https://www.jotform.com/uploads/macarewecare/222927978372067/6295712269646249940/6295712269646249940_signature_31.png</t>
  </si>
  <si>
    <t>Corazon Locsin Montelibano Memorial Regional Hospital</t>
  </si>
  <si>
    <t>Lacson St., Bacolod City</t>
  </si>
  <si>
    <t>MOLECULAR LAB</t>
  </si>
  <si>
    <t>mollab@clmmrh.doh.gov.ph</t>
  </si>
  <si>
    <t xml:space="preserve">ASSAY: Xpert HCV VL, COUNT: 6
ASSAY: Xpert HBV VL, COUNT: 82
ASSAY: Xpert HIV-1 Viral Load, COUNT: 1717
</t>
  </si>
  <si>
    <t>https://www.jotform.com/uploads/macarewecare/222927978372067/6294811677119266839/6294811677119266839_signature_28.png</t>
  </si>
  <si>
    <t>Alain Juayang, RMT</t>
  </si>
  <si>
    <t>https://www.jotform.com/uploads/macarewecare/222927978372067/6294811677119266839/6294811677119266839_signature_31.png</t>
  </si>
  <si>
    <t>MMC (Medilinx)</t>
  </si>
  <si>
    <t xml:space="preserve">ASSAY: Xpert BCR-ABL Ultra, COUNT: 115
ASSAY: Xpert C. difficile BT, COUNT: 1
ASSAY: Xpert CT/NG, COUNT: 294
ASSAY: Xpert HBV VL, COUNT: 62
ASSAY: Xpert HPV, COUNT: 150
ASSAY: Xpert MTB/RIF Ultra, COUNT: 1251
ASSAY: Others, COUNT: 8
ASSAY: Xpert HCV VL, COUNT: 76
ASSAY: Xpert HIV-1 Viral Load, COUNT: 731
</t>
  </si>
  <si>
    <t>GX16D (10C)</t>
  </si>
  <si>
    <t>For relocation
End user encounter leakage of water in laboratory ceiling and the machine accidentally got wet</t>
  </si>
  <si>
    <t>Performed relocation
Cleaned interior and exterior of the machine
Test run unit</t>
  </si>
  <si>
    <t>https://www.jotform.com/uploads/macarewecare/222927978372067/6294733043612286588/6294733043612286588_signature_28.png</t>
  </si>
  <si>
    <t>https://www.jotform.com/uploads/macarewecare/222927978372067/6294733043612286588/6294733043612286588_signature_31.png</t>
  </si>
  <si>
    <t xml:space="preserve">ASSAY: Xpert BCR-ABL Ultra, COUNT: 184
ASSAY: Xpert CT/NG, COUNT: 680
ASSAY: Xpert HBV VL, COUNT: 63
ASSAY: Xpert HPV, COUNT: 948
ASSAY: Xpert MTB/RIF Ultra, COUNT: 2414
ASSAY: Xpert MTB-XDR, COUNT: 8
ASSAY: Xpert HCV VL, COUNT: 44
ASSAY: Xpert HIV-1 Viral Load, COUNT: 313
</t>
  </si>
  <si>
    <t>https://www.jotform.com/uploads/macarewecare/222927978372067/6293003448438162700/6293003448438162700_signature_28.png</t>
  </si>
  <si>
    <t>MA. MIKHAELA RAPADAS</t>
  </si>
  <si>
    <t>https://www.jotform.com/uploads/macarewecare/222927978372067/6293003448438162700/6293003448438162700_signature_31.png</t>
  </si>
  <si>
    <t xml:space="preserve">ASSAY: Xpert BCR-ABL Ultra, COUNT: 41
ASSAY: Xpert CT/NG, COUNT: 154
ASSAY: Xpert HBV VL, COUNT: 5
ASSAY: Xpert HPV, COUNT: 232
ASSAY: Xpert MTB/RIF Ultra, COUNT: 479
ASSAY: Xpert HCV VL, COUNT: 4
ASSAY: Xpert HIV-1 Viral Load, COUNT: 130
</t>
  </si>
  <si>
    <t>GX-IV-D</t>
  </si>
  <si>
    <t>Replaced module A3
Performed maintenance 
Generated reports</t>
  </si>
  <si>
    <t>Old: A3/866793
New: A3/210058796</t>
  </si>
  <si>
    <t>SI# 100657</t>
  </si>
  <si>
    <t>https://www.jotform.com/uploads/macarewecare/222927978372067/6293003128437209010/6293003128437209010_signature_28.png</t>
  </si>
  <si>
    <t>https://www.jotform.com/uploads/macarewecare/222927978372067/6293003128437209010/6293003128437209010_signature_31.png</t>
  </si>
  <si>
    <t>https://www.jotform.com/uploads/macarewecare/222927978372067/6293002898436856075/6293002898436856075_signature_28.png</t>
  </si>
  <si>
    <t>https://www.jotform.com/uploads/macarewecare/222927978372067/6293002898436856075/6293002898436856075_signature_31.png</t>
  </si>
  <si>
    <t>https://www.jotform.com/uploads/macarewecare/222927978372067/6293002898437623709/6293002898437623709_signature_28.png</t>
  </si>
  <si>
    <t>https://www.jotform.com/uploads/macarewecare/222927978372067/6293002898437623709/6293002898437623709_signature_31.png</t>
  </si>
  <si>
    <t>Unit is Partially Operational 
Module B3 for Reporting</t>
  </si>
  <si>
    <t>https://www.jotform.com/uploads/macarewecare/222927978372067/6292397323296422591/6292397323296422591_signature_28.png</t>
  </si>
  <si>
    <t>https://www.jotform.com/uploads/macarewecare/222927978372067/6292397323296422591/6292397323296422591_signature_31.png</t>
  </si>
  <si>
    <t>Baguio General Hospital and Medical Center</t>
  </si>
  <si>
    <t>molecularlab@bghmc.doh.gov.ph</t>
  </si>
  <si>
    <t>https://www.jotform.com/uploads/macarewecare/222927978372067/6292396309874239149/6292396309874239149_signature_28.png</t>
  </si>
  <si>
    <t>SYXERLYNE DANG-AY</t>
  </si>
  <si>
    <t>https://www.jotform.com/uploads/macarewecare/222927978372067/6292396309874239149/6292396309874239149_signature_31.png</t>
  </si>
  <si>
    <t>Q. Ave, Quezon City</t>
  </si>
  <si>
    <t>Centrifuge with Strange Noise.</t>
  </si>
  <si>
    <t>Cleaned Centrifuge.
Removed Debris from Broken Kit.
Performed Simulation Run.</t>
  </si>
  <si>
    <t>Unit is Operational.
Centrifuge is Okay.</t>
  </si>
  <si>
    <t>https://www.jotform.com/uploads/macarewecare/222927978372067/6291541693617048064/6291541693617048064_signature_28.png</t>
  </si>
  <si>
    <t>REYCART PAUL ANDOLOY</t>
  </si>
  <si>
    <t>https://www.jotform.com/uploads/macarewecare/222927978372067/6291541693617048064/6291541693617048064_signature_31.png</t>
  </si>
  <si>
    <t>For checking of MCS+.
Centrifuge not closing.
For checking of bowl optics value.</t>
  </si>
  <si>
    <t>Troubleshooting and repair.</t>
  </si>
  <si>
    <t>Performed troubleshooting and repair.
Adjusted centrifuge sensor on desired height.
Performed simulation running.
Adjusted low and hi on photo-optics assembly for offset and fullscale.</t>
  </si>
  <si>
    <t>Unable to adjust photo-optics assembly. For replacement of photo-optics assembly.</t>
  </si>
  <si>
    <t>https://www.jotform.com/uploads/macarewecare/222927978372067/6291506882122931882/6291506882122931882_signature_28.png</t>
  </si>
  <si>
    <t>https://www.jotform.com/uploads/macarewecare/222927978372067/6291506882122931882/6291506882122931882_signature_31.png</t>
  </si>
  <si>
    <t>Mini Forest Health Center (District C)</t>
  </si>
  <si>
    <t>https://www.jotform.com/uploads/macarewecare/222927978372067/6291496276211941906/6291496276211941906_signature_28.png</t>
  </si>
  <si>
    <t>Lolijell O. Torralba,. RMT</t>
  </si>
  <si>
    <t>https://www.jotform.com/uploads/macarewecare/222927978372067/6291496276211941906/6291496276211941906_signature_31.png</t>
  </si>
  <si>
    <t xml:space="preserve">ASSAY: Xpert MTB/RIF Ultra, COUNT: 1202
</t>
  </si>
  <si>
    <t>Perform Genexpert Cleaning and maintenance 
Module cleaning 
Plunger rod and Optics cleaning 
Fan filter cleaning 
Checking of module status and problem 
Data collection</t>
  </si>
  <si>
    <t>https://www.jotform.com/uploads/macarewecare/222927978372067/6291455316865137042/6291455316865137042_signature_28.png</t>
  </si>
  <si>
    <t>Reziel D.  Sabido</t>
  </si>
  <si>
    <t>https://www.jotform.com/uploads/macarewecare/222927978372067/6291455316865137042/6291455316865137042_signature_31.png</t>
  </si>
  <si>
    <t>Poro, Cebu</t>
  </si>
  <si>
    <t xml:space="preserve">ASSAY: Xpert MTB/RIF Ultra, COUNT: 463
</t>
  </si>
  <si>
    <t>Machine is functional. Waiting for module B2 replacement</t>
  </si>
  <si>
    <t>https://www.jotform.com/uploads/macarewecare/222927978372067/6291444023024175732/6291444023024175732_signature_28.png</t>
  </si>
  <si>
    <t>Charmaine Avila</t>
  </si>
  <si>
    <t>https://www.jotform.com/uploads/macarewecare/222927978372067/6291444023024175732/6291444023024175732_signature_31.png</t>
  </si>
  <si>
    <t>Padres Burgos Southern Leyte</t>
  </si>
  <si>
    <t xml:space="preserve">ASSAY: Xpert MTB/RIF Ultra, COUNT: 399
</t>
  </si>
  <si>
    <t>https://www.jotform.com/uploads/macarewecare/222927978372067/6291412062023265584/6291412062023265584_signature_28.png</t>
  </si>
  <si>
    <t>https://www.jotform.com/uploads/macarewecare/222927978372067/6291412062023265584/6291412062023265584_signature_31.png</t>
  </si>
  <si>
    <t>Unit for calibration.
Unit for maintenance.</t>
  </si>
  <si>
    <t>Calibration and preventive maintenance.</t>
  </si>
  <si>
    <t>https://www.jotform.com/uploads/macarewecare/222927978372067/6291399632124865523/6291399632124865523_signature_28.png</t>
  </si>
  <si>
    <t>https://www.jotform.com/uploads/macarewecare/222927978372067/6291399632124865523/6291399632124865523_signature_31.png</t>
  </si>
  <si>
    <t>Unit for calibration.
Unit for preventive maintenance.</t>
  </si>
  <si>
    <t>https://www.jotform.com/uploads/macarewecare/222927978372067/6291399632126035586/6291399632126035586_signature_28.png</t>
  </si>
  <si>
    <t>https://www.jotform.com/uploads/macarewecare/222927978372067/6291399632126035586/6291399632126035586_signature_31.png</t>
  </si>
  <si>
    <t>Replaced CPU board
Calibrated unit</t>
  </si>
  <si>
    <t>MCS+ CPU Board Assembly
SN: MM061004515</t>
  </si>
  <si>
    <t>https://www.jotform.com/uploads/macarewecare/222927978372067/6291388713612433480/6291388713612433480_signature_28.png</t>
  </si>
  <si>
    <t>LYKAINE KATE BAGANO</t>
  </si>
  <si>
    <t>https://www.jotform.com/uploads/macarewecare/222927978372067/6291388713612433480/6291388713612433480_signature_31.png</t>
  </si>
  <si>
    <t>Poblacion Matanao</t>
  </si>
  <si>
    <t>For Preventive Maintenance
UPS Troubleshooting
Data CSV Gathering</t>
  </si>
  <si>
    <t>Clean Surface Area, Cartridge Bay, Plunger Rod, Fan Filters, and Icore Lenses
Generate IQR, Assay Stat and System Log
Archived Data test results
Check Line Voltage, reset cable network connection</t>
  </si>
  <si>
    <t>Perform Preventive Maintenance
UPS Troubleshooting and Data CSV Gathering</t>
  </si>
  <si>
    <t>All Modules are operational
UPS no charge during battery mode</t>
  </si>
  <si>
    <t>https://www.jotform.com/uploads/macarewecare/222927978372067/6290548190329671185/6290548190329671185_signature_28.png</t>
  </si>
  <si>
    <t>https://www.jotform.com/uploads/macarewecare/222927978372067/6290548190329671185/6290548190329671185_signature_31.png</t>
  </si>
  <si>
    <t xml:space="preserve">ASSAY: Xpert BCR-ABL Ultra, COUNT: 62
ASSAY: Xpert CT/NG, COUNT: 53
ASSAY: Xpert HBV VL, COUNT: 641
ASSAY: Xpert HPV, COUNT: 377
ASSAY: Xpert MTB/RIF Ultra, COUNT: 6488
ASSAY: Xpert MTB-XDR, COUNT: 5
ASSAY: Others, COUNT: 6
ASSAY: Others, COUNT: 1
ASSAY: Xpert HCV VL, COUNT: 177
ASSAY: Xpert HIV-1 Viral Load, COUNT: 943
ASSAY: Xpress SARS-CoV-2_Flu_RSV plus, COUNT: 1459
</t>
  </si>
  <si>
    <t>https://www.jotform.com/uploads/macarewecare/222927978372067/6290509813616829940/6290509813616829940_signature_28.png</t>
  </si>
  <si>
    <t>Kim San Sebastian</t>
  </si>
  <si>
    <t>https://www.jotform.com/uploads/macarewecare/222927978372067/6290509813616829940/6290509813616829940_signature_31.png</t>
  </si>
  <si>
    <t>SRP cebu city</t>
  </si>
  <si>
    <t>Monthly PM
Clean fan filter
Plunger rod maintenance</t>
  </si>
  <si>
    <t>https://www.jotform.com/uploads/macarewecare/222927978372067/6290461967252073797/6290461967252073797_signature_28.png</t>
  </si>
  <si>
    <t>https://www.jotform.com/uploads/macarewecare/222927978372067/6290461967252073797/6290461967252073797_signature_31.png</t>
  </si>
  <si>
    <t>Monthly Preventive Maintenance</t>
  </si>
  <si>
    <t>https://www.jotform.com/uploads/macarewecare/222927978372067/6289754526549713406/6289754526549713406_signature_28.png</t>
  </si>
  <si>
    <t>lorna abaigar</t>
  </si>
  <si>
    <t>https://www.jotform.com/uploads/macarewecare/222927978372067/6289754526549713406/6289754526549713406_signature_31.png</t>
  </si>
  <si>
    <t xml:space="preserve">ASSAY: Xpert MTB/RIF Ultra, COUNT: 1629
</t>
  </si>
  <si>
    <t>Perform Genexpert cleaning and maintenance 
Module cleaning 
Plunger rod and Optics cleaning 
Fan filter cleaning 
Checking of module status and Errors
Data collection</t>
  </si>
  <si>
    <t>https://www.jotform.com/uploads/macarewecare/222927978372067/6289103206862589038/6289103206862589038_signature_28.png</t>
  </si>
  <si>
    <t>Renee Liz Rosa</t>
  </si>
  <si>
    <t>https://www.jotform.com/uploads/macarewecare/222927978372067/6289103206862589038/6289103206862589038_signature_31.png</t>
  </si>
  <si>
    <t>Sarangani Health Care Facility</t>
  </si>
  <si>
    <t>Alabel, Sarangani Province</t>
  </si>
  <si>
    <t>ronayadao@yahoo.com</t>
  </si>
  <si>
    <t xml:space="preserve">ASSAY: Xpert MTB/RIF Ultra, COUNT: 958
ASSAY: Xpert HIV-1 Viral Load, COUNT: 32
</t>
  </si>
  <si>
    <t>Perform Genexpert machine Cleaning and maintenance 
Module cleaning 
Optics and Plunger rod cleaning 
Fan filter cleaning 
Data collection</t>
  </si>
  <si>
    <t>https://www.jotform.com/uploads/macarewecare/222927978372067/6289103206865600944/6289103206865600944_signature_28.png</t>
  </si>
  <si>
    <t>Ronora Yadao</t>
  </si>
  <si>
    <t>https://www.jotform.com/uploads/macarewecare/222927978372067/6289103206865600944/6289103206865600944_signature_31.png</t>
  </si>
  <si>
    <t>Malapatan Rural Health Unit</t>
  </si>
  <si>
    <t>Malapatan, Sarangani Province</t>
  </si>
  <si>
    <t>kamilahnichol@yahoo.com</t>
  </si>
  <si>
    <t xml:space="preserve">ASSAY: Xpert MTB/RIF Ultra, COUNT: 653
</t>
  </si>
  <si>
    <t>Perform Genexpert Cleaning and maintenance 
Module cleaning 
Plunger rod and Optics cleaning 
Fan filter cleaning 
Data collection</t>
  </si>
  <si>
    <t>https://www.jotform.com/uploads/macarewecare/222927978372067/6289103206866246260/6289103206866246260_signature_28.png</t>
  </si>
  <si>
    <t>Kamilah Nichol Chu</t>
  </si>
  <si>
    <t>https://www.jotform.com/uploads/macarewecare/222927978372067/6289103206866246260/6289103206866246260_signature_31.png</t>
  </si>
  <si>
    <t>Poblacion, Esperanza</t>
  </si>
  <si>
    <t>floramarmoncada@gmail.com</t>
  </si>
  <si>
    <t xml:space="preserve">ASSAY: Xpert MTB/RIF Ultra, COUNT: 689
</t>
  </si>
  <si>
    <t>Monitor for replacement</t>
  </si>
  <si>
    <t>Replaced Monitor(CN4552011X)
Cleaned cartridge bays, plunger 
Generate Data</t>
  </si>
  <si>
    <t>Replaced monitor</t>
  </si>
  <si>
    <t>UPS for observation. battery drained</t>
  </si>
  <si>
    <t>https://www.jotform.com/uploads/macarewecare/222927978372067/6288901102415300336/6288901102415300336_signature_28.png</t>
  </si>
  <si>
    <t>Floramar Moncada</t>
  </si>
  <si>
    <t>https://www.jotform.com/uploads/macarewecare/222927978372067/6288901102415300336/6288901102415300336_signature_31.png</t>
  </si>
  <si>
    <t xml:space="preserve">ASSAY: Xpert MTB/RIF Ultra, COUNT: 2176
</t>
  </si>
  <si>
    <t>Preventive Maintenence and Data collection.  Re-orient end user regarding xpertcheck calibration.</t>
  </si>
  <si>
    <t>Module 1 and 3 disabled due to excessive errors or 2032, 2120 and 1001 and 2120 respectively.</t>
  </si>
  <si>
    <t>Module 1 already reported to cephied directly as per enduser.</t>
  </si>
  <si>
    <t>https://www.jotform.com/uploads/macarewecare/222927978372067/6288885363018739344/6288885363018739344_signature_28.png</t>
  </si>
  <si>
    <t>https://www.jotform.com/uploads/macarewecare/222927978372067/6288885363018739344/6288885363018739344_signature_31.png</t>
  </si>
  <si>
    <t>Due for maintenance
Urethane roller need for replacement</t>
  </si>
  <si>
    <t>Cleaned unit
Checked rollers
Checked and test tube sensor
Checked and test keypad and lcd display.
Checked program parameters
Performed functionality test.</t>
  </si>
  <si>
    <t>Urethane rollers need to be replaced</t>
  </si>
  <si>
    <t>https://www.jotform.com/uploads/macarewecare/222927978372067/6288867453616434289/6288867453616434289_signature_28.png</t>
  </si>
  <si>
    <t>https://www.jotform.com/uploads/macarewecare/222927978372067/6288867453616434289/6288867453616434289_signature_31.png</t>
  </si>
  <si>
    <t>Due for maintenance
Urethane rollers need for replacement</t>
  </si>
  <si>
    <t>Urethane roller need to replace</t>
  </si>
  <si>
    <t>https://www.jotform.com/uploads/macarewecare/222927978372067/6288867023614566187/6288867023614566187_signature_28.png</t>
  </si>
  <si>
    <t>https://www.jotform.com/uploads/macarewecare/222927978372067/6288867023614566187/6288867023614566187_signature_31.png</t>
  </si>
  <si>
    <t>cduhlabresults2@yahoo.com</t>
  </si>
  <si>
    <t xml:space="preserve">ASSAY: Xpert MTB/RIF Ultra, COUNT: 1104
</t>
  </si>
  <si>
    <t>Module 3 defective Serial Number: 210019546</t>
  </si>
  <si>
    <t>Replacement of New Module SR : 220038034
Generate IQR, Sys Log, Assay Statistics, Gxx files</t>
  </si>
  <si>
    <t>https://www.jotform.com/uploads/macarewecare/222927978372067/6288809073447104096/6288809073447104096_signature_28.png</t>
  </si>
  <si>
    <t>Cebu Doctors Hospital University TB DOTS</t>
  </si>
  <si>
    <t>https://www.jotform.com/uploads/macarewecare/222927978372067/6288809073447104096/6288809073447104096_signature_31.png</t>
  </si>
  <si>
    <t>https://www.jotform.com/uploads/macarewecare/222927978372067/6288772241275693949/6288772241275693949_signature_28.png</t>
  </si>
  <si>
    <t>https://www.jotform.com/uploads/macarewecare/222927978372067/6288772241275693949/6288772241275693949_signature_31.png</t>
  </si>
  <si>
    <t>https://www.jotform.com/uploads/macarewecare/222927978372067/6288772021275370731/6288772021275370731_signature_28.png</t>
  </si>
  <si>
    <t>https://www.jotform.com/uploads/macarewecare/222927978372067/6288772021275370731/6288772021275370731_signature_31.png</t>
  </si>
  <si>
    <t>https://www.jotform.com/uploads/macarewecare/222927978372067/6288771771273949325/6288771771273949325_signature_28.png</t>
  </si>
  <si>
    <t>https://www.jotform.com/uploads/macarewecare/222927978372067/6288771771273949325/6288771771273949325_signature_31.png</t>
  </si>
  <si>
    <t>https://www.jotform.com/uploads/macarewecare/222927978372067/6288771001273965080/6288771001273965080_signature_28.png</t>
  </si>
  <si>
    <t>https://www.jotform.com/uploads/macarewecare/222927978372067/6288771001273965080/6288771001273965080_signature_31.png</t>
  </si>
  <si>
    <t>For calibration</t>
  </si>
  <si>
    <t>Performed maintenance
Performed calibration
Simulation run
Checked rotor pumps 
Functionality test</t>
  </si>
  <si>
    <t>https://www.jotform.com/uploads/macarewecare/222927978372067/6288698473617527440/6288698473617527440_signature_28.png</t>
  </si>
  <si>
    <t>Mae Sarah Alojado</t>
  </si>
  <si>
    <t>https://www.jotform.com/uploads/macarewecare/222927978372067/6288698473617527440/6288698473617527440_signature_31.png</t>
  </si>
  <si>
    <t>Modules B1, B3 for XpertCheck</t>
  </si>
  <si>
    <t>Performed  XpertCheck</t>
  </si>
  <si>
    <t>Unit is operational
Pending module replacement for B2
B1: Failed
B3: Failed</t>
  </si>
  <si>
    <t>Overall Status: B1, B2, B3 Failed XC</t>
  </si>
  <si>
    <t>https://www.jotform.com/uploads/macarewecare/222927978372067/6286318915012252565/6286318915012252565_signature_28.png</t>
  </si>
  <si>
    <t>https://www.jotform.com/uploads/macarewecare/222927978372067/6286318915012252565/6286318915012252565_signature_31.png</t>
  </si>
  <si>
    <t>For replacement of line sensor assy</t>
  </si>
  <si>
    <t>Replaced and installed line sensor assy.
Adjust line sensor value 3071
Performed functionality test
Performed simulation running</t>
  </si>
  <si>
    <t>Line sensor assy</t>
  </si>
  <si>
    <t>https://www.jotform.com/uploads/macarewecare/222927978372067/6286268614215390470/6286268614215390470_signature_28.png</t>
  </si>
  <si>
    <t>Phil Heart Center</t>
  </si>
  <si>
    <t>https://www.jotform.com/uploads/macarewecare/222927978372067/6286268614215390470/6286268614215390470_signature_31.png</t>
  </si>
  <si>
    <t>Medilinx (MMC)</t>
  </si>
  <si>
    <t xml:space="preserve">ASSAY: Xpert BCR-ABL Ultra, COUNT: 110
ASSAY: Xpert C. difficile BT, COUNT: 1
ASSAY: Xpert CT/NG, COUNT: 271
ASSAY: Xpert HBV VL, COUNT: 60
ASSAY: Xpert HPV, COUNT: 133
ASSAY: Xpert MTB/RIF Ultra, COUNT: 1190
ASSAY: Others, COUNT: 6
ASSAY: Xpert HCV VL, COUNT: 74
ASSAY: Xpert HIV-1 Viral Load, COUNT: 706
</t>
  </si>
  <si>
    <t>C3 module encounter 4016 error.</t>
  </si>
  <si>
    <t>Gathered report
Reset gateway board
Enable C3 module
Cleaned plunger</t>
  </si>
  <si>
    <t>C3 for observation</t>
  </si>
  <si>
    <t>https://www.jotform.com/uploads/macarewecare/222927978372067/6286267824215446876/6286267824215446876_signature_28.png</t>
  </si>
  <si>
    <t>https://www.jotform.com/uploads/macarewecare/222927978372067/6286267824215446876/6286267824215446876_signature_31.png</t>
  </si>
  <si>
    <t>Bureau of Plant Industry</t>
  </si>
  <si>
    <t>Lucena City, Quezon Province</t>
  </si>
  <si>
    <t>Plant Quarantine</t>
  </si>
  <si>
    <t xml:space="preserve">INSTALLATION
</t>
  </si>
  <si>
    <t>pqsquezon4a@gmail.com</t>
  </si>
  <si>
    <t>gmromano97@gmail.com</t>
  </si>
  <si>
    <t>Stemi 305</t>
  </si>
  <si>
    <t>Installed Stemi 305
Performed functionality test</t>
  </si>
  <si>
    <t>SI 100647</t>
  </si>
  <si>
    <t>Spot Illuminator
Stemi 305 SN: 3946033491
Stand SN: 3943038072</t>
  </si>
  <si>
    <t>DR13194</t>
  </si>
  <si>
    <t>https://www.jotform.com/uploads/macarewecare/222927978372067/6286265455427393936/6286265455427393936_signature_28.png</t>
  </si>
  <si>
    <t>Gilbert Romano</t>
  </si>
  <si>
    <t>https://www.jotform.com/uploads/macarewecare/222927978372067/6286265455427393936/6286265455427393936_signature_31.png</t>
  </si>
  <si>
    <t>Leak Detected At Centrifuge.</t>
  </si>
  <si>
    <t>Checked and Cleaned Centrifuge.
Run Simulation Test.</t>
  </si>
  <si>
    <t>Simulation Test is Okay. Unit is Operational.</t>
  </si>
  <si>
    <t>Centrifuge for Observation after Cleaning.</t>
  </si>
  <si>
    <t>https://www.jotform.com/uploads/macarewecare/222927978372067/6285467995517970917/6285467995517970917_signature_28.png</t>
  </si>
  <si>
    <t>Keano Riggs Caangay</t>
  </si>
  <si>
    <t>https://www.jotform.com/uploads/macarewecare/222927978372067/6285467995517970917/6285467995517970917_signature_31.png</t>
  </si>
  <si>
    <t>Jacinto Street, Poblacion District Davao City</t>
  </si>
  <si>
    <t xml:space="preserve">ASSAY: Xpert MTB/RIF Ultra, COUNT: 409
ASSAY: Xpert HIV-1 Viral Load, COUNT: 2086
</t>
  </si>
  <si>
    <t>https://www.jotform.com/uploads/macarewecare/222927978372067/6285395084313852306/6285395084313852306_signature_28.png</t>
  </si>
  <si>
    <t>https://www.jotform.com/uploads/macarewecare/222927978372067/6285395084313852306/6285395084313852306_signature_31.png</t>
  </si>
  <si>
    <t xml:space="preserve">ASSAY: Xpert MTB/RIF Ultra, COUNT: 1243
</t>
  </si>
  <si>
    <t>https://www.jotform.com/uploads/macarewecare/222927978372067/6285357084533355746/6285357084533355746_signature_28.png</t>
  </si>
  <si>
    <t>https://www.jotform.com/uploads/macarewecare/222927978372067/6285357084533355746/6285357084533355746_signature_31.png</t>
  </si>
  <si>
    <t xml:space="preserve">ASSAY: Xpert MTB/RIF Ultra, COUNT: 797
</t>
  </si>
  <si>
    <t>Gx4-6color</t>
  </si>
  <si>
    <t>UPS - no back-up power</t>
  </si>
  <si>
    <t>Replaced/rapair UPS battery
Perform Genexpert cleaning and maintenance
Module cleaning
Plunger rod and Optics cleaning
Fan filter cleaning
Data collection</t>
  </si>
  <si>
    <t>Perform UPS battery repair
Perform Genexpert machine preventive maintenance</t>
  </si>
  <si>
    <t>4 functional module
UPS back up power restored</t>
  </si>
  <si>
    <t>Repair UPS back up power problem</t>
  </si>
  <si>
    <t>https://www.jotform.com/uploads/macarewecare/222927978372067/6285351409868566759/6285351409868566759_signature_28.png</t>
  </si>
  <si>
    <t>https://www.jotform.com/uploads/macarewecare/222927978372067/6285351409868566759/6285351409868566759_signature_31.png</t>
  </si>
  <si>
    <t>Carmen Health Center</t>
  </si>
  <si>
    <t>Brgy. Carmen, Cagayan de Oro</t>
  </si>
  <si>
    <t>juvymadarang@yahoo.com</t>
  </si>
  <si>
    <t>UPS unable to back-up.</t>
  </si>
  <si>
    <t>Replacing UPS battery with the new one.
Preventive Maintenance</t>
  </si>
  <si>
    <t>https://www.jotform.com/uploads/macarewecare/222927978372067/6284565203377998633/6284565203377998633_signature_28.png</t>
  </si>
  <si>
    <t>Juvy Madarang</t>
  </si>
  <si>
    <t>https://www.jotform.com/uploads/macarewecare/222927978372067/6284565203377998633/6284565203377998633_signature_31.png</t>
  </si>
  <si>
    <t>ACCUPOWER</t>
  </si>
  <si>
    <t>,</t>
  </si>
  <si>
    <t>For battery replacement</t>
  </si>
  <si>
    <t>Replaced and installed battery
AT1000190410ST0397   548680, 548679  NEW BATTERY
AT1000190123ST0280   548669, 548670  NEW BATTERY
AT1000181128ST0025    548678, 548666  NEW BATTERY
AT1000190123ST0100    548667, 548668  NEW BATTERY
AT1000190123ST0182    548665, 548664  NEW BATTERY
AT1000190402ST0370   548683, 548675 NEW BATTERY</t>
  </si>
  <si>
    <t>12 pcs 12v,7AH Battery</t>
  </si>
  <si>
    <t>https://www.jotform.com/uploads/macarewecare/222927978372067/6284479003613659314/6284479003613659314_signature_28.png</t>
  </si>
  <si>
    <t>https://www.jotform.com/uploads/macarewecare/222927978372067/6284479003613659314/6284479003613659314_signature_31.png</t>
  </si>
  <si>
    <t>https://www.jotform.com/uploads/macarewecare/222927978372067/6284386016226547085/6284386016226547085_signature_28.png</t>
  </si>
  <si>
    <t>https://www.jotform.com/uploads/macarewecare/222927978372067/6284386016226547085/6284386016226547085_signature_31.png</t>
  </si>
  <si>
    <t>Diit , Tacloban City</t>
  </si>
  <si>
    <t>Unit is Operational 
- Module B3 (Defective)</t>
  </si>
  <si>
    <t>https://www.jotform.com/uploads/macarewecare/222927978372067/6283649129485332720/6283649129485332720_signature_28.png</t>
  </si>
  <si>
    <t>https://www.jotform.com/uploads/macarewecare/222927978372067/6283649129485332720/6283649129485332720_signature_31.png</t>
  </si>
  <si>
    <t>Poblacion Monkayo</t>
  </si>
  <si>
    <t xml:space="preserve">ASSAY: Xpert MTB/RIF Ultra, COUNT: 1230
</t>
  </si>
  <si>
    <t>System Unit CPU not working
For Preventive Maintenance
And Data CSV Gathering</t>
  </si>
  <si>
    <t>Reset power connection, check line voltages and replace the CMOS Battery of the Motherboard
Clean Surface Area, Cartridge Bay, Plunger Rod, Fan Filters and Icore Lenses
Generate IQR, Assay Stat and System Log
Archived Data test results</t>
  </si>
  <si>
    <t>Perform System Unit Troubleshooting, Preventive Maintenance and Data Gathering</t>
  </si>
  <si>
    <t>System unit is working, All Modules are operational</t>
  </si>
  <si>
    <t>https://www.jotform.com/uploads/macarewecare/222927978372067/6283644432328712142/6283644432328712142_signature_28.png</t>
  </si>
  <si>
    <t>https://www.jotform.com/uploads/macarewecare/222927978372067/6283644432328712142/6283644432328712142_signature_31.png</t>
  </si>
  <si>
    <t>Display button problem.</t>
  </si>
  <si>
    <t>Reset CPU board in the MCS+
Check UPS supply voltage
Check line voltage</t>
  </si>
  <si>
    <t>Unit is not operational.</t>
  </si>
  <si>
    <t>https://www.jotform.com/uploads/macarewecare/222927978372067/6283634843446876764/6283634843446876764_signature_28.png</t>
  </si>
  <si>
    <t>Chong Hua Bloodbank</t>
  </si>
  <si>
    <t>https://www.jotform.com/uploads/macarewecare/222927978372067/6283634843446876764/6283634843446876764_signature_31.png</t>
  </si>
  <si>
    <t>Reset CPU board in the MCS+</t>
  </si>
  <si>
    <t>https://www.jotform.com/uploads/macarewecare/222927978372067/6283632963441179081/6283632963441179081_signature_28.png</t>
  </si>
  <si>
    <t>https://www.jotform.com/uploads/macarewecare/222927978372067/6283632963441179081/6283632963441179081_signature_31.png</t>
  </si>
  <si>
    <t xml:space="preserve">ASSAY: Xpert MTB/RIF Ultra, COUNT: 918
</t>
  </si>
  <si>
    <t>Module B2 H/W failed</t>
  </si>
  <si>
    <t>Replace defective module SN:862572 with new module SN:699053
Perform module B3 troubleshooting 
Genexpert machine Cleaning and maintenance 
Module cleaning 
Plunger rod and Optics cleaning 
Fan filter cleaning 
Data collection</t>
  </si>
  <si>
    <t>Genexpert machine Preventive maintenance 
Genexpert machine module repair 
Genexpert machine module B3 troubleshooting</t>
  </si>
  <si>
    <t>Genexpert 6-color module SN:862572</t>
  </si>
  <si>
    <t>DR #: 13111</t>
  </si>
  <si>
    <t>https://www.jotform.com/uploads/macarewecare/222927978372067/6283140456864069427/6283140456864069427_signature_28.png</t>
  </si>
  <si>
    <t>Rochelle S  Toledo</t>
  </si>
  <si>
    <t>https://www.jotform.com/uploads/macarewecare/222927978372067/6283140456864069427/6283140456864069427_signature_31.png</t>
  </si>
  <si>
    <t>Due for Maintenance and Calibration</t>
  </si>
  <si>
    <t>Cleaned unit
Checked program parameters
Checked  line sensor value
Checked and replaced rollers
Adjust dpm,spm,centrifuge,weigher value
Performed calibration
Performed functionality test
Performed simulation running</t>
  </si>
  <si>
    <t>Unit operational
Indorse to the end user 6pcs urethane rollers waste material</t>
  </si>
  <si>
    <t>6 pcs urethane rollers</t>
  </si>
  <si>
    <t>100600/13173</t>
  </si>
  <si>
    <t>https://www.jotform.com/uploads/macarewecare/222927978372067/6282913609806854501/6282913609806854501_signature_28.png</t>
  </si>
  <si>
    <t>https://www.jotform.com/uploads/macarewecare/222927978372067/6282913609806854501/6282913609806854501_signature_31.png</t>
  </si>
  <si>
    <t>Wilson St San Juan</t>
  </si>
  <si>
    <t>For check-up/Maintenance</t>
  </si>
  <si>
    <t>Performed maintenance 
Run simulation 
Adjust centrifuge cover
Checked valves
Functionality test 
Verified calibration parameters</t>
  </si>
  <si>
    <t>https://www.jotform.com/uploads/macarewecare/222927978372067/6282619763612813281/6282619763612813281_signature_28.png</t>
  </si>
  <si>
    <t>https://www.jotform.com/uploads/macarewecare/222927978372067/6282619763612813281/6282619763612813281_signature_31.png</t>
  </si>
  <si>
    <t>Error 2005 on module B4</t>
  </si>
  <si>
    <t>Performed maintenance 
Checked module B4</t>
  </si>
  <si>
    <t>https://www.jotform.com/uploads/macarewecare/222927978372067/6282619763614152612/6282619763614152612_signature_28.png</t>
  </si>
  <si>
    <t>https://www.jotform.com/uploads/macarewecare/222927978372067/6282619763614152612/6282619763614152612_signature_31.png</t>
  </si>
  <si>
    <t>Performed maintenance 
Cleaned:
-cartridge bay
-plunger rod
-icore
-filter
Generated reports</t>
  </si>
  <si>
    <t>https://www.jotform.com/uploads/macarewecare/222927978372067/6282619763614378272/6282619763614378272_signature_28.png</t>
  </si>
  <si>
    <t>Estrelita s. Aragon</t>
  </si>
  <si>
    <t>https://www.jotform.com/uploads/macarewecare/222927978372067/6282619763614378272/6282619763614378272_signature_31.png</t>
  </si>
  <si>
    <t>fetalver.glenn@medilinx.com.ph</t>
  </si>
  <si>
    <t>Performed maintenance 
Cleaned:
-cartridge bay
-plunger rod 
-icore 
-filter
Generated reports</t>
  </si>
  <si>
    <t>https://www.jotform.com/uploads/macarewecare/222927978372067/6282619763617207230/6282619763617207230_signature_28.png</t>
  </si>
  <si>
    <t>Glenn Mark G. Fetalver</t>
  </si>
  <si>
    <t>https://www.jotform.com/uploads/macarewecare/222927978372067/6282619763617207230/6282619763617207230_signature_31.png</t>
  </si>
  <si>
    <t>dms-ipmm@themedicalcity.com</t>
  </si>
  <si>
    <t>Installed GentleMACS Octo Dissociator System</t>
  </si>
  <si>
    <t>Installed GentleMACS unit with 8 heaters
Installed UPS
Power on test
Functionality test</t>
  </si>
  <si>
    <t>Tie-up Unit.</t>
  </si>
  <si>
    <t>https://www.jotform.com/uploads/macarewecare/222927978372067/6282619763618894553/6282619763618894553_signature_28.png</t>
  </si>
  <si>
    <t>Aldrich De Leon</t>
  </si>
  <si>
    <t>https://www.jotform.com/uploads/macarewecare/222927978372067/6282619763618894553/6282619763618894553_signature_31.png</t>
  </si>
  <si>
    <t>Bago City Health Office</t>
  </si>
  <si>
    <t>Bago City, Negros Occidental</t>
  </si>
  <si>
    <t>swabteambago@gmail.com</t>
  </si>
  <si>
    <t xml:space="preserve">ASSAY: Xpert MTB/RIF Ultra, COUNT: 2864
</t>
  </si>
  <si>
    <t>System Date/Time problem</t>
  </si>
  <si>
    <t>https://www.jotform.com/uploads/macarewecare/222927978372067/6280193301522065537/6280193301522065537_signature_28.png</t>
  </si>
  <si>
    <t>Glenly Casona</t>
  </si>
  <si>
    <t>https://www.jotform.com/uploads/macarewecare/222927978372067/6280193301522065537/6280193301522065537_signature_31.png</t>
  </si>
  <si>
    <t>Failure to detect the lock of the centrifuge during procedure.
Purple valve error during diagnostic test.</t>
  </si>
  <si>
    <t>Replacement of CPU to its original parts due failure to detect the lock of the centrifuge.
Replacement of Pneumatic Assembly due to purple valve error.</t>
  </si>
  <si>
    <t>https://www.jotform.com/uploads/macarewecare/222927978372067/6279603366132884609/6279603366132884609_signature_28.png</t>
  </si>
  <si>
    <t>https://www.jotform.com/uploads/macarewecare/222927978372067/6279603366132884609/6279603366132884609_signature_31.png</t>
  </si>
  <si>
    <t>Amorsolo st,Makati</t>
  </si>
  <si>
    <t>annark3ene@yahoo.com</t>
  </si>
  <si>
    <t>Cleaned unit
Checked program parameters
Checked and adjust line sensor value
Checked value of,dpm,spm,centrifuge,weigher
Replaced 6pcs rollers
Performed functionality test
Performed calibration
Performed simulation running</t>
  </si>
  <si>
    <t>6pcs Urethane roller</t>
  </si>
  <si>
    <t>https://www.jotform.com/uploads/macarewecare/222927978372067/6279384003492355330/6279384003492355330_signature_28.png</t>
  </si>
  <si>
    <t>Mark Fil P Dalisay</t>
  </si>
  <si>
    <t>https://www.jotform.com/uploads/macarewecare/222927978372067/6279384003492355330/6279384003492355330_signature_31.png</t>
  </si>
  <si>
    <t>Amorsolo st Makati</t>
  </si>
  <si>
    <t>Miltenyi</t>
  </si>
  <si>
    <t>Performed maintenancd</t>
  </si>
  <si>
    <t>https://www.jotform.com/uploads/macarewecare/222927978372067/6279381793496762065/6279381793496762065_signature_28.png</t>
  </si>
  <si>
    <t>https://www.jotform.com/uploads/macarewecare/222927978372067/6279381793496762065/6279381793496762065_signature_31.png</t>
  </si>
  <si>
    <t xml:space="preserve">ASSAY: Xpert MTB/RIF Ultra, COUNT: 496
</t>
  </si>
  <si>
    <t>For Preventive Maintenance and Data CSV Gathering</t>
  </si>
  <si>
    <t>https://www.jotform.com/uploads/macarewecare/222927978372067/6279361053522720566/6279361053522720566_signature_28.png</t>
  </si>
  <si>
    <t>Patrisha Dante,. RMT</t>
  </si>
  <si>
    <t>https://www.jotform.com/uploads/macarewecare/222927978372067/6279361053522720566/6279361053522720566_signature_31.png</t>
  </si>
  <si>
    <t xml:space="preserve">ASSAY: Xpert MTB/RIF Ultra, COUNT: 2213
</t>
  </si>
  <si>
    <t>-Perform preventive maintenance; plunger rod, optic slot, cartridge bay, fan filter</t>
  </si>
  <si>
    <t>https://www.jotform.com/uploads/macarewecare/222927978372067/6279162471884945044/6279162471884945044_signature_28.png</t>
  </si>
  <si>
    <t>https://www.jotform.com/uploads/macarewecare/222927978372067/6279162471884945044/6279162471884945044_signature_31.png</t>
  </si>
  <si>
    <t>Unit is operational. Module B2, B3, and B4 passed Xpertcheck. Module B1 for retry.</t>
  </si>
  <si>
    <t>https://www.jotform.com/uploads/macarewecare/222927978372067/6278536416857092555/6278536416857092555_signature_28.png</t>
  </si>
  <si>
    <t>https://www.jotform.com/uploads/macarewecare/222927978372067/6278536416857092555/6278536416857092555_signature_31.png</t>
  </si>
  <si>
    <t xml:space="preserve">ASSAY: Xpert CT/NG, COUNT: 3
ASSAY: Xpert HBV VL, COUNT: 402
ASSAY: Xpert HPV, COUNT: 422
ASSAY: Xpert MTB/RIF Ultra, COUNT: 220
ASSAY: Xpert HCV VL, COUNT: 32
ASSAY: Xpert HIV-1 Viral Load, COUNT: 214
</t>
  </si>
  <si>
    <t>For relocation from molec to cellular immunology room</t>
  </si>
  <si>
    <t>Performed re location
Re installed and set up unit
Test run unit</t>
  </si>
  <si>
    <t>https://www.jotform.com/uploads/macarewecare/222927978372067/6278340508255336073/6278340508255336073_signature_28.png</t>
  </si>
  <si>
    <t>https://www.jotform.com/uploads/macarewecare/222927978372067/6278340508255336073/6278340508255336073_signature_31.png</t>
  </si>
  <si>
    <t>GX-4 10 Colors</t>
  </si>
  <si>
    <t>Module B3 not detected.</t>
  </si>
  <si>
    <t>Replacing module B3 with SN: 210120303 to SN: 210092507
Preventive Maintenance</t>
  </si>
  <si>
    <t>Certified pre-owned GeneXpert 10- colors module</t>
  </si>
  <si>
    <t>https://www.jotform.com/uploads/macarewecare/222927978372067/6278326000019803040/6278326000019803040_signature_28.png</t>
  </si>
  <si>
    <t>James P. Anastacio</t>
  </si>
  <si>
    <t>https://www.jotform.com/uploads/macarewecare/222927978372067/6278326000019803040/6278326000019803040_signature_31.png</t>
  </si>
  <si>
    <t>Claver Rural Health Unit</t>
  </si>
  <si>
    <t>Brgy. Tayaga, Claver</t>
  </si>
  <si>
    <t>andoy_joyce5@yahoo.com</t>
  </si>
  <si>
    <t>GX 4 6 colors</t>
  </si>
  <si>
    <t>Module B1 found errors in temperature</t>
  </si>
  <si>
    <t>Replacing Module B1 with SN: 862373 to SN: 606244
Preventive Maintenance
Data Collection</t>
  </si>
  <si>
    <t>Certified pre-owned GeneXpert Module</t>
  </si>
  <si>
    <t>https://www.jotform.com/uploads/macarewecare/222927978372067/6277656720509787494/6277656720509787494_signature_28.png</t>
  </si>
  <si>
    <t>Joyce E. Andoy</t>
  </si>
  <si>
    <t>https://www.jotform.com/uploads/macarewecare/222927978372067/6277656720509787494/6277656720509787494_signature_31.png</t>
  </si>
  <si>
    <t>https://www.jotform.com/uploads/macarewecare/222927978372067/6277618154235106992/6277618154235106992_signature_28.png</t>
  </si>
  <si>
    <t>https://www.jotform.com/uploads/macarewecare/222927978372067/6277618154235106992/6277618154235106992_signature_31.png</t>
  </si>
  <si>
    <t>Monthly PM
Clean module plunger
Clean Fan Filter</t>
  </si>
  <si>
    <t>https://www.jotform.com/uploads/macarewecare/222927978372067/6277491314327037701/6277491314327037701_signature_28.png</t>
  </si>
  <si>
    <t>https://www.jotform.com/uploads/macarewecare/222927978372067/6277491314327037701/6277491314327037701_signature_31.png</t>
  </si>
  <si>
    <t xml:space="preserve">ASSAY: Xpert MTB/RIF Ultra, COUNT: 2189
</t>
  </si>
  <si>
    <t>Perform Genexpert cleaning and maintenance
Checking of module status and problem 
Module cleaning 
Plunger rod and Optics cleaning 
Fan filter cleaning 
Data collection</t>
  </si>
  <si>
    <t>https://www.jotform.com/uploads/macarewecare/222927978372067/6277059506867348740/6277059506867348740_signature_28.png</t>
  </si>
  <si>
    <t>JUNE MICHELE MIRASOL</t>
  </si>
  <si>
    <t>https://www.jotform.com/uploads/macarewecare/222927978372067/6277059506867348740/6277059506867348740_signature_31.png</t>
  </si>
  <si>
    <t>Brgy. Calumpang General Santos City, South Cotabato</t>
  </si>
  <si>
    <t xml:space="preserve">ASSAY: Xpert MTB/RIF Ultra, COUNT: 1318
</t>
  </si>
  <si>
    <t>Perform Genexpert machine cleaning and maintenance 
Module cleaning 
Plunger rod and Optics cleaning 
Fan filter cleaning 
Checking of module status and problem 
Data collection</t>
  </si>
  <si>
    <t>https://www.jotform.com/uploads/macarewecare/222927978372067/6277055596861083451/6277055596861083451_signature_28.png</t>
  </si>
  <si>
    <t>https://www.jotform.com/uploads/macarewecare/222927978372067/6277055596861083451/6277055596861083451_signature_31.png</t>
  </si>
  <si>
    <t>https://www.jotform.com/uploads/macarewecare/222927978372067/6277055336861213456/6277055336861213456_signature_28.png</t>
  </si>
  <si>
    <t>https://www.jotform.com/uploads/macarewecare/222927978372067/6277055336861213456/6277055336861213456_signature_31.png</t>
  </si>
  <si>
    <t>Nazareth Health Center</t>
  </si>
  <si>
    <t>Brgy. Nazareth, Cagayan de Oro</t>
  </si>
  <si>
    <t>nanethbtolentino@gmail.com</t>
  </si>
  <si>
    <t>Stuck Cartridge at Module B3</t>
  </si>
  <si>
    <t>Stuck Cartridge Removal</t>
  </si>
  <si>
    <t>Removing Stuck Cartridge Manually.
Preventive Maintenance</t>
  </si>
  <si>
    <t>https://www.jotform.com/uploads/macarewecare/222927978372067/6276717065229341629/6276717065229341629_signature_28.png</t>
  </si>
  <si>
    <t>Naneth B. Tolentino</t>
  </si>
  <si>
    <t>https://www.jotform.com/uploads/macarewecare/222927978372067/6276717065229341629/6276717065229341629_signature_31.png</t>
  </si>
  <si>
    <t>Cagayan de Oro City Health Office</t>
  </si>
  <si>
    <t>chocdodiagnosticlab@gmail.com</t>
  </si>
  <si>
    <t>UPS Replacement</t>
  </si>
  <si>
    <t>Replacing UPS and UPS Battery.
Preventive Maintenance</t>
  </si>
  <si>
    <t>https://www.jotform.com/uploads/macarewecare/222927978372067/6276714855224599546/6276714855224599546_signature_28.png</t>
  </si>
  <si>
    <t>Chariza Galacio</t>
  </si>
  <si>
    <t>https://www.jotform.com/uploads/macarewecare/222927978372067/6276714855224599546/6276714855224599546_signature_31.png</t>
  </si>
  <si>
    <t>Display and Panel board problem Draw, Prime and Return, Modify button not functional.</t>
  </si>
  <si>
    <t>CPU board replacement 
Calibration of the MCS+ and functional test.</t>
  </si>
  <si>
    <t>MCS+ unit is operational and under observation.</t>
  </si>
  <si>
    <t>https://www.jotform.com/uploads/macarewecare/222927978372067/6276664663443221808/6276664663443221808_signature_28.png</t>
  </si>
  <si>
    <t>https://www.jotform.com/uploads/macarewecare/222927978372067/6276664663443221808/6276664663443221808_signature_31.png</t>
  </si>
  <si>
    <t>Sta Rosa Community District Hospital</t>
  </si>
  <si>
    <t>Sta Rosa, Olango, Lapulapu City</t>
  </si>
  <si>
    <t xml:space="preserve">ASSAY: Xpert MTB/RIF Ultra, COUNT: 350
</t>
  </si>
  <si>
    <t>Gather data CSV files, Gxx files, IQR, System log, 
Conduct Preventive Maintenance, clean up filter and Clean Icore</t>
  </si>
  <si>
    <t>https://www.jotform.com/uploads/macarewecare/222927978372067/6276662043444588316/6276662043444588316_signature_28.png</t>
  </si>
  <si>
    <t>Ariston Tumulak, RMT</t>
  </si>
  <si>
    <t>https://www.jotform.com/uploads/macarewecare/222927978372067/6276662043444588316/6276662043444588316_signature_31.png</t>
  </si>
  <si>
    <t>ST. PAUL'S HOSPITAL OF ILOILO</t>
  </si>
  <si>
    <t>sphibloodbank69@gmail.com</t>
  </si>
  <si>
    <t>FOR CALIBRATION</t>
  </si>
  <si>
    <t>https://www.jotform.com/uploads/macarewecare/222927978372067/6274286241226754541/6274286241226754541_signature_28.png</t>
  </si>
  <si>
    <t>Mariejol G.Dureza</t>
  </si>
  <si>
    <t>https://www.jotform.com/uploads/macarewecare/222927978372067/6274286241226754541/6274286241226754541_signature_31.png</t>
  </si>
  <si>
    <t>Davao Regional Medical Center Blood Bank</t>
  </si>
  <si>
    <t>Apheresis MCS+</t>
  </si>
  <si>
    <t>Protocol Card does not match thr disposable ID
For Preventive Maintenance and Calibration</t>
  </si>
  <si>
    <t>Reset Connection for Disposable Card and check for other concern
Check for line sensor voltages
Check for SPM, DPM Parameter
Run Cycle Test for Functionality Test</t>
  </si>
  <si>
    <t>Perform Troubleshooting, Calibration and Preventive Maintenance</t>
  </si>
  <si>
    <t>Machine for under observation</t>
  </si>
  <si>
    <t>https://www.jotform.com/uploads/macarewecare/222927978372067/6274269704668362037/6274269704668362037_signature_28.png</t>
  </si>
  <si>
    <t>Orlene Tricia L. Salomon</t>
  </si>
  <si>
    <t>https://www.jotform.com/uploads/macarewecare/222927978372067/6274269704668362037/6274269704668362037_signature_31.png</t>
  </si>
  <si>
    <t>-Perform preventive maintenance; plunger rod, fan filter, optic slot, cartridge bay</t>
  </si>
  <si>
    <t>https://www.jotform.com/uploads/macarewecare/222927978372067/6274229615516825018/6274229615516825018_signature_28.png</t>
  </si>
  <si>
    <t>Might Joy Cabardo</t>
  </si>
  <si>
    <t>https://www.jotform.com/uploads/macarewecare/222927978372067/6274229615516825018/6274229615516825018_signature_31.png</t>
  </si>
  <si>
    <t>PONTEVEDRA PRIMARY CARE FACILITY</t>
  </si>
  <si>
    <t>Pontevedra, Capiz</t>
  </si>
  <si>
    <t>rtabngjr@gmail.com</t>
  </si>
  <si>
    <t xml:space="preserve">ASSAY: Xpert MTB/RIF Ultra, COUNT: 642
</t>
  </si>
  <si>
    <t>FOR MODULE B2 REPLACEMENT</t>
  </si>
  <si>
    <t>-PERFORM PREVENTIVE MAINTENANCE PROCEDURE
-PERFORM B2 DEF SN:808282 MODULE REPLACEMENT WITH NEW SN : 688254</t>
  </si>
  <si>
    <t>https://www.jotform.com/uploads/macarewecare/222927978372067/6274113679188492918/6274113679188492918_signature_28.png</t>
  </si>
  <si>
    <t>Reynaldo Tabang Jr. , RMT</t>
  </si>
  <si>
    <t>https://www.jotform.com/uploads/macarewecare/222927978372067/6274113679188492918/6274113679188492918_signature_31.png</t>
  </si>
  <si>
    <t xml:space="preserve">ASSAY: Xpert MTB/RIF Ultra, COUNT: 1018
</t>
  </si>
  <si>
    <t>-Replace defective module B4/785115 with module SN: 693458</t>
  </si>
  <si>
    <t>900-0491RS 
Certified pre-owned GeneXpert module 
SN. 693458</t>
  </si>
  <si>
    <t>DR no. 13110</t>
  </si>
  <si>
    <t>https://www.jotform.com/uploads/macarewecare/222927978372067/6273424299217111285/6273424299217111285_signature_28.png</t>
  </si>
  <si>
    <t>https://www.jotform.com/uploads/macarewecare/222927978372067/6273424299217111285/6273424299217111285_signature_31.png</t>
  </si>
  <si>
    <t>Cong. Sineon Toribio Memorial Hospital</t>
  </si>
  <si>
    <t>Carmen Bohol</t>
  </si>
  <si>
    <t>himaya.vale@yahoo.com</t>
  </si>
  <si>
    <t xml:space="preserve">ASSAY: Xpert MTB/RIF Ultra, COUNT: 650
</t>
  </si>
  <si>
    <t>https://www.jotform.com/uploads/macarewecare/222927978372067/6273366274919387478/6273366274919387478_signature_28.png</t>
  </si>
  <si>
    <t>himaya vale</t>
  </si>
  <si>
    <t>https://www.jotform.com/uploads/macarewecare/222927978372067/6273366274919387478/6273366274919387478_signature_31.png</t>
  </si>
  <si>
    <t>Candijay Community Hospital</t>
  </si>
  <si>
    <t>Candijay Bohol</t>
  </si>
  <si>
    <t>angelinaredulla@yahoo.com.ph</t>
  </si>
  <si>
    <t xml:space="preserve">ASSAY: Xpert MTB/RIF Ultra, COUNT: 308
</t>
  </si>
  <si>
    <t>unit is Operational</t>
  </si>
  <si>
    <t>https://www.jotform.com/uploads/macarewecare/222927978372067/6273299494981131109/6273299494981131109_signature_28.png</t>
  </si>
  <si>
    <t>Angelina O.Redulla</t>
  </si>
  <si>
    <t>https://www.jotform.com/uploads/macarewecare/222927978372067/6273299494981131109/6273299494981131109_signature_31.png</t>
  </si>
  <si>
    <t>Teodoro Galagar District Hospital</t>
  </si>
  <si>
    <t>Jagna Bohol</t>
  </si>
  <si>
    <t xml:space="preserve">ASSAY: Xpert MTB/RIF Ultra, COUNT: 779
</t>
  </si>
  <si>
    <t>https://www.jotform.com/uploads/macarewecare/222927978372067/6273183656717494774/6273183656717494774_signature_28.png</t>
  </si>
  <si>
    <t>VENUS C. ATON</t>
  </si>
  <si>
    <t>https://www.jotform.com/uploads/macarewecare/222927978372067/6273183656717494774/6273183656717494774_signature_31.png</t>
  </si>
  <si>
    <t>National Highway, Cagayan de Oro</t>
  </si>
  <si>
    <t>Installation and demo</t>
  </si>
  <si>
    <t>Installation of New GeneXpert 4 modules 10 colors machine and peripherals.
Set-up and demo of genexpert software.
Installation of GeneXpert Assays.</t>
  </si>
  <si>
    <t>https://www.jotform.com/uploads/macarewecare/222927978372067/6272612629202423878/6272612629202423878_signature_28.png</t>
  </si>
  <si>
    <t>Mary Lou Baluarte</t>
  </si>
  <si>
    <t>https://www.jotform.com/uploads/macarewecare/222927978372067/6272612629202423878/6272612629202423878_signature_31.png</t>
  </si>
  <si>
    <t xml:space="preserve">ASSAY: Xpert HIV-1 Viral Load, COUNT: 1211
</t>
  </si>
  <si>
    <t>https://www.jotform.com/uploads/macarewecare/222927978372067/6272580937941901726/6272580937941901726_signature_28.png</t>
  </si>
  <si>
    <t>Jessa Krista Riina Jalandoni</t>
  </si>
  <si>
    <t>https://www.jotform.com/uploads/macarewecare/222927978372067/6272580937941901726/6272580937941901726_signature_31.png</t>
  </si>
  <si>
    <t xml:space="preserve">ASSAY: Xpert MTB/RIF Ultra, COUNT: 1308
ASSAY: Xpert HPV, COUNT: 9
ASSAY: Xpert HBV VL, COUNT: 53
</t>
  </si>
  <si>
    <t>Module 2 Serial Number : 838559 defective</t>
  </si>
  <si>
    <t>Replacement of new module Serial Number: 838559</t>
  </si>
  <si>
    <t>Replacement of new module Serial Number: 838559
Generate IQR, Assay Stat, System Log, and Gxx files</t>
  </si>
  <si>
    <t>https://www.jotform.com/uploads/macarewecare/222927978372067/6272494030227425343/6272494030227425343_signature_28.png</t>
  </si>
  <si>
    <t>Kristel Sheen Miranda, RMT</t>
  </si>
  <si>
    <t>https://www.jotform.com/uploads/macarewecare/222927978372067/6272494030227425343/6272494030227425343_signature_31.png</t>
  </si>
  <si>
    <t xml:space="preserve">ASSAY: Xpert MTB/RIF, COUNT: 3219
</t>
  </si>
  <si>
    <t>Module 2 encounter multiple temperature related errors
For Preventive Maintenance</t>
  </si>
  <si>
    <t>Clean Surface Area, Cartridge Bay, Plunger Rod, Fan Filters and Icore Lenses
Replaced the Defective Module SN:760219 with new Module SN: 646566</t>
  </si>
  <si>
    <t>Perform Module Replacement and Preventive Maintenance</t>
  </si>
  <si>
    <t>900-0491rs</t>
  </si>
  <si>
    <t>DR 13106</t>
  </si>
  <si>
    <t>https://www.jotform.com/uploads/macarewecare/222927978372067/6272471815229676238/6272471815229676238_signature_28.png</t>
  </si>
  <si>
    <t>https://www.jotform.com/uploads/macarewecare/222927978372067/6272471815229676238/6272471815229676238_signature_31.png</t>
  </si>
  <si>
    <t>Carig, Tuguegarao, Cagayan</t>
  </si>
  <si>
    <t>Performed Calibration
Performef Maintenance
Performef Functionality Test</t>
  </si>
  <si>
    <t>Check Line Sensor
Check Weigher
Check DPM
Check SPN
Check Bowl Optics
Adjust Line Sensor</t>
  </si>
  <si>
    <t>https://www.jotform.com/uploads/macarewecare/222927978372067/6272451878035940296/6272451878035940296_signature_28.png</t>
  </si>
  <si>
    <t>https://www.jotform.com/uploads/macarewecare/222927978372067/6272451878035940296/6272451878035940296_signature_31.png</t>
  </si>
  <si>
    <t>https://www.jotform.com/uploads/macarewecare/222927978372067/6272451868039144428/6272451868039144428_signature_28.png</t>
  </si>
  <si>
    <t>https://www.jotform.com/uploads/macarewecare/222927978372067/6272451868039144428/6272451868039144428_signature_31.png</t>
  </si>
  <si>
    <t>Escalante City</t>
  </si>
  <si>
    <t>TROUBLESHOOTING
CPU Problem</t>
  </si>
  <si>
    <t>CPU cannot power ON.</t>
  </si>
  <si>
    <t>Pull-out CPU with serial number CPH0520F08317.</t>
  </si>
  <si>
    <t>Check all wire's at the back of the machine and inside the CPU.</t>
  </si>
  <si>
    <t>Not okay to use.</t>
  </si>
  <si>
    <t>https://www.jotform.com/uploads/macarewecare/222927978372067/6272436435848438663/6272436435848438663_signature_28.png</t>
  </si>
  <si>
    <t>JIREH M. CABUS</t>
  </si>
  <si>
    <t>https://www.jotform.com/uploads/macarewecare/222927978372067/6272436435848438663/6272436435848438663_signature_31.png</t>
  </si>
  <si>
    <t>cvmcbloodbank888@gmail.com</t>
  </si>
  <si>
    <t>15HO33G</t>
  </si>
  <si>
    <t>Performed Maintenance</t>
  </si>
  <si>
    <t>Checked Rollers
Checked Machine Parameters
Cleaned MCS+</t>
  </si>
  <si>
    <t>https://www.jotform.com/uploads/macarewecare/222927978372067/6272400081707352616/6272400081707352616_signature_28.png</t>
  </si>
  <si>
    <t>https://www.jotform.com/uploads/macarewecare/222927978372067/6272400081707352616/6272400081707352616_signature_31.png</t>
  </si>
  <si>
    <t>USWAG Iloilo City Molecular Laboratory</t>
  </si>
  <si>
    <t>Plaza Libertad Legaspi Dela Rama 5000, Iloilo City</t>
  </si>
  <si>
    <t>uswagiloilomolecularlaboratory@gmail.com</t>
  </si>
  <si>
    <t>-NEW INSTALLATION
GX SN: 110026513
GeneXpert Desktop SN: CPH1024F55093</t>
  </si>
  <si>
    <t>FOR SCHEDULE OF FINAL INSTALLATION(AFTER LABORATORY CONSTRUCTION) AND END-USER TRAINING</t>
  </si>
  <si>
    <t>GeneXpert IV R2, 4-Modules, Desktop, 10-Color</t>
  </si>
  <si>
    <t>https://www.jotform.com/uploads/macarewecare/222927978372067/6272360717941514713/6272360717941514713_signature_28.png</t>
  </si>
  <si>
    <t>ANNABELLE ROSARIO S. BLANCAFLOR,RMT,MPG</t>
  </si>
  <si>
    <t>https://www.jotform.com/uploads/macarewecare/222927978372067/6272360717941514713/6272360717941514713_signature_31.png</t>
  </si>
  <si>
    <t>Performed maintenance 
Run simulation 
Verified calibration parameters 
Functionality test
Checked rotor pumps</t>
  </si>
  <si>
    <t>https://www.jotform.com/uploads/macarewecare/222927978372067/6272355133611433400/6272355133611433400_signature_28.png</t>
  </si>
  <si>
    <t>Kristina Enteria</t>
  </si>
  <si>
    <t>https://www.jotform.com/uploads/macarewecare/222927978372067/6272355133611433400/6272355133611433400_signature_31.png</t>
  </si>
  <si>
    <t>Performed maintenance 
Run simulation 
Checked rotor pumps 
Verified calibration parameters 
Cleaned centrifuge bowl
Functionality test</t>
  </si>
  <si>
    <t>https://www.jotform.com/uploads/macarewecare/222927978372067/6272355133613510264/6272355133613510264_signature_28.png</t>
  </si>
  <si>
    <t>Gracia Tina Angara</t>
  </si>
  <si>
    <t>https://www.jotform.com/uploads/macarewecare/222927978372067/6272355133613510264/6272355133613510264_signature_31.png</t>
  </si>
  <si>
    <t>Performed maintenance
Cleaned:
-cartridge bay
-plunger rod
-icore
-filter
Run XpertCheck 
Generated reports</t>
  </si>
  <si>
    <t>Unit is operational. Modules A2, B3, C2, C4, D2, D3 and D4 passed. Modules A1, A3, A4, and B1 service required. Modules B2, B4, C1, C3, D1 for retry insufficient cartridge.</t>
  </si>
  <si>
    <t>https://www.jotform.com/uploads/macarewecare/222927978372067/6272355133618487028/6272355133618487028_signature_28.png</t>
  </si>
  <si>
    <t>https://www.jotform.com/uploads/macarewecare/222927978372067/6272355133618487028/6272355133618487028_signature_31.png</t>
  </si>
  <si>
    <t>AT1000190123ST0396</t>
  </si>
  <si>
    <t>No power drain 2 pcs battery</t>
  </si>
  <si>
    <t>Replaced and installed 2pcs battery
S/N 548671,548672</t>
  </si>
  <si>
    <t>https://www.jotform.com/uploads/macarewecare/222927978372067/6272277593618291360/6272277593618291360_signature_28.png</t>
  </si>
  <si>
    <t>https://www.jotform.com/uploads/macarewecare/222927978372067/6272277593618291360/6272277593618291360_signature_31.png</t>
  </si>
  <si>
    <t>AT1000190123ST0128</t>
  </si>
  <si>
    <t>Replaced and installed 2pcs battery
S/N 548674,548673</t>
  </si>
  <si>
    <t>https://www.jotform.com/uploads/macarewecare/222927978372067/6272275333615407554/6272275333615407554_signature_28.png</t>
  </si>
  <si>
    <t>https://www.jotform.com/uploads/macarewecare/222927978372067/6272275333615407554/6272275333615407554_signature_31.png</t>
  </si>
  <si>
    <t>https://www.jotform.com/uploads/macarewecare/222927978372067/6272261093615364727/6272261093615364727_signature_28.png</t>
  </si>
  <si>
    <t>Simonette R. Laxina</t>
  </si>
  <si>
    <t>https://www.jotform.com/uploads/macarewecare/222927978372067/6272261093615364727/6272261093615364727_signature_31.png</t>
  </si>
  <si>
    <t>Cleaned unit
Checked program parameters
Checked and adjust line sensor value
Checked rollers,centrifuge
Calibrate dpm,spm,weigher
Performed functionality test Performed simulation running</t>
  </si>
  <si>
    <t>https://www.jotform.com/uploads/macarewecare/222927978372067/6272260743616000666/6272260743616000666_signature_28.png</t>
  </si>
  <si>
    <t>PHC Blood Bank</t>
  </si>
  <si>
    <t>https://www.jotform.com/uploads/macarewecare/222927978372067/6272260743616000666/6272260743616000666_signature_31.png</t>
  </si>
  <si>
    <t>Cleaned unit
Checked program parameters
Checked and adjust line sensor value
Checked rollers,centrifuge,
Calibrate weigher,DPM,SPM
Performed calibration
Performed functionality test
Performed simulation running</t>
  </si>
  <si>
    <t>Need to replace line sensor assy
Unit still can use</t>
  </si>
  <si>
    <t>Line sensor unable to reach desire value of 3071.  Line sensor value max 2690</t>
  </si>
  <si>
    <t>https://www.jotform.com/uploads/macarewecare/222927978372067/6272259873613376185/6272259873613376185_signature_28.png</t>
  </si>
  <si>
    <t>https://www.jotform.com/uploads/macarewecare/222927978372067/6272259873613376185/6272259873613376185_signature_31.png</t>
  </si>
  <si>
    <t>Baggao Rural Health Unit</t>
  </si>
  <si>
    <t>San Jose, Baggao, Cagayan</t>
  </si>
  <si>
    <t>baggaorhulaboratory@gmail.com</t>
  </si>
  <si>
    <t xml:space="preserve">ASSAY: Xpert MTB/RIF Ultra, COUNT: 1561
</t>
  </si>
  <si>
    <t>Module 1 and 4 Error</t>
  </si>
  <si>
    <t>Performed Module Replacement
B1(862455 - 657480)
B4(862508 - 662430)</t>
  </si>
  <si>
    <t>Genexepet Modules</t>
  </si>
  <si>
    <t>https://www.jotform.com/uploads/macarewecare/222927978372067/6271660680813657467/6271660680813657467_signature_28.png</t>
  </si>
  <si>
    <t>Jeany Anne Galera</t>
  </si>
  <si>
    <t>https://www.jotform.com/uploads/macarewecare/222927978372067/6271660680813657467/6271660680813657467_signature_31.png</t>
  </si>
  <si>
    <t>https://www.jotform.com/uploads/macarewecare/222927978372067/6271598768605907075/6271598768605907075_signature_28.png</t>
  </si>
  <si>
    <t>https://www.jotform.com/uploads/macarewecare/222927978372067/6271598768605907075/6271598768605907075_signature_31.png</t>
  </si>
  <si>
    <t>Alabang-Zapote Rd, Las Piñas</t>
  </si>
  <si>
    <t>noel.feranil67@gmail.com</t>
  </si>
  <si>
    <t>uphdmc_lab@yahoo.com</t>
  </si>
  <si>
    <t>11J220</t>
  </si>
  <si>
    <t>Replaced Pump Rollers.
Cleaned Machine's Surface Area.
Performed Simulation Test.
Checked Sensors Values.
Calibrate A/D and Centrifuge Values.</t>
  </si>
  <si>
    <t>Unit has No UPS.</t>
  </si>
  <si>
    <t>Pump Rotor Rollers.</t>
  </si>
  <si>
    <t>S.I. 100521</t>
  </si>
  <si>
    <t>https://www.jotform.com/uploads/macarewecare/222927978372067/6271573982827983245/6271573982827983245_signature_28.png</t>
  </si>
  <si>
    <t>Divine Grace Gonzales</t>
  </si>
  <si>
    <t>https://www.jotform.com/uploads/macarewecare/222927978372067/6271573982827983245/6271573982827983245_signature_31.png</t>
  </si>
  <si>
    <t>Alfonso Ponce Enrile Memorial District Hospital</t>
  </si>
  <si>
    <t>Gonzaga, Cagayan</t>
  </si>
  <si>
    <t>apemdh_laboratory@yahoo.com</t>
  </si>
  <si>
    <t xml:space="preserve">ASSAY: Xpert MTB/RIF Ultra, COUNT: 2102
</t>
  </si>
  <si>
    <t>Cleaned Icore
Cleaned Cartridge Bay
Cleaned Plunger Rod
Cleaned Filter</t>
  </si>
  <si>
    <t>https://www.jotform.com/uploads/macarewecare/222927978372067/6271573313511615284/6271573313511615284_signature_28.png</t>
  </si>
  <si>
    <t>Regina Peralta</t>
  </si>
  <si>
    <t>https://www.jotform.com/uploads/macarewecare/222927978372067/6271573313511615284/6271573313511615284_signature_31.png</t>
  </si>
  <si>
    <t>https://www.jotform.com/uploads/macarewecare/222927978372067/6271573283511431040/6271573283511431040_signature_28.png</t>
  </si>
  <si>
    <t>https://www.jotform.com/uploads/macarewecare/222927978372067/6271573283511431040/6271573283511431040_signature_31.png</t>
  </si>
  <si>
    <t>Catigbian District Hospital</t>
  </si>
  <si>
    <t>Catigbian Bohol</t>
  </si>
  <si>
    <t>charissemaeclaros97@gmail.com</t>
  </si>
  <si>
    <t xml:space="preserve">ASSAY: Xpert MTB/RIF Ultra, COUNT: 595
</t>
  </si>
  <si>
    <t>https://www.jotform.com/uploads/macarewecare/222927978372067/6271569553916805709/6271569553916805709_signature_28.png</t>
  </si>
  <si>
    <t>Charisse Mae Claros</t>
  </si>
  <si>
    <t>https://www.jotform.com/uploads/macarewecare/222927978372067/6271569553916805709/6271569553916805709_signature_31.png</t>
  </si>
  <si>
    <t xml:space="preserve">ASSAY: Xpert MTB/RIF Ultra, COUNT: 532
</t>
  </si>
  <si>
    <t>For Preventive Maintenance
Module 1 encounter multiple temperature related errors</t>
  </si>
  <si>
    <t>Replaced the Defective Module SN:900881 with new Module SN: 717401
Clean Surface Area, Cartridge Bay, Plunger Rod, Fan Filters and Icore Lenses
Generate IQR, Assay Stat and System Log</t>
  </si>
  <si>
    <t>DR 13113</t>
  </si>
  <si>
    <t>https://www.jotform.com/uploads/macarewecare/222927978372067/6271554835228225251/6271554835228225251_signature_28.png</t>
  </si>
  <si>
    <t>Jezzal Perez Carbonell</t>
  </si>
  <si>
    <t>https://www.jotform.com/uploads/macarewecare/222927978372067/6271554835228225251/6271554835228225251_signature_31.png</t>
  </si>
  <si>
    <t>Garcia Memorial Provincial Hospital</t>
  </si>
  <si>
    <t>Talibon Bohol</t>
  </si>
  <si>
    <t>ybanezrosalina19@gmail.com</t>
  </si>
  <si>
    <t xml:space="preserve">ASSAY: Xpert MTB/RIF Ultra, COUNT: 1506
</t>
  </si>
  <si>
    <t>https://www.jotform.com/uploads/macarewecare/222927978372067/6271468661492286455/6271468661492286455_signature_28.png</t>
  </si>
  <si>
    <t>Rosalina Ybañez</t>
  </si>
  <si>
    <t>https://www.jotform.com/uploads/macarewecare/222927978372067/6271468661492286455/6271468661492286455_signature_31.png</t>
  </si>
  <si>
    <t>febjennambong12@gmail.com</t>
  </si>
  <si>
    <t xml:space="preserve">ASSAY: Xpert MTB/RIF Ultra, COUNT: 1145
ASSAY: Xpert HIV-1 Viral Load, COUNT: 9
</t>
  </si>
  <si>
    <t>Perform Genexpert Cleaning and maintenance 
Import  MTB-XDR Assay 
Checking of module status 
CSV Data collection 
Data collection</t>
  </si>
  <si>
    <t>https://www.jotform.com/uploads/macarewecare/222927978372067/6271019826865409628/6271019826865409628_signature_28.png</t>
  </si>
  <si>
    <t>https://www.jotform.com/uploads/macarewecare/222927978372067/6271019826865409628/6271019826865409628_signature_31.png</t>
  </si>
  <si>
    <t>Poblacion, Tampakan,South Cotabato</t>
  </si>
  <si>
    <t xml:space="preserve">ASSAY: Xpert MTB/RIF Ultra, COUNT: 776
</t>
  </si>
  <si>
    <t>UPS no backup power</t>
  </si>
  <si>
    <t>UPS problem troubleshooting 
UPS Problem reporting 
Data collection</t>
  </si>
  <si>
    <t>Perform Genexpert UPS troubleshooting 
Perform Genexpert maintenance</t>
  </si>
  <si>
    <t>UPS no backup power, requesting for battery replacement/UPS replacement</t>
  </si>
  <si>
    <t>https://www.jotform.com/uploads/macarewecare/222927978372067/6271019816866562057/6271019816866562057_signature_28.png</t>
  </si>
  <si>
    <t>Jovi G. Gelio</t>
  </si>
  <si>
    <t>https://www.jotform.com/uploads/macarewecare/222927978372067/6271019816866562057/6271019816866562057_signature_31.png</t>
  </si>
  <si>
    <t>mgrmrtinez757@gmail.com</t>
  </si>
  <si>
    <t>UPS not working
CPU not powering on</t>
  </si>
  <si>
    <t>Replaced fuse of UPS &amp; AVR(resolved)
Cleaned CPU ram &amp; replaced bios battery
Replaced CPU power cord
Cleaned cartridge bays</t>
  </si>
  <si>
    <t>Performed Troubleshooting 
Performed Preventive Maintenance</t>
  </si>
  <si>
    <t>Unit is non operational</t>
  </si>
  <si>
    <t>https://www.jotform.com/uploads/macarewecare/222927978372067/6271011197213427695/6271011197213427695_signature_28.png</t>
  </si>
  <si>
    <t>https://www.jotform.com/uploads/macarewecare/222927978372067/6271011197213427695/6271011197213427695_signature_31.png</t>
  </si>
  <si>
    <t>Bowl problem noisy during draw process.</t>
  </si>
  <si>
    <t>Check bowl area bowl lock parts.
Check supply voltage and the UPS.
Check kit during error encounter.
Re-orient end-user the correct and proper procedure during installation of the bowl.</t>
  </si>
  <si>
    <t>Check bowl area bowl lock parts.
Check supply voltage and the UPS.
Check kit during error encounter.</t>
  </si>
  <si>
    <t>https://www.jotform.com/uploads/macarewecare/222927978372067/6270651300224206181/6270651300224206181_signature_28.png</t>
  </si>
  <si>
    <t>https://www.jotform.com/uploads/macarewecare/222927978372067/6270651300224206181/6270651300224206181_signature_31.png</t>
  </si>
  <si>
    <t>Caruncho Ave, Pasig City</t>
  </si>
  <si>
    <t xml:space="preserve">ASSAY: Xpert HIV-1 Viral Load, COUNT: 342
</t>
  </si>
  <si>
    <t>https://www.jotform.com/uploads/macarewecare/222927978372067/6270615463616985787/6270615463616985787_signature_28.png</t>
  </si>
  <si>
    <t>https://www.jotform.com/uploads/macarewecare/222927978372067/6270615463616985787/6270615463616985787_signature_31.png</t>
  </si>
  <si>
    <t>javayaay@stlukes.com.ph</t>
  </si>
  <si>
    <t xml:space="preserve">ASSAY: Xpert BCR-ABL Ultra, COUNT: 182
ASSAY: Xpert CT/NG, COUNT: 694
ASSAY: Xpert HBV VL, COUNT: 67
ASSAY: Xpert HPV, COUNT: 957
ASSAY: Xpert MTB/RIF Ultra, COUNT: 2376
ASSAY: Xpert MTB-XDR, COUNT: 5
ASSAY: Xpert HCV VL, COUNT: 47
ASSAY: Xpert HIV-1 Viral Load, COUNT: 279
</t>
  </si>
  <si>
    <t>https://www.jotform.com/uploads/macarewecare/222927978372067/6270615413616808432/6270615413616808432_signature_28.png</t>
  </si>
  <si>
    <t>https://www.jotform.com/uploads/macarewecare/222927978372067/6270615413616808432/6270615413616808432_signature_31.png</t>
  </si>
  <si>
    <t>ajmbalsomo@stlukes.com.ph</t>
  </si>
  <si>
    <t>https://www.jotform.com/uploads/macarewecare/222927978372067/6270615403616061310/6270615403616061310_signature_28.png</t>
  </si>
  <si>
    <t>Aldwin Balsomo, RMT</t>
  </si>
  <si>
    <t>https://www.jotform.com/uploads/macarewecare/222927978372067/6270615403616061310/6270615403616061310_signature_31.png</t>
  </si>
  <si>
    <t xml:space="preserve">ASSAY: Xpert MTB/RIF Ultra, COUNT: 1335
</t>
  </si>
  <si>
    <t>https://www.jotform.com/uploads/macarewecare/222927978372067/6270615403617439240/6270615403617439240_signature_28.png</t>
  </si>
  <si>
    <t>https://www.jotform.com/uploads/macarewecare/222927978372067/6270615403617439240/6270615403617439240_signature_31.png</t>
  </si>
  <si>
    <t>Rizal Dr, BGC Taguig City</t>
  </si>
  <si>
    <t xml:space="preserve">ASSAY: Xpert BCR-ABL Ultra, COUNT: 39
ASSAY: Xpert CT/NG, COUNT: 147
ASSAY: Xpert HBV VL, COUNT: 5
ASSAY: Xpert HPV, COUNT: 213
ASSAY: Xpert MTB/RIF Ultra, COUNT: 439
ASSAY: Xpert HCV VL, COUNT: 5
ASSAY: Xpert HIV-1 Viral Load, COUNT: 110
</t>
  </si>
  <si>
    <t>Unit is operational. Module A3 not operational. For replacement.</t>
  </si>
  <si>
    <t>https://www.jotform.com/uploads/macarewecare/222927978372067/6270615403617682201/6270615403617682201_signature_28.png</t>
  </si>
  <si>
    <t>https://www.jotform.com/uploads/macarewecare/222927978372067/6270615403617682201/6270615403617682201_signature_31.png</t>
  </si>
  <si>
    <t xml:space="preserve">ASSAY: Xpert HIV-1 Viral Load, COUNT: 343
</t>
  </si>
  <si>
    <t>Performed maintenance
Cleaned:
-cartridge bay 
-plunger rod 
-icore 
-filter
Generated reports</t>
  </si>
  <si>
    <t>https://www.jotform.com/uploads/macarewecare/222927978372067/6270615403619108293/6270615403619108293_signature_28.png</t>
  </si>
  <si>
    <t>https://www.jotform.com/uploads/macarewecare/222927978372067/6270615403619108293/6270615403619108293_signature_31.png</t>
  </si>
  <si>
    <t xml:space="preserve">ASSAY: Xpress SARS-CoV-2_Flu_RSV plus, COUNT: 7
ASSAY: Xpert MTB-XDR, COUNT: 17
ASSAY: Xpert MTB/RIF Ultra, COUNT: 297
ASSAY: Xpert HBV VL, COUNT: 323
ASSAY: Xpert CT/NG, COUNT: 1
ASSAY: Xpert BCR-ABL Ultra, COUNT: 9
</t>
  </si>
  <si>
    <t>https://www.jotform.com/uploads/macarewecare/222927978372067/6270582887006549106/6270582887006549106_signature_28.png</t>
  </si>
  <si>
    <t>https://www.jotform.com/uploads/macarewecare/222927978372067/6270582887006549106/6270582887006549106_signature_31.png</t>
  </si>
  <si>
    <t>moniqueteves99@gmail.com</t>
  </si>
  <si>
    <t xml:space="preserve">ASSAY: Xpert CT/NG, COUNT: 32
ASSAY: Xpert HBV VL, COUNT: 50
ASSAY: Xpert HIV-1 Viral Load, COUNT: 997
</t>
  </si>
  <si>
    <t>https://www.jotform.com/uploads/macarewecare/222927978372067/6270533753614318444/6270533753614318444_signature_28.png</t>
  </si>
  <si>
    <t>https://www.jotform.com/uploads/macarewecare/222927978372067/6270533753614318444/6270533753614318444_signature_31.png</t>
  </si>
  <si>
    <t>Biopath qc</t>
  </si>
  <si>
    <t>E.rodriguez qc</t>
  </si>
  <si>
    <t xml:space="preserve">ASSAY: Xpert CT/NG, COUNT: 37
ASSAY: Others, COUNT: 4
ASSAY: Xpert HPV, COUNT: 49
ASSAY: Others, COUNT: 2
ASSAY: Xpert SARS-CoV-2, COUNT: 10
ASSAY: Xpert HCV VL, COUNT: 1
</t>
  </si>
  <si>
    <t>A1 and A3 encounter temp error 4009,4012.
UPS 2kva unable to back supply due to drain battery</t>
  </si>
  <si>
    <t>Checked ups
Performed module self test, error still encounter 
Replaced 2kva ups spare ups in the laboratory</t>
  </si>
  <si>
    <t>A1,A3,A4,B2,B4,C2,D2 disabled</t>
  </si>
  <si>
    <t>https://www.jotform.com/uploads/macarewecare/222927978372067/6270533373617691637/6270533373617691637_signature_28.png</t>
  </si>
  <si>
    <t>https://www.jotform.com/uploads/macarewecare/222927978372067/6270533373617691637/6270533373617691637_signature_31.png</t>
  </si>
  <si>
    <t>For Data Collection</t>
  </si>
  <si>
    <t>Performed Data Collection</t>
  </si>
  <si>
    <t>Unit is Fully Operational 
Room is currently not air-conditioned</t>
  </si>
  <si>
    <t>https://www.jotform.com/uploads/macarewecare/222927978372067/6269902919144555126/6269902919144555126_signature_28.png</t>
  </si>
  <si>
    <t>Marjelyn Rayray</t>
  </si>
  <si>
    <t>https://www.jotform.com/uploads/macarewecare/222927978372067/6269902919144555126/6269902919144555126_signature_31.png</t>
  </si>
  <si>
    <t>https://www.jotform.com/uploads/macarewecare/222927978372067/6269901859146203571/6269901859146203571_signature_28.png</t>
  </si>
  <si>
    <t>https://www.jotform.com/uploads/macarewecare/222927978372067/6269901859146203571/6269901859146203571_signature_31.png</t>
  </si>
  <si>
    <t>https://www.jotform.com/uploads/macarewecare/222927978372067/6269900369142137490/6269900369142137490_signature_28.png</t>
  </si>
  <si>
    <t>https://www.jotform.com/uploads/macarewecare/222927978372067/6269900369142137490/6269900369142137490_signature_31.png</t>
  </si>
  <si>
    <t>https://www.jotform.com/uploads/macarewecare/222927978372067/6269899339148459256/6269899339148459256_signature_28.png</t>
  </si>
  <si>
    <t>https://www.jotform.com/uploads/macarewecare/222927978372067/6269899339148459256/6269899339148459256_signature_31.png</t>
  </si>
  <si>
    <t>San Jacinto, Pangasinan</t>
  </si>
  <si>
    <t>allen.indong@gmail.com</t>
  </si>
  <si>
    <t>https://www.jotform.com/uploads/macarewecare/222927978372067/6269898009145874720/6269898009145874720_signature_28.png</t>
  </si>
  <si>
    <t>Alexander Indong</t>
  </si>
  <si>
    <t>https://www.jotform.com/uploads/macarewecare/222927978372067/6269898009145874720/6269898009145874720_signature_31.png</t>
  </si>
  <si>
    <t>NEGROS ORIENTAL PROVINCIAL HOSPITAL</t>
  </si>
  <si>
    <t>rezelmarielagos@gmail.com</t>
  </si>
  <si>
    <t xml:space="preserve">ASSAY: Xpert MTB/RIF Ultra, COUNT: 3438
ASSAY: Xpert MTB-XDR, COUNT: 80
ASSAY: Xpert HCV VL, COUNT: 16
ASSAY: Xpert HIV-1 Viral Load, COUNT: 467
</t>
  </si>
  <si>
    <t>https://www.jotform.com/uploads/macarewecare/222927978372067/6268263368511391578/6268263368511391578_signature_28.png</t>
  </si>
  <si>
    <t>Rezel Marie S. Lagos , RMT</t>
  </si>
  <si>
    <t>https://www.jotform.com/uploads/macarewecare/222927978372067/6268263368511391578/6268263368511391578_signature_31.png</t>
  </si>
  <si>
    <t>https://www.jotform.com/uploads/macarewecare/222927978372067/6268263338517337430/6268263338517337430_signature_28.png</t>
  </si>
  <si>
    <t>https://www.jotform.com/uploads/macarewecare/222927978372067/6268263338517337430/6268263338517337430_signature_31.png</t>
  </si>
  <si>
    <t>Magsaysay Rural Health Unit</t>
  </si>
  <si>
    <t>Poblacion, Magsaysay</t>
  </si>
  <si>
    <t>Preventive Maintenance
CSV Data Gathering</t>
  </si>
  <si>
    <t>https://www.jotform.com/uploads/macarewecare/222927978372067/6268105050363299012/6268105050363299012_signature_28.png</t>
  </si>
  <si>
    <t>Jesusa N. Kakilgan</t>
  </si>
  <si>
    <t>https://www.jotform.com/uploads/macarewecare/222927978372067/6268105050363299012/6268105050363299012_signature_31.png</t>
  </si>
  <si>
    <t>J. Bocobo St.</t>
  </si>
  <si>
    <t>GX XVI 10C</t>
  </si>
  <si>
    <t>Performed maintenance cleaning, performed XpertCheck procedure</t>
  </si>
  <si>
    <t>Unit olis operational, modules B4 and D3 for replacement.</t>
  </si>
  <si>
    <t>XpertCheck kit (x4)</t>
  </si>
  <si>
    <t>DR# 13080</t>
  </si>
  <si>
    <t>https://www.jotform.com/uploads/macarewecare/222927978372067/6267363634415040795/6267363634415040795_signature_28.png</t>
  </si>
  <si>
    <t>Ma.Sarah R. Salvador</t>
  </si>
  <si>
    <t>https://www.jotform.com/uploads/macarewecare/222927978372067/6267363634415040795/6267363634415040795_signature_31.png</t>
  </si>
  <si>
    <t>Camus St, Davao City</t>
  </si>
  <si>
    <t xml:space="preserve">ASSAY: Xpert MTB/RIF Ultra, COUNT: 897
</t>
  </si>
  <si>
    <t>All Modules are Operational
Fan Filter damaged; reported to Jotform for replacement</t>
  </si>
  <si>
    <t>https://www.jotform.com/uploads/macarewecare/222927978372067/6267296594712128406/6267296594712128406_signature_28.png</t>
  </si>
  <si>
    <t>Karen Villanueva</t>
  </si>
  <si>
    <t>https://www.jotform.com/uploads/macarewecare/222927978372067/6267296594712128406/6267296594712128406_signature_31.png</t>
  </si>
  <si>
    <t>Philippine Institute of Volcanology and Seismology</t>
  </si>
  <si>
    <t>C.P. Garcia Ave., UP Campus, Diliman, Quezon City</t>
  </si>
  <si>
    <t>Geology Geophysics Research and Development Division</t>
  </si>
  <si>
    <t>jeannemyrtia@gmail.com</t>
  </si>
  <si>
    <t>mariethess.quilalang@phivolcs.dost.gov.ph</t>
  </si>
  <si>
    <t>Performed surface cleaning
Check mechanical part
Checks lights
Checked lenses and eyepieces
Cleaned Eyepieces
Checked functionality
Performed Preventive Maintenance</t>
  </si>
  <si>
    <t>Under PO No. 2025-06-153W : SI No. 100483</t>
  </si>
  <si>
    <t>https://www.jotform.com/uploads/macarewecare/222927978372067/6267239413616923224/6267239413616923224_signature_28.png</t>
  </si>
  <si>
    <t>Marie Thess Quilalang-Gemal</t>
  </si>
  <si>
    <t>https://www.jotform.com/uploads/macarewecare/222927978372067/6267239413616923224/6267239413616923224_signature_31.png</t>
  </si>
  <si>
    <t>Stemi 508</t>
  </si>
  <si>
    <t>Molds inside eyepieces</t>
  </si>
  <si>
    <t>None. Molds were inaccessible.</t>
  </si>
  <si>
    <t>Performed surface cleaning
Check mechanical part
Checks lights
Checked lenses and eyepieces
Cleaned Eyepieces
Cleaned camera adapter
Checked functionality
Performed Preventive Maintenance</t>
  </si>
  <si>
    <t>Unit is operation but eyepiece molds cannot be accessed because located between 2 lenses</t>
  </si>
  <si>
    <t>https://www.jotform.com/uploads/macarewecare/222927978372067/6267238373617246913/6267238373617246913_signature_28.png</t>
  </si>
  <si>
    <t>https://www.jotform.com/uploads/macarewecare/222927978372067/6267238373617246913/6267238373617246913_signature_31.png</t>
  </si>
  <si>
    <t>Unit for maintenance
Reported temperature error on B2</t>
  </si>
  <si>
    <t>Unit is operational 
Room ambient temp. 27 deg. C on average
Module B2 is under observation</t>
  </si>
  <si>
    <t>https://www.jotform.com/uploads/macarewecare/222927978372067/6267223294425471149/6267223294425471149_signature_28.png</t>
  </si>
  <si>
    <t>https://www.jotform.com/uploads/macarewecare/222927978372067/6267223294425471149/6267223294425471149_signature_31.png</t>
  </si>
  <si>
    <t>Computer Keyboard defective</t>
  </si>
  <si>
    <t>Unit is Operational (Module B3 for replacement)</t>
  </si>
  <si>
    <t>1 Keyboard SN:24JIU00</t>
  </si>
  <si>
    <t>https://www.jotform.com/uploads/macarewecare/222927978372067/6267217782795600246/6267217782795600246_signature_28.png</t>
  </si>
  <si>
    <t>https://www.jotform.com/uploads/macarewecare/222927978372067/6267217782795600246/6267217782795600246_signature_31.png</t>
  </si>
  <si>
    <t>Blumentritt St. Sta. Cruz, Manila</t>
  </si>
  <si>
    <t>Unit for preventive maintenance.
For replacement if rubber rollers.</t>
  </si>
  <si>
    <t>Performed Preventive Maintenance.
Checked and replaced worn-out rubber rollers of rotor pumps.
Verified calibration parameters.
Performed simulation running.</t>
  </si>
  <si>
    <t>6pcs. Uretane rollers.</t>
  </si>
  <si>
    <t>DR#13086</t>
  </si>
  <si>
    <t>https://www.jotform.com/uploads/macarewecare/222927978372067/6267081196292780675/6267081196292780675_signature_28.png</t>
  </si>
  <si>
    <t>https://www.jotform.com/uploads/macarewecare/222927978372067/6267081196292780675/6267081196292780675_signature_31.png</t>
  </si>
  <si>
    <t>Blood pump positioning error.</t>
  </si>
  <si>
    <t>Replacement of pump motor Blood pump, transfer pump motor,
Calibrate the machine</t>
  </si>
  <si>
    <t>Replacement of pump motor Blood pump, transfer pump motor,</t>
  </si>
  <si>
    <t>https://www.jotform.com/uploads/macarewecare/222927978372067/6267065365074068162/6267065365074068162_signature_28.png</t>
  </si>
  <si>
    <t>https://www.jotform.com/uploads/macarewecare/222927978372067/6267065365074068162/6267065365074068162_signature_31.png</t>
  </si>
  <si>
    <t xml:space="preserve">ASSAY: Xpert C. difficile BT, COUNT: 1
ASSAY: Xpert HBV VL, COUNT: 40
ASSAY: Xpert HPV, COUNT: 10
ASSAY: Xpert MTB/RIF Ultra, COUNT: 401
</t>
  </si>
  <si>
    <t>Due for maintenance
Last xpertcheck 3/8/24</t>
  </si>
  <si>
    <t>https://www.jotform.com/uploads/macarewecare/222927978372067/6267061573614107849/6267061573614107849_signature_28.png</t>
  </si>
  <si>
    <t>Margarita N. Dionisio</t>
  </si>
  <si>
    <t>https://www.jotform.com/uploads/macarewecare/222927978372067/6267061573614107849/6267061573614107849_signature_31.png</t>
  </si>
  <si>
    <t>Amorosolo st,Makati</t>
  </si>
  <si>
    <t>janeshyrelenriquez.medilinx@outlook.com</t>
  </si>
  <si>
    <t xml:space="preserve">ASSAY: Xpert BCR-ABL Ultra, COUNT: 89
ASSAY: Xpert CT/NG, COUNT: 214
ASSAY: Xpert HBV VL, COUNT: 51
ASSAY: Xpert HPV, COUNT: 100
ASSAY: Xpert MTB/RIF Ultra, COUNT: 917
ASSAY: Others, COUNT: 6
ASSAY: Xpert HCV VL, COUNT: 50
ASSAY: Xpert HIV-1 Viral Load, COUNT: 544
</t>
  </si>
  <si>
    <t>GX16 D (10C)</t>
  </si>
  <si>
    <t>Due for maintenance
For module replacement C1 210135631 - 611643</t>
  </si>
  <si>
    <t>Operational 
All modules working</t>
  </si>
  <si>
    <t>900-0650rs</t>
  </si>
  <si>
    <t>https://www.jotform.com/uploads/macarewecare/222927978372067/6267057163611109495/6267057163611109495_signature_28.png</t>
  </si>
  <si>
    <t>Medi Linx Laboratory Inc</t>
  </si>
  <si>
    <t>https://www.jotform.com/uploads/macarewecare/222927978372067/6267057163611109495/6267057163611109495_signature_31.png</t>
  </si>
  <si>
    <t>rosandhreikatherinejose@gmail.com</t>
  </si>
  <si>
    <t>https://www.jotform.com/uploads/macarewecare/222927978372067/6266459146291791778/6266459146291791778_signature_28.png</t>
  </si>
  <si>
    <t>Rosandhrei Katherine Jose</t>
  </si>
  <si>
    <t>https://www.jotform.com/uploads/macarewecare/222927978372067/6266459146291791778/6266459146291791778_signature_31.png</t>
  </si>
  <si>
    <t xml:space="preserve">ASSAY: Xpert MTB/RIF Ultra, COUNT: 578
</t>
  </si>
  <si>
    <t>B3: 808251 for module replacement</t>
  </si>
  <si>
    <t>Unit is operational 
B3:719205 new module</t>
  </si>
  <si>
    <t>https://www.jotform.com/uploads/macarewecare/222927978372067/6266445953123678265/6266445953123678265_signature_28.png</t>
  </si>
  <si>
    <t>https://www.jotform.com/uploads/macarewecare/222927978372067/6266445953123678265/6266445953123678265_signature_31.png</t>
  </si>
  <si>
    <t xml:space="preserve">ASSAY: Xpert HPV, COUNT: 15
ASSAY: Xpert MTB/RIF Ultra, COUNT: 2993
</t>
  </si>
  <si>
    <t>https://www.jotform.com/uploads/macarewecare/222927978372067/6266401563387329530/6266401563387329530_signature_28.png</t>
  </si>
  <si>
    <t>https://www.jotform.com/uploads/macarewecare/222927978372067/6266401563387329530/6266401563387329530_signature_31.png</t>
  </si>
  <si>
    <t>Sna Pablo Laguna</t>
  </si>
  <si>
    <t>INSTALLATION
MAINTENANCE
ON-SITE ASSISTANCE</t>
  </si>
  <si>
    <t>Unit for relocation to another room.
Unit for preventive maintenance.</t>
  </si>
  <si>
    <t>Performed relocation.
Performed Preventive Maintenance.
-Cleaned and disinfect plunger
-Cleaned and disinfect cartridge bay
-Cleaned and disinfect instrument surface
-Cleaned icore sensors
-Cleaned filter fan
-Archived test results
Generated reports.</t>
  </si>
  <si>
    <t>https://www.jotform.com/uploads/macarewecare/222927978372067/6266391826297547043/6266391826297547043_signature_28.png</t>
  </si>
  <si>
    <t>Leonybelle Ann Alvarez</t>
  </si>
  <si>
    <t>https://www.jotform.com/uploads/macarewecare/222927978372067/6266391826297547043/6266391826297547043_signature_31.png</t>
  </si>
  <si>
    <t>Concepcion, Naga</t>
  </si>
  <si>
    <t>bmc.bloodbank@gmail.com</t>
  </si>
  <si>
    <t>Buzzing sound on centrifuge during operational</t>
  </si>
  <si>
    <t>Adjusted screw of centrifuge lid
Tested if there is any buzzing sound(resolved)</t>
  </si>
  <si>
    <t>https://www.jotform.com/uploads/macarewecare/222927978372067/6266381955758691044/6266381955758691044_signature_28.png</t>
  </si>
  <si>
    <t>Jake S. Moreno</t>
  </si>
  <si>
    <t>https://www.jotform.com/uploads/macarewecare/222927978372067/6266381955758691044/6266381955758691044_signature_31.png</t>
  </si>
  <si>
    <t xml:space="preserve">ASSAY: Xpert MTB/RIF Ultra, COUNT: 1178
</t>
  </si>
  <si>
    <t>https://www.jotform.com/uploads/macarewecare/222927978372067/6266369054713812221/6266369054713812221_signature_28.png</t>
  </si>
  <si>
    <t>https://www.jotform.com/uploads/macarewecare/222927978372067/6266369054713812221/6266369054713812221_signature_31.png</t>
  </si>
  <si>
    <t>PRC Port Area</t>
  </si>
  <si>
    <t>Bonifacio Drive, Port Area, Manila</t>
  </si>
  <si>
    <t>Worn out rotor rubber roller.</t>
  </si>
  <si>
    <t>Replaced rotor rubber roller.</t>
  </si>
  <si>
    <t>Replaced rotor rubber roller.
Performed functionality test.</t>
  </si>
  <si>
    <t>Rotor rubber roller</t>
  </si>
  <si>
    <t>DR #: 13085</t>
  </si>
  <si>
    <t>https://www.jotform.com/uploads/macarewecare/222927978372067/6265609760224680368/6265609760224680368_signature_28.png</t>
  </si>
  <si>
    <t>Lalaine ilagan</t>
  </si>
  <si>
    <t>https://www.jotform.com/uploads/macarewecare/222927978372067/6265609760224680368/6265609760224680368_signature_31.png</t>
  </si>
  <si>
    <t>Unit is operational 
B1: insufficient cartridge 
B2: failed
B3: insufficient cartridge 
B4: passed</t>
  </si>
  <si>
    <t>https://www.jotform.com/uploads/macarewecare/222927978372067/6265573536318809589/6265573536318809589_signature_28.png</t>
  </si>
  <si>
    <t>https://www.jotform.com/uploads/macarewecare/222927978372067/6265573536318809589/6265573536318809589_signature_31.png</t>
  </si>
  <si>
    <t>Line sensor hard to detect the tubing.</t>
  </si>
  <si>
    <t>Adjust line sensor and check the valve of the mcs+ machine.</t>
  </si>
  <si>
    <t>https://www.jotform.com/uploads/macarewecare/222927978372067/6265557755074340606/6265557755074340606_signature_28.png</t>
  </si>
  <si>
    <t>https://www.jotform.com/uploads/macarewecare/222927978372067/6265557755074340606/6265557755074340606_signature_31.png</t>
  </si>
  <si>
    <t>Replacement of pump  Blood pump, transfer pump,</t>
  </si>
  <si>
    <t>https://www.jotform.com/uploads/macarewecare/222927978372067/6265556145072901934/6265556145072901934_signature_28.png</t>
  </si>
  <si>
    <t>https://www.jotform.com/uploads/macarewecare/222927978372067/6265556145072901934/6265556145072901934_signature_31.png</t>
  </si>
  <si>
    <t>Naga City, Cebu</t>
  </si>
  <si>
    <t>. Save system log file.
. Save installation qualification report.
. Save gxx file
. Save assay statistics report.</t>
  </si>
  <si>
    <t>. Clean plunger rod.
. Clean filter.
. Clean cartrage bay.
. Clean modules and wire's.
. Clean CPU and LCD</t>
  </si>
  <si>
    <t>https://www.jotform.com/uploads/macarewecare/222927978372067/6265536265846099885/6265536265846099885_signature_28.png</t>
  </si>
  <si>
    <t>Gene Carmel T. Procianos</t>
  </si>
  <si>
    <t>https://www.jotform.com/uploads/macarewecare/222927978372067/6265536265846099885/6265536265846099885_signature_31.png</t>
  </si>
  <si>
    <t xml:space="preserve">ASSAY: Xpert MTB/RIF Ultra, COUNT: 494
</t>
  </si>
  <si>
    <t>Stucked Cartidge
For Preventive Maintenance
Data Gathering</t>
  </si>
  <si>
    <t>Removed Stucked Cartidge,
Clean Surface Area, Cartridge Bay, Plunger Rod, Fan Filters, and Icore Lenses
Generate IQR, Assay Stat and System Log
Archived Data test results</t>
  </si>
  <si>
    <t>Perform Stucked Cartidge Removal, 
Preventive Maintenance and Data Gathering</t>
  </si>
  <si>
    <t>For observation Module 2</t>
  </si>
  <si>
    <t>https://www.jotform.com/uploads/macarewecare/222927978372067/6265527613225677325/6265527613225677325_signature_28.png</t>
  </si>
  <si>
    <t>Charlene V. Magallanes,. RMT</t>
  </si>
  <si>
    <t>https://www.jotform.com/uploads/macarewecare/222927978372067/6265527613225677325/6265527613225677325_signature_31.png</t>
  </si>
  <si>
    <t>Purok Bayabas, San Isidro, Talacogon</t>
  </si>
  <si>
    <t>shyratortor@gmail.com</t>
  </si>
  <si>
    <t>GX4 6 Colors</t>
  </si>
  <si>
    <t>UPS not working/ No power</t>
  </si>
  <si>
    <t>Replacing defective UPS to a working one.
Preventive Maintenance</t>
  </si>
  <si>
    <t>https://www.jotform.com/uploads/macarewecare/222927978372067/6265490325427847775/6265490325427847775_signature_28.png</t>
  </si>
  <si>
    <t>Shyra Ericka T. Calamba</t>
  </si>
  <si>
    <t>https://www.jotform.com/uploads/macarewecare/222927978372067/6265490325427847775/6265490325427847775_signature_31.png</t>
  </si>
  <si>
    <t>GX-4 6 colors</t>
  </si>
  <si>
    <t>Defective LCD Monitor. Blue thick line found at the bottom of the screen.</t>
  </si>
  <si>
    <t>Reported to Main Office</t>
  </si>
  <si>
    <t>Data Collection
Preventive Maintenance
Troubleshooting of LCD Monitor</t>
  </si>
  <si>
    <t>All modules are functional. Monitor can be used temporarily.</t>
  </si>
  <si>
    <t>https://www.jotform.com/uploads/macarewecare/222927978372067/6265408221304273871/6265408221304273871_signature_28.png</t>
  </si>
  <si>
    <t>https://www.jotform.com/uploads/macarewecare/222927978372067/6265408221304273871/6265408221304273871_signature_31.png</t>
  </si>
  <si>
    <t>Brgy.Amas, Kidapawan City</t>
  </si>
  <si>
    <t>Installed Genexpert machine :110026514
Installed CPU SN:*CPH1124F56416* with keyboard and mouse 
Installed Monitor Del SN:CN-0WMYC5FCC00-478-CR3X-A07
Installed UPS Accupower SN:AT1K240705ST0038
Installed Printer HP SN:CN4AH427D7
Installed Assays: MTB-ULTRA, MTB-XDR and HIV-1 Viral load 
Checking of module status 
Data Collection</t>
  </si>
  <si>
    <t>Perform Genexpert machine Installation</t>
  </si>
  <si>
    <t>https://www.jotform.com/uploads/macarewecare/222927978372067/6265289285514871074/6265289285514871074_signature_28.png</t>
  </si>
  <si>
    <t>https://www.jotform.com/uploads/macarewecare/222927978372067/6265289285514871074/6265289285514871074_signature_31.png</t>
  </si>
  <si>
    <t>Municipal Compound, Tanza, Cavite</t>
  </si>
  <si>
    <t xml:space="preserve">ASSAY: Xpert HBV VL, COUNT: 2
ASSAY: Xpert HCV VL, COUNT: 4
ASSAY: Xpert HIV-1 Viral Load, COUNT: 102
</t>
  </si>
  <si>
    <t>https://www.jotform.com/uploads/macarewecare/222927978372067/6264768873613182900/6264768873613182900_signature_28.png</t>
  </si>
  <si>
    <t>https://www.jotform.com/uploads/macarewecare/222927978372067/6264768873613182900/6264768873613182900_signature_31.png</t>
  </si>
  <si>
    <t>Preventive Maintenance
Data Gathering</t>
  </si>
  <si>
    <t>https://www.jotform.com/uploads/macarewecare/222927978372067/6264679659212620813/6264679659212620813_signature_28.png</t>
  </si>
  <si>
    <t>https://www.jotform.com/uploads/macarewecare/222927978372067/6264679659212620813/6264679659212620813_signature_31.png</t>
  </si>
  <si>
    <t>Citywalk 2, Eastwood, Quezon City</t>
  </si>
  <si>
    <t xml:space="preserve">ASSAY: Xpert HIV-1 Viral Load, COUNT: 92
</t>
  </si>
  <si>
    <t>https://www.jotform.com/uploads/macarewecare/222927978372067/6264559333612588463/6264559333612588463_signature_28.png</t>
  </si>
  <si>
    <t>mary claire baptista</t>
  </si>
  <si>
    <t>https://www.jotform.com/uploads/macarewecare/222927978372067/6264559333612588463/6264559333612588463_signature_31.png</t>
  </si>
  <si>
    <t>amcl2008@gmail.com</t>
  </si>
  <si>
    <t xml:space="preserve">ASSAY: Xpert MTB/RIF Ultra, COUNT: 594
</t>
  </si>
  <si>
    <t>Unit is operational. Module B1 disabled, reported already.</t>
  </si>
  <si>
    <t>https://www.jotform.com/uploads/macarewecare/222927978372067/6264559323616685629/6264559323616685629_signature_28.png</t>
  </si>
  <si>
    <t>Sandy Cecille P. Velasco</t>
  </si>
  <si>
    <t>https://www.jotform.com/uploads/macarewecare/222927978372067/6264559323616685629/6264559323616685629_signature_31.png</t>
  </si>
  <si>
    <t>Kidapawan City, North Cotabato b</t>
  </si>
  <si>
    <t>kidcholaboratory@gmail.com</t>
  </si>
  <si>
    <t xml:space="preserve">ASSAY: Xpert MTB/RIF Ultra, COUNT: 2310
</t>
  </si>
  <si>
    <t>Perform Genexpert Cleaning and maintenance 
Module cleaning
Plunger rod and Optics cleaning 
Fan filter cleaning 
Checking of module status and errors 
Data collection</t>
  </si>
  <si>
    <t>https://www.jotform.com/uploads/macarewecare/222927978372067/6264114456861254953/6264114456861254953_signature_28.png</t>
  </si>
  <si>
    <t>Cunanan, Neil Everson P.</t>
  </si>
  <si>
    <t>https://www.jotform.com/uploads/macarewecare/222927978372067/6264114456861254953/6264114456861254953_signature_31.png</t>
  </si>
  <si>
    <t>Dr. Amado Diaz Provincial Foundation Hospital</t>
  </si>
  <si>
    <t>Midsayap, North Cotabato</t>
  </si>
  <si>
    <t>charlenemaeamatac526@gmail.com</t>
  </si>
  <si>
    <t xml:space="preserve">ASSAY: Xpert MTB/RIF Ultra, COUNT: 1273
ASSAY: Xpert HIV-1 Viral Load, COUNT: 192
</t>
  </si>
  <si>
    <t>Perform Genexpert re-installation to new laboratory 
Perform Genexpert Cleaning and maintenance 
Module cleaning 
Plunger rod and Optics cleaning 
Fan filter cleaning 
Checking modules status and errors
Data collection</t>
  </si>
  <si>
    <t>Genexpert Preventive maintenance 
Genexpert machine re-installation</t>
  </si>
  <si>
    <t>https://www.jotform.com/uploads/macarewecare/222927978372067/6264109056865858903/6264109056865858903_signature_28.png</t>
  </si>
  <si>
    <t>Charlene Mae A. Amatac</t>
  </si>
  <si>
    <t>https://www.jotform.com/uploads/macarewecare/222927978372067/6264109056865858903/6264109056865858903_signature_31.png</t>
  </si>
  <si>
    <t>Virac Municipal Health Office</t>
  </si>
  <si>
    <t>limarmariano50@yahoo.com</t>
  </si>
  <si>
    <t xml:space="preserve">ASSAY: Xpert MTB/RIF Ultra, COUNT: 2505
</t>
  </si>
  <si>
    <t>https://www.jotform.com/uploads/macarewecare/222927978372067/6263970736427759880/6263970736427759880_signature_28.png</t>
  </si>
  <si>
    <t>https://www.jotform.com/uploads/macarewecare/222927978372067/6263970736427759880/6263970736427759880_signature_31.png</t>
  </si>
  <si>
    <t>MAINTENANCE
Data Gathering</t>
  </si>
  <si>
    <t xml:space="preserve">ASSAY: Xpert MTB/RIF Ultra, COUNT: 777
</t>
  </si>
  <si>
    <t>https://www.jotform.com/uploads/macarewecare/222927978372067/6262149259648750150/6262149259648750150_signature_28.png</t>
  </si>
  <si>
    <t>https://www.jotform.com/uploads/macarewecare/222927978372067/6262149259648750150/6262149259648750150_signature_31.png</t>
  </si>
  <si>
    <t xml:space="preserve">ASSAY: Xpert MTB/RIF Ultra, COUNT: 696
</t>
  </si>
  <si>
    <t>Gx for Preventive Maintenance 
CPU non operational (beeping code)</t>
  </si>
  <si>
    <t>Cleaned dust inside CPU
Cleaned RAM
Changed RAM slot input
Cleaned cartridge bays, plunger rod 
Generate Data</t>
  </si>
  <si>
    <t>Unit is operational 
CPU is operational</t>
  </si>
  <si>
    <t>Grid appearance on scren of monitor</t>
  </si>
  <si>
    <t>https://www.jotform.com/uploads/macarewecare/222927978372067/6262108248924052015/6262108248924052015_signature_28.png</t>
  </si>
  <si>
    <t>Floramar M. Antipolo</t>
  </si>
  <si>
    <t>https://www.jotform.com/uploads/macarewecare/222927978372067/6262108248924052015/6262108248924052015_signature_31.png</t>
  </si>
  <si>
    <t>galagao@loveyourself.ph</t>
  </si>
  <si>
    <t>Missing assay definition file</t>
  </si>
  <si>
    <t>Imported assay definition</t>
  </si>
  <si>
    <t>https://www.jotform.com/uploads/macarewecare/222927978372067/6262080940023152728/6262080940023152728_signature_28.png</t>
  </si>
  <si>
    <t>Genesis Alagao</t>
  </si>
  <si>
    <t>https://www.jotform.com/uploads/macarewecare/222927978372067/6262080940023152728/6262080940023152728_signature_31.png</t>
  </si>
  <si>
    <t>Brgy. Hinaplanon, Iligan City, Lanao del Norte</t>
  </si>
  <si>
    <t>https://www.jotform.com/uploads/macarewecare/222927978372067/6262075015575521462/6262075015575521462_signature_28.png</t>
  </si>
  <si>
    <t>Amy S. Villacorta</t>
  </si>
  <si>
    <t>https://www.jotform.com/uploads/macarewecare/222927978372067/6262075015575521462/6262075015575521462_signature_31.png</t>
  </si>
  <si>
    <t xml:space="preserve">ASSAY: Xpert MTB/RIF Ultra, COUNT: 1601
ASSAY: Xpert HIV-1 Viral Load, COUNT: 1379
ASSAY: Xpert HCV VL, COUNT: 2
ASSAY: Xpert SARS-CoV-2, COUNT: 12
ASSAY: Xpert MTB-XDR, COUNT: 4
ASSAY: Xpert HPV, COUNT: 1
ASSAY: Xpert HBV VL, COUNT: 6
ASSAY: Xpert CT/NG, COUNT: 9
</t>
  </si>
  <si>
    <t>Stucked Cartidge on Module B4
For Preventive Maintenance</t>
  </si>
  <si>
    <t>Removed the Stucked Cartidge form Module 4
Clean Surface Area, Cartridge Bay, Plunger Rod, Fan Filters and Icore Lenses
Generate IQR, Assay Stat and System Log
Archived Data test results</t>
  </si>
  <si>
    <t>Perform Preventive Maintenance
Removal of Stucked Cartidge</t>
  </si>
  <si>
    <t>Successfully removed the Stucked Cartidge
All Modules are operational</t>
  </si>
  <si>
    <t>https://www.jotform.com/uploads/macarewecare/222927978372067/6261955059698205588/6261955059698205588_signature_28.png</t>
  </si>
  <si>
    <t>https://www.jotform.com/uploads/macarewecare/222927978372067/6261955059698205588/6261955059698205588_signature_31.png</t>
  </si>
  <si>
    <t>Masbate City</t>
  </si>
  <si>
    <t>desrmt2017@gmail.com</t>
  </si>
  <si>
    <t xml:space="preserve">ASSAY: Xpert MTB/RIF Ultra, COUNT: 1125
ASSAY: Xpert MTB-XDR, COUNT: 37
</t>
  </si>
  <si>
    <t>https://www.jotform.com/uploads/macarewecare/222927978372067/6261934082289864446/6261934082289864446_signature_28.png</t>
  </si>
  <si>
    <t>Desiree Mae D Dela Rosa</t>
  </si>
  <si>
    <t>https://www.jotform.com/uploads/macarewecare/222927978372067/6261934082289864446/6261934082289864446_signature_31.png</t>
  </si>
  <si>
    <t xml:space="preserve">ASSAY: Xpert MTB/RIF Ultra, COUNT: 273
ASSAY: Xpert SARS-CoV-2, COUNT: 72
ASSAY: Xpert HIV-1 Viral Load, COUNT: 591
</t>
  </si>
  <si>
    <t>https://www.jotform.com/uploads/macarewecare/222927978372067/6261902509691934040/6261902509691934040_signature_28.png</t>
  </si>
  <si>
    <t>Flordeliza Go,. RMT MPH</t>
  </si>
  <si>
    <t>https://www.jotform.com/uploads/macarewecare/222927978372067/6261902509691934040/6261902509691934040_signature_31.png</t>
  </si>
  <si>
    <t>Installation of Demo Unit for the replacement of the defective Unit Serial No. 17H639SPG.</t>
  </si>
  <si>
    <t>https://www.jotform.com/uploads/macarewecare/222927978372067/6261864993446707502/6261864993446707502_signature_28.png</t>
  </si>
  <si>
    <t>https://www.jotform.com/uploads/macarewecare/222927978372067/6261864993446707502/6261864993446707502_signature_31.png</t>
  </si>
  <si>
    <t>Tomas Cabili Health Center</t>
  </si>
  <si>
    <t>Iligan City, Misamis Oriental</t>
  </si>
  <si>
    <t>mariacielovenezuela@gmail.com</t>
  </si>
  <si>
    <t xml:space="preserve">ASSAY: Xpert MTB/RIF Ultra, COUNT: 1058
</t>
  </si>
  <si>
    <t>https://www.jotform.com/uploads/macarewecare/222927978372067/6261309916475290558/6261309916475290558_signature_28.png</t>
  </si>
  <si>
    <t>Maria Cielo Venezuela</t>
  </si>
  <si>
    <t>https://www.jotform.com/uploads/macarewecare/222927978372067/6261309916475290558/6261309916475290558_signature_31.png</t>
  </si>
  <si>
    <t>REPAIR
Pull out the unit for repair</t>
  </si>
  <si>
    <t>17H639SPG</t>
  </si>
  <si>
    <t>SPM is out of tolerance and failed test during start up.</t>
  </si>
  <si>
    <t>Replacement of the motherboard of the CPU.</t>
  </si>
  <si>
    <t>Unit for pull out and replacement of the demo unit.</t>
  </si>
  <si>
    <t>https://www.jotform.com/uploads/macarewecare/222927978372067/6261302223446907966/6261302223446907966_signature_28.png</t>
  </si>
  <si>
    <t>https://www.jotform.com/uploads/macarewecare/222927978372067/6261302223446907966/6261302223446907966_signature_31.png</t>
  </si>
  <si>
    <t>Kauswagan, Misamis Oriental</t>
  </si>
  <si>
    <t xml:space="preserve">ASSAY: Xpert MTB/RIF Ultra, COUNT: 330
</t>
  </si>
  <si>
    <t>https://www.jotform.com/uploads/macarewecare/222927978372067/6261272643215551320/6261272643215551320_signature_28.png</t>
  </si>
  <si>
    <t>https://www.jotform.com/uploads/macarewecare/222927978372067/6261272643215551320/6261272643215551320_signature_31.png</t>
  </si>
  <si>
    <t>Replacement of the motherboard of the CPU. 
Calibrate the SPM unit.</t>
  </si>
  <si>
    <t>Unit is not operational due to defective SPM unit. Unit recommended for repair in the office and provide temporary demo unit.</t>
  </si>
  <si>
    <t>https://www.jotform.com/uploads/macarewecare/222927978372067/6261272533446368819/6261272533446368819_signature_28.png</t>
  </si>
  <si>
    <t>https://www.jotform.com/uploads/macarewecare/222927978372067/6261272533446368819/6261272533446368819_signature_31.png</t>
  </si>
  <si>
    <t>Unit is operational and under observation.</t>
  </si>
  <si>
    <t>https://www.jotform.com/uploads/macarewecare/222927978372067/6261269473444513181/6261269473444513181_signature_28.png</t>
  </si>
  <si>
    <t>https://www.jotform.com/uploads/macarewecare/222927978372067/6261269473444513181/6261269473444513181_signature_31.png</t>
  </si>
  <si>
    <t>15H044 G</t>
  </si>
  <si>
    <t>Defective Line Sensor Assembly.</t>
  </si>
  <si>
    <t>Replaced line sensor assembly.
Performed functionality test.
Run simulation test.</t>
  </si>
  <si>
    <t>Replaced line Senson Assembly.
Note: Service part only.</t>
  </si>
  <si>
    <t>Service part only.</t>
  </si>
  <si>
    <t>Line sensor assembly.</t>
  </si>
  <si>
    <t>DR #: 13102</t>
  </si>
  <si>
    <t>https://www.jotform.com/uploads/macarewecare/222927978372067/6261262475617133485/6261262475617133485_signature_28.png</t>
  </si>
  <si>
    <t>Rock banda</t>
  </si>
  <si>
    <t>https://www.jotform.com/uploads/macarewecare/222927978372067/6261262475617133485/6261262475617133485_signature_31.png</t>
  </si>
  <si>
    <t>Cawayan Rural Health Office</t>
  </si>
  <si>
    <t>Cawayan</t>
  </si>
  <si>
    <t>clenettedollison@gmail.com</t>
  </si>
  <si>
    <t xml:space="preserve">ASSAY: Xpert MTB/RIF Ultra, COUNT: 1337
</t>
  </si>
  <si>
    <t>https://www.jotform.com/uploads/macarewecare/222927978372067/6261259856334570644/6261259856334570644_signature_28.png</t>
  </si>
  <si>
    <t>Clenette Nyza A. Dollison</t>
  </si>
  <si>
    <t>https://www.jotform.com/uploads/macarewecare/222927978372067/6261259856334570644/6261259856334570644_signature_31.png</t>
  </si>
  <si>
    <t>https://www.jotform.com/uploads/macarewecare/222927978372067/6261186203216139302/6261186203216139302_signature_28.png</t>
  </si>
  <si>
    <t>Rodelyn Limocon</t>
  </si>
  <si>
    <t>https://www.jotform.com/uploads/macarewecare/222927978372067/6261186203216139302/6261186203216139302_signature_31.png</t>
  </si>
  <si>
    <t>Caraycayon,  Tigaon</t>
  </si>
  <si>
    <t>https://www.jotform.com/uploads/macarewecare/222927978372067/6260671356426284739/6260671356426284739_signature_28.png</t>
  </si>
  <si>
    <t>Maria Jesusa P.Imperial</t>
  </si>
  <si>
    <t>https://www.jotform.com/uploads/macarewecare/222927978372067/6260671356426284739/6260671356426284739_signature_31.png</t>
  </si>
  <si>
    <t>https://www.jotform.com/uploads/macarewecare/222927978372067/6260671066427713536/6260671066427713536_signature_28.png</t>
  </si>
  <si>
    <t>Rosmar Formalejo</t>
  </si>
  <si>
    <t>https://www.jotform.com/uploads/macarewecare/222927978372067/6260671066427713536/6260671066427713536_signature_31.png</t>
  </si>
  <si>
    <t xml:space="preserve">ASSAY: Xpert MTB/RIF Ultra, COUNT: 1206
</t>
  </si>
  <si>
    <t>B2/862906 - 2014, 4009</t>
  </si>
  <si>
    <t>https://www.jotform.com/uploads/macarewecare/222927978372067/6260670516429894373/6260670516429894373_signature_28.png</t>
  </si>
  <si>
    <t>https://www.jotform.com/uploads/macarewecare/222927978372067/6260670516429894373/6260670516429894373_signature_31.png</t>
  </si>
  <si>
    <t>triciamaemariano@gmail.com</t>
  </si>
  <si>
    <t>https://www.jotform.com/uploads/macarewecare/222927978372067/6260669126424960205/6260669126424960205_signature_28.png</t>
  </si>
  <si>
    <t>Tricia Mae Mariano</t>
  </si>
  <si>
    <t>https://www.jotform.com/uploads/macarewecare/222927978372067/6260669126424960205/6260669126424960205_signature_31.png</t>
  </si>
  <si>
    <t>Calabanga</t>
  </si>
  <si>
    <t xml:space="preserve">ASSAY: Xpert MTB/RIF Ultra, COUNT: 968
</t>
  </si>
  <si>
    <t>https://www.jotform.com/uploads/macarewecare/222927978372067/6260668756429145801/6260668756429145801_signature_28.png</t>
  </si>
  <si>
    <t>https://www.jotform.com/uploads/macarewecare/222927978372067/6260668756429145801/6260668756429145801_signature_31.png</t>
  </si>
  <si>
    <t xml:space="preserve">ASSAY: Xpert MTB/RIF Ultra, COUNT: 1298
</t>
  </si>
  <si>
    <t>B1/688686 - 1002</t>
  </si>
  <si>
    <t>https://www.jotform.com/uploads/macarewecare/222927978372067/6260665446422134367/6260665446422134367_signature_28.png</t>
  </si>
  <si>
    <t>Liezl F. Sanao</t>
  </si>
  <si>
    <t>https://www.jotform.com/uploads/macarewecare/222927978372067/6260665446422134367/6260665446422134367_signature_31.png</t>
  </si>
  <si>
    <t xml:space="preserve">ASSAY: Xpert MTB/RIF Ultra, COUNT: 596
</t>
  </si>
  <si>
    <t>Cleaned Icore 
Cleaned Cartridge Bay 
Cleaned Filter 
Cleaned Plunger Rod</t>
  </si>
  <si>
    <t>https://www.jotform.com/uploads/macarewecare/222927978372067/6260417720889334092/6260417720889334092_signature_28.png</t>
  </si>
  <si>
    <t>Janette Santiago</t>
  </si>
  <si>
    <t>https://www.jotform.com/uploads/macarewecare/222927978372067/6260417720889334092/6260417720889334092_signature_31.png</t>
  </si>
  <si>
    <t>Labuan Zamboanga City</t>
  </si>
  <si>
    <t>REPAIR
Module Replacement</t>
  </si>
  <si>
    <t xml:space="preserve">ASSAY: Xpert MTB/RIF Ultra, COUNT: 2577
</t>
  </si>
  <si>
    <t>System unit unable to turn on. Module 2 h/w failed</t>
  </si>
  <si>
    <t>Replaced defective module 862915 with new module 885595. Replaced RAM.</t>
  </si>
  <si>
    <t>All module are available and ready to use. System Unit is working properly.</t>
  </si>
  <si>
    <t>900-0491RS</t>
  </si>
  <si>
    <t>https://www.jotform.com/uploads/macarewecare/222927978372067/6260382246418491544/6260382246418491544_signature_28.png</t>
  </si>
  <si>
    <t>https://www.jotform.com/uploads/macarewecare/222927978372067/6260382246418491544/6260382246418491544_signature_31.png</t>
  </si>
  <si>
    <t xml:space="preserve">ASSAY: Xpert MTB/RIF Ultra, COUNT: 1585
</t>
  </si>
  <si>
    <t>https://www.jotform.com/uploads/macarewecare/222927978372067/6260368601791435037/6260368601791435037_signature_28.png</t>
  </si>
  <si>
    <t>Arlyn Daggao</t>
  </si>
  <si>
    <t>https://www.jotform.com/uploads/macarewecare/222927978372067/6260368601791435037/6260368601791435037_signature_31.png</t>
  </si>
  <si>
    <t xml:space="preserve">ASSAY: Xpert MTB/RIF Ultra, COUNT: 519
</t>
  </si>
  <si>
    <t>UPS Battery defective
Data Gathering</t>
  </si>
  <si>
    <t>Replaced the Defective UPS Battery with new UPS Battery
Export CSV Files</t>
  </si>
  <si>
    <t>Perform UPS Battery Replacement
Data Gathering</t>
  </si>
  <si>
    <t>Successfully replaced the UPS Batteries</t>
  </si>
  <si>
    <t>https://www.jotform.com/uploads/macarewecare/222927978372067/6260337175693525779/6260337175693525779_signature_28.png</t>
  </si>
  <si>
    <t>https://www.jotform.com/uploads/macarewecare/222927978372067/6260337175693525779/6260337175693525779_signature_31.png</t>
  </si>
  <si>
    <t xml:space="preserve">ASSAY: Xpert MTB/RIF Ultra, COUNT: 1229
</t>
  </si>
  <si>
    <t>https://www.jotform.com/uploads/macarewecare/222927978372067/6260284684534776404/6260284684534776404_signature_28.png</t>
  </si>
  <si>
    <t>https://www.jotform.com/uploads/macarewecare/222927978372067/6260284684534776404/6260284684534776404_signature_31.png</t>
  </si>
  <si>
    <t>Brgy. Nazareth, Cagayan de Oro City, Misamis Oriental</t>
  </si>
  <si>
    <t>nanettebtolentino@gmail.com</t>
  </si>
  <si>
    <t>https://www.jotform.com/uploads/macarewecare/222927978372067/6260284013211578881/6260284013211578881_signature_28.png</t>
  </si>
  <si>
    <t>https://www.jotform.com/uploads/macarewecare/222927978372067/6260284013211578881/6260284013211578881_signature_31.png</t>
  </si>
  <si>
    <t>DR. CATALINO NAVA PROVINCIAL HOSPITAL</t>
  </si>
  <si>
    <t>MAINTENANCE
GX Transfer</t>
  </si>
  <si>
    <t>dcgnphlab@gmail.com</t>
  </si>
  <si>
    <t>mylene210@yahoo.com</t>
  </si>
  <si>
    <t xml:space="preserve">ASSAY: , COUNT: 0
</t>
  </si>
  <si>
    <t>https://www.jotform.com/uploads/macarewecare/222927978372067/6260272259317342349/6260272259317342349_signature_28.png</t>
  </si>
  <si>
    <t>Mylene Publico, RMT</t>
  </si>
  <si>
    <t>https://www.jotform.com/uploads/macarewecare/222927978372067/6260272259317342349/6260272259317342349_signature_31.png</t>
  </si>
  <si>
    <t>Cagayan de Oro City, Misamis Oriental</t>
  </si>
  <si>
    <t>https://www.jotform.com/uploads/macarewecare/222927978372067/6260198846019103550/6260198846019103550_signature_28.png</t>
  </si>
  <si>
    <t>Juvy T. Madarang</t>
  </si>
  <si>
    <t>https://www.jotform.com/uploads/macarewecare/222927978372067/6260198846019103550/6260198846019103550_signature_31.png</t>
  </si>
  <si>
    <t>https://www.jotform.com/uploads/macarewecare/222927978372067/6259591702529477621/6259591702529477621_signature_28.png</t>
  </si>
  <si>
    <t>https://www.jotform.com/uploads/macarewecare/222927978372067/6259591702529477621/6259591702529477621_signature_31.png</t>
  </si>
  <si>
    <t>https://www.jotform.com/uploads/macarewecare/222927978372067/6259589902524438872/6259589902524438872_signature_28.png</t>
  </si>
  <si>
    <t>https://www.jotform.com/uploads/macarewecare/222927978372067/6259589902524438872/6259589902524438872_signature_31.png</t>
  </si>
  <si>
    <t>Piat Municipal Health Unit</t>
  </si>
  <si>
    <t>Piat, Cagayan</t>
  </si>
  <si>
    <t>sentrongsigla1999@yahoo.com.ph</t>
  </si>
  <si>
    <t xml:space="preserve">ASSAY: Xpert MTB/RIF Ultra, COUNT: 274
</t>
  </si>
  <si>
    <t>Performed Maintenance
Performed Functionality Test</t>
  </si>
  <si>
    <t>Gathered Reports
Cleaned Icore
Cleaned Cartridge Bay
Cleaned Filter
Cleaned plunger arod</t>
  </si>
  <si>
    <t>https://www.jotform.com/uploads/macarewecare/222927978372067/6259545678561012814/6259545678561012814_signature_28.png</t>
  </si>
  <si>
    <t>Marie Atap Salas</t>
  </si>
  <si>
    <t>https://www.jotform.com/uploads/macarewecare/222927978372067/6259545678561012814/6259545678561012814_signature_31.png</t>
  </si>
  <si>
    <t>Tuao, Cagayan</t>
  </si>
  <si>
    <t xml:space="preserve">ASSAY: Xpert MTB/RIF Ultra, COUNT: 745
</t>
  </si>
  <si>
    <t>Gathered Reports
Cleaned Icore
Cleaned Cartridge Bay
Cleaned Plunger Rox
Cleaned Filter</t>
  </si>
  <si>
    <t>https://www.jotform.com/uploads/macarewecare/222927978372067/6259510558605565317/6259510558605565317_signature_28.png</t>
  </si>
  <si>
    <t>Rollaine Ann Fernandez</t>
  </si>
  <si>
    <t>https://www.jotform.com/uploads/macarewecare/222927978372067/6259510558605565317/6259510558605565317_signature_31.png</t>
  </si>
  <si>
    <t>chocdotbdots@gmail.com</t>
  </si>
  <si>
    <t xml:space="preserve">ASSAY: Xpert MTB/RIF Ultra, COUNT: 1951
</t>
  </si>
  <si>
    <t>Filter needs to be replaced.</t>
  </si>
  <si>
    <t>https://www.jotform.com/uploads/macarewecare/222927978372067/6259504273213761972/6259504273213761972_signature_28.png</t>
  </si>
  <si>
    <t>Darline Bollozos</t>
  </si>
  <si>
    <t>https://www.jotform.com/uploads/macarewecare/222927978372067/6259504273213761972/6259504273213761972_signature_31.png</t>
  </si>
  <si>
    <t>Filter needs to be replaced</t>
  </si>
  <si>
    <t>https://www.jotform.com/uploads/macarewecare/222927978372067/6259504273218515541/6259504273218515541_signature_28.png</t>
  </si>
  <si>
    <t>https://www.jotform.com/uploads/macarewecare/222927978372067/6259504273218515541/6259504273218515541_signature_31.png</t>
  </si>
  <si>
    <t xml:space="preserve">ASSAY: Xpert MTB/RIF Ultra, COUNT: 393
ASSAY: Xpert HIV-1 Viral Load, COUNT: 1923
</t>
  </si>
  <si>
    <t>Clean Surface Area, Cartridge Bay, Plunger Rod, Fan Filters and Icore Lenses
Generate IQR, Assay Stat and System Log
Archived Data test results</t>
  </si>
  <si>
    <t>Only Three Modules are operational</t>
  </si>
  <si>
    <t>https://www.jotform.com/uploads/macarewecare/222927978372067/6259467757542177214/6259467757542177214_signature_28.png</t>
  </si>
  <si>
    <t>Charlene Dueñas,. RMT</t>
  </si>
  <si>
    <t>https://www.jotform.com/uploads/macarewecare/222927978372067/6259467757542177214/6259467757542177214_signature_31.png</t>
  </si>
  <si>
    <t>https://www.jotform.com/uploads/macarewecare/222927978372067/6259465967549799286/6259465967549799286_signature_28.png</t>
  </si>
  <si>
    <t>https://www.jotform.com/uploads/macarewecare/222927978372067/6259465967549799286/6259465967549799286_signature_31.png</t>
  </si>
  <si>
    <t>St.Elizabeth Hospital Inc.</t>
  </si>
  <si>
    <t>vfbristol@sehi.ph</t>
  </si>
  <si>
    <t xml:space="preserve">ASSAY: Xpert MTB/RIF Ultra, COUNT: 9
</t>
  </si>
  <si>
    <t>Module 2,3, and 4 H/W failed (Hardwares failed)</t>
  </si>
  <si>
    <t>Perform Genexpert cleaning and maintenance 
Module cleaning 
Plunger rod and Optics cleaning 
Fan filter cleaning 
Checking of errors/problem
Problem reporting 
Data reporting</t>
  </si>
  <si>
    <t>1 operational module (module 1)
Module 2,3 &amp; 4 H/W failed</t>
  </si>
  <si>
    <t>Module 2,3 &amp; 4 requesting for module replacement</t>
  </si>
  <si>
    <t>https://www.jotform.com/uploads/macarewecare/222927978372067/6258910876867868365/6258910876867868365_signature_28.png</t>
  </si>
  <si>
    <t>Virdelyn Bristol</t>
  </si>
  <si>
    <t>https://www.jotform.com/uploads/macarewecare/222927978372067/6258910876867868365/6258910876867868365_signature_31.png</t>
  </si>
  <si>
    <t>MEDI LINX Laboratory Inc./ St.Elizabeth Hospital Inc.</t>
  </si>
  <si>
    <t>Micrology lab</t>
  </si>
  <si>
    <t>cl_SEHImaintest2@medilinx.com.ph</t>
  </si>
  <si>
    <t>All modules H/W failed (Hardware failed)</t>
  </si>
  <si>
    <t>Checking of modules status and problem
Errors/problem reporting 
Data collection</t>
  </si>
  <si>
    <t>https://www.jotform.com/uploads/macarewecare/222927978372067/6258907146864265021/6258907146864265021_signature_28.png</t>
  </si>
  <si>
    <t>Therese Christia Diana Cariaga</t>
  </si>
  <si>
    <t>https://www.jotform.com/uploads/macarewecare/222927978372067/6258907146864265021/6258907146864265021_signature_31.png</t>
  </si>
  <si>
    <t>Poblacion Malungon, Sarangani</t>
  </si>
  <si>
    <t>CPU hard start-up</t>
  </si>
  <si>
    <t>Perform CPU problem troubleshooting 
Replace CMOS battery 
CPU Cleaning 
Perform Genexpert Cleaning and maintenance 
Module cleaning 
Plunger rod and Optics cleaning 
Fan filter cleaning 
Checking of errors/problem 
Data collection</t>
  </si>
  <si>
    <t>CPU troubleshooting 
CPU repair 
Preventive maintenance</t>
  </si>
  <si>
    <t>https://www.jotform.com/uploads/macarewecare/222927978372067/6258903526864137039/6258903526864137039_signature_28.png</t>
  </si>
  <si>
    <t>https://www.jotform.com/uploads/macarewecare/222927978372067/6258903526864137039/6258903526864137039_signature_31.png</t>
  </si>
  <si>
    <t>Maddela District Hospital</t>
  </si>
  <si>
    <t>Maddela, Quirino</t>
  </si>
  <si>
    <t>Quirino</t>
  </si>
  <si>
    <t>mdhlaboratory00@gmail.com</t>
  </si>
  <si>
    <t xml:space="preserve">ASSAY: Xpert MTB/RIF Ultra, COUNT: 380
</t>
  </si>
  <si>
    <t>Monitor no power</t>
  </si>
  <si>
    <t>Replaced Monitor Adaptor</t>
  </si>
  <si>
    <t>https://www.jotform.com/uploads/macarewecare/222927978372067/6258724979113645310/6258724979113645310_signature_28.png</t>
  </si>
  <si>
    <t>Kathleen Joy Budomo</t>
  </si>
  <si>
    <t>https://www.jotform.com/uploads/macarewecare/222927978372067/6258724979113645310/6258724979113645310_signature_31.png</t>
  </si>
  <si>
    <t>Poblacion-Ilawod, Ragay</t>
  </si>
  <si>
    <t xml:space="preserve">ASSAY: Xpert MTB/RIF Ultra, COUNT: 681
</t>
  </si>
  <si>
    <t>https://www.jotform.com/uploads/macarewecare/222927978372067/6258676234428294536/6258676234428294536_signature_28.png</t>
  </si>
  <si>
    <t>PHYL FRANCES C. GOMEZ</t>
  </si>
  <si>
    <t>https://www.jotform.com/uploads/macarewecare/222927978372067/6258676234428294536/6258676234428294536_signature_31.png</t>
  </si>
  <si>
    <t>Pettit Baracks Zamboanga City</t>
  </si>
  <si>
    <t>Anti coagulant rotor rubber broken.</t>
  </si>
  <si>
    <t>Replaced anti coagulant rotor rubber and double check all rotor rubber in the machine. Undergone diagnostics test.</t>
  </si>
  <si>
    <t>Machine is ready to use and available.</t>
  </si>
  <si>
    <t>https://www.jotform.com/uploads/macarewecare/222927978372067/6258564271557541893/6258564271557541893_signature_28.png</t>
  </si>
  <si>
    <t>Pilar Janette Y. Domo</t>
  </si>
  <si>
    <t>https://www.jotform.com/uploads/macarewecare/222927978372067/6258564271557541893/6258564271557541893_signature_31.png</t>
  </si>
  <si>
    <t>https://www.jotform.com/uploads/macarewecare/222927978372067/6256011745361072140/6256011745361072140_signature_28.png</t>
  </si>
  <si>
    <t>https://www.jotform.com/uploads/macarewecare/222927978372067/6256011745361072140/6256011745361072140_signature_31.png</t>
  </si>
  <si>
    <t xml:space="preserve">ASSAY: Xpert MTB/RIF Ultra, COUNT: 6
ASSAY: Xpert MTB-XDR, COUNT: 79
ASSAY: Xpert HIV-1 Viral Load, COUNT: 650
</t>
  </si>
  <si>
    <t>https://www.jotform.com/uploads/macarewecare/222927978372067/6256011735362679597/6256011735362679597_signature_28.png</t>
  </si>
  <si>
    <t>Christine S. Suarez</t>
  </si>
  <si>
    <t>https://www.jotform.com/uploads/macarewecare/222927978372067/6256011735362679597/6256011735362679597_signature_31.png</t>
  </si>
  <si>
    <t>Evangelista Ave Pasig City</t>
  </si>
  <si>
    <t xml:space="preserve">ASSAY: Xpert MTB/RIF Ultra, COUNT: 1544
</t>
  </si>
  <si>
    <t>https://www.jotform.com/uploads/macarewecare/222927978372067/6256011735362739593/6256011735362739593_signature_28.png</t>
  </si>
  <si>
    <t>https://www.jotform.com/uploads/macarewecare/222927978372067/6256011735362739593/6256011735362739593_signature_31.png</t>
  </si>
  <si>
    <t>Marcos Highway Antipolo Rizal</t>
  </si>
  <si>
    <t xml:space="preserve">ASSAY: Xpert CT/NG, COUNT: 2
ASSAY: Xpert HBV VL, COUNT: 17
ASSAY: Xpert HPV, COUNT: 1
ASSAY: Xpert MTB/RIF Ultra, COUNT: 267
ASSAY: Xpert HIV-1 Viral Load, COUNT: 14
</t>
  </si>
  <si>
    <t>https://www.jotform.com/uploads/macarewecare/222927978372067/6256011735364366265/6256011735364366265_signature_28.png</t>
  </si>
  <si>
    <t>Grazie Madrid</t>
  </si>
  <si>
    <t>https://www.jotform.com/uploads/macarewecare/222927978372067/6256011735364366265/6256011735364366265_signature_31.png</t>
  </si>
  <si>
    <t>Urbano Velasco Ave Pasig City</t>
  </si>
  <si>
    <t xml:space="preserve">ASSAY: Xpert MTB/RIF Ultra, COUNT: 1238
</t>
  </si>
  <si>
    <t>Performed maintenance 
Cleaned:
-cartridge bay 
-plunger rod 
-icore
-filter 
Generated reports</t>
  </si>
  <si>
    <t>https://www.jotform.com/uploads/macarewecare/222927978372067/6256011735368379544/6256011735368379544_signature_28.png</t>
  </si>
  <si>
    <t>https://www.jotform.com/uploads/macarewecare/222927978372067/6256011735368379544/6256011735368379544_signature_31.png</t>
  </si>
  <si>
    <t>agimang@asianhospital.com</t>
  </si>
  <si>
    <t>Centrifuge Cover Problem.
Centrifuge Leaked Detected.</t>
  </si>
  <si>
    <t>Troubleshoot</t>
  </si>
  <si>
    <t>Adjust Centrifuge Cover.
Cleaned Centrifuge and Spill Detector Sensor.
Cleanes Surface Unit.
Checked Diagnostic Values.
Performed Simulation Run.</t>
  </si>
  <si>
    <t>https://www.jotform.com/uploads/macarewecare/222927978372067/6255872094159391074/6255872094159391074_signature_28.png</t>
  </si>
  <si>
    <t>Angel Danica B. Gimang</t>
  </si>
  <si>
    <t>https://www.jotform.com/uploads/macarewecare/222927978372067/6255872094159391074/6255872094159391074_signature_31.png</t>
  </si>
  <si>
    <t>Scout Torillio, Rosario, Cavite</t>
  </si>
  <si>
    <t xml:space="preserve">ASSAY: Xpert MTB/RIF Ultra, COUNT: 1181
</t>
  </si>
  <si>
    <t>UPS is Defective.</t>
  </si>
  <si>
    <t>Replaced UPS.
Checked System's Functionality.
Performed Self-test.
Generate Reports.</t>
  </si>
  <si>
    <t>AT1000190123ST0255 -&gt; AT1K240705ST0030</t>
  </si>
  <si>
    <t>DR 13028</t>
  </si>
  <si>
    <t>https://www.jotform.com/uploads/macarewecare/222927978372067/6255872104154460146/6255872104154460146_signature_28.png</t>
  </si>
  <si>
    <t>https://www.jotform.com/uploads/macarewecare/222927978372067/6255872104154460146/6255872104154460146_signature_31.png</t>
  </si>
  <si>
    <t>Dr. Jose Fabella Memorial Hospital</t>
  </si>
  <si>
    <t>Tayuman St., Manila</t>
  </si>
  <si>
    <t>cjasonmiguel@gmail.com</t>
  </si>
  <si>
    <t xml:space="preserve">ASSAY: Xpert HPV, COUNT: 88
ASSAY: Xpert MTB/RIF Ultra, COUNT: 98
ASSAY: Others, COUNT: 10
ASSAY: Xpress SARS-CoV-2_Flu_RSV plus, COUNT: 666
</t>
  </si>
  <si>
    <t>UPS Problem.</t>
  </si>
  <si>
    <t>Checked UPS Funtionality.
Checked UPS Voltage Output.
Gather Data for Reporting.</t>
  </si>
  <si>
    <t>UPS is Defective. (No Power)
Door of Module 2 is Broken.</t>
  </si>
  <si>
    <t>Def UPS: AT1000211227ST0044</t>
  </si>
  <si>
    <t>https://www.jotform.com/uploads/macarewecare/222927978372067/6255872014156085904/6255872014156085904_signature_28.png</t>
  </si>
  <si>
    <t>Jason Miguel Carandang</t>
  </si>
  <si>
    <t>https://www.jotform.com/uploads/macarewecare/222927978372067/6255872014156085904/6255872014156085904_signature_31.png</t>
  </si>
  <si>
    <t>angelgimang17@gmail.com</t>
  </si>
  <si>
    <t>Donor Line Error Detected.</t>
  </si>
  <si>
    <t>Checked DL1 and DL2 Sensors.
Reset Connections.
Cleaned Surface Area.</t>
  </si>
  <si>
    <t>https://www.jotform.com/uploads/macarewecare/222927978372067/6255872014157627821/6255872014157627821_signature_28.png</t>
  </si>
  <si>
    <t>Angel danica Gimang</t>
  </si>
  <si>
    <t>https://www.jotform.com/uploads/macarewecare/222927978372067/6255872014157627821/6255872014157627821_signature_31.png</t>
  </si>
  <si>
    <t>Centennial Road, Muntinlupa</t>
  </si>
  <si>
    <t xml:space="preserve">ASSAY: Xpert HIV-1 Viral Load, COUNT: 152
</t>
  </si>
  <si>
    <t>https://www.jotform.com/uploads/macarewecare/222927978372067/6255872004152710571/6255872004152710571_signature_28.png</t>
  </si>
  <si>
    <t>https://www.jotform.com/uploads/macarewecare/222927978372067/6255872004152710571/6255872004152710571_signature_31.png</t>
  </si>
  <si>
    <t>Leak On Centrifuge.</t>
  </si>
  <si>
    <t>Cleaned Centrifuge.
Checked Leak at Centrifuge Assembly.
Reset Fluid Detector Sensor.
Cleaned Surface Unit.</t>
  </si>
  <si>
    <t>https://www.jotform.com/uploads/macarewecare/222927978372067/6255872004158069846/6255872004158069846_signature_28.png</t>
  </si>
  <si>
    <t>Angel Danica Gimang</t>
  </si>
  <si>
    <t>https://www.jotform.com/uploads/macarewecare/222927978372067/6255872004158069846/6255872004158069846_signature_31.png</t>
  </si>
  <si>
    <t>Fluid Detected at Centrifuge.</t>
  </si>
  <si>
    <t>Cleaned Centrifuge and Spill Detector Sensor.
Cleanes Surface Unit.
Checked Diagnostic Values.
Performed Simulation Run.</t>
  </si>
  <si>
    <t>https://www.jotform.com/uploads/macarewecare/222927978372067/6255871994153014213/6255871994153014213_signature_28.png</t>
  </si>
  <si>
    <t>https://www.jotform.com/uploads/macarewecare/222927978372067/6255871994153014213/6255871994153014213_signature_31.png</t>
  </si>
  <si>
    <t xml:space="preserve">ASSAY: Xpert MTB/RIF Ultra, COUNT: 2084
</t>
  </si>
  <si>
    <t>For Preventive Maintenance and Data Gathering</t>
  </si>
  <si>
    <t>https://www.jotform.com/uploads/macarewecare/222927978372067/6254440782113973304/6254440782113973304_signature_28.png</t>
  </si>
  <si>
    <t>https://www.jotform.com/uploads/macarewecare/222927978372067/6254440782113973304/6254440782113973304_signature_31.png</t>
  </si>
  <si>
    <t>MANDAUE CITY HEALTH OFFICE</t>
  </si>
  <si>
    <t>MANDAUE CITY, CEBU</t>
  </si>
  <si>
    <t>LABORATORY</t>
  </si>
  <si>
    <t xml:space="preserve">ASSAY: Xpert MTB/RIF Ultra, COUNT: 4241
ASSAY: Xpert HCV VL, COUNT: 134
ASSAY: Xpert HIV-1 Viral Load, COUNT: 592
</t>
  </si>
  <si>
    <t>https://www.jotform.com/uploads/macarewecare/222927978372067/6254429315815364717/6254429315815364717_signature_28.png</t>
  </si>
  <si>
    <t>Rey C Mendoza, RMT</t>
  </si>
  <si>
    <t>https://www.jotform.com/uploads/macarewecare/222927978372067/6254429315815364717/6254429315815364717_signature_31.png</t>
  </si>
  <si>
    <t xml:space="preserve">ASSAY: Xpert MTB/RIF Ultra, COUNT: 2078
</t>
  </si>
  <si>
    <t>https://www.jotform.com/uploads/macarewecare/222927978372067/6254284564111664403/6254284564111664403_signature_28.png</t>
  </si>
  <si>
    <t>https://www.jotform.com/uploads/macarewecare/222927978372067/6254284564111664403/6254284564111664403_signature_31.png</t>
  </si>
  <si>
    <t>buraeunlab@yahoo.com</t>
  </si>
  <si>
    <t xml:space="preserve">ASSAY: Xpert MTB/RIF Ultra, COUNT: 515
</t>
  </si>
  <si>
    <t>Module B2/862862 Defective</t>
  </si>
  <si>
    <t>1 Unit Genexpert Module 
SN: 607663</t>
  </si>
  <si>
    <t>https://www.jotform.com/uploads/macarewecare/222927978372067/6254205092026123862/6254205092026123862_signature_28.png</t>
  </si>
  <si>
    <t>https://www.jotform.com/uploads/macarewecare/222927978372067/6254205092026123862/6254205092026123862_signature_31.png</t>
  </si>
  <si>
    <t>Teresita Jalandoni Provincial Hospital</t>
  </si>
  <si>
    <t>Silay City, Negros Occidental</t>
  </si>
  <si>
    <t>aklit26@yahoo.com</t>
  </si>
  <si>
    <t xml:space="preserve">ASSAY: Xpert MTB/RIF Ultra, COUNT: 2705
ASSAY: Xpert MTB-XDR, COUNT: 197
</t>
  </si>
  <si>
    <t>Defective module 210019325/A2.</t>
  </si>
  <si>
    <t>Preventive maintenance - clean optics, filter, module bay areas, plunger rods; archive tests</t>
  </si>
  <si>
    <t>Replaced module A2 with new module SN 710566</t>
  </si>
  <si>
    <t>3 modules operational. module A1 reported to Application Specialist for evaluation of errors.</t>
  </si>
  <si>
    <t>Genexpert module 6c</t>
  </si>
  <si>
    <t>https://www.jotform.com/uploads/macarewecare/222927978372067/6253550653167434894/6253550653167434894_signature_28.png</t>
  </si>
  <si>
    <t>Ma Kriska Awacay</t>
  </si>
  <si>
    <t>https://www.jotform.com/uploads/macarewecare/222927978372067/6253550653167434894/6253550653167434894_signature_31.png</t>
  </si>
  <si>
    <t>Ofelia St., Quezon City</t>
  </si>
  <si>
    <t>https://www.jotform.com/uploads/macarewecare/222927978372067/6253401721522379813/6253401721522379813_signature_28.png</t>
  </si>
  <si>
    <t>Jocelyn latras</t>
  </si>
  <si>
    <t>https://www.jotform.com/uploads/macarewecare/222927978372067/6253401721522379813/6253401721522379813_signature_31.png</t>
  </si>
  <si>
    <t>Sta Cruz Sur</t>
  </si>
  <si>
    <t>https://www.jotform.com/uploads/macarewecare/222927978372067/6253393076126172341/6253393076126172341_signature_28.png</t>
  </si>
  <si>
    <t>https://www.jotform.com/uploads/macarewecare/222927978372067/6253393076126172341/6253393076126172341_signature_31.png</t>
  </si>
  <si>
    <t xml:space="preserve">ASSAY: Xpert MTB/RIF Ultra, COUNT: 1389
</t>
  </si>
  <si>
    <t>https://www.jotform.com/uploads/macarewecare/222927978372067/6253392426124392300/6253392426124392300_signature_28.png</t>
  </si>
  <si>
    <t>https://www.jotform.com/uploads/macarewecare/222927978372067/6253392426124392300/6253392426124392300_signature_31.png</t>
  </si>
  <si>
    <t>Unit for calibration
Rotor roller rubbers for replacement</t>
  </si>
  <si>
    <t>Adjusted bowl optics' offset and full scale values
Replaced rotor roller rubbers</t>
  </si>
  <si>
    <t>- replaced rotor roller rubbers
- checked calibration parameters
- adjusted bowl optics' offset and full scale values to acceptable range
- performed self test</t>
  </si>
  <si>
    <t>Unit is operational
Calibration certificate to follow</t>
  </si>
  <si>
    <t>https://www.jotform.com/uploads/macarewecare/222927978372067/6253379821521430028/6253379821521430028_signature_28.png</t>
  </si>
  <si>
    <t>Sheree Bacalla</t>
  </si>
  <si>
    <t>https://www.jotform.com/uploads/macarewecare/222927978372067/6253379821521430028/6253379821521430028_signature_31.png</t>
  </si>
  <si>
    <t xml:space="preserve">ASSAY: Xpert MTB/RIF Ultra, COUNT: 1408
</t>
  </si>
  <si>
    <t>Module 1 H/W failed</t>
  </si>
  <si>
    <t>Replace defective module SN:882094 with new module SN:657462
Genexpert machine Cleaning and maintenance
Module cleaning 
Plunger rod and Optics cleaning 
Fan filter cleaning 
Checking of errors/problem 
Data collection</t>
  </si>
  <si>
    <t>Perform Genexpert machine module repair 
Perform Genexpert preventive maintenance</t>
  </si>
  <si>
    <t>Genexpert 6-color module 
SN:657462</t>
  </si>
  <si>
    <t>DR#:13061</t>
  </si>
  <si>
    <t>https://www.jotform.com/uploads/macarewecare/222927978372067/6252864456861030576/6252864456861030576_signature_28.png</t>
  </si>
  <si>
    <t>MA. RIZA R. DIONELA , RMT</t>
  </si>
  <si>
    <t>https://www.jotform.com/uploads/macarewecare/222927978372067/6252864456861030576/6252864456861030576_signature_31.png</t>
  </si>
  <si>
    <t>120000613/110016107</t>
  </si>
  <si>
    <t>https://www.jotform.com/uploads/macarewecare/222927978372067/6252661593618365100/6252661593618365100_signature_28.png</t>
  </si>
  <si>
    <t>https://www.jotform.com/uploads/macarewecare/222927978372067/6252661593618365100/6252661593618365100_signature_31.png</t>
  </si>
  <si>
    <t>Lubang Rural Health</t>
  </si>
  <si>
    <t xml:space="preserve">ASSAY: Xpert MTB/RIF Ultra, COUNT: 244
</t>
  </si>
  <si>
    <t>For UPS replacement</t>
  </si>
  <si>
    <t>Replaced defective UPS</t>
  </si>
  <si>
    <t>Performed maintenance 
Cleaned:
-cartridge bay 
-plunger rod 
-icore
Replaced defective UPS
Generated reports</t>
  </si>
  <si>
    <t>Old UPS SN:AT1000190123ST0182
New UPS SN: AT1K240323ST0044</t>
  </si>
  <si>
    <t>DR# 12924</t>
  </si>
  <si>
    <t>https://www.jotform.com/uploads/macarewecare/222927978372067/6252661583613132259/6252661583613132259_signature_28.png</t>
  </si>
  <si>
    <t>Lalaine V.Batalla</t>
  </si>
  <si>
    <t>https://www.jotform.com/uploads/macarewecare/222927978372067/6252661583613132259/6252661583613132259_signature_31.png</t>
  </si>
  <si>
    <t xml:space="preserve">ASSAY: Xpert BCR-ABL Ultra, COUNT: 53
ASSAY: Xpert CT/NG, COUNT: 55
ASSAY: Xpert HBV VL, COUNT: 643
ASSAY: Xpert HPV, COUNT: 384
ASSAY: Xpert MTB/RIF Ultra, COUNT: 6432
ASSAY: Xpert HIV-1 Viral Load, COUNT: 4
ASSAY: Others, COUNT: 6
ASSAY: Others, COUNT: 1
ASSAY: Xpert HCV VL, COUNT: 166
ASSAY: Xpert HIV-1 Viral Load, COUNT: 908
ASSAY: Xpress SARS-CoV-2_Flu_RSV plus, COUNT: 1476
</t>
  </si>
  <si>
    <t>For maintenance 
Error 2034 on module A2</t>
  </si>
  <si>
    <t>Checked module A2</t>
  </si>
  <si>
    <t>Performed maintenance
Cleaned:
-cartridge bay
-plunger rod 
-icore 
-filter 
Generated reports 
Checked module A2.</t>
  </si>
  <si>
    <t>Unit is operational. Module A2 under observation. Unit is due for XpertCheck. Last XpertCheck: March 20, 2024</t>
  </si>
  <si>
    <t>https://www.jotform.com/uploads/macarewecare/222927978372067/6252661583615287123/6252661583615287123_signature_28.png</t>
  </si>
  <si>
    <t>https://www.jotform.com/uploads/macarewecare/222927978372067/6252661583615287123/6252661583615287123_signature_31.png</t>
  </si>
  <si>
    <t>110024072/110024073</t>
  </si>
  <si>
    <t>https://www.jotform.com/uploads/macarewecare/222927978372067/6252661583616921991/6252661583616921991_signature_28.png</t>
  </si>
  <si>
    <t>https://www.jotform.com/uploads/macarewecare/222927978372067/6252661583616921991/6252661583616921991_signature_31.png</t>
  </si>
  <si>
    <t>gbuenaventurarmt@gmail.com</t>
  </si>
  <si>
    <t xml:space="preserve">ASSAY: Xpert HBV VL, COUNT: 110
ASSAY: Xpert HPV, COUNT: 49
ASSAY: Xpert MTB/RIF Ultra, COUNT: 1142
</t>
  </si>
  <si>
    <t>Error 5007/2008/2120/2124</t>
  </si>
  <si>
    <t>Checked modules and gateway board</t>
  </si>
  <si>
    <t>Performed maintenance 
Checked modules
Reseat gateway board
Run reliability test
Run actual sample
Generated reports</t>
  </si>
  <si>
    <t>Unit is operational. Module B3 disabled. Modules B1 and B4 under observation.</t>
  </si>
  <si>
    <t>https://www.jotform.com/uploads/macarewecare/222927978372067/6252661593617632523/6252661593617632523_signature_28.png</t>
  </si>
  <si>
    <t>Gabriella Buenaventura</t>
  </si>
  <si>
    <t>https://www.jotform.com/uploads/macarewecare/222927978372067/6252661593617632523/6252661593617632523_signature_31.png</t>
  </si>
  <si>
    <t>Haemonetics machine unable to turn on.</t>
  </si>
  <si>
    <t>Undergone diagnostic cycles, Preventive maintenence and check output voltage values of UPS.</t>
  </si>
  <si>
    <t>Passed the diagnostic test. Completed 1 procedure after the test.</t>
  </si>
  <si>
    <t>https://www.jotform.com/uploads/macarewecare/222927978372067/6252611111122520997/6252611111122520997_signature_28.png</t>
  </si>
  <si>
    <t>Romeo wee</t>
  </si>
  <si>
    <t>https://www.jotform.com/uploads/macarewecare/222927978372067/6252611111122520997/6252611111122520997_signature_31.png</t>
  </si>
  <si>
    <t xml:space="preserve">ASSAY: Xpert BCR-ABL Ultra, COUNT: 64
ASSAY: Xpert CT/NG, COUNT: 155
ASSAY: Xpert HBV VL, COUNT: 40
ASSAY: Xpert HPV, COUNT: 74
ASSAY: Xpert MTB/RIF Ultra, COUNT: 612
ASSAY: Others, COUNT: 4
ASSAY: Xpert HCV VL, COUNT: 30
ASSAY: Xpert HIV-1 Viral Load, COUNT: 364
</t>
  </si>
  <si>
    <t>For module replacement A1 210135512-210052199,C2 210135699-628743</t>
  </si>
  <si>
    <t>15 modules operational
1 module disabled reported already</t>
  </si>
  <si>
    <t>Genexpert 10C module</t>
  </si>
  <si>
    <t>https://www.jotform.com/uploads/macarewecare/222927978372067/6252596525945878351/6252596525945878351_signature_28.png</t>
  </si>
  <si>
    <t>https://www.jotform.com/uploads/macarewecare/222927978372067/6252596525945878351/6252596525945878351_signature_31.png</t>
  </si>
  <si>
    <t>Mabinay Medicare Community Hospital</t>
  </si>
  <si>
    <t>Mabinay, Negros Oriental</t>
  </si>
  <si>
    <t>mmchlaboratory2017@gmail.com</t>
  </si>
  <si>
    <t xml:space="preserve">ASSAY: Xpert MTB/RIF Ultra, COUNT: 552
</t>
  </si>
  <si>
    <t>Defective module 862088/B1</t>
  </si>
  <si>
    <t>Replaced module B1 with new module SN 884570.</t>
  </si>
  <si>
    <t>https://www.jotform.com/uploads/macarewecare/222927978372067/6252574908217589949/6252574908217589949_signature_28.png</t>
  </si>
  <si>
    <t>https://www.jotform.com/uploads/macarewecare/222927978372067/6252574908217589949/6252574908217589949_signature_31.png</t>
  </si>
  <si>
    <t>Work with Engineer Venzon</t>
  </si>
  <si>
    <t>https://www.jotform.com/uploads/macarewecare/222927978372067/6252546512561538887/6252546512561538887_signature_28.png</t>
  </si>
  <si>
    <t>Rodenver Mahor</t>
  </si>
  <si>
    <t>https://www.jotform.com/uploads/macarewecare/222927978372067/6252546512561538887/6252546512561538887_signature_31.png</t>
  </si>
  <si>
    <t>Mariano Marcos State University</t>
  </si>
  <si>
    <t>mpolivar@mmsu.edu.ph</t>
  </si>
  <si>
    <t>https://www.jotform.com/uploads/macarewecare/222927978372067/6252544822562363842/6252544822562363842_signature_28.png</t>
  </si>
  <si>
    <t>Marvielyn Olivar</t>
  </si>
  <si>
    <t>https://www.jotform.com/uploads/macarewecare/222927978372067/6252544822562363842/6252544822562363842_signature_31.png</t>
  </si>
  <si>
    <t>Sinait, Ilocos Sur</t>
  </si>
  <si>
    <t>https://www.jotform.com/uploads/macarewecare/222927978372067/6252542732569456319/6252542732569456319_signature_28.png</t>
  </si>
  <si>
    <t>https://www.jotform.com/uploads/macarewecare/222927978372067/6252542732569456319/6252542732569456319_signature_31.png</t>
  </si>
  <si>
    <t>https://www.jotform.com/uploads/macarewecare/222927978372067/6252540962569009447/6252540962569009447_signature_28.png</t>
  </si>
  <si>
    <t>https://www.jotform.com/uploads/macarewecare/222927978372067/6252540962569009447/6252540962569009447_signature_31.png</t>
  </si>
  <si>
    <t>Manabo Rural Health Unit</t>
  </si>
  <si>
    <t>Manabo, Abra</t>
  </si>
  <si>
    <t>lenmayclairelumiwag15@gmail.com</t>
  </si>
  <si>
    <t>DR 13066</t>
  </si>
  <si>
    <t>https://www.jotform.com/uploads/macarewecare/222927978372067/6252538872561955274/6252538872561955274_signature_28.png</t>
  </si>
  <si>
    <t>Ellen May Claire S. Lumiwag</t>
  </si>
  <si>
    <t>https://www.jotform.com/uploads/macarewecare/222927978372067/6252538872561955274/6252538872561955274_signature_31.png</t>
  </si>
  <si>
    <t>https://www.jotform.com/uploads/macarewecare/222927978372067/6252536912561366372/6252536912561366372_signature_28.png</t>
  </si>
  <si>
    <t>https://www.jotform.com/uploads/macarewecare/222927978372067/6252536912561366372/6252536912561366372_signature_31.png</t>
  </si>
  <si>
    <t>Candon, Ilocos Sur</t>
  </si>
  <si>
    <t>https://www.jotform.com/uploads/macarewecare/222927978372067/6252536012567754371/6252536012567754371_signature_28.png</t>
  </si>
  <si>
    <t>https://www.jotform.com/uploads/macarewecare/222927978372067/6252536012567754371/6252536012567754371_signature_31.png</t>
  </si>
  <si>
    <t>https://www.jotform.com/uploads/macarewecare/222927978372067/6252534782564909132/6252534782564909132_signature_28.png</t>
  </si>
  <si>
    <t>Marivic Tinaza</t>
  </si>
  <si>
    <t>https://www.jotform.com/uploads/macarewecare/222927978372067/6252534782564909132/6252534782564909132_signature_31.png</t>
  </si>
  <si>
    <t>Itogon Rural Health Unit</t>
  </si>
  <si>
    <t>Itogon, Benguet</t>
  </si>
  <si>
    <t>ggdepayso@gmail.com</t>
  </si>
  <si>
    <t>- Cleaned Cartridge Bays, Plunger Rods and I-CORE 
- Replaced Defective Module 626320 &gt;&gt;&gt; 732593
- Generated Reports</t>
  </si>
  <si>
    <t>DR 13064</t>
  </si>
  <si>
    <t>https://www.jotform.com/uploads/macarewecare/222927978372067/6252514342567844489/6252514342567844489_signature_28.png</t>
  </si>
  <si>
    <t>Gloria Depayso</t>
  </si>
  <si>
    <t>https://www.jotform.com/uploads/macarewecare/222927978372067/6252514342567844489/6252514342567844489_signature_31.png</t>
  </si>
  <si>
    <t>- Cleaned Cartridge Bays, Plunger Rods and I-CORE 
- Replaced Defective Module  B1 872240 &gt;&gt;&gt; 692828
- Generated Reports</t>
  </si>
  <si>
    <t>https://www.jotform.com/uploads/macarewecare/222927978372067/6252499992568901633/6252499992568901633_signature_28.png</t>
  </si>
  <si>
    <t>Caroline Nacis</t>
  </si>
  <si>
    <t>https://www.jotform.com/uploads/macarewecare/222927978372067/6252499992568901633/6252499992568901633_signature_31.png</t>
  </si>
  <si>
    <t>For Preventive Maintenance
UPS Problem</t>
  </si>
  <si>
    <t>Clean Surface Area, Cartridge Bay, Plunger Rod, Fan Filters and Icore Lenses
Generate IQR, Assay Stat and System Log
Archived Data test results
Reset connection, and check for line voltages</t>
  </si>
  <si>
    <t>Machine is Operational
UPS Battery is not working, no battery backup during battery mode</t>
  </si>
  <si>
    <t>https://www.jotform.com/uploads/macarewecare/222927978372067/6252488811514996974/6252488811514996974_signature_28.png</t>
  </si>
  <si>
    <t>https://www.jotform.com/uploads/macarewecare/222927978372067/6252488811514996974/6252488811514996974_signature_31.png</t>
  </si>
  <si>
    <t>Caratagan</t>
  </si>
  <si>
    <t xml:space="preserve">ASSAY: Xpert MTB/RIF Ultra, COUNT: 506
</t>
  </si>
  <si>
    <t>UPS defective</t>
  </si>
  <si>
    <t>Replaced UPS(AT1K240705ST0037)
Cleaned cartridge bays, plunger rod, icore
Generate Data</t>
  </si>
  <si>
    <t>Replaced UPS
performed Preventive Maintenance</t>
  </si>
  <si>
    <t>https://www.jotform.com/uploads/macarewecare/222927978372067/6252411966813127582/6252411966813127582_signature_28.png</t>
  </si>
  <si>
    <t>Mitzi Cedeño</t>
  </si>
  <si>
    <t>https://www.jotform.com/uploads/macarewecare/222927978372067/6252411966813127582/6252411966813127582_signature_31.png</t>
  </si>
  <si>
    <t>Rapu-Rapu Rural Health Unit</t>
  </si>
  <si>
    <t>suzetteoguan1@gmail.com</t>
  </si>
  <si>
    <t>B2/730958 temperature Error</t>
  </si>
  <si>
    <t>Replaced module : B2 - 730958 &gt;&gt; 627350
Cleaned cartridge bays, plunger rod, icore
Generate Data</t>
  </si>
  <si>
    <t>Replaced module B2/730958
Performed Preventive Maintenance</t>
  </si>
  <si>
    <t>https://www.jotform.com/uploads/macarewecare/222927978372067/6252411416814173240/6252411416814173240_signature_28.png</t>
  </si>
  <si>
    <t>Suzette C. Oguan</t>
  </si>
  <si>
    <t>https://www.jotform.com/uploads/macarewecare/222927978372067/6252411416814173240/6252411416814173240_signature_31.png</t>
  </si>
  <si>
    <t>Poblacion, Libon</t>
  </si>
  <si>
    <t>libonmho@yahoo.com</t>
  </si>
  <si>
    <t xml:space="preserve">ASSAY: Xpert MTB/RIF Ultra, COUNT: 931
</t>
  </si>
  <si>
    <t>https://www.jotform.com/uploads/macarewecare/222927978372067/6252410476814448624/6252410476814448624_signature_28.png</t>
  </si>
  <si>
    <t>Joe Ed C. Sayson</t>
  </si>
  <si>
    <t>https://www.jotform.com/uploads/macarewecare/222927978372067/6252410476814448624/6252410476814448624_signature_31.png</t>
  </si>
  <si>
    <t>limboemilie@gmail.com</t>
  </si>
  <si>
    <t xml:space="preserve">ASSAY: Xpert MTB/RIF Ultra, COUNT: 2265
ASSAY: Xpert HIV-1 Viral Load, COUNT: 103
</t>
  </si>
  <si>
    <t>UPS not functioning properly</t>
  </si>
  <si>
    <t>Replaced connectors of UPS batteries due to corrosion.</t>
  </si>
  <si>
    <t>Repaied UPS. Data collection and Preventive maintenance</t>
  </si>
  <si>
    <t>All modules are available and UPS is working good with output voltage of 220V.</t>
  </si>
  <si>
    <t>UPS needs to be charged.</t>
  </si>
  <si>
    <t>https://www.jotform.com/uploads/macarewecare/222927978372067/6249899693527581609/6249899693527581609_signature_28.png</t>
  </si>
  <si>
    <t>https://www.jotform.com/uploads/macarewecare/222927978372067/6249899693527581609/6249899693527581609_signature_31.png</t>
  </si>
  <si>
    <t>lornabaigar@gmail.com</t>
  </si>
  <si>
    <t>https://www.jotform.com/uploads/macarewecare/222927978372067/6249749774815409056/6249749774815409056_signature_28.png</t>
  </si>
  <si>
    <t>Lorna Abaigar</t>
  </si>
  <si>
    <t>https://www.jotform.com/uploads/macarewecare/222927978372067/6249749774815409056/6249749774815409056_signature_31.png</t>
  </si>
  <si>
    <t>https://www.jotform.com/uploads/macarewecare/222927978372067/6249087082122556393/6249087082122556393_signature_28.png</t>
  </si>
  <si>
    <t>https://www.jotform.com/uploads/macarewecare/222927978372067/6249087082122556393/6249087082122556393_signature_31.png</t>
  </si>
  <si>
    <t>https://www.jotform.com/uploads/macarewecare/222927978372067/6249085652129017233/6249085652129017233_signature_28.png</t>
  </si>
  <si>
    <t>https://www.jotform.com/uploads/macarewecare/222927978372067/6249085652129017233/6249085652129017233_signature_31.png</t>
  </si>
  <si>
    <t>Molave Zamboanga del sur</t>
  </si>
  <si>
    <t>https://www.jotform.com/uploads/macarewecare/222927978372067/6249006592998798677/6249006592998798677_signature_28.png</t>
  </si>
  <si>
    <t>https://www.jotform.com/uploads/macarewecare/222927978372067/6249006592998798677/6249006592998798677_signature_31.png</t>
  </si>
  <si>
    <t>INSTALLATION
PM training</t>
  </si>
  <si>
    <t>PM training
Installation in molec lab</t>
  </si>
  <si>
    <t>Performed Preventive Maintenance training
Installed Gx4-10C, UPS, Monitor, CPU, Printer
Generate Data</t>
  </si>
  <si>
    <t>Performed PM training 
Installed unit in lab</t>
  </si>
  <si>
    <t>https://www.jotform.com/uploads/macarewecare/222927978372067/6248342446815412910/6248342446815412910_signature_28.png</t>
  </si>
  <si>
    <t>https://www.jotform.com/uploads/macarewecare/222927978372067/6248342446815412910/6248342446815412910_signature_31.png</t>
  </si>
  <si>
    <t>Defective LCD monitor vertical problem not working properly with serial number CNK9430BTK</t>
  </si>
  <si>
    <t>. Save file Installation qualification reports
. Save file system log file
. Save csv file.
. Save gxx file.</t>
  </si>
  <si>
    <t>Temporary install new LCD monitor with serial number ZV0A1910029805</t>
  </si>
  <si>
    <t>LCD monitor functional ok to use.</t>
  </si>
  <si>
    <t>https://www.jotform.com/uploads/macarewecare/222927978372067/6248319375845647455/6248319375845647455_signature_28.png</t>
  </si>
  <si>
    <t>https://www.jotform.com/uploads/macarewecare/222927978372067/6248319375845647455/6248319375845647455_signature_31.png</t>
  </si>
  <si>
    <t>Dinas Zamboanga del sur</t>
  </si>
  <si>
    <t>Module 2 error 4009</t>
  </si>
  <si>
    <t>Troubleshoot module 2. Conducted Preventive maintenence and data collection.</t>
  </si>
  <si>
    <t>Module 2 will be reported to cephied</t>
  </si>
  <si>
    <t>https://www.jotform.com/uploads/macarewecare/222927978372067/6248192652448777050/6248192652448777050_signature_28.png</t>
  </si>
  <si>
    <t>Reyna cres Bernante</t>
  </si>
  <si>
    <t>https://www.jotform.com/uploads/macarewecare/222927978372067/6248192652448777050/6248192652448777050_signature_31.png</t>
  </si>
  <si>
    <t>Date/Time CPU resets every time unit turns on</t>
  </si>
  <si>
    <t>https://www.jotform.com/uploads/macarewecare/222927978372067/6248191293967097389/6248191293967097389_signature_28.png</t>
  </si>
  <si>
    <t>https://www.jotform.com/uploads/macarewecare/222927978372067/6248191293967097389/6248191293967097389_signature_31.png</t>
  </si>
  <si>
    <t>Ramon magsaysay zamboanga del sur</t>
  </si>
  <si>
    <t xml:space="preserve">ASSAY: Xpert MTB/RIF Ultra, COUNT: 536
</t>
  </si>
  <si>
    <t>Preventive Maintenence a d data collection</t>
  </si>
  <si>
    <t>https://www.jotform.com/uploads/macarewecare/222927978372067/6248183442449011637/6248183442449011637_signature_28.png</t>
  </si>
  <si>
    <t>https://www.jotform.com/uploads/macarewecare/222927978372067/6248183442449011637/6248183442449011637_signature_31.png</t>
  </si>
  <si>
    <t xml:space="preserve">ASSAY: Xpert MTB/RIF Ultra, COUNT: 1028
</t>
  </si>
  <si>
    <t>Machine is operational. Waiting for module B4 replacement.</t>
  </si>
  <si>
    <t>https://www.jotform.com/uploads/macarewecare/222927978372067/6248077283674859895/6248077283674859895_signature_28.png</t>
  </si>
  <si>
    <t>https://www.jotform.com/uploads/macarewecare/222927978372067/6248077283674859895/6248077283674859895_signature_31.png</t>
  </si>
  <si>
    <t>https://www.jotform.com/uploads/macarewecare/222927978372067/6247666631129149687/6247666631129149687_signature_28.png</t>
  </si>
  <si>
    <t>https://www.jotform.com/uploads/macarewecare/222927978372067/6247666631129149687/6247666631129149687_signature_31.png</t>
  </si>
  <si>
    <t>https://www.jotform.com/uploads/macarewecare/222927978372067/6247664241125400300/6247664241125400300_signature_28.png</t>
  </si>
  <si>
    <t>https://www.jotform.com/uploads/macarewecare/222927978372067/6247664241125400300/6247664241125400300_signature_31.png</t>
  </si>
  <si>
    <t>frangipanyang29@gmail.com</t>
  </si>
  <si>
    <t>https://www.jotform.com/uploads/macarewecare/222927978372067/6247656731127690572/6247656731127690572_signature_28.png</t>
  </si>
  <si>
    <t>Frannie Calixto</t>
  </si>
  <si>
    <t>https://www.jotform.com/uploads/macarewecare/222927978372067/6247656731127690572/6247656731127690572_signature_31.png</t>
  </si>
  <si>
    <t>https://www.jotform.com/uploads/macarewecare/222927978372067/6247655251122357155/6247655251122357155_signature_28.png</t>
  </si>
  <si>
    <t>https://www.jotform.com/uploads/macarewecare/222927978372067/6247655251122357155/6247655251122357155_signature_31.png</t>
  </si>
  <si>
    <t>https://www.jotform.com/uploads/macarewecare/222927978372067/6247653891128735100/6247653891128735100_signature_28.png</t>
  </si>
  <si>
    <t>https://www.jotform.com/uploads/macarewecare/222927978372067/6247653891128735100/6247653891128735100_signature_31.png</t>
  </si>
  <si>
    <t>https://www.jotform.com/uploads/macarewecare/222927978372067/6247651811125379489/6247651811125379489_signature_28.png</t>
  </si>
  <si>
    <t>https://www.jotform.com/uploads/macarewecare/222927978372067/6247651811125379489/6247651811125379489_signature_31.png</t>
  </si>
  <si>
    <t>https://www.jotform.com/uploads/macarewecare/222927978372067/6247650071122139219/6247650071122139219_signature_28.png</t>
  </si>
  <si>
    <t>https://www.jotform.com/uploads/macarewecare/222927978372067/6247650071122139219/6247650071122139219_signature_31.png</t>
  </si>
  <si>
    <t>To Replace BIOS Battery</t>
  </si>
  <si>
    <t>Replaced BIOS Battery</t>
  </si>
  <si>
    <t>https://www.jotform.com/uploads/macarewecare/222927978372067/6247648811126740484/6247648811126740484_signature_28.png</t>
  </si>
  <si>
    <t>https://www.jotform.com/uploads/macarewecare/222927978372067/6247648811126740484/6247648811126740484_signature_31.png</t>
  </si>
  <si>
    <t>San Carlos City,Pangasinan</t>
  </si>
  <si>
    <t>https://www.jotform.com/uploads/macarewecare/222927978372067/6247646891125036425/6247646891125036425_signature_28.png</t>
  </si>
  <si>
    <t>https://www.jotform.com/uploads/macarewecare/222927978372067/6247646891125036425/6247646891125036425_signature_31.png</t>
  </si>
  <si>
    <t>https://www.jotform.com/uploads/macarewecare/222927978372067/6247645851123466720/6247645851123466720_signature_28.png</t>
  </si>
  <si>
    <t>https://www.jotform.com/uploads/macarewecare/222927978372067/6247645851123466720/6247645851123466720_signature_31.png</t>
  </si>
  <si>
    <t>https://www.jotform.com/uploads/macarewecare/222927978372067/6247637911129326504/6247637911129326504_signature_28.png</t>
  </si>
  <si>
    <t>Hazel Ganapin</t>
  </si>
  <si>
    <t>https://www.jotform.com/uploads/macarewecare/222927978372067/6247637911129326504/6247637911129326504_signature_31.png</t>
  </si>
  <si>
    <t>To Replace UPS</t>
  </si>
  <si>
    <t>https://www.jotform.com/uploads/macarewecare/222927978372067/6247636741128182004/6247636741128182004_signature_28.png</t>
  </si>
  <si>
    <t>https://www.jotform.com/uploads/macarewecare/222927978372067/6247636741128182004/6247636741128182004_signature_31.png</t>
  </si>
  <si>
    <t>https://www.jotform.com/uploads/macarewecare/222927978372067/6247634741125991179/6247634741125991179_signature_28.png</t>
  </si>
  <si>
    <t>https://www.jotform.com/uploads/macarewecare/222927978372067/6247634741125991179/6247634741125991179_signature_31.png</t>
  </si>
  <si>
    <t>Internal Medicine</t>
  </si>
  <si>
    <t>Error on spill detector</t>
  </si>
  <si>
    <t>Remove and clean all possible debris, moisture, and spillage on the centrifuge and fluid sensors
Check for the parameters of SPM, DPM, Line Sensor
Check the roller assays and replaced rollers with presence of threadings
Perform Cycle Test</t>
  </si>
  <si>
    <t>Perform Troubleshooting and Diagnostics</t>
  </si>
  <si>
    <t>Machine is functional
Changed rollers on red pumps</t>
  </si>
  <si>
    <t>Replaced rollers, subjected for request for roller assays</t>
  </si>
  <si>
    <t>https://www.jotform.com/uploads/macarewecare/222927978372067/6247478346265787286/6247478346265787286_signature_28.png</t>
  </si>
  <si>
    <t>Rowenna Entig</t>
  </si>
  <si>
    <t>https://www.jotform.com/uploads/macarewecare/222927978372067/6247478346265787286/6247478346265787286_signature_31.png</t>
  </si>
  <si>
    <t>Balamban Cebu</t>
  </si>
  <si>
    <t>LCD Defective.</t>
  </si>
  <si>
    <t>Request for replacement of LCD monitor.</t>
  </si>
  <si>
    <t>. Save vedio for Documentation 
. Save Installation qualification report
. Save system log file report.</t>
  </si>
  <si>
    <t>Not ok to use.</t>
  </si>
  <si>
    <t>https://www.jotform.com/uploads/macarewecare/222927978372067/6247431065849454838/6247431065849454838_signature_28.png</t>
  </si>
  <si>
    <t>https://www.jotform.com/uploads/macarewecare/222927978372067/6247431065849454838/6247431065849454838_signature_31.png</t>
  </si>
  <si>
    <t>https://www.jotform.com/uploads/macarewecare/222927978372067/6247387139015652760/6247387139015652760_signature_28.png</t>
  </si>
  <si>
    <t>Dale Peñalosa</t>
  </si>
  <si>
    <t>https://www.jotform.com/uploads/macarewecare/222927978372067/6247387139015652760/6247387139015652760_signature_31.png</t>
  </si>
  <si>
    <t>Cabanatuan City, Nueva Ecija</t>
  </si>
  <si>
    <t xml:space="preserve">ASSAY: Xpert MTB/RIF Ultra, COUNT: 2108
ASSAY: Xpert MTB-XDR, COUNT: 72
ASSAY: Xpert HIV-1 Viral Load, COUNT: 327
</t>
  </si>
  <si>
    <t>Cleaned Icore
Cleaned Cartridge Bay
Cleaned Filter
Cleaned Plunger Rod</t>
  </si>
  <si>
    <t>Performed Maintenance
Gatherex Reports
Performed Functionality Test</t>
  </si>
  <si>
    <t>https://www.jotform.com/uploads/macarewecare/222927978372067/6247379799716453145/6247379799716453145_signature_28.png</t>
  </si>
  <si>
    <t>https://www.jotform.com/uploads/macarewecare/222927978372067/6247379799716453145/6247379799716453145_signature_31.png</t>
  </si>
  <si>
    <t>Cebu CHO</t>
  </si>
  <si>
    <t>Collecting CSV data
IQR and system log</t>
  </si>
  <si>
    <t>Desective module 2</t>
  </si>
  <si>
    <t>https://www.jotform.com/uploads/macarewecare/222927978372067/6247312024131473337/6247312024131473337_signature_28.png</t>
  </si>
  <si>
    <t>https://www.jotform.com/uploads/macarewecare/222927978372067/6247312024131473337/6247312024131473337_signature_31.png</t>
  </si>
  <si>
    <t>Quezon Rural Health Unit</t>
  </si>
  <si>
    <t>Poblacion, Quezon, Bukidnon</t>
  </si>
  <si>
    <t>quenixlopez@gmail.com</t>
  </si>
  <si>
    <t>Stuck Cartridge in Module B1</t>
  </si>
  <si>
    <t>Stuck Cartridge Removal
Preventive Maintenance</t>
  </si>
  <si>
    <t>Manually removing of Stuck Cartridge in Module B1
Preventive Maintenance</t>
  </si>
  <si>
    <t>All modules and units are now functional</t>
  </si>
  <si>
    <t>https://www.jotform.com/uploads/macarewecare/222927978372067/6247300304068726934/6247300304068726934_signature_28.png</t>
  </si>
  <si>
    <t>Quenie Rose Lopez</t>
  </si>
  <si>
    <t>https://www.jotform.com/uploads/macarewecare/222927978372067/6247300304068726934/6247300304068726934_signature_31.png</t>
  </si>
  <si>
    <t>Talavera General Hospital</t>
  </si>
  <si>
    <t>Maestrang Kikay, Talavera, Nueva Ecija</t>
  </si>
  <si>
    <t>pjgtehlab@gmail.com</t>
  </si>
  <si>
    <t xml:space="preserve">ASSAY: Xpert CT/NG, COUNT: 3
ASSAY: Xpert HBV VL, COUNT: 116
ASSAY: Xpert MTB/RIF Ultra, COUNT: 556
ASSAY: Xpert CT/NG, COUNT: 82
ASSAY: Xpert HCV VL, COUNT: 11
ASSAY: Xpert HIV-1 Viral Load, COUNT: 252
</t>
  </si>
  <si>
    <t>Performed Maintenance
Gathered Reports
Performed Xpertcheck
Performed Functionality Test</t>
  </si>
  <si>
    <t>https://www.jotform.com/uploads/macarewecare/222927978372067/6247269749717199957/6247269749717199957_signature_28.png</t>
  </si>
  <si>
    <t>Majalene Olar</t>
  </si>
  <si>
    <t>https://www.jotform.com/uploads/macarewecare/222927978372067/6247269749717199957/6247269749717199957_signature_31.png</t>
  </si>
  <si>
    <t>Heart Institute</t>
  </si>
  <si>
    <t>aepatriana@gmail.com</t>
  </si>
  <si>
    <t>Centrifuge Problem</t>
  </si>
  <si>
    <t>Clean Surface Area, check parameters of the MCS+ Machine
Removed any debris from the Centrifuge
Perform Cycle Test for functionality</t>
  </si>
  <si>
    <t>Perform Preventive Maintenance
Centrifuge Troubleshooting</t>
  </si>
  <si>
    <t>https://www.jotform.com/uploads/macarewecare/222927978372067/6246832397311114347/6246832397311114347_signature_28.png</t>
  </si>
  <si>
    <t>Angelie Patriana</t>
  </si>
  <si>
    <t>https://www.jotform.com/uploads/macarewecare/222927978372067/6246832397311114347/6246832397311114347_signature_31.png</t>
  </si>
  <si>
    <t>honeyeichel@gmail.com</t>
  </si>
  <si>
    <t xml:space="preserve">ASSAY: Xpert HBV VL, COUNT: 76
ASSAY: Xpert HPV, COUNT: 65
ASSAY: Xpert HCV VL, COUNT: 43
ASSAY: Xpert HIV-1 Viral Load, COUNT: 360
</t>
  </si>
  <si>
    <t>https://www.jotform.com/uploads/macarewecare/222927978372067/6246767181277077148/6246767181277077148_signature_28.png</t>
  </si>
  <si>
    <t>Honey Eicher Caringal</t>
  </si>
  <si>
    <t>https://www.jotform.com/uploads/macarewecare/222927978372067/6246767181277077148/6246767181277077148_signature_31.png</t>
  </si>
  <si>
    <t xml:space="preserve">ASSAY: Xpert MTB/RIF Ultra, COUNT: 1425
</t>
  </si>
  <si>
    <t>Cpu and mother board defective.</t>
  </si>
  <si>
    <t>https://www.jotform.com/uploads/macarewecare/222927978372067/6246551613441513638/6246551613441513638_signature_28.png</t>
  </si>
  <si>
    <t>https://www.jotform.com/uploads/macarewecare/222927978372067/6246551613441513638/6246551613441513638_signature_31.png</t>
  </si>
  <si>
    <t>Cpu problem immediate shut down and hard start up.</t>
  </si>
  <si>
    <t>Defective CPU.</t>
  </si>
  <si>
    <t>https://www.jotform.com/uploads/macarewecare/222927978372067/6246549490804493850/6246549490804493850_signature_28.png</t>
  </si>
  <si>
    <t>https://www.jotform.com/uploads/macarewecare/222927978372067/6246549490804493850/6246549490804493850_signature_31.png</t>
  </si>
  <si>
    <t>AC pump, Transfer pump and Blood pump  wear out rubber
Error 482 SPM error</t>
  </si>
  <si>
    <t>- Replacement AC pump, Transfer pump and Blood pump  wear out rubber
- Restart and replaced new protocol due to Error 482 SPM error</t>
  </si>
  <si>
    <t>-Replacement AC pump, Transfer pump and Blood pump  wear out rubber
- Restart and replaced new protocol due to Error 482 SPM error</t>
  </si>
  <si>
    <t>For observation for 1 week, as of now machine is operational.</t>
  </si>
  <si>
    <t>https://www.jotform.com/uploads/macarewecare/222927978372067/6246546130803678379/6246546130803678379_signature_28.png</t>
  </si>
  <si>
    <t>https://www.jotform.com/uploads/macarewecare/222927978372067/6246546130803678379/6246546130803678379_signature_31.png</t>
  </si>
  <si>
    <t>mdh.mdl2020@gmail.com</t>
  </si>
  <si>
    <t xml:space="preserve">ASSAY: Xpert SARS-CoV-2, COUNT: 0
</t>
  </si>
  <si>
    <t>https://www.jotform.com/uploads/macarewecare/222927978372067/6246544435512192938/6246544435512192938_signature_28.png</t>
  </si>
  <si>
    <t>Mariga Krista Monilla</t>
  </si>
  <si>
    <t>https://www.jotform.com/uploads/macarewecare/222927978372067/6246544435512192938/6246544435512192938_signature_31.png</t>
  </si>
  <si>
    <t xml:space="preserve">ASSAY: Xpert MTB/RIF Ultra, COUNT: 2047
ASSAY: Xpert HIV-1 Viral Load, COUNT: 78
</t>
  </si>
  <si>
    <t>https://www.jotform.com/uploads/macarewecare/222927978372067/6246529303437066145/6246529303437066145_signature_28.png</t>
  </si>
  <si>
    <t>https://www.jotform.com/uploads/macarewecare/222927978372067/6246529303437066145/6246529303437066145_signature_31.png</t>
  </si>
  <si>
    <t>Purok Rosas, Brgy. Poblacion, Lake Sebu South Cotabato</t>
  </si>
  <si>
    <t xml:space="preserve">ASSAY: Xpert MTB/RIF Ultra, COUNT: 451
</t>
  </si>
  <si>
    <t>Perform Genexpert Cleaning and maintenance 
Perform XPC Calibration at module 1  for troubleshooting 
Reporting of errors/problem 
Problem reported to Jotform 
Data collection</t>
  </si>
  <si>
    <t>Perform Genexpert module troubleshooting</t>
  </si>
  <si>
    <t>XPC Results:
Module 1 passed
4 operational modules</t>
  </si>
  <si>
    <t>https://www.jotform.com/uploads/macarewecare/222927978372067/6245953266866331842/6245953266866331842_signature_28.png</t>
  </si>
  <si>
    <t>Jenny A.Pingki-an</t>
  </si>
  <si>
    <t>https://www.jotform.com/uploads/macarewecare/222927978372067/6245953266866331842/6245953266866331842_signature_31.png</t>
  </si>
  <si>
    <t>dorothygundaya@gmail.com</t>
  </si>
  <si>
    <t>https://www.jotform.com/uploads/macarewecare/222927978372067/6245892794587616067/6245892794587616067_signature_28.png</t>
  </si>
  <si>
    <t>Dorothy Gundaya</t>
  </si>
  <si>
    <t>https://www.jotform.com/uploads/macarewecare/222927978372067/6245892794587616067/6245892794587616067_signature_31.png</t>
  </si>
  <si>
    <t>E. Rodriquez Sr. Ave., Q.C.</t>
  </si>
  <si>
    <t>Not responsive Keypads</t>
  </si>
  <si>
    <t>Replaced display cable.
Performed keypad test.
Run functionlity test.</t>
  </si>
  <si>
    <t>Replaced Diplay cable. Service part only.</t>
  </si>
  <si>
    <t>Display cable assy.</t>
  </si>
  <si>
    <t>DR #: 13056</t>
  </si>
  <si>
    <t>https://www.jotform.com/uploads/macarewecare/222927978372067/6243996010529314941/6243996010529314941_signature_28.png</t>
  </si>
  <si>
    <t>https://www.jotform.com/uploads/macarewecare/222927978372067/6243996010529314941/6243996010529314941_signature_31.png</t>
  </si>
  <si>
    <t>Module B3 temperature error</t>
  </si>
  <si>
    <t>-</t>
  </si>
  <si>
    <t>https://www.jotform.com/uploads/macarewecare/222927978372067/6243937745526755454/6243937745526755454_signature_28.png</t>
  </si>
  <si>
    <t>https://www.jotform.com/uploads/macarewecare/222927978372067/6243937745526755454/6243937745526755454_signature_31.png</t>
  </si>
  <si>
    <t>Tuburan Rural health unit</t>
  </si>
  <si>
    <t>Tuburan, Basilan</t>
  </si>
  <si>
    <t>rjakilan2@gmail.com</t>
  </si>
  <si>
    <t>Replaced Power supply of system unit and conducted Preventive Maintenence.</t>
  </si>
  <si>
    <t>All modules are available and system unit is working properly.</t>
  </si>
  <si>
    <t>https://www.jotform.com/uploads/macarewecare/222927978372067/6243924940743098136/6243924940743098136_signature_28.png</t>
  </si>
  <si>
    <t>Raiyana Hassan Jakilan</t>
  </si>
  <si>
    <t>https://www.jotform.com/uploads/macarewecare/222927978372067/6243924940743098136/6243924940743098136_signature_31.png</t>
  </si>
  <si>
    <t>https://www.jotform.com/uploads/macarewecare/222927978372067/6243920316316507172/6243920316316507172_signature_28.png</t>
  </si>
  <si>
    <t>https://www.jotform.com/uploads/macarewecare/222927978372067/6243920316316507172/6243920316316507172_signature_31.png</t>
  </si>
  <si>
    <t>Bambamg, Nueva Vizcaya</t>
  </si>
  <si>
    <t xml:space="preserve">ASSAY: Xpert MTB/RIF Ultra, COUNT: 1158
</t>
  </si>
  <si>
    <t>Module 1 error 2008 
AVR not working</t>
  </si>
  <si>
    <t>Troubleshoot Genexpert
Check AVR Fuse</t>
  </si>
  <si>
    <t>AVR for Replacement</t>
  </si>
  <si>
    <t>https://www.jotform.com/uploads/macarewecare/222927978372067/6243869613114888616/6243869613114888616_signature_28.png</t>
  </si>
  <si>
    <t>Bernadette Dumlao</t>
  </si>
  <si>
    <t>https://www.jotform.com/uploads/macarewecare/222927978372067/6243869613114888616/6243869613114888616_signature_31.png</t>
  </si>
  <si>
    <t>mjcabardo06@gmail.com</t>
  </si>
  <si>
    <t>-Preventive Maintenance
-Data Gathering
-Run XPC on module 1</t>
  </si>
  <si>
    <t>https://www.jotform.com/uploads/macarewecare/222927978372067/6243856205871781981/6243856205871781981_signature_28.png</t>
  </si>
  <si>
    <t>https://www.jotform.com/uploads/macarewecare/222927978372067/6243856205871781981/6243856205871781981_signature_31.png</t>
  </si>
  <si>
    <t xml:space="preserve">ASSAY: Xpert MTB/RIF Ultra, COUNT: 749
</t>
  </si>
  <si>
    <t>https://www.jotform.com/uploads/macarewecare/222927978372067/6243833533119480130/6243833533119480130_signature_28.png</t>
  </si>
  <si>
    <t>Roderick Lopez</t>
  </si>
  <si>
    <t>https://www.jotform.com/uploads/macarewecare/222927978372067/6243833533119480130/6243833533119480130_signature_31.png</t>
  </si>
  <si>
    <t>SILLIMAN UNIVERSITY MEDICAL CENTER</t>
  </si>
  <si>
    <t>MOLECULAR LABORATORY</t>
  </si>
  <si>
    <t xml:space="preserve">ASSAY: Xpert BCR-ABL Ultra, COUNT: 9
ASSAY: Xpert C. difficile BT, COUNT: 17
ASSAY: Xpert CT/NG, COUNT: 34
ASSAY: Xpert HBV VL, COUNT: 185
ASSAY: Xpert HPV, COUNT: 260
ASSAY: Xpert MTB/RIF Ultra, COUNT: 651
ASSAY: Xpert SARS-CoV-2, COUNT: 22
ASSAY: Xpert HCV VL, COUNT: 22
</t>
  </si>
  <si>
    <t>MODULE A2 AND MODULE A3 DISABLED</t>
  </si>
  <si>
    <t>https://www.jotform.com/uploads/macarewecare/222927978372067/6243808606823943125/6243808606823943125_signature_28.png</t>
  </si>
  <si>
    <t>Maryjune Bangalando</t>
  </si>
  <si>
    <t>https://www.jotform.com/uploads/macarewecare/222927978372067/6243808606823943125/6243808606823943125_signature_31.png</t>
  </si>
  <si>
    <t>Loveyour self</t>
  </si>
  <si>
    <t>HIV laboratory</t>
  </si>
  <si>
    <t>paulo14reforzado@gmail.com</t>
  </si>
  <si>
    <t>. Save installation qualification report. 
. Save system Log file
. Save csv file</t>
  </si>
  <si>
    <t>Perform preventive maintenance for gx4</t>
  </si>
  <si>
    <t>Module A1, A2 ok to use module A3, A4 not ok to use.</t>
  </si>
  <si>
    <t>https://www.jotform.com/uploads/macarewecare/222927978372067/6243102015847378580/6243102015847378580_signature_28.png</t>
  </si>
  <si>
    <t>Paulo Reforzado</t>
  </si>
  <si>
    <t>https://www.jotform.com/uploads/macarewecare/222927978372067/6243102015847378580/6243102015847378580_signature_31.png</t>
  </si>
  <si>
    <t>https://www.jotform.com/uploads/macarewecare/222927978372067/6243060406318234053/6243060406318234053_signature_28.png</t>
  </si>
  <si>
    <t>Carlo Martin Reyes</t>
  </si>
  <si>
    <t>https://www.jotform.com/uploads/macarewecare/222927978372067/6243060406318234053/6243060406318234053_signature_31.png</t>
  </si>
  <si>
    <t>Troubleshoot UPS</t>
  </si>
  <si>
    <t>UPS for Replacement</t>
  </si>
  <si>
    <t>https://www.jotform.com/uploads/macarewecare/222927978372067/6243057631791764383/6243057631791764383_signature_28.png</t>
  </si>
  <si>
    <t>https://www.jotform.com/uploads/macarewecare/222927978372067/6243057631791764383/6243057631791764383_signature_31.png</t>
  </si>
  <si>
    <t>NHA, Buhangin, Davao City</t>
  </si>
  <si>
    <t xml:space="preserve">ASSAY: Xpert MTB/RIF Ultra, COUNT: 1211
</t>
  </si>
  <si>
    <t>https://www.jotform.com/uploads/macarewecare/222927978372067/6243055398702273952/6243055398702273952_signature_28.png</t>
  </si>
  <si>
    <t>https://www.jotform.com/uploads/macarewecare/222927978372067/6243055398702273952/6243055398702273952_signature_31.png</t>
  </si>
  <si>
    <t>Maluso, Basilan</t>
  </si>
  <si>
    <t>Module 1 error 4012. UPS unable to work properly.</t>
  </si>
  <si>
    <t>Preventive Maintenence. Replaced 2pcs. UPS batteries with 12v 7AH. Module 1 undergone Xpertcheck calibration.</t>
  </si>
  <si>
    <t>UPS needs to be charge approximately 8hrs. All modules are available. module 1 passed Xpertcheck Calibration.</t>
  </si>
  <si>
    <t>https://www.jotform.com/uploads/macarewecare/222927978372067/6243023024485842425/6243023024485842425_signature_28.png</t>
  </si>
  <si>
    <t>https://www.jotform.com/uploads/macarewecare/222927978372067/6243023024485842425/6243023024485842425_signature_31.png</t>
  </si>
  <si>
    <t xml:space="preserve">ASSAY: Xpert MTB/RIF Ultra, COUNT: 208
</t>
  </si>
  <si>
    <t>https://www.jotform.com/uploads/macarewecare/222927978372067/6242985026011968654/6242985026011968654_signature_28.png</t>
  </si>
  <si>
    <t>Charisse Alferez</t>
  </si>
  <si>
    <t>https://www.jotform.com/uploads/macarewecare/222927978372067/6242985026011968654/6242985026011968654_signature_31.png</t>
  </si>
  <si>
    <t>Tumauini Community Hospital</t>
  </si>
  <si>
    <t>Tumauini, Isabela</t>
  </si>
  <si>
    <t>kayecatembung2911@gmail.com</t>
  </si>
  <si>
    <t xml:space="preserve">ASSAY: Xpert MTB/RIF Ultra, COUNT: 1
</t>
  </si>
  <si>
    <t>https://www.jotform.com/uploads/macarewecare/222927978372067/6242981526711783275/6242981526711783275_signature_28.png</t>
  </si>
  <si>
    <t>Mylene Claravall</t>
  </si>
  <si>
    <t>https://www.jotform.com/uploads/macarewecare/222927978372067/6242981526711783275/6242981526711783275_signature_31.png</t>
  </si>
  <si>
    <t>Delfin Albanao Memorial Hospital</t>
  </si>
  <si>
    <t>Delfin Albanao, Isabela</t>
  </si>
  <si>
    <t>valorozos@yahoo.com</t>
  </si>
  <si>
    <t xml:space="preserve">ASSAY: Xpert MTB/RIF Ultra, COUNT: 788
</t>
  </si>
  <si>
    <t>https://www.jotform.com/uploads/macarewecare/222927978372067/6242961426711297860/6242961426711297860_signature_28.png</t>
  </si>
  <si>
    <t>Stephen Valorozo</t>
  </si>
  <si>
    <t>https://www.jotform.com/uploads/macarewecare/222927978372067/6242961426711297860/6242961426711297860_signature_31.png</t>
  </si>
  <si>
    <t xml:space="preserve">ASSAY: Xpert MTB/RIF Ultra, COUNT: 564
</t>
  </si>
  <si>
    <t>https://www.jotform.com/uploads/macarewecare/222927978372067/6242955546015961358/6242955546015961358_signature_28.png</t>
  </si>
  <si>
    <t>https://www.jotform.com/uploads/macarewecare/222927978372067/6242955546015961358/6242955546015961358_signature_31.png</t>
  </si>
  <si>
    <t>Santo Tomas Rural Health Unit</t>
  </si>
  <si>
    <t>Bolinao, Santo Tomas, Isabela</t>
  </si>
  <si>
    <t>gloangelinebagain@gmail.com</t>
  </si>
  <si>
    <t>Module 4 Failed Calibration</t>
  </si>
  <si>
    <t>Performed Module Replacement
B4(210127605 - 210043769)</t>
  </si>
  <si>
    <t>https://www.jotform.com/uploads/macarewecare/222927978372067/6242934126719861133/6242934126719861133_signature_28.png</t>
  </si>
  <si>
    <t>Glo Angelie Bagain</t>
  </si>
  <si>
    <t>https://www.jotform.com/uploads/macarewecare/222927978372067/6242934126719861133/6242934126719861133_signature_31.png</t>
  </si>
  <si>
    <t xml:space="preserve">ASSAY: Xpert MTB/RIF Ultra, COUNT: 717
</t>
  </si>
  <si>
    <t>https://www.jotform.com/uploads/macarewecare/222927978372067/6242881216012147552/6242881216012147552_signature_28.png</t>
  </si>
  <si>
    <t>Kathleen May Carolino</t>
  </si>
  <si>
    <t>https://www.jotform.com/uploads/macarewecare/222927978372067/6242881216012147552/6242881216012147552_signature_31.png</t>
  </si>
  <si>
    <t xml:space="preserve">ASSAY: Xpert MTB/RIF Ultra, COUNT: 1268
</t>
  </si>
  <si>
    <t>https://www.jotform.com/uploads/macarewecare/222927978372067/6242218662513085762/6242218662513085762_signature_28.png</t>
  </si>
  <si>
    <t>Jelina Keith Ifurung</t>
  </si>
  <si>
    <t>https://www.jotform.com/uploads/macarewecare/222927978372067/6242218662513085762/6242218662513085762_signature_31.png</t>
  </si>
  <si>
    <t>Camus Street, Poblacion District Davao</t>
  </si>
  <si>
    <t xml:space="preserve">ASSAY: Xpert MTB/RIF Ultra, COUNT: 845
ASSAY: Xpert HIV-1 Viral Load, COUNT: 2
</t>
  </si>
  <si>
    <t>https://www.jotform.com/uploads/macarewecare/222927978372067/6242212299779952258/6242212299779952258_signature_28.png</t>
  </si>
  <si>
    <t>Karen C. Villanueva</t>
  </si>
  <si>
    <t>https://www.jotform.com/uploads/macarewecare/222927978372067/6242212299779952258/6242212299779952258_signature_31.png</t>
  </si>
  <si>
    <t>Tb Dots</t>
  </si>
  <si>
    <t xml:space="preserve">ASSAY: Xpert MTB/RIF Ultra, COUNT: 930
</t>
  </si>
  <si>
    <t>Machine is functional. Waiting for module 4 replacement.</t>
  </si>
  <si>
    <t>https://www.jotform.com/uploads/macarewecare/222927978372067/6242194379912146424/6242194379912146424_signature_28.png</t>
  </si>
  <si>
    <t>https://www.jotform.com/uploads/macarewecare/222927978372067/6242194379912146424/6242194379912146424_signature_31.png</t>
  </si>
  <si>
    <t>IBJ, Lasam, Cagayan</t>
  </si>
  <si>
    <t xml:space="preserve">ASSAY: Xpert MTB/RIF Ultra, COUNT: 424
</t>
  </si>
  <si>
    <t>PC not powering on</t>
  </si>
  <si>
    <t>Troubleshoot PC
Replaced Bios Battery</t>
  </si>
  <si>
    <t>https://www.jotform.com/uploads/macarewecare/222927978372067/6242127842105191613/6242127842105191613_signature_28.png</t>
  </si>
  <si>
    <t>Verbell Manuela</t>
  </si>
  <si>
    <t>https://www.jotform.com/uploads/macarewecare/222927978372067/6242127842105191613/6242127842105191613_signature_31.png</t>
  </si>
  <si>
    <t>RIVERSIDE MEDICAL CENTER, INC.</t>
  </si>
  <si>
    <t>BS Aquino Dr, Bacolod City</t>
  </si>
  <si>
    <t>rumary.manito@medilinx.com.ph</t>
  </si>
  <si>
    <t>rjmanito@gmail.com</t>
  </si>
  <si>
    <t xml:space="preserve">ASSAY: Xpert BCR-ABL Ultra, COUNT: 25
ASSAY: Xpert HBV VL, COUNT: 165
ASSAY: Xpert HPV, COUNT: 29
ASSAY: Xpert MTB/RIF Ultra, COUNT: 506
ASSAY: Xpert HCV VL, COUNT: 58
</t>
  </si>
  <si>
    <t>MODULE B3 AND MODULE B4 FOR REPLACEMENT</t>
  </si>
  <si>
    <t>https://www.jotform.com/uploads/macarewecare/222927978372067/6242071709599171582/6242071709599171582_signature_28.png</t>
  </si>
  <si>
    <t>Rumary Joan Manito</t>
  </si>
  <si>
    <t>https://www.jotform.com/uploads/macarewecare/222927978372067/6242071709599171582/6242071709599171582_signature_31.png</t>
  </si>
  <si>
    <t>Unresponsive keypad
Defective display cable</t>
  </si>
  <si>
    <t>Checked unit
Reset dispaly cable
Performed system reset</t>
  </si>
  <si>
    <t>After performed troubleshooting still the unit is unresponsive keypad when pressing the button.
Need to replace display cable
For quotation of display cable and line sensor</t>
  </si>
  <si>
    <t>https://www.jotform.com/uploads/macarewecare/222927978372067/6241999463614803608/6241999463614803608_signature_28.png</t>
  </si>
  <si>
    <t>https://www.jotform.com/uploads/macarewecare/222927978372067/6241999463614803608/6241999463614803608_signature_31.png</t>
  </si>
  <si>
    <t>As per end user they encounter red valve error</t>
  </si>
  <si>
    <t>Performed valve testing 
Performed simulation running</t>
  </si>
  <si>
    <t>During testing no error encountered.</t>
  </si>
  <si>
    <t>https://www.jotform.com/uploads/macarewecare/222927978372067/6241997903614746002/6241997903614746002_signature_28.png</t>
  </si>
  <si>
    <t>Sheena Kate Pascua</t>
  </si>
  <si>
    <t>https://www.jotform.com/uploads/macarewecare/222927978372067/6241997903614746002/6241997903614746002_signature_31.png</t>
  </si>
  <si>
    <t xml:space="preserve">ASSAY: Xpert MTB/RIF Ultra, COUNT: 1815
</t>
  </si>
  <si>
    <t>https://www.jotform.com/uploads/macarewecare/222927978372067/6241394159322526440/6241394159322526440_signature_28.png</t>
  </si>
  <si>
    <t>Mark ramir c manalang jr</t>
  </si>
  <si>
    <t>https://www.jotform.com/uploads/macarewecare/222927978372067/6241394159322526440/6241394159322526440_signature_31.png</t>
  </si>
  <si>
    <t xml:space="preserve">ASSAY: Xpert CT/NG, COUNT: 15
ASSAY: Xpert HBV VL, COUNT: 59
ASSAY: Xpert HPV, COUNT: 33
ASSAY: Xpert MTB/RIF Ultra, COUNT: 126
ASSAY: Xpert HIV-1 Viral Load, COUNT: 2
</t>
  </si>
  <si>
    <t>Unit is operational except module 4</t>
  </si>
  <si>
    <t>https://www.jotform.com/uploads/macarewecare/222927978372067/6241360098123353199/6241360098123353199_signature_28.png</t>
  </si>
  <si>
    <t>Jessa Rae Remorta</t>
  </si>
  <si>
    <t>https://www.jotform.com/uploads/macarewecare/222927978372067/6241360098123353199/6241360098123353199_signature_31.png</t>
  </si>
  <si>
    <t>La Castellana RHU</t>
  </si>
  <si>
    <t>La Castellana, Negros Occidental</t>
  </si>
  <si>
    <t>milouepascual@gmail.com</t>
  </si>
  <si>
    <t xml:space="preserve">ASSAY: Xpert MTB/RIF Ultra, COUNT: 708
</t>
  </si>
  <si>
    <t>Defective UPS - turns off abruptly during power interruptions.</t>
  </si>
  <si>
    <t>- Replaced UPS batteries with 2 pcs. new batteries 12V 9AH.
- Functional testing of UPS</t>
  </si>
  <si>
    <t>- UPS with power backup when line power is removed 
- 4 modules operational</t>
  </si>
  <si>
    <t>https://www.jotform.com/uploads/macarewecare/222927978372067/6241337313746213331/6241337313746213331_signature_28.png</t>
  </si>
  <si>
    <t>Mira Luna Pascual</t>
  </si>
  <si>
    <t>https://www.jotform.com/uploads/macarewecare/222927978372067/6241337313746213331/6241337313746213331_signature_31.png</t>
  </si>
  <si>
    <t>Ciudad Medical Zamboanga</t>
  </si>
  <si>
    <t>Ciudad Medical Zamboanga, Zamboanga City</t>
  </si>
  <si>
    <t xml:space="preserve">ASSAY: Xpert CT/NG, COUNT: 7
ASSAY: Xpert HBV VL, COUNT: 54
ASSAY: Xpert MTB/RIF Ultra, COUNT: 466
ASSAY: Xpert HCV VL, COUNT: 19
</t>
  </si>
  <si>
    <t>Module 1 is available.</t>
  </si>
  <si>
    <t>https://www.jotform.com/uploads/macarewecare/222927978372067/6241305740717533950/6241305740717533950_signature_28.png</t>
  </si>
  <si>
    <t>Shereemer A.Cheong-Ynawat</t>
  </si>
  <si>
    <t>https://www.jotform.com/uploads/macarewecare/222927978372067/6241305740717533950/6241305740717533950_signature_31.png</t>
  </si>
  <si>
    <t>mrbc2@redcross.org</t>
  </si>
  <si>
    <t>White Spot found on LCD. Not clear/unreadable screen.</t>
  </si>
  <si>
    <t>Replacing LCD panel board.
Preventive Maintenance</t>
  </si>
  <si>
    <t>Unit is functional</t>
  </si>
  <si>
    <t>https://www.jotform.com/uploads/macarewecare/222927978372067/6241236195128933076/6241236195128933076_signature_28.png</t>
  </si>
  <si>
    <t>Phoenix James Dahili</t>
  </si>
  <si>
    <t>https://www.jotform.com/uploads/macarewecare/222927978372067/6241236195128933076/6241236195128933076_signature_31.png</t>
  </si>
  <si>
    <t>Dolores City of San Fernando Pampanga</t>
  </si>
  <si>
    <t>jblmghmpl@gmail.com</t>
  </si>
  <si>
    <t xml:space="preserve">ASSAY: Xpert HPV, COUNT: 12
ASSAY: Xpert MTB/RIF Ultra, COUNT: 871
ASSAY: Xpert MTB-XDR, COUNT: 173
</t>
  </si>
  <si>
    <t>https://www.jotform.com/uploads/macarewecare/222927978372067/6241209938028482525/6241209938028482525_signature_28.png</t>
  </si>
  <si>
    <t>Aurita Cudia</t>
  </si>
  <si>
    <t>https://www.jotform.com/uploads/macarewecare/222927978372067/6241209938028482525/6241209938028482525_signature_31.png</t>
  </si>
  <si>
    <t>Dolores City of San Fernando, Pampanga</t>
  </si>
  <si>
    <t xml:space="preserve">ASSAY: Xpert HBV VL, COUNT: 304
ASSAY: Xpert HCV VL, COUNT: 77
ASSAY: Xpert HIV-1 Viral Load, COUNT: 2000
</t>
  </si>
  <si>
    <t>https://www.jotform.com/uploads/macarewecare/222927978372067/6241195298023561167/6241195298023561167_signature_28.png</t>
  </si>
  <si>
    <t>Charlene Mae Laxamana</t>
  </si>
  <si>
    <t>https://www.jotform.com/uploads/macarewecare/222927978372067/6241195298023561167/6241195298023561167_signature_31.png</t>
  </si>
  <si>
    <t>Best Diagnostic Corporation</t>
  </si>
  <si>
    <t>Masikap ext QC</t>
  </si>
  <si>
    <t xml:space="preserve">ASSAY: Xpert HBV VL, COUNT: 20
ASSAY: Xpert MTB/RIF Ultra, COUNT: 3
ASSAY: Xpert HCV VL, COUNT: 2
</t>
  </si>
  <si>
    <t>Due for maintenance
Due for xpertcheck last xpertcheck 2/7/2024</t>
  </si>
  <si>
    <t>https://www.jotform.com/uploads/macarewecare/222927978372067/6240417833617590475/6240417833617590475_signature_28.png</t>
  </si>
  <si>
    <t>Donrichmond Catibod</t>
  </si>
  <si>
    <t>https://www.jotform.com/uploads/macarewecare/222927978372067/6240417833617590475/6240417833617590475_signature_31.png</t>
  </si>
  <si>
    <t xml:space="preserve">ASSAY: Xpert CT/NG, COUNT: 983
ASSAY: Xpert HPV, COUNT: 93
ASSAY: Xpert SARS-CoV-2, COUNT: 602
ASSAY: Xpert HIV-1 Viral Load, COUNT: 2
ASSAY: Xpress SARS-CoV-2_Flu_RSV plus, COUNT: 366
</t>
  </si>
  <si>
    <t>Performed xpert check</t>
  </si>
  <si>
    <t>Xpertcheck</t>
  </si>
  <si>
    <t>https://www.jotform.com/uploads/macarewecare/222927978372067/6240417453619398322/6240417453619398322_signature_28.png</t>
  </si>
  <si>
    <t>https://www.jotform.com/uploads/macarewecare/222927978372067/6240417453619398322/6240417453619398322_signature_31.png</t>
  </si>
  <si>
    <t xml:space="preserve">ASSAY: Xpert BCR-ABL Ultra, COUNT: 51
ASSAY: Xpert BCR-ABL Ultra, COUNT: 4
ASSAY: Xpert MTB/RIF Ultra, COUNT: 1266
ASSAY: Xpert SARS-CoV-2, COUNT: 20
ASSAY: Xpress SARS-CoV-2_Flu_RSV plus, COUNT: 1492
</t>
  </si>
  <si>
    <t>For re xpertcheck C2 210069271,D1 614214,D2 210078182,D3 210025172,D4 210069227</t>
  </si>
  <si>
    <t>Performed xpertcheck
Cleaned plunger,i core
Gathered reports</t>
  </si>
  <si>
    <t>Performed re xpertcheck</t>
  </si>
  <si>
    <t>After performed rexpert check the status of module C2,D1,D2,D3,D4 is retry in xpertcheck
Disabled module A1,A2,A3,A4,B1,B2,B3,B4,C1,C2,D1,D2,D3,D4</t>
  </si>
  <si>
    <t>https://www.jotform.com/uploads/macarewecare/222927978372067/6240417073618643390/6240417073618643390_signature_28.png</t>
  </si>
  <si>
    <t>https://www.jotform.com/uploads/macarewecare/222927978372067/6240417073618643390/6240417073618643390_signature_31.png</t>
  </si>
  <si>
    <t>rhusanfernando.2018@gmail.com</t>
  </si>
  <si>
    <t>GX4-6C for Preventive Maintenance 
Request for extra fan filtee</t>
  </si>
  <si>
    <t>Replaced fan filter 
Cleaned cartridge bays, plunger rod, icore
Generate Data</t>
  </si>
  <si>
    <t>https://www.jotform.com/uploads/macarewecare/222927978372067/6240395316421043095/6240395316421043095_signature_28.png</t>
  </si>
  <si>
    <t>Kim Jason Vega</t>
  </si>
  <si>
    <t>https://www.jotform.com/uploads/macarewecare/222927978372067/6240395316421043095/6240395316421043095_signature_31.png</t>
  </si>
  <si>
    <t>Poblacion, Cotabato</t>
  </si>
  <si>
    <t>onehope834@gmail.com</t>
  </si>
  <si>
    <t xml:space="preserve">ASSAY: Xpert MTB/RIF Ultra, COUNT: 864
</t>
  </si>
  <si>
    <t>https://www.jotform.com/uploads/macarewecare/222927978372067/6240385872118508276/6240385872118508276_signature_28.png</t>
  </si>
  <si>
    <t>EMELYN A. CADIZ</t>
  </si>
  <si>
    <t>https://www.jotform.com/uploads/macarewecare/222927978372067/6240385872118508276/6240385872118508276_signature_31.png</t>
  </si>
  <si>
    <t>https://www.jotform.com/uploads/macarewecare/222927978372067/6240385702115872990/6240385702115872990_signature_28.png</t>
  </si>
  <si>
    <t>Emelyn Cadiz,. RMT</t>
  </si>
  <si>
    <t>https://www.jotform.com/uploads/macarewecare/222927978372067/6240385702115872990/6240385702115872990_signature_31.png</t>
  </si>
  <si>
    <t>molecularlab@gmail.com</t>
  </si>
  <si>
    <t xml:space="preserve">ASSAY: Others, COUNT: 2
ASSAY: Xpert HPV, COUNT: 5
ASSAY: Xpert MTB/RIF Ultra, COUNT: 313
ASSAY: Xpert SARS-CoV-2, COUNT: 52
ASSAY: Xpress SARS-CoV-2_Flu_RSV plus, COUNT: 9
</t>
  </si>
  <si>
    <t>For module replacement</t>
  </si>
  <si>
    <t>Performed maintenance 
Replaced defective modules
Generated reports</t>
  </si>
  <si>
    <t>New modules:
220037444
220038019
220038040
220038027
220038045
220038099
220038062</t>
  </si>
  <si>
    <t>SI# 100252</t>
  </si>
  <si>
    <t>https://www.jotform.com/uploads/macarewecare/222927978372067/6237971937072490027/6237971937072490027_signature_28.png</t>
  </si>
  <si>
    <t>Justine Lorenz V Falzado, RMT</t>
  </si>
  <si>
    <t>https://www.jotform.com/uploads/macarewecare/222927978372067/6237971937072490027/6237971937072490027_signature_31.png</t>
  </si>
  <si>
    <t>St Luke's Medical Center QC</t>
  </si>
  <si>
    <t xml:space="preserve">ASSAY: Xpert CT/NG, COUNT: 3
ASSAY: Xpert HBV VL, COUNT: 346
ASSAY: Xpert HPV, COUNT: 426
ASSAY: Xpert MTB/RIF Ultra, COUNT: 188
ASSAY: Xpert HCV VL, COUNT: 27
ASSAY: Xpert HIV-1 Viral Load, COUNT: 157
</t>
  </si>
  <si>
    <t>C1,C2,C3,in use
C4 disabled due to error</t>
  </si>
  <si>
    <t>https://www.jotform.com/uploads/macarewecare/222927978372067/6237933223323225891/6237933223323225891_signature_28.png</t>
  </si>
  <si>
    <t>https://www.jotform.com/uploads/macarewecare/222927978372067/6237933223323225891/6237933223323225891_signature_31.png</t>
  </si>
  <si>
    <t>The Medical City - South Luzon</t>
  </si>
  <si>
    <t>Module B2, service required.</t>
  </si>
  <si>
    <t>https://www.jotform.com/uploads/macarewecare/222927978372067/6237931238412579599/6237931238412579599_signature_28.png</t>
  </si>
  <si>
    <t>ARJEANNE ASTEJADA</t>
  </si>
  <si>
    <t>https://www.jotform.com/uploads/macarewecare/222927978372067/6237931238412579599/6237931238412579599_signature_31.png</t>
  </si>
  <si>
    <t>St.Lukes Medical Center QC</t>
  </si>
  <si>
    <t xml:space="preserve">ASSAY: Xpert CT/NG, COUNT: 198
ASSAY: Xpert MTB/RIF Ultra, COUNT: 2711
</t>
  </si>
  <si>
    <t>Due for maintenance
Last xpertcheck march 2023
Failed xpertcheck B3 866517,B4 866800 last march 2023</t>
  </si>
  <si>
    <t>B3,B4 disabled
B1,B2 in use</t>
  </si>
  <si>
    <t>https://www.jotform.com/uploads/macarewecare/222927978372067/6237898883328724524/6237898883328724524_signature_28.png</t>
  </si>
  <si>
    <t>Maria Eliza Apo</t>
  </si>
  <si>
    <t>https://www.jotform.com/uploads/macarewecare/222927978372067/6237898883328724524/6237898883328724524_signature_31.png</t>
  </si>
  <si>
    <t>Unit is operatio al</t>
  </si>
  <si>
    <t>https://www.jotform.com/uploads/macarewecare/222927978372067/6237837334025631403/6237837334025631403_signature_28.png</t>
  </si>
  <si>
    <t>https://www.jotform.com/uploads/macarewecare/222927978372067/6237837334025631403/6237837334025631403_signature_31.png</t>
  </si>
  <si>
    <t>San Pablo Laguna</t>
  </si>
  <si>
    <t>https://www.jotform.com/uploads/macarewecare/222927978372067/6237803456616023201/6237803456616023201_signature_28.png</t>
  </si>
  <si>
    <t>https://www.jotform.com/uploads/macarewecare/222927978372067/6237803456616023201/6237803456616023201_signature_31.png</t>
  </si>
  <si>
    <t xml:space="preserve">ASSAY: Xpert BCR-ABL Ultra, COUNT: 58
ASSAY: Xpert CT/NG, COUNT: 142
ASSAY: Xpert HBV VL, COUNT: 36
ASSAY: Xpert HPV, COUNT: 66
ASSAY: Xpert MTB/RIF Ultra, COUNT: 550
ASSAY: Others, COUNT: 4
ASSAY: Xpert HCV VL, COUNT: 24
ASSAY: Xpert HIV-1 Viral Load, COUNT: 312
</t>
  </si>
  <si>
    <t>For module replacement C4 210135730 - 690272</t>
  </si>
  <si>
    <t>A1,C1,C2 disabled reported already
13 modules operational</t>
  </si>
  <si>
    <t>Genexpert module 10C</t>
  </si>
  <si>
    <t>https://www.jotform.com/uploads/macarewecare/222927978372067/6237748822676968402/6237748822676968402_signature_28.png</t>
  </si>
  <si>
    <t>Jane Shyrel M. Enriquez</t>
  </si>
  <si>
    <t>https://www.jotform.com/uploads/macarewecare/222927978372067/6237748822676968402/6237748822676968402_signature_31.png</t>
  </si>
  <si>
    <t>bmc.bacteriology@gmaol.com</t>
  </si>
  <si>
    <t xml:space="preserve">ASSAY: Xpert C. difficile BT, COUNT: 4
ASSAY: Others, COUNT: 14
ASSAY: Xpert HIV-1 Viral Load, COUNT: 143
ASSAY: Others, COUNT: 7
ASSAY: Xpert MTB/RIF Ultra, COUNT: 108
ASSAY: Xpert SARS-CoV-2, COUNT: 44
</t>
  </si>
  <si>
    <t>Date and time resets</t>
  </si>
  <si>
    <t>Replaced Bios battery of CPU
Cleaned cartridge bays, plunger rod 
Generate Data</t>
  </si>
  <si>
    <t>https://www.jotform.com/uploads/macarewecare/222927978372067/6237140658419101936/6237140658419101936_signature_28.png</t>
  </si>
  <si>
    <t>Mary elaine tolidanes</t>
  </si>
  <si>
    <t>https://www.jotform.com/uploads/macarewecare/222927978372067/6237140658419101936/6237140658419101936_signature_31.png</t>
  </si>
  <si>
    <t>collaoleo17@gmail.com</t>
  </si>
  <si>
    <t>Machine screen no image
Defective display cable</t>
  </si>
  <si>
    <t>Replaced display cable(functional)</t>
  </si>
  <si>
    <t>Replaced display cable</t>
  </si>
  <si>
    <t>Unit is non operational 
CRC Bios error</t>
  </si>
  <si>
    <t>MCS+ CPU request for replacement</t>
  </si>
  <si>
    <t>https://www.jotform.com/uploads/macarewecare/222927978372067/6237096019121561470/6237096019121561470_signature_28.png</t>
  </si>
  <si>
    <t>LEO C. COLLAO</t>
  </si>
  <si>
    <t>https://www.jotform.com/uploads/macarewecare/222927978372067/6237096019121561470/6237096019121561470_signature_31.png</t>
  </si>
  <si>
    <t>Poro, Camotes Island, Cebu</t>
  </si>
  <si>
    <t xml:space="preserve">ASSAY: Xpert MTB/RIF Ultra, COUNT: 445
</t>
  </si>
  <si>
    <t>Module B2 for replacement. Other modules are functional.</t>
  </si>
  <si>
    <t>https://www.jotform.com/uploads/macarewecare/222927978372067/6237006618503659804/6237006618503659804_signature_28.png</t>
  </si>
  <si>
    <t>https://www.jotform.com/uploads/macarewecare/222927978372067/6237006618503659804/6237006618503659804_signature_31.png</t>
  </si>
  <si>
    <t>Valenzuela Social Hygiene Clinic</t>
  </si>
  <si>
    <t>markanthony.manaois@gmail.com</t>
  </si>
  <si>
    <t>https://www.jotform.com/uploads/macarewecare/222927978372067/6236990842748639032/6236990842748639032_signature_28.png</t>
  </si>
  <si>
    <t>Mark Manaois</t>
  </si>
  <si>
    <t>https://www.jotform.com/uploads/macarewecare/222927978372067/6236990842748639032/6236990842748639032_signature_31.png</t>
  </si>
  <si>
    <t>Tuburan basilan</t>
  </si>
  <si>
    <t>rjakilan20@gmail.com</t>
  </si>
  <si>
    <t>UPS unable to work properly. System unit unable to turn on.</t>
  </si>
  <si>
    <t>Replaced 2 UPS batteries with 12V 7Ah. Pulled out System unit. Preventive Maintenance.</t>
  </si>
  <si>
    <t>System unit under repair. 2 new batteries with 12v 7ah in the repaired UPS.</t>
  </si>
  <si>
    <t>System unit ongoing repair , pulled out at the moment.</t>
  </si>
  <si>
    <t>https://www.jotform.com/uploads/macarewecare/222927978372067/6236851010291621151/6236851010291621151_signature_28.png</t>
  </si>
  <si>
    <t>https://www.jotform.com/uploads/macarewecare/222927978372067/6236851010291621151/6236851010291621151_signature_31.png</t>
  </si>
  <si>
    <t>Brgy. Cabid-an, East District, Sorsogon City</t>
  </si>
  <si>
    <t>Gx for Installation</t>
  </si>
  <si>
    <t>Installed Gx4-10C (120002716), CPU (CPH0424F51338), Monitor (CN-0WMYC5-FCC00-426-C08X-A06), UPS (AT1K240705ST0031), Barcode Scanner (24068010552108), Printer (CN4AH427D0)
Setup/adjusted Data and information for Gx  parameters/setup
Collect data</t>
  </si>
  <si>
    <t>Installed GeneXpert 10C</t>
  </si>
  <si>
    <t>Installed and rebox(laboratory under construction)</t>
  </si>
  <si>
    <t>https://www.jotform.com/uploads/macarewecare/222927978372067/6236269558508513443/6236269558508513443_signature_28.png</t>
  </si>
  <si>
    <t>https://www.jotform.com/uploads/macarewecare/222927978372067/6236269558508513443/6236269558508513443_signature_31.png</t>
  </si>
  <si>
    <t>Sumulong highway Marikina City</t>
  </si>
  <si>
    <t xml:space="preserve">ASSAY: Xpert MTB/RIF Ultra, COUNT: 496
ASSAY: Xpert MTB-XDR, COUNT: 50
ASSAY: Xpert HIV-1 Viral Load, COUNT: 111
</t>
  </si>
  <si>
    <t>https://www.jotform.com/uploads/macarewecare/222927978372067/6236251313614684192/6236251313614684192_signature_28.png</t>
  </si>
  <si>
    <t>https://www.jotform.com/uploads/macarewecare/222927978372067/6236251313614684192/6236251313614684192_signature_31.png</t>
  </si>
  <si>
    <t xml:space="preserve">ASSAY: Xpert MTB/RIF Ultra, COUNT: 9i6
ASSAY: Xpert MTB-XDR, COUNT: 3
ASSAY: Xpert HIV-1 Viral Load, COUNT: 24
</t>
  </si>
  <si>
    <t>https://www.jotform.com/uploads/macarewecare/222927978372067/6236251163613087048/6236251163613087048_signature_28.png</t>
  </si>
  <si>
    <t>https://www.jotform.com/uploads/macarewecare/222927978372067/6236251163613087048/6236251163613087048_signature_31.png</t>
  </si>
  <si>
    <t>Sumulong highway, Marikina City</t>
  </si>
  <si>
    <t xml:space="preserve">ASSAY: Xpert MTB/RIF Ultra, COUNT: 135
ASSAY: Xpert HIV-1 Viral Load, COUNT: 130
</t>
  </si>
  <si>
    <t>Performed maintenance 
Cleaned:
-cartridge bay 
-plunger rod 
-icore 
-filter
Run XpertCheck 
Generated reports</t>
  </si>
  <si>
    <t>DR# 12995</t>
  </si>
  <si>
    <t>https://www.jotform.com/uploads/macarewecare/222927978372067/6236250983613231484/6236250983613231484_signature_28.png</t>
  </si>
  <si>
    <t>https://www.jotform.com/uploads/macarewecare/222927978372067/6236250983613231484/6236250983613231484_signature_31.png</t>
  </si>
  <si>
    <t>Sumulong Highway, Marikina City</t>
  </si>
  <si>
    <t xml:space="preserve">ASSAY: Xpert MTB/RIF Ultra, COUNT: 137
ASSAY: Xpert MTB-XDR, COUNT: 7
ASSAY: Xpert HIV-1 Viral Load, COUNT: 174
</t>
  </si>
  <si>
    <t>https://www.jotform.com/uploads/macarewecare/222927978372067/6236250853617170037/6236250853617170037_signature_28.png</t>
  </si>
  <si>
    <t>https://www.jotform.com/uploads/macarewecare/222927978372067/6236250853617170037/6236250853617170037_signature_31.png</t>
  </si>
  <si>
    <t>Rizal Dr BGC Taguig City</t>
  </si>
  <si>
    <t>Performed maintenance
Checked rotor pumps 
Run simulation
Verified calibration parameters 
Functionality test</t>
  </si>
  <si>
    <t>https://www.jotform.com/uploads/macarewecare/222927978372067/6236250563617693705/6236250563617693705_signature_28.png</t>
  </si>
  <si>
    <t>Jen Entica</t>
  </si>
  <si>
    <t>https://www.jotform.com/uploads/macarewecare/222927978372067/6236250563617693705/6236250563617693705_signature_31.png</t>
  </si>
  <si>
    <t xml:space="preserve">ASSAY: Xpert BCR-ABL Ultra, COUNT: 33
ASSAY: Xpert CT/NG, COUNT: 139
ASSAY: Xpert HBV VL, COUNT: 3
ASSAY: Xpert HPV, COUNT: 186
ASSAY: Xpert MTB/RIF Ultra, COUNT: 397
ASSAY: Xpert HCV VL, COUNT: 4
ASSAY: Xpert HIV-1 Viral Load, COUNT: 92
</t>
  </si>
  <si>
    <t>Unit is operational. Module A3 for replacement.</t>
  </si>
  <si>
    <t>https://www.jotform.com/uploads/macarewecare/222927978372067/6236250273617857432/6236250273617857432_signature_28.png</t>
  </si>
  <si>
    <t>https://www.jotform.com/uploads/macarewecare/222927978372067/6236250273617857432/6236250273617857432_signature_31.png</t>
  </si>
  <si>
    <t xml:space="preserve">ASSAY: Xpert BCR-ABL Ultra, COUNT: 160
ASSAY: Xpert CT/NG, COUNT: 624
ASSAY: Xpert HBV VL, COUNT: 52
ASSAY: Xpert HPV, COUNT: 846
ASSAY: Xpert MTB/RIF Ultra, COUNT: 2094
ASSAY: Xpert MTB-XDR, COUNT: 5
ASSAY: Xpert HCV VL, COUNT: 39
ASSAY: Xpert HIV-1 Viral Load, COUNT: 242
</t>
  </si>
  <si>
    <t>https://www.jotform.com/uploads/macarewecare/222927978372067/6236250113618238639/6236250113618238639_signature_28.png</t>
  </si>
  <si>
    <t>https://www.jotform.com/uploads/macarewecare/222927978372067/6236250113618238639/6236250113618238639_signature_31.png</t>
  </si>
  <si>
    <t xml:space="preserve">ASSAY: Xpert CT/NG, COUNT: 2
ASSAY: Xpert HBV VL, COUNT: 21
ASSAY: Xpert HPV, COUNT: 1
ASSAY: Xpert MTB/RIF Ultra, COUNT: 282
ASSAY: Xpert HIV-1 Viral Load, COUNT: 13
</t>
  </si>
  <si>
    <t>Error on module B4. UPS no backup.</t>
  </si>
  <si>
    <t>Checked UPA and connections.</t>
  </si>
  <si>
    <t>Check UPS backup power. 
Check Connections
Run reliability test 
Performed maintenance 
Generated reports 
Generated gxx file</t>
  </si>
  <si>
    <t>Unit is operational. UPS has no backup power.</t>
  </si>
  <si>
    <t>Recommended to replace UPS.</t>
  </si>
  <si>
    <t>https://www.jotform.com/uploads/macarewecare/222927978372067/6236249293619900735/6236249293619900735_signature_28.png</t>
  </si>
  <si>
    <t>Graziela Marie Madrid</t>
  </si>
  <si>
    <t>https://www.jotform.com/uploads/macarewecare/222927978372067/6236249293619900735/6236249293619900735_signature_31.png</t>
  </si>
  <si>
    <t>Kaginhawaan, Pasig City</t>
  </si>
  <si>
    <t xml:space="preserve">ASSAY: Xpert HIV-1 Viral Load, COUNT: 74
</t>
  </si>
  <si>
    <t>GX-IV-L-6C</t>
  </si>
  <si>
    <t>https://www.jotform.com/uploads/macarewecare/222927978372067/6236249133614950690/6236249133614950690_signature_28.png</t>
  </si>
  <si>
    <t>https://www.jotform.com/uploads/macarewecare/222927978372067/6236249133614950690/6236249133614950690_signature_31.png</t>
  </si>
  <si>
    <t>Change time</t>
  </si>
  <si>
    <t>Adjust time of machine</t>
  </si>
  <si>
    <t>Adjust time of machine to standard time 
Functionality test</t>
  </si>
  <si>
    <t>https://www.jotform.com/uploads/macarewecare/222927978372067/6236244223617647351/6236244223617647351_signature_28.png</t>
  </si>
  <si>
    <t>https://www.jotform.com/uploads/macarewecare/222927978372067/6236244223617647351/6236244223617647351_signature_31.png</t>
  </si>
  <si>
    <t>Cotabato Regional and Medical Center - Blood Center</t>
  </si>
  <si>
    <t>Line sensor out of range and need to replace pump rollers</t>
  </si>
  <si>
    <t>Install Line Sensor Assembly (service unit only), to be pulled out upon installation of new Line Sensor Assembly. And replaced pump rotors with rollers.
Repair/replace Defective line sensor SN:SPO41504257G with service unit line sensor SN:SP121703214G
Perform cycle test</t>
  </si>
  <si>
    <t>Line Sensor and pump rollers repair</t>
  </si>
  <si>
    <t>Fixed/repair line sensor and pump rotors with rollers
Unit is Operational</t>
  </si>
  <si>
    <t>Requesting for quotation for new line sensor assembly.</t>
  </si>
  <si>
    <t>https://www.jotform.com/uploads/macarewecare/222927978372067/6236235491818176056/6236235491818176056_signature_28.png</t>
  </si>
  <si>
    <t>Rhea Lim-Macion, RMT, MSMLS</t>
  </si>
  <si>
    <t>https://www.jotform.com/uploads/macarewecare/222927978372067/6236235491818176056/6236235491818176056_signature_31.png</t>
  </si>
  <si>
    <t>Line Sensor problem and pump rollers</t>
  </si>
  <si>
    <t>Perform MCS+ Cleaning and maintenance 
Perform Calibration 
Checking of errors/problem</t>
  </si>
  <si>
    <t>Preventive maintenance 
MCS+ Calibration</t>
  </si>
  <si>
    <t>Line Sensor value out of range</t>
  </si>
  <si>
    <t>https://www.jotform.com/uploads/macarewecare/222927978372067/6236224231819098409/6236224231819098409_signature_28.png</t>
  </si>
  <si>
    <t>https://www.jotform.com/uploads/macarewecare/222927978372067/6236224231819098409/6236224231819098409_signature_31.png</t>
  </si>
  <si>
    <t xml:space="preserve">ASSAY: Xpert MTB/RIF Ultra, COUNT: 1595
ASSAY: Xpert HIV-1 Viral Load, COUNT: 147
</t>
  </si>
  <si>
    <t>https://www.jotform.com/uploads/macarewecare/222927978372067/6236218076437095265/6236218076437095265_signature_28.png</t>
  </si>
  <si>
    <t>Jeri Elizr P. Berongoy</t>
  </si>
  <si>
    <t>https://www.jotform.com/uploads/macarewecare/222927978372067/6236218076437095265/6236218076437095265_signature_31.png</t>
  </si>
  <si>
    <t xml:space="preserve">ASSAY: Xpert MTB/RIF Ultra, COUNT: 2669
</t>
  </si>
  <si>
    <t>-Perform preventive maintenance; fan filter, plunger rod, optic slot, cartridge bay</t>
  </si>
  <si>
    <t>https://www.jotform.com/uploads/macarewecare/222927978372067/6236154123181600935/6236154123181600935_signature_28.png</t>
  </si>
  <si>
    <t>Eldric Roel Sebastian Tan</t>
  </si>
  <si>
    <t>https://www.jotform.com/uploads/macarewecare/222927978372067/6236154123181600935/6236154123181600935_signature_31.png</t>
  </si>
  <si>
    <t>Central Luzon Doctir's Hospital</t>
  </si>
  <si>
    <t>Monthly preventive maintenance</t>
  </si>
  <si>
    <t>Unit is operational 
B1: 742501 Temperature Error
B4: 738203 Temperature error 
B1 and B4 for module replacement</t>
  </si>
  <si>
    <t>https://www.jotform.com/uploads/macarewecare/222927978372067/6236148156832866106/6236148156832866106_signature_28.png</t>
  </si>
  <si>
    <t>https://www.jotform.com/uploads/macarewecare/222927978372067/6236148156832866106/6236148156832866106_signature_31.png</t>
  </si>
  <si>
    <t>https://www.jotform.com/uploads/macarewecare/222927978372067/6236147762125336212/6236147762125336212_signature_28.png</t>
  </si>
  <si>
    <t>Cynthia Bernante</t>
  </si>
  <si>
    <t>https://www.jotform.com/uploads/macarewecare/222927978372067/6236147762125336212/6236147762125336212_signature_31.png</t>
  </si>
  <si>
    <t>Hospital drive Brgy. Sa Vicente Tarlac City</t>
  </si>
  <si>
    <t>https://www.jotform.com/uploads/macarewecare/222927978372067/6236147696832540775/6236147696832540775_signature_28.png</t>
  </si>
  <si>
    <t>https://www.jotform.com/uploads/macarewecare/222927978372067/6236147696832540775/6236147696832540775_signature_31.png</t>
  </si>
  <si>
    <t>https://www.jotform.com/uploads/macarewecare/222927978372067/6236141512123307694/6236141512123307694_signature_28.png</t>
  </si>
  <si>
    <t>Darnel F. Bustillos</t>
  </si>
  <si>
    <t>https://www.jotform.com/uploads/macarewecare/222927978372067/6236141512123307694/6236141512123307694_signature_31.png</t>
  </si>
  <si>
    <t>Kairos Laboratories and Diagnostics, Inc.</t>
  </si>
  <si>
    <t>A. Mabini St. Ermita Manila</t>
  </si>
  <si>
    <t>kairosermita.lab@gmail.com</t>
  </si>
  <si>
    <t>kairos.djreingen@gmail.com</t>
  </si>
  <si>
    <t xml:space="preserve">ASSAY: Xpert MTB/RIF Ultra, COUNT: 120
</t>
  </si>
  <si>
    <t>GXIV (2 modules)</t>
  </si>
  <si>
    <t>https://www.jotform.com/uploads/macarewecare/222927978372067/6236074616436929103/6236074616436929103_signature_28.png</t>
  </si>
  <si>
    <t>Denise Joyce L. Reiñgen</t>
  </si>
  <si>
    <t>https://www.jotform.com/uploads/macarewecare/222927978372067/6236074616436929103/6236074616436929103_signature_31.png</t>
  </si>
  <si>
    <t xml:space="preserve">ASSAY: Xpert MTB/RIF Ultra, COUNT: 1203
</t>
  </si>
  <si>
    <t>https://www.jotform.com/uploads/macarewecare/222927978372067/6236064164537409769/6236064164537409769_signature_28.png</t>
  </si>
  <si>
    <t>sarah jean gabieta</t>
  </si>
  <si>
    <t>https://www.jotform.com/uploads/macarewecare/222927978372067/6236064164537409769/6236064164537409769_signature_31.png</t>
  </si>
  <si>
    <t>Cebu City health office</t>
  </si>
  <si>
    <t>No problem reported</t>
  </si>
  <si>
    <t>Gather CSV files from 2024 to 2025
Gather data
Clean fan filter</t>
  </si>
  <si>
    <t>https://www.jotform.com/uploads/macarewecare/222927978372067/6236055697972739897/6236055697972739897_signature_28.png</t>
  </si>
  <si>
    <t>https://www.jotform.com/uploads/macarewecare/222927978372067/6236055697972739897/6236055697972739897_signature_31.png</t>
  </si>
  <si>
    <t>Gather CSV files from 2019 to 2025
Clean fan filter
Gather data</t>
  </si>
  <si>
    <t>https://www.jotform.com/uploads/macarewecare/222927978372067/6236053817974192008/6236053817974192008_signature_28.png</t>
  </si>
  <si>
    <t>https://www.jotform.com/uploads/macarewecare/222927978372067/6236053817974192008/6236053817974192008_signature_31.png</t>
  </si>
  <si>
    <t>suzzettekho@gmail.com</t>
  </si>
  <si>
    <t>GX4-6 colors</t>
  </si>
  <si>
    <t>https://www.jotform.com/uploads/macarewecare/222927978372067/6235587665952981753/6235587665952981753_signature_28.png</t>
  </si>
  <si>
    <t>https://www.jotform.com/uploads/macarewecare/222927978372067/6235587665952981753/6235587665952981753_signature_31.png</t>
  </si>
  <si>
    <t>Pio Duran Rural Health Uniy</t>
  </si>
  <si>
    <t xml:space="preserve">ASSAY: Xpert MTB/RIF Ultra, COUNT: 535
</t>
  </si>
  <si>
    <t>UPS overheat</t>
  </si>
  <si>
    <t>Checked fuse(busted)
Checked UPS batteries(1battery busted)
Cleaned cartridge bays, plunger rod
Data Collection</t>
  </si>
  <si>
    <t>Performed UPS Troubleshooting 
Performed Preventive Maintenance</t>
  </si>
  <si>
    <t>Unit is Operational 
UPS defective</t>
  </si>
  <si>
    <t>Requesting for UPS replacement</t>
  </si>
  <si>
    <t>https://www.jotform.com/uploads/macarewecare/222927978372067/6235327333115177245/6235327333115177245_signature_28.png</t>
  </si>
  <si>
    <t>Mitzi D. Cedeño</t>
  </si>
  <si>
    <t>https://www.jotform.com/uploads/macarewecare/222927978372067/6235327333115177245/6235327333115177245_signature_31.png</t>
  </si>
  <si>
    <t>Unit is operational
Unit is due for calibration (12.22.24)</t>
  </si>
  <si>
    <t>https://www.jotform.com/uploads/macarewecare/222927978372067/6235251492212173598/6235251492212173598_signature_28.png</t>
  </si>
  <si>
    <t>https://www.jotform.com/uploads/macarewecare/222927978372067/6235251492212173598/6235251492212173598_signature_31.png</t>
  </si>
  <si>
    <t>Brgy. Navarro, Socorro</t>
  </si>
  <si>
    <t>GX4-10 Colors</t>
  </si>
  <si>
    <t>Issue found in Module B3. Module not detected in GX software. Orange Indicator. Error due to communication.</t>
  </si>
  <si>
    <t>Troubleshooting.
Sending pictures and documents to Main Office.
Maintenance</t>
  </si>
  <si>
    <t>Troubleshooting Module B3 including connection reset and swapping B3 to another location.
Preventive Maintenance</t>
  </si>
  <si>
    <t>3 modules working, 1 module for replacement.
Gx unit peripherals are working.</t>
  </si>
  <si>
    <t>https://www.jotform.com/uploads/macarewecare/222927978372067/6235131630814885643/6235131630814885643_signature_28.png</t>
  </si>
  <si>
    <t>James Anastacio</t>
  </si>
  <si>
    <t>https://www.jotform.com/uploads/macarewecare/222927978372067/6235131630814885643/6235131630814885643_signature_31.png</t>
  </si>
  <si>
    <t xml:space="preserve">ASSAY: Xpert MTB/RIF Ultra, COUNT: 1593
</t>
  </si>
  <si>
    <t>Perform Genexpert machine Cleaning and maintenance 
Module cleaning 
Plunger rod and Optics cleaning 
Filter cleaning 
Checking of errors/problem 
Data collection</t>
  </si>
  <si>
    <t>https://www.jotform.com/uploads/macarewecare/222927978372067/6234719169811743295/6234719169811743295_signature_28.png</t>
  </si>
  <si>
    <t>https://www.jotform.com/uploads/macarewecare/222927978372067/6234719169811743295/6234719169811743295_signature_31.png</t>
  </si>
  <si>
    <t xml:space="preserve">ASSAY: Xpert HBV VL, COUNT: 63
ASSAY: Xpert HPV, COUNT: 22
ASSAY: Xpert MTB-XDR, COUNT: 2
ASSAY: Xpert HCV VL, COUNT: 4
ASSAY: Xpert HIV-1 Viral Load, COUNT: 43
</t>
  </si>
  <si>
    <t>https://www.jotform.com/uploads/macarewecare/222927978372067/6234560886027992952/6234560886027992952_signature_28.png</t>
  </si>
  <si>
    <t>Karla Danielle Peralta</t>
  </si>
  <si>
    <t>https://www.jotform.com/uploads/macarewecare/222927978372067/6234560886027992952/6234560886027992952_signature_31.png</t>
  </si>
  <si>
    <t>Pasig Treatment Hub - Klinika Pasig (Sumilang)</t>
  </si>
  <si>
    <t>Dr. Garcia St. Pasig City</t>
  </si>
  <si>
    <t xml:space="preserve">ASSAY: Xpert HIV-1 Viral Load, COUNT: 297
</t>
  </si>
  <si>
    <t>https://www.jotform.com/uploads/macarewecare/222927978372067/6234531493614763435/6234531493614763435_signature_28.png</t>
  </si>
  <si>
    <t>Torate, Melanio M</t>
  </si>
  <si>
    <t>https://www.jotform.com/uploads/macarewecare/222927978372067/6234531493614763435/6234531493614763435_signature_31.png</t>
  </si>
  <si>
    <t>Champ bldg. Pasig City</t>
  </si>
  <si>
    <t xml:space="preserve">ASSAY: Xpert HIV-1 Viral Load, COUNT: 318
</t>
  </si>
  <si>
    <t>https://www.jotform.com/uploads/macarewecare/222927978372067/6234531483613790594/6234531483613790594_signature_28.png</t>
  </si>
  <si>
    <t>Dan nathaniel sumulong</t>
  </si>
  <si>
    <t>https://www.jotform.com/uploads/macarewecare/222927978372067/6234531483613790594/6234531483613790594_signature_31.png</t>
  </si>
  <si>
    <t>3rd Level CityWalk, Quezon City</t>
  </si>
  <si>
    <t xml:space="preserve">ASSAY: Xpert HIV-1 Viral Load, COUNT: 64
</t>
  </si>
  <si>
    <t>Performed maintenance 
Cleaned:
-cartridge 
-plunger rod 
-icore 
-filter 
Generated reports</t>
  </si>
  <si>
    <t>https://www.jotform.com/uploads/macarewecare/222927978372067/6234531483615642597/6234531483615642597_signature_28.png</t>
  </si>
  <si>
    <t>Mary Claire P Baptista</t>
  </si>
  <si>
    <t>https://www.jotform.com/uploads/macarewecare/222927978372067/6234531483615642597/6234531483615642597_signature_31.png</t>
  </si>
  <si>
    <t xml:space="preserve">ASSAY: Xpert MTB/RIF Ultra, COUNT: 1166
</t>
  </si>
  <si>
    <t>Cleaned Cartridge Bay, Plunger Rod and Icore Optics.
Checked Filter if Clogged.
Performed Self-test.
Archive Test Results.
Checked System's Functionality.
Generate Reports.</t>
  </si>
  <si>
    <t>All Modules are Good.
UPS is Defective.</t>
  </si>
  <si>
    <t>S/N: AT1000190123ST0255</t>
  </si>
  <si>
    <t>https://www.jotform.com/uploads/macarewecare/222927978372067/6234233703619306519/6234233703619306519_signature_28.png</t>
  </si>
  <si>
    <t>https://www.jotform.com/uploads/macarewecare/222927978372067/6234233703619306519/6234233703619306519_signature_31.png</t>
  </si>
  <si>
    <t>Checked Diagnostic Values.
Cleaned Pump Rollers.
Cleaned Optics and Sensors.
Checked Machine's Functionality.
Performed Simulation Run.</t>
  </si>
  <si>
    <t>https://www.jotform.com/uploads/macarewecare/222927978372067/6234233653615001488/6234233653615001488_signature_28.png</t>
  </si>
  <si>
    <t>https://www.jotform.com/uploads/macarewecare/222927978372067/6234233653615001488/6234233653615001488_signature_31.png</t>
  </si>
  <si>
    <t>jjpsanchez21@gmail.com</t>
  </si>
  <si>
    <t xml:space="preserve">ASSAY: Xpert MTB/RIF Ultra, COUNT: 562
</t>
  </si>
  <si>
    <t>https://www.jotform.com/uploads/macarewecare/222927978372067/6234233653619561469/6234233653619561469_signature_28.png</t>
  </si>
  <si>
    <t>https://www.jotform.com/uploads/macarewecare/222927978372067/6234233653619561469/6234233653619561469_signature_31.png</t>
  </si>
  <si>
    <t>Check-up</t>
  </si>
  <si>
    <t>gfalcantara.rmt@gmail.com</t>
  </si>
  <si>
    <t>For Checkup of Apheresis Unit.</t>
  </si>
  <si>
    <t>Checkup</t>
  </si>
  <si>
    <t>Checked Machine Functionality.
Checked Rollers.
Checked Sensor Values.
Checked Optic Values.</t>
  </si>
  <si>
    <t>Pump Rollers for Replacement.
Unit is due for Calibration.</t>
  </si>
  <si>
    <t>https://www.jotform.com/uploads/macarewecare/222927978372067/6234233653616564137/6234233653616564137_signature_28.png</t>
  </si>
  <si>
    <t>Gretha Faye Alcantara</t>
  </si>
  <si>
    <t>https://www.jotform.com/uploads/macarewecare/222927978372067/6234233653616564137/6234233653616564137_signature_31.png</t>
  </si>
  <si>
    <t>DBB-E, Dasmariñas City, Cavite</t>
  </si>
  <si>
    <t xml:space="preserve">ASSAY: Xpert MTB/RIF Ultra, COUNT: 2376
</t>
  </si>
  <si>
    <t>https://www.jotform.com/uploads/macarewecare/222927978372067/6234233653619051610/6234233653619051610_signature_28.png</t>
  </si>
  <si>
    <t>https://www.jotform.com/uploads/macarewecare/222927978372067/6234233653619051610/6234233653619051610_signature_31.png</t>
  </si>
  <si>
    <t xml:space="preserve">ASSAY: Xpert MTB/RIF Ultra, COUNT: 402
</t>
  </si>
  <si>
    <t>All Modules are Operational. GX System is Functional.</t>
  </si>
  <si>
    <t>https://www.jotform.com/uploads/macarewecare/222927978372067/6234233653619567702/6234233653619567702_signature_28.png</t>
  </si>
  <si>
    <t>https://www.jotform.com/uploads/macarewecare/222927978372067/6234233653619567702/6234233653619567702_signature_31.png</t>
  </si>
  <si>
    <t>Batasan Social hygiene clinic</t>
  </si>
  <si>
    <t xml:space="preserve">ASSAY: Xpert CT/NG, COUNT: 32
ASSAY: Xpert HBV VL, COUNT: 50
ASSAY: Xpert HIV-1 Viral Load, COUNT: 855
</t>
  </si>
  <si>
    <t>Due for maintenance
As per end user they encounter loss communication and unable to detect module</t>
  </si>
  <si>
    <t>Cleaned unit
Cleaned plunger rod,filter,icore,cartridge bay
Gathered reports
Test run unit
Reset lan cable</t>
  </si>
  <si>
    <t>https://www.jotform.com/uploads/macarewecare/222927978372067/6234218843619597629/6234218843619597629_signature_28.png</t>
  </si>
  <si>
    <t>https://www.jotform.com/uploads/macarewecare/222927978372067/6234218843619597629/6234218843619597629_signature_31.png</t>
  </si>
  <si>
    <t>All Modules are opeeational</t>
  </si>
  <si>
    <t>https://www.jotform.com/uploads/macarewecare/222927978372067/6232992625517437877/6232992625517437877_signature_28.png</t>
  </si>
  <si>
    <t>Dominador S. Castro III</t>
  </si>
  <si>
    <t>https://www.jotform.com/uploads/macarewecare/222927978372067/6232992625517437877/6232992625517437877_signature_31.png</t>
  </si>
  <si>
    <t>alohakae.jabat@makatimed.net.ph</t>
  </si>
  <si>
    <t>Gentlemacs octo dissociator</t>
  </si>
  <si>
    <t>Cleaned unit and surface
Checked wear and tear parts
Test lcd display
Checked program parameters
Checked connectors
Performed functionality test</t>
  </si>
  <si>
    <t>https://www.jotform.com/uploads/macarewecare/222927978372067/6231849719329946788/6231849719329946788_signature_28.png</t>
  </si>
  <si>
    <t>https://www.jotform.com/uploads/macarewecare/222927978372067/6231849719329946788/6231849719329946788_signature_31.png</t>
  </si>
  <si>
    <t>La Castellana Rural Health Unit</t>
  </si>
  <si>
    <t>Defective UPS, no power backup during power interruptions.</t>
  </si>
  <si>
    <t>UPS batteries for replacement, 2 pcs 12 V 7AH.
UPS SN AT100019042ST0082</t>
  </si>
  <si>
    <t>https://www.jotform.com/uploads/macarewecare/222927978372067/6231835052816523870/6231835052816523870_signature_28.png</t>
  </si>
  <si>
    <t>https://www.jotform.com/uploads/macarewecare/222927978372067/6231835052816523870/6231835052816523870_signature_31.png</t>
  </si>
  <si>
    <t>https://www.jotform.com/uploads/macarewecare/222927978372067/6231804565813341699/6231804565813341699_signature_28.png</t>
  </si>
  <si>
    <t>https://www.jotform.com/uploads/macarewecare/222927978372067/6231804565813341699/6231804565813341699_signature_31.png</t>
  </si>
  <si>
    <t>Leaked fluid inside centrifuge basin</t>
  </si>
  <si>
    <t>Cleaned Centrifuge 
Cleaned Unit
Check the rpm of centrifuge
Checked the stability/steadiness of centrifuge while rotating
Checked parameters</t>
  </si>
  <si>
    <t>No humming sound during centrifuge test, centrifuge placement is stable during test</t>
  </si>
  <si>
    <t>https://www.jotform.com/uploads/https:/www.jotform.com/uploads/macarewecare/222927978372067/6231745398117302103/6231745398117302103_signature_28.png</t>
  </si>
  <si>
    <t>Leo Collao</t>
  </si>
  <si>
    <t>https://www.jotform.com/uploads/https:/www.jotform.com/uploads/macarewecare/222927978372067/6231745398117302103/6231745398117302103_signature_31.png</t>
  </si>
  <si>
    <t>Caraycayon</t>
  </si>
  <si>
    <t>Replaced UPS(AT1K240705ST0033
cleaned cartridge bays, plunger rod</t>
  </si>
  <si>
    <t>Replaced UPS 
Performed Preventive Maintenance</t>
  </si>
  <si>
    <t>Unit is Operational 
UPS Operational</t>
  </si>
  <si>
    <t>https://www.jotform.com/uploads/macarewecare/222927978372067/6231087920938609599/6231087920938609599_signature_28.png</t>
  </si>
  <si>
    <t>Maria Jesusa P Imperial</t>
  </si>
  <si>
    <t>https://www.jotform.com/uploads/macarewecare/222927978372067/6231087920938609599/6231087920938609599_signature_31.png</t>
  </si>
  <si>
    <t>Luxecare Shaw</t>
  </si>
  <si>
    <t>luxecarelab@loveyourself.ph</t>
  </si>
  <si>
    <t>Unit is operational 
Module D2 for reporting, D3 awaiting for allocation</t>
  </si>
  <si>
    <t>https://www.jotform.com/uploads/macarewecare/222927978372067/6231033666506094353/6231033666506094353_signature_28.png</t>
  </si>
  <si>
    <t>Edmar Tungpalan</t>
  </si>
  <si>
    <t>https://www.jotform.com/uploads/macarewecare/222927978372067/6231033666506094353/6231033666506094353_signature_31.png</t>
  </si>
  <si>
    <t>Unit for maintenance
Monitor for replacement</t>
  </si>
  <si>
    <t>- replaced monitor by AOC 22B1HS SN: CN45320WN1
- checked and cleaned cartridge bay, plunger rod, filter 
- generated reports</t>
  </si>
  <si>
    <t>Unit is operational
Modules B1, B2, B3 are awaiting allocation</t>
  </si>
  <si>
    <t>GeneXpert Monitor
AOC 22B1HS 21.5"
SN: CN45320WN1</t>
  </si>
  <si>
    <t>https://www.jotform.com/uploads/macarewecare/222927978372067/6230992756504574247/6230992756504574247_signature_28.png</t>
  </si>
  <si>
    <t>https://www.jotform.com/uploads/macarewecare/222927978372067/6230992756504574247/6230992756504574247_signature_31.png</t>
  </si>
  <si>
    <t>United Nations Ave., Manila</t>
  </si>
  <si>
    <t xml:space="preserve">ASSAY: Xpert CT/NG, COUNT: 70
ASSAY: Xpert HBV VL, COUNT: 110
ASSAY: Xpert HPV, COUNT: 26
ASSAY: Xpert MTB/RIF Ultra, COUNT: 1219
ASSAY: Xpert HCV VL, COUNT: 16
ASSAY: Xpert HIV-1 Viral Load, COUNT: 112
</t>
  </si>
  <si>
    <t>https://www.jotform.com/uploads/macarewecare/222927978372067/6230991653519488034/6230991653519488034_signature_28.png</t>
  </si>
  <si>
    <t>Alyssa Mae Jolo</t>
  </si>
  <si>
    <t>https://www.jotform.com/uploads/macarewecare/222927978372067/6230991653519488034/6230991653519488034_signature_31.png</t>
  </si>
  <si>
    <t>https://www.jotform.com/uploads/macarewecare/222927978372067/6230991596501258393/6230991596501258393_signature_28.png</t>
  </si>
  <si>
    <t>https://www.jotform.com/uploads/macarewecare/222927978372067/6230991596501258393/6230991596501258393_signature_31.png</t>
  </si>
  <si>
    <t>Unit for transfer</t>
  </si>
  <si>
    <t>Packed unit for transfer</t>
  </si>
  <si>
    <t>Unit is ready for transfer</t>
  </si>
  <si>
    <t>https://www.jotform.com/uploads/macarewecare/222927978372067/6230990526509970856/6230990526509970856_signature_28.png</t>
  </si>
  <si>
    <t>https://www.jotform.com/uploads/macarewecare/222927978372067/6230990526509970856/6230990526509970856_signature_31.png</t>
  </si>
  <si>
    <t>DUMARAO RURAL HEALTH UNIT</t>
  </si>
  <si>
    <t>Dumarao, Capiz</t>
  </si>
  <si>
    <t>Configured Desktop for GeneXpert Machine</t>
  </si>
  <si>
    <t>https://www.jotform.com/uploads/macarewecare/222927978372067/6230972936025723877/6230972936025723877_signature_28.png</t>
  </si>
  <si>
    <t>Shiela Marie Dorego</t>
  </si>
  <si>
    <t>https://www.jotform.com/uploads/macarewecare/222927978372067/6230972936025723877/6230972936025723877_signature_31.png</t>
  </si>
  <si>
    <t>Clean Surface Area
Check parameters of SPM, DPM and Line Sensor
Check Roller assay
Run functionality test</t>
  </si>
  <si>
    <t>https://www.jotform.com/uploads/macarewecare/222927978372067/6230953137328699809/6230953137328699809_signature_28.png</t>
  </si>
  <si>
    <t>Christina Porquiado,. RMT</t>
  </si>
  <si>
    <t>https://www.jotform.com/uploads/macarewecare/222927978372067/6230953137328699809/6230953137328699809_signature_31.png</t>
  </si>
  <si>
    <t>Cauayan Municipal Health Office</t>
  </si>
  <si>
    <t>Cauayan, Negros Occidental</t>
  </si>
  <si>
    <t>cauayanmholab@gmail.com</t>
  </si>
  <si>
    <t>Defective LCD monitor; defective CPU power supply, RAM.</t>
  </si>
  <si>
    <t>System operational, 4 modules functional.</t>
  </si>
  <si>
    <t>https://www.jotform.com/uploads/macarewecare/222927978372067/6230837962235064573/6230837962235064573_signature_28.png</t>
  </si>
  <si>
    <t>Doriza Joy Tizon</t>
  </si>
  <si>
    <t>https://www.jotform.com/uploads/macarewecare/222927978372067/6230837962235064573/6230837962235064573_signature_31.png</t>
  </si>
  <si>
    <t>UP-ICCHD</t>
  </si>
  <si>
    <t>Central Laboratories, Manila</t>
  </si>
  <si>
    <t>dcsantos9@up.edu.ph</t>
  </si>
  <si>
    <t>https://www.jotform.com/uploads/macarewecare/222927978372067/6230448391717889585/6230448391717889585_signature_28.png</t>
  </si>
  <si>
    <t>Dana Santos</t>
  </si>
  <si>
    <t>https://www.jotform.com/uploads/macarewecare/222927978372067/6230448391717889585/6230448391717889585_signature_31.png</t>
  </si>
  <si>
    <t>Unit for preventive maintenance.
For replacement of defective transfer pump motor assembly.</t>
  </si>
  <si>
    <t>Preventive maintenance and repair.</t>
  </si>
  <si>
    <t>Performed Preventive Maintenance.
Performed installation of new transfer pump motor assembly
Checked and cleaned rotor pumps.
Verified calibration parameters.
Performed simulation running.</t>
  </si>
  <si>
    <t>New Motor Assembly (0221).
Def. Motor Assembly (118)</t>
  </si>
  <si>
    <t>DR#12982</t>
  </si>
  <si>
    <t>https://www.jotform.com/uploads/macarewecare/222927978372067/6230447621718306266/6230447621718306266_signature_28.png</t>
  </si>
  <si>
    <t>https://www.jotform.com/uploads/macarewecare/222927978372067/6230447621718306266/6230447621718306266_signature_31.png</t>
  </si>
  <si>
    <t>Bacolod City Health Office</t>
  </si>
  <si>
    <t>Bacolod City, Negros Occidental</t>
  </si>
  <si>
    <t>recelenylrej@gmail.com</t>
  </si>
  <si>
    <t xml:space="preserve">ASSAY: Xpert MTB/RIF Ultra, COUNT: 6822
</t>
  </si>
  <si>
    <t>Stuck cartridge in module B2.</t>
  </si>
  <si>
    <t>Removed stuck cartridge in module B2</t>
  </si>
  <si>
    <t>https://www.jotform.com/uploads/macarewecare/222927978372067/6230413322239679725/6230413322239679725_signature_28.png</t>
  </si>
  <si>
    <t>Recele Nylrej Geronga</t>
  </si>
  <si>
    <t>https://www.jotform.com/uploads/macarewecare/222927978372067/6230413322239679725/6230413322239679725_signature_31.png</t>
  </si>
  <si>
    <t>https://www.jotform.com/uploads/macarewecare/222927978372067/6230040393513261215/6230040393513261215_signature_28.png</t>
  </si>
  <si>
    <t>Dorothy A. Dalagan,. RMT.</t>
  </si>
  <si>
    <t>https://www.jotform.com/uploads/macarewecare/222927978372067/6230040393513261215/6230040393513261215_signature_31.png</t>
  </si>
  <si>
    <t>Buraeunlab@yahoo.com</t>
  </si>
  <si>
    <t>Unit is Operational 
- Module B2 for replacement</t>
  </si>
  <si>
    <t>https://www.jotform.com/uploads/macarewecare/222927978372067/6230010246786597921/6230010246786597921_signature_28.png</t>
  </si>
  <si>
    <t>https://www.jotform.com/uploads/macarewecare/222927978372067/6230010246786597921/6230010246786597921_signature_31.png</t>
  </si>
  <si>
    <t>To Replace BIOS battery</t>
  </si>
  <si>
    <t>Unit is Partially Operational 
Module B1 For Replacement</t>
  </si>
  <si>
    <t>https://www.jotform.com/uploads/macarewecare/222927978372067/6229992041259671175/6229992041259671175_signature_28.png</t>
  </si>
  <si>
    <t>https://www.jotform.com/uploads/macarewecare/222927978372067/6229992041259671175/6229992041259671175_signature_31.png</t>
  </si>
  <si>
    <t>Alabel, Sarangani</t>
  </si>
  <si>
    <t xml:space="preserve">ASSAY: Xpert MTB/RIF Ultra, COUNT: 920
ASSAY: Xpert HIV-1 Viral Load, COUNT: 22
</t>
  </si>
  <si>
    <t>Perform Genexpert machine Cleaning and maintenance 
Module cleaning 
Plunger rod and Optics cleaning 
Fan filter cleaning 
Checking of errors/problem 
Data collection</t>
  </si>
  <si>
    <t>https://www.jotform.com/uploads/macarewecare/222927978372067/6229969646863207786/6229969646863207786_signature_28.png</t>
  </si>
  <si>
    <t>https://www.jotform.com/uploads/macarewecare/222927978372067/6229969646863207786/6229969646863207786_signature_31.png</t>
  </si>
  <si>
    <t>Poblacion, Malapatan, Sarangani</t>
  </si>
  <si>
    <t xml:space="preserve">ASSAY: Xpert MTB/RIF Ultra, COUNT: 622
</t>
  </si>
  <si>
    <t>Perform Genexpert Cleaning and maintenance 
Module cleaning 
Plunger rod and Optics cleaning 
Fan filter cleaning 
Checking of errors/problem 
Data collection</t>
  </si>
  <si>
    <t>https://www.jotform.com/uploads/macarewecare/222927978372067/6229969636861547578/6229969636861547578_signature_28.png</t>
  </si>
  <si>
    <t>Kamilah Nichol S. Chu</t>
  </si>
  <si>
    <t>https://www.jotform.com/uploads/macarewecare/222927978372067/6229969636861547578/6229969636861547578_signature_31.png</t>
  </si>
  <si>
    <t>Due for maintenance
Disabled A1,A2,C2,D2</t>
  </si>
  <si>
    <t>A1,A2,C2,D2 reported already for replacement
A3,B3 failed xpertcheck last 9/30/2024. reported already for replacement</t>
  </si>
  <si>
    <t>https://www.jotform.com/uploads/macarewecare/222927978372067/6229364249667788718/6229364249667788718_signature_28.png</t>
  </si>
  <si>
    <t>https://www.jotform.com/uploads/macarewecare/222927978372067/6229364249667788718/6229364249667788718_signature_31.png</t>
  </si>
  <si>
    <t xml:space="preserve">ASSAY: Xpert BCR-ABL Ultra, COUNT: 104
ASSAY: Xpert CT/NG, COUNT: 1
ASSAY: Others, COUNT: 2
ASSAY: Xpert HBV VL, COUNT: 36
ASSAY: Xpert HPV, COUNT: 1
ASSAY: Xpert MTB/RIF Ultra, COUNT: 125
ASSAY: Xpert HCV VL, COUNT: 10
</t>
  </si>
  <si>
    <t>Due for maintenance
B4 disabled due to temp error 1002</t>
  </si>
  <si>
    <t>B4 disabled</t>
  </si>
  <si>
    <t>https://www.jotform.com/uploads/macarewecare/222927978372067/6229363819665865572/6229363819665865572_signature_28.png</t>
  </si>
  <si>
    <t>https://www.jotform.com/uploads/macarewecare/222927978372067/6229363819665865572/6229363819665865572_signature_31.png</t>
  </si>
  <si>
    <t>As per end user they encounter fluid detect in centrifuge error
Due for maintenance</t>
  </si>
  <si>
    <t>Performed trouble shooting
Cleaned centrifuge and test fluid sensor
Cleaned unit
Checked program parameters
Checked and adjust line sensor value
Checked rollers,dpm,spm,centrifuge,weigher
Performed functionality test
Performed simulation running</t>
  </si>
  <si>
    <t>Unit ready to use</t>
  </si>
  <si>
    <t>https://www.jotform.com/uploads/macarewecare/222927978372067/6229363429666285072/6229363429666285072_signature_28.png</t>
  </si>
  <si>
    <t>https://www.jotform.com/uploads/macarewecare/222927978372067/6229363429666285072/6229363429666285072_signature_31.png</t>
  </si>
  <si>
    <t>As per end user they encounter fluid detect in centrifuge error
Due for maintenance
Line sensor unable to adjust potentiometer to desire value of 3071. actual line sensor value 2921</t>
  </si>
  <si>
    <t>Unit ready to use
During simulation run no error encounter</t>
  </si>
  <si>
    <t>https://www.jotform.com/uploads/macarewecare/222927978372067/6229362999663115986/6229362999663115986_signature_28.png</t>
  </si>
  <si>
    <t>https://www.jotform.com/uploads/macarewecare/222927978372067/6229362999663115986/6229362999663115986_signature_31.png</t>
  </si>
  <si>
    <t>Quezon Avenu QC</t>
  </si>
  <si>
    <t xml:space="preserve">ASSAY: Xpert MTB/RIF Ultra, COUNT: 156
ASSAY: Xpert SARS-CoV-2, COUNT: 116
ASSAY: Xpert HIV-1 Viral Load, COUNT: 34
ASSAY: Xpert SARS-CoV-2, COUNT: 2
ASSAY: Xpress SARS-CoV-2_Flu_RSV plus, COUNT: 16
</t>
  </si>
  <si>
    <t>Due for maintenance
B1,B4 reported already for replacement
B3 for reporting encounter temp error1002,4009</t>
  </si>
  <si>
    <t>B2 operational</t>
  </si>
  <si>
    <t>https://www.jotform.com/uploads/macarewecare/222927978372067/6229362659663191478/6229362659663191478_signature_28.png</t>
  </si>
  <si>
    <t>https://www.jotform.com/uploads/macarewecare/222927978372067/6229362659663191478/6229362659663191478_signature_31.png</t>
  </si>
  <si>
    <t xml:space="preserve">ASSAY: Xpert MTB/RIF Ultra, COUNT: 687
</t>
  </si>
  <si>
    <t>CPU power on problem;
Monitor problem</t>
  </si>
  <si>
    <t>- 4 modules operational 
- for isolation of CPU problem: possible issue with LCD consequently causing problem during power on of CPU.
- defective LCD monitor- for replacement</t>
  </si>
  <si>
    <t>Waiting for replacement LCD monitor</t>
  </si>
  <si>
    <t>https://www.jotform.com/uploads/macarewecare/222927978372067/6229322292237846484/6229322292237846484_signature_28.png</t>
  </si>
  <si>
    <t>https://www.jotform.com/uploads/macarewecare/222927978372067/6229322292237846484/6229322292237846484_signature_31.png</t>
  </si>
  <si>
    <t>Defective module B2 SN 687320</t>
  </si>
  <si>
    <t>New module Installed B2 210003521
Clean Fan Filter
Gather data</t>
  </si>
  <si>
    <t>https://www.jotform.com/uploads/macarewecare/222927978372067/6229158614133114399/6229158614133114399_signature_28.png</t>
  </si>
  <si>
    <t>Judy boglosa</t>
  </si>
  <si>
    <t>https://www.jotform.com/uploads/macarewecare/222927978372067/6229158614133114399/6229158614133114399_signature_31.png</t>
  </si>
  <si>
    <t>Tabocan,</t>
  </si>
  <si>
    <t>microbiology.csmc@gmail.com</t>
  </si>
  <si>
    <t xml:space="preserve">ASSAY: Xpert HBV VL, COUNT: 123
ASSAY: Xpert HPV, COUNT: 49
ASSAY: Xpert MTB/RIF Ultra, COUNT: 1104
</t>
  </si>
  <si>
    <t>https://www.jotform.com/uploads/macarewecare/222927978372067/6229069293617559259/6229069293617559259_signature_28.png</t>
  </si>
  <si>
    <t>sheilahmae carandang</t>
  </si>
  <si>
    <t>https://www.jotform.com/uploads/macarewecare/222927978372067/6229069293617559259/6229069293617559259_signature_31.png</t>
  </si>
  <si>
    <t>https://www.jotform.com/uploads/macarewecare/222927978372067/6229069293618702855/6229069293618702855_signature_28.png</t>
  </si>
  <si>
    <t>https://www.jotform.com/uploads/macarewecare/222927978372067/6229069293618702855/6229069293618702855_signature_31.png</t>
  </si>
  <si>
    <t>02F035</t>
  </si>
  <si>
    <t>Performed calibration in apheresis machine</t>
  </si>
  <si>
    <t>Unit is operational and passed during the calibration</t>
  </si>
  <si>
    <t>https://www.jotform.com/uploads/macarewecare/222927978372067/6227287613444458037/6227287613444458037_signature_28.png</t>
  </si>
  <si>
    <t>https://www.jotform.com/uploads/macarewecare/222927978372067/6227287613444458037/6227287613444458037_signature_31.png</t>
  </si>
  <si>
    <t>chhc_laboratory_@chonghua.com.ph</t>
  </si>
  <si>
    <t xml:space="preserve">ASSAY: Xpert MTB/RIF Ultra, COUNT: 72
ASSAY: Xpert HBV VL, COUNT: 752
</t>
  </si>
  <si>
    <t>Due for Calibration, Preventive Maintenance,</t>
  </si>
  <si>
    <t>All modules passed and genexpert machine is operational.</t>
  </si>
  <si>
    <t>https://www.jotform.com/uploads/macarewecare/222927978372067/6227283593444042802/6227283593444042802_signature_28.png</t>
  </si>
  <si>
    <t>https://www.jotform.com/uploads/macarewecare/222927978372067/6227283593444042802/6227283593444042802_signature_31.png</t>
  </si>
  <si>
    <t>CEBU DOCTOR'S UNIVERSITY HOSPITAL</t>
  </si>
  <si>
    <t>cduhcovidpoct@gmail.com</t>
  </si>
  <si>
    <t xml:space="preserve">ASSAY: Xpert BCR-ABL Ultra, COUNT: 88
ASSAY: Xpert CT/NG, COUNT: 264
ASSAY: Xpert HBV VL, COUNT: 189
ASSAY: Xpert HPV, COUNT: 44
ASSAY: Xpert MTB/RIF Ultra, COUNT: 1109
ASSAY: Xpert HCV VL, COUNT: 145
ASSAY: Xpert HIV-1 Viral Load, COUNT: 16
</t>
  </si>
  <si>
    <t>MODULE 3 &amp; MODULE 4 DISABLED</t>
  </si>
  <si>
    <t>https://www.jotform.com/uploads/macarewecare/222927978372067/6225886558164922808/6225886558164922808_signature_28.png</t>
  </si>
  <si>
    <t>https://www.jotform.com/uploads/macarewecare/222927978372067/6225886558164922808/6225886558164922808_signature_31.png</t>
  </si>
  <si>
    <t>msff-tondo-labtech@paris.msf.org</t>
  </si>
  <si>
    <t xml:space="preserve">ASSAY: Xpert MTB/RIF Ultra, COUNT: 4503
</t>
  </si>
  <si>
    <t>Unit for preventive maintenance.
For module replacement of modules A2, A3, B1 and C3.</t>
  </si>
  <si>
    <t>GX module:
Defective Modules: A2 (210075770), A3 (210075498), B1 (210082298) and C3 (210075410)
New Modules: A2 (210024238), A3 (210067146), B1 (210076777) and C3 (210078338)</t>
  </si>
  <si>
    <t>DR#13001</t>
  </si>
  <si>
    <t>https://www.jotform.com/uploads/macarewecare/222927978372067/6225849093113122815/6225849093113122815_signature_28.png</t>
  </si>
  <si>
    <t>https://www.jotform.com/uploads/macarewecare/222927978372067/6225849093113122815/6225849093113122815_signature_31.png</t>
  </si>
  <si>
    <t>Batangas City Hall, Batangas City</t>
  </si>
  <si>
    <t>gjanlorenzo@gmail.com</t>
  </si>
  <si>
    <t xml:space="preserve">ASSAY: Xpert MTB/RIF Ultra, COUNT: 1286
</t>
  </si>
  <si>
    <t>Stucked cartridge on module B1.
Unit for preventive maintenance.</t>
  </si>
  <si>
    <t>Performed removal of stucked cartridge on module B1.
Performed several selftest with cartridge on B1 after removing the stucked cartridge.
Performed Preventive Maintenance.
-Cleaned and disinfect plunger
-Cleaned and disinfect cartridge bay
-Cleaned and disinfect instrument surface
-Cleaned icore sensors
-Cleaned filter fan
-Archived test results
Generated reports.</t>
  </si>
  <si>
    <t>https://www.jotform.com/uploads/macarewecare/222927978372067/6225839173119494861/6225839173119494861_signature_28.png</t>
  </si>
  <si>
    <t>Jan Lorenzo Godoy</t>
  </si>
  <si>
    <t>https://www.jotform.com/uploads/macarewecare/222927978372067/6225839173119494861/6225839173119494861_signature_31.png</t>
  </si>
  <si>
    <t xml:space="preserve">ASSAY: Xpert MTB/RIF Ultra, COUNT: 1893
</t>
  </si>
  <si>
    <t>https://www.jotform.com/uploads/macarewecare/222927978372067/6225776025673984058/6225776025673984058_signature_28.png</t>
  </si>
  <si>
    <t>https://www.jotform.com/uploads/macarewecare/222927978372067/6225776025673984058/6225776025673984058_signature_31.png</t>
  </si>
  <si>
    <t>Unit for maintenance
Printer for installation</t>
  </si>
  <si>
    <t>Installed printer driver</t>
  </si>
  <si>
    <t>- checked and cleaned cartridge bay, plunger rod, filter, icore slot 
- installed printer (Brother DCP-T720DW)
- generated reports 
- performed self test</t>
  </si>
  <si>
    <t>https://www.jotform.com/uploads/macarewecare/222927978372067/6225729150319122122/6225729150319122122_signature_28.png</t>
  </si>
  <si>
    <t>Revena Sibayan</t>
  </si>
  <si>
    <t>https://www.jotform.com/uploads/macarewecare/222927978372067/6225729150319122122/6225729150319122122_signature_31.png</t>
  </si>
  <si>
    <t>PERPETUAL SUCCOUR HOSPITAL</t>
  </si>
  <si>
    <t>CEBU CITY</t>
  </si>
  <si>
    <t>BLOOD BANK</t>
  </si>
  <si>
    <t>dionellynretiza99@gmail.com</t>
  </si>
  <si>
    <t>https://www.jotform.com/uploads/macarewecare/222927978372067/6225700242567482719/6225700242567482719_signature_28.png</t>
  </si>
  <si>
    <t>Dionellyn Marie M. Retiza, RMT</t>
  </si>
  <si>
    <t>https://www.jotform.com/uploads/macarewecare/222927978372067/6225700242567482719/6225700242567482719_signature_31.png</t>
  </si>
  <si>
    <t>-MCS+ EQUIPMENT IS OPERATIONAL
-CONFIRMED UPS S/N:40460571107 IS DEFECTIVE AND FOR OUT OF WARRANTY REPLACEMENT</t>
  </si>
  <si>
    <t>https://www.jotform.com/uploads/macarewecare/222927978372067/6225697227769657668/6225697227769657668_signature_28.png</t>
  </si>
  <si>
    <t>https://www.jotform.com/uploads/macarewecare/222927978372067/6225697227769657668/6225697227769657668_signature_31.png</t>
  </si>
  <si>
    <t>Recommended to calibrate</t>
  </si>
  <si>
    <t>https://www.jotform.com/uploads/macarewecare/222927978372067/6225663641413245348/6225663641413245348_signature_28.png</t>
  </si>
  <si>
    <t>Jan danielle delos reyes</t>
  </si>
  <si>
    <t>https://www.jotform.com/uploads/macarewecare/222927978372067/6225663641413245348/6225663641413245348_signature_31.png</t>
  </si>
  <si>
    <t xml:space="preserve">ASSAY: Xpert BCR-ABL Ultra, COUNT: 61
ASSAY: Xpert CT/NG, COUNT: 53
ASSAY: Xpert HBV VL, COUNT: 644
ASSAY: Xpert HPV, COUNT: 397
ASSAY: Xpert MTB/RIF Ultra, COUNT: 6378
ASSAY: Xpert MTB-XDR, COUNT: 3
ASSAY: Others, COUNT: 5
ASSAY: Others, COUNT: 1
ASSAY: Xpert HCV VL, COUNT: 152
ASSAY: Xpert HIV-1 Viral Load, COUNT: 876
ASSAY: Xpress SARS-CoV-2_Flu_RSV plus, COUNT: 1442
</t>
  </si>
  <si>
    <t>https://www.jotform.com/uploads/macarewecare/222927978372067/6225663641414335659/6225663641414335659_signature_28.png</t>
  </si>
  <si>
    <t>Janica Katheryn P. Zamora</t>
  </si>
  <si>
    <t>https://www.jotform.com/uploads/macarewecare/222927978372067/6225663641414335659/6225663641414335659_signature_31.png</t>
  </si>
  <si>
    <t>Performed maintenance 
Run simulation
Checked rotor pumps 
Verified calibration parameters 
Functionality test</t>
  </si>
  <si>
    <t>https://www.jotform.com/uploads/macarewecare/222927978372067/6225663641417843983/6225663641417843983_signature_28.png</t>
  </si>
  <si>
    <t>https://www.jotform.com/uploads/macarewecare/222927978372067/6225663641417843983/6225663641417843983_signature_31.png</t>
  </si>
  <si>
    <t>J. Bocobo St., Ermita, Manila</t>
  </si>
  <si>
    <t>Automation failure due to door latching error</t>
  </si>
  <si>
    <t>Verified functionality in INFTeach
Adjusted module door tension
Cleared automation failures</t>
  </si>
  <si>
    <t>Performed functionality test</t>
  </si>
  <si>
    <t>Unit is operational, affected modules for observation</t>
  </si>
  <si>
    <t>https://www.jotform.com/uploads/macarewecare/222927978372067/6225023440228798929/6225023440228798929_signature_28.png</t>
  </si>
  <si>
    <t>Ma. Sarah R.Salvador</t>
  </si>
  <si>
    <t>https://www.jotform.com/uploads/macarewecare/222927978372067/6225023440228798929/6225023440228798929_signature_31.png</t>
  </si>
  <si>
    <t>Makilala Poblacion</t>
  </si>
  <si>
    <t xml:space="preserve">ASSAY: Xpert MTB/RIF Ultra, COUNT: 386
</t>
  </si>
  <si>
    <t>Clean Surface Area, Cartridge Bay, Plunger Rod, Fan Filters, and Icore Lenses
Generate IQR, Assay Stat and System Log</t>
  </si>
  <si>
    <t>https://www.jotform.com/uploads/macarewecare/222927978372067/6224905722218171623/6224905722218171623_signature_28.png</t>
  </si>
  <si>
    <t>Abegail Publico</t>
  </si>
  <si>
    <t>https://www.jotform.com/uploads/macarewecare/222927978372067/6224905722218171623/6224905722218171623_signature_31.png</t>
  </si>
  <si>
    <t>https://www.jotform.com/uploads/macarewecare/222927978372067/6224904244318693302/6224904244318693302_signature_28.png</t>
  </si>
  <si>
    <t>Cyrell Arcuelo</t>
  </si>
  <si>
    <t>https://www.jotform.com/uploads/macarewecare/222927978372067/6224904244318693302/6224904244318693302_signature_31.png</t>
  </si>
  <si>
    <t>ainocentes@biopath.ph</t>
  </si>
  <si>
    <t xml:space="preserve">ASSAY: Xpert CT/NG, COUNT: 33
ASSAY: Others, COUNT: 4
ASSAY: Xpert HPV, COUNT: 47
ASSAY: Others, COUNT: 2
ASSAY: Xpert SARS-CoV-2, COUNT: 10
ASSAY: Xpert HCV VL, COUNT: 1
</t>
  </si>
  <si>
    <t>Due for maintenance
Disabled A1,A3,A4,B2,B4,C2,D2</t>
  </si>
  <si>
    <t>9 modules operational</t>
  </si>
  <si>
    <t>https://www.jotform.com/uploads/macarewecare/222927978372067/6224699913121808316/6224699913121808316_signature_28.png</t>
  </si>
  <si>
    <t>Amanda inocentes</t>
  </si>
  <si>
    <t>https://www.jotform.com/uploads/macarewecare/222927978372067/6224699913121808316/6224699913121808316_signature_31.png</t>
  </si>
  <si>
    <t>https://www.jotform.com/uploads/macarewecare/222927978372067/6224012638984498556/6224012638984498556_signature_28.png</t>
  </si>
  <si>
    <t>Mary Grace Santiago</t>
  </si>
  <si>
    <t>https://www.jotform.com/uploads/macarewecare/222927978372067/6224012638984498556/6224012638984498556_signature_31.png</t>
  </si>
  <si>
    <t>TB DOTS Tagoloan</t>
  </si>
  <si>
    <t>macalisangglezeal@gmail.com</t>
  </si>
  <si>
    <t>GX4-6 Colors</t>
  </si>
  <si>
    <t>Module B2 found temperature errors</t>
  </si>
  <si>
    <t>Replacing Module B2 with SN: 862673 to SN: 894548</t>
  </si>
  <si>
    <t>https://www.jotform.com/uploads/macarewecare/222927978372067/6223941143756043006/6223941143756043006_signature_28.png</t>
  </si>
  <si>
    <t>Glezeal J. Macalisang</t>
  </si>
  <si>
    <t>https://www.jotform.com/uploads/macarewecare/222927978372067/6223941143756043006/6223941143756043006_signature_31.png</t>
  </si>
  <si>
    <t>Sampaguita St., Makati City</t>
  </si>
  <si>
    <t>ctmlee.0304@gmail.com</t>
  </si>
  <si>
    <t xml:space="preserve">ASSAY: Xpert MTB/RIF Ultra, COUNT: 440
</t>
  </si>
  <si>
    <t>https://www.jotform.com/uploads/macarewecare/222927978372067/6223926003613498678/6223926003613498678_signature_28.png</t>
  </si>
  <si>
    <t>https://www.jotform.com/uploads/macarewecare/222927978372067/6223926003613498678/6223926003613498678_signature_31.png</t>
  </si>
  <si>
    <t>- Cleaned Cartridge Bays, Plunger Rods and I-CORE 
- Replaced Defective Module B1 861154 &gt;&gt;&gt;806518
- Generated Reports</t>
  </si>
  <si>
    <t>GeneXpert Module 806518</t>
  </si>
  <si>
    <t>DR 12946</t>
  </si>
  <si>
    <t>https://www.jotform.com/uploads/macarewecare/222927978372067/6223264813968992426/6223264813968992426_signature_28.png</t>
  </si>
  <si>
    <t>https://www.jotform.com/uploads/macarewecare/222927978372067/6223264813968992426/6223264813968992426_signature_31.png</t>
  </si>
  <si>
    <t>For Troubleshooting and Maintenance</t>
  </si>
  <si>
    <t>Performed Troubleshooting and Maintenance</t>
  </si>
  <si>
    <t>Unit is Operational but for BIOS battery Replacement</t>
  </si>
  <si>
    <t>https://www.jotform.com/uploads/macarewecare/222927978372067/6223263653964885435/6223263653964885435_signature_28.png</t>
  </si>
  <si>
    <t>https://www.jotform.com/uploads/macarewecare/222927978372067/6223263653964885435/6223263653964885435_signature_31.png</t>
  </si>
  <si>
    <t>https://www.jotform.com/uploads/macarewecare/222927978372067/6223231259143192500/6223231259143192500_signature_28.png</t>
  </si>
  <si>
    <t>https://www.jotform.com/uploads/macarewecare/222927978372067/6223231259143192500/6223231259143192500_signature_31.png</t>
  </si>
  <si>
    <t>https://www.jotform.com/uploads/macarewecare/222927978372067/6223147525315178234/6223147525315178234_signature_28.png</t>
  </si>
  <si>
    <t>https://www.jotform.com/uploads/macarewecare/222927978372067/6223147525315178234/6223147525315178234_signature_31.png</t>
  </si>
  <si>
    <t xml:space="preserve">ASSAY: Xpert MTB/RIF Ultra, COUNT: 709
</t>
  </si>
  <si>
    <t>Module 2 under observation due to temperature errors 
Module 3 multiple  invalid results
No Fan filter</t>
  </si>
  <si>
    <t>Perform XPC Calibration to module 2&amp;3 for troubleshooting
Perform Genexpert Cleaning 
Module Cleaning 
Plunger rod and Optics Cleaning 
Fan filter Cleaning
Checking of errors 
Errors/problem reporting 
Data collection</t>
  </si>
  <si>
    <t>Perform Genexpert machine Preventive maintenance 
Perform Genexpert module 2&amp;3 troubleshooting</t>
  </si>
  <si>
    <t>https://www.jotform.com/uploads/macarewecare/222927978372067/6222951846861014086/6222951846861014086_signature_28.png</t>
  </si>
  <si>
    <t>https://www.jotform.com/uploads/macarewecare/222927978372067/6222951846861014086/6222951846861014086_signature_31.png</t>
  </si>
  <si>
    <t>Poblacion, Polomolok, South Cotabato</t>
  </si>
  <si>
    <t>Module 2, H/W FAILED</t>
  </si>
  <si>
    <t>Replace/repair module 2 SN:685448 with new module SN:613279
Perform Genexpert machine Cleaning 
Module cleaning 
Plunger rod and Optics cleaning
Fan filter cleaning
Checking of errors 
Data collection</t>
  </si>
  <si>
    <t>Genexpert machine Preventive maintenance 
Genexpert module repair</t>
  </si>
  <si>
    <t>Genexpert 6 color module SN:685448</t>
  </si>
  <si>
    <t>DR#: 12945</t>
  </si>
  <si>
    <t>https://www.jotform.com/uploads/macarewecare/222927978372067/6222951856864782110/6222951856864782110_signature_28.png</t>
  </si>
  <si>
    <t>June Michele J. Mirasol</t>
  </si>
  <si>
    <t>https://www.jotform.com/uploads/macarewecare/222927978372067/6222951856864782110/6222951856864782110_signature_31.png</t>
  </si>
  <si>
    <t>https://www.jotform.com/uploads/macarewecare/222927978372067/6222330783964782013/6222330783964782013_signature_28.png</t>
  </si>
  <si>
    <t>https://www.jotform.com/uploads/macarewecare/222927978372067/6222330783964782013/6222330783964782013_signature_31.png</t>
  </si>
  <si>
    <t>https://www.jotform.com/uploads/macarewecare/222927978372067/6222328263966474293/6222328263966474293_signature_28.png</t>
  </si>
  <si>
    <t>https://www.jotform.com/uploads/macarewecare/222927978372067/6222328263966474293/6222328263966474293_signature_31.png</t>
  </si>
  <si>
    <t>https://www.jotform.com/uploads/macarewecare/222927978372067/6222325533965002893/6222325533965002893_signature_28.png</t>
  </si>
  <si>
    <t>https://www.jotform.com/uploads/macarewecare/222927978372067/6222325533965002893/6222325533965002893_signature_31.png</t>
  </si>
  <si>
    <t>CPU for Troubleshooting</t>
  </si>
  <si>
    <t>Unit is Fully Operational 
CPU for Observation</t>
  </si>
  <si>
    <t>https://www.jotform.com/uploads/macarewecare/222927978372067/6222324083965317917/6222324083965317917_signature_28.png</t>
  </si>
  <si>
    <t>https://www.jotform.com/uploads/macarewecare/222927978372067/6222324083965317917/6222324083965317917_signature_31.png</t>
  </si>
  <si>
    <t>Unit is Operational 
UPS for Reporting</t>
  </si>
  <si>
    <t>https://www.jotform.com/uploads/macarewecare/222927978372067/6222311453962313122/6222311453962313122_signature_28.png</t>
  </si>
  <si>
    <t>https://www.jotform.com/uploads/macarewecare/222927978372067/6222311453962313122/6222311453962313122_signature_31.png</t>
  </si>
  <si>
    <t xml:space="preserve">ASSAY: Xpert BCR-ABL Ultra, COUNT: 49
ASSAY: Xpert BCR-ABL Ultra, COUNT: 4
ASSAY: Xpert MTB/RIF Ultra, COUNT: 1373
ASSAY: Xpert SARS-CoV-2, COUNT: 20
ASSAY: Xpress SARS-CoV-2_Flu_RSV plus, COUNT: 1558
</t>
  </si>
  <si>
    <t>For maintenance and data gathering</t>
  </si>
  <si>
    <t>C2,C3,C4,D1,D2,D3,D4 enable
A1,A2,A3,A4,B1,B2,B3,B4,C1 disabled</t>
  </si>
  <si>
    <t>https://www.jotform.com/uploads/macarewecare/222927978372067/6222117430718994462/6222117430718994462_signature_28.png</t>
  </si>
  <si>
    <t>https://www.jotform.com/uploads/macarewecare/222927978372067/6222117430718994462/6222117430718994462_signature_31.png</t>
  </si>
  <si>
    <t>Module 3 and 4 for XPC</t>
  </si>
  <si>
    <t>-Run XpertCheck on module 3 and 4</t>
  </si>
  <si>
    <t>Module 3 for retry but skipped, module 4 for replacement.</t>
  </si>
  <si>
    <t>https://www.jotform.com/uploads/macarewecare/222927978372067/6219857591539710751/6219857591539710751_signature_28.png</t>
  </si>
  <si>
    <t>https://www.jotform.com/uploads/macarewecare/222927978372067/6219857591539710751/6219857591539710751_signature_31.png</t>
  </si>
  <si>
    <t>Brgy. 1, Jones, Isabela</t>
  </si>
  <si>
    <t xml:space="preserve">ASSAY: Xpert MTB/RIF Ultra, COUNT: 575
</t>
  </si>
  <si>
    <t>Module 1 and 4 Hardware Failure</t>
  </si>
  <si>
    <t>Performed Module Replacement
B1(862050 - 638316)
B4(862085 - 613605)</t>
  </si>
  <si>
    <t>Genexpert Modules</t>
  </si>
  <si>
    <t>https://www.jotform.com/uploads/macarewecare/222927978372067/6219761922529246062/6219761922529246062_signature_28.png</t>
  </si>
  <si>
    <t>Preciosa Rodriguez</t>
  </si>
  <si>
    <t>https://www.jotform.com/uploads/macarewecare/222927978372067/6219761922529246062/6219761922529246062_signature_31.png</t>
  </si>
  <si>
    <t>https://www.jotform.com/uploads/macarewecare/222927978372067/6219761902523591277/6219761902523591277_signature_28.png</t>
  </si>
  <si>
    <t>https://www.jotform.com/uploads/macarewecare/222927978372067/6219761902523591277/6219761902523591277_signature_31.png</t>
  </si>
  <si>
    <t>https://www.jotform.com/uploads/macarewecare/222927978372067/6218181490195096065/6218181490195096065_signature_28.png</t>
  </si>
  <si>
    <t>https://www.jotform.com/uploads/macarewecare/222927978372067/6218181490195096065/6218181490195096065_signature_31.png</t>
  </si>
  <si>
    <t>Brgy. Talisay, Nasipit</t>
  </si>
  <si>
    <t>peterdolotina@gmail.com</t>
  </si>
  <si>
    <t>Module B1 found temperature error</t>
  </si>
  <si>
    <t>Replacing Module B1 with SN: 806517 to SN: 633808
Preventive Maintenance</t>
  </si>
  <si>
    <t>Certified pre-owned Genexpert Module</t>
  </si>
  <si>
    <t>https://www.jotform.com/uploads/macarewecare/222927978372067/6218062938814975017/6218062938814975017_signature_28.png</t>
  </si>
  <si>
    <t>Peter T. Dolotina</t>
  </si>
  <si>
    <t>https://www.jotform.com/uploads/macarewecare/222927978372067/6218062938814975017/6218062938814975017_signature_31.png</t>
  </si>
  <si>
    <t xml:space="preserve">ASSAY: Xpert MTB/RIF Ultra, COUNT: 485
</t>
  </si>
  <si>
    <t>Module 3 encounter multiple temperature related errors
For Preventive Maintenance
Module 1 encounter multiple errors</t>
  </si>
  <si>
    <t>Clean Surface Area, Cartridge Bay, Plunger Rod, Fan Filters and Icore Lenses
Generate IQR, Assay Stat and System Log
Replaced the Defective Module SN:861941 with new Module SN:794496
Run functionality test on Module 1</t>
  </si>
  <si>
    <t>Perform Preventive Maintenance, Module Replacement, and troubleshooting</t>
  </si>
  <si>
    <t>Module 3 Successfully replaced, 4 modules are operational</t>
  </si>
  <si>
    <t>Module 1 for under observation, if error persist, enduser was advised to report the said module</t>
  </si>
  <si>
    <t>DR 12948</t>
  </si>
  <si>
    <t>https://www.jotform.com/uploads/macarewecare/222927978372067/6218053751213820436/6218053751213820436_signature_28.png</t>
  </si>
  <si>
    <t>Blez Pepito</t>
  </si>
  <si>
    <t>https://www.jotform.com/uploads/macarewecare/222927978372067/6218053751213820436/6218053751213820436_signature_31.png</t>
  </si>
  <si>
    <t>Calibration Tools</t>
  </si>
  <si>
    <t>https://www.jotform.com/uploads/macarewecare/222927978372067/6218045398387553267/6218045398387553267_signature_28.png</t>
  </si>
  <si>
    <t>https://www.jotform.com/uploads/macarewecare/222927978372067/6218045398387553267/6218045398387553267_signature_31.png</t>
  </si>
  <si>
    <t>j8ngimperial24@gmail.com</t>
  </si>
  <si>
    <t xml:space="preserve">ASSAY: Xpert MTB/RIF Ultra, COUNT: 1081
</t>
  </si>
  <si>
    <t>B4/614067 - not detected, for module replacement 
UPS no power</t>
  </si>
  <si>
    <t>Replaced module: B4 - 614067&gt;&gt;687278
UPS - tested/replaced fuse(working), checked power cable connections from UPS going to power source
Cleaned cartridge bays, plunger rod, gx fan, icore
Generate Data</t>
  </si>
  <si>
    <t>Replaced module B4/614067
Performed Troubleshooting for UPS
Performed Preventive Maintenance</t>
  </si>
  <si>
    <t>Unit is operational 
UPS non operational</t>
  </si>
  <si>
    <t>UPS request for replacement</t>
  </si>
  <si>
    <t>https://www.jotform.com/uploads/macarewecare/222927978372067/6218044818182675151/6218044818182675151_signature_28.png</t>
  </si>
  <si>
    <t>Maria  Jesusa P. Imperial</t>
  </si>
  <si>
    <t>https://www.jotform.com/uploads/macarewecare/222927978372067/6218044818182675151/6218044818182675151_signature_31.png</t>
  </si>
  <si>
    <t>Performed calibratio</t>
  </si>
  <si>
    <t>https://www.jotform.com/uploads/macarewecare/222927978372067/6218044818383072574/6218044818383072574_signature_28.png</t>
  </si>
  <si>
    <t>https://www.jotform.com/uploads/macarewecare/222927978372067/6218044818383072574/6218044818383072574_signature_31.png</t>
  </si>
  <si>
    <t>Estevez Street, Guevarra Subdivision, Legazpi City</t>
  </si>
  <si>
    <t>melosept22@gmail.com</t>
  </si>
  <si>
    <t>https://www.jotform.com/uploads/macarewecare/222927978372067/6217229662513831451/6217229662513831451_signature_28.png</t>
  </si>
  <si>
    <t>https://www.jotform.com/uploads/macarewecare/222927978372067/6217229662513831451/6217229662513831451_signature_31.png</t>
  </si>
  <si>
    <t xml:space="preserve">ASSAY: Xpert MTB/RIF Ultra, COUNT: 405
ASSAY: Xpert HIV-1 Viral Load, COUNT: 1628
</t>
  </si>
  <si>
    <t>Module 1 reported due to multiple temperature related errors</t>
  </si>
  <si>
    <t>Replaced the Defective Module SN: 656376 With New Module SN:623864
Clean Surface Area, Cartridge Bay, Plunger Rod, Fan Filters and Icore Lenses
Generate IQR, Assay Stat and System Log</t>
  </si>
  <si>
    <t>Perform Module Replacement</t>
  </si>
  <si>
    <t>DR 12942</t>
  </si>
  <si>
    <t>https://www.jotform.com/uploads/macarewecare/222927978372067/6217190301113488262/6217190301113488262_signature_28.png</t>
  </si>
  <si>
    <t>Ellaine Malano,. RMT</t>
  </si>
  <si>
    <t>https://www.jotform.com/uploads/macarewecare/222927978372067/6217190301113488262/6217190301113488262_signature_31.png</t>
  </si>
  <si>
    <t>Machine is functional. To run XPC on module 3 &amp; 4.</t>
  </si>
  <si>
    <t>https://www.jotform.com/uploads/macarewecare/222927978372067/6217178104225529241/6217178104225529241_signature_28.png</t>
  </si>
  <si>
    <t>https://www.jotform.com/uploads/macarewecare/222927978372067/6217178104225529241/6217178104225529241_signature_31.png</t>
  </si>
  <si>
    <t>https://www.jotform.com/uploads/macarewecare/222927978372067/6217135778113152293/6217135778113152293_signature_28.png</t>
  </si>
  <si>
    <t>Mary Grace Hernaez</t>
  </si>
  <si>
    <t>https://www.jotform.com/uploads/macarewecare/222927978372067/6217135778113152293/6217135778113152293_signature_31.png</t>
  </si>
  <si>
    <t>National Institutes of Health</t>
  </si>
  <si>
    <t>nihcentrallab@gmail.com</t>
  </si>
  <si>
    <t xml:space="preserve">ASSAY: Xpert Carba-R, COUNT: 27
ASSAY: Xpert CT/NG, COUNT: 5
ASSAY: Xpert HBV VL, COUNT: 62
ASSAY: Xpert HCV VL, COUNT: 44
ASSAY: Xpert HIV-1 Viral Load, COUNT: 429
</t>
  </si>
  <si>
    <t>https://www.jotform.com/uploads/macarewecare/222927978372067/6217135358114643790/6217135358114643790_signature_28.png</t>
  </si>
  <si>
    <t>https://www.jotform.com/uploads/macarewecare/222927978372067/6217135358114643790/6217135358114643790_signature_31.png</t>
  </si>
  <si>
    <t>Philippine General Hospital</t>
  </si>
  <si>
    <t>Taft Ave. Manila</t>
  </si>
  <si>
    <t>pghmolecularlab@gmail.com</t>
  </si>
  <si>
    <t xml:space="preserve">ASSAY: Xpert HPV, COUNT: 19
ASSAY: Xpert SARS-CoV-2, COUNT: 281
ASSAY: Xpress SARS-CoV-2_Flu_RSV plus, COUNT: 835
</t>
  </si>
  <si>
    <t>https://www.jotform.com/uploads/macarewecare/222927978372067/6217108699224023987/6217108699224023987_signature_28.png</t>
  </si>
  <si>
    <t>Kaye bautro</t>
  </si>
  <si>
    <t>https://www.jotform.com/uploads/macarewecare/222927978372067/6217108699224023987/6217108699224023987_signature_31.png</t>
  </si>
  <si>
    <t>https://www.jotform.com/uploads/macarewecare/222927978372067/6217107649221675444/6217107649221675444_signature_28.png</t>
  </si>
  <si>
    <t>https://www.jotform.com/uploads/macarewecare/222927978372067/6217107649221675444/6217107649221675444_signature_31.png</t>
  </si>
  <si>
    <t>generate data and clean up module B2
- Generate IQR, System Log, and Gxx files</t>
  </si>
  <si>
    <t>Unit of module 2 required for calibration.</t>
  </si>
  <si>
    <t>https://www.jotform.com/uploads/macarewecare/222927978372067/6217039018652587728/6217039018652587728_signature_28.png</t>
  </si>
  <si>
    <t>https://www.jotform.com/uploads/macarewecare/222927978372067/6217039018652587728/6217039018652587728_signature_31.png</t>
  </si>
  <si>
    <t>joydarlie72@gmail.com</t>
  </si>
  <si>
    <t>Gx IV</t>
  </si>
  <si>
    <t>https://www.jotform.com/uploads/macarewecare/222927978372067/6217034055105981788/6217034055105981788_signature_28.png</t>
  </si>
  <si>
    <t>Joy Ma. Darlie Labrado</t>
  </si>
  <si>
    <t>https://www.jotform.com/uploads/macarewecare/222927978372067/6217034055105981788/6217034055105981788_signature_31.png</t>
  </si>
  <si>
    <t xml:space="preserve">ASSAY: Xpert MTB/RIF Ultra, COUNT: 1070
</t>
  </si>
  <si>
    <t>Module B2 SN 862869 required calibration due to repeated error of 5007 in MTB-ultra and error 2097 in HIV-viral load assay as per report by the end user.</t>
  </si>
  <si>
    <t>- Performed troubleshooting and calibration on Module B2 862869 failed results</t>
  </si>
  <si>
    <t>Performed calibration of the Module B2 SN # 862869 failed results.</t>
  </si>
  <si>
    <t>The genexpert machine is operational and module  B2 failed awating for replacement.</t>
  </si>
  <si>
    <t>https://www.jotform.com/uploads/macarewecare/222927978372067/6216956368658157986/6216956368658157986_signature_28.png</t>
  </si>
  <si>
    <t>https://www.jotform.com/uploads/macarewecare/222927978372067/6216956368658157986/6216956368658157986_signature_31.png</t>
  </si>
  <si>
    <t>MCS+ unit is operational</t>
  </si>
  <si>
    <t>https://www.jotform.com/uploads/macarewecare/222927978372067/6216934440801453806/6216934440801453806_signature_28.png</t>
  </si>
  <si>
    <t>https://www.jotform.com/uploads/macarewecare/222927978372067/6216934440801453806/6216934440801453806_signature_31.png</t>
  </si>
  <si>
    <t>Brgy. Calumpang, General Santos City</t>
  </si>
  <si>
    <t>Perform Genexpert Cleaning and maintenance 
Module cleaning 
Plunger rod and Optics cleaning 
Fan and Filter cleaning
Checking of errors 
Data collection</t>
  </si>
  <si>
    <t>https://www.jotform.com/uploads/macarewecare/222927978372067/6216566846865761424/6216566846865761424_signature_28.png</t>
  </si>
  <si>
    <t>https://www.jotform.com/uploads/macarewecare/222927978372067/6216566846865761424/6216566846865761424_signature_31.png</t>
  </si>
  <si>
    <t>Due for maintenance and calibration
Need to replace urethane rollers 6pcs
UPS unable to back up defective battery
Error 68 appear during simulation running</t>
  </si>
  <si>
    <t>Cleaned unit
Checked program parameters
Checked and adjust line sensor value
Checked rollers,dpm,spm,centrifuge,weigher
Performed functionality test
Performed simulation running
Performed calibration</t>
  </si>
  <si>
    <t>Need to replace urethane rollers 6pcs
For further checking</t>
  </si>
  <si>
    <t>https://www.jotform.com/uploads/macarewecare/222927978372067/6216511698102558836/6216511698102558836_signature_28.png</t>
  </si>
  <si>
    <t>https://www.jotform.com/uploads/macarewecare/222927978372067/6216511698102558836/6216511698102558836_signature_31.png</t>
  </si>
  <si>
    <t>Due for maintenance and calibration
For replacement of urethane rollers 6pcs slight wornout</t>
  </si>
  <si>
    <t>For replacement of urethane rollers 6pcs</t>
  </si>
  <si>
    <t>https://www.jotform.com/uploads/macarewecare/222927978372067/6216511188105218838/6216511188105218838_signature_28.png</t>
  </si>
  <si>
    <t>https://www.jotform.com/uploads/macarewecare/222927978372067/6216511188105218838/6216511188105218838_signature_31.png</t>
  </si>
  <si>
    <t>Due for maintenance
Due for calibration last calibration june 2023
Line sensor unable to adjust the desire value of 3071.</t>
  </si>
  <si>
    <t>Cleaned unit
Checked rollers
Performed valve test
Checked and test keypad and lcd display.
Checked program parameters
Performed functionality test</t>
  </si>
  <si>
    <t>For quotation of Calibration and line sensor assy</t>
  </si>
  <si>
    <t>https://www.jotform.com/uploads/macarewecare/222927978372067/6216510708103128519/6216510708103128519_signature_28.png</t>
  </si>
  <si>
    <t>https://www.jotform.com/uploads/macarewecare/222927978372067/6216510708103128519/6216510708103128519_signature_31.png</t>
  </si>
  <si>
    <t xml:space="preserve">ASSAY: Xpert HBV VL, COUNT: 297
ASSAY: Xpert HCV VL, COUNT: 81
ASSAY: Xpert HIV-1 Viral Load, COUNT: 1949
</t>
  </si>
  <si>
    <t>Quarterly Preventive Maintenance 
UPS troubleshooting</t>
  </si>
  <si>
    <t>Troubleshooting 
Preventive maintenance</t>
  </si>
  <si>
    <t>Unit is operational 
UPS for replacement</t>
  </si>
  <si>
    <t>UPS not backing up</t>
  </si>
  <si>
    <t>https://www.jotform.com/uploads/macarewecare/222927978372067/6216342421613764310/6216342421613764310_signature_28.png</t>
  </si>
  <si>
    <t>Jem Suba</t>
  </si>
  <si>
    <t>https://www.jotform.com/uploads/macarewecare/222927978372067/6216342421613764310/6216342421613764310_signature_31.png</t>
  </si>
  <si>
    <t xml:space="preserve">ASSAY: Xpert HPV, COUNT: 12
ASSAY: Xpert MTB/RIF Ultra, COUNT: 821
ASSAY: Xpert MTB-XDR, COUNT: 155
ASSAY: Xpert SARS-CoV-2, COUNT: 0
</t>
  </si>
  <si>
    <t>https://www.jotform.com/uploads/macarewecare/222927978372067/6216326921611971852/6216326921611971852_signature_28.png</t>
  </si>
  <si>
    <t>Jovee De Jesus</t>
  </si>
  <si>
    <t>https://www.jotform.com/uploads/macarewecare/222927978372067/6216326921611971852/6216326921611971852_signature_31.png</t>
  </si>
  <si>
    <t>B1/807820 for module replacement</t>
  </si>
  <si>
    <t>Replaced module: B1 - 807820&gt;&gt;688876
Cleaned cartridge bays, plunger rod, icore, Gx fan
Generate Data</t>
  </si>
  <si>
    <t>Replaced module B1/807820
Performed Preventive Maintenance</t>
  </si>
  <si>
    <t>https://www.jotform.com/uploads/macarewecare/222927978372067/6216264242518481535/6216264242518481535_signature_28.png</t>
  </si>
  <si>
    <t>https://www.jotform.com/uploads/macarewecare/222927978372067/6216264242518481535/6216264242518481535_signature_31.png</t>
  </si>
  <si>
    <t>Asian Hospital And Medical Center</t>
  </si>
  <si>
    <t>Cleaned Surface Area.
Cleaned Pump Rollers.
Checked Sensors and Functionality.
Performed Simulation Test.</t>
  </si>
  <si>
    <t>Unit without UPS.</t>
  </si>
  <si>
    <t>https://www.jotform.com/uploads/macarewecare/222927978372067/6216201743614465274/6216201743614465274_signature_28.png</t>
  </si>
  <si>
    <t>Angel Gimang</t>
  </si>
  <si>
    <t>https://www.jotform.com/uploads/macarewecare/222927978372067/6216201743614465274/6216201743614465274_signature_31.png</t>
  </si>
  <si>
    <t>01F16</t>
  </si>
  <si>
    <t>https://www.jotform.com/uploads/macarewecare/222927978372067/6216201663611186906/6216201663611186906_signature_28.png</t>
  </si>
  <si>
    <t>https://www.jotform.com/uploads/macarewecare/222927978372067/6216201663611186906/6216201663611186906_signature_31.png</t>
  </si>
  <si>
    <t>chogentri.shc@gmail.com</t>
  </si>
  <si>
    <t xml:space="preserve">ASSAY: Xpert HIV-1 Viral Load, COUNT: 836
</t>
  </si>
  <si>
    <t>Cleaned Cartridge Bay, Plunger Rod, and Icore Optics.
Checked Filter if Clogged.
Performed Maintenance.
Performed Self-test.
Performed XpertCheck.
Archived Test Results.
Generate Reports.</t>
  </si>
  <si>
    <t>All Modules Passed and Operational.</t>
  </si>
  <si>
    <t>https://www.jotform.com/uploads/macarewecare/222927978372067/6216201663612853541/6216201663612853541_signature_28.png</t>
  </si>
  <si>
    <t>John Joseph Reyes</t>
  </si>
  <si>
    <t>https://www.jotform.com/uploads/macarewecare/222927978372067/6216201663612853541/6216201663612853541_signature_31.png</t>
  </si>
  <si>
    <t>blessieestrelles@gmail.com</t>
  </si>
  <si>
    <t xml:space="preserve">ASSAY: Xpert HIV-1 Viral Load, COUNT: 76
ASSAY: Xpert HCV VL, COUNT: 204
</t>
  </si>
  <si>
    <t>Cleaned Cartridge Bay, Plunger Rod and Icore Optics.
Checked Filter if Clogged.
Performed Self-test.
Archived Test Results.
Generate Reports.</t>
  </si>
  <si>
    <t>GX System is in Good Condition.</t>
  </si>
  <si>
    <t>https://www.jotform.com/uploads/macarewecare/222927978372067/6216201663615099672/6216201663615099672_signature_28.png</t>
  </si>
  <si>
    <t>Blessie Estrelles</t>
  </si>
  <si>
    <t>https://www.jotform.com/uploads/macarewecare/222927978372067/6216201663615099672/6216201663615099672_signature_31.png</t>
  </si>
  <si>
    <t>Alabang-Zapote Road, Las Piñas City</t>
  </si>
  <si>
    <t xml:space="preserve">ASSAY: Xpert BCR-ABL Ultra, COUNT: 2
ASSAY: Xpert CT/NG, COUNT: 5
ASSAY: Xpert HBV VL, COUNT: 13
ASSAY: Xpert HPV, COUNT: 14
ASSAY: Xpert MTB/RIF Ultra, COUNT: 119
ASSAY: Xpert HCV VL, COUNT: 1
ASSAY: Xpert HIV-1 Viral Load, COUNT: 1
</t>
  </si>
  <si>
    <t>4 Modules were Service Required in XpertCheck.</t>
  </si>
  <si>
    <t>For Replacement of Modules.</t>
  </si>
  <si>
    <t>https://www.jotform.com/uploads/macarewecare/222927978372067/6216201663615130241/6216201663615130241_signature_28.png</t>
  </si>
  <si>
    <t>https://www.jotform.com/uploads/macarewecare/222927978372067/6216201663615130241/6216201663615130241_signature_31.png</t>
  </si>
  <si>
    <t>rpescador@asianhospital.com</t>
  </si>
  <si>
    <t xml:space="preserve">ASSAY: Xpert BCR-ABL Ultra, COUNT: 3
ASSAY: Xpert CT/NG, COUNT: 31
ASSAY: Others, COUNT: 82
ASSAY: Xpert HBV VL, COUNT: 173
ASSAY: Xpert HPV, COUNT: 201
ASSAY: Xpert MTB/RIF Ultra, COUNT: 1136
ASSAY: Xpert HIV-1 Viral Load, COUNT: 118
</t>
  </si>
  <si>
    <t>https://www.jotform.com/uploads/macarewecare/222927978372067/6216201663618708026/6216201663618708026_signature_28.png</t>
  </si>
  <si>
    <t>https://www.jotform.com/uploads/macarewecare/222927978372067/6216201663618708026/6216201663618708026_signature_31.png</t>
  </si>
  <si>
    <t xml:space="preserve">ASSAY: Xpert CT/NG, COUNT: 2
ASSAY: Xpert HBV VL, COUNT: 18
ASSAY: Xpert HPV, COUNT: 1
ASSAY: Xpert MTB/RIF Ultra, COUNT: 283
ASSAY: Xpert HIV-1 Viral Load, COUNT: 15
</t>
  </si>
  <si>
    <t>Module Be and B4 for re-xpertcheck</t>
  </si>
  <si>
    <t>Run XpertCheck on module B3 and B4</t>
  </si>
  <si>
    <t>Performed maintenance 
Cleaned:
-cartridge bay 
-plunger rod 
-icore 
-filter 
Run XpertCheck on module B3 and B4
Generated reports</t>
  </si>
  <si>
    <t>Unit is operational. Module B3 and B4 service required.</t>
  </si>
  <si>
    <t>https://www.jotform.com/uploads/macarewecare/222927978372067/6216132773618595915/6216132773618595915_signature_28.png</t>
  </si>
  <si>
    <t>https://www.jotform.com/uploads/macarewecare/222927978372067/6216132773618595915/6216132773618595915_signature_31.png</t>
  </si>
  <si>
    <t xml:space="preserve">ASSAY: Xpert MTB/RIF Ultra, COUNT: 6
ASSAY: Xpert MTB-XDR, COUNT: 40
ASSAY: Xpert HIV-1 Viral Load, COUNT: 496
</t>
  </si>
  <si>
    <t>https://www.jotform.com/uploads/macarewecare/222927978372067/6216132773619799654/6216132773619799654_signature_28.png</t>
  </si>
  <si>
    <t>Elaine Ouano</t>
  </si>
  <si>
    <t>https://www.jotform.com/uploads/macarewecare/222927978372067/6216132773619799654/6216132773619799654_signature_31.png</t>
  </si>
  <si>
    <t>csrlcho1covidlab2@gmail.com</t>
  </si>
  <si>
    <t xml:space="preserve">ASSAY: Xpert MTB/RIF Ultra, COUNT: 27
ASSAY: Xpert SARS-CoV-2, COUNT: 6
</t>
  </si>
  <si>
    <t>https://www.jotform.com/uploads/macarewecare/222927978372067/6214462257322817347/6214462257322817347_signature_28.png</t>
  </si>
  <si>
    <t>Kathleen Claire L. Yambao</t>
  </si>
  <si>
    <t>https://www.jotform.com/uploads/macarewecare/222927978372067/6214462257322817347/6214462257322817347_signature_31.png</t>
  </si>
  <si>
    <t xml:space="preserve">ASSAY: Xpert MTB/RIF Ultra, COUNT: 7
ASSAY: Xpert SARS-CoV-2, COUNT: 4
</t>
  </si>
  <si>
    <t>https://www.jotform.com/uploads/macarewecare/222927978372067/6214462257328600507/6214462257328600507_signature_28.png</t>
  </si>
  <si>
    <t>https://www.jotform.com/uploads/macarewecare/222927978372067/6214462257328600507/6214462257328600507_signature_31.png</t>
  </si>
  <si>
    <t xml:space="preserve">ASSAY: Xpert MTB/RIF Ultra, COUNT: 1759
</t>
  </si>
  <si>
    <t>B4/615874 temperature error - request for module replacement</t>
  </si>
  <si>
    <t>Replaced module: B4 - 615874&gt;&gt;635384
Cleaned cartridge bays, plunger rod, icore
Generate Data</t>
  </si>
  <si>
    <t>Replaced module B4/615874
Performed Preventive Maintenance</t>
  </si>
  <si>
    <t>Unit is Operational 
Monitor - grid lines started to appear below the screen - request for replacement</t>
  </si>
  <si>
    <t>https://www.jotform.com/uploads/macarewecare/222927978372067/6213789812378146160/6213789812378146160_signature_28.png</t>
  </si>
  <si>
    <t>Mark Ramir C. Manalang Jr</t>
  </si>
  <si>
    <t>https://www.jotform.com/uploads/macarewecare/222927978372067/6213789812378146160/6213789812378146160_signature_31.png</t>
  </si>
  <si>
    <t>UPS unable to supply the machine properly</t>
  </si>
  <si>
    <t>Preventive Maintenence, replaced  2 pcs batteries UPS with 12v and 7AH.</t>
  </si>
  <si>
    <t>Preventive Maintenence and battery replacement for UPS.</t>
  </si>
  <si>
    <t>All modules are ready to use</t>
  </si>
  <si>
    <t>UPS must be charged 8hrs for it to work properly.</t>
  </si>
  <si>
    <t>https://www.jotform.com/uploads/macarewecare/222927978372067/6213686915816915558/6213686915816915558_signature_28.png</t>
  </si>
  <si>
    <t>https://www.jotform.com/uploads/macarewecare/222927978372067/6213686915816915558/6213686915816915558_signature_31.png</t>
  </si>
  <si>
    <t>Cebu City, Cebu</t>
  </si>
  <si>
    <t xml:space="preserve">ASSAY: Xpert HPV, COUNT: 3
ASSAY: Xpert MTB/RIF Ultra, COUNT: 2873
ASSAY: Xpert HIV-1 Viral Load, COUNT: 78
</t>
  </si>
  <si>
    <t>https://www.jotform.com/uploads/macarewecare/222927978372067/6213684014713033538/6213684014713033538_signature_28.png</t>
  </si>
  <si>
    <t>Allan Villanobos Jr.</t>
  </si>
  <si>
    <t>https://www.jotform.com/uploads/macarewecare/222927978372067/6213684014713033538/6213684014713033538_signature_31.png</t>
  </si>
  <si>
    <t xml:space="preserve">ASSAY: Xpert MTB/RIF Ultra, COUNT: 345
</t>
  </si>
  <si>
    <t>https://www.jotform.com/uploads/macarewecare/222927978372067/6213641779324508877/6213641779324508877_signature_28.png</t>
  </si>
  <si>
    <t>ALONA NINA ALVARO</t>
  </si>
  <si>
    <t>https://www.jotform.com/uploads/macarewecare/222927978372067/6213641779324508877/6213641779324508877_signature_31.png</t>
  </si>
  <si>
    <t>MMC Medillinx</t>
  </si>
  <si>
    <t xml:space="preserve">ASSAY: Xpert BCR-ABL Ultra, COUNT: 30
ASSAY: Xpert CT/NG, COUNT: 54
ASSAY: Xpert HBV VL, COUNT: 18
ASSAY: Xpert HPV, COUNT: 37
ASSAY: Xpert MTB/RIF Ultra, COUNT: 230
ASSAY: Others, COUNT: 4
ASSAY: Xpert HCV VL, COUNT: 12
ASSAY: Xpert HIV-1 Viral Load, COUNT: 127
</t>
  </si>
  <si>
    <t>C1 encounter error 4014,2034 optical signal, after loading of cartridge in a few second module c1 eject the cartridge error 4014 appear.</t>
  </si>
  <si>
    <t>Cleaned icore
Reset Gateway board
Performed realibility test but error still occur</t>
  </si>
  <si>
    <t>A1,C2,C4 reported already and confirmed for replacement
C1 for reporting</t>
  </si>
  <si>
    <t>https://www.jotform.com/uploads/macarewecare/222927978372067/6213610508916419094/6213610508916419094_signature_28.png</t>
  </si>
  <si>
    <t>Jane Shyrel Enriquez</t>
  </si>
  <si>
    <t>https://www.jotform.com/uploads/macarewecare/222927978372067/6213610508916419094/6213610508916419094_signature_31.png</t>
  </si>
  <si>
    <t>Module A3 - H/W failed</t>
  </si>
  <si>
    <t>-Replace defective module A3/862899 with module SN: 733337</t>
  </si>
  <si>
    <t>900-0491RS
Certified pre-own GeneXpert module
SN. 733337</t>
  </si>
  <si>
    <t>DR no. 12944</t>
  </si>
  <si>
    <t>https://www.jotform.com/uploads/macarewecare/222927978372067/6213589606727728142/6213589606727728142_signature_28.png</t>
  </si>
  <si>
    <t>https://www.jotform.com/uploads/macarewecare/222927978372067/6213589606727728142/6213589606727728142_signature_31.png</t>
  </si>
  <si>
    <t>Genexpert</t>
  </si>
  <si>
    <t>https://www.jotform.com/uploads/macarewecare/222927978372067/6212880043242599995/6212880043242599995_signature_28.png</t>
  </si>
  <si>
    <t>https://www.jotform.com/uploads/macarewecare/222927978372067/6212880043242599995/6212880043242599995_signature_31.png</t>
  </si>
  <si>
    <t>Dumarao Rural Health Unit</t>
  </si>
  <si>
    <t>https://www.jotform.com/uploads/macarewecare/222927978372067/6212867725611948903/6212867725611948903_signature_28.png</t>
  </si>
  <si>
    <t>https://www.jotform.com/uploads/macarewecare/222927978372067/6212867725611948903/6212867725611948903_signature_31.png</t>
  </si>
  <si>
    <t>Vinzons Rural Health 3</t>
  </si>
  <si>
    <t>Vinzons</t>
  </si>
  <si>
    <t xml:space="preserve">ASSAY: Xpert MTB/RIF Ultra, COUNT: 1207
</t>
  </si>
  <si>
    <t>Gx for Preventive Maintenance 
Request for gx fan filter
Request for keyboard replacement</t>
  </si>
  <si>
    <t>Provide 1 fan filter
Replaced keyboard 
Cleaned cartridge bays, plunger rod, icore
Generate Data</t>
  </si>
  <si>
    <t>https://www.jotform.com/uploads/macarewecare/222927978372067/6212858009711758996/6212858009711758996_signature_28.png</t>
  </si>
  <si>
    <t>https://www.jotform.com/uploads/macarewecare/222927978372067/6212858009711758996/6212858009711758996_signature_31.png</t>
  </si>
  <si>
    <t>prcclinlab@redcross.org.ph</t>
  </si>
  <si>
    <t>For installation of new UPS.</t>
  </si>
  <si>
    <t>Installation of UPS.</t>
  </si>
  <si>
    <t>Performed installation of new UPS.
Performed functionality testing of UPS.</t>
  </si>
  <si>
    <t>New UPS (AT1K240323ST0038)
Defective UPS (AT1000210708ST0032)</t>
  </si>
  <si>
    <t>DR#12960</t>
  </si>
  <si>
    <t>https://www.jotform.com/uploads/macarewecare/222927978372067/6212842805911051651/6212842805911051651_signature_28.png</t>
  </si>
  <si>
    <t>Yna Cabradilla</t>
  </si>
  <si>
    <t>https://www.jotform.com/uploads/macarewecare/222927978372067/6212842805911051651/6212842805911051651_signature_31.png</t>
  </si>
  <si>
    <t>For replacement of UPS.
For checking of transfer pump motor.</t>
  </si>
  <si>
    <t>Installation of ups and troubleshooting.</t>
  </si>
  <si>
    <t>Performed installation of new UPS.
Performed functionality testing of UPS. Performed checking of transfer pump motor.</t>
  </si>
  <si>
    <t>Unit is operational. For replacement of transfer pump motor due to wear and tear. Transfer pump has resistance on spinning and noisy when powered on.</t>
  </si>
  <si>
    <t>New UPS (AT1K240323ST0039)
Defective UPS (AT1000190402ST0376)</t>
  </si>
  <si>
    <t>https://www.jotform.com/uploads/macarewecare/222927978372067/6212842795912070506/6212842795912070506_signature_28.png</t>
  </si>
  <si>
    <t>https://www.jotform.com/uploads/macarewecare/222927978372067/6212842795912070506/6212842795912070506_signature_31.png</t>
  </si>
  <si>
    <t xml:space="preserve">ASSAY: Xpert BCR-ABL Ultra, COUNT: 27
ASSAY: Xpert CT/NG, COUNT: 136
ASSAY: Xpert HBV VL, COUNT: 2
ASSAY: Xpert HPV, COUNT: 190
ASSAY: Xpert MTB/RIF Ultra, COUNT: 373
ASSAY: Xpert HCV VL, COUNT: 4
ASSAY: Xpert HIV-1 Viral Load, COUNT: 82
</t>
  </si>
  <si>
    <t>Performed maintenance
Cleaned:
-cartridge bay 
-plunger rod 
-icore 
-filter 
Generated reports</t>
  </si>
  <si>
    <t>Unit is operational. Module A3 disabled.</t>
  </si>
  <si>
    <t>https://www.jotform.com/uploads/macarewecare/222927978372067/6212841926282056663/6212841926282056663_signature_28.png</t>
  </si>
  <si>
    <t>Jericho Jalandoni</t>
  </si>
  <si>
    <t>https://www.jotform.com/uploads/macarewecare/222927978372067/6212841926282056663/6212841926282056663_signature_31.png</t>
  </si>
  <si>
    <t xml:space="preserve">ASSAY: Xpert BCR-ABL Ultra, COUNT: 153
ASSAY: Xpert CT/NG, COUNT: 576
ASSAY: Xpert HBV VL, COUNT: 48
ASSAY: Xpert HPV, COUNT: 789
ASSAY: Xpert MTB/RIF Ultra, COUNT: 1982
ASSAY: Xpert MTB-XDR, COUNT: 5
ASSAY: Xpert HCV VL, COUNT: 36
ASSAY: Xpert HIV-1 Viral Load, COUNT: 226
</t>
  </si>
  <si>
    <t>https://www.jotform.com/uploads/macarewecare/222927978372067/6212841926284743171/6212841926284743171_signature_28.png</t>
  </si>
  <si>
    <t>https://www.jotform.com/uploads/macarewecare/222927978372067/6212841926284743171/6212841926284743171_signature_31.png</t>
  </si>
  <si>
    <t>Marine Environment &amp; Resources Foundation, Inc.</t>
  </si>
  <si>
    <t>Marine Science Institute, UP Diliman, Quezon City</t>
  </si>
  <si>
    <t>Phycology Lab</t>
  </si>
  <si>
    <t>PrimoStar HD</t>
  </si>
  <si>
    <t>Installed PrimoStar HD
Performed functionality test
Performed basic operator's training</t>
  </si>
  <si>
    <t>For demo</t>
  </si>
  <si>
    <t>PrimoStar HD SN:3150000452</t>
  </si>
  <si>
    <t>DR 12825</t>
  </si>
  <si>
    <t>https://www.jotform.com/uploads/macarewecare/222927978372067/6212836653617554687/6212836653617554687_signature_28.png</t>
  </si>
  <si>
    <t>Leah Marie Mahomoc</t>
  </si>
  <si>
    <t>https://www.jotform.com/uploads/macarewecare/222927978372067/6212836653617554687/6212836653617554687_signature_31.png</t>
  </si>
  <si>
    <t>https://www.jotform.com/uploads/macarewecare/222927978372067/6212821540423106206/6212821540423106206_signature_28.png</t>
  </si>
  <si>
    <t>https://www.jotform.com/uploads/macarewecare/222927978372067/6212821540423106206/6212821540423106206_signature_31.png</t>
  </si>
  <si>
    <t>https://www.jotform.com/uploads/macarewecare/222927978372067/6212821070424474353/6212821070424474353_signature_28.png</t>
  </si>
  <si>
    <t>https://www.jotform.com/uploads/macarewecare/222927978372067/6212821070424474353/6212821070424474353_signature_31.png</t>
  </si>
  <si>
    <t>https://www.jotform.com/uploads/macarewecare/222927978372067/6212820650426459711/6212820650426459711_signature_28.png</t>
  </si>
  <si>
    <t>https://www.jotform.com/uploads/macarewecare/222927978372067/6212820650426459711/6212820650426459711_signature_31.png</t>
  </si>
  <si>
    <t>lcmahomoc@up.edu.ph</t>
  </si>
  <si>
    <t>Installed Stemi 305 Trino
Installed Axiocam 208 Color
Performed functionality Test
Performed basic operator's training</t>
  </si>
  <si>
    <t>Stemi 305 Trino SN:3947020979
Stand K Edu SN:3943037119
Axiocam 208 Color SN:5321007214
Spot Illuminator
Router SN:2245065001299</t>
  </si>
  <si>
    <t>SI 1000135 and DR 12927</t>
  </si>
  <si>
    <t>https://www.jotform.com/uploads/macarewecare/222927978372067/6212806654672075819/6212806654672075819_signature_28.png</t>
  </si>
  <si>
    <t>https://www.jotform.com/uploads/macarewecare/222927978372067/6212806654672075819/6212806654672075819_signature_31.png</t>
  </si>
  <si>
    <t xml:space="preserve">ASSAY: Xpert MTB/RIF Ultra, COUNT: 1126
</t>
  </si>
  <si>
    <t>Cleaned cartridge bays, plunger rod, icore
Generate Data
Check visibility of grid lines appearing on screen</t>
  </si>
  <si>
    <t>Monitor request for replacement</t>
  </si>
  <si>
    <t>https://www.jotform.com/uploads/macarewecare/222927978372067/6212790919716151708/6212790919716151708_signature_28.png</t>
  </si>
  <si>
    <t>ANALYN C. CONSUELO</t>
  </si>
  <si>
    <t>https://www.jotform.com/uploads/macarewecare/222927978372067/6212790919716151708/6212790919716151708_signature_31.png</t>
  </si>
  <si>
    <t>rhodaruthdalogdog@gmail.com</t>
  </si>
  <si>
    <t>Module 1 found Error in Temperature after troubleshooting.
Stuck Cartridge in Module 4.</t>
  </si>
  <si>
    <t>Reported to Main Office.
Manually removing of stuck cartridge.</t>
  </si>
  <si>
    <t>Stuck Cartridge Removal
Troubleshooting of Module 1
Preventive Maintenance</t>
  </si>
  <si>
    <t>3 modules functional, 1 module for reporting.
Peripherals are functional.</t>
  </si>
  <si>
    <t>https://www.jotform.com/uploads/macarewecare/222927978372067/6212751470414305155/6212751470414305155_signature_28.png</t>
  </si>
  <si>
    <t>https://www.jotform.com/uploads/macarewecare/222927978372067/6212751470414305155/6212751470414305155_signature_31.png</t>
  </si>
  <si>
    <t>https://www.jotform.com/uploads/macarewecare/222927978372067/6212747302998518122/6212747302998518122_signature_28.png</t>
  </si>
  <si>
    <t>Marigae Krista Monilla</t>
  </si>
  <si>
    <t>https://www.jotform.com/uploads/macarewecare/222927978372067/6212747302998518122/6212747302998518122_signature_31.png</t>
  </si>
  <si>
    <t xml:space="preserve">ASSAY: Xpert MTB/RIF Ultra, COUNT: 377
</t>
  </si>
  <si>
    <t>Module 3 h/w failed error 1001</t>
  </si>
  <si>
    <t>Preventive Maintenence and xpertcheck calibration.</t>
  </si>
  <si>
    <t>All modules undergone preventive Maintenance. Only module 3 undergone Xpertcheck calibration</t>
  </si>
  <si>
    <t>Module 1, 2 and 4 are available and ready to use. Module 3 needs more data.</t>
  </si>
  <si>
    <t>https://www.jotform.com/uploads/macarewecare/222927978372067/6212744791219761878/6212744791219761878_signature_28.png</t>
  </si>
  <si>
    <t>Genaline Rodriguez</t>
  </si>
  <si>
    <t>https://www.jotform.com/uploads/macarewecare/222927978372067/6212744791219761878/6212744791219761878_signature_31.png</t>
  </si>
  <si>
    <t>Piñan Rural Health Unit</t>
  </si>
  <si>
    <t>Piñan Zamboanga del norte</t>
  </si>
  <si>
    <t>ivannagmarchan@gmail.com</t>
  </si>
  <si>
    <t xml:space="preserve">ASSAY: Xpert MTB/RIF Ultra, COUNT: 178
</t>
  </si>
  <si>
    <t>Preventive Maintenence and data gathering</t>
  </si>
  <si>
    <t>https://www.jotform.com/uploads/macarewecare/222927978372067/6212730171214054846/6212730171214054846_signature_28.png</t>
  </si>
  <si>
    <t>Ivanna Marchan</t>
  </si>
  <si>
    <t>https://www.jotform.com/uploads/macarewecare/222927978372067/6212730171214054846/6212730171214054846_signature_31.png</t>
  </si>
  <si>
    <t>Machine for PM</t>
  </si>
  <si>
    <t>Cleaned unit surface 
Cleaned rotor pump rollers, valves, sensor</t>
  </si>
  <si>
    <t>Unit is not operational,  CRC Bios defective</t>
  </si>
  <si>
    <t>https://www.jotform.com/uploads/macarewecare/222927978372067/6212019554816728451/6212019554816728451_signature_28.png</t>
  </si>
  <si>
    <t>https://www.jotform.com/uploads/macarewecare/222927978372067/6212019554816728451/6212019554816728451_signature_31.png</t>
  </si>
  <si>
    <t>Leaked fluid/possible debris inside Centrifuge</t>
  </si>
  <si>
    <t>Checked/Tested Centrifuge parameters
Checked for any leftover debris/fluid
Cleaned Centrifuge basin
Cleaned unit surface
Cleaned rotor pump rollers, valves, sensors</t>
  </si>
  <si>
    <t>https://www.jotform.com/uploads/macarewecare/222927978372067/6212015834814483959/6212015834814483959_signature_28.png</t>
  </si>
  <si>
    <t>https://www.jotform.com/uploads/macarewecare/222927978372067/6212015834814483959/6212015834814483959_signature_31.png</t>
  </si>
  <si>
    <t xml:space="preserve">ASSAY: Xpert MTB/RIF Ultra, COUNT: 2528
</t>
  </si>
  <si>
    <t>For Preventive Maintenance
Module 2 encounter multiple temperature related errors</t>
  </si>
  <si>
    <t>Perform Preventive Maintenance
Perform Module Troubleshooting</t>
  </si>
  <si>
    <t>Module B2 Disable due to frequent temperature related errors
Reported to Cepheid for further Assessment
Only Three Modules are Operational</t>
  </si>
  <si>
    <t>https://www.jotform.com/uploads/macarewecare/222927978372067/6211956110513893616/6211956110513893616_signature_28.png</t>
  </si>
  <si>
    <t>Cristina Tiara A. Fernandez,. RMT.</t>
  </si>
  <si>
    <t>https://www.jotform.com/uploads/macarewecare/222927978372067/6211956110513893616/6211956110513893616_signature_31.png</t>
  </si>
  <si>
    <t>Pontevedra Rural Health Unit</t>
  </si>
  <si>
    <t>-CPU defective
-Module 2 frequent errors</t>
  </si>
  <si>
    <t>-Replace CPU power supply
-Run Xpertcheck on module 2 for checking</t>
  </si>
  <si>
    <t>CPU is operational. Module 2 for replacement, failed XPC</t>
  </si>
  <si>
    <t>https://www.jotform.com/uploads/macarewecare/222927978372067/6211945801601617524/6211945801601617524_signature_28.png</t>
  </si>
  <si>
    <t>Mayeth Demonarca</t>
  </si>
  <si>
    <t>https://www.jotform.com/uploads/macarewecare/222927978372067/6211945801601617524/6211945801601617524_signature_31.png</t>
  </si>
  <si>
    <t>Armed Forces Research Institute of Medical Sciences</t>
  </si>
  <si>
    <t>jaynueva19@gmail.com</t>
  </si>
  <si>
    <t>Unit is operational
Room temp is advised to be monitored (Ave. temperature: 31C)</t>
  </si>
  <si>
    <t>https://www.jotform.com/uploads/macarewecare/222927978372067/6211930463549948595/6211930463549948595_signature_28.png</t>
  </si>
  <si>
    <t>Jay Nueva</t>
  </si>
  <si>
    <t>https://www.jotform.com/uploads/macarewecare/222927978372067/6211930463549948595/6211930463549948595_signature_31.png</t>
  </si>
  <si>
    <t>Siargao Island Medical Center</t>
  </si>
  <si>
    <t>Dapa, Siargao Island</t>
  </si>
  <si>
    <t>carlynvirtudazo10@gmail.com</t>
  </si>
  <si>
    <t>https://www.jotform.com/uploads/macarewecare/222927978372067/6211884846319162620/6211884846319162620_signature_28.png</t>
  </si>
  <si>
    <t>Carlyn C. Virtudazo</t>
  </si>
  <si>
    <t>https://www.jotform.com/uploads/macarewecare/222927978372067/6211884846319162620/6211884846319162620_signature_31.png</t>
  </si>
  <si>
    <t>Due for preventive maintenance 
B2: 808250 invalid results error 2016
B3: 808251 Temperature error</t>
  </si>
  <si>
    <t>Unit is operational 
B2 and B3 for reporting</t>
  </si>
  <si>
    <t>https://www.jotform.com/uploads/macarewecare/222927978372067/6211236802523711246/6211236802523711246_signature_28.png</t>
  </si>
  <si>
    <t>https://www.jotform.com/uploads/macarewecare/222927978372067/6211236802523711246/6211236802523711246_signature_31.png</t>
  </si>
  <si>
    <t>Quarterly Preventive Maintenance</t>
  </si>
  <si>
    <t>https://www.jotform.com/uploads/macarewecare/222927978372067/6211201812911912073/6211201812911912073_signature_28.png</t>
  </si>
  <si>
    <t>https://www.jotform.com/uploads/macarewecare/222927978372067/6211201812911912073/6211201812911912073_signature_31.png</t>
  </si>
  <si>
    <t>Gx4 L</t>
  </si>
  <si>
    <t>As per end user they encounter loss communication in module C1</t>
  </si>
  <si>
    <t>Cleaned plunger rod,filter,icore,cartridge bay
Gathered reports
Reset gateway board
Replaced lan cable of module C1
Test run unit</t>
  </si>
  <si>
    <t>https://www.jotform.com/uploads/macarewecare/222927978372067/6211163552224694718/6211163552224694718_signature_28.png</t>
  </si>
  <si>
    <t>https://www.jotform.com/uploads/macarewecare/222927978372067/6211163552224694718/6211163552224694718_signature_31.png</t>
  </si>
  <si>
    <t>Surigao City Health Office</t>
  </si>
  <si>
    <t>sanjuandistricthealthcenter23@gmail.com</t>
  </si>
  <si>
    <t>https://www.jotform.com/uploads/macarewecare/222927978372067/6211155553983854849/6211155553983854849_signature_28.png</t>
  </si>
  <si>
    <t>https://www.jotform.com/uploads/macarewecare/222927978372067/6211155553983854849/6211155553983854849_signature_31.png</t>
  </si>
  <si>
    <t>Philippine Red Cross Olongapo</t>
  </si>
  <si>
    <t>38 Magsaysay Dr. Olongapo Zambales</t>
  </si>
  <si>
    <t>olongapo.bloodservice@redcross.org.ph</t>
  </si>
  <si>
    <t>olongapo@redcross.org.ph</t>
  </si>
  <si>
    <t>03A043</t>
  </si>
  <si>
    <t>Preventive maintenance 
Calibration</t>
  </si>
  <si>
    <t>Cleaned surface area
Checked parameters 
Performed calibration 
Performed functionality test</t>
  </si>
  <si>
    <t>https://www.jotform.com/uploads/macarewecare/222927978372067/6211079882919049207/6211079882919049207_signature_28.png</t>
  </si>
  <si>
    <t>Philippine Red Cross - Olongapo City</t>
  </si>
  <si>
    <t>https://www.jotform.com/uploads/macarewecare/222927978372067/6211079882919049207/6211079882919049207_signature_31.png</t>
  </si>
  <si>
    <t>President Ramon Magsaysay Memorial Hospital</t>
  </si>
  <si>
    <t>Iba, Zambales</t>
  </si>
  <si>
    <t>prmmhmoleclab@gmail.com</t>
  </si>
  <si>
    <t xml:space="preserve">ASSAY: Xpert SARS-CoV-2, COUNT: 0
ASSAY: Xpress SARS-CoV-2_Flu_RSV plus, COUNT: 21
</t>
  </si>
  <si>
    <t>Unit is operational except modules
B3:888978 Temperature error
B4: 688212 Temperature Error</t>
  </si>
  <si>
    <t>https://www.jotform.com/uploads/macarewecare/222927978372067/6211079612914361646/6211079612914361646_signature_28.png</t>
  </si>
  <si>
    <t>Bianca Yzbel Yap</t>
  </si>
  <si>
    <t>https://www.jotform.com/uploads/macarewecare/222927978372067/6211079612914361646/6211079612914361646_signature_31.png</t>
  </si>
  <si>
    <t xml:space="preserve">ASSAY: Xpert MTB/RIF Ultra, COUNT: 407
ASSAY: Xpert HIV-1 Viral Load, COUNT: 1576
</t>
  </si>
  <si>
    <t>https://www.jotform.com/uploads/macarewecare/222927978372067/6211068531525693900/6211068531525693900_signature_28.png</t>
  </si>
  <si>
    <t>https://www.jotform.com/uploads/macarewecare/222927978372067/6211068531525693900/6211068531525693900_signature_31.png</t>
  </si>
  <si>
    <t xml:space="preserve">ASSAY: Xpert MTB/RIF Ultra, COUNT: 402
ASSAY: Xpert HIV-1 Viral Load, COUNT: 1576
</t>
  </si>
  <si>
    <t>Clean Surface Area, Cartridge Bay, Plunger Rod and Icore Lenses
Generate IQR, Assay Stat and System Log</t>
  </si>
  <si>
    <t>Module B3 disabled due to multiple temperature related
Only Three Modules are operational</t>
  </si>
  <si>
    <t>https://www.jotform.com/uploads/macarewecare/222927978372067/6211066121524832230/6211066121524832230_signature_28.png</t>
  </si>
  <si>
    <t>https://www.jotform.com/uploads/macarewecare/222927978372067/6211066121524832230/6211066121524832230_signature_31.png</t>
  </si>
  <si>
    <t>Naga City</t>
  </si>
  <si>
    <t>Save Installation Qualification Report
Save System Log file
Save Assay Statistics Report.</t>
  </si>
  <si>
    <t>Perform Preventive Maintenance for Genexpert Machine.</t>
  </si>
  <si>
    <t>All module's are function ok to use.</t>
  </si>
  <si>
    <t>https://www.jotform.com/uploads/macarewecare/222927978372067/6211045678028543357/6211045678028543357_signature_28.png</t>
  </si>
  <si>
    <t>https://www.jotform.com/uploads/macarewecare/222927978372067/6211045678028543357/6211045678028543357_signature_31.png</t>
  </si>
  <si>
    <t xml:space="preserve">ASSAY: Xpert HBV VL, COUNT: 6
ASSAY: Xpert MTB/RIF Ultra, COUNT: 1639
ASSAY: Xpert HCV VL, COUNT: 4
ASSAY: Xpert HIV-1 Viral Load, COUNT: 129
</t>
  </si>
  <si>
    <t>https://www.jotform.com/uploads/macarewecare/222927978372067/6211011081817336439/6211011081817336439_signature_28.png</t>
  </si>
  <si>
    <t>Maria Odessa Mallillin</t>
  </si>
  <si>
    <t>https://www.jotform.com/uploads/macarewecare/222927978372067/6211011081817336439/6211011081817336439_signature_31.png</t>
  </si>
  <si>
    <t>https://www.jotform.com/uploads/macarewecare/222927978372067/6211010681818946622/6211010681818946622_signature_28.png</t>
  </si>
  <si>
    <t>https://www.jotform.com/uploads/macarewecare/222927978372067/6211010681818946622/6211010681818946622_signature_31.png</t>
  </si>
  <si>
    <t>CPU to monitor connection issue</t>
  </si>
  <si>
    <t>-Install CPU temporarily while waiting for CPU replacement
-Backup test results 
-Upgrade software to 6.5</t>
  </si>
  <si>
    <t>https://www.jotform.com/uploads/macarewecare/222927978372067/6210975295226954122/6210975295226954122_signature_28.png</t>
  </si>
  <si>
    <t>https://www.jotform.com/uploads/macarewecare/222927978372067/6210975295226954122/6210975295226954122_signature_31.png</t>
  </si>
  <si>
    <t>South Cotabato Provincial Hospital / IPHO Covid lab</t>
  </si>
  <si>
    <t>dappmc.tblab@gmail.com</t>
  </si>
  <si>
    <t xml:space="preserve">ASSAY: Xpert SARS-CoV-2, COUNT: 881
</t>
  </si>
  <si>
    <t>Gx-XVI</t>
  </si>
  <si>
    <t>Module C2, D2,D3 and D4 Disabled due to multiple errors</t>
  </si>
  <si>
    <t>Perform Genexpert Cleaning and maintenance 
Module Cleaning 
Plunger rod and Optics Cleaning 
Filter Cleaning 
Checking of errors/problem 
Data collection</t>
  </si>
  <si>
    <t>https://www.jotform.com/uploads/macarewecare/222927978372067/6210569725377872610/6210569725377872610_signature_28.png</t>
  </si>
  <si>
    <t>Jasmine Libona</t>
  </si>
  <si>
    <t>https://www.jotform.com/uploads/macarewecare/222927978372067/6210569725377872610/6210569725377872610_signature_31.png</t>
  </si>
  <si>
    <t xml:space="preserve">ASSAY: Xpert MTB/RIF Ultra, COUNT: 781
</t>
  </si>
  <si>
    <t>UPS AT1000181128ST0151</t>
  </si>
  <si>
    <t>DR 12921</t>
  </si>
  <si>
    <t>https://www.jotform.com/uploads/macarewecare/222927978372067/6210211567673133383/6210211567673133383_signature_28.png</t>
  </si>
  <si>
    <t>https://www.jotform.com/uploads/macarewecare/222927978372067/6210211567673133383/6210211567673133383_signature_31.png</t>
  </si>
  <si>
    <t xml:space="preserve">ASSAY: , COUNT: 1065
</t>
  </si>
  <si>
    <t>Genexpert process encountered 2097 for HIV-Assay
 5007 errors for MTB-Ultra in Module 2.</t>
  </si>
  <si>
    <t>Recommend user to strictly follow the sample processing of HIV-Viral Load and load only in Module 2 for HIV-Viral load only for isolation and  determine repeated error of 2097</t>
  </si>
  <si>
    <t>Troubleshoot error and generate IQR, System Log and Gxx files.
Clean up Icore and Airfilter cleaner. 
Observed sample process and review cartridge integrity of HIV-Viral Load.</t>
  </si>
  <si>
    <t>https://www.jotform.com/uploads/macarewecare/222927978372067/6210139373443854705/6210139373443854705_signature_28.png</t>
  </si>
  <si>
    <t>https://www.jotform.com/uploads/macarewecare/222927978372067/6210139373443854705/6210139373443854705_signature_31.png</t>
  </si>
  <si>
    <t>Calamba Rural Health Unit</t>
  </si>
  <si>
    <t xml:space="preserve">ASSAY: Xpert MTB/RIF Ultra, COUNT: 382
</t>
  </si>
  <si>
    <t>Preventive Maintenence</t>
  </si>
  <si>
    <t>Preventive Maintenence.</t>
  </si>
  <si>
    <t>https://www.jotform.com/uploads/macarewecare/222927978372067/6210106986313321287/6210106986313321287_signature_28.png</t>
  </si>
  <si>
    <t>Mary-ibn E Palubon</t>
  </si>
  <si>
    <t>https://www.jotform.com/uploads/macarewecare/222927978372067/6210106986313321287/6210106986313321287_signature_31.png</t>
  </si>
  <si>
    <t>United Nations Ave, Manila</t>
  </si>
  <si>
    <t>Unit for transfer back to original location after facilities maintenance.</t>
  </si>
  <si>
    <t>Unit is operational. Original keyboard has defective keys. End-user temporarily using own keyboard.</t>
  </si>
  <si>
    <t>https://www.jotform.com/uploads/macarewecare/222927978372067/6210100887397205189/6210100887397205189_signature_28.png</t>
  </si>
  <si>
    <t>https://www.jotform.com/uploads/macarewecare/222927978372067/6210100887397205189/6210100887397205189_signature_31.png</t>
  </si>
  <si>
    <t>Poblacion Argao Cebu</t>
  </si>
  <si>
    <t>CPU power supply problem.</t>
  </si>
  <si>
    <t>Check power supply of UPS
Check outlet of the 220VAC 
Replacement of power cable
Generate IQR, System log, Assay, Archive data files, copy database</t>
  </si>
  <si>
    <t>https://www.jotform.com/uploads/macarewecare/222927978372067/6205985573443145705/6205985573443145705_signature_28.png</t>
  </si>
  <si>
    <t>https://www.jotform.com/uploads/macarewecare/222927978372067/6205985573443145705/6205985573443145705_signature_31.png</t>
  </si>
  <si>
    <t>United Nations Ave, Ermita, Manila</t>
  </si>
  <si>
    <t xml:space="preserve">ASSAY: Xpert CT/NG, COUNT: 74
ASSAY: Xpert HBV VL, COUNT: 109
ASSAY: Xpert HPV, COUNT: 25
ASSAY: Xpert MTB/RIF Ultra, COUNT: 1220
ASSAY: Xpert HCV VL, COUNT: 16
ASSAY: Xpert HIV-1 Viral Load, COUNT: 127
</t>
  </si>
  <si>
    <t>Customer requested transfer of unit to different room temporarily due to ongoing facility maintenance.</t>
  </si>
  <si>
    <t>https://www.jotform.com/uploads/macarewecare/222927978372067/6205973113598172854/6205973113598172854_signature_28.png</t>
  </si>
  <si>
    <t>Kaye Martelino</t>
  </si>
  <si>
    <t>https://www.jotform.com/uploads/macarewecare/222927978372067/6205973113598172854/6205973113598172854_signature_31.png</t>
  </si>
  <si>
    <t xml:space="preserve">ASSAY: Xpert MTB/RIF Ultra, COUNT: 48
</t>
  </si>
  <si>
    <t>For disassemble of A3 882239,C1 881354,C2 882120,C3 760518,C4 882137, gateway board 6001161</t>
  </si>
  <si>
    <t>Remove module and gateway board for condemnation.</t>
  </si>
  <si>
    <t>Performed module disassemble and gateway board</t>
  </si>
  <si>
    <t>Unit for condemn</t>
  </si>
  <si>
    <t>https://www.jotform.com/uploads/macarewecare/222927978372067/6205731893616503504/6205731893616503504_signature_28.png</t>
  </si>
  <si>
    <t>Ma,Odessa Barretto</t>
  </si>
  <si>
    <t>https://www.jotform.com/uploads/macarewecare/222927978372067/6205731893616503504/6205731893616503504_signature_31.png</t>
  </si>
  <si>
    <t xml:space="preserve">ASSAY: Xpert CT/NG, COUNT: 2
ASSAY: Xpert HBV VL, COUNT: 19
ASSAY: Xpert HPV, COUNT: 1
ASSAY: Xpert MTB/RIF Ultra, COUNT: 285
ASSAY: Xpert HIV-1 Viral Load, COUNT: 14
</t>
  </si>
  <si>
    <t>Module B3 and B4 for XpertCheck (retry)</t>
  </si>
  <si>
    <t>Performed maintenance
Cleaned:
-cartridge bay 
-plunger rod 
-icore 
-filter 
Run XpertCheck on module B3 and B4 
Generated reports</t>
  </si>
  <si>
    <t>Unit os operational. Module B3 and B4 for retry, insufficient XpertCheck cartridge.</t>
  </si>
  <si>
    <t>https://www.jotform.com/uploads/macarewecare/222927978372067/6205720583611771360/6205720583611771360_signature_28.png</t>
  </si>
  <si>
    <t>Graziela Madrid</t>
  </si>
  <si>
    <t>https://www.jotform.com/uploads/macarewecare/222927978372067/6205720583611771360/6205720583611771360_signature_31.png</t>
  </si>
  <si>
    <t xml:space="preserve">ASSAY: Xpert BCR-ABL Ultra, COUNT: 61
ASSAY: Xpert CT/NG, COUNT: 49
ASSAY: Others, COUNT: 2
ASSAY: Xpert HBV VL, COUNT: 658
ASSAY: Xpert HPV, COUNT: 403
ASSAY: Xpert MTB/RIF Ultra, COUNT: 6385
ASSAY: Xpert MTB-XDR, COUNT: 3
ASSAY: Others, COUNT: 2
ASSAY: Others, COUNT: 1
ASSAY: Xpert HCV VL, COUNT: 153
ASSAY: Xpert HIV-1 Viral Load, COUNT: 858
ASSAY: Xpress SARS-CoV-2_Flu_RSV plus, COUNT: 1423
</t>
  </si>
  <si>
    <t>Error 1001 on module D1/210082300</t>
  </si>
  <si>
    <t>Performed maintenance 
Cleaned: 
-cartridge bay 
-icore 
-plunger rod 
-filter
Checked module D1
Generated reports 
Generated gxx file</t>
  </si>
  <si>
    <t>Unit is operational. Module D1 for reporting.</t>
  </si>
  <si>
    <t>https://www.jotform.com/uploads/macarewecare/222927978372067/6205720583618053400/6205720583618053400_signature_28.png</t>
  </si>
  <si>
    <t>Maria Angelica Medel</t>
  </si>
  <si>
    <t>https://www.jotform.com/uploads/macarewecare/222927978372067/6205720583618053400/6205720583618053400_signature_31.png</t>
  </si>
  <si>
    <t>https://www.jotform.com/uploads/macarewecare/222927978372067/6205060617679071725/6205060617679071725_signature_28.png</t>
  </si>
  <si>
    <t>Melvin Magbalita</t>
  </si>
  <si>
    <t>https://www.jotform.com/uploads/macarewecare/222927978372067/6205060617679071725/6205060617679071725_signature_31.png</t>
  </si>
  <si>
    <t>https://www.jotform.com/uploads/macarewecare/222927978372067/6205059237672322627/6205059237672322627_signature_28.png</t>
  </si>
  <si>
    <t>Tillber Baniaga Jr.</t>
  </si>
  <si>
    <t>https://www.jotform.com/uploads/macarewecare/222927978372067/6205059237672322627/6205059237672322627_signature_31.png</t>
  </si>
  <si>
    <t>Baguio City Health Office</t>
  </si>
  <si>
    <t>https://www.jotform.com/uploads/macarewecare/222927978372067/6205056967674216059/6205056967674216059_signature_28.png</t>
  </si>
  <si>
    <t>https://www.jotform.com/uploads/macarewecare/222927978372067/6205056967674216059/6205056967674216059_signature_31.png</t>
  </si>
  <si>
    <t>Unit is Partially Operational 
Module B4 for Reporting</t>
  </si>
  <si>
    <t>https://www.jotform.com/uploads/macarewecare/222927978372067/6205055937675131606/6205055937675131606_signature_28.png</t>
  </si>
  <si>
    <t>Gloria G Depayso</t>
  </si>
  <si>
    <t>https://www.jotform.com/uploads/macarewecare/222927978372067/6205055937675131606/6205055937675131606_signature_31.png</t>
  </si>
  <si>
    <t>For Replacement of Desktop</t>
  </si>
  <si>
    <t>Installed Original Desktop</t>
  </si>
  <si>
    <t>- Unit is Partially Operational 
- Modules 1 and 2 for Reporting</t>
  </si>
  <si>
    <t>Work with Engr. Venzon</t>
  </si>
  <si>
    <t>GENEXPERT DESKTOP CPH0520F08280</t>
  </si>
  <si>
    <t>DR 12864</t>
  </si>
  <si>
    <t>https://www.jotform.com/uploads/macarewecare/222927978372067/6205049977679286722/6205049977679286722_signature_28.png</t>
  </si>
  <si>
    <t>https://www.jotform.com/uploads/macarewecare/222927978372067/6205049977679286722/6205049977679286722_signature_31.png</t>
  </si>
  <si>
    <t xml:space="preserve">ASSAY: Xpert MTB/RIF Ultra, COUNT: 430
</t>
  </si>
  <si>
    <t>Module A1/8629088 temperature-related errors, HW Failed in IQR</t>
  </si>
  <si>
    <t>https://www.jotform.com/uploads/macarewecare/222927978372067/6205046196698564727/6205046196698564727_signature_28.png</t>
  </si>
  <si>
    <t>Dianne Mi-ot</t>
  </si>
  <si>
    <t>https://www.jotform.com/uploads/macarewecare/222927978372067/6205046196698564727/6205046196698564727_signature_31.png</t>
  </si>
  <si>
    <t>San Fernando City, Pampanga</t>
  </si>
  <si>
    <t>mt.carmel_laboratory@yahoo.com</t>
  </si>
  <si>
    <t>Safety System Error</t>
  </si>
  <si>
    <t>Preventive maintenance 
Troubleshooting
Reset safety board
Adjust value of Line sensor, SM and DPM</t>
  </si>
  <si>
    <t>Performed preventive maintenance 
Checked parameters
Cleaned and checked rollers
Performed functionality test</t>
  </si>
  <si>
    <t>Unit is operational, for monitoring</t>
  </si>
  <si>
    <t>https://www.jotform.com/uploads/macarewecare/222927978372067/6205046172324036978/6205046172324036978_signature_28.png</t>
  </si>
  <si>
    <t>Patricia Puyat</t>
  </si>
  <si>
    <t>https://www.jotform.com/uploads/macarewecare/222927978372067/6205046172324036978/6205046172324036978_signature_31.png</t>
  </si>
  <si>
    <t>danemilbodino23@gmail.comq</t>
  </si>
  <si>
    <t xml:space="preserve">ASSAY: Xpert MTB/RIF Ultra, COUNT: 1901
</t>
  </si>
  <si>
    <t>UPS defective 
CPU restarts</t>
  </si>
  <si>
    <t>UPS replacement performed
Cleaned RAM, removed cobwebs inside CPU
Cleaned cartridge bays, plunger rod,</t>
  </si>
  <si>
    <t>Replaced UPS 
Performed Preventive Maintenance 
Troubleshoot CPU</t>
  </si>
  <si>
    <t>Unit is operational 
CPU under observation if problem persists</t>
  </si>
  <si>
    <t>https://www.jotform.com/uploads/macarewecare/222927978372067/6205030208307112434/6205030208307112434_signature_28.png</t>
  </si>
  <si>
    <t>https://www.jotform.com/uploads/macarewecare/222927978372067/6205030208307112434/6205030208307112434_signature_31.png</t>
  </si>
  <si>
    <t>Unit for maintenance
Module B1 for troubleshooting</t>
  </si>
  <si>
    <t>Performed blank cartridge test on B1</t>
  </si>
  <si>
    <t>Unit is operational
Data to be reported</t>
  </si>
  <si>
    <t>MTB/Rif Ultra Cartridge</t>
  </si>
  <si>
    <t>https://www.jotform.com/uploads/macarewecare/222927978372067/6205028830412587879/6205028830412587879_signature_28.png</t>
  </si>
  <si>
    <t>https://www.jotform.com/uploads/macarewecare/222927978372067/6205028830412587879/6205028830412587879_signature_31.png</t>
  </si>
  <si>
    <t>Poblacion, Rapu-Rapu</t>
  </si>
  <si>
    <t xml:space="preserve">ASSAY: Xpert MTB/RIF Ultra, COUNT: 561
</t>
  </si>
  <si>
    <t>Monitor request for replacement (defective)</t>
  </si>
  <si>
    <t>Replaced monitor
Cleaned cartridge bays, plunger rod, icore
Generate Data</t>
  </si>
  <si>
    <t>Performed replacement of Monitor
Performed Preventive Maintenance</t>
  </si>
  <si>
    <t>https://www.jotform.com/uploads/macarewecare/222927978372067/6205026718306155572/6205026718306155572_signature_28.png</t>
  </si>
  <si>
    <t>https://www.jotform.com/uploads/macarewecare/222927978372067/6205026718306155572/6205026718306155572_signature_31.png</t>
  </si>
  <si>
    <t>nancymoscoso18@gmail.com</t>
  </si>
  <si>
    <t>nanzmoscoso18@gmail.com</t>
  </si>
  <si>
    <t xml:space="preserve">ASSAY: Xpert MTB/RIF Ultra, COUNT: 877
ASSAY: Xpert HIV-1 Viral Load, COUNT: 6
</t>
  </si>
  <si>
    <t>Perform Genexpert Cleaning and maintenance 
Module Cleaning 
Plunger rod and Optics Cleaning 
Fan filter Cleaning 
Checking of errors/problem 
Data collection</t>
  </si>
  <si>
    <t>https://www.jotform.com/uploads/macarewecare/222927978372067/6204428626862253627/6204428626862253627_signature_28.png</t>
  </si>
  <si>
    <t>Nancy A. Moscoso</t>
  </si>
  <si>
    <t>https://www.jotform.com/uploads/macarewecare/222927978372067/6204428626862253627/6204428626862253627_signature_31.png</t>
  </si>
  <si>
    <t xml:space="preserve">ASSAY: Xpert MTB/RIF Ultra, COUNT: 614
</t>
  </si>
  <si>
    <t>Request for Gx Fan filter</t>
  </si>
  <si>
    <t>Genexpert Cleaning and maintenance 
Module Cleaning 
Plunger rod and Optics Cleaning 
Fan filter Cleaning 
Data collection</t>
  </si>
  <si>
    <t>https://www.jotform.com/uploads/macarewecare/222927978372067/6204428626863932382/6204428626863932382_signature_28.png</t>
  </si>
  <si>
    <t>https://www.jotform.com/uploads/macarewecare/222927978372067/6204428626863932382/6204428626863932382_signature_31.png</t>
  </si>
  <si>
    <t>Governor Generoso Rural Health Unit</t>
  </si>
  <si>
    <t xml:space="preserve">ASSAY: Xpert MTB/RIF Ultra, COUNT: 465
</t>
  </si>
  <si>
    <t>https://www.jotform.com/uploads/macarewecare/222927978372067/6204216575411545606/6204216575411545606_signature_28.png</t>
  </si>
  <si>
    <t>https://www.jotform.com/uploads/macarewecare/222927978372067/6204216575411545606/6204216575411545606_signature_31.png</t>
  </si>
  <si>
    <t xml:space="preserve">ASSAY: Xpert MTB/RIF Ultra, COUNT: 431
</t>
  </si>
  <si>
    <t>To run XPC on module 2 and replace fan filter</t>
  </si>
  <si>
    <t>https://www.jotform.com/uploads/macarewecare/222927978372067/6204207338504684410/6204207338504684410_signature_28.png</t>
  </si>
  <si>
    <t>https://www.jotform.com/uploads/macarewecare/222927978372067/6204207338504684410/6204207338504684410_signature_31.png</t>
  </si>
  <si>
    <t>mclmagsaysay@gmail.com</t>
  </si>
  <si>
    <t>https://www.jotform.com/uploads/macarewecare/222927978372067/6204173661262352554/6204173661262352554_signature_28.png</t>
  </si>
  <si>
    <t>May Anisa Jedd Gerona</t>
  </si>
  <si>
    <t>https://www.jotform.com/uploads/macarewecare/222927978372067/6204173661262352554/6204173661262352554_signature_31.png</t>
  </si>
  <si>
    <t xml:space="preserve">ASSAY: Xpert BCR-ABL Ultra, COUNT: 2
ASSAY: Xpert CT/NG, COUNT: 4
ASSAY: Xpert HBV VL, COUNT: 8
ASSAY: Xpert HPV, COUNT: 4
ASSAY: Xpert MTB/RIF Ultra, COUNT: 84
ASSAY: Xpert HCV VL, COUNT: 1
</t>
  </si>
  <si>
    <t>Barcode Scanning Problem</t>
  </si>
  <si>
    <t>Reprogram Barcode Configuration.
Upgrade Software from 6.1-6.4.
Generate Reports.
Performed Self-test.</t>
  </si>
  <si>
    <t>GX is Operational.</t>
  </si>
  <si>
    <t>https://www.jotform.com/uploads/macarewecare/222927978372067/6204113603618177013/6204113603618177013_signature_28.png</t>
  </si>
  <si>
    <t>https://www.jotform.com/uploads/macarewecare/222927978372067/6204113603618177013/6204113603618177013_signature_31.png</t>
  </si>
  <si>
    <t xml:space="preserve">ASSAY: Xpert CT/NG, COUNT: 2
ASSAY: Xpert HBV VL, COUNT: 19
ASSAY: Xpert HPV, COUNT: 1
ASSAY: Xpert MTB/RIF Ultra, COUNT: 286
ASSAY: Xpert HIV-1 Viral Load, COUNT: 14
</t>
  </si>
  <si>
    <t>Performed maintenance 
Cleaned:
-cartridge bay 
-plunger rod 
-icore 
-filter
Run XpertCheck
Generated reports</t>
  </si>
  <si>
    <t>Unit is operational. Module B1 passed, Module B2 service required. Module B3 and B4 for retry, insufficient XpertCheck cartridge.</t>
  </si>
  <si>
    <t>https://www.jotform.com/uploads/macarewecare/222927978372067/6204099533615379893/6204099533615379893_signature_28.png</t>
  </si>
  <si>
    <t>https://www.jotform.com/uploads/macarewecare/222927978372067/6204099533615379893/6204099533615379893_signature_31.png</t>
  </si>
  <si>
    <t>molecular.laboratory@eamc.doh.gov.ph</t>
  </si>
  <si>
    <t xml:space="preserve">ASSAY: Xpert CT/NG, COUNT: 825
ASSAY: Xpert HPV, COUNT: 74
ASSAY: Xpert SARS-CoV-2, COUNT: 606
ASSAY: Xpress SARS-CoV-2_Flu_RSV plus, COUNT: 281
</t>
  </si>
  <si>
    <t>https://www.jotform.com/uploads/macarewecare/222927978372067/6203982603612079651/6203982603612079651_signature_28.png</t>
  </si>
  <si>
    <t>East Avenue Medical center- Molecular</t>
  </si>
  <si>
    <t>https://www.jotform.com/uploads/macarewecare/222927978372067/6203982603612079651/6203982603612079651_signature_31.png</t>
  </si>
  <si>
    <t>TB dots</t>
  </si>
  <si>
    <t>nelsonmiranda791@yahoo.com</t>
  </si>
  <si>
    <t xml:space="preserve">ASSAY: Xpert MTB/RIF Ultra, COUNT: 3096
</t>
  </si>
  <si>
    <t>GX4D(10C)</t>
  </si>
  <si>
    <t>Due for maintenance
B4 disabled due to error 5007</t>
  </si>
  <si>
    <t>Due for xpertcheck last xpertcheck 3/22/24</t>
  </si>
  <si>
    <t>For quotation of xpertcheck</t>
  </si>
  <si>
    <t>https://www.jotform.com/uploads/macarewecare/222927978372067/6203982093617031764/6203982093617031764_signature_28.png</t>
  </si>
  <si>
    <t>Nelson miranda</t>
  </si>
  <si>
    <t>https://www.jotform.com/uploads/macarewecare/222927978372067/6203982093617031764/6203982093617031764_signature_31.png</t>
  </si>
  <si>
    <t>Unit for preventive maintenance.
For checking of UPS.</t>
  </si>
  <si>
    <t>Performed Preventive Maintenance.
Checked and cleaned rotor pumps.
Verified calibration parameters.
Performed simulation running.
Checked UPS backing system.</t>
  </si>
  <si>
    <t>Unit is operational. Rotor pumps roller are okay. UPS AT1000 (sn:AT1000210708ST0032) not backing up after disconnecting to supply. UPS for replacement.</t>
  </si>
  <si>
    <t>https://www.jotform.com/uploads/macarewecare/222927978372067/6203964546763898891/6203964546763898891_signature_28.png</t>
  </si>
  <si>
    <t>Dolla Banares</t>
  </si>
  <si>
    <t>https://www.jotform.com/uploads/macarewecare/222927978372067/6203964546763898891/6203964546763898891_signature_31.png</t>
  </si>
  <si>
    <t>Unit for preventive maintenance.
For checking of UPS.
For checking of rotor pumps.</t>
  </si>
  <si>
    <t>Unit is operational. Rotor pumps roller are for replacement. UPS AT1000 (sn:AT1000190402ST0376) not backing up after disconnecting to supply. UPS for replacement.</t>
  </si>
  <si>
    <t>https://www.jotform.com/uploads/macarewecare/222927978372067/6203964186762095283/6203964186762095283_signature_28.png</t>
  </si>
  <si>
    <t>https://www.jotform.com/uploads/macarewecare/222927978372067/6203964186762095283/6203964186762095283_signature_31.png</t>
  </si>
  <si>
    <t>Unit is operational. Rotor pumps roller are okay. UPS AT1000 (sn:AT1000190402ST0376) not backing up after disconnecting to supply. UPS for replacement.</t>
  </si>
  <si>
    <t>https://www.jotform.com/uploads/macarewecare/222927978372067/6203963796763636295/6203963796763636295_signature_28.png</t>
  </si>
  <si>
    <t>https://www.jotform.com/uploads/macarewecare/222927978372067/6203963796763636295/6203963796763636295_signature_31.png</t>
  </si>
  <si>
    <t>https://www.jotform.com/uploads/macarewecare/222927978372067/6203963796765697582/6203963796765697582_signature_28.png</t>
  </si>
  <si>
    <t>https://www.jotform.com/uploads/macarewecare/222927978372067/6203963796765697582/6203963796765697582_signature_31.png</t>
  </si>
  <si>
    <t>Cebu Doctor's University Hospital</t>
  </si>
  <si>
    <t>Due for monthly preventive maintenance.</t>
  </si>
  <si>
    <t>Save installation qualification report
Save Assay Statistics report
Save system log file</t>
  </si>
  <si>
    <t>Clean filter
Clean plunger rod maintenance 
Clean cable wires for module's</t>
  </si>
  <si>
    <t>Module B1, B2 ok to use
Module B3, B4 not ok to use</t>
  </si>
  <si>
    <t>https://www.jotform.com/uploads/macarewecare/222927978372067/6201614765886290478/6201614765886290478_signature_28.png</t>
  </si>
  <si>
    <t>Gillian Celis</t>
  </si>
  <si>
    <t>https://www.jotform.com/uploads/macarewecare/222927978372067/6201614765886290478/6201614765886290478_signature_31.png</t>
  </si>
  <si>
    <t xml:space="preserve">ASSAY: Xpert MTB/RIF Ultra, COUNT: 1108
</t>
  </si>
  <si>
    <t>Performed maintenance 
Cleaned:
-cartridge bay 
-plunger rod
-icore 
-filter
Run XpertCheck
Generated reports</t>
  </si>
  <si>
    <t>https://www.jotform.com/uploads/macarewecare/222927978372067/6201606702449064412/6201606702449064412_signature_28.png</t>
  </si>
  <si>
    <t>https://www.jotform.com/uploads/macarewecare/222927978372067/6201606702449064412/6201606702449064412_signature_31.png</t>
  </si>
  <si>
    <t>Evangelista Ave., Santolan, Pasig City</t>
  </si>
  <si>
    <t xml:space="preserve">ASSAY: Xpert MTB/RIF Ultra, COUNT: 1420
</t>
  </si>
  <si>
    <t>Performed maintenance 
Cleaned:
-cartridge bay
-plunger rod 
-icore 
-filter
Run XpertCheck 
Generated reports</t>
  </si>
  <si>
    <t>https://www.jotform.com/uploads/macarewecare/222927978372067/6201606692444101599/6201606692444101599_signature_28.png</t>
  </si>
  <si>
    <t>https://www.jotform.com/uploads/macarewecare/222927978372067/6201606692444101599/6201606692444101599_signature_31.png</t>
  </si>
  <si>
    <t>Performed maintenance 
Cleaned:
-cartridge bay 
-plunger rod 
-icore 
-filter 
Run XpertCheck 
Generated reports</t>
  </si>
  <si>
    <t>https://www.jotform.com/uploads/macarewecare/222927978372067/6201606702443525269/6201606702443525269_signature_28.png</t>
  </si>
  <si>
    <t>https://www.jotform.com/uploads/macarewecare/222927978372067/6201606702443525269/6201606702443525269_signature_31.png</t>
  </si>
  <si>
    <t>Roxas, Solano, Nueva Vizcaya</t>
  </si>
  <si>
    <t>https://www.jotform.com/uploads/macarewecare/222927978372067/6201570493101834691/6201570493101834691_signature_28.png</t>
  </si>
  <si>
    <t>May Vanessa Dela Cruz</t>
  </si>
  <si>
    <t>https://www.jotform.com/uploads/macarewecare/222927978372067/6201570493101834691/6201570493101834691_signature_31.png</t>
  </si>
  <si>
    <t>Teresita L. Jalandoni Provincial Hospital</t>
  </si>
  <si>
    <t>tljpmollab_02@gmail.com</t>
  </si>
  <si>
    <t xml:space="preserve">ASSAY: Xpert MTB/RIF Ultra, COUNT: 2537
ASSAY: Xpert MTB-XDR, COUNT: 164
</t>
  </si>
  <si>
    <t>E2120 in module A1 and A2
E1002 in module A2</t>
  </si>
  <si>
    <t>Preventive maintenance - cleaned optics, plunger rods, module bays, filter; archived tests.</t>
  </si>
  <si>
    <t>-Modules A1 and A2 passed the Xpertcheck;
-E5015 encountered in Module A1, for evaluation by Application Specialist;
-E1002 and E4009 in module A2, for replacement by Cepheid.
- Modules A3 and A4 functional.</t>
  </si>
  <si>
    <t>https://www.jotform.com/uploads/macarewecare/222927978372067/6201570296298915873/6201570296298915873_signature_28.png</t>
  </si>
  <si>
    <t>https://www.jotform.com/uploads/macarewecare/222927978372067/6201570296298915873/6201570296298915873_signature_31.png</t>
  </si>
  <si>
    <t xml:space="preserve">ASSAY: Xpert MTB/RIF Ultra, COUNT: 1438
</t>
  </si>
  <si>
    <t>UPS Battery Mode not working
For Preventive Maintenance</t>
  </si>
  <si>
    <t>Clean Surface Area, Cartridge Bay, Plunger Rod, Fan Filters and Icore Lenses
Generate IQR, Assay Stat and System Log
Replace the defective UPS Battery with new Battery</t>
  </si>
  <si>
    <t>Perform Preventive Maintenance and UPS Battery Replacement</t>
  </si>
  <si>
    <t>All Modules are operational
UPS Battery successfully replaced</t>
  </si>
  <si>
    <t>High temp in GeneXpert, enduser is advised to achieve optimal room temperature before running test to avoid temperature related errors</t>
  </si>
  <si>
    <t>https://www.jotform.com/uploads/macarewecare/222927978372067/6201550379773697635/6201550379773697635_signature_28.png</t>
  </si>
  <si>
    <t>https://www.jotform.com/uploads/macarewecare/222927978372067/6201550379773697635/6201550379773697635_signature_31.png</t>
  </si>
  <si>
    <t>Installation of HIV Viral Load Assay and Preventive Maintenance</t>
  </si>
  <si>
    <t>https://www.jotform.com/uploads/macarewecare/222927978372067/6201519167324314756/6201519167324314756_signature_28.png</t>
  </si>
  <si>
    <t>Joechita L. Doysabas</t>
  </si>
  <si>
    <t>https://www.jotform.com/uploads/macarewecare/222927978372067/6201519167324314756/6201519167324314756_signature_31.png</t>
  </si>
  <si>
    <t>https://www.jotform.com/uploads/macarewecare/222927978372067/6201516987324719312/6201516987324719312_signature_28.png</t>
  </si>
  <si>
    <t>https://www.jotform.com/uploads/macarewecare/222927978372067/6201516987324719312/6201516987324719312_signature_31.png</t>
  </si>
  <si>
    <t>Unit for preventive maintenance.
For checking of rubber roller.</t>
  </si>
  <si>
    <t>Unit is operational. For replacement of rubber roller.</t>
  </si>
  <si>
    <t>https://www.jotform.com/uploads/macarewecare/222927978372067/6201430164876303755/6201430164876303755_signature_28.png</t>
  </si>
  <si>
    <t>Jacqueline J. Zatzoso</t>
  </si>
  <si>
    <t>https://www.jotform.com/uploads/macarewecare/222927978372067/6201430164876303755/6201430164876303755_signature_31.png</t>
  </si>
  <si>
    <t xml:space="preserve">ASSAY: Xpert MTB/RIF Ultra, COUNT: 1260
</t>
  </si>
  <si>
    <t>GXIV-10c</t>
  </si>
  <si>
    <t>https://www.jotform.com/uploads/macarewecare/222927978372067/6200786685163940520/6200786685163940520_signature_28.png</t>
  </si>
  <si>
    <t>https://www.jotform.com/uploads/macarewecare/222927978372067/6200786685163940520/6200786685163940520_signature_31.png</t>
  </si>
  <si>
    <t>https://www.jotform.com/uploads/macarewecare/222927978372067/6200732237766323406/6200732237766323406_signature_28.png</t>
  </si>
  <si>
    <t>https://www.jotform.com/uploads/macarewecare/222927978372067/6200732237766323406/6200732237766323406_signature_31.png</t>
  </si>
  <si>
    <t>Laborstory</t>
  </si>
  <si>
    <t>https://www.jotform.com/uploads/macarewecare/222927978372067/6200728537765886509/6200728537765886509_signature_28.png</t>
  </si>
  <si>
    <t>https://www.jotform.com/uploads/macarewecare/222927978372067/6200728537765886509/6200728537765886509_signature_31.png</t>
  </si>
  <si>
    <t xml:space="preserve">ASSAY: Xpert MTB/RIF Ultra, COUNT: 2073
</t>
  </si>
  <si>
    <t>-Perorm preventive maintenance; fan filter, plunger rod, optic slot, cartridge bay</t>
  </si>
  <si>
    <t>Module A3 waiting for replacement, other modules are functional.</t>
  </si>
  <si>
    <t>https://www.jotform.com/uploads/macarewecare/222927978372067/6200726999238889268/6200726999238889268_signature_28.png</t>
  </si>
  <si>
    <t>https://www.jotform.com/uploads/macarewecare/222927978372067/6200726999238889268/6200726999238889268_signature_31.png</t>
  </si>
  <si>
    <t xml:space="preserve">ASSAY: Xpert MTB/RIF Ultra, COUNT: 1171
</t>
  </si>
  <si>
    <t>Module B4  valve positioning error (1018)</t>
  </si>
  <si>
    <t>1 Xpertcheck cartridge</t>
  </si>
  <si>
    <t>https://www.jotform.com/uploads/macarewecare/222927978372067/6200708174538323444/6200708174538323444_signature_28.png</t>
  </si>
  <si>
    <t>https://www.jotform.com/uploads/macarewecare/222927978372067/6200708174538323444/6200708174538323444_signature_31.png</t>
  </si>
  <si>
    <t>Bolinao, Santo Tomas Isabela</t>
  </si>
  <si>
    <t>gloangelier@gmail.com</t>
  </si>
  <si>
    <t>Performed Xpertcheck)
(B1 = Passed)
(B2 = Passed)
(B3 = Passed)
(B4 = Service Required)</t>
  </si>
  <si>
    <t>https://www.jotform.com/uploads/macarewecare/222927978372067/6200677808379327238/6200677808379327238_signature_28.png</t>
  </si>
  <si>
    <t>Elyssa Joy Tagulao</t>
  </si>
  <si>
    <t>https://www.jotform.com/uploads/macarewecare/222927978372067/6200677808379327238/6200677808379327238_signature_31.png</t>
  </si>
  <si>
    <t>Keyboard Problem
UPS no power
Barcode scanner not working</t>
  </si>
  <si>
    <t>Replaced Keyboard
Replaced UPS
Replaced Barcode Scanner</t>
  </si>
  <si>
    <t>Keyboard
UPS
Barcode Scanner</t>
  </si>
  <si>
    <t>https://www.jotform.com/uploads/macarewecare/222927978372067/6199987293224289219/6199987293224289219_signature_28.png</t>
  </si>
  <si>
    <t>Donna May Cañega</t>
  </si>
  <si>
    <t>https://www.jotform.com/uploads/macarewecare/222927978372067/6199987293224289219/6199987293224289219_signature_31.png</t>
  </si>
  <si>
    <t>Monthly Preventive Maintenance.</t>
  </si>
  <si>
    <t>Save System Log file
Save Installation qualification reports
Save Assay Statistic teports</t>
  </si>
  <si>
    <t>Perform preventive maintenance for all modules.</t>
  </si>
  <si>
    <t>https://www.jotform.com/uploads/macarewecare/222927978372067/6199037184617969128/6199037184617969128_signature_28.png</t>
  </si>
  <si>
    <t>Mildred E. Climaco</t>
  </si>
  <si>
    <t>https://www.jotform.com/uploads/macarewecare/222927978372067/6199037184617969128/6199037184617969128_signature_31.png</t>
  </si>
  <si>
    <t xml:space="preserve">ASSAY: Xpert BCR-ABL Ultra, COUNT: 20
ASSAY: Xpert CT/NG, COUNT: 13
ASSAY: Xpert HBV VL, COUNT: 10
ASSAY: Xpert HPV, COUNT: 11
ASSAY: Xpert MTB/RIF Ultra, COUNT: 82
ASSAY: Others, COUNT: 2
ASSAY: Xpert HCV VL, COUNT: 10
ASSAY: Xpert HIV-1 Viral Load, COUNT: 54
</t>
  </si>
  <si>
    <t>GX16D(10C)</t>
  </si>
  <si>
    <t>As per end user they encounter intermittent error in c2 4014,2034 optical signal detector, C4 2034,4014 optical signal detector
A2 loose door ejector</t>
  </si>
  <si>
    <t>Gathered reports
Cleaned ICore
Fixed door ejector of A2 module</t>
  </si>
  <si>
    <t>C2 and C4 for reporting</t>
  </si>
  <si>
    <t>https://www.jotform.com/uploads/macarewecare/222927978372067/6198921413613446824/6198921413613446824_signature_28.png</t>
  </si>
  <si>
    <t>https://www.jotform.com/uploads/macarewecare/222927978372067/6198921413613446824/6198921413613446824_signature_31.png</t>
  </si>
  <si>
    <t>Chong  Hua Hospital</t>
  </si>
  <si>
    <t>Fuente Osmena Capitol Site</t>
  </si>
  <si>
    <t>zandro_tisoy@honghua.com.ph</t>
  </si>
  <si>
    <t>Defective CPU and Pneumatic Assembly</t>
  </si>
  <si>
    <t>1.Replacement of New cpu board and pneumatic assembly
2. Calibrate mcs+ bowl optics, line sensor, weigher, dpm and spm pressure monitor</t>
  </si>
  <si>
    <t>https://www.jotform.com/uploads/macarewecare/222927978372067/6198917825329944059/6198917825329944059_signature_28.png</t>
  </si>
  <si>
    <t>Chong Hua Hospital Fuente</t>
  </si>
  <si>
    <t>https://www.jotform.com/uploads/macarewecare/222927978372067/6198917825329944059/6198917825329944059_signature_31.png</t>
  </si>
  <si>
    <t xml:space="preserve">ASSAY: Xpert MTB/RIF Ultra, COUNT: 6875
</t>
  </si>
  <si>
    <t>https://www.jotform.com/uploads/macarewecare/222927978372067/6198856169749725314/6198856169749725314_signature_28.png</t>
  </si>
  <si>
    <t>https://www.jotform.com/uploads/macarewecare/222927978372067/6198856169749725314/6198856169749725314_signature_31.png</t>
  </si>
  <si>
    <t xml:space="preserve">ASSAY: Xpert MTB/RIF Ultra, COUNT: 1295
</t>
  </si>
  <si>
    <t>Module 1 - H/W failed</t>
  </si>
  <si>
    <t>Perform module 1 troubleshooting 
Genexpert Cleaning:
Plunger rod and Optics Cleaning 
Module Cleaning 
Filter Cleaning 
Errors/problem reporting 
Data collection</t>
  </si>
  <si>
    <t>Perform Genexpert machine Preventive maintenance 
Perform Genexpert module troubleshooting</t>
  </si>
  <si>
    <t>3 functional modules</t>
  </si>
  <si>
    <t>Module 1 requesting for module replacement due to multiple temperature errors.</t>
  </si>
  <si>
    <t>https://www.jotform.com/uploads/macarewecare/222927978372067/6198394736869845842/6198394736869845842_signature_28.png</t>
  </si>
  <si>
    <t>Ma . Riza R. Dionela</t>
  </si>
  <si>
    <t>https://www.jotform.com/uploads/macarewecare/222927978372067/6198394736869845842/6198394736869845842_signature_31.png</t>
  </si>
  <si>
    <t>Binalbagan Municipal Health Office</t>
  </si>
  <si>
    <t>Binalbagan, Negros Occidental</t>
  </si>
  <si>
    <t>anne_galilea@yahoo.com</t>
  </si>
  <si>
    <t>CPU intermittent power problem;
System date problem</t>
  </si>
  <si>
    <t>Preventive maintenance - cleaned optics, module bays, filter; archived tests.</t>
  </si>
  <si>
    <t>CPU operational;
4 modules functional</t>
  </si>
  <si>
    <t>https://www.jotform.com/uploads/macarewecare/222927978372067/6198195323525306107/6198195323525306107_signature_28.png</t>
  </si>
  <si>
    <t>Xerxanne Galilea</t>
  </si>
  <si>
    <t>https://www.jotform.com/uploads/macarewecare/222927978372067/6198195323525306107/6198195323525306107_signature_31.png</t>
  </si>
  <si>
    <t xml:space="preserve">ASSAY: Xpert BCR-ABL Ultra, COUNT: 45
ASSAY: Xpert MTB/RIF Ultra, COUNT: 1536
ASSAY: Xpert SARS-CoV-2, COUNT: 68
ASSAY: Xpress SARS-CoV-2_Flu_RSV plus, COUNT: 1624
</t>
  </si>
  <si>
    <t>Due for xpertcheck and maintenance.
A2 s/n 210068930,B3 s/n 210067748 reported already for replacement due to error 5007</t>
  </si>
  <si>
    <t>Failed in xpert check A1 s/n 887323,A3 s/n 210077159,A4 s/n 210069006,B1 s/n 210002752,B2 s/n 210069275,B4 s/n 210062093,C1 s/n 210069271
Passed in xpertcheck C3 s/n 898257,C4 s/n 210067266
For replacement of module A1,A2,A3,A4,B1,B2,B3,B4,C1</t>
  </si>
  <si>
    <t>Retry for xpertcheck due to lack of kits D1 614214,D2 210078182,D3 210025172,D4210069227,C2 210069270</t>
  </si>
  <si>
    <t>https://www.jotform.com/uploads/macarewecare/222927978372067/6197969003611394484/6197969003611394484_signature_28.png</t>
  </si>
  <si>
    <t>Mark Magsino</t>
  </si>
  <si>
    <t>https://www.jotform.com/uploads/macarewecare/222927978372067/6197969003611394484/6197969003611394484_signature_31.png</t>
  </si>
  <si>
    <t>Valencia St. Puerto Princesa Palawan</t>
  </si>
  <si>
    <t xml:space="preserve">ASSAY: Xpert MTB/RIF Ultra, COUNT: 2251
</t>
  </si>
  <si>
    <t>For maintenance 
Cleaned:
-cartridge bay 
-plunger rod 
-icore 
-filter
Run XpertCheck 
Generated reports</t>
  </si>
  <si>
    <t>https://www.jotform.com/uploads/macarewecare/222927978372067/6197930623612514256/6197930623612514256_signature_28.png</t>
  </si>
  <si>
    <t>https://www.jotform.com/uploads/macarewecare/222927978372067/6197930623612514256/6197930623612514256_signature_31.png</t>
  </si>
  <si>
    <t>Valencia St. Puerto Princesa, Palawan</t>
  </si>
  <si>
    <t xml:space="preserve">ASSAY: Xpert MTB/RIF Ultra, COUNT: 196
</t>
  </si>
  <si>
    <t>For maintenance 
Cleaned:
-cartridge bay 
-plunger rod 
-icore 
-filter
Generated reports</t>
  </si>
  <si>
    <t>https://www.jotform.com/uploads/macarewecare/222927978372067/6197930623614800246/6197930623614800246_signature_28.png</t>
  </si>
  <si>
    <t>https://www.jotform.com/uploads/macarewecare/222927978372067/6197930623614800246/6197930623614800246_signature_31.png</t>
  </si>
  <si>
    <t>San Vicente Municipal Health Office</t>
  </si>
  <si>
    <t>San Vicente, Palawan</t>
  </si>
  <si>
    <t>santosdollethorecel69@gmail.com</t>
  </si>
  <si>
    <t xml:space="preserve">ASSAY: Xpert MTB/RIF Ultra, COUNT: 257
</t>
  </si>
  <si>
    <t>GX-IV-L-10C</t>
  </si>
  <si>
    <t>https://www.jotform.com/uploads/macarewecare/222927978372067/6197930623618451142/6197930623618451142_signature_28.png</t>
  </si>
  <si>
    <t>Dollethorecel Santos</t>
  </si>
  <si>
    <t>https://www.jotform.com/uploads/macarewecare/222927978372067/6197930623618451142/6197930623618451142_signature_31.png</t>
  </si>
  <si>
    <t>15HO29G</t>
  </si>
  <si>
    <t>CRC bios failed,defective battery</t>
  </si>
  <si>
    <t>Delivered and installed battery
Performed calibration.
Swap cuff compressor from mcs s/n 15H028G to 15H029G
Checked program parameters
Checked and adjust line sensor value
Checked rollers,dpm,spm,centrifuge,weigher
Performed functionality test
Performed simulation running</t>
  </si>
  <si>
    <t>Ltc-7PN Keeper 3.5v 750mAH battery</t>
  </si>
  <si>
    <t>https://www.jotform.com/uploads/macarewecare/222927978372067/6195802280823435745/6195802280823435745_signature_28.png</t>
  </si>
  <si>
    <t>https://www.jotform.com/uploads/macarewecare/222927978372067/6195802280823435745/6195802280823435745_signature_31.png</t>
  </si>
  <si>
    <t>Tuburan, basilan</t>
  </si>
  <si>
    <t>Genexpert application unable to open.</t>
  </si>
  <si>
    <t>Replaced hard drive of the system unit, disabled automatic updates to evade same problem occurance. Preventive Maintenance.</t>
  </si>
  <si>
    <t>Replaced hard drive of the system unit, disabled automatic updates to evade same problem occurance. Preventive Maintenance. Set up new account for the end user.</t>
  </si>
  <si>
    <t>https://www.jotform.com/uploads/macarewecare/222927978372067/6195449571671875465/6195449571671875465_signature_28.png</t>
  </si>
  <si>
    <t>Raiyana Jakilan</t>
  </si>
  <si>
    <t>https://www.jotform.com/uploads/macarewecare/222927978372067/6195449571671875465/6195449571671875465_signature_31.png</t>
  </si>
  <si>
    <t>JP. Laurel Bajada, Davao City</t>
  </si>
  <si>
    <t xml:space="preserve">ASSAY: Xpert CT/NG, COUNT: 3
ASSAY: Xpert HBV VL, COUNT: 6
ASSAY: Xpert HPV, COUNT: 1
ASSAY: Xpert MTB/RIF Ultra, COUNT: 1277
ASSAY: Xpert SARS-CoV-2, COUNT: 6
ASSAY: Xpert HCV VL, COUNT: 2
ASSAY: Xpert HIV-1 Viral Load, COUNT: 1108
</t>
  </si>
  <si>
    <t>https://www.jotform.com/uploads/macarewecare/222927978372067/6195388984526784909/6195388984526784909_signature_28.png</t>
  </si>
  <si>
    <t>Flordeliza Go,. RMT</t>
  </si>
  <si>
    <t>https://www.jotform.com/uploads/macarewecare/222927978372067/6195388984526784909/6195388984526784909_signature_31.png</t>
  </si>
  <si>
    <t>JP Laurel Avenue Bajada, Davao City</t>
  </si>
  <si>
    <t xml:space="preserve">ASSAY: Xpert SARS-CoV-2, COUNT: 53
ASSAY: Xpert MTB/RIF Ultra, COUNT: 33
ASSAY: Xpert HIV-1 Viral Load, COUNT: 320
</t>
  </si>
  <si>
    <t>https://www.jotform.com/uploads/macarewecare/222927978372067/6195388654525311425/6195388654525311425_signature_28.png</t>
  </si>
  <si>
    <t>https://www.jotform.com/uploads/macarewecare/222927978372067/6195388654525311425/6195388654525311425_signature_31.png</t>
  </si>
  <si>
    <t>Module A1 and A2 found temperature errors and failed in calibration last year.</t>
  </si>
  <si>
    <t>Installation of HIV-1 Viral Load Assay Test and Preventive Maintenance</t>
  </si>
  <si>
    <t>2 modules running, 2 module for replacement
Computer set and peripherals are functional.</t>
  </si>
  <si>
    <t>Advised to request for module replacement of A1 and A2 to the Main Office.</t>
  </si>
  <si>
    <t>https://www.jotform.com/uploads/macarewecare/222927978372067/6194699059719594077/6194699059719594077_signature_28.png</t>
  </si>
  <si>
    <t>https://www.jotform.com/uploads/macarewecare/222927978372067/6194699059719594077/6194699059719594077_signature_31.png</t>
  </si>
  <si>
    <t>PRC-Olongapo City Chapter</t>
  </si>
  <si>
    <t>Olongapo City</t>
  </si>
  <si>
    <t>jona.liza@redcross.org.ph</t>
  </si>
  <si>
    <t>Centrifuge unable to close and lock/unlock.</t>
  </si>
  <si>
    <t>Performed centrifuge troubleshooting and repair.</t>
  </si>
  <si>
    <t>Checked and clean the centriuge locking mechanism.
Adjust centrifuge cover height.
Performed functionalith.
Observed performance during actual UPP procedure.</t>
  </si>
  <si>
    <t>https://www.jotform.com/uploads/macarewecare/222927978372067/6194665780026481252/6194665780026481252_signature_28.png</t>
  </si>
  <si>
    <t>Vince Aurey Leal</t>
  </si>
  <si>
    <t>https://www.jotform.com/uploads/macarewecare/222927978372067/6194665780026481252/6194665780026481252_signature_31.png</t>
  </si>
  <si>
    <t xml:space="preserve">ASSAY: Xpert MTB/RIF Ultra, COUNT: 1327
</t>
  </si>
  <si>
    <t>6C GCIV-4D</t>
  </si>
  <si>
    <t>Stuck cartridge module B4</t>
  </si>
  <si>
    <t>Module B4 for retry XpertCheck. Machine is functional.</t>
  </si>
  <si>
    <t>https://www.jotform.com/uploads/macarewecare/222927978372067/6194577366867441958/6194577366867441958_signature_28.png</t>
  </si>
  <si>
    <t>https://www.jotform.com/uploads/macarewecare/222927978372067/6194577366867441958/6194577366867441958_signature_31.png</t>
  </si>
  <si>
    <t>Camus St. Corner E. Quirino, Davao City</t>
  </si>
  <si>
    <t xml:space="preserve">ASSAY: Xpert MTB/RIF Ultra, COUNT: 782
</t>
  </si>
  <si>
    <t>For Preventive Maintenance and New Printer Installation</t>
  </si>
  <si>
    <t>Clean Surface Area, Cartridge Bay, Plunger Rod, Fan Filters and Icore Lenses
Generate IQR, Assay Stat and System Log
Download and Install new Printer provided by the laboratory</t>
  </si>
  <si>
    <t>Perform Preventive Maintenance and Printer Installation</t>
  </si>
  <si>
    <t>All Modules are operational, new printer installed</t>
  </si>
  <si>
    <t>New Printer model Epson L3150 tank printer with WIFI</t>
  </si>
  <si>
    <t>https://www.jotform.com/uploads/macarewecare/222927978372067/6193849374118579560/6193849374118579560_signature_28.png</t>
  </si>
  <si>
    <t>https://www.jotform.com/uploads/macarewecare/222927978372067/6193849374118579560/6193849374118579560_signature_31.png</t>
  </si>
  <si>
    <t>Perform preventive maintenance: fan filter, cartridge bay, plunger rod, optic slot</t>
  </si>
  <si>
    <t>https://www.jotform.com/uploads/macarewecare/222927978372067/6193824215252717398/6193824215252717398_signature_28.png</t>
  </si>
  <si>
    <t>Luzviminda A. Navidad</t>
  </si>
  <si>
    <t>https://www.jotform.com/uploads/macarewecare/222927978372067/6193824215252717398/6193824215252717398_signature_31.png</t>
  </si>
  <si>
    <t>https://www.jotform.com/uploads/macarewecare/222927978372067/6193804616121408402/6193804616121408402_signature_28.png</t>
  </si>
  <si>
    <t>https://www.jotform.com/uploads/macarewecare/222927978372067/6193804616121408402/6193804616121408402_signature_31.png</t>
  </si>
  <si>
    <t>Diit,Tacloban City</t>
  </si>
  <si>
    <t xml:space="preserve">ASSAY: Xpert MTB/RIF Ultra, COUNT: 1182
</t>
  </si>
  <si>
    <t>https://www.jotform.com/uploads/macarewecare/222927978372067/6193799143719510830/6193799143719510830_signature_28.png</t>
  </si>
  <si>
    <t>https://www.jotform.com/uploads/macarewecare/222927978372067/6193799143719510830/6193799143719510830_signature_31.png</t>
  </si>
  <si>
    <t>Brgy. Dadiangas Rural Health Unit</t>
  </si>
  <si>
    <t>Perform Genexpert module cleaning
Optics and plunger Rod cleaning 
Fan filter cleaning 
Checking of errors 
Data collection</t>
  </si>
  <si>
    <t>https://www.jotform.com/uploads/macarewecare/222927978372067/6193248016865760637/6193248016865760637_signature_28.png</t>
  </si>
  <si>
    <t>Celine villanueva</t>
  </si>
  <si>
    <t>https://www.jotform.com/uploads/macarewecare/222927978372067/6193248016865760637/6193248016865760637_signature_31.png</t>
  </si>
  <si>
    <t xml:space="preserve">ASSAY: Xpert MTB/RIF Ultra, COUNT: 1105
</t>
  </si>
  <si>
    <t>Module Cleaning 
Optics and Plunger rod Cleaning 
Filter Cleaning 
Checking of errors 
Data collection</t>
  </si>
  <si>
    <t>https://www.jotform.com/uploads/macarewecare/222927978372067/6193248016866786511/6193248016866786511_signature_28.png</t>
  </si>
  <si>
    <t>Geraldine Magan</t>
  </si>
  <si>
    <t>https://www.jotform.com/uploads/macarewecare/222927978372067/6193248016866786511/6193248016866786511_signature_31.png</t>
  </si>
  <si>
    <t>Cagayan de Oro City CHO</t>
  </si>
  <si>
    <t>UPS not functioning</t>
  </si>
  <si>
    <t>Reporting to Main Office</t>
  </si>
  <si>
    <t>Preventive Maintenance and Troubleshooting</t>
  </si>
  <si>
    <t>Units are functional except for UPS</t>
  </si>
  <si>
    <t>https://www.jotform.com/uploads/macarewecare/222927978372067/6193215896577238196/6193215896577238196_signature_28.png</t>
  </si>
  <si>
    <t>Charissa Galacio</t>
  </si>
  <si>
    <t>https://www.jotform.com/uploads/macarewecare/222927978372067/6193215896577238196/6193215896577238196_signature_31.png</t>
  </si>
  <si>
    <t>Philippine Red Cross Cagayan de Oro</t>
  </si>
  <si>
    <t>mrbc2@redcross.com.ph</t>
  </si>
  <si>
    <t>Readjustment and Recalibrating of Bowl Optics</t>
  </si>
  <si>
    <t>All units are functional</t>
  </si>
  <si>
    <t>https://www.jotform.com/uploads/macarewecare/222927978372067/6193212296574570981/6193212296574570981_signature_28.png</t>
  </si>
  <si>
    <t>Christian Gabriel Suaybaguio</t>
  </si>
  <si>
    <t>https://www.jotform.com/uploads/macarewecare/222927978372067/6193212296574570981/6193212296574570981_signature_31.png</t>
  </si>
  <si>
    <t>Wilson St., GreenHills,  San Juan City</t>
  </si>
  <si>
    <t>robileanching@gmail.com</t>
  </si>
  <si>
    <t>Unit unable to power On.</t>
  </si>
  <si>
    <t>Replaced fuse.
Run functionality and sumilation.
Monitor actual TPE procedure.</t>
  </si>
  <si>
    <t>Found busted fuse.
Replaced fuse.</t>
  </si>
  <si>
    <t>Unit is operational. Recommended to use UPS for the unit to have better power source and with back up power in case of power outage.</t>
  </si>
  <si>
    <t>https://www.jotform.com/uploads/macarewecare/222927978372067/6192944050112265683/6192944050112265683_signature_28.png</t>
  </si>
  <si>
    <t>Robi-Lean P Ching</t>
  </si>
  <si>
    <t>https://www.jotform.com/uploads/macarewecare/222927978372067/6192944050112265683/6192944050112265683_signature_31.png</t>
  </si>
  <si>
    <t>Urbano Velasco, Pinagbuhatan, Pasig City</t>
  </si>
  <si>
    <t xml:space="preserve">ASSAY: Xpert MTB/RIF Ultra, COUNT: 1079
</t>
  </si>
  <si>
    <t>Error 2014</t>
  </si>
  <si>
    <t>Performed maintenance 
Cleaned: 
-cartridge bay
-plunger rod 
-icore
-filter
Generated reports</t>
  </si>
  <si>
    <t>Unit is operational. Module B4 under observation.</t>
  </si>
  <si>
    <t>https://www.jotform.com/uploads/macarewecare/222927978372067/6192908615093814714/6192908615093814714_signature_28.png</t>
  </si>
  <si>
    <t>https://www.jotform.com/uploads/macarewecare/222927978372067/6192908615093814714/6192908615093814714_signature_31.png</t>
  </si>
  <si>
    <t>Tuburan Basilan</t>
  </si>
  <si>
    <t>Genexpert application unable to open. Error regarding SQL.</t>
  </si>
  <si>
    <t>Undergone troubleshooting, uninstalled all SQL related system and uninstalled GXDX software. Pulled out System unit only for further repair.</t>
  </si>
  <si>
    <t>Undergone troubleshooting, uninstalled all SQL related system and uninstalled GXDX software.</t>
  </si>
  <si>
    <t>Under repair/ troubleshooting.</t>
  </si>
  <si>
    <t>https://www.jotform.com/uploads/macarewecare/222927978372067/6192146475552439093/6192146475552439093_signature_28.png</t>
  </si>
  <si>
    <t>Raiyana H. Jakilan</t>
  </si>
  <si>
    <t>https://www.jotform.com/uploads/macarewecare/222927978372067/6192146475552439093/6192146475552439093_signature_31.png</t>
  </si>
  <si>
    <t>Cong Semion Toribio Memorial Hospital</t>
  </si>
  <si>
    <t>Carmen, Bohol</t>
  </si>
  <si>
    <t>csgtmhlaboratory@gmail.com</t>
  </si>
  <si>
    <t>A video of power up monitor to automatic shutdown of monitor
Copy of IQR</t>
  </si>
  <si>
    <t>Troubleshooting monitor</t>
  </si>
  <si>
    <t>https://www.jotform.com/uploads/macarewecare/222927978372067/6192036626169425828/6192036626169425828_signature_28.png</t>
  </si>
  <si>
    <t>Himaya Vale</t>
  </si>
  <si>
    <t>https://www.jotform.com/uploads/macarewecare/222927978372067/6192036626169425828/6192036626169425828_signature_31.png</t>
  </si>
  <si>
    <t>Catigbian, Bohol</t>
  </si>
  <si>
    <t>josephraytan@gmail.com</t>
  </si>
  <si>
    <t>Defective module B3</t>
  </si>
  <si>
    <t>New module Installed B3 862186
Clean Fan
Clean Fan Filter
IQR, System log and assay stats</t>
  </si>
  <si>
    <t>https://www.jotform.com/uploads/macarewecare/222927978372067/6191988779426350987/6191988779426350987_signature_28.png</t>
  </si>
  <si>
    <t>Joseph Ray F. Tan</t>
  </si>
  <si>
    <t>https://www.jotform.com/uploads/macarewecare/222927978372067/6191988779426350987/6191988779426350987_signature_31.png</t>
  </si>
  <si>
    <t>UPS won't turn on</t>
  </si>
  <si>
    <t>Unit is Not Operational 
Defective UPS</t>
  </si>
  <si>
    <t>https://www.jotform.com/uploads/macarewecare/222927978372067/6191978985715800091/6191978985715800091_signature_28.png</t>
  </si>
  <si>
    <t>https://www.jotform.com/uploads/macarewecare/222927978372067/6191978985715800091/6191978985715800091_signature_31.png</t>
  </si>
  <si>
    <t>San Fernando City,La Union</t>
  </si>
  <si>
    <t>https://www.jotform.com/uploads/macarewecare/222927978372067/6191977505711620026/6191977505711620026_signature_28.png</t>
  </si>
  <si>
    <t>Dominga N. PATACSIL</t>
  </si>
  <si>
    <t>https://www.jotform.com/uploads/macarewecare/222927978372067/6191977505711620026/6191977505711620026_signature_31.png</t>
  </si>
  <si>
    <t>https://www.jotform.com/uploads/macarewecare/222927978372067/6191975895711967679/6191975895711967679_signature_28.png</t>
  </si>
  <si>
    <t>https://www.jotform.com/uploads/macarewecare/222927978372067/6191975895711967679/6191975895711967679_signature_31.png</t>
  </si>
  <si>
    <t>https://www.jotform.com/uploads/macarewecare/222927978372067/6191972835714190834/6191972835714190834_signature_28.png</t>
  </si>
  <si>
    <t>https://www.jotform.com/uploads/macarewecare/222927978372067/6191972835714190834/6191972835714190834_signature_31.png</t>
  </si>
  <si>
    <t>https://www.jotform.com/uploads/macarewecare/222927978372067/6191971855712841021/6191971855712841021_signature_28.png</t>
  </si>
  <si>
    <t>https://www.jotform.com/uploads/macarewecare/222927978372067/6191971855712841021/6191971855712841021_signature_31.png</t>
  </si>
  <si>
    <t>- Unit is Partially Operational 
- Module 1 for Reporting</t>
  </si>
  <si>
    <t>https://www.jotform.com/uploads/macarewecare/222927978372067/6191970235714675490/6191970235714675490_signature_28.png</t>
  </si>
  <si>
    <t>Jinky Grace Lumague</t>
  </si>
  <si>
    <t>https://www.jotform.com/uploads/macarewecare/222927978372067/6191970235714675490/6191970235714675490_signature_31.png</t>
  </si>
  <si>
    <t>For Troubleshooting and XpertCheck</t>
  </si>
  <si>
    <t>Performed Troubleshooting and XpertCheck</t>
  </si>
  <si>
    <t>https://www.jotform.com/uploads/macarewecare/222927978372067/6191968725711153242/6191968725711153242_signature_28.png</t>
  </si>
  <si>
    <t>https://www.jotform.com/uploads/macarewecare/222927978372067/6191968725711153242/6191968725711153242_signature_31.png</t>
  </si>
  <si>
    <t>Pozorrubio</t>
  </si>
  <si>
    <t>Stuck Cartridge in Module 1</t>
  </si>
  <si>
    <t>Removed Stuck Cartridge in Module 1</t>
  </si>
  <si>
    <t>https://www.jotform.com/uploads/macarewecare/222927978372067/6191967145713718632/6191967145713718632_signature_28.png</t>
  </si>
  <si>
    <t>https://www.jotform.com/uploads/macarewecare/222927978372067/6191967145713718632/6191967145713718632_signature_31.png</t>
  </si>
  <si>
    <t>- Cleaned Cartridge Bays, Plunger Rods and I-CORE
- Replaced Defective Module 862037 &gt;&gt;&gt; 888410
- Generated Reports</t>
  </si>
  <si>
    <t>GeneXpert Module 888410</t>
  </si>
  <si>
    <t>DR 12849</t>
  </si>
  <si>
    <t>https://www.jotform.com/uploads/macarewecare/222927978372067/6191965385712547980/6191965385712547980_signature_28.png</t>
  </si>
  <si>
    <t>https://www.jotform.com/uploads/macarewecare/222927978372067/6191965385712547980/6191965385712547980_signature_31.png</t>
  </si>
  <si>
    <t>For installation of new display cable.
Unit for preventive maintenance.</t>
  </si>
  <si>
    <t>Performed repair.
Installed new display cable.
Performed stress test.
Performed simulation running.
Verified calibration parameters.</t>
  </si>
  <si>
    <t>Work with Engr. Bagbaguen</t>
  </si>
  <si>
    <t>Item Code: 112498-02
Display Cable</t>
  </si>
  <si>
    <t>DR#12881</t>
  </si>
  <si>
    <t>https://www.jotform.com/uploads/macarewecare/222927978372067/6191951053618095221/6191951053618095221_signature_28.png</t>
  </si>
  <si>
    <t>https://www.jotform.com/uploads/macarewecare/222927978372067/6191951053618095221/6191951053618095221_signature_31.png</t>
  </si>
  <si>
    <t>Amorosolo st Makati</t>
  </si>
  <si>
    <t>Installed unit
Upload adf files
Test run unit</t>
  </si>
  <si>
    <t>https://www.jotform.com/uploads/macarewecare/222927978372067/6191886183616697682/6191886183616697682_signature_28.png</t>
  </si>
  <si>
    <t>https://www.jotform.com/uploads/macarewecare/222927978372067/6191886183616697682/6191886183616697682_signature_31.png</t>
  </si>
  <si>
    <t>-PERFORM TROUBLESHOOTING PROCEDURE FOR NO POWER
-CONFIRMED SYSTEM UNIT SN: CPH1023F 46914 IS DEFECTIVE</t>
  </si>
  <si>
    <t>FOR REPORTING TO CEPHEID</t>
  </si>
  <si>
    <t>https://www.jotform.com/uploads/macarewecare/222927978372067/6189589984467264262/6189589984467264262_signature_28.png</t>
  </si>
  <si>
    <t>https://www.jotform.com/uploads/macarewecare/222927978372067/6189589984467264262/6189589984467264262_signature_31.png</t>
  </si>
  <si>
    <t>Pototan Iloilo</t>
  </si>
  <si>
    <t>dipragale92@gmail.com</t>
  </si>
  <si>
    <t xml:space="preserve">ASSAY: Xpert MTB/RIF Ultra, COUNT: 960
ASSAY: Xpert HIV-1 Viral Load, COUNT: 4
</t>
  </si>
  <si>
    <t>Module C3 Error 2014
For Preventive Maintenance</t>
  </si>
  <si>
    <t>https://www.jotform.com/uploads/macarewecare/222927978372067/6189584694466900718/6189584694466900718_signature_28.png</t>
  </si>
  <si>
    <t>Rachel A. Pragale</t>
  </si>
  <si>
    <t>https://www.jotform.com/uploads/macarewecare/222927978372067/6189584694466900718/6189584694466900718_signature_31.png</t>
  </si>
  <si>
    <t>DPM error</t>
  </si>
  <si>
    <t>Unit is operational 
No hardware problems found</t>
  </si>
  <si>
    <t>With Sir Harold</t>
  </si>
  <si>
    <t>https://www.jotform.com/uploads/macarewecare/222927978372067/6189536876124532200/6189536876124532200_signature_28.png</t>
  </si>
  <si>
    <t>https://www.jotform.com/uploads/macarewecare/222927978372067/6189536876124532200/6189536876124532200_signature_31.png</t>
  </si>
  <si>
    <t>virginramirez7@gmail.com</t>
  </si>
  <si>
    <t>Replaced UPS - AT1000190123ST0327
Cleaned cartridge bays, plunger rod 
Archived 2023, 2024 results
Collect Data</t>
  </si>
  <si>
    <t>https://www.jotform.com/uploads/macarewecare/222927978372067/6189468821385264832/6189468821385264832_signature_28.png</t>
  </si>
  <si>
    <t>Virgin ramirez</t>
  </si>
  <si>
    <t>https://www.jotform.com/uploads/macarewecare/222927978372067/6189468821385264832/6189468821385264832_signature_31.png</t>
  </si>
  <si>
    <t xml:space="preserve">ASSAY: Xpert MTB/RIF Ultra, COUNT: 2381
</t>
  </si>
  <si>
    <t>https://www.jotform.com/uploads/macarewecare/222927978372067/6189466234188642509/6189466234188642509_signature_28.png</t>
  </si>
  <si>
    <t>https://www.jotform.com/uploads/macarewecare/222927978372067/6189466234188642509/6189466234188642509_signature_31.png</t>
  </si>
  <si>
    <t>Brgy. Hinaplanon, Iligan City</t>
  </si>
  <si>
    <t>Module B1 found temperature-related error and was reported</t>
  </si>
  <si>
    <t>Replacing Module B1 with SN: 765568 to SN: 725419</t>
  </si>
  <si>
    <t>https://www.jotform.com/uploads/macarewecare/222927978372067/6188666920323655983/6188666920323655983_signature_28.png</t>
  </si>
  <si>
    <t>https://www.jotform.com/uploads/macarewecare/222927978372067/6188666920323655983/6188666920323655983_signature_31.png</t>
  </si>
  <si>
    <t>Cebu TB reference lab-SRP</t>
  </si>
  <si>
    <t>South Road Property-Cebu</t>
  </si>
  <si>
    <t>Defective Module B4 220004971</t>
  </si>
  <si>
    <t>Install new module B4 788903
Clean Fan Filter
Gather data, IQR, system log and assah stats</t>
  </si>
  <si>
    <t>https://www.jotform.com/uploads/macarewecare/222927978372067/6188655963205522135/6188655963205522135_signature_28.png</t>
  </si>
  <si>
    <t>https://www.jotform.com/uploads/macarewecare/222927978372067/6188655963205522135/6188655963205522135_signature_31.png</t>
  </si>
  <si>
    <t>WESTERN VISAYAS STATE UNIVERSITY MEDICAL CENTER</t>
  </si>
  <si>
    <t>https://www.jotform.com/uploads/macarewecare/222927978372067/6188626172813740698/6188626172813740698_signature_28.png</t>
  </si>
  <si>
    <t>https://www.jotform.com/uploads/macarewecare/222927978372067/6188626172813740698/6188626172813740698_signature_31.png</t>
  </si>
  <si>
    <t>AT1000190123ST0384</t>
  </si>
  <si>
    <t>For replacement of 2pcs battery</t>
  </si>
  <si>
    <t>Replaced and installed 2 pcs battery s/n 540421,540420
test run unit</t>
  </si>
  <si>
    <t>operational</t>
  </si>
  <si>
    <t>https://www.jotform.com/uploads/macarewecare/222927978372067/6188617313618588133/6188617313618588133_signature_28.png</t>
  </si>
  <si>
    <t>https://www.jotform.com/uploads/macarewecare/222927978372067/6188617313618588133/6188617313618588133_signature_31.png</t>
  </si>
  <si>
    <t xml:space="preserve">ASSAY: Xpert HBV VL, COUNT: 34
ASSAY: Xpert HPV, COUNT: 17
ASSAY: Xpert MTB-XDR, COUNT: 2
ASSAY: Xpert HCV VL, COUNT: 2
ASSAY: Xpert HIV-1 Viral Load, COUNT: 35
</t>
  </si>
  <si>
    <t>https://www.jotform.com/uploads/macarewecare/222927978372067/6188616302813063034/6188616302813063034_signature_28.png</t>
  </si>
  <si>
    <t>https://www.jotform.com/uploads/macarewecare/222927978372067/6188616302813063034/6188616302813063034_signature_31.png</t>
  </si>
  <si>
    <t>AT1000190123ST0202</t>
  </si>
  <si>
    <t>Replaced and installed 2pcs battery s/n 540423,540422
test run unit</t>
  </si>
  <si>
    <t>12V 7ah battery</t>
  </si>
  <si>
    <t>https://www.jotform.com/uploads/macarewecare/222927978372067/6188614543614248906/6188614543614248906_signature_28.png</t>
  </si>
  <si>
    <t>https://www.jotform.com/uploads/macarewecare/222927978372067/6188614543614248906/6188614543614248906_signature_31.png</t>
  </si>
  <si>
    <t>AT1000180910ST0259</t>
  </si>
  <si>
    <t>For replacement of 2 pcs battery</t>
  </si>
  <si>
    <t>Replaced and installed 2 pcs battery s/n 540425,540424</t>
  </si>
  <si>
    <t>https://www.jotform.com/uploads/macarewecare/222927978372067/6188612353611176139/6188612353611176139_signature_28.png</t>
  </si>
  <si>
    <t>https://www.jotform.com/uploads/macarewecare/222927978372067/6188612353611176139/6188612353611176139_signature_31.png</t>
  </si>
  <si>
    <t>TB Dota</t>
  </si>
  <si>
    <t xml:space="preserve">ASSAY: Xpert MTB/RIF Ultra, COUNT: 820
</t>
  </si>
  <si>
    <t>-Perform preventive maintenance; cartridge bay, fan filter, plunger rod, and optic slot</t>
  </si>
  <si>
    <t>https://www.jotform.com/uploads/macarewecare/222927978372067/6188534360532653533/6188534360532653533_signature_28.png</t>
  </si>
  <si>
    <t>Nicholas T. Fiji</t>
  </si>
  <si>
    <t>https://www.jotform.com/uploads/macarewecare/222927978372067/6188534360532653533/6188534360532653533_signature_31.png</t>
  </si>
  <si>
    <t>Amorsol st Makati City</t>
  </si>
  <si>
    <t>loiszoemontemayor.medilinx@outlook.com</t>
  </si>
  <si>
    <t xml:space="preserve">ASSAY: Xpert MTB/RIF Ultra, COUNT: 187
ASSAY: Xpert HIV-1 Viral Load, COUNT: 2
</t>
  </si>
  <si>
    <t>GX4- 2 D</t>
  </si>
  <si>
    <t>Monitor encounter auto shutdown</t>
  </si>
  <si>
    <t>Performed monitor installation spare monitor from medilinx</t>
  </si>
  <si>
    <t>Installation</t>
  </si>
  <si>
    <t>https://www.jotform.com/uploads/macarewecare/222927978372067/6188460293617577612/6188460293617577612_signature_28.png</t>
  </si>
  <si>
    <t>Lois Zoe Montemayor</t>
  </si>
  <si>
    <t>https://www.jotform.com/uploads/macarewecare/222927978372067/6188460293617577612/6188460293617577612_signature_31.png</t>
  </si>
  <si>
    <t>Module C2, C3 for troubleshooting</t>
  </si>
  <si>
    <t>Performed blank cartridge test on C2, C3</t>
  </si>
  <si>
    <t>Unit is operational 
Module C2: Good
Module C3: Error 5007 (for follow up report)</t>
  </si>
  <si>
    <t>MTB/RIF Ultra Cartridge</t>
  </si>
  <si>
    <t>https://www.jotform.com/uploads/macarewecare/222927978372067/6187766585217014901/6187766585217014901_signature_28.png</t>
  </si>
  <si>
    <t>Raecel</t>
  </si>
  <si>
    <t>https://www.jotform.com/uploads/macarewecare/222927978372067/6187766585217014901/6187766585217014901_signature_31.png</t>
  </si>
  <si>
    <t>- Installed barcode scanner
- Checked monitor (Unit shuts down automatically upon powering up: "Power Button Lockout" error) 
- Performed HP monitor troubleshooting
- Swapped monitor with another monitor (Error still persists)
- Temporarily installed another monitor to proceed
- Performed blank cartridge test on D2, D3
- Generated reports
- Performed self test
- Checked and cleaned cartridge bay, plunger rod, filter, icore slot</t>
  </si>
  <si>
    <t>Unit is operational
Module D1: Awaiting for module allocation
Module D2, D3: Error 5007 (for follow up report)
HP P19A Monitor (SN: CNK831078T) is recommended for repair/replacement</t>
  </si>
  <si>
    <t>MTB/RIF Ultra Cartridge
GX Barcode Scanner</t>
  </si>
  <si>
    <t>12872 &amp; 12841</t>
  </si>
  <si>
    <t>https://www.jotform.com/uploads/macarewecare/222927978372067/6187765625219450074/6187765625219450074_signature_28.png</t>
  </si>
  <si>
    <t>https://www.jotform.com/uploads/macarewecare/222927978372067/6187765625219450074/6187765625219450074_signature_31.png</t>
  </si>
  <si>
    <t>Concepcion,  Naga</t>
  </si>
  <si>
    <t>jmoreno@ncf.edu.ph</t>
  </si>
  <si>
    <t>DPM connector test failed</t>
  </si>
  <si>
    <t>Checked DPM parameter(ok)
Cleaned DPM surface
Checked for any liquid inside DPM(None)
Performed restart on machine for different protocol cards</t>
  </si>
  <si>
    <t>https://www.jotform.com/uploads/macarewecare/222927978372067/6187014433414657880/6187014433414657880_signature_28.png</t>
  </si>
  <si>
    <t>https://www.jotform.com/uploads/macarewecare/222927978372067/6187014433414657880/6187014433414657880_signature_31.png</t>
  </si>
  <si>
    <t>Bios CRC failed</t>
  </si>
  <si>
    <t>Performed restart using different protocol cards
Attempt to bypass error on program</t>
  </si>
  <si>
    <t>Unit is not operational</t>
  </si>
  <si>
    <t>Battery of CRC on motherboard for replacement</t>
  </si>
  <si>
    <t>https://www.jotform.com/uploads/macarewecare/222927978372067/6187013103411443796/6187013103411443796_signature_28.png</t>
  </si>
  <si>
    <t>https://www.jotform.com/uploads/macarewecare/222927978372067/6187013103411443796/6187013103411443796_signature_31.png</t>
  </si>
  <si>
    <t>Unable to push button and no button light.</t>
  </si>
  <si>
    <t>Performed troubleshooting.
Reset and fixed display ribbon cable.</t>
  </si>
  <si>
    <t>Buttons functionality is intermittent. For replacement of ribbon cable</t>
  </si>
  <si>
    <t>https://www.jotform.com/uploads/macarewecare/222927978372067/6187002782126001477/6187002782126001477_signature_28.png</t>
  </si>
  <si>
    <t>https://www.jotform.com/uploads/macarewecare/222927978372067/6187002782126001477/6187002782126001477_signature_31.png</t>
  </si>
  <si>
    <t>Noise on centrifuge during procedure</t>
  </si>
  <si>
    <t>Tightened centrifuge cover screws</t>
  </si>
  <si>
    <t>https://www.jotform.com/uploads/macarewecare/222927978372067/6186931145212555259/6186931145212555259_signature_28.png</t>
  </si>
  <si>
    <t>Maybelle Monzon</t>
  </si>
  <si>
    <t>https://www.jotform.com/uploads/macarewecare/222927978372067/6186931145212555259/6186931145212555259_signature_31.png</t>
  </si>
  <si>
    <t xml:space="preserve">ASSAY: Xpert MTB/RIF Ultra, COUNT: 2324
</t>
  </si>
  <si>
    <t>https://www.jotform.com/uploads/macarewecare/222927978372067/6186882493687982819/6186882493687982819_signature_28.png</t>
  </si>
  <si>
    <t>Leak Karen Noynay</t>
  </si>
  <si>
    <t>https://www.jotform.com/uploads/macarewecare/222927978372067/6186882493687982819/6186882493687982819_signature_31.png</t>
  </si>
  <si>
    <t>N. Amoranto St. Quezon City</t>
  </si>
  <si>
    <t xml:space="preserve">ASSAY: Xpert BCR-ABL Ultra, COUNT: 163
ASSAY: Xpert HPV, COUNT: 5
ASSAY: Xpert MTB/RIF Ultra, COUNT: 4832
</t>
  </si>
  <si>
    <t>https://www.jotform.com/uploads/macarewecare/222927978372067/6186882246814852227/6186882246814852227_signature_28.png</t>
  </si>
  <si>
    <t>https://www.jotform.com/uploads/macarewecare/222927978372067/6186882246814852227/6186882246814852227_signature_31.png</t>
  </si>
  <si>
    <t xml:space="preserve">ASSAY: Xpert CT/NG, COUNT: 124
ASSAY: Xpert MTB/RIF Ultra, COUNT: 5782
</t>
  </si>
  <si>
    <t>https://www.jotform.com/uploads/macarewecare/222927978372067/6186882006818126935/6186882006818126935_signature_28.png</t>
  </si>
  <si>
    <t>https://www.jotform.com/uploads/macarewecare/222927978372067/6186882006818126935/6186882006818126935_signature_31.png</t>
  </si>
  <si>
    <t>TN Laboratory</t>
  </si>
  <si>
    <t xml:space="preserve">ASSAY: Xpert MTB/RIF Ultra, COUNT: 489
</t>
  </si>
  <si>
    <t>Module B2 multiple temperature error</t>
  </si>
  <si>
    <t>https://www.jotform.com/uploads/macarewecare/222927978372067/6186831700128814860/6186831700128814860_signature_28.png</t>
  </si>
  <si>
    <t>https://www.jotform.com/uploads/macarewecare/222927978372067/6186831700128814860/6186831700128814860_signature_31.png</t>
  </si>
  <si>
    <t>-Due for calibration of MCS+</t>
  </si>
  <si>
    <t>Performed Preventive in MCS+ 
Conduct calibration in MCS+ weigher, cuff pressure, DPM, SPM pressure, Line sensor and bowl optics sensor, 
Check pneumatic assembly, valve test, motor pump</t>
  </si>
  <si>
    <t>Machine is operational.</t>
  </si>
  <si>
    <t>https://www.jotform.com/uploads/macarewecare/222927978372067/6186772783448557825/6186772783448557825_signature_28.png</t>
  </si>
  <si>
    <t>https://www.jotform.com/uploads/macarewecare/222927978372067/6186772783448557825/6186772783448557825_signature_31.png</t>
  </si>
  <si>
    <t xml:space="preserve">ASSAY: Xpert MTB/RIF Ultra, COUNT: 1533
</t>
  </si>
  <si>
    <t>https://www.jotform.com/uploads/macarewecare/222927978372067/6186762564521822815/6186762564521822815_signature_28.png</t>
  </si>
  <si>
    <t>https://www.jotform.com/uploads/macarewecare/222927978372067/6186762564521822815/6186762564521822815_signature_31.png</t>
  </si>
  <si>
    <t>Dr. Sixto Antonio Ave Pasig City</t>
  </si>
  <si>
    <t xml:space="preserve">ASSAY: Xpert MTB/RIF Ultra, COUNT: 1187
</t>
  </si>
  <si>
    <t>Performed maintenance 
Cleaned:
-cartridge bay 
-plunger rod 
-filter 
Generated reports</t>
  </si>
  <si>
    <t>https://www.jotform.com/uploads/macarewecare/222927978372067/6186715143613409476/6186715143613409476_signature_28.png</t>
  </si>
  <si>
    <t>https://www.jotform.com/uploads/macarewecare/222927978372067/6186715143613409476/6186715143613409476_signature_31.png</t>
  </si>
  <si>
    <t>Manggahan, Pasig</t>
  </si>
  <si>
    <t xml:space="preserve">ASSAY: Xpert HIV-1 Viral Load, COUNT: 30
</t>
  </si>
  <si>
    <t>Performed maintenance 
Cleaned:
-cartridge bay 
-plunger rod 
-filter
Generated reports</t>
  </si>
  <si>
    <t>Unit is operational. Modules A2and A4 not operational.</t>
  </si>
  <si>
    <t>https://www.jotform.com/uploads/macarewecare/222927978372067/6186715143616669764/6186715143616669764_signature_28.png</t>
  </si>
  <si>
    <t>https://www.jotform.com/uploads/macarewecare/222927978372067/6186715143616669764/6186715143616669764_signature_31.png</t>
  </si>
  <si>
    <t>janeanequirante.medilinx@outlook.com</t>
  </si>
  <si>
    <t xml:space="preserve">ASSAY: Xpert MTB/RIF Ultra, COUNT: 131
</t>
  </si>
  <si>
    <t>GX4-2 D</t>
  </si>
  <si>
    <t>As per end user they encounter flickering display
A2 module encounter intermittent temp error.</t>
  </si>
  <si>
    <t>Re plug in vga cable 
Gathered data
Cleaned plunger rod,filter,icore,cartridge bay
Gathered reports
Test run unit</t>
  </si>
  <si>
    <t>During testing of monitor no flickering display encourtered
Monitor for monitoring</t>
  </si>
  <si>
    <t>https://www.jotform.com/uploads/macarewecare/222927978372067/6185853303617645625/6185853303617645625_signature_28.png</t>
  </si>
  <si>
    <t>Janeane Quirante</t>
  </si>
  <si>
    <t>https://www.jotform.com/uploads/macarewecare/222927978372067/6185853303617645625/6185853303617645625_signature_31.png</t>
  </si>
  <si>
    <t>Philippine Red Cross Port</t>
  </si>
  <si>
    <t>Display panel keys not responding</t>
  </si>
  <si>
    <t>Reset ribbon</t>
  </si>
  <si>
    <t>Unit is operational
Unit is under observation</t>
  </si>
  <si>
    <t>https://www.jotform.com/uploads/macarewecare/222927978372067/6184301847118756883/6184301847118756883_signature_28.png</t>
  </si>
  <si>
    <t>https://www.jotform.com/uploads/macarewecare/222927978372067/6184301847118756883/6184301847118756883_signature_31.png</t>
  </si>
  <si>
    <t>BANTAYAN RURAL HEALTH UNIT</t>
  </si>
  <si>
    <t>Bantayan, Cebu</t>
  </si>
  <si>
    <t>mcdelle916bausin@gmail.com</t>
  </si>
  <si>
    <t>LCD Monitor - 19" HP E190i IPS</t>
  </si>
  <si>
    <t>https://www.jotform.com/uploads/macarewecare/222927978372067/6183283965119738288/6183283965119738288_signature_28.png</t>
  </si>
  <si>
    <t>https://www.jotform.com/uploads/macarewecare/222927978372067/6183283965119738288/6183283965119738288_signature_31.png</t>
  </si>
  <si>
    <t xml:space="preserve">ASSAY: Xpert MTB/RIF Ultra, COUNT: 569
ASSAY: Xpert MTB-XDR, COUNT: 46
ASSAY: Xpert HIV-1 Viral Load, COUNT: 115
</t>
  </si>
  <si>
    <t>https://www.jotform.com/uploads/macarewecare/222927978372067/6182696143611885277/6182696143611885277_signature_28.png</t>
  </si>
  <si>
    <t>Ronica Ana Tadtad</t>
  </si>
  <si>
    <t>https://www.jotform.com/uploads/macarewecare/222927978372067/6182696143611885277/6182696143611885277_signature_31.png</t>
  </si>
  <si>
    <t xml:space="preserve">ASSAY: Xpert MTB/RIF Ultra, COUNT: 91
ASSAY: Xpert MTB-XDR, COUNT: 2
ASSAY: Xpert HIV-1 Viral Load, COUNT: 100
</t>
  </si>
  <si>
    <t>https://www.jotform.com/uploads/macarewecare/222927978372067/6182696143615782421/6182696143615782421_signature_28.png</t>
  </si>
  <si>
    <t>https://www.jotform.com/uploads/macarewecare/222927978372067/6182696143615782421/6182696143615782421_signature_31.png</t>
  </si>
  <si>
    <t>M. Santos St Antipolo Rizal</t>
  </si>
  <si>
    <t xml:space="preserve">ASSAY: Xpert MTB/RIF Ultra, COUNT: 6
ASSAY: Xpert MTB-XDR, COUNT: 40
ASSAY: Xpert HIV-1 Viral Load, COUNT: 363
</t>
  </si>
  <si>
    <t>https://www.jotform.com/uploads/macarewecare/222927978372067/6182696143617974817/6182696143617974817_signature_28.png</t>
  </si>
  <si>
    <t>https://www.jotform.com/uploads/macarewecare/222927978372067/6182696143617974817/6182696143617974817_signature_31.png</t>
  </si>
  <si>
    <t xml:space="preserve">ASSAY: Xpert MTB/RIF Ultra, COUNT: 1097
ASSAY: Xpert MTB-XDR, COUNT: 3
ASSAY: Xpert HIV-1 Viral Load, COUNT: 24
</t>
  </si>
  <si>
    <t>https://www.jotform.com/uploads/macarewecare/222927978372067/6182696143618371967/6182696143618371967_signature_28.png</t>
  </si>
  <si>
    <t>https://www.jotform.com/uploads/macarewecare/222927978372067/6182696143618371967/6182696143618371967_signature_31.png</t>
  </si>
  <si>
    <t xml:space="preserve">ASSAY: Xpert MTB/RIF Ultra, COUNT: 106
ASSAY: Xpert HIV-1 Viral Load, COUNT: 85
</t>
  </si>
  <si>
    <t>https://www.jotform.com/uploads/macarewecare/222927978372067/6182696143619914623/6182696143619914623_signature_28.png</t>
  </si>
  <si>
    <t>https://www.jotform.com/uploads/macarewecare/222927978372067/6182696143619914623/6182696143619914623_signature_31.png</t>
  </si>
  <si>
    <t xml:space="preserve">ASSAY: Xpert MTB/RIF Ultra, COUNT: 588
</t>
  </si>
  <si>
    <t>B4: 808252 for module replacement 
B3: 808251 temperature error</t>
  </si>
  <si>
    <t>Unit is operational 
B4: 661031 new module</t>
  </si>
  <si>
    <t>1 Genexpert module</t>
  </si>
  <si>
    <t>https://www.jotform.com/uploads/macarewecare/222927978372067/6182609080419494989/6182609080419494989_signature_28.png</t>
  </si>
  <si>
    <t>Jeremy pulido</t>
  </si>
  <si>
    <t>https://www.jotform.com/uploads/macarewecare/222927978372067/6182609080419494989/6182609080419494989_signature_31.png</t>
  </si>
  <si>
    <t>https://www.jotform.com/uploads/macarewecare/222927978372067/6182608940419792537/6182608940419792537_signature_28.png</t>
  </si>
  <si>
    <t>https://www.jotform.com/uploads/macarewecare/222927978372067/6182608940419792537/6182608940419792537_signature_31.png</t>
  </si>
  <si>
    <t>Right IV Pole for replacement</t>
  </si>
  <si>
    <t>Replaced IV Pole</t>
  </si>
  <si>
    <t>IV Pole</t>
  </si>
  <si>
    <t>https://www.jotform.com/uploads/macarewecare/222927978372067/6182607233116311424/6182607233116311424_signature_28.png</t>
  </si>
  <si>
    <t>Leonila Flores</t>
  </si>
  <si>
    <t>https://www.jotform.com/uploads/macarewecare/222927978372067/6182607233116311424/6182607233116311424_signature_31.png</t>
  </si>
  <si>
    <t>-Replace defective module B3/890553 with module SN:210112052
-Reset CPU connections</t>
  </si>
  <si>
    <t>Machine is functional, CPU is operational.</t>
  </si>
  <si>
    <t>900-0491RS 
Certified pre-owned GeneXpert module
SN. 210112052</t>
  </si>
  <si>
    <t>DR no. 12790</t>
  </si>
  <si>
    <t>https://www.jotform.com/uploads/macarewecare/222927978372067/6182593793524513664/6182593793524513664_signature_28.png</t>
  </si>
  <si>
    <t>https://www.jotform.com/uploads/macarewecare/222927978372067/6182593793524513664/6182593793524513664_signature_31.png</t>
  </si>
  <si>
    <t xml:space="preserve">ASSAY: Xpert MTB/RIF Ultra, COUNT: 300
</t>
  </si>
  <si>
    <t>https://www.jotform.com/uploads/macarewecare/222927978372067/6182591453448387712/6182591453448387712_signature_28.png</t>
  </si>
  <si>
    <t>https://www.jotform.com/uploads/macarewecare/222927978372067/6182591453448387712/6182591453448387712_signature_31.png</t>
  </si>
  <si>
    <t>Labuan, Zamboanga City</t>
  </si>
  <si>
    <t>jenne060213@gmail.com</t>
  </si>
  <si>
    <t xml:space="preserve">ASSAY: Xpert MTB/RIF Ultra, COUNT: 2184
</t>
  </si>
  <si>
    <t>Module 2 gives an error of Error 4012 multiple times.</t>
  </si>
  <si>
    <t>Module 2 undergone troubleshooting and Xpertcheck calibration.</t>
  </si>
  <si>
    <t>Module 1, 3 and 4 are all available and ready to use. While module 2 failed the said calibration and recommended for replacement.</t>
  </si>
  <si>
    <t>Module 2 for replacement.</t>
  </si>
  <si>
    <t>https://www.jotform.com/uploads/macarewecare/222927978372067/6182565689021483226/6182565689021483226_signature_28.png</t>
  </si>
  <si>
    <t>Jennerose Dela Cruz</t>
  </si>
  <si>
    <t>https://www.jotform.com/uploads/macarewecare/222927978372067/6182565689021483226/6182565689021483226_signature_31.png</t>
  </si>
  <si>
    <t xml:space="preserve">ASSAY: Xpert MTB/RIF Ultra, COUNT: 1320
</t>
  </si>
  <si>
    <t>https://www.jotform.com/uploads/macarewecare/222927978372067/6182557764224522724/6182557764224522724_signature_28.png</t>
  </si>
  <si>
    <t>Catherine B. Deocampo ,.RMT</t>
  </si>
  <si>
    <t>https://www.jotform.com/uploads/macarewecare/222927978372067/6182557764224522724/6182557764224522724_signature_31.png</t>
  </si>
  <si>
    <t>https://www.jotform.com/uploads/macarewecare/222927978372067/6182536073111227172/6182536073111227172_signature_28.png</t>
  </si>
  <si>
    <t>https://www.jotform.com/uploads/macarewecare/222927978372067/6182536073111227172/6182536073111227172_signature_31.png</t>
  </si>
  <si>
    <t>Pinamalayan Municipal Health Office</t>
  </si>
  <si>
    <t xml:space="preserve">ASSAY: Xpert MTB/RIF Ultra, COUNT: 1067
</t>
  </si>
  <si>
    <t>Unit for preventive maintenance.
For module replacement of module D4.</t>
  </si>
  <si>
    <t>New module (635717) in replacement to defective module (807253)</t>
  </si>
  <si>
    <t>DR#12853</t>
  </si>
  <si>
    <t>https://www.jotform.com/uploads/macarewecare/222927978372067/6182436412983518607/6182436412983518607_signature_28.png</t>
  </si>
  <si>
    <t>Dave Erwin M. Festin</t>
  </si>
  <si>
    <t>https://www.jotform.com/uploads/macarewecare/222927978372067/6182436412983518607/6182436412983518607_signature_31.png</t>
  </si>
  <si>
    <t>https://www.jotform.com/uploads/macarewecare/222927978372067/6182436402982888471/6182436402982888471_signature_28.png</t>
  </si>
  <si>
    <t>https://www.jotform.com/uploads/macarewecare/222927978372067/6182436402982888471/6182436402982888471_signature_31.png</t>
  </si>
  <si>
    <t>1kva UPS</t>
  </si>
  <si>
    <t>190123ST0384,190123ST0202,180910ST0259</t>
  </si>
  <si>
    <t>No power
Battery low voltage 4volts</t>
  </si>
  <si>
    <t>Checked unit 
Checked wear tear
Checked and test voltage output of battery</t>
  </si>
  <si>
    <t>For replacement of ups battery 6pcs for 3 unit of ups.</t>
  </si>
  <si>
    <t>https://www.jotform.com/uploads/macarewecare/222927978372067/6182420883616638326/6182420883616638326_signature_28.png</t>
  </si>
  <si>
    <t>https://www.jotform.com/uploads/macarewecare/222927978372067/6182420883616638326/6182420883616638326_signature_31.png</t>
  </si>
  <si>
    <t>Masikap ext.,QC</t>
  </si>
  <si>
    <t xml:space="preserve">ASSAY: Xpert CT/NG, COUNT: 28
ASSAY: Xpert HBV VL, COUNT: 18
ASSAY: Xpert MTB/RIF Ultra, COUNT: 6
ASSAY: Xpert HCV VL, COUNT: 3
</t>
  </si>
  <si>
    <t>As per end user they encounter  2096 and 2097 error</t>
  </si>
  <si>
    <t>Performed sample running hbv vl
Gathered data.</t>
  </si>
  <si>
    <t>https://www.jotform.com/uploads/macarewecare/222927978372067/6182383493616212596/6182383493616212596_signature_28.png</t>
  </si>
  <si>
    <t>https://www.jotform.com/uploads/macarewecare/222927978372067/6182383493616212596/6182383493616212596_signature_31.png</t>
  </si>
  <si>
    <t>A. Soriano Highway, Tanza, Cavite</t>
  </si>
  <si>
    <t>tanzawellnesscenter.rhu@gmail.com</t>
  </si>
  <si>
    <t xml:space="preserve">ASSAY: Xpert HCV VL, COUNT: 3
ASSAY: Xpert HIV-1 Viral Load, COUNT: 51
</t>
  </si>
  <si>
    <t>https://www.jotform.com/uploads/macarewecare/222927978372067/6181818313615164090/6181818313615164090_signature_28.png</t>
  </si>
  <si>
    <t>Jocelyn Cadaño</t>
  </si>
  <si>
    <t>https://www.jotform.com/uploads/macarewecare/222927978372067/6181818313615164090/6181818313615164090_signature_31.png</t>
  </si>
  <si>
    <t>Likhaan Center for Women's Health</t>
  </si>
  <si>
    <t>https://www.jotform.com/uploads/macarewecare/222927978372067/6181729223111125612/6181729223111125612_signature_28.png</t>
  </si>
  <si>
    <t>https://www.jotform.com/uploads/macarewecare/222927978372067/6181729223111125612/6181729223111125612_signature_31.png</t>
  </si>
  <si>
    <t xml:space="preserve">ASSAY: Xpert BCR-ABL Ultra, COUNT: 1600
ASSAY: Xpert CT/NG, COUNT: 18
ASSAY: Others, COUNT: 116
ASSAY: Xpert HBV VL, COUNT: 1002
ASSAY: Xpert HPV, COUNT: 149
ASSAY: Xpert MTB/RIF Ultra, COUNT: 2546
ASSAY: Others, COUNT: 3
ASSAY: Xpert SARS-CoV-2, COUNT: 3835
ASSAY: Xpert HCV VL, COUNT: 167
</t>
  </si>
  <si>
    <t>For module replacement c4 210059476 - 616251</t>
  </si>
  <si>
    <t>Genexpert 6 color module</t>
  </si>
  <si>
    <t>https://www.jotform.com/uploads/macarewecare/222927978372067/6181559723618812282/6181559723618812282_signature_28.png</t>
  </si>
  <si>
    <t>https://www.jotform.com/uploads/macarewecare/222927978372067/6181559723618812282/6181559723618812282_signature_31.png</t>
  </si>
  <si>
    <t>Cleaned cartridge bays, plunger rod, icore 
Generate Data 
Reported B2/730958(H/W failed)
Reported monitor (grid lines appear on screen)</t>
  </si>
  <si>
    <t>https://www.jotform.com/uploads/macarewecare/222927978372067/6180971083328492280/6180971083328492280_signature_28.png</t>
  </si>
  <si>
    <t>Suzette Oguan</t>
  </si>
  <si>
    <t>https://www.jotform.com/uploads/macarewecare/222927978372067/6180971083328492280/6180971083328492280_signature_31.png</t>
  </si>
  <si>
    <t xml:space="preserve">ASSAY: Xpert MTB/RIF Ultra, COUNT: 950
</t>
  </si>
  <si>
    <t>Performed Monitor Replacement</t>
  </si>
  <si>
    <t>https://www.jotform.com/uploads/macarewecare/222927978372067/6180896965017435761/6180896965017435761_signature_28.png</t>
  </si>
  <si>
    <t>https://www.jotform.com/uploads/macarewecare/222927978372067/6180896965017435761/6180896965017435761_signature_31.png</t>
  </si>
  <si>
    <t>https://www.jotform.com/uploads/macarewecare/222927978372067/6180805123615545157/6180805123615545157_signature_28.png</t>
  </si>
  <si>
    <t>https://www.jotform.com/uploads/macarewecare/222927978372067/6180805123615545157/6180805123615545157_signature_31.png</t>
  </si>
  <si>
    <t>Unit for preventive maintenance.
For module replacement of module B3.</t>
  </si>
  <si>
    <t>GX module (210113012) in replacement to defective (210081555).</t>
  </si>
  <si>
    <t>DR#12859</t>
  </si>
  <si>
    <t>https://www.jotform.com/uploads/macarewecare/222927978372067/6180788250118392613/6180788250118392613_signature_28.png</t>
  </si>
  <si>
    <t>https://www.jotform.com/uploads/macarewecare/222927978372067/6180788250118392613/6180788250118392613_signature_31.png</t>
  </si>
  <si>
    <t>Tb/hiv laboratory</t>
  </si>
  <si>
    <t>geccaprocianos@gmail.com</t>
  </si>
  <si>
    <t>. Monthly preventive maintenance.
. Error code while running all modules 2008</t>
  </si>
  <si>
    <t>Save Installation qualifications report. 
Save System log reports
Save Assay statistics report.</t>
  </si>
  <si>
    <t>Perform preventive maintenance</t>
  </si>
  <si>
    <t>https://www.jotform.com/uploads/macarewecare/222927978372067/6180787836225647700/6180787836225647700_signature_28.png</t>
  </si>
  <si>
    <t>https://www.jotform.com/uploads/macarewecare/222927978372067/6180787836225647700/6180787836225647700_signature_31.png</t>
  </si>
  <si>
    <t xml:space="preserve">ASSAY: Xpert MTB/RIF Ultra, COUNT: 520
</t>
  </si>
  <si>
    <t>https://www.jotform.com/uploads/macarewecare/222927978372067/6180725137325184190/6180725137325184190_signature_28.png</t>
  </si>
  <si>
    <t>https://www.jotform.com/uploads/macarewecare/222927978372067/6180725137325184190/6180725137325184190_signature_31.png</t>
  </si>
  <si>
    <t xml:space="preserve">ASSAY: Xpert SARS-CoV-2, COUNT: 2994
ASSAY: Xpress SARS-CoV-2_Flu_RSV plus, COUNT: 31
ASSAY: Xpert SARS-CoV-2, COUNT: 2994
ASSAY: Xpress SARS-CoV-2_Flu_RSV plus, COUNT: 55
</t>
  </si>
  <si>
    <t>Perform Genexpert machine Cleaning and maintenance 
Checking of errors/problem 
Data collection</t>
  </si>
  <si>
    <t>https://www.jotform.com/uploads/macarewecare/222927978372067/6180306306866558318/6180306306866558318_signature_28.png</t>
  </si>
  <si>
    <t>Deanne Grace  Cabaña</t>
  </si>
  <si>
    <t>https://www.jotform.com/uploads/macarewecare/222927978372067/6180306306866558318/6180306306866558318_signature_31.png</t>
  </si>
  <si>
    <t>AT1000190123ST0327</t>
  </si>
  <si>
    <t>For repair
For replacement of 2 pcs 12v 7ah battery</t>
  </si>
  <si>
    <t>Replaced and installed 2pcs battery
Checked voltage output 240volts</t>
  </si>
  <si>
    <t>2pcs 12v,7ah battery s/n 533233,533234</t>
  </si>
  <si>
    <t>G7821</t>
  </si>
  <si>
    <t>https://www.jotform.com/uploads/macarewecare/222927978372067/6180022893611615664/6180022893611615664_signature_28.png</t>
  </si>
  <si>
    <t>https://www.jotform.com/uploads/macarewecare/222927978372067/6180022893611615664/6180022893611615664_signature_31.png</t>
  </si>
  <si>
    <t>Macare In-House</t>
  </si>
  <si>
    <t>Cepheid Workstation (Lenovo)</t>
  </si>
  <si>
    <t>Thinkcentre</t>
  </si>
  <si>
    <t>CPH0520F08280</t>
  </si>
  <si>
    <t>Unable to power on.</t>
  </si>
  <si>
    <t>Performed workstation repair.
Replaced mother board, CD-ROM and power supply taken from Lenovo Thinkcentre (SN: PC1132B9).
Tested the unit with GeneXpert machine.</t>
  </si>
  <si>
    <t>Workstation is now operational. For return to site.</t>
  </si>
  <si>
    <t>https://www.jotform.com/uploads/macarewecare/222927978372067/6180022843615712541/6180022843615712541_signature_28.png</t>
  </si>
  <si>
    <t>Macare Medicals, Inc.</t>
  </si>
  <si>
    <t>https://www.jotform.com/uploads/macarewecare/222927978372067/6180022843615712541/6180022843615712541_signature_31.png</t>
  </si>
  <si>
    <t>Balatas, Naga</t>
  </si>
  <si>
    <t>tin2_citydrug@yahoo.com</t>
  </si>
  <si>
    <t>Gx unit was stored for now and is not used yet due to no available kits.
Checked the location where Gx is placed(no dust)</t>
  </si>
  <si>
    <t>Checked Gx status</t>
  </si>
  <si>
    <t>https://www.jotform.com/uploads/macarewecare/222927978372067/6179891156813482072/6179891156813482072_signature_28.png</t>
  </si>
  <si>
    <t>Christine n. SANTA MARIA</t>
  </si>
  <si>
    <t>https://www.jotform.com/uploads/macarewecare/222927978372067/6179891156813482072/6179891156813482072_signature_31.png</t>
  </si>
  <si>
    <t>gonzagakevin4@gmail.com</t>
  </si>
  <si>
    <t xml:space="preserve">ASSAY: Others, COUNT: 3
ASSAY: Xpert HPV, COUNT: 35
ASSAY: Xpert MTB/RIF Ultra, COUNT: 247
ASSAY: Xpert SARS-CoV-2, COUNT: 1465
ASSAY: Xpert HIV-1 Viral Load, COUNT: 2
</t>
  </si>
  <si>
    <t>Modules not detected.</t>
  </si>
  <si>
    <t>Transferred godo modules to bank A.</t>
  </si>
  <si>
    <t>Checked network switch power supply
Checked connections 
Checked cables
Transferred good modules(701496, 667521 and 690650) to bank A</t>
  </si>
  <si>
    <t>Network switch not operational. Four modules operational. (690650, 701496, 667521, 647085)</t>
  </si>
  <si>
    <t>Defective internal network switch power supply.</t>
  </si>
  <si>
    <t>https://www.jotform.com/uploads/macarewecare/222927978372067/6179887573619456656/6179887573619456656_signature_28.png</t>
  </si>
  <si>
    <t>https://www.jotform.com/uploads/macarewecare/222927978372067/6179887573619456656/6179887573619456656_signature_31.png</t>
  </si>
  <si>
    <t>Wilson St. Greenhills, San Juan City</t>
  </si>
  <si>
    <t>larozaericka25@gmail.com</t>
  </si>
  <si>
    <t>https://www.jotform.com/uploads/macarewecare/222927978372067/6179887423611634676/6179887423611634676_signature_28.png</t>
  </si>
  <si>
    <t>Ericka Laroza</t>
  </si>
  <si>
    <t>https://www.jotform.com/uploads/macarewecare/222927978372067/6179887423611634676/6179887423611634676_signature_31.png</t>
  </si>
  <si>
    <t>Wilson St, Greenhills, San Juan City</t>
  </si>
  <si>
    <t xml:space="preserve">ASSAY: Xpert HBV VL, COUNT: 143
ASSAY: Xpert HPV, COUNT: 50
ASSAY: Xpert MTB/RIF Ultra, COUNT: 1079
</t>
  </si>
  <si>
    <t>https://www.jotform.com/uploads/macarewecare/222927978372067/6179887253618058655/6179887253618058655_signature_28.png</t>
  </si>
  <si>
    <t>https://www.jotform.com/uploads/macarewecare/222927978372067/6179887253618058655/6179887253618058655_signature_31.png</t>
  </si>
  <si>
    <t>Demo</t>
  </si>
  <si>
    <t>Limusave</t>
  </si>
  <si>
    <t>yeye_delacruz@yahoo.com</t>
  </si>
  <si>
    <t>MT-7500</t>
  </si>
  <si>
    <t>For demo/installation</t>
  </si>
  <si>
    <t>Installed the Limusave System</t>
  </si>
  <si>
    <t>Delivered and installed Limusave System:
Limusave MT-7500
Thermostation
Cooling station
UPS
Functionality test</t>
  </si>
  <si>
    <t>https://www.jotform.com/uploads/macarewecare/222927978372067/6179887103614134626/6179887103614134626_signature_28.png</t>
  </si>
  <si>
    <t>https://www.jotform.com/uploads/macarewecare/222927978372067/6179887103614134626/6179887103614134626_signature_31.png</t>
  </si>
  <si>
    <t>Kalinga Health Hub - Marikina</t>
  </si>
  <si>
    <t>JP Rizal St. Marikina City</t>
  </si>
  <si>
    <t>bryllcruz08@gmail.com</t>
  </si>
  <si>
    <t xml:space="preserve">ASSAY: Xpert MTB/RIF Ultra, COUNT: 1610
</t>
  </si>
  <si>
    <t>Unit is operational. Module B2 under observation for error 5007.</t>
  </si>
  <si>
    <t>https://www.jotform.com/uploads/macarewecare/222927978372067/6179886493616703557/6179886493616703557_signature_28.png</t>
  </si>
  <si>
    <t>Lorenzo Bryll Cruz</t>
  </si>
  <si>
    <t>https://www.jotform.com/uploads/macarewecare/222927978372067/6179886493616703557/6179886493616703557_signature_31.png</t>
  </si>
  <si>
    <t xml:space="preserve">ASSAY: Xpert BCR-ABL Ultra, COUNT: 60
ASSAY: Xpert CT/NG, COUNT: 41
ASSAY: Others, COUNT: 2
ASSAY: Xpert HBV VL, COUNT: 637
ASSAY: Xpert HPV, COUNT: 404
ASSAY: Xpert MTB/RIF Ultra, COUNT: 6283
ASSAY: Xpert MTB-XDR, COUNT: 3
ASSAY: Others, COUNT: 1
ASSAY: Xpert HCV VL, COUNT: 137
ASSAY: Xpert HIV-1 Viral Load, COUNT: 856
ASSAY: Xpress SARS-CoV-2_Flu_RSV plus, COUNT: 1381
</t>
  </si>
  <si>
    <t>Performed maintenance 
Cleaned:
-cartridge bay 
-plunger 
-filter
Generated gxx file 
Generated reports</t>
  </si>
  <si>
    <t>https://www.jotform.com/uploads/macarewecare/222927978372067/6179886263611563511/6179886263611563511_signature_28.png</t>
  </si>
  <si>
    <t>Kristine Parilla</t>
  </si>
  <si>
    <t>https://www.jotform.com/uploads/macarewecare/222927978372067/6179886263611563511/6179886263611563511_signature_31.png</t>
  </si>
  <si>
    <t>Stuck Cartridges in Modules 1,2 and 3</t>
  </si>
  <si>
    <t>- Removed Stuck Cartridges in Modules 2 and 3
- Cleaned Cartridge Bays, Plunger Rods and I-CORE 
- Generated Reports</t>
  </si>
  <si>
    <t>Removed stuck cartridges</t>
  </si>
  <si>
    <t>https://www.jotform.com/uploads/macarewecare/222927978372067/6179857065711910091/6179857065711910091_signature_28.png</t>
  </si>
  <si>
    <t>https://www.jotform.com/uploads/macarewecare/222927978372067/6179857065711910091/6179857065711910091_signature_31.png</t>
  </si>
  <si>
    <t>GX4-2D</t>
  </si>
  <si>
    <t>For standby and installation</t>
  </si>
  <si>
    <t>Delivered and installed unit
Upload ADF 
Test run unit</t>
  </si>
  <si>
    <t>https://www.jotform.com/uploads/macarewecare/222927978372067/6179800843617308909/6179800843617308909_signature_28.png</t>
  </si>
  <si>
    <t>https://www.jotform.com/uploads/macarewecare/222927978372067/6179800843617308909/6179800843617308909_signature_31.png</t>
  </si>
  <si>
    <t>Indiko plus</t>
  </si>
  <si>
    <t>For replacement of timing belt and dispensing probe</t>
  </si>
  <si>
    <t>Delivered and installed timing belt and dispensing probe.
Performed functionality test
Checked parameters
Test run unit</t>
  </si>
  <si>
    <t>Unit operational
Ready to use</t>
  </si>
  <si>
    <t>Timing belt
Dispensing probe</t>
  </si>
  <si>
    <t>https://www.jotform.com/uploads/macarewecare/222927978372067/6179800443611107770/6179800443611107770_signature_28.png</t>
  </si>
  <si>
    <t>Janette Quirino</t>
  </si>
  <si>
    <t>https://www.jotform.com/uploads/macarewecare/222927978372067/6179800443611107770/6179800443611107770_signature_31.png</t>
  </si>
  <si>
    <t>ireneclumicao09@gmail.com</t>
  </si>
  <si>
    <t xml:space="preserve">ASSAY: Xpert MTB/RIF Ultra, COUNT: 188
ASSAY: Xpert HIV-1 Viral Load, COUNT: 2
ASSAY: Xpress SARS-CoV-2_Flu_RSV plus, COUNT: 52
</t>
  </si>
  <si>
    <t>Module A2: 720228 for replacement</t>
  </si>
  <si>
    <t>Unit is operational 
A2 new Module: 220021213</t>
  </si>
  <si>
    <t>Genexpert module SN: 220021213</t>
  </si>
  <si>
    <t>https://www.jotform.com/uploads/macarewecare/222927978372067/6178365403524378727/6178365403524378727_signature_28.png</t>
  </si>
  <si>
    <t>Irene Lumicao</t>
  </si>
  <si>
    <t>https://www.jotform.com/uploads/macarewecare/222927978372067/6178365403524378727/6178365403524378727_signature_31.png</t>
  </si>
  <si>
    <t>brendagonzagaparedes@gmail.com</t>
  </si>
  <si>
    <t xml:space="preserve">ASSAY: Xpert MTB/RIF Ultra, COUNT: 1450
</t>
  </si>
  <si>
    <t>Preventive Maintenance monthly</t>
  </si>
  <si>
    <t>Performed Preventive Maintenance, Clean ICore, Plunger, Filter, Cartridge Bay
Check UPS and Printer, Bar Code
Generate System log, and Archive database</t>
  </si>
  <si>
    <t>All modules functional.</t>
  </si>
  <si>
    <t>https://www.jotform.com/uploads/macarewecare/222927978372067/6178101070803377480/6178101070803377480_signature_28.png</t>
  </si>
  <si>
    <t>Brenda Paredes, RMT</t>
  </si>
  <si>
    <t>https://www.jotform.com/uploads/macarewecare/222927978372067/6178101070803377480/6178101070803377480_signature_31.png</t>
  </si>
  <si>
    <t>https://www.jotform.com/uploads/macarewecare/222927978372067/6177450633119759893/6177450633119759893_signature_28.png</t>
  </si>
  <si>
    <t>Cristian Palteng</t>
  </si>
  <si>
    <t>https://www.jotform.com/uploads/macarewecare/222927978372067/6177450633119759893/6177450633119759893_signature_31.png</t>
  </si>
  <si>
    <t>National Hiway, Bindoy, Negros Oriental</t>
  </si>
  <si>
    <t>bindoydistricthosp.laboratory@gmail.com</t>
  </si>
  <si>
    <t xml:space="preserve">ASSAY: Xpert MTB/RIF Ultra, COUNT: 301
</t>
  </si>
  <si>
    <t>Defective UPS, No power backup during power interruptions.</t>
  </si>
  <si>
    <t>-Replaced batteries for UPS, with new set of batteries: 2 pcs 12 V 9AH.
- Functional testing for UPS.
- Replaced batteries for wireless keyboard and mouse.</t>
  </si>
  <si>
    <t>4 modules operational; UPS functional and with backup power during simulated power interruption.</t>
  </si>
  <si>
    <t>https://www.jotform.com/uploads/macarewecare/222927978372067/6177422107654872663/6177422107654872663_signature_28.png</t>
  </si>
  <si>
    <t>LEMUEL QUIRIT RMT</t>
  </si>
  <si>
    <t>https://www.jotform.com/uploads/macarewecare/222927978372067/6177422107654872663/6177422107654872663_signature_31.png</t>
  </si>
  <si>
    <t xml:space="preserve">ASSAY: Xpert MTB/RIF Ultra, COUNT: 1884
</t>
  </si>
  <si>
    <t>Module B3 H/W failed</t>
  </si>
  <si>
    <t>All other modules are functional. Module B3 failed XpertCheck, for replacement.</t>
  </si>
  <si>
    <t>https://www.jotform.com/uploads/macarewecare/222927978372067/6177391882598036932/6177391882598036932_signature_28.png</t>
  </si>
  <si>
    <t>https://www.jotform.com/uploads/macarewecare/222927978372067/6177391882598036932/6177391882598036932_signature_31.png</t>
  </si>
  <si>
    <t>NUEVA VALENCIA RURAL HEALTH UNIT</t>
  </si>
  <si>
    <t>NUEVA VALENCIA, GUIMARAS</t>
  </si>
  <si>
    <t>xxxrhingringxxx@gmail.com</t>
  </si>
  <si>
    <t xml:space="preserve">ASSAY: Xpert MTB/RIF Ultra, COUNT: 533
</t>
  </si>
  <si>
    <t>https://www.jotform.com/uploads/macarewecare/222927978372067/6177381186534756258/6177381186534756258_signature_28.png</t>
  </si>
  <si>
    <t>Rhea April Q Jaleco, RMT</t>
  </si>
  <si>
    <t>https://www.jotform.com/uploads/macarewecare/222927978372067/6177381186534756258/6177381186534756258_signature_31.png</t>
  </si>
  <si>
    <t xml:space="preserve">ASSAY: Xpert MTB/RIF Ultra, COUNT: 195
</t>
  </si>
  <si>
    <t>https://www.jotform.com/uploads/macarewecare/222927978372067/6177377833528479994/6177377833528479994_signature_28.png</t>
  </si>
  <si>
    <t>Floryvy Antonio</t>
  </si>
  <si>
    <t>https://www.jotform.com/uploads/macarewecare/222927978372067/6177377833528479994/6177377833528479994_signature_31.png</t>
  </si>
  <si>
    <t>Hospital drive Brgy San Vicente Tarlac City</t>
  </si>
  <si>
    <t>https://www.jotform.com/uploads/macarewecare/222927978372067/6177377153529505354/6177377153529505354_signature_28.png</t>
  </si>
  <si>
    <t>https://www.jotform.com/uploads/macarewecare/222927978372067/6177377153529505354/6177377153529505354_signature_31.png</t>
  </si>
  <si>
    <t xml:space="preserve">ASSAY: Xpert MTB/RIF, COUNT: 1122
</t>
  </si>
  <si>
    <t>-Due for Preventive Maintenance. 
- UPS during power failure did not provide back up power. Needs for replacement
Defective UPS SN# AT1000190402ST0465</t>
  </si>
  <si>
    <t>Performed Preventive Maintenance, Clean ICore, Plunger, Filter, Cartridge Bay</t>
  </si>
  <si>
    <t>https://www.jotform.com/uploads/macarewecare/222927978372067/6177186410804692110/6177186410804692110_signature_28.png</t>
  </si>
  <si>
    <t>Raul Galano, RMT</t>
  </si>
  <si>
    <t>https://www.jotform.com/uploads/macarewecare/222927978372067/6177186410804692110/6177186410804692110_signature_31.png</t>
  </si>
  <si>
    <t xml:space="preserve">ASSAY: Xpert MTB/RIF Ultra, COUNT: 4852
</t>
  </si>
  <si>
    <t>Unit for Preventive Maintenance.
Unit for Xpertcheck.</t>
  </si>
  <si>
    <t>Preventive Maintenance and Xpertcheck.</t>
  </si>
  <si>
    <t>Unit is operational. 
Failed Modules:
210075770/A2 
210075498/A3 
210082298/B1 
210075410/C3</t>
  </si>
  <si>
    <t>Xpertcheck Kit (4 boxes).</t>
  </si>
  <si>
    <t>DR#12836</t>
  </si>
  <si>
    <t>https://www.jotform.com/uploads/macarewecare/222927978372067/6176558838028297768/6176558838028297768_signature_28.png</t>
  </si>
  <si>
    <t>https://www.jotform.com/uploads/macarewecare/222927978372067/6176558838028297768/6176558838028297768_signature_31.png</t>
  </si>
  <si>
    <t>Unit for maintenance
Errors on B2, B3</t>
  </si>
  <si>
    <t>- checked and cleaned cartridge bay, plunger rod, filter, icore slot 
- generated reports
- scanned system logs for hardware errors (5007 on B2, temp. errors on B3)
- performed self test</t>
  </si>
  <si>
    <t>Unit is operational
Unit is due for calibration (Mar. 21, 2025)</t>
  </si>
  <si>
    <t>https://www.jotform.com/uploads/macarewecare/222927978372067/6176505193111394662/6176505193111394662_signature_28.png</t>
  </si>
  <si>
    <t>https://www.jotform.com/uploads/macarewecare/222927978372067/6176505193111394662/6176505193111394662_signature_31.png</t>
  </si>
  <si>
    <t>Cleaned centrifuge
Plugged unit to UPS</t>
  </si>
  <si>
    <t>https://www.jotform.com/uploads/macarewecare/222927978372067/6176481839029377749/6176481839029377749_signature_28.png</t>
  </si>
  <si>
    <t>Ruel Cruz</t>
  </si>
  <si>
    <t>https://www.jotform.com/uploads/macarewecare/222927978372067/6176481839029377749/6176481839029377749_signature_31.png</t>
  </si>
  <si>
    <t>TB LABORATORY</t>
  </si>
  <si>
    <t>buraeunlab@gmail.com</t>
  </si>
  <si>
    <t xml:space="preserve">ASSAY: Xpert MTB/RIF Ultra, COUNT: 486
</t>
  </si>
  <si>
    <t>https://www.jotform.com/uploads/macarewecare/222927978372067/6176457421516715081/6176457421516715081_signature_28.png</t>
  </si>
  <si>
    <t>https://www.jotform.com/uploads/macarewecare/222927978372067/6176457421516715081/6176457421516715081_signature_31.png</t>
  </si>
  <si>
    <t>There's a mixture between platelet and red blood.</t>
  </si>
  <si>
    <t>Installation of Incident Reporting Qr and Conversion factor sticker
For observation due to the problem of a mix platelet and red blood.</t>
  </si>
  <si>
    <t>https://www.jotform.com/uploads/macarewecare/222927978372067/6176454799536760761/6176454799536760761_signature_28.png</t>
  </si>
  <si>
    <t>Karen Torniado</t>
  </si>
  <si>
    <t>https://www.jotform.com/uploads/macarewecare/222927978372067/6176454799536760761/6176454799536760761_signature_31.png</t>
  </si>
  <si>
    <t xml:space="preserve">ASSAY: Xpert MTB/RIF Ultra, COUNT: Na
</t>
  </si>
  <si>
    <t>- NO POWER(SYSTEM UNIT &amp; UPS)</t>
  </si>
  <si>
    <t>-ON-SITE STAFF REPLACEMENT OF UPS FUSE
-INSPECT SYSTEM UNIT, CONFIRMED NO POWER(SN: *CPH0320F05928*)
-PERFORM SYSTEM UNIT TROUBLESHOOTING, NO POWER ISSUE PERSISTS
-PERFORM GENEXPERT PREVENTIVE MAINTENANCE PROCEDURE</t>
  </si>
  <si>
    <t>SYSTEM UNIT FOR REPORTING TO CEPHEID</t>
  </si>
  <si>
    <t>https://www.jotform.com/uploads/macarewecare/222927978372067/6176385844111126328/6176385844111126328_signature_28.png</t>
  </si>
  <si>
    <t>https://www.jotform.com/uploads/macarewecare/222927978372067/6176385844111126328/6176385844111126328_signature_31.png</t>
  </si>
  <si>
    <t>Module 1 and 3 encounter multiple temperature related errors
Due for Preventive Maintenance</t>
  </si>
  <si>
    <t>Clean Surface Area, Cartridge Bay, Plunger Rod, Fan Filters and Icore Lenses
Generate IQR, Assay Stat and System Log
Run XPC on Module 1 and 3</t>
  </si>
  <si>
    <t>Module 3 for Service Required
Module 1 passed
Only three Modules are operational</t>
  </si>
  <si>
    <t>Module 1 for under observation</t>
  </si>
  <si>
    <t>https://www.jotform.com/uploads/macarewecare/222927978372067/6176071398019448153/6176071398019448153_signature_28.png</t>
  </si>
  <si>
    <t>Lolijell Torralba</t>
  </si>
  <si>
    <t>https://www.jotform.com/uploads/macarewecare/222927978372067/6176071398019448153/6176071398019448153_signature_31.png</t>
  </si>
  <si>
    <t>Unit for maintenance.
For module replacement of module D4.</t>
  </si>
  <si>
    <t>GX module D4 (609286) in replacement to defective D4 (633865).</t>
  </si>
  <si>
    <t>DR#12828</t>
  </si>
  <si>
    <t>https://www.jotform.com/uploads/macarewecare/222927978372067/6175785220655140081/6175785220655140081_signature_28.png</t>
  </si>
  <si>
    <t>https://www.jotform.com/uploads/macarewecare/222927978372067/6175785220655140081/6175785220655140081_signature_31.png</t>
  </si>
  <si>
    <t>laboratory.mhotagoloan@gmail.com</t>
  </si>
  <si>
    <t>Module B2 found temperature errors
Date and time always changing</t>
  </si>
  <si>
    <t>CMOS replacement
Module B2 reported to Cepheid</t>
  </si>
  <si>
    <t>CMOS Battery Replacement
Preventive Maintenance
Data Collection</t>
  </si>
  <si>
    <t>3 module functional, 1 module for replacement</t>
  </si>
  <si>
    <t>https://www.jotform.com/uploads/macarewecare/222927978372067/6175759986453509015/6175759986453509015_signature_28.png</t>
  </si>
  <si>
    <t>https://www.jotform.com/uploads/macarewecare/222927978372067/6175759986453509015/6175759986453509015_signature_31.png</t>
  </si>
  <si>
    <t xml:space="preserve">ASSAY: Xpert MTB/RIF Ultra, COUNT: 973
</t>
  </si>
  <si>
    <t>-Module B1 and B2 error 2005
-Due for PM</t>
  </si>
  <si>
    <t>-Preventive Maintenance; plunger rod, optic slot, fan filter, cartridge bay
-Run XpertCheck on module B1 and B2
-Run dummy test on module B1 and B2</t>
  </si>
  <si>
    <t>-Preventive Maintenance; plunger rod, optic slot, fan filter, cartridge bay</t>
  </si>
  <si>
    <t>https://www.jotform.com/uploads/macarewecare/222927978372067/6175759114569354670/6175759114569354670_signature_28.png</t>
  </si>
  <si>
    <t>https://www.jotform.com/uploads/macarewecare/222927978372067/6175759114569354670/6175759114569354670_signature_31.png</t>
  </si>
  <si>
    <t>bailynmali10@gmail.com</t>
  </si>
  <si>
    <t xml:space="preserve">ASSAY: Xpert MTB/RIF Ultra, COUNT: 671
</t>
  </si>
  <si>
    <t>Perform CPU repair 
Perform Genexpert machine Cleaning and maintenance 
Checking of errors/problem 
Problem/errors reporting 
Data collection</t>
  </si>
  <si>
    <t>Cpu troubleshooting and repair 
Genexpert machine Preventive maintenance</t>
  </si>
  <si>
    <t>https://www.jotform.com/uploads/macarewecare/222927978372067/6175744785676168730/6175744785676168730_signature_28.png</t>
  </si>
  <si>
    <t>Bailyn Ali</t>
  </si>
  <si>
    <t>https://www.jotform.com/uploads/macarewecare/222927978372067/6175744785676168730/6175744785676168730_signature_31.png</t>
  </si>
  <si>
    <t xml:space="preserve">ASSAY: Xpert MTB/RIF Ultra, COUNT: 672
</t>
  </si>
  <si>
    <t>Genexpert temperature not within acceptable range</t>
  </si>
  <si>
    <t>Perform Genexpert maintenance and cleaning 
Checking of errors 
Problem/errors reporting 
Data collection</t>
  </si>
  <si>
    <t>https://www.jotform.com/uploads/macarewecare/222927978372067/6175741825673002156/6175741825673002156_signature_28.png</t>
  </si>
  <si>
    <t>https://www.jotform.com/uploads/macarewecare/222927978372067/6175741825673002156/6175741825673002156_signature_31.png</t>
  </si>
  <si>
    <t>Module 2 SN:685448 H/W failed due to multiple temperature errors (error 1002)</t>
  </si>
  <si>
    <t>Perform XPC Calibration at module 2 for troubleshooting 
Perform Genexpert Cleaning and maintenance 
Checking of errors/problem 
Problem/errors reporting 
Data collection</t>
  </si>
  <si>
    <t>Genexpert module 2 troubleshooting 
Genexpert machine Preventive maintenance</t>
  </si>
  <si>
    <t>3 functional modules 
XPC troubleshooting results:
Module 2 SN:68544 - Service Required</t>
  </si>
  <si>
    <t>https://www.jotform.com/uploads/macarewecare/222927978372067/6175741805675062595/6175741805675062595_signature_28.png</t>
  </si>
  <si>
    <t>https://www.jotform.com/uploads/macarewecare/222927978372067/6175741805675062595/6175741805675062595_signature_31.png</t>
  </si>
  <si>
    <t>. Save System Log file. 
. Save Installation Qualification Report
. Save assay statistics report. 
. Save GXC file</t>
  </si>
  <si>
    <t>Perform calibration for module 1,3 and 4 only with LOT# 06701</t>
  </si>
  <si>
    <t>Module 1,3 and 4 passed for calibration.</t>
  </si>
  <si>
    <t>https://www.jotform.com/uploads/macarewecare/222927978372067/6175690932265117854/6175690932265117854_signature_28.png</t>
  </si>
  <si>
    <t>Maryjune B. Bangalando</t>
  </si>
  <si>
    <t>https://www.jotform.com/uploads/macarewecare/222927978372067/6175690932265117854/6175690932265117854_signature_31.png</t>
  </si>
  <si>
    <t>Defective LCD monitor</t>
  </si>
  <si>
    <t>Preventive Maintenance - cleaned filter, plunger rods, module bays, optic slots.</t>
  </si>
  <si>
    <t>Replaced LCD monitor with model HP Elite Display E19Oi, SN CN45130SCV.</t>
  </si>
  <si>
    <t>DR 12758</t>
  </si>
  <si>
    <t>https://www.jotform.com/uploads/macarewecare/222927978372067/6175681785396559779/6175681785396559779_signature_28.png</t>
  </si>
  <si>
    <t>MIRA LUNA E PASCUAL</t>
  </si>
  <si>
    <t>https://www.jotform.com/uploads/macarewecare/222927978372067/6175681785396559779/6175681785396559779_signature_31.png</t>
  </si>
  <si>
    <t>gemmarryp@gmail.com</t>
  </si>
  <si>
    <t xml:space="preserve">ASSAY: Xpert C. difficile BT, COUNT: 2
ASSAY: Xpert HIV-1 Viral Load, COUNT: 104
ASSAY: Xpert HPV, COUNT: 40
ASSAY: Xpert MTB/RIF Ultra, COUNT: 157
ASSAY: Xpert SARS-CoV-2, COUNT: 149
</t>
  </si>
  <si>
    <t>Cleaned cartridge bays, plunger rod, Gx fan, fan filter
Generate Data</t>
  </si>
  <si>
    <t>Date and Time reset(CPU)</t>
  </si>
  <si>
    <t>https://www.jotform.com/uploads/macarewecare/222927978372067/6175678734438571406/6175678734438571406_signature_28.png</t>
  </si>
  <si>
    <t>Gemmarry R. Pielago</t>
  </si>
  <si>
    <t>https://www.jotform.com/uploads/macarewecare/222927978372067/6175678734438571406/6175678734438571406_signature_31.png</t>
  </si>
  <si>
    <t xml:space="preserve">ASSAY: Xpert MTB/RIF Ultra, COUNT: 593
</t>
  </si>
  <si>
    <t>N/@</t>
  </si>
  <si>
    <t>https://www.jotform.com/uploads/macarewecare/222927978372067/6175669441817144207/6175669441817144207_signature_28.png</t>
  </si>
  <si>
    <t>Lorna C.Abaigar</t>
  </si>
  <si>
    <t>https://www.jotform.com/uploads/macarewecare/222927978372067/6175669441817144207/6175669441817144207_signature_31.png</t>
  </si>
  <si>
    <t>https://www.jotform.com/uploads/macarewecare/222927978372067/6175652258931324951/6175652258931324951_signature_28.png</t>
  </si>
  <si>
    <t>https://www.jotform.com/uploads/macarewecare/222927978372067/6175652258931324951/6175652258931324951_signature_31.png</t>
  </si>
  <si>
    <t xml:space="preserve">ASSAY: Xpert MTB/RIF Ultra, COUNT: 827
</t>
  </si>
  <si>
    <t>https://www.jotform.com/uploads/macarewecare/222927978372067/6175617444852729063/6175617444852729063_signature_28.png</t>
  </si>
  <si>
    <t>https://www.jotform.com/uploads/macarewecare/222927978372067/6175617444852729063/6175617444852729063_signature_31.png</t>
  </si>
  <si>
    <t>Sample dispenser initialization failed
Deform sample probe
Broken sample dispenser belt vertical</t>
  </si>
  <si>
    <t>Checked sample probe</t>
  </si>
  <si>
    <t>For replacement of sample probe</t>
  </si>
  <si>
    <t>https://www.jotform.com/uploads/macarewecare/222927978372067/6175608153618738492/6175608153618738492_signature_28.png</t>
  </si>
  <si>
    <t>https://www.jotform.com/uploads/macarewecare/222927978372067/6175608153618738492/6175608153618738492_signature_31.png</t>
  </si>
  <si>
    <t>Amorsolo st., Makati City</t>
  </si>
  <si>
    <t xml:space="preserve">ASSAY: Xpert BCR-ABL Ultra, COUNT: 258
ASSAY: Xpert CT/NG, COUNT: 832
ASSAY: Xpert HBV VL, COUNT: 31
ASSAY: Xpert HPV, COUNT: 685
ASSAY: Xpert MTB/RIF Ultra, COUNT: 3650
ASSAY: Others, COUNT: 14
ASSAY: Xpert HCV VL, COUNT: 116
ASSAY: Xpert HIV-1 Viral Load, COUNT: 2119
</t>
  </si>
  <si>
    <t>B4 encounter continous 5007 error</t>
  </si>
  <si>
    <t>Cleaned plunger rod,filter,icore,cartridge bay
Performed reagent running
Gathered reports
Test run unit</t>
  </si>
  <si>
    <t>B4 module passed reagent running in mtb rif ultra
B1 reported already
B2,B3 failed xpert check 12/5/2024 reported already</t>
  </si>
  <si>
    <t>Xpert MTB/RIF Ultra</t>
  </si>
  <si>
    <t>https://www.jotform.com/uploads/macarewecare/222927978372067/6175607623616081308/6175607623616081308_signature_28.png</t>
  </si>
  <si>
    <t>https://www.jotform.com/uploads/macarewecare/222927978372067/6175607623616081308/6175607623616081308_signature_31.png</t>
  </si>
  <si>
    <t>-Preventive Maintenance; cartridge bay, plunger rod, fan filter, optic slot</t>
  </si>
  <si>
    <t>Machine is functional. Module B1 waiting for replacement.</t>
  </si>
  <si>
    <t>https://www.jotform.com/uploads/macarewecare/222927978372067/6175603516768480713/6175603516768480713_signature_28.png</t>
  </si>
  <si>
    <t>https://www.jotform.com/uploads/macarewecare/222927978372067/6175603516768480713/6175603516768480713_signature_31.png</t>
  </si>
  <si>
    <t>Replaced CPU
Adjust/checked Gx information
Installed mtb rif ultra assay
Generate Data</t>
  </si>
  <si>
    <t>https://www.jotform.com/uploads/macarewecare/222927978372067/6175586104857171473/6175586104857171473_signature_28.png</t>
  </si>
  <si>
    <t>https://www.jotform.com/uploads/macarewecare/222927978372067/6175586104857171473/6175586104857171473_signature_31.png</t>
  </si>
  <si>
    <t>Santa Cruz Sur, Iriga</t>
  </si>
  <si>
    <t xml:space="preserve">ASSAY: Xpert MTB/RIF Ultra, COUNT: 1037
</t>
  </si>
  <si>
    <t>https://www.jotform.com/uploads/macarewecare/222927978372067/6175584344854894408/6175584344854894408_signature_28.png</t>
  </si>
  <si>
    <t>https://www.jotform.com/uploads/macarewecare/222927978372067/6175584344854894408/6175584344854894408_signature_31.png</t>
  </si>
  <si>
    <t>Santa Cruz Sur</t>
  </si>
  <si>
    <t xml:space="preserve">ASSAY: Xpert MTB/RIF Ultra, COUNT: 1q06
</t>
  </si>
  <si>
    <t>B4/210040454 for module replacement</t>
  </si>
  <si>
    <t>Replaced module: B4 - 210040454&gt;&gt;210008370
Cleaned cartridge bays, plunger rod 
Generate Data</t>
  </si>
  <si>
    <t>Replaced B4/210040454
Performed Preventive Maintenance</t>
  </si>
  <si>
    <t>https://www.jotform.com/uploads/macarewecare/222927978372067/6175582964859603138/6175582964859603138_signature_28.png</t>
  </si>
  <si>
    <t>https://www.jotform.com/uploads/macarewecare/222927978372067/6175582964859603138/6175582964859603138_signature_31.png</t>
  </si>
  <si>
    <t>CPU restarts every few seconds
CPU hard to power on</t>
  </si>
  <si>
    <t>Installed CPU(no cables)
Cleaned cartridge bays, plunger rod</t>
  </si>
  <si>
    <t>Performed Troubleshooting 
CPU replacement 
Preventive Maintenance</t>
  </si>
  <si>
    <t>Unit is not operational 
CPU not installed (will purchase cable)</t>
  </si>
  <si>
    <t>Will purchase VGA to Display port cable for monitor to cpu connection</t>
  </si>
  <si>
    <t>https://www.jotform.com/uploads/macarewecare/222927978372067/6175578404856569923/6175578404856569923_signature_28.png</t>
  </si>
  <si>
    <t>https://www.jotform.com/uploads/macarewecare/222927978372067/6175578404856569923/6175578404856569923_signature_31.png</t>
  </si>
  <si>
    <t>East Avenue, Quezon City</t>
  </si>
  <si>
    <t>Clinical Immunology</t>
  </si>
  <si>
    <t>MT-7500E</t>
  </si>
  <si>
    <t>Installed Limusave System</t>
  </si>
  <si>
    <t>MT-7500E SN: 37020507
Thermostation SN: 36920310
Cooling Station SN: 23050048</t>
  </si>
  <si>
    <t>DR 12776</t>
  </si>
  <si>
    <t>https://www.jotform.com/uploads/macarewecare/222927978372067/6175511023613903050/6175511023613903050_signature_28.png</t>
  </si>
  <si>
    <t>https://www.jotform.com/uploads/macarewecare/222927978372067/6175511023613903050/6175511023613903050_signature_31.png</t>
  </si>
  <si>
    <t xml:space="preserve">ASSAY: Xpert MTB/RIF Ultra, COUNT: 869
ASSAY: Xpert HIV-1 Viral Load, COUNT: 4
</t>
  </si>
  <si>
    <t>https://www.jotform.com/uploads/macarewecare/222927978372067/6174921346816411446/6174921346816411446_signature_28.png</t>
  </si>
  <si>
    <t>https://www.jotform.com/uploads/macarewecare/222927978372067/6174921346816411446/6174921346816411446_signature_31.png</t>
  </si>
  <si>
    <t xml:space="preserve">ASSAY: Xpert MTB/RIF Ultra, COUNT: 1843
</t>
  </si>
  <si>
    <t>-MODULE B2 ERROR 1002</t>
  </si>
  <si>
    <t>EQUIPMENT IS OPERATIONAL , MODULE B2 FOR REPORTING</t>
  </si>
  <si>
    <t>https://www.jotform.com/uploads/macarewecare/222927978372067/6174918856813214959/6174918856813214959_signature_28.png</t>
  </si>
  <si>
    <t>https://www.jotform.com/uploads/macarewecare/222927978372067/6174918856813214959/6174918856813214959_signature_31.png</t>
  </si>
  <si>
    <t>Chong hua hospital - mandaue</t>
  </si>
  <si>
    <t>chhm_bloodbank_@chonghua.com.ph</t>
  </si>
  <si>
    <t>gerardo_ochea@chonghua.com.ph</t>
  </si>
  <si>
    <t>Due date for PM and calibration</t>
  </si>
  <si>
    <t>Preventive Maintenance and Diagnostics Calibration</t>
  </si>
  <si>
    <t>Systems operational
No machine parts were replaced during calibration and Preventive Maintenance</t>
  </si>
  <si>
    <t>https://www.jotform.com/uploads/macarewecare/222927978372067/6174766427793655161/6174766427793655161_signature_28.png</t>
  </si>
  <si>
    <t>Chonghua hospital mandaue</t>
  </si>
  <si>
    <t>https://www.jotform.com/uploads/macarewecare/222927978372067/6174766427793655161/6174766427793655161_signature_31.png</t>
  </si>
  <si>
    <t>jennyquintero90@yahoo.com</t>
  </si>
  <si>
    <t>Unit is operational
Unit has not been used yet</t>
  </si>
  <si>
    <t>https://www.jotform.com/uploads/macarewecare/222927978372067/6174756207812733843/6174756207812733843_signature_28.png</t>
  </si>
  <si>
    <t>Jenny Quintero</t>
  </si>
  <si>
    <t>https://www.jotform.com/uploads/macarewecare/222927978372067/6174756207812733843/6174756207812733843_signature_31.png</t>
  </si>
  <si>
    <t xml:space="preserve">ASSAY: Xpert MTB/RIF Ultra, COUNT: 393
</t>
  </si>
  <si>
    <t>-Preventive Maintenance; plunger rod, fan filter, cartridge bay, optic slot</t>
  </si>
  <si>
    <t>https://www.jotform.com/uploads/macarewecare/222927978372067/6174739227611685416/6174739227611685416_signature_28.png</t>
  </si>
  <si>
    <t>https://www.jotform.com/uploads/macarewecare/222927978372067/6174739227611685416/6174739227611685416_signature_31.png</t>
  </si>
  <si>
    <t>Macare In house</t>
  </si>
  <si>
    <t>1005 Aurora Grand, QC</t>
  </si>
  <si>
    <t>1KVA UPS</t>
  </si>
  <si>
    <t>No power 
Drain battery</t>
  </si>
  <si>
    <t>Checked unit 
Checked and test battery voltage output 4volts</t>
  </si>
  <si>
    <t>For repair for replacement of 2 pcs battery</t>
  </si>
  <si>
    <t>https://www.jotform.com/uploads/macarewecare/222927978372067/6174025943616195067/6174025943616195067_signature_28.png</t>
  </si>
  <si>
    <t>https://www.jotform.com/uploads/macarewecare/222927978372067/6174025943616195067/6174025943616195067_signature_31.png</t>
  </si>
  <si>
    <t>All modules are functional</t>
  </si>
  <si>
    <t>https://www.jotform.com/uploads/macarewecare/222927978372067/6173876265953906463/6173876265953906463_signature_28.png</t>
  </si>
  <si>
    <t>https://www.jotform.com/uploads/macarewecare/222927978372067/6173876265953906463/6173876265953906463_signature_31.png</t>
  </si>
  <si>
    <t>B1 found temperature related errors</t>
  </si>
  <si>
    <t>Reported to Cepheid</t>
  </si>
  <si>
    <t>Troubleshooting and Preventive Maintenance</t>
  </si>
  <si>
    <t>3 modules functional and 1 module reported.</t>
  </si>
  <si>
    <t>https://www.jotform.com/uploads/macarewecare/222927978372067/6173874695953804928/6173874695953804928_signature_28.png</t>
  </si>
  <si>
    <t>Peter Dolotina</t>
  </si>
  <si>
    <t>https://www.jotform.com/uploads/macarewecare/222927978372067/6173874695953804928/6173874695953804928_signature_31.png</t>
  </si>
  <si>
    <t>Our Lady of Lourdes Hospital</t>
  </si>
  <si>
    <t>mariaysabelle.visda@medilinx.com.ph</t>
  </si>
  <si>
    <t>Unit is operational
Unit is due for calibration (3-20-25)</t>
  </si>
  <si>
    <t>https://www.jotform.com/uploads/macarewecare/222927978372067/6173847253611177932/6173847253611177932_signature_28.png</t>
  </si>
  <si>
    <t>Maria Ysabelle Visda</t>
  </si>
  <si>
    <t>https://www.jotform.com/uploads/macarewecare/222927978372067/6173847253611177932/6173847253611177932_signature_31.png</t>
  </si>
  <si>
    <t xml:space="preserve">ASSAY: Xpert MTB/RIF Ultra, COUNT: 1978
</t>
  </si>
  <si>
    <t>- Cleaned Cartridge Bays, Plunger Rods and I-CORE 
- Replaced Defective Module B1 678653 &gt;&gt;&gt; 210041917
- Generated Reports</t>
  </si>
  <si>
    <t>GeneXpert Module 210041917</t>
  </si>
  <si>
    <t>DR 12771</t>
  </si>
  <si>
    <t>https://www.jotform.com/uploads/macarewecare/222927978372067/6173832228293824474/6173832228293824474_signature_28.png</t>
  </si>
  <si>
    <t>https://www.jotform.com/uploads/macarewecare/222927978372067/6173832228293824474/6173832228293824474_signature_31.png</t>
  </si>
  <si>
    <t>Pasig Blvd Pasig City</t>
  </si>
  <si>
    <t>Checked connections</t>
  </si>
  <si>
    <t>Checked module connections
Checked cables 
Checked internal switch</t>
  </si>
  <si>
    <t>Unit is not operational. For reporting.</t>
  </si>
  <si>
    <t>https://www.jotform.com/uploads/macarewecare/222927978372067/6173774443615278938/6173774443615278938_signature_28.png</t>
  </si>
  <si>
    <t>https://www.jotform.com/uploads/macarewecare/222927978372067/6173774443615278938/6173774443615278938_signature_31.png</t>
  </si>
  <si>
    <t>Champ Bldg, Pasig City</t>
  </si>
  <si>
    <t xml:space="preserve">ASSAY: Xpert HIV-1 Viral Load, COUNT: 253
</t>
  </si>
  <si>
    <t>https://www.jotform.com/uploads/macarewecare/222927978372067/6173774253611167570/6173774253611167570_signature_28.png</t>
  </si>
  <si>
    <t>DAN NATHANIEL SUMULONG</t>
  </si>
  <si>
    <t>https://www.jotform.com/uploads/macarewecare/222927978372067/6173774253611167570/6173774253611167570_signature_31.png</t>
  </si>
  <si>
    <t>https://www.jotform.com/uploads/macarewecare/222927978372067/6173774253611308029/6173774253611308029_signature_28.png</t>
  </si>
  <si>
    <t>https://www.jotform.com/uploads/macarewecare/222927978372067/6173774253611308029/6173774253611308029_signature_31.png</t>
  </si>
  <si>
    <t>Modules not detected</t>
  </si>
  <si>
    <t>Checked connections 
Checked ports
Checked cables
Checked IP address
Swap cable</t>
  </si>
  <si>
    <t>Unit is not operational. For additional troubleshooting.</t>
  </si>
  <si>
    <t>https://www.jotform.com/uploads/macarewecare/222927978372067/6173774253611567941/6173774253611567941_signature_28.png</t>
  </si>
  <si>
    <t>Benita Gracia N. Viloria</t>
  </si>
  <si>
    <t>https://www.jotform.com/uploads/macarewecare/222927978372067/6173774253611567941/6173774253611567941_signature_31.png</t>
  </si>
  <si>
    <t xml:space="preserve">ASSAY: Xpert MTB/RIF Ultra, COUNT: 185
ASSAY: Xpert SARS-CoV-2, COUNT: 262
ASSAY: Xpert HIV-1 Viral Load, COUNT: 69
ASSAY: Xpert SARS-CoV-2, COUNT: 2
ASSAY: Xpress SARS-CoV-2_Flu_RSV plus, COUNT: 9
</t>
  </si>
  <si>
    <t>Due for maintenance B1,B4 reported already due to temp error</t>
  </si>
  <si>
    <t>Cleaned unit
Cleaned plunger rod,filter,icore,cartridge bay
Performed selftest
Gathered reports
Test run unit</t>
  </si>
  <si>
    <t>B3 for reporting 
B1,B4 disabled</t>
  </si>
  <si>
    <t>https://www.jotform.com/uploads/macarewecare/222927978372067/6173756683611386864/6173756683611386864_signature_28.png</t>
  </si>
  <si>
    <t>https://www.jotform.com/uploads/macarewecare/222927978372067/6173756683611386864/6173756683611386864_signature_31.png</t>
  </si>
  <si>
    <t>Kidapawan City, North Cotabato</t>
  </si>
  <si>
    <t xml:space="preserve">ASSAY: Xpert MTB/RIF Ultra, COUNT: 2010
</t>
  </si>
  <si>
    <t>Perform Genexpert Cleaning and maintenance 
Checking of Gx errors/problem 
Data collection</t>
  </si>
  <si>
    <t>https://www.jotform.com/uploads/macarewecare/222927978372067/6173382376311116123/6173382376311116123_signature_28.png</t>
  </si>
  <si>
    <t>Neil Everson Cunanan</t>
  </si>
  <si>
    <t>https://www.jotform.com/uploads/macarewecare/222927978372067/6173382376311116123/6173382376311116123_signature_31.png</t>
  </si>
  <si>
    <t>Purple valve problem, test failure and successive valve error problem during procedure.</t>
  </si>
  <si>
    <t>Replacement of the new pneumatic assembly.</t>
  </si>
  <si>
    <t>https://www.jotform.com/uploads/macarewecare/222927978372067/6173229852111657623/6173229852111657623_signature_28.png</t>
  </si>
  <si>
    <t>https://www.jotform.com/uploads/macarewecare/222927978372067/6173229852111657623/6173229852111657623_signature_31.png</t>
  </si>
  <si>
    <t>Purple valve problem and successive valve error problem during procedure.</t>
  </si>
  <si>
    <t>Pneumatic Assembly defective need to be replace.</t>
  </si>
  <si>
    <t>Reset and check pneumatic assembly of the MCS+ unit.</t>
  </si>
  <si>
    <t>Unit always encountered a valve error problem.</t>
  </si>
  <si>
    <t>https://www.jotform.com/uploads/macarewecare/222927978372067/6172041690807089328/6172041690807089328_signature_28.png</t>
  </si>
  <si>
    <t>https://www.jotform.com/uploads/macarewecare/222927978372067/6172041690807089328/6172041690807089328_signature_31.png</t>
  </si>
  <si>
    <t>Performed calibration on Centrifuge, Weigher, SPM and DPM, Cuff 
Generate Data, calibrate and check line sensor and bowl optics sensitivity test
Performed test run</t>
  </si>
  <si>
    <t>Units is operational.</t>
  </si>
  <si>
    <t>https://www.jotform.com/uploads/macarewecare/222927978372067/6171378238546977916/6171378238546977916_signature_28.png</t>
  </si>
  <si>
    <t>https://www.jotform.com/uploads/macarewecare/222927978372067/6171378238546977916/6171378238546977916_signature_31.png</t>
  </si>
  <si>
    <t>Cebu Doctors Hospital</t>
  </si>
  <si>
    <t>Due date for PM and Calibration</t>
  </si>
  <si>
    <t>Preventive Maintenance 
Haemonitics Calibration</t>
  </si>
  <si>
    <t>https://www.jotform.com/uploads/macarewecare/222927978372067/6171375167794645267/6171375167794645267_signature_28.png</t>
  </si>
  <si>
    <t>CDUH Bloodbank</t>
  </si>
  <si>
    <t>https://www.jotform.com/uploads/macarewecare/222927978372067/6171375167794645267/6171375167794645267_signature_31.png</t>
  </si>
  <si>
    <t>CEBU DOCTORS’ UNIVERSITY HOSPITAL</t>
  </si>
  <si>
    <t xml:space="preserve">ASSAY: Xpert BCR-ABL Ultra, COUNT: 84
ASSAY: Xpert CT/NG, COUNT: 249
ASSAY: Xpert HBV VL, COUNT: 187
ASSAY: Xpert HPV, COUNT: 42
ASSAY: Xpert MTB/RIF Ultra, COUNT: 1132
ASSAY: Xpert HCV VL, COUNT: 147
ASSAY: Xpert HIV-1 Viral Load, COUNT: 22
</t>
  </si>
  <si>
    <t>Module B3 and Module B4 Disabled</t>
  </si>
  <si>
    <t>https://www.jotform.com/uploads/macarewecare/222927978372067/6171364980904708015/6171364980904708015_signature_28.png</t>
  </si>
  <si>
    <t>Jennifer Marie Lim, RMT</t>
  </si>
  <si>
    <t>https://www.jotform.com/uploads/macarewecare/222927978372067/6171364980904708015/6171364980904708015_signature_31.png</t>
  </si>
  <si>
    <t>San Pablo Colleges Medical Centee</t>
  </si>
  <si>
    <t xml:space="preserve">ASSAY: Xpert MTB/RIF Ultra, COUNT: 58
</t>
  </si>
  <si>
    <t>Unit for preventive maintenance.
For installation of HPV Assay Definition File.</t>
  </si>
  <si>
    <t>Performed Preventive Maintenance.
-Cleaned and disinfect plunger
-Cleaned and disinfect cartridge bay
-Cleaned and disinfect instrument surface
-Cleaned icore sensors
-Cleaned filter fan
-Archived test results
Installed HPV ADF.
Generated reports.</t>
  </si>
  <si>
    <t>https://www.jotform.com/uploads/macarewecare/222927978372067/6171358824416587904/6171358824416587904_signature_28.png</t>
  </si>
  <si>
    <t>Kelly Bondoc</t>
  </si>
  <si>
    <t>https://www.jotform.com/uploads/macarewecare/222927978372067/6171358824416587904/6171358824416587904_signature_31.png</t>
  </si>
  <si>
    <t>https://www.jotform.com/uploads/macarewecare/222927978372067/6171321737811777695/6171321737811777695_signature_28.png</t>
  </si>
  <si>
    <t>https://www.jotform.com/uploads/macarewecare/222927978372067/6171321737811777695/6171321737811777695_signature_31.png</t>
  </si>
  <si>
    <t>maria.resurreccion@medilinx.com.ph</t>
  </si>
  <si>
    <t xml:space="preserve">ASSAY: Xpert BCR-ABL Ultra, COUNT: 4
ASSAY: Xpert HBV VL, COUNT: 68
ASSAY: Xpert HPV, COUNT: 7
ASSAY: Xpert MTB/RIF Ultra, COUNT: 787
</t>
  </si>
  <si>
    <t>https://www.jotform.com/uploads/macarewecare/222927978372067/6171282134414101524/6171282134414101524_signature_28.png</t>
  </si>
  <si>
    <t>Maria Niña R. Resurreccion</t>
  </si>
  <si>
    <t>https://www.jotform.com/uploads/macarewecare/222927978372067/6171282134414101524/6171282134414101524_signature_31.png</t>
  </si>
  <si>
    <t>Moan Zamboanga del sur</t>
  </si>
  <si>
    <t xml:space="preserve">ASSAY: Xpert MTB/RIF Ultra, COUNT: 686
</t>
  </si>
  <si>
    <t>https://www.jotform.com/uploads/macarewecare/222927978372067/6171270973215166555/6171270973215166555_signature_28.png</t>
  </si>
  <si>
    <t>https://www.jotform.com/uploads/macarewecare/222927978372067/6171270973215166555/6171270973215166555_signature_31.png</t>
  </si>
  <si>
    <t>Caburan, Jose Abad Santos</t>
  </si>
  <si>
    <t>bevespinosa168@gmail.com</t>
  </si>
  <si>
    <t xml:space="preserve">ASSAY: Xpert MTB/RIF Ultra, COUNT: 452
</t>
  </si>
  <si>
    <t>Module B2 for Service Required
Due for Preventive Maintenance</t>
  </si>
  <si>
    <t>Replaced the Defective Module SN: 861665 with new Module SN: 702471 
Clean Surface Area, Cartridge Bay, Plunger Rod, Fan Filters and Icore Lenses
Generate IQR, Assay Stat and System Log</t>
  </si>
  <si>
    <t>DR 12769</t>
  </si>
  <si>
    <t>https://www.jotform.com/uploads/macarewecare/222927978372067/6171201685132501719/6171201685132501719_signature_28.png</t>
  </si>
  <si>
    <t>Beverly Espinosa,. RMT</t>
  </si>
  <si>
    <t>https://www.jotform.com/uploads/macarewecare/222927978372067/6171201685132501719/6171201685132501719_signature_31.png</t>
  </si>
  <si>
    <t>FOR MAINTENANCE AND CALIBRATION</t>
  </si>
  <si>
    <t>https://www.jotform.com/uploads/macarewecare/222927978372067/6170487550801162122/6170487550801162122_signature_28.png</t>
  </si>
  <si>
    <t>https://www.jotform.com/uploads/macarewecare/222927978372067/6170487550801162122/6170487550801162122_signature_31.png</t>
  </si>
  <si>
    <t>https://www.jotform.com/uploads/macarewecare/222927978372067/6170485130809492072/6170485130809492072_signature_28.png</t>
  </si>
  <si>
    <t>https://www.jotform.com/uploads/macarewecare/222927978372067/6170485130809492072/6170485130809492072_signature_31.png</t>
  </si>
  <si>
    <t xml:space="preserve">ASSAY: Xpert MTB/RIF Ultra, COUNT: 2256
</t>
  </si>
  <si>
    <t>-Preventive Maintenance; cartridge bay, fan filter, optic slot, plunger rod</t>
  </si>
  <si>
    <t>-Preventive Maintenance
-Troubleshoot module 3</t>
  </si>
  <si>
    <t>Module A3 H/W fail for replacement. Other modules are functional.</t>
  </si>
  <si>
    <t>https://www.jotform.com/uploads/macarewecare/222927978372067/6170468859076420470/6170468859076420470_signature_28.png</t>
  </si>
  <si>
    <t>https://www.jotform.com/uploads/macarewecare/222927978372067/6170468859076420470/6170468859076420470_signature_31.png</t>
  </si>
  <si>
    <t>https://www.jotform.com/uploads/macarewecare/222927978372067/6170443731886917201/6170443731886917201_signature_28.png</t>
  </si>
  <si>
    <t>https://www.jotform.com/uploads/macarewecare/222927978372067/6170443731886917201/6170443731886917201_signature_31.png</t>
  </si>
  <si>
    <t>arielbaclig6@gmail.com</t>
  </si>
  <si>
    <t xml:space="preserve">ASSAY: Xpert MTB/RIF Ultra, COUNT: 523
</t>
  </si>
  <si>
    <t>Replaced Uninterrupted power supply batteries and conducted Preventive maintenance and data collection.</t>
  </si>
  <si>
    <t>All modules are available and UPS is working properly.</t>
  </si>
  <si>
    <t>Newly replaced UPS batteries must be charged to 6 to 8grs before use.</t>
  </si>
  <si>
    <t>https://www.jotform.com/uploads/macarewecare/222927978372067/6170385928421787364/6170385928421787364_signature_28.png</t>
  </si>
  <si>
    <t>Ariel tolentino Baclig</t>
  </si>
  <si>
    <t>https://www.jotform.com/uploads/macarewecare/222927978372067/6170385928421787364/6170385928421787364_signature_31.png</t>
  </si>
  <si>
    <t>Balanga City, Bataan</t>
  </si>
  <si>
    <t xml:space="preserve">ASSAY: Xpert HBV VL, COUNT: 18
ASSAY: Xpert HPV, COUNT: 1
ASSAY: Xpert HCV VL, COUNT: 17
ASSAY: Xpert HIV-1 Viral Load, COUNT: 212
</t>
  </si>
  <si>
    <t>Machine Relocation</t>
  </si>
  <si>
    <t>Preventive maintenance 
Relocation</t>
  </si>
  <si>
    <t>Performed Preventive maintenance 
Relocation machine from RHIVDA to PCR Laboratory 
Performed functionality test</t>
  </si>
  <si>
    <t>Machine is operational</t>
  </si>
  <si>
    <t>https://www.jotform.com/uploads/macarewecare/222927978372067/6169989061871793860/6169989061871793860_signature_28.png</t>
  </si>
  <si>
    <t>https://www.jotform.com/uploads/macarewecare/222927978372067/6169989061871793860/6169989061871793860_signature_31.png</t>
  </si>
  <si>
    <t>Dr. Amado B. Diaz Provincial Foundation Hospital</t>
  </si>
  <si>
    <t xml:space="preserve">ASSAY: Xpert MTB/RIF Ultra, COUNT: 793
ASSAY: Xpert HIV-1 Viral Load, COUNT: 106
</t>
  </si>
  <si>
    <t>Perform Genexpert annual Xpertcheck Calibration 
Perform Genexpert Cleaning and maintenance 
Checking of errors / Problem 
Data collection</t>
  </si>
  <si>
    <t>Genexpert machine Preventive maintenance 
Genexpert machine annual Xpertcheck Calibration</t>
  </si>
  <si>
    <t>4 functional modules 
Xpertcheck Calibration Results:
Module 1,2,3 and 4 - Passed</t>
  </si>
  <si>
    <t>All modules passed Xpertcheck Calibration</t>
  </si>
  <si>
    <t>Xpertcheck CE-5 cartridge 
Lot #:1001120421</t>
  </si>
  <si>
    <t>DR number: 5432</t>
  </si>
  <si>
    <t>https://www.jotform.com/uploads/macarewecare/222927978372067/6169814245511166147/6169814245511166147_signature_28.png</t>
  </si>
  <si>
    <t>https://www.jotform.com/uploads/macarewecare/222927978372067/6169814245511166147/6169814245511166147_signature_31.png</t>
  </si>
  <si>
    <t>Perform Genexpert Cleaning and maintenance 
Checking of errors/problem
Data collection</t>
  </si>
  <si>
    <t>https://www.jotform.com/uploads/macarewecare/222927978372067/6169814245519079063/6169814245519079063_signature_28.png</t>
  </si>
  <si>
    <t>Alvin A. Codilla</t>
  </si>
  <si>
    <t>https://www.jotform.com/uploads/macarewecare/222927978372067/6169814245519079063/6169814245519079063_signature_31.png</t>
  </si>
  <si>
    <t xml:space="preserve">ASSAY: Xpert MTB/RIF, COUNT: 0
</t>
  </si>
  <si>
    <t>Desktop workstation for installation for 2 GX Macare units</t>
  </si>
  <si>
    <t>- installed desktop
- switched 2 GeneXpert units (807112)
- generated reports
- performed self test
- installed assay definition files</t>
  </si>
  <si>
    <t>Unit is operational
Intermittent errors for endrosement to technical team</t>
  </si>
  <si>
    <t>Switched 807112</t>
  </si>
  <si>
    <t>GX Desktop SN: SGH530PD4N
GX Monitor Display SN: CNK831078T</t>
  </si>
  <si>
    <t>https://www.jotform.com/uploads/macarewecare/222927978372067/6169654083543615705/6169654083543615705_signature_28.png</t>
  </si>
  <si>
    <t>https://www.jotform.com/uploads/macarewecare/222927978372067/6169654083543615705/6169654083543615705_signature_31.png</t>
  </si>
  <si>
    <t>Ramon magsaysay Zamboanga del sur</t>
  </si>
  <si>
    <t>borinagagina29@gmail.com</t>
  </si>
  <si>
    <t>Preventive Maintenence and data gathering.</t>
  </si>
  <si>
    <t>https://www.jotform.com/uploads/macarewecare/222927978372067/6169561169219855048/6169561169219855048_signature_28.png</t>
  </si>
  <si>
    <t>https://www.jotform.com/uploads/macarewecare/222927978372067/6169561169219855048/6169561169219855048_signature_31.png</t>
  </si>
  <si>
    <t>bloodbank@drmc.doh.gov.ph</t>
  </si>
  <si>
    <t>Clean Surface Area, check parameters of SPM, DPM, and Line Sensor
Check the roller assays
Perform functionality test
Install QR Sticker for Reporting and Install Conversion Factor Table</t>
  </si>
  <si>
    <t>https://www.jotform.com/uploads/macarewecare/222927978372067/6169558120456426789/6169558120456426789_signature_28.png</t>
  </si>
  <si>
    <t>Christine Porquiado,. RMT</t>
  </si>
  <si>
    <t>https://www.jotform.com/uploads/macarewecare/222927978372067/6169558120456426789/6169558120456426789_signature_31.png</t>
  </si>
  <si>
    <t>St. Luke's Medical Center - Global City</t>
  </si>
  <si>
    <t xml:space="preserve">ASSAY: Xpert BCR-ABL Ultra, COUNT: 132
ASSAY: Xpert CT/NG, COUNT: 490
ASSAY: Xpert HBV VL, COUNT: 36
ASSAY: Xpert HPV, COUNT: 651
ASSAY: Xpert MTB/RIF Ultra, COUNT: 1610
ASSAY: Xpert MTB-XDR, COUNT: 1
ASSAY: Xpert HCV VL, COUNT: 31
ASSAY: Xpert HIV-1 Viral Load, COUNT: 179
</t>
  </si>
  <si>
    <t>https://www.jotform.com/uploads/macarewecare/222927978372067/6169499243615710958/6169499243615710958_signature_28.png</t>
  </si>
  <si>
    <t>Sapla, Ma Grace</t>
  </si>
  <si>
    <t>https://www.jotform.com/uploads/macarewecare/222927978372067/6169499243615710958/6169499243615710958_signature_31.png</t>
  </si>
  <si>
    <t>Variocar Stand Replacement 
For maintenance</t>
  </si>
  <si>
    <t>Performed maintenance 
Run simulation 
Checked rotor pumps 
Verified calibration parameters 
Functionality test 
Replaced Variocar Stand</t>
  </si>
  <si>
    <t>Variocar Stand</t>
  </si>
  <si>
    <t>DR# 12800</t>
  </si>
  <si>
    <t>https://www.jotform.com/uploads/macarewecare/222927978372067/6169499243616194574/6169499243616194574_signature_28.png</t>
  </si>
  <si>
    <t>https://www.jotform.com/uploads/macarewecare/222927978372067/6169499243616194574/6169499243616194574_signature_31.png</t>
  </si>
  <si>
    <t xml:space="preserve">ASSAY: Xpert BCR-ABL Ultra, COUNT: 22
ASSAY: Xpert CT/NG, COUNT: 122
ASSAY: Xpert HPV, COUNT: 165
ASSAY: Xpert MTB/RIF Ultra, COUNT: 297
ASSAY: Xpert HCV VL, COUNT: 4
ASSAY: Xpert HIV-1 Viral Load, COUNT: 64
</t>
  </si>
  <si>
    <t>Unit is operational. Module A3/866793 for replacement.</t>
  </si>
  <si>
    <t>https://www.jotform.com/uploads/macarewecare/222927978372067/6169499243618462678/6169499243618462678_signature_28.png</t>
  </si>
  <si>
    <t>https://www.jotform.com/uploads/macarewecare/222927978372067/6169499243618462678/6169499243618462678_signature_31.png</t>
  </si>
  <si>
    <t>Zamboanga del sur medical center, Pagadian city</t>
  </si>
  <si>
    <t xml:space="preserve">ASSAY: Xpert MTB/RIF Ultra, COUNT: 1881
ASSAY: Xpert HIV-1 Viral Load, COUNT: 114
</t>
  </si>
  <si>
    <t>Replaced filters</t>
  </si>
  <si>
    <t>https://www.jotform.com/uploads/macarewecare/222927978372067/6169005722216211628/6169005722216211628_signature_28.png</t>
  </si>
  <si>
    <t>https://www.jotform.com/uploads/macarewecare/222927978372067/6169005722216211628/6169005722216211628_signature_31.png</t>
  </si>
  <si>
    <t>Jacinto Street, Poblacion District Davao</t>
  </si>
  <si>
    <t xml:space="preserve">ASSAY: Xpert MTB/RIF Ultra, COUNT: 410
ASSAY: Xpert HIV-1 Viral Load, COUNT: 1752
ASSAY: Xpert HBV VL, COUNT: 1
</t>
  </si>
  <si>
    <t>For Preventive Maintenance
Module 1 encounter multiple errors</t>
  </si>
  <si>
    <t>Clean Surface Area, Cartridge Bay, Plunger Rod, Fan Filters and Icore Lenses
Generate IQR, Assay Stat and System Log
Run XPC on Module 1 Only</t>
  </si>
  <si>
    <t>Perform Preventive Maintenance, Functionality Test and XPC Calibration on Module 1</t>
  </si>
  <si>
    <t>Module 1 for Service Required
Only Three Modules are operational</t>
  </si>
  <si>
    <t>Module 1 disabled due to multiple errors</t>
  </si>
  <si>
    <t>https://www.jotform.com/uploads/macarewecare/222927978372067/6168742480456437948/6168742480456437948_signature_28.png</t>
  </si>
  <si>
    <t>https://www.jotform.com/uploads/macarewecare/222927978372067/6168742480456437948/6168742480456437948_signature_31.png</t>
  </si>
  <si>
    <t xml:space="preserve">ASSAY: Xpert HBV VL, COUNT: 1
ASSAY: Xpert MTB/RIF Ultra, COUNT: 410
ASSAY: Xpert HIV-1 Viral Load, COUNT: 1754
</t>
  </si>
  <si>
    <t>Module 3 disabled due to frequent temperature related errors</t>
  </si>
  <si>
    <t>https://www.jotform.com/uploads/macarewecare/222927978372067/6168742070454539219/6168742070454539219_signature_28.png</t>
  </si>
  <si>
    <t>https://www.jotform.com/uploads/macarewecare/222927978372067/6168742070454539219/6168742070454539219_signature_31.png</t>
  </si>
  <si>
    <t>Candijay, Bohol</t>
  </si>
  <si>
    <t>Occasionaly CPU lagging</t>
  </si>
  <si>
    <t>Clean RAM
Installing GX new version 6.5 from previous GX version 5.1
Install new RAM from cebu office</t>
  </si>
  <si>
    <t>https://www.jotform.com/uploads/macarewecare/222927978372067/6168627315418260363/6168627315418260363_signature_28.png</t>
  </si>
  <si>
    <t>Angelina O. Redulla</t>
  </si>
  <si>
    <t>https://www.jotform.com/uploads/macarewecare/222927978372067/6168627315418260363/6168627315418260363_signature_31.png</t>
  </si>
  <si>
    <t>Datu Odin Sinsuat District Hospital</t>
  </si>
  <si>
    <t>Datu Odin Sinsuat,  Maguindanao</t>
  </si>
  <si>
    <t>rowenasalazar1234@gmail.com</t>
  </si>
  <si>
    <t xml:space="preserve">ASSAY: Xpert MTB/RIF Ultra, COUNT: 828
</t>
  </si>
  <si>
    <t>https://www.jotform.com/uploads/macarewecare/222927978372067/6168160936862719618/6168160936862719618_signature_28.png</t>
  </si>
  <si>
    <t>Rowena Salazar</t>
  </si>
  <si>
    <t>https://www.jotform.com/uploads/macarewecare/222927978372067/6168160936862719618/6168160936862719618_signature_31.png</t>
  </si>
  <si>
    <t>CTRL</t>
  </si>
  <si>
    <t>LCD no data on Screen</t>
  </si>
  <si>
    <t>Pull out CPU with serial number CPH05020F08297</t>
  </si>
  <si>
    <t>Not ok to use</t>
  </si>
  <si>
    <t>https://www.jotform.com/uploads/macarewecare/222927978372067/6167941567026678542/6167941567026678542_signature_28.png</t>
  </si>
  <si>
    <t>https://www.jotform.com/uploads/macarewecare/222927978372067/6167941567026678542/6167941567026678542_signature_31.png</t>
  </si>
  <si>
    <t>. Module A1 Error code 5006
. Due for monthly maintenance.</t>
  </si>
  <si>
    <t>. Save System log file
. Save Installation qualification report. 
. Save Assay statistics report</t>
  </si>
  <si>
    <t>. Clean cartridge bay
. Clean filter 
. Perform preventive maintenance for GX system
. Clean UPS, CPU, LCD , Printer, AVR</t>
  </si>
  <si>
    <t>. All modules are functional
. Module A1 observation for running</t>
  </si>
  <si>
    <t>https://www.jotform.com/uploads/macarewecare/222927978372067/6167934987027621100/6167934987027621100_signature_28.png</t>
  </si>
  <si>
    <t>https://www.jotform.com/uploads/macarewecare/222927978372067/6167934987027621100/6167934987027621100_signature_31.png</t>
  </si>
  <si>
    <t>For CPU Replacement and Module Replacement</t>
  </si>
  <si>
    <t>- Installed Backup CPU
- Cleaned Cartridge Bays, Plunger Rods and I-CORE 
- Replaced Defective Module 807809 &gt;&gt;&gt; 210068341
- Generated Reports</t>
  </si>
  <si>
    <t>Performed CPU Replacement and Module Replacement</t>
  </si>
  <si>
    <t>GeneXpert Module 210068341
GeneXpert Computer SGH530PD9W</t>
  </si>
  <si>
    <t>DR 12743, DR 12770</t>
  </si>
  <si>
    <t>https://www.jotform.com/uploads/macarewecare/222927978372067/6167905558292416064/6167905558292416064_signature_28.png</t>
  </si>
  <si>
    <t>Merceditas Emma Quilala</t>
  </si>
  <si>
    <t>https://www.jotform.com/uploads/macarewecare/222927978372067/6167905558292416064/6167905558292416064_signature_31.png</t>
  </si>
  <si>
    <t xml:space="preserve">ASSAY: Xpert BCR-ABL Ultra, COUNT: 57
ASSAY: Xpert CT/NG, COUNT: 42
ASSAY: Others, COUNT: 2
ASSAY: Xpert HBV VL, COUNT: 41
ASSAY: Xpert HPV, COUNT: 414
ASSAY: Xpert MTB/RIF Ultra, COUNT: 6274
ASSAY: Xpert MTB-XDR, COUNT: 2
ASSAY: Others, COUNT: 1
ASSAY: Xpert HCV VL, COUNT: 129
ASSAY: Xpert HIV-1 Viral Load, COUNT: 853
ASSAY: Xpress SARS-CoV-2_Flu_RSV plus, COUNT: 1344
</t>
  </si>
  <si>
    <t>Performed maintenance 
Cleaned:
-cartridge bay 
-plunger rod 
-icore
-filter
Generated reports 
Generated gxx file</t>
  </si>
  <si>
    <t>Unit is operational. Modules with error 5007 under observation.</t>
  </si>
  <si>
    <t>https://www.jotform.com/uploads/macarewecare/222927978372067/6167904483611286868/6167904483611286868_signature_28.png</t>
  </si>
  <si>
    <t>https://www.jotform.com/uploads/macarewecare/222927978372067/6167904483611286868/6167904483611286868_signature_31.png</t>
  </si>
  <si>
    <t>osmakproperty@gmail.com</t>
  </si>
  <si>
    <t>Sheirylpia021@gmail.com</t>
  </si>
  <si>
    <t xml:space="preserve">ASSAY: Xpert MTB/RIF Ultra, COUNT: 332
</t>
  </si>
  <si>
    <t>https://www.jotform.com/uploads/macarewecare/222927978372067/6167904483614504680/6167904483614504680_signature_28.png</t>
  </si>
  <si>
    <t>Sheiryl E. Pia</t>
  </si>
  <si>
    <t>https://www.jotform.com/uploads/macarewecare/222927978372067/6167904483614504680/6167904483614504680_signature_31.png</t>
  </si>
  <si>
    <t xml:space="preserve">ASSAY: Xpert MTB/RIF Ultra, COUNT: 792
</t>
  </si>
  <si>
    <t>https://www.jotform.com/uploads/macarewecare/222927978372067/6167900328294450131/6167900328294450131_signature_28.png</t>
  </si>
  <si>
    <t>https://www.jotform.com/uploads/macarewecare/222927978372067/6167900328294450131/6167900328294450131_signature_31.png</t>
  </si>
  <si>
    <t>Black Nazarene Hospital</t>
  </si>
  <si>
    <t>San Nicholas, Ilocos Norte</t>
  </si>
  <si>
    <t>tbnhi.lab@gmail.com</t>
  </si>
  <si>
    <t xml:space="preserve">ASSAY: Xpert MTB/RIF Ultra, COUNT: 34
</t>
  </si>
  <si>
    <t>https://www.jotform.com/uploads/macarewecare/222927978372067/6167898788291069553/6167898788291069553_signature_28.png</t>
  </si>
  <si>
    <t>WEENA LORRAINE MACUSI</t>
  </si>
  <si>
    <t>https://www.jotform.com/uploads/macarewecare/222927978372067/6167898788291069553/6167898788291069553_signature_31.png</t>
  </si>
  <si>
    <t xml:space="preserve">ASSAY: Xpert MTB/RIF Ultra, COUNT: 606
</t>
  </si>
  <si>
    <t>Unit is Fully Operational 
For Observation</t>
  </si>
  <si>
    <t>https://www.jotform.com/uploads/macarewecare/222927978372067/6167897158292246341/6167897158292246341_signature_28.png</t>
  </si>
  <si>
    <t>MARK JAYBEE TACATA</t>
  </si>
  <si>
    <t>https://www.jotform.com/uploads/macarewecare/222927978372067/6167897158292246341/6167897158292246341_signature_31.png</t>
  </si>
  <si>
    <t xml:space="preserve">ASSAY: Xpert MTB/RIF, COUNT: 1140
</t>
  </si>
  <si>
    <t>Unit is operational but for reporting</t>
  </si>
  <si>
    <t>https://www.jotform.com/uploads/macarewecare/222927978372067/6167891768298506720/6167891768298506720_signature_28.png</t>
  </si>
  <si>
    <t>https://www.jotform.com/uploads/macarewecare/222927978372067/6167891768298506720/6167891768298506720_signature_31.png</t>
  </si>
  <si>
    <t xml:space="preserve">ASSAY: Xpert MTB/RIF Ultra, COUNT: 801
</t>
  </si>
  <si>
    <t>https://www.jotform.com/uploads/macarewecare/222927978372067/6167886188291627571/6167886188291627571_signature_28.png</t>
  </si>
  <si>
    <t>Mikka Gaerlan</t>
  </si>
  <si>
    <t>https://www.jotform.com/uploads/macarewecare/222927978372067/6167886188291627571/6167886188291627571_signature_31.png</t>
  </si>
  <si>
    <t xml:space="preserve">ASSAY: Xpert MTB/RIF Ultra, COUNT: 193
ASSAY: Xpert HIV-1 Viral Load, COUNT: 2
ASSAY: Xpress SARS-CoV-2_Flu_RSV plus, COUNT: 52
</t>
  </si>
  <si>
    <t>For additional Troubleshooting</t>
  </si>
  <si>
    <t>Unit is Partially Operational 
For Reporting</t>
  </si>
  <si>
    <t>https://www.jotform.com/uploads/macarewecare/222927978372067/6167884388291109650/6167884388291109650_signature_28.png</t>
  </si>
  <si>
    <t>https://www.jotform.com/uploads/macarewecare/222927978372067/6167884388291109650/6167884388291109650_signature_31.png</t>
  </si>
  <si>
    <t xml:space="preserve">ASSAY: Xpert MTB/RIF Ultra, COUNT: 1140
</t>
  </si>
  <si>
    <t>Error 2031 Modules detected but cannot perform XpertCheck</t>
  </si>
  <si>
    <t>Unit is Operational but for reporting due to Calibration Error</t>
  </si>
  <si>
    <t>https://www.jotform.com/uploads/macarewecare/222927978372067/6167882538298287333/6167882538298287333_signature_28.png</t>
  </si>
  <si>
    <t>https://www.jotform.com/uploads/macarewecare/222927978372067/6167882538298287333/6167882538298287333_signature_31.png</t>
  </si>
  <si>
    <t xml:space="preserve">ASSAY: Xpert MTB/RIF Ultra, COUNT: 1512
</t>
  </si>
  <si>
    <t>Monitor LCD Display Problem
Due for Preventive Maintenance</t>
  </si>
  <si>
    <t>Replaced the Defective Monitor SN:CNK9430B0Y with Monitor SN: CN461017M
Clean Surface Area, Cartridge Bay, Plunger Rod, Fan Filters and Icore Lenses
Generate IQR, Assay Stat and System Log</t>
  </si>
  <si>
    <t>Perform Monitor Replacement and Preventive Maintenance</t>
  </si>
  <si>
    <t>All Modules are operational
Monitor successfully replaced</t>
  </si>
  <si>
    <t>LCD Monitor HP E190</t>
  </si>
  <si>
    <t>DR 12755</t>
  </si>
  <si>
    <t>https://www.jotform.com/uploads/macarewecare/222927978372067/6167853673425359214/6167853673425359214_signature_28.png</t>
  </si>
  <si>
    <t>Karen S. Anuta</t>
  </si>
  <si>
    <t>https://www.jotform.com/uploads/macarewecare/222927978372067/6167853673425359214/6167853673425359214_signature_31.png</t>
  </si>
  <si>
    <t>De La Salle Health and Science Institute</t>
  </si>
  <si>
    <t>Congressional Road, Dasmariñas City, Cavite</t>
  </si>
  <si>
    <t>cevillete@dlsmhsi.edu.ph</t>
  </si>
  <si>
    <t xml:space="preserve">ASSAY: Xpert MTB/RIF Ultra, COUNT: 2092
</t>
  </si>
  <si>
    <t>Cleaned Cartridge Bay, Plunger Rod and Icore Optics.
Checked Filters if Clogged.
Generate Reports.
Performed Self-test.</t>
  </si>
  <si>
    <t>No Modules were Disabled. GX System is Good.</t>
  </si>
  <si>
    <t>https://www.jotform.com/uploads/macarewecare/222927978372067/6167711753614002009/6167711753614002009_signature_28.png</t>
  </si>
  <si>
    <t>Chlorish Ann E. Villete</t>
  </si>
  <si>
    <t>https://www.jotform.com/uploads/macarewecare/222927978372067/6167711753614002009/6167711753614002009_signature_31.png</t>
  </si>
  <si>
    <t>mgrioflorido@tbhivicr.org.ph</t>
  </si>
  <si>
    <t>GX16-8-D-10C</t>
  </si>
  <si>
    <t>Cleaned Cartridge Bay, Plunger Rod and Icore Optics.
Checked Filters if Clogged.
Performed Self-test.
Generate Reports.</t>
  </si>
  <si>
    <t>https://www.jotform.com/uploads/macarewecare/222927978372067/6167711753618364335/6167711753618364335_signature_28.png</t>
  </si>
  <si>
    <t>Ma. Cristina Rioflorido</t>
  </si>
  <si>
    <t>https://www.jotform.com/uploads/macarewecare/222927978372067/6167711753618364335/6167711753618364335_signature_31.png</t>
  </si>
  <si>
    <t xml:space="preserve">ASSAY: Xpert MTB/RIF Ultra, COUNT: 584
</t>
  </si>
  <si>
    <t>No Modules were Disabled.</t>
  </si>
  <si>
    <t>https://www.jotform.com/uploads/macarewecare/222927978372067/6167711753619853788/6167711753619853788_signature_28.png</t>
  </si>
  <si>
    <t>https://www.jotform.com/uploads/macarewecare/222927978372067/6167711753619853788/6167711753619853788_signature_31.png</t>
  </si>
  <si>
    <t xml:space="preserve">ASSAY: Xpert MTB/RIF Ultra, COUNT: 2066
ASSAY: Xpert HIV-1 Viral Load, COUNT: 82
</t>
  </si>
  <si>
    <t>GXIV D</t>
  </si>
  <si>
    <t>Due for maintenance
C4 disabled due to error 5007</t>
  </si>
  <si>
    <t>C4 disable</t>
  </si>
  <si>
    <t>https://www.jotform.com/uploads/macarewecare/222927978372067/6167698413616865542/6167698413616865542_signature_28.png</t>
  </si>
  <si>
    <t>https://www.jotform.com/uploads/macarewecare/222927978372067/6167698413616865542/6167698413616865542_signature_31.png</t>
  </si>
  <si>
    <t>JP Laurel Avenue, Bajada Davao City</t>
  </si>
  <si>
    <t>Onsite Assistance for printer driver installation</t>
  </si>
  <si>
    <t>Install printer driver of Epson M1120 series</t>
  </si>
  <si>
    <t>Perform Printer Driver Installation</t>
  </si>
  <si>
    <t>Successfully install printer drivers, unit is operational</t>
  </si>
  <si>
    <t>https://www.jotform.com/uploads/macarewecare/222927978372067/6167418322422181965/6167418322422181965_signature_28.png</t>
  </si>
  <si>
    <t>Flordeliza B. Go, RMT, MPH</t>
  </si>
  <si>
    <t>https://www.jotform.com/uploads/macarewecare/222927978372067/6167418322422181965/6167418322422181965_signature_31.png</t>
  </si>
  <si>
    <t>https://www.jotform.com/uploads/macarewecare/222927978372067/6167043856417745241/6167043856417745241_signature_28.png</t>
  </si>
  <si>
    <t>Estevez MHI</t>
  </si>
  <si>
    <t>https://www.jotform.com/uploads/macarewecare/222927978372067/6167043856417745241/6167043856417745241_signature_31.png</t>
  </si>
  <si>
    <t>kaimoral68@yahoo.com</t>
  </si>
  <si>
    <t xml:space="preserve">ASSAY: Xpert MTB/RIF Ultra, COUNT: 857
</t>
  </si>
  <si>
    <t>https://www.jotform.com/uploads/macarewecare/222927978372067/6165392645115376352/6165392645115376352_signature_28.png</t>
  </si>
  <si>
    <t>Catherine</t>
  </si>
  <si>
    <t>https://www.jotform.com/uploads/macarewecare/222927978372067/6165392645115376352/6165392645115376352_signature_31.png</t>
  </si>
  <si>
    <t xml:space="preserve">ASSAY: Xpert HPV, COUNT: 3
ASSAY: Xpert MTB/RIF Ultra, COUNT: 2358
ASSAY: Xpert HIV-1 Viral Load, COUNT: 74
</t>
  </si>
  <si>
    <t>-Preventive Maintenance; plunger rod, fan filter, cartridge bay</t>
  </si>
  <si>
    <t>https://www.jotform.com/uploads/macarewecare/222927978372067/6165303687768909262/6165303687768909262_signature_28.png</t>
  </si>
  <si>
    <t>https://www.jotform.com/uploads/macarewecare/222927978372067/6165303687768909262/6165303687768909262_signature_31.png</t>
  </si>
  <si>
    <t>Install new fan filter
Gather data IQR, system log</t>
  </si>
  <si>
    <t>https://www.jotform.com/uploads/macarewecare/222927978372067/6165294981412293141/6165294981412293141_signature_28.png</t>
  </si>
  <si>
    <t>https://www.jotform.com/uploads/macarewecare/222927978372067/6165294981412293141/6165294981412293141_signature_31.png</t>
  </si>
  <si>
    <t>Install new fan filter
Gather data, IQR, system log</t>
  </si>
  <si>
    <t>https://www.jotform.com/uploads/macarewecare/222927978372067/6165293771417605148/6165293771417605148_signature_28.png</t>
  </si>
  <si>
    <t>https://www.jotform.com/uploads/macarewecare/222927978372067/6165293771417605148/6165293771417605148_signature_31.png</t>
  </si>
  <si>
    <t>MAINTENANCE
TROUBLESHOOTING
Preventive Maintenence</t>
  </si>
  <si>
    <t>jenne06021@gmail.com</t>
  </si>
  <si>
    <t>Module 2 h/w failed, CPU not turning on.</t>
  </si>
  <si>
    <t>Preventive Maintenence, analyse data collected and troubleshoot.</t>
  </si>
  <si>
    <t>Module 1, 2 and 3 are available. Module pending for Xpertcheck calibration. System unit working fine.</t>
  </si>
  <si>
    <t>Module 2 scheduled for Xpertcheck calibration</t>
  </si>
  <si>
    <t>https://www.jotform.com/uploads/macarewecare/222927978372067/6165256343409392940/6165256343409392940_signature_28.png</t>
  </si>
  <si>
    <t>https://www.jotform.com/uploads/macarewecare/222927978372067/6165256343409392940/6165256343409392940_signature_31.png</t>
  </si>
  <si>
    <t>bacezar@manilamed.com.ph</t>
  </si>
  <si>
    <t>CPU Problem.</t>
  </si>
  <si>
    <t>Pull-out.</t>
  </si>
  <si>
    <t>Checked System's Functionality.
Pulled-out CPU for Repair.</t>
  </si>
  <si>
    <t>CPU OS Problem.</t>
  </si>
  <si>
    <t>https://www.jotform.com/uploads/macarewecare/222927978372067/6165150375341186180/6165150375341186180_signature_28.png</t>
  </si>
  <si>
    <t>Boylyn A.Cezar</t>
  </si>
  <si>
    <t>https://www.jotform.com/uploads/macarewecare/222927978372067/6165150375341186180/6165150375341186180_signature_31.png</t>
  </si>
  <si>
    <t>kimxavierpestano@gmail.com</t>
  </si>
  <si>
    <t>Installed Repaired CPU.
Generate Reports.
Checked System's Functionality.</t>
  </si>
  <si>
    <t>Recommendation to have UPS (minimum 1kVA).</t>
  </si>
  <si>
    <t>https://www.jotform.com/uploads/macarewecare/222927978372067/6165150375345319704/6165150375345319704_signature_28.png</t>
  </si>
  <si>
    <t>Kim Xavier Pestano</t>
  </si>
  <si>
    <t>https://www.jotform.com/uploads/macarewecare/222927978372067/6165150375345319704/6165150375345319704_signature_31.png</t>
  </si>
  <si>
    <t>Research Institute for Tropical Medicine</t>
  </si>
  <si>
    <t>Filinvest, Muntinlupa</t>
  </si>
  <si>
    <t>hiv.laboratory.ritm@gmail.com</t>
  </si>
  <si>
    <t xml:space="preserve">ASSAY: Xpert HIV-1 Viral Load, COUNT: 1188
</t>
  </si>
  <si>
    <t>GXIV-L-10C</t>
  </si>
  <si>
    <t>Cleaned Cartridge Bay, Plunger Rod and Icore Optics.
Checked Filter if Clogged.
Checked System's Functionality.
Performed Self-test.
Generate Reports.</t>
  </si>
  <si>
    <t>https://www.jotform.com/uploads/macarewecare/222927978372067/6165150325345069876/6165150325345069876_signature_28.png</t>
  </si>
  <si>
    <t>Nico Antonio Cortez</t>
  </si>
  <si>
    <t>https://www.jotform.com/uploads/macarewecare/222927978372067/6165150325345069876/6165150325345069876_signature_31.png</t>
  </si>
  <si>
    <t xml:space="preserve">ASSAY: Xpert BCR-ABL Ultra, COUNT: 7
ASSAY: Xpert MTB/RIF Ultra, COUNT: 1070
</t>
  </si>
  <si>
    <t>Cleaned Cartridge Bay, Plunger Rod and Icore Optics.
Checked if Filter is Clogged.
Performed Self-test.
Generate Reports.</t>
  </si>
  <si>
    <t>https://www.jotform.com/uploads/macarewecare/222927978372067/6165150325345117440/6165150325345117440_signature_28.png</t>
  </si>
  <si>
    <t>Sherleen Calaunan</t>
  </si>
  <si>
    <t>https://www.jotform.com/uploads/macarewecare/222927978372067/6165150325345117440/6165150325345117440_signature_31.png</t>
  </si>
  <si>
    <t xml:space="preserve">ASSAY: Xpert BCR-ABL Ultra, COUNT: 1
ASSAY: Xpert CT/NG, COUNT: 3
ASSAY: Xpert HBV VL, COUNT: 5
ASSAY: Xpert HPV, COUNT: 4
ASSAY: Xpert MTB/RIF Ultra, COUNT: 45
</t>
  </si>
  <si>
    <t>Cleaned Cartridge Bay, Plunger Rod and Icore Optics.
Checked Filter if Clogged.
Performed Self-test.
Performed XpertCheck.
Checked System's Functionality.
Generate Reports.</t>
  </si>
  <si>
    <t>Modules 1 and 4 Service Required 2024.
Modules 2 and 3 Service Required 2025</t>
  </si>
  <si>
    <t>A2/ 784660 &amp; A3/ 784664 - Service Required</t>
  </si>
  <si>
    <t>https://www.jotform.com/uploads/macarewecare/222927978372067/6165150325345570469/6165150325345570469_signature_28.png</t>
  </si>
  <si>
    <t>https://www.jotform.com/uploads/macarewecare/222927978372067/6165150325345570469/6165150325345570469_signature_31.png</t>
  </si>
  <si>
    <t>robertborilla7@gmail.com</t>
  </si>
  <si>
    <t xml:space="preserve">ASSAY: Xpert MTB/RIF Ultra, COUNT: 1605
</t>
  </si>
  <si>
    <t>Monitor with Output Problem.</t>
  </si>
  <si>
    <t>Monitor Replacement.</t>
  </si>
  <si>
    <t>Replaced Monitor.
Checked System's Functionality.
Generate Reports.</t>
  </si>
  <si>
    <t>LCD Monitor.</t>
  </si>
  <si>
    <t>DR 12767</t>
  </si>
  <si>
    <t>https://www.jotform.com/uploads/macarewecare/222927978372067/6165150325346662242/6165150325346662242_signature_28.png</t>
  </si>
  <si>
    <t>Roberto c. Borilla</t>
  </si>
  <si>
    <t>https://www.jotform.com/uploads/macarewecare/222927978372067/6165150325346662242/6165150325346662242_signature_31.png</t>
  </si>
  <si>
    <t xml:space="preserve">ASSAY: Xpert HIV-1 Viral Load, COUNT: 1391
</t>
  </si>
  <si>
    <t>https://www.jotform.com/uploads/macarewecare/222927978372067/6165150325348786419/6165150325348786419_signature_28.png</t>
  </si>
  <si>
    <t>https://www.jotform.com/uploads/macarewecare/222927978372067/6165150325348786419/6165150325348786419_signature_31.png</t>
  </si>
  <si>
    <t>https://www.jotform.com/uploads/macarewecare/222927978372067/6164391075319991519/6164391075319991519_signature_28.png</t>
  </si>
  <si>
    <t>Geraldine Fajardo</t>
  </si>
  <si>
    <t>https://www.jotform.com/uploads/macarewecare/222927978372067/6164391075319991519/6164391075319991519_signature_31.png</t>
  </si>
  <si>
    <t xml:space="preserve">ASSAY: Xpert BCR-ABL Ultra, COUNT: 257
ASSAY: Xpert CT/NG, COUNT: 851
ASSAY: Xpert HBV VL, COUNT: 19
ASSAY: Xpert HPV, COUNT: 677
ASSAY: Xpert MTB/RIF Ultra, COUNT: 3586
ASSAY: Others, COUNT: 13
ASSAY: Xpert HCV VL, COUNT: 114
ASSAY: Xpert HIV-1 Viral Load, COUNT: 2109
</t>
  </si>
  <si>
    <t>For relocation from molecular to microbiology</t>
  </si>
  <si>
    <t>Performed relocation.
Reinstalled and setup unit.
Cleaned plunger rod,cartridge bay
Gathered reports
Test run unit</t>
  </si>
  <si>
    <t>Relocation and reinstallation</t>
  </si>
  <si>
    <t>Ready to use</t>
  </si>
  <si>
    <t>https://www.jotform.com/uploads/macarewecare/222927978372067/6164292193615403279/6164292193615403279_signature_28.png</t>
  </si>
  <si>
    <t>https://www.jotform.com/uploads/macarewecare/222927978372067/6164292193615403279/6164292193615403279_signature_31.png</t>
  </si>
  <si>
    <t>Performed maintenance 
Verified calibration parameters 
Checked rotor pumps
Run simulation 
Functionality test</t>
  </si>
  <si>
    <t>https://www.jotform.com/uploads/macarewecare/222927978372067/6163687153611086071/6163687153611086071_signature_28.png</t>
  </si>
  <si>
    <t>Ferdinand Barroga</t>
  </si>
  <si>
    <t>https://www.jotform.com/uploads/macarewecare/222927978372067/6163687153611086071/6163687153611086071_signature_31.png</t>
  </si>
  <si>
    <t xml:space="preserve">ASSAY: Xpert MTB/RIF Ultra, COUNT: 923
</t>
  </si>
  <si>
    <t>https://www.jotform.com/uploads/macarewecare/222927978372067/6163687153612536673/6163687153612536673_signature_28.png</t>
  </si>
  <si>
    <t>https://www.jotform.com/uploads/macarewecare/222927978372067/6163687153612536673/6163687153612536673_signature_31.png</t>
  </si>
  <si>
    <t xml:space="preserve">ASSAY: Others, COUNT: 2
ASSAY: Xpert HPV, COUNT: 35
ASSAY: Xpert MTB/RIF Ultra, COUNT: 242
ASSAY: Xpert SARS-CoV-2, COUNT: 1465
ASSAY: Xpert HIV-1 Viral Load, COUNT: 2
</t>
  </si>
  <si>
    <t>Loss Communication</t>
  </si>
  <si>
    <t>Reseat connections</t>
  </si>
  <si>
    <t>Performed maintenance 
Checked connections
Checked IP address
Reseat internal connection
Run reliability test
Run Xpert MTB-Rif Ultra
Generated reports</t>
  </si>
  <si>
    <t>https://www.jotform.com/uploads/macarewecare/222927978372067/6163687153617419023/6163687153617419023_signature_28.png</t>
  </si>
  <si>
    <t>https://www.jotform.com/uploads/macarewecare/222927978372067/6163687153617419023/6163687153617419023_signature_31.png</t>
  </si>
  <si>
    <t>CPU not proceeding to windows.</t>
  </si>
  <si>
    <t>On-site troubleshooting.</t>
  </si>
  <si>
    <t>Performed on-site troubleshooting.
Resets internal components.
Removed and re-insert RAM and SSD.
Performed auto repair.
Tried running on Windows Safe Mode.</t>
  </si>
  <si>
    <t>CPU is not operational. CPU is always returning to Advance Repair on every option. CPU for replacement.</t>
  </si>
  <si>
    <t>https://www.jotform.com/uploads/macarewecare/222927978372067/6163439297111879676/6163439297111879676_signature_28.png</t>
  </si>
  <si>
    <t>Jericho Cabasug</t>
  </si>
  <si>
    <t>https://www.jotform.com/uploads/macarewecare/222927978372067/6163439297111879676/6163439297111879676_signature_31.png</t>
  </si>
  <si>
    <t>Bajada, JP Laurel Avenue, Davao City</t>
  </si>
  <si>
    <t xml:space="preserve">ASSAY: Xpert CT/NG, COUNT: 3
ASSAY: Xpert HBV VL, COUNT: 6
ASSAY: Xpert HPV, COUNT: 1
ASSAY: Xpert MTB/RIF Ultra, COUNT: 1084
ASSAY: Xpert SARS-CoV-2, COUNT: 5
ASSAY: Xpert HCV VL, COUNT: 2
ASSAY: Xpert HIV-1 Viral Load, COUNT: 922
</t>
  </si>
  <si>
    <t>https://www.jotform.com/uploads/macarewecare/222927978372067/6162825177184250129/6162825177184250129_signature_28.png</t>
  </si>
  <si>
    <t>Flordeliza Go, RMT MPH</t>
  </si>
  <si>
    <t>https://www.jotform.com/uploads/macarewecare/222927978372067/6162825177184250129/6162825177184250129_signature_31.png</t>
  </si>
  <si>
    <t xml:space="preserve">ASSAY: Xpert HIV-1 Viral Load, COUNT: 120
ASSAY: Xpert SARS-CoV-2, COUNT: 53
</t>
  </si>
  <si>
    <t>Relocation Transfer of GeneXpert
Preventive Maintenance</t>
  </si>
  <si>
    <t>Relocate the GeneXpert System Set from Pop-Up Laboratory to Main Laboratory
Clean Surface Area, Cartridge Bay, Plunger Rod, Fan Filters and Icore Lenses
Generate IQR, Assay Stat and System Log</t>
  </si>
  <si>
    <t>Perform Relocation Transfer of the Machine
Perform Preventive Maintenance</t>
  </si>
  <si>
    <t>https://www.jotform.com/uploads/macarewecare/222927978372067/6162823657181488136/6162823657181488136_signature_28.png</t>
  </si>
  <si>
    <t>https://www.jotform.com/uploads/macarewecare/222927978372067/6162823657181488136/6162823657181488136_signature_31.png</t>
  </si>
  <si>
    <t>Philipine Blood Center</t>
  </si>
  <si>
    <t>Defective CPU board.</t>
  </si>
  <si>
    <t>Performed unit calibration/verification.
Performed functionality test and simulation run.</t>
  </si>
  <si>
    <t>Replaced CPU board.</t>
  </si>
  <si>
    <t>DR#:12781</t>
  </si>
  <si>
    <t>https://www.jotform.com/uploads/macarewecare/222927978372067/6162783936711839246/6162783936711839246_signature_28.png</t>
  </si>
  <si>
    <t>Ivan Romero</t>
  </si>
  <si>
    <t>https://www.jotform.com/uploads/macarewecare/222927978372067/6162783936711839246/6162783936711839246_signature_31.png</t>
  </si>
  <si>
    <t>sdaroy.macare@gmail.com</t>
  </si>
  <si>
    <t xml:space="preserve">ASSAY: Xpert BCR-ABL Ultra, COUNT: 1
ASSAY: Xpert HBV VL, COUNT: 7
ASSAY: Xpert MTB/RIF Ultra, COUNT: 1466
ASSAY: Xpert HCV VL, COUNT: 4
ASSAY: Xpert HIV-1 Viral Load, COUNT: 103
</t>
  </si>
  <si>
    <t>https://www.jotform.com/uploads/macarewecare/222927978372067/6162782671228499442/6162782671228499442_signature_28.png</t>
  </si>
  <si>
    <t>Mary Joyce Gaudario</t>
  </si>
  <si>
    <t>https://www.jotform.com/uploads/macarewecare/222927978372067/6162782671228499442/6162782671228499442_signature_31.png</t>
  </si>
  <si>
    <t>Molecular pathology laboratory</t>
  </si>
  <si>
    <t>Unit is operational. Advised enduser to request Xpertcheck from consortium foe upcoming calibration for March 2025.</t>
  </si>
  <si>
    <t>https://www.jotform.com/uploads/macarewecare/222927978372067/6162750605719212428/6162750605719212428_signature_28.png</t>
  </si>
  <si>
    <t>Karen Ringler</t>
  </si>
  <si>
    <t>https://www.jotform.com/uploads/macarewecare/222927978372067/6162750605719212428/6162750605719212428_signature_31.png</t>
  </si>
  <si>
    <t>Argao Primary Care Facility I (RHU II)</t>
  </si>
  <si>
    <t>Lamacan, Argao Cebu, Poblacion</t>
  </si>
  <si>
    <t>INSTALLATION
ON-SITE ASSISTANCE</t>
  </si>
  <si>
    <t>Installation of the genexpert machines from CARCAR City Health Office.
Installation of printer driver HP 105</t>
  </si>
  <si>
    <t>https://www.jotform.com/uploads/macarewecare/222927978372067/6162718835582976766/6162718835582976766_signature_28.png</t>
  </si>
  <si>
    <t>https://www.jotform.com/uploads/macarewecare/222927978372067/6162718835582976766/6162718835582976766_signature_31.png</t>
  </si>
  <si>
    <t>Poblacion, Bagumbayan, Sultan Kudarat</t>
  </si>
  <si>
    <t>Perform Genexpert Cleaning and maintenance 
Checking of errors/problem 
Data collection</t>
  </si>
  <si>
    <t>https://www.jotform.com/uploads/macarewecare/222927978372067/6162127926869231540/6162127926869231540_signature_28.png</t>
  </si>
  <si>
    <t>https://www.jotform.com/uploads/macarewecare/222927978372067/6162127926869231540/6162127926869231540_signature_31.png</t>
  </si>
  <si>
    <t xml:space="preserve">ASSAY: Xpert MTB/RIF Ultra, COUNT: 1012
</t>
  </si>
  <si>
    <t>Unit is Partially Operational 
- Module B1 is for Reporting</t>
  </si>
  <si>
    <t>https://www.jotform.com/uploads/macarewecare/222927978372067/6161726577041861384/6161726577041861384_signature_28.png</t>
  </si>
  <si>
    <t>https://www.jotform.com/uploads/macarewecare/222927978372067/6161726577041861384/6161726577041861384_signature_31.png</t>
  </si>
  <si>
    <t xml:space="preserve">ASSAY: Xpert MTB/RIF Ultra, COUNT: 518
</t>
  </si>
  <si>
    <t>https://www.jotform.com/uploads/macarewecare/222927978372067/6161724577048977873/6161724577048977873_signature_28.png</t>
  </si>
  <si>
    <t>https://www.jotform.com/uploads/macarewecare/222927978372067/6161724577048977873/6161724577048977873_signature_31.png</t>
  </si>
  <si>
    <t>Dagupan City, Pangasinan</t>
  </si>
  <si>
    <t xml:space="preserve">ASSAY: Xpert MTB/RIF Ultra, COUNT: 1435
</t>
  </si>
  <si>
    <t>https://www.jotform.com/uploads/macarewecare/222927978372067/6161720587045092313/6161720587045092313_signature_28.png</t>
  </si>
  <si>
    <t>https://www.jotform.com/uploads/macarewecare/222927978372067/6161720587045092313/6161720587045092313_signature_31.png</t>
  </si>
  <si>
    <t>Mangaldan,Pangasinan</t>
  </si>
  <si>
    <t xml:space="preserve">ASSAY: Xpert MTB/RIF Ultra, COUNT: 630
</t>
  </si>
  <si>
    <t>https://www.jotform.com/uploads/macarewecare/222927978372067/6161718907045466057/6161718907045466057_signature_28.png</t>
  </si>
  <si>
    <t>https://www.jotform.com/uploads/macarewecare/222927978372067/6161718907045466057/6161718907045466057_signature_31.png</t>
  </si>
  <si>
    <t xml:space="preserve">ASSAY: Xpert MTB/RIF Ultra, COUNT: 874
</t>
  </si>
  <si>
    <t>https://www.jotform.com/uploads/macarewecare/222927978372067/6161717447044696439/6161717447044696439_signature_28.png</t>
  </si>
  <si>
    <t>https://www.jotform.com/uploads/macarewecare/222927978372067/6161717447044696439/6161717447044696439_signature_31.png</t>
  </si>
  <si>
    <t xml:space="preserve">ASSAY: Xpert CT/NG, COUNT: 2
ASSAY: Xpert HBV VL, COUNT: 19
ASSAY: Xpert HPV, COUNT: 1
ASSAY: Xpert MTB/RIF Ultra, COUNT: 284
ASSAY: Xpert HIV-1 Viral Load, COUNT: 12
</t>
  </si>
  <si>
    <t>For additional troubleshooting</t>
  </si>
  <si>
    <t>Run Xpert MTB-RIF Ultra</t>
  </si>
  <si>
    <t>Performed maintenance 
Run Xpert MTB-Rif Ultra cartridges 
Generated reports 
Generated gxx file
Functionality test</t>
  </si>
  <si>
    <t>DR# 12623, 12752</t>
  </si>
  <si>
    <t>https://www.jotform.com/uploads/macarewecare/222927978372067/6161703163616216421/6161703163616216421_signature_28.png</t>
  </si>
  <si>
    <t>Kia Mae Kabingue</t>
  </si>
  <si>
    <t>https://www.jotform.com/uploads/macarewecare/222927978372067/6161703163616216421/6161703163616216421_signature_31.png</t>
  </si>
  <si>
    <t>De los Santos Medical Center</t>
  </si>
  <si>
    <t>nspathology@dlsmc.ph</t>
  </si>
  <si>
    <t xml:space="preserve">ASSAY: Xpert C. difficile BT, COUNT: 1
ASSAY: Xpert HBV VL, COUNT: 35
ASSAY: Xpert HPV, COUNT: 6
ASSAY: Xpert MTB/RIF Ultra, COUNT: 376
</t>
  </si>
  <si>
    <t>https://www.jotform.com/uploads/macarewecare/222927978372067/6161665653613060342/6161665653613060342_signature_28.png</t>
  </si>
  <si>
    <t>https://www.jotform.com/uploads/macarewecare/222927978372067/6161665653613060342/6161665653613060342_signature_31.png</t>
  </si>
  <si>
    <t>Masikap ext. QC</t>
  </si>
  <si>
    <t>bestdx@yahoo.com</t>
  </si>
  <si>
    <t xml:space="preserve">ASSAY: Xpert CT/NG, COUNT: 37
ASSAY: Xpert HBV VL, COUNT: 18
ASSAY: Xpert MTB/RIF Ultra, COUNT: 8
ASSAY: Xpert HCV VL, COUNT: 5
ASSAY: Xpert HIV-1 Viral Load, COUNT: 1
</t>
  </si>
  <si>
    <t>Due for maintenance
Due for xpertcheck
Last xpertcheck feb 7,2024
B4 encounter 2097 error hbv</t>
  </si>
  <si>
    <t>https://www.jotform.com/uploads/macarewecare/222927978372067/6161665293616900826/6161665293616900826_signature_28.png</t>
  </si>
  <si>
    <t>https://www.jotform.com/uploads/macarewecare/222927978372067/6161665293616900826/6161665293616900826_signature_31.png</t>
  </si>
  <si>
    <t>Loose left IV pole</t>
  </si>
  <si>
    <t>Checked IV pole
Retighten screw 
Aligned spring stopper</t>
  </si>
  <si>
    <t>Troubleshooting and repair</t>
  </si>
  <si>
    <t>https://www.jotform.com/uploads/macarewecare/222927978372067/6161664713611734262/6161664713611734262_signature_28.png</t>
  </si>
  <si>
    <t>Rendelle Pacis</t>
  </si>
  <si>
    <t>https://www.jotform.com/uploads/macarewecare/222927978372067/6161664713611734262/6161664713611734262_signature_31.png</t>
  </si>
  <si>
    <t>Gx for Preventive Maintenance 
UPS automatically shuts down during power outage</t>
  </si>
  <si>
    <t>Cleaned cartridge bays, plunger rod, icore 
Check UPS cable connections(power cord)
Tested the lenght of UPS backup battery when pulled off from power source( 1hr charged)
Generate Data</t>
  </si>
  <si>
    <t>Performed Preventive Maintenance 
Perfect Troubleshooting (UPS)</t>
  </si>
  <si>
    <t>UPS battery defective(shuts down when pulled from power source). Request for UPS replacement</t>
  </si>
  <si>
    <t>https://www.jotform.com/uploads/macarewecare/222927978372067/6159700261112172830/6159700261112172830_signature_28.png</t>
  </si>
  <si>
    <t>Phyl Frances C. Gomez</t>
  </si>
  <si>
    <t>https://www.jotform.com/uploads/macarewecare/222927978372067/6159700261112172830/6159700261112172830_signature_31.png</t>
  </si>
  <si>
    <t>San Jose, Camarines Sur</t>
  </si>
  <si>
    <t>Check/swapped CPU power cord
Cleaned CPU RAM
tested the performance of CPU(1hr)
Generate Data</t>
  </si>
  <si>
    <t>Performed Troubleshooting for CPU</t>
  </si>
  <si>
    <t>Unit is non operational (CPU keeps restarting)</t>
  </si>
  <si>
    <t>CPU restarts in less than 5mins. Request for CPU replacement</t>
  </si>
  <si>
    <t>https://www.jotform.com/uploads/macarewecare/222927978372067/6159699591114437671/6159699591114437671_signature_28.png</t>
  </si>
  <si>
    <t>https://www.jotform.com/uploads/macarewecare/222927978372067/6159699591114437671/6159699591114437671_signature_31.png</t>
  </si>
  <si>
    <t>PHILIPPINE RED CROSS - ILOILO</t>
  </si>
  <si>
    <t>wvrbc@redcross.org.ph</t>
  </si>
  <si>
    <t>98G049</t>
  </si>
  <si>
    <t>-PERFORM PREVENTIVE MAINTENANCE PROCEDURE
-REPLACE ANTICOAGULANT MOTOR RUBBER ROLLER (2 RUBBER ROLLERS USED)
-PERFORM CYCLE TEST, PASSED</t>
  </si>
  <si>
    <t>https://www.jotform.com/uploads/macarewecare/222927978372067/6159240558024441283/6159240558024441283_signature_28.png</t>
  </si>
  <si>
    <t>Josette Saltin, RMT</t>
  </si>
  <si>
    <t>https://www.jotform.com/uploads/macarewecare/222927978372067/6159240558024441283/6159240558024441283_signature_31.png</t>
  </si>
  <si>
    <t xml:space="preserve">ASSAY: Xpert MTB/RIF Ultra, COUNT: 1898
</t>
  </si>
  <si>
    <t>MODULE B2 ERROR 4009 AND 1002</t>
  </si>
  <si>
    <t>https://www.jotform.com/uploads/macarewecare/222927978372067/6159170113716575337/6159170113716575337_signature_28.png</t>
  </si>
  <si>
    <t>https://www.jotform.com/uploads/macarewecare/222927978372067/6159170113716575337/6159170113716575337_signature_31.png</t>
  </si>
  <si>
    <t>Replaced CPU
Performed maintenance 
Generated reports 
Functionality test</t>
  </si>
  <si>
    <t>Old CPU: CPH0424F51370
New CPU: CPH0424F51326</t>
  </si>
  <si>
    <t>DR# 12753</t>
  </si>
  <si>
    <t>https://www.jotform.com/uploads/macarewecare/222927978372067/6159101233611446832/6159101233611446832_signature_28.png</t>
  </si>
  <si>
    <t>https://www.jotform.com/uploads/macarewecare/222927978372067/6159101233611446832/6159101233611446832_signature_31.png</t>
  </si>
  <si>
    <t xml:space="preserve">ASSAY: Xpert BCR-ABL Ultra, COUNT: 57
ASSAY: Xpert CT/NG, COUNT: 53
ASSAY: Others, COUNT: 2
ASSAY: Xpert HBV VL, COUNT: 633
ASSAY: Xpert HPV, COUNT: 417
ASSAY: Xpert MTB/RIF Ultra, COUNT: 6244
ASSAY: Xpert MTB-XDR, COUNT: 1
ASSAY: Others, COUNT: 1
ASSAY: Xpert HCV VL, COUNT: 120
ASSAY: Xpert HIV-1 Viral Load, COUNT: 854
ASSAY: Xpress SARS-CoV-2_Flu_RSV plus, COUNT: 1308
</t>
  </si>
  <si>
    <t>Performed maintenance 
Run Xpert MTB-Rif Ultra on modules A1, A3, A4, B2, B3, C1, C3, D1 and D2
Generated reports 
Generated gxx file</t>
  </si>
  <si>
    <t>Used 9 Xpert MTB-Rif Ultra cartridges only.</t>
  </si>
  <si>
    <t>DR# 12754</t>
  </si>
  <si>
    <t>https://www.jotform.com/uploads/macarewecare/222927978372067/6159101233616209308/6159101233616209308_signature_28.png</t>
  </si>
  <si>
    <t>https://www.jotform.com/uploads/macarewecare/222927978372067/6159101233616209308/6159101233616209308_signature_31.png</t>
  </si>
  <si>
    <t>Run simulation 
Checked rotor pumps 
Verified calibration parameters 
Functionality test</t>
  </si>
  <si>
    <t>Unit is operational. UPS has no backup.</t>
  </si>
  <si>
    <t>UPS SN: 20163711301</t>
  </si>
  <si>
    <t>https://www.jotform.com/uploads/macarewecare/222927978372067/6159101233616214045/6159101233616214045_signature_28.png</t>
  </si>
  <si>
    <t>Josefina S. Bangay</t>
  </si>
  <si>
    <t>https://www.jotform.com/uploads/macarewecare/222927978372067/6159101233616214045/6159101233616214045_signature_31.png</t>
  </si>
  <si>
    <t>MIAGAO RURAL HEALTH UNIT</t>
  </si>
  <si>
    <t>Miagao, Iloilo</t>
  </si>
  <si>
    <t>joannaleesadiong@gmail.com</t>
  </si>
  <si>
    <t xml:space="preserve">ASSAY: Xpert MTB/RIF Ultra, COUNT: 139
</t>
  </si>
  <si>
    <t>-PERFORM PREVENTIVE MAINTENANCE PROCEDURE
-PERFORM MODULE B1 REPLACEMENT:
DEF SN:210122315
NEW SN: 210047524</t>
  </si>
  <si>
    <t>Certified pre-owned Genexpert 10-Color Module</t>
  </si>
  <si>
    <t>https://www.jotform.com/uploads/macarewecare/222927978372067/6158532965605725499/6158532965605725499_signature_28.png</t>
  </si>
  <si>
    <t>Joanna Lee M Sadiong</t>
  </si>
  <si>
    <t>https://www.jotform.com/uploads/macarewecare/222927978372067/6158532965605725499/6158532965605725499_signature_31.png</t>
  </si>
  <si>
    <t>https://www.jotform.com/uploads/macarewecare/222927978372067/6158532865601118274/6158532865601118274_signature_28.png</t>
  </si>
  <si>
    <t>https://www.jotform.com/uploads/macarewecare/222927978372067/6158532865601118274/6158532865601118274_signature_31.png</t>
  </si>
  <si>
    <t>https://www.jotform.com/uploads/macarewecare/222927978372067/6158433030294918825/6158433030294918825_signature_28.png</t>
  </si>
  <si>
    <t>https://www.jotform.com/uploads/macarewecare/222927978372067/6158433030294918825/6158433030294918825_signature_31.png</t>
  </si>
  <si>
    <t>San Agustin, Talacogon</t>
  </si>
  <si>
    <t>https://www.jotform.com/uploads/macarewecare/222927978372067/6158429330294997054/6158429330294997054_signature_28.png</t>
  </si>
  <si>
    <t>https://www.jotform.com/uploads/macarewecare/222927978372067/6158429330294997054/6158429330294997054_signature_31.png</t>
  </si>
  <si>
    <t>Gingaroy, Tigaon</t>
  </si>
  <si>
    <t xml:space="preserve">ASSAY: Xpert MTB/RIF Ultra, COUNT: 839
</t>
  </si>
  <si>
    <t>B4/614067 not detected, steady red light indicator</t>
  </si>
  <si>
    <t>Used different cable from B4 to gateway board
Swapped B3 and B4 cable connection going to gateway board port
Cleaned module 4 port and gateway board port</t>
  </si>
  <si>
    <t>B4/614067 not detected</t>
  </si>
  <si>
    <t>https://www.jotform.com/uploads/macarewecare/222927978372067/6158390917321380251/6158390917321380251_signature_28.png</t>
  </si>
  <si>
    <t>Maria Jesusa Imperial</t>
  </si>
  <si>
    <t>https://www.jotform.com/uploads/macarewecare/222927978372067/6158390917321380251/6158390917321380251_signature_31.png</t>
  </si>
  <si>
    <t>lornaabaigar@gmail.com</t>
  </si>
  <si>
    <t>https://www.jotform.com/uploads/macarewecare/222927978372067/6158381385529009052/6158381385529009052_signature_28.png</t>
  </si>
  <si>
    <t>Lorna C. Abaigar</t>
  </si>
  <si>
    <t>https://www.jotform.com/uploads/macarewecare/222927978372067/6158381385529009052/6158381385529009052_signature_31.png</t>
  </si>
  <si>
    <t>Unit is operational
Unit calibration due date (March 6, 2025) XpertCheck Kit required</t>
  </si>
  <si>
    <t>https://www.jotform.com/uploads/macarewecare/222927978372067/6158350506432495366/6158350506432495366_signature_28.png</t>
  </si>
  <si>
    <t>https://www.jotform.com/uploads/macarewecare/222927978372067/6158350506432495366/6158350506432495366_signature_31.png</t>
  </si>
  <si>
    <t>tubunganpcf.laboratory@gmail.com</t>
  </si>
  <si>
    <t>-PERFORM PREVENTIVE MAINTENANCE PROCEDURE
-PERFORM MODULE B2 REPLACEMENT:
DEF SN:210121941
NEW SN:210099472</t>
  </si>
  <si>
    <t>Certified Pre-owned Genexpert 10-Color Module</t>
  </si>
  <si>
    <t>https://www.jotform.com/uploads/macarewecare/222927978372067/6158253463169781603/6158253463169781603_signature_28.png</t>
  </si>
  <si>
    <t>Ma. Delmar Tagabi</t>
  </si>
  <si>
    <t>https://www.jotform.com/uploads/macarewecare/222927978372067/6158253463169781603/6158253463169781603_signature_31.png</t>
  </si>
  <si>
    <t xml:space="preserve">ASSAY: Xpert HPV, COUNT: 4
ASSAY: Xpert MTB/RIF Ultra, COUNT: 57
</t>
  </si>
  <si>
    <t>All module encounter loss communication error due outdated operating system.B4 encounter temp error 4012,4010,A3 882239,C1 881354,C3 760518,C4 882137 error loss communication,C2 882120  error loss communication and temp error 4012.,Gateway board 6001161 error loss communication.</t>
  </si>
  <si>
    <t>Unable to upload other assay definition file for processing of sample bec.of workstation operating system outdated.
Workstation unable to upgrade operating system windows 7 already discontinued and no support from microsoft.
Unit installation date 4/16/2014</t>
  </si>
  <si>
    <t>https://www.jotform.com/uploads/macarewecare/222927978372067/6157341743611622777/6157341743611622777_signature_28.png</t>
  </si>
  <si>
    <t>https://www.jotform.com/uploads/macarewecare/222927978372067/6157341743611622777/6157341743611622777_signature_31.png</t>
  </si>
  <si>
    <t>Unit for maintenance 
Modules for check up</t>
  </si>
  <si>
    <t>Unit is operational
Module A1(608871) for follow up report</t>
  </si>
  <si>
    <t>https://www.jotform.com/uploads/macarewecare/222927978372067/6157552706432151529/6157552706432151529_signature_28.png</t>
  </si>
  <si>
    <t>https://www.jotform.com/uploads/macarewecare/222927978372067/6157552706432151529/6157552706432151529_signature_31.png</t>
  </si>
  <si>
    <t>Manila Doctor's Hospital</t>
  </si>
  <si>
    <t>U.N. Ave, Paco Manila</t>
  </si>
  <si>
    <t xml:space="preserve">ASSAY: Xpert CT/NG, COUNT: 73
ASSAY: Xpert HBV VL, COUNT: 111
ASSAY: Xpert HPV, COUNT: 25
ASSAY: Xpert MTB/RIF Ultra, COUNT: 1200
ASSAY: Xpert HCV VL, COUNT: 18
ASSAY: Xpert HIV-1 Viral Load, COUNT: 110
</t>
  </si>
  <si>
    <t>https://www.jotform.com/uploads/macarewecare/222927978372067/6157551002023639711/6157551002023639711_signature_28.png</t>
  </si>
  <si>
    <t>https://www.jotform.com/uploads/macarewecare/222927978372067/6157551002023639711/6157551002023639711_signature_31.png</t>
  </si>
  <si>
    <t>Unit for maintenance
Modules for check up</t>
  </si>
  <si>
    <t>https://www.jotform.com/uploads/macarewecare/222927978372067/6157549276434006203/6157549276434006203_signature_28.png</t>
  </si>
  <si>
    <t>https://www.jotform.com/uploads/macarewecare/222927978372067/6157549276434006203/6157549276434006203_signature_31.png</t>
  </si>
  <si>
    <t>https://www.jotform.com/uploads/macarewecare/222927978372067/6157548786438547405/6157548786438547405_signature_28.png</t>
  </si>
  <si>
    <t>https://www.jotform.com/uploads/macarewecare/222927978372067/6157548786438547405/6157548786438547405_signature_31.png</t>
  </si>
  <si>
    <t>manalangmark88@gmail.com</t>
  </si>
  <si>
    <t xml:space="preserve">ASSAY: Xpert MTB/RIF Ultra, COUNT: 1501
</t>
  </si>
  <si>
    <t>Monitor issue - auto-adjustment in progress, display stretching</t>
  </si>
  <si>
    <t>Check VGA cable connection from monitor going to CPU
use different cable on monitor
Collect Data</t>
  </si>
  <si>
    <t>Monitor issue resolved</t>
  </si>
  <si>
    <t>https://www.jotform.com/uploads/macarewecare/222927978372067/6157525522001248754/6157525522001248754_signature_28.png</t>
  </si>
  <si>
    <t>Ma.Veronica Carrascal</t>
  </si>
  <si>
    <t>https://www.jotform.com/uploads/macarewecare/222927978372067/6157525522001248754/6157525522001248754_signature_31.png</t>
  </si>
  <si>
    <t xml:space="preserve">ASSAY: Xpert MTB/RIF Ultra, COUNT: 1414
</t>
  </si>
  <si>
    <t>https://www.jotform.com/uploads/macarewecare/222927978372067/6157505704618734440/6157505704618734440_signature_28.png</t>
  </si>
  <si>
    <t>Mary Grace Layson</t>
  </si>
  <si>
    <t>https://www.jotform.com/uploads/macarewecare/222927978372067/6157505704618734440/6157505704618734440_signature_31.png</t>
  </si>
  <si>
    <t>U.N. Avenue, Paco Manila</t>
  </si>
  <si>
    <t xml:space="preserve">ASSAY: Xpert MTB/RIF Ultra, COUNT: 1254
</t>
  </si>
  <si>
    <t>https://www.jotform.com/uploads/macarewecare/222927978372067/6157492037716346758/6157492037716346758_signature_28.png</t>
  </si>
  <si>
    <t>https://www.jotform.com/uploads/macarewecare/222927978372067/6157492037716346758/6157492037716346758_signature_31.png</t>
  </si>
  <si>
    <t>University of Perpetual Helps Dalta Medical Center</t>
  </si>
  <si>
    <t>Alabang-Zapote Rd., Las Piñas</t>
  </si>
  <si>
    <t xml:space="preserve">ASSAY: Xpert CT/NG, COUNT: 3
ASSAY: Xpert HBV VL, COUNT: 3
ASSAY: Xpert HPV, COUNT: 4
ASSAY: Xpert MTB/RIF Ultra, COUNT: 27
</t>
  </si>
  <si>
    <t>Barcode Scanning Error.</t>
  </si>
  <si>
    <t>Checkes Barcode's Functionality.
Reinstall Assay.
Import Lot.
Generate Reports.</t>
  </si>
  <si>
    <t>Barcode is Operational.
1 Module Disabled.</t>
  </si>
  <si>
    <t>https://www.jotform.com/uploads/macarewecare/222927978372067/6157350743611765993/6157350743611765993_signature_28.png</t>
  </si>
  <si>
    <t>https://www.jotform.com/uploads/macarewecare/222927978372067/6157350743611765993/6157350743611765993_signature_31.png</t>
  </si>
  <si>
    <t>Quiricada St, Manila</t>
  </si>
  <si>
    <t>robethsonfp@gmail.com</t>
  </si>
  <si>
    <t xml:space="preserve">ASSAY: Xpert HBV VL, COUNT: 320
ASSAY: Xpert HIV-1 Viral Load, COUNT: 232
</t>
  </si>
  <si>
    <t>Cleaned Cartridge Bay, Plunger Rod, and Icore Optics.
Checked Filter if Clogged.
Performed Self-test.
Checked System's Functionality.
Generate Reports.</t>
  </si>
  <si>
    <t>1 Module is disabled.</t>
  </si>
  <si>
    <t>https://www.jotform.com/uploads/macarewecare/222927978372067/6157350743612329583/6157350743612329583_signature_28.png</t>
  </si>
  <si>
    <t>Robethson Perez</t>
  </si>
  <si>
    <t>https://www.jotform.com/uploads/macarewecare/222927978372067/6157350743612329583/6157350743612329583_signature_31.png</t>
  </si>
  <si>
    <t xml:space="preserve">ASSAY: Xpert HIV-1 Viral Load, COUNT: 802
</t>
  </si>
  <si>
    <t>Cleaned Cartridge Bay, Plunger Rod and Check Filter if Clogged.
Performed Self-test.
Checked System's Functionality.
Generate Reports.</t>
  </si>
  <si>
    <t>https://www.jotform.com/uploads/macarewecare/222927978372067/6157350743614040207/6157350743614040207_signature_28.png</t>
  </si>
  <si>
    <t>https://www.jotform.com/uploads/macarewecare/222927978372067/6157350743614040207/6157350743614040207_signature_31.png</t>
  </si>
  <si>
    <t xml:space="preserve">ASSAY: Xpert BCR-ABL Ultra, COUNT: 1584
ASSAY: Xpert CT/NG, COUNT: 14
ASSAY: Others, COUNT: 117
ASSAY: Xpert HBV VL, COUNT: 1004
ASSAY: Xpert HPV, COUNT: 152
ASSAY: Xpert MTB/RIF Ultra, COUNT: 2498
ASSAY: Others, COUNT: 3
ASSAY: Xpert SARS-CoV-2, COUNT: 4942
ASSAY: Xpert HCV VL, COUNT: 164
</t>
  </si>
  <si>
    <t>Due for maintenance
A1,A2,C2,D2 reported already for replacement
C4 encounter intermittent temp error 2014,1001</t>
  </si>
  <si>
    <t>A1,A2,C2,D2 disabled
C4 for reporting</t>
  </si>
  <si>
    <t>https://www.jotform.com/uploads/macarewecare/222927978372067/6157342613612808092/6157342613612808092_signature_28.png</t>
  </si>
  <si>
    <t>https://www.jotform.com/uploads/macarewecare/222927978372067/6157342613612808092/6157342613612808092_signature_31.png</t>
  </si>
  <si>
    <t xml:space="preserve">ASSAY: Xpert BCR-ABL Ultra, COUNT: 100
ASSAY: Others, COUNT: 2
ASSAY: Xpert HBV VL, COUNT: 34
ASSAY: Xpert HPV, COUNT: 2
ASSAY: Xpert MTB/RIF Ultra, COUNT: 116
ASSAY: Xpert HCV VL, COUNT: 9
</t>
  </si>
  <si>
    <t>Due for maintenance B4 disabled encounter temp error 1002</t>
  </si>
  <si>
    <t>B1,B2,B3 operational
B4 for reporting</t>
  </si>
  <si>
    <t>https://www.jotform.com/uploads/macarewecare/222927978372067/6157342193615998933/6157342193615998933_signature_28.png</t>
  </si>
  <si>
    <t>https://www.jotform.com/uploads/macarewecare/222927978372067/6157342193615998933/6157342193615998933_signature_31.png</t>
  </si>
  <si>
    <t>All module encounter  loss communication error due outdated operating system
B4 encounter temp error 4012,4010
C2 encounter temp error  4012
Due for maintenance
C1 881354 error loss communication
C2 882120  error loss communication and temp error 4012
C3 760518 error loss communication
C4 882137 error loss communication.
Gateway board 6001161 error loss communication</t>
  </si>
  <si>
    <t>Unable to upload other assay definition file for processing of sample bec.of workstation operating system outdated
Workstation unable to upgrade operating system windows 7 already discontinued and no support from microsoft.
Unit installation date 4/16/2014</t>
  </si>
  <si>
    <t xml:space="preserve">ASSAY: Xpert MTB/RIF Ultra, COUNT: 2970
</t>
  </si>
  <si>
    <t>None.</t>
  </si>
  <si>
    <t>Machine cleaning.</t>
  </si>
  <si>
    <t>Performed Preventive Maintenance - cleaned filter, optic slots, plunger rods. module bays; archive tests, January 2025 to Feb. 18, 2025 only.</t>
  </si>
  <si>
    <t>4 modules operational;
no available cartridges as of this day.</t>
  </si>
  <si>
    <t>https://www.jotform.com/uploads/macarewecare/222927978372067/6156674580411671524/6156674580411671524_signature_28.png</t>
  </si>
  <si>
    <t>https://www.jotform.com/uploads/macarewecare/222927978372067/6156674580411671524/6156674580411671524_signature_31.png</t>
  </si>
  <si>
    <t>Unitis operational</t>
  </si>
  <si>
    <t>https://www.jotform.com/uploads/macarewecare/222927978372067/6156594101998627280/6156594101998627280_signature_28.png</t>
  </si>
  <si>
    <t>Glaiza Chavez</t>
  </si>
  <si>
    <t>https://www.jotform.com/uploads/macarewecare/222927978372067/6156594101998627280/6156594101998627280_signature_31.png</t>
  </si>
  <si>
    <t>REPAIR
MAINTENANCE
TROUBLESHOOTING
Monitor replacement and Preventive Maintenence</t>
  </si>
  <si>
    <t>Monitor LCD problem</t>
  </si>
  <si>
    <t>Replaced monitor and conducted Preventive Maintenence</t>
  </si>
  <si>
    <t>FC-E-MONITOR</t>
  </si>
  <si>
    <t>https://www.jotform.com/uploads/macarewecare/222927978372067/6156560820181489598/6156560820181489598_signature_28.png</t>
  </si>
  <si>
    <t>https://www.jotform.com/uploads/macarewecare/222927978372067/6156560820181489598/6156560820181489598_signature_31.png</t>
  </si>
  <si>
    <t>suzzettekho3@gmail.com</t>
  </si>
  <si>
    <t>https://www.jotform.com/uploads/macarewecare/222927978372067/6156465902244704333/6156465902244704333_signature_28.png</t>
  </si>
  <si>
    <t>https://www.jotform.com/uploads/macarewecare/222927978372067/6156465902244704333/6156465902244704333_signature_31.png</t>
  </si>
  <si>
    <t>mjdetocil@gmail.com</t>
  </si>
  <si>
    <t xml:space="preserve">ASSAY: Xpert MTB/RIF Ultra, COUNT: 865
</t>
  </si>
  <si>
    <t>https://www.jotform.com/uploads/macarewecare/222927978372067/6156103066864765740/6156103066864765740_signature_28.png</t>
  </si>
  <si>
    <t>Michael Jay detocil</t>
  </si>
  <si>
    <t>https://www.jotform.com/uploads/macarewecare/222927978372067/6156103066864765740/6156103066864765740_signature_31.png</t>
  </si>
  <si>
    <t xml:space="preserve">ASSAY: Xpert MTB/RIF Ultra, COUNT: 771
ASSAY: Xpert HIV-1 Viral Load, COUNT: 11
</t>
  </si>
  <si>
    <t>Perform Genexpert Cleaning and maintenance 
Checking of errors 
Data collection</t>
  </si>
  <si>
    <t>https://www.jotform.com/uploads/macarewecare/222927978372067/6156102246863983977/6156102246863983977_signature_28.png</t>
  </si>
  <si>
    <t>RONORA YADAO</t>
  </si>
  <si>
    <t>https://www.jotform.com/uploads/macarewecare/222927978372067/6156102246863983977/6156102246863983977_signature_31.png</t>
  </si>
  <si>
    <t>Donor Pressure Monitor encountered low pressure during start up.</t>
  </si>
  <si>
    <t>Replacement of motor pump blood and transfer pump</t>
  </si>
  <si>
    <t>https://www.jotform.com/uploads/macarewecare/222927978372067/6155966555582926221/6155966555582926221_signature_28.png</t>
  </si>
  <si>
    <t>https://www.jotform.com/uploads/macarewecare/222927978372067/6155966555582926221/6155966555582926221_signature_31.png</t>
  </si>
  <si>
    <t>Performed preventive maintenance clean up machine, Icore, cartridge bay, ultrasonic hour, removed and clean filter
Performed database management, archive results,
Generate IQR, Sys Log, Assay Statistics</t>
  </si>
  <si>
    <t>https://www.jotform.com/uploads/macarewecare/222927978372067/6155964355581772254/6155964355581772254_signature_28.png</t>
  </si>
  <si>
    <t>Brenda Paredes</t>
  </si>
  <si>
    <t>https://www.jotform.com/uploads/macarewecare/222927978372067/6155964355581772254/6155964355581772254_signature_31.png</t>
  </si>
  <si>
    <t xml:space="preserve">ASSAY: Xpert MTB/RIF Ultra, COUNT: 758
</t>
  </si>
  <si>
    <t>https://www.jotform.com/uploads/macarewecare/222927978372067/6155776897048905385/6155776897048905385_signature_28.png</t>
  </si>
  <si>
    <t>https://www.jotform.com/uploads/macarewecare/222927978372067/6155776897048905385/6155776897048905385_signature_31.png</t>
  </si>
  <si>
    <t xml:space="preserve">ASSAY: Xpert MTB/RIF Ultra, COUNT: 9e3
</t>
  </si>
  <si>
    <t>https://www.jotform.com/uploads/macarewecare/222927978372067/6155773947041405325/6155773947041405325_signature_28.png</t>
  </si>
  <si>
    <t>https://www.jotform.com/uploads/macarewecare/222927978372067/6155773947041405325/6155773947041405325_signature_31.png</t>
  </si>
  <si>
    <t xml:space="preserve">ASSAY: Xpert MTB/RIF Ultra, COUNT: 1122
</t>
  </si>
  <si>
    <t>https://www.jotform.com/uploads/macarewecare/222927978372067/6155772257043002430/6155772257043002430_signature_28.png</t>
  </si>
  <si>
    <t>https://www.jotform.com/uploads/macarewecare/222927978372067/6155772257043002430/6155772257043002430_signature_31.png</t>
  </si>
  <si>
    <t xml:space="preserve">ASSAY: Xpert MTB/RIF Ultra, COUNT: 516
</t>
  </si>
  <si>
    <t>https://www.jotform.com/uploads/macarewecare/222927978372067/6155723929425954767/6155723929425954767_signature_28.png</t>
  </si>
  <si>
    <t>Dorothy Dalagan RMT</t>
  </si>
  <si>
    <t>https://www.jotform.com/uploads/macarewecare/222927978372067/6155723929425954767/6155723929425954767_signature_31.png</t>
  </si>
  <si>
    <t>Dr. Sixto Ave Pasig City</t>
  </si>
  <si>
    <t xml:space="preserve">ASSAY: Xpert MTB/RIF Ultra, COUNT: 975
</t>
  </si>
  <si>
    <t>Relocated the GeneXpert System 
Performed maintenance 
Generated reports</t>
  </si>
  <si>
    <t>Transferred the GeneXpert to other room</t>
  </si>
  <si>
    <t>https://www.jotform.com/uploads/macarewecare/222927978372067/6155627283611297149/6155627283611297149_signature_28.png</t>
  </si>
  <si>
    <t>Eden R. Cawayan</t>
  </si>
  <si>
    <t>https://www.jotform.com/uploads/macarewecare/222927978372067/6155627283611297149/6155627283611297149_signature_31.png</t>
  </si>
  <si>
    <t>CityWalk, Eastwood, Quezon City</t>
  </si>
  <si>
    <t>klinikaestwoodlaboratory@gmail.com</t>
  </si>
  <si>
    <t xml:space="preserve">ASSAY: Xpert HIV-1 Viral Load, COUNT: 31
</t>
  </si>
  <si>
    <t>https://www.jotform.com/uploads/macarewecare/222927978372067/6155627283613456353/6155627283613456353_signature_28.png</t>
  </si>
  <si>
    <t>https://www.jotform.com/uploads/macarewecare/222927978372067/6155627283613456353/6155627283613456353_signature_31.png</t>
  </si>
  <si>
    <t xml:space="preserve">ASSAY: Xpert MTB/RIF Ultra, COUNT: 1119
</t>
  </si>
  <si>
    <t>Performed maintenance 
Cleaned:
-cartridge bay
-plunger rod 
-icore
Generated reports</t>
  </si>
  <si>
    <t>https://www.jotform.com/uploads/macarewecare/222927978372067/6155627283616264959/6155627283616264959_signature_28.png</t>
  </si>
  <si>
    <t>https://www.jotform.com/uploads/macarewecare/222927978372067/6155627283616264959/6155627283616264959_signature_31.png</t>
  </si>
  <si>
    <t xml:space="preserve">ASSAY: Xpert MTB/RIF Ultra, COUNT: 6
ASSAY: Xpert MTB-XDR, COUNT: 34
ASSAY: Xpert HIV-1 Viral Load, COUNT: 247
</t>
  </si>
  <si>
    <t>https://www.jotform.com/uploads/macarewecare/222927978372067/6155627233612167802/6155627233612167802_signature_28.png</t>
  </si>
  <si>
    <t>https://www.jotform.com/uploads/macarewecare/222927978372067/6155627233612167802/6155627233612167802_signature_31.png</t>
  </si>
  <si>
    <t>Performed maintenance 
Checked rotor pumps 
Run simulation 
Verified calibration parameters 
Functionality test</t>
  </si>
  <si>
    <t>https://www.jotform.com/uploads/macarewecare/222927978372067/6155627233613737243/6155627233613737243_signature_28.png</t>
  </si>
  <si>
    <t>Janine Chelsie Uy</t>
  </si>
  <si>
    <t>https://www.jotform.com/uploads/macarewecare/222927978372067/6155627233613737243/6155627233613737243_signature_31.png</t>
  </si>
  <si>
    <t>The Medical city</t>
  </si>
  <si>
    <t xml:space="preserve">ASSAY: Xpert BCR-ABL Ultra, COUNT: 57
ASSAY: Xpert CT/NG, COUNT: 57
ASSAY: Others, COUNT: 2
ASSAY: Xpert HBV VL, COUNT: 635
ASSAY: Xpert HPV, COUNT: 418
ASSAY: Xpert MTB/RIF Ultra, COUNT: 6126
ASSAY: Xpert MTB-XDR, COUNT: 1
ASSAY: Others, COUNT: 1
ASSAY: Xpert HCV VL, COUNT: 114
ASSAY: Xpert HIV-1 Viral Load, COUNT: 843
ASSAY: Xpress SARS-CoV-2_Flu_RSV plus, COUNT: 1285
</t>
  </si>
  <si>
    <t>Replaced module C4</t>
  </si>
  <si>
    <t>Performed maintenance 
Cleaned:
-cartridge bay
-plunger rod 
-icore 
-filter
Generated reports 
Generated.nxx file
Replaced module C4</t>
  </si>
  <si>
    <t>Unit is operational. Modules with 5007 error under observation.</t>
  </si>
  <si>
    <t>Old: C4/210082296
New: C4/210026854</t>
  </si>
  <si>
    <t>DR# 12742</t>
  </si>
  <si>
    <t>https://www.jotform.com/uploads/macarewecare/222927978372067/6155627233614300468/6155627233614300468_signature_28.png</t>
  </si>
  <si>
    <t>https://www.jotform.com/uploads/macarewecare/222927978372067/6155627233614300468/6155627233614300468_signature_31.png</t>
  </si>
  <si>
    <t>https://www.jotform.com/uploads/macarewecare/222927978372067/6155627233617125465/6155627233617125465_signature_28.png</t>
  </si>
  <si>
    <t>Gilian dacanay</t>
  </si>
  <si>
    <t>https://www.jotform.com/uploads/macarewecare/222927978372067/6155627233617125465/6155627233617125465_signature_31.png</t>
  </si>
  <si>
    <t xml:space="preserve">ASSAY: Xpert CT/NG, COUNT: 2
ASSAY: Xpert HBV VL, COUNT: 20
ASSAY: Xpert HPV, COUNT: 1
ASSAY: Xpert MTB/RIF Ultra, COUNT: 282
ASSAY: Xpert HIV-1 Viral Load, COUNT: 8
</t>
  </si>
  <si>
    <t>Performed maintenance 
Cleaned:
-cartridge bay
-plunger rod 
-icore 
-filter
Generated .gxx file
Generated reports</t>
  </si>
  <si>
    <t>https://www.jotform.com/uploads/macarewecare/222927978372067/6155627233617398109/6155627233617398109_signature_28.png</t>
  </si>
  <si>
    <t>https://www.jotform.com/uploads/macarewecare/222927978372067/6155627233617398109/6155627233617398109_signature_31.png</t>
  </si>
  <si>
    <t>Sandigan QC</t>
  </si>
  <si>
    <t xml:space="preserve">ASSAY: Xpert CT/NG, COUNT: 28
ASSAY: Xpert HBV VL, COUNT: 39
ASSAY: Xpert HIV-1 Viral Load, COUNT: 749
</t>
  </si>
  <si>
    <t>Gx4D 10C</t>
  </si>
  <si>
    <t>Cleaned unit
Cleaned plunger rod,filter,icore,cartridge bay
Performed selftest
Taught how to use basic operation of the machine
Gathered reports
Test run unit</t>
  </si>
  <si>
    <t>https://www.jotform.com/uploads/macarewecare/222927978372067/6155606423615107466/6155606423615107466_signature_28.png</t>
  </si>
  <si>
    <t>https://www.jotform.com/uploads/macarewecare/222927978372067/6155606423615107466/6155606423615107466_signature_31.png</t>
  </si>
  <si>
    <t>Cong. Semion G. Toribio Memorial Hospital</t>
  </si>
  <si>
    <t>Occasionally monitor blinking</t>
  </si>
  <si>
    <t>Check up AVG cable
Check up power cable</t>
  </si>
  <si>
    <t>Common hp monitor problem.
Instruct End-User the solution if the error pop-up again</t>
  </si>
  <si>
    <t>https://www.jotform.com/uploads/macarewecare/222927978372067/6155285669614269794/6155285669614269794_signature_28.png</t>
  </si>
  <si>
    <t>https://www.jotform.com/uploads/macarewecare/222927978372067/6155285669614269794/6155285669614269794_signature_31.png</t>
  </si>
  <si>
    <t>Lapulapu City Health Office</t>
  </si>
  <si>
    <t>tanya_pax@gmail.com</t>
  </si>
  <si>
    <t xml:space="preserve">ASSAY: Xpert MTB/RIF Ultra, COUNT: 2388
</t>
  </si>
  <si>
    <t>Equipment is Operational</t>
  </si>
  <si>
    <t>https://www.jotform.com/uploads/macarewecare/222927978372067/6153203133671789078/6153203133671789078_signature_28.png</t>
  </si>
  <si>
    <t>Maria Lucille Arong</t>
  </si>
  <si>
    <t>https://www.jotform.com/uploads/macarewecare/222927978372067/6153203133671789078/6153203133671789078_signature_31.png</t>
  </si>
  <si>
    <t xml:space="preserve">ASSAY: Xpert MTB/RIF Ultra, COUNT: 33
</t>
  </si>
  <si>
    <t>https://www.jotform.com/uploads/macarewecare/222927978372067/6153199369192076249/6153199369192076249_signature_28.png</t>
  </si>
  <si>
    <t>https://www.jotform.com/uploads/macarewecare/222927978372067/6153199369192076249/6153199369192076249_signature_31.png</t>
  </si>
  <si>
    <t>GX for Preventive Maintenance</t>
  </si>
  <si>
    <t>Cleaned cartridge bays, plunger rod, icore 
Replaced Filter 
Generate Data</t>
  </si>
  <si>
    <t>Performed Preventive Maintenance 
Replaced Filter</t>
  </si>
  <si>
    <t>https://www.jotform.com/uploads/macarewecare/222927978372067/6153196149193114446/6153196149193114446_signature_28.png</t>
  </si>
  <si>
    <t>https://www.jotform.com/uploads/macarewecare/222927978372067/6153196149193114446/6153196149193114446_signature_31.png</t>
  </si>
  <si>
    <t>Malol9s, Bulacan</t>
  </si>
  <si>
    <t>bmclab_micro@yahoo.com</t>
  </si>
  <si>
    <t>GeneXpert Module 
SN: 210031653</t>
  </si>
  <si>
    <t>https://www.jotform.com/uploads/macarewecare/222927978372067/6153145437125623221/6153145437125623221_signature_28.png</t>
  </si>
  <si>
    <t>https://www.jotform.com/uploads/macarewecare/222927978372067/6153145437125623221/6153145437125623221_signature_31.png</t>
  </si>
  <si>
    <t>Clean Surface Area, Cartridge Bays, Plunger Rods, Fan Filter, and Icore Lenses
Generate IQR, Assay Stat and System Log</t>
  </si>
  <si>
    <t>https://www.jotform.com/uploads/macarewecare/222927978372067/6152336989027202268/6152336989027202268_signature_28.png</t>
  </si>
  <si>
    <t>https://www.jotform.com/uploads/macarewecare/222927978372067/6152336989027202268/6152336989027202268_signature_31.png</t>
  </si>
  <si>
    <t>San Jose Municipal Health Unit</t>
  </si>
  <si>
    <t xml:space="preserve">ASSAY: Xpert MTB/RIF Ultra, COUNT: 1942
</t>
  </si>
  <si>
    <t>CPU restarts randomly</t>
  </si>
  <si>
    <t>Check CPU power cord connection
Unplugged and replugged power cords going to UPS
Cleaned RAM
Removed dust inside CPU
cleaned cartridge bays,plunger rod
Generate Data</t>
  </si>
  <si>
    <t>CPU is for observation during Gx test</t>
  </si>
  <si>
    <t>https://www.jotform.com/uploads/macarewecare/222927978372067/6152268556616455514/6152268556616455514_signature_28.png</t>
  </si>
  <si>
    <t>https://www.jotform.com/uploads/macarewecare/222927978372067/6152268556616455514/6152268556616455514_signature_31.png</t>
  </si>
  <si>
    <t>B4/614067 stuck cartridge</t>
  </si>
  <si>
    <t>B4/614067 stuck cartridge resolved
Cleaned cartridge bays, plunger rod, icore
Generate Data</t>
  </si>
  <si>
    <t>Performed Preventive Maintenance 
Performed Troubleshooting for module B4</t>
  </si>
  <si>
    <t>B4/614067 not detected, request for replacement</t>
  </si>
  <si>
    <t>https://www.jotform.com/uploads/macarewecare/222927978372067/6152238876614500855/6152238876614500855_signature_28.png</t>
  </si>
  <si>
    <t>Maria Jesusa p.Imperial</t>
  </si>
  <si>
    <t>https://www.jotform.com/uploads/macarewecare/222927978372067/6152238876614500855/6152238876614500855_signature_31.png</t>
  </si>
  <si>
    <t>LIS connectivity problems, results not being uploaded to server.</t>
  </si>
  <si>
    <t>Cleared communication buffer
Redjusted host communication settings
Observed test results uploading for following batches</t>
  </si>
  <si>
    <t>Unit is operational, LIS able to upload results again</t>
  </si>
  <si>
    <t>https://www.jotform.com/uploads/macarewecare/222927978372067/6151605194525968051/6151605194525968051_signature_28.png</t>
  </si>
  <si>
    <t>Ma. Sarah R. Rodil</t>
  </si>
  <si>
    <t>https://www.jotform.com/uploads/macarewecare/222927978372067/6151605194525968051/6151605194525968051_signature_31.png</t>
  </si>
  <si>
    <t xml:space="preserve">ASSAY: Xpert CT/NG, COUNT: 33
ASSAY: Others, COUNT: 4
ASSAY: Xpert HPV, COUNT: 39
ASSAY: Xpert SARS-CoV-2, COUNT: 11
ASSAY: Xpert HCV VL, COUNT: 1
</t>
  </si>
  <si>
    <t>Performed xpertcheck
Cleaned unit
Cleaned plunger rod,filter,icore,cartridge bay
Performed selftest
Gathered reports
Test run unit</t>
  </si>
  <si>
    <t>A3 disabled hw failed
C2 failed xpertcheck 01/2024
A1,A4,B2,B4,D2 failed xpertcheck
9 modules operational passed in xpertcheck.</t>
  </si>
  <si>
    <t>G7772</t>
  </si>
  <si>
    <t>https://www.jotform.com/uploads/macarewecare/222927978372067/6151502814423785754/6151502814423785754_signature_28.png</t>
  </si>
  <si>
    <t>https://www.jotform.com/uploads/macarewecare/222927978372067/6151502814423785754/6151502814423785754_signature_31.png</t>
  </si>
  <si>
    <t>-Preventive Maintenance; plunger rod, fan filter, optic slot, cartridge bay</t>
  </si>
  <si>
    <t>https://www.jotform.com/uploads/macarewecare/222927978372067/6151369239432465601/6151369239432465601_signature_28.png</t>
  </si>
  <si>
    <t>https://www.jotform.com/uploads/macarewecare/222927978372067/6151369239432465601/6151369239432465601_signature_31.png</t>
  </si>
  <si>
    <t>Makati Medical Center Medilinx</t>
  </si>
  <si>
    <t>John.Manzano@sodexo.com</t>
  </si>
  <si>
    <t xml:space="preserve">ASSAY: Xpert BCR-ABL Ultra, COUNT: 250
ASSAY: Xpert CT/NG, COUNT: 863
ASSAY: Xpert HBV VL, COUNT: 9
ASSAY: Xpert HPV, COUNT: 681
ASSAY: Xpert MTB/RIF Ultra, COUNT: 3533
ASSAY: Others, COUNT: 13
ASSAY: Xpert HCV VL, COUNT: 110
ASSAY: Xpert HIV-1 Viral Load, COUNT: 2061
</t>
  </si>
  <si>
    <t>Due for maintenance
B2,B3 failed xpertcheck reported already for module replacement
B1 reported already for module replacement
B4 encounter 5017,5007 for reporting</t>
  </si>
  <si>
    <t>B1 disabled
B2 ,B3 run other assay except mtb ultra</t>
  </si>
  <si>
    <t>https://www.jotform.com/uploads/macarewecare/222927978372067/6151342373617179978/6151342373617179978_signature_28.png</t>
  </si>
  <si>
    <t>https://www.jotform.com/uploads/macarewecare/222927978372067/6151342373617179978/6151342373617179978_signature_31.png</t>
  </si>
  <si>
    <t>Sta. Rosa Laguna</t>
  </si>
  <si>
    <t xml:space="preserve">ASSAY: Xpert BCR-ABL Ultra, COUNT: 1
ASSAY: Xpert HBV VL, COUNT: 30
ASSAY: Xpert MTB/RIF Ultra, COUNT: 194
ASSAY: Xpert HIV-1 Viral Load, COUNT: 26
ASSAY: Xpress SARS-CoV-2_Flu_RSV plus, COUNT: 2
</t>
  </si>
  <si>
    <t>https://www.jotform.com/uploads/macarewecare/222927978372067/6151341057421553899/6151341057421553899_signature_28.png</t>
  </si>
  <si>
    <t>Izza Mae Maroto</t>
  </si>
  <si>
    <t>https://www.jotform.com/uploads/macarewecare/222927978372067/6151341057421553899/6151341057421553899_signature_31.png</t>
  </si>
  <si>
    <t xml:space="preserve">ASSAY: Xpert MTB/RIF Ultra, COUNT: 682
</t>
  </si>
  <si>
    <t>https://www.jotform.com/uploads/macarewecare/222927978372067/6151327833026723184/6151327833026723184_signature_28.png</t>
  </si>
  <si>
    <t>Sarah V Yangzon</t>
  </si>
  <si>
    <t>https://www.jotform.com/uploads/macarewecare/222927978372067/6151327833026723184/6151327833026723184_signature_31.png</t>
  </si>
  <si>
    <t xml:space="preserve">ASSAY: Xpert MTB/RIF Ultra, COUNT: 455
</t>
  </si>
  <si>
    <t>https://www.jotform.com/uploads/macarewecare/222927978372067/6150687365725426319/6150687365725426319_signature_28.png</t>
  </si>
  <si>
    <t>https://www.jotform.com/uploads/macarewecare/222927978372067/6150687365725426319/6150687365725426319_signature_31.png</t>
  </si>
  <si>
    <t xml:space="preserve">ASSAY: Xpert MTB/RIF Ultra, COUNT: 206
ASSAY: Xpert HIV-1 Viral Load, COUNT: 2
ASSAY: Xpress SARS-CoV-2_Flu_RSV plus, COUNT: 52
</t>
  </si>
  <si>
    <t>Unit is partially operational</t>
  </si>
  <si>
    <t>https://www.jotform.com/uploads/macarewecare/222927978372067/6150684155724969149/6150684155724969149_signature_28.png</t>
  </si>
  <si>
    <t>https://www.jotform.com/uploads/macarewecare/222927978372067/6150684155724969149/6150684155724969149_signature_31.png</t>
  </si>
  <si>
    <t xml:space="preserve">ASSAY: Xpert MTB/RIF Ultra, COUNT: 715
</t>
  </si>
  <si>
    <t>https://www.jotform.com/uploads/macarewecare/222927978372067/6150681455724375689/6150681455724375689_signature_28.png</t>
  </si>
  <si>
    <t>https://www.jotform.com/uploads/macarewecare/222927978372067/6150681455724375689/6150681455724375689_signature_31.png</t>
  </si>
  <si>
    <t>MANDAUE CITY</t>
  </si>
  <si>
    <t xml:space="preserve">ASSAY: Xpert MTB/RIF Ultra, COUNT: 3916
ASSAY: Xpert HCV VL, COUNT: 104
ASSAY: Xpert HIV-1 Viral Load, COUNT: 486
</t>
  </si>
  <si>
    <t>MODULE C1 ERROR 5017</t>
  </si>
  <si>
    <t>MODULE C1 FOR OBSERVATION</t>
  </si>
  <si>
    <t>https://www.jotform.com/uploads/macarewecare/222927978372067/6150636093026737194/6150636093026737194_signature_28.png</t>
  </si>
  <si>
    <t>https://www.jotform.com/uploads/macarewecare/222927978372067/6150636093026737194/6150636093026737194_signature_31.png</t>
  </si>
  <si>
    <t>Kalinga Health Hub Mandaluyong</t>
  </si>
  <si>
    <t>pearl.balderama@innovationsch.org</t>
  </si>
  <si>
    <t>https://www.jotform.com/uploads/macarewecare/222927978372067/6150629657124477604/6150629657124477604_signature_28.png</t>
  </si>
  <si>
    <t>Carl Babasa</t>
  </si>
  <si>
    <t>https://www.jotform.com/uploads/macarewecare/222927978372067/6150629657124477604/6150629657124477604_signature_31.png</t>
  </si>
  <si>
    <t>Unit is operational
B4 is under observation</t>
  </si>
  <si>
    <t>https://www.jotform.com/uploads/macarewecare/222927978372067/6150628987127622252/6150628987127622252_signature_28.png</t>
  </si>
  <si>
    <t>https://www.jotform.com/uploads/macarewecare/222927978372067/6150628987127622252/6150628987127622252_signature_31.png</t>
  </si>
  <si>
    <t>jkee@biopath.ph</t>
  </si>
  <si>
    <t>GeneXpert Machine Installation.</t>
  </si>
  <si>
    <t>Save Installation Qualification Report
Save System Log File</t>
  </si>
  <si>
    <t>Install Back up GeneXpert
Install Laptop</t>
  </si>
  <si>
    <t>Module 1,3,4 ok to use. 
Module 2 not ok to use hardware fail.</t>
  </si>
  <si>
    <t>https://www.jotform.com/uploads/macarewecare/222927978372067/6150583115844040533/6150583115844040533_signature_28.png</t>
  </si>
  <si>
    <t>Mary Joy Kee</t>
  </si>
  <si>
    <t>https://www.jotform.com/uploads/macarewecare/222927978372067/6150583115844040533/6150583115844040533_signature_31.png</t>
  </si>
  <si>
    <t>Cabadbaran City Health Office</t>
  </si>
  <si>
    <t>S.Curato St., Cabadbaran City</t>
  </si>
  <si>
    <t>samstercem@gmail.com</t>
  </si>
  <si>
    <t>Preventive Maintenance and Data Collection</t>
  </si>
  <si>
    <t>https://www.jotform.com/uploads/macarewecare/222927978372067/6150582387314749495/6150582387314749495_signature_28.png</t>
  </si>
  <si>
    <t>Sammy A. Cempron</t>
  </si>
  <si>
    <t>https://www.jotform.com/uploads/macarewecare/222927978372067/6150582387314749495/6150582387314749495_signature_31.png</t>
  </si>
  <si>
    <t>Catigbian Distric Hospital - RTDL</t>
  </si>
  <si>
    <t>rheranes@gmail.com</t>
  </si>
  <si>
    <t>Error 1002 and Error 4012</t>
  </si>
  <si>
    <t>Clean Fan Filter</t>
  </si>
  <si>
    <t>Run xpertcheck calibration
Clean Fan Filter
Gather data system log, IQR and gxc file</t>
  </si>
  <si>
    <t>Systems Operational
Module 3 Service Require during calibration</t>
  </si>
  <si>
    <t>https://www.jotform.com/uploads/macarewecare/222927978372067/6150567991914927330/6150567991914927330_signature_28.png</t>
  </si>
  <si>
    <t>CHARISSE MAE T. CLAROS</t>
  </si>
  <si>
    <t>https://www.jotform.com/uploads/macarewecare/222927978372067/6150567991914927330/6150567991914927330_signature_31.png</t>
  </si>
  <si>
    <t>wbreoma2020@gmail.com</t>
  </si>
  <si>
    <t>-Preventive Maintenance; fan filter, plunger rod, cartridge bay, optic slot</t>
  </si>
  <si>
    <t>https://www.jotform.com/uploads/macarewecare/222927978372067/6150508100895689883/6150508100895689883_signature_28.png</t>
  </si>
  <si>
    <t>https://www.jotform.com/uploads/macarewecare/222927978372067/6150508100895689883/6150508100895689883_signature_31.png</t>
  </si>
  <si>
    <t>Purok Rosas, Brgy. Poblacion, Lake Sebu,South Cotabato</t>
  </si>
  <si>
    <t>https://www.jotform.com/uploads/macarewecare/222927978372067/6150097866866088793/6150097866866088793_signature_28.png</t>
  </si>
  <si>
    <t>https://www.jotform.com/uploads/macarewecare/222927978372067/6150097866866088793/6150097866866088793_signature_31.png</t>
  </si>
  <si>
    <t>Poblacion Norala, South Cotabato</t>
  </si>
  <si>
    <t xml:space="preserve">ASSAY: Xpert MTB/RIF Ultra, COUNT: 958
</t>
  </si>
  <si>
    <t>https://www.jotform.com/uploads/macarewecare/222927978372067/6150093096861282611/6150093096861282611_signature_28.png</t>
  </si>
  <si>
    <t>Reziel D. Sabido</t>
  </si>
  <si>
    <t>https://www.jotform.com/uploads/macarewecare/222927978372067/6150093096861282611/6150093096861282611_signature_31.png</t>
  </si>
  <si>
    <t>Poblacion, Isulan, Sultan Kudarat</t>
  </si>
  <si>
    <t xml:space="preserve">ASSAY: Xpert MTB/RIF Ultra, COUNT: 81
</t>
  </si>
  <si>
    <t>Perform Genexpert Cleaning and maintenance 
Viral load Assay installation 
Checking of errors 
Data collection</t>
  </si>
  <si>
    <t>https://www.jotform.com/uploads/macarewecare/222927978372067/6150090936864095685/6150090936864095685_signature_28.png</t>
  </si>
  <si>
    <t>February jen Apiado</t>
  </si>
  <si>
    <t>https://www.jotform.com/uploads/macarewecare/222927978372067/6150090936864095685/6150090936864095685_signature_31.png</t>
  </si>
  <si>
    <t>E Rodriguez QC</t>
  </si>
  <si>
    <t xml:space="preserve">ASSAY: Xpert HBV VL, COUNT: 234
ASSAY: Xpert HPV, COUNT: 4
ASSAY: Xpert HPV, COUNT: 456
ASSAY: Xpert MTB/RIF Ultra, COUNT: 23
ASSAY: Xpert HCV VL, COUNT: 24
ASSAY: Xpert HIV-1 Viral Load, COUNT: 82
</t>
  </si>
  <si>
    <t>Operational C1,C2,C3
Disabled C4</t>
  </si>
  <si>
    <t>https://www.jotform.com/uploads/macarewecare/222927978372067/6149912487123790517/6149912487123790517_signature_28.png</t>
  </si>
  <si>
    <t>Cha Caibigan</t>
  </si>
  <si>
    <t>https://www.jotform.com/uploads/macarewecare/222927978372067/6149912487123790517/6149912487123790517_signature_31.png</t>
  </si>
  <si>
    <t>Microbilogy</t>
  </si>
  <si>
    <t xml:space="preserve">ASSAY: Xpert CT/NG, COUNT: 206
ASSAY: Xpert MTB/RIF Ultra, COUNT: 2937
</t>
  </si>
  <si>
    <t>Due for maintenance
Last xpertcheck march 2023
As per end user they encounter error 5007 in module 1</t>
  </si>
  <si>
    <t>Cleaned unit
Cleaned plunger rod,filter,icore,cartridge bay
Performed selftest
Reset gateway board
Gathered reports
Test run unit</t>
  </si>
  <si>
    <t>https://www.jotform.com/uploads/macarewecare/222927978372067/6149912077125261489/6149912077125261489_signature_28.png</t>
  </si>
  <si>
    <t>Ma Eliza Apo</t>
  </si>
  <si>
    <t>https://www.jotform.com/uploads/macarewecare/222927978372067/6149912077125261489/6149912077125261489_signature_31.png</t>
  </si>
  <si>
    <t xml:space="preserve">ASSAY: Xpert BCR-ABL Ultra, COUNT: 84
ASSAY: Xpert CT/NG, COUNT: 251
ASSAY: Xpert HBV VL, COUNT: 189
ASSAY: Xpert HPV, COUNT: 37
ASSAY: Xpert MTB/RIF Ultra, COUNT: 1131
ASSAY: Xpert HCV VL, COUNT: 152
ASSAY: Xpert HIV-1 Viral Load, COUNT: 22
</t>
  </si>
  <si>
    <t>FOR PREVENTIVE MAINTENANCE AND CALIBRATION</t>
  </si>
  <si>
    <t>COLLECT IQR, SYSTEM LOG, ARCHIVE, AND CALIBRATION DATA</t>
  </si>
  <si>
    <t>EQUIPMENT IS OPERATIONAL
RECOMMENDATION: FOR MODULE B3 AND MODULE B4 REPLACEMENT</t>
  </si>
  <si>
    <t>https://www.jotform.com/uploads/macarewecare/222927978372067/6149777475587769804/6149777475587769804_signature_28.png</t>
  </si>
  <si>
    <t>https://www.jotform.com/uploads/macarewecare/222927978372067/6149777475587769804/6149777475587769804_signature_31.png</t>
  </si>
  <si>
    <t xml:space="preserve">ASSAY: Xpert MTB/RIF Ultra, COUNT: 480
ASSAY: Xpert MTB-XDR, COUNT: 37
ASSAY: Xpert HIV-1 Viral Load, COUNT: 115
</t>
  </si>
  <si>
    <t>Performed maintenance 
Cleaned:
-cartridge bay
-plunger rod 
-icore 
-filter 
Generated reports</t>
  </si>
  <si>
    <t>https://www.jotform.com/uploads/macarewecare/222927978372067/6149596303618597640/6149596303618597640_signature_28.png</t>
  </si>
  <si>
    <t>Caryl I. Abrera</t>
  </si>
  <si>
    <t>https://www.jotform.com/uploads/macarewecare/222927978372067/6149596303618597640/6149596303618597640_signature_31.png</t>
  </si>
  <si>
    <t xml:space="preserve">ASSAY: Xpert MTB/RIF Ultra, COUNT: 1057
ASSAY: Xpert MTB-XDR, COUNT: 3
ASSAY: Xpert HIV-1 Viral Load, COUNT: 24
</t>
  </si>
  <si>
    <t>https://www.jotform.com/uploads/macarewecare/222927978372067/6149596303619444485/6149596303619444485_signature_28.png</t>
  </si>
  <si>
    <t>https://www.jotform.com/uploads/macarewecare/222927978372067/6149596303619444485/6149596303619444485_signature_31.png</t>
  </si>
  <si>
    <t>Sumulong Highway Marikina City</t>
  </si>
  <si>
    <t xml:space="preserve">ASSAY: Xpert MTB/RIF Ultra, COUNT: 50
ASSAY: Xpert MTB-XDR, COUNT: 2
ASSAY: Xpert HIV-1 Viral Load, COUNT: 9
</t>
  </si>
  <si>
    <t>Performed maintenance 
Cleaned:
-cartridge bay
-plunger rod 
-icore
-filter
Generated reports</t>
  </si>
  <si>
    <t>https://www.jotform.com/uploads/macarewecare/222927978372067/6149596233611230702/6149596233611230702_signature_28.png</t>
  </si>
  <si>
    <t>Estrelita S. Aragon</t>
  </si>
  <si>
    <t>https://www.jotform.com/uploads/macarewecare/222927978372067/6149596233611230702/6149596233611230702_signature_31.png</t>
  </si>
  <si>
    <t xml:space="preserve">ASSAY: Xpert CT/NG, COUNT: 2
ASSAY: Xpert HBV VL, COUNT: 20
ASSAY: Xpert HPV, COUNT: 1
ASSAY: Xpert MTB/RIF Ultra, COUNT: 274
ASSAY: Xpert HIV-1 Viral Load, COUNT: 8
</t>
  </si>
  <si>
    <t>Performed maintenance 
Cleaned:
-cartridge bay 
-plunger rod
-icore
-filter 
Generated reports</t>
  </si>
  <si>
    <t>https://www.jotform.com/uploads/macarewecare/222927978372067/6149596233615606708/6149596233615606708_signature_28.png</t>
  </si>
  <si>
    <t>https://www.jotform.com/uploads/macarewecare/222927978372067/6149596233615606708/6149596233615606708_signature_31.png</t>
  </si>
  <si>
    <t>Wilson St. San Juan City</t>
  </si>
  <si>
    <t>jaywilliamstee@gmail.com</t>
  </si>
  <si>
    <t xml:space="preserve">ASSAY: Xpert HBV VL, COUNT: 147
ASSAY: Xpert HPV, COUNT: 61
ASSAY: Xpert MTB/RIF Ultra, COUNT: 1072
</t>
  </si>
  <si>
    <t>Unit is operational. Module B3/210066495 not operational, reported already.</t>
  </si>
  <si>
    <t>https://www.jotform.com/uploads/macarewecare/222927978372067/6149596233617174146/6149596233617174146_signature_28.png</t>
  </si>
  <si>
    <t>Marc Maglipon</t>
  </si>
  <si>
    <t>https://www.jotform.com/uploads/macarewecare/222927978372067/6149596233617174146/6149596233617174146_signature_31.png</t>
  </si>
  <si>
    <t xml:space="preserve">ASSAY: Xpert MTB/RIF Ultra, COUNT: 71
ASSAY: Xpert HIV-1 Viral Load, COUNT: 24
</t>
  </si>
  <si>
    <t>https://www.jotform.com/uploads/macarewecare/222927978372067/6149596233618808714/6149596233618808714_signature_28.png</t>
  </si>
  <si>
    <t>ESTRELITA S. ARAGON</t>
  </si>
  <si>
    <t>https://www.jotform.com/uploads/macarewecare/222927978372067/6149596233618808714/6149596233618808714_signature_31.png</t>
  </si>
  <si>
    <t>https://www.jotform.com/uploads/macarewecare/222927978372067/6149596233619086403/6149596233619086403_signature_28.png</t>
  </si>
  <si>
    <t>https://www.jotform.com/uploads/macarewecare/222927978372067/6149596233619086403/6149596233619086403_signature_31.png</t>
  </si>
  <si>
    <t>nchmolecularlab2021@gmaip.com</t>
  </si>
  <si>
    <t xml:space="preserve">ASSAY: Xpert BCR-ABL Ultra, COUNT: 49
ASSAY: Xpert MTB/RIF Ultra, COUNT: 2001
ASSAY: Xpert SARS-CoV-2, COUNT: 559
ASSAY: Xpert SARS-CoV-2, COUNT: 1506
</t>
  </si>
  <si>
    <t>Encounter continous error 5007 
Due for maintenance</t>
  </si>
  <si>
    <t>Cleaned plunger rod,filter,icore,cartridge bay
Performed selftest
Gathered reports
Performed reliability test 
Performed reagent running
Test run unit</t>
  </si>
  <si>
    <t>A2,A3,A4,B3,C1,C2,D2,D4 passed in reliability test
A2,B3  encounter error 5007 twice failed in reagent running 
A3,A4,C1,C2,D2,D4 passed reagent running mtbrif ultra
Disabled A2,B3
Disabled A2,B3</t>
  </si>
  <si>
    <t>Mtb/rif ultra</t>
  </si>
  <si>
    <t>https://www.jotform.com/uploads/macarewecare/222927978372067/6147175251114421788/6147175251114421788_signature_28.png</t>
  </si>
  <si>
    <t>https://www.jotform.com/uploads/macarewecare/222927978372067/6147175251114421788/6147175251114421788_signature_31.png</t>
  </si>
  <si>
    <t>Noisy vibration from centrifuge
Centrifuge bearing wornout</t>
  </si>
  <si>
    <t>Swap centrifuge assy from 15H028G to 15H029G.
Performed calibration
Checked program parameters
Performed functionality test</t>
  </si>
  <si>
    <t>https://www.jotform.com/uploads/macarewecare/222927978372067/6147173961112251159/6147173961112251159_signature_28.png</t>
  </si>
  <si>
    <t>https://www.jotform.com/uploads/macarewecare/222927978372067/6147173961112251159/6147173961112251159_signature_31.png</t>
  </si>
  <si>
    <t>E.R9driguez QC</t>
  </si>
  <si>
    <t>As per end user they encounter noisy sound from pump rotor.
Line sensor malfunction of potentiometer unable to adjust to desired value 3071 line sensor potentionmeter can adjust only to 2838 
Left pole loose rod</t>
  </si>
  <si>
    <t>For observation
For quotation of Maintenance and Calibration and line sensor</t>
  </si>
  <si>
    <t>https://www.jotform.com/uploads/macarewecare/222927978372067/6147173561113749168/6147173561113749168_signature_28.png</t>
  </si>
  <si>
    <t>https://www.jotform.com/uploads/macarewecare/222927978372067/6147173561113749168/6147173561113749168_signature_31.png</t>
  </si>
  <si>
    <t>Olongapo</t>
  </si>
  <si>
    <t>Unit for maintenance
Rotor roller rubbers for replacement</t>
  </si>
  <si>
    <t>Replaced rotor roller rubbers</t>
  </si>
  <si>
    <t>Rotor Roller Rubbers</t>
  </si>
  <si>
    <t>https://www.jotform.com/uploads/macarewecare/222927978372067/6147112701126333004/6147112701126333004_signature_28.png</t>
  </si>
  <si>
    <t>Jona Mae Liza</t>
  </si>
  <si>
    <t>https://www.jotform.com/uploads/macarewecare/222927978372067/6147112701126333004/6147112701126333004_signature_31.png</t>
  </si>
  <si>
    <t>Biopath-AFRIMS</t>
  </si>
  <si>
    <t>CAP Building Cebu City</t>
  </si>
  <si>
    <t>Monthly Maintenance.</t>
  </si>
  <si>
    <t>.Perform preventive maintenance for the GeneXert Machine
. Clean plunger rod
. Clean cartridge bay
. Clean filter at the back of the machine.</t>
  </si>
  <si>
    <t>. Save Installation Qualification Report
. Save System Log file. 
. Save Assay Statistics Report
. Save GXX file</t>
  </si>
  <si>
    <t>Module A1,A3, B3, D1, D2, ok to use. 
Module A2, A4, B1, B2, B4, C1, C2, C3, C4, D3, D4 not ok to use.</t>
  </si>
  <si>
    <t>https://www.jotform.com/uploads/macarewecare/222927978372067/6147079755846427811/6147079755846427811_signature_28.png</t>
  </si>
  <si>
    <t>https://www.jotform.com/uploads/macarewecare/222927978372067/6147079755846427811/6147079755846427811_signature_31.png</t>
  </si>
  <si>
    <t>Burauen leyte</t>
  </si>
  <si>
    <t>https://www.jotform.com/uploads/macarewecare/222927978372067/6147054465254009937/6147054465254009937_signature_28.png</t>
  </si>
  <si>
    <t>https://www.jotform.com/uploads/macarewecare/222927978372067/6147054465254009937/6147054465254009937_signature_31.png</t>
  </si>
  <si>
    <t>Love Your Slef - Whitehouse</t>
  </si>
  <si>
    <t>HIV</t>
  </si>
  <si>
    <t>. Bios Battery low battery. 
. Due for Preventive Maintenance</t>
  </si>
  <si>
    <t>Replace new Bios Battery</t>
  </si>
  <si>
    <t>. Save Installation Qualifications Report
. Save Assay Statistics Report
. Save System Log file</t>
  </si>
  <si>
    <t>Module 1,2,3 ok to use.</t>
  </si>
  <si>
    <t>https://www.jotform.com/uploads/macarewecare/222927978372067/6146403185584893413/6146403185584893413_signature_28.png</t>
  </si>
  <si>
    <t>https://www.jotform.com/uploads/macarewecare/222927978372067/6146403185584893413/6146403185584893413_signature_31.png</t>
  </si>
  <si>
    <t xml:space="preserve">ASSAY: Xpert CT/NG, COUNT: 12
ASSAY: Others, COUNT: 72
ASSAY: Xpert HBV VL, COUNT: 110
ASSAY: Xpert HPV, COUNT: 182
ASSAY: Xpert MTB/RIF Ultra, COUNT: 1089
ASSAY: Xpert HIV-1 Viral Load, COUNT: 88
</t>
  </si>
  <si>
    <t>Cleaned Surface Unit, Cartridge Bay, Plunger Rod and Icore Optics.
Checked Filter if Clogged.
Performed Self-test.
Checked System's Functionality (Monitor, CPU, and UPS).
Generate Reports.</t>
  </si>
  <si>
    <t>GeneXpert System is Good and Operational.</t>
  </si>
  <si>
    <t>https://www.jotform.com/uploads/macarewecare/222927978372067/6146308908311384541/6146308908311384541_signature_28.png</t>
  </si>
  <si>
    <t>https://www.jotform.com/uploads/macarewecare/222927978372067/6146308908311384541/6146308908311384541_signature_31.png</t>
  </si>
  <si>
    <t>covidlabjrrmmc@gmail.com</t>
  </si>
  <si>
    <t xml:space="preserve">ASSAY: Xpert HPV, COUNT: 196
ASSAY: Xpress SARS-CoV-2_Flu_RSV plus, COUNT: 16
</t>
  </si>
  <si>
    <t>Unit is due for Relocation.</t>
  </si>
  <si>
    <t>Relocation.</t>
  </si>
  <si>
    <t>Relocate GX16 unit from Molecular to Old Molecular.
Performed Self-test.
Checked System's Functionality.
Generate Reports.</t>
  </si>
  <si>
    <t>https://www.jotform.com/uploads/macarewecare/222927978372067/6146308908314427665/6146308908314427665_signature_28.png</t>
  </si>
  <si>
    <t>Nelson Salvador</t>
  </si>
  <si>
    <t>https://www.jotform.com/uploads/macarewecare/222927978372067/6146308908314427665/6146308908314427665_signature_31.png</t>
  </si>
  <si>
    <t xml:space="preserve">ASSAY: Xpert MTB/RIF Ultra, COUNT: 816
</t>
  </si>
  <si>
    <t>Unit for Relocation.</t>
  </si>
  <si>
    <t>Relocate.</t>
  </si>
  <si>
    <t>Transfer GX Unit from New Molecular to Old Molecular.
Performed Self-test.
Generate Reports.</t>
  </si>
  <si>
    <t>1 Module is Disabled. 3 are Operational.</t>
  </si>
  <si>
    <t>https://www.jotform.com/uploads/macarewecare/222927978372067/6146308908318231052/6146308908318231052_signature_28.png</t>
  </si>
  <si>
    <t>https://www.jotform.com/uploads/macarewecare/222927978372067/6146308908318231052/6146308908318231052_signature_31.png</t>
  </si>
  <si>
    <t>UPS Problem.
Unit is due for Maintenance.</t>
  </si>
  <si>
    <t>Repair.
Preventive Maintenance.</t>
  </si>
  <si>
    <t>Replaced UPS.
Checked Diagnostic And Sensor Values.
Checked Pump Rollers.
Run Simulation Test.</t>
  </si>
  <si>
    <t>DR 12427</t>
  </si>
  <si>
    <t>https://www.jotform.com/uploads/macarewecare/222927978372067/6146308908318560993/6146308908318560993_signature_28.png</t>
  </si>
  <si>
    <t>https://www.jotform.com/uploads/macarewecare/222927978372067/6146308908318560993/6146308908318560993_signature_31.png</t>
  </si>
  <si>
    <t>Calbiga, Samar</t>
  </si>
  <si>
    <t>-Preventive Maintenance; cartridge bay, plunger rod, optic slot, fan filter</t>
  </si>
  <si>
    <t>https://www.jotform.com/uploads/macarewecare/222927978372067/6146265339207334238/6146265339207334238_signature_28.png</t>
  </si>
  <si>
    <t>https://www.jotform.com/uploads/macarewecare/222927978372067/6146265339207334238/6146265339207334238_signature_31.png</t>
  </si>
  <si>
    <t>Poblacion, Panabo City</t>
  </si>
  <si>
    <t xml:space="preserve">ASSAY: Xpert MTB/RIF Ultra, COUNT: 2416
</t>
  </si>
  <si>
    <t>https://www.jotform.com/uploads/macarewecare/222927978372067/6146265110128730867/6146265110128730867_signature_28.png</t>
  </si>
  <si>
    <t>Nadine Gemma S. Eustaquio</t>
  </si>
  <si>
    <t>https://www.jotform.com/uploads/macarewecare/222927978372067/6146265110128730867/6146265110128730867_signature_31.png</t>
  </si>
  <si>
    <t>Poblacion 1, Claveria</t>
  </si>
  <si>
    <t>Gx for Preventive Maintenance 
Fan filter request for replacement</t>
  </si>
  <si>
    <t>Cleaned cartridge bays, plunger rod, icore 
Replaced fan filter
Generate Data</t>
  </si>
  <si>
    <t>Performed Preventive Maintenance 
Replaced fan filter</t>
  </si>
  <si>
    <t>https://www.jotform.com/uploads/macarewecare/222927978372067/6146212413127492193/6146212413127492193_signature_28.png</t>
  </si>
  <si>
    <t>https://www.jotform.com/uploads/macarewecare/222927978372067/6146212413127492193/6146212413127492193_signature_31.png</t>
  </si>
  <si>
    <t>Detoxicare Molecular Diagnostics Laboratory Inc</t>
  </si>
  <si>
    <t>joy.bagsic@detoxicare.com.ph</t>
  </si>
  <si>
    <t>https://www.jotform.com/uploads/macarewecare/222927978372067/6146129784121102625/6146129784121102625_signature_28.png</t>
  </si>
  <si>
    <t>Mary Joy Bagsic</t>
  </si>
  <si>
    <t>https://www.jotform.com/uploads/macarewecare/222927978372067/6146129784121102625/6146129784121102625_signature_31.png</t>
  </si>
  <si>
    <t xml:space="preserve">ASSAY: Xpert MTB/RIF Ultra, COUNT: 208
ASSAY: Xpert HIV-1 Viral Load, COUNT: 2
ASSAY: Xpress SARS-CoV-2_Flu_RSV plus, COUNT: 52
</t>
  </si>
  <si>
    <t>https://www.jotform.com/uploads/macarewecare/222927978372067/6145593358834376263/6145593358834376263_signature_28.png</t>
  </si>
  <si>
    <t>https://www.jotform.com/uploads/macarewecare/222927978372067/6145593358834376263/6145593358834376263_signature_31.png</t>
  </si>
  <si>
    <t xml:space="preserve">ASSAY: Xpert MTB/RIF Ultra, COUNT: 649
</t>
  </si>
  <si>
    <t>Gx for Preventive Maintenance 
B1/807820 - blinking red, temperature error</t>
  </si>
  <si>
    <t>Cleaned cartridge bays, plunger rod, icore, fan filter, Gx fan
Collect data</t>
  </si>
  <si>
    <t>B1/807820 temperature Error: 1002, 4009. request for replacement</t>
  </si>
  <si>
    <t>https://www.jotform.com/uploads/macarewecare/222927978372067/6145497380518589591/6145497380518589591_signature_28.png</t>
  </si>
  <si>
    <t>https://www.jotform.com/uploads/macarewecare/222927978372067/6145497380518589591/6145497380518589591_signature_31.png</t>
  </si>
  <si>
    <t>B1:742501 ( Temperature Error)
B4:738203 ( Temperature Error)</t>
  </si>
  <si>
    <t>B1, B4 andfor reporting</t>
  </si>
  <si>
    <t>https://www.jotform.com/uploads/macarewecare/222927978372067/6145462482424827830/6145462482424827830_signature_28.png</t>
  </si>
  <si>
    <t>https://www.jotform.com/uploads/macarewecare/222927978372067/6145462482424827830/6145462482424827830_signature_31.png</t>
  </si>
  <si>
    <t>C2:620096 ( temperature error)</t>
  </si>
  <si>
    <t>Performed surface cleaning 
Performed cleaning of plunger rod, cartridge bay, icore and filter 
Archived test results 
Performed functionality test 
Gathered reports preventive maintenance</t>
  </si>
  <si>
    <t>C2 for reporting</t>
  </si>
  <si>
    <t>https://www.jotform.com/uploads/macarewecare/222927978372067/6145461312423260137/6145461312423260137_signature_28.png</t>
  </si>
  <si>
    <t>https://www.jotform.com/uploads/macarewecare/222927978372067/6145461312423260137/6145461312423260137_signature_31.png</t>
  </si>
  <si>
    <t>Overseas Filipino Hospital</t>
  </si>
  <si>
    <t>ofwhlaboratory@gmail.com</t>
  </si>
  <si>
    <t xml:space="preserve">ASSAY: Xpert HPV, COUNT: 17
</t>
  </si>
  <si>
    <t>https://www.jotform.com/uploads/macarewecare/222927978372067/6145452012425864660/6145452012425864660_signature_28.png</t>
  </si>
  <si>
    <t>James Ferdinand S. Bacani</t>
  </si>
  <si>
    <t>https://www.jotform.com/uploads/macarewecare/222927978372067/6145452012425864660/6145452012425864660_signature_31.png</t>
  </si>
  <si>
    <t>Diit Health Center</t>
  </si>
  <si>
    <t>Diit, Tacloban City, Leyte</t>
  </si>
  <si>
    <t>Due for PM, Module B2 and B3 error 2037</t>
  </si>
  <si>
    <t>-Preventive Maintenance
-Troubleshoot Error 2037 in module B2 and B3</t>
  </si>
  <si>
    <t>-Preventive Maintenance
-Troubleshoot Error
-Archive Tests from 2023-2025</t>
  </si>
  <si>
    <t>https://www.jotform.com/uploads/macarewecare/222927978372067/6145442656599254173/6145442656599254173_signature_28.png</t>
  </si>
  <si>
    <t>https://www.jotform.com/uploads/macarewecare/222927978372067/6145442656599254173/6145442656599254173_signature_31.png</t>
  </si>
  <si>
    <t>Modules B1, B4 for additional troubleshooting</t>
  </si>
  <si>
    <t>Unit is operational
Data for reporting</t>
  </si>
  <si>
    <t>https://www.jotform.com/uploads/macarewecare/222927978372067/6145424444518283012/6145424444518283012_signature_28.png</t>
  </si>
  <si>
    <t>Margaret Camua</t>
  </si>
  <si>
    <t>https://www.jotform.com/uploads/macarewecare/222927978372067/6145424444518283012/6145424444518283012_signature_31.png</t>
  </si>
  <si>
    <t>https://www.jotform.com/uploads/macarewecare/222927978372067/6145424424517908326/6145424424517908326_signature_28.png</t>
  </si>
  <si>
    <t>https://www.jotform.com/uploads/macarewecare/222927978372067/6145424424517908326/6145424424517908326_signature_31.png</t>
  </si>
  <si>
    <t>J. Camus St, Corner Quirino Davao City</t>
  </si>
  <si>
    <t xml:space="preserve">ASSAY: Xpert MTB/RIF Ultra, COUNT: 712
</t>
  </si>
  <si>
    <t>https://www.jotform.com/uploads/macarewecare/222927978372067/6145388115312394154/6145388115312394154_signature_28.png</t>
  </si>
  <si>
    <t>https://www.jotform.com/uploads/macarewecare/222927978372067/6145388115312394154/6145388115312394154_signature_31.png</t>
  </si>
  <si>
    <t>Bureau of Quarantine</t>
  </si>
  <si>
    <t>dklo.lab@quarantine.doh.gov.ph</t>
  </si>
  <si>
    <t>https://www.jotform.com/uploads/macarewecare/222927978372067/6145333346676997289/6145333346676997289_signature_28.png</t>
  </si>
  <si>
    <t>DULCE KARMELA LO</t>
  </si>
  <si>
    <t>https://www.jotform.com/uploads/macarewecare/222927978372067/6145333346676997289/6145333346676997289_signature_31.png</t>
  </si>
  <si>
    <t>Naga City Cebu</t>
  </si>
  <si>
    <t>Due for Monthly Maintenance.</t>
  </si>
  <si>
    <t>Save GXX file
. Save System Log file
. Save Assay Statistics Report
. Save Installation Qualifications Report</t>
  </si>
  <si>
    <t>. Clean Filter at the back of the Machine
. Clean Plunger rod. 
. Clean Cartridge bay. 
. Check UPS if functional. 
. Check AVR if functional. 
. Check CPU and LCD if functional.</t>
  </si>
  <si>
    <t>. All modules are functional ok to use
. UPS functional ok to use
. AVR functional ok to use
. CPU functional ok to use
. LCD monitor functional ok to use. 
. Canon printer functional ok to use.</t>
  </si>
  <si>
    <t>https://www.jotform.com/uploads/macarewecare/222927978372067/6145320288029247289/6145320288029247289_signature_28.png</t>
  </si>
  <si>
    <t>Gene Carmel Procianos</t>
  </si>
  <si>
    <t>https://www.jotform.com/uploads/macarewecare/222927978372067/6145320288029247289/6145320288029247289_signature_31.png</t>
  </si>
  <si>
    <t xml:space="preserve">ASSAY: Xpert HPV, COUNT: 68
ASSAY: Xpert MTB/RIF Ultra, COUNT: 550
ASSAY: Xpert MTB-XDR, COUNT: 139
ASSAY: Xpert SARS-CoV-2, COUNT: 692
</t>
  </si>
  <si>
    <t>Unut id operational</t>
  </si>
  <si>
    <t>https://www.jotform.com/uploads/macarewecare/222927978372067/6145273734861028737/6145273734861028737_signature_28.png</t>
  </si>
  <si>
    <t>Justin Carlos</t>
  </si>
  <si>
    <t>https://www.jotform.com/uploads/macarewecare/222927978372067/6145273734861028737/6145273734861028737_signature_31.png</t>
  </si>
  <si>
    <t>San Fernando City, Pamanga</t>
  </si>
  <si>
    <t xml:space="preserve">ASSAY: Xpert HBV VL, COUNT: 278
ASSAY: Xpert HCV VL, COUNT: 69
ASSAY: Xpert HIV-1 Viral Load, COUNT: 1899
</t>
  </si>
  <si>
    <t>https://www.jotform.com/uploads/macarewecare/222927978372067/6145255004863598379/6145255004863598379_signature_28.png</t>
  </si>
  <si>
    <t>Michelle Sitchon</t>
  </si>
  <si>
    <t>https://www.jotform.com/uploads/macarewecare/222927978372067/6145255004863598379/6145255004863598379_signature_31.png</t>
  </si>
  <si>
    <t>oro_janet@yahoo.com</t>
  </si>
  <si>
    <t>Unit for maintenance
Module B4 for troubleshooting</t>
  </si>
  <si>
    <t>Unit is operational
B4 under observation</t>
  </si>
  <si>
    <t>Possible problem on catridge batch</t>
  </si>
  <si>
    <t>https://www.jotform.com/uploads/macarewecare/222927978372067/6144614796818014958/6144614796818014958_signature_28.png</t>
  </si>
  <si>
    <t>Janet Oro</t>
  </si>
  <si>
    <t>https://www.jotform.com/uploads/macarewecare/222927978372067/6144614796818014958/6144614796818014958_signature_31.png</t>
  </si>
  <si>
    <t xml:space="preserve">ASSAY: Xpert SARS-CoV-2, COUNT: 402
ASSAY: Xpress SARS-CoV-2_Flu_RSV plus, COUNT: 6
</t>
  </si>
  <si>
    <t>B3:888979 HW Failed 
Error( 4010, 4012,1002,1001,2022)
B4:688212 HW Failed
Error(4017)</t>
  </si>
  <si>
    <t>Unit is operational except for modules B3 and B4</t>
  </si>
  <si>
    <t>B3 and B4 for relacement</t>
  </si>
  <si>
    <t>https://www.jotform.com/uploads/macarewecare/222927978372067/6144609164382973530/6144609164382973530_signature_28.png</t>
  </si>
  <si>
    <t>Bianca Yzabel Yap</t>
  </si>
  <si>
    <t>https://www.jotform.com/uploads/macarewecare/222927978372067/6144609164382973530/6144609164382973530_signature_31.png</t>
  </si>
  <si>
    <t>Pilae</t>
  </si>
  <si>
    <t>https://www.jotform.com/uploads/macarewecare/222927978372067/6144511981818772640/6144511981818772640_signature_28.png</t>
  </si>
  <si>
    <t>https://www.jotform.com/uploads/macarewecare/222927978372067/6144511981818772640/6144511981818772640_signature_31.png</t>
  </si>
  <si>
    <t>Olongapo City, Zambales</t>
  </si>
  <si>
    <t>Noise on pumps</t>
  </si>
  <si>
    <t>Check up rollers
Cleaning of rollers
Preventive maintenance</t>
  </si>
  <si>
    <t>Performed surface cleaning
Check up and clean Rollers
Performed preventive maintenance 
Performed functionality tes</t>
  </si>
  <si>
    <t>Roller for replacement</t>
  </si>
  <si>
    <t>https://www.jotform.com/uploads/macarewecare/222927978372067/6144461804716489801/6144461804716489801_signature_28.png</t>
  </si>
  <si>
    <t>https://www.jotform.com/uploads/macarewecare/222927978372067/6144461804716489801/6144461804716489801_signature_31.png</t>
  </si>
  <si>
    <t>Laum Maimbung, sulu</t>
  </si>
  <si>
    <t>MAINTENANCE
Preventive Maintenence and Module Replacement</t>
  </si>
  <si>
    <t>alvinmadjid68@gmail.com</t>
  </si>
  <si>
    <t>Preventive Maintenence, module 863156 and 861972 replaced with Module 652176 and 632084 respectively.</t>
  </si>
  <si>
    <t>All modules  are available and ready to use</t>
  </si>
  <si>
    <t>900-0491RS, 900-0491RS</t>
  </si>
  <si>
    <t>12393, 12392</t>
  </si>
  <si>
    <t>https://www.jotform.com/uploads/macarewecare/222927978372067/6144422888023236171/6144422888023236171_signature_28.png</t>
  </si>
  <si>
    <t>ALVIN MADJID</t>
  </si>
  <si>
    <t>https://www.jotform.com/uploads/macarewecare/222927978372067/6144422888023236171/6144422888023236171_signature_31.png</t>
  </si>
  <si>
    <t>Tayuman St., Manila City</t>
  </si>
  <si>
    <t>fabella.mollabgene@gmail.com</t>
  </si>
  <si>
    <t xml:space="preserve">ASSAY: Xpert HPV, COUNT: 3
ASSAY: Xpert MTB/RIF Ultra, COUNT: 1
ASSAY: Xpress SARS-CoV-2_Flu_RSV plus, COUNT: 74
</t>
  </si>
  <si>
    <t>Relocated the unit.</t>
  </si>
  <si>
    <t>Relocated the GeneXpert unit 
Performed maintenance 
Functionality test 
Generated reports</t>
  </si>
  <si>
    <t>Unit is operational. Modules A1, A2 and A3 disabled.</t>
  </si>
  <si>
    <t>https://www.jotform.com/uploads/macarewecare/222927978372067/6143698453611441894/6143698453611441894_signature_28.png</t>
  </si>
  <si>
    <t>Renee Lyn Robles</t>
  </si>
  <si>
    <t>https://www.jotform.com/uploads/macarewecare/222927978372067/6143698453611441894/6143698453611441894_signature_31.png</t>
  </si>
  <si>
    <t>Kaginhawaan St. Pasig City</t>
  </si>
  <si>
    <t>Configure IP address</t>
  </si>
  <si>
    <t>Performed maintenance 
Cleaned:
-cartridge bay 
-plunger rod 
-icore 
-filter 
Configure IP address
Generated reports</t>
  </si>
  <si>
    <t>Unit is operational. Modules A2 and A4 not operational, reported already.</t>
  </si>
  <si>
    <t>https://www.jotform.com/uploads/macarewecare/222927978372067/6143698453612019373/6143698453612019373_signature_28.png</t>
  </si>
  <si>
    <t>https://www.jotform.com/uploads/macarewecare/222927978372067/6143698453612019373/6143698453612019373_signature_31.png</t>
  </si>
  <si>
    <t xml:space="preserve">ASSAY: Xpert HIV-1 Viral Load, COUNT: 160
</t>
  </si>
  <si>
    <t>https://www.jotform.com/uploads/macarewecare/222927978372067/6143698453613932160/6143698453613932160_signature_28.png</t>
  </si>
  <si>
    <t>https://www.jotform.com/uploads/macarewecare/222927978372067/6143698453613932160/6143698453613932160_signature_31.png</t>
  </si>
  <si>
    <t xml:space="preserve">ASSAY: Xpert HPV, COUNT: 126
ASSAY: Xpert MTB/RIF Ultra, COUNT: 82
ASSAY: Xpert SARS-CoV-2, COUNT: 320
ASSAY: Xpress SARS-CoV-2_Flu_RSV plus, COUNT: 591
</t>
  </si>
  <si>
    <t>Relocated the GeneXpert unit.</t>
  </si>
  <si>
    <t>https://www.jotform.com/uploads/macarewecare/222927978372067/6143698453619022940/6143698453619022940_signature_28.png</t>
  </si>
  <si>
    <t>https://www.jotform.com/uploads/macarewecare/222927978372067/6143698453619022940/6143698453619022940_signature_31.png</t>
  </si>
  <si>
    <t xml:space="preserve">ASSAY: Xpert MTB/RIF Ultra, COUNT: 1863
</t>
  </si>
  <si>
    <t>-Preventive Maintenance; fan filter, cartridge bay, optic slot, plunger rod</t>
  </si>
  <si>
    <t>https://www.jotform.com/uploads/macarewecare/222927978372067/6143696602422058889/6143696602422058889_signature_28.png</t>
  </si>
  <si>
    <t>Fatimah Maraviles</t>
  </si>
  <si>
    <t>https://www.jotform.com/uploads/macarewecare/222927978372067/6143696602422058889/6143696602422058889_signature_31.png</t>
  </si>
  <si>
    <t>Macare (In-house Unit)</t>
  </si>
  <si>
    <t>J. Llorente, Cebu City</t>
  </si>
  <si>
    <t>Inhouse</t>
  </si>
  <si>
    <t>99J027</t>
  </si>
  <si>
    <t>Defective Parts:
-Power Supply
-Pneumatic Module Assembly 
-Compressor with filter Assembly 
-Display Cable
-Line Sensor Assembly</t>
  </si>
  <si>
    <t>Replaced Defective Parts:
-Power Supply
-Pneumatic Module Assembly 
-Compressor with filter Assembly 
-Display Cable
-Line Sensor Assembly</t>
  </si>
  <si>
    <t>Parts mentioned above are functional.
Waiting additional parts:
- Weigher Assembly
- Centrifuge Cover
- Lithium Battery for CPU board
For repair/Adjustment/replacement:
- Centrifuge Cover switch
- Pump Rotors with rollers</t>
  </si>
  <si>
    <t>For Calibration and Diagnostics after replacement of lacking parts mentioned.</t>
  </si>
  <si>
    <t>-Power Supply (PN 48102-00)
-Pneumatic Module Assembly (PN 83337-10)
-Compressor with filter Assembly (PN 106789-00)
-Display Cable (PN 112496-02)
-Line Sensor Assembly (39436-10)</t>
  </si>
  <si>
    <t>Turn Over Slip 7722</t>
  </si>
  <si>
    <t>https://www.jotform.com/uploads/macarewecare/222927978372067/6143679095582034011/6143679095582034011_signature_28.png</t>
  </si>
  <si>
    <t>https://www.jotform.com/uploads/macarewecare/222927978372067/6143679095582034011/6143679095582034011_signature_31.png</t>
  </si>
  <si>
    <t>Macare in-house unit</t>
  </si>
  <si>
    <t>macareengineering@gmail.com</t>
  </si>
  <si>
    <t>In-house unit
Defective pneumatic module assymbly</t>
  </si>
  <si>
    <t>Install pneumatic module assymbly
PN 83337-10</t>
  </si>
  <si>
    <t>Unit functional</t>
  </si>
  <si>
    <t>Pneumatic module assembly
PN 83337-10</t>
  </si>
  <si>
    <t>Turn Over Slip Form 7722</t>
  </si>
  <si>
    <t>https://www.jotform.com/uploads/macarewecare/222927978372067/6143582745582956816/6143582745582956816_signature_28.png</t>
  </si>
  <si>
    <t>Macare medicals Inc.</t>
  </si>
  <si>
    <t>https://www.jotform.com/uploads/macarewecare/222927978372067/6143582745582956816/6143582745582956816_signature_31.png</t>
  </si>
  <si>
    <t>villamarevangeline103@yahoo.com</t>
  </si>
  <si>
    <t>https://www.jotform.com/uploads/macarewecare/222927978372067/6143517453614745946/6143517453614745946_signature_28.png</t>
  </si>
  <si>
    <t>https://www.jotform.com/uploads/macarewecare/222927978372067/6143517453614745946/6143517453614745946_signature_31.png</t>
  </si>
  <si>
    <t>East Avemue QC</t>
  </si>
  <si>
    <t>https://www.jotform.com/uploads/macarewecare/222927978372067/6143517123612752134/6143517123612752134_signature_28.png</t>
  </si>
  <si>
    <t>philippine heart center</t>
  </si>
  <si>
    <t>https://www.jotform.com/uploads/macarewecare/222927978372067/6143517123612752134/6143517123612752134_signature_31.png</t>
  </si>
  <si>
    <t>Blood collecting</t>
  </si>
  <si>
    <t>CRC bios failed for replacement of cpu battery</t>
  </si>
  <si>
    <t>Cleaned unit
Checked program parameters
Checked and adjust line sensor value
Checked rollers,dpm,spm,centrifuge,weigher
Replaced and installed battery
Performed calibration
Performed functionality test
Performed simulation running</t>
  </si>
  <si>
    <t>Repair and calibration</t>
  </si>
  <si>
    <t>https://www.jotform.com/uploads/macarewecare/222927978372067/6143516733619927343/6143516733619927343_signature_28.png</t>
  </si>
  <si>
    <t>https://www.jotform.com/uploads/macarewecare/222927978372067/6143516733619927343/6143516733619927343_signature_31.png</t>
  </si>
  <si>
    <t>Due for maintenance
Encounter intermittent weigher self test error</t>
  </si>
  <si>
    <t>Cleaned unit
Performed self test multiple times
Reset cable 
Checked program parameters
Checked and adjust line sensor value
Checked rollers,dpm,spm,centrifuge,weigher
Performed functionality test</t>
  </si>
  <si>
    <t>https://www.jotform.com/uploads/macarewecare/222927978372067/6143516213617122888/6143516213617122888_signature_28.png</t>
  </si>
  <si>
    <t>https://www.jotform.com/uploads/macarewecare/222927978372067/6143516213617122888/6143516213617122888_signature_31.png</t>
  </si>
  <si>
    <t>MEDI LINX LAB./ St. Elizabeth Hospital Inc.</t>
  </si>
  <si>
    <t>Micrology  lab</t>
  </si>
  <si>
    <t>CL_SEHI.maintest2@medilinx.com.ph</t>
  </si>
  <si>
    <t>claireramos.medilinx@outlook.com</t>
  </si>
  <si>
    <t>Module 1, 3, and 4 requesting for module replacement</t>
  </si>
  <si>
    <t>Gx Dx Software installation 
MTB rif-ULTRA Assays Installation 
Genexpert Cleaning and maintenance 
Checking of errors/problem 
Data collection</t>
  </si>
  <si>
    <t>Perform Genexpert machine Preventive maintenance 
Perform Genexpert machine software installation</t>
  </si>
  <si>
    <t>1 operational modules (module 2)</t>
  </si>
  <si>
    <t>https://www.jotform.com/uploads/macarewecare/222927978372067/6143076836865971624/6143076836865971624_signature_28.png</t>
  </si>
  <si>
    <t>Angel Claire Ramos</t>
  </si>
  <si>
    <t>https://www.jotform.com/uploads/macarewecare/222927978372067/6143076836865971624/6143076836865971624_signature_31.png</t>
  </si>
  <si>
    <t>OTON MUNICIPAL HEALTH OFFICE</t>
  </si>
  <si>
    <t>OTON,ILOILO</t>
  </si>
  <si>
    <t>MAINTENANCE
GX TRANSFER</t>
  </si>
  <si>
    <t xml:space="preserve">ASSAY: Xpert MTB/RIF Ultra, COUNT: 183
</t>
  </si>
  <si>
    <t>https://www.jotform.com/uploads/macarewecare/222927978372067/6141263434832659593/6141263434832659593_signature_28.png</t>
  </si>
  <si>
    <t>https://www.jotform.com/uploads/macarewecare/222927978372067/6141263434832659593/6141263434832659593_signature_31.png</t>
  </si>
  <si>
    <t>1005 Aurora Blvd, Project 3, Quezon City, 1102 Metro Manila</t>
  </si>
  <si>
    <t>Office</t>
  </si>
  <si>
    <t>corigenes@macare-medicals.com</t>
  </si>
  <si>
    <t>Aspex</t>
  </si>
  <si>
    <t>No back up</t>
  </si>
  <si>
    <t>Replaced battery</t>
  </si>
  <si>
    <t>https://www.jotform.com/uploads/macarewecare/222927978372067/6141186503611949517/6141186503611949517_signature_28.png</t>
  </si>
  <si>
    <t>https://www.jotform.com/uploads/macarewecare/222927978372067/6141186503611949517/6141186503611949517_signature_31.png</t>
  </si>
  <si>
    <t>https://www.jotform.com/uploads/macarewecare/222927978372067/6141183803618896506/6141183803618896506_signature_28.png</t>
  </si>
  <si>
    <t>https://www.jotform.com/uploads/macarewecare/222927978372067/6141183803618896506/6141183803618896506_signature_31.png</t>
  </si>
  <si>
    <t>Poblacion, calabanga</t>
  </si>
  <si>
    <t xml:space="preserve">ASSAY: Xpert MTB/RIF Ultra, COUNT: 860
</t>
  </si>
  <si>
    <t>Barcode scanner not working</t>
  </si>
  <si>
    <t>Replaced barcode scanner
Replaced fan filter</t>
  </si>
  <si>
    <t>Replaced barcode scanner
Performed Preventive Maintenance 
Replaced fan filter</t>
  </si>
  <si>
    <t>https://www.jotform.com/uploads/macarewecare/222927978372067/6141047878313655330/6141047878313655330_signature_28.png</t>
  </si>
  <si>
    <t>https://www.jotform.com/uploads/macarewecare/222927978372067/6141047878313655330/6141047878313655330_signature_31.png</t>
  </si>
  <si>
    <t>Bicol Medical Center - Blood Bank</t>
  </si>
  <si>
    <t>MCS+ for Calibration
Fluid in centrifuge</t>
  </si>
  <si>
    <t>Cleaned Unit 
Check parameters
Cleaned unit surface, centrifuge bowl, rotor pump, valve
Calibrate/checked spm, dpm, centrifuge, line sensor, valves, cuff, rotor pumps, weighing rod
Performed unit 3cycle test run</t>
  </si>
  <si>
    <t>Performed Preventive Maintenance 
Performed Calibration</t>
  </si>
  <si>
    <t>https://www.jotform.com/uploads/macarewecare/222927978372067/6141047658313132798/6141047658313132798_signature_28.png</t>
  </si>
  <si>
    <t>Ma. Charity P. de los Reyes</t>
  </si>
  <si>
    <t>https://www.jotform.com/uploads/macarewecare/222927978372067/6141047658313132798/6141047658313132798_signature_31.png</t>
  </si>
  <si>
    <t>MCS+ for Calibration</t>
  </si>
  <si>
    <t>Performed Calibration 
Performed Preventive Maintenance</t>
  </si>
  <si>
    <t>https://www.jotform.com/uploads/macarewecare/222927978372067/6141045878313971755/6141045878313971755_signature_28.png</t>
  </si>
  <si>
    <t>https://www.jotform.com/uploads/macarewecare/222927978372067/6141045878313971755/6141045878313971755_signature_31.png</t>
  </si>
  <si>
    <t>SRP - Cebu</t>
  </si>
  <si>
    <t>Defective Module B4 220004971
Error code 1001 and 2014</t>
  </si>
  <si>
    <t>Xpertcheck module 4</t>
  </si>
  <si>
    <t>Clean Fan Filter
Plunger rod maintenance</t>
  </si>
  <si>
    <t>Module 3 under observation since it has only 1 error
Module 4 service require</t>
  </si>
  <si>
    <t>https://www.jotform.com/uploads/macarewecare/222927978372067/6141002807423884532/6141002807423884532_signature_28.png</t>
  </si>
  <si>
    <t>https://www.jotform.com/uploads/macarewecare/222927978372067/6141002807423884532/6141002807423884532_signature_31.png</t>
  </si>
  <si>
    <t>Philippine Red Cross - Cagayan de Oro City</t>
  </si>
  <si>
    <t>Defective Pneumatic Pump Assembly causing in opening/closing of the valves.</t>
  </si>
  <si>
    <t>Repairing MCS+ Apheresis Machine</t>
  </si>
  <si>
    <t>Replacing Pneumatic Pump Assembly into a new one.
Checks if the problem still exist</t>
  </si>
  <si>
    <t>MCS+ and other peripherals are now functional and working.</t>
  </si>
  <si>
    <t>Pneumatic Pump Assembly</t>
  </si>
  <si>
    <t>https://www.jotform.com/uploads/macarewecare/222927978372067/6140983136615413971/6140983136615413971_signature_28.png</t>
  </si>
  <si>
    <t>Coleen M. Rante</t>
  </si>
  <si>
    <t>https://www.jotform.com/uploads/macarewecare/222927978372067/6140983136615413971/6140983136615413971_signature_31.png</t>
  </si>
  <si>
    <t>Liloy, Zamboanga del norte</t>
  </si>
  <si>
    <t>MAINTENANCE
Module Replacement and Preventive Maintenence</t>
  </si>
  <si>
    <t>Module 4 h/w failed</t>
  </si>
  <si>
    <t>Replaced module 862279 with Module 687952 and conducted Preventive maintenence</t>
  </si>
  <si>
    <t>https://www.jotform.com/uploads/macarewecare/222927978372067/6140965494461093377/6140965494461093377_signature_28.png</t>
  </si>
  <si>
    <t>Nova L. Timusan</t>
  </si>
  <si>
    <t>https://www.jotform.com/uploads/macarewecare/222927978372067/6140965494461093377/6140965494461093377_signature_31.png</t>
  </si>
  <si>
    <t>Philippine Red Cross Davao City</t>
  </si>
  <si>
    <t>Roxas Boulevard, Davao City</t>
  </si>
  <si>
    <t>Haemonetics MCS+</t>
  </si>
  <si>
    <t>Inaccurate Weigher</t>
  </si>
  <si>
    <t>Replaced the Defective Weigher SN:929980 with service Weigher SN: 904788
Check and adjusted SPM, DPM and Line Sensor values
Check roller assays and perform cycle test</t>
  </si>
  <si>
    <t>Weigher Replacement
Calibrate the MCS+
Perform Cycle Test
Check other parameters if it is in range</t>
  </si>
  <si>
    <t>Successful replaced the weigher, unit is operational</t>
  </si>
  <si>
    <t>https://www.jotform.com/uploads/macarewecare/222927978372067/6140511382224463661/6140511382224463661_signature_28.png</t>
  </si>
  <si>
    <t>https://www.jotform.com/uploads/macarewecare/222927978372067/6140511382224463661/6140511382224463661_signature_31.png</t>
  </si>
  <si>
    <t>-MODULE B2 ERROR 4009
-FOR PREVENTIVE MAINTENANCE</t>
  </si>
  <si>
    <t>EQUIPMENT IS OPERATIONAL, MODULE B2 FOR OBSERVATION</t>
  </si>
  <si>
    <t>https://www.jotform.com/uploads/macarewecare/222927978372067/6140456986812562921/6140456986812562921_signature_28.png</t>
  </si>
  <si>
    <t>https://www.jotform.com/uploads/macarewecare/222927978372067/6140456986812562921/6140456986812562921_signature_31.png</t>
  </si>
  <si>
    <t>17H636SPG</t>
  </si>
  <si>
    <t>W/ Sir Pua and Sir Salih</t>
  </si>
  <si>
    <t>https://www.jotform.com/uploads/macarewecare/222927978372067/6140274077286977287/6140274077286977287_signature_28.png</t>
  </si>
  <si>
    <t>Lykaine Kate Bagano</t>
  </si>
  <si>
    <t>https://www.jotform.com/uploads/macarewecare/222927978372067/6140274077286977287/6140274077286977287_signature_31.png</t>
  </si>
  <si>
    <t>meggysantiago@yahoo.com</t>
  </si>
  <si>
    <t xml:space="preserve">ASSAY: Xpert MTB/RIF Ultra, COUNT: 406
</t>
  </si>
  <si>
    <t>- Performed Preventive Maintenance 
- Performed functionality test
-</t>
  </si>
  <si>
    <t>Unit it Operational</t>
  </si>
  <si>
    <t>https://www.jotform.com/uploads/macarewecare/222927978372067/6140163394794652963/6140163394794652963_signature_28.png</t>
  </si>
  <si>
    <t>https://www.jotform.com/uploads/macarewecare/222927978372067/6140163394794652963/6140163394794652963_signature_31.png</t>
  </si>
  <si>
    <t>Silliaman University Medical Center</t>
  </si>
  <si>
    <t>Damaguete City</t>
  </si>
  <si>
    <t>. Sometimes curent fluctuating. 
. Error 5017
. Aborted the cartridge while running.</t>
  </si>
  <si>
    <t>. Perform preventive maintenance for the Genexpert Machine
. Replace new cable wire for 4 module's inside due to lost communication.</t>
  </si>
  <si>
    <t>. Save system log file
. Save Installation qualification report
. Save assay statistics report. 
 . Save Gxx file</t>
  </si>
  <si>
    <t>.Module A2 need to replace due to calibration fail. 
Module A1, 3,4 ol to use. 
. Ups are good condition.</t>
  </si>
  <si>
    <t>Need AVR for the Genexpert machine.</t>
  </si>
  <si>
    <t>https://www.jotform.com/uploads/macarewecare/222927978372067/6140091437313732762/6140091437313732762_signature_28.png</t>
  </si>
  <si>
    <t>https://www.jotform.com/uploads/macarewecare/222927978372067/6140091437313732762/6140091437313732762_signature_31.png</t>
  </si>
  <si>
    <t>Visayas Med</t>
  </si>
  <si>
    <t>mirasol.trinidad@singaporediagnostics.com</t>
  </si>
  <si>
    <t>05M204</t>
  </si>
  <si>
    <t>Watch Dog Error
Valve test Error</t>
  </si>
  <si>
    <t>Swapped parts to isolate problem.</t>
  </si>
  <si>
    <t>Swapped Valve Driver PCB Assembly with service part to isolate problem with Pinch valves.</t>
  </si>
  <si>
    <t>Confirmed defective - Valve Driver PCB Assembly, for request of quotation.
Confirmed functional - Pneumatic Module Assembly.</t>
  </si>
  <si>
    <t>https://www.jotform.com/uploads/macarewecare/222927978372067/6139528455428082092/6139528455428082092_signature_28.png</t>
  </si>
  <si>
    <t>Maria Morasol Trinidad</t>
  </si>
  <si>
    <t>https://www.jotform.com/uploads/macarewecare/222927978372067/6139528455428082092/6139528455428082092_signature_31.png</t>
  </si>
  <si>
    <t>madrid_dh@gmail.com</t>
  </si>
  <si>
    <t>Reported Module 4, found Temperature Errors</t>
  </si>
  <si>
    <t>Module Replacement and Preventive Maintenance</t>
  </si>
  <si>
    <t>Replacing Module 4 with SN: 889069 to SN: 912610
Preventive Maintenance</t>
  </si>
  <si>
    <t>https://www.jotform.com/uploads/macarewecare/222927978372067/6138328188411793801/6138328188411793801_signature_28.png</t>
  </si>
  <si>
    <t>https://www.jotform.com/uploads/macarewecare/222927978372067/6138328188411793801/6138328188411793801_signature_31.png</t>
  </si>
  <si>
    <t>Poblacion, Columbio,Sultan Kudarat</t>
  </si>
  <si>
    <t>Replace defective module 3 SN:692567 with new module SN: 634162
Perform Genexpert Cleaning and maintenance 
Checking of errors/problem 
Data collection</t>
  </si>
  <si>
    <t>Genexpert module repair
Genexpert Preventive maintenance</t>
  </si>
  <si>
    <t>Genexpert 6-color module 
SN:634162</t>
  </si>
  <si>
    <t>DR#: 12531</t>
  </si>
  <si>
    <t>https://www.jotform.com/uploads/macarewecare/222927978372067/6137948496869168333/6137948496869168333_signature_28.png</t>
  </si>
  <si>
    <t>Rochelle S toledo</t>
  </si>
  <si>
    <t>https://www.jotform.com/uploads/macarewecare/222927978372067/6137948496869168333/6137948496869168333_signature_31.png</t>
  </si>
  <si>
    <t>Philippine Red Cross Davao Chapter</t>
  </si>
  <si>
    <t>Weigher problem</t>
  </si>
  <si>
    <t>Reset Weigher Connections
Reset CPU Board
Recalibrate weigher paramaters</t>
  </si>
  <si>
    <t>Perform Troubleshooting and reset board connections</t>
  </si>
  <si>
    <t>Unit not operational, weigher displaying incorrect values for weight.
Unit errors documented, sent to supervisor for evaluation</t>
  </si>
  <si>
    <t>Waiting for replacement parts</t>
  </si>
  <si>
    <t>https://www.jotform.com/uploads/macarewecare/222927978372067/6137734872218572550/6137734872218572550_signature_28.png</t>
  </si>
  <si>
    <t>https://www.jotform.com/uploads/macarewecare/222927978372067/6137734872218572550/6137734872218572550_signature_31.png</t>
  </si>
  <si>
    <t>Due for maintenance
Urethane roller assy slight worn out</t>
  </si>
  <si>
    <t>For quotation of urethane roller assy</t>
  </si>
  <si>
    <t>https://www.jotform.com/uploads/macarewecare/222927978372067/6137601323614146267/6137601323614146267_signature_28.png</t>
  </si>
  <si>
    <t>Krystle Unlayao</t>
  </si>
  <si>
    <t>https://www.jotform.com/uploads/macarewecare/222927978372067/6137601323614146267/6137601323614146267_signature_31.png</t>
  </si>
  <si>
    <t>Due for maintenance
Urethane roller assy worn out already
UPS unable to backup battery</t>
  </si>
  <si>
    <t>For quotation of urethane roller assy need to replace</t>
  </si>
  <si>
    <t>https://www.jotform.com/uploads/macarewecare/222927978372067/6137600373615185643/6137600373615185643_signature_28.png</t>
  </si>
  <si>
    <t>https://www.jotform.com/uploads/macarewecare/222927978372067/6137600373615185643/6137600373615185643_signature_31.png</t>
  </si>
  <si>
    <t>Quezon avenue QC</t>
  </si>
  <si>
    <t>Due for maintenance
D1,D2 reported already failed xpertcheck</t>
  </si>
  <si>
    <t>D2,D3,D4 disabled</t>
  </si>
  <si>
    <t>https://www.jotform.com/uploads/macarewecare/222927978372067/6137599943616748127/6137599943616748127_signature_28.png</t>
  </si>
  <si>
    <t>https://www.jotform.com/uploads/macarewecare/222927978372067/6137599943616748127/6137599943616748127_signature_31.png</t>
  </si>
  <si>
    <t>https://www.jotform.com/uploads/macarewecare/222927978372067/6137549603612071831/6137549603612071831_signature_28.png</t>
  </si>
  <si>
    <t>Stephanie Obida</t>
  </si>
  <si>
    <t>https://www.jotform.com/uploads/macarewecare/222927978372067/6137549603612071831/6137549603612071831_signature_31.png</t>
  </si>
  <si>
    <t>stephobida90@gmail.com</t>
  </si>
  <si>
    <t>Cannot upload test to LIS</t>
  </si>
  <si>
    <t>Reset communication buffer</t>
  </si>
  <si>
    <t>Check host connection 
Reset communication buffer
Upload pending test results to LIS</t>
  </si>
  <si>
    <t>Unit is operational. All modules operational. Test uploading successful.</t>
  </si>
  <si>
    <t>https://www.jotform.com/uploads/macarewecare/222927978372067/6137549603612187491/6137549603612187491_signature_28.png</t>
  </si>
  <si>
    <t>Stephanie obida</t>
  </si>
  <si>
    <t>https://www.jotform.com/uploads/macarewecare/222927978372067/6137549603612187491/6137549603612187491_signature_31.png</t>
  </si>
  <si>
    <t>osmakpatho_labs@yahoo.com</t>
  </si>
  <si>
    <t xml:space="preserve">ASSAY: Xpert MTB/RIF Ultra, COUNT: 253
</t>
  </si>
  <si>
    <t>Performed maintenance 
Cleaned:
-cartridge bay 
-plunger rod 
-icore
-filter 
Run XpertCheck 
Generated reports</t>
  </si>
  <si>
    <t>DR# 12569</t>
  </si>
  <si>
    <t>https://www.jotform.com/uploads/macarewecare/222927978372067/6137549603613142907/6137549603613142907_signature_28.png</t>
  </si>
  <si>
    <t>Shairene Aubrey S. Espiritu, RMT</t>
  </si>
  <si>
    <t>https://www.jotform.com/uploads/macarewecare/222927978372067/6137549603613142907/6137549603613142907_signature_31.png</t>
  </si>
  <si>
    <t>Performed maintenance 
Cleaned:
-cartridge bay 
-plunger rod 
-icore 
-filter
-replaced module B3
Generated reports</t>
  </si>
  <si>
    <t>https://www.jotform.com/uploads/macarewecare/222927978372067/6137549603617184789/6137549603617184789_signature_28.png</t>
  </si>
  <si>
    <t>https://www.jotform.com/uploads/macarewecare/222927978372067/6137549603617184789/6137549603617184789_signature_31.png</t>
  </si>
  <si>
    <t xml:space="preserve">ASSAY: Xpert MTB/RIF Ultra, COUNT: 208
ASSAY: Xpert HIV-1 Viral Load, COUNT: 2
ASSAY: Xpress SARS-CoV-2_Flu_RSV plus, COUNT: 51
</t>
  </si>
  <si>
    <t>https://www.jotform.com/uploads/macarewecare/222927978372067/6137537798834201710/6137537798834201710_signature_28.png</t>
  </si>
  <si>
    <t>https://www.jotform.com/uploads/macarewecare/222927978372067/6137537798834201710/6137537798834201710_signature_31.png</t>
  </si>
  <si>
    <t>ganapinhazel22@gmail.com</t>
  </si>
  <si>
    <t xml:space="preserve">ASSAY: Xpert MTB/RIF Ultra, COUNT: 718
</t>
  </si>
  <si>
    <t>https://www.jotform.com/uploads/macarewecare/222927978372067/6137535188835816896/6137535188835816896_signature_28.png</t>
  </si>
  <si>
    <t>https://www.jotform.com/uploads/macarewecare/222927978372067/6137535188835816896/6137535188835816896_signature_31.png</t>
  </si>
  <si>
    <t xml:space="preserve">ASSAY: Xpert MTB/RIF Ultra, COUNT: 934
</t>
  </si>
  <si>
    <t>For Troubleshooting and Preventive Maintenance</t>
  </si>
  <si>
    <t>https://www.jotform.com/uploads/macarewecare/222927978372067/6137532338839417688/6137532338839417688_signature_28.png</t>
  </si>
  <si>
    <t>https://www.jotform.com/uploads/macarewecare/222927978372067/6137532338839417688/6137532338839417688_signature_31.png</t>
  </si>
  <si>
    <t xml:space="preserve">ASSAY: Xpert MTB/RIF Ultra, COUNT: 1103
</t>
  </si>
  <si>
    <t>https://www.jotform.com/uploads/macarewecare/222927978372067/6137531348839263081/6137531348839263081_signature_28.png</t>
  </si>
  <si>
    <t>https://www.jotform.com/uploads/macarewecare/222927978372067/6137531348839263081/6137531348839263081_signature_31.png</t>
  </si>
  <si>
    <t>AT1000170815ST0163</t>
  </si>
  <si>
    <t>Replaced and installed  2pcs battery
Performed functionality test</t>
  </si>
  <si>
    <t>UPS Battery</t>
  </si>
  <si>
    <t>https://www.jotform.com/uploads/macarewecare/222927978372067/6137503863616414483/6137503863616414483_signature_28.png</t>
  </si>
  <si>
    <t>https://www.jotform.com/uploads/macarewecare/222927978372067/6137503863616414483/6137503863616414483_signature_31.png</t>
  </si>
  <si>
    <t>No power
Low voltage battery ouput 
Battery wornout already</t>
  </si>
  <si>
    <t>Checked battery voltage output
Checked ups</t>
  </si>
  <si>
    <t>troubleshooting</t>
  </si>
  <si>
    <t>For replacement of 2pcs battery.</t>
  </si>
  <si>
    <t>https://www.jotform.com/uploads/macarewecare/222927978372067/6137502183611012625/6137502183611012625_signature_28.png</t>
  </si>
  <si>
    <t>https://www.jotform.com/uploads/macarewecare/222927978372067/6137502183611012625/6137502183611012625_signature_31.png</t>
  </si>
  <si>
    <t>AT1000190123ST0184</t>
  </si>
  <si>
    <t>For replacement of 2pcs Battery</t>
  </si>
  <si>
    <t>Replaced and installed 2pcs battery
Performed functionality test</t>
  </si>
  <si>
    <t>https://www.jotform.com/uploads/macarewecare/222927978372067/6137491673615917901/6137491673615917901_signature_28.png</t>
  </si>
  <si>
    <t>https://www.jotform.com/uploads/macarewecare/222927978372067/6137491673615917901/6137491673615917901_signature_31.png</t>
  </si>
  <si>
    <t>AT1000181128ST0151</t>
  </si>
  <si>
    <t>https://www.jotform.com/uploads/macarewecare/222927978372067/6137489023614041539/6137489023614041539_signature_28.png</t>
  </si>
  <si>
    <t>https://www.jotform.com/uploads/macarewecare/222927978372067/6137489023614041539/6137489023614041539_signature_31.png</t>
  </si>
  <si>
    <t>Poblacion, Tagum City</t>
  </si>
  <si>
    <t xml:space="preserve">ASSAY: Xpert MTB/RIF Ultra, COUNT: 2107
</t>
  </si>
  <si>
    <t>Module 2 for under observation</t>
  </si>
  <si>
    <t>https://www.jotform.com/uploads/macarewecare/222927978372067/6137008372213202323/6137008372213202323_signature_28.png</t>
  </si>
  <si>
    <t>https://www.jotform.com/uploads/macarewecare/222927978372067/6137008372213202323/6137008372213202323_signature_31.png</t>
  </si>
  <si>
    <t>ruralhealthunitlaboratory@gmail.com</t>
  </si>
  <si>
    <t xml:space="preserve">ASSAY: Xpert MTB/RIF Ultra, COUNT: 677
</t>
  </si>
  <si>
    <t>https://www.jotform.com/uploads/macarewecare/222927978372067/6135149307177571217/6135149307177571217_signature_28.png</t>
  </si>
  <si>
    <t>Nicole Caasi</t>
  </si>
  <si>
    <t>https://www.jotform.com/uploads/macarewecare/222927978372067/6135149307177571217/6135149307177571217_signature_31.png</t>
  </si>
  <si>
    <t>Mabuhay Rural Health unit</t>
  </si>
  <si>
    <t>Poblacion Mabuhay Zamboanga Sibugay</t>
  </si>
  <si>
    <t>CALIBRATION
MAINTENANCE
Xpertcheck calibration and Preventive Maintenence</t>
  </si>
  <si>
    <t>tessanavarro.20.tn@gmail.com</t>
  </si>
  <si>
    <t xml:space="preserve">ASSAY: Xpert MTB/RIF Ultra, COUNT: 209
</t>
  </si>
  <si>
    <t>Preventive Maintenence and Xpertcheck calibration for all modules</t>
  </si>
  <si>
    <t>All modules are available and passed the Xpertcheck Calibration</t>
  </si>
  <si>
    <t>https://www.jotform.com/uploads/macarewecare/222927978372067/6135138138444588612/6135138138444588612_signature_28.png</t>
  </si>
  <si>
    <t>Tessaphaidal A. Navarro</t>
  </si>
  <si>
    <t>https://www.jotform.com/uploads/macarewecare/222927978372067/6135138138444588612/6135138138444588612_signature_31.png</t>
  </si>
  <si>
    <t xml:space="preserve">ASSAY: Xpert MTB/RIF Ultra, COUNT: 2018
</t>
  </si>
  <si>
    <t>None. For maintebance.</t>
  </si>
  <si>
    <t>Performed maintwnance.
Generate reports.</t>
  </si>
  <si>
    <t>Performed cleaning and naintenance.</t>
  </si>
  <si>
    <t>All 16 modules operational.</t>
  </si>
  <si>
    <t>https://www.jotform.com/uploads/macarewecare/222927978372067/6135104194012342119/6135104194012342119_signature_28.png</t>
  </si>
  <si>
    <t>JOCELYN CALALIN</t>
  </si>
  <si>
    <t>https://www.jotform.com/uploads/macarewecare/222927978372067/6135104194012342119/6135104194012342119_signature_31.png</t>
  </si>
  <si>
    <t xml:space="preserve">ASSAY: Xpert MTB/RIF Ultra, COUNT: 143
</t>
  </si>
  <si>
    <t>None. For maintenance and xpertcheck calibration.</t>
  </si>
  <si>
    <t>Performed naitenance and xpertcheck calibration.</t>
  </si>
  <si>
    <t>Performed unit maintennce and xpertcheck calibration.</t>
  </si>
  <si>
    <t>All 4 modules operational.
All 4 modules PASSED the xpertcheck calibration.</t>
  </si>
  <si>
    <t>DR Number: 12504</t>
  </si>
  <si>
    <t>https://www.jotform.com/uploads/macarewecare/222927978372067/6135100224011163272/6135100224011163272_signature_28.png</t>
  </si>
  <si>
    <t>https://www.jotform.com/uploads/macarewecare/222927978372067/6135100224011163272/6135100224011163272_signature_31.png</t>
  </si>
  <si>
    <t xml:space="preserve">ASSAY: Xpert MTB/RIF Ultra, COUNT: 604
</t>
  </si>
  <si>
    <t>Due for preventive maintenance 
B3:808251 temperature error
B4:808252 temperature error</t>
  </si>
  <si>
    <t>Unit is operational 
B3 and B4, temperature error</t>
  </si>
  <si>
    <t>B3 and B4 for reporting</t>
  </si>
  <si>
    <t>https://www.jotform.com/uploads/macarewecare/222927978372067/6135092496393833178/6135092496393833178_signature_28.png</t>
  </si>
  <si>
    <t>https://www.jotform.com/uploads/macarewecare/222927978372067/6135092496393833178/6135092496393833178_signature_31.png</t>
  </si>
  <si>
    <t>Poblacion Infanta, Pangasinan</t>
  </si>
  <si>
    <t xml:space="preserve">ASSAY: Xpert MTB/RIF Ultra, COUNT: 122
</t>
  </si>
  <si>
    <t>Preventive maintenance 
Xertcheck</t>
  </si>
  <si>
    <t>https://www.jotform.com/uploads/macarewecare/222927978372067/6135051356395038768/6135051356395038768_signature_28.png</t>
  </si>
  <si>
    <t>https://www.jotform.com/uploads/macarewecare/222927978372067/6135051356395038768/6135051356395038768_signature_31.png</t>
  </si>
  <si>
    <t xml:space="preserve">ASSAY: Xpert MTB/RIF Ultra, COUNT: 1824
</t>
  </si>
  <si>
    <t>https://www.jotform.com/uploads/macarewecare/222927978372067/6135046989819552557/6135046989819552557_signature_28.png</t>
  </si>
  <si>
    <t>Elizabeth Villanueva</t>
  </si>
  <si>
    <t>https://www.jotform.com/uploads/macarewecare/222927978372067/6135046989819552557/6135046989819552557_signature_31.png</t>
  </si>
  <si>
    <t>City Health Office Compound</t>
  </si>
  <si>
    <t>alonaalvaro27@gmail.com</t>
  </si>
  <si>
    <t>DR#12497</t>
  </si>
  <si>
    <t>https://www.jotform.com/uploads/macarewecare/222927978372067/6135043559811909260/6135043559811909260_signature_28.png</t>
  </si>
  <si>
    <t>Alona Nina Alvaro</t>
  </si>
  <si>
    <t>https://www.jotform.com/uploads/macarewecare/222927978372067/6135043559811909260/6135043559811909260_signature_31.png</t>
  </si>
  <si>
    <t>PGP-Molecular Diagnostics Laboratory</t>
  </si>
  <si>
    <t>anopheles73@gmail.com</t>
  </si>
  <si>
    <t xml:space="preserve">ASSAY: Xpert MTB/RIF Ultra, COUNT: 483
</t>
  </si>
  <si>
    <t>None, For unit maintenance and Xpertcheck calibration.</t>
  </si>
  <si>
    <t>Performed maintenance and xpertchek calibration.</t>
  </si>
  <si>
    <t>Performed unit maintenance and run xpertcheck calibration.</t>
  </si>
  <si>
    <t>All 4 modules operational.
Xpertcheck results: All 4 modules PASSED</t>
  </si>
  <si>
    <t>1 kit of xpertcheck.</t>
  </si>
  <si>
    <t>https://www.jotform.com/uploads/macarewecare/222927978372067/6134957514017197783/6134957514017197783_signature_28.png</t>
  </si>
  <si>
    <t>https://www.jotform.com/uploads/macarewecare/222927978372067/6134957514017197783/6134957514017197783_signature_31.png</t>
  </si>
  <si>
    <t>Rotor roller rubbers for replacement</t>
  </si>
  <si>
    <t>https://www.jotform.com/uploads/macarewecare/222927978372067/6134247095337615132/6134247095337615132_signature_28.png</t>
  </si>
  <si>
    <t>https://www.jotform.com/uploads/macarewecare/222927978372067/6134247095337615132/6134247095337615132_signature_31.png</t>
  </si>
  <si>
    <t>Philippine Red Cross-Ormoc Chapter</t>
  </si>
  <si>
    <t>For Installation brand new line sensor</t>
  </si>
  <si>
    <t>Install brand new line sensor
Replace a worn out pump rubber</t>
  </si>
  <si>
    <t>https://www.jotform.com/uploads/macarewecare/222927978372067/6134247060711036336/6134247060711036336_signature_28.png</t>
  </si>
  <si>
    <t>Hannah de claro</t>
  </si>
  <si>
    <t>https://www.jotform.com/uploads/macarewecare/222927978372067/6134247060711036336/6134247060711036336_signature_31.png</t>
  </si>
  <si>
    <t>Centrifuge for troubleshooting</t>
  </si>
  <si>
    <t>Adjusted centrifuge bolts</t>
  </si>
  <si>
    <t>https://www.jotform.com/uploads/macarewecare/222927978372067/6134246615337471889/6134246615337471889_signature_28.png</t>
  </si>
  <si>
    <t>https://www.jotform.com/uploads/macarewecare/222927978372067/6134246615337471889/6134246615337471889_signature_31.png</t>
  </si>
  <si>
    <t xml:space="preserve">ASSAY: Xpert MTB/RIF Ultra, COUNT: 10
</t>
  </si>
  <si>
    <t>Due for XPC and PM</t>
  </si>
  <si>
    <t>All modules passed XpertCheck and is functional.</t>
  </si>
  <si>
    <t>XpertCheck-CE-5
Lot No. 1001075092 
Exp. June 01, 2025</t>
  </si>
  <si>
    <t>DR no. 12526</t>
  </si>
  <si>
    <t>https://www.jotform.com/uploads/macarewecare/222927978372067/6134243894125011834/6134243894125011834_signature_28.png</t>
  </si>
  <si>
    <t>https://www.jotform.com/uploads/macarewecare/222927978372067/6134243894125011834/6134243894125011834_signature_31.png</t>
  </si>
  <si>
    <t>AT1000190123STO244</t>
  </si>
  <si>
    <t>Replaced and installed 2pcs battery.
Performed functionality test.</t>
  </si>
  <si>
    <t>https://www.jotform.com/uploads/macarewecare/222927978372067/6134156813614352839/6134156813614352839_signature_28.png</t>
  </si>
  <si>
    <t>https://www.jotform.com/uploads/macarewecare/222927978372067/6134156813614352839/6134156813614352839_signature_31.png</t>
  </si>
  <si>
    <t>No power
Low voltage output of battery</t>
  </si>
  <si>
    <t>Checked UPS
Checked and test voltage output of battery 3.5volts</t>
  </si>
  <si>
    <t>https://www.jotform.com/uploads/macarewecare/222927978372067/6134147863614981244/6134147863614981244_signature_28.png</t>
  </si>
  <si>
    <t>https://www.jotform.com/uploads/macarewecare/222927978372067/6134147863614981244/6134147863614981244_signature_31.png</t>
  </si>
  <si>
    <t>Checked ups 
Checked and test voltage output of battery 2.0V</t>
  </si>
  <si>
    <t>https://www.jotform.com/uploads/macarewecare/222927978372067/6134146163614352169/6134146163614352169_signature_28.png</t>
  </si>
  <si>
    <t>https://www.jotform.com/uploads/macarewecare/222927978372067/6134146163614352169/6134146163614352169_signature_31.png</t>
  </si>
  <si>
    <t>No power 
No voltage output battery</t>
  </si>
  <si>
    <t>Performed troubleshooting
Checked and test voltage output of battery. 2.6volts</t>
  </si>
  <si>
    <t>For replacement of battery 2pcs.</t>
  </si>
  <si>
    <t>https://www.jotform.com/uploads/macarewecare/222927978372067/6134144393618128284/6134144393618128284_signature_28.png</t>
  </si>
  <si>
    <t>https://www.jotform.com/uploads/macarewecare/222927978372067/6134144393618128284/6134144393618128284_signature_31.png</t>
  </si>
  <si>
    <t>Taft Ave., Ermita Manila</t>
  </si>
  <si>
    <t xml:space="preserve">ASSAY: Xpert HPV, COUNT: 85
ASSAY: Others, COUNT: SA Nasal Complete G3 = 1
ASSAY: Xpert SARS-CoV-2, COUNT: 557
ASSAY: Xpress SARS-CoV-2_Flu_RSV plus, COUNT: 858
</t>
  </si>
  <si>
    <t>Unit for preventive maintenance.
For checking of monitor.</t>
  </si>
  <si>
    <t>Preventive maintenance and troublesbooting of monitor.</t>
  </si>
  <si>
    <t>Performed Preventive Maintenance.
-Cleaned and disinfect plunger
-Cleaned and disinfect cartridge bay
-Cleaned and disinfect instrument surface
-Cleaned icore sensors
-Cleaned filter fan
-Archived test results
Performed checking of monitor.
Generated reports.</t>
  </si>
  <si>
    <t>Unit is operational. Modules A4, B2, B3 and C3 for reporting due to temperature errors. Monitor for replacement due to half display.</t>
  </si>
  <si>
    <t>https://www.jotform.com/uploads/macarewecare/222927978372067/6134108008219217841/6134108008219217841_signature_28.png</t>
  </si>
  <si>
    <t>Kleante bautro</t>
  </si>
  <si>
    <t>https://www.jotform.com/uploads/macarewecare/222927978372067/6134108008219217841/6134108008219217841_signature_31.png</t>
  </si>
  <si>
    <t>Cawayan Rural Health Unit</t>
  </si>
  <si>
    <t>Poblacion, Cawayan</t>
  </si>
  <si>
    <t>Gellatisimo@gmail.com</t>
  </si>
  <si>
    <t xml:space="preserve">ASSAY: Xpert MTB/RIF Ultra, COUNT: 917
</t>
  </si>
  <si>
    <t>Gx for Preventive Maintenance 
Request for fan filter</t>
  </si>
  <si>
    <t>Cleaned cartridge bays, plunger rod, icore 
Provide 1 extra fan filter
Generate Data</t>
  </si>
  <si>
    <t>Performed Preventive Maintenance 
Provide extra fan filter</t>
  </si>
  <si>
    <t>https://www.jotform.com/uploads/macarewecare/222927978372067/6134089193216389574/6134089193216389574_signature_28.png</t>
  </si>
  <si>
    <t>Gellie Jane Gader</t>
  </si>
  <si>
    <t>https://www.jotform.com/uploads/macarewecare/222927978372067/6134089193216389574/6134089193216389574_signature_31.png</t>
  </si>
  <si>
    <t xml:space="preserve">ASSAY: Xpert CT/NG, COUNT: 12
ASSAY: Xpert HBV VL, COUNT: 64
ASSAY: Xpert HPV, COUNT: 31
ASSAY: Xpert MTB/RIF Ultra, COUNT: 147
</t>
  </si>
  <si>
    <t>Module B4: 866908 temperature error
Due for preventive maintenance 
Due for Calibration ( last calibration June 21,2022)</t>
  </si>
  <si>
    <t>Preventive maintenance 
Troubleshooting</t>
  </si>
  <si>
    <t>Unit is operational except for module B4: 866908 
Machine for Calibration ( Last calibration June 21,2022)</t>
  </si>
  <si>
    <t>Module B4: 866908 for relacement</t>
  </si>
  <si>
    <t>https://www.jotform.com/uploads/macarewecare/222927978372067/6134088518447040650/6134088518447040650_signature_28.png</t>
  </si>
  <si>
    <t>https://www.jotform.com/uploads/macarewecare/222927978372067/6134088518447040650/6134088518447040650_signature_31.png</t>
  </si>
  <si>
    <t>University of the Philippines - NIH</t>
  </si>
  <si>
    <t>Pedro Gil St. Ermita Manila</t>
  </si>
  <si>
    <t xml:space="preserve">ASSAY: Xpert Carba-R, COUNT: 122
ASSAY: Xpert CT/NG, COUNT: 10
ASSAY: Xpert HBV VL, COUNT: 78
ASSAY: Xpert MTB/RIF Ultra, COUNT: 2
ASSAY: Xpert MTB-XDR, COUNT: 1
ASSAY: Xpert HCV VL, COUNT: 40
ASSAY: Xpert HIV-1 Viral Load, COUNT: 521
</t>
  </si>
  <si>
    <t>https://www.jotform.com/uploads/macarewecare/222927978372067/6134086187122403134/6134086187122403134_signature_28.png</t>
  </si>
  <si>
    <t>https://www.jotform.com/uploads/macarewecare/222927978372067/6134086187122403134/6134086187122403134_signature_31.png</t>
  </si>
  <si>
    <t>1005 Aurora grand,QC</t>
  </si>
  <si>
    <t>Enginnering</t>
  </si>
  <si>
    <t>For calibration 
Urethane roller assy worn out already</t>
  </si>
  <si>
    <t>Performed calibration
Checked program parameters
Checked and adjust line sensor value
Checked rollers,dpm,spm,centrifuge,weigher
Performed functionality test
Performed simulation running</t>
  </si>
  <si>
    <t>Performed calibration and troubleshooting</t>
  </si>
  <si>
    <t>For replacement of urethane roller assy</t>
  </si>
  <si>
    <t>https://www.jotform.com/uploads/macarewecare/222927978372067/6134054513614836764/6134054513614836764_signature_28.png</t>
  </si>
  <si>
    <t>https://www.jotform.com/uploads/macarewecare/222927978372067/6134054513614836764/6134054513614836764_signature_31.png</t>
  </si>
  <si>
    <t>https://www.jotform.com/uploads/macarewecare/222927978372067/6134054493615602182/6134054493615602182_signature_28.png</t>
  </si>
  <si>
    <t>https://www.jotform.com/uploads/macarewecare/222927978372067/6134054493615602182/6134054493615602182_signature_31.png</t>
  </si>
  <si>
    <t>Balanga Bataan</t>
  </si>
  <si>
    <t xml:space="preserve">ASSAY: Xpert HBV VL, COUNT: 0
ASSAY: Xpert SARS-CoV-2, COUNT: 3293
ASSAY: Xpert HIV-1 Viral Load, COUNT: 0
ASSAY: Xpress SARS-CoV-2_Flu_RSV plus, COUNT: 1580
</t>
  </si>
  <si>
    <t>https://www.jotform.com/uploads/macarewecare/222927978372067/6133627884118679978/6133627884118679978_signature_28.png</t>
  </si>
  <si>
    <t>Hobey Eichel Caringal</t>
  </si>
  <si>
    <t>https://www.jotform.com/uploads/macarewecare/222927978372067/6133627884118679978/6133627884118679978_signature_31.png</t>
  </si>
  <si>
    <t xml:space="preserve">ASSAY: Xpert SARS-CoV-2, COUNT: 3574
ASSAY: Xpert HIV-1 Viral Load, COUNT: 0
ASSAY: Xpress SARS-CoV-2_Flu_RSV plus, COUNT: 1000
</t>
  </si>
  <si>
    <t>https://www.jotform.com/uploads/macarewecare/222927978372067/6133627674112616515/6133627674112616515_signature_28.png</t>
  </si>
  <si>
    <t>Honey Eichel Caringal</t>
  </si>
  <si>
    <t>https://www.jotform.com/uploads/macarewecare/222927978372067/6133627674112616515/6133627674112616515_signature_31.png</t>
  </si>
  <si>
    <t xml:space="preserve">ASSAY: Xpert MTB/RIF Ultra, COUNT: 1219
</t>
  </si>
  <si>
    <t>Genexpert preventive maintenance</t>
  </si>
  <si>
    <t>https://www.jotform.com/uploads/macarewecare/222927978372067/6133575686867551152/6133575686867551152_signature_28.png</t>
  </si>
  <si>
    <t>https://www.jotform.com/uploads/macarewecare/222927978372067/6133575686867551152/6133575686867551152_signature_31.png</t>
  </si>
  <si>
    <t xml:space="preserve">ASSAY: Xpert MTB/RIF Ultra, COUNT: 662
</t>
  </si>
  <si>
    <t>Module 4 for Service Required</t>
  </si>
  <si>
    <t>Replace defective module 4 SN:635997 with new module  SN:761549
Perform Genexpert Cleaning and maintenance 
Checking of errors/problem 
Data collection</t>
  </si>
  <si>
    <t>Genexpert module repair 
Genexpert Preventive maintenance</t>
  </si>
  <si>
    <t>Genexpert 6-color module SN:761549</t>
  </si>
  <si>
    <t>DR#:12541</t>
  </si>
  <si>
    <t>https://www.jotform.com/uploads/macarewecare/222927978372067/6133575686869694643/6133575686869694643_signature_28.png</t>
  </si>
  <si>
    <t>https://www.jotform.com/uploads/macarewecare/222927978372067/6133575686869694643/6133575686869694643_signature_31.png</t>
  </si>
  <si>
    <t>Marawe City Health Office</t>
  </si>
  <si>
    <t>Marawe City, Lanao del Norte</t>
  </si>
  <si>
    <t>faridahmamao@gmail.com</t>
  </si>
  <si>
    <t>Display monitor numerous horizontal lines display.</t>
  </si>
  <si>
    <t>Replacement of display monitor.</t>
  </si>
  <si>
    <t>Replacement of display monitor HP SN: CN461017D3</t>
  </si>
  <si>
    <t>The machine and the display monitor is operational.</t>
  </si>
  <si>
    <t>https://www.jotform.com/uploads/macarewecare/222927978372067/6133412645582072545/6133412645582072545_signature_28.png</t>
  </si>
  <si>
    <t>Faridah BUsara,RMT</t>
  </si>
  <si>
    <t>https://www.jotform.com/uploads/macarewecare/222927978372067/6133412645582072545/6133412645582072545_signature_31.png</t>
  </si>
  <si>
    <t>Module 4 SN: 808095 failed during calibration.</t>
  </si>
  <si>
    <t>Replacement of defective module and replacement of new module 4 SN: 885935
Generate IQR, System Log, GXX files and Assay Stats
Clean filter and Icore, plunger.</t>
  </si>
  <si>
    <t>All modules are operational. 
Need an additional filter.</t>
  </si>
  <si>
    <t>https://www.jotform.com/uploads/macarewecare/222927978372067/6133410395586839767/6133410395586839767_signature_28.png</t>
  </si>
  <si>
    <t>https://www.jotform.com/uploads/macarewecare/222927978372067/6133410395586839767/6133410395586839767_signature_31.png</t>
  </si>
  <si>
    <t>Installation in the Sub-national laboratory for permanent transfer.</t>
  </si>
  <si>
    <t>Dismantle UPS and AVR, Stand and Mcs+
Assemble and install in the Subnational Bloodbank</t>
  </si>
  <si>
    <t>The machine is operational.</t>
  </si>
  <si>
    <t>https://www.jotform.com/uploads/macarewecare/222927978372067/6133403575583692848/6133403575583692848_signature_28.png</t>
  </si>
  <si>
    <t>https://www.jotform.com/uploads/macarewecare/222927978372067/6133403575583692848/6133403575583692848_signature_31.png</t>
  </si>
  <si>
    <t>bataan.bghmc.rhivda@gmail.com</t>
  </si>
  <si>
    <t>mariaana.hizon@gmail.com</t>
  </si>
  <si>
    <t xml:space="preserve">ASSAY: Xpert HBV VL, COUNT: 5
ASSAY: Xpert HPV, COUNT: 1
ASSAY: Xpert HCV VL, COUNT: 15
ASSAY: Xpert HIV-1 Viral Load, COUNT: 108
</t>
  </si>
  <si>
    <t>https://www.jotform.com/uploads/macarewecare/222927978372067/6133389448365286894/6133389448365286894_signature_28.png</t>
  </si>
  <si>
    <t>Maria Ana Hizon</t>
  </si>
  <si>
    <t>https://www.jotform.com/uploads/macarewecare/222927978372067/6133389448365286894/6133389448365286894_signature_31.png</t>
  </si>
  <si>
    <t>esperanzarhu@gmail.com</t>
  </si>
  <si>
    <t>Gx for Preventive Maintenance 
Request fan filter</t>
  </si>
  <si>
    <t>Cleaned cartridge bays, plunger rod
Provide extra fan filter
Generate Data</t>
  </si>
  <si>
    <t>Performed Preventive Maintenance 
Provide fan filter</t>
  </si>
  <si>
    <t>https://www.jotform.com/uploads/macarewecare/222927978372067/6133386330935267098/6133386330935267098_signature_28.png</t>
  </si>
  <si>
    <t>Airyn L. Glory</t>
  </si>
  <si>
    <t>https://www.jotform.com/uploads/macarewecare/222927978372067/6133386330935267098/6133386330935267098_signature_31.png</t>
  </si>
  <si>
    <t xml:space="preserve">ASSAY: Xpert MTB/RIF Ultra, COUNT: 768
</t>
  </si>
  <si>
    <t>High room ambient temperature;
more than 32 C temp around the Genexpert machine.</t>
  </si>
  <si>
    <t>Preventive Maintenance - cleaned optics, plunger rods, module bays, filter; provide additional filter.</t>
  </si>
  <si>
    <t>Genexpert operating temperature should be 15-30C to avoid module hardware failures. Recommendations: Clean ACU; temporarily install electric fan for the Genexpert machine; install additinal ACU.</t>
  </si>
  <si>
    <t>https://www.jotform.com/uploads/macarewecare/222927978372067/6133381313424511351/6133381313424511351_signature_28.png</t>
  </si>
  <si>
    <t>Anne Galilea</t>
  </si>
  <si>
    <t>https://www.jotform.com/uploads/macarewecare/222927978372067/6133381313424511351/6133381313424511351_signature_31.png</t>
  </si>
  <si>
    <t>Cagayan de Oro, Misamis Oriental</t>
  </si>
  <si>
    <t>Red Cross Blood Center</t>
  </si>
  <si>
    <t>Problem with Pneumatic Assembly causing problem with opening and closing of Valves</t>
  </si>
  <si>
    <t>Checking status of the equipment
Troubleshooting</t>
  </si>
  <si>
    <t>MCS+ not functional</t>
  </si>
  <si>
    <t>For replacement of pneumatic assembly, waiting for parts from Main Office</t>
  </si>
  <si>
    <t>https://www.jotform.com/uploads/macarewecare/222927978372067/6133356767146838589/6133356767146838589_signature_28.png</t>
  </si>
  <si>
    <t>https://www.jotform.com/uploads/macarewecare/222927978372067/6133356767146838589/6133356767146838589_signature_31.png</t>
  </si>
  <si>
    <t xml:space="preserve">ASSAY: Xpert CT/NG, COUNT: 121
ASSAY: Xpert MTB/RIF Ultra, COUNT: 6681
</t>
  </si>
  <si>
    <t>https://www.jotform.com/uploads/macarewecare/222927978372067/6133327466015203529/6133327466015203529_signature_28.png</t>
  </si>
  <si>
    <t>https://www.jotform.com/uploads/macarewecare/222927978372067/6133327466015203529/6133327466015203529_signature_31.png</t>
  </si>
  <si>
    <t xml:space="preserve">ASSAY: Xpert BCR-ABL Ultra, COUNT: 149
ASSAY: Xpert HPV, COUNT: 10
ASSAY: Xpert MTB/RIF Ultra, COUNT: 5862
</t>
  </si>
  <si>
    <t>https://www.jotform.com/uploads/macarewecare/222927978372067/6133326636018501250/6133326636018501250_signature_28.png</t>
  </si>
  <si>
    <t>https://www.jotform.com/uploads/macarewecare/222927978372067/6133326636018501250/6133326636018501250_signature_31.png</t>
  </si>
  <si>
    <t>Piñan, Zamboanga del norte</t>
  </si>
  <si>
    <t xml:space="preserve">ASSAY: Xpert MTB/RIF Ultra, COUNT: 77
</t>
  </si>
  <si>
    <t>All modules undergone Xpertcheck calibration and Preventive Maintenence</t>
  </si>
  <si>
    <t>All modules passed the calibration and are available</t>
  </si>
  <si>
    <t>https://www.jotform.com/uploads/macarewecare/222927978372067/6133301714426446557/6133301714426446557_signature_28.png</t>
  </si>
  <si>
    <t>Ivanna G. Marchan</t>
  </si>
  <si>
    <t>https://www.jotform.com/uploads/macarewecare/222927978372067/6133301714426446557/6133301714426446557_signature_31.png</t>
  </si>
  <si>
    <t>https://www.jotform.com/uploads/macarewecare/222927978372067/6133297010946817597/6133297010946817597_signature_28.png</t>
  </si>
  <si>
    <t>https://www.jotform.com/uploads/macarewecare/222927978372067/6133297010946817597/6133297010946817597_signature_31.png</t>
  </si>
  <si>
    <t xml:space="preserve">ASSAY: Xpert MTB/RIF Ultra, COUNT: 206
ASSAY: Xpert HIV-1 Viral Load, COUNT: 2
ASSAY: Xpress SARS-CoV-2_Flu_RSV plus, COUNT: 45
</t>
  </si>
  <si>
    <t>https://www.jotform.com/uploads/macarewecare/222927978372067/6133295870941961455/6133295870941961455_signature_28.png</t>
  </si>
  <si>
    <t>https://www.jotform.com/uploads/macarewecare/222927978372067/6133295870941961455/6133295870941961455_signature_31.png</t>
  </si>
  <si>
    <t>Cagayan De Oro City Health Office</t>
  </si>
  <si>
    <t>CHO TB-Dots, Cagayan de Oro</t>
  </si>
  <si>
    <t>Module C2 found Service Required thru XPC Calibration</t>
  </si>
  <si>
    <t>Module Replacement and PM</t>
  </si>
  <si>
    <t>Replacing module C2 with SN: 791261 to SN: 806222
Preventive Maintenance</t>
  </si>
  <si>
    <t>https://www.jotform.com/uploads/macarewecare/222927978372067/6133278585651846525/6133278585651846525_signature_28.png</t>
  </si>
  <si>
    <t>Charisse Galacio</t>
  </si>
  <si>
    <t>https://www.jotform.com/uploads/macarewecare/222927978372067/6133278585651846525/6133278585651846525_signature_31.png</t>
  </si>
  <si>
    <t xml:space="preserve">ASSAY: Xpert MTB/RIF Ultra, COUNT: 1146
</t>
  </si>
  <si>
    <t>https://www.jotform.com/uploads/macarewecare/222927978372067/6133236774539937529/6133236774539937529_signature_28.png</t>
  </si>
  <si>
    <t>https://www.jotform.com/uploads/macarewecare/222927978372067/6133236774539937529/6133236774539937529_signature_31.png</t>
  </si>
  <si>
    <t>Brgy. Carmen, Cagayan de Oro City</t>
  </si>
  <si>
    <t>murielmelchor11@gmail.com</t>
  </si>
  <si>
    <t>Reported Module B2 found Temperature Errors</t>
  </si>
  <si>
    <t>Module Replacement and Maintenance</t>
  </si>
  <si>
    <t>Replacing Module B2 with SN: 210021428 to SN: 885917
Preventive Maintenance</t>
  </si>
  <si>
    <t>https://www.jotform.com/uploads/macarewecare/222927978372067/6133218015656309194/6133218015656309194_signature_28.png</t>
  </si>
  <si>
    <t>Muriel G. Melchor</t>
  </si>
  <si>
    <t>https://www.jotform.com/uploads/macarewecare/222927978372067/6133218015656309194/6133218015656309194_signature_31.png</t>
  </si>
  <si>
    <t>Kalipay, Masbate City</t>
  </si>
  <si>
    <t>Juedevan.ancajas14@gmail.com</t>
  </si>
  <si>
    <t xml:space="preserve">ASSAY: Xpert MTB/RIF Ultra, COUNT: 148
ASSAY: Xpert MTB-XDR, COUNT: 2
</t>
  </si>
  <si>
    <t>XpertCheck Result:
   A1/210121669 - passed
   A2/210122064 - passed
   A3/210117513 - passed
   A4/210120091 - passed
Cleaned cartridge bays, plunger rod, icore
Generate Data</t>
  </si>
  <si>
    <t>https://www.jotform.com/uploads/macarewecare/222927978372067/6133196701349502929/6133196701349502929_signature_28.png</t>
  </si>
  <si>
    <t>JUEDE VAN ANCAJAS</t>
  </si>
  <si>
    <t>https://www.jotform.com/uploads/macarewecare/222927978372067/6133196701349502929/6133196701349502929_signature_31.png</t>
  </si>
  <si>
    <t>gfmselga@protonmail.com</t>
  </si>
  <si>
    <t>Performed Preventive Maintenance - cleaned optics, plunger rods, module bays, filter; archive tests.</t>
  </si>
  <si>
    <t>https://www.jotform.com/uploads/macarewecare/222927978372067/6132581873429248383/6132581873429248383_signature_28.png</t>
  </si>
  <si>
    <t>https://www.jotform.com/uploads/macarewecare/222927978372067/6132581873429248383/6132581873429248383_signature_31.png</t>
  </si>
  <si>
    <t xml:space="preserve">ASSAY: Xpert HPV, COUNT: 4
ASSAY: Xpert MTB/RIF Ultra, COUNT: 2361
ASSAY: Xpert HIV-1 Viral Load, COUNT: 205
</t>
  </si>
  <si>
    <t>-Preventive Maintenance; cartridge bay, fan filter, plunger rod, optic slot
-Archive test results
-Backup database</t>
  </si>
  <si>
    <t>https://www.jotform.com/uploads/macarewecare/222927978372067/6132482789945546221/6132482789945546221_signature_28.png</t>
  </si>
  <si>
    <t>https://www.jotform.com/uploads/macarewecare/222927978372067/6132482789945546221/6132482789945546221_signature_31.png</t>
  </si>
  <si>
    <t xml:space="preserve">ASSAY: Xpert MTB/RIF Ultra, COUNT: 125
</t>
  </si>
  <si>
    <t>Preventive Maintenence and Xpertcheck calibration for all four modules</t>
  </si>
  <si>
    <t>All modules are available. All modules passed Xpertcheck calibration</t>
  </si>
  <si>
    <t>All module are available</t>
  </si>
  <si>
    <t>https://www.jotform.com/uploads/macarewecare/222927978372067/6132447769518117679/6132447769518117679_signature_28.png</t>
  </si>
  <si>
    <t>https://www.jotform.com/uploads/macarewecare/222927978372067/6132447769518117679/6132447769518117679_signature_31.png</t>
  </si>
  <si>
    <t>Unit for additional troubleshooting by Cepheid</t>
  </si>
  <si>
    <t>- checked if B3's module door is completely closed during procedure
- checked if there are external light falling directly onto the icore of the module
- generated reports</t>
  </si>
  <si>
    <t>Unit is operational
Previous tests done in module B3</t>
  </si>
  <si>
    <t>https://www.jotform.com/uploads/macarewecare/222927978372067/6132423335336482771/6132423335336482771_signature_28.png</t>
  </si>
  <si>
    <t>https://www.jotform.com/uploads/macarewecare/222927978372067/6132423335336482771/6132423335336482771_signature_31.png</t>
  </si>
  <si>
    <t>bryanmichaelbalunes@gmail.com</t>
  </si>
  <si>
    <t>https://www.jotform.com/uploads/macarewecare/222927978372067/6132320681128989145/6132320681128989145_signature_28.png</t>
  </si>
  <si>
    <t>Bryan Michael Balnues</t>
  </si>
  <si>
    <t>https://www.jotform.com/uploads/macarewecare/222927978372067/6132320681128989145/6132320681128989145_signature_31.png</t>
  </si>
  <si>
    <t>Preventive maintenance - cleaned optics, plunger rods, module bays, filter.</t>
  </si>
  <si>
    <t>Performed Xpertcheck in all 4 modules</t>
  </si>
  <si>
    <t>all 4 modules passed Xpertcheck; all 4 modules are operational.</t>
  </si>
  <si>
    <t>https://www.jotform.com/uploads/macarewecare/222927978372067/6131880583425494201/6131880583425494201_signature_28.png</t>
  </si>
  <si>
    <t>Portia Cabanting, RMT</t>
  </si>
  <si>
    <t>https://www.jotform.com/uploads/macarewecare/222927978372067/6131880583425494201/6131880583425494201_signature_31.png</t>
  </si>
  <si>
    <t>Unit for maintenance
ACDA pump error</t>
  </si>
  <si>
    <t>Cleaned ACDA rotor roller pump</t>
  </si>
  <si>
    <t>Unit is operational
Unit is under observation
If ACDA error occurs, rubbers are subject for replacement</t>
  </si>
  <si>
    <t>https://www.jotform.com/uploads/macarewecare/222927978372067/6131628513618740097/6131628513618740097_signature_28.png</t>
  </si>
  <si>
    <t>https://www.jotform.com/uploads/macarewecare/222927978372067/6131628513618740097/6131628513618740097_signature_31.png</t>
  </si>
  <si>
    <t>P. 16 Poblacion  Makilala, North Cotabato</t>
  </si>
  <si>
    <t xml:space="preserve">ASSAY: Xpert MTB/RIF Ultra, COUNT: 211
</t>
  </si>
  <si>
    <t>Clean Surface Area, Cartridge Bay, Plunger Rod, Fan Filters and Icore Lenses
Generate IQR, Assay Stat and System Log
Install XPC and run XPC on four modules</t>
  </si>
  <si>
    <t>All Modules Passed the Calibration,Unit is Operational</t>
  </si>
  <si>
    <t>DR 12483</t>
  </si>
  <si>
    <t>https://www.jotform.com/uploads/macarewecare/222927978372067/6131628446942760505/6131628446942760505_signature_28.png</t>
  </si>
  <si>
    <t>Shayne S. Belandres</t>
  </si>
  <si>
    <t>https://www.jotform.com/uploads/macarewecare/222927978372067/6131628446942760505/6131628446942760505_signature_31.png</t>
  </si>
  <si>
    <t>Candon City</t>
  </si>
  <si>
    <t xml:space="preserve">ASSAY: Xpert MTB/RIF Ultra, COUNT: 637
</t>
  </si>
  <si>
    <t>GXIV-4-D-6C 27</t>
  </si>
  <si>
    <t>https://www.jotform.com/uploads/macarewecare/222927978372067/6131617990943818294/6131617990943818294_signature_28.png</t>
  </si>
  <si>
    <t>https://www.jotform.com/uploads/macarewecare/222927978372067/6131617990943818294/6131617990943818294_signature_31.png</t>
  </si>
  <si>
    <t xml:space="preserve">ASSAY: Xpert MTB/RIF Ultra, COUNT: 156
</t>
  </si>
  <si>
    <t>For Preventive Maintenance and Calibration</t>
  </si>
  <si>
    <t>Performed Preventive Maintenance and Calibration</t>
  </si>
  <si>
    <t>Unit is Fully Operational 
All Modules Passed XpertCheck</t>
  </si>
  <si>
    <t>DR 12489</t>
  </si>
  <si>
    <t>https://www.jotform.com/uploads/macarewecare/222927978372067/6131616970948586233/6131616970948586233_signature_28.png</t>
  </si>
  <si>
    <t>Jomar De Guzman Caberto</t>
  </si>
  <si>
    <t>https://www.jotform.com/uploads/macarewecare/222927978372067/6131616970948586233/6131616970948586233_signature_31.png</t>
  </si>
  <si>
    <t>https://www.jotform.com/uploads/macarewecare/222927978372067/6131614960941981132/6131614960941981132_signature_28.png</t>
  </si>
  <si>
    <t>https://www.jotform.com/uploads/macarewecare/222927978372067/6131614960941981132/6131614960941981132_signature_31.png</t>
  </si>
  <si>
    <t>Banguer, Abra</t>
  </si>
  <si>
    <t xml:space="preserve">ASSAY: Xpert MTB/RIF Ultra, COUNT: 577
</t>
  </si>
  <si>
    <t>DR 12500</t>
  </si>
  <si>
    <t>https://www.jotform.com/uploads/macarewecare/222927978372067/6131612330946618910/6131612330946618910_signature_28.png</t>
  </si>
  <si>
    <t>https://www.jotform.com/uploads/macarewecare/222927978372067/6131612330946618910/6131612330946618910_signature_31.png</t>
  </si>
  <si>
    <t>Zone 1, Buklod, San Jose</t>
  </si>
  <si>
    <t>katrinamartirez36@gmail.com</t>
  </si>
  <si>
    <t xml:space="preserve">ASSAY: Xpert MTB/RIF Ultra, COUNT: 2111
</t>
  </si>
  <si>
    <t>UPS defective
Damaged fan filter</t>
  </si>
  <si>
    <t>Replaced UPS (AT1000)
Replaced fan filter 
Cleaned cartridge bays, plunger rod 
Generate Data</t>
  </si>
  <si>
    <t>Replaced UPS 
Performed Preventive Maintenance 
Replaced fan filter</t>
  </si>
  <si>
    <t>https://www.jotform.com/uploads/macarewecare/222927978372067/6131610709124279589/6131610709124279589_signature_28.png</t>
  </si>
  <si>
    <t>Maria Katrina P. Martirez</t>
  </si>
  <si>
    <t>https://www.jotform.com/uploads/macarewecare/222927978372067/6131610709124279589/6131610709124279589_signature_31.png</t>
  </si>
  <si>
    <t>Batac Ilocos Norte</t>
  </si>
  <si>
    <t>G 7716</t>
  </si>
  <si>
    <t>https://www.jotform.com/uploads/macarewecare/222927978372067/6131607770947278631/6131607770947278631_signature_28.png</t>
  </si>
  <si>
    <t>https://www.jotform.com/uploads/macarewecare/222927978372067/6131607770947278631/6131607770947278631_signature_31.png</t>
  </si>
  <si>
    <t xml:space="preserve">ASSAY: Xpert MTB/RIF Ultra, COUNT: 2163
</t>
  </si>
  <si>
    <t>- Cleaned Cartridge Bays, Plunger Rods and I-CORE 
- Replaced Defective Module B2 651808 &gt;&gt;&gt; 776635
- Generated Reports</t>
  </si>
  <si>
    <t>- Unit is Partially Operational 
- Module 1 has already been Reported</t>
  </si>
  <si>
    <t>GeneXpert Module 776635</t>
  </si>
  <si>
    <t>DR 12440</t>
  </si>
  <si>
    <t>https://www.jotform.com/uploads/macarewecare/222927978372067/6131606850947689692/6131606850947689692_signature_28.png</t>
  </si>
  <si>
    <t>https://www.jotform.com/uploads/macarewecare/222927978372067/6131606850947689692/6131606850947689692_signature_31.png</t>
  </si>
  <si>
    <t>Benguet Provincial Health</t>
  </si>
  <si>
    <t xml:space="preserve">ASSAY: Xpert MTB/RIF Ultra, COUNT: 837
</t>
  </si>
  <si>
    <t>DR 12495</t>
  </si>
  <si>
    <t>https://www.jotform.com/uploads/macarewecare/222927978372067/6131603080949495331/6131603080949495331_signature_28.png</t>
  </si>
  <si>
    <t>https://www.jotform.com/uploads/macarewecare/222927978372067/6131603080949495331/6131603080949495331_signature_31.png</t>
  </si>
  <si>
    <t xml:space="preserve">ASSAY: Xpert MTB/RIF Ultra, COUNT: 1422
</t>
  </si>
  <si>
    <t>- Cleaned Cartridge Bays, Plunger Rods and I-CORE 
- Replaced Defective Module 808255 &gt;&gt;&gt;646204
- Generated Reports</t>
  </si>
  <si>
    <t>GeneXpert Module 646204</t>
  </si>
  <si>
    <t>DR 12534</t>
  </si>
  <si>
    <t>https://www.jotform.com/uploads/macarewecare/222927978372067/6131601980942114176/6131601980942114176_signature_28.png</t>
  </si>
  <si>
    <t>https://www.jotform.com/uploads/macarewecare/222927978372067/6131601980942114176/6131601980942114176_signature_31.png</t>
  </si>
  <si>
    <t>Module B2 found Service Required thru XPC Calibration</t>
  </si>
  <si>
    <t>Replacing B2 with SN: 862892 to SN: 634361
Preventive Maintenance</t>
  </si>
  <si>
    <t>https://www.jotform.com/uploads/macarewecare/222927978372067/6131571830031011214/6131571830031011214_signature_28.png</t>
  </si>
  <si>
    <t>https://www.jotform.com/uploads/macarewecare/222927978372067/6131571830031011214/6131571830031011214_signature_31.png</t>
  </si>
  <si>
    <t>Xpertcheck.
Preventive Maontenance.</t>
  </si>
  <si>
    <t>Cleaned Cartridge Bay, Plunger Rod and Icore Optics.
Checked Filter if Clogged.
Performed Self-test.
Performed XpertCheck.
Checked System's Functionality.
Genrate Reports.</t>
  </si>
  <si>
    <t>All Modules Passed in XpertCheck.</t>
  </si>
  <si>
    <t>DR 12496</t>
  </si>
  <si>
    <t>https://www.jotform.com/uploads/macarewecare/222927978372067/6131519583612658022/6131519583612658022_signature_28.png</t>
  </si>
  <si>
    <t>https://www.jotform.com/uploads/macarewecare/222927978372067/6131519583612658022/6131519583612658022_signature_31.png</t>
  </si>
  <si>
    <t xml:space="preserve">ASSAY: Xpert MTB/RIF Ultra, COUNT: 1264
</t>
  </si>
  <si>
    <t>Monitor Problem.
Unit is due for Maintenance.</t>
  </si>
  <si>
    <t>Cleaned Cartridge Bay, Plunger Rod and Filter.
Checked/Reset Monitor Connections.
Performed Self-test.
Checked System's Functionality.
Generate Reports.</t>
  </si>
  <si>
    <t>Monitor is Defective.
All Modules are Operational.</t>
  </si>
  <si>
    <t>https://www.jotform.com/uploads/macarewecare/222927978372067/6131519583615265004/6131519583615265004_signature_28.png</t>
  </si>
  <si>
    <t>Hazel Tabucol</t>
  </si>
  <si>
    <t>https://www.jotform.com/uploads/macarewecare/222927978372067/6131519583615265004/6131519583615265004_signature_31.png</t>
  </si>
  <si>
    <t>Tayuman St, Manila</t>
  </si>
  <si>
    <t>Relocate</t>
  </si>
  <si>
    <t>fabella.mollabpcr@gmail.com</t>
  </si>
  <si>
    <t xml:space="preserve">ASSAY: Xpert HPV, COUNT: 130
ASSAY: Xpert MTB/RIF Ultra, COUNT: 69
ASSAY: Xpress SARS-CoV-2_Flu_RSV plus, COUNT: 591
</t>
  </si>
  <si>
    <t>GX System for Relocation.</t>
  </si>
  <si>
    <t>Checked GeneXpert Functionality.
Performed Self-test.
Relocate GeneXpert From Molecular Lab to Main Lab.
Generate Reports.</t>
  </si>
  <si>
    <t>GX System is Operational.</t>
  </si>
  <si>
    <t>https://www.jotform.com/uploads/macarewecare/222927978372067/6131519583618452188/6131519583618452188_signature_28.png</t>
  </si>
  <si>
    <t>https://www.jotform.com/uploads/macarewecare/222927978372067/6131519583618452188/6131519583618452188_signature_31.png</t>
  </si>
  <si>
    <t>MAINTENANCE
Software Upgrade</t>
  </si>
  <si>
    <t>Unit si due for Maintenance.
Software Compatibility with the Assay.</t>
  </si>
  <si>
    <t>Cleaned Cartridge Bay, Plunger Rod, and Icore Optics.
Checked Filter if Clogged.
Performed Self-test.
Upgrade GX Software from 4.8 to 6.1.
Generate Reports.</t>
  </si>
  <si>
    <t>1 Modules is Disabled. 3 are Operational.</t>
  </si>
  <si>
    <t>https://www.jotform.com/uploads/macarewecare/222927978372067/6131519583619125809/6131519583619125809_signature_28.png</t>
  </si>
  <si>
    <t>Donn Dave B. Clerigo</t>
  </si>
  <si>
    <t>https://www.jotform.com/uploads/macarewecare/222927978372067/6131519583619125809/6131519583619125809_signature_31.png</t>
  </si>
  <si>
    <t>biomedreports@st.lukes.com.ph</t>
  </si>
  <si>
    <t>https://www.jotform.com/uploads/macarewecare/222927978372067/6131422153611414635/6131422153611414635_signature_28.png</t>
  </si>
  <si>
    <t>https://www.jotform.com/uploads/macarewecare/222927978372067/6131422153611414635/6131422153611414635_signature_31.png</t>
  </si>
  <si>
    <t xml:space="preserve">ASSAY: Xpert BCR-ABL Ultra, COUNT: 15
ASSAY: Xpert CT/NG, COUNT: 100
ASSAY: Xpert HPV, COUNT: 123
ASSAY: Xpert MTB/RIF Ultra, COUNT: 224
ASSAY: Xpert HCV VL, COUNT: 3
ASSAY: Xpert HIV-1 Viral Load, COUNT: 62
</t>
  </si>
  <si>
    <t>Unit is operational. Module A3/866793 not operational, reported already.</t>
  </si>
  <si>
    <t>https://www.jotform.com/uploads/macarewecare/222927978372067/6131422153611520228/6131422153611520228_signature_28.png</t>
  </si>
  <si>
    <t>Vincent Raquiza-Dy</t>
  </si>
  <si>
    <t>https://www.jotform.com/uploads/macarewecare/222927978372067/6131422153611520228/6131422153611520228_signature_31.png</t>
  </si>
  <si>
    <t xml:space="preserve">ASSAY: Xpert MTB/RIF Ultra, COUNT: 4
ASSAY: Xpert MTB-XDR, COUNT: 3
ASSAY: Xpert HIV-1 Viral Load, COUNT: 166
</t>
  </si>
  <si>
    <t>For XpertCheck 
No black ink when printing</t>
  </si>
  <si>
    <t>Performed maintenance 
Run XpertCheck 
Cleaned ink cartridge</t>
  </si>
  <si>
    <t>Performed maintenance 
Cleaned:
-cartridge bay
-plunger rod 
-icore
-filter
Run XpertCheck 
Generated reports 
Checked printer
Cleaned ink cartridge 
Print test page</t>
  </si>
  <si>
    <t>Unit is operational. All modules operational. All modules passed. Printer ok.</t>
  </si>
  <si>
    <t>DR# 12494</t>
  </si>
  <si>
    <t>https://www.jotform.com/uploads/macarewecare/222927978372067/6131422153613466167/6131422153613466167_signature_28.png</t>
  </si>
  <si>
    <t>https://www.jotform.com/uploads/macarewecare/222927978372067/6131422153613466167/6131422153613466167_signature_31.png</t>
  </si>
  <si>
    <t xml:space="preserve">ASSAY: Xpert BCR-ABL Ultra, COUNT: 107
ASSAY: Xpert CT/NG, COUNT: 405
ASSAY: Xpert HBV VL, COUNT: 22
ASSAY: Xpert HPV, COUNT: 527
ASSAY: Xpert MTB/RIF Ultra, COUNT: 1245
ASSAY: Xpert MTB-XDR, COUNT: 1
ASSAY: Xpert HCV VL, COUNT: 26
ASSAY: Xpert HIV-1 Viral Load, COUNT: 128
</t>
  </si>
  <si>
    <t>Performed maintenance 
Cleaned:
-cartridge bay 
-plunger rod
-icore
-filter
Generated reports</t>
  </si>
  <si>
    <t>https://www.jotform.com/uploads/macarewecare/222927978372067/6131422153617800612/6131422153617800612_signature_28.png</t>
  </si>
  <si>
    <t>https://www.jotform.com/uploads/macarewecare/222927978372067/6131422153617800612/6131422153617800612_signature_31.png</t>
  </si>
  <si>
    <t>krisna.morante@innovationsch.org</t>
  </si>
  <si>
    <t xml:space="preserve">ASSAY: Xpert MTB/RIF Ultra, COUNT: 1616
</t>
  </si>
  <si>
    <t>https://www.jotform.com/uploads/macarewecare/222927978372067/6131422153613235852/6131422153613235852_signature_28.png</t>
  </si>
  <si>
    <t>Krisna Morante</t>
  </si>
  <si>
    <t>https://www.jotform.com/uploads/macarewecare/222927978372067/6131422153613235852/6131422153613235852_signature_31.png</t>
  </si>
  <si>
    <t xml:space="preserve">ASSAY: Xpert MTB/RIF Ultra, COUNT: 1354
</t>
  </si>
  <si>
    <t>Monitor problem</t>
  </si>
  <si>
    <t>Replace defective monitor SN:CNK9430B0W with monitor SN:CN4801057K</t>
  </si>
  <si>
    <t>Genexpert monitor repair</t>
  </si>
  <si>
    <t>hp monitor SN: CN4801057K</t>
  </si>
  <si>
    <t>DR#: 12551</t>
  </si>
  <si>
    <t>https://www.jotform.com/uploads/macarewecare/222927978372067/6130976496865509112/6130976496865509112_signature_28.png</t>
  </si>
  <si>
    <t>https://www.jotform.com/uploads/macarewecare/222927978372067/6130976496865509112/6130976496865509112_signature_31.png</t>
  </si>
  <si>
    <t xml:space="preserve">ASSAY: Xpert MTB/RIF Ultra, COUNT: 506
ASSAY: Xpert MTB/RIF Ultra, COUNT: 506
</t>
  </si>
  <si>
    <t>Perform Genexpert annual Xpertcheck Calibration 
Perform Genexpert Cleaning and maintenance 
MTB-XDR assays installation 
Checking of errors 
Errors/problem reporting 
Data collection</t>
  </si>
  <si>
    <t>Genexpert Xpertcheck Calibration
Genexpert Preventive maintenance</t>
  </si>
  <si>
    <t>4 operational modules 
Calibration Results:
All modules passed</t>
  </si>
  <si>
    <t>Xpertcheck CE-5 cartridge 
Lot #: 1001075092</t>
  </si>
  <si>
    <t>DR #: 12484</t>
  </si>
  <si>
    <t>https://www.jotform.com/uploads/macarewecare/222927978372067/6130976496868463908/6130976496868463908_signature_28.png</t>
  </si>
  <si>
    <t>https://www.jotform.com/uploads/macarewecare/222927978372067/6130976496868463908/6130976496868463908_signature_31.png</t>
  </si>
  <si>
    <t>PRC Port</t>
  </si>
  <si>
    <t>Loose centrifuge cover lid screw and was came off during platelet pricedure.</t>
  </si>
  <si>
    <t>Reinstalled and tighten the centrifuge cover lid  screw.
Run funtionality test.</t>
  </si>
  <si>
    <t>Performed troubleshooting on centrifuge assembly.
Reinstalled and tighten the cebtrifuge cover lid screw..
Performed functionlity test and simulation run.</t>
  </si>
  <si>
    <t>Unit is operational..</t>
  </si>
  <si>
    <t>https://www.jotform.com/uploads/macarewecare/222927978372067/6130601572128884353/6130601572128884353_signature_28.png</t>
  </si>
  <si>
    <t>https://www.jotform.com/uploads/macarewecare/222927978372067/6130601572128884353/6130601572128884353_signature_31.png</t>
  </si>
  <si>
    <t xml:space="preserve">ASSAY: Xpert MTB/RIF Ultra, COUNT: 246
ASSAY: Xpert SARS-CoV-2, COUNT: 451
ASSAY: Xpert HIV-1 Viral Load, COUNT: 83
ASSAY: Xpert SARS-CoV-2, COUNT: 2
</t>
  </si>
  <si>
    <t>Due for maintenance B1 879215,B4 780860 reported already failed xpertcheck
B3 602135 for reporting</t>
  </si>
  <si>
    <t>B1,B4 disabled
B2 operational
B3 enable to gathered additional data</t>
  </si>
  <si>
    <t>https://www.jotform.com/uploads/macarewecare/222927978372067/6130176465533126459/6130176465533126459_signature_28.png</t>
  </si>
  <si>
    <t>https://www.jotform.com/uploads/macarewecare/222927978372067/6130176465533126459/6130176465533126459_signature_31.png</t>
  </si>
  <si>
    <t xml:space="preserve">ASSAY: Xpert MTB/RIF Ultra, COUNT: 653
ASSAY: Others, COUNT: 6
ASSAY: Xpert SARS-CoV-2, COUNT: 861
</t>
  </si>
  <si>
    <t>Due for maintenance
A2 666159,B2 625297,C2 639257 failed xpertcheck. Reported already</t>
  </si>
  <si>
    <t>A2 disabled due to ultrasonic error</t>
  </si>
  <si>
    <t>https://www.jotform.com/uploads/macarewecare/222927978372067/6130175995531157028/6130175995531157028_signature_28.png</t>
  </si>
  <si>
    <t>https://www.jotform.com/uploads/macarewecare/222927978372067/6130175995531157028/6130175995531157028_signature_31.png</t>
  </si>
  <si>
    <t>Module B2/784239 failed latest Xpertcheck.</t>
  </si>
  <si>
    <t>- Replaced module B2 with new module SN 676631.</t>
  </si>
  <si>
    <t>Genexpert Module 6c</t>
  </si>
  <si>
    <t>https://www.jotform.com/uploads/macarewecare/222927978372067/6129110033424594402/6129110033424594402_signature_28.png</t>
  </si>
  <si>
    <t>Lemuel T.Quirit</t>
  </si>
  <si>
    <t>https://www.jotform.com/uploads/macarewecare/222927978372067/6129110033424594402/6129110033424594402_signature_31.png</t>
  </si>
  <si>
    <t>Pontevedra, Negros Occidental</t>
  </si>
  <si>
    <t>pontevedra.laboratory@gmail.com</t>
  </si>
  <si>
    <t xml:space="preserve">ASSAY: Xpert MTB/RIF Ultra, COUNT: 706
</t>
  </si>
  <si>
    <t>Defective module B2 with SN 862258</t>
  </si>
  <si>
    <t>Preventive maintenance - cleaned optics, filter, module bay areas, plunger rods, archive tests.</t>
  </si>
  <si>
    <t>- Replaced module B2 with new module SN 891156
- Provide 2 new filters</t>
  </si>
  <si>
    <t>900-0491RS- Genexpert module 6c</t>
  </si>
  <si>
    <t>https://www.jotform.com/uploads/macarewecare/222927978372067/6129032786219878549/6129032786219878549_signature_28.png</t>
  </si>
  <si>
    <t>Love Joy Sulleza</t>
  </si>
  <si>
    <t>https://www.jotform.com/uploads/macarewecare/222927978372067/6129032786219878549/6129032786219878549_signature_31.png</t>
  </si>
  <si>
    <t>Pob. Padre Burgos</t>
  </si>
  <si>
    <t xml:space="preserve">ASSAY: Xpert MTB/RIF Ultra, COUNT: 223
</t>
  </si>
  <si>
    <t>1 box Xpertcheck kit</t>
  </si>
  <si>
    <t>https://www.jotform.com/uploads/macarewecare/222927978372067/6129023437892744899/6129023437892744899_signature_28.png</t>
  </si>
  <si>
    <t>Keisha Elezze Batalon</t>
  </si>
  <si>
    <t>https://www.jotform.com/uploads/macarewecare/222927978372067/6129023437892744899/6129023437892744899_signature_31.png</t>
  </si>
  <si>
    <t>https://www.jotform.com/uploads/macarewecare/222927978372067/6129022657899725793/6129022657899725793_signature_28.png</t>
  </si>
  <si>
    <t>https://www.jotform.com/uploads/macarewecare/222927978372067/6129022657899725793/6129022657899725793_signature_31.png</t>
  </si>
  <si>
    <t>Zamboanga City Medical Centre</t>
  </si>
  <si>
    <t>Zamboanga City, Zamboanga del sur</t>
  </si>
  <si>
    <t>cabayacruzdela@gmail.com</t>
  </si>
  <si>
    <t>Installation of GX 4(10c) and conducted genexpert self test.</t>
  </si>
  <si>
    <t>GXIV-4-D-10c, GX-DESKTOP, GX-MONITOR, FC-IT-PRINTER, FC-IT-UPS-ACCU1K, SVC-1KVA</t>
  </si>
  <si>
    <t>https://www.jotform.com/uploads/macarewecare/222927978372067/6128975325213227534/6128975325213227534_signature_28.png</t>
  </si>
  <si>
    <t>Dela P. Cabayacruz</t>
  </si>
  <si>
    <t>https://www.jotform.com/uploads/macarewecare/222927978372067/6128975325213227534/6128975325213227534_signature_31.png</t>
  </si>
  <si>
    <t>Malay, Aklan</t>
  </si>
  <si>
    <t xml:space="preserve">ASSAY: Xpert MTB/RIF Ultra, COUNT: 1127
ASSAY: Xpert HIV-1 Viral Load, COUNT: 6
</t>
  </si>
  <si>
    <t>-Perform preventive maintenance; filter, catridge bay, plunger rod, optic slot</t>
  </si>
  <si>
    <t>Module B3 for reporting. Other modules is functional.</t>
  </si>
  <si>
    <t>https://www.jotform.com/uploads/macarewecare/222927978372067/6128927770361529049/6128927770361529049_signature_28.png</t>
  </si>
  <si>
    <t>https://www.jotform.com/uploads/macarewecare/222927978372067/6128927770361529049/6128927770361529049_signature_31.png</t>
  </si>
  <si>
    <t>J.P Laurel Avenue Bajada, Davao City</t>
  </si>
  <si>
    <t>For return /turnover</t>
  </si>
  <si>
    <t>15H034</t>
  </si>
  <si>
    <t>For return of Centrifuge Assembly Assy</t>
  </si>
  <si>
    <t>Return and turnover the Defective Centrifuge Assembly Assy with SN:5014</t>
  </si>
  <si>
    <t>Successfully return the defective Centrifuge Assembly Assy</t>
  </si>
  <si>
    <t>39627-00 Centrifuge Assembly Assy</t>
  </si>
  <si>
    <t>https://www.jotform.com/uploads/macarewecare/222927978372067/6128423877818904893/6128423877818904893_signature_28.png</t>
  </si>
  <si>
    <t>DONNA MAE TONG-AN</t>
  </si>
  <si>
    <t>https://www.jotform.com/uploads/macarewecare/222927978372067/6128423877818904893/6128423877818904893_signature_31.png</t>
  </si>
  <si>
    <t>Manila Med - Medical Center Manila</t>
  </si>
  <si>
    <t>Gian Paolo Magnaye</t>
  </si>
  <si>
    <t>gpdmagnaye30@gmail.com</t>
  </si>
  <si>
    <t xml:space="preserve">ASSAY: Xpert MTB/RIF Ultra, COUNT: 1255
</t>
  </si>
  <si>
    <t>GX IV 6C-D</t>
  </si>
  <si>
    <t>Unit due for maintenance</t>
  </si>
  <si>
    <t>Performed preventive maintenance
All modulea passed reliability test
Generated report</t>
  </si>
  <si>
    <t>Checked and cleaned cartridge bays, plunger rod, icore slot and filter
Performed reliability test
Archived results</t>
  </si>
  <si>
    <t>Unit is operational
All modules working</t>
  </si>
  <si>
    <t>https://www.jotform.com/uploads/macarewecare/222927978372067/6128239835016167167/6128239835016167167_signature_28.png</t>
  </si>
  <si>
    <t>Frances Velarde</t>
  </si>
  <si>
    <t>https://www.jotform.com/uploads/macarewecare/222927978372067/6128239835016167167/6128239835016167167_signature_31.png</t>
  </si>
  <si>
    <t>DR. CATALINO GALLEGO NAVA PROVINCIAL HOSPITAL</t>
  </si>
  <si>
    <t>Jordan , Guimaras</t>
  </si>
  <si>
    <t>COLLECT IQR AND CALIBRATION DATA</t>
  </si>
  <si>
    <t>XPERTCHECK CE-IVD 5 Cartridges/kit</t>
  </si>
  <si>
    <t>https://www.jotform.com/uploads/macarewecare/222927978372067/6128212428026619821/6128212428026619821_signature_28.png</t>
  </si>
  <si>
    <t>Glaed Joy Joplo , RMT</t>
  </si>
  <si>
    <t>https://www.jotform.com/uploads/macarewecare/222927978372067/6128212428026619821/6128212428026619821_signature_31.png</t>
  </si>
  <si>
    <t>Poblacion, Mambajao</t>
  </si>
  <si>
    <t>Preventive Maintenance
XpertCheck Calibration</t>
  </si>
  <si>
    <t>All modules passed in XPC</t>
  </si>
  <si>
    <t>XpertCheck, CE IVD 5 Cartridges</t>
  </si>
  <si>
    <t>https://www.jotform.com/uploads/macarewecare/222927978372067/6128191810919126907/6128191810919126907_signature_28.png</t>
  </si>
  <si>
    <t>Mirasol B. Flores</t>
  </si>
  <si>
    <t>https://www.jotform.com/uploads/macarewecare/222927978372067/6128191810919126907/6128191810919126907_signature_31.png</t>
  </si>
  <si>
    <t>FEU - Dr. Nicanor Reyes Medical Foundation</t>
  </si>
  <si>
    <t>Regalado Avenue, Novaliches, Quezon City</t>
  </si>
  <si>
    <t xml:space="preserve">ASSAY: Xpert HPV, COUNT: 47
ASSAY: Xpert MTB/RIF Ultra, COUNT: 404
</t>
  </si>
  <si>
    <t>Performed preventive maintenance
All modules passed reliability test
Generated report</t>
  </si>
  <si>
    <t>https://www.jotform.com/uploads/macarewecare/222927978372067/6128155225014647487/6128155225014647487_signature_28.png</t>
  </si>
  <si>
    <t>https://www.jotform.com/uploads/macarewecare/222927978372067/6128155225014647487/6128155225014647487_signature_31.png</t>
  </si>
  <si>
    <t>Poblacion, Maco, Davao de Oro</t>
  </si>
  <si>
    <t>Module B3 encounter multiple temperature related errors
Due for Preventive Maintenance</t>
  </si>
  <si>
    <t>Replaced the Defective Module SN:861093 with New Module SN:866293
Clean Surface Area, Cartridge Bay, Plunger Rod, Fan Filters and Icore Lenses
Generate IQR, Assay Stat and System Log</t>
  </si>
  <si>
    <t>GeneXper Module 6C</t>
  </si>
  <si>
    <t>https://www.jotform.com/uploads/macarewecare/222927978372067/6128149044219884534/6128149044219884534_signature_28.png</t>
  </si>
  <si>
    <t>Edlien Kai Prado,. RMT</t>
  </si>
  <si>
    <t>https://www.jotform.com/uploads/macarewecare/222927978372067/6128149044219884534/6128149044219884534_signature_31.png</t>
  </si>
  <si>
    <t>Unit for maintenance 
Unit for calibration</t>
  </si>
  <si>
    <t>https://www.jotform.com/uploads/macarewecare/222927978372067/6128123864915173954/6128123864915173954_signature_28.png</t>
  </si>
  <si>
    <t>Jomari Bryan Litonjua</t>
  </si>
  <si>
    <t>https://www.jotform.com/uploads/macarewecare/222927978372067/6128123864915173954/6128123864915173954_signature_31.png</t>
  </si>
  <si>
    <t>BUENAVISTA EMERGENCY HOSPITAL</t>
  </si>
  <si>
    <t>Mclain, Buenavista Guimaras</t>
  </si>
  <si>
    <t>campo_janice@yahoo.com</t>
  </si>
  <si>
    <t>FOR XPERTCHECK CALIBRATION</t>
  </si>
  <si>
    <t>XPERTCHECK CE-IVD 5 Catridges/kit</t>
  </si>
  <si>
    <t>https://www.jotform.com/uploads/macarewecare/222927978372067/6128093866912063969/6128093866912063969_signature_28.png</t>
  </si>
  <si>
    <t>Janice de la Cruz</t>
  </si>
  <si>
    <t>https://www.jotform.com/uploads/macarewecare/222927978372067/6128093866912063969/6128093866912063969_signature_31.png</t>
  </si>
  <si>
    <t>LEON RURAL HEALTH UNIT</t>
  </si>
  <si>
    <t>Leon, Iloilo</t>
  </si>
  <si>
    <t>Xpertcheck calibration
Clean Fan filter
Gather data IQR, system log</t>
  </si>
  <si>
    <t>https://www.jotform.com/uploads/macarewecare/222927978372067/6128079364911058620/6128079364911058620_signature_28.png</t>
  </si>
  <si>
    <t>https://www.jotform.com/uploads/macarewecare/222927978372067/6128079364911058620/6128079364911058620_signature_31.png</t>
  </si>
  <si>
    <t>Xpertcheck calibration
Clean Fan Filter
Gather data IQR, System log</t>
  </si>
  <si>
    <t>https://www.jotform.com/uploads/macarewecare/222927978372067/6128038028019184689/6128038028019184689_signature_28.png</t>
  </si>
  <si>
    <t>https://www.jotform.com/uploads/macarewecare/222927978372067/6128038028019184689/6128038028019184689_signature_31.png</t>
  </si>
  <si>
    <t>Jamindan Primary Care Facility</t>
  </si>
  <si>
    <t>Perform Xpertcheck in all 4 modules</t>
  </si>
  <si>
    <t>4 modules passed Xpertcheck.
4 modules operational</t>
  </si>
  <si>
    <t>https://www.jotform.com/uploads/macarewecare/222927978372067/6128023302492855504/6128023302492855504_signature_28.png</t>
  </si>
  <si>
    <t>https://www.jotform.com/uploads/macarewecare/222927978372067/6128023302492855504/6128023302492855504_signature_31.png</t>
  </si>
  <si>
    <t>vangieyuro@gmail.com</t>
  </si>
  <si>
    <t>4 modules passed Xpertcheck 
4 modules operational</t>
  </si>
  <si>
    <t>https://www.jotform.com/uploads/macarewecare/222927978372067/6128023002496797097/6128023002496797097_signature_28.png</t>
  </si>
  <si>
    <t>VANGIE C. YURO</t>
  </si>
  <si>
    <t>https://www.jotform.com/uploads/macarewecare/222927978372067/6128023002496797097/6128023002496797097_signature_31.png</t>
  </si>
  <si>
    <t>rhusanlorenzo@gmail.com</t>
  </si>
  <si>
    <t>FOR INSTALLATION(GX UNIT TRANSFERRED FROM NUEVA VALENCIA RURAL HEALTH UNIT)</t>
  </si>
  <si>
    <t>https://www.jotform.com/uploads/macarewecare/222927978372067/6127529046911419993/6127529046911419993_signature_28.png</t>
  </si>
  <si>
    <t>Ellen Pearl Fernandez Talaban</t>
  </si>
  <si>
    <t>https://www.jotform.com/uploads/macarewecare/222927978372067/6127529046911419993/6127529046911419993_signature_31.png</t>
  </si>
  <si>
    <t xml:space="preserve">ASSAY: Xpert MTB/RIF Ultra, COUNT: 123
</t>
  </si>
  <si>
    <t>https://www.jotform.com/uploads/macarewecare/222927978372067/6127527636914283574/6127527636914283574_signature_28.png</t>
  </si>
  <si>
    <t>Rhea April Q Jaleco</t>
  </si>
  <si>
    <t>https://www.jotform.com/uploads/macarewecare/222927978372067/6127527636914283574/6127527636914283574_signature_31.png</t>
  </si>
  <si>
    <t>Cuartero Primary Care Facility</t>
  </si>
  <si>
    <t>Cuartero, Capiz</t>
  </si>
  <si>
    <t>cuarteroruralhealthunit@gmail.com.ph</t>
  </si>
  <si>
    <t>Preventive maintenance - cleaned optics, filter, plunger rods, module bays.</t>
  </si>
  <si>
    <t>4 modules passed Xpertcheck 
4 modulea operational</t>
  </si>
  <si>
    <t>https://www.jotform.com/uploads/macarewecare/222927978372067/6127374438974574683/6127374438974574683_signature_28.png</t>
  </si>
  <si>
    <t>Marilyn M  Cornepillo</t>
  </si>
  <si>
    <t>https://www.jotform.com/uploads/macarewecare/222927978372067/6127374438974574683/6127374438974574683_signature_31.png</t>
  </si>
  <si>
    <t>Quezon City General Hospital (1)</t>
  </si>
  <si>
    <t>Seminary Rd. Project 8, Quezon City</t>
  </si>
  <si>
    <t xml:space="preserve">ASSAY: Xpert HIV-1 Viral Load, COUNT: 196
</t>
  </si>
  <si>
    <t>GXIV 10C D</t>
  </si>
  <si>
    <t>Performed preventive maintenance 
All modules passed reliability test
Generated report</t>
  </si>
  <si>
    <t>https://www.jotform.com/uploads/macarewecare/222927978372067/6127353733718848465/6127353733718848465_signature_28.png</t>
  </si>
  <si>
    <t>Arizza Sheena B. Mendoza, RMT</t>
  </si>
  <si>
    <t>https://www.jotform.com/uploads/macarewecare/222927978372067/6127353733718848465/6127353733718848465_signature_31.png</t>
  </si>
  <si>
    <t>Perform Genexpert cleaning and maintenance 
Checking of errors/problem 
Errors/problem reporting 
Data collection</t>
  </si>
  <si>
    <t>https://www.jotform.com/uploads/macarewecare/222927978372067/6127331942315629482/6127331942315629482_signature_28.png</t>
  </si>
  <si>
    <t>https://www.jotform.com/uploads/macarewecare/222927978372067/6127331942315629482/6127331942315629482_signature_31.png</t>
  </si>
  <si>
    <t>https://www.jotform.com/uploads/macarewecare/222927978372067/6127331492315846297/6127331492315846297_signature_28.png</t>
  </si>
  <si>
    <t>https://www.jotform.com/uploads/macarewecare/222927978372067/6127331492315846297/6127331492315846297_signature_31.png</t>
  </si>
  <si>
    <t>SIBUNAG RURAL HEALTH UNIT</t>
  </si>
  <si>
    <t>Sibunag Guimaras</t>
  </si>
  <si>
    <t>Xpertcheck CE-IVD 5 Cartridges/kit</t>
  </si>
  <si>
    <t>https://www.jotform.com/uploads/macarewecare/222927978372067/6127330282766521041/6127330282766521041_signature_28.png</t>
  </si>
  <si>
    <t>Ma. Rhoda Lyn Villarta</t>
  </si>
  <si>
    <t>https://www.jotform.com/uploads/macarewecare/222927978372067/6127330282766521041/6127330282766521041_signature_31.png</t>
  </si>
  <si>
    <t>Puan, Davao City</t>
  </si>
  <si>
    <t xml:space="preserve">ASSAY: Xpert MTB/RIF Ultra, COUNT: 1248
</t>
  </si>
  <si>
    <t>Monitor Problem
Due for Preventive Maintenance</t>
  </si>
  <si>
    <t>Replaced the Defective Module SN:CNK94301WM with Monitor SN: CN461016VJ
Clean Surface Area, Cartridge Bay, Plunger Rod, Fan Filters and Icore Lenses
Generate IQR, Assay Stat and System Log</t>
  </si>
  <si>
    <t>Monitor replaced successfully
All Modules are operational</t>
  </si>
  <si>
    <t>https://www.jotform.com/uploads/macarewecare/222927978372067/6127302653217198962/6127302653217198962_signature_28.png</t>
  </si>
  <si>
    <t>Rhodora Mae Salazar</t>
  </si>
  <si>
    <t>https://www.jotform.com/uploads/macarewecare/222927978372067/6127302653217198962/6127302653217198962_signature_31.png</t>
  </si>
  <si>
    <t xml:space="preserve">ASSAY: Xpert MTB/RIF Ultra, COUNT: 1100
ASSAY: Xpert HIV-1 Viral Load, COUNT: 90
</t>
  </si>
  <si>
    <t>-Perform preventive maintenance of machine; plunger rod, optic slot, module bay, filter
-Archived test results</t>
  </si>
  <si>
    <t>https://www.jotform.com/uploads/macarewecare/222927978372067/6127285753526476901/6127285753526476901_signature_28.png</t>
  </si>
  <si>
    <t>Oscar Delano Salazar, IV</t>
  </si>
  <si>
    <t>https://www.jotform.com/uploads/macarewecare/222927978372067/6127285753526476901/6127285753526476901_signature_31.png</t>
  </si>
  <si>
    <t>AFPMC - AFRIMS 6C</t>
  </si>
  <si>
    <t>V. Luna, Quezon City</t>
  </si>
  <si>
    <t>Mo</t>
  </si>
  <si>
    <t>mtvalderama@gmail.com</t>
  </si>
  <si>
    <t xml:space="preserve">ASSAY: Xpert MTB/RIF Ultra, COUNT: 105
ASSAY: Xpert SARS-CoV-2, COUNT: 32
</t>
  </si>
  <si>
    <t>Performed preventive maintenance
Modules 1,3,4 apssed reliability test
Archives and purged 2014-2020 results</t>
  </si>
  <si>
    <t>Unit is operational
Module 2 not working but reported already</t>
  </si>
  <si>
    <t>https://www.jotform.com/uploads/macarewecare/222927978372067/6127272813714238422/6127272813714238422_signature_28.png</t>
  </si>
  <si>
    <t>Maria Theresa Valderama</t>
  </si>
  <si>
    <t>https://www.jotform.com/uploads/macarewecare/222927978372067/6127272813714238422/6127272813714238422_signature_31.png</t>
  </si>
  <si>
    <t>AFPMC - AFRIMS 10C</t>
  </si>
  <si>
    <t xml:space="preserve">ASSAY: Xpert HBV VL, COUNT: 35
ASSAY: Xpert MTB/RIF Ultra, COUNT: 553
ASSAY: Xpert SARS-CoV-2, COUNT: 829
ASSAY: Xpert HCV VL, COUNT: 7
ASSAY: Xpert HIV-1 Viral Load, COUNT: 18
ASSAY: Xpert HIV-1 Viral Load, COUNT: 112
</t>
  </si>
  <si>
    <t>Performed preventive maintenance
All modules passed reliability test
Archived results</t>
  </si>
  <si>
    <t>https://www.jotform.com/uploads/macarewecare/222927978372067/6127265973711125581/6127265973711125581_signature_28.png</t>
  </si>
  <si>
    <t>https://www.jotform.com/uploads/macarewecare/222927978372067/6127265973711125581/6127265973711125581_signature_31.png</t>
  </si>
  <si>
    <t xml:space="preserve">ASSAY: Xpert MTB/RIF Ultra, COUNT: 110
</t>
  </si>
  <si>
    <t>DR#12561</t>
  </si>
  <si>
    <t>https://www.jotform.com/uploads/macarewecare/222927978372067/6127262049208260464/6127262049208260464_signature_28.png</t>
  </si>
  <si>
    <t>Jude martinez</t>
  </si>
  <si>
    <t>https://www.jotform.com/uploads/macarewecare/222927978372067/6127262049208260464/6127262049208260464_signature_31.png</t>
  </si>
  <si>
    <t>https://www.jotform.com/uploads/macarewecare/222927978372067/6127253114915263194/6127253114915263194_signature_28.png</t>
  </si>
  <si>
    <t>https://www.jotform.com/uploads/macarewecare/222927978372067/6127253114915263194/6127253114915263194_signature_31.png</t>
  </si>
  <si>
    <t>Unit for maintenance
Unit for check up</t>
  </si>
  <si>
    <t>https://www.jotform.com/uploads/macarewecare/222927978372067/6127252254914010606/6127252254914010606_signature_28.png</t>
  </si>
  <si>
    <t>https://www.jotform.com/uploads/macarewecare/222927978372067/6127252254914010606/6127252254914010606_signature_31.png</t>
  </si>
  <si>
    <t>Xpertcheck Calibration
Clean Fan Filter
Clean Module Bay</t>
  </si>
  <si>
    <t>Systems operational
All modules passed in xpertheck calibration</t>
  </si>
  <si>
    <t>https://www.jotform.com/uploads/macarewecare/222927978372067/6127247778328086900/6127247778328086900_signature_28.png</t>
  </si>
  <si>
    <t>https://www.jotform.com/uploads/macarewecare/222927978372067/6127247778328086900/6127247778328086900_signature_31.png</t>
  </si>
  <si>
    <t>https://www.jotform.com/uploads/macarewecare/222927978372067/6127230209227308158/6127230209227308158_signature_28.png</t>
  </si>
  <si>
    <t>https://www.jotform.com/uploads/macarewecare/222927978372067/6127230209227308158/6127230209227308158_signature_31.png</t>
  </si>
  <si>
    <t>San Rafael, Iloilo</t>
  </si>
  <si>
    <t>apilmayfairh@gmail.com</t>
  </si>
  <si>
    <t xml:space="preserve">ASSAY: Xpert MTB/RIF Ultra, COUNT: 89
</t>
  </si>
  <si>
    <t>PM- cleaned optics, filter, module bays plunger rods.</t>
  </si>
  <si>
    <t>4 modules operational, 4 modules passed Xpertcheck.</t>
  </si>
  <si>
    <t>https://www.jotform.com/uploads/macarewecare/222927978372067/6127223987518805388/6127223987518805388_signature_28.png</t>
  </si>
  <si>
    <t>May Faith B  Apil</t>
  </si>
  <si>
    <t>https://www.jotform.com/uploads/macarewecare/222927978372067/6127223987518805388/6127223987518805388_signature_31.png</t>
  </si>
  <si>
    <t>Dumarao, Iloilo</t>
  </si>
  <si>
    <t>- all 4 modules passed Xpertcheck using laptop.
- CPU problem confirmed, to be reported to Cepheid for replacement.</t>
  </si>
  <si>
    <t>https://www.jotform.com/uploads/macarewecare/222927978372067/6127215647518471569/6127215647518471569_signature_28.png</t>
  </si>
  <si>
    <t>https://www.jotform.com/uploads/macarewecare/222927978372067/6127215647518471569/6127215647518471569_signature_31.png</t>
  </si>
  <si>
    <t>hsdelamitas@gmail.com</t>
  </si>
  <si>
    <t xml:space="preserve">ASSAY: Xpert MTB/RIF Ultra, COUNT: 144
</t>
  </si>
  <si>
    <t>1 box Xpertcheck Kit</t>
  </si>
  <si>
    <t>https://www.jotform.com/uploads/macarewecare/222927978372067/6127191855311062103/6127191855311062103_signature_28.png</t>
  </si>
  <si>
    <t>https://www.jotform.com/uploads/macarewecare/222927978372067/6127191855311062103/6127191855311062103_signature_31.png</t>
  </si>
  <si>
    <t>All modules passed in XPC Calibration</t>
  </si>
  <si>
    <t>https://www.jotform.com/uploads/macarewecare/222927978372067/6127134478432748397/6127134478432748397_signature_28.png</t>
  </si>
  <si>
    <t>https://www.jotform.com/uploads/macarewecare/222927978372067/6127134478432748397/6127134478432748397_signature_31.png</t>
  </si>
  <si>
    <t>XPERTCHECK, CE-IVD 5 Cartridges/kit</t>
  </si>
  <si>
    <t>https://www.jotform.com/uploads/macarewecare/222927978372067/6127128185428219372/6127128185428219372_signature_28.png</t>
  </si>
  <si>
    <t>Bernadette I. Galila, RMT</t>
  </si>
  <si>
    <t>https://www.jotform.com/uploads/macarewecare/222927978372067/6127128185428219372/6127128185428219372_signature_31.png</t>
  </si>
  <si>
    <t>Pasig Blvd, Paaig City</t>
  </si>
  <si>
    <t>Stephenbryan.1621@gmail.com</t>
  </si>
  <si>
    <t>Unit is operational. Modules A1/860841, B1/701496, C2/668748, C3/662448, D1/860832, D2/620837, D3/860742 for replacement. Modules A2/860940, B3/702534 and D4/661946 not operational, reported already.</t>
  </si>
  <si>
    <t>https://www.jotform.com/uploads/macarewecare/222927978372067/6127125713613644148/6127125713613644148_signature_28.png</t>
  </si>
  <si>
    <t>https://www.jotform.com/uploads/macarewecare/222927978372067/6127125713613644148/6127125713613644148_signature_31.png</t>
  </si>
  <si>
    <t>https://www.jotform.com/uploads/macarewecare/222927978372067/6127125713617473627/6127125713617473627_signature_28.png</t>
  </si>
  <si>
    <t>Ferdinand Barroga, RMT</t>
  </si>
  <si>
    <t>https://www.jotform.com/uploads/macarewecare/222927978372067/6127125713617473627/6127125713617473627_signature_31.png</t>
  </si>
  <si>
    <t>Poblacion, Tampakan, South Cotabato</t>
  </si>
  <si>
    <t>Defective Monitor 
Module  2 and 3 for Service Required</t>
  </si>
  <si>
    <t>-Replace defective module 2 SN:860765 with new module SN:210025707
-Replace defective module 3 SN:807344 with new module SN:619178
-Replace defective monitor SN:CNK9430BT8 with hp monitor SN:CN4610177J
-Genexpert Cleaning and maintenance 
-Checking of errors 
-Data collection</t>
  </si>
  <si>
    <t>Perform Genexpert Module repair 
Perform Genexpert Monitor repair 
Preventive maintenance</t>
  </si>
  <si>
    <t>Genexpert 6-color module 
SN:210025707
SN: 619178
Hp monitor 
SN: CN4610177j</t>
  </si>
  <si>
    <t>DR #'s: 12533, 12550, and 12532</t>
  </si>
  <si>
    <t>https://www.jotform.com/uploads/macarewecare/222927978372067/6126676996869142227/6126676996869142227_signature_28.png</t>
  </si>
  <si>
    <t>https://www.jotform.com/uploads/macarewecare/222927978372067/6126676996869142227/6126676996869142227_signature_31.png</t>
  </si>
  <si>
    <t>GX4-10C for Calibration</t>
  </si>
  <si>
    <t>XpertCheck Result:
   B1/210117798 - passed
   B2/210121970 - passed
   B3/210119501 - passed
   B4/210120184 - passed
Cleaned cartridge bays, plunger rod, icore 
Generate Data</t>
  </si>
  <si>
    <t>https://www.jotform.com/uploads/macarewecare/222927978372067/6126559416118252664/6126559416118252664_signature_28.png</t>
  </si>
  <si>
    <t>https://www.jotform.com/uploads/macarewecare/222927978372067/6126559416118252664/6126559416118252664_signature_31.png</t>
  </si>
  <si>
    <t>Defective keyboard</t>
  </si>
  <si>
    <t>Replaced defective keyboard
Cleaned cartridge bays, plunger rod, icore
Generate Data</t>
  </si>
  <si>
    <t>Replaced keyboard 
Performed Preventive Maintenance</t>
  </si>
  <si>
    <t>https://www.jotform.com/uploads/macarewecare/222927978372067/6126558876113151907/6126558876113151907_signature_28.png</t>
  </si>
  <si>
    <t>https://www.jotform.com/uploads/macarewecare/222927978372067/6126558876113151907/6126558876113151907_signature_31.png</t>
  </si>
  <si>
    <t>Kalinga Provincial Hospital</t>
  </si>
  <si>
    <t>Tabuk City, Kalinga</t>
  </si>
  <si>
    <t>Kalinga</t>
  </si>
  <si>
    <t>leombelgica139@gmail.com</t>
  </si>
  <si>
    <t>GX Software cannot open</t>
  </si>
  <si>
    <t>Reinstalled GX Software (5.1)</t>
  </si>
  <si>
    <t>https://www.jotform.com/uploads/macarewecare/222927978372067/6126505262376839174/6126505262376839174_signature_28.png</t>
  </si>
  <si>
    <t>Franchet L. Campilis</t>
  </si>
  <si>
    <t>https://www.jotform.com/uploads/macarewecare/222927978372067/6126505262376839174/6126505262376839174_signature_31.png</t>
  </si>
  <si>
    <t>GX 4D 10C</t>
  </si>
  <si>
    <t>Due xpertcheck March 22,2025.
Due for maintenance</t>
  </si>
  <si>
    <t>For quotation of xpertcheck kits ,need to perform xpertcheck march 22,2025</t>
  </si>
  <si>
    <t>https://www.jotform.com/uploads/macarewecare/222927978372067/6126472702312247375/6126472702312247375_signature_28.png</t>
  </si>
  <si>
    <t>ROSE ANN PARNES</t>
  </si>
  <si>
    <t>https://www.jotform.com/uploads/macarewecare/222927978372067/6126472702312247375/6126472702312247375_signature_31.png</t>
  </si>
  <si>
    <t>Rizal Ave., Sta.Cruz, Manila</t>
  </si>
  <si>
    <t xml:space="preserve">ASSAY: Xpert HPV, COUNT: 229
ASSAY: Xpress SARS-CoV-2_Flu_RSV plus, COUNT: 16
</t>
  </si>
  <si>
    <t>Cleaned Cartridge Bay, Plunger Rod, And Icore Optics.
Checked Filter if Clogged.
Performed Self-test. 
Checked System's Functionality.
Generate Reports.</t>
  </si>
  <si>
    <t>https://www.jotform.com/uploads/macarewecare/222927978372067/6126458846325805072/6126458846325805072_signature_28.png</t>
  </si>
  <si>
    <t>Ervin Emmett P Sambolledo</t>
  </si>
  <si>
    <t>https://www.jotform.com/uploads/macarewecare/222927978372067/6126458846325805072/6126458846325805072_signature_31.png</t>
  </si>
  <si>
    <t xml:space="preserve">ASSAY: Xpert MTB/RIF Ultra, COUNT: 818
</t>
  </si>
  <si>
    <t>1 Module is Disabled. 3 Modules are Operational.</t>
  </si>
  <si>
    <t>https://www.jotform.com/uploads/macarewecare/222927978372067/6126458186327692712/6126458186327692712_signature_28.png</t>
  </si>
  <si>
    <t>https://www.jotform.com/uploads/macarewecare/222927978372067/6126458186327692712/6126458186327692712_signature_31.png</t>
  </si>
  <si>
    <t>Calinog, Iloilo</t>
  </si>
  <si>
    <t xml:space="preserve">ASSAY: Xpert MTB/RIF Ultra, COUNT: 60
</t>
  </si>
  <si>
    <t>Performed Xpertcheck in all 4 modules.</t>
  </si>
  <si>
    <t>https://www.jotform.com/uploads/macarewecare/222927978372067/6126457053729458738/6126457053729458738_signature_28.png</t>
  </si>
  <si>
    <t>IC Jessica Coronado</t>
  </si>
  <si>
    <t>https://www.jotform.com/uploads/macarewecare/222927978372067/6126457053729458738/6126457053729458738_signature_31.png</t>
  </si>
  <si>
    <t>sanjuandistrictcenter@gmail.com</t>
  </si>
  <si>
    <t>GX-4 10 colors</t>
  </si>
  <si>
    <t>XpertCheck, CE-IVD 5 Cartridges/ Kit</t>
  </si>
  <si>
    <t>https://www.jotform.com/uploads/macarewecare/222927978372067/6126438648971800879/6126438648971800879_signature_28.png</t>
  </si>
  <si>
    <t>Anrose Ogdol</t>
  </si>
  <si>
    <t>https://www.jotform.com/uploads/macarewecare/222927978372067/6126438648971800879/6126438648971800879_signature_31.png</t>
  </si>
  <si>
    <t>J.P Laurel Avenue, Bajada Davao City</t>
  </si>
  <si>
    <t>Due For Preventive Maintenance and XpertCheck Calibration</t>
  </si>
  <si>
    <t>Clean Surface Area, Cartridge Bay, Plunger Rod, Fan Filters and Icore Lenses
Generate IQR, Assay Stat and System Log
Install XPC version 1.5a
Run XpertCheck on four modules</t>
  </si>
  <si>
    <t>All Modules passed and machine is operational</t>
  </si>
  <si>
    <t>https://www.jotform.com/uploads/macarewecare/222927978372067/6126428583308063576/6126428583308063576_signature_28.png</t>
  </si>
  <si>
    <t>https://www.jotform.com/uploads/macarewecare/222927978372067/6126428583308063576/6126428583308063576_signature_31.png</t>
  </si>
  <si>
    <t>J.P Laurel Avenue, Davao City</t>
  </si>
  <si>
    <t xml:space="preserve">ASSAY: Xpert MTB/RIF Ultra, COUNT: 832
ASSAY: Xpert HIV-1 Viral Load, COUNT: 754
ASSAY: Xpert HPV, COUNT: 1
ASSAY: Xpert CT/NG, COUNT: 3
ASSAY: Xpert HBV VL, COUNT: 6
ASSAY: Xpert SARS-CoV-2, COUNT: 4
ASSAY: Xpert HCV VL, COUNT: 2
</t>
  </si>
  <si>
    <t>For Preventive Maintenance and due for XpertCheck Calibration</t>
  </si>
  <si>
    <t>Clean Surface Area, Cartridge Bay, Plunger Rod, Fan Filters and Icore Lenses
Generate IQR, Assay Stat and System Log 
Install XPC Version 1.5a
Run XPC at four Modules</t>
  </si>
  <si>
    <t>All Modules Passed the Calibration</t>
  </si>
  <si>
    <t>https://www.jotform.com/uploads/macarewecare/222927978372067/6126428223309263398/6126428223309263398_signature_28.png</t>
  </si>
  <si>
    <t>https://www.jotform.com/uploads/macarewecare/222927978372067/6126428223309263398/6126428223309263398_signature_31.png</t>
  </si>
  <si>
    <t xml:space="preserve">ASSAY: Xpert BCR-ABL Ultra, COUNT: 79
ASSAY: Xpert CT/NG, COUNT: 241
ASSAY: Xpert HBV VL, COUNT: 188
ASSAY: Xpert HPV, COUNT: 29
ASSAY: Xpert MTB/RIF Ultra, COUNT: 1127
ASSAY: Xpert HCV VL, COUNT: 152
ASSAY: Xpert HIV-1 Viral Load, COUNT: 22
</t>
  </si>
  <si>
    <t>MONTHLY PREVENTIVE MAINTENANCE</t>
  </si>
  <si>
    <t>https://www.jotform.com/uploads/macarewecare/222927978372067/6126412105581138000/6126412105581138000_signature_28.png</t>
  </si>
  <si>
    <t>Gieril Respecia,RMT</t>
  </si>
  <si>
    <t>https://www.jotform.com/uploads/macarewecare/222927978372067/6126412105581138000/6126412105581138000_signature_31.png</t>
  </si>
  <si>
    <t>Unit is operational
A1: passed
A2: passed
A3: service required 
A4: passed</t>
  </si>
  <si>
    <t>https://www.jotform.com/uploads/macarewecare/222927978372067/6126409024911018935/6126409024911018935_signature_28.png</t>
  </si>
  <si>
    <t>https://www.jotform.com/uploads/macarewecare/222927978372067/6126409024911018935/6126409024911018935_signature_31.png</t>
  </si>
  <si>
    <t xml:space="preserve">ASSAY: Xpert MTB/RIF Ultra, COUNT: 634
ASSAY: Xpert SARS-CoV-2, COUNT: 2
</t>
  </si>
  <si>
    <t>https://www.jotform.com/uploads/macarewecare/222927978372067/6126400385441304579/6126400385441304579_signature_28.png</t>
  </si>
  <si>
    <t>https://www.jotform.com/uploads/macarewecare/222927978372067/6126400385441304579/6126400385441304579_signature_31.png</t>
  </si>
  <si>
    <t>Blumentritt, Manila</t>
  </si>
  <si>
    <t>jmescolano@cghmc.com.ph</t>
  </si>
  <si>
    <t>cghbloodbank2016@gmail.com</t>
  </si>
  <si>
    <t>Performed Preventive Maintenance.
Checked and cleaned rotor pumps.
Performed valve diagnostics running.
Verified calibration parameters.
Performed simulation running.</t>
  </si>
  <si>
    <t>https://www.jotform.com/uploads/macarewecare/222927978372067/6126388435111957820/6126388435111957820_signature_28.png</t>
  </si>
  <si>
    <t>Joan escolano</t>
  </si>
  <si>
    <t>https://www.jotform.com/uploads/macarewecare/222927978372067/6126388435111957820/6126388435111957820_signature_31.png</t>
  </si>
  <si>
    <t>Miagao Rural Health Unit</t>
  </si>
  <si>
    <t>Module B1 for replacement; service required. Other modules passed and is functional.</t>
  </si>
  <si>
    <t>XpertCheck-CE-5 Lot no. 1001075092 
Exp. June 01, 2025</t>
  </si>
  <si>
    <t>DR no. 12522</t>
  </si>
  <si>
    <t>https://www.jotform.com/uploads/macarewecare/222927978372067/6126340521858193103/6126340521858193103_signature_28.png</t>
  </si>
  <si>
    <t>Joanna Lee Sadiong</t>
  </si>
  <si>
    <t>https://www.jotform.com/uploads/macarewecare/222927978372067/6126340521858193103/6126340521858193103_signature_31.png</t>
  </si>
  <si>
    <t xml:space="preserve">ASSAY: Xpert MTB/RIF Ultra, COUNT: 42
</t>
  </si>
  <si>
    <t>Preventive Maintenance - clean optics, filter, plunger rods, modules bays.</t>
  </si>
  <si>
    <t>Perform Xpertcheck on all 4 modules.</t>
  </si>
  <si>
    <t>https://www.jotform.com/uploads/macarewecare/222927978372067/6126337148922858061/6126337148922858061_signature_28.png</t>
  </si>
  <si>
    <t>Jescel May Melgar</t>
  </si>
  <si>
    <t>https://www.jotform.com/uploads/macarewecare/222927978372067/6126337148922858061/6126337148922858061_signature_31.png</t>
  </si>
  <si>
    <t>Bugallon Proper, Ramon, Isabela</t>
  </si>
  <si>
    <t>Module B4 Temperature Error</t>
  </si>
  <si>
    <t>Performed Module Replacement 
B4(715915 - 641322)</t>
  </si>
  <si>
    <t>https://www.jotform.com/uploads/macarewecare/222927978372067/6126301320026237879/6126301320026237879_signature_28.png</t>
  </si>
  <si>
    <t>https://www.jotform.com/uploads/macarewecare/222927978372067/6126301320026237879/6126301320026237879_signature_31.png</t>
  </si>
  <si>
    <t>XpertCheck-CE-5 Lot no. 1001075092
Exp. June 01, 2025</t>
  </si>
  <si>
    <t>DR no. 12513</t>
  </si>
  <si>
    <t>https://www.jotform.com/uploads/macarewecare/222927978372067/6126262088317454412/6126262088317454412_signature_28.png</t>
  </si>
  <si>
    <t>https://www.jotform.com/uploads/macarewecare/222927978372067/6126262088317454412/6126262088317454412_signature_31.png</t>
  </si>
  <si>
    <t>Dumangas Primary Health Care Facility</t>
  </si>
  <si>
    <t>Dumangas, Iloilo</t>
  </si>
  <si>
    <t>Perform Xpertcheck on all 4 modules</t>
  </si>
  <si>
    <t>all 4 modules Passed the Xpertcheck;
4 modules operational</t>
  </si>
  <si>
    <t>https://www.jotform.com/uploads/macarewecare/222927978372067/6126251091418996085/6126251091418996085_signature_28.png</t>
  </si>
  <si>
    <t>marilyn p. dusaran</t>
  </si>
  <si>
    <t>https://www.jotform.com/uploads/macarewecare/222927978372067/6126251091418996085/6126251091418996085_signature_31.png</t>
  </si>
  <si>
    <t>Poblacion Isulan, Sultan Kudarat</t>
  </si>
  <si>
    <t xml:space="preserve">ASSAY: Xpert MTB/RIF Ultra, COUNT: 651
</t>
  </si>
  <si>
    <t>Perform Genexpert annual Xpertcheck Calibration 
Perform Genexpert Cleaning and maintenance 
Checking of errors/problem
Errors/problem reporting 
Data collection</t>
  </si>
  <si>
    <t>Genexpert Xpertcheck Calibration 
Genexpert Preventive maintenance</t>
  </si>
  <si>
    <t>4 operational modules 
Calibration Results:
All modules passed</t>
  </si>
  <si>
    <t>Xpertcheck CE-5 cartridge 
Lot#1001075092</t>
  </si>
  <si>
    <t>DR#: 12485</t>
  </si>
  <si>
    <t>https://www.jotform.com/uploads/macarewecare/222927978372067/6125824116861845435/6125824116861845435_signature_28.png</t>
  </si>
  <si>
    <t>https://www.jotform.com/uploads/macarewecare/222927978372067/6125824116861845435/6125824116861845435_signature_31.png</t>
  </si>
  <si>
    <t>Mandaue City Cebu</t>
  </si>
  <si>
    <t>mendozarey42@yahoo.com</t>
  </si>
  <si>
    <t xml:space="preserve">ASSAY: Xpert MTB/RIF Ultra, COUNT: 4036
ASSAY: Xpert HCV VL, COUNT: 86
ASSAY: Xpert HIV-1 Viral Load, COUNT: 467
</t>
  </si>
  <si>
    <t>-PERFORM PM PROCEDURE
-PERFORM MODULE REPLACEMENT:
B1 DEF SN: 629957 ; NEW SN: 698586
B3 DEF SN: 695932 ; NEW SN: 708784</t>
  </si>
  <si>
    <t>Certified Pre-owned GeneXpert module</t>
  </si>
  <si>
    <t>12538, 12539</t>
  </si>
  <si>
    <t>https://www.jotform.com/uploads/macarewecare/222927978372067/6125666806715521463/6125666806715521463_signature_28.png</t>
  </si>
  <si>
    <t>https://www.jotform.com/uploads/macarewecare/222927978372067/6125666806715521463/6125666806715521463_signature_31.png</t>
  </si>
  <si>
    <t>G. Boulevard, Brgy. Zone 1, Atimonan, Quezon</t>
  </si>
  <si>
    <t>AMCL2008@yqhoo.com</t>
  </si>
  <si>
    <t>Performed Preventive maintenance
Performed module replacement on B2</t>
  </si>
  <si>
    <t>Checked and cleaned cartridge bays, plunger rod, icore slot and filter
Replaced module B2
807294 -&gt; 794896</t>
  </si>
  <si>
    <t>GX module 6C</t>
  </si>
  <si>
    <t>DR 12542</t>
  </si>
  <si>
    <t>https://www.jotform.com/uploads/macarewecare/222927978372067/6125609948603360470/6125609948603360470_signature_28.png</t>
  </si>
  <si>
    <t>marife Villamiel</t>
  </si>
  <si>
    <t>https://www.jotform.com/uploads/macarewecare/222927978372067/6125609948603360470/6125609948603360470_signature_31.png</t>
  </si>
  <si>
    <t>Kabankalan City Hospital</t>
  </si>
  <si>
    <t>Tabugon, Kabankalan City, Negros Occidental</t>
  </si>
  <si>
    <t>kchclinicallaboratory@gmail.com</t>
  </si>
  <si>
    <t>Install unit - transferred from Cadiz CHO</t>
  </si>
  <si>
    <t>https://www.jotform.com/uploads/macarewecare/222927978372067/6125596489735939746/6125596489735939746_signature_28.png</t>
  </si>
  <si>
    <t>Renly A. Layson</t>
  </si>
  <si>
    <t>https://www.jotform.com/uploads/macarewecare/222927978372067/6125596489735939746/6125596489735939746_signature_31.png</t>
  </si>
  <si>
    <t>jordanrhu20@gmail.com</t>
  </si>
  <si>
    <t>https://www.jotform.com/uploads/macarewecare/222927978372067/6125522015585697548/6125522015585697548_signature_28.png</t>
  </si>
  <si>
    <t>Badette Galila, RMT</t>
  </si>
  <si>
    <t>https://www.jotform.com/uploads/macarewecare/222927978372067/6125522015585697548/6125522015585697548_signature_31.png</t>
  </si>
  <si>
    <t>Zone-1, Poblacion, Libon</t>
  </si>
  <si>
    <t>marilynrazal@gmail.com</t>
  </si>
  <si>
    <t xml:space="preserve">ASSAY: Xpert MTB/RIF Ultra, COUNT: 1007
</t>
  </si>
  <si>
    <t>UPS for replacement</t>
  </si>
  <si>
    <t>Replaced UPS: AT1000
Cleaned cartridge bays, plunger rod 
Generate Data 
Replaced fan filter</t>
  </si>
  <si>
    <t>Performed Preventive Maintenance 
Replaced UPS 
Fan filter replaced</t>
  </si>
  <si>
    <t>https://www.jotform.com/uploads/macarewecare/222927978372067/6125464815514125997/6125464815514125997_signature_28.png</t>
  </si>
  <si>
    <t>Marilyn S. Razal</t>
  </si>
  <si>
    <t>https://www.jotform.com/uploads/macarewecare/222927978372067/6125464815514125997/6125464815514125997_signature_31.png</t>
  </si>
  <si>
    <t xml:space="preserve">ASSAY: Xpert MTB/RIF Ultra, COUNT: 1117
</t>
  </si>
  <si>
    <t>Replaced UPS (AT1000)
Cleaned cartridge bays, plunger rod 
Replaced Fan filter</t>
  </si>
  <si>
    <t>Replaced UPS 
Performed Preventive Maintenance 
Replaced Filter</t>
  </si>
  <si>
    <t>https://www.jotform.com/uploads/macarewecare/222927978372067/6125463955512063845/6125463955512063845_signature_28.png</t>
  </si>
  <si>
    <t>https://www.jotform.com/uploads/macarewecare/222927978372067/6125463955512063845/6125463955512063845_signature_31.png</t>
  </si>
  <si>
    <t>Checked A/D Values.
Checked Transducers.
Adjust Values.
Checked Functionality.
Replaced Roller.
Performed Simulation Test.</t>
  </si>
  <si>
    <t>Urethane Roller Assembly</t>
  </si>
  <si>
    <t>SI 99320</t>
  </si>
  <si>
    <t>https://www.jotform.com/uploads/macarewecare/222927978372067/6125397373615943419/6125397373615943419_signature_28.png</t>
  </si>
  <si>
    <t>https://www.jotform.com/uploads/macarewecare/222927978372067/6125397373615943419/6125397373615943419_signature_31.png</t>
  </si>
  <si>
    <t>Checked A/D Values.
Checked Transducers.
Adjust Values.
Checked Functionality.
Checked UPS.
Performed Simulation Test.
Replaced Rollers.</t>
  </si>
  <si>
    <t>Unit is Operational.
UPS is Not Functional.</t>
  </si>
  <si>
    <t>UPS S/N: 40405361107</t>
  </si>
  <si>
    <t>Urethane Roller Assembly.</t>
  </si>
  <si>
    <t>https://www.jotform.com/uploads/macarewecare/222927978372067/6125397243616300367/6125397243616300367_signature_28.png</t>
  </si>
  <si>
    <t>https://www.jotform.com/uploads/macarewecare/222927978372067/6125397243616300367/6125397243616300367_signature_31.png</t>
  </si>
  <si>
    <t>https://www.jotform.com/uploads/macarewecare/222927978372067/6125396993613743297/6125396993613743297_signature_28.png</t>
  </si>
  <si>
    <t>https://www.jotform.com/uploads/macarewecare/222927978372067/6125396993613743297/6125396993613743297_signature_31.png</t>
  </si>
  <si>
    <t>https://www.jotform.com/uploads/macarewecare/222927978372067/6125396993613059995/6125396993613059995_signature_28.png</t>
  </si>
  <si>
    <t>https://www.jotform.com/uploads/macarewecare/222927978372067/6125396993613059995/6125396993613059995_signature_31.png</t>
  </si>
  <si>
    <t xml:space="preserve">ASSAY: Xpert BCR-ABL Ultra, COUNT: 52
ASSAY: Xpert MTB/RIF Ultra, COUNT: 2241
ASSAY: Xpert SARS-CoV-2, COUNT: 769
ASSAY: Xpress SARS-CoV-2_Flu_RSV plus, COUNT: 1464
</t>
  </si>
  <si>
    <t>Due for maintenance
Encounter continous error 5007</t>
  </si>
  <si>
    <t>https://www.jotform.com/uploads/macarewecare/222927978372067/6125387063613816921/6125387063613816921_signature_28.png</t>
  </si>
  <si>
    <t>https://www.jotform.com/uploads/macarewecare/222927978372067/6125387063613816921/6125387063613816921_signature_31.png</t>
  </si>
  <si>
    <t>https://www.jotform.com/uploads/macarewecare/222927978372067/6125392513619476884/6125392513619476884_signature_28.png</t>
  </si>
  <si>
    <t>Sarah Almeria</t>
  </si>
  <si>
    <t>https://www.jotform.com/uploads/macarewecare/222927978372067/6125392513619476884/6125392513619476884_signature_31.png</t>
  </si>
  <si>
    <t>https://www.jotform.com/uploads/macarewecare/222927978372067/6125392403615696736/6125392403615696736_signature_28.png</t>
  </si>
  <si>
    <t>https://www.jotform.com/uploads/macarewecare/222927978372067/6125392403615696736/6125392403615696736_signature_31.png</t>
  </si>
  <si>
    <t>mscaina@themedicalcity.com</t>
  </si>
  <si>
    <t>Performed maintenance
Run simulation 
Checked rotor pumps 
Verified calibration parameters 
Functionality test</t>
  </si>
  <si>
    <t>https://www.jotform.com/uploads/macarewecare/222927978372067/6125391943617239672/6125391943617239672_signature_28.png</t>
  </si>
  <si>
    <t>Maria Zoraida Caina</t>
  </si>
  <si>
    <t>https://www.jotform.com/uploads/macarewecare/222927978372067/6125391943617239672/6125391943617239672_signature_31.png</t>
  </si>
  <si>
    <t>Performed maintenance 
Cleaned:
-cartridge bay
-plunger rod
-icore 
-filter 
Generated reports</t>
  </si>
  <si>
    <t>https://www.jotform.com/uploads/macarewecare/222927978372067/6125391603611972568/6125391603611972568_signature_28.png</t>
  </si>
  <si>
    <t>https://www.jotform.com/uploads/macarewecare/222927978372067/6125391603611972568/6125391603611972568_signature_31.png</t>
  </si>
  <si>
    <t>https://www.jotform.com/uploads/macarewecare/222927978372067/6125391253618697609/6125391253618697609_signature_28.png</t>
  </si>
  <si>
    <t>Armin Francis Betan</t>
  </si>
  <si>
    <t>https://www.jotform.com/uploads/macarewecare/222927978372067/6125391253618697609/6125391253618697609_signature_31.png</t>
  </si>
  <si>
    <t>https://www.jotform.com/uploads/macarewecare/222927978372067/6125390973614875925/6125390973614875925_signature_28.png</t>
  </si>
  <si>
    <t>Josh Vincent Lim</t>
  </si>
  <si>
    <t>https://www.jotform.com/uploads/macarewecare/222927978372067/6125390973614875925/6125390973614875925_signature_31.png</t>
  </si>
  <si>
    <t>https://www.jotform.com/uploads/macarewecare/222927978372067/6125390913613827752/6125390913613827752_signature_28.png</t>
  </si>
  <si>
    <t>https://www.jotform.com/uploads/macarewecare/222927978372067/6125390913613827752/6125390913613827752_signature_31.png</t>
  </si>
  <si>
    <t>https://www.jotform.com/uploads/macarewecare/222927978372067/6125390913613862094/6125390913613862094_signature_28.png</t>
  </si>
  <si>
    <t>https://www.jotform.com/uploads/macarewecare/222927978372067/6125390913613862094/6125390913613862094_signature_31.png</t>
  </si>
  <si>
    <t>https://www.jotform.com/uploads/macarewecare/222927978372067/6125390913615637278/6125390913615637278_signature_28.png</t>
  </si>
  <si>
    <t>https://www.jotform.com/uploads/macarewecare/222927978372067/6125390913615637278/6125390913615637278_signature_31.png</t>
  </si>
  <si>
    <t>https://www.jotform.com/uploads/macarewecare/222927978372067/6125390913617441561/6125390913617441561_signature_28.png</t>
  </si>
  <si>
    <t>https://www.jotform.com/uploads/macarewecare/222927978372067/6125390913617441561/6125390913617441561_signature_31.png</t>
  </si>
  <si>
    <t>https://www.jotform.com/uploads/macarewecare/222927978372067/6125390913617992784/6125390913617992784_signature_28.png</t>
  </si>
  <si>
    <t>https://www.jotform.com/uploads/macarewecare/222927978372067/6125390913617992784/6125390913617992784_signature_31.png</t>
  </si>
  <si>
    <t>182 Urbano Velasco Ave, Pasig City</t>
  </si>
  <si>
    <t>Performed maintenance
Cleaned 
-cartridge bay 
-plunger rod 
-icore
-filter 
Generated reports</t>
  </si>
  <si>
    <t>https://www.jotform.com/uploads/macarewecare/222927978372067/6125390853611174956/6125390853611174956_signature_28.png</t>
  </si>
  <si>
    <t>https://www.jotform.com/uploads/macarewecare/222927978372067/6125390853611174956/6125390853611174956_signature_31.png</t>
  </si>
  <si>
    <t>amymitra22@gmail.com</t>
  </si>
  <si>
    <t>https://www.jotform.com/uploads/macarewecare/222927978372067/6125390853611835961/6125390853611835961_signature_28.png</t>
  </si>
  <si>
    <t>Amelia Mitra</t>
  </si>
  <si>
    <t>https://www.jotform.com/uploads/macarewecare/222927978372067/6125390853611835961/6125390853611835961_signature_31.png</t>
  </si>
  <si>
    <t>Module B3 has error 4008</t>
  </si>
  <si>
    <t>Checked module B3</t>
  </si>
  <si>
    <t>Performed maintenance 
Checked module B3
Checked connection 
Checked F1 reading
Checked fan functionality</t>
  </si>
  <si>
    <t>Unit is operational. Module B3/210123737 not operational, reported already.</t>
  </si>
  <si>
    <t>https://www.jotform.com/uploads/macarewecare/222927978372067/6125390853613701157/6125390853613701157_signature_28.png</t>
  </si>
  <si>
    <t>https://www.jotform.com/uploads/macarewecare/222927978372067/6125390853613701157/6125390853613701157_signature_31.png</t>
  </si>
  <si>
    <t>https://www.jotform.com/uploads/macarewecare/222927978372067/6125390853617938583/6125390853617938583_signature_28.png</t>
  </si>
  <si>
    <t>https://www.jotform.com/uploads/macarewecare/222927978372067/6125390853617938583/6125390853617938583_signature_31.png</t>
  </si>
  <si>
    <t>Shoe Ave. Marikina City</t>
  </si>
  <si>
    <t>https://www.jotform.com/uploads/macarewecare/222927978372067/6125390853618225691/6125390853618225691_signature_28.png</t>
  </si>
  <si>
    <t>https://www.jotform.com/uploads/macarewecare/222927978372067/6125390853618225691/6125390853618225691_signature_31.png</t>
  </si>
  <si>
    <t>East ave QC</t>
  </si>
  <si>
    <t xml:space="preserve">ASSAY: Xpert MTB/RIF Ultra, COUNT: 3510
</t>
  </si>
  <si>
    <t>GX-4D 10C</t>
  </si>
  <si>
    <t>https://www.jotform.com/uploads/macarewecare/222927978372067/6125387853611051071/6125387853611051071_signature_28.png</t>
  </si>
  <si>
    <t>https://www.jotform.com/uploads/macarewecare/222927978372067/6125387853611051071/6125387853611051071_signature_31.png</t>
  </si>
  <si>
    <t xml:space="preserve">ASSAY: Xpert CT/NG, COUNT: 521
ASSAY: Xpert HPV, COUNT: 248
ASSAY: Xpert SARS-CoV-2, COUNT: 1105
ASSAY: Xpress SARS-CoV-2_Flu_RSV plus, COUNT: 197
</t>
  </si>
  <si>
    <t>Due for maintenance and module replacement.
B1 220007358 - 210048951</t>
  </si>
  <si>
    <t>Performed maintenance and module replacement</t>
  </si>
  <si>
    <t>https://www.jotform.com/uploads/macarewecare/222927978372067/6125387483611445454/6125387483611445454_signature_28.png</t>
  </si>
  <si>
    <t>ANN GYLENE I. SISANTE</t>
  </si>
  <si>
    <t>https://www.jotform.com/uploads/macarewecare/222927978372067/6125387483611445454/6125387483611445454_signature_31.png</t>
  </si>
  <si>
    <t>Brgy. West Dadiangas, General Santos</t>
  </si>
  <si>
    <t xml:space="preserve">ASSAY: Xpert MTB/RIF Ultra, COUNT: 1315
</t>
  </si>
  <si>
    <t>Perform Genexpert machine Cleaning and maintenance 
Checking of errors 
Problem/errors reporting 
Data collection</t>
  </si>
  <si>
    <t>https://www.jotform.com/uploads/macarewecare/222927978372067/6124960636861801156/6124960636861801156_signature_28.png</t>
  </si>
  <si>
    <t>https://www.jotform.com/uploads/macarewecare/222927978372067/6124960636861801156/6124960636861801156_signature_31.png</t>
  </si>
  <si>
    <t>Miceobiology</t>
  </si>
  <si>
    <t>rosandhreijose.medilinx@outlook.com</t>
  </si>
  <si>
    <t>https://www.jotform.com/uploads/macarewecare/222927978372067/6123883743126374974/6123883743126374974_signature_28.png</t>
  </si>
  <si>
    <t>Rosandhrei Katherine D. Jose</t>
  </si>
  <si>
    <t>https://www.jotform.com/uploads/macarewecare/222927978372067/6123883743126374974/6123883743126374974_signature_31.png</t>
  </si>
  <si>
    <t>Bureau of Plant Industry - Lucena</t>
  </si>
  <si>
    <t>Dalahican Road, Lucena, Quezon City</t>
  </si>
  <si>
    <t>Microscope Stemi 305 Trino</t>
  </si>
  <si>
    <t>Demo unit for installation</t>
  </si>
  <si>
    <t>Installed stemi 305 microscope for demo</t>
  </si>
  <si>
    <t>Unpacked demo unit
Setup demo unit
Performed demonstration</t>
  </si>
  <si>
    <t>Installation with Sir Vince</t>
  </si>
  <si>
    <t>Microscope Body Stemi 305 trino
Stand K EDU
Microscopy Camera Axiocam 208 Color</t>
  </si>
  <si>
    <t>DR 12529</t>
  </si>
  <si>
    <t>https://www.jotform.com/uploads/macarewecare/222927978372067/6123004798797764792/6123004798797764792_signature_28.png</t>
  </si>
  <si>
    <t>https://www.jotform.com/uploads/macarewecare/222927978372067/6123004798797764792/6123004798797764792_signature_31.png</t>
  </si>
  <si>
    <t>Stemi 305 EDU</t>
  </si>
  <si>
    <t>Unit due for installation</t>
  </si>
  <si>
    <t>Installed carl zeiss microscope</t>
  </si>
  <si>
    <t>Unpacked microscope
Setup microscope
Performed demonstration</t>
  </si>
  <si>
    <t>CARL Zeiss microscope</t>
  </si>
  <si>
    <t>DR 12471</t>
  </si>
  <si>
    <t>https://www.jotform.com/uploads/macarewecare/222927978372067/6123001658798662619/6123001658798662619_signature_28.png</t>
  </si>
  <si>
    <t>https://www.jotform.com/uploads/macarewecare/222927978372067/6123001658798662619/6123001658798662619_signature_31.png</t>
  </si>
  <si>
    <t>No reported problem/s.</t>
  </si>
  <si>
    <t>https://www.jotform.com/uploads/macarewecare/222927978372067/6122956863507519866/6122956863507519866_signature_28.png</t>
  </si>
  <si>
    <t>https://www.jotform.com/uploads/macarewecare/222927978372067/6122956863507519866/6122956863507519866_signature_31.png</t>
  </si>
  <si>
    <t>Unit for preventive maintenance.
For module replacement of module C4.</t>
  </si>
  <si>
    <t>GX module C4 (685089) in replacement to defective C4 (210117673).</t>
  </si>
  <si>
    <t>DR#12477</t>
  </si>
  <si>
    <t>https://www.jotform.com/uploads/macarewecare/222927978372067/6122913702322893916/6122913702322893916_signature_28.png</t>
  </si>
  <si>
    <t>https://www.jotform.com/uploads/macarewecare/222927978372067/6122913702322893916/6122913702322893916_signature_31.png</t>
  </si>
  <si>
    <t>Unit for additional troubleshooting by Cepheid
Unit for maintenance</t>
  </si>
  <si>
    <t>Unit is operational
Report to be forwarded to technical specialist</t>
  </si>
  <si>
    <t>https://www.jotform.com/uploads/macarewecare/222927978372067/6122901179315224066/6122901179315224066_signature_28.png</t>
  </si>
  <si>
    <t>Margareth Camua</t>
  </si>
  <si>
    <t>https://www.jotform.com/uploads/macarewecare/222927978372067/6122901179315224066/6122901179315224066_signature_31.png</t>
  </si>
  <si>
    <t xml:space="preserve">ASSAY: Xpert HIV-1 Viral Load, COUNT: 300
</t>
  </si>
  <si>
    <t>https://www.jotform.com/uploads/macarewecare/222927978372067/6122890016021708951/6122890016021708951_signature_28.png</t>
  </si>
  <si>
    <t>https://www.jotform.com/uploads/macarewecare/222927978372067/6122890016021708951/6122890016021708951_signature_31.png</t>
  </si>
  <si>
    <t>Centennial Avenue, Tunasan, Muntinlupa</t>
  </si>
  <si>
    <t>Checked Outlet Voltage.
Room with A/C Unit.
No Direct Sunlight Exposure.
Performed Self-test.
Checked System's Functionality.
Generate Reports.</t>
  </si>
  <si>
    <t>https://www.jotform.com/uploads/macarewecare/222927978372067/6122884766554088092/6122884766554088092_signature_28.png</t>
  </si>
  <si>
    <t>https://www.jotform.com/uploads/macarewecare/222927978372067/6122884766554088092/6122884766554088092_signature_31.png</t>
  </si>
  <si>
    <t xml:space="preserve">ASSAY: Xpert MTB/RIF Ultra, COUNT: 1118
</t>
  </si>
  <si>
    <t>Checked Voltage Output.
Checked Backup Voltage Output.
Checked UPS Functionality.</t>
  </si>
  <si>
    <t>UPS is Functional. For Further Observation.</t>
  </si>
  <si>
    <t>https://www.jotform.com/uploads/macarewecare/222927978372067/6122823106557272067/6122823106557272067_signature_28.png</t>
  </si>
  <si>
    <t>https://www.jotform.com/uploads/macarewecare/222927978372067/6122823106557272067/6122823106557272067_signature_31.png</t>
  </si>
  <si>
    <t>Municipal Compound, Rosario, Cavite</t>
  </si>
  <si>
    <t xml:space="preserve">ASSAY: Xpert MTB/RIF Ultra, COUNT: 1195
</t>
  </si>
  <si>
    <t>Cleaned Cartridge Bay, Plunger Rod and Icore Optics.
Replaced Filter.
Performed Self-test.
Generate Reports.</t>
  </si>
  <si>
    <t>https://www.jotform.com/uploads/macarewecare/222927978372067/6122823106559544167/6122823106559544167_signature_28.png</t>
  </si>
  <si>
    <t>https://www.jotform.com/uploads/macarewecare/222927978372067/6122823106559544167/6122823106559544167_signature_31.png</t>
  </si>
  <si>
    <t>SIBUNAG, GUIMARAS</t>
  </si>
  <si>
    <t>INSTALLATION
Site-transfer from Buenavista RHU</t>
  </si>
  <si>
    <t>https://www.jotform.com/uploads/macarewecare/222927978372067/6122197424623566530/6122197424623566530_signature_28.png</t>
  </si>
  <si>
    <t>https://www.jotform.com/uploads/macarewecare/222927978372067/6122197424623566530/6122197424623566530_signature_31.png</t>
  </si>
  <si>
    <t>Pettit baracks, Zamboanga City</t>
  </si>
  <si>
    <t>Display monitor is flickering, machine don't turn on.</t>
  </si>
  <si>
    <t>Troubleshoot and determined what is the cause of the problem, Run cycle test.</t>
  </si>
  <si>
    <t>Unit condition is operational, no flickering problem and machine turns on properly</t>
  </si>
  <si>
    <t>Request for display cable due to recent problem.</t>
  </si>
  <si>
    <t>https://www.jotform.com/uploads/macarewecare/222927978372067/6122135569414450798/6122135569414450798_signature_28.png</t>
  </si>
  <si>
    <t>Philippine Red Cross Zamboanga City chapter</t>
  </si>
  <si>
    <t>https://www.jotform.com/uploads/macarewecare/222927978372067/6122135569414450798/6122135569414450798_signature_31.png</t>
  </si>
  <si>
    <t>For installation of MCS+.</t>
  </si>
  <si>
    <t>Performed installation of MCS+.
Performed simulation running.
Verified calibration parameters.</t>
  </si>
  <si>
    <t>Apheresis System</t>
  </si>
  <si>
    <t>DR#12474</t>
  </si>
  <si>
    <t>https://www.jotform.com/uploads/macarewecare/222927978372067/6122125222125059213/6122125222125059213_signature_28.png</t>
  </si>
  <si>
    <t>Adelle Florendo</t>
  </si>
  <si>
    <t>https://www.jotform.com/uploads/macarewecare/222927978372067/6122125222125059213/6122125222125059213_signature_31.png</t>
  </si>
  <si>
    <t>Unit for preventive maintenance.
For installation of rotor pumps.</t>
  </si>
  <si>
    <t>Performed preventive maintenance.
Performed simulation running.
Verfied calibration parameters.
Installed rotor pumps.</t>
  </si>
  <si>
    <t>https://www.jotform.com/uploads/macarewecare/222927978372067/6122125222126991629/6122125222126991629_signature_28.png</t>
  </si>
  <si>
    <t>https://www.jotform.com/uploads/macarewecare/222927978372067/6122125222126991629/6122125222126991629_signature_31.png</t>
  </si>
  <si>
    <t>Unit for maintenance
Module B3 optics error</t>
  </si>
  <si>
    <t>Cleaned module B3's optics</t>
  </si>
  <si>
    <t>Unit is operational
Module B3 is under observation</t>
  </si>
  <si>
    <t>https://www.jotform.com/uploads/macarewecare/222927978372067/6122121089312735234/6122121089312735234_signature_28.png</t>
  </si>
  <si>
    <t>https://www.jotform.com/uploads/macarewecare/222927978372067/6122121089312735234/6122121089312735234_signature_31.png</t>
  </si>
  <si>
    <t xml:space="preserve">ASSAY: Xpert HIV-1 Viral Load, COUNT: 1556
ASSAY: Xpert MTB/RIF Ultra, COUNT: 384
ASSAY: Xpert HBV VL, COUNT: 9
</t>
  </si>
  <si>
    <t>Module B1 foe under observation, error sent to cepheid for further assessment</t>
  </si>
  <si>
    <t>https://www.jotform.com/uploads/macarewecare/222927978372067/6122108664524623898/6122108664524623898_signature_28.png</t>
  </si>
  <si>
    <t>https://www.jotform.com/uploads/macarewecare/222927978372067/6122108664524623898/6122108664524623898_signature_31.png</t>
  </si>
  <si>
    <t xml:space="preserve">ASSAY: Xpert HBV VL, COUNT: 9
ASSAY: Xpert MTB/RIF Ultra, COUNT: 384
ASSAY: Xpert HIV-1 Viral Load, COUNT: 1556
</t>
  </si>
  <si>
    <t>Module B3 reported to Cepheid for further assessment</t>
  </si>
  <si>
    <t>https://www.jotform.com/uploads/macarewecare/222927978372067/6122107624522200658/6122107624522200658_signature_28.png</t>
  </si>
  <si>
    <t>https://www.jotform.com/uploads/macarewecare/222927978372067/6122107624522200658/6122107624522200658_signature_31.png</t>
  </si>
  <si>
    <t xml:space="preserve">ASSAY: Xpert MTB/RIF Ultra, COUNT: 531
</t>
  </si>
  <si>
    <t>https://www.jotform.com/uploads/macarewecare/222927978372067/6122100506619902295/6122100506619902295_signature_28.png</t>
  </si>
  <si>
    <t>https://www.jotform.com/uploads/macarewecare/222927978372067/6122100506619902295/6122100506619902295_signature_31.png</t>
  </si>
  <si>
    <t>burauenlab@gmail.com</t>
  </si>
  <si>
    <t xml:space="preserve">ASSAY: Xpert MTB/RIF Ultra, COUNT: 469
</t>
  </si>
  <si>
    <t>Performed preventive maintenance</t>
  </si>
  <si>
    <t>https://www.jotform.com/uploads/macarewecare/222927978372067/6121990290318595238/6121990290318595238_signature_28.png</t>
  </si>
  <si>
    <t>https://www.jotform.com/uploads/macarewecare/222927978372067/6121990290318595238/6121990290318595238_signature_31.png</t>
  </si>
  <si>
    <t>Donor room</t>
  </si>
  <si>
    <t>CRC bios failed, Drain output voltage of CPU battery</t>
  </si>
  <si>
    <t>Performed main reset but error still occur
Checked output voltage of battery 0.101 volts
Reset CPU board but error still occur.</t>
  </si>
  <si>
    <t>For replacement of CPU board</t>
  </si>
  <si>
    <t>Work with Ronnel Belizar</t>
  </si>
  <si>
    <t>https://www.jotform.com/uploads/macarewecare/222927978372067/6121907803617451686/6121907803617451686_signature_28.png</t>
  </si>
  <si>
    <t>Ivan Ritz Romero</t>
  </si>
  <si>
    <t>https://www.jotform.com/uploads/macarewecare/222927978372067/6121907803617451686/6121907803617451686_signature_31.png</t>
  </si>
  <si>
    <t>Poblacion Polomolok, South Cotabato</t>
  </si>
  <si>
    <t xml:space="preserve">ASSAY: Xpert MTB/RIF Ultra, COUNT: 1694
</t>
  </si>
  <si>
    <t>Module 2 and 4 waiting for replacement module</t>
  </si>
  <si>
    <t>Perform Genexpert Cleaning and maintenance 
Checking of errors 
Problem/errors reporting 
Data collection</t>
  </si>
  <si>
    <t>2 operational modules</t>
  </si>
  <si>
    <t>https://www.jotform.com/uploads/macarewecare/222927978372067/6121428826864029297/6121428826864029297_signature_28.png</t>
  </si>
  <si>
    <t>JUNE MICHELE J. MIRASOL</t>
  </si>
  <si>
    <t>https://www.jotform.com/uploads/macarewecare/222927978372067/6121428826864029297/6121428826864029297_signature_31.png</t>
  </si>
  <si>
    <t>SGDPH1123@pathologyasia.com</t>
  </si>
  <si>
    <t>Watchdog error
Defective valve pump</t>
  </si>
  <si>
    <t>Preventive Maintenance &amp; Troubleshooting</t>
  </si>
  <si>
    <t>Defective valve pump 
need for quotation</t>
  </si>
  <si>
    <t>https://www.jotform.com/uploads/macarewecare/222927978372067/6121291339615943249/6121291339615943249_signature_28.png</t>
  </si>
  <si>
    <t>JUSTIN MASECAMPO</t>
  </si>
  <si>
    <t>https://www.jotform.com/uploads/macarewecare/222927978372067/6121291339615943249/6121291339615943249_signature_31.png</t>
  </si>
  <si>
    <t>City Walk 2, Eastwood, Bagumabayn, Quezon City</t>
  </si>
  <si>
    <t>giandesilvamagnaye@gmail.com</t>
  </si>
  <si>
    <t xml:space="preserve">ASSAY: Xpert HIV-1 Viral Load, COUNT: 12
</t>
  </si>
  <si>
    <t>Unit duebfor maintenance</t>
  </si>
  <si>
    <t>Performed preventive maintenance
All modules passed reliability test</t>
  </si>
  <si>
    <t>Checked and cleaned cartridge bays, plunger rod, icore slot and filter
Archived results
Performed reliability test</t>
  </si>
  <si>
    <t>https://www.jotform.com/uploads/macarewecare/222927978372067/6121257770712712840/6121257770712712840_signature_28.png</t>
  </si>
  <si>
    <t>https://www.jotform.com/uploads/macarewecare/222927978372067/6121257770712712840/6121257770712712840_signature_31.png</t>
  </si>
  <si>
    <t xml:space="preserve">ASSAY: Xpert MTB/RIF Ultra, COUNT: 1524
</t>
  </si>
  <si>
    <t>https://www.jotform.com/uploads/macarewecare/222927978372067/6121257733408609030/6121257733408609030_signature_28.png</t>
  </si>
  <si>
    <t>https://www.jotform.com/uploads/macarewecare/222927978372067/6121257733408609030/6121257733408609030_signature_31.png</t>
  </si>
  <si>
    <t>Maayon , Capiz</t>
  </si>
  <si>
    <t>pamskii_38@yahoo.com</t>
  </si>
  <si>
    <t>https://www.jotform.com/uploads/macarewecare/222927978372067/6121185107916853000/6121185107916853000_signature_28.png</t>
  </si>
  <si>
    <t>Pamela Cerujano</t>
  </si>
  <si>
    <t>https://www.jotform.com/uploads/macarewecare/222927978372067/6121185107916853000/6121185107916853000_signature_31.png</t>
  </si>
  <si>
    <t>Amorsolo St.,Makati</t>
  </si>
  <si>
    <t>biomedsupervisor@makatimed.net.ph</t>
  </si>
  <si>
    <t>stemcell@makatimed.net.ph</t>
  </si>
  <si>
    <t>Cleaned unit
Checked rollers
Checked and test tube sensor
Checked and test keypad and lcd display.
Checked program parameters
Performed functionality</t>
  </si>
  <si>
    <t>https://www.jotform.com/uploads/macarewecare/222927978372067/6120993958816196909/6120993958816196909_signature_28.png</t>
  </si>
  <si>
    <t>Princess Jerica Alondra T. Mararac</t>
  </si>
  <si>
    <t>https://www.jotform.com/uploads/macarewecare/222927978372067/6120993958816196909/6120993958816196909_signature_31.png</t>
  </si>
  <si>
    <t>Amorsolo St,.Makati</t>
  </si>
  <si>
    <t>bloodbank@makatimed.net.ph</t>
  </si>
  <si>
    <t>Due for maintenance
Noisy vibration from centrifuge cover
Power cord wornout insulation rubber</t>
  </si>
  <si>
    <t>Cleaned unit
Checked program parameters
Checked and adjust line sensor value
Checked rollers,dpm,spm,centrifuge,weigher
Tighten screw of cebtrifuge cover
Performed functionality test
Performed simulation running</t>
  </si>
  <si>
    <t>Need to replace powercord</t>
  </si>
  <si>
    <t>https://www.jotform.com/uploads/macarewecare/222927978372067/6120991738819538421/6120991738819538421_signature_28.png</t>
  </si>
  <si>
    <t>Mark Dalisay</t>
  </si>
  <si>
    <t>https://www.jotform.com/uploads/macarewecare/222927978372067/6120991738819538421/6120991738819538421_signature_31.png</t>
  </si>
  <si>
    <t>Batasan Road, Quezon City</t>
  </si>
  <si>
    <t>prestozatricia@gmail.com</t>
  </si>
  <si>
    <t xml:space="preserve">ASSAY: Xpert CT/NG, COUNT: 23
ASSAY: Xpert HBV VL, COUNT: 30
ASSAY: Xpert HIV-1 Viral Load, COUNT: 712
</t>
  </si>
  <si>
    <t>Peeformed preventive maintenance
Generated report</t>
  </si>
  <si>
    <t>Checked and cleaned cartridge bays, plunger rod, icore slot and filter
Archived results</t>
  </si>
  <si>
    <t>Unit is operational
All modules are working</t>
  </si>
  <si>
    <t>https://www.jotform.com/uploads/macarewecare/222927978372067/6120432366174050938/6120432366174050938_signature_28.png</t>
  </si>
  <si>
    <t>Patricia Anne Prestoza</t>
  </si>
  <si>
    <t>https://www.jotform.com/uploads/macarewecare/222927978372067/6120432366174050938/6120432366174050938_signature_31.png</t>
  </si>
  <si>
    <t>DIIT , Tacloban City</t>
  </si>
  <si>
    <t xml:space="preserve">ASSAY: Xpert MTB/RIF Ultra, COUNT: 1149
</t>
  </si>
  <si>
    <t>Unit transferred from Tacloban CHO</t>
  </si>
  <si>
    <t>https://www.jotform.com/uploads/macarewecare/222927978372067/6120415860962017340/6120415860962017340_signature_28.png</t>
  </si>
  <si>
    <t>https://www.jotform.com/uploads/macarewecare/222927978372067/6120415860962017340/6120415860962017340_signature_31.png</t>
  </si>
  <si>
    <t>Procedure Termination due to Return Flow Problem and High Pressure on DPM
UPS Troubleshooting</t>
  </si>
  <si>
    <t>Clean Surface Area
Change Rollers
Check the parameters for DPM, SPM and Line Sensor
Run Cycle Test
Check for Line Voltages of the UPS and test its Functionality</t>
  </si>
  <si>
    <t>Perform Troubleshooting on MCS+. Machine and at UPS</t>
  </si>
  <si>
    <t>Machine completed the cycle test.
Unit is Operational,
UPS is operational</t>
  </si>
  <si>
    <t>Bought an adapter for MCS+ Machine</t>
  </si>
  <si>
    <t>MCS+ Urethane Roller Assay</t>
  </si>
  <si>
    <t>DR 12282</t>
  </si>
  <si>
    <t>https://www.jotform.com/uploads/macarewecare/222927978372067/6120328557361590367/6120328557361590367_signature_28.png</t>
  </si>
  <si>
    <t>https://www.jotform.com/uploads/macarewecare/222927978372067/6120328557361590367/6120328557361590367_signature_31.png</t>
  </si>
  <si>
    <t>tchristianpaolo84@gmail.com</t>
  </si>
  <si>
    <t>Centifuge noise during procedure</t>
  </si>
  <si>
    <t>Unit is operational
Unit is under observation
For PM next visit</t>
  </si>
  <si>
    <t>https://www.jotform.com/uploads/macarewecare/222927978372067/6120296158103758556/6120296158103758556_signature_28.png</t>
  </si>
  <si>
    <t>Christian Paolo Taguiam</t>
  </si>
  <si>
    <t>https://www.jotform.com/uploads/macarewecare/222927978372067/6120296158103758556/6120296158103758556_signature_31.png</t>
  </si>
  <si>
    <t>Dr. Antonio Sixto Avenue, Pasig City</t>
  </si>
  <si>
    <t>Relocation/Packing</t>
  </si>
  <si>
    <t>GeneXpert System for relocation/packing</t>
  </si>
  <si>
    <t>Transferred to other room</t>
  </si>
  <si>
    <t>Packed the GeneXpert system 
-GeneXpert machine
-Workstation 
-UPS
-Barcode scanner and stand
Transferred to other room</t>
  </si>
  <si>
    <t>Not yet installed. No acu in the new room.</t>
  </si>
  <si>
    <t>https://www.jotform.com/uploads/macarewecare/222927978372067/6120255414198950134/6120255414198950134_signature_28.png</t>
  </si>
  <si>
    <t>https://www.jotform.com/uploads/macarewecare/222927978372067/6120255414198950134/6120255414198950134_signature_31.png</t>
  </si>
  <si>
    <t xml:space="preserve">ASSAY: Xpert MTB/RIF Ultra, COUNT: 2174
</t>
  </si>
  <si>
    <t>Unit is functional.</t>
  </si>
  <si>
    <t>https://www.jotform.com/uploads/macarewecare/222927978372067/6119511348124137272/6119511348124137272_signature_28.png</t>
  </si>
  <si>
    <t>https://www.jotform.com/uploads/macarewecare/222927978372067/6119511348124137272/6119511348124137272_signature_31.png</t>
  </si>
  <si>
    <t>https://www.jotform.com/uploads/macarewecare/222927978372067/6116973338215837562/6116973338215837562_signature_28.png</t>
  </si>
  <si>
    <t>https://www.jotform.com/uploads/macarewecare/222927978372067/6116973338215837562/6116973338215837562_signature_31.png</t>
  </si>
  <si>
    <t>https://www.jotform.com/uploads/macarewecare/222927978372067/6116972078216971834/6116972078216971834_signature_28.png</t>
  </si>
  <si>
    <t>https://www.jotform.com/uploads/macarewecare/222927978372067/6116972078216971834/6116972078216971834_signature_31.png</t>
  </si>
  <si>
    <t xml:space="preserve">ASSAY: Xpert CT/NG, COUNT: 75
ASSAY: Xpert HBV VL, COUNT: 97
ASSAY: Xpert HPV, COUNT: 26
ASSAY: Xpert MTB/RIF Ultra, COUNT: 1213
ASSAY: Xpert HCV VL, COUNT: 18
ASSAY: Xpert HIV-1 Viral Load, COUNT: 106
</t>
  </si>
  <si>
    <t>Unit to be returned to Molecular</t>
  </si>
  <si>
    <t>Disassembled machine
Setup the machine in Molecular
Checkes and cleaned cartridge bays, plunger rod, icore slot and filter</t>
  </si>
  <si>
    <t>Transferred machine from Bacteriology to Molecular
Performed Preventive maintenance</t>
  </si>
  <si>
    <t>Unit is operational
All modulea working</t>
  </si>
  <si>
    <t>https://www.jotform.com/uploads/macarewecare/222927978372067/6116116639916651683/6116116639916651683_signature_28.png</t>
  </si>
  <si>
    <t>https://www.jotform.com/uploads/macarewecare/222927978372067/6116116639916651683/6116116639916651683_signature_31.png</t>
  </si>
  <si>
    <t>Dr. Sixto Antonio Avenue. Pasig City</t>
  </si>
  <si>
    <t>https://www.jotform.com/uploads/macarewecare/222927978372067/6116094933619635569/6116094933619635569_signature_28.png</t>
  </si>
  <si>
    <t>https://www.jotform.com/uploads/macarewecare/222927978372067/6116094933619635569/6116094933619635569_signature_31.png</t>
  </si>
  <si>
    <t>https://www.jotform.com/uploads/macarewecare/222927978372067/6116094793613837720/6116094793613837720_signature_28.png</t>
  </si>
  <si>
    <t>https://www.jotform.com/uploads/macarewecare/222927978372067/6116094793613837720/6116094793613837720_signature_31.png</t>
  </si>
  <si>
    <t>Don Juan Estevez Sr. st., Legazpi City</t>
  </si>
  <si>
    <t>emhi@gmail.com</t>
  </si>
  <si>
    <t>Cleaned cartridge bays, plunger rod 
Disabled A2/220009328 - temperature Error 
Generate Data</t>
  </si>
  <si>
    <t>A2/220009328 - temperature Error</t>
  </si>
  <si>
    <t>https://www.jotform.com/uploads/macarewecare/222927978372067/6111215788905133459/6111215788905133459_signature_28.png</t>
  </si>
  <si>
    <t>Lovendino, rey a</t>
  </si>
  <si>
    <t>https://www.jotform.com/uploads/macarewecare/222927978372067/6111215788905133459/6111215788905133459_signature_31.png</t>
  </si>
  <si>
    <t>Relocation of Gx from temporary to permanent facility</t>
  </si>
  <si>
    <t>Relocation of GX4-6C from vinagre brgy health center(temporary facility) to Tigaon Municipal Health Office 
Cleaned cartridge bays, plunger rod
Generate data</t>
  </si>
  <si>
    <t>Relocation of Gx from temporary to permanent facility 
Performed Preventive Maintenance</t>
  </si>
  <si>
    <t>https://www.jotform.com/uploads/macarewecare/222927978372067/6111211538903793665/6111211538903793665_signature_28.png</t>
  </si>
  <si>
    <t>Maria K esusa P. Imperial</t>
  </si>
  <si>
    <t>https://www.jotform.com/uploads/macarewecare/222927978372067/6111211538903793665/6111211538903793665_signature_31.png</t>
  </si>
  <si>
    <t>Modules that failed XpertCheck are for replacement</t>
  </si>
  <si>
    <t>Replaced modules A4 (210050828 &gt; 616697), C4 (720535 &gt; 804782), D2 (729869 &gt; 769035), D4 (618607 &gt; 734837), E3 (896445 &gt; 731600), H1 (608345 &gt; 710090), H2 (696244 &gt; 651942), H3 (654533 &gt; 635029)
Performed preventive maintenance cleaning
Performed functionality test</t>
  </si>
  <si>
    <t>Replaced modules that failed XpertCheck</t>
  </si>
  <si>
    <t>GeneXpert Modules (8pcs), modified ejector for GeneXpert Infinity module (8pcs), Assy Door GeneXpert module (8pcs)</t>
  </si>
  <si>
    <t>DR12462</t>
  </si>
  <si>
    <t>https://www.jotform.com/uploads/macarewecare/222927978372067/6110985508421628322/6110985508421628322_signature_28.png</t>
  </si>
  <si>
    <t>https://www.jotform.com/uploads/macarewecare/222927978372067/6110985508421628322/6110985508421628322_signature_31.png</t>
  </si>
  <si>
    <t>MDH</t>
  </si>
  <si>
    <t>United Nations Avenue, Manila</t>
  </si>
  <si>
    <t>Unit for temporary relocation</t>
  </si>
  <si>
    <t>Relocated unit
Performed functionality test
Generated reports</t>
  </si>
  <si>
    <t>Relocated GeneXpert unit from 6th floor molecular lab to 2nd floor laboratory</t>
  </si>
  <si>
    <t>https://www.jotform.com/uploads/macarewecare/222927978372067/6107492394619857144/6107492394619857144_signature_28.png</t>
  </si>
  <si>
    <t>https://www.jotform.com/uploads/macarewecare/222927978372067/6107492394619857144/6107492394619857144_signature_31.png</t>
  </si>
  <si>
    <t xml:space="preserve">ASSAY: Xpert CT/NG, COUNT: 214
ASSAY: Xpert MTB/RIF Ultra, COUNT: 3007
</t>
  </si>
  <si>
    <t>B1 Module for repair door</t>
  </si>
  <si>
    <t>Repaire door module
Returned and installed module B1 s/n 210072911</t>
  </si>
  <si>
    <t>B1,B2 operational
B3,B4 disabled failed xpertcheck</t>
  </si>
  <si>
    <t>https://www.jotform.com/uploads/macarewecare/222927978372067/6107446675429984765/6107446675429984765_signature_28.png</t>
  </si>
  <si>
    <t>https://www.jotform.com/uploads/macarewecare/222927978372067/6107446675429984765/6107446675429984765_signature_31.png</t>
  </si>
  <si>
    <t>Error 4008/2006 on module B3</t>
  </si>
  <si>
    <t>Performed troubleshooting 
Checked module B3
Checked internal connections
Removed stuck cartridge 
Generated reports</t>
  </si>
  <si>
    <t>Unit is operational. Module B3/210123737 not operational, for reporting.</t>
  </si>
  <si>
    <t>Disabled module B3</t>
  </si>
  <si>
    <t>https://www.jotform.com/uploads/macarewecare/222927978372067/6107425379655678547/6107425379655678547_signature_28.png</t>
  </si>
  <si>
    <t>https://www.jotform.com/uploads/macarewecare/222927978372067/6107425379655678547/6107425379655678547_signature_31.png</t>
  </si>
  <si>
    <t>https://www.jotform.com/uploads/macarewecare/222927978372067/6107309885214565873/6107309885214565873_signature_28.png</t>
  </si>
  <si>
    <t>https://www.jotform.com/uploads/macarewecare/222927978372067/6107309885214565873/6107309885214565873_signature_31.png</t>
  </si>
  <si>
    <t>03J030</t>
  </si>
  <si>
    <t>For checking and troubleshooting of MCS+ due to reported centrifuge.</t>
  </si>
  <si>
    <t>Performed checking and troubleshooting.
Verified centrifuge calibration parameters.
Performed simulation running with latham bowl from the reported kit.
Performed simulation running with latham bowl from another kit.</t>
  </si>
  <si>
    <t>Unit is operational. Endorsed to technical for kit replacement.</t>
  </si>
  <si>
    <t>https://www.jotform.com/uploads/macarewecare/222927978372067/6105691792122277326/6105691792122277326_signature_28.png</t>
  </si>
  <si>
    <t>https://www.jotform.com/uploads/macarewecare/222927978372067/6105691792122277326/6105691792122277326_signature_31.png</t>
  </si>
  <si>
    <t>Relocation of GeneXpert system</t>
  </si>
  <si>
    <t>Transferred GeneXpert system to other room
Installed:
-GeneXpert unit 
-Workstation 
-Printer
-Barcode scanner 
-UPS
Performed maintenance</t>
  </si>
  <si>
    <t>https://www.jotform.com/uploads/macarewecare/222927978372067/6102092290022294016/6102092290022294016_signature_28.png</t>
  </si>
  <si>
    <t>Estrelita S.Aragon</t>
  </si>
  <si>
    <t>https://www.jotform.com/uploads/macarewecare/222927978372067/6102092290022294016/6102092290022294016_signature_31.png</t>
  </si>
  <si>
    <t>https://www.jotform.com/uploads/macarewecare/222927978372067/6102091450021700914/6102091450021700914_signature_28.png</t>
  </si>
  <si>
    <t>https://www.jotform.com/uploads/macarewecare/222927978372067/6102091450021700914/6102091450021700914_signature_31.png</t>
  </si>
  <si>
    <t>Pull out</t>
  </si>
  <si>
    <t xml:space="preserve">ASSAY: Xpert CT/NG, COUNT: 251
ASSAY: Xpert MTB/RIF Ultra, COUNT: 3029
</t>
  </si>
  <si>
    <t>B1 module broken uniframe</t>
  </si>
  <si>
    <t>Pull out B1 module s/n 210072911 for repair broken uniframe</t>
  </si>
  <si>
    <t>B2 operational
B3,B4 failed xpertcheck</t>
  </si>
  <si>
    <t>https://www.jotform.com/uploads/macarewecare/222927978372067/6101415253112061941/6101415253112061941_signature_28.png</t>
  </si>
  <si>
    <t>https://www.jotform.com/uploads/macarewecare/222927978372067/6101415253112061941/6101415253112061941_signature_31.png</t>
  </si>
  <si>
    <t>rodelynlimocon@gmail.com</t>
  </si>
  <si>
    <t>joerizmikeflorida@gmail.com</t>
  </si>
  <si>
    <t>Module B2 defective</t>
  </si>
  <si>
    <t>-Replace defective module B2/690358 with new module SN: 607941</t>
  </si>
  <si>
    <t>900-0491RS Certified pre-owned GeneXpert module SN. 607941</t>
  </si>
  <si>
    <t>DR no. 12394</t>
  </si>
  <si>
    <t>https://www.jotform.com/uploads/macarewecare/222927978372067/6101228273612309782/6101228273612309782_signature_28.png</t>
  </si>
  <si>
    <t>Joeriz Michael Florida</t>
  </si>
  <si>
    <t>https://www.jotform.com/uploads/macarewecare/222927978372067/6101228273612309782/6101228273612309782_signature_31.png</t>
  </si>
  <si>
    <t>https://www.jotform.com/uploads/macarewecare/222927978372067/6101174253619840375/6101174253619840375_signature_28.png</t>
  </si>
  <si>
    <t>https://www.jotform.com/uploads/macarewecare/222927978372067/6101174253619840375/6101174253619840375_signature_31.png</t>
  </si>
  <si>
    <t>https://www.jotform.com/uploads/macarewecare/222927978372067/6101174153614617188/6101174153614617188_signature_28.png</t>
  </si>
  <si>
    <t>https://www.jotform.com/uploads/macarewecare/222927978372067/6101174153614617188/6101174153614617188_signature_31.png</t>
  </si>
  <si>
    <t>Performed maintenance 
Cleaned:
-cartridge bay
-plunger rod 
-icore 
-filter 
Generated reports 
Generated .gxx file</t>
  </si>
  <si>
    <t>https://www.jotform.com/uploads/macarewecare/222927978372067/6101174013612301672/6101174013612301672_signature_28.png</t>
  </si>
  <si>
    <t>https://www.jotform.com/uploads/macarewecare/222927978372067/6101174013612301672/6101174013612301672_signature_31.png</t>
  </si>
  <si>
    <t>lornsabaiga@gmail.com</t>
  </si>
  <si>
    <t>https://www.jotform.com/uploads/macarewecare/222927978372067/6101059165918803112/6101059165918803112_signature_28.png</t>
  </si>
  <si>
    <t>https://www.jotform.com/uploads/macarewecare/222927978372067/6101059165918803112/6101059165918803112_signature_31.png</t>
  </si>
  <si>
    <t xml:space="preserve">ASSAY: Xpert CT/NG, COUNT: 258
ASSAY: Xpert MTB/RIF Ultra, COUNT: 3059
</t>
  </si>
  <si>
    <t>As per end user they unable to close the door module properly
Broken Uniframe</t>
  </si>
  <si>
    <t>Checked uniframe
Cleaned unit
Cleaned plunger rod,filter,icore,cartridge bay
Gathered reports
Test run unit</t>
  </si>
  <si>
    <t>Performed trpubleshooting</t>
  </si>
  <si>
    <t>B1 broken uniframe 
B3,B4 failed xpertcheck
B2 operational</t>
  </si>
  <si>
    <t>B1 module for replacement uniframe module unrepairable</t>
  </si>
  <si>
    <t>https://www.jotform.com/uploads/macarewecare/222927978372067/6097731763618475959/6097731763618475959_signature_28.png</t>
  </si>
  <si>
    <t>https://www.jotform.com/uploads/macarewecare/222927978372067/6097731763618475959/6097731763618475959_signature_31.png</t>
  </si>
  <si>
    <t>For module replacement A4 210071092 - 722336 C4 210071450 - 210059476
A1,A2,C2,D2 reported already for replacement</t>
  </si>
  <si>
    <t>12 modules operational 
4 modules disabled</t>
  </si>
  <si>
    <t>12424, 12419</t>
  </si>
  <si>
    <t>https://www.jotform.com/uploads/macarewecare/222927978372067/6097728193614752449/6097728193614752449_signature_28.png</t>
  </si>
  <si>
    <t>https://www.jotform.com/uploads/macarewecare/222927978372067/6097728193614752449/6097728193614752449_signature_31.png</t>
  </si>
  <si>
    <t>https://www.jotform.com/uploads/macarewecare/222927978372067/6097147369852552916/6097147369852552916_signature_28.png</t>
  </si>
  <si>
    <t>https://www.jotform.com/uploads/macarewecare/222927978372067/6097147369852552916/6097147369852552916_signature_31.png</t>
  </si>
  <si>
    <t xml:space="preserve">ASSAY: Xpert MTB/RIF Ultra, COUNT: 657
</t>
  </si>
  <si>
    <t>https://www.jotform.com/uploads/macarewecare/222927978372067/6097146349859222884/6097146349859222884_signature_28.png</t>
  </si>
  <si>
    <t>https://www.jotform.com/uploads/macarewecare/222927978372067/6097146349859222884/6097146349859222884_signature_31.png</t>
  </si>
  <si>
    <t>Corporate Ave., Filinvest, Muntinlupa</t>
  </si>
  <si>
    <t>mvflores@asianhospital.com</t>
  </si>
  <si>
    <t>Cleaned Surface Area.
Cleaned Pumps and Sensors.
Checked A/D Values.
Performed Simulation Test</t>
  </si>
  <si>
    <t>https://www.jotform.com/uploads/macarewecare/222927978372067/6097065643614505739/6097065643614505739_signature_28.png</t>
  </si>
  <si>
    <t>Maria Vanessa Flores</t>
  </si>
  <si>
    <t>https://www.jotform.com/uploads/macarewecare/222927978372067/6097065643614505739/6097065643614505739_signature_31.png</t>
  </si>
  <si>
    <t>Quiricada St., Manila</t>
  </si>
  <si>
    <t>piaciudadano1331@gmail.com</t>
  </si>
  <si>
    <t>ciudadanosophiapatrice@gmail.com</t>
  </si>
  <si>
    <t xml:space="preserve">ASSAY: Xpert HBV VL, COUNT: 412
ASSAY: Xpert HIV-1 Viral Load, COUNT: 219
ASSAY: Xpert HCV VL, COUNT: 28
</t>
  </si>
  <si>
    <t>Unit has 5007 Error.</t>
  </si>
  <si>
    <t>Cleaned Cartridge Bay, Plunger Rod and Icore Optics.
Checked Filter if Clogged.
Performed Reliability Test.
Performed Self-test.
Generate Reports.</t>
  </si>
  <si>
    <t>3 Modules are Operational. 1 is Disabled.</t>
  </si>
  <si>
    <t>https://www.jotform.com/uploads/macarewecare/222927978372067/6097065593611638978/6097065593611638978_signature_28.png</t>
  </si>
  <si>
    <t>Sophia Patrice Ciudadano</t>
  </si>
  <si>
    <t>https://www.jotform.com/uploads/macarewecare/222927978372067/6097065593611638978/6097065593611638978_signature_31.png</t>
  </si>
  <si>
    <t>Rizal Ave.,Manila</t>
  </si>
  <si>
    <t xml:space="preserve">ASSAY: Xpert MTB/RIF Ultra, COUNT: 811
ASSAY: Xpert SARS-CoV-2, COUNT: 134
</t>
  </si>
  <si>
    <t>1 Module Disabled. 3 Modules are Operational.</t>
  </si>
  <si>
    <t>https://www.jotform.com/uploads/macarewecare/222927978372067/6097065593613785335/6097065593613785335_signature_28.png</t>
  </si>
  <si>
    <t>Ervin Emmett P. Sambolledo</t>
  </si>
  <si>
    <t>https://www.jotform.com/uploads/macarewecare/222927978372067/6097065593613785335/6097065593613785335_signature_31.png</t>
  </si>
  <si>
    <t>leriza_rabanal@yahoo.com</t>
  </si>
  <si>
    <t>usth_bloodbank@yahoo.com</t>
  </si>
  <si>
    <t>Checked UPS Output Voltage.
Checked UPS Functionality (with and w/o Load).</t>
  </si>
  <si>
    <t>UPS is Defective ( with No Backup Power)</t>
  </si>
  <si>
    <t>UPS S/N: AT1000180910ST0259</t>
  </si>
  <si>
    <t>https://www.jotform.com/uploads/macarewecare/222927978372067/6097065593617704412/6097065593617704412_signature_28.png</t>
  </si>
  <si>
    <t>Leriza Rabanal</t>
  </si>
  <si>
    <t>https://www.jotform.com/uploads/macarewecare/222927978372067/6097065593617704412/6097065593617704412_signature_31.png</t>
  </si>
  <si>
    <t xml:space="preserve">ASSAY: Xpert HPV, COUNT: 253
ASSAY: Xpert SARS-CoV-2, COUNT: 868
</t>
  </si>
  <si>
    <t>Unit is dur for Maintenance.</t>
  </si>
  <si>
    <t>https://www.jotform.com/uploads/macarewecare/222927978372067/6097065583616389527/6097065583616389527_signature_28.png</t>
  </si>
  <si>
    <t>https://www.jotform.com/uploads/macarewecare/222927978372067/6097065583616389527/6097065583616389527_signature_31.png</t>
  </si>
  <si>
    <t>Cleaned Surface Area.
Cleaned Pumps and Sensors.
Checked A/D Values.
Performed Simulation Test.</t>
  </si>
  <si>
    <t>https://www.jotform.com/uploads/macarewecare/222927978372067/6097065583616594263/6097065583616594263_signature_28.png</t>
  </si>
  <si>
    <t>https://www.jotform.com/uploads/macarewecare/222927978372067/6097065583616594263/6097065583616594263_signature_31.png</t>
  </si>
  <si>
    <t>LAPULAPU CITY HEALTH OFFICE</t>
  </si>
  <si>
    <t>LAPULAPU CEBU</t>
  </si>
  <si>
    <t>jacebedo.acebedo@gmail.com</t>
  </si>
  <si>
    <t>tanya_pax@yahoo.com</t>
  </si>
  <si>
    <t xml:space="preserve">ASSAY: Xpert MTB/RIF Ultra, COUNT: 2572
</t>
  </si>
  <si>
    <t>https://www.jotform.com/uploads/macarewecare/222927978372067/6097013001368193923/6097013001368193923_signature_28.png</t>
  </si>
  <si>
    <t>Maria Lucille Arong, RMT</t>
  </si>
  <si>
    <t>https://www.jotform.com/uploads/macarewecare/222927978372067/6097013001368193923/6097013001368193923_signature_31.png</t>
  </si>
  <si>
    <t>UPS 1KVA
SN: AT1000190123ST0327</t>
  </si>
  <si>
    <t>https://www.jotform.com/uploads/macarewecare/222927978372067/6097008488555009803/6097008488555009803_signature_28.png</t>
  </si>
  <si>
    <t>Leonila</t>
  </si>
  <si>
    <t>https://www.jotform.com/uploads/macarewecare/222927978372067/6097008488555009803/6097008488555009803_signature_31.png</t>
  </si>
  <si>
    <t>https://www.jotform.com/uploads/macarewecare/222927978372067/6096252523705305965/6096252523705305965_signature_28.png</t>
  </si>
  <si>
    <t>https://www.jotform.com/uploads/macarewecare/222927978372067/6096252523705305965/6096252523705305965_signature_31.png</t>
  </si>
  <si>
    <t>lcpbloodbank@gmail.coma</t>
  </si>
  <si>
    <t>DPM Pressure error</t>
  </si>
  <si>
    <t>Checked program parameters
Adjust full scale of bowl optics 
Adjust line sensor value to 3071
Adjust DPM and SPm pressue to 300mmHg
Adjust weigher value to 1000
Performed functionality test</t>
  </si>
  <si>
    <t>Unit is oeprational</t>
  </si>
  <si>
    <t>https://www.jotform.com/uploads/macarewecare/222927978372067/6096252389117760931/6096252389117760931_signature_28.png</t>
  </si>
  <si>
    <t>Rhonaq Babilonia</t>
  </si>
  <si>
    <t>https://www.jotform.com/uploads/macarewecare/222927978372067/6096252389117760931/6096252389117760931_signature_31.png</t>
  </si>
  <si>
    <t xml:space="preserve">ASSAY: Xpert MTB/RIF Ultra, COUNT: 1469
</t>
  </si>
  <si>
    <t>- Unit is Partially Operational 
- Module 4(808255) Has already been Reported</t>
  </si>
  <si>
    <t>https://www.jotform.com/uploads/macarewecare/222927978372067/6096160215612364988/6096160215612364988_signature_28.png</t>
  </si>
  <si>
    <t>Jezra Jong</t>
  </si>
  <si>
    <t>https://www.jotform.com/uploads/macarewecare/222927978372067/6096160215612364988/6096160215612364988_signature_31.png</t>
  </si>
  <si>
    <t>Dr. Garcia St.</t>
  </si>
  <si>
    <t>marcabapo@gmaul.com</t>
  </si>
  <si>
    <t>SQL Problem</t>
  </si>
  <si>
    <t>Performed troubleshooting of SQL
Tried to reinstall GeneXpert software 
Manual installation of SQL
Change settings to original</t>
  </si>
  <si>
    <t>Unit is not operational. For additional troubleshooting of Workstation.</t>
  </si>
  <si>
    <t>https://www.jotform.com/uploads/macarewecare/222927978372067/6096139586269103256/6096139586269103256_signature_28.png</t>
  </si>
  <si>
    <t>Marc francis abapo</t>
  </si>
  <si>
    <t>https://www.jotform.com/uploads/macarewecare/222927978372067/6096139586269103256/6096139586269103256_signature_31.png</t>
  </si>
  <si>
    <t xml:space="preserve">ASSAY: Xpert MTB/RIF Ultra, COUNT: 328
</t>
  </si>
  <si>
    <t>Performed Troubleshooting and Preventive Maintenance</t>
  </si>
  <si>
    <t>https://www.jotform.com/uploads/macarewecare/222927978372067/6096038905423239223/6096038905423239223_signature_28.png</t>
  </si>
  <si>
    <t>https://www.jotform.com/uploads/macarewecare/222927978372067/6096038905423239223/6096038905423239223_signature_31.png</t>
  </si>
  <si>
    <t>larrozarey27@gmail.com</t>
  </si>
  <si>
    <t xml:space="preserve">ASSAY: Xpert MTB/RIF Ultra, COUNT: 919
</t>
  </si>
  <si>
    <t>Module 1 for Service Required</t>
  </si>
  <si>
    <t>Perform Genexpert machine repair 
Perform Genexpert CPU repair</t>
  </si>
  <si>
    <t>Replace defective module SN:807762 with new module SN: 882094
Replace CPU CMOS battery 
Genexpert Cleaning and checking of errors 
Data collection</t>
  </si>
  <si>
    <t>Genexpert 6-color module SN:882094</t>
  </si>
  <si>
    <t>DR#:12362</t>
  </si>
  <si>
    <t>https://www.jotform.com/uploads/macarewecare/222927978372067/6095599459494323063/6095599459494323063_signature_28.png</t>
  </si>
  <si>
    <t>Rey   D. LARROZA</t>
  </si>
  <si>
    <t>https://www.jotform.com/uploads/macarewecare/222927978372067/6095599459494323063/6095599459494323063_signature_31.png</t>
  </si>
  <si>
    <t>Sultan Mastura, Maguindanao Del norte</t>
  </si>
  <si>
    <t xml:space="preserve">ASSAY: Xpert MTB/RIF Ultra, COUNT: 341
</t>
  </si>
  <si>
    <t>Module 1 and 2 for Service Required</t>
  </si>
  <si>
    <t>Genexpert machine module repair 
Preventive maintenance</t>
  </si>
  <si>
    <t>Replace defective module SN:806639 with new module SN:804307
Replace defective module SN:797793 with new module SN:837613
Checking of Errors/problem 
Data collection</t>
  </si>
  <si>
    <t>Genexpert 6-color modules
Sn:804307
Sn:769600</t>
  </si>
  <si>
    <t>DR#:12376 and 12377</t>
  </si>
  <si>
    <t>https://www.jotform.com/uploads/macarewecare/222927978372067/6095599459497004899/6095599459497004899_signature_28.png</t>
  </si>
  <si>
    <t>https://www.jotform.com/uploads/macarewecare/222927978372067/6095599459497004899/6095599459497004899_signature_31.png</t>
  </si>
  <si>
    <t>ndhlab2023@gmail.com</t>
  </si>
  <si>
    <t xml:space="preserve">ASSAY: Xpert MTB/RIF Ultra, COUNT: 955
</t>
  </si>
  <si>
    <t>Module 2 for Service Required</t>
  </si>
  <si>
    <t>Perform Genexpert repair 
Perform Genexpert preventive maintenance</t>
  </si>
  <si>
    <t>Replace defective module B2 SN:210068700 with new module SN:630592
Genexpert machine Cleaning and maintenance 
Checking of errors 
Data collection</t>
  </si>
  <si>
    <t>Genexpert 6-color module SN:630592</t>
  </si>
  <si>
    <t>DR#:12395</t>
  </si>
  <si>
    <t>https://www.jotform.com/uploads/macarewecare/222927978372067/6095599459498752392/6095599459498752392_signature_28.png</t>
  </si>
  <si>
    <t>Geraldine N. Magan</t>
  </si>
  <si>
    <t>https://www.jotform.com/uploads/macarewecare/222927978372067/6095599459498752392/6095599459498752392_signature_31.png</t>
  </si>
  <si>
    <t>Brgy. Tominobo, Iligan City, Lanao del Norte</t>
  </si>
  <si>
    <t xml:space="preserve">ASSAY: Xpert MTB/RIF Ultra, COUNT: 1130
</t>
  </si>
  <si>
    <t>-Replace defective module B2/808192 with module SN: 838294</t>
  </si>
  <si>
    <t>900-0491RS Certified pre-owned GeneXpert module SN. 652201</t>
  </si>
  <si>
    <t>DR no. 12391</t>
  </si>
  <si>
    <t>https://www.jotform.com/uploads/macarewecare/222927978372067/6095411122322837664/6095411122322837664_signature_28.png</t>
  </si>
  <si>
    <t>https://www.jotform.com/uploads/macarewecare/222927978372067/6095411122322837664/6095411122322837664_signature_31.png</t>
  </si>
  <si>
    <t>Additional troubleshooting for C2 module loss communication</t>
  </si>
  <si>
    <t>Swap module position c1 to c2 no loss communication encountered
Replaced lan cable
Checked gateway board</t>
  </si>
  <si>
    <t>A3,A4,B2 in use
Disabled A1,A2,B1,B3,,C1,C2,C3,C4
B4 module for replacement</t>
  </si>
  <si>
    <t>https://www.jotform.com/uploads/macarewecare/222927978372067/6095386803617411603/6095386803617411603_signature_28.png</t>
  </si>
  <si>
    <t>Ma. Odessa Barretto</t>
  </si>
  <si>
    <t>https://www.jotform.com/uploads/macarewecare/222927978372067/6095386803617411603/6095386803617411603_signature_31.png</t>
  </si>
  <si>
    <t xml:space="preserve">ASSAY: Xpert MTB/RIF Ultra, COUNT: 899
</t>
  </si>
  <si>
    <t>Module B3 defective</t>
  </si>
  <si>
    <t>-Replace defective module B3/641982 with module SN: 630963</t>
  </si>
  <si>
    <t>900-0491RS Certified pre-owned GeneXpert module SN. 630963</t>
  </si>
  <si>
    <t>DR no. 12389</t>
  </si>
  <si>
    <t>https://www.jotform.com/uploads/macarewecare/222927978372067/6095360659018857538/6095360659018857538_signature_28.png</t>
  </si>
  <si>
    <t>https://www.jotform.com/uploads/macarewecare/222927978372067/6095360659018857538/6095360659018857538_signature_31.png</t>
  </si>
  <si>
    <t xml:space="preserve">ASSAY: Xpert BCR-ABL Ultra, COUNT: 77
ASSAY: Xpert CT/NG, COUNT: 222
ASSAY: Xpert HBV VL, COUNT: 191
ASSAY: Xpert HPV, COUNT: 24
ASSAY: Xpert MTB/RIF Ultra, COUNT: 1077
ASSAY: Xpert HCV VL, COUNT: 157
ASSAY: Xpert HIV-1 Viral Load, COUNT: 20
</t>
  </si>
  <si>
    <t>FOR MONTHLY PREVENTIVE MAINTENANCE</t>
  </si>
  <si>
    <t>https://www.jotform.com/uploads/macarewecare/222927978372067/6095345655582905516/6095345655582905516_signature_28.png</t>
  </si>
  <si>
    <t>Katrina Marie Balcera, RMT</t>
  </si>
  <si>
    <t>https://www.jotform.com/uploads/macarewecare/222927978372067/6095345655582905516/6095345655582905516_signature_31.png</t>
  </si>
  <si>
    <t>rhodaruthdalogog@gmail.com</t>
  </si>
  <si>
    <t>Module B4 found service required thru XPC</t>
  </si>
  <si>
    <t>Replacing module B4 with SN: 694289 to SN: 718376</t>
  </si>
  <si>
    <t>https://www.jotform.com/uploads/macarewecare/222927978372067/6095325575426949694/6095325575426949694_signature_28.png</t>
  </si>
  <si>
    <t>https://www.jotform.com/uploads/macarewecare/222927978372067/6095325575426949694/6095325575426949694_signature_31.png</t>
  </si>
  <si>
    <t xml:space="preserve">ASSAY: Xpert MTB/RIF Ultra, COUNT: 679
</t>
  </si>
  <si>
    <t>System unit unable to turn on</t>
  </si>
  <si>
    <t>Replaced CMOS battery and re installed RAM, Preventive maintenence.</t>
  </si>
  <si>
    <t>https://www.jotform.com/uploads/macarewecare/222927978372067/6095293624229072751/6095293624229072751_signature_28.png</t>
  </si>
  <si>
    <t>Reyna Cres B. Lazaga</t>
  </si>
  <si>
    <t>https://www.jotform.com/uploads/macarewecare/222927978372067/6095293624229072751/6095293624229072751_signature_31.png</t>
  </si>
  <si>
    <t>Samboan Rural Health Unit</t>
  </si>
  <si>
    <t>Samboan Poblacion, Cebu</t>
  </si>
  <si>
    <t>sheneannesenagan@gmail.com</t>
  </si>
  <si>
    <t>Module 1  862517 failed during calibration.</t>
  </si>
  <si>
    <t>Replaced new module SN #  892506.
Generate IQR , System log, Assay Statistics and Gxx files</t>
  </si>
  <si>
    <t>All modules operational.</t>
  </si>
  <si>
    <t>https://www.jotform.com/uploads/macarewecare/222927978372067/6095257585585497427/6095257585585497427_signature_28.png</t>
  </si>
  <si>
    <t>Shene Anne A. Senagan, RMT</t>
  </si>
  <si>
    <t>https://www.jotform.com/uploads/macarewecare/222927978372067/6095257585585497427/6095257585585497427_signature_31.png</t>
  </si>
  <si>
    <t>Poblacion, San Isidro, Pili</t>
  </si>
  <si>
    <t xml:space="preserve">ASSAY: Xpert MTB/RIF Ultra, COUNT: 1085
</t>
  </si>
  <si>
    <t>Request for fan filter
UPS no power</t>
  </si>
  <si>
    <t>Replaced Fan filter
Checked UPS power dependability
Charged UPS for 4hrs</t>
  </si>
  <si>
    <t>Performed Troubleshooting for UPS
replaced fan filter</t>
  </si>
  <si>
    <t>UPS lasts 5seconds after pulling the plug. Request for UPS battery replacement</t>
  </si>
  <si>
    <t>https://www.jotform.com/uploads/macarewecare/222927978372067/6095252458412116718/6095252458412116718_signature_28.png</t>
  </si>
  <si>
    <t>https://www.jotform.com/uploads/macarewecare/222927978372067/6095252458412116718/6095252458412116718_signature_31.png</t>
  </si>
  <si>
    <t>Zamboanga del sur</t>
  </si>
  <si>
    <t>Pagadian city</t>
  </si>
  <si>
    <t>Replaced module 210009828 with Module 890132</t>
  </si>
  <si>
    <t>https://www.jotform.com/uploads/macarewecare/222927978372067/6095207722514033707/6095207722514033707_signature_28.png</t>
  </si>
  <si>
    <t>Emillie limbo</t>
  </si>
  <si>
    <t>https://www.jotform.com/uploads/macarewecare/222927978372067/6095207722514033707/6095207722514033707_signature_31.png</t>
  </si>
  <si>
    <t>Marikina CHO</t>
  </si>
  <si>
    <t>Marikina city</t>
  </si>
  <si>
    <t>As per end user they encounter water pipe leakage in laboratory</t>
  </si>
  <si>
    <t>Checked unit
Checked workstation,barcode scanner,printer,monitor
Test run unit ok</t>
  </si>
  <si>
    <t>Performed checked up</t>
  </si>
  <si>
    <t>UPS AT1K240323ST0047 for observation because of some water residue,need to dry up</t>
  </si>
  <si>
    <t>https://www.jotform.com/uploads/macarewecare/222927978372067/6094695976399428949/6094695976399428949_signature_28.png</t>
  </si>
  <si>
    <t>https://www.jotform.com/uploads/macarewecare/222927978372067/6094695976399428949/6094695976399428949_signature_31.png</t>
  </si>
  <si>
    <t>Marikina City</t>
  </si>
  <si>
    <t>As per enduser they encounter water leakage inside laboratory</t>
  </si>
  <si>
    <t>UPS AT1K240323ST0045 for observation because of some water residue,need to dry up</t>
  </si>
  <si>
    <t>https://www.jotform.com/uploads/macarewecare/222927978372067/6094695576394380504/6094695576394380504_signature_28.png</t>
  </si>
  <si>
    <t>https://www.jotform.com/uploads/macarewecare/222927978372067/6094695576394380504/6094695576394380504_signature_31.png</t>
  </si>
  <si>
    <t xml:space="preserve">ASSAY: Xpert CT/NG, COUNT: 481
ASSAY: Xpert HPV, COUNT: 250
ASSAY: Xpert SARS-CoV-2, COUNT: 1251
ASSAY: Xpress SARS-CoV-2_Flu_RSV plus, COUNT: 197
</t>
  </si>
  <si>
    <t>For module replacement B3 210084566 - 220008197
B1 220007358 encounter temp error for reporting.</t>
  </si>
  <si>
    <t>B1 disabled due to temp error
B2,B3,B4 operational</t>
  </si>
  <si>
    <t>https://www.jotform.com/uploads/macarewecare/222927978372067/6094695226396807384/6094695226396807384_signature_28.png</t>
  </si>
  <si>
    <t>Aldwin Kristofer M. Orpilla</t>
  </si>
  <si>
    <t>https://www.jotform.com/uploads/macarewecare/222927978372067/6094695226396807384/6094695226396807384_signature_31.png</t>
  </si>
  <si>
    <t>shairaanmaulod@gmail.com</t>
  </si>
  <si>
    <t xml:space="preserve">ASSAY: Xpert MTB/RIF Ultra, COUNT: 2301
</t>
  </si>
  <si>
    <t>Module 3 and 4 h/w failed</t>
  </si>
  <si>
    <t>Replaced module 768535 and 674481 with new Modules 688833 and 701396 respectively.</t>
  </si>
  <si>
    <t>https://www.jotform.com/uploads/macarewecare/222927978372067/6093564364419200391/6093564364419200391_signature_28.png</t>
  </si>
  <si>
    <t>Shaira-An Asma F. Maulod</t>
  </si>
  <si>
    <t>https://www.jotform.com/uploads/macarewecare/222927978372067/6093564364419200391/6093564364419200391_signature_31.png</t>
  </si>
  <si>
    <t xml:space="preserve">ASSAY: Xpert BCR-ABL Ultra, COUNT: 1
ASSAY: Xpert HBV VL, COUNT: 7
ASSAY: Xpert MTB/RIF Ultra, COUNT: 1091
ASSAY: Xpert HCV VL, COUNT: 4
ASSAY: Xpert HIV-1 Viral Load, COUNT: 57
</t>
  </si>
  <si>
    <t>https://www.jotform.com/uploads/macarewecare/222927978372067/6092768276429759274/6092768276429759274_signature_28.png</t>
  </si>
  <si>
    <t>https://www.jotform.com/uploads/macarewecare/222927978372067/6092768276429759274/6092768276429759274_signature_31.png</t>
  </si>
  <si>
    <t>Defective module B3 712987</t>
  </si>
  <si>
    <t>New module installed b3 210044938
Clean Fan Filter
data IQR, system log and Assay stats</t>
  </si>
  <si>
    <t>https://www.jotform.com/uploads/macarewecare/222927978372067/6092767870126734360/6092767870126734360_signature_28.png</t>
  </si>
  <si>
    <t>https://www.jotform.com/uploads/macarewecare/222927978372067/6092767870126734360/6092767870126734360_signature_31.png</t>
  </si>
  <si>
    <t>danicaescorpion@gmail.com</t>
  </si>
  <si>
    <t>Defective module B4 678429</t>
  </si>
  <si>
    <t>New installed module B4 803293
Clean Fan Filter
IQR, Sytem log and assay stats</t>
  </si>
  <si>
    <t>https://www.jotform.com/uploads/macarewecare/222927978372067/6092767350123843572/6092767350123843572_signature_28.png</t>
  </si>
  <si>
    <t>Danica Escorpuion</t>
  </si>
  <si>
    <t>https://www.jotform.com/uploads/macarewecare/222927978372067/6092767350123843572/6092767350123843572_signature_31.png</t>
  </si>
  <si>
    <t>Pozorubio Rural Health Unit</t>
  </si>
  <si>
    <t>Pozorubio Pangasinan</t>
  </si>
  <si>
    <t>Module B1:638011 for module replacement</t>
  </si>
  <si>
    <t>Preventive maintenance 
Repair</t>
  </si>
  <si>
    <t>https://www.jotform.com/uploads/macarewecare/222927978372067/6092766175517250277/6092766175517250277_signature_28.png</t>
  </si>
  <si>
    <t>Jinky Grace C. Lumague</t>
  </si>
  <si>
    <t>https://www.jotform.com/uploads/macarewecare/222927978372067/6092766175517250277/6092766175517250277_signature_31.png</t>
  </si>
  <si>
    <t>labmedsci@gmail.com</t>
  </si>
  <si>
    <t xml:space="preserve">ASSAY: Xpert MTB/RIF Ultra, COUNT: 206
ASSAY: Xpert HIV-1 Viral Load, COUNT: 2
ASSAY: Xpress SARS-CoV-2_Flu_RSV plus, COUNT: 34
</t>
  </si>
  <si>
    <t>Performed surface cleaning 
Performed cleaning of plunger rod, cartridge bay, icore and filter 
Performed functionality test 
Gathered reports</t>
  </si>
  <si>
    <t>Under observation for error 5007</t>
  </si>
  <si>
    <t>https://www.jotform.com/uploads/macarewecare/222927978372067/6092765875514276142/6092765875514276142_signature_28.png</t>
  </si>
  <si>
    <t>Annabelle L. Catbagan</t>
  </si>
  <si>
    <t>https://www.jotform.com/uploads/macarewecare/222927978372067/6092765875514276142/6092765875514276142_signature_31.png</t>
  </si>
  <si>
    <t xml:space="preserve">ASSAY: Xpert BCR-ABL Ultra, COUNT: 14
ASSAY: Xpert HBV VL, COUNT: 52
ASSAY: Xpert MTB/RIF Ultra, COUNT: 596
ASSAY: Xpert SARS-CoV-2, COUNT: 378
ASSAY: Xpert HCV VL, COUNT: 29
ASSAY: Xpert HIV-1 Viral Load, COUNT: 11
</t>
  </si>
  <si>
    <t>https://www.jotform.com/uploads/macarewecare/222927978372067/6092756926424286666/6092756926424286666_signature_28.png</t>
  </si>
  <si>
    <t>Jing Jing Hong</t>
  </si>
  <si>
    <t>https://www.jotform.com/uploads/macarewecare/222927978372067/6092756926424286666/6092756926424286666_signature_31.png</t>
  </si>
  <si>
    <t>https://www.jotform.com/uploads/macarewecare/222927978372067/6092742358337283609/6092742358337283609_signature_28.png</t>
  </si>
  <si>
    <t>Nicole Acosta</t>
  </si>
  <si>
    <t>https://www.jotform.com/uploads/macarewecare/222927978372067/6092742358337283609/6092742358337283609_signature_31.png</t>
  </si>
  <si>
    <t>WESTERN VISAYAS STATE UNIVERSITY HOSPITAL</t>
  </si>
  <si>
    <t xml:space="preserve">ASSAY: Xpert HBV VL, COUNT: 3
ASSAY: Xpert HPV, COUNT: 13
ASSAY: Xpert MTB-XDR, COUNT: 2
ASSAY: Xpert HCV VL, COUNT: 1
ASSAY: Xpert HIV-1 Viral Load, COUNT: 4
</t>
  </si>
  <si>
    <t>https://www.jotform.com/uploads/macarewecare/222927978372067/6092740475532146981/6092740475532146981_signature_28.png</t>
  </si>
  <si>
    <t>R. MANALO JR.</t>
  </si>
  <si>
    <t>https://www.jotform.com/uploads/macarewecare/222927978372067/6092740475532146981/6092740475532146981_signature_31.png</t>
  </si>
  <si>
    <t>sandycecille.perlado26@gmail.com</t>
  </si>
  <si>
    <t>GXIV 6C D</t>
  </si>
  <si>
    <t>Performed PM
Replacrd Module B3
Generated report</t>
  </si>
  <si>
    <t>Checked and cleaned cartridge bays, plunger rod, icore slot and filter
Replaced B3
625372 -&gt; 210003782</t>
  </si>
  <si>
    <t>Gx Module 6C</t>
  </si>
  <si>
    <t>DR 12400</t>
  </si>
  <si>
    <t>https://www.jotform.com/uploads/macarewecare/222927978372067/6092730883617430894/6092730883617430894_signature_28.png</t>
  </si>
  <si>
    <t>Sandy Cecille Velasco</t>
  </si>
  <si>
    <t>https://www.jotform.com/uploads/macarewecare/222927978372067/6092730883617430894/6092730883617430894_signature_31.png</t>
  </si>
  <si>
    <t>GUIMARAS PROVINCIAL HEALTH OFFICE</t>
  </si>
  <si>
    <t>GUIMARAS, ILOILO</t>
  </si>
  <si>
    <t>PACKING FOR TRANSFER</t>
  </si>
  <si>
    <t xml:space="preserve">ASSAY: Xpert MTB/RIF Ultra, COUNT: 1250
</t>
  </si>
  <si>
    <t>https://www.jotform.com/uploads/macarewecare/222927978372067/6092642614629121156/6092642614629121156_signature_28.png</t>
  </si>
  <si>
    <t>Mylene Publico</t>
  </si>
  <si>
    <t>https://www.jotform.com/uploads/macarewecare/222927978372067/6092642614629121156/6092642614629121156_signature_31.png</t>
  </si>
  <si>
    <t xml:space="preserve">ASSAY: Xpert MTB/RIF Ultra, COUNT: 503
</t>
  </si>
  <si>
    <t>https://www.jotform.com/uploads/macarewecare/222927978372067/6092628802618483701/6092628802618483701_signature_28.png</t>
  </si>
  <si>
    <t>https://www.jotform.com/uploads/macarewecare/222927978372067/6092628802618483701/6092628802618483701_signature_31.png</t>
  </si>
  <si>
    <t>Amorsolo St., Makati</t>
  </si>
  <si>
    <t xml:space="preserve">ASSAY: Xpert BCR-ABL Ultra, COUNT: 223
ASSAY: Xpert CT/NG, COUNT: 824
ASSAY: Xpert HBV VL, COUNT: 2
ASSAY: Xpert HPV, COUNT: 729
ASSAY: Xpert MTB/RIF Ultra, COUNT: 3346
ASSAY: Others, COUNT: 12
ASSAY: Xpert HCV VL, COUNT: 96
ASSAY: Xpert HIV-1 Viral Load, COUNT: 1979
</t>
  </si>
  <si>
    <t>B1 reported already for replacement 
B2,B3 failed xpertcheck
B4 passed xpertcheck</t>
  </si>
  <si>
    <t>https://www.jotform.com/uploads/macarewecare/222927978372067/6092568849708304709/6092568849708304709_signature_28.png</t>
  </si>
  <si>
    <t>https://www.jotform.com/uploads/macarewecare/222927978372067/6092568849708304709/6092568849708304709_signature_31.png</t>
  </si>
  <si>
    <t xml:space="preserve">ASSAY: Xpert MTB/RIF Ultra, COUNT: 1311
</t>
  </si>
  <si>
    <t>For Troubleshooting, Preventive Maintenance and Calibration</t>
  </si>
  <si>
    <t>Performed Troubleshooting, Preventive Maintenance and Calibration</t>
  </si>
  <si>
    <t>- Unit is Partially Operational 
- Module A3 (807809) Failed XpertCheck, For Reporting</t>
  </si>
  <si>
    <t>DR 12346</t>
  </si>
  <si>
    <t>https://www.jotform.com/uploads/macarewecare/222927978372067/6092564582417943436/6092564582417943436_signature_28.png</t>
  </si>
  <si>
    <t>Rachel A.Caddan</t>
  </si>
  <si>
    <t>https://www.jotform.com/uploads/macarewecare/222927978372067/6092564582417943436/6092564582417943436_signature_31.png</t>
  </si>
  <si>
    <t>Negros Oriental Provincial Hospital</t>
  </si>
  <si>
    <t>Dumaguete City, Negros Oriental</t>
  </si>
  <si>
    <t xml:space="preserve">ASSAY: Xpert HIV-1 Viral Load, COUNT: 13
ASSAY: Xpert MTB-XDR, COUNT: 38
ASSAY: Xpert MTB/RIF Ultra, COUNT: 1803
</t>
  </si>
  <si>
    <t>GX-4 6c</t>
  </si>
  <si>
    <t>Module A4/690680 failed latest Xpertcheck.</t>
  </si>
  <si>
    <t>- Replaced module A4 with new module SN 717194.</t>
  </si>
  <si>
    <t>- A1, A2, A4 operational;
- A3 for observation, encountering E4016.</t>
  </si>
  <si>
    <t>DR 12382</t>
  </si>
  <si>
    <t>https://www.jotform.com/uploads/macarewecare/222927978372067/6092074674478203327/6092074674478203327_signature_28.png</t>
  </si>
  <si>
    <t>Rezel Marie Lagos</t>
  </si>
  <si>
    <t>https://www.jotform.com/uploads/macarewecare/222927978372067/6092074674478203327/6092074674478203327_signature_31.png</t>
  </si>
  <si>
    <t>Carcar City Health Office</t>
  </si>
  <si>
    <t>Valladolid Carcar City</t>
  </si>
  <si>
    <t>chaska.lp14@gmail.com</t>
  </si>
  <si>
    <t xml:space="preserve">ASSAY: Xpert MTB/RIF Ultra, COUNT: 1780
</t>
  </si>
  <si>
    <t>Module 1 SN 808271 failed during calibration.</t>
  </si>
  <si>
    <t>Replacement of New Module SN# 210051956</t>
  </si>
  <si>
    <t>https://www.jotform.com/uploads/macarewecare/222927978372067/6091902808584185442/6091902808584185442_signature_28.png</t>
  </si>
  <si>
    <t>Lucille Potoy</t>
  </si>
  <si>
    <t>https://www.jotform.com/uploads/macarewecare/222927978372067/6091902808584185442/6091902808584185442_signature_31.png</t>
  </si>
  <si>
    <t>Bolinao, Tabuk City, Kalinga</t>
  </si>
  <si>
    <t>https://www.jotform.com/uploads/macarewecare/222927978372067/6091895116612484561/6091895116612484561_signature_28.png</t>
  </si>
  <si>
    <t>Leo Mark Belgica</t>
  </si>
  <si>
    <t>https://www.jotform.com/uploads/macarewecare/222927978372067/6091895116612484561/6091895116612484561_signature_31.png</t>
  </si>
  <si>
    <t xml:space="preserve">ASSAY: Xpert MTB/RIF Ultra, COUNT: 1045
</t>
  </si>
  <si>
    <t>https://www.jotform.com/uploads/macarewecare/222927978372067/6091880271418899391/6091880271418899391_signature_28.png</t>
  </si>
  <si>
    <t>https://www.jotform.com/uploads/macarewecare/222927978372067/6091880271418899391/6091880271418899391_signature_31.png</t>
  </si>
  <si>
    <t>Brgy. Nazareth, Cagayan de Oro City</t>
  </si>
  <si>
    <t>Stuck Cartridge at Module B1</t>
  </si>
  <si>
    <t>Manually removed Stuck Cartridge</t>
  </si>
  <si>
    <t>https://www.jotform.com/uploads/macarewecare/222927978372067/6091872397473161391/6091872397473161391_signature_28.png</t>
  </si>
  <si>
    <t>Nanette B. Tolentino</t>
  </si>
  <si>
    <t>https://www.jotform.com/uploads/macarewecare/222927978372067/6091872397473161391/6091872397473161391_signature_31.png</t>
  </si>
  <si>
    <t>Module B2 and B3 for Service Required</t>
  </si>
  <si>
    <t>Replaced the Defective Module SN: 861943 with new Module SN: 662813
Replaced the Defective Module SN: 86144 with new Modules SN: 668209
Clean Surface Area, Cartridge Bay, Plunger Rod, Fan Filters and Icore Lenses
Generate IQR, Assay Stat and System Log</t>
  </si>
  <si>
    <t>DR 12388 and DR 12387</t>
  </si>
  <si>
    <t>https://www.jotform.com/uploads/macarewecare/222927978372067/6091854566517373410/6091854566517373410_signature_28.png</t>
  </si>
  <si>
    <t>Ilyssa Jann J Ibañez</t>
  </si>
  <si>
    <t>https://www.jotform.com/uploads/macarewecare/222927978372067/6091854566517373410/6091854566517373410_signature_31.png</t>
  </si>
  <si>
    <t xml:space="preserve">ASSAY: Xpert MTB/RIF Ultra, COUNT: 656
</t>
  </si>
  <si>
    <t>https://www.jotform.com/uploads/macarewecare/222927978372067/6091841659128649989/6091841659128649989_signature_28.png</t>
  </si>
  <si>
    <t>https://www.jotform.com/uploads/macarewecare/222927978372067/6091841659128649989/6091841659128649989_signature_31.png</t>
  </si>
  <si>
    <t>https://www.jotform.com/uploads/macarewecare/222927978372067/6091796246917345366/6091796246917345366_signature_28.png</t>
  </si>
  <si>
    <t>https://www.jotform.com/uploads/macarewecare/222927978372067/6091796246917345366/6091796246917345366_signature_31.png</t>
  </si>
  <si>
    <t xml:space="preserve">ASSAY: Xpert CT/NG, COUNT: 1
ASSAY: Xpert HBV VL, COUNT: 78
ASSAY: Xpert MTB/RIF Ultra, COUNT: 340
ASSAY: Xpert SARS-CoV-2, COUNT: 1909
ASSAY: Xpert HCV VL, COUNT: 20
ASSAY: Xpert HIV-1 Viral Load, COUNT: 252
ASSAY: Xpress SARS-CoV-2_Flu_RSV plus, COUNT: 886
</t>
  </si>
  <si>
    <t>Module 4 Error</t>
  </si>
  <si>
    <t>Performed Module Replacement
B4(210034759 - 611093)</t>
  </si>
  <si>
    <t>https://www.jotform.com/uploads/macarewecare/222927978372067/6091765128618803470/6091765128618803470_signature_28.png</t>
  </si>
  <si>
    <t>https://www.jotform.com/uploads/macarewecare/222927978372067/6091765128618803470/6091765128618803470_signature_31.png</t>
  </si>
  <si>
    <t xml:space="preserve">ASSAY: Xpert MTB/RIF Ultra, COUNT: 2286
</t>
  </si>
  <si>
    <t>- Unit is Partially Operational 
- Module 1 (678653) For Reporting 
- Module 2 (651808) Already Reported</t>
  </si>
  <si>
    <t>https://www.jotform.com/uploads/macarewecare/222927978372067/6091760247518857555/6091760247518857555_signature_28.png</t>
  </si>
  <si>
    <t>Donnel Gonzales</t>
  </si>
  <si>
    <t>https://www.jotform.com/uploads/macarewecare/222927978372067/6091760247518857555/6091760247518857555_signature_31.png</t>
  </si>
  <si>
    <t xml:space="preserve">ASSAY: Xpert MTB/RIF Ultra, COUNT: 650
ASSAY: Xpert HIV-1 Viral Load, COUNT: 1
</t>
  </si>
  <si>
    <t>FOR MODULE C4 REPLACEMENT</t>
  </si>
  <si>
    <t>-PERFORM PM PROCEDURE
-PERFORM MODULE C4 REPLACEMENT
DEF SN:808247
NEW SN: 890802</t>
  </si>
  <si>
    <t>https://www.jotform.com/uploads/macarewecare/222927978372067/6091747887421479717/6091747887421479717_signature_28.png</t>
  </si>
  <si>
    <t>https://www.jotform.com/uploads/macarewecare/222927978372067/6091747887421479717/6091747887421479717_signature_31.png</t>
  </si>
  <si>
    <t>Garcia Memorial Hospital</t>
  </si>
  <si>
    <t>Defective Module B4 with serial number 807026.</t>
  </si>
  <si>
    <t>. Save Installation Qualification Report. 
. Save System Log file. 
. Save Assay Statistics Report</t>
  </si>
  <si>
    <t>Replace Module B4 with new serial number 807026.</t>
  </si>
  <si>
    <t>All module's are functional ok to use.</t>
  </si>
  <si>
    <t>https://www.jotform.com/uploads/macarewecare/222927978372067/6091719943321941080/6091719943321941080_signature_28.png</t>
  </si>
  <si>
    <t>Rosalina A. Ybañez</t>
  </si>
  <si>
    <t>https://www.jotform.com/uploads/macarewecare/222927978372067/6091719943321941080/6091719943321941080_signature_31.png</t>
  </si>
  <si>
    <t xml:space="preserve">ASSAY: Xpert HBV VL, COUNT: 212
ASSAY: Xpert HBV VL, COUNT: 6
ASSAY: Xpert SARS-CoV-2, COUNT: 198
ASSAY: Xpert HCV VL, COUNT: 46
ASSAY: Xpert HIV-1 Viral Load, COUNT: 38
</t>
  </si>
  <si>
    <t>https://www.jotform.com/uploads/macarewecare/222927978372067/6091713017515950086/6091713017515950086_signature_28.png</t>
  </si>
  <si>
    <t>Rhea Acosta</t>
  </si>
  <si>
    <t>https://www.jotform.com/uploads/macarewecare/222927978372067/6091713017515950086/6091713017515950086_signature_31.png</t>
  </si>
  <si>
    <t>DON JOSE S. MONFORT MEDICAL CENTER</t>
  </si>
  <si>
    <t>FOR MODULE B3 REPLACEMENT</t>
  </si>
  <si>
    <t>COLLECT IQR,SYSTEM LOG, AND ARCHIVE</t>
  </si>
  <si>
    <t>-PERFORM PREVENTIVE MAINTENANCE PROCEDURE
-PERFORM MODULE B3 DEF SN: 862361 REPLACEMENT WITH NEW SN:210030546</t>
  </si>
  <si>
    <t>MODULE B2 FOR REPORTING</t>
  </si>
  <si>
    <t>https://www.jotform.com/uploads/macarewecare/222927978372067/6091697335417284331/6091697335417284331_signature_28.png</t>
  </si>
  <si>
    <t>https://www.jotform.com/uploads/macarewecare/222927978372067/6091697335417284331/6091697335417284331_signature_31.png</t>
  </si>
  <si>
    <t>Silay City</t>
  </si>
  <si>
    <t>tljphmollab02@gmail.com</t>
  </si>
  <si>
    <t>Defective module A4 sn 805849</t>
  </si>
  <si>
    <t>New module installed A4 SN 675288
Clean Fan Filter
Lastest IQR, system log and assay stats</t>
  </si>
  <si>
    <t>Systems operational
Module A2 Error 1002 from 10/4/2024 to 10/11/2024
Module A1 Error 5015, 5011, 5016</t>
  </si>
  <si>
    <t>https://www.jotform.com/uploads/macarewecare/222927978372067/6091107618427237667/6091107618427237667_signature_28.png</t>
  </si>
  <si>
    <t>Richelle Anne A. APUYAN</t>
  </si>
  <si>
    <t>https://www.jotform.com/uploads/macarewecare/222927978372067/6091107618427237667/6091107618427237667_signature_31.png</t>
  </si>
  <si>
    <t>Poblacion, Monkayo Davao de Oro</t>
  </si>
  <si>
    <t xml:space="preserve">ASSAY: Xpert MTB/RIF Ultra, COUNT: 1799
</t>
  </si>
  <si>
    <t>Module B1 and B3 for Service Required
Due for Preventive Maintenance
UPS problem
Monitor Display Problem</t>
  </si>
  <si>
    <t>Replaced the Defective Module SN: 643605 with new Module SN: 730899
Replaced the Defective Module SN: 862220 with new Module SN: 761214
Clean Surface Area, Cartridge Bay, Plunger Rod, Fan Filters and Icore Lenses
Generate IQR, Assay Stat and System Log
Check line voltages for UPS</t>
  </si>
  <si>
    <t>All Modules are operational
Documented the error at UPS, no battery during battery mode
Documented LCD Display Error
Errors will be sent for further assessment</t>
  </si>
  <si>
    <t>DR 12373 and DR 12374</t>
  </si>
  <si>
    <t>https://www.jotform.com/uploads/macarewecare/222927978372067/6091045964444670498/6091045964444670498_signature_28.png</t>
  </si>
  <si>
    <t>https://www.jotform.com/uploads/macarewecare/222927978372067/6091045964444670498/6091045964444670498_signature_31.png</t>
  </si>
  <si>
    <t>CPU Hard to power on</t>
  </si>
  <si>
    <t>Troubleshoot CPU
Replaced CMOS Battery</t>
  </si>
  <si>
    <t>CPU for Observation</t>
  </si>
  <si>
    <t>https://www.jotform.com/uploads/macarewecare/222927978372067/6091043592918453459/6091043592918453459_signature_28.png</t>
  </si>
  <si>
    <t>https://www.jotform.com/uploads/macarewecare/222927978372067/6091043592918453459/6091043592918453459_signature_31.png</t>
  </si>
  <si>
    <t>Valencia City Health Office</t>
  </si>
  <si>
    <t>New Terminal, Hagkol, Valencia</t>
  </si>
  <si>
    <t>caluyajopay@gmail.com</t>
  </si>
  <si>
    <t>Replacing Module B4 with SN: 808072 to SN: 879826</t>
  </si>
  <si>
    <t>https://www.jotform.com/uploads/macarewecare/222927978372067/6091032914732465819/6091032914732465819_signature_28.png</t>
  </si>
  <si>
    <t>Jonalyn Dablio</t>
  </si>
  <si>
    <t>https://www.jotform.com/uploads/macarewecare/222927978372067/6091032914732465819/6091032914732465819_signature_31.png</t>
  </si>
  <si>
    <t>For troubleshooting c/o Cepheid instructions.</t>
  </si>
  <si>
    <t>Performed troubleshooting.
Swapped module C3 to C4.
Performed blank test running.
Generated reports.</t>
  </si>
  <si>
    <t>https://www.jotform.com/uploads/macarewecare/222927978372067/6091013033961525057/6091013033961525057_signature_28.png</t>
  </si>
  <si>
    <t>https://www.jotform.com/uploads/macarewecare/222927978372067/6091013033961525057/6091013033961525057_signature_31.png</t>
  </si>
  <si>
    <t>For checking of centrifuge.</t>
  </si>
  <si>
    <t>Performed troubleshooting of MCS+.
Verified calibration parameters.
Performed simulation running.
Performed multiple cycles.</t>
  </si>
  <si>
    <t>Unit is operational. Centrifuge calibration parameters are okay. For replacement of worn-out rubber roller.</t>
  </si>
  <si>
    <t>https://www.jotform.com/uploads/macarewecare/222927978372067/6090974402126768108/6090974402126768108_signature_28.png</t>
  </si>
  <si>
    <t>ROSELYN JRA C ALUA</t>
  </si>
  <si>
    <t>https://www.jotform.com/uploads/macarewecare/222927978372067/6090974402126768108/6090974402126768108_signature_31.png</t>
  </si>
  <si>
    <t xml:space="preserve">ASSAY: Xpert MTB/RIF Ultra, COUNT: 1152
</t>
  </si>
  <si>
    <t>Module A4/862905 defective</t>
  </si>
  <si>
    <t>1 Genexpert Module 6C</t>
  </si>
  <si>
    <t>https://www.jotform.com/uploads/macarewecare/222927978372067/6090965134533268691/6090965134533268691_signature_28.png</t>
  </si>
  <si>
    <t>https://www.jotform.com/uploads/macarewecare/222927978372067/6090965134533268691/6090965134533268691_signature_31.png</t>
  </si>
  <si>
    <t>Brgy Smart, Gonzaga, Cagayan</t>
  </si>
  <si>
    <t>Module 1 Error
UPS problem</t>
  </si>
  <si>
    <t>Performed Module Replacement
B1(698770 - 210004167)
Replaced UPS</t>
  </si>
  <si>
    <t>UPS and Genexpert Module</t>
  </si>
  <si>
    <t>https://www.jotform.com/uploads/macarewecare/222927978372067/6090957818801698018/6090957818801698018_signature_28.png</t>
  </si>
  <si>
    <t>https://www.jotform.com/uploads/macarewecare/222927978372067/6090957818801698018/6090957818801698018_signature_31.png</t>
  </si>
  <si>
    <t xml:space="preserve">ASSAY: Xpert MTB/RIF Ultra, COUNT: 1162
ASSAY: Xpert MTB-XDR, COUNT: 2
ASSAY: Xpert HIV-1 Viral Load, COUNT: 24
</t>
  </si>
  <si>
    <t>https://www.jotform.com/uploads/macarewecare/222927978372067/6090949387025308118/6090949387025308118_signature_28.png</t>
  </si>
  <si>
    <t>https://www.jotform.com/uploads/macarewecare/222927978372067/6090949387025308118/6090949387025308118_signature_31.png</t>
  </si>
  <si>
    <t xml:space="preserve">ASSAY: Xpert MTB/RIF Ultra, COUNT: 939
</t>
  </si>
  <si>
    <t>https://www.jotform.com/uploads/macarewecare/222927978372067/6090919723677206562/6090919723677206562_signature_28.png</t>
  </si>
  <si>
    <t>Sherlita Esmeralda</t>
  </si>
  <si>
    <t>https://www.jotform.com/uploads/macarewecare/222927978372067/6090919723677206562/6090919723677206562_signature_31.png</t>
  </si>
  <si>
    <t>Poblacion, Quezon</t>
  </si>
  <si>
    <t>quenxlopez@gmail.com</t>
  </si>
  <si>
    <t>Replacing Module B2 with SN: 629512 to SN: 882700
Preventive Maintenance</t>
  </si>
  <si>
    <t>https://www.jotform.com/uploads/macarewecare/222927978372067/6090888310526770284/6090888310526770284_signature_28.png</t>
  </si>
  <si>
    <t>Quenie Lopez</t>
  </si>
  <si>
    <t>https://www.jotform.com/uploads/macarewecare/222927978372067/6090888310526770284/6090888310526770284_signature_31.png</t>
  </si>
  <si>
    <t>TAPAZ RURAL HEALTH UNIT</t>
  </si>
  <si>
    <t>TAPAZ, CAPIZ</t>
  </si>
  <si>
    <t>rhulabtapaz@gmail.com</t>
  </si>
  <si>
    <t xml:space="preserve">ASSAY: Xpert MTB/RIF Ultra, COUNT: 638
ASSAY: Xpert HIV-1 Viral Load, COUNT: 68
</t>
  </si>
  <si>
    <t>-PERFORM PREVENTIVE MAINTENANCE PROCEDURE
-PERFORM MODULE B2 REPLACEMENT
DEF SN: 806570
NEW SN: 890453</t>
  </si>
  <si>
    <t>Certified Pre-Owned GeneXpert Module</t>
  </si>
  <si>
    <t>https://www.jotform.com/uploads/macarewecare/222927978372067/6090887877357980907/6090887877357980907_signature_28.png</t>
  </si>
  <si>
    <t>Ma. Jorlyn Oliva</t>
  </si>
  <si>
    <t>https://www.jotform.com/uploads/macarewecare/222927978372067/6090887877357980907/6090887877357980907_signature_31.png</t>
  </si>
  <si>
    <t>UPS Defective</t>
  </si>
  <si>
    <t>https://www.jotform.com/uploads/macarewecare/222927978372067/6090880577092850152/6090880577092850152_signature_28.png</t>
  </si>
  <si>
    <t>Kimberly Nicolas</t>
  </si>
  <si>
    <t>https://www.jotform.com/uploads/macarewecare/222927978372067/6090880577092850152/6090880577092850152_signature_31.png</t>
  </si>
  <si>
    <t>https://www.jotform.com/uploads/macarewecare/222927978372067/6090880567092981559/6090880567092981559_signature_28.png</t>
  </si>
  <si>
    <t>https://www.jotform.com/uploads/macarewecare/222927978372067/6090880567092981559/6090880567092981559_signature_31.png</t>
  </si>
  <si>
    <t>diannecm8@gmail.com</t>
  </si>
  <si>
    <t>Module B4/703735 failed latest Xpertcheck; status HW Fail</t>
  </si>
  <si>
    <t>Replaced module B4 with new module SN 210074162.</t>
  </si>
  <si>
    <t>DR 12352</t>
  </si>
  <si>
    <t>https://www.jotform.com/uploads/macarewecare/222927978372067/6090362125425780860/6090362125425780860_signature_28.png</t>
  </si>
  <si>
    <t>Dianne Mi-ot, RMT</t>
  </si>
  <si>
    <t>https://www.jotform.com/uploads/macarewecare/222927978372067/6090362125425780860/6090362125425780860_signature_31.png</t>
  </si>
  <si>
    <t>RTDL Laboratory</t>
  </si>
  <si>
    <t xml:space="preserve">ASSAY: Xpert MTB/RIF Ultra, COUNT: 607
</t>
  </si>
  <si>
    <t>B1/862627 for Module Replacement</t>
  </si>
  <si>
    <t>Module Replaced: B1 - 862627&gt;&gt;601367
Cleaned cartridge bays, plunger rod 
Generate</t>
  </si>
  <si>
    <t>B1/862627 module replaced 
Performed Preventive Maintenance</t>
  </si>
  <si>
    <t>https://www.jotform.com/uploads/macarewecare/222927978372067/6090278504319110083/6090278504319110083_signature_28.png</t>
  </si>
  <si>
    <t>https://www.jotform.com/uploads/macarewecare/222927978372067/6090278504319110083/6090278504319110083_signature_31.png</t>
  </si>
  <si>
    <t>Bahay Toro, Project 8, Quezon City</t>
  </si>
  <si>
    <t>GXIV 10C L</t>
  </si>
  <si>
    <t>Performed preventive maintenance
Performed reliability test</t>
  </si>
  <si>
    <t>Checked and cleaned cartridge bays, plunger rod, icore slot and filter
Installed TV assay</t>
  </si>
  <si>
    <t>https://www.jotform.com/uploads/macarewecare/222927978372067/6090204157898253125/6090204157898253125_signature_28.png</t>
  </si>
  <si>
    <t>Anne Kristine Oquila</t>
  </si>
  <si>
    <t>https://www.jotform.com/uploads/macarewecare/222927978372067/6090204157898253125/6090204157898253125_signature_31.png</t>
  </si>
  <si>
    <t xml:space="preserve">ASSAY: Xpert MTB/RIF Ultra, COUNT: 1325
</t>
  </si>
  <si>
    <t>Module B3 for Service Required
Due for Preventive Maintenance</t>
  </si>
  <si>
    <t>Replaced the Defective Module SN: 860973 with new Module SN: 912643
Clean Surface Area, Cartridge Bay, Plunger Rod, Fan Filters and Icore Lenses
Generate IQR, Assay Stat and System Log</t>
  </si>
  <si>
    <t>Performed Preventive Maintenance and Module Replacement</t>
  </si>
  <si>
    <t>DR 12361</t>
  </si>
  <si>
    <t>https://www.jotform.com/uploads/macarewecare/222927978372067/6090168626773396126/6090168626773396126_signature_28.png</t>
  </si>
  <si>
    <t>Rosemarie B. Dy</t>
  </si>
  <si>
    <t>https://www.jotform.com/uploads/macarewecare/222927978372067/6090168626773396126/6090168626773396126_signature_31.png</t>
  </si>
  <si>
    <t>Project 7, Quezon City</t>
  </si>
  <si>
    <t xml:space="preserve">ASSAY: Xpert CT/NG, COUNT: 21
ASSAY: Xpert HBV VL, COUNT: 10
ASSAY: Xpert HCV VL, COUNT: 7
ASSAY: Xpert HIV-1 Viral Load, COUNT: 465
</t>
  </si>
  <si>
    <t>Performed preventive maintenance
Performed reliability test
Generated report</t>
  </si>
  <si>
    <t>https://www.jotform.com/uploads/macarewecare/222927978372067/6090150388917314125/6090150388917314125_signature_28.png</t>
  </si>
  <si>
    <t>https://www.jotform.com/uploads/macarewecare/222927978372067/6090150388917314125/6090150388917314125_signature_31.png</t>
  </si>
  <si>
    <t>Tacloban City Health Office</t>
  </si>
  <si>
    <t xml:space="preserve">ASSAY: Xpert MTB/RIF Ultra, COUNT: 1159
</t>
  </si>
  <si>
    <t>https://www.jotform.com/uploads/macarewecare/222927978372067/6090134245423849426/6090134245423849426_signature_28.png</t>
  </si>
  <si>
    <t>https://www.jotform.com/uploads/macarewecare/222927978372067/6090134245423849426/6090134245423849426_signature_31.png</t>
  </si>
  <si>
    <t>BIOPATH CAP</t>
  </si>
  <si>
    <t xml:space="preserve">ASSAY: Xpert CT/NG, COUNT: 2
ASSAY: Xpert HPV, COUNT: 27
ASSAY: Xpress SARS-CoV-2_Flu_RSV plus, COUNT: 18
ASSAY: Xpert HCV VL, COUNT: 4
</t>
  </si>
  <si>
    <t>GX-XVI</t>
  </si>
  <si>
    <t>-PERFORM DIAGNOSIS AND TROUBLESHOOTING, CONFIRM UPS DEFECTIVE
-UPS MODEL PRO902-WS DEFECTIVE SN: 565701183400184</t>
  </si>
  <si>
    <t>GX EQUIPMENT IS OPERATIONAL, UPS/UPS BATTER FOR REPLACEMENT</t>
  </si>
  <si>
    <t>https://www.jotform.com/uploads/macarewecare/222927978372067/6089984935847250855/6089984935847250855_signature_28.png</t>
  </si>
  <si>
    <t>Mary Joy C. kee</t>
  </si>
  <si>
    <t>https://www.jotform.com/uploads/macarewecare/222927978372067/6089984935847250855/6089984935847250855_signature_31.png</t>
  </si>
  <si>
    <t>Due for Annual XpertCheck Calibration
For Preventive Maintenance
UPS no battery load</t>
  </si>
  <si>
    <t>Clean Surface Area, Cartridge Bay, Plunger Rod, Fan Filters, and Icore Lenses
Generate IQR, Assay Stat and System Log
Archived Data test results
Run XpertCheck on four modules
Check Line Voltages and troubleshoot the UPS
Install GX Sticker</t>
  </si>
  <si>
    <t>Perform Preventive Maintenance, XPC Calibration and UPS Troubleshooting</t>
  </si>
  <si>
    <t>Module B2 for Service Required
Defective UPS, no load during Battery Mode</t>
  </si>
  <si>
    <t>UPS error Documented for further assessment</t>
  </si>
  <si>
    <t>DR 12002</t>
  </si>
  <si>
    <t>https://www.jotform.com/uploads/macarewecare/222927978372067/6089338879123115815/6089338879123115815_signature_28.png</t>
  </si>
  <si>
    <t>https://www.jotform.com/uploads/macarewecare/222927978372067/6089338879123115815/6089338879123115815_signature_31.png</t>
  </si>
  <si>
    <t>madriaga860@gmail.com</t>
  </si>
  <si>
    <t xml:space="preserve">ASSAY: Xpert MTB/RIF Ultra, COUNT: 391
ASSAY: Xpert MTB-XDR, COUNT: 27
ASSAY: Xpert HIV-1 Viral Load, COUNT: 115
</t>
  </si>
  <si>
    <t>https://www.jotform.com/uploads/macarewecare/222927978372067/6089290013617524725/6089290013617524725_signature_28.png</t>
  </si>
  <si>
    <t>John Michael Madriaga</t>
  </si>
  <si>
    <t>https://www.jotform.com/uploads/macarewecare/222927978372067/6089290013617524725/6089290013617524725_signature_31.png</t>
  </si>
  <si>
    <t xml:space="preserve">ASSAY: Xpert MTB/RIF Ultra, COUNT: 1174
ASSAY: Xpert MTB-XDR, COUNT: 2
ASSAY: Xpert HIV-1 Viral Load, COUNT: 24
</t>
  </si>
  <si>
    <t>https://www.jotform.com/uploads/macarewecare/222927978372067/6089290013619157983/6089290013619157983_signature_28.png</t>
  </si>
  <si>
    <t>https://www.jotform.com/uploads/macarewecare/222927978372067/6089290013619157983/6089290013619157983_signature_31.png</t>
  </si>
  <si>
    <t>Quezon Boulevard, Brgy  Poblacion, Davao City</t>
  </si>
  <si>
    <t>Module B2 for service required , and due for Preventive Maintenance</t>
  </si>
  <si>
    <t>Clean Surface Area, Cartridge Bay, Plunger Rod, Fan Filters and Icore Lenses
Generate IQR, Assay Stat and System Log
Replace the defective Module SN: 860769 with new Module SN: 210061057</t>
  </si>
  <si>
    <t>Perform module replacement and Preventive Maintenance</t>
  </si>
  <si>
    <t>DR 12353</t>
  </si>
  <si>
    <t>https://www.jotform.com/uploads/macarewecare/222927978372067/6089283606771045494/6089283606771045494_signature_28.png</t>
  </si>
  <si>
    <t>Joy L. Nio,. RMT</t>
  </si>
  <si>
    <t>https://www.jotform.com/uploads/macarewecare/222927978372067/6089283606771045494/6089283606771045494_signature_31.png</t>
  </si>
  <si>
    <t xml:space="preserve">ASSAY: Xpert MTB/RIF Ultra, COUNT: 205
ASSAY: Xpert HIV-1 Viral Load, COUNT: 1
ASSAY: Xpress SARS-CoV-2_Flu_RSV plus, COUNT: 29
</t>
  </si>
  <si>
    <t>https://www.jotform.com/uploads/macarewecare/222927978372067/6089277868448658999/6089277868448658999_signature_28.png</t>
  </si>
  <si>
    <t>https://www.jotform.com/uploads/macarewecare/222927978372067/6089277868448658999/6089277868448658999_signature_31.png</t>
  </si>
  <si>
    <t xml:space="preserve">ASSAY: Xpert MTB/RIF Ultra, COUNT: 938
</t>
  </si>
  <si>
    <t>https://www.jotform.com/uploads/macarewecare/222927978372067/6089276688443707878/6089276688443707878_signature_28.png</t>
  </si>
  <si>
    <t>https://www.jotform.com/uploads/macarewecare/222927978372067/6089276688443707878/6089276688443707878_signature_31.png</t>
  </si>
  <si>
    <t xml:space="preserve">ASSAY: Xpert MTB/RIF Ultra, COUNT: 1224
</t>
  </si>
  <si>
    <t>DR 11361</t>
  </si>
  <si>
    <t>https://www.jotform.com/uploads/macarewecare/222927978372067/6089272608446055868/6089272608446055868_signature_28.png</t>
  </si>
  <si>
    <t>https://www.jotform.com/uploads/macarewecare/222927978372067/6089272608446055868/6089272608446055868_signature_31.png</t>
  </si>
  <si>
    <t>https://www.jotform.com/uploads/macarewecare/222927978372067/6089271038449392826/6089271038449392826_signature_28.png</t>
  </si>
  <si>
    <t>https://www.jotform.com/uploads/macarewecare/222927978372067/6089271038449392826/6089271038449392826_signature_31.png</t>
  </si>
  <si>
    <t>Urdaneta, Pangasinan</t>
  </si>
  <si>
    <t xml:space="preserve">ASSAY: Xpert MTB/RIF Ultra, COUNT: 205
ASSAY: Xpress SARS-CoV-2_Flu_RSV plus, COUNT: 24
</t>
  </si>
  <si>
    <t>For Preventive Maintenance due to Error 5007</t>
  </si>
  <si>
    <t>https://www.jotform.com/uploads/macarewecare/222927978372067/6089268978442096741/6089268978442096741_signature_28.png</t>
  </si>
  <si>
    <t>https://www.jotform.com/uploads/macarewecare/222927978372067/6089268978442096741/6089268978442096741_signature_31.png</t>
  </si>
  <si>
    <t xml:space="preserve">ASSAY: Xpert MTB/RIF Ultra, COUNT: 743
</t>
  </si>
  <si>
    <t>https://www.jotform.com/uploads/macarewecare/222927978372067/6089268028441185032/6089268028441185032_signature_28.png</t>
  </si>
  <si>
    <t>https://www.jotform.com/uploads/macarewecare/222927978372067/6089268028441185032/6089268028441185032_signature_31.png</t>
  </si>
  <si>
    <t>Detoxicare Molecular Diagnostics Laboratory</t>
  </si>
  <si>
    <t>fortuna.mandapat@detoxicare.com.ph</t>
  </si>
  <si>
    <t>moses.pineda@detoxicare.com.ph</t>
  </si>
  <si>
    <t>Unit for installation
Unit from Detoxicare Shaw</t>
  </si>
  <si>
    <t>https://www.jotform.com/uploads/macarewecare/222927978372067/6089221673371224619/6089221673371224619_signature_28.png</t>
  </si>
  <si>
    <t>John Moses Pineda</t>
  </si>
  <si>
    <t>https://www.jotform.com/uploads/macarewecare/222927978372067/6089221673371224619/6089221673371224619_signature_31.png</t>
  </si>
  <si>
    <t>molecular.onco@detoxicare.com.ph</t>
  </si>
  <si>
    <t>Pulled out unit</t>
  </si>
  <si>
    <t>https://www.jotform.com/uploads/macarewecare/222927978372067/6089216893372797183/6089216893372797183_signature_28.png</t>
  </si>
  <si>
    <t>https://www.jotform.com/uploads/macarewecare/222927978372067/6089216893372797183/6089216893372797183_signature_31.png</t>
  </si>
  <si>
    <t>https://www.jotform.com/uploads/macarewecare/222927978372067/6089170473377898560/6089170473377898560_signature_28.png</t>
  </si>
  <si>
    <t>https://www.jotform.com/uploads/macarewecare/222927978372067/6089170473377898560/6089170473377898560_signature_31.png</t>
  </si>
  <si>
    <t>Line sensor no minimum sensitivity limit problem and UPS battery problem.</t>
  </si>
  <si>
    <t>Check line sensor and UPS battery supply voltage.
Replacement of pump in blood draw line.</t>
  </si>
  <si>
    <t>Check line sensor and UPS battery supply voltage.</t>
  </si>
  <si>
    <t>The unit is standby for UPS battery replacement.</t>
  </si>
  <si>
    <t>https://www.jotform.com/uploads/macarewecare/222927978372067/6089161320524741040/6089161320524741040_signature_28.png</t>
  </si>
  <si>
    <t>https://www.jotform.com/uploads/macarewecare/222927978372067/6089161320524741040/6089161320524741040_signature_31.png</t>
  </si>
  <si>
    <t xml:space="preserve">ASSAY: Xpert BCR-ABL Ultra, COUNT: 55
ASSAY: Xpert MTB/RIF Ultra, COUNT: 2306
ASSAY: Xpert SARS-CoV-2, COUNT: 1071
ASSAY: Xpress SARS-CoV-2_Flu_RSV plus, COUNT: 1425
</t>
  </si>
  <si>
    <t>Encounter continous error 5007 in xpress cov2/flu/rsv plus
Due for maintenance</t>
  </si>
  <si>
    <t>Operational in other assay</t>
  </si>
  <si>
    <t>https://www.jotform.com/uploads/macarewecare/222927978372067/6089093543617431161/6089093543617431161_signature_28.png</t>
  </si>
  <si>
    <t>Jessica Faye Basilla</t>
  </si>
  <si>
    <t>https://www.jotform.com/uploads/macarewecare/222927978372067/6089093543617431161/6089093543617431161_signature_31.png</t>
  </si>
  <si>
    <t xml:space="preserve">ASSAY: Xpert MTB/RIF Ultra, COUNT: 309
ASSAY: Xpert SARS-CoV-2, COUNT: 600
ASSAY: Xpert HIV-1 Viral Load, COUNT: 107
</t>
  </si>
  <si>
    <t>Due for maintenance
B1,B4 reported already failed in xpertcheck
B3 encounter intermittent temp error</t>
  </si>
  <si>
    <t>B1,B3,B4 disabled</t>
  </si>
  <si>
    <t>https://www.jotform.com/uploads/macarewecare/222927978372067/6089093193619956446/6089093193619956446_signature_28.png</t>
  </si>
  <si>
    <t>https://www.jotform.com/uploads/macarewecare/222927978372067/6089093193619956446/6089093193619956446_signature_31.png</t>
  </si>
  <si>
    <t xml:space="preserve">ASSAY: Xpert BCR-ABL Ultra, COUNT: 1545
ASSAY: Xpert CT/NG, COUNT: 5
ASSAY: Others, COUNT: 121
ASSAY: Xpert HBV VL, COUNT: 1065
ASSAY: Xpert HPV, COUNT: 145
ASSAY: Xpert MTB/RIF Ultra, COUNT: 2369
ASSAY: Others, COUNT: 3
ASSAY: Xpert SARS-CoV-2, COUNT: 8441
ASSAY: Xpert HCV VL, COUNT: 151
</t>
  </si>
  <si>
    <t>Due for maintenance
A4 for reporting encounter temp error 1002,4009
A1,A2,C2,,D2 reported already for replacement
C4 reported already warranty</t>
  </si>
  <si>
    <t>10 modules operational</t>
  </si>
  <si>
    <t>https://www.jotform.com/uploads/macarewecare/222927978372067/6089092503619703960/6089092503619703960_signature_28.png</t>
  </si>
  <si>
    <t>https://www.jotform.com/uploads/macarewecare/222927978372067/6089092503619703960/6089092503619703960_signature_31.png</t>
  </si>
  <si>
    <t>National Kidney and Transplant Institue</t>
  </si>
  <si>
    <t xml:space="preserve">ASSAY: Xpert BCR-ABL Ultra, COUNT: 64
ASSAY: Others, COUNT: 4
ASSAY: Xpert HBV VL, COUNT: 24
ASSAY: Xpert HPV, COUNT: 3
ASSAY: Xpert MTB/RIF Ultra, COUNT: 100
ASSAY: Xpert HCV VL, COUNT: 8
</t>
  </si>
  <si>
    <t>Due for maintenance
B4 encounter intermmitent temp error 4012,1002</t>
  </si>
  <si>
    <t>B4 for observation</t>
  </si>
  <si>
    <t>Work with Gian Magnaye</t>
  </si>
  <si>
    <t>https://www.jotform.com/uploads/macarewecare/222927978372067/6089091863611453771/6089091863611453771_signature_28.png</t>
  </si>
  <si>
    <t>https://www.jotform.com/uploads/macarewecare/222927978372067/6089091863611453771/6089091863611453771_signature_31.png</t>
  </si>
  <si>
    <t xml:space="preserve">ASSAY: Xpert CT/NG, COUNT: 2
ASSAY: Xpert HPV, COUNT: 8
ASSAY: Xpert MTB/RIF Ultra, COUNT: 115
</t>
  </si>
  <si>
    <t>Due for maintenance
A1,A2,B1,B3,C1,,C3,C4 encounter loss comm.
B4 encounter continous temp error 4010,4009,4012
C2 intermittent encounter 4012
Malfunction of lan cable rj45</t>
  </si>
  <si>
    <t>A3,A4,B2 operational</t>
  </si>
  <si>
    <t>For replacement of lan cable rj45</t>
  </si>
  <si>
    <t>https://www.jotform.com/uploads/macarewecare/222927978372067/6089090833614954389/6089090833614954389_signature_28.png</t>
  </si>
  <si>
    <t>https://www.jotform.com/uploads/macarewecare/222927978372067/6089090833614954389/6089090833614954389_signature_31.png</t>
  </si>
  <si>
    <t>https://www.jotform.com/uploads/macarewecare/222927978372067/6088641416865779062/6088641416865779062_signature_28.png</t>
  </si>
  <si>
    <t>https://www.jotform.com/uploads/macarewecare/222927978372067/6088641416865779062/6088641416865779062_signature_31.png</t>
  </si>
  <si>
    <t>Prk. Rosas, Lake Sebu, South Cotabato</t>
  </si>
  <si>
    <t>https://www.jotform.com/uploads/macarewecare/222927978372067/6088641416869865261/6088641416869865261_signature_28.png</t>
  </si>
  <si>
    <t>https://www.jotform.com/uploads/macarewecare/222927978372067/6088641416869865261/6088641416869865261_signature_31.png</t>
  </si>
  <si>
    <t xml:space="preserve">ASSAY: Xpert HBV VL, COUNT: 94
ASSAY: Xpert MTB/RIF Ultra, COUNT: 692
ASSAY: Xpert CT/NG, COUNT: 53
ASSAY: Xpert HCV VL, COUNT: 8
ASSAY: Xpert HIV-1 Viral Load, COUNT: 205
</t>
  </si>
  <si>
    <t>Performed Maintenance
Cleaned Plunger Rod
Cleaned Cartridge Bay
Cleaned Filter
Cleaned Icore</t>
  </si>
  <si>
    <t>https://www.jotform.com/uploads/macarewecare/222927978372067/6086736102229795477/6086736102229795477_signature_28.png</t>
  </si>
  <si>
    <t>Sharey R. Capati</t>
  </si>
  <si>
    <t>https://www.jotform.com/uploads/macarewecare/222927978372067/6086736102229795477/6086736102229795477_signature_31.png</t>
  </si>
  <si>
    <t>Love Your Self</t>
  </si>
  <si>
    <t>HIV Laboratory</t>
  </si>
  <si>
    <t>Due for Preventive maintenance.</t>
  </si>
  <si>
    <t>Save System Log
Save Installation Qualification
Save Assay statistics</t>
  </si>
  <si>
    <t>. Perform preventive maintenance fo  GeneXert Machine. 
. Plunger rod maintenance 
. Clean filter</t>
  </si>
  <si>
    <t>Module 1,2,3 ok to use 4 not ok use.</t>
  </si>
  <si>
    <t>https://www.jotform.com/uploads/macarewecare/222927978372067/6086734610214681655/6086734610214681655_signature_28.png</t>
  </si>
  <si>
    <t>Paulo Crispo Reforzado Jr</t>
  </si>
  <si>
    <t>https://www.jotform.com/uploads/macarewecare/222927978372067/6086734610214681655/6086734610214681655_signature_31.png</t>
  </si>
  <si>
    <t>Installed the GeneXpert system:
GeneXpert unit 
Workstation 
Barcode scanner 
Printer
UPS 
Performed maintenance 
Generated reports</t>
  </si>
  <si>
    <t>https://www.jotform.com/uploads/macarewecare/222927978372067/6086690722558918770/6086690722558918770_signature_28.png</t>
  </si>
  <si>
    <t>https://www.jotform.com/uploads/macarewecare/222927978372067/6086690722558918770/6086690722558918770_signature_31.png</t>
  </si>
  <si>
    <t>Installated the GeneXpert system:
GeneXpert unit
Workstation 
Barcode scanner 
Printer 
UPS
Performed maintenance 
Generated reports</t>
  </si>
  <si>
    <t>https://www.jotform.com/uploads/macarewecare/222927978372067/6086687172559310214/6086687172559310214_signature_28.png</t>
  </si>
  <si>
    <t>https://www.jotform.com/uploads/macarewecare/222927978372067/6086687172559310214/6086687172559310214_signature_31.png</t>
  </si>
  <si>
    <t>analyn221977@gmail.com</t>
  </si>
  <si>
    <t>https://www.jotform.com/uploads/macarewecare/222927978372067/6086666981329133018/6086666981329133018_signature_28.png</t>
  </si>
  <si>
    <t>Analyn Consuelo</t>
  </si>
  <si>
    <t>https://www.jotform.com/uploads/macarewecare/222927978372067/6086666981329133018/6086666981329133018_signature_31.png</t>
  </si>
  <si>
    <t xml:space="preserve">ASSAY: Xpert HPV, COUNT: 11
ASSAY: Xpert MTB/RIF Ultra, COUNT: 2377
ASSAY: Xpert HIV-1 Viral Load, COUNT: 306
</t>
  </si>
  <si>
    <t>https://www.jotform.com/uploads/macarewecare/222927978372067/6086645474867193926/6086645474867193926_signature_28.png</t>
  </si>
  <si>
    <t>Glydemaere Lecias</t>
  </si>
  <si>
    <t>https://www.jotform.com/uploads/macarewecare/222927978372067/6086645474867193926/6086645474867193926_signature_31.png</t>
  </si>
  <si>
    <t>https://www.jotform.com/uploads/macarewecare/222927978372067/6086570371324000443/6086570371324000443_signature_28.png</t>
  </si>
  <si>
    <t>https://www.jotform.com/uploads/macarewecare/222927978372067/6086570371324000443/6086570371324000443_signature_31.png</t>
  </si>
  <si>
    <t xml:space="preserve">ASSAY: Xpert MTB/RIF Ultra, COUNT: 4
ASSAY: Xpert HIV-1 Viral Load, COUNT: 94
</t>
  </si>
  <si>
    <t>https://www.jotform.com/uploads/macarewecare/222927978372067/6086567267517846473/6086567267517846473_signature_28.png</t>
  </si>
  <si>
    <t>https://www.jotform.com/uploads/macarewecare/222927978372067/6086567267517846473/6086567267517846473_signature_31.png</t>
  </si>
  <si>
    <t>For installation of CPU board.</t>
  </si>
  <si>
    <t>Repair and maintenance.</t>
  </si>
  <si>
    <t>Performed installation of CPU board.
Verified calibration parameters.
Performed simulation running.</t>
  </si>
  <si>
    <t>Unit is now operational. For configuration of UPP parameters c/o Marvin.</t>
  </si>
  <si>
    <t>MCS+ CPU PCB Board Assy.</t>
  </si>
  <si>
    <t>DR#12380</t>
  </si>
  <si>
    <t>https://www.jotform.com/uploads/macarewecare/222927978372067/6085908942122638859/6085908942122638859_signature_28.png</t>
  </si>
  <si>
    <t>https://www.jotform.com/uploads/macarewecare/222927978372067/6085908942122638859/6085908942122638859_signature_31.png</t>
  </si>
  <si>
    <t>For replacement of centrifuge.</t>
  </si>
  <si>
    <t>Performed installation of centrifuge.
Verified calibration parameters.
Performed simulation running.</t>
  </si>
  <si>
    <t>MCS+ Centrifuge Assy.</t>
  </si>
  <si>
    <t>DR#12381</t>
  </si>
  <si>
    <t>https://www.jotform.com/uploads/macarewecare/222927978372067/6085907682127121034/6085907682127121034_signature_28.png</t>
  </si>
  <si>
    <t>https://www.jotform.com/uploads/macarewecare/222927978372067/6085907682127121034/6085907682127121034_signature_31.png</t>
  </si>
  <si>
    <t>. Always error code 2008
. Due for Preventive Maintenance</t>
  </si>
  <si>
    <t>Save System Log file
Save Installation Qualifications 
Save Assay statistics report</t>
  </si>
  <si>
    <t>Perform Preventive Maintenance gor all module's.</t>
  </si>
  <si>
    <t>https://www.jotform.com/uploads/macarewecare/222927978372067/6085882854119859186/6085882854119859186_signature_28.png</t>
  </si>
  <si>
    <t>https://www.jotform.com/uploads/macarewecare/222927978372067/6085882854119859186/6085882854119859186_signature_31.png</t>
  </si>
  <si>
    <t>Cleaned cartridge bays, plunger rod, icore 
Checked fan filter
Generate Data</t>
  </si>
  <si>
    <t>https://www.jotform.com/uploads/macarewecare/222927978372067/6085881196639576298/6085881196639576298_signature_28.png</t>
  </si>
  <si>
    <t>Dr. Ramirez</t>
  </si>
  <si>
    <t>https://www.jotform.com/uploads/macarewecare/222927978372067/6085881196639576298/6085881196639576298_signature_31.png</t>
  </si>
  <si>
    <t>Quezon Avemue QC</t>
  </si>
  <si>
    <t>https://www.jotform.com/uploads/macarewecare/222927978372067/6085628553615935835/6085628553615935835_signature_28.png</t>
  </si>
  <si>
    <t>https://www.jotform.com/uploads/macarewecare/222927978372067/6085628553615935835/6085628553615935835_signature_31.png</t>
  </si>
  <si>
    <t>Donor Room</t>
  </si>
  <si>
    <t>Performed maintenancs</t>
  </si>
  <si>
    <t>https://www.jotform.com/uploads/macarewecare/222927978372067/6085628023615818947/6085628023615818947_signature_28.png</t>
  </si>
  <si>
    <t>IVAN RITZ ROMERO</t>
  </si>
  <si>
    <t>https://www.jotform.com/uploads/macarewecare/222927978372067/6085628023615818947/6085628023615818947_signature_31.png</t>
  </si>
  <si>
    <t xml:space="preserve">ASSAY: Xpert HPV, COUNT: 84
ASSAY: Xpert MTB/RIF Ultra, COUNT: 279
ASSAY: Xpert SARS-CoV-2, COUNT: 848
ASSAY: Others, COUNT: 65
</t>
  </si>
  <si>
    <t>https://www.jotform.com/uploads/macarewecare/222927978372067/6085069875515127331/6085069875515127331_signature_28.png</t>
  </si>
  <si>
    <t>Vince Daryll Navarro</t>
  </si>
  <si>
    <t>https://www.jotform.com/uploads/macarewecare/222927978372067/6085069875515127331/6085069875515127331_signature_31.png</t>
  </si>
  <si>
    <t>RHIVDA Laboratory</t>
  </si>
  <si>
    <t xml:space="preserve">ASSAY: Xpert HBV VL, COUNT: 242
ASSAY: Xpert HCV VL, COUNT: 54
ASSAY: Xpert HIV-1 Viral Load, COUNT: 1683
</t>
  </si>
  <si>
    <t>https://www.jotform.com/uploads/macarewecare/222927978372067/6085069605519354285/6085069605519354285_signature_28.png</t>
  </si>
  <si>
    <t>Criselle C. Medina</t>
  </si>
  <si>
    <t>https://www.jotform.com/uploads/macarewecare/222927978372067/6085069605519354285/6085069605519354285_signature_31.png</t>
  </si>
  <si>
    <t>Preventive Maintenance
Clean Fan Filter
IQR, SYSTEM LOG &amp; ASSAY STATS</t>
  </si>
  <si>
    <t>https://www.jotform.com/uploads/macarewecare/222927978372067/6085021267414777430/6085021267414777430_signature_28.png</t>
  </si>
  <si>
    <t>https://www.jotform.com/uploads/macarewecare/222927978372067/6085021267414777430/6085021267414777430_signature_31.png</t>
  </si>
  <si>
    <t>Sampaguita St. Makati</t>
  </si>
  <si>
    <t>Kaylareynaldo77@gmail.com</t>
  </si>
  <si>
    <t xml:space="preserve">ASSAY: Xpert MTB/RIF Ultra, COUNT: 198
</t>
  </si>
  <si>
    <t>https://www.jotform.com/uploads/macarewecare/222927978372067/6084870079633597903/6084870079633597903_signature_28.png</t>
  </si>
  <si>
    <t>https://www.jotform.com/uploads/macarewecare/222927978372067/6084870079633597903/6084870079633597903_signature_31.png</t>
  </si>
  <si>
    <t xml:space="preserve">ASSAY: Xpert MTB/RIF Ultra, COUNT: 622
ASSAY: Others, COUNT: 6
ASSAY: Xpert SARS-CoV-2, COUNT: 835
</t>
  </si>
  <si>
    <t>Fue for xpertcheck A1,A2,B1,B2,C2,D1,D3,D4</t>
  </si>
  <si>
    <t>A1,D4,B1 passed xpertcheck
D1,D3 retry lack of xpertcheck kits
A2,B2,C2 failed in xpertcheck</t>
  </si>
  <si>
    <t>https://www.jotform.com/uploads/macarewecare/222927978372067/6084867172596110679/6084867172596110679_signature_28.png</t>
  </si>
  <si>
    <t>https://www.jotform.com/uploads/macarewecare/222927978372067/6084867172596110679/6084867172596110679_signature_31.png</t>
  </si>
  <si>
    <t>Quezon City General Hospital (2)</t>
  </si>
  <si>
    <t>Seminary Rd. Proj 8, Quezon City</t>
  </si>
  <si>
    <t xml:space="preserve">ASSAY: Xpert MTB/RIF Ultra, COUNT: 52
</t>
  </si>
  <si>
    <t>Checked and cleaned cartridge bays, plunger rod, icore slot and filter</t>
  </si>
  <si>
    <t>https://www.jotform.com/uploads/macarewecare/222927978372067/6084107071419452058/6084107071419452058_signature_28.png</t>
  </si>
  <si>
    <t>Jomari Bryan D. Litonjua</t>
  </si>
  <si>
    <t>https://www.jotform.com/uploads/macarewecare/222927978372067/6084107071419452058/6084107071419452058_signature_31.png</t>
  </si>
  <si>
    <t>Time not sync. Unable to boot cpu.</t>
  </si>
  <si>
    <t>CMOS Battery Replacement, Cleaning and Reseating RAM
Preventive Maintenance</t>
  </si>
  <si>
    <t>https://www.jotform.com/uploads/macarewecare/222927978372067/6084089372411923097/6084089372411923097_signature_28.png</t>
  </si>
  <si>
    <t>https://www.jotform.com/uploads/macarewecare/222927978372067/6084089372411923097/6084089372411923097_signature_31.png</t>
  </si>
  <si>
    <t>N.S. Amoranto Sr. St., Quezon City</t>
  </si>
  <si>
    <t>pcr@hi-precision.com.ph</t>
  </si>
  <si>
    <t xml:space="preserve">ASSAY: Xpert CT/NG, COUNT: 118
ASSAY: Xpert MTB/RIF Ultra, COUNT: 7582
</t>
  </si>
  <si>
    <t>A2 Error 5007</t>
  </si>
  <si>
    <t>Performed preverntive maintenance
Archived results
Generated report</t>
  </si>
  <si>
    <t>View results
Checked and cleaned cartridge bays, plunger rod, icore slot and filter
Performed reliability Test</t>
  </si>
  <si>
    <t>Unut is operational
A2 for monitoring</t>
  </si>
  <si>
    <t>https://www.jotform.com/uploads/macarewecare/222927978372067/6084060571114436975/6084060571114436975_signature_28.png</t>
  </si>
  <si>
    <t>https://www.jotform.com/uploads/macarewecare/222927978372067/6084060571114436975/6084060571114436975_signature_31.png</t>
  </si>
  <si>
    <t>Biopath Clinical Diagnostics -ERod</t>
  </si>
  <si>
    <t>Garden Heights Condominium, 269 E. Rodriguez Sr. Ave., Quezon City</t>
  </si>
  <si>
    <t>RBC BIOSCIENCE</t>
  </si>
  <si>
    <t>biopathqc@biopath.ph</t>
  </si>
  <si>
    <t>MagCore Plus II</t>
  </si>
  <si>
    <t>P26R021720135</t>
  </si>
  <si>
    <t>Performed surface cleaning
Performed preventive maintenance and calibration
Checked and verified alignment values
Performed water run
Performed functionality test</t>
  </si>
  <si>
    <t>https://www.jotform.com/uploads/macarewecare/222927978372067/6083936123617211626/6083936123617211626_signature_28.png</t>
  </si>
  <si>
    <t>Amanda Inocentes</t>
  </si>
  <si>
    <t>https://www.jotform.com/uploads/macarewecare/222927978372067/6083936123617211626/6083936123617211626_signature_31.png</t>
  </si>
  <si>
    <t xml:space="preserve">ASSAY: Xpert MTB/RIF Ultra, COUNT: 416
</t>
  </si>
  <si>
    <t>UPS defective SN/ AT1000190123ST0195</t>
  </si>
  <si>
    <t>1 unit UPS</t>
  </si>
  <si>
    <t>https://www.jotform.com/uploads/macarewecare/222927978372067/6083355124694118920/6083355124694118920_signature_28.png</t>
  </si>
  <si>
    <t>https://www.jotform.com/uploads/macarewecare/222927978372067/6083355124694118920/6083355124694118920_signature_31.png</t>
  </si>
  <si>
    <t>PERKIN ELMER</t>
  </si>
  <si>
    <t>Pre Nat II</t>
  </si>
  <si>
    <t>3310-2141</t>
  </si>
  <si>
    <t>https://www.jotform.com/uploads/macarewecare/222927978372067/6083287896314838981/6083287896314838981_signature_28.png</t>
  </si>
  <si>
    <t>https://www.jotform.com/uploads/macarewecare/222927978372067/6083287896314838981/6083287896314838981_signature_31.png</t>
  </si>
  <si>
    <t>P26R022020135</t>
  </si>
  <si>
    <t>https://www.jotform.com/uploads/macarewecare/222927978372067/6083287896319853796/6083287896319853796_signature_28.png</t>
  </si>
  <si>
    <t>https://www.jotform.com/uploads/macarewecare/222927978372067/6083287896319853796/6083287896319853796_signature_31.png</t>
  </si>
  <si>
    <t>Performed surface cleaning
Performed preventive maintenance and calibration
Verified temperatures at -80°C
Performed functionality test</t>
  </si>
  <si>
    <t>https://www.jotform.com/uploads/macarewecare/222927978372067/6083230533611724718/6083230533611724718_signature_28.png</t>
  </si>
  <si>
    <t>https://www.jotform.com/uploads/macarewecare/222927978372067/6083230533611724718/6083230533611724718_signature_31.png</t>
  </si>
  <si>
    <t>MedX</t>
  </si>
  <si>
    <t>LX-B50L</t>
  </si>
  <si>
    <t>F5020078</t>
  </si>
  <si>
    <t>Performed surface cleaning
Performed preventive maintenance and calibration
Verified temperatures at 129°C
Performed functionality test</t>
  </si>
  <si>
    <t>https://www.jotform.com/uploads/macarewecare/222927978372067/6083230533618421339/6083230533618421339_signature_28.png</t>
  </si>
  <si>
    <t>https://www.jotform.com/uploads/macarewecare/222927978372067/6083230533618421339/6083230533618421339_signature_31.png</t>
  </si>
  <si>
    <t>TSX2330FZ</t>
  </si>
  <si>
    <t>Performed surface cleaning
Performed preventive maintenance and calibration
Verified temperatures at -20°C
Performed functionality test</t>
  </si>
  <si>
    <t>https://www.jotform.com/uploads/macarewecare/222927978372067/6083230533619577714/6083230533619577714_signature_28.png</t>
  </si>
  <si>
    <t>https://www.jotform.com/uploads/macarewecare/222927978372067/6083230533619577714/6083230533619577714_signature_31.png</t>
  </si>
  <si>
    <t>Biobase</t>
  </si>
  <si>
    <t>BKQ-B50 II</t>
  </si>
  <si>
    <t>BKQ50II2007541</t>
  </si>
  <si>
    <t>Performed surface cleaning
Performed preventive maintenance and calibration
Verified temperatures at 134°C
Performed functionality test</t>
  </si>
  <si>
    <t>https://www.jotform.com/uploads/macarewecare/222927978372067/6083230533619830276/6083230533619830276_signature_28.png</t>
  </si>
  <si>
    <t>https://www.jotform.com/uploads/macarewecare/222927978372067/6083230533619830276/6083230533619830276_signature_31.png</t>
  </si>
  <si>
    <t>Condura</t>
  </si>
  <si>
    <t>CTD3113MNI</t>
  </si>
  <si>
    <t>Performed surface cleaning
Performed preventive maintenance and calibration
Verified temperatures at 2°C, 8°C, and -20°C
Performed functionality test</t>
  </si>
  <si>
    <t>https://www.jotform.com/uploads/macarewecare/222927978372067/6083230473612840706/6083230473612840706_signature_28.png</t>
  </si>
  <si>
    <t>https://www.jotform.com/uploads/macarewecare/222927978372067/6083230473612840706/6083230473612840706_signature_31.png</t>
  </si>
  <si>
    <t>IFA-32-8</t>
  </si>
  <si>
    <t>2020-T05163</t>
  </si>
  <si>
    <t>Performed surface cleaning
Performed preventive maintenance and calibration
Verified temperatures at 56°C and 60°C
Performed functionality test</t>
  </si>
  <si>
    <t>https://www.jotform.com/uploads/macarewecare/222927978372067/6083230473615204543/6083230473615204543_signature_28.png</t>
  </si>
  <si>
    <t>https://www.jotform.com/uploads/macarewecare/222927978372067/6083230473615204543/6083230473615204543_signature_31.png</t>
  </si>
  <si>
    <t>2020-T05006</t>
  </si>
  <si>
    <t>https://www.jotform.com/uploads/macarewecare/222927978372067/6083230473615936615/6083230473615936615_signature_28.png</t>
  </si>
  <si>
    <t>https://www.jotform.com/uploads/macarewecare/222927978372067/6083230473615936615/6083230473615936615_signature_31.png</t>
  </si>
  <si>
    <t>CBC283-NL</t>
  </si>
  <si>
    <t>688103101W</t>
  </si>
  <si>
    <t>Performed surface cleaning
Performed preventive maintenance and calibration
Verified temperatures at 2°C and 8°C
Performed functionality test</t>
  </si>
  <si>
    <t>https://www.jotform.com/uploads/macarewecare/222927978372067/6083230473619248883/6083230473619248883_signature_28.png</t>
  </si>
  <si>
    <t>https://www.jotform.com/uploads/macarewecare/222927978372067/6083230473619248883/6083230473619248883_signature_31.png</t>
  </si>
  <si>
    <t>688103125W</t>
  </si>
  <si>
    <t>https://www.jotform.com/uploads/macarewecare/222927978372067/6083230473619944648/6083230473619944648_signature_28.png</t>
  </si>
  <si>
    <t>https://www.jotform.com/uploads/macarewecare/222927978372067/6083230473619944648/6083230473619944648_signature_31.png</t>
  </si>
  <si>
    <t>Medifuge</t>
  </si>
  <si>
    <t>Performed surface cleaning
Performed preventive maintenance and calibration
Verified speeds at 1000rpm and 5000rpm
Performed functionality test</t>
  </si>
  <si>
    <t>https://www.jotform.com/uploads/macarewecare/222927978372067/6083230413612143504/6083230413612143504_signature_28.png</t>
  </si>
  <si>
    <t>https://www.jotform.com/uploads/macarewecare/222927978372067/6083230413612143504/6083230413612143504_signature_31.png</t>
  </si>
  <si>
    <t>MySpin 12</t>
  </si>
  <si>
    <t>HSH12116</t>
  </si>
  <si>
    <t>Performed surface cleaning
Performed preventive maintenance and calibration
Verified speeds at 500rpm and 12500rpm
Performed functionality test</t>
  </si>
  <si>
    <t>https://www.jotform.com/uploads/macarewecare/222927978372067/6083230413614715880/6083230413614715880_signature_28.png</t>
  </si>
  <si>
    <t>https://www.jotform.com/uploads/macarewecare/222927978372067/6083230413614715880/6083230413614715880_signature_31.png</t>
  </si>
  <si>
    <t>HSH12119</t>
  </si>
  <si>
    <t>https://www.jotform.com/uploads/macarewecare/222927978372067/6083230413614955320/6083230413614955320_signature_28.png</t>
  </si>
  <si>
    <t>https://www.jotform.com/uploads/macarewecare/222927978372067/6083230413614955320/6083230413614955320_signature_31.png</t>
  </si>
  <si>
    <t>HSH12117</t>
  </si>
  <si>
    <t>https://www.jotform.com/uploads/macarewecare/222927978372067/6083230413617248010/6083230413617248010_signature_28.png</t>
  </si>
  <si>
    <t>https://www.jotform.com/uploads/macarewecare/222927978372067/6083230413617248010/6083230413617248010_signature_31.png</t>
  </si>
  <si>
    <t>EZ Swing</t>
  </si>
  <si>
    <t>https://www.jotform.com/uploads/macarewecare/222927978372067/6083230413617307879/6083230413617307879_signature_28.png</t>
  </si>
  <si>
    <t>https://www.jotform.com/uploads/macarewecare/222927978372067/6083230413617307879/6083230413617307879_signature_31.png</t>
  </si>
  <si>
    <t>Iris</t>
  </si>
  <si>
    <t>StatSpin Express 2</t>
  </si>
  <si>
    <t>731M50106146</t>
  </si>
  <si>
    <t>Performed surface cleaning
Performed preventive maintenance and calibration
Verified speeds at 1000rpm and 3000rpm
Performed functionality test</t>
  </si>
  <si>
    <t>https://www.jotform.com/uploads/macarewecare/222927978372067/6083230353611937211/6083230353611937211_signature_28.png</t>
  </si>
  <si>
    <t>https://www.jotform.com/uploads/macarewecare/222927978372067/6083230353611937211/6083230353611937211_signature_31.png</t>
  </si>
  <si>
    <t>Vortex Mixer</t>
  </si>
  <si>
    <t>K3CT82010445</t>
  </si>
  <si>
    <t>Performed surface cleaning
Performed preventive maintenance and calibration
Verified speeds at 200rpm and 3000rpm
Performed functionality test</t>
  </si>
  <si>
    <t>https://www.jotform.com/uploads/macarewecare/222927978372067/6083230353613412316/6083230353613412316_signature_28.png</t>
  </si>
  <si>
    <t>https://www.jotform.com/uploads/macarewecare/222927978372067/6083230353613412316/6083230353613412316_signature_31.png</t>
  </si>
  <si>
    <t>Thermal Mixer</t>
  </si>
  <si>
    <t>Performed surface cleaning
Performed preventive maintenance and calibration
Verified speeds at 500rpm and 2000rpm
Verified temperatures at 55°C and 60°C
Performed functionality test</t>
  </si>
  <si>
    <t>https://www.jotform.com/uploads/macarewecare/222927978372067/6083230353613923563/6083230353613923563_signature_28.png</t>
  </si>
  <si>
    <t>https://www.jotform.com/uploads/macarewecare/222927978372067/6083230353613923563/6083230353613923563_signature_31.png</t>
  </si>
  <si>
    <t>K3CT82010446</t>
  </si>
  <si>
    <t>https://www.jotform.com/uploads/macarewecare/222927978372067/6083230353617580995/6083230353617580995_signature_28.png</t>
  </si>
  <si>
    <t>https://www.jotform.com/uploads/macarewecare/222927978372067/6083230353617580995/6083230353617580995_signature_31.png</t>
  </si>
  <si>
    <t>K3CT82010021</t>
  </si>
  <si>
    <t>https://www.jotform.com/uploads/macarewecare/222927978372067/6083230353619734678/6083230353619734678_signature_28.png</t>
  </si>
  <si>
    <t>https://www.jotform.com/uploads/macarewecare/222927978372067/6083230353619734678/6083230353619734678_signature_31.png</t>
  </si>
  <si>
    <t xml:space="preserve">ASSAY: Xpert MTB/RIF Ultra, COUNT: 4449
ASSAY: Xpert HCV VL, COUNT: 54
ASSAY: Xpert HIV-1 Viral Load, COUNT: 454
</t>
  </si>
  <si>
    <t>https://www.jotform.com/uploads/macarewecare/222927978372067/6083217180529637608/6083217180529637608_signature_28.png</t>
  </si>
  <si>
    <t>Rey C. Mendoza, RMT</t>
  </si>
  <si>
    <t>https://www.jotform.com/uploads/macarewecare/222927978372067/6083217180529637608/6083217180529637608_signature_31.png</t>
  </si>
  <si>
    <t>MODULE B1 AND B3 PENDING</t>
  </si>
  <si>
    <t>https://www.jotform.com/uploads/macarewecare/222927978372067/6083214520521566884/6083214520521566884_signature_28.png</t>
  </si>
  <si>
    <t>https://www.jotform.com/uploads/macarewecare/222927978372067/6083214520521566884/6083214520521566884_signature_31.png</t>
  </si>
  <si>
    <t>Installed GeneXpert 10C System</t>
  </si>
  <si>
    <t>DR 12331</t>
  </si>
  <si>
    <t>https://www.jotform.com/uploads/macarewecare/222927978372067/6083158770289407449/6083158770289407449_signature_28.png</t>
  </si>
  <si>
    <t>https://www.jotform.com/uploads/macarewecare/222927978372067/6083158770289407449/6083158770289407449_signature_31.png</t>
  </si>
  <si>
    <t>St. Luke's Medical Center -Global City</t>
  </si>
  <si>
    <t>Rizal Dr., BGC, Taguig</t>
  </si>
  <si>
    <t>Pull out GeneXpert system</t>
  </si>
  <si>
    <t>Pull out the GeneXpert system
-GeneXpert unit
-UPS
-HP Laptop</t>
  </si>
  <si>
    <t>https://www.jotform.com/uploads/macarewecare/222927978372067/6080715216269296482/6080715216269296482_signature_28.png</t>
  </si>
  <si>
    <t>Ange Sapla</t>
  </si>
  <si>
    <t>https://www.jotform.com/uploads/macarewecare/222927978372067/6080715216269296482/6080715216269296482_signature_31.png</t>
  </si>
  <si>
    <t xml:space="preserve">ASSAY: Xpert CT/NG, COUNT: 2
ASSAY: Xpert HBV VL, COUNT: 19
ASSAY: Xpert HPV, COUNT: 1
ASSAY: Xpert MTB/RIF Ultra, COUNT: 277
ASSAY: Xpert HIV-1 Viral Load, COUNT: 9
</t>
  </si>
  <si>
    <t>No test result generated in module B2 and B3.</t>
  </si>
  <si>
    <t>Performed maintenance 
Cleaned:
-cartridge bay 
-plunger rod 
-icore 
-filter
Checked modules
Generated reports</t>
  </si>
  <si>
    <t>https://www.jotform.com/uploads/macarewecare/222927978372067/6080703115056055396/6080703115056055396_signature_28.png</t>
  </si>
  <si>
    <t>https://www.jotform.com/uploads/macarewecare/222927978372067/6080703115056055396/6080703115056055396_signature_31.png</t>
  </si>
  <si>
    <t>montezakars2199@gmail.com</t>
  </si>
  <si>
    <t>https://www.jotform.com/uploads/macarewecare/222927978372067/6080612670523716059/6080612670523716059_signature_28.png</t>
  </si>
  <si>
    <t>Karen Kay Monteza</t>
  </si>
  <si>
    <t>https://www.jotform.com/uploads/macarewecare/222927978372067/6080612670523716059/6080612670523716059_signature_31.png</t>
  </si>
  <si>
    <t>Zone 1, San Fernando</t>
  </si>
  <si>
    <t>Laboratory Gx</t>
  </si>
  <si>
    <t xml:space="preserve">ASSAY: Xpert MTB/RIF Ultra, COUNT: 838
</t>
  </si>
  <si>
    <t>https://www.jotform.com/uploads/macarewecare/222927978372067/6080580760114983865/6080580760114983865_signature_28.png</t>
  </si>
  <si>
    <t>Wilda t. Bona</t>
  </si>
  <si>
    <t>https://www.jotform.com/uploads/macarewecare/222927978372067/6080580760114983865/6080580760114983865_signature_31.png</t>
  </si>
  <si>
    <t xml:space="preserve">ASSAY: Xpert MTB/RIF Ultra, COUNT: 1651
</t>
  </si>
  <si>
    <t>Module 2 and 4 Waiting for replacement module</t>
  </si>
  <si>
    <t>Perform Genexpert cleaning and maintenance 
Checking of errors 
Data collection</t>
  </si>
  <si>
    <t>https://www.jotform.com/uploads/macarewecare/222927978372067/6079865949495482465/6079865949495482465_signature_28.png</t>
  </si>
  <si>
    <t>https://www.jotform.com/uploads/macarewecare/222927978372067/6079865949495482465/6079865949495482465_signature_31.png</t>
  </si>
  <si>
    <t xml:space="preserve">ASSAY: Xpert CT/NG, COUNT: 19
ASSAY: Others, COUNT: 4
ASSAY: Xpert HPV, COUNT: 25
ASSAY: Xpress SARS-CoV-2_Flu_RSV plus, COUNT: 4
</t>
  </si>
  <si>
    <t>Due for maintenance
A3 disabled due to temp error.
C2 disabled failed xpertcheck</t>
  </si>
  <si>
    <t>14 modules operational</t>
  </si>
  <si>
    <t>https://www.jotform.com/uploads/macarewecare/222927978372067/6079847398624275475/6079847398624275475_signature_28.png</t>
  </si>
  <si>
    <t>https://www.jotform.com/uploads/macarewecare/222927978372067/6079847398624275475/6079847398624275475_signature_31.png</t>
  </si>
  <si>
    <t>San Pablo St. Calabanga, Cam.Sur</t>
  </si>
  <si>
    <t xml:space="preserve">ASSAY: Xpert MTB/RIF Ultra, COUNT: 787
</t>
  </si>
  <si>
    <t>https://www.jotform.com/uploads/macarewecare/222927978372067/6079835291132130043/6079835291132130043_signature_28.png</t>
  </si>
  <si>
    <t>https://www.jotform.com/uploads/macarewecare/222927978372067/6079835291132130043/6079835291132130043_signature_31.png</t>
  </si>
  <si>
    <t>Poblacion Baganga</t>
  </si>
  <si>
    <t xml:space="preserve">ASSAY: Xpert MTB/RIF Ultra, COUNT: 505
</t>
  </si>
  <si>
    <t>For Preventive Maintenance
No power at System Unit
For XpertCheck Calibration</t>
  </si>
  <si>
    <t>Reset Connections and change CMOS battery
Clean Surface Area, Cartridge Bay, Plunger Rod, Fan Filters and Icore Lenses
Generate IQR, Assay Stat and System Log
Run XpertCheck on four modules</t>
  </si>
  <si>
    <t>Perform System Unit Troubleshooting
Perform Preventive Maintenance and XpertCheck Calibration</t>
  </si>
  <si>
    <t>System unit working
All Modules passed the Calibration
All Modules are operational</t>
  </si>
  <si>
    <t>XPERTCHECK CE - 5</t>
  </si>
  <si>
    <t>DR 11997</t>
  </si>
  <si>
    <t>https://www.jotform.com/uploads/macarewecare/222927978372067/6079772558515704230/6079772558515704230_signature_28.png</t>
  </si>
  <si>
    <t>https://www.jotform.com/uploads/macarewecare/222927978372067/6079772558515704230/6079772558515704230_signature_31.png</t>
  </si>
  <si>
    <t xml:space="preserve">ASSAY: Xpert HIV-1 Viral Load, COUNT: 799
</t>
  </si>
  <si>
    <t>Performed maintenance 
Cleaned:
-cartridge bay
-plunger rod 
-icore 
-filter
Replaced module A1</t>
  </si>
  <si>
    <t>Unit is operational. Modules A1 and A3 operational.</t>
  </si>
  <si>
    <t>Old: A1/733228
New: A1/210067862</t>
  </si>
  <si>
    <t>SI# 99098</t>
  </si>
  <si>
    <t>https://www.jotform.com/uploads/macarewecare/222927978372067/6079748305468358483/6079748305468358483_signature_28.png</t>
  </si>
  <si>
    <t>https://www.jotform.com/uploads/macarewecare/222927978372067/6079748305468358483/6079748305468358483_signature_31.png</t>
  </si>
  <si>
    <t>PaTH CHAMP</t>
  </si>
  <si>
    <t>Caruncho Complex Pasig City Mega Market, 1895, 16 Caruncho Ave, San Nicholas, Pasig City</t>
  </si>
  <si>
    <t>Geberated report</t>
  </si>
  <si>
    <t>Setup and installed GX and accessories</t>
  </si>
  <si>
    <t>Unut ia operational.
All modules working</t>
  </si>
  <si>
    <t>https://www.jotform.com/uploads/macarewecare/222927978372067/6079747995124546377/6079747995124546377_signature_28.png</t>
  </si>
  <si>
    <t>https://www.jotform.com/uploads/macarewecare/222927978372067/6079747995124546377/6079747995124546377_signature_31.png</t>
  </si>
  <si>
    <t>Installed the GeneXpert system:
-GeneXpert machine
-workstation
-printer
-barcode scanner
-UPS</t>
  </si>
  <si>
    <t>https://www.jotform.com/uploads/macarewecare/222927978372067/6079747815469922122/6079747815469922122_signature_28.png</t>
  </si>
  <si>
    <t>https://www.jotform.com/uploads/macarewecare/222927978372067/6079747815469922122/6079747815469922122_signature_31.png</t>
  </si>
  <si>
    <t>San Isidro, Pili</t>
  </si>
  <si>
    <t>https://www.jotform.com/uploads/macarewecare/222927978372067/6079708554521463316/6079708554521463316_signature_28.png</t>
  </si>
  <si>
    <t>Marie Christine Nobleza</t>
  </si>
  <si>
    <t>https://www.jotform.com/uploads/macarewecare/222927978372067/6079708554521463316/6079708554521463316_signature_31.png</t>
  </si>
  <si>
    <t>To follow EST</t>
  </si>
  <si>
    <t>https://www.jotform.com/uploads/macarewecare/222927978372067/6079675428326397823/6079675428326397823_signature_28.png</t>
  </si>
  <si>
    <t>https://www.jotform.com/uploads/macarewecare/222927978372067/6079675428326397823/6079675428326397823_signature_31.png</t>
  </si>
  <si>
    <t>Microbiolgy</t>
  </si>
  <si>
    <t xml:space="preserve">ASSAY: Xpert CT/NG, COUNT: 259
ASSAY: Xpert MTB/RIF Ultra, COUNT: 3103
</t>
  </si>
  <si>
    <t>Cleaned unit
Cleaned plunger rod,filter,icore,cartridge bay
Gathered reports
Back up gxx files
Test run unit</t>
  </si>
  <si>
    <t>B1,B2 operational
B3,B4 disabled</t>
  </si>
  <si>
    <t>https://www.jotform.com/uploads/macarewecare/222927978372067/6079637721714135556/6079637721714135556_signature_28.png</t>
  </si>
  <si>
    <t>https://www.jotform.com/uploads/macarewecare/222927978372067/6079637721714135556/6079637721714135556_signature_31.png</t>
  </si>
  <si>
    <t>Phililpine Red Cross</t>
  </si>
  <si>
    <t>CRC bios.</t>
  </si>
  <si>
    <t>Performed onsite troubleshooting.
Resets internal connections.
Checked CPU board.</t>
  </si>
  <si>
    <t>Unit is not operational. For replacement of CPU board.</t>
  </si>
  <si>
    <t>https://www.jotform.com/uploads/macarewecare/222927978372067/6079560770118389563/6079560770118389563_signature_28.png</t>
  </si>
  <si>
    <t>https://www.jotform.com/uploads/macarewecare/222927978372067/6079560770118389563/6079560770118389563_signature_31.png</t>
  </si>
  <si>
    <t>Vinagre</t>
  </si>
  <si>
    <t>jingimperial@gmail.com</t>
  </si>
  <si>
    <t xml:space="preserve">ASSAY: Xpert MTB/RIF Ultra, COUNT: 855
</t>
  </si>
  <si>
    <t>https://www.jotform.com/uploads/macarewecare/222927978372067/6078987659049859217/6078987659049859217_signature_28.png</t>
  </si>
  <si>
    <t>Maria Jesusa P. Imperial</t>
  </si>
  <si>
    <t>https://www.jotform.com/uploads/macarewecare/222927978372067/6078987659049859217/6078987659049859217_signature_31.png</t>
  </si>
  <si>
    <t>Poblacion, San Jose</t>
  </si>
  <si>
    <t>Gx for Preventive Maintenance 
B3/739734 - invalid
UPS no power</t>
  </si>
  <si>
    <t>Run cartridge with no specimen and reagent for B3739734 - 2026 error, H/W failed
Collected GXX file
Tested/Check the battery dependability of UPS
Replaced fuse
Cleaned cartridge bays, plunger rod, icore 
Generate Data</t>
  </si>
  <si>
    <t>Performed Preventive Maintenance 
Performed Troubleshooting for module B3 and UPS</t>
  </si>
  <si>
    <t>Unit is Operational 
UPS non-operational</t>
  </si>
  <si>
    <t>UPS request for battery replacement</t>
  </si>
  <si>
    <t>https://www.jotform.com/uploads/macarewecare/222927978372067/6078926699045486216/6078926699045486216_signature_28.png</t>
  </si>
  <si>
    <t>https://www.jotform.com/uploads/macarewecare/222927978372067/6078926699045486216/6078926699045486216_signature_31.png</t>
  </si>
  <si>
    <t>jenmichelleentica@gmail.com</t>
  </si>
  <si>
    <t>https://www.jotform.com/uploads/macarewecare/222927978372067/6078778737451215953/6078778737451215953_signature_28.png</t>
  </si>
  <si>
    <t>Jen Michelle T. Entica</t>
  </si>
  <si>
    <t>https://www.jotform.com/uploads/macarewecare/222927978372067/6078778737451215953/6078778737451215953_signature_31.png</t>
  </si>
  <si>
    <t xml:space="preserve">ASSAY: Xpert BCR-ABL Ultra, COUNT: 72
ASSAY: Xpert CT/NG, COUNT: 314
ASSAY: Xpert HBV VL, COUNT: 11
ASSAY: Xpert HPV, COUNT: 380
ASSAY: Xpert MTB/RIF Ultra, COUNT: 908
ASSAY: Xpert HCV VL, COUNT: 19
ASSAY: Xpert HIV-1 Viral Load, COUNT: 72
</t>
  </si>
  <si>
    <t>Performed maintenance 
Cleaned: 
-cartridge bay 
-plunger rod 
-icore 
-filter 
Generated reports</t>
  </si>
  <si>
    <t>https://www.jotform.com/uploads/macarewecare/222927978372067/6078778737454803303/6078778737454803303_signature_28.png</t>
  </si>
  <si>
    <t>Jordan T. Purpura</t>
  </si>
  <si>
    <t>https://www.jotform.com/uploads/macarewecare/222927978372067/6078778737454803303/6078778737454803303_signature_31.png</t>
  </si>
  <si>
    <t xml:space="preserve">ASSAY: Xpert BCR-ABL Ultra, COUNT: 13
ASSAY: Xpert CT/NG, COUNT: 69
ASSAY: Xpert HPV, COUNT: 78
ASSAY: Xpert MTB/RIF Ultra, COUNT: 153
ASSAY: Xpert HCV VL, COUNT: 1
ASSAY: Xpert HIV-1 Viral Load, COUNT: 35
</t>
  </si>
  <si>
    <t>https://www.jotform.com/uploads/macarewecare/222927978372067/6078778727459821481/6078778727459821481_signature_28.png</t>
  </si>
  <si>
    <t>https://www.jotform.com/uploads/macarewecare/222927978372067/6078778727459821481/6078778727459821481_signature_31.png</t>
  </si>
  <si>
    <t>https://www.jotform.com/uploads/macarewecare/222927978372067/6078043579322834864/6078043579322834864_signature_28.png</t>
  </si>
  <si>
    <t>Pearl Balderama</t>
  </si>
  <si>
    <t>https://www.jotform.com/uploads/macarewecare/222927978372067/6078043579322834864/6078043579322834864_signature_31.png</t>
  </si>
  <si>
    <t>https://www.jotform.com/uploads/macarewecare/222927978372067/6078043579323848262/6078043579323848262_signature_28.png</t>
  </si>
  <si>
    <t>https://www.jotform.com/uploads/macarewecare/222927978372067/6078043579323848262/6078043579323848262_signature_31.png</t>
  </si>
  <si>
    <t>ftejada@csmc.ph</t>
  </si>
  <si>
    <t>No power
Fuse blown out</t>
  </si>
  <si>
    <t>Replacrd and installed new fuse
Test run unit</t>
  </si>
  <si>
    <t>Perform troubleshooting</t>
  </si>
  <si>
    <t>With Sir Noel Floresca</t>
  </si>
  <si>
    <t>https://www.jotform.com/uploads/macarewecare/222927978372067/6078008661517254840/6078008661517254840_signature_28.png</t>
  </si>
  <si>
    <t>Fidel Tejada</t>
  </si>
  <si>
    <t>https://www.jotform.com/uploads/macarewecare/222927978372067/6078008661517254840/6078008661517254840_signature_31.png</t>
  </si>
  <si>
    <t xml:space="preserve">ASSAY: Xpert MTB/RIF Ultra, COUNT: 5515
</t>
  </si>
  <si>
    <t>GX module D4 (633865) in replacement to defective D4 (210075616).</t>
  </si>
  <si>
    <t>DR#12316</t>
  </si>
  <si>
    <t>https://www.jotform.com/uploads/macarewecare/222927978372067/6077962348116387523/6077962348116387523_signature_28.png</t>
  </si>
  <si>
    <t>https://www.jotform.com/uploads/macarewecare/222927978372067/6077962348116387523/6077962348116387523_signature_31.png</t>
  </si>
  <si>
    <t>bryan.pitero@makatimed.net.ph</t>
  </si>
  <si>
    <t>As per end user they encounter bowl breakage</t>
  </si>
  <si>
    <t>Cleaned centrifuge
Checked program parameters
Checked and adjust line sensor value
Checked rollers,dpm,spm,centrifuge,weigher
Performed functionality test
Performed simulation running</t>
  </si>
  <si>
    <t>https://www.jotform.com/uploads/macarewecare/222927978372067/6077892593616092218/6077892593616092218_signature_28.png</t>
  </si>
  <si>
    <t>Mark Fil</t>
  </si>
  <si>
    <t>https://www.jotform.com/uploads/macarewecare/222927978372067/6077892593616092218/6077892593616092218_signature_31.png</t>
  </si>
  <si>
    <t>St. Elizabeth Hospital Inc/Meli Linx</t>
  </si>
  <si>
    <t>Software Installation 
Preventive maintenance</t>
  </si>
  <si>
    <t>GxDx software installation 
Assays installation</t>
  </si>
  <si>
    <t>1 operational modules</t>
  </si>
  <si>
    <t>https://www.jotform.com/uploads/macarewecare/222927978372067/6077455889492196186/6077455889492196186_signature_28.png</t>
  </si>
  <si>
    <t>https://www.jotform.com/uploads/macarewecare/222927978372067/6077455889492196186/6077455889492196186_signature_31.png</t>
  </si>
  <si>
    <t>Tb lab</t>
  </si>
  <si>
    <t>Monitor problem Troubleshooting 
Preventive maintenance 
Problem reporting 
Data collection</t>
  </si>
  <si>
    <t>4 operational modules 
Monitor problem request for replacement</t>
  </si>
  <si>
    <t>https://www.jotform.com/uploads/macarewecare/222927978372067/6077455889493337614/6077455889493337614_signature_28.png</t>
  </si>
  <si>
    <t>https://www.jotform.com/uploads/macarewecare/222927978372067/6077455889493337614/6077455889493337614_signature_31.png</t>
  </si>
  <si>
    <t>MCS+ haemonitics</t>
  </si>
  <si>
    <t>BIOS CRC Failed and Pneumatic assembly motor did not stop or cut off.</t>
  </si>
  <si>
    <t>For replacement of CPU and pneumatic assembly.</t>
  </si>
  <si>
    <t>DEFECTIVE UNIT.</t>
  </si>
  <si>
    <t>https://www.jotform.com/uploads/macarewecare/222927978372067/6077256554918124428/6077256554918124428_signature_28.png</t>
  </si>
  <si>
    <t>CHONG HUA BLOODBANK</t>
  </si>
  <si>
    <t>https://www.jotform.com/uploads/macarewecare/222927978372067/6077256554918124428/6077256554918124428_signature_31.png</t>
  </si>
  <si>
    <t>Talisay City</t>
  </si>
  <si>
    <t>mkrytelshean@gmail.com</t>
  </si>
  <si>
    <t>Error for module B3 during selected for running.</t>
  </si>
  <si>
    <t>Save System Logfile 
Save Installation Qualification</t>
  </si>
  <si>
    <t>Inform end user to disconnect the Internet.</t>
  </si>
  <si>
    <t>All module's are functional.</t>
  </si>
  <si>
    <t>https://www.jotform.com/uploads/macarewecare/222927978372067/6077126015138409113/6077126015138409113_signature_28.png</t>
  </si>
  <si>
    <t>Krystel Shean Miranda</t>
  </si>
  <si>
    <t>https://www.jotform.com/uploads/macarewecare/222927978372067/6077126015138409113/6077126015138409113_signature_31.png</t>
  </si>
  <si>
    <t>Quiricada St, Sta. Cruz, Manila</t>
  </si>
  <si>
    <t xml:space="preserve">ASSAY: Xpert HBV VL, COUNT: 397
ASSAY: Xpert HCV VL, COUNT: 28
ASSAY: Xpert HIV-1 Viral Load, COUNT: 219
</t>
  </si>
  <si>
    <t>Module 3 with H/W Error.</t>
  </si>
  <si>
    <t>Reliabilty Test.</t>
  </si>
  <si>
    <t>Cleaned Icore Optics.
Performed Reliability Test in Module 3.
Performed Self-test.
Generate Reports.</t>
  </si>
  <si>
    <t>4 Modules are Available.</t>
  </si>
  <si>
    <t>https://www.jotform.com/uploads/macarewecare/222927978372067/6077086193613841155/6077086193613841155_signature_28.png</t>
  </si>
  <si>
    <t>https://www.jotform.com/uploads/macarewecare/222927978372067/6077086193613841155/6077086193613841155_signature_31.png</t>
  </si>
  <si>
    <t xml:space="preserve">ASSAY: Xpert MTB/RIF Ultra, COUNT: 1021
</t>
  </si>
  <si>
    <t>Module 1 with Errors.</t>
  </si>
  <si>
    <t>Preventive Maintenance.
Self-test.</t>
  </si>
  <si>
    <t>Cleaned Cartridge Bay, Plunger Rod, Icore Optics.
Checked Filter if Clogged.
Performed Self-test.
Generate Reports.</t>
  </si>
  <si>
    <t>Module 1 with 5007 Error. (For Observation after Cleaning of Optics.)</t>
  </si>
  <si>
    <t>https://www.jotform.com/uploads/macarewecare/222927978372067/6077086193618536242/6077086193618536242_signature_28.png</t>
  </si>
  <si>
    <t>https://www.jotform.com/uploads/macarewecare/222927978372067/6077086193618536242/6077086193618536242_signature_31.png</t>
  </si>
  <si>
    <t xml:space="preserve">ASSAY: Others, COUNT: 2
ASSAY: Xpert HPV, COUNT: 35
ASSAY: Xpert MTB/RIF Ultra, COUNT: 173
ASSAY: Xpert SARS-CoV-2, COUNT: 1456
ASSAY: Xpert HIV-1 Viral Load, COUNT: 2
</t>
  </si>
  <si>
    <t>Unit is operational. Modules A3, A4, B1, B2 C1 and C4 are operational. Modules A1/860941, A2/860940, B3/702534, B4/860923, C2/668748, C3/662448, D1/860832, D2/620837, D3/860742, D4/661946 not operational, for replacement.</t>
  </si>
  <si>
    <t>https://www.jotform.com/uploads/macarewecare/222927978372067/6077059813617251838/6077059813617251838_signature_28.png</t>
  </si>
  <si>
    <t>https://www.jotform.com/uploads/macarewecare/222927978372067/6077059813617251838/6077059813617251838_signature_31.png</t>
  </si>
  <si>
    <t>stephenbryan.1621@gmail.com</t>
  </si>
  <si>
    <t>https://www.jotform.com/uploads/macarewecare/222927978372067/6077059813617729626/6077059813617729626_signature_28.png</t>
  </si>
  <si>
    <t>Marilyn Ang</t>
  </si>
  <si>
    <t>https://www.jotform.com/uploads/macarewecare/222927978372067/6077059813617729626/6077059813617729626_signature_31.png</t>
  </si>
  <si>
    <t>For xpertcheck
For relocation microbiology to molecular lab</t>
  </si>
  <si>
    <t>Performed xpertcheck and relocation</t>
  </si>
  <si>
    <t>D1,D2 failed xpertcheck
D3,D4 retry lack of xpertcheck kits</t>
  </si>
  <si>
    <t>https://www.jotform.com/uploads/macarewecare/222927978372067/6077014193616674358/6077014193616674358_signature_28.png</t>
  </si>
  <si>
    <t>https://www.jotform.com/uploads/macarewecare/222927978372067/6077014193616674358/6077014193616674358_signature_31.png</t>
  </si>
  <si>
    <t>94 Matalino st., Diliman QC</t>
  </si>
  <si>
    <t>laboratory@bestdiagnostic.com.ph</t>
  </si>
  <si>
    <t xml:space="preserve">ASSAY: Xpert CT/NG, COUNT: 75
ASSAY: Xpert HBV VL, COUNT: 15
ASSAY: Xpert MTB/RIF Ultra, COUNT: 12
ASSAY: Xpert HCV VL, COUNT: 4
ASSAY: Xpert HIV-1 Viral Load, COUNT: 1
</t>
  </si>
  <si>
    <t>https://www.jotform.com/uploads/macarewecare/222927978372067/6077013643611824774/6077013643611824774_signature_28.png</t>
  </si>
  <si>
    <t>https://www.jotform.com/uploads/macarewecare/222927978372067/6077013643611824774/6077013643611824774_signature_31.png</t>
  </si>
  <si>
    <t xml:space="preserve">ASSAY: Xpert MTB/RIF Ultra, COUNT: 1775
</t>
  </si>
  <si>
    <t>Due for monthly maintenance
For transfer to Argao Rural Health Unit</t>
  </si>
  <si>
    <t>Conduct preventive maintenance for Icore, Plunger, ultrasonic horn 
Clean up cartridge bay and filter</t>
  </si>
  <si>
    <t>All units of module are operational.</t>
  </si>
  <si>
    <t>https://www.jotform.com/uploads/macarewecare/222927978372067/6076031879314540310/6076031879314540310_signature_28.png</t>
  </si>
  <si>
    <t>https://www.jotform.com/uploads/macarewecare/222927978372067/6076031879314540310/6076031879314540310_signature_31.png</t>
  </si>
  <si>
    <t>J Bocobo St., Ermita, Manila</t>
  </si>
  <si>
    <t>laboratory@slec.com</t>
  </si>
  <si>
    <t>Performed maintenance cleaning
Performed XpertCheck procedure 
Replaced IAI batteries</t>
  </si>
  <si>
    <t>Unit is operational, failed modules for reporting: 210050828/A4 720535/C4 729869/D2 618607/D4 896445/E3 608345/H1 696244/H2 654533/H3</t>
  </si>
  <si>
    <t>XpertCheck kit - 8 boxes
IAI Battery - 5 pcs</t>
  </si>
  <si>
    <t>https://www.jotform.com/uploads/macarewecare/222927978372067/6074729900021553566/6074729900021553566_signature_28.png</t>
  </si>
  <si>
    <t>https://www.jotform.com/uploads/macarewecare/222927978372067/6074729900021553566/6074729900021553566_signature_31.png</t>
  </si>
  <si>
    <t>Saguiaran, Marawe Lanao Del Sur</t>
  </si>
  <si>
    <t>Due for Annual Calibration of the machine.</t>
  </si>
  <si>
    <t>Performed calibration of the genexpert machine in all modules
Conduct preventive maintenance for Icore, Plunger, ultrasonic horn 
Clean up cartridge bay and filter</t>
  </si>
  <si>
    <t>All modules passed during calibration.</t>
  </si>
  <si>
    <t>https://www.jotform.com/uploads/macarewecare/222927978372067/6074673799318316817/6074673799318316817_signature_28.png</t>
  </si>
  <si>
    <t>Sahara Muti, RMT</t>
  </si>
  <si>
    <t>https://www.jotform.com/uploads/macarewecare/222927978372067/6074673799318316817/6074673799318316817_signature_31.png</t>
  </si>
  <si>
    <t>Marawe City, Lanao del Sur</t>
  </si>
  <si>
    <t xml:space="preserve">ASSAY: Xpert MTB/RIF Ultra, COUNT: 306
</t>
  </si>
  <si>
    <t>https://www.jotform.com/uploads/macarewecare/222927978372067/6074669082109742472/6074669082109742472_signature_28.png</t>
  </si>
  <si>
    <t>https://www.jotform.com/uploads/macarewecare/222927978372067/6074669082109742472/6074669082109742472_signature_31.png</t>
  </si>
  <si>
    <t xml:space="preserve">ASSAY: Xpert MTB/RIF Ultra, COUNT: 1098
</t>
  </si>
  <si>
    <t>Due for Annual Calibration of the machine</t>
  </si>
  <si>
    <t>All modules passed except B4.</t>
  </si>
  <si>
    <t>https://www.jotform.com/uploads/macarewecare/222927978372067/6074666882108294649/6074666882108294649_signature_28.png</t>
  </si>
  <si>
    <t>https://www.jotform.com/uploads/macarewecare/222927978372067/6074666882108294649/6074666882108294649_signature_31.png</t>
  </si>
  <si>
    <t xml:space="preserve">ASSAY: Xpert BCR-ABL Ultra, COUNT: 75
ASSAY: Xpert CT/NG, COUNT: 212
ASSAY: Xpert HBV VL, COUNT: 203
ASSAY: Xpert HPV, COUNT: 24
ASSAY: Xpert MTB/RIF Ultra, COUNT: 1072
ASSAY: Xpert HCV VL, COUNT: 157
ASSAY: Xpert HIV-1 Viral Load, COUNT: 20
</t>
  </si>
  <si>
    <t>https://www.jotform.com/uploads/macarewecare/222927978372067/6074623334939012339/6074623334939012339_signature_28.png</t>
  </si>
  <si>
    <t>https://www.jotform.com/uploads/macarewecare/222927978372067/6074623334939012339/6074623334939012339_signature_31.png</t>
  </si>
  <si>
    <t>United Nations Ave., Ermita, Manila</t>
  </si>
  <si>
    <t xml:space="preserve">ASSAY: Xpert CT/NG, COUNT: 75
ASSAY: Xpert HBV VL, COUNT: 88
ASSAY: Xpert HPV, COUNT: 24
ASSAY: Xpert MTB/RIF Ultra, COUNT: 1236
ASSAY: Xpert HCV VL, COUNT: 16
ASSAY: Xpert HIV-1 Viral Load, COUNT: 115
</t>
  </si>
  <si>
    <t>Performed preventive maintenance
Performed rewlibility test
Generated report</t>
  </si>
  <si>
    <t>Checked and cleaned cartridge bays, plunger rod, icore slot and filter
Run reliability test</t>
  </si>
  <si>
    <t>Unit is operational
all modules working</t>
  </si>
  <si>
    <t>https://www.jotform.com/uploads/macarewecare/222927978372067/6074592359216368443/6074592359216368443_signature_28.png</t>
  </si>
  <si>
    <t>https://www.jotform.com/uploads/macarewecare/222927978372067/6074592359216368443/6074592359216368443_signature_31.png</t>
  </si>
  <si>
    <t xml:space="preserve">ASSAY: Xpert MTB/RIF Ultra, COUNT: 1865
</t>
  </si>
  <si>
    <t>Desktop unit resets date/time every power on.</t>
  </si>
  <si>
    <t>https://www.jotform.com/uploads/macarewecare/222927978372067/6074583532131136552/6074583532131136552_signature_28.png</t>
  </si>
  <si>
    <t>https://www.jotform.com/uploads/macarewecare/222927978372067/6074583532131136552/6074583532131136552_signature_31.png</t>
  </si>
  <si>
    <t>https://www.jotform.com/uploads/macarewecare/222927978372067/6074538889296941726/6074538889296941726_signature_28.png</t>
  </si>
  <si>
    <t>https://www.jotform.com/uploads/macarewecare/222927978372067/6074538889296941726/6074538889296941726_signature_31.png</t>
  </si>
  <si>
    <t>Leon SA Aureus St. Balatas</t>
  </si>
  <si>
    <t>caizelleinfeliz97@gmail.com</t>
  </si>
  <si>
    <t>Installed Gx4-10C 120003510
Installed UPS AT1000
Installed CPU CPH0424F50953
Installed Monitor
Installed Printer HP Deskjet 2337
Performed Preventive Maintenance Training</t>
  </si>
  <si>
    <t>GX Installation completed</t>
  </si>
  <si>
    <t>https://www.jotform.com/uploads/macarewecare/222927978372067/6074522388614047881/6074522388614047881_signature_28.png</t>
  </si>
  <si>
    <t>Infeliz Caizelle</t>
  </si>
  <si>
    <t>https://www.jotform.com/uploads/macarewecare/222927978372067/6074522388614047881/6074522388614047881_signature_31.png</t>
  </si>
  <si>
    <t xml:space="preserve">ASSAY: Xpert MTB/RIF Ultra, COUNT: 1373
</t>
  </si>
  <si>
    <t>Monitor Display Problem</t>
  </si>
  <si>
    <t>Reset cable connections, 
Change power chord, change vga cables</t>
  </si>
  <si>
    <t>Perform Monitor troubleshooting</t>
  </si>
  <si>
    <t>Monitor display still broken, error reported to Cepheid for further Assessment</t>
  </si>
  <si>
    <t>https://www.jotform.com/uploads/macarewecare/222927978372067/6074509664615781810/6074509664615781810_signature_28.png</t>
  </si>
  <si>
    <t>https://www.jotform.com/uploads/macarewecare/222927978372067/6074509664615781810/6074509664615781810_signature_31.png</t>
  </si>
  <si>
    <t>Midsalip Zamboanga del sur</t>
  </si>
  <si>
    <t xml:space="preserve">ASSAY: Xpert MTB/RIF Ultra, COUNT: 410
</t>
  </si>
  <si>
    <t>GX 4(6c)</t>
  </si>
  <si>
    <t>Preventive Maintenence, checked error logs and room/ module temperatures.</t>
  </si>
  <si>
    <t>https://www.jotform.com/uploads/macarewecare/222927978372067/6074502723011172557/6074502723011172557_signature_28.png</t>
  </si>
  <si>
    <t>https://www.jotform.com/uploads/macarewecare/222927978372067/6074502723011172557/6074502723011172557_signature_31.png</t>
  </si>
  <si>
    <t>https://www.jotform.com/uploads/macarewecare/222927978372067/6074471438613508265/6074471438613508265_signature_28.png</t>
  </si>
  <si>
    <t>https://www.jotform.com/uploads/macarewecare/222927978372067/6074471438613508265/6074471438613508265_signature_31.png</t>
  </si>
  <si>
    <t>https://www.jotform.com/uploads/macarewecare/222927978372067/6074470858619757553/6074470858619757553_signature_28.png</t>
  </si>
  <si>
    <t>https://www.jotform.com/uploads/macarewecare/222927978372067/6074470858619757553/6074470858619757553_signature_31.png</t>
  </si>
  <si>
    <t>Ortigas Ave., Pasig City</t>
  </si>
  <si>
    <t xml:space="preserve">ASSAY: Xpert BCR-ABL Ultra, COUNT: 56
ASSAY: Xpert CT/NG, COUNT: 67
ASSAY: Others, COUNT: 2
ASSAY: Xpert HBV VL, COUNT: 599
ASSAY: Xpert HPV, COUNT: 426
ASSAY: Xpert MTB/RIF Ultra, COUNT: 5657
ASSAY: Xpert MTB-XDR, COUNT: 1
ASSAY: Others, COUNT: 1
ASSAY: Xpert HCV VL, COUNT: 93
ASSAY: Xpert HIV-1 Viral Load, COUNT: 753
ASSAY: Xpress SARS-CoV-2_Flu_RSV plus, COUNT: 13220
</t>
  </si>
  <si>
    <t>https://www.jotform.com/uploads/macarewecare/222927978372067/6074403127591085354/6074403127591085354_signature_28.png</t>
  </si>
  <si>
    <t>https://www.jotform.com/uploads/macarewecare/222927978372067/6074403127591085354/6074403127591085354_signature_31.png</t>
  </si>
  <si>
    <t>Calibrated the unit</t>
  </si>
  <si>
    <t>Performed maintenance 
Calibrated the unit
Checked rotor pumps 
Adjusted calibration parameters 
Run simulation 
Functionality test</t>
  </si>
  <si>
    <t>https://www.jotform.com/uploads/macarewecare/222927978372067/6074403127596961194/6074403127596961194_signature_28.png</t>
  </si>
  <si>
    <t>https://www.jotform.com/uploads/macarewecare/222927978372067/6074403127596961194/6074403127596961194_signature_31.png</t>
  </si>
  <si>
    <t>https://www.jotform.com/uploads/macarewecare/222927978372067/6074403127598842689/6074403127598842689_signature_28.png</t>
  </si>
  <si>
    <t>https://www.jotform.com/uploads/macarewecare/222927978372067/6074403127598842689/6074403127598842689_signature_31.png</t>
  </si>
  <si>
    <t>Blood spillage on centrifuge</t>
  </si>
  <si>
    <t>- Unit has ongoing procedure before I performed the check up (procedure success)
- cleaned centrifuge's sensors</t>
  </si>
  <si>
    <t>Unit is operational
No issues found</t>
  </si>
  <si>
    <t>https://www.jotform.com/uploads/macarewecare/222927978372067/6073636580729549860/6073636580729549860_signature_28.png</t>
  </si>
  <si>
    <t>Ardel brecinio</t>
  </si>
  <si>
    <t>https://www.jotform.com/uploads/macarewecare/222927978372067/6073636580729549860/6073636580729549860_signature_31.png</t>
  </si>
  <si>
    <t>Ramon magsaysay, Zamboanga del 2</t>
  </si>
  <si>
    <t>ramonmagsaysay@gmail.com</t>
  </si>
  <si>
    <t>GX 4 (6c)</t>
  </si>
  <si>
    <t>Preventive Maintenance. Checked module errors and room temperature.</t>
  </si>
  <si>
    <t>https://www.jotform.com/uploads/macarewecare/222927978372067/6073598335182018990/6073598335182018990_signature_28.png</t>
  </si>
  <si>
    <t>https://www.jotform.com/uploads/macarewecare/222927978372067/6073598335182018990/6073598335182018990_signature_31.png</t>
  </si>
  <si>
    <t xml:space="preserve">ASSAY: Xpert MTB/RIF Ultra, COUNT: 592
</t>
  </si>
  <si>
    <t>Gx for Preventive Maintenance 
Date and Time resets when restarting PC</t>
  </si>
  <si>
    <t>Replace CMOS/BIOS battery of CPU for Date and Time
Cleaned cartridge bays, plunger rod, icore 
Generate Data</t>
  </si>
  <si>
    <t>Performed Preventive Maintenance 
Performed CPU troubleshooting</t>
  </si>
  <si>
    <t>https://www.jotform.com/uploads/macarewecare/222927978372067/6072907923619999150/6072907923619999150_signature_28.png</t>
  </si>
  <si>
    <t>https://www.jotform.com/uploads/macarewecare/222927978372067/6072907923619999150/6072907923619999150_signature_31.png</t>
  </si>
  <si>
    <t xml:space="preserve">ASSAY: Xpert MTB/RIF Ultra, COUNT: 
ASSAY: Xpert MTB/RIF Ultra, COUNT: 744
</t>
  </si>
  <si>
    <t>GX-4 6C</t>
  </si>
  <si>
    <t>DR 12288</t>
  </si>
  <si>
    <t>https://www.jotform.com/uploads/macarewecare/222927978372067/6072860031915338348/6072860031915338348_signature_28.png</t>
  </si>
  <si>
    <t>https://www.jotform.com/uploads/macarewecare/222927978372067/6072860031915338348/6072860031915338348_signature_31.png</t>
  </si>
  <si>
    <t xml:space="preserve">ASSAY: Xpert CT/NG, COUNT: 365
ASSAY: Xpert HPV, COUNT: 245
ASSAY: Xpert SARS-CoV-2, COUNT: 1315
ASSAY: Xpress SARS-CoV-2_Flu_RSV plus, COUNT: 145
</t>
  </si>
  <si>
    <t>B3 disabled due to temp error 2014
Due for maintenance</t>
  </si>
  <si>
    <t>B3 disabled
B1,B2,B4 operational</t>
  </si>
  <si>
    <t>https://www.jotform.com/uploads/macarewecare/222927978372067/6072855293613690473/6072855293613690473_signature_28.png</t>
  </si>
  <si>
    <t>https://www.jotform.com/uploads/macarewecare/222927978372067/6072855293613690473/6072855293613690473_signature_31.png</t>
  </si>
  <si>
    <t>Tbdots</t>
  </si>
  <si>
    <t xml:space="preserve">ASSAY: Xpert MTB/RIF Ultra, COUNT: 3067
</t>
  </si>
  <si>
    <t>Due for maintenance and relocation</t>
  </si>
  <si>
    <t>Relocate unit
Cleaned unit
Cleaned plunger rod,filter,icore,cartridge bay
Gathered reports
Test run unit</t>
  </si>
  <si>
    <t>Performed maintenance and relocation</t>
  </si>
  <si>
    <t>https://www.jotform.com/uploads/macarewecare/222927978372067/6072854483612993390/6072854483612993390_signature_28.png</t>
  </si>
  <si>
    <t>https://www.jotform.com/uploads/macarewecare/222927978372067/6072854483612993390/6072854483612993390_signature_31.png</t>
  </si>
  <si>
    <t>Kalayaan  Ave. QC</t>
  </si>
  <si>
    <t>villamarevangeline103@gmail.com</t>
  </si>
  <si>
    <t>Performed valve test
Checked rollers,dpm,spm,centrifuge,weigher
Performed functionality test
Performed simulation running
Fixed red valve</t>
  </si>
  <si>
    <t>Workwith Gian Magnaye</t>
  </si>
  <si>
    <t>https://www.jotform.com/uploads/macarewecare/222927978372067/6072854013613425498/6072854013613425498_signature_28.png</t>
  </si>
  <si>
    <t>Evangeline P. Villamar</t>
  </si>
  <si>
    <t>https://www.jotform.com/uploads/macarewecare/222927978372067/6072854013613425498/6072854013613425498_signature_31.png</t>
  </si>
  <si>
    <t xml:space="preserve">ASSAY: Xpert MTB/RIF Ultra, COUNT: 387
</t>
  </si>
  <si>
    <t>Clean Surface Area, Cartridge Bay, Plunger Rod, Fan Filters, and Icore Lenses
Generate IQR, Assay Stat, and System Log</t>
  </si>
  <si>
    <t>https://www.jotform.com/uploads/macarewecare/222927978372067/6072849361619062159/6072849361619062159_signature_28.png</t>
  </si>
  <si>
    <t>Joy L. Nio, RMT</t>
  </si>
  <si>
    <t>https://www.jotform.com/uploads/macarewecare/222927978372067/6072849361619062159/6072849361619062159_signature_31.png</t>
  </si>
  <si>
    <t xml:space="preserve">ASSAY: Xpert MTB/RIF Ultra, COUNT: 1145
</t>
  </si>
  <si>
    <t>https://www.jotform.com/uploads/macarewecare/222927978372067/6072801954533272347/6072801954533272347_signature_28.png</t>
  </si>
  <si>
    <t>Sarah Jean Pasana</t>
  </si>
  <si>
    <t>https://www.jotform.com/uploads/macarewecare/222927978372067/6072801954533272347/6072801954533272347_signature_31.png</t>
  </si>
  <si>
    <t>AFPMC-AFRIMS 6C</t>
  </si>
  <si>
    <t xml:space="preserve">ASSAY: Xpert HBV VL, COUNT: 1
ASSAY: Xpert SARS-CoV-2, COUNT: 174
ASSAY: Xpert HCV VL, COUNT: 1
ASSAY: Xpert HIV-1 Viral Load, COUNT: 3
</t>
  </si>
  <si>
    <t>GXIV 6C -D</t>
  </si>
  <si>
    <t>Performed Preventive maintenance 
Performed Reliability Test
Generated Report</t>
  </si>
  <si>
    <t>Checked and cleaned cartridge bays, plunger rod, icore slot and filter 
Installed MTB Rif - Ultra ADF</t>
  </si>
  <si>
    <t>Unit is operational 
All modules working</t>
  </si>
  <si>
    <t>https://www.jotform.com/uploads/macarewecare/222927978372067/6072794193612358651/6072794193612358651_signature_28.png</t>
  </si>
  <si>
    <t>maria Theresa Valderama</t>
  </si>
  <si>
    <t>https://www.jotform.com/uploads/macarewecare/222927978372067/6072794193612358651/6072794193612358651_signature_31.png</t>
  </si>
  <si>
    <t>MAINTENANCE
Module Replacement</t>
  </si>
  <si>
    <t xml:space="preserve">ASSAY: Xpert MTB/RIF Ultra, COUNT: 722
</t>
  </si>
  <si>
    <t>Replaced module 862260 with Module 789674. Conducted Preventive maintenence.</t>
  </si>
  <si>
    <t>https://www.jotform.com/uploads/macarewecare/222927978372067/6072791622778660584/6072791622778660584_signature_28.png</t>
  </si>
  <si>
    <t>https://www.jotform.com/uploads/macarewecare/222927978372067/6072791622778660584/6072791622778660584_signature_31.png</t>
  </si>
  <si>
    <t xml:space="preserve">ASSAY: Xpert MTB/RIF Ultra, COUNT: 836
</t>
  </si>
  <si>
    <t>https://www.jotform.com/uploads/macarewecare/222927978372067/6072725733618864823/6072725733618864823_signature_28.png</t>
  </si>
  <si>
    <t>https://www.jotform.com/uploads/macarewecare/222927978372067/6072725733618864823/6072725733618864823_signature_31.png</t>
  </si>
  <si>
    <t>REPORTED CENTRIFUGE ISSUE</t>
  </si>
  <si>
    <t>https://www.jotform.com/uploads/macarewecare/222927978372067/6072696552913243106/6072696552913243106_signature_28.png</t>
  </si>
  <si>
    <t>https://www.jotform.com/uploads/macarewecare/222927978372067/6072696552913243106/6072696552913243106_signature_31.png</t>
  </si>
  <si>
    <t xml:space="preserve">ASSAY: Xpert MTB/RIF Ultra, COUNT: 1038
</t>
  </si>
  <si>
    <t>Cleaned Cartridge Bay, Plunger Rod and Icore Optics.
Checked Filter if Clogged.
Performed Self-test.
Generate Reports.
Checked System's Functionality.</t>
  </si>
  <si>
    <t>All Modules are Good.</t>
  </si>
  <si>
    <t>https://www.jotform.com/uploads/macarewecare/222927978372067/6072681953618938377/6072681953618938377_signature_28.png</t>
  </si>
  <si>
    <t>https://www.jotform.com/uploads/macarewecare/222927978372067/6072681953618938377/6072681953618938377_signature_31.png</t>
  </si>
  <si>
    <t xml:space="preserve">ASSAY: Xpert HIV-1 Viral Load, COUNT: 817
</t>
  </si>
  <si>
    <t>https://www.jotform.com/uploads/macarewecare/222927978372067/6072681953619076735/6072681953619076735_signature_28.png</t>
  </si>
  <si>
    <t>https://www.jotform.com/uploads/macarewecare/222927978372067/6072681953619076735/6072681953619076735_signature_31.png</t>
  </si>
  <si>
    <t>AFPMC - AFRIMS</t>
  </si>
  <si>
    <t xml:space="preserve">ASSAY: Xpert HBV VL, COUNT: 45
ASSAY: Xpert MTB/RIF Ultra, COUNT: 648
ASSAY: Xpert SARS-CoV-2, COUNT: 961
ASSAY: Xpert HCV VL, COUNT: 12
ASSAY: Xpert HIV-1 Viral Load, COUNT: 24
ASSAY: Xpert HIV-1 Viral Load, COUNT: 115
</t>
  </si>
  <si>
    <t>GXIV 10C - D</t>
  </si>
  <si>
    <t>Performed Preventive maintenance 
Performed Reliability Test
Generated report</t>
  </si>
  <si>
    <t>checked and cleaned cartridge bays, plunger rod, icore slot and filter</t>
  </si>
  <si>
    <t>https://www.jotform.com/uploads/macarewecare/222927978372067/6072006965303798476/6072006965303798476_signature_28.png</t>
  </si>
  <si>
    <t>https://www.jotform.com/uploads/macarewecare/222927978372067/6072006965303798476/6072006965303798476_signature_31.png</t>
  </si>
  <si>
    <t>Taft Ave Manila</t>
  </si>
  <si>
    <t>eomercado@up.edu.ph</t>
  </si>
  <si>
    <t>Unit for preventive maintenance.
For generating of data for technical team.</t>
  </si>
  <si>
    <t>https://www.jotform.com/uploads/macarewecare/222927978372067/6072006910613302808/6072006910613302808_signature_28.png</t>
  </si>
  <si>
    <t>Erma Grace Mercado</t>
  </si>
  <si>
    <t>https://www.jotform.com/uploads/macarewecare/222927978372067/6072006910613302808/6072006910613302808_signature_31.png</t>
  </si>
  <si>
    <t>Pascual Laboratories, Inc.</t>
  </si>
  <si>
    <t>Km 31, Mac Arthur Highway, Balagtas, Bulacan, 3016 Philippines</t>
  </si>
  <si>
    <t>QC Laboratory</t>
  </si>
  <si>
    <t>jnvalerio@pascuallab.com</t>
  </si>
  <si>
    <t>AXIO Scope.A1</t>
  </si>
  <si>
    <t>Due for Preventive Maintenance and Calibration</t>
  </si>
  <si>
    <t>Aligned Kohler</t>
  </si>
  <si>
    <t>Performed Preventive Maintence and Calibration
Cleaned Surfaces, Eyepieces, Objectives, Condenser, Diaphragm, and Camera adapter
Aligned Kohler
Performed Functionality Test</t>
  </si>
  <si>
    <t>Recommended to add blue filter to have white light and off-site servicing of the camera and its adapter to access some dust. Services done under Service PO # 7310004178</t>
  </si>
  <si>
    <t>https://www.jotform.com/uploads/macarewecare/222927978372067/6071997784314057544/6071997784314057544_signature_28.png</t>
  </si>
  <si>
    <t>John Wilson N. Valerio</t>
  </si>
  <si>
    <t>https://www.jotform.com/uploads/macarewecare/222927978372067/6071997784314057544/6071997784314057544_signature_31.png</t>
  </si>
  <si>
    <t xml:space="preserve">ASSAY: Xpert MTB/RIF Ultra, COUNT: 1864
</t>
  </si>
  <si>
    <t>https://www.jotform.com/uploads/macarewecare/222927978372067/6071993282023210198/6071993282023210198_signature_28.png</t>
  </si>
  <si>
    <t>https://www.jotform.com/uploads/macarewecare/222927978372067/6071993282023210198/6071993282023210198_signature_31.png</t>
  </si>
  <si>
    <t>https://www.jotform.com/uploads/macarewecare/222927978372067/6071983933362156210/6071983933362156210_signature_28.png</t>
  </si>
  <si>
    <t>https://www.jotform.com/uploads/macarewecare/222927978372067/6071983933362156210/6071983933362156210_signature_31.png</t>
  </si>
  <si>
    <t>Alicia, Zamboanga sibugay</t>
  </si>
  <si>
    <t>artoba33@yahoo.com</t>
  </si>
  <si>
    <t xml:space="preserve">ASSAY: Xpert MTB/RIF Ultra, COUNT: 767
</t>
  </si>
  <si>
    <t>Replaced module 685309 with module 731666. Conducted Preventive maintenence for all modules.</t>
  </si>
  <si>
    <t>https://www.jotform.com/uploads/macarewecare/222927978372067/6071977429013049373/6071977429013049373_signature_28.png</t>
  </si>
  <si>
    <t>Ariel T. Baclig</t>
  </si>
  <si>
    <t>https://www.jotform.com/uploads/macarewecare/222927978372067/6071977429013049373/6071977429013049373_signature_31.png</t>
  </si>
  <si>
    <t xml:space="preserve">ASSAY: Xpert MTB/RIF Ultra, COUNT: 1460
</t>
  </si>
  <si>
    <t>Cleaned cartridge bays, plunger rod, icore
Checked fan filter
Generate Data</t>
  </si>
  <si>
    <t>https://www.jotform.com/uploads/macarewecare/222927978372067/6071971449221668109/6071971449221668109_signature_28.png</t>
  </si>
  <si>
    <t>https://www.jotform.com/uploads/macarewecare/222927978372067/6071971449221668109/6071971449221668109_signature_31.png</t>
  </si>
  <si>
    <t>https://www.jotform.com/uploads/macarewecare/222927978372067/6071966290723686327/6071966290723686327_signature_28.png</t>
  </si>
  <si>
    <t>https://www.jotform.com/uploads/macarewecare/222927978372067/6071966290723686327/6071966290723686327_signature_31.png</t>
  </si>
  <si>
    <t xml:space="preserve">ASSAY: Xpert MTB/RIF Ultra, COUNT: 550
</t>
  </si>
  <si>
    <t>Module B1 encounter multiple temperature related errors</t>
  </si>
  <si>
    <t>Replaced the Defective Module SN: 861939 with new Module SN: 647666
Clean Surface Area, Cartridge Bay, Plunger Rod, Fan Filters and Icore Lenses
Generate IQR, Assay Stat, and System Log</t>
  </si>
  <si>
    <t>Only two Modules are Operational
Module B2 and B3 reported to Cepheid</t>
  </si>
  <si>
    <t>DR 12246</t>
  </si>
  <si>
    <t>https://www.jotform.com/uploads/macarewecare/222927978372067/6071965583955378431/6071965583955378431_signature_28.png</t>
  </si>
  <si>
    <t>https://www.jotform.com/uploads/macarewecare/222927978372067/6071965583955378431/6071965583955378431_signature_31.png</t>
  </si>
  <si>
    <t>roselyn.alua@redcross.org.ph</t>
  </si>
  <si>
    <t>O3J030</t>
  </si>
  <si>
    <t>For checking of centrifuge lock mechanism.</t>
  </si>
  <si>
    <t>Performed checking and troubleshooting of centrifuge.
Performed functionality testing.
Secured all lock.</t>
  </si>
  <si>
    <t>Unit is operational. Centrifuge lock plate is loosed and recommended for replacement.</t>
  </si>
  <si>
    <t>https://www.jotform.com/uploads/macarewecare/222927978372067/6071934092127436477/6071934092127436477_signature_28.png</t>
  </si>
  <si>
    <t>https://www.jotform.com/uploads/macarewecare/222927978372067/6071934092127436477/6071934092127436477_signature_31.png</t>
  </si>
  <si>
    <t>Tapaz Rural Health Unit</t>
  </si>
  <si>
    <t>rhutapaz@gmail.com</t>
  </si>
  <si>
    <t xml:space="preserve">ASSAY: Xpert MTB/RIF Ultra, COUNT: 733
ASSAY: Xpert HIV-1 Viral Load, COUNT: 68
</t>
  </si>
  <si>
    <t>3 modules operational, 
1 module waiting for replacement due to failed Xpertcheck.</t>
  </si>
  <si>
    <t>https://www.jotform.com/uploads/macarewecare/222927978372067/6071875235426483758/6071875235426483758_signature_28.png</t>
  </si>
  <si>
    <t>Sherlym G. Fancubila</t>
  </si>
  <si>
    <t>https://www.jotform.com/uploads/macarewecare/222927978372067/6071875235426483758/6071875235426483758_signature_31.png</t>
  </si>
  <si>
    <t>Bicol Regional Blood Center</t>
  </si>
  <si>
    <t>versonolicia27@gmail.com</t>
  </si>
  <si>
    <t>bsl-snrl@bicol.doh.gov.ph</t>
  </si>
  <si>
    <t>15H032G</t>
  </si>
  <si>
    <t>Performed Calibration 
Cleaned Unit 
Checked Program Parameters 
Checked and adjust line sensor value
Checked rollers, DPM, SPM, valve &amp; centrifuge 
Performed functionality test
Performed simulation running</t>
  </si>
  <si>
    <t>Cuff is for observation.</t>
  </si>
  <si>
    <t>https://www.jotform.com/uploads/macarewecare/222927978372067/6071211227941361341/6071211227941361341_signature_28.png</t>
  </si>
  <si>
    <t>Verson Olicia</t>
  </si>
  <si>
    <t>https://www.jotform.com/uploads/macarewecare/222927978372067/6071211227941361341/6071211227941361341_signature_31.png</t>
  </si>
  <si>
    <t>Noise of the centrifuge during platelet apheresis.</t>
  </si>
  <si>
    <t>Check and repair chuck of the centrifuge of the machines.</t>
  </si>
  <si>
    <t>Unit machine is operational.</t>
  </si>
  <si>
    <t>https://www.jotform.com/uploads/macarewecare/222927978372067/6071175059312843098/6071175059312843098_signature_28.png</t>
  </si>
  <si>
    <t>https://www.jotform.com/uploads/macarewecare/222927978372067/6071175059312843098/6071175059312843098_signature_31.png</t>
  </si>
  <si>
    <t xml:space="preserve">ASSAY: Xpert MTB/RIF Ultra, COUNT: 227
</t>
  </si>
  <si>
    <t>Due for Annual Calibration, Preventive Maintenance</t>
  </si>
  <si>
    <t>Performed annual calibration in all modules
Generate and back-up database, IQR, System Log, and Archive data results,
Performed preventive maintenance and clean filer, Icore, Ultrasonic Heater and plunger cleaning.</t>
  </si>
  <si>
    <t>All units are operational</t>
  </si>
  <si>
    <t>https://www.jotform.com/uploads/macarewecare/222927978372067/6071172219318377837/6071172219318377837_signature_28.png</t>
  </si>
  <si>
    <t>https://www.jotform.com/uploads/macarewecare/222927978372067/6071172219318377837/6071172219318377837_signature_31.png</t>
  </si>
  <si>
    <t>Veterans Village, Quezon City</t>
  </si>
  <si>
    <t xml:space="preserve">ASSAY: Xpert CT/NG, COUNT: 6
ASSAY: Xpert HBV VL, COUNT: 7
ASSAY: Xpert HCV VL, COUNT: 5
ASSAY: Xpert HIV-1 Viral Load, COUNT: 490
</t>
  </si>
  <si>
    <t>GX IV 10C D</t>
  </si>
  <si>
    <t>Performed Preventive maintenance</t>
  </si>
  <si>
    <t>unit is operational 
all modules working</t>
  </si>
  <si>
    <t>https://www.jotform.com/uploads/macarewecare/222927978372067/6071165333613306566/6071165333613306566_signature_28.png</t>
  </si>
  <si>
    <t>https://www.jotform.com/uploads/macarewecare/222927978372067/6071165333613306566/6071165333613306566_signature_31.png</t>
  </si>
  <si>
    <t>Kalilangan Rural Health Unit</t>
  </si>
  <si>
    <t>West Poblacion, Kalilangan</t>
  </si>
  <si>
    <t>myrnasuyao17@gmail.com</t>
  </si>
  <si>
    <t>Xpertcheck Calibration and Preventive Maintenance</t>
  </si>
  <si>
    <t>All modules passed in calibration and functional</t>
  </si>
  <si>
    <t>https://www.jotform.com/uploads/macarewecare/222927978372067/6071049429971684354/6071049429971684354_signature_28.png</t>
  </si>
  <si>
    <t>Myrna Suyao</t>
  </si>
  <si>
    <t>https://www.jotform.com/uploads/macarewecare/222927978372067/6071049429971684354/6071049429971684354_signature_31.png</t>
  </si>
  <si>
    <t xml:space="preserve">ASSAY: Xpert MTB/RIF Ultra, COUNT: 764
</t>
  </si>
  <si>
    <t>Installed Hiv viral load Assay</t>
  </si>
  <si>
    <t>https://www.jotform.com/uploads/macarewecare/222927978372067/6071016686862043856/6071016686862043856_signature_28.png</t>
  </si>
  <si>
    <t>https://www.jotform.com/uploads/macarewecare/222927978372067/6071016686862043856/6071016686862043856_signature_31.png</t>
  </si>
  <si>
    <t>Teresita L Jalandoni Provincial Hospital</t>
  </si>
  <si>
    <t>Silay, Negros Occendintal</t>
  </si>
  <si>
    <t>Defective Module 3 sn 210028917
Clean Fan Filter
Clean Fan
IQR, System log &amp; assay stats</t>
  </si>
  <si>
    <t>New module A3 699622 installed 
Clean Fan Filter
Clean Fan
IQR, System log &amp; assay stats</t>
  </si>
  <si>
    <t>Defective Module A2 and A4</t>
  </si>
  <si>
    <t>https://www.jotform.com/uploads/macarewecare/222927978372067/6071014689196481755/6071014689196481755_signature_28.png</t>
  </si>
  <si>
    <t>https://www.jotform.com/uploads/macarewecare/222927978372067/6071014689196481755/6071014689196481755_signature_31.png</t>
  </si>
  <si>
    <t>Check up and Troubleshooting 
Preventive maintenance</t>
  </si>
  <si>
    <t>Troubleshoot monitor problem 
Genexpert Cleaning 
Checking of errors 
Problem and errors reporting 
Data collection</t>
  </si>
  <si>
    <t>https://www.jotform.com/uploads/macarewecare/222927978372067/6071014026866452412/6071014026866452412_signature_28.png</t>
  </si>
  <si>
    <t>JOVI G GELIO</t>
  </si>
  <si>
    <t>https://www.jotform.com/uploads/macarewecare/222927978372067/6071014026866452412/6071014026866452412_signature_31.png</t>
  </si>
  <si>
    <t>Poblacion, Malapatan Rural Health Unit</t>
  </si>
  <si>
    <t xml:space="preserve">ASSAY: Xpert MTB/RIF Ultra, COUNT: 673
</t>
  </si>
  <si>
    <t>Module 4 (H/W Failed) multiple error:2014 - Temperature errors</t>
  </si>
  <si>
    <t>Genexpert troubleshooting 
Genexpert Preventive maintenance</t>
  </si>
  <si>
    <t>Perform module 4 problem troubleshooting 
Perform Genexpert Cleaning and maintenance 
Checking of errors 
Problem/errors reporting 
Data collection</t>
  </si>
  <si>
    <t>https://www.jotform.com/uploads/macarewecare/222927978372067/6071014026867170861/6071014026867170861_signature_28.png</t>
  </si>
  <si>
    <t>https://www.jotform.com/uploads/macarewecare/222927978372067/6071014026867170861/6071014026867170861_signature_31.png</t>
  </si>
  <si>
    <t xml:space="preserve">ASSAY: Xpert MTB/RIF Ultra, COUNT: 605
</t>
  </si>
  <si>
    <t>B4/673571 - service required (calibration)</t>
  </si>
  <si>
    <t>Replaced module: B4 - 673571 &gt;&gt; 683709
Cleaned cartridge bays, plunger rod, icore 
Generate Data</t>
  </si>
  <si>
    <t>Replaced module B4/673571
Performed Preventive Maintenance</t>
  </si>
  <si>
    <t>https://www.jotform.com/uploads/macarewecare/222927978372067/6070549127916442230/6070549127916442230_signature_28.png</t>
  </si>
  <si>
    <t>Suzette C.Oguan</t>
  </si>
  <si>
    <t>https://www.jotform.com/uploads/macarewecare/222927978372067/6070549127916442230/6070549127916442230_signature_31.png</t>
  </si>
  <si>
    <t>Iriga City Hall Compound, Sta. Cruz Sur, Iriga City</t>
  </si>
  <si>
    <t>https://www.jotform.com/uploads/macarewecare/222927978372067/6070548317911782131/6070548317911782131_signature_28.png</t>
  </si>
  <si>
    <t>https://www.jotform.com/uploads/macarewecare/222927978372067/6070548317911782131/6070548317911782131_signature_31.png</t>
  </si>
  <si>
    <t>Iriga City Hall Compound, Brgy. Sta. Cruz Sur, Iriga City</t>
  </si>
  <si>
    <t xml:space="preserve">ASSAY: Xpert MTB/RIF Ultra, COUNT: 1447
</t>
  </si>
  <si>
    <t>B2/210044677 - service required</t>
  </si>
  <si>
    <t>Replaced module: B2 - 210044677 &gt;&gt; 718383
Cleaned cartridge bays, plunger rod,  Icore
Generate Data</t>
  </si>
  <si>
    <t>Replaced B2/210044677
Performed Preventive Maintenance</t>
  </si>
  <si>
    <t>https://www.jotform.com/uploads/macarewecare/222927978372067/6070547927915393394/6070547927915393394_signature_28.png</t>
  </si>
  <si>
    <t>https://www.jotform.com/uploads/macarewecare/222927978372067/6070547927915393394/6070547927915393394_signature_31.png</t>
  </si>
  <si>
    <t xml:space="preserve">ASSAY: Xpert BCR-ABL Ultra, COUNT: 3
ASSAY: Xpert HBV VL, COUNT: 193
ASSAY: Xpert MTB/RIF Ultra, COUNT: 148
ASSAY: Xpert MTB-XDR, COUNT: 11
ASSAY: Xpert SARS-CoV-2, COUNT: 12
</t>
  </si>
  <si>
    <t>Cleaned cartridge bays, plunger rod, icore, fan
Generate Data</t>
  </si>
  <si>
    <t>https://www.jotform.com/uploads/macarewecare/222927978372067/6070547367918066663/6070547367918066663_signature_28.png</t>
  </si>
  <si>
    <t>Rey a. Lovendino</t>
  </si>
  <si>
    <t>https://www.jotform.com/uploads/macarewecare/222927978372067/6070547367918066663/6070547367918066663_signature_31.png</t>
  </si>
  <si>
    <t>ellainehernandez27@yahoo.com</t>
  </si>
  <si>
    <t>Preventive maintenance and module replacement</t>
  </si>
  <si>
    <t>GX module B1 (634939) in replacement to defective B1 (632561).</t>
  </si>
  <si>
    <t>DR#12247</t>
  </si>
  <si>
    <t>https://www.jotform.com/uploads/macarewecare/222927978372067/6070174978503612559/6070174978503612559_signature_28.png</t>
  </si>
  <si>
    <t>Ellaine Villas</t>
  </si>
  <si>
    <t>https://www.jotform.com/uploads/macarewecare/222927978372067/6070174978503612559/6070174978503612559_signature_31.png</t>
  </si>
  <si>
    <t>https://www.jotform.com/uploads/macarewecare/222927978372067/6070174728504227911/6070174728504227911_signature_28.png</t>
  </si>
  <si>
    <t>https://www.jotform.com/uploads/macarewecare/222927978372067/6070174728504227911/6070174728504227911_signature_31.png</t>
  </si>
  <si>
    <t>UPS defective (Not charging)
SN/ AT1000190123ST0195</t>
  </si>
  <si>
    <t>Preventive Maintenance 
Troubleshoot</t>
  </si>
  <si>
    <t>https://www.jotform.com/uploads/macarewecare/222927978372067/6068520073118172982/6068520073118172982_signature_28.png</t>
  </si>
  <si>
    <t>https://www.jotform.com/uploads/macarewecare/222927978372067/6068520073118172982/6068520073118172982_signature_31.png</t>
  </si>
  <si>
    <t>Maria Reyna University - Xavier Hospital</t>
  </si>
  <si>
    <t>Hayes Street, Pinikitan, Cagayan de Oro City</t>
  </si>
  <si>
    <t>Jmrabe84@gmail.com</t>
  </si>
  <si>
    <t>05M131</t>
  </si>
  <si>
    <t>Unable to read protocol card. CRC failure. Self test problem. BIOS CRC failure also occur last inspection.
6 roller rubbers are thin and need to be replace.</t>
  </si>
  <si>
    <t>Replacement of CPU PCB/ Motherboard is needed.
Replacement of 6 rollers is also needed.</t>
  </si>
  <si>
    <t>Inspection and troubleshooting of MCS+ with SN: 05M131</t>
  </si>
  <si>
    <t>MCS+ unable to start. Equipment not functional.</t>
  </si>
  <si>
    <t>https://www.jotform.com/uploads/macarewecare/222927978372067/6068369137023067438/6068369137023067438_signature_28.png</t>
  </si>
  <si>
    <t>John Michael E. Rabe</t>
  </si>
  <si>
    <t>https://www.jotform.com/uploads/macarewecare/222927978372067/6068369137023067438/6068369137023067438_signature_31.png</t>
  </si>
  <si>
    <t>Performed maintenance
Run simulation 
Checked rotor pumps
Cleaned centrifuge
Cleaned line sensor
Functionality test</t>
  </si>
  <si>
    <t>https://www.jotform.com/uploads/macarewecare/222927978372067/6068340493617999968/6068340493617999968_signature_28.png</t>
  </si>
  <si>
    <t>Hiltor Jonhn M. Abustan</t>
  </si>
  <si>
    <t>https://www.jotform.com/uploads/macarewecare/222927978372067/6068340493617999968/6068340493617999968_signature_31.png</t>
  </si>
  <si>
    <t xml:space="preserve">ASSAY: Xpert HBV VL, COUNT: 144
ASSAY: Xpert HPV, COUNT: 47
ASSAY: Xpert MTB/RIF Ultra, COUNT: 1075
</t>
  </si>
  <si>
    <t>Unit is operational. Modules B1, B2 and B4 operational. Module B3 disabled.</t>
  </si>
  <si>
    <t>https://www.jotform.com/uploads/macarewecare/222927978372067/6068340493619936085/6068340493619936085_signature_28.png</t>
  </si>
  <si>
    <t>https://www.jotform.com/uploads/macarewecare/222927978372067/6068340493619936085/6068340493619936085_signature_31.png</t>
  </si>
  <si>
    <t>Medilinx MMC</t>
  </si>
  <si>
    <t>johnjayresco.medilinx@outlook.com</t>
  </si>
  <si>
    <t>johnjayresco@gmail.com</t>
  </si>
  <si>
    <t xml:space="preserve">ASSAY: Xpert BCR-ABL Ultra, COUNT: 227
ASSAY: Xpert CT/NG, COUNT: 837
ASSAY: Xpert HBV VL, COUNT: 2
ASSAY: Xpert HPV, COUNT: 744
ASSAY: Xpert MTB/RIF Ultra, COUNT: 3282
ASSAY: Others, COUNT: 13
ASSAY: Xpert HCV VL, COUNT: 92
ASSAY: Xpert HIV-1 Viral Load, COUNT: 1977
</t>
  </si>
  <si>
    <t>GX 4 D (10C)</t>
  </si>
  <si>
    <t>Due for maintenance and for installation of printer
Xpertcheck due 11/15/2024</t>
  </si>
  <si>
    <t>Cleaned unit
Cleaned plunger rod,filter,icore,cartridge bay
Gathered reports
Back up files
Test run unit</t>
  </si>
  <si>
    <t>Performed maintenance and installation of printer</t>
  </si>
  <si>
    <t>B2,B3,B4 
B1 encounter 5007 error</t>
  </si>
  <si>
    <t>For xpertcheck</t>
  </si>
  <si>
    <t>https://www.jotform.com/uploads/macarewecare/222927978372067/6067864163223705335/6067864163223705335_signature_28.png</t>
  </si>
  <si>
    <t>John Jay Dawang Resco</t>
  </si>
  <si>
    <t>https://www.jotform.com/uploads/macarewecare/222927978372067/6067864163223705335/6067864163223705335_signature_31.png</t>
  </si>
  <si>
    <t>As per end user they encounter reddish platelet</t>
  </si>
  <si>
    <t>Checked program parameters
Checked and adjust line sensor value to 3071
Checked rollers,dpm,spm,centrifuge,weigher
Adjust bowl optics to 2800 and 25 without bowl 
Performed functionality test
Performed simulation running</t>
  </si>
  <si>
    <t>Operational for observation</t>
  </si>
  <si>
    <t>https://www.jotform.com/uploads/macarewecare/222927978372067/6067863863223644327/6067863863223644327_signature_28.png</t>
  </si>
  <si>
    <t>https://www.jotform.com/uploads/macarewecare/222927978372067/6067863863223644327/6067863863223644327_signature_31.png</t>
  </si>
  <si>
    <t xml:space="preserve">ASSAY: Xpert BCR-ABL Ultra, COUNT: 52
ASSAY: Xpert MTB/RIF Ultra, COUNT: 2404
ASSAY: Xpert SARS-CoV-2, COUNT: 1284
ASSAY: Xpress SARS-CoV-2_Flu_RSV plus, COUNT: 1310
</t>
  </si>
  <si>
    <t>Encounter continous error 5007 in different module location.
Due for maintenance</t>
  </si>
  <si>
    <t>Performed troubleshooting.
Performed maintenance</t>
  </si>
  <si>
    <t>https://www.jotform.com/uploads/macarewecare/222927978372067/6067863393225041749/6067863393225041749_signature_28.png</t>
  </si>
  <si>
    <t>https://www.jotform.com/uploads/macarewecare/222927978372067/6067863393225041749/6067863393225041749_signature_31.png</t>
  </si>
  <si>
    <t xml:space="preserve">ASSAY: Xpert MTB/RIF Ultra, COUNT: 1137
</t>
  </si>
  <si>
    <t>Module B4 encounter multiple temperature related errors
For Preventive Maintenance and XpertCheck Calibration</t>
  </si>
  <si>
    <t>Clean Surface Area, Cartridge Bay, Plunger Rod, Fan Filters and Icore Lenses
Generate IQR, Assay Stat and System Log
Replaced the Defective Module SN: 862350 with new Module SN:  688471
Run XpertCheck on three Modules</t>
  </si>
  <si>
    <t>Perform Module Replacement
Perform Xpertcheck
Perform Preventive Maintenance</t>
  </si>
  <si>
    <t>Module B3 for Service Required due to multiple temperature related errors
Only 3 Modules are operational</t>
  </si>
  <si>
    <t>Xpertcheck CE-5
900-0491rs</t>
  </si>
  <si>
    <t>DR 12254 &amp; DR 12003</t>
  </si>
  <si>
    <t>https://www.jotform.com/uploads/macarewecare/222927978372067/6067747832317947420/6067747832317947420_signature_28.png</t>
  </si>
  <si>
    <t>https://www.jotform.com/uploads/macarewecare/222927978372067/6067747832317947420/6067747832317947420_signature_31.png</t>
  </si>
  <si>
    <t>National Crop Protection Center</t>
  </si>
  <si>
    <t>Los Baños, Laguna</t>
  </si>
  <si>
    <t>Plant Nematology</t>
  </si>
  <si>
    <t>jincarino@gmail.com</t>
  </si>
  <si>
    <t>jncarino1@up.edu.ph</t>
  </si>
  <si>
    <t>Axiolab 5</t>
  </si>
  <si>
    <t>Installation of Axiolab 5
Kohler alignment
Functionality test</t>
  </si>
  <si>
    <t>https://www.jotform.com/uploads/macarewecare/222927978372067/6067677193917628650/6067677193917628650_signature_28.png</t>
  </si>
  <si>
    <t>Jaybee Ian N. Cariño</t>
  </si>
  <si>
    <t>https://www.jotform.com/uploads/macarewecare/222927978372067/6067677193917628650/6067677193917628650_signature_31.png</t>
  </si>
  <si>
    <t>STEMI 305</t>
  </si>
  <si>
    <t>Connection to Labscope</t>
  </si>
  <si>
    <t>Screwed the head properly</t>
  </si>
  <si>
    <t>Checked connection
Functionality test</t>
  </si>
  <si>
    <t>https://www.jotform.com/uploads/macarewecare/222927978372067/6067673483917097059/6067673483917097059_signature_28.png</t>
  </si>
  <si>
    <t>https://www.jotform.com/uploads/macarewecare/222927978372067/6067673483917097059/6067673483917097059_signature_31.png</t>
  </si>
  <si>
    <t>University of the Philippines - Los Baños</t>
  </si>
  <si>
    <t>UPLB, Los Baños, Laguna</t>
  </si>
  <si>
    <t>mmartinezgoss@gmail.com</t>
  </si>
  <si>
    <t>Axio Scope.A1</t>
  </si>
  <si>
    <t>HAL 100 not working</t>
  </si>
  <si>
    <t>Repaired HAL 100
Re-attached Condenser
Aligned Kohler</t>
  </si>
  <si>
    <t>Repaired HAL 100
Re-attached Condenser
Aligned Kohler
Functionality Test</t>
  </si>
  <si>
    <t>https://www.jotform.com/uploads/macarewecare/222927978372067/6067673463916802873/6067673463916802873_signature_28.png</t>
  </si>
  <si>
    <t>Milagrosa R. Martinez-Goss</t>
  </si>
  <si>
    <t>https://www.jotform.com/uploads/macarewecare/222927978372067/6067673463916802873/6067673463916802873_signature_31.png</t>
  </si>
  <si>
    <t xml:space="preserve">ASSAY: Xpert MTB/RIF Ultra, COUNT: 391
</t>
  </si>
  <si>
    <t>Module B1/616665 failed the latest Xpertcheck.</t>
  </si>
  <si>
    <t>Cleaned optics, plunger rods, module bay areas, filter; Archive tests</t>
  </si>
  <si>
    <t>Replaced module B1 with new module SN 863340.</t>
  </si>
  <si>
    <t>DR 12257</t>
  </si>
  <si>
    <t>https://www.jotform.com/uploads/macarewecare/222927978372067/6067670364731225386/6067670364731225386_signature_28.png</t>
  </si>
  <si>
    <t>MARIA HALA DEEB ZAULDA</t>
  </si>
  <si>
    <t>https://www.jotform.com/uploads/macarewecare/222927978372067/6067670364731225386/6067670364731225386_signature_31.png</t>
  </si>
  <si>
    <t xml:space="preserve">ASSAY: Xpert MTB/RIF Ultra, COUNT: 2329
</t>
  </si>
  <si>
    <t>Replaced system unit CMOS batteries and re udjust RAM.</t>
  </si>
  <si>
    <t>Replaced system unit CMOS batteries and re udjust RAM</t>
  </si>
  <si>
    <t>Module 1 and 3 are available while modules 3 and 4 are for replacement</t>
  </si>
  <si>
    <t>Module 3 and 4 are for replacement</t>
  </si>
  <si>
    <t>https://www.jotform.com/uploads/macarewecare/222927978372067/6067667002313945874/6067667002313945874_signature_28.png</t>
  </si>
  <si>
    <t>https://www.jotform.com/uploads/macarewecare/222927978372067/6067667002313945874/6067667002313945874_signature_31.png</t>
  </si>
  <si>
    <t xml:space="preserve">ASSAY: Xpert MTB/RIF Ultra, COUNT: 601
</t>
  </si>
  <si>
    <t>Modules B2/861749 and B3/635368 failed the latest Xpertcheck.</t>
  </si>
  <si>
    <t>Cleaned module bay areas, optics, filter, plunger rods; Archive tests.</t>
  </si>
  <si>
    <t>- Replaced modules B2 and B3 with new modules with SN 801411 and 793171 respectively.</t>
  </si>
  <si>
    <t>DR 12256</t>
  </si>
  <si>
    <t>https://www.jotform.com/uploads/macarewecare/222927978372067/6067593025284783253/6067593025284783253_signature_28.png</t>
  </si>
  <si>
    <t>MA. NYCOLE S. BENEDICTO</t>
  </si>
  <si>
    <t>https://www.jotform.com/uploads/macarewecare/222927978372067/6067593025284783253/6067593025284783253_signature_31.png</t>
  </si>
  <si>
    <t>NAZARETH HEALTH CENTER</t>
  </si>
  <si>
    <t>Nazareth , Cagayan de Oro City</t>
  </si>
  <si>
    <t xml:space="preserve">ASSAY: Xpert MTB/RIF Ultra, COUNT: 1360
</t>
  </si>
  <si>
    <t>FOR MODULE B3 AND MODULE B3 REPLACEMENT</t>
  </si>
  <si>
    <t>-PERFORM PREVENTIVE MAINTENANCE PROCEDURE
-PERFORM MODULE REPLACEMENT:
B3 DEF SN:688652 WITH NEW SN:874395
B4 DEF SN:808125 WITH NEW SN:882093</t>
  </si>
  <si>
    <t>Certified pre-owned GeneXpert module</t>
  </si>
  <si>
    <t>https://www.jotform.com/uploads/macarewecare/222927978372067/6067582081122744298/6067582081122744298_signature_28.png</t>
  </si>
  <si>
    <t>Nanette Tolentino</t>
  </si>
  <si>
    <t>https://www.jotform.com/uploads/macarewecare/222927978372067/6067582081122744298/6067582081122744298_signature_31.png</t>
  </si>
  <si>
    <t>Cong. Simeon G. Toribio Memerial Hospital</t>
  </si>
  <si>
    <t>cristalroy@yahoo.com</t>
  </si>
  <si>
    <t>Defective LCD with serial number CNK9430BTS</t>
  </si>
  <si>
    <t>.Pull out defective LCD
.Save Installation Qualification Report
.Save System Log file</t>
  </si>
  <si>
    <t>Install new LCD with serial number CNK83224Q2</t>
  </si>
  <si>
    <t>LCD are functional ok to use.
All modules are functional ok to use.</t>
  </si>
  <si>
    <t>https://www.jotform.com/uploads/macarewecare/222927978372067/6067569228711714150/6067569228711714150_signature_28.png</t>
  </si>
  <si>
    <t>Roy Cristal</t>
  </si>
  <si>
    <t>https://www.jotform.com/uploads/macarewecare/222927978372067/6067569228711714150/6067569228711714150_signature_31.png</t>
  </si>
  <si>
    <t>CARMEN HEALTH CENTER</t>
  </si>
  <si>
    <t>Carmen, Cagayan de Oro City</t>
  </si>
  <si>
    <t>EQUIPMENT OPERATIONAL</t>
  </si>
  <si>
    <t>MODULE B2 DISABLED</t>
  </si>
  <si>
    <t>XPERTCHECK, 5Cartridges/kit</t>
  </si>
  <si>
    <t>https://www.jotform.com/uploads/macarewecare/222927978372067/6067511806827381787/6067511806827381787_signature_28.png</t>
  </si>
  <si>
    <t>Juvy</t>
  </si>
  <si>
    <t>https://www.jotform.com/uploads/macarewecare/222927978372067/6067511806827381787/6067511806827381787_signature_31.png</t>
  </si>
  <si>
    <t>Preventive Maintenance and Calibration</t>
  </si>
  <si>
    <t>Equipment is functional</t>
  </si>
  <si>
    <t>https://www.jotform.com/uploads/macarewecare/222927978372067/6066957201125393970/6066957201125393970_signature_28.png</t>
  </si>
  <si>
    <t>https://www.jotform.com/uploads/macarewecare/222927978372067/6066957201125393970/6066957201125393970_signature_31.png</t>
  </si>
  <si>
    <t>Poblacion, Talakag</t>
  </si>
  <si>
    <t>mhotalakaglaboratory@gmail.com</t>
  </si>
  <si>
    <t>All modules and units are operational
All modules passed in XPC</t>
  </si>
  <si>
    <t>https://www.jotform.com/uploads/macarewecare/222927978372067/6066871781121638594/6066871781121638594_signature_28.png</t>
  </si>
  <si>
    <t>Khiza Gessel Tinoy</t>
  </si>
  <si>
    <t>https://www.jotform.com/uploads/macarewecare/222927978372067/6066871781121638594/6066871781121638594_signature_31.png</t>
  </si>
  <si>
    <t>CAGAYAN DE ORO CITY HEALTH OFFICE</t>
  </si>
  <si>
    <t>Cagayan De Oro, Misamis Oriental</t>
  </si>
  <si>
    <t xml:space="preserve">ASSAY: Xpert MTB/RIF Ultra, COUNT: 2907
</t>
  </si>
  <si>
    <t>XPERTCHECK, 5 Cartridges/Kit</t>
  </si>
  <si>
    <t>https://www.jotform.com/uploads/macarewecare/222927978372067/6066851941128420867/6066851941128420867_signature_28.png</t>
  </si>
  <si>
    <t>Charissa B Galacio</t>
  </si>
  <si>
    <t>https://www.jotform.com/uploads/macarewecare/222927978372067/6066851941128420867/6066851941128420867_signature_31.png</t>
  </si>
  <si>
    <t>XPERTCHECK, 5Cartridges/Kit</t>
  </si>
  <si>
    <t>https://www.jotform.com/uploads/macarewecare/222927978372067/6066823711104471529/6066823711104471529_signature_28.png</t>
  </si>
  <si>
    <t>https://www.jotform.com/uploads/macarewecare/222927978372067/6066823711104471529/6066823711104471529_signature_31.png</t>
  </si>
  <si>
    <t>Poblacion, Matanao, Davao del Sur</t>
  </si>
  <si>
    <t>+GX-IV 6C 4D</t>
  </si>
  <si>
    <t>Module 4 for Service Required during last Calibration
For Preventive Maintenance</t>
  </si>
  <si>
    <t>Clean Surface Area, Cartridge Bay, Plunger Rod, Fan Filters and Icore Lenses
Replaced the Defective Module SN: 861233 with new Module SN: 210057751
Generate IQR, Assay Stat and System Log</t>
  </si>
  <si>
    <t>GeneXpert Module 6c</t>
  </si>
  <si>
    <t>DR 12273</t>
  </si>
  <si>
    <t>https://www.jotform.com/uploads/macarewecare/222927978372067/6066820758029843587/6066820758029843587_signature_28.png</t>
  </si>
  <si>
    <t>Pamela Joyce P. Sustento,. RMT</t>
  </si>
  <si>
    <t>https://www.jotform.com/uploads/macarewecare/222927978372067/6066820758029843587/6066820758029843587_signature_31.png</t>
  </si>
  <si>
    <t>LAGUINDINGAN RURAL HEALTH UNIT</t>
  </si>
  <si>
    <t>LAGUINDINGAN, MISAMIS ORIENTAL</t>
  </si>
  <si>
    <t xml:space="preserve">ASSAY: Xpert MTB/RIF Ultra, COUNT: 1200
</t>
  </si>
  <si>
    <t>https://www.jotform.com/uploads/macarewecare/222927978372067/6066735771121997354/6066735771121997354_signature_28.png</t>
  </si>
  <si>
    <t>Rochelle M. Samban</t>
  </si>
  <si>
    <t>https://www.jotform.com/uploads/macarewecare/222927978372067/6066735771121997354/6066735771121997354_signature_31.png</t>
  </si>
  <si>
    <t>zyrusbohol@gmail.com</t>
  </si>
  <si>
    <t xml:space="preserve">ASSAY: Xpert MTB/RIF Ultra, COUNT: 587
</t>
  </si>
  <si>
    <t>Modules 1,2,3 operational. 
Module 4 waiting for new module replacement.</t>
  </si>
  <si>
    <t>https://www.jotform.com/uploads/macarewecare/222927978372067/6066693338022349234/6066693338022349234_signature_28.png</t>
  </si>
  <si>
    <t>Zyrus Bohol</t>
  </si>
  <si>
    <t>https://www.jotform.com/uploads/macarewecare/222927978372067/6066693338022349234/6066693338022349234_signature_31.png</t>
  </si>
  <si>
    <t>Tomas Claudio Health Center (District A)</t>
  </si>
  <si>
    <t>Camus Street, Corner E. Quirino Davao City</t>
  </si>
  <si>
    <t>Module B3, failed during calibration
For Preventive Maintenance</t>
  </si>
  <si>
    <t>Replaced the Defective Module SN: 862220 with new Module SN:870134
Clean Surface Area, Cartridge Bay, Plunger Rod, Fan Filters and Icore Lenses
Generate IQR, Assay Stat and System Log</t>
  </si>
  <si>
    <t>Item Code: 900-0491rs GeneXpert 6c Module</t>
  </si>
  <si>
    <t>DR 12271</t>
  </si>
  <si>
    <t>https://www.jotform.com/uploads/macarewecare/222927978372067/6066033704725903827/6066033704725903827_signature_28.png</t>
  </si>
  <si>
    <t>Arleen P. Alconera,. RMT</t>
  </si>
  <si>
    <t>https://www.jotform.com/uploads/macarewecare/222927978372067/6066033704725903827/6066033704725903827_signature_31.png</t>
  </si>
  <si>
    <t>JP Rizal St. Marikina</t>
  </si>
  <si>
    <t xml:space="preserve">ASSAY: Xpert MTB/RIF Ultra, COUNT: 1597
</t>
  </si>
  <si>
    <t>Performed maintenance 
Replaced module B1
Generated reports</t>
  </si>
  <si>
    <t>Old: B1/678461
Old: B2/210016600</t>
  </si>
  <si>
    <t>DR# 12287</t>
  </si>
  <si>
    <t>https://www.jotform.com/uploads/macarewecare/222927978372067/6066009420028755144/6066009420028755144_signature_28.png</t>
  </si>
  <si>
    <t>https://www.jotform.com/uploads/macarewecare/222927978372067/6066009420028755144/6066009420028755144_signature_31.png</t>
  </si>
  <si>
    <t>Evangelista Ave. Paaig City</t>
  </si>
  <si>
    <t xml:space="preserve">ASSAY: Xpert MTB/RIF Ultra, COUNT: 834
</t>
  </si>
  <si>
    <t>https://www.jotform.com/uploads/macarewecare/222927978372067/6065947133611684645/6065947133611684645_signature_28.png</t>
  </si>
  <si>
    <t>Marilyn Cruz</t>
  </si>
  <si>
    <t>https://www.jotform.com/uploads/macarewecare/222927978372067/6065947133611684645/6065947133611684645_signature_31.png</t>
  </si>
  <si>
    <t xml:space="preserve">ASSAY: Xpert MTB/RIF Ultra, COUNT: 169
</t>
  </si>
  <si>
    <t>https://www.jotform.com/uploads/macarewecare/222927978372067/6065947133617922559/6065947133617922559_signature_28.png</t>
  </si>
  <si>
    <t>https://www.jotform.com/uploads/macarewecare/222927978372067/6065947133617922559/6065947133617922559_signature_31.png</t>
  </si>
  <si>
    <t xml:space="preserve">ASSAY: Xpert MTB/RIF Ultra, COUNT: 691
</t>
  </si>
  <si>
    <t>https://www.jotform.com/uploads/macarewecare/222927978372067/6065943720341968897/6065943720341968897_signature_28.png</t>
  </si>
  <si>
    <t>https://www.jotform.com/uploads/macarewecare/222927978372067/6065943720341968897/6065943720341968897_signature_31.png</t>
  </si>
  <si>
    <t xml:space="preserve">ASSAY: Xpert MTB/RIF Ultra, COUNT: 1251
</t>
  </si>
  <si>
    <t>Unit is Fully Operational 
- Unable to perform XpertCheck to be reported</t>
  </si>
  <si>
    <t>https://www.jotform.com/uploads/macarewecare/222927978372067/6065942070343484265/6065942070343484265_signature_28.png</t>
  </si>
  <si>
    <t>https://www.jotform.com/uploads/macarewecare/222927978372067/6065942070343484265/6065942070343484265_signature_31.png</t>
  </si>
  <si>
    <t>ammegzedd@gmail.com</t>
  </si>
  <si>
    <t>Performed monthly preventive maintenance</t>
  </si>
  <si>
    <t>https://www.jotform.com/uploads/macarewecare/222927978372067/6065915298692925697/6065915298692925697_signature_28.png</t>
  </si>
  <si>
    <t>gemma malate</t>
  </si>
  <si>
    <t>https://www.jotform.com/uploads/macarewecare/222927978372067/6065915298692925697/6065915298692925697_signature_31.png</t>
  </si>
  <si>
    <t>Padre Burgos, Southern Leyte</t>
  </si>
  <si>
    <t xml:space="preserve">ASSAY: Xpert MTB/RIF Ultra, COUNT: 186
</t>
  </si>
  <si>
    <t>Stuck cartridge at module B4</t>
  </si>
  <si>
    <t>https://www.jotform.com/uploads/macarewecare/222927978372067/6065874913491960870/6065874913491960870_signature_28.png</t>
  </si>
  <si>
    <t>https://www.jotform.com/uploads/macarewecare/222927978372067/6065874913491960870/6065874913491960870_signature_31.png</t>
  </si>
  <si>
    <t>Datu Odin Sinsuat, Maguindanao</t>
  </si>
  <si>
    <t>dosdhlaboratory@gmail.com</t>
  </si>
  <si>
    <t>Perform Genexpert annual Xpertcheck Calibration 
Perform Genexpert preventive maintenance</t>
  </si>
  <si>
    <t>Perform Genexpert Xpertcheck Calibration 
Perform Genexpert Cleaning and maintenance 
Checking of errors 
Data collection and Reporting</t>
  </si>
  <si>
    <t>4 operational modules 
Calibration Results:
Module 1 - Passed
Module 2 - Skipped (new module)
Module 3 - Passed 
Module 4 - Passed</t>
  </si>
  <si>
    <t>Xpertcheck cartridge/kits
Lot#: 1001075092</t>
  </si>
  <si>
    <t>DR#: 12029</t>
  </si>
  <si>
    <t>https://www.jotform.com/uploads/macarewecare/222927978372067/6065345436861217096/6065345436861217096_signature_28.png</t>
  </si>
  <si>
    <t>ROWENA B. SALAZAR</t>
  </si>
  <si>
    <t>https://www.jotform.com/uploads/macarewecare/222927978372067/6065345436861217096/6065345436861217096_signature_31.png</t>
  </si>
  <si>
    <t xml:space="preserve">ASSAY: Xpert MTB/RIF Ultra, COUNT: 1550
</t>
  </si>
  <si>
    <t>Defective Air Filter
Generate IQR, Gxx files, System Log
Performed calibration on genexpert machine
Conduct Preventive Maintenance</t>
  </si>
  <si>
    <t>Installation of New Filter
Generate IQR, Gxx files, System Log
Performed calibration on genexpert machine
Conduct Preventive Maintenance</t>
  </si>
  <si>
    <t>https://www.jotform.com/uploads/macarewecare/222927978372067/6065163220655374351/6065163220655374351_signature_28.png</t>
  </si>
  <si>
    <t>https://www.jotform.com/uploads/macarewecare/222927978372067/6065163220655374351/6065163220655374351_signature_31.png</t>
  </si>
  <si>
    <t xml:space="preserve">ASSAY: Xpert MTB/RIF Ultra, COUNT: 1151
</t>
  </si>
  <si>
    <t>Defective Module 4  SN # 707812 during calibration.</t>
  </si>
  <si>
    <t>Replaced module 4 with new module SN #  730678
Conduct Preventive maintenance Clean Icore, ultrasonic horn and filter
Generate GXX files, IQR and System Log,</t>
  </si>
  <si>
    <t>https://www.jotform.com/uploads/macarewecare/222927978372067/6065156163517051817/6065156163517051817_signature_28.png</t>
  </si>
  <si>
    <t>https://www.jotform.com/uploads/macarewecare/222927978372067/6065156163517051817/6065156163517051817_signature_31.png</t>
  </si>
  <si>
    <t>Pull-Out UPS</t>
  </si>
  <si>
    <t xml:space="preserve">ASSAY: Xpert MTB/RIF Ultra, COUNT: 965
</t>
  </si>
  <si>
    <t>https://www.jotform.com/uploads/macarewecare/222927978372067/6065087782406244986/6065087782406244986_signature_28.png</t>
  </si>
  <si>
    <t>https://www.jotform.com/uploads/macarewecare/222927978372067/6065087782406244986/6065087782406244986_signature_31.png</t>
  </si>
  <si>
    <t>Module B2 found Service Required thru XPC</t>
  </si>
  <si>
    <t>Replacing Module B2 with SN: 672225 with SN: 630596</t>
  </si>
  <si>
    <t>https://www.jotform.com/uploads/macarewecare/222927978372067/6064997254284008568/6064997254284008568_signature_28.png</t>
  </si>
  <si>
    <t>https://www.jotform.com/uploads/macarewecare/222927978372067/6064997254284008568/6064997254284008568_signature_31.png</t>
  </si>
  <si>
    <t>nchmbdteam@gmail.com</t>
  </si>
  <si>
    <t>Cleaned unit
Checked program parameters
Checked and adjust line sensor value
Performed visual checkinf
Checked rollers,dpm,spm,centrifuge,weigher,air detector 
Performed functionality test
Performed simulation running</t>
  </si>
  <si>
    <t>https://www.jotform.com/uploads/macarewecare/222927978372067/6064995096701208055/6064995096701208055_signature_28.png</t>
  </si>
  <si>
    <t>NATIONAL CHILDREN'S HOSPITAL</t>
  </si>
  <si>
    <t>https://www.jotform.com/uploads/macarewecare/222927978372067/6064995096701208055/6064995096701208055_signature_31.png</t>
  </si>
  <si>
    <t>Palompon Leyte</t>
  </si>
  <si>
    <t>UPS replacement</t>
  </si>
  <si>
    <t>1-UPS (ACCUPOWER)</t>
  </si>
  <si>
    <t>https://www.jotform.com/uploads/macarewecare/222927978372067/6064919680121369810/6064919680121369810_signature_28.png</t>
  </si>
  <si>
    <t>https://www.jotform.com/uploads/macarewecare/222927978372067/6064919680121369810/6064919680121369810_signature_31.png</t>
  </si>
  <si>
    <t>Wilson st,Greenhills SanJuan</t>
  </si>
  <si>
    <t>As per enduser they encounter pressure problem during process.</t>
  </si>
  <si>
    <t>Checked program parameters
Checked and adjust line sensor value
Checked rollers,dpm,spm,centrifuge,weigher
Performed functionality test
Performed simulation running</t>
  </si>
  <si>
    <t>https://www.jotform.com/uploads/macarewecare/222927978372067/6063426293802913918/6063426293802913918_signature_28.png</t>
  </si>
  <si>
    <t>Andrea Sumilla</t>
  </si>
  <si>
    <t>https://www.jotform.com/uploads/macarewecare/222927978372067/6063426293802913918/6063426293802913918_signature_31.png</t>
  </si>
  <si>
    <t xml:space="preserve">ASSAY: Xpert BCR-ABL Ultra, COUNT: 1510
ASSAY: Xpert CT/NG, COUNT: 5
ASSAY: Others, COUNT: 116
ASSAY: Xpert HBV VL, COUNT: 1065
ASSAY: Xpert HPV, COUNT: 138
ASSAY: Xpert MTB/RIF Ultra, COUNT: 2338
ASSAY: Others, COUNT: 3
ASSAY: Xpert SARS-CoV-2, COUNT: 9625
ASSAY: Xpert HCV VL, COUNT: 147
</t>
  </si>
  <si>
    <t>GX 16 D</t>
  </si>
  <si>
    <t>A1 encounter error 4009,4017 temp error
A2 encounter error 4010,4017 temp error
C2 encounter error 4010, temp error
D2 encounter error 4017 temp error
C4 newly replaced encounter error 4004 valve motion</t>
  </si>
  <si>
    <t>Gathered data
Performed troubleshooting</t>
  </si>
  <si>
    <t>A1,A2,C2,C4,D2 unoperational reported already.
11 modules operational</t>
  </si>
  <si>
    <t>https://www.jotform.com/uploads/macarewecare/222927978372067/6063425903802941100/6063425903802941100_signature_28.png</t>
  </si>
  <si>
    <t>https://www.jotform.com/uploads/macarewecare/222927978372067/6063425903802941100/6063425903802941100_signature_31.png</t>
  </si>
  <si>
    <t>phcmolecularlab@gmail.com</t>
  </si>
  <si>
    <t xml:space="preserve">ASSAY: Xpert MTB/RIF Ultra, COUNT: 508
ASSAY: Others, COUNT: 3
ASSAY: Xpert SARS-CoV-2, COUNT: 764
</t>
  </si>
  <si>
    <t>https://www.jotform.com/uploads/macarewecare/222927978372067/6063425563802510348/6063425563802510348_signature_28.png</t>
  </si>
  <si>
    <t>ISON M. SAN JOSE</t>
  </si>
  <si>
    <t>https://www.jotform.com/uploads/macarewecare/222927978372067/6063425563802510348/6063425563802510348_signature_31.png</t>
  </si>
  <si>
    <t>02D168</t>
  </si>
  <si>
    <t>As per end user they encounter reddish color of platelet.
Line sensor potentiometer unable to adjust value of desire value
Line sensor value 2987</t>
  </si>
  <si>
    <t>https://www.jotform.com/uploads/macarewecare/222927978372067/6063423033808763927/6063423033808763927_signature_28.png</t>
  </si>
  <si>
    <t>Cathlyn I. Pua</t>
  </si>
  <si>
    <t>https://www.jotform.com/uploads/macarewecare/222927978372067/6063423033808763927/6063423033808763927_signature_31.png</t>
  </si>
  <si>
    <t xml:space="preserve">ASSAY: Xpert HPV, COUNT: 15
ASSAY: Xpert MTB/RIF Ultra, COUNT: 2416
ASSAY: Xpert HIV-1 Viral Load, COUNT: 339
</t>
  </si>
  <si>
    <t>Module A1 defective</t>
  </si>
  <si>
    <t>-Replace defective module A1/698265 with module SN: 669847</t>
  </si>
  <si>
    <t>900-0491RS Certified pre-owned GeneXpert module SN. 669847</t>
  </si>
  <si>
    <t>DR no. 12252</t>
  </si>
  <si>
    <t>https://www.jotform.com/uploads/macarewecare/222927978372067/6061547350197550645/6061547350197550645_signature_28.png</t>
  </si>
  <si>
    <t>https://www.jotform.com/uploads/macarewecare/222927978372067/6061547350197550645/6061547350197550645_signature_31.png</t>
  </si>
  <si>
    <t>Set GX network settings</t>
  </si>
  <si>
    <t>https://www.jotform.com/uploads/macarewecare/222927978372067/6061527070842195451/6061527070842195451_signature_28.png</t>
  </si>
  <si>
    <t>https://www.jotform.com/uploads/macarewecare/222927978372067/6061527070842195451/6061527070842195451_signature_31.png</t>
  </si>
  <si>
    <t>Amorsolo st , Makati City</t>
  </si>
  <si>
    <t>Laboaratory</t>
  </si>
  <si>
    <t>gsmondejar@tdf.org.ph</t>
  </si>
  <si>
    <t xml:space="preserve">ASSAY: Xpert MTB/RIF Ultra, COUNT: 2079
ASSAY: Xpert HIV-1 Viral Load, COUNT: 8
</t>
  </si>
  <si>
    <t>Gx4 D</t>
  </si>
  <si>
    <t>Due for maintenance and troubleshooting</t>
  </si>
  <si>
    <t>https://www.jotform.com/uploads/macarewecare/222927978372067/6060853833612176360/6060853833612176360_signature_28.png</t>
  </si>
  <si>
    <t>Gabriel Mondejar</t>
  </si>
  <si>
    <t>https://www.jotform.com/uploads/macarewecare/222927978372067/6060853833612176360/6060853833612176360_signature_31.png</t>
  </si>
  <si>
    <t>CPU System Unit not working
For Monthly Preventive Maintenance</t>
  </si>
  <si>
    <t>Replace the defective CPU System Unit SN: CPH0420F06673 with new CPU System Unit SN: CPH0420F08168
Clean Surface Area, Cartridge Bay, Plunger Rod and Icore Lenses
Generate IQR, Assay Stat and System Log</t>
  </si>
  <si>
    <t>Perform CPU System Unit replacement and Monthly Preventive Maintenance</t>
  </si>
  <si>
    <t>Successfully Installed the replacement CPU
All Modules are Operational</t>
  </si>
  <si>
    <t>No recorded assay due to new CPU System Unit</t>
  </si>
  <si>
    <t>Item Code: GX-DM720S
GeneXpert Desktop (Lenovo Thinkcentre m720)</t>
  </si>
  <si>
    <t>DR 12279</t>
  </si>
  <si>
    <t>https://www.jotform.com/uploads/macarewecare/222927978372067/6060755327212971072/6060755327212971072_signature_28.png</t>
  </si>
  <si>
    <t>https://www.jotform.com/uploads/macarewecare/222927978372067/6060755327212971072/6060755327212971072_signature_31.png</t>
  </si>
  <si>
    <t xml:space="preserve">ASSAY: Xpert HBV VL, COUNT: 2
ASSAY: Xpert SARS-CoV-2, COUNT: 3643
ASSAY: Xpert HCV VL, COUNT: 1
ASSAY: Xpert HIV-1 Viral Load, COUNT: 14
ASSAY: Others, COUNT: 1554
</t>
  </si>
  <si>
    <t>https://www.jotform.com/uploads/macarewecare/222927978372067/6060682625514212998/6060682625514212998_signature_28.png</t>
  </si>
  <si>
    <t>https://www.jotform.com/uploads/macarewecare/222927978372067/6060682625514212998/6060682625514212998_signature_31.png</t>
  </si>
  <si>
    <t xml:space="preserve">ASSAY: Xpert SARS-CoV-2, COUNT: 6357
ASSAY: Xpert HIV-1 Viral Load, COUNT: 2
ASSAY: Others, COUNT: 940
</t>
  </si>
  <si>
    <t>https://www.jotform.com/uploads/macarewecare/222927978372067/6060682325518670608/6060682325518670608_signature_28.png</t>
  </si>
  <si>
    <t>https://www.jotform.com/uploads/macarewecare/222927978372067/6060682325518670608/6060682325518670608_signature_31.png</t>
  </si>
  <si>
    <t>Datu Halun Sakilan Memorial Hospital</t>
  </si>
  <si>
    <t>Bongo, Tawi-Tawi</t>
  </si>
  <si>
    <t>Tawi-Tawi</t>
  </si>
  <si>
    <t>INSTALLATION
CALIBRATION
MAINTENANCE
GX Barcode Sticker Installation</t>
  </si>
  <si>
    <t>abdulmuidabdilla@gmail.com</t>
  </si>
  <si>
    <t>joel_kamlian2003@yahoo.com</t>
  </si>
  <si>
    <t>Xpertcheck calibration for modules 2, 3, 4 all modules passed. Preventive Maintenance,  Barcode sticker installation.</t>
  </si>
  <si>
    <t>https://www.jotform.com/uploads/macarewecare/222927978372067/6060630105218780978/6060630105218780978_signature_28.png</t>
  </si>
  <si>
    <t>Almu-eed M. Abdilla</t>
  </si>
  <si>
    <t>https://www.jotform.com/uploads/macarewecare/222927978372067/6060630105218780978/6060630105218780978_signature_31.png</t>
  </si>
  <si>
    <t>Uninterruptible Power Supply</t>
  </si>
  <si>
    <t>AT1000181128ST0059, AT1000181128ST0106, AT1000181128ST0188, AT1000180910ST0568, AT1000190123ST0375, AT1000190402ST0439, AT1000180910ST0078, AT1000181128ST0100, AT1000181128ST0032</t>
  </si>
  <si>
    <t>Battery for replacement</t>
  </si>
  <si>
    <t>Unit is operational 
SN: AT1000181128ST0059, AT1000181128ST0106, AT1000181128ST0188, AT1000180910ST0568, AT1000190123ST0375, AT1000190402ST0439, AT1000180910ST0078, AT1000181128ST0100, AT1000181128ST0032</t>
  </si>
  <si>
    <t>https://www.jotform.com/uploads/macarewecare/222927978372067/6059941403612552488/6059941403612552488_signature_28.png</t>
  </si>
  <si>
    <t>https://www.jotform.com/uploads/macarewecare/222927978372067/6059941403612552488/6059941403612552488_signature_31.png</t>
  </si>
  <si>
    <t xml:space="preserve">ASSAY: Xpert MTB/RIF Ultra, COUNT: 448
</t>
  </si>
  <si>
    <t>https://www.jotform.com/uploads/macarewecare/222927978372067/6059817210014124246/6059817210014124246_signature_28.png</t>
  </si>
  <si>
    <t>Mirasol Clarito</t>
  </si>
  <si>
    <t>https://www.jotform.com/uploads/macarewecare/222927978372067/6059817210014124246/6059817210014124246_signature_31.png</t>
  </si>
  <si>
    <t>INSTALLATION
CALIBRATION
MAINTENANCE</t>
  </si>
  <si>
    <t>GeneXpert Machine Installation 
Due for Xpertcheck</t>
  </si>
  <si>
    <t>Save Installation Qualification Report
Save System Log file
Save gxc file.</t>
  </si>
  <si>
    <t>. Install GeneXpert Machine
. Install CPU
. Install UPS
. Install AVR
. Install Printer</t>
  </si>
  <si>
    <t>Unit Pullout from Balamban Rural Health Unit.</t>
  </si>
  <si>
    <t>https://www.jotform.com/uploads/macarewecare/222927978372067/6059801960912396224/6059801960912396224_signature_28.png</t>
  </si>
  <si>
    <t>Gecca Carmel T. Procianos</t>
  </si>
  <si>
    <t>https://www.jotform.com/uploads/macarewecare/222927978372067/6059801960912396224/6059801960912396224_signature_31.png</t>
  </si>
  <si>
    <t>Carreta, Cebu City</t>
  </si>
  <si>
    <t>Monthly PM</t>
  </si>
  <si>
    <t>Clean Fan Filter
Plunger rod maintenance
Clean Module Bay</t>
  </si>
  <si>
    <t>https://www.jotform.com/uploads/macarewecare/222927978372067/6059776557325060426/6059776557325060426_signature_28.png</t>
  </si>
  <si>
    <t>https://www.jotform.com/uploads/macarewecare/222927978372067/6059776557325060426/6059776557325060426_signature_31.png</t>
  </si>
  <si>
    <t>Poblacion, Malungon,  Sarangani</t>
  </si>
  <si>
    <t>Perform Genexpert annual Xpertcheck Calibration 
Perform Genexpert Preventive maintenance</t>
  </si>
  <si>
    <t>Perform Genexpert Xpertcheck Calibration 
Perform Genexpert machine Preventive maintenance 
Checking of errors 
Data collection</t>
  </si>
  <si>
    <t>4 operational modules 
Calibration Results:
All modules Passed
Module 1 - Passed
Module 2 - Passed
Module 3 - Passed
Module 4 - Passed</t>
  </si>
  <si>
    <t>Xpertcheck cartridge/kits
Lot#:1001075092</t>
  </si>
  <si>
    <t>DR#: 12023</t>
  </si>
  <si>
    <t>https://www.jotform.com/uploads/macarewecare/222927978372067/6059294206864380324/6059294206864380324_signature_28.png</t>
  </si>
  <si>
    <t>https://www.jotform.com/uploads/macarewecare/222927978372067/6059294206864380324/6059294206864380324_signature_31.png</t>
  </si>
  <si>
    <t>Brgy. West Dadiangas, General Santos City b</t>
  </si>
  <si>
    <t>Perform Genexpert Xpertcheck Calibration
Perform Genexpert Cleaning and maintenance 
Checking of errors 
Data collection</t>
  </si>
  <si>
    <t>4 operational modules 
Calibration Results:
Module 1 - Skipped (new module)
Module 2 - Passed
Module 3 - Passed
Module 4 - Passed</t>
  </si>
  <si>
    <t>DR#: 12027</t>
  </si>
  <si>
    <t>https://www.jotform.com/uploads/macarewecare/222927978372067/6059294206864712119/6059294206864712119_signature_28.png</t>
  </si>
  <si>
    <t>Celine Jean Villanueva</t>
  </si>
  <si>
    <t>https://www.jotform.com/uploads/macarewecare/222927978372067/6059294206864712119/6059294206864712119_signature_31.png</t>
  </si>
  <si>
    <t>Module B2:86118 for module replacement</t>
  </si>
  <si>
    <t>Unit is operational 
B2:615885 new module</t>
  </si>
  <si>
    <t>Genexpert module ( 615885)</t>
  </si>
  <si>
    <t>https://www.jotform.com/uploads/macarewecare/222927978372067/6059137347308638363/6059137347308638363_signature_28.png</t>
  </si>
  <si>
    <t>https://www.jotform.com/uploads/macarewecare/222927978372067/6059137347308638363/6059137347308638363_signature_31.png</t>
  </si>
  <si>
    <t>marilyn@gmail.com</t>
  </si>
  <si>
    <t>UPS no power</t>
  </si>
  <si>
    <t>Checked power cable
Checked/replaced Fuse
Tested UPS battery dependability(defective)</t>
  </si>
  <si>
    <t>Unit is operational 
UPS non functional</t>
  </si>
  <si>
    <t>UPS battery reported for replacement</t>
  </si>
  <si>
    <t>https://www.jotform.com/uploads/macarewecare/222927978372067/6058938175028547830/6058938175028547830_signature_28.png</t>
  </si>
  <si>
    <t>https://www.jotform.com/uploads/macarewecare/222927978372067/6058938175028547830/6058938175028547830_signature_31.png</t>
  </si>
  <si>
    <t>- Unit is partially operational 
- Module B2 651808 for reporting 
- Module B1 678653 for observation</t>
  </si>
  <si>
    <t>https://www.jotform.com/uploads/macarewecare/222927978372067/6058902369323394587/6058902369323394587_signature_28.png</t>
  </si>
  <si>
    <t>https://www.jotform.com/uploads/macarewecare/222927978372067/6058902369323394587/6058902369323394587_signature_31.png</t>
  </si>
  <si>
    <t xml:space="preserve">ASSAY: Xpert HBV VL, COUNT: 195
ASSAY: Xpert SARS-CoV-2, COUNT: 198
ASSAY: Xpert HCV VL, COUNT: 48
ASSAY: Xpert HIV-1 Viral Load, COUNT: 34
</t>
  </si>
  <si>
    <t>https://www.jotform.com/uploads/macarewecare/222927978372067/6058901009321938793/6058901009321938793_signature_28.png</t>
  </si>
  <si>
    <t>Elpidio Cadut III</t>
  </si>
  <si>
    <t>https://www.jotform.com/uploads/macarewecare/222927978372067/6058901009321938793/6058901009321938793_signature_31.png</t>
  </si>
  <si>
    <t>msff-tondo-labtech@pris.msf.org</t>
  </si>
  <si>
    <t xml:space="preserve">ASSAY: Xpert MTB/RIF Ultra, COUNT: 5504
</t>
  </si>
  <si>
    <t>Unit for preventive maintenance.
For module replacement of module C3.</t>
  </si>
  <si>
    <t>GX module C3 (210117673) in replacement to defective C3 (914567).</t>
  </si>
  <si>
    <t>DR#12236</t>
  </si>
  <si>
    <t>https://www.jotform.com/uploads/macarewecare/222927978372067/6058860863017599717/6058860863017599717_signature_28.png</t>
  </si>
  <si>
    <t>https://www.jotform.com/uploads/macarewecare/222927978372067/6058860863017599717/6058860863017599717_signature_31.png</t>
  </si>
  <si>
    <t>PM</t>
  </si>
  <si>
    <t>Unit is operational (Module A4 disabled due to multiple temperature error)</t>
  </si>
  <si>
    <t>https://www.jotform.com/uploads/macarewecare/222927978372067/6058053427383683185/6058053427383683185_signature_28.png</t>
  </si>
  <si>
    <t>https://www.jotform.com/uploads/macarewecare/222927978372067/6058053427383683185/6058053427383683185_signature_31.png</t>
  </si>
  <si>
    <t>https://www.jotform.com/uploads/macarewecare/222927978372067/6057041907286042898/6057041907286042898_signature_28.png</t>
  </si>
  <si>
    <t>Chrestien Cule</t>
  </si>
  <si>
    <t>https://www.jotform.com/uploads/macarewecare/222927978372067/6057041907286042898/6057041907286042898_signature_31.png</t>
  </si>
  <si>
    <t>For replacement of roller
Unit Operational</t>
  </si>
  <si>
    <t>https://www.jotform.com/uploads/macarewecare/222927978372067/6057041497285066037/6057041497285066037_signature_28.png</t>
  </si>
  <si>
    <t>https://www.jotform.com/uploads/macarewecare/222927978372067/6057041497285066037/6057041497285066037_signature_31.png</t>
  </si>
  <si>
    <t>Unit not in use due to loss communication error.
Last xpertcheck 2021</t>
  </si>
  <si>
    <t>https://www.jotform.com/uploads/macarewecare/222927978372067/6057041037287715457/6057041037287715457_signature_28.png</t>
  </si>
  <si>
    <t>https://www.jotform.com/uploads/macarewecare/222927978372067/6057041037287715457/6057041037287715457_signature_31.png</t>
  </si>
  <si>
    <t xml:space="preserve">ASSAY: Xpert MTB/RIF Ultra, COUNT: 335
ASSAY: Xpert SARS-CoV-2, COUNT: 718
ASSAY: Xpert HIV-1 Viral Load, COUNT: 115
</t>
  </si>
  <si>
    <t>Due for maintenance
B1 and B4 disabled failed xpertcheck reported already
B3 encounter temp error for reporting</t>
  </si>
  <si>
    <t>https://www.jotform.com/uploads/macarewecare/222927978372067/6057039557286395566/6057039557286395566_signature_28.png</t>
  </si>
  <si>
    <t>https://www.jotform.com/uploads/macarewecare/222927978372067/6057039557286395566/6057039557286395566_signature_31.png</t>
  </si>
  <si>
    <t>-Preventive Maintenance
-Archive and purge tests earlier than 2024</t>
  </si>
  <si>
    <t>Waiting for module A1 replacement.</t>
  </si>
  <si>
    <t>https://www.jotform.com/uploads/macarewecare/222927978372067/6056432523818926558/6056432523818926558_signature_28.png</t>
  </si>
  <si>
    <t>https://www.jotform.com/uploads/macarewecare/222927978372067/6056432523818926558/6056432523818926558_signature_31.png</t>
  </si>
  <si>
    <t xml:space="preserve">ASSAY: Xpert HPV, COUNT: 40
ASSAY: Xpert MTB/RIF Ultra, COUNT: 2940
ASSAY: Xpert HIV-1 Viral Load, COUNT: 405
</t>
  </si>
  <si>
    <t>Non</t>
  </si>
  <si>
    <t>-Preventive Maintenance
-Archive and purges tests later than 2024</t>
  </si>
  <si>
    <t>All modules are functional. Waiting for module A1 replacement.</t>
  </si>
  <si>
    <t>https://www.jotform.com/uploads/macarewecare/222927978372067/6056430123815756364/6056430123815756364_signature_28.png</t>
  </si>
  <si>
    <t>https://www.jotform.com/uploads/macarewecare/222927978372067/6056430123815756364/6056430123815756364_signature_31.png</t>
  </si>
  <si>
    <t>Poblacion, Madrid</t>
  </si>
  <si>
    <t>All modules passed in XpertCheck. No errors found. All units are functional.</t>
  </si>
  <si>
    <t>https://www.jotform.com/uploads/macarewecare/222927978372067/6056318158153732492/6056318158153732492_signature_28.png</t>
  </si>
  <si>
    <t>https://www.jotform.com/uploads/macarewecare/222927978372067/6056318158153732492/6056318158153732492_signature_31.png</t>
  </si>
  <si>
    <t xml:space="preserve">ASSAY: Xpert BCR-ABL Ultra, COUNT: 13
ASSAY: Xpert CT/NG, COUNT: 52
ASSAY: Xpert HPV, COUNT: 59
ASSAY: Xpert MTB/RIF Ultra, COUNT: 109
ASSAY: Xpert HCV VL, COUNT: 1
ASSAY: Xpert HIV-1 Viral Load, COUNT: 21
</t>
  </si>
  <si>
    <t>Unit is operational. Module A1/210124694 has error 4016, modules A3/866793 has error 1001/2014, for reporting. Modules A3 and A4 operational.</t>
  </si>
  <si>
    <t>https://www.jotform.com/uploads/macarewecare/222927978372067/6056253683616860222/6056253683616860222_signature_28.png</t>
  </si>
  <si>
    <t>Morillo, Gerald</t>
  </si>
  <si>
    <t>https://www.jotform.com/uploads/macarewecare/222927978372067/6056253683616860222/6056253683616860222_signature_31.png</t>
  </si>
  <si>
    <t>Ortigas Avenue. Pasig City</t>
  </si>
  <si>
    <t xml:space="preserve">ASSAY: Xpert BCR-ABL Ultra, COUNT: 56
ASSAY: Xpert CT/NG, COUNT: 68
ASSAY: Others, COUNT: 2
ASSAY: Xpert HBV VL, COUNT: 590
ASSAY: Xpert HPV, COUNT: 423
ASSAY: Xpert MTB/RIF Ultra, COUNT: 5577
ASSAY: Others, COUNT: 1
ASSAY: Xpert HCV VL, COUNT: 87
ASSAY: Xpert HIV-1 Viral Load, COUNT: 714
ASSAY: Xpress SARS-CoV-2_Flu_RSV plus, COUNT: 1235
</t>
  </si>
  <si>
    <t>https://www.jotform.com/uploads/macarewecare/222927978372067/6056253683617393648/6056253683617393648_signature_28.png</t>
  </si>
  <si>
    <t>Janica Katheryn Zamora</t>
  </si>
  <si>
    <t>https://www.jotform.com/uploads/macarewecare/222927978372067/6056253683617393648/6056253683617393648_signature_31.png</t>
  </si>
  <si>
    <t xml:space="preserve">ASSAY: Xpert BCR-ABL Ultra, COUNT: 65
ASSAY: Xpert CT/NG, COUNT: 270
ASSAY: Xpert HBV VL, COUNT: 10
ASSAY: Xpert HPV, COUNT: 327
ASSAY: Xpert MTB/RIF Ultra, COUNT: 712
ASSAY: Xpert HCV VL, COUNT: 17
ASSAY: Xpert HIV-1 Viral Load, COUNT: 51
</t>
  </si>
  <si>
    <t>https://www.jotform.com/uploads/macarewecare/222927978372067/6056253683618554289/6056253683618554289_signature_28.png</t>
  </si>
  <si>
    <t>Morillo, Gerald P</t>
  </si>
  <si>
    <t>https://www.jotform.com/uploads/macarewecare/222927978372067/6056253683618554289/6056253683618554289_signature_31.png</t>
  </si>
  <si>
    <t>Connection to LIS server not working</t>
  </si>
  <si>
    <t>Cepheid Tech Support troubleshooted GeneXpert software settings</t>
  </si>
  <si>
    <t>Coordinated remote troubleshooting by Cepheid Tech Support</t>
  </si>
  <si>
    <t>Unit is operational, LIS functionality is working again</t>
  </si>
  <si>
    <t>https://www.jotform.com/uploads/macarewecare/222927978372067/6055664763219843838/6055664763219843838_signature_28.png</t>
  </si>
  <si>
    <t>https://www.jotform.com/uploads/macarewecare/222927978372067/6055664763219843838/6055664763219843838_signature_31.png</t>
  </si>
  <si>
    <t>For replacement of rollers</t>
  </si>
  <si>
    <t>Replaced and installed</t>
  </si>
  <si>
    <t>Urethane roller assembly</t>
  </si>
  <si>
    <t>https://www.jotform.com/uploads/macarewecare/222927978372067/6055617450017061932/6055617450017061932_signature_28.png</t>
  </si>
  <si>
    <t>CLAIRE JADSAC</t>
  </si>
  <si>
    <t>https://www.jotform.com/uploads/macarewecare/222927978372067/6055617450017061932/6055617450017061932_signature_31.png</t>
  </si>
  <si>
    <t xml:space="preserve">ASSAY: Xpert MTB/RIF Ultra, COUNT: 1400
</t>
  </si>
  <si>
    <t>UPS problem and For Preventive Maintenance</t>
  </si>
  <si>
    <t>Check Line Voltages of UPS, change the fuse and replace with new fuse
Clean Surface Area, Cartridge Bay, Plunger Rod, Fan Filters and Icore Lenses
Generate IQR, Assay Stat and System Log</t>
  </si>
  <si>
    <t>Perform UPS Troubleshooting and Preventive Maintenance</t>
  </si>
  <si>
    <t>Machine is operational, UPS is working</t>
  </si>
  <si>
    <t>https://www.jotform.com/uploads/macarewecare/222927978372067/6055536000751026567/6055536000751026567_signature_28.png</t>
  </si>
  <si>
    <t>Rosemarie Dy</t>
  </si>
  <si>
    <t>https://www.jotform.com/uploads/macarewecare/222927978372067/6055536000751026567/6055536000751026567_signature_31.png</t>
  </si>
  <si>
    <t>CALIBRATION
MAINTENANCE
GX barcode sticker installation</t>
  </si>
  <si>
    <t>gisellegipulan75@gmail.com</t>
  </si>
  <si>
    <t xml:space="preserve">ASSAY: Xpert MTB/RIF Ultra, COUNT: 1421
</t>
  </si>
  <si>
    <t>Module 1, 2 and 4 undergone Xpertcheck calibration while module 3 skipped due recently replaced module. Genexpert Machine undergone preventive Maintenence and installed GX barcode sticker.</t>
  </si>
  <si>
    <t>Module 1, 2 and 3 are available while module 4 is for replacement</t>
  </si>
  <si>
    <t>https://www.jotform.com/uploads/macarewecare/222927978372067/6055454190711798360/6055454190711798360_signature_28.png</t>
  </si>
  <si>
    <t>Giselle M.Gipulan</t>
  </si>
  <si>
    <t>https://www.jotform.com/uploads/macarewecare/222927978372067/6055454190711798360/6055454190711798360_signature_31.png</t>
  </si>
  <si>
    <t>LAPU LAPU CITY HEALTH OFFICE</t>
  </si>
  <si>
    <t>LAPULAPU CITY</t>
  </si>
  <si>
    <t xml:space="preserve">ASSAY: Xpert MTB/RIF Ultra, COUNT: 2590
</t>
  </si>
  <si>
    <t>https://www.jotform.com/uploads/macarewecare/222927978372067/6055435033837122285/6055435033837122285_signature_28.png</t>
  </si>
  <si>
    <t>https://www.jotform.com/uploads/macarewecare/222927978372067/6055435033837122285/6055435033837122285_signature_31.png</t>
  </si>
  <si>
    <t>Philippine Red Cross - Davao Chapter</t>
  </si>
  <si>
    <t>Error during last procedure regarding on return flow</t>
  </si>
  <si>
    <t>Clean Surface Area, Check rollers, check sensor parameters, Perform Cycle Test</t>
  </si>
  <si>
    <t>Perform troubleshooting and Maintenance</t>
  </si>
  <si>
    <t>Successfully finished the cycletest, Unit is operational
Visble threading on the rollers</t>
  </si>
  <si>
    <t>Request roller replacement</t>
  </si>
  <si>
    <t>https://www.jotform.com/uploads/macarewecare/222927978372067/6054870925217702649/6054870925217702649_signature_28.png</t>
  </si>
  <si>
    <t>Arlene dela Cruz</t>
  </si>
  <si>
    <t>https://www.jotform.com/uploads/macarewecare/222927978372067/6054870925217702649/6054870925217702649_signature_31.png</t>
  </si>
  <si>
    <t>Piñan Rural health unit</t>
  </si>
  <si>
    <t>GX 4 (10)</t>
  </si>
  <si>
    <t>Printer black cartridge gives unstable output.</t>
  </si>
  <si>
    <t>Site inspection follow up, checked room and Module temperatures, Preventive maintenence and Gx barcode sticker installation</t>
  </si>
  <si>
    <t>Printer black cartridge under observation.</t>
  </si>
  <si>
    <t>https://www.jotform.com/uploads/macarewecare/222927978372067/6054587571114255805/6054587571114255805_signature_28.png</t>
  </si>
  <si>
    <t>https://www.jotform.com/uploads/macarewecare/222927978372067/6054587571114255805/6054587571114255805_signature_31.png</t>
  </si>
  <si>
    <t>INSTALLATION
MAINTENANCE
GX barcode sticker installation</t>
  </si>
  <si>
    <t>Black cartridge under observation</t>
  </si>
  <si>
    <t xml:space="preserve">ASSAY: Xpert BCR-ABL Ultra, COUNT: 51
ASSAY: Xpert MTB/RIF Ultra, COUNT: 2462
ASSAY: Xpert SARS-CoV-2, COUNT: 1406
ASSAY: Xpert SARS-CoV-2, COUNT: 1209
</t>
  </si>
  <si>
    <t>Encounter continous error 5007 in different module.</t>
  </si>
  <si>
    <t>Check unit 
Restart system
Cleaned plunger</t>
  </si>
  <si>
    <t>Troubleshooting and on site assistance</t>
  </si>
  <si>
    <t>https://www.jotform.com/uploads/macarewecare/222927978372067/6054535663618438533/6054535663618438533_signature_28.png</t>
  </si>
  <si>
    <t>https://www.jotform.com/uploads/macarewecare/222927978372067/6054535663618438533/6054535663618438533_signature_31.png</t>
  </si>
  <si>
    <t>Malate Manila, Metro Manila</t>
  </si>
  <si>
    <t>Central Laboratory</t>
  </si>
  <si>
    <t>npqsd.laboratoryprocurement@gmail.com</t>
  </si>
  <si>
    <t>Axio Lab.A1</t>
  </si>
  <si>
    <t>https://www.jotform.com/uploads/macarewecare/222927978372067/6053949269101656534/6053949269101656534_signature_28.png</t>
  </si>
  <si>
    <t>Jesriel Escalada</t>
  </si>
  <si>
    <t>https://www.jotform.com/uploads/macarewecare/222927978372067/6053949269101656534/6053949269101656534_signature_31.png</t>
  </si>
  <si>
    <t>Stemi 305 Trino</t>
  </si>
  <si>
    <t>https://www.jotform.com/uploads/macarewecare/222927978372067/6053949269101979254/6053949269101979254_signature_28.png</t>
  </si>
  <si>
    <t>https://www.jotform.com/uploads/macarewecare/222927978372067/6053949269101979254/6053949269101979254_signature_31.png</t>
  </si>
  <si>
    <t>Primo Star</t>
  </si>
  <si>
    <t>40x Objective needs heavy maintenance</t>
  </si>
  <si>
    <t>Preventive Maintenance and Calibratipn</t>
  </si>
  <si>
    <t>https://www.jotform.com/uploads/macarewecare/222927978372067/6053949269104386879/6053949269104386879_signature_28.png</t>
  </si>
  <si>
    <t>https://www.jotform.com/uploads/macarewecare/222927978372067/6053949269104386879/6053949269104386879_signature_31.png</t>
  </si>
  <si>
    <t>Wobbly stand, needs rubber stopper or alike</t>
  </si>
  <si>
    <t>Reccomendation: Blue Filter</t>
  </si>
  <si>
    <t>https://www.jotform.com/uploads/macarewecare/222927978372067/6053949269104683106/6053949269104683106_signature_28.png</t>
  </si>
  <si>
    <t>https://www.jotform.com/uploads/macarewecare/222927978372067/6053949269104683106/6053949269104683106_signature_31.png</t>
  </si>
  <si>
    <t>Gooseneck Illumination: loose handle of Left Side</t>
  </si>
  <si>
    <t>Recommendation: Replacement of gooseneck illumination</t>
  </si>
  <si>
    <t>https://www.jotform.com/uploads/macarewecare/222927978372067/6053949209101098980/6053949209101098980_signature_28.png</t>
  </si>
  <si>
    <t>https://www.jotform.com/uploads/macarewecare/222927978372067/6053949209101098980/6053949209101098980_signature_31.png</t>
  </si>
  <si>
    <t>Malate, Manila, Metro Manila</t>
  </si>
  <si>
    <t>DR No. 12232 &amp; SI No. 98947</t>
  </si>
  <si>
    <t>https://www.jotform.com/uploads/macarewecare/222927978372067/6053949209104261242/6053949209104261242_signature_28.png</t>
  </si>
  <si>
    <t>https://www.jotform.com/uploads/macarewecare/222927978372067/6053949209104261242/6053949209104261242_signature_31.png</t>
  </si>
  <si>
    <t>carlos.leniel.orignes@gmail.com</t>
  </si>
  <si>
    <t>Primo Star iLED</t>
  </si>
  <si>
    <t>100x objective needs heavy maintenance</t>
  </si>
  <si>
    <t>Recommendation for Blue Filter</t>
  </si>
  <si>
    <t>https://www.jotform.com/uploads/macarewecare/222927978372067/6053949209109141845/6053949209109141845_signature_28.png</t>
  </si>
  <si>
    <t>https://www.jotform.com/uploads/macarewecare/222927978372067/6053949209109141845/6053949209109141845_signature_31.png</t>
  </si>
  <si>
    <t>Malte, Manila, Metro Manila</t>
  </si>
  <si>
    <t>https://www.jotform.com/uploads/macarewecare/222927978372067/6053949209109373993/6053949209109373993_signature_28.png</t>
  </si>
  <si>
    <t>https://www.jotform.com/uploads/macarewecare/222927978372067/6053949209109373993/6053949209109373993_signature_31.png</t>
  </si>
  <si>
    <t>Flickering light bulb, recommendation to observe</t>
  </si>
  <si>
    <t>Recommendation: Blue Filter</t>
  </si>
  <si>
    <t>https://www.jotform.com/uploads/macarewecare/222927978372067/6053949209109642805/6053949209109642805_signature_28.png</t>
  </si>
  <si>
    <t>https://www.jotform.com/uploads/macarewecare/222927978372067/6053949209109642805/6053949209109642805_signature_31.png</t>
  </si>
  <si>
    <t>https://www.jotform.com/uploads/macarewecare/222927978372067/6053896906813588662/6053896906813588662_signature_28.png</t>
  </si>
  <si>
    <t>https://www.jotform.com/uploads/macarewecare/222927978372067/6053896906813588662/6053896906813588662_signature_31.png</t>
  </si>
  <si>
    <t>rhumolavelaboratory@gmail.com</t>
  </si>
  <si>
    <t>Modules 1, 2 and 4 undergone Xpertcheck calibration while module 3 skipped due to recent module Replacement.</t>
  </si>
  <si>
    <t>All modules are available and ready to use.
Modules 1,2 and 4 passed while module 3 skipped the xpertcheck calibration.</t>
  </si>
  <si>
    <t>https://www.jotform.com/uploads/macarewecare/222927978372067/6053841962315521143/6053841962315521143_signature_28.png</t>
  </si>
  <si>
    <t>Mariah Christine Jane S.Jungco</t>
  </si>
  <si>
    <t>https://www.jotform.com/uploads/macarewecare/222927978372067/6053841962315521143/6053841962315521143_signature_31.png</t>
  </si>
  <si>
    <t>Poblacion, Columbio, Sultan Kudarat</t>
  </si>
  <si>
    <t>Perform Genexpert annual Xpertcheck Calibration 
Perform Genexpert machine Preventive maintenance</t>
  </si>
  <si>
    <t>Perform Genexpert Xpertcheck Calibration 
Perform Genexpert Cleaning and maintenance 
Checking of errors 
Data collection</t>
  </si>
  <si>
    <t>4 operational modules 
Calibration Results:
Module 1 - Passed
Module 2 - Passed 
Module 3 - Service required 
Module 4 - Passed</t>
  </si>
  <si>
    <t>Xpertcheck cartridge/kit
Lot#: 1001075092</t>
  </si>
  <si>
    <t>DR#: 12017</t>
  </si>
  <si>
    <t>https://www.jotform.com/uploads/macarewecare/222927978372067/6053572436864585085/6053572436864585085_signature_28.png</t>
  </si>
  <si>
    <t>https://www.jotform.com/uploads/macarewecare/222927978372067/6053572436864585085/6053572436864585085_signature_31.png</t>
  </si>
  <si>
    <t xml:space="preserve">ASSAY: Xpert MTB/RIF Ultra, COUNT: 617
</t>
  </si>
  <si>
    <t>Module 2 for Service Required 
Module 3 for Service Required</t>
  </si>
  <si>
    <t>Perform Genexpert Xpertcheck Calibration 
Perform Genexpert cleaning and maintenance 
Checking of errors 
Errors reporting 
Data collection</t>
  </si>
  <si>
    <t>3 operational modules 
Calibration Results:
Module 1 - Passed
Module 2 - Service required 
Module 3 - Service required 
Module 4 - Skipped (new module)</t>
  </si>
  <si>
    <t>DR#:12026</t>
  </si>
  <si>
    <t>https://www.jotform.com/uploads/macarewecare/222927978372067/6053571736863841119/6053571736863841119_signature_28.png</t>
  </si>
  <si>
    <t>Lots G. Legada</t>
  </si>
  <si>
    <t>https://www.jotform.com/uploads/macarewecare/222927978372067/6053571736863841119/6053571736863841119_signature_31.png</t>
  </si>
  <si>
    <t>Chong Hua Hospital- Mandaue</t>
  </si>
  <si>
    <t>Subangdaku , Mandaue City Cebu</t>
  </si>
  <si>
    <t>Safety System error # 68 state fault.</t>
  </si>
  <si>
    <t>Check Blood pump return and draw pump, ACD pump. 
Check supply voltage of UPS.
Replaced blood pump.</t>
  </si>
  <si>
    <t>Check Blood pump return and draw pump, ACD pump. 
Check supply voltage of UPS.</t>
  </si>
  <si>
    <t>Unit apheresis machine is operational.</t>
  </si>
  <si>
    <t>https://www.jotform.com/uploads/macarewecare/222927978372067/6053108547736220857/6053108547736220857_signature_28.png</t>
  </si>
  <si>
    <t>Inna Maderazo,RMT</t>
  </si>
  <si>
    <t>https://www.jotform.com/uploads/macarewecare/222927978372067/6053108547736220857/6053108547736220857_signature_31.png</t>
  </si>
  <si>
    <t>For Maintenance and check MCS+</t>
  </si>
  <si>
    <t>Check for  blood pump and ACD pump.
Check rubber roller of the pump, check pneumatic assembly of apheresis machine.
Check supply voltage of the UPS.</t>
  </si>
  <si>
    <t>Unit MCS+ is operational.</t>
  </si>
  <si>
    <t>https://www.jotform.com/uploads/macarewecare/222927978372067/6053103747735615239/6053103747735615239_signature_28.png</t>
  </si>
  <si>
    <t>https://www.jotform.com/uploads/macarewecare/222927978372067/6053103747735615239/6053103747735615239_signature_31.png</t>
  </si>
  <si>
    <t>Check for Maintenance of blood pump and ACD pump.</t>
  </si>
  <si>
    <t>The unit machine is operational.</t>
  </si>
  <si>
    <t>https://www.jotform.com/uploads/macarewecare/222927978372067/6053100307735069828/6053100307735069828_signature_28.png</t>
  </si>
  <si>
    <t>https://www.jotform.com/uploads/macarewecare/222927978372067/6053100307735069828/6053100307735069828_signature_31.png</t>
  </si>
  <si>
    <t>Safety error #68 during procedure.</t>
  </si>
  <si>
    <t>Replace pump of the ACD and Blood pump of the motor. 
Check power voltage of the UPS.</t>
  </si>
  <si>
    <t>Troubleshoot problem check blood pump and ACD pump.
Restart procedure and orient end-user during the next occurrence of error.</t>
  </si>
  <si>
    <t>Unit of MCS+ are operational.</t>
  </si>
  <si>
    <t>https://www.jotform.com/uploads/macarewecare/222927978372067/6053095027735877451/6053095027735877451_signature_28.png</t>
  </si>
  <si>
    <t>Eula Quijada, RMT</t>
  </si>
  <si>
    <t>https://www.jotform.com/uploads/macarewecare/222927978372067/6053095027735877451/6053095027735877451_signature_31.png</t>
  </si>
  <si>
    <t xml:space="preserve">ASSAY: Xpert CT/NG, COUNT: 9
ASSAY: Others, COUNT: 85
ASSAY: Xpert HBV VL, COUNT: 77
ASSAY: Xpert HPV, COUNT: 177
ASSAY: Xpert MTB/RIF Ultra, COUNT: 1089
ASSAY: Xpert HIV-1 Viral Load, COUNT: 56
</t>
  </si>
  <si>
    <t>Cleaned Cartridge Bay, Plunger Rod and Icore Optics.
Cleaned Filter.
Performed Self-test.
Checked System Functionality.
Generate Reports.</t>
  </si>
  <si>
    <t>GeneXpert System is in Good Condition.</t>
  </si>
  <si>
    <t>https://www.jotform.com/uploads/macarewecare/222927978372067/6052995913613158239/6052995913613158239_signature_28.png</t>
  </si>
  <si>
    <t>https://www.jotform.com/uploads/macarewecare/222927978372067/6052995913613158239/6052995913613158239_signature_31.png</t>
  </si>
  <si>
    <t>Module 2 with Test Errors.</t>
  </si>
  <si>
    <t>Cleaned Cartridge Bay, Plunger Rod, and Icore Optics.
Cleaned Filter.
Performes Self-test.
Checked System Functionality. 
Generate Reports.</t>
  </si>
  <si>
    <t>Module 2 for further observation after PMs. 2 Modules are Defective.</t>
  </si>
  <si>
    <t>https://www.jotform.com/uploads/macarewecare/222927978372067/6052995913613862008/6052995913613862008_signature_28.png</t>
  </si>
  <si>
    <t>Rallion Gio Paguia, RMT</t>
  </si>
  <si>
    <t>https://www.jotform.com/uploads/macarewecare/222927978372067/6052995913613862008/6052995913613862008_signature_31.png</t>
  </si>
  <si>
    <t>Module 3 with 5007 Error.</t>
  </si>
  <si>
    <t>Module 3 for further observation after PMs.</t>
  </si>
  <si>
    <t>https://www.jotform.com/uploads/macarewecare/222927978372067/6052995913615350003/6052995913615350003_signature_28.png</t>
  </si>
  <si>
    <t>Rallion gio paguia, RMT</t>
  </si>
  <si>
    <t>https://www.jotform.com/uploads/macarewecare/222927978372067/6052995913615350003/6052995913615350003_signature_31.png</t>
  </si>
  <si>
    <t>Seamen's Hospital</t>
  </si>
  <si>
    <t>shmolecularlab@gmail.com</t>
  </si>
  <si>
    <t xml:space="preserve">ASSAY: Xpert SARS-CoV-2, COUNT: 85
</t>
  </si>
  <si>
    <t>Cleaned Cartridge Bay, Plunger Rod, and Icore Optics.
Checked Filter if Clogged.
Performed Self-test.
Checked System Functionality.
Generate Reports.</t>
  </si>
  <si>
    <t>14 Modules are Operational. 2 Modules were Disabled (with Errors)</t>
  </si>
  <si>
    <t>Unit is due for XpertCheck</t>
  </si>
  <si>
    <t>https://www.jotform.com/uploads/macarewecare/222927978372067/6052995913617778220/6052995913617778220_signature_28.png</t>
  </si>
  <si>
    <t>Queenie Lea Serquina</t>
  </si>
  <si>
    <t>https://www.jotform.com/uploads/macarewecare/222927978372067/6052995913617778220/6052995913617778220_signature_31.png</t>
  </si>
  <si>
    <t xml:space="preserve">ASSAY: Xpert SARS-CoV-2, COUNT: 5
</t>
  </si>
  <si>
    <t>https://www.jotform.com/uploads/macarewecare/222927978372067/6052995913618666983/6052995913618666983_signature_28.png</t>
  </si>
  <si>
    <t>https://www.jotform.com/uploads/macarewecare/222927978372067/6052995913618666983/6052995913618666983_signature_31.png</t>
  </si>
  <si>
    <t xml:space="preserve">ASSAY: Xpert MTB/RIF Ultra, COUNT: 974
</t>
  </si>
  <si>
    <t>https://www.jotform.com/uploads/macarewecare/222927978372067/6052966081038261485/6052966081038261485_signature_28.png</t>
  </si>
  <si>
    <t>https://www.jotform.com/uploads/macarewecare/222927978372067/6052966081038261485/6052966081038261485_signature_31.png</t>
  </si>
  <si>
    <t>Unit is Fully Operational 
For additional Troubleshooting</t>
  </si>
  <si>
    <t>https://www.jotform.com/uploads/macarewecare/222927978372067/6052965261031961646/6052965261031961646_signature_28.png</t>
  </si>
  <si>
    <t>https://www.jotform.com/uploads/macarewecare/222927978372067/6052965261031961646/6052965261031961646_signature_31.png</t>
  </si>
  <si>
    <t>M. Santos St. Antipolo City</t>
  </si>
  <si>
    <t xml:space="preserve">ASSAY: Xpert MTB/RIF Ultra, COUNT: 4
ASSAY: Xpert HIV-1 Viral Load, COUNT: 82
</t>
  </si>
  <si>
    <t>https://www.jotform.com/uploads/macarewecare/222927978372067/6052804707021739582/6052804707021739582_signature_28.png</t>
  </si>
  <si>
    <t>https://www.jotform.com/uploads/macarewecare/222927978372067/6052804707021739582/6052804707021739582_signature_31.png</t>
  </si>
  <si>
    <t xml:space="preserve">ASSAY: Xpert MTB/RIF Ultra, COUNT: 1576
</t>
  </si>
  <si>
    <t>Performed maintenance 
Cleaned:
-cartridge bay 
-plunger rod 
-icore 
-filter
Replaced module B3
Generated reports</t>
  </si>
  <si>
    <t>Unit is operational. Module B1/678461 has error 1002, for reporting. Modules B2, B3, and B4 operational.</t>
  </si>
  <si>
    <t>Old: B3/616087
New: B3/210012781</t>
  </si>
  <si>
    <t>DR# 12223</t>
  </si>
  <si>
    <t>https://www.jotform.com/uploads/macarewecare/222927978372067/6052804707023921485/6052804707023921485_signature_28.png</t>
  </si>
  <si>
    <t>https://www.jotform.com/uploads/macarewecare/222927978372067/6052804707023921485/6052804707023921485_signature_31.png</t>
  </si>
  <si>
    <t>Marcos Highway, Antipolo</t>
  </si>
  <si>
    <t xml:space="preserve">ASSAY: Xpert HBV VL, COUNT: 18
ASSAY: Xpert HPV, COUNT: 1
ASSAY: Xpert MTB/RIF Ultra, COUNT: 270
ASSAY: Xpert HIV-1 Viral Load, COUNT: 11
</t>
  </si>
  <si>
    <t>https://www.jotform.com/uploads/macarewecare/222927978372067/6052804707024313249/6052804707024313249_signature_28.png</t>
  </si>
  <si>
    <t>Sarah Lee Almeria</t>
  </si>
  <si>
    <t>https://www.jotform.com/uploads/macarewecare/222927978372067/6052804707024313249/6052804707024313249_signature_31.png</t>
  </si>
  <si>
    <t>Due for maintenance
Roller for replacement yellowish color</t>
  </si>
  <si>
    <t>Performed maintenance
Cleaned unit
Checked program parameters
Checked and adjust line sensor value
Checked rollers,dpm,spm,centrifuge,weigher
Performed functionality test
Performed simulation running</t>
  </si>
  <si>
    <t>https://www.jotform.com/uploads/macarewecare/222927978372067/6052794853613068158/6052794853613068158_signature_28.png</t>
  </si>
  <si>
    <t>Cayle Tan</t>
  </si>
  <si>
    <t>https://www.jotform.com/uploads/macarewecare/222927978372067/6052794853613068158/6052794853613068158_signature_31.png</t>
  </si>
  <si>
    <t>Performed maintenance
Checked program parameters
Checked and adjust line sensor value
Checked rollers,dpm,spm,centrifuge,weigher
Performed functionality test
Performed simulation running</t>
  </si>
  <si>
    <t>https://www.jotform.com/uploads/macarewecare/222927978372067/6052794443611375952/6052794443611375952_signature_28.png</t>
  </si>
  <si>
    <t>https://www.jotform.com/uploads/macarewecare/222927978372067/6052794443611375952/6052794443611375952_signature_31.png</t>
  </si>
  <si>
    <t>Amorsolo st, Makati City</t>
  </si>
  <si>
    <t xml:space="preserve">ASSAY: Xpert BCR-ABL Ultra, COUNT: 221
ASSAY: Xpert CT/NG, COUNT: 824
ASSAY: Xpert HBV VL, COUNT: 1
ASSAY: Xpert HPV, COUNT: 758
ASSAY: Xpert MTB/RIF Ultra, COUNT: 3191
ASSAY: Others, COUNT: 13
ASSAY: Xpert HCV VL, COUNT: 88
ASSAY: Xpert HIV-1 Viral Load, COUNT: 1956
</t>
  </si>
  <si>
    <t>GX4 D (10C)</t>
  </si>
  <si>
    <t>Relocate and re install unit 
Cleaned unit
Cleaned plunger rod,filter,icore,cartridge bay
Gathered reports
Test run unit</t>
  </si>
  <si>
    <t>Performed relocation and maintenance</t>
  </si>
  <si>
    <t>B1 disabled 
B2,B3,B4 in use</t>
  </si>
  <si>
    <t>https://www.jotform.com/uploads/macarewecare/222927978372067/6052794083619635966/6052794083619635966_signature_28.png</t>
  </si>
  <si>
    <t>https://www.jotform.com/uploads/macarewecare/222927978372067/6052794083619635966/6052794083619635966_signature_31.png</t>
  </si>
  <si>
    <t>Saragani Islands Rural Health Unit</t>
  </si>
  <si>
    <t>Poblacion Mabila, Saragani Islands Davao Occidental</t>
  </si>
  <si>
    <t>REPAIR
CALIBRATION
MAINTENANCE
TROUBLESHOOTING
ON-SITE ASSISTANCE</t>
  </si>
  <si>
    <t>Cpu system unit not working
For Preventive Maintenance and XpertCheck Calibration
For GX Sticker Installation</t>
  </si>
  <si>
    <t>Clean Surface Area, Cartridge Bay, Plunger Rod, Fan Filters and Icore Lenses
Generate IQR, Assay Stat and System Log
Change Cmos Battery
Clean ram slots
Reset network and gateway board connection
Run XPC of Four Modules
Install GX Sticker</t>
  </si>
  <si>
    <t>Perform CPU System Unit Troubleshooting
Perform Preventive Maintenance, and XpertCheck Calibration
Install GX Sticker</t>
  </si>
  <si>
    <t>All Modules are Passed the Calibration
CPU System Unit successfully repair
All Modules are Operational</t>
  </si>
  <si>
    <t>Xpertcheck CE 5</t>
  </si>
  <si>
    <t>DR 12010</t>
  </si>
  <si>
    <t>https://www.jotform.com/uploads/macarewecare/222927978372067/6052521499822134024/6052521499822134024_signature_28.png</t>
  </si>
  <si>
    <t>Queenie Lovitos,. RMT</t>
  </si>
  <si>
    <t>https://www.jotform.com/uploads/macarewecare/222927978372067/6052521499822134024/6052521499822134024_signature_31.png</t>
  </si>
  <si>
    <t xml:space="preserve">ASSAY: Xpert HIV-1 Viral Load, COUNT: 0
ASSAY: Xpert HBV VL, COUNT: 0
ASSAY: Xpert HCV VL, COUNT: 0
ASSAY: Xpert HPV, COUNT: O0
</t>
  </si>
  <si>
    <t>Installation ad setup of Genexpert machine</t>
  </si>
  <si>
    <t>Genexpert machine</t>
  </si>
  <si>
    <t>https://www.jotform.com/uploads/macarewecare/222927978372067/6052023686183982820/6052023686183982820_signature_28.png</t>
  </si>
  <si>
    <t>https://www.jotform.com/uploads/macarewecare/222927978372067/6052023686183982820/6052023686183982820_signature_31.png</t>
  </si>
  <si>
    <t>NS Amoranto Sr. St., Queozn City</t>
  </si>
  <si>
    <t xml:space="preserve">ASSAY: Xpert BCR-ABL Ultra, COUNT: 139
ASSAY: Xpert HPV, COUNT: 10
ASSAY: Xpert MTB/RIF Ultra, COUNT: 6410
</t>
  </si>
  <si>
    <t>Module B2 and B3 disabled due to error</t>
  </si>
  <si>
    <t>Performed Preventive maintenance 
Performed reagent run 
No error occurred 
Generated report</t>
  </si>
  <si>
    <t>View tests
Checked and cleaned cartridge bays, plunger rod, icore slot and filter 
Archived results
Performed reagent run twice on 2 modules</t>
  </si>
  <si>
    <t>unit is operational 
all modules working 
B2 and B3 made available again</t>
  </si>
  <si>
    <t>https://www.jotform.com/uploads/macarewecare/222927978372067/6050513498258561003/6050513498258561003_signature_28.png</t>
  </si>
  <si>
    <t>Andrei N. Mina</t>
  </si>
  <si>
    <t>https://www.jotform.com/uploads/macarewecare/222927978372067/6050513498258561003/6050513498258561003_signature_31.png</t>
  </si>
  <si>
    <t>Cleaned slightly clogged filter</t>
  </si>
  <si>
    <t>https://www.jotform.com/uploads/macarewecare/222927978372067/6050377923152661228/6050377923152661228_signature_28.png</t>
  </si>
  <si>
    <t>https://www.jotform.com/uploads/macarewecare/222927978372067/6050377923152661228/6050377923152661228_signature_31.png</t>
  </si>
  <si>
    <t>University of the Philippines - ICCHD</t>
  </si>
  <si>
    <t>Pedro Gil St., Ermita Manila</t>
  </si>
  <si>
    <t>Unit for Preventive Maintenance.</t>
  </si>
  <si>
    <t>https://www.jotform.com/uploads/macarewecare/222927978372067/6050377078915971160/6050377078915971160_signature_28.png</t>
  </si>
  <si>
    <t>Dana Kamylle Santos</t>
  </si>
  <si>
    <t>https://www.jotform.com/uploads/macarewecare/222927978372067/6050377078915971160/6050377078915971160_signature_31.png</t>
  </si>
  <si>
    <t>System Unit not working</t>
  </si>
  <si>
    <t>Change cmos battery, change power chords, reset connections, clean ram and slots, and check for line voltages</t>
  </si>
  <si>
    <t>Perform System Unit Troubleshooting</t>
  </si>
  <si>
    <t>CPU System Unit not working, documented the error and reported to Cepheid for further assessment</t>
  </si>
  <si>
    <t>https://www.jotform.com/uploads/macarewecare/222927978372067/6050372864768050820/6050372864768050820_signature_28.png</t>
  </si>
  <si>
    <t>https://www.jotform.com/uploads/macarewecare/222927978372067/6050372864768050820/6050372864768050820_signature_31.png</t>
  </si>
  <si>
    <t>University of the Philippines - National Institutes of Health</t>
  </si>
  <si>
    <t>vvluzentales@up.edu.ph</t>
  </si>
  <si>
    <t xml:space="preserve">ASSAY: Others, COUNT: Xpert Carba-R = 122
ASSAY: Xpert CT/NG, COUNT: 194
ASSAY: Xpert HBV VL, COUNT: 82
ASSAY: Xpert MTB/RIF Ultra, COUNT: 6
ASSAY: Others, COUNT: Xpert MTB-XDR = 1
ASSAY: Xpert HCV VL, COUNT: 53
ASSAY: Xpert HIV-1 Viral Load, COUNT: 430
</t>
  </si>
  <si>
    <t>https://www.jotform.com/uploads/macarewecare/222927978372067/6050328118915213392/6050328118915213392_signature_28.png</t>
  </si>
  <si>
    <t>https://www.jotform.com/uploads/macarewecare/222927978372067/6050328118915213392/6050328118915213392_signature_31.png</t>
  </si>
  <si>
    <t>Taft. Ave., Ermita Manila</t>
  </si>
  <si>
    <t>adcanseco@up.edu.ph</t>
  </si>
  <si>
    <t xml:space="preserve">ASSAY: Xpert HPV, COUNT: 99
ASSAY: Others, COUNT: Xpert SA Nasal Complete G3 = 1
ASSAY: Xpert SARS-CoV-2, COUNT: 795
ASSAY: Others, COUNT: Xpress SARS-CoV-2_Flu_RSV plus = 275
</t>
  </si>
  <si>
    <t>Unit is operational. For schedule of Calibration upon purchase of Xpertcheck.</t>
  </si>
  <si>
    <t>https://www.jotform.com/uploads/macarewecare/222927978372067/6050299578916512246/6050299578916512246_signature_28.png</t>
  </si>
  <si>
    <t>https://www.jotform.com/uploads/macarewecare/222927978372067/6050299578916512246/6050299578916512246_signature_31.png</t>
  </si>
  <si>
    <t xml:space="preserve">ASSAY: Xpert MTB/RIF Ultra, COUNT: 300
ASSAY: Others, COUNT: XDR -1 
</t>
  </si>
  <si>
    <t>https://www.jotform.com/uploads/macarewecare/222927978372067/6050239103599847772/6050239103599847772_signature_28.png</t>
  </si>
  <si>
    <t>https://www.jotform.com/uploads/macarewecare/222927978372067/6050239103599847772/6050239103599847772_signature_31.png</t>
  </si>
  <si>
    <t xml:space="preserve">ASSAY: Xpert MTB/RIF Ultra, COUNT: 373
</t>
  </si>
  <si>
    <t>https://www.jotform.com/uploads/macarewecare/222927978372067/6049627433545766150/6049627433545766150_signature_28.png</t>
  </si>
  <si>
    <t>https://www.jotform.com/uploads/macarewecare/222927978372067/6049627433545766150/6049627433545766150_signature_31.png</t>
  </si>
  <si>
    <t>https://www.jotform.com/uploads/macarewecare/222927978372067/6049533233155825628/6049533233155825628_signature_28.png</t>
  </si>
  <si>
    <t>https://www.jotform.com/uploads/macarewecare/222927978372067/6049533233155825628/6049533233155825628_signature_31.png</t>
  </si>
  <si>
    <t>Unit for maintenance
Module A2 for check up</t>
  </si>
  <si>
    <t>Unit is operational
A2 under observation</t>
  </si>
  <si>
    <t>https://www.jotform.com/uploads/macarewecare/222927978372067/6049532293157873871/6049532293157873871_signature_28.png</t>
  </si>
  <si>
    <t>https://www.jotform.com/uploads/macarewecare/222927978372067/6049532293157873871/6049532293157873871_signature_31.png</t>
  </si>
  <si>
    <t>Module B2 found Service Required</t>
  </si>
  <si>
    <t>XPC Calibration and Preventive Maintenance</t>
  </si>
  <si>
    <t>https://www.jotform.com/uploads/macarewecare/222927978372067/6049531733426479466/6049531733426479466_signature_28.png</t>
  </si>
  <si>
    <t>https://www.jotform.com/uploads/macarewecare/222927978372067/6049531733426479466/6049531733426479466_signature_31.png</t>
  </si>
  <si>
    <t>Riverside Medical Center, Inc.</t>
  </si>
  <si>
    <t>BS Aquino Drive, Bacolod City</t>
  </si>
  <si>
    <t xml:space="preserve">ASSAY: Xpert BCR-ABL Ultra, COUNT: 22
ASSAY: Xpert HBV VL, COUNT: 169
ASSAY: Xpert HPV, COUNT: 37
ASSAY: Xpert MTB/RIF Ultra, COUNT: 493
ASSAY: Xpert HCV VL, COUNT: 49
</t>
  </si>
  <si>
    <t>- B3 - operational;
- B1, B2, B4 - temperature -related errors during specimen runs</t>
  </si>
  <si>
    <t>B1- encountering error E2014, hardware-related, thermistor problem, for report to Cepheid Tech Support.
B2 - encoutering errors E1002 and E4009, hardware-related, thermistor problem, for report to Cepheid Tech Support.
B3 - operational
B4 - operational, but encounting intermittent temperature-related errors. recommendation: perform Xpertcheck on this module.</t>
  </si>
  <si>
    <t>Unit due for Xpertcheck.</t>
  </si>
  <si>
    <t>https://www.jotform.com/uploads/macarewecare/222927978372067/6049521860439510727/6049521860439510727_signature_28.png</t>
  </si>
  <si>
    <t>https://www.jotform.com/uploads/macarewecare/222927978372067/6049521860439510727/6049521860439510727_signature_31.png</t>
  </si>
  <si>
    <t>3 modules working, 1 module for replacement (Error in XPC)</t>
  </si>
  <si>
    <t>https://www.jotform.com/uploads/macarewecare/222927978372067/6049513443429472876/6049513443429472876_signature_28.png</t>
  </si>
  <si>
    <t>https://www.jotform.com/uploads/macarewecare/222927978372067/6049513443429472876/6049513443429472876_signature_31.png</t>
  </si>
  <si>
    <t xml:space="preserve">ASSAY: Xpert MTB/RIF Ultra, COUNT: 323
ASSAY: Others, COUNT: 23
ASSAY: Xpert HIV-1 Viral Load, COUNT: 98
</t>
  </si>
  <si>
    <t>https://www.jotform.com/uploads/macarewecare/222927978372067/6049507853613049975/6049507853613049975_signature_28.png</t>
  </si>
  <si>
    <t>https://www.jotform.com/uploads/macarewecare/222927978372067/6049507853613049975/6049507853613049975_signature_31.png</t>
  </si>
  <si>
    <t xml:space="preserve">ASSAY: Xpert MTB/RIF Ultra, COUNT: 1186
ASSAY: Others, COUNT: 2
ASSAY: Xpert HIV-1 Viral Load, COUNT: 9
</t>
  </si>
  <si>
    <t>https://www.jotform.com/uploads/macarewecare/222927978372067/6049507853613096910/6049507853613096910_signature_28.png</t>
  </si>
  <si>
    <t>https://www.jotform.com/uploads/macarewecare/222927978372067/6049507853613096910/6049507853613096910_signature_31.png</t>
  </si>
  <si>
    <t>Performed maintenance 
Transferred the GeneXpert system</t>
  </si>
  <si>
    <t>Transferred the unit to other room
Performed maintenance 
Cleaned:
-cartridge bay 
-plunger rod 
-icore 
-filter
Generated reports</t>
  </si>
  <si>
    <t>https://www.jotform.com/uploads/macarewecare/222927978372067/6049507853619152649/6049507853619152649_signature_28.png</t>
  </si>
  <si>
    <t>https://www.jotform.com/uploads/macarewecare/222927978372067/6049507853619152649/6049507853619152649_signature_31.png</t>
  </si>
  <si>
    <t>PHILIPPINE RED CROSS - ILOILO CITY</t>
  </si>
  <si>
    <t>aprilys014@gmail.com</t>
  </si>
  <si>
    <t>https://www.jotform.com/uploads/macarewecare/222927978372067/6049437027912626604/6049437027912626604_signature_28.png</t>
  </si>
  <si>
    <t>April Rose Yso</t>
  </si>
  <si>
    <t>https://www.jotform.com/uploads/macarewecare/222927978372067/6049437027912626604/6049437027912626604_signature_31.png</t>
  </si>
  <si>
    <t>Module C3/862236 Defective</t>
  </si>
  <si>
    <t>-Performed preventive maintenance 
-Install new module on C3 w/ SN:620877
- Generate IQR and System log 
- Pullout defective module</t>
  </si>
  <si>
    <t>https://www.jotform.com/uploads/macarewecare/222927978372067/6048569888168226631/6048569888168226631_signature_28.png</t>
  </si>
  <si>
    <t>LYNN N JARITO</t>
  </si>
  <si>
    <t>https://www.jotform.com/uploads/macarewecare/222927978372067/6048569888168226631/6048569888168226631_signature_31.png</t>
  </si>
  <si>
    <t>Module 1, 2, 3 and 4 undergone Xpertcheck calibration.</t>
  </si>
  <si>
    <t>Module 1, 2, 3 and 4 undergone Xpertcheck calibration. All modules passed the Calibration.</t>
  </si>
  <si>
    <t>https://www.jotform.com/uploads/macarewecare/222927978372067/6048545762266129476/6048545762266129476_signature_28.png</t>
  </si>
  <si>
    <t>https://www.jotform.com/uploads/macarewecare/222927978372067/6048545762266129476/6048545762266129476_signature_31.png</t>
  </si>
  <si>
    <t>Pasig Blvd.</t>
  </si>
  <si>
    <t>lleerrssoonn@gmail.com</t>
  </si>
  <si>
    <t>Cabacasmelvin@gmail.com</t>
  </si>
  <si>
    <t>https://www.jotform.com/uploads/macarewecare/222927978372067/6048488043618425792/6048488043618425792_signature_28.png</t>
  </si>
  <si>
    <t>Cabacas, Melvin D. RMT</t>
  </si>
  <si>
    <t>https://www.jotform.com/uploads/macarewecare/222927978372067/6048488043618425792/6048488043618425792_signature_31.png</t>
  </si>
  <si>
    <t>All Modules passed the Calibration and are operational</t>
  </si>
  <si>
    <t>https://www.jotform.com/uploads/macarewecare/222927978372067/6047869444703629128/6047869444703629128_signature_28.png</t>
  </si>
  <si>
    <t>https://www.jotform.com/uploads/macarewecare/222927978372067/6047869444703629128/6047869444703629128_signature_31.png</t>
  </si>
  <si>
    <t>marijo.siat@medilinx.com.ph</t>
  </si>
  <si>
    <t xml:space="preserve">ASSAY: Xpert BCR-ABL Ultra, COUNT: 3
ASSAY: Xpert HBV VL, COUNT: 64
ASSAY: Xpert HPV, COUNT: 15
ASSAY: Xpert MTB/RIF Ultra, COUNT: 710
</t>
  </si>
  <si>
    <t>Unit is operational. Next preventive maintenance is on January 2025.</t>
  </si>
  <si>
    <t>https://www.jotform.com/uploads/macarewecare/222927978372067/6047840052285830258/6047840052285830258_signature_28.png</t>
  </si>
  <si>
    <t>https://www.jotform.com/uploads/macarewecare/222927978372067/6047840052285830258/6047840052285830258_signature_31.png</t>
  </si>
  <si>
    <t>Unit is for Installation.</t>
  </si>
  <si>
    <t>Checked Facility Setup.
Install GeneXpert System.
Generate Reports.</t>
  </si>
  <si>
    <t>https://www.jotform.com/uploads/macarewecare/222927978372067/6047817786091554898/6047817786091554898_signature_28.png</t>
  </si>
  <si>
    <t>Sheradee Sorino</t>
  </si>
  <si>
    <t>https://www.jotform.com/uploads/macarewecare/222927978372067/6047817786091554898/6047817786091554898_signature_31.png</t>
  </si>
  <si>
    <t>OTON, ILOILO</t>
  </si>
  <si>
    <t>https://www.jotform.com/uploads/macarewecare/222927978372067/6047749887013927720/6047749887013927720_signature_28.png</t>
  </si>
  <si>
    <t>https://www.jotform.com/uploads/macarewecare/222927978372067/6047749887013927720/6047749887013927720_signature_31.png</t>
  </si>
  <si>
    <t>https://www.jotform.com/uploads/macarewecare/222927978372067/6047730865892138780/6047730865892138780_signature_28.png</t>
  </si>
  <si>
    <t>Lily Banalan</t>
  </si>
  <si>
    <t>https://www.jotform.com/uploads/macarewecare/222927978372067/6047730865892138780/6047730865892138780_signature_31.png</t>
  </si>
  <si>
    <t>Centennial Rd., Filinvest, Muntinlupa</t>
  </si>
  <si>
    <t>https://www.jotform.com/uploads/macarewecare/222927978372067/6047709476092289519/6047709476092289519_signature_28.png</t>
  </si>
  <si>
    <t>https://www.jotform.com/uploads/macarewecare/222927978372067/6047709476092289519/6047709476092289519_signature_31.png</t>
  </si>
  <si>
    <t>ST. PAULS HOSPITAL OF ILOILO</t>
  </si>
  <si>
    <t>https://www.jotform.com/uploads/macarewecare/222927978372067/6047654183333338738/6047654183333338738_signature_28.png</t>
  </si>
  <si>
    <t>https://www.jotform.com/uploads/macarewecare/222927978372067/6047654183333338738/6047654183333338738_signature_31.png</t>
  </si>
  <si>
    <t>Mabinay,Negros Oriental</t>
  </si>
  <si>
    <t>E5015 and E5011 in module B2/769404</t>
  </si>
  <si>
    <t>- Reported to Cepheid under case no. 1663597.
- Cepheid TS requested to run blank cartridge using SR only and report result as troubleshooting to isolate specimen and processing-related issues.
Result of blank cartridge - No Error encountered.
- Run actual specimens on B2 to determine module performance.
- Copy archive (Gxx) file of dummy and specimen runs in module B2/769404.
- Generate IQR and System Log.</t>
  </si>
  <si>
    <t>Module B1 and B3 operational.
Module B4 failed Xpertcheck and awaiting new module from Cepheid.
No error encountered in module B2 during blank cartridge run. Continue using module B2 and report new errors encountered during specimen runs.
Module B2 for followup report to Cepheid Tech Support.</t>
  </si>
  <si>
    <t>https://www.jotform.com/uploads/macarewecare/222927978372067/6046962608975114707/6046962608975114707_signature_28.png</t>
  </si>
  <si>
    <t>DIANNE C. MI-OT, RMT</t>
  </si>
  <si>
    <t>https://www.jotform.com/uploads/macarewecare/222927978372067/6046962608975114707/6046962608975114707_signature_31.png</t>
  </si>
  <si>
    <t>https://www.jotform.com/uploads/macarewecare/222927978372067/6046953611033851947/6046953611033851947_signature_28.png</t>
  </si>
  <si>
    <t>https://www.jotform.com/uploads/macarewecare/222927978372067/6046953611033851947/6046953611033851947_signature_31.png</t>
  </si>
  <si>
    <t xml:space="preserve">ASSAY: Xpert MTB/RIF Ultra, COUNT: 294
</t>
  </si>
  <si>
    <t>https://www.jotform.com/uploads/macarewecare/222927978372067/6046952621039583025/6046952621039583025_signature_28.png</t>
  </si>
  <si>
    <t>https://www.jotform.com/uploads/macarewecare/222927978372067/6046952621039583025/6046952621039583025_signature_31.png</t>
  </si>
  <si>
    <t xml:space="preserve">ASSAY: Xpert MTB/RIF Ultra, COUNT: 693
</t>
  </si>
  <si>
    <t>For Preventive Maintenance and Monitor Replacement</t>
  </si>
  <si>
    <t>Performed Preventive Maintenance and Monitor Replacement</t>
  </si>
  <si>
    <t>https://www.jotform.com/uploads/macarewecare/222927978372067/6046951521034868592/6046951521034868592_signature_28.png</t>
  </si>
  <si>
    <t>https://www.jotform.com/uploads/macarewecare/222927978372067/6046951521034868592/6046951521034868592_signature_31.png</t>
  </si>
  <si>
    <t xml:space="preserve">ASSAY: Xpert MTB/RIF Ultra, COUNT: 460
</t>
  </si>
  <si>
    <t>https://www.jotform.com/uploads/macarewecare/222927978372067/6046949671039443805/6046949671039443805_signature_28.png</t>
  </si>
  <si>
    <t>https://www.jotform.com/uploads/macarewecare/222927978372067/6046949671039443805/6046949671039443805_signature_31.png</t>
  </si>
  <si>
    <t xml:space="preserve">ASSAY: Xpert MTB/RIF Ultra, COUNT: 476
</t>
  </si>
  <si>
    <t>https://www.jotform.com/uploads/macarewecare/222927978372067/6046922822817713521/6046922822817713521_signature_28.png</t>
  </si>
  <si>
    <t>https://www.jotform.com/uploads/macarewecare/222927978372067/6046922822817713521/6046922822817713521_signature_31.png</t>
  </si>
  <si>
    <t>East Avenue Medical Inc.</t>
  </si>
  <si>
    <t>noriel_ruiz7@yahoo.com</t>
  </si>
  <si>
    <t xml:space="preserve">ASSAY: Xpert MTB/RIF Ultra, COUNT: 2895
</t>
  </si>
  <si>
    <t>https://www.jotform.com/uploads/macarewecare/222927978372067/6046767493616890424/6046767493616890424_signature_28.png</t>
  </si>
  <si>
    <t>Noriel ruiz</t>
  </si>
  <si>
    <t>https://www.jotform.com/uploads/macarewecare/222927978372067/6046767493616890424/6046767493616890424_signature_31.png</t>
  </si>
  <si>
    <t>https://www.jotform.com/uploads/macarewecare/222927978372067/6046766913615923113/6046766913615923113_signature_28.png</t>
  </si>
  <si>
    <t>https://www.jotform.com/uploads/macarewecare/222927978372067/6046766913615923113/6046766913615923113_signature_31.png</t>
  </si>
  <si>
    <t>Poblacion, Norala, South Cotabato</t>
  </si>
  <si>
    <t xml:space="preserve">ASSAY: Xpert MTB/RIF Ultra, COUNT: 988
</t>
  </si>
  <si>
    <t>4 operational modules 
Calibration Results:
Module 1 - Passed
Module 2 - Service required 
Module 3 - Passed
Module 4 - Passed</t>
  </si>
  <si>
    <t>DR#: 12022</t>
  </si>
  <si>
    <t>https://www.jotform.com/uploads/macarewecare/222927978372067/6046348546861498846/6046348546861498846_signature_28.png</t>
  </si>
  <si>
    <t>REZIEL D. SABIDO</t>
  </si>
  <si>
    <t>https://www.jotform.com/uploads/macarewecare/222927978372067/6046348546861498846/6046348546861498846_signature_31.png</t>
  </si>
  <si>
    <t xml:space="preserve">ASSAY: Xpert MTB/RIF Ultra, COUNT: 2009
</t>
  </si>
  <si>
    <t>4 operational modules 
Calibration Results:
Module 1 - Passed
Module 2 - Passed
Module 3 - Passed
Module 4 - Passed</t>
  </si>
  <si>
    <t>Xpertcheck cartridge/kits 
Lot#:1001075092</t>
  </si>
  <si>
    <t>DR#: 12019</t>
  </si>
  <si>
    <t>https://www.jotform.com/uploads/macarewecare/222927978372067/6046348486864678291/6046348486864678291_signature_28.png</t>
  </si>
  <si>
    <t>Neil Everson P. Cunanan, RMT</t>
  </si>
  <si>
    <t>https://www.jotform.com/uploads/macarewecare/222927978372067/6046348486864678291/6046348486864678291_signature_31.png</t>
  </si>
  <si>
    <t>Poblacion, Antipas, Cotabato</t>
  </si>
  <si>
    <t>antipasclinicallaboratory@gmail.com</t>
  </si>
  <si>
    <t>Xpertcheck cartridge/kit
Lot#:1001075092</t>
  </si>
  <si>
    <t>DR#: 12014</t>
  </si>
  <si>
    <t>https://www.jotform.com/uploads/macarewecare/222927978372067/6046348486865143307/6046348486865143307_signature_28.png</t>
  </si>
  <si>
    <t>ALVIN A. CODILLA, RMT</t>
  </si>
  <si>
    <t>https://www.jotform.com/uploads/macarewecare/222927978372067/6046348486865143307/6046348486865143307_signature_31.png</t>
  </si>
  <si>
    <t>Tigan Municipal Health Office</t>
  </si>
  <si>
    <t>Tigaon, Camarines Sur</t>
  </si>
  <si>
    <t>ON-SITE ASSISTANCE
Gx relocation to temporary facility</t>
  </si>
  <si>
    <t xml:space="preserve">ASSAY: Xpert MTB/RIF Ultra, COUNT: 848
</t>
  </si>
  <si>
    <t>Gx relocation to temporary facility due to Tigaon MHO building renovation.</t>
  </si>
  <si>
    <t>GX installed/relocated @Vinagre Barangay Health Center</t>
  </si>
  <si>
    <t>Moving/Reinstalling Gx to another facility</t>
  </si>
  <si>
    <t>https://www.jotform.com/uploads/macarewecare/222927978372067/6046166610911294931/6046166610911294931_signature_28.png</t>
  </si>
  <si>
    <t>https://www.jotform.com/uploads/macarewecare/222927978372067/6046166610911294931/6046166610911294931_signature_31.png</t>
  </si>
  <si>
    <t>Brgy. Masilakon 1, Lugait, Misamis Occidental</t>
  </si>
  <si>
    <t>-Due for annual calibration.
- Module 2 encountered 2014 hardware failure during running.</t>
  </si>
  <si>
    <t>All modules are operational except Module 2 SN 690358  failed during calibration.</t>
  </si>
  <si>
    <t>https://www.jotform.com/uploads/macarewecare/222927978372067/6044581079848137960/6044581079848137960_signature_28.png</t>
  </si>
  <si>
    <t>Rodelyn B. Limocon, RMT</t>
  </si>
  <si>
    <t>https://www.jotform.com/uploads/macarewecare/222927978372067/6044581079848137960/6044581079848137960_signature_31.png</t>
  </si>
  <si>
    <t>Tominobo,Tomas Cabili, Iligan City, Lanao del Norte</t>
  </si>
  <si>
    <t xml:space="preserve">ASSAY: Xpert MTB/RIF Ultra, COUNT:  1067
</t>
  </si>
  <si>
    <t>- Defective module in Module 1 SN #   807847
- Due for  calibration in genexpert machine 
- Due for Preventive Maintenance clean Icore, Plunger, filter
- Stucked cartridge in Module 2 and Module 3</t>
  </si>
  <si>
    <t>-Replacement of new module in Module 1 SN #   766189
-Performed calibration in genexpert machine 
-Conduct Preventive Maintenance clean Icore, Plunger, filter
 -Removal of stucked cartridge in Module 2 and Module 3</t>
  </si>
  <si>
    <t>- Replacement of new module in Module 1 SN #    766189
- Performed calibration in genexpert machine 
- Conduct Preventive Maintenance clean Icore, Plunger, filter
- Removal of stucked cartridge in Module 2 and Module 3</t>
  </si>
  <si>
    <t>All modules are operational. 
-B2 failed during calibration. Usable while waiting for replacement.</t>
  </si>
  <si>
    <t>https://www.jotform.com/uploads/macarewecare/222927978372067/6044569419844854681/6044569419844854681_signature_28.png</t>
  </si>
  <si>
    <t>Maria Cielo C. Venezuela</t>
  </si>
  <si>
    <t>https://www.jotform.com/uploads/macarewecare/222927978372067/6044569419844854681/6044569419844854681_signature_31.png</t>
  </si>
  <si>
    <t>Hinaplanon RTDL</t>
  </si>
  <si>
    <t>Hinaplanon, Iligan City</t>
  </si>
  <si>
    <t>Villacortaamy50@gmail.com</t>
  </si>
  <si>
    <t xml:space="preserve">ASSAY: Xpert MTB/RIF Ultra, COUNT: 922
</t>
  </si>
  <si>
    <t>Replacement of defective module 1 SN #  792036</t>
  </si>
  <si>
    <t>Replacement of new module in Module 1 SN #  765568
Performed calibration in genexpert machine 
Conduct Preventive Maintenance clean Icore, Plunger, filter</t>
  </si>
  <si>
    <t>https://www.jotform.com/uploads/macarewecare/222927978372067/6044562749846472666/6044562749846472666_signature_28.png</t>
  </si>
  <si>
    <t>https://www.jotform.com/uploads/macarewecare/222927978372067/6044562749846472666/6044562749846472666_signature_31.png</t>
  </si>
  <si>
    <t>Allied Care Experts Medical</t>
  </si>
  <si>
    <t>Tagbilaran, Bohol</t>
  </si>
  <si>
    <t>laboratory@acemc.com</t>
  </si>
  <si>
    <t>Site visit
Fan Filter Cleaning
Module bay cleaning
Plunger rod maintenance</t>
  </si>
  <si>
    <t>https://www.jotform.com/uploads/macarewecare/222927978372067/6044401296518814123/6044401296518814123_signature_28.png</t>
  </si>
  <si>
    <t>Dianne Ceniza</t>
  </si>
  <si>
    <t>https://www.jotform.com/uploads/macarewecare/222927978372067/6044401296518814123/6044401296518814123_signature_31.png</t>
  </si>
  <si>
    <t>Clark City, Pampanga</t>
  </si>
  <si>
    <t xml:space="preserve">ASSAY: Xpert CT/NG, COUNT: 14
ASSAY: Xpert HBV VL, COUNT: 64
ASSAY: Xpert HPV, COUNT: 34
ASSAY: Xpert MTB/RIF Ultra, COUNT: 161
ASSAY: Xpert HIV-1 Viral Load, COUNT: 4
</t>
  </si>
  <si>
    <t>https://www.jotform.com/uploads/macarewecare/222927978372067/6044376654293935845/6044376654293935845_signature_28.png</t>
  </si>
  <si>
    <t>https://www.jotform.com/uploads/macarewecare/222927978372067/6044376654293935845/6044376654293935845_signature_31.png</t>
  </si>
  <si>
    <t xml:space="preserve">ASSAY: Xpert BCR-ABL Ultra, COUNT: 75
ASSAY: Xpert CT/NG, COUNT: 211
ASSAY: Xpert HBV VL, COUNT: 200
ASSAY: Xpert HPV, COUNT: 24
ASSAY: Xpert MTB/RIF Ultra, COUNT: 1096
ASSAY: Xpert HCV VL, COUNT: 167
ASSAY: Xpert HIV-1 Viral Load, COUNT: 20
</t>
  </si>
  <si>
    <t>https://www.jotform.com/uploads/macarewecare/222927978372067/6044342893746754866/6044342893746754866_signature_28.png</t>
  </si>
  <si>
    <t>Alyssa C. Sayson, RMT</t>
  </si>
  <si>
    <t>https://www.jotform.com/uploads/macarewecare/222927978372067/6044342893746754866/6044342893746754866_signature_31.png</t>
  </si>
  <si>
    <t>Batasan Rd, Quezon City</t>
  </si>
  <si>
    <t xml:space="preserve">ASSAY: Xpert CT/NG, COUNT: 17
ASSAY: Xpert HBV VL, COUNT: 15
ASSAY: Xpert HIV-1 Viral Load, COUNT: 534
</t>
  </si>
  <si>
    <t>Performed Preventive maintenance 
Generated report</t>
  </si>
  <si>
    <t>Checked and cleaned cartridge bays, plunger rod, icore slot and filter 
archived Results</t>
  </si>
  <si>
    <t>https://www.jotform.com/uploads/macarewecare/222927978372067/6044342191325194606/6044342191325194606_signature_28.png</t>
  </si>
  <si>
    <t>https://www.jotform.com/uploads/macarewecare/222927978372067/6044342191325194606/6044342191325194606_signature_31.png</t>
  </si>
  <si>
    <t xml:space="preserve">ASSAY: Xpert MTB/RIF Ultra, COUNT: 1857
</t>
  </si>
  <si>
    <t>https://www.jotform.com/uploads/macarewecare/222927978372067/6044333508518701975/6044333508518701975_signature_28.png</t>
  </si>
  <si>
    <t>Lariosa, Sheila Mae</t>
  </si>
  <si>
    <t>https://www.jotform.com/uploads/macarewecare/222927978372067/6044333508518701975/6044333508518701975_signature_31.png</t>
  </si>
  <si>
    <t xml:space="preserve">ASSAY: Xpert HBV VL, COUNT: 222
ASSAY: Xpert HCV VL, COUNT: 47
ASSAY: Xpert HIV-1 Viral Load, COUNT: 1408
</t>
  </si>
  <si>
    <t>https://www.jotform.com/uploads/macarewecare/222927978372067/6044299274298758803/6044299274298758803_signature_28.png</t>
  </si>
  <si>
    <t>Michelle C. Sitchon</t>
  </si>
  <si>
    <t>https://www.jotform.com/uploads/macarewecare/222927978372067/6044299274298758803/6044299274298758803_signature_31.png</t>
  </si>
  <si>
    <t>Jose B. Lingad Memoria General Hospital</t>
  </si>
  <si>
    <t xml:space="preserve">ASSAY: Xpert HPV, COUNT: 84
ASSAY: Xpert MTB/RIF Ultra, COUNT: 279
ASSAY: Others, COUNT: 65
ASSAY: Xpert SARS-CoV-2, COUNT: 873
</t>
  </si>
  <si>
    <t>https://www.jotform.com/uploads/macarewecare/222927978372067/6044278785811492812/6044278785811492812_signature_28.png</t>
  </si>
  <si>
    <t>https://www.jotform.com/uploads/macarewecare/222927978372067/6044278785811492812/6044278785811492812_signature_31.png</t>
  </si>
  <si>
    <t>Dr. Sixto Avenue, Rosario Pasig City</t>
  </si>
  <si>
    <t>eden.cawayan@yahoo.com</t>
  </si>
  <si>
    <t>https://www.jotform.com/uploads/macarewecare/222927978372067/6044193153619202284/6044193153619202284_signature_28.png</t>
  </si>
  <si>
    <t>https://www.jotform.com/uploads/macarewecare/222927978372067/6044193153619202284/6044193153619202284_signature_31.png</t>
  </si>
  <si>
    <t>3rd Floor Citywalk 2, Eastwood City, Bagumbayan, QC</t>
  </si>
  <si>
    <t>clairebaptista32786@gmail.com</t>
  </si>
  <si>
    <t>ADF for installation</t>
  </si>
  <si>
    <t>Performed PM 
Installed HIV adf
Restart GX and performed self-test
Still H/w failed on module 1
Gathered report</t>
  </si>
  <si>
    <t>Checked and cleaned cartridge bays, plunger rod icore slot and filter 
Installed HIV assay definition file
Checked module 1 error 4006</t>
  </si>
  <si>
    <t>Unit is operational 
Module 1 for monitoring</t>
  </si>
  <si>
    <t>https://www.jotform.com/uploads/macarewecare/222927978372067/6043548124217543734/6043548124217543734_signature_28.png</t>
  </si>
  <si>
    <t>MARY CLAIRE BAPTISTA</t>
  </si>
  <si>
    <t>https://www.jotform.com/uploads/macarewecare/222927978372067/6043548124217543734/6043548124217543734_signature_31.png</t>
  </si>
  <si>
    <t>For XpertCheck Calibration and Preventive Maintenance</t>
  </si>
  <si>
    <t>Upgrade the Version of XPC into Version 1.5B
Clean Surface Area, Cartridge Bay, Plunger Rod, Fan Filters and Icore Lenses
Generate IQR, Assay Stat and System Log
Run XpertCheck on four modules</t>
  </si>
  <si>
    <t>Xpertcheck CE-5</t>
  </si>
  <si>
    <t>DR 12001</t>
  </si>
  <si>
    <t>https://www.jotform.com/uploads/macarewecare/222927978372067/6043526388802018401/6043526388802018401_signature_28.png</t>
  </si>
  <si>
    <t>https://www.jotform.com/uploads/macarewecare/222927978372067/6043526388802018401/6043526388802018401_signature_31.png</t>
  </si>
  <si>
    <t xml:space="preserve">ASSAY: Others, COUNT: 2
ASSAY: Xpert HPV, COUNT: 33
ASSAY: Xpert MTB/RIF Ultra, COUNT: 170
ASSAY: Xpert SARS-CoV-2, COUNT: 1452
ASSAY: Xpert HIV-1 Viral Load, COUNT: 2
</t>
  </si>
  <si>
    <t>Unit is operational. Modules A1, B4, C2, C3, D1, D3 and D4 not operational, reported already. Modules B3 and D2 for reporting.</t>
  </si>
  <si>
    <t>https://www.jotform.com/uploads/macarewecare/222927978372067/6043511341979610345/6043511341979610345_signature_28.png</t>
  </si>
  <si>
    <t>https://www.jotform.com/uploads/macarewecare/222927978372067/6043511341979610345/6043511341979610345_signature_31.png</t>
  </si>
  <si>
    <t>rohmhardameg@gmail.com</t>
  </si>
  <si>
    <t xml:space="preserve">ASSAY: Xpert MTB/RIF Ultra, COUNT: 206
ASSAY: Xpert SARS-CoV-2, COUNT: 59
</t>
  </si>
  <si>
    <t>https://www.jotform.com/uploads/macarewecare/222927978372067/6043460149713471768/6043460149713471768_signature_28.png</t>
  </si>
  <si>
    <t>Rohmhar Dameg</t>
  </si>
  <si>
    <t>https://www.jotform.com/uploads/macarewecare/222927978372067/6043460149713471768/6043460149713471768_signature_31.png</t>
  </si>
  <si>
    <t>Hospital Drive Brgy. San Vicente, Tarla City</t>
  </si>
  <si>
    <t>https://www.jotform.com/uploads/macarewecare/222927978372067/6043458049714104245/6043458049714104245_signature_28.png</t>
  </si>
  <si>
    <t>https://www.jotform.com/uploads/macarewecare/222927978372067/6043458049714104245/6043458049714104245_signature_31.png</t>
  </si>
  <si>
    <t>Module B4/861251 Defective</t>
  </si>
  <si>
    <t>Preventive Maintenance 
Module replacement</t>
  </si>
  <si>
    <t>https://www.jotform.com/uploads/macarewecare/222927978372067/6043391017718533874/6043391017718533874_signature_28.png</t>
  </si>
  <si>
    <t>Sarah V. Yangzon</t>
  </si>
  <si>
    <t>https://www.jotform.com/uploads/macarewecare/222927978372067/6043391017718533874/6043391017718533874_signature_31.png</t>
  </si>
  <si>
    <t>CALIBRATION
Module Replacement</t>
  </si>
  <si>
    <t>GX 4 (6C)</t>
  </si>
  <si>
    <t>Replaced defective module 861603 with new Module 610818. Conducted xpertcheck calibration for modules 2, 3 and 4.</t>
  </si>
  <si>
    <t>Module 1 newly replaced, module 2 passed, module 3 and 4 to be replace.</t>
  </si>
  <si>
    <t>Genexpert Machine 838838 transferred from Jolo sulu IPHO to Maimbung District Hospital</t>
  </si>
  <si>
    <t>900-0491RS,  XPERTCHECK-CE-5</t>
  </si>
  <si>
    <t>12044, 12077</t>
  </si>
  <si>
    <t>https://www.jotform.com/uploads/macarewecare/222927978372067/6043387361713732377/6043387361713732377_signature_28.png</t>
  </si>
  <si>
    <t>Alvin B. Madjid</t>
  </si>
  <si>
    <t>https://www.jotform.com/uploads/macarewecare/222927978372067/6043387361713732377/6043387361713732377_signature_31.png</t>
  </si>
  <si>
    <t>Talibon, Bohol</t>
  </si>
  <si>
    <t>Defected Module B4</t>
  </si>
  <si>
    <t>Run xpertcheck calibration module 4
Clean Fan Filter
Gxc data, IQR and system log</t>
  </si>
  <si>
    <t>Module B4 Service Require during xpertcheck calibration</t>
  </si>
  <si>
    <t>https://www.jotform.com/uploads/macarewecare/222927978372067/6043330597655814326/6043330597655814326_signature_28.png</t>
  </si>
  <si>
    <t>ROSALINA A. YBAÑEZ</t>
  </si>
  <si>
    <t>https://www.jotform.com/uploads/macarewecare/222927978372067/6043330597655814326/6043330597655814326_signature_31.png</t>
  </si>
  <si>
    <t>jmoreno2020@gmail.com</t>
  </si>
  <si>
    <t>Cleaned Unit
Checked Program Parameters 
Cleaned Centrifuge bowl, rollers, pumps, valve</t>
  </si>
  <si>
    <t>https://www.jotform.com/uploads/macarewecare/222927978372067/6041860697528244402/6041860697528244402_signature_28.png</t>
  </si>
  <si>
    <t>https://www.jotform.com/uploads/macarewecare/222927978372067/6041860697528244402/6041860697528244402_signature_31.png</t>
  </si>
  <si>
    <t>Santa Cruz Rural Health Unit</t>
  </si>
  <si>
    <t>Poblacion, Santa Cruz</t>
  </si>
  <si>
    <t>Clean Surface Area, Cartridge Bay, Plunger Rod, Fan Filters and Icore Lenses
Generate IQR, Assay Stat and System Log
Run XpertCheck on four modules</t>
  </si>
  <si>
    <t>Perform Preventive Maintenance, and XpertCheck Calibration</t>
  </si>
  <si>
    <t>Modules 1,2,3 for Service Required
Module 4 Passed the Calibration</t>
  </si>
  <si>
    <t>Modules for under observation, if error exist frequently modules are advised to disabled</t>
  </si>
  <si>
    <t>DR 12011</t>
  </si>
  <si>
    <t>https://www.jotform.com/uploads/macarewecare/222927978372067/6042627577566012128/6042627577566012128_signature_28.png</t>
  </si>
  <si>
    <t>Dorothy A. Dalagan</t>
  </si>
  <si>
    <t>https://www.jotform.com/uploads/macarewecare/222927978372067/6042627577566012128/6042627577566012128_signature_31.png</t>
  </si>
  <si>
    <t>University of the Philippines Los Baños - Institute of Biology</t>
  </si>
  <si>
    <t>Institute of Biology Bldg, UP Los Baños</t>
  </si>
  <si>
    <t>Phycology Laboratory</t>
  </si>
  <si>
    <t>cvvelasquez@macare-medicals.com</t>
  </si>
  <si>
    <t>Installed Primo Star
Adjusted Kohler
Performed PM
Performed basic operation</t>
  </si>
  <si>
    <t>DR 12198</t>
  </si>
  <si>
    <t>https://www.jotform.com/uploads/macarewecare/222927978372067/6042614743616867273/6042614743616867273_signature_28.png</t>
  </si>
  <si>
    <t>https://www.jotform.com/uploads/macarewecare/222927978372067/6042614743616867273/6042614743616867273_signature_31.png</t>
  </si>
  <si>
    <t>Institute of Biology Bldg., UP Los Baños</t>
  </si>
  <si>
    <t>HAL 100 Light Source does not power on</t>
  </si>
  <si>
    <t>Check all connections and voltages
Scraped off oxidized areas for better contact
Traced connectivity of supply</t>
  </si>
  <si>
    <t>Pulled Out HAL 100 for further troubleshooting in the office</t>
  </si>
  <si>
    <t>https://www.jotform.com/uploads/macarewecare/222927978372067/6042607823617167160/6042607823617167160_signature_28.png</t>
  </si>
  <si>
    <t>https://www.jotform.com/uploads/macarewecare/222927978372067/6042607823617167160/6042607823617167160_signature_31.png</t>
  </si>
  <si>
    <t>San Isidro, Talacogon</t>
  </si>
  <si>
    <t>XpertCheck Calibration and Preventive Maintenance of all modules</t>
  </si>
  <si>
    <t>All module are functional</t>
  </si>
  <si>
    <t>https://www.jotform.com/uploads/macarewecare/222927978372067/6042592641731727359/6042592641731727359_signature_28.png</t>
  </si>
  <si>
    <t>https://www.jotform.com/uploads/macarewecare/222927978372067/6042592641731727359/6042592641731727359_signature_31.png</t>
  </si>
  <si>
    <t>PC wont Turn on
Module 4 Hardware Failure</t>
  </si>
  <si>
    <t>Troubleshoot PC
Replaced Cmos Battery
Performed Xpertcheck on module 4
(SERVICE REQUIRED)</t>
  </si>
  <si>
    <t>https://www.jotform.com/uploads/macarewecare/222927978372067/6042496426328935926/6042496426328935926_signature_28.png</t>
  </si>
  <si>
    <t>Janelle Janette Santiago</t>
  </si>
  <si>
    <t>https://www.jotform.com/uploads/macarewecare/222927978372067/6042496426328935926/6042496426328935926_signature_31.png</t>
  </si>
  <si>
    <t>MCS+ Display Keypad Malfunction 
MCS+ for Preventive Maintenance</t>
  </si>
  <si>
    <t>Cleaned Unit
Checked Program Parameters 
Cleaned Centrifuge bowl, rollers, pump, valve
Display ribbon(defective)</t>
  </si>
  <si>
    <t>Cleaned unit
Cleaned centrifuge bowl, pump, rollers, valve
Checked program parameters</t>
  </si>
  <si>
    <t>https://www.jotform.com/uploads/macarewecare/222927978372067/6041859747521752572/6041859747521752572_signature_28.png</t>
  </si>
  <si>
    <t>JAKE  S. Moreno</t>
  </si>
  <si>
    <t>https://www.jotform.com/uploads/macarewecare/222927978372067/6041859747521752572/6041859747521752572_signature_31.png</t>
  </si>
  <si>
    <t>Sometimes PC wont turn on</t>
  </si>
  <si>
    <t>Troubleshoot PC
Replaced CMOS Battery</t>
  </si>
  <si>
    <t>https://www.jotform.com/uploads/macarewecare/222927978372067/6041801065514868018/6041801065514868018_signature_28.png</t>
  </si>
  <si>
    <t>https://www.jotform.com/uploads/macarewecare/222927978372067/6041801065514868018/6041801065514868018_signature_31.png</t>
  </si>
  <si>
    <t>St. Luke's Medical Center - Quezon City</t>
  </si>
  <si>
    <t>E. Rodriguez Sr. Ave, Quezon City</t>
  </si>
  <si>
    <t>MAINTENANCE
Gathered Report</t>
  </si>
  <si>
    <t xml:space="preserve">ASSAY: Xpert CT/NG, COUNT: 262
ASSAY: Xpert HPV, COUNT: 1
ASSAY: Xpert MTB/RIF Ultra, COUNT: 3181
</t>
  </si>
  <si>
    <t>Error on Module B1</t>
  </si>
  <si>
    <t>Performed PM 
Archived results
Generated report</t>
  </si>
  <si>
    <t>Checked and cleaned cartridge bays, plunger rod and icore slot 
Archived results from September to October</t>
  </si>
  <si>
    <t>Unit is operational 
B1 under monitoring</t>
  </si>
  <si>
    <t>https://www.jotform.com/uploads/macarewecare/222927978372067/6041774620411589405/6041774620411589405_signature_28.png</t>
  </si>
  <si>
    <t>Michael Fuentes</t>
  </si>
  <si>
    <t>https://www.jotform.com/uploads/macarewecare/222927978372067/6041774620411589405/6041774620411589405_signature_31.png</t>
  </si>
  <si>
    <t>Silay, Negros occidental</t>
  </si>
  <si>
    <t>fjazzrmt13@gmail.com</t>
  </si>
  <si>
    <t>Xpertcheck module 2, 3 and 4
Clean Fan Filter
Gather data IQR, system log, assay stats
GXC file</t>
  </si>
  <si>
    <t>Module 3 and 4 was Service require during xpertcheck calibration</t>
  </si>
  <si>
    <t>https://www.jotform.com/uploads/macarewecare/222927978372067/6041755900321533578/6041755900321533578_signature_28.png</t>
  </si>
  <si>
    <t>Fely Jasmin D. Ledesma</t>
  </si>
  <si>
    <t>https://www.jotform.com/uploads/macarewecare/222927978372067/6041755900321533578/6041755900321533578_signature_31.png</t>
  </si>
  <si>
    <t xml:space="preserve">ASSAY: Xpert MTB/RIF Ultra, COUNT: 898
</t>
  </si>
  <si>
    <t>https://www.jotform.com/uploads/macarewecare/222927978372067/6041659627265737355/6041659627265737355_signature_28.png</t>
  </si>
  <si>
    <t>Mighty Joy V. Cabardo</t>
  </si>
  <si>
    <t>https://www.jotform.com/uploads/macarewecare/222927978372067/6041659627265737355/6041659627265737355_signature_31.png</t>
  </si>
  <si>
    <t xml:space="preserve">ASSAY: Xpert MTB/RIF Ultra, COUNT: 713
</t>
  </si>
  <si>
    <t>Module B2/861163 and B3/663048 Defective</t>
  </si>
  <si>
    <t>-Performed preventive maintenance 
- install new module on B2/806382 and B3/807030
- Generate IQR and System log</t>
  </si>
  <si>
    <t>2 Genexpert Module</t>
  </si>
  <si>
    <t>12063/12064</t>
  </si>
  <si>
    <t>https://www.jotform.com/uploads/macarewecare/222927978372067/6041639780825242296/6041639780825242296_signature_28.png</t>
  </si>
  <si>
    <t>lornac.abaigar</t>
  </si>
  <si>
    <t>https://www.jotform.com/uploads/macarewecare/222927978372067/6041639780825242296/6041639780825242296_signature_31.png</t>
  </si>
  <si>
    <t>annabellelcatbagan@gmail.com1</t>
  </si>
  <si>
    <t xml:space="preserve">ASSAY: Xpert MTB/RIF Ultra, COUNT: 199
ASSAY: Others, COUNT: 17
</t>
  </si>
  <si>
    <t>https://www.jotform.com/uploads/macarewecare/222927978372067/6041571795107016174/6041571795107016174_signature_28.png</t>
  </si>
  <si>
    <t>https://www.jotform.com/uploads/macarewecare/222927978372067/6041571795107016174/6041571795107016174_signature_31.png</t>
  </si>
  <si>
    <t xml:space="preserve">ASSAY: Xpert SARS-CoV-2, COUNT: 
ASSAY: Xpert SARS-CoV-2, COUNT: 8990
</t>
  </si>
  <si>
    <t>4 operational modules 
Calibration Results:
Module 1 - Passed
Module 2 - skipped (new module)
Module 3 - Passed
Module 4 - skipped (new module)</t>
  </si>
  <si>
    <t>DR#:</t>
  </si>
  <si>
    <t>https://www.jotform.com/uploads/macarewecare/222927978372067/6041158816862477044/6041158816862477044_signature_28.png</t>
  </si>
  <si>
    <t>Chareasse love yu UTTO</t>
  </si>
  <si>
    <t>https://www.jotform.com/uploads/macarewecare/222927978372067/6041158816862477044/6041158816862477044_signature_31.png</t>
  </si>
  <si>
    <t>Brgy. Libertad, Butuan, Agusan del Norte</t>
  </si>
  <si>
    <t>B4 found service required thru XPC Error Checking</t>
  </si>
  <si>
    <t>Module Replacement
XpertCheck Calibration</t>
  </si>
  <si>
    <t>Replacing Module B4 with SN: 862880 to SN: 619731
XpertCheck Calibration of 3 modules</t>
  </si>
  <si>
    <t>https://www.jotform.com/uploads/macarewecare/222927978372067/6041072241118466284/6041072241118466284_signature_28.png</t>
  </si>
  <si>
    <t>https://www.jotform.com/uploads/macarewecare/222927978372067/6041072241118466284/6041072241118466284_signature_31.png</t>
  </si>
  <si>
    <t>Due for xpertcheck module 4</t>
  </si>
  <si>
    <t>Xpertcheck module 4
Clean Fan filter
IQR, system log and assay statistics</t>
  </si>
  <si>
    <t>Module 4 service require
Module 1,2 and 3 not available for xpertcheck</t>
  </si>
  <si>
    <t>https://www.jotform.com/uploads/macarewecare/222927978372067/6040961680893967226/6040961680893967226_signature_28.png</t>
  </si>
  <si>
    <t>https://www.jotform.com/uploads/macarewecare/222927978372067/6040961680893967226/6040961680893967226_signature_31.png</t>
  </si>
  <si>
    <t>Riverside Medical Center</t>
  </si>
  <si>
    <t>jehzeel.palacios@medilinx.com.ph</t>
  </si>
  <si>
    <t>Module 1 to be transfered</t>
  </si>
  <si>
    <t>Removing and packing of module 1
Clean Fan filter
IQR before and after removing module 1</t>
  </si>
  <si>
    <t>https://www.jotform.com/uploads/macarewecare/222927978372067/6040953480899714110/6040953480899714110_signature_28.png</t>
  </si>
  <si>
    <t>Jehzeel Palacios</t>
  </si>
  <si>
    <t>https://www.jotform.com/uploads/macarewecare/222927978372067/6040953480899714110/6040953480899714110_signature_31.png</t>
  </si>
  <si>
    <t>bmcgenexpertlab@yahoo.com</t>
  </si>
  <si>
    <t xml:space="preserve">ASSAY: Xpert MTB/RIF Ultra, COUNT: 4
ASSAY: Xpert SARS-CoV-2, COUNT: 1859
</t>
  </si>
  <si>
    <t>https://www.jotform.com/uploads/macarewecare/222927978372067/6040901543619453956/6040901543619453956_signature_28.png</t>
  </si>
  <si>
    <t>Michaella Sayo</t>
  </si>
  <si>
    <t>https://www.jotform.com/uploads/macarewecare/222927978372067/6040901543619453956/6040901543619453956_signature_31.png</t>
  </si>
  <si>
    <t>https://www.jotform.com/uploads/macarewecare/222927978372067/6040891323617862788/6040891323617862788_signature_28.png</t>
  </si>
  <si>
    <t>https://www.jotform.com/uploads/macarewecare/222927978372067/6040891323617862788/6040891323617862788_signature_31.png</t>
  </si>
  <si>
    <t>osangcomedador19@gmail.com</t>
  </si>
  <si>
    <t>Unit is operational 
No issues found</t>
  </si>
  <si>
    <t>https://www.jotform.com/uploads/macarewecare/222927978372067/6040891063611068493/6040891063611068493_signature_28.png</t>
  </si>
  <si>
    <t>Lawrence Dave M. Garcia</t>
  </si>
  <si>
    <t>https://www.jotform.com/uploads/macarewecare/222927978372067/6040891063611068493/6040891063611068493_signature_31.png</t>
  </si>
  <si>
    <t>Unit is operational
Room air-conditioning unit is functional</t>
  </si>
  <si>
    <t>https://www.jotform.com/uploads/macarewecare/222927978372067/6040890743611754725/6040890743611754725_signature_28.png</t>
  </si>
  <si>
    <t>Alyssa Mae Ico</t>
  </si>
  <si>
    <t>https://www.jotform.com/uploads/macarewecare/222927978372067/6040890743611754725/6040890743611754725_signature_31.png</t>
  </si>
  <si>
    <t>Corazon Locsin Montelibano Regional Hospital</t>
  </si>
  <si>
    <t>Xpertcheck Calibration
Clean Fan Filter
Gather data IQR, system log, assay and GXC file</t>
  </si>
  <si>
    <t>Systems operational
All modules passed0</t>
  </si>
  <si>
    <t>https://www.jotform.com/uploads/macarewecare/222927978372067/6040876542932181949/6040876542932181949_signature_28.png</t>
  </si>
  <si>
    <t>Santiago, dennis aaron</t>
  </si>
  <si>
    <t>https://www.jotform.com/uploads/macarewecare/222927978372067/6040876542932181949/6040876542932181949_signature_31.png</t>
  </si>
  <si>
    <t xml:space="preserve">ASSAY: Xpert CT/NG, COUNT: 20
ASSAY: Others, COUNT: 3
ASSAY: Xpert HBV VL, COUNT: 38
ASSAY: Xpert HPV, COUNT: 37
ASSAY: Xpert MTB/RIF Ultra, COUNT: 403
ASSAY: Xpert HCV VL, COUNT: 6
</t>
  </si>
  <si>
    <t>Software Problem.</t>
  </si>
  <si>
    <t>Cleaned CPU.
Cleaned and Check Functionality of RAM.
Archived Tests Results.
Checked Computer Settings.
Generate Reports.</t>
  </si>
  <si>
    <t>2 Modules are Disabled. GX System for Further Observation.</t>
  </si>
  <si>
    <t>https://www.jotform.com/uploads/macarewecare/222927978372067/6040823652616286730/6040823652616286730_signature_28.png</t>
  </si>
  <si>
    <t>Inger Lia Jimenez</t>
  </si>
  <si>
    <t>https://www.jotform.com/uploads/macarewecare/222927978372067/6040823652616286730/6040823652616286730_signature_31.png</t>
  </si>
  <si>
    <t>Rizal Ave, Sta.Curz, Manila</t>
  </si>
  <si>
    <t xml:space="preserve">ASSAY: Xpert HPV, COUNT: 303
ASSAY: Xpert SARS-CoV-2, COUNT: 1179
</t>
  </si>
  <si>
    <t>Port Problem of CPU.</t>
  </si>
  <si>
    <t>Install External Port in CPU.
Configure IP Address.
Performed Self-test.
Generate Reports.</t>
  </si>
  <si>
    <t>https://www.jotform.com/uploads/macarewecare/222927978372067/6040810002615198454/6040810002615198454_signature_28.png</t>
  </si>
  <si>
    <t>https://www.jotform.com/uploads/macarewecare/222927978372067/6040810002615198454/6040810002615198454_signature_31.png</t>
  </si>
  <si>
    <t>GeneXpert Unit is Not Detectable.</t>
  </si>
  <si>
    <t>Checked Connections.
Check IP Address.
Checked Port Connection.
Update Driver.</t>
  </si>
  <si>
    <t>GX Unit is Not Detectable. Recommendation for Port Driver Reinstallation.</t>
  </si>
  <si>
    <t>https://www.jotform.com/uploads/macarewecare/222927978372067/6040809712615786630/6040809712615786630_signature_28.png</t>
  </si>
  <si>
    <t>https://www.jotform.com/uploads/macarewecare/222927978372067/6040809712615786630/6040809712615786630_signature_31.png</t>
  </si>
  <si>
    <t>Congressional Ave., Dasmariñas City, Cavite</t>
  </si>
  <si>
    <t>acpabruada@dlsmhsi.edu.ph</t>
  </si>
  <si>
    <t xml:space="preserve">ASSAY: Xpert MTB/RIF Ultra, COUNT: 2703
</t>
  </si>
  <si>
    <t>Modules A3 and C3 with Temperature Related Errors.</t>
  </si>
  <si>
    <t>Replaced Defective Modules.
Performed Self-test.
Checked Functuonality.
Generate Reports.</t>
  </si>
  <si>
    <t>13 Modules are Good. 3 Modules with 2008 Errors.</t>
  </si>
  <si>
    <t>880284 -&gt; 696374 , 688481 -&gt; 801775</t>
  </si>
  <si>
    <t>GX Module</t>
  </si>
  <si>
    <t>https://www.jotform.com/uploads/macarewecare/222927978372067/6040809722616209404/6040809722616209404_signature_28.png</t>
  </si>
  <si>
    <t>Angie Pabruada</t>
  </si>
  <si>
    <t>https://www.jotform.com/uploads/macarewecare/222927978372067/6040809722616209404/6040809722616209404_signature_31.png</t>
  </si>
  <si>
    <t>THRU</t>
  </si>
  <si>
    <t>jvfernandez@my.dlshsi.edu.ph</t>
  </si>
  <si>
    <t xml:space="preserve">ASSAY: Xpert HIV-1 Viral Load, COUNT: 66
</t>
  </si>
  <si>
    <t>https://www.jotform.com/uploads/macarewecare/222927978372067/6040809702619868815/6040809702619868815_signature_28.png</t>
  </si>
  <si>
    <t>Juvy V.Fernandez</t>
  </si>
  <si>
    <t>https://www.jotform.com/uploads/macarewecare/222927978372067/6040809702619868815/6040809702619868815_signature_31.png</t>
  </si>
  <si>
    <t xml:space="preserve">ASSAY: Xpert HBV VL, COUNT: 299
ASSAY: Xpert HCV VL, COUNT: 21
ASSAY: Xpert HIV-1 Viral Load, COUNT: 161
</t>
  </si>
  <si>
    <t>Module with 4014 Error.</t>
  </si>
  <si>
    <t>Cleaned Cartridge Bay, Plunger Rod and Icore Optics.
Performed Self-test.
Generate Reports.</t>
  </si>
  <si>
    <t>3 Modules are Operational, 1 Module Disabled.</t>
  </si>
  <si>
    <t>https://www.jotform.com/uploads/macarewecare/222927978372067/6040809712612461702/6040809712612461702_signature_28.png</t>
  </si>
  <si>
    <t>https://www.jotform.com/uploads/macarewecare/222927978372067/6040809712612461702/6040809712612461702_signature_31.png</t>
  </si>
  <si>
    <t>https://www.jotform.com/uploads/macarewecare/222927978372067/6040737656614661865/6040737656614661865_signature_28.png</t>
  </si>
  <si>
    <t>https://www.jotform.com/uploads/macarewecare/222927978372067/6040737656614661865/6040737656614661865_signature_31.png</t>
  </si>
  <si>
    <t xml:space="preserve">ASSAY: Xpert MTB/RIF Ultra, COUNT: 1650
</t>
  </si>
  <si>
    <t>Due for calibration annual.</t>
  </si>
  <si>
    <t>Performed calibration in Module 2. 
Clean up Icore and filter and plunger.</t>
  </si>
  <si>
    <t>All units are operational.
Module 2 passed.</t>
  </si>
  <si>
    <t>https://www.jotform.com/uploads/macarewecare/222927978372067/6040730439847788486/6040730439847788486_signature_28.png</t>
  </si>
  <si>
    <t>https://www.jotform.com/uploads/macarewecare/222927978372067/6040730439847788486/6040730439847788486_signature_31.png</t>
  </si>
  <si>
    <t>HACT</t>
  </si>
  <si>
    <t>hact@bghmc.doh.gov.ph</t>
  </si>
  <si>
    <t>balbahazel@gmail.com</t>
  </si>
  <si>
    <t>CPU won't Boot</t>
  </si>
  <si>
    <t>Performed Troubleshooting Instructions of Cepheid</t>
  </si>
  <si>
    <t>https://www.jotform.com/uploads/macarewecare/222927978372067/6040714896611766451/6040714896611766451_signature_28.png</t>
  </si>
  <si>
    <t>Hazel Gwyneth Balba</t>
  </si>
  <si>
    <t>https://www.jotform.com/uploads/macarewecare/222927978372067/6040714896611766451/6040714896611766451_signature_31.png</t>
  </si>
  <si>
    <t xml:space="preserve">ASSAY: Xpert HBV VL, COUNT: 195
ASSAY: Xpert SARS-CoV-2, COUNT: 198
ASSAY: Xpert HCV VL, COUNT: 48
ASSAY: Xpert HIV-1 Viral Load, COUNT: 31
</t>
  </si>
  <si>
    <t>https://www.jotform.com/uploads/macarewecare/222927978372067/6040714896612246785/6040714896612246785_signature_28.png</t>
  </si>
  <si>
    <t>Rhe AnnetonetyeAcosta</t>
  </si>
  <si>
    <t>https://www.jotform.com/uploads/macarewecare/222927978372067/6040714896612246785/6040714896612246785_signature_31.png</t>
  </si>
  <si>
    <t>https://www.jotform.com/uploads/macarewecare/222927978372067/6040714776619567605/6040714776619567605_signature_28.png</t>
  </si>
  <si>
    <t>https://www.jotform.com/uploads/macarewecare/222927978372067/6040714776619567605/6040714776619567605_signature_31.png</t>
  </si>
  <si>
    <t>BINDOY DISTRICT HOSPITAL</t>
  </si>
  <si>
    <t>BINDOY, NEGROS ORIENTAL</t>
  </si>
  <si>
    <t>https://www.jotform.com/uploads/macarewecare/222927978372067/6038358775415758883/6038358775415758883_signature_28.png</t>
  </si>
  <si>
    <t>Lemuel T. Quirit , RMT</t>
  </si>
  <si>
    <t>https://www.jotform.com/uploads/macarewecare/222927978372067/6038358775415758883/6038358775415758883_signature_31.png</t>
  </si>
  <si>
    <t>Sta. Mesa, Manila</t>
  </si>
  <si>
    <t>Desktop freezes during sample running</t>
  </si>
  <si>
    <t>Reset RAM</t>
  </si>
  <si>
    <t>Unit is operational
Desktop is under observation</t>
  </si>
  <si>
    <t>https://www.jotform.com/uploads/macarewecare/222927978372067/6038338372722374712/6038338372722374712_signature_28.png</t>
  </si>
  <si>
    <t>https://www.jotform.com/uploads/macarewecare/222927978372067/6038338372722374712/6038338372722374712_signature_31.png</t>
  </si>
  <si>
    <t xml:space="preserve">ASSAY: Xpert HIV-1 Viral Load, COUNT: 1405
ASSAY: Xpert MTB/RIF Ultra, COUNT: 385
ASSAY: Xpert HBV VL, COUNT: 9
</t>
  </si>
  <si>
    <t>Stuck Cartidge
Due for Preventive Maintenance and XpertCheck Calibration</t>
  </si>
  <si>
    <t>Extract the stuck cartidge at Module 1,
Clean Surface Area, Cartridge Bay, Plunger Rod, Fan Filters and Icore Lenses
Generate IQR, Assay Stat and System Log
Run Calibration on Modules 1 and 3 only</t>
  </si>
  <si>
    <t>Perform Preventive Maintenance and XpertCheck Calibration
Perform Stuck Cartidge extraction</t>
  </si>
  <si>
    <t>https://www.jotform.com/uploads/macarewecare/222927978372067/6038289100126352824/6038289100126352824_signature_28.png</t>
  </si>
  <si>
    <t>Kent Ferolin,. RMT</t>
  </si>
  <si>
    <t>https://www.jotform.com/uploads/macarewecare/222927978372067/6038289100126352824/6038289100126352824_signature_31.png</t>
  </si>
  <si>
    <t>Module B3 for disabled due to multiple temperature related errors</t>
  </si>
  <si>
    <t>https://www.jotform.com/uploads/macarewecare/222927978372067/6038288690124046365/6038288690124046365_signature_28.png</t>
  </si>
  <si>
    <t>Kent Ferolin,. rmt</t>
  </si>
  <si>
    <t>https://www.jotform.com/uploads/macarewecare/222927978372067/6038288690124046365/6038288690124046365_signature_31.png</t>
  </si>
  <si>
    <t xml:space="preserve">ASSAY: Xpert MTB/RIF Ultra, COUNT: 1254
ASSAY: Xpert HCV VL, COUNT: 11
ASSAY: Xpert HIV-1 Viral Load, COUNT: 113
</t>
  </si>
  <si>
    <t>COLLECT IQR, SYSTEM LOG,ARCHIVE, AND CALIBRATION DATA</t>
  </si>
  <si>
    <t>EQUIPMEMT IS OPERATIONAL, MODULE A4 DISABLED</t>
  </si>
  <si>
    <t>XPERCHECK, CE-IVD 5 Cartridges/kit</t>
  </si>
  <si>
    <t>https://www.jotform.com/uploads/macarewecare/222927978372067/6038211156708595002/6038211156708595002_signature_28.png</t>
  </si>
  <si>
    <t>Rezel Marie S. Lagos</t>
  </si>
  <si>
    <t>https://www.jotform.com/uploads/macarewecare/222927978372067/6038211156708595002/6038211156708595002_signature_31.png</t>
  </si>
  <si>
    <t>https://www.jotform.com/uploads/macarewecare/222927978372067/6038195334699186994/6038195334699186994_signature_28.png</t>
  </si>
  <si>
    <t>Dale D. Peñalosa,RMT</t>
  </si>
  <si>
    <t>https://www.jotform.com/uploads/macarewecare/222927978372067/6038195334699186994/6038195334699186994_signature_31.png</t>
  </si>
  <si>
    <t>Philippine Res Cross Port Area</t>
  </si>
  <si>
    <t>Centrifuge latch to tight when releasing to unlock position</t>
  </si>
  <si>
    <t>Checked centrifuge latch
Adjust relay position
Performed functionality test
Test unit</t>
  </si>
  <si>
    <t>https://www.jotform.com/uploads/macarewecare/222927978372067/6038160977023787931/6038160977023787931_signature_28.png</t>
  </si>
  <si>
    <t>https://www.jotform.com/uploads/macarewecare/222927978372067/6038160977023787931/6038160977023787931_signature_31.png</t>
  </si>
  <si>
    <t xml:space="preserve">ASSAY: Xpert BCR-ABL Ultra, COUNT: 46
ASSAY: Xpert MTB/RIF Ultra, COUNT: 2542
ASSAY: Xpert SARS-CoV-2, COUNT: 1575
ASSAY: Xpert SARS-CoV-2, COUNT: 1073
</t>
  </si>
  <si>
    <t>As per end user they encounter intermittent error 5007. In different module</t>
  </si>
  <si>
    <t>https://www.jotform.com/uploads/macarewecare/222927978372067/6038160667026355050/6038160667026355050_signature_28.png</t>
  </si>
  <si>
    <t>https://www.jotform.com/uploads/macarewecare/222927978372067/6038160667026355050/6038160667026355050_signature_31.png</t>
  </si>
  <si>
    <t>Dr. Garcia St., Sumilang, Pasig City</t>
  </si>
  <si>
    <t xml:space="preserve">ASSAY: Xpert HIV-1 Viral Load, COUNT: 802
ASSAY: Xpert HIV-1 Viral Load, COUNT: 802
</t>
  </si>
  <si>
    <t>Unit is operational. Module A3 operational. Modules A1/733228, A2/734493, A4/804598 not operational, reported already.</t>
  </si>
  <si>
    <t>https://www.jotform.com/uploads/macarewecare/222927978372067/6038138027024462531/6038138027024462531_signature_28.png</t>
  </si>
  <si>
    <t>https://www.jotform.com/uploads/macarewecare/222927978372067/6038138027024462531/6038138027024462531_signature_31.png</t>
  </si>
  <si>
    <t xml:space="preserve">ASSAY: Xpert CT/NG, COUNT: 77
ASSAY: Xpert HBV VL, COUNT: 90
ASSAY: Xpert HPV, COUNT: 26
ASSAY: Xpert MTB/RIF Ultra, COUNT: 1277
ASSAY: Xpert HCV VL, COUNT: 13
ASSAY: Xpert HIV-1 Viral Load, COUNT: 116
</t>
  </si>
  <si>
    <t>GX for transfer</t>
  </si>
  <si>
    <t>Performed Preventive maintenance 
Transferred GX to Molec</t>
  </si>
  <si>
    <t>Disassembled machine
Transfer machine from Micro Lab to Molec Lab
Assembled machine
Checked and cleaned cartridge bays, plunger rod, icore slot and filter</t>
  </si>
  <si>
    <t>https://www.jotform.com/uploads/macarewecare/222927978372067/6038107987024278891/6038107987024278891_signature_28.png</t>
  </si>
  <si>
    <t>KAYE MARTELINO</t>
  </si>
  <si>
    <t>https://www.jotform.com/uploads/macarewecare/222927978372067/6038107987024278891/6038107987024278891_signature_31.png</t>
  </si>
  <si>
    <t>https://www.jotform.com/uploads/macarewecare/222927978372067/6038105377029137803/6038105377029137803_signature_28.png</t>
  </si>
  <si>
    <t>https://www.jotform.com/uploads/macarewecare/222927978372067/6038105377029137803/6038105377029137803_signature_31.png</t>
  </si>
  <si>
    <t>No power, during switch on
Vario stand caster wheel worn out</t>
  </si>
  <si>
    <t>Checked and measure voltage input in power entry module.
Test line continuity
Checked and test fuse continuity
After checking and testing the unit still unoperational need to replace power entry module
Defective power entry module Nuetral line</t>
  </si>
  <si>
    <t>For replacement of power entry module and vario stand</t>
  </si>
  <si>
    <t>https://www.jotform.com/uploads/macarewecare/222927978372067/6037450801027250460/6037450801027250460_signature_28.png</t>
  </si>
  <si>
    <t>https://www.jotform.com/uploads/macarewecare/222927978372067/6037450801027250460/6037450801027250460_signature_31.png</t>
  </si>
  <si>
    <t xml:space="preserve">ASSAY: Xpert CT/NG, COUNT: 3
ASSAY: Xpert HBV VL, COUNT: 6
ASSAY: Xpert HPV, COUNT: 1
ASSAY: Xpert MTB/RIF Ultra, COUNT: 585
ASSAY: Xpert HCV VL, COUNT: 2
ASSAY: Xpert HIV-1 Viral Load, COUNT: 371
</t>
  </si>
  <si>
    <t>https://www.jotform.com/uploads/macarewecare/222927978372067/6037441490127085755/6037441490127085755_signature_28.png</t>
  </si>
  <si>
    <t>https://www.jotform.com/uploads/macarewecare/222927978372067/6037441490127085755/6037441490127085755_signature_31.png</t>
  </si>
  <si>
    <t>https://www.jotform.com/uploads/macarewecare/222927978372067/6037440620121245853/6037440620121245853_signature_28.png</t>
  </si>
  <si>
    <t>https://www.jotform.com/uploads/macarewecare/222927978372067/6037440620121245853/6037440620121245853_signature_31.png</t>
  </si>
  <si>
    <t xml:space="preserve">ASSAY: Xpert MTB/RIF Ultra, COUNT: 1022
</t>
  </si>
  <si>
    <t>Module B1 failed XPC</t>
  </si>
  <si>
    <t>-Replace defective module B1/806280 with module SN: 617227</t>
  </si>
  <si>
    <t>1 Certified Pre-owned GeneXpert Module SN. 617227</t>
  </si>
  <si>
    <t>DR no. 12079</t>
  </si>
  <si>
    <t>https://www.jotform.com/uploads/macarewecare/222927978372067/6037434157217790314/6037434157217790314_signature_28.png</t>
  </si>
  <si>
    <t>https://www.jotform.com/uploads/macarewecare/222927978372067/6037434157217790314/6037434157217790314_signature_31.png</t>
  </si>
  <si>
    <t>Tuburan Rural Health Unit</t>
  </si>
  <si>
    <t>Xpertcheck calibration for modules 1, 2, 3 and 4.</t>
  </si>
  <si>
    <t>https://www.jotform.com/uploads/macarewecare/222927978372067/6037431112822803693/6037431112822803693_signature_28.png</t>
  </si>
  <si>
    <t>Raiyana Hassan jakilan</t>
  </si>
  <si>
    <t>https://www.jotform.com/uploads/macarewecare/222927978372067/6037431112822803693/6037431112822803693_signature_31.png</t>
  </si>
  <si>
    <t>Error on Haemonetics, spillage and low to no flow</t>
  </si>
  <si>
    <t>Adjust the Optic Gain parameters
Check the Line Sensor parameters
Clean Surface area
Perform Cycle Test</t>
  </si>
  <si>
    <t>Troubleshoot the MCS+</t>
  </si>
  <si>
    <t>https://www.jotform.com/uploads/macarewecare/222927978372067/6037376430126882077/6037376430126882077_signature_28.png</t>
  </si>
  <si>
    <t>https://www.jotform.com/uploads/macarewecare/222927978372067/6037376430126882077/6037376430126882077_signature_31.png</t>
  </si>
  <si>
    <t>rhodaruthdalugdog@gmail.com</t>
  </si>
  <si>
    <t>B4 found service required thru XPC</t>
  </si>
  <si>
    <t>Calibration (For reporting)</t>
  </si>
  <si>
    <t>XpertCheck Calibration</t>
  </si>
  <si>
    <t>3 modules functional, 1 module for replacement</t>
  </si>
  <si>
    <t>https://www.jotform.com/uploads/macarewecare/222927978372067/6037373515695591572/6037373515695591572_signature_28.png</t>
  </si>
  <si>
    <t>Rhoda Ruth Dalugdog</t>
  </si>
  <si>
    <t>https://www.jotform.com/uploads/macarewecare/222927978372067/6037373515695591572/6037373515695591572_signature_31.png</t>
  </si>
  <si>
    <t>Error in ACD pump during flow of ACD.</t>
  </si>
  <si>
    <t>Replaced ACD pump in MCS+</t>
  </si>
  <si>
    <t>https://www.jotform.com/uploads/macarewecare/222927978372067/6037350079843280978/6037350079843280978_signature_28.png</t>
  </si>
  <si>
    <t>https://www.jotform.com/uploads/macarewecare/222927978372067/6037350079843280978/6037350079843280978_signature_31.png</t>
  </si>
  <si>
    <t>cghmcbloodbank2016@gmail.xom</t>
  </si>
  <si>
    <t>Unit for preventive maintenance.
Unit for calibration.
For troubleshooting of valves.
Compressor slow to cutoff.</t>
  </si>
  <si>
    <t>Preventive maintenance, calibration and troubleshooting.</t>
  </si>
  <si>
    <t>Performed Preventive Maintenance.
Checked and cleaned rotor pumps.
Performed calibration.
Verified calibration parameters.
Performed simulation running.
Performed valve diagnostics.</t>
  </si>
  <si>
    <t>Unit is operational. For observation of compressor for valves. For request of compressor for isolation.</t>
  </si>
  <si>
    <t>https://www.jotform.com/uploads/macarewecare/222927978372067/6037346137019218248/6037346137019218248_signature_28.png</t>
  </si>
  <si>
    <t>Jacqueline Zarzoso</t>
  </si>
  <si>
    <t>https://www.jotform.com/uploads/macarewecare/222927978372067/6037346137019218248/6037346137019218248_signature_31.png</t>
  </si>
  <si>
    <t xml:space="preserve">ASSAY: Xpert BCR-ABL Ultra, COUNT: 2
ASSAY: Xpert HIV-1 Viral Load, COUNT: 176
ASSAY: Others, COUNT: 10
ASSAY: Xpert SARS-CoV-2, COUNT: 11
</t>
  </si>
  <si>
    <t>Room temperature reading</t>
  </si>
  <si>
    <t>Place temperature data logger near Gx machine. Room temp to be recorded and observed for 1week
Collect gxx file
Generate reports</t>
  </si>
  <si>
    <t>Performed Troubleshooting 
Collect Data</t>
  </si>
  <si>
    <t>https://www.jotform.com/uploads/macarewecare/222927978372067/6037336994041971470/6037336994041971470_signature_28.png</t>
  </si>
  <si>
    <t>https://www.jotform.com/uploads/macarewecare/222927978372067/6037336994041971470/6037336994041971470_signature_31.png</t>
  </si>
  <si>
    <t>CONG. LAMBERTO L. MACIAS MEMORIAL HOSPITAL</t>
  </si>
  <si>
    <t>Siaton, Negros Oriental</t>
  </si>
  <si>
    <t>honiemacaday619@gmail.com</t>
  </si>
  <si>
    <t>-PERFORM PREVENTIVE MAINTENANCE PROCEDURE
-PERFORM MODULE REPLACEMENT:
B1 DEF SN:862069 WITH NEW SN:210001403
B3 DEF SN:862073 WITH NEW SN:888597</t>
  </si>
  <si>
    <t>CERTIFIED PRE-OWNED GENEXPERT MODULE</t>
  </si>
  <si>
    <t>https://www.jotform.com/uploads/macarewecare/222927978372067/6037296102928407559/6037296102928407559_signature_28.png</t>
  </si>
  <si>
    <t>Honie Dy Macaday</t>
  </si>
  <si>
    <t>https://www.jotform.com/uploads/macarewecare/222927978372067/6037296102928407559/6037296102928407559_signature_31.png</t>
  </si>
  <si>
    <t>Sultan Mastura, Maguindanao</t>
  </si>
  <si>
    <t xml:space="preserve">ASSAY: Xpert MTB/RIF Ultra, COUNT: 411
</t>
  </si>
  <si>
    <t>Module 1 and 2 service required</t>
  </si>
  <si>
    <t>Perform Genexpert Xpertcheck Calibration 
Perform Genexpert Cleaning and maintenance 
Checking of errors 
Problem reporting 
Data collection</t>
  </si>
  <si>
    <t>2 operational modules 
Calibration Results:
Module 1 - service required
Module 2 - service required 
Module 3 - Passed
Module 4 - Passed</t>
  </si>
  <si>
    <t>DR#: 12031</t>
  </si>
  <si>
    <t>https://www.jotform.com/uploads/macarewecare/222927978372067/6037212335312830417/6037212335312830417_signature_28.png</t>
  </si>
  <si>
    <t>https://www.jotform.com/uploads/macarewecare/222927978372067/6037212335312830417/6037212335312830417_signature_31.png</t>
  </si>
  <si>
    <t xml:space="preserve">ASSAY: Xpert MTB/RIF Ultra, COUNT: 188
</t>
  </si>
  <si>
    <t>Perform Genexpert module repair 
Perform Genexpert annual Xpertcheck Calibration 
Perform Genexpert  preventive maintenance</t>
  </si>
  <si>
    <t>Replace defective module 1 SN:804507 with new module SN:210010056
Perform Genexpert machine Xpertcheck calibration 
Perform Genexpert machine Cleaning and maintenance 
Checking of errors 
Data collection</t>
  </si>
  <si>
    <t>4 operational modules 
Calibration Results:
Module 1 - Skipped (new module)
Module 2 - Skipped (new module)
Module 3 - Passed
Module 4 - Skipped (new module)</t>
  </si>
  <si>
    <t>-Genexpert 6-color module SN:210010056
-Xpertcheck cartridge/kits lot#:1001075092</t>
  </si>
  <si>
    <t>DR#: 12060 and 12028</t>
  </si>
  <si>
    <t>https://www.jotform.com/uploads/macarewecare/222927978372067/6037212335313790282/6037212335313790282_signature_28.png</t>
  </si>
  <si>
    <t>https://www.jotform.com/uploads/macarewecare/222927978372067/6037212335313790282/6037212335313790282_signature_31.png</t>
  </si>
  <si>
    <t xml:space="preserve">ASSAY: Xpert MTB/RIF Ultra, COUNT: 1549
</t>
  </si>
  <si>
    <t>Error 1002 on module B3</t>
  </si>
  <si>
    <t>Performed maintenance 
Cleaned:
-cartridge bay 
-plunger rod 
-icore 
-filter 
Checked module B3
Generated reports</t>
  </si>
  <si>
    <t>Unit is operational. Module B3/616087 disabled, for reporting.</t>
  </si>
  <si>
    <t>https://www.jotform.com/uploads/macarewecare/222927978372067/6036587667022786657/6036587667022786657_signature_28.png</t>
  </si>
  <si>
    <t>https://www.jotform.com/uploads/macarewecare/222927978372067/6036587667022786657/6036587667022786657_signature_31.png</t>
  </si>
  <si>
    <t>Ortigas Ave. Pasig City</t>
  </si>
  <si>
    <t>https://www.jotform.com/uploads/macarewecare/222927978372067/6036587667027324277/6036587667027324277_signature_28.png</t>
  </si>
  <si>
    <t>Mary Pauline Samson</t>
  </si>
  <si>
    <t>https://www.jotform.com/uploads/macarewecare/222927978372067/6036587667027324277/6036587667027324277_signature_31.png</t>
  </si>
  <si>
    <t>Ortigas ave. Pasig City</t>
  </si>
  <si>
    <t>https://www.jotform.com/uploads/macarewecare/222927978372067/6036587667027450698/6036587667027450698_signature_28.png</t>
  </si>
  <si>
    <t>Ana Ponferrada</t>
  </si>
  <si>
    <t>https://www.jotform.com/uploads/macarewecare/222927978372067/6036587667027450698/6036587667027450698_signature_31.png</t>
  </si>
  <si>
    <t xml:space="preserve">ASSAY: Xpert BCR-ABL Ultra, COUNT: 52
ASSAY: Xpert CT/NG, COUNT: 73
ASSAY: Others, COUNT: 1
ASSAY: Xpert HBV VL, COUNT: 592
ASSAY: Xpert HPV, COUNT: 429
ASSAY: Xpert MTB/RIF Ultra, COUNT: 5525
ASSAY: Others, COUNT: 1
ASSAY: Xpert HCV VL, COUNT: 85
ASSAY: Xpert HIV-1 Viral Load, COUNT: 684
ASSAY: Xpert SARS-CoV-2, COUNT: 1151
</t>
  </si>
  <si>
    <t>Performed maintenance:
Cleaned:
-cartridge bay 
-plunger rod 
-icore 
-filter 
Generated reports</t>
  </si>
  <si>
    <t>https://www.jotform.com/uploads/macarewecare/222927978372067/6036587667028458163/6036587667028458163_signature_28.png</t>
  </si>
  <si>
    <t>https://www.jotform.com/uploads/macarewecare/222927978372067/6036587667028458163/6036587667028458163_signature_31.png</t>
  </si>
  <si>
    <t>Due for Preventive Maintenance and XpertCheck Calibration
UPS no power on battery mode</t>
  </si>
  <si>
    <t>Clean Surface Area, Cartridge Bay, Plunger Rod, Fan Filters, and Icore Lenses
Generate IQR, Assay Stat and System Log
Install new version of the XPC Version 1.5b and run XpertCheck on four modules</t>
  </si>
  <si>
    <t>Perform Preventive Maintenance, and XpertCheck Calibration
UPs Troubleshooting</t>
  </si>
  <si>
    <t>Module B1 and B3 for Service Required
Module B2 and B4 Passed the Calibration
Modules B1 and B3 for under observation, if module encounter multiple temperature related error, enduser was advised to disable the said modules
UPS wont charge up and no power at battery mode, documented the error to be reported</t>
  </si>
  <si>
    <t>DR 12005</t>
  </si>
  <si>
    <t>https://www.jotform.com/uploads/macarewecare/222927978372067/6036585541717834792/6036585541717834792_signature_28.png</t>
  </si>
  <si>
    <t>https://www.jotform.com/uploads/macarewecare/222927978372067/6036585541717834792/6036585541717834792_signature_31.png</t>
  </si>
  <si>
    <t>Mclain Buenavista, Guimaras</t>
  </si>
  <si>
    <t>NEW INSTALLATION</t>
  </si>
  <si>
    <t>https://www.jotform.com/uploads/macarewecare/222927978372067/6036517322673938119/6036517322673938119_signature_28.png</t>
  </si>
  <si>
    <t>Janice de la cruz</t>
  </si>
  <si>
    <t>https://www.jotform.com/uploads/macarewecare/222927978372067/6036517322673938119/6036517322673938119_signature_31.png</t>
  </si>
  <si>
    <t>CALIBRATION
MAINTENANCE
GX Barcode Sticker Installation</t>
  </si>
  <si>
    <t xml:space="preserve">ASSAY: Xpert MTB/RIF Ultra, COUNT: 2274
</t>
  </si>
  <si>
    <t>Module 4 error error 4009, 1002</t>
  </si>
  <si>
    <t>Xpertcheck calibration, Preventive Maintenence and GX Barcode sticker installation</t>
  </si>
  <si>
    <t>Xpertcheck calibration, Preventive Maintenence and GX Barcode sticker installation.</t>
  </si>
  <si>
    <t>Module 1,2,3 and 4 are available. Module 4 failed xpertcheck calibration while module 1 and 2 passed. Module 3 skipped due to new replaced module.</t>
  </si>
  <si>
    <t>Module 4 is for replacement</t>
  </si>
  <si>
    <t>https://www.jotform.com/uploads/macarewecare/222927978372067/6036516025415283213/6036516025415283213_signature_28.png</t>
  </si>
  <si>
    <t>https://www.jotform.com/uploads/macarewecare/222927978372067/6036516025415283213/6036516025415283213_signature_31.png</t>
  </si>
  <si>
    <t>gonzagaevarmt@gmail.com</t>
  </si>
  <si>
    <t>https://www.jotform.com/uploads/macarewecare/222927978372067/6036512185026783811/6036512185026783811_signature_28.png</t>
  </si>
  <si>
    <t>Eva Raquel D. Gonzaga</t>
  </si>
  <si>
    <t>https://www.jotform.com/uploads/macarewecare/222927978372067/6036512185026783811/6036512185026783811_signature_31.png</t>
  </si>
  <si>
    <t>sajecpooh20@gmail.com</t>
  </si>
  <si>
    <t>Module A2 failed XPC</t>
  </si>
  <si>
    <t>-Replace defective module A2/878222 with module SN: 615450</t>
  </si>
  <si>
    <t>Module A4 for XPC retry. Machine is functional.</t>
  </si>
  <si>
    <t>-Certified pre-own GeneXpert module
SN. 615450</t>
  </si>
  <si>
    <t>DR no. 12080</t>
  </si>
  <si>
    <t>https://www.jotform.com/uploads/macarewecare/222927978372067/6036472764129409873/6036472764129409873_signature_28.png</t>
  </si>
  <si>
    <t>Letecia Bagohin</t>
  </si>
  <si>
    <t>https://www.jotform.com/uploads/macarewecare/222927978372067/6036472764129409873/6036472764129409873_signature_31.png</t>
  </si>
  <si>
    <t>ljf7403@yahoo.com</t>
  </si>
  <si>
    <t>Unit for maintenance 
Check up of UPS</t>
  </si>
  <si>
    <t>Unit is operational
UPS for replacement
(SN: AT1000190123ST0327)</t>
  </si>
  <si>
    <t>https://www.jotform.com/uploads/macarewecare/222927978372067/6036454507025080786/6036454507025080786_signature_28.png</t>
  </si>
  <si>
    <t>Vonn De Jesus</t>
  </si>
  <si>
    <t>https://www.jotform.com/uploads/macarewecare/222927978372067/6036454507025080786/6036454507025080786_signature_31.png</t>
  </si>
  <si>
    <t xml:space="preserve">ASSAY: Xpert CT/NG, COUNT: 3
ASSAY: Xpert HPV, COUNT: 14
ASSAY: Xpert MTB/RIF Ultra, COUNT: 134
ASSAY: Xpert HCV VL, COUNT: 2
</t>
  </si>
  <si>
    <t>Due for maintenance
A1,A2,A3,B1,B3,C1,C2,C3,C4 encounter loss comm.
B4 temp error 4010,4009,4012</t>
  </si>
  <si>
    <t>A4,B2 operational
A1,A2,A3,B1,B3,B4,C1,C2,C3,C4 disabled</t>
  </si>
  <si>
    <t>https://www.jotform.com/uploads/macarewecare/222927978372067/6036430097022490617/6036430097022490617_signature_28.png</t>
  </si>
  <si>
    <t>https://www.jotform.com/uploads/macarewecare/222927978372067/6036430097022490617/6036430097022490617_signature_31.png</t>
  </si>
  <si>
    <t xml:space="preserve">ASSAY: Xpert BCR-ABL Ultra, COUNT: 57
ASSAY: Others, COUNT: 4
ASSAY: Xpert HBV VL, COUNT: 20
ASSAY: Xpert HPV, COUNT: 4
ASSAY: Xpert MTB/RIF Ultra, COUNT: 79
ASSAY: Xpert HCV VL, COUNT: 8
</t>
  </si>
  <si>
    <t>https://www.jotform.com/uploads/macarewecare/222927978372067/6036429727023934910/6036429727023934910_signature_28.png</t>
  </si>
  <si>
    <t>https://www.jotform.com/uploads/macarewecare/222927978372067/6036429727023934910/6036429727023934910_signature_31.png</t>
  </si>
  <si>
    <t>Virac,  Catanduanes</t>
  </si>
  <si>
    <t xml:space="preserve">ASSAY: Xpert MTB/RIF Ultra, COUNT: 475
</t>
  </si>
  <si>
    <t>A3/736617 - service required 
Monitor - blue on half of the screen
Date and time resets after power on
CPU slow response/lagging</t>
  </si>
  <si>
    <t>Replaced module: A3 - 736617&gt;&gt;916398
Replaced monitor
Change CPU CMOS battery for date and time
Cleaned and resets RAM
Cleaned cartridge bays, plunger rod, GX fan, replaced fan filter
Generate Data</t>
  </si>
  <si>
    <t>Replaced module A3/736617
Replaced monitor
Performed Preventive Maintenance 
Troubleshooting CPU</t>
  </si>
  <si>
    <t>https://www.jotform.com/uploads/macarewecare/222927978372067/6035748256311960621/6035748256311960621_signature_28.png</t>
  </si>
  <si>
    <t>https://www.jotform.com/uploads/macarewecare/222927978372067/6035748256311960621/6035748256311960621_signature_31.png</t>
  </si>
  <si>
    <t>Clean Surface Area, Cartridge Bay, Plunger Rod, Fan Filters and Icore Lenses
Generate IQR, Assay Stat and System Log
Install new version of XPC 1.5B
Run XPC at Four Modules</t>
  </si>
  <si>
    <t>All Modules passed the Calibration All Modules are operational</t>
  </si>
  <si>
    <t>XPERTCHECK CE-5</t>
  </si>
  <si>
    <t>DR 12008</t>
  </si>
  <si>
    <t>https://www.jotform.com/uploads/macarewecare/222927978372067/6035711705316518978/6035711705316518978_signature_28.png</t>
  </si>
  <si>
    <t>Nadine Gemma S. Eustaquio,. RMT</t>
  </si>
  <si>
    <t>https://www.jotform.com/uploads/macarewecare/222927978372067/6035711705316518978/6035711705316518978_signature_31.png</t>
  </si>
  <si>
    <t>Seminary Rd, Proj 8, Quezon City</t>
  </si>
  <si>
    <t>elenaventura076@gmail.com</t>
  </si>
  <si>
    <t>GX due for maintenance</t>
  </si>
  <si>
    <t>Performed pm
Generated report</t>
  </si>
  <si>
    <t>Checked and cleaned cartridge bays, plunger rod, icore slot and filter 
Archived results</t>
  </si>
  <si>
    <t>https://www.jotform.com/uploads/macarewecare/222927978372067/6035690351023787002/6035690351023787002_signature_28.png</t>
  </si>
  <si>
    <t>Elena G. Ventura RMT</t>
  </si>
  <si>
    <t>https://www.jotform.com/uploads/macarewecare/222927978372067/6035690351023787002/6035690351023787002_signature_31.png</t>
  </si>
  <si>
    <t xml:space="preserve">ASSAY: Xpert BCR-ABL Ultra, COUNT: 1485
ASSAY: Xpert CT/NG, COUNT: 4
ASSAY: Others, COUNT: 114
ASSAY: Xpert HBV VL, COUNT: 1068
ASSAY: Xpert HPV, COUNT: 140
ASSAY: Xpert MTB/RIF Ultra, COUNT: 2326
ASSAY: Others, COUNT: 3
ASSAY: Xpert SARS-CoV-2, COUNT: 10813
ASSAY: Xpert HCV VL, COUNT: 152
</t>
  </si>
  <si>
    <t>Due for xpert check and maintenance
A4 encountered 4004 underwarranty last module replacement 8.20.24</t>
  </si>
  <si>
    <t>A1,A2,C2,D2 disabled reported already
C4 for reporting
A4 new replaced
A3 B3 failed xpertcheck
C1,D1,D4 passed xpertcheck</t>
  </si>
  <si>
    <t>https://www.jotform.com/uploads/macarewecare/222927978372067/6035512488712105693/6035512488712105693_signature_28.png</t>
  </si>
  <si>
    <t>https://www.jotform.com/uploads/macarewecare/222927978372067/6035512488712105693/6035512488712105693_signature_31.png</t>
  </si>
  <si>
    <t>Perform Genexpert machine annual Xpertcheck Calibration
Perform Genexpert machine Preventive maintenance</t>
  </si>
  <si>
    <t>DR#:12016</t>
  </si>
  <si>
    <t>https://www.jotform.com/uploads/macarewecare/222927978372067/6035112646866534917/6035112646866534917_signature_28.png</t>
  </si>
  <si>
    <t>https://www.jotform.com/uploads/macarewecare/222927978372067/6035112646866534917/6035112646866534917_signature_31.png</t>
  </si>
  <si>
    <t>Perform Genexpert machine annual Calibration 
Perform Genexpert machine Preventive maintenance</t>
  </si>
  <si>
    <t>Perform Genexpert Calibration/Xpertcheck 
Perform Genexpert Cleaning and maintenance 
Checking of errors 
Data collection</t>
  </si>
  <si>
    <t>DR#: 12021</t>
  </si>
  <si>
    <t>https://www.jotform.com/uploads/macarewecare/222927978372067/6035112646869256727/6035112646869256727_signature_28.png</t>
  </si>
  <si>
    <t>https://www.jotform.com/uploads/macarewecare/222927978372067/6035112646869256727/6035112646869256727_signature_31.png</t>
  </si>
  <si>
    <t>Unit for preventive maintenance.
For checking of rotor pumps.</t>
  </si>
  <si>
    <t>Unit is operational. Rubber rollers are okay.</t>
  </si>
  <si>
    <t>https://www.jotform.com/uploads/macarewecare/222927978372067/6034841308425975976/6034841308425975976_signature_28.png</t>
  </si>
  <si>
    <t>https://www.jotform.com/uploads/macarewecare/222927978372067/6034841308425975976/6034841308425975976_signature_31.png</t>
  </si>
  <si>
    <t>https://www.jotform.com/uploads/macarewecare/222927978372067/6034841308428429967/6034841308428429967_signature_28.png</t>
  </si>
  <si>
    <t>https://www.jotform.com/uploads/macarewecare/222927978372067/6034841308428429967/6034841308428429967_signature_31.png</t>
  </si>
  <si>
    <t>Confessor St. Poblacion</t>
  </si>
  <si>
    <t>New Installation</t>
  </si>
  <si>
    <t>Install Genexpert machine SN: 110023527
System Unit SN: CPH1023F469955</t>
  </si>
  <si>
    <t>Genexpert Machine 
CPU
Printer
UPS
Barcode Sanner 
Monitor</t>
  </si>
  <si>
    <t>https://www.jotform.com/uploads/macarewecare/222927978372067/6034803675386353990/6034803675386353990_signature_28.png</t>
  </si>
  <si>
    <t>jescel may m. melgar</t>
  </si>
  <si>
    <t>https://www.jotform.com/uploads/macarewecare/222927978372067/6034803675386353990/6034803675386353990_signature_31.png</t>
  </si>
  <si>
    <t>jcmasaganda@ollh.ph</t>
  </si>
  <si>
    <t>leslie.cabanilla@medilinx.com.ph</t>
  </si>
  <si>
    <t>- checked and cleaned cartridge bay, plunger rod, filter 
- generated reports
- performed archive (2021 - 2023)
- performed self test</t>
  </si>
  <si>
    <t>https://www.jotform.com/uploads/macarewecare/222927978372067/6034743117404213254/6034743117404213254_signature_28.png</t>
  </si>
  <si>
    <t>Leslie Jhon Cabanilla</t>
  </si>
  <si>
    <t>https://www.jotform.com/uploads/macarewecare/222927978372067/6034743117404213254/6034743117404213254_signature_31.png</t>
  </si>
  <si>
    <t>Display Assembly and Variocar for replacement</t>
  </si>
  <si>
    <t>Replaced Display Assembly and Variocar</t>
  </si>
  <si>
    <t>With John Monsour Doctor</t>
  </si>
  <si>
    <t>Display Assembly
MCS+ VARIOCAR</t>
  </si>
  <si>
    <t>https://www.jotform.com/uploads/macarewecare/222927978372067/6034743117407329023/6034743117407329023_signature_28.png</t>
  </si>
  <si>
    <t>https://www.jotform.com/uploads/macarewecare/222927978372067/6034743117407329023/6034743117407329023_signature_31.png</t>
  </si>
  <si>
    <t xml:space="preserve">ASSAY: Xpert CT/NG, COUNT: 188
ASSAY: Xpert HPV, COUNT: 269
ASSAY: Xpert SARS-CoV-2, COUNT: 1381
ASSAY: Xpert SARS-CoV-2, COUNT: 6
</t>
  </si>
  <si>
    <t>https://www.jotform.com/uploads/macarewecare/222927978372067/6034227775107275878/6034227775107275878_signature_28.png</t>
  </si>
  <si>
    <t>EAST AVENUE MEDICAL CENTER</t>
  </si>
  <si>
    <t>https://www.jotform.com/uploads/macarewecare/222927978372067/6034227775107275878/6034227775107275878_signature_31.png</t>
  </si>
  <si>
    <t xml:space="preserve">ASSAY: Xpert MTB/RIF Ultra, COUNT: 362
ASSAY: Xpert SARS-CoV-2, COUNT: 805
ASSAY: Xpert HIV-1 Viral Load, COUNT: 116
</t>
  </si>
  <si>
    <t>B2,B3 operational
B1,B4 disabled failed xpertcheck reported already</t>
  </si>
  <si>
    <t>https://www.jotform.com/uploads/macarewecare/222927978372067/6034227285105994343/6034227285105994343_signature_28.png</t>
  </si>
  <si>
    <t>https://www.jotform.com/uploads/macarewecare/222927978372067/6034227285105994343/6034227285105994343_signature_31.png</t>
  </si>
  <si>
    <t>D2,D3,D4 disable</t>
  </si>
  <si>
    <t>https://www.jotform.com/uploads/macarewecare/222927978372067/6034226685108409514/6034226685108409514_signature_28.png</t>
  </si>
  <si>
    <t>https://www.jotform.com/uploads/macarewecare/222927978372067/6034226685108409514/6034226685108409514_signature_31.png</t>
  </si>
  <si>
    <t xml:space="preserve">ASSAY: Xpert CT/NG, COUNT: 48
ASSAY: Others, COUNT: 4
ASSAY: Xpert HPV, COUNT: 20
ASSAY: Xpert SARS-CoV-2, COUNT: 6
ASSAY: Xpert SARS-CoV-2, COUNT: 4
</t>
  </si>
  <si>
    <t>Loss communication
Low voltage output network switch power supply</t>
  </si>
  <si>
    <t>Replaced and installed power adaptor.
Installed all cables
Checked and test power supply voltage
Performed functionality test</t>
  </si>
  <si>
    <t>Work with, Sir toco, gian paolo</t>
  </si>
  <si>
    <t>https://www.jotform.com/uploads/macarewecare/222927978372067/6034226185106412354/6034226185106412354_signature_28.png</t>
  </si>
  <si>
    <t>https://www.jotform.com/uploads/macarewecare/222927978372067/6034226185106412354/6034226185106412354_signature_31.png</t>
  </si>
  <si>
    <t xml:space="preserve">ASSAY: Xpert MTB/RIF Ultra, COUNT: 2311
</t>
  </si>
  <si>
    <t>Module B1 encounter error
Due for Calibration</t>
  </si>
  <si>
    <t>Clean Surface Area, Cartridge Bay
Replaced the Defective Module SN: 651048 with new Module SN:808354
Run XpertCheck on Module 2 only, Since Newly Replaced Modules 1,3 and 4</t>
  </si>
  <si>
    <t>Perform Module Replacement and XpertCheck Calibration</t>
  </si>
  <si>
    <t>Module 2 passed the Calibration
All Modules Are Operational</t>
  </si>
  <si>
    <t>900-0491rs
XPERTCHECK CE-5</t>
  </si>
  <si>
    <t>DR 12147 and DR 12012</t>
  </si>
  <si>
    <t>https://www.jotform.com/uploads/macarewecare/222927978372067/6033448248621530688/6033448248621530688_signature_28.png</t>
  </si>
  <si>
    <t>https://www.jotform.com/uploads/macarewecare/222927978372067/6033448248621530688/6033448248621530688_signature_31.png</t>
  </si>
  <si>
    <t>Dr. Catalino Gallego Nava Provincial Hospital</t>
  </si>
  <si>
    <t>San Miguel,Jordan, Guimaras</t>
  </si>
  <si>
    <t>casluzuriaga1983@gmail.com</t>
  </si>
  <si>
    <t>Install New Genexpert machine 
CPU SN: CPH1023F46915
Monitor SN: CN0WMYC5CC037KCLTXA05
UPS SN: AT1K231111ST0045
Printer SN: CN3B2431CG</t>
  </si>
  <si>
    <t>https://www.jotform.com/uploads/macarewecare/222927978372067/6033147507219503344/6033147507219503344_signature_28.png</t>
  </si>
  <si>
    <t>Christopher Alan Luzuriaga</t>
  </si>
  <si>
    <t>https://www.jotform.com/uploads/macarewecare/222927978372067/6033147507219503344/6033147507219503344_signature_31.png</t>
  </si>
  <si>
    <t>Buenavista Rural Health Unit</t>
  </si>
  <si>
    <t>New Poblacion, Buenavista</t>
  </si>
  <si>
    <t>clys0910@gmail.com</t>
  </si>
  <si>
    <t>Install Genexpert machine SN: 110023538
System Unit SN: CPH1023F46913
UPS SN: AT1K231111ST0009
Printer SN: CN3V2431QP</t>
  </si>
  <si>
    <t>Genexpert machine 
Printer
System Unit 
Barcode Sanner 
UPS
Monitor</t>
  </si>
  <si>
    <t>https://www.jotform.com/uploads/macarewecare/222927978372067/6033146627218492083/6033146627218492083_signature_28.png</t>
  </si>
  <si>
    <t>Raymund Salapio</t>
  </si>
  <si>
    <t>https://www.jotform.com/uploads/macarewecare/222927978372067/6033146627218492083/6033146627218492083_signature_31.png</t>
  </si>
  <si>
    <t>Midsalip Rural Health unit</t>
  </si>
  <si>
    <t>Poblacion Midsalip, Zamboanga del sur</t>
  </si>
  <si>
    <t>Module 1, 2 and 3 undergone Xpertcheck calibration. All modules passed</t>
  </si>
  <si>
    <t>None. Module 4 unable to undergone Xpertcheck calibration due to recently replaced module.</t>
  </si>
  <si>
    <t>https://www.jotform.com/uploads/macarewecare/222927978372067/6032223554021740254/6032223554021740254_signature_28.png</t>
  </si>
  <si>
    <t>https://www.jotform.com/uploads/macarewecare/222927978372067/6032223554021740254/6032223554021740254_signature_31.png</t>
  </si>
  <si>
    <t>https://www.jotform.com/uploads/macarewecare/222927978372067/6032195414086375266/6032195414086375266_signature_28.png</t>
  </si>
  <si>
    <t>https://www.jotform.com/uploads/macarewecare/222927978372067/6032195414086375266/6032195414086375266_signature_31.png</t>
  </si>
  <si>
    <t>Urbano Velasco Ave. Pasig City</t>
  </si>
  <si>
    <t>https://www.jotform.com/uploads/macarewecare/222927978372067/6032063687022137944/6032063687022137944_signature_28.png</t>
  </si>
  <si>
    <t>https://www.jotform.com/uploads/macarewecare/222927978372067/6032063687022137944/6032063687022137944_signature_31.png</t>
  </si>
  <si>
    <t>Lala, Lanipao Lanao del Norte</t>
  </si>
  <si>
    <t>villagonzalojoyb@gmail.com</t>
  </si>
  <si>
    <t xml:space="preserve">ASSAY: Xpert MTB/RIF Ultra, COUNT: 688
</t>
  </si>
  <si>
    <t>Due for annual calibration B1,B2 and B3</t>
  </si>
  <si>
    <t>Conduct Calibration in Module 1,2 and 3
Performed preventive maintenance on genexpert machine
Generate GXX files, IQR, Sys Log, and Assay Statistics
Performed preventive maintenance</t>
  </si>
  <si>
    <t>B1/B2/B3 - passed 
All modules are operational.</t>
  </si>
  <si>
    <t>https://www.jotform.com/uploads/macarewecare/222927978372067/6031501129845319551/6031501129845319551_signature_28.png</t>
  </si>
  <si>
    <t>Maria Glenda Villagonzalo, RMT</t>
  </si>
  <si>
    <t>https://www.jotform.com/uploads/macarewecare/222927978372067/6031501129845319551/6031501129845319551_signature_31.png</t>
  </si>
  <si>
    <t>Kapatagan , Lanao del Norte</t>
  </si>
  <si>
    <t>Module 4  SN #  807289 defective failed during calibration.</t>
  </si>
  <si>
    <t>Replacement of new module SN #  752826
Sticker placement
Calibrate module 1,2,3
Clean up ICore, plunger, valve, cartridge bay , and filter.
Generate IQR, System log, GXX files, and Assay statistics</t>
  </si>
  <si>
    <t>https://www.jotform.com/uploads/macarewecare/222927978372067/6031497899841889484/6031497899841889484_signature_28.png</t>
  </si>
  <si>
    <t>Angelita Paradero, RMT</t>
  </si>
  <si>
    <t>https://www.jotform.com/uploads/macarewecare/222927978372067/6031497899841889484/6031497899841889484_signature_31.png</t>
  </si>
  <si>
    <t>Kauswagan Rural Health Unit -Tb Dots</t>
  </si>
  <si>
    <t>Kauswagan Lanao del Norte</t>
  </si>
  <si>
    <t xml:space="preserve">ASSAY: Xpert MTB/RIF, COUNT: 325
</t>
  </si>
  <si>
    <t>Defective module 3  SN # 749578 failed during calibration.</t>
  </si>
  <si>
    <t>Replacement of Module 3 with new module SN #  638856
Conduct Calibration in Module 1,2 and 4 
Performed preventive maintenance on genexpert machine
Generate GXX files, IQR, Sys Log, and Assay Statistics</t>
  </si>
  <si>
    <t>Replacement of Module 3 with new module SN #  638856
Conduct Calibration in Module 1,2 and 4 
Performed preventive maintenance on genexpert machine</t>
  </si>
  <si>
    <t>https://www.jotform.com/uploads/macarewecare/222927978372067/6031486169841785883/6031486169841785883_signature_28.png</t>
  </si>
  <si>
    <t>Dexter Tinoy, RMT</t>
  </si>
  <si>
    <t>https://www.jotform.com/uploads/macarewecare/222927978372067/6031486169841785883/6031486169841785883_signature_31.png</t>
  </si>
  <si>
    <t>Claveria, Masbate</t>
  </si>
  <si>
    <t>narsclav@gmail.com</t>
  </si>
  <si>
    <t>UPS no power when cut from AC source.</t>
  </si>
  <si>
    <t>Replaced  UPS batteries (2x)
Tested UPS performance (passed)
Cleaned cartridge bays, plunger rod 
Generate Data</t>
  </si>
  <si>
    <t>Replaced UPS batteries
Performed Preventive Maintenance</t>
  </si>
  <si>
    <t>https://www.jotform.com/uploads/macarewecare/222927978372067/6031463315315812672/6031463315315812672_signature_28.png</t>
  </si>
  <si>
    <t>Ivy Garcia Penano</t>
  </si>
  <si>
    <t>https://www.jotform.com/uploads/macarewecare/222927978372067/6031463315315812672/6031463315315812672_signature_31.png</t>
  </si>
  <si>
    <t>Module 2 &amp; 3 H/W failed</t>
  </si>
  <si>
    <t>Perform Genexpert machine repair 
Perform Genexpert annual Xpertcheck/Calibration 
Perform Genexpert preventive maintenance</t>
  </si>
  <si>
    <t>Replace/repair defective module 2 SN: 862568 with new module SN: 705626
Replace/repair defective module 3 SN: 714753 with new module SN: 671228
Perform Genexpert Calibration/Xpertcheck 
Perform Genexpert Cleaning and maintenance 
Checking of errors 
Data collection</t>
  </si>
  <si>
    <t>4 operational modules 
Calibration Results:
Module 2 &amp; 3 - Skipped (new module)
Module 4 - Passed 
Module 1 - Service required</t>
  </si>
  <si>
    <t>-Genexpert 6-color module 
SN:705626
SN:671228
-Xpertcheck cartridge/kit
Lot#:1001075092</t>
  </si>
  <si>
    <t>DR#: 12025, 12068, and 12072</t>
  </si>
  <si>
    <t>https://www.jotform.com/uploads/macarewecare/222927978372067/6031425013653652719/6031425013653652719_signature_28.png</t>
  </si>
  <si>
    <t>Ronora  Yadao</t>
  </si>
  <si>
    <t>https://www.jotform.com/uploads/macarewecare/222927978372067/6031425013653652719/6031425013653652719_signature_31.png</t>
  </si>
  <si>
    <t>B2 found Service Required thru XPC</t>
  </si>
  <si>
    <t>All modules and units and functional
3 modules passed, 1 module for service required in XPC</t>
  </si>
  <si>
    <t>https://www.jotform.com/uploads/macarewecare/222927978372067/6031409316215287492/6031409316215287492_signature_28.png</t>
  </si>
  <si>
    <t>https://www.jotform.com/uploads/macarewecare/222927978372067/6031409316215287492/6031409316215287492_signature_31.png</t>
  </si>
  <si>
    <t xml:space="preserve">ASSAY: Xpert MTB/RIF Ultra, COUNT: 1806
</t>
  </si>
  <si>
    <t>All modules passed XpertCheck. Machine is functional.</t>
  </si>
  <si>
    <t>XpertCheck, CE-IVD 5 Cartridges/kit
101120421 June 01, 2025</t>
  </si>
  <si>
    <t>DR no. 11956</t>
  </si>
  <si>
    <t>https://www.jotform.com/uploads/macarewecare/222927978372067/6031397012339617684/6031397012339617684_signature_28.png</t>
  </si>
  <si>
    <t>https://www.jotform.com/uploads/macarewecare/222927978372067/6031397012339617684/6031397012339617684_signature_31.png</t>
  </si>
  <si>
    <t>https://www.jotform.com/uploads/macarewecare/222927978372067/6031396942338344742/6031396942338344742_signature_28.png</t>
  </si>
  <si>
    <t>https://www.jotform.com/uploads/macarewecare/222927978372067/6031396942338344742/6031396942338344742_signature_31.png</t>
  </si>
  <si>
    <t>Module 1,2 and 4 undergone Xpertcheck calibration. Data gathering.</t>
  </si>
  <si>
    <t>Module 1,2 and 4 undergone Xpertcheck calibration.</t>
  </si>
  <si>
    <t>All modules are available and ready to use. All modules passed the Xpertcheck Calibration.</t>
  </si>
  <si>
    <t>All modules passed the Xpertcheck Calibration</t>
  </si>
  <si>
    <t>https://www.jotform.com/uploads/macarewecare/222927978372067/6031381163313429372/6031381163313429372_signature_28.png</t>
  </si>
  <si>
    <t>https://www.jotform.com/uploads/macarewecare/222927978372067/6031381163313429372/6031381163313429372_signature_31.png</t>
  </si>
  <si>
    <t>Nueva Valencia</t>
  </si>
  <si>
    <t xml:space="preserve">ASSAY: Xpert MTB/RIF Ultra, COUNT: 369
</t>
  </si>
  <si>
    <t>https://www.jotform.com/uploads/macarewecare/222927978372067/6031379745013563160/6031379745013563160_signature_28.png</t>
  </si>
  <si>
    <t>RHEA APRIL JALECO</t>
  </si>
  <si>
    <t>https://www.jotform.com/uploads/macarewecare/222927978372067/6031379745013563160/6031379745013563160_signature_31.png</t>
  </si>
  <si>
    <t>https://www.jotform.com/uploads/macarewecare/222927978372067/6031374867697257087/6031374867697257087_signature_28.png</t>
  </si>
  <si>
    <t>https://www.jotform.com/uploads/macarewecare/222927978372067/6031374867697257087/6031374867697257087_signature_31.png</t>
  </si>
  <si>
    <t>Guimaras , Iloilo</t>
  </si>
  <si>
    <t>https://www.jotform.com/uploads/macarewecare/222927978372067/6031301580958049752/6031301580958049752_signature_28.png</t>
  </si>
  <si>
    <t>https://www.jotform.com/uploads/macarewecare/222927978372067/6031301580958049752/6031301580958049752_signature_31.png</t>
  </si>
  <si>
    <t>jkrjalandoni@gmail.com</t>
  </si>
  <si>
    <t>https://www.jotform.com/uploads/macarewecare/222927978372067/6030576046751004957/6030576046751004957_signature_28.png</t>
  </si>
  <si>
    <t>https://www.jotform.com/uploads/macarewecare/222927978372067/6030576046751004957/6030576046751004957_signature_31.png</t>
  </si>
  <si>
    <t>Poblacion Escalante</t>
  </si>
  <si>
    <t>sheila.negrido@yahoo.com</t>
  </si>
  <si>
    <t>boy928_sink13@yahoo.com</t>
  </si>
  <si>
    <t>GeneXpert Machine due for Xpertcheck.</t>
  </si>
  <si>
    <t>.Save file GXC
.Save file System Log
.Save file Installation qualification reports
.Save file assay statistics report.</t>
  </si>
  <si>
    <t>Perform Xpertcheck for all module's</t>
  </si>
  <si>
    <t>Aircon defective</t>
  </si>
  <si>
    <t>Room temperature is higher need to repair aircon.</t>
  </si>
  <si>
    <t>https://www.jotform.com/uploads/macarewecare/222927978372067/6031279665383830103/6031279665383830103_signature_28.png</t>
  </si>
  <si>
    <t>Shiela Negrido / Jireh Cabus</t>
  </si>
  <si>
    <t>https://www.jotform.com/uploads/macarewecare/222927978372067/6031279665383830103/6031279665383830103_signature_31.png</t>
  </si>
  <si>
    <t>Bukidnon Provincial Hospital-Kibawe</t>
  </si>
  <si>
    <t>CM Recto, Palma, Kibawe</t>
  </si>
  <si>
    <t>juliealte10@gmail.com</t>
  </si>
  <si>
    <t>https://www.jotform.com/uploads/macarewecare/222927978372067/6031275392884359142/6031275392884359142_signature_28.png</t>
  </si>
  <si>
    <t>Julie Alte</t>
  </si>
  <si>
    <t>https://www.jotform.com/uploads/macarewecare/222927978372067/6031275392884359142/6031275392884359142_signature_31.png</t>
  </si>
  <si>
    <t>New Terminal Complex, Hagkol, Valencia</t>
  </si>
  <si>
    <t>Module B3 found Error in Temperature and was error checked thru XPC
Module B4 found Service Required</t>
  </si>
  <si>
    <t>Module Replacement
Calibration</t>
  </si>
  <si>
    <t>Replacing module B3 with SN: 808071 to SN: 800646
XPC Calibration of 3 modules</t>
  </si>
  <si>
    <t>All modules and units are functional.
1 module for replacement from XPC Result</t>
  </si>
  <si>
    <t>https://www.jotform.com/uploads/macarewecare/222927978372067/6030737511204544067/6030737511204544067_signature_28.png</t>
  </si>
  <si>
    <t>Joefelyn Caluya</t>
  </si>
  <si>
    <t>https://www.jotform.com/uploads/macarewecare/222927978372067/6030737511204544067/6030737511204544067_signature_31.png</t>
  </si>
  <si>
    <t xml:space="preserve">ASSAY: Xpert MTB/RIF Ultra, COUNT: 1679
</t>
  </si>
  <si>
    <t>Module 1 and 2 H/W failed</t>
  </si>
  <si>
    <t>Perform Genexpert module repair 
Perform Genexpert Calibration 
Perform Genexpert Preventive maintenance</t>
  </si>
  <si>
    <t>Replace defective module SN: 662331 with new module SN:710656
Replace defective module SN: 711533 with new module SN:633525
Perform Genexpert machine Calibration/Xpertcheck 
Perform Genexpert Cleaning 
Checking of errors 
Data collection</t>
  </si>
  <si>
    <t>2 operational modules 
Calibration results:
Module 1&amp;3 - skipped new module 
Module 2&amp;4 - Service Required</t>
  </si>
  <si>
    <t>Genexpert 6-color module 
SN:633525 and SN:710656
Xpertcheck cartridge/kit
Lot#: 1001075092</t>
  </si>
  <si>
    <t>DR#:12024,12069, and 12070</t>
  </si>
  <si>
    <t>https://www.jotform.com/uploads/macarewecare/222927978372067/6030657276867382205/6030657276867382205_signature_28.png</t>
  </si>
  <si>
    <t>June Miichele Mirasol</t>
  </si>
  <si>
    <t>https://www.jotform.com/uploads/macarewecare/222927978372067/6030657276867382205/6030657276867382205_signature_31.png</t>
  </si>
  <si>
    <t>Poblacion,  Lake Sebu, South Cotabato</t>
  </si>
  <si>
    <t>rhulablakesebu@gmail.com</t>
  </si>
  <si>
    <t xml:space="preserve">ASSAY: Xpert MTB/RIF Ultra, COUNT: 542
</t>
  </si>
  <si>
    <t>Perform Genexpert machine Calibration/Xpertcheck 
Perform Genexpert machine Preventive maintenance</t>
  </si>
  <si>
    <t>Perform Genexpert machine Calibration/Xpertcheck 
Perform Genexpert Cleaning and maintenance 
Checking of errors 
Data collection</t>
  </si>
  <si>
    <t>4 operational modules 
Calibration Results:
Module 4 - skipped (New module)
Module 1,2,and 3 - Passed</t>
  </si>
  <si>
    <t>DR#:12020</t>
  </si>
  <si>
    <t>https://www.jotform.com/uploads/macarewecare/222927978372067/6030657286869003140/6030657286869003140_signature_28.png</t>
  </si>
  <si>
    <t>Reynellen Eborde</t>
  </si>
  <si>
    <t>https://www.jotform.com/uploads/macarewecare/222927978372067/6030657286869003140/6030657286869003140_signature_31.png</t>
  </si>
  <si>
    <t>Due for Xpertcheck/ PM</t>
  </si>
  <si>
    <t>PM/maintenance</t>
  </si>
  <si>
    <t>Performed Xpertcheck on all 4 modules</t>
  </si>
  <si>
    <t>Modules A1, A3, and A4 passed Xpertcheck.
Module A2 for replacement</t>
  </si>
  <si>
    <t>https://www.jotform.com/uploads/macarewecare/222927978372067/6030584363676464956/6030584363676464956_signature_28.png</t>
  </si>
  <si>
    <t>https://www.jotform.com/uploads/macarewecare/222927978372067/6030584363676464956/6030584363676464956_signature_31.png</t>
  </si>
  <si>
    <t>1005 Aurora grand,Aurore blvd. QC</t>
  </si>
  <si>
    <t>UPS Accupower</t>
  </si>
  <si>
    <t>AT1000180910ST0289, AT1000181128ST0216, AT10001901123ST0040,AT1000181128ST0144,AT1000180910ST0672,AT1000180910ST0672,AT1000170815ST0035,AT1000180910ST0185</t>
  </si>
  <si>
    <t>For replacement of ups battery,defective battery</t>
  </si>
  <si>
    <t>Replacement and installed ups battery
Pefrormed functionality test
Test run unit</t>
  </si>
  <si>
    <t>Performed battery replacement</t>
  </si>
  <si>
    <t>12v,7AH Battery ups 14pcs for 7units of UPS</t>
  </si>
  <si>
    <t>G7386</t>
  </si>
  <si>
    <t>https://www.jotform.com/uploads/macarewecare/222927978372067/6030561107025651831/6030561107025651831_signature_28.png</t>
  </si>
  <si>
    <t>https://www.jotform.com/uploads/macarewecare/222927978372067/6030561107025651831/6030561107025651831_signature_31.png</t>
  </si>
  <si>
    <t>Dumangas Rural Health Unit</t>
  </si>
  <si>
    <t>municipalhealthoffice_dumangas@yahoo.com</t>
  </si>
  <si>
    <t>-GeneXpert Unit Installation
-Setup GeneXpert Workstation 
-Setup GeneXpert software
-Install XpertCheck 1.5b</t>
  </si>
  <si>
    <t>-GeneXpert IV R2 4-Modules, 10-Color SN. 110023532
-GeneXpert Desktop SN. CPH1023F46952
-GeneXpert Monitor Display SN. CN0WMYC5FCC0037KCKAXA05
-GeneXpert Barcode Scanner SN. 22355010550941
-Accupower 1000VA Line Interactive UPS (AT1000) SN. AT1K231111ST0013
-Printer SN. CN3B2431Q9</t>
  </si>
  <si>
    <t>DR no. 12127</t>
  </si>
  <si>
    <t>https://www.jotform.com/uploads/macarewecare/222927978372067/6030549783744510030/6030549783744510030_signature_28.png</t>
  </si>
  <si>
    <t>https://www.jotform.com/uploads/macarewecare/222927978372067/6030549783744510030/6030549783744510030_signature_31.png</t>
  </si>
  <si>
    <t>District C - Mini Forest Health Center</t>
  </si>
  <si>
    <t>Stuck Cartidge at Module 4</t>
  </si>
  <si>
    <t>Remove the stuck cartidge at Module 4, clean cartridge bay
Generate IQR, Assay Stat, and System Log</t>
  </si>
  <si>
    <t>Perform Stuck Cartidge extraction</t>
  </si>
  <si>
    <t>Successfully removed the stuck cartidge
All Modules are operational</t>
  </si>
  <si>
    <t>https://www.jotform.com/uploads/macarewecare/222927978372067/6030473118718202619/6030473118718202619_signature_28.png</t>
  </si>
  <si>
    <t>https://www.jotform.com/uploads/macarewecare/222927978372067/6030473118718202619/6030473118718202619_signature_31.png</t>
  </si>
  <si>
    <t>Brgy. Guibongan, Miagao</t>
  </si>
  <si>
    <t>Install Genexpert machine SN:110023531
CPU SN:CPH1023F46957
Monitor SN: CNOWMYC5FCC0037KCK9XA05
UPS SN:AT1K231111ST0032
Printer SN: CN3B2431HH</t>
  </si>
  <si>
    <t>https://www.jotform.com/uploads/macarewecare/222927978372067/6030430385803093475/6030430385803093475_signature_28.png</t>
  </si>
  <si>
    <t>Joanna lee M. Sadiong</t>
  </si>
  <si>
    <t>https://www.jotform.com/uploads/macarewecare/222927978372067/6030430385803093475/6030430385803093475_signature_31.png</t>
  </si>
  <si>
    <t>GX-4 10C</t>
  </si>
  <si>
    <t>Copy old patient data from old Genexpert unit.</t>
  </si>
  <si>
    <t>DR 12131</t>
  </si>
  <si>
    <t>https://www.jotform.com/uploads/macarewecare/222927978372067/6030429632374507172/6030429632374507172_signature_28.png</t>
  </si>
  <si>
    <t>May Faith Apil, RMT</t>
  </si>
  <si>
    <t>https://www.jotform.com/uploads/macarewecare/222927978372067/6030429632374507172/6030429632374507172_signature_31.png</t>
  </si>
  <si>
    <t>Bernantereynacres@gmail.com</t>
  </si>
  <si>
    <t xml:space="preserve">ASSAY: Xpert MTB/RIF Ultra, COUNT: 646
</t>
  </si>
  <si>
    <t>Module 4 h/w failed.</t>
  </si>
  <si>
    <t>Module 2 and 3 undergone Xpertcheck calibration.</t>
  </si>
  <si>
    <t>Modules 1 2 and 3 are all available ang ready to use</t>
  </si>
  <si>
    <t>Module 2 and 3 passed Xpertcheck Calibration</t>
  </si>
  <si>
    <t>https://www.jotform.com/uploads/macarewecare/222927978372067/6030424484219275736/6030424484219275736_signature_28.png</t>
  </si>
  <si>
    <t>https://www.jotform.com/uploads/macarewecare/222927978372067/6030424484219275736/6030424484219275736_signature_31.png</t>
  </si>
  <si>
    <t>Poblacion, Cawayan. Masbate</t>
  </si>
  <si>
    <t xml:space="preserve">ASSAY: Xpert MTB/RIF Ultra, COUNT: 888
</t>
  </si>
  <si>
    <t>UPS no power when plugged from AC source</t>
  </si>
  <si>
    <t>Replaced defective UPS batteries
Tested UPS after battery replacement (charged for 1hr)
Cleaned cartridge bays, plunger rod, 
Generate data</t>
  </si>
  <si>
    <t>Replaced UPS batteries 
Performed Preventive Maintenance</t>
  </si>
  <si>
    <t>https://www.jotform.com/uploads/macarewecare/222927978372067/6030422845319444534/6030422845319444534_signature_28.png</t>
  </si>
  <si>
    <t>https://www.jotform.com/uploads/macarewecare/222927978372067/6030422845319444534/6030422845319444534_signature_31.png</t>
  </si>
  <si>
    <t>https://www.jotform.com/uploads/macarewecare/222927978372067/6030384467567044900/6030384467567044900_signature_28.png</t>
  </si>
  <si>
    <t>https://www.jotform.com/uploads/macarewecare/222927978372067/6030384467567044900/6030384467567044900_signature_31.png</t>
  </si>
  <si>
    <t>Tagoloan RHU</t>
  </si>
  <si>
    <t>GX-4 6 Module</t>
  </si>
  <si>
    <t>Module B3 found Error in Temperature</t>
  </si>
  <si>
    <t>Replacing Module B3 with SN: 807571 to SN: 684890
XPC Calibration of 3 modules since 1 module was newly installed</t>
  </si>
  <si>
    <t>All module and units are functional
All modules passed in calibration</t>
  </si>
  <si>
    <t>https://www.jotform.com/uploads/macarewecare/222927978372067/6030381957178838611/6030381957178838611_signature_28.png</t>
  </si>
  <si>
    <t>https://www.jotform.com/uploads/macarewecare/222927978372067/6030381957178838611/6030381957178838611_signature_31.png</t>
  </si>
  <si>
    <t>JP. Laurel Avenue, Bajada Davao City</t>
  </si>
  <si>
    <t>ICU 2</t>
  </si>
  <si>
    <t>Cmos BIOS Failure at CPU Board</t>
  </si>
  <si>
    <t>Remove the defective Battery and replaced it with new Battery.
Set-up the acceptable parameters for operating procedure and perform Cycle test to assure its functionality.</t>
  </si>
  <si>
    <t>Perform Battery Replacement
Perform Calibration
Perform Functionality Test</t>
  </si>
  <si>
    <t>Passed the Cycle Test, Unit is Operational</t>
  </si>
  <si>
    <t>Lithium Battery LTC-7PN</t>
  </si>
  <si>
    <t>DR 12142</t>
  </si>
  <si>
    <t>https://www.jotform.com/uploads/macarewecare/222927978372067/6029778258719647742/6029778258719647742_signature_28.png</t>
  </si>
  <si>
    <t>Dianne Karla de leon</t>
  </si>
  <si>
    <t>https://www.jotform.com/uploads/macarewecare/222927978372067/6029778258719647742/6029778258719647742_signature_31.png</t>
  </si>
  <si>
    <t>Esperanza, Masbate</t>
  </si>
  <si>
    <t xml:space="preserve">ASSAY: Xpert MTB/RIF Ultra, COUNT: 1177
</t>
  </si>
  <si>
    <t>B1/210068697, B3/210068696 - service required</t>
  </si>
  <si>
    <t>Replaced module:
   B1 - 210068697 &gt;&gt; 220004891
   B3 - 210068696 &gt;&gt; 887325
Cleaned cartridge bays, plunger, Gx fan
Generate Data</t>
  </si>
  <si>
    <t>Replaced module B1/210068697, B3/210068696
Performed Preventive Maintenance</t>
  </si>
  <si>
    <t>https://www.jotform.com/uploads/macarewecare/222927978372067/6029705357984226276/6029705357984226276_signature_28.png</t>
  </si>
  <si>
    <t>RHU-ESPERANZA</t>
  </si>
  <si>
    <t>https://www.jotform.com/uploads/macarewecare/222927978372067/6029705357984226276/6029705357984226276_signature_31.png</t>
  </si>
  <si>
    <t>- Installed new 10c unit.
- User orientation on basic machine operation, maintenance, cleaning, plunger rod maintenance.</t>
  </si>
  <si>
    <t>https://www.jotform.com/uploads/macarewecare/222927978372067/6029703324702661679/6029703324702661679_signature_28.png</t>
  </si>
  <si>
    <t>Louise Ann Aries, RMT</t>
  </si>
  <si>
    <t>https://www.jotform.com/uploads/macarewecare/222927978372067/6029703324702661679/6029703324702661679_signature_31.png</t>
  </si>
  <si>
    <t>Pob. Ilaya, Maayon</t>
  </si>
  <si>
    <t>Install Genexpert machine SN:110023541
CPU SN: CPH1023F7090
Monitor SN:CN0WMYC5CC00398EUPXA05
Barcode Sanner SN: 22355010550931
UPS SN: AT1K231111ST0049
Printer SN:CN3B241CF
Performed functionality test</t>
  </si>
  <si>
    <t>https://www.jotform.com/uploads/macarewecare/222927978372067/6029701689154807734/6029701689154807734_signature_28.png</t>
  </si>
  <si>
    <t>pamela cerujano</t>
  </si>
  <si>
    <t>https://www.jotform.com/uploads/macarewecare/222927978372067/6029701689154807734/6029701689154807734_signature_31.png</t>
  </si>
  <si>
    <t>Carles Rural Health Unit</t>
  </si>
  <si>
    <t>-New GeneXpert Unit and Peripherals Installation
-Setup GeneXpert Workstation
-Setup GeneXpert Software
-Install Printer
-Install XpertCheck 1.5b</t>
  </si>
  <si>
    <t>-GeneXpert IV R2 10-Color SN. 110023526
-GeneXpert Desktop SN. CPH1023F46951
-GeneXpert Monitor Display SN. CN0WMYC5FCC0037KCK8XA05
-GeneXpert Barcode Scanner SN. 23103010550426
-Accupower 1000VA Line Interactive UPS AT1000 SN. AT1K231111ST0029
-Printer SN. CN3B2431V8</t>
  </si>
  <si>
    <t>DR no. 12121</t>
  </si>
  <si>
    <t>https://www.jotform.com/uploads/macarewecare/222927978372067/6029660831024957156/6029660831024957156_signature_28.png</t>
  </si>
  <si>
    <t>Vangie Yuro</t>
  </si>
  <si>
    <t>https://www.jotform.com/uploads/macarewecare/222927978372067/6029660831024957156/6029660831024957156_signature_31.png</t>
  </si>
  <si>
    <t>St lukes'Medical Center</t>
  </si>
  <si>
    <t xml:space="preserve">ASSAY: Xpert HBV VL, COUNT: 109
ASSAY: Xpert HPV, COUNT: 10
ASSAY: Xpert HPV, COUNT: 358
ASSAY: Xpert MTB/RIF Ultra, COUNT: 2
ASSAY: Xpert HCV VL, COUNT: 16
ASSAY: Xpert HIV-1 Viral Load, COUNT: 27
</t>
  </si>
  <si>
    <t>For Maintenance</t>
  </si>
  <si>
    <t>C4 disabled
C1,C2,C3 operational</t>
  </si>
  <si>
    <t>https://www.jotform.com/uploads/macarewecare/222927978372067/6029593991014997664/6029593991014997664_signature_28.png</t>
  </si>
  <si>
    <t>Jeinz Quinnie Alcala</t>
  </si>
  <si>
    <t>https://www.jotform.com/uploads/macarewecare/222927978372067/6029593991014997664/6029593991014997664_signature_31.png</t>
  </si>
  <si>
    <t xml:space="preserve">ASSAY: Xpert CT/NG, COUNT: 266
ASSAY: Xpert MTB/RIF Ultra, COUNT: 3179
</t>
  </si>
  <si>
    <t>As per end user they encounter 5007 error</t>
  </si>
  <si>
    <t>B1 for observation.
B3 and B4 disabled</t>
  </si>
  <si>
    <t>https://www.jotform.com/uploads/macarewecare/222927978372067/6029593631018898957/6029593631018898957_signature_28.png</t>
  </si>
  <si>
    <t>https://www.jotform.com/uploads/macarewecare/222927978372067/6029593631018898957/6029593631018898957_signature_31.png</t>
  </si>
  <si>
    <t>zdsmc.clinlab@gmail.com</t>
  </si>
  <si>
    <t xml:space="preserve">ASSAY: Xpert MTB/RIF Ultra, COUNT: 1686
ASSAY: Xpert HIV-1 Viral Load, COUNT: 116
</t>
  </si>
  <si>
    <t>Module 2 and 4 hardware failed</t>
  </si>
  <si>
    <t>Replaced defective modules 690804 and 752962 with new module 706303 and 710393 respectively. Module 1 Undergone Xpertcheck calibration.</t>
  </si>
  <si>
    <t>Module 2, 3 and 4 are available and ready to use while module 1 Undergone Xpertcheck calibration and the result is service required.</t>
  </si>
  <si>
    <t>Module 1 failed xpertcheck calibration, service required and needs to be replaced.</t>
  </si>
  <si>
    <t>900-0491RS , XPERTCHECK-CE-5</t>
  </si>
  <si>
    <t>11857, 11852, 12039</t>
  </si>
  <si>
    <t>https://www.jotform.com/uploads/macarewecare/222927978372067/6029571392611438269/6029571392611438269_signature_28.png</t>
  </si>
  <si>
    <t>Jane L.Pactol</t>
  </si>
  <si>
    <t>https://www.jotform.com/uploads/macarewecare/222927978372067/6029571392611438269/6029571392611438269_signature_31.png</t>
  </si>
  <si>
    <t>Perform Genexpert machine Calibration 
Perform Genexpert machine Preventive maintenance</t>
  </si>
  <si>
    <t>Perform Genexpert Xpertcheck/Calibration 
Perform Genexpert Cleaning and maintenance 
Gx ID sticker installation 
Checking of errors 
Data collection</t>
  </si>
  <si>
    <t>3 operational modules 
Calibration Results:
Module 2 skipped - new module 
Module 1 service Required 
Module 3 and 4 Passed</t>
  </si>
  <si>
    <t>Xpertcheck cartridge/kit
Lot: 1001075092</t>
  </si>
  <si>
    <t>DR#: 12015</t>
  </si>
  <si>
    <t>https://www.jotform.com/uploads/macarewecare/222927978372067/6029499390519557326/6029499390519557326_signature_28.png</t>
  </si>
  <si>
    <t>Ma. Riza R. Dionela</t>
  </si>
  <si>
    <t>https://www.jotform.com/uploads/macarewecare/222927978372067/6029499390519557326/6029499390519557326_signature_31.png</t>
  </si>
  <si>
    <t>Module B1 defective</t>
  </si>
  <si>
    <t>-Replace defective module B1/694490 with new module SN: 210046361</t>
  </si>
  <si>
    <t>Certified pre-owned GeneXpert module
SN. 210046361</t>
  </si>
  <si>
    <t>DR no. 11916</t>
  </si>
  <si>
    <t>https://www.jotform.com/uploads/macarewecare/222927978372067/6029475783382043888/6029475783382043888_signature_28.png</t>
  </si>
  <si>
    <t>Reynaldo Tabang, Jr.</t>
  </si>
  <si>
    <t>https://www.jotform.com/uploads/macarewecare/222927978372067/6029475783382043888/6029475783382043888_signature_31.png</t>
  </si>
  <si>
    <t>GX-4 10c</t>
  </si>
  <si>
    <t>Checked plunger rod operation, cleaned module bays, filter</t>
  </si>
  <si>
    <t>- Installed new Genexpert, 10c unit
- Orient end user on basic Operation, maintenance, archiving.</t>
  </si>
  <si>
    <t>https://www.jotform.com/uploads/macarewecare/222927978372067/6028885748169559094/6028885748169559094_signature_28.png</t>
  </si>
  <si>
    <t>https://www.jotform.com/uploads/macarewecare/222927978372067/6028885748169559094/6028885748169559094_signature_31.png</t>
  </si>
  <si>
    <t>CUARTERO RURAL HEALTH UNIT</t>
  </si>
  <si>
    <t>cornepillomars@gmail.com</t>
  </si>
  <si>
    <t>https://www.jotform.com/uploads/macarewecare/222927978372067/6028880668127428773/6028880668127428773_signature_28.png</t>
  </si>
  <si>
    <t>Marilyn M. Cornepillo</t>
  </si>
  <si>
    <t>https://www.jotform.com/uploads/macarewecare/222927978372067/6028880668127428773/6028880668127428773_signature_31.png</t>
  </si>
  <si>
    <t>Brgy. Libot, Calinog</t>
  </si>
  <si>
    <t>- Install Genexpert machine SN: 110023535
- CPU SN: CPH1023F47091
- LCD Monitor SN: CN0WMYC5FCC0038EV8XA05
- UPS SN: AT1K231111ST0044
- Printer SN :CN3B431SH</t>
  </si>
  <si>
    <t>Genexpert machine 
CPU
Printer
Monitor
UPS
Barcode</t>
  </si>
  <si>
    <t>https://www.jotform.com/uploads/macarewecare/222927978372067/6028817267124594925/6028817267124594925_signature_28.png</t>
  </si>
  <si>
    <t>https://www.jotform.com/uploads/macarewecare/222927978372067/6028817267124594925/6028817267124594925_signature_31.png</t>
  </si>
  <si>
    <t>-Replace defective module B2/860115 with module SN: 685412</t>
  </si>
  <si>
    <t>DR no. 11926</t>
  </si>
  <si>
    <t>https://www.jotform.com/uploads/macarewecare/222927978372067/6028779273476632649/6028779273476632649_signature_28.png</t>
  </si>
  <si>
    <t>REYO KRISTOF C. TAYCO</t>
  </si>
  <si>
    <t>https://www.jotform.com/uploads/macarewecare/222927978372067/6028779273476632649/6028779273476632649_signature_31.png</t>
  </si>
  <si>
    <t>https://www.jotform.com/uploads/macarewecare/222927978372067/6028778843479643870/6028778843479643870_signature_28.png</t>
  </si>
  <si>
    <t>https://www.jotform.com/uploads/macarewecare/222927978372067/6028778843479643870/6028778843479643870_signature_31.png</t>
  </si>
  <si>
    <t>Rizal Street, Poblacion Padada</t>
  </si>
  <si>
    <t xml:space="preserve">ASSAY: Xpert MTB/RIF Ultra, COUNT: 579
</t>
  </si>
  <si>
    <t>Clean Surface Area, Cartridge Bay, Plunger Rod, Fan Filters and Icore Lenses
Generate IQR, Assay Stat and System Log
Upgrade the XPC Software to Version 1.5B
Run Calibration at Four Modules</t>
  </si>
  <si>
    <t>All Modules Passed the Calibration and Operational</t>
  </si>
  <si>
    <t>https://www.jotform.com/uploads/macarewecare/222927978372067/6028705018717471232/6028705018717471232_signature_28.png</t>
  </si>
  <si>
    <t>Erica Jane O. Gamboa, RMT</t>
  </si>
  <si>
    <t>https://www.jotform.com/uploads/macarewecare/222927978372067/6028705018717471232/6028705018717471232_signature_31.png</t>
  </si>
  <si>
    <t>España Blvd., Sampaloc, Manila</t>
  </si>
  <si>
    <t>Blood Pump Roller Worn-out.
MCS Variocar Problem.
Unit is due for Calibration.
Unit is due for Maintenance.</t>
  </si>
  <si>
    <t>Preventive Maintenance.
Parts Replacement.
Calibration.</t>
  </si>
  <si>
    <t>Cleaned Surface Unit.
Replaced Pumps Roller and Variocar.
Run Simulation Test.
Checked A/D and Calibration Values.
Replaced Filter.</t>
  </si>
  <si>
    <t>All Parameters Pass.
Unit is Operational and in Good Condition.</t>
  </si>
  <si>
    <t>MCS+ Variocar</t>
  </si>
  <si>
    <t>https://www.jotform.com/uploads/macarewecare/222927978372067/6028675997021456803/6028675997021456803_signature_28.png</t>
  </si>
  <si>
    <t>https://www.jotform.com/uploads/macarewecare/222927978372067/6028675997021456803/6028675997021456803_signature_31.png</t>
  </si>
  <si>
    <t xml:space="preserve">ASSAY: Xpert HIV-1 Viral Load, COUNT: 1138
</t>
  </si>
  <si>
    <t>https://www.jotform.com/uploads/macarewecare/222927978372067/6028675997021481279/6028675997021481279_signature_28.png</t>
  </si>
  <si>
    <t>Kriztianne Giron</t>
  </si>
  <si>
    <t>https://www.jotform.com/uploads/macarewecare/222927978372067/6028675997021481279/6028675997021481279_signature_31.png</t>
  </si>
  <si>
    <t>Universitt of Perpetual Help Dalta Medical Center</t>
  </si>
  <si>
    <t xml:space="preserve">ASSAY: Xpert CT/NG, COUNT: 18
ASSAY: Others, COUNT: 3
ASSAY: Xpert HBV VL, COUNT: 36
ASSAY: Xpert HPV, COUNT: 35
ASSAY: Xpert MTB/RIF Ultra, COUNT: 402
ASSAY: Xpert HCV VL, COUNT: 6
ASSAY: Xpert HIV-1 Viral Load, COUNT: 3
</t>
  </si>
  <si>
    <t>GX Systen for Relocation.
Unit is due for Maintenance.</t>
  </si>
  <si>
    <t>Relocate GX System from Micro to Molecular.
Cleaned Cartridge Bay, Plunger Rod, and Icore Optics.
Cleaned and Replace Filter.
Performed Self-test.
Generate Reports.</t>
  </si>
  <si>
    <t>1 Modules is Disabled with 5007,2008 Error.
3 Modules are Operational.</t>
  </si>
  <si>
    <t>2 Modules for Quotation.</t>
  </si>
  <si>
    <t>https://www.jotform.com/uploads/macarewecare/222927978372067/6028675997023613637/6028675997023613637_signature_28.png</t>
  </si>
  <si>
    <t>https://www.jotform.com/uploads/macarewecare/222927978372067/6028675997023613637/6028675997023613637_signature_31.png</t>
  </si>
  <si>
    <t>Scout Torillo, Rosario, Cavite</t>
  </si>
  <si>
    <t>rhu.rosario@gmail.com</t>
  </si>
  <si>
    <t xml:space="preserve">ASSAY: Xpert MTB/RIF Ultra, COUNT: 1143
</t>
  </si>
  <si>
    <t>Monitor with Screen Problem.</t>
  </si>
  <si>
    <t>Replaced Defective Monitor.
Performed Self-test.
Adjust Monitor Settings.
Generate Reports.</t>
  </si>
  <si>
    <t>CNK94301WX -&gt; CN4610170L</t>
  </si>
  <si>
    <t>HP Monitor</t>
  </si>
  <si>
    <t>https://www.jotform.com/uploads/macarewecare/222927978372067/6028675997027719766/6028675997027719766_signature_28.png</t>
  </si>
  <si>
    <t>Angelina T.Toledo</t>
  </si>
  <si>
    <t>https://www.jotform.com/uploads/macarewecare/222927978372067/6028675997027719766/6028675997027719766_signature_31.png</t>
  </si>
  <si>
    <t xml:space="preserve">ASSAY: Xpert HIV-1 Viral Load, COUNT: 1259
</t>
  </si>
  <si>
    <t>https://www.jotform.com/uploads/macarewecare/222927978372067/6028675997028149830/6028675997028149830_signature_28.png</t>
  </si>
  <si>
    <t>https://www.jotform.com/uploads/macarewecare/222927978372067/6028675997028149830/6028675997028149830_signature_31.png</t>
  </si>
  <si>
    <t>Performed maintenance 
Cleaned:
-cartridge bay
-plunger rod 
-filter 
-icore 
Generated reports</t>
  </si>
  <si>
    <t>https://www.jotform.com/uploads/macarewecare/222927978372067/6028645127026576566/6028645127026576566_signature_28.png</t>
  </si>
  <si>
    <t>Amy Mitra</t>
  </si>
  <si>
    <t>https://www.jotform.com/uploads/macarewecare/222927978372067/6028645127026576566/6028645127026576566_signature_31.png</t>
  </si>
  <si>
    <t xml:space="preserve">ASSAY: Xpert MTB/RIF Ultra, COUNT: 309
ASSAY: Others, COUNT: 21
ASSAY: Xpert HIV-1 Viral Load, COUNT: 51
</t>
  </si>
  <si>
    <t>https://www.jotform.com/uploads/macarewecare/222927978372067/6028644867024915137/6028644867024915137_signature_28.png</t>
  </si>
  <si>
    <t>Marikina Public Health Laboratory</t>
  </si>
  <si>
    <t>https://www.jotform.com/uploads/macarewecare/222927978372067/6028644867024915137/6028644867024915137_signature_31.png</t>
  </si>
  <si>
    <t>https://www.jotform.com/uploads/macarewecare/222927978372067/6028642977021888150/6028642977021888150_signature_28.png</t>
  </si>
  <si>
    <t>https://www.jotform.com/uploads/macarewecare/222927978372067/6028642977021888150/6028642977021888150_signature_31.png</t>
  </si>
  <si>
    <t xml:space="preserve">ASSAY: Xpert MTB/RIF Ultra, COUNT: 1
ASSAY: Xpert HIV-1 Viral Load, COUNT: 60
</t>
  </si>
  <si>
    <t>https://www.jotform.com/uploads/macarewecare/222927978372067/6028642977023101200/6028642977023101200_signature_28.png</t>
  </si>
  <si>
    <t>https://www.jotform.com/uploads/macarewecare/222927978372067/6028642977023101200/6028642977023101200_signature_31.png</t>
  </si>
  <si>
    <t>https://www.jotform.com/uploads/macarewecare/222927978372067/6028642977028185994/6028642977028185994_signature_28.png</t>
  </si>
  <si>
    <t>https://www.jotform.com/uploads/macarewecare/222927978372067/6028642977028185994/6028642977028185994_signature_31.png</t>
  </si>
  <si>
    <t xml:space="preserve">ASSAY: Xpert BCR-ABL Ultra, COUNT: 46
ASSAY: Xpert CT/NG, COUNT: 186
ASSAY: Xpert HBV VL, COUNT: 10
ASSAY: Xpert HPV, COUNT: 229
ASSAY: Xpert MTB/RIF Ultra, COUNT: 510
ASSAY: Xpert HCV VL, COUNT: 14
ASSAY: Xpert HIV-1 Viral Load, COUNT: 16
</t>
  </si>
  <si>
    <t>https://www.jotform.com/uploads/macarewecare/222927978372067/6028642937022332302/6028642937022332302_signature_28.png</t>
  </si>
  <si>
    <t>https://www.jotform.com/uploads/macarewecare/222927978372067/6028642937022332302/6028642937022332302_signature_31.png</t>
  </si>
  <si>
    <t xml:space="preserve">ASSAY: Xpert BCR-ABL Ultra, COUNT: 8
ASSAY: Xpert CT/NG, COUNT: 29
ASSAY: Xpert HPV, COUNT: 49
ASSAY: Xpert MTB/RIF Ultra, COUNT: 70
ASSAY: Xpert HCV VL, COUNT: 1
</t>
  </si>
  <si>
    <t>https://www.jotform.com/uploads/macarewecare/222927978372067/6028642937024570024/6028642937024570024_signature_28.png</t>
  </si>
  <si>
    <t>https://www.jotform.com/uploads/macarewecare/222927978372067/6028642937024570024/6028642937024570024_signature_31.png</t>
  </si>
  <si>
    <t xml:space="preserve">ASSAY: Xpert MTB/RIF Ultra, COUNT: 91
</t>
  </si>
  <si>
    <t>https://www.jotform.com/uploads/macarewecare/222927978372067/6028642937027966426/6028642937027966426_signature_28.png</t>
  </si>
  <si>
    <t>https://www.jotform.com/uploads/macarewecare/222927978372067/6028642937027966426/6028642937027966426_signature_31.png</t>
  </si>
  <si>
    <t>mahmci_laboratory@gmail.com</t>
  </si>
  <si>
    <t xml:space="preserve">ASSAY: Xpert HBV VL, COUNT: 17
ASSAY: Xpert HPV, COUNT: 1
ASSAY: Xpert MTB/RIF Ultra, COUNT: 252
ASSAY: Xpert HIV-1 Viral Load, COUNT: 13
</t>
  </si>
  <si>
    <t>https://www.jotform.com/uploads/macarewecare/222927978372067/6028642937029244518/6028642937029244518_signature_28.png</t>
  </si>
  <si>
    <t>https://www.jotform.com/uploads/macarewecare/222927978372067/6028642937029244518/6028642937029244518_signature_31.png</t>
  </si>
  <si>
    <t>https://www.jotform.com/uploads/macarewecare/222927978372067/6028642937029527522/6028642937029527522_signature_28.png</t>
  </si>
  <si>
    <t>Aldwin Balsom9</t>
  </si>
  <si>
    <t>https://www.jotform.com/uploads/macarewecare/222927978372067/6028642937029527522/6028642937029527522_signature_31.png</t>
  </si>
  <si>
    <t>For CPU Replacement</t>
  </si>
  <si>
    <t>- Replaced Defective CPU 2UA3520VNV with Repaired Original CPU CPH0520F0820
- Replaced Defective Mouse
- Cleaned Cartridge Bays, Plunger Rods and I-CORE 
- Generated Reports</t>
  </si>
  <si>
    <t>Replaced Defective CPU</t>
  </si>
  <si>
    <t>GeneXpert CPUCPH0520F0820</t>
  </si>
  <si>
    <t>DR 12095</t>
  </si>
  <si>
    <t>https://www.jotform.com/uploads/macarewecare/222927978372067/6028637778809429956/6028637778809429956_signature_28.png</t>
  </si>
  <si>
    <t>https://www.jotform.com/uploads/macarewecare/222927978372067/6028637778809429956/6028637778809429956_signature_31.png</t>
  </si>
  <si>
    <t>- Cleaned Cartridge Bays, Plunger Rods and I-CORE 
- Replaced Defective Module B2 210039876 &gt;&gt;&gt; 737128
- Generated Reports</t>
  </si>
  <si>
    <t>Performed Module Replacement and Preventive Maintenance</t>
  </si>
  <si>
    <t>GeneXpert Module  737128</t>
  </si>
  <si>
    <t>DR 12067</t>
  </si>
  <si>
    <t>https://www.jotform.com/uploads/macarewecare/222927978372067/6028636758804041171/6028636758804041171_signature_28.png</t>
  </si>
  <si>
    <t>https://www.jotform.com/uploads/macarewecare/222927978372067/6028636758804041171/6028636758804041171_signature_31.png</t>
  </si>
  <si>
    <t>Display board for troubleshooting
Damaged stand wheel set</t>
  </si>
  <si>
    <t>Adjusted display contrast</t>
  </si>
  <si>
    <t>Unit is operational
Display board for replacement request
Stand for request</t>
  </si>
  <si>
    <t>With Sir Harold Toco</t>
  </si>
  <si>
    <t>https://www.jotform.com/uploads/macarewecare/222927978372067/6028607577025866946/6028607577025866946_signature_28.png</t>
  </si>
  <si>
    <t>https://www.jotform.com/uploads/macarewecare/222927978372067/6028607577025866946/6028607577025866946_signature_31.png</t>
  </si>
  <si>
    <t>Poblacion, Samboan Cebu</t>
  </si>
  <si>
    <t xml:space="preserve">ASSAY: Xpert MTB/RIF, COUNT: 1470
</t>
  </si>
  <si>
    <t>Generate IQR, Gxx files, System Log
Performed calibration on genexpert machine
Conduct Preventive Maintenance</t>
  </si>
  <si>
    <t>B1- Failed
B2/B3/B4 - Passed
All modules are operational.</t>
  </si>
  <si>
    <t>https://www.jotform.com/uploads/macarewecare/222927978372067/6028240933225593753/6028240933225593753_signature_28.png</t>
  </si>
  <si>
    <t>https://www.jotform.com/uploads/macarewecare/222927978372067/6028240933225593753/6028240933225593753_signature_31.png</t>
  </si>
  <si>
    <t xml:space="preserve">ASSAY: Xpert SARS-CoV-2, COUNT: 9590
</t>
  </si>
  <si>
    <t>Module 2 and 4 for Service Required</t>
  </si>
  <si>
    <t>Perform Genexpert machine module repair
Perform Genexpert machine Preventive maintenance</t>
  </si>
  <si>
    <t>Replace defective module 2 SN:210005670 with new module SN:618228
Replace defective module 4 SN:758411 with new module SN:623202
Genexpert machine Cleaning and maintenance 
Checking of errors 
Data collection</t>
  </si>
  <si>
    <t>Genexpert 6-color module 
SN:618228
SN:623202</t>
  </si>
  <si>
    <t>DR #: 11885 and 11886</t>
  </si>
  <si>
    <t>https://www.jotform.com/uploads/macarewecare/222927978372067/6028196676862357223/6028196676862357223_signature_28.png</t>
  </si>
  <si>
    <t>https://www.jotform.com/uploads/macarewecare/222927978372067/6028196676862357223/6028196676862357223_signature_31.png</t>
  </si>
  <si>
    <t xml:space="preserve">ASSAY: Xpert MTB/RIF Ultra, COUNT: 386
ASSAY: Others, COUNT: 3
ASSAY: Xpert SARS-CoV-2, COUNT: 664
</t>
  </si>
  <si>
    <t>https://www.jotform.com/uploads/macarewecare/222927978372067/6027169154712556297/6027169154712556297_signature_28.png</t>
  </si>
  <si>
    <t>Dianne Nicole V. Jimenez</t>
  </si>
  <si>
    <t>https://www.jotform.com/uploads/macarewecare/222927978372067/6027169154712556297/6027169154712556297_signature_31.png</t>
  </si>
  <si>
    <t>Cleaned unit
Checked program parameters
Checked and adjust line sensor value
Checked rollers,dpm,spm,centrifuge,weigher
Tigthen line sensor screw cover
Performed functionality test
Performed simulation running</t>
  </si>
  <si>
    <t>https://www.jotform.com/uploads/macarewecare/222927978372067/6027168684713403917/6027168684713403917_signature_28.png</t>
  </si>
  <si>
    <t>Lambert John Cordero</t>
  </si>
  <si>
    <t>https://www.jotform.com/uploads/macarewecare/222927978372067/6027168684713403917/6027168684713403917_signature_31.png</t>
  </si>
  <si>
    <t>CPU Date/Time resets every use</t>
  </si>
  <si>
    <t>https://www.jotform.com/uploads/macarewecare/222927978372067/6026304087839252504/6026304087839252504_signature_28.png</t>
  </si>
  <si>
    <t>https://www.jotform.com/uploads/macarewecare/222927978372067/6026304087839252504/6026304087839252504_signature_31.png</t>
  </si>
  <si>
    <t>2 modules found Service Required thru XPC</t>
  </si>
  <si>
    <t>Preventive Maintenance
XPC Calibration</t>
  </si>
  <si>
    <t>2 modules for replacement, 2 modules passed</t>
  </si>
  <si>
    <t>https://www.jotform.com/uploads/macarewecare/222927978372067/6026260648834840762/6026260648834840762_signature_28.png</t>
  </si>
  <si>
    <t>Raulyn Queen Tabañag</t>
  </si>
  <si>
    <t>https://www.jotform.com/uploads/macarewecare/222927978372067/6026260648834840762/6026260648834840762_signature_31.png</t>
  </si>
  <si>
    <t xml:space="preserve">ASSAY: Xpert BCR-ABL Ultra, COUNT: 1
ASSAY: Xpert HIV-1 Viral Load, COUNT: 163
ASSAY: Xpert MTB/RIF Ultra, COUNT: 99
ASSAY: Others, COUNT: 7
ASSAY: Xpert SARS-CoV-2, COUNT: 11
</t>
  </si>
  <si>
    <t>A2/220009328 - H/W Failed
Gx for Preventive Maintenance</t>
  </si>
  <si>
    <t>Checked IQR and system log for A2
Cleaned cartridge bays, plunger rod, icore
Generate Data</t>
  </si>
  <si>
    <t>Performed Preventive Maintenance 
Checked temperature and errors of A2</t>
  </si>
  <si>
    <t>A2/220009328 for module replacement</t>
  </si>
  <si>
    <t>https://www.jotform.com/uploads/macarewecare/222927978372067/6026255863615527851/6026255863615527851_signature_28.png</t>
  </si>
  <si>
    <t>https://www.jotform.com/uploads/macarewecare/222927978372067/6026255863615527851/6026255863615527851_signature_31.png</t>
  </si>
  <si>
    <t>Dhalia St., West Fairview, Quezon City</t>
  </si>
  <si>
    <t xml:space="preserve">ASSAY: Xpert HPV, COUNT: 52
ASSAY: Xpert MTB/RIF Ultra, COUNT: 397
</t>
  </si>
  <si>
    <t>Performed Preventive maintenance 
Replaced module A3
Generated report</t>
  </si>
  <si>
    <t>Checked and cleaned cartridge bays plunger rod, icore slot and filter 
Replqced module A3
876314 -&gt; 737004</t>
  </si>
  <si>
    <t>GX Module 6C</t>
  </si>
  <si>
    <t>DR 12145</t>
  </si>
  <si>
    <t>https://www.jotform.com/uploads/macarewecare/222927978372067/6026243522024558465/6026243522024558465_signature_28.png</t>
  </si>
  <si>
    <t>Kahlil Djunar Djames Silvestre</t>
  </si>
  <si>
    <t>https://www.jotform.com/uploads/macarewecare/222927978372067/6026243522024558465/6026243522024558465_signature_31.png</t>
  </si>
  <si>
    <t xml:space="preserve">ASSAY: Xpert BCR-ABL Ultra, COUNT: 135
ASSAY: Xpert HPV, COUNT: 10
ASSAY: Xpert MTB/RIF Ultra, COUNT: 6601
</t>
  </si>
  <si>
    <t>Cepheid recommended maintenance due to error 5007</t>
  </si>
  <si>
    <t>Checked adn cleaned cartridge bays, plunger rod, icore slot and filter</t>
  </si>
  <si>
    <t>https://www.jotform.com/uploads/macarewecare/222927978372067/6026239052025165662/6026239052025165662_signature_28.png</t>
  </si>
  <si>
    <t>https://www.jotform.com/uploads/macarewecare/222927978372067/6026239052025165662/6026239052025165662_signature_31.png</t>
  </si>
  <si>
    <t>Puan Davao City</t>
  </si>
  <si>
    <t xml:space="preserve">ASSAY: Xpert MTB/RIF Ultra, COUNT: 1601
</t>
  </si>
  <si>
    <t>Module B4 encounter temperature related error
For XPC Calibration</t>
  </si>
  <si>
    <t>Replaced the Defective Module SN: 860974 with new  Module SN: 724756
Run XPC on Module B3 only</t>
  </si>
  <si>
    <t>Successfully Replaced the Module B4
Module B3 Xpc result : Retry and for service required
Module 3 for under observation if error persist, Enduser was advised to disable the said module</t>
  </si>
  <si>
    <t>900-0491RS
XpertCheck CE-5</t>
  </si>
  <si>
    <t>DR 12071</t>
  </si>
  <si>
    <t>https://www.jotform.com/uploads/macarewecare/222927978372067/6026230435574506482/6026230435574506482_signature_28.png</t>
  </si>
  <si>
    <t>https://www.jotform.com/uploads/macarewecare/222927978372067/6026230435574506482/6026230435574506482_signature_31.png</t>
  </si>
  <si>
    <t>Brgy. Talisay, Nasipit, Agusan del Norte</t>
  </si>
  <si>
    <t>https://www.jotform.com/uploads/macarewecare/222927978372067/6026175469768187806/6026175469768187806_signature_28.png</t>
  </si>
  <si>
    <t>Peter C. Dolotina</t>
  </si>
  <si>
    <t>https://www.jotform.com/uploads/macarewecare/222927978372067/6026175469768187806/6026175469768187806_signature_31.png</t>
  </si>
  <si>
    <t>San Antonio St. Tubungan, Iloilo</t>
  </si>
  <si>
    <t>New Genexpert Installation
End-User Basic training in genexpert operation</t>
  </si>
  <si>
    <t>https://www.jotform.com/uploads/macarewecare/222927978372067/6026121502435623944/6026121502435623944_signature_28.png</t>
  </si>
  <si>
    <t>https://www.jotform.com/uploads/macarewecare/222927978372067/6026121502435623944/6026121502435623944_signature_31.png</t>
  </si>
  <si>
    <t>N.S. Amoranto Sr. St. Quezon City</t>
  </si>
  <si>
    <t xml:space="preserve">ASSAY: Xpert CT/NG, COUNT: 114
ASSAY: Xpert MTB/RIF Ultra, COUNT: 7835
</t>
  </si>
  <si>
    <t>Cepheid recommended maintenance of machine</t>
  </si>
  <si>
    <t>https://www.jotform.com/uploads/macarewecare/222927978372067/6026088216361169449/6026088216361169449_signature_28.png</t>
  </si>
  <si>
    <t>https://www.jotform.com/uploads/macarewecare/222927978372067/6026088216361169449/6026088216361169449_signature_31.png</t>
  </si>
  <si>
    <t>Western Visayas State Univerity Medical Center</t>
  </si>
  <si>
    <t>Gx4 10c</t>
  </si>
  <si>
    <t>Expertcheck calibration
Clean Fan Filter</t>
  </si>
  <si>
    <t>All modules passed in xpertcheck calibration</t>
  </si>
  <si>
    <t>https://www.jotform.com/uploads/macarewecare/222927978372067/6026023006119762907/6026023006119762907_signature_28.png</t>
  </si>
  <si>
    <t>https://www.jotform.com/uploads/macarewecare/222927978372067/6026023006119762907/6026023006119762907_signature_31.png</t>
  </si>
  <si>
    <t>.Save Installation Qualification Reports
.Save system Log files
.Save GXC file
Save Assay statistics Report</t>
  </si>
  <si>
    <t>.Perform Xpertcheck for all module's. 
.Perform preventive maintenance.</t>
  </si>
  <si>
    <t>All module's passed for Xpertcheck</t>
  </si>
  <si>
    <t>https://www.jotform.com/uploads/macarewecare/222927978372067/6026022078135583749/6026022078135583749_signature_28.png</t>
  </si>
  <si>
    <t>https://www.jotform.com/uploads/macarewecare/222927978372067/6026022078135583749/6026022078135583749_signature_31.png</t>
  </si>
  <si>
    <t>Don Jose S. Monfort Medical Center Extension Hospital</t>
  </si>
  <si>
    <t>Defective Module B1 760020
New defective module B3 862361</t>
  </si>
  <si>
    <t>New module installed B1 210018929
Clean Fan Filter
IQR,system log and assay stats
Clean Fan</t>
  </si>
  <si>
    <t>Systems operational
Defective module B3</t>
  </si>
  <si>
    <t>https://www.jotform.com/uploads/macarewecare/222927978372067/6025448296121604332/6025448296121604332_signature_28.png</t>
  </si>
  <si>
    <t>https://www.jotform.com/uploads/macarewecare/222927978372067/6025448296121604332/6025448296121604332_signature_31.png</t>
  </si>
  <si>
    <t xml:space="preserve">ASSAY: Xpert MTB/RIF Ultra, COUNT: 4604
ASSAY: Xpert HCV VL, COUNT: 43
ASSAY: Xpert HIV-1 Viral Load, COUNT: 313
</t>
  </si>
  <si>
    <t>XPERTCHECK,  CE-IVD 5 Cartridges/kit</t>
  </si>
  <si>
    <t>https://www.jotform.com/uploads/macarewecare/222927978372067/6025369076831854912/6025369076831854912_signature_28.png</t>
  </si>
  <si>
    <t>https://www.jotform.com/uploads/macarewecare/222927978372067/6025369076831854912/6025369076831854912_signature_31.png</t>
  </si>
  <si>
    <t>XPERCHECK, CE-IVD 5 Catridges/kit</t>
  </si>
  <si>
    <t>https://www.jotform.com/uploads/macarewecare/222927978372067/6025365476836443412/6025365476836443412_signature_28.png</t>
  </si>
  <si>
    <t>https://www.jotform.com/uploads/macarewecare/222927978372067/6025365476836443412/6025365476836443412_signature_31.png</t>
  </si>
  <si>
    <t>New GeneXpert Machine Instalation</t>
  </si>
  <si>
    <t>Save file Installation Qualificatin
Save System Log file</t>
  </si>
  <si>
    <t>.Instal GeneXpert Machine Sr#. 110023533
.Desktop Sr#. CPH1023F47088
.Monitor Display SR. CN0WMYC5FCC0037KCLYA05
.Barcode Scanner Sr. 23103010550606
.UPS sr. AT1K231111ST0004
.Printer Sr. CN3B2431VH</t>
  </si>
  <si>
    <t>https://www.jotform.com/uploads/macarewecare/222927978372067/6025359813221656856/6025359813221656856_signature_28.png</t>
  </si>
  <si>
    <t>Jolyn c. Maloco</t>
  </si>
  <si>
    <t>https://www.jotform.com/uploads/macarewecare/222927978372067/6025359813221656856/6025359813221656856_signature_31.png</t>
  </si>
  <si>
    <t xml:space="preserve">ASSAY: Xpert MTB/RIF Ultra, COUNT: 878
</t>
  </si>
  <si>
    <t>Clean Surface Area, Cartridge Bay, Plunger Rod, Fan Filters, and Icore Lenses 
Generate IQR, Assay Stat and System Log 
Upgrade the version of XpertCheck to 1.5B
Run XPC on four Modules</t>
  </si>
  <si>
    <t>Module B1 B3 : Retry and Passed
Module B2 B4 :Passed
All Modules Passed the Calibration</t>
  </si>
  <si>
    <t>DR 11998</t>
  </si>
  <si>
    <t>https://www.jotform.com/uploads/macarewecare/222927978372067/6025337985573440510/6025337985573440510_signature_28.png</t>
  </si>
  <si>
    <t>https://www.jotform.com/uploads/macarewecare/222927978372067/6025337985573440510/6025337985573440510_signature_31.png</t>
  </si>
  <si>
    <t>cscgenexpert@gmail.com</t>
  </si>
  <si>
    <t xml:space="preserve">ASSAY: Xpert MTB/RIF, COUNT: 1147
ASSAY: Xpert HIV-1 Viral Load, COUNT: 62 
</t>
  </si>
  <si>
    <t>Module 1 SN # 806586 defective</t>
  </si>
  <si>
    <t>Performed module replacement of defective module. 
New module installation SN # :  636355
Performed Maintenance of genexpert machine.
Clean Air Filter
Generate gxx files, IQR, Sys Log
Back-up database.</t>
  </si>
  <si>
    <t>https://www.jotform.com/uploads/macarewecare/222927978372067/6025258203223875841/6025258203223875841_signature_28.png</t>
  </si>
  <si>
    <t>Joseph Lorenzo , RMT</t>
  </si>
  <si>
    <t>https://www.jotform.com/uploads/macarewecare/222927978372067/6025258203223875841/6025258203223875841_signature_31.png</t>
  </si>
  <si>
    <t>Pototan</t>
  </si>
  <si>
    <t>. Module C2,C3 defective 
. Module C4 Hardware fail</t>
  </si>
  <si>
    <t>. Save file system Log
. Save file Installation Qualification
. Save file assay statistics report</t>
  </si>
  <si>
    <t>Replace module C2,C3 with new module's.</t>
  </si>
  <si>
    <t>Module 1,2,3 ok to use. 
Module 4 not ok to use.</t>
  </si>
  <si>
    <t>https://www.jotform.com/uploads/macarewecare/222927978372067/6025220543312170599/6025220543312170599_signature_28.png</t>
  </si>
  <si>
    <t>Rachael Pragale</t>
  </si>
  <si>
    <t>https://www.jotform.com/uploads/macarewecare/222927978372067/6025220543312170599/6025220543312170599_signature_31.png</t>
  </si>
  <si>
    <t xml:space="preserve">ASSAY: Xpert MTB/RIF, COUNT: 1563
</t>
  </si>
  <si>
    <t>Schedule for Calibration for all module.</t>
  </si>
  <si>
    <t>Conduct Calibration B1- Failed, B2/B3/B4- PASSED
Performed Preventive Maintenance 
Clean Air Filter</t>
  </si>
  <si>
    <t>B1- Failed 
B2/B3/B4 - Passed 
All modules are still operational while waiting for replacement for B1.</t>
  </si>
  <si>
    <t>https://www.jotform.com/uploads/macarewecare/222927978372067/6024724503228031345/6024724503228031345_signature_28.png</t>
  </si>
  <si>
    <t>https://www.jotform.com/uploads/macarewecare/222927978372067/6024724503228031345/6024724503228031345_signature_31.png</t>
  </si>
  <si>
    <t xml:space="preserve">ASSAY: Xpert MTB/RIF, COUNT: 1436
ASSAY: Xpert HIV-1 Viral Load, COUNT: 316
ASSAY: Xpert HPV, COUNT: 316
</t>
  </si>
  <si>
    <t>Module 1 SN#  862340 defective due to Error 1002</t>
  </si>
  <si>
    <t>Module Replacement with New Module  SN: 210058064
Generate Gxx files, Sys Log, IQR
Conduct Preventive Maintenance
Clean filter</t>
  </si>
  <si>
    <t>https://www.jotform.com/uploads/macarewecare/222927978372067/6024719403224985498/6024719403224985498_signature_28.png</t>
  </si>
  <si>
    <t>https://www.jotform.com/uploads/macarewecare/222927978372067/6024719403224985498/6024719403224985498_signature_31.png</t>
  </si>
  <si>
    <t>-Replace defective module B2/629373 with module SN: 638306
-Run XpertCheck on module B3</t>
  </si>
  <si>
    <t>Module B3 for replacement. Module B1 and B4 are functional.</t>
  </si>
  <si>
    <t>1 Certified Pre-Owned GeneXpert Module SN. 638306</t>
  </si>
  <si>
    <t>DR no. 11892</t>
  </si>
  <si>
    <t>https://www.jotform.com/uploads/macarewecare/222927978372067/6024597829459119873/6024597829459119873_signature_28.png</t>
  </si>
  <si>
    <t>https://www.jotform.com/uploads/macarewecare/222927978372067/6024597829459119873/6024597829459119873_signature_31.png</t>
  </si>
  <si>
    <t xml:space="preserve">ASSAY: Xpert BCR-ABL Ultra, COUNT: 72
ASSAY: Xpert CT/NG, COUNT: 212
ASSAY: Xpert HBV VL, COUNT: 194
ASSAY: Xpert HPV, COUNT: 25
ASSAY: Xpert MTB/RIF Ultra, COUNT: 1106
ASSAY: Xpert HCV VL, COUNT: 158
ASSAY: Xpert HIV-1 Viral Load, COUNT: 18
</t>
  </si>
  <si>
    <t>https://www.jotform.com/uploads/macarewecare/222927978372067/6024500523229760583/6024500523229760583_signature_28.png</t>
  </si>
  <si>
    <t>https://www.jotform.com/uploads/macarewecare/222927978372067/6024500523229760583/6024500523229760583_signature_31.png</t>
  </si>
  <si>
    <t>Quezon Boulevard, Brgy 23-C Davao City</t>
  </si>
  <si>
    <t xml:space="preserve">ASSAY: Xpert MTB/RIF Ultra, COUNT: 400
</t>
  </si>
  <si>
    <t>Clean Surface Area, Cartridge Bay, Plunger Rod, Fan Filters and Icore Lenses
Generate IQR, Assay Stat and System Log
Upgrade the XPC to Version 1.5b
Run XPC to four Modules</t>
  </si>
  <si>
    <t>Module B2 for Service Required
Modules B1, B3 and B4 Passed
Module B2 for under observation, if error persists enduser was advised to disable the said Module</t>
  </si>
  <si>
    <t>DR 12000</t>
  </si>
  <si>
    <t>https://www.jotform.com/uploads/macarewecare/222927978372067/6024471570517472929/6024471570517472929_signature_28.png</t>
  </si>
  <si>
    <t>https://www.jotform.com/uploads/macarewecare/222927978372067/6024471570517472929/6024471570517472929_signature_31.png</t>
  </si>
  <si>
    <t>https://www.jotform.com/uploads/macarewecare/222927978372067/6024375895112954083/6024375895112954083_signature_28.png</t>
  </si>
  <si>
    <t>mary Ann C. Sudario</t>
  </si>
  <si>
    <t>https://www.jotform.com/uploads/macarewecare/222927978372067/6024375895112954083/6024375895112954083_signature_31.png</t>
  </si>
  <si>
    <t>Medellin, Cebu</t>
  </si>
  <si>
    <t>medellindtc@yahoo.com</t>
  </si>
  <si>
    <t>XpertCheck-CE-IVD</t>
  </si>
  <si>
    <t>DR no. 11986</t>
  </si>
  <si>
    <t>https://www.jotform.com/uploads/macarewecare/222927978372067/6024299374148520996/6024299374148520996_signature_28.png</t>
  </si>
  <si>
    <t>Raul M. Gallano</t>
  </si>
  <si>
    <t>https://www.jotform.com/uploads/macarewecare/222927978372067/6024299374148520996/6024299374148520996_signature_31.png</t>
  </si>
  <si>
    <t>Brgy. West, Dadiangas, General Santos City</t>
  </si>
  <si>
    <t xml:space="preserve">ASSAY: Xpert MTB/RIF Ultra, COUNT: 1269
</t>
  </si>
  <si>
    <t>Perform Genexpert repair 
Perform Genexpert machine Preventive maintenance</t>
  </si>
  <si>
    <t>Repair/replace defective module 1 SN:644744 with new module SN:677306
Perform Genexpert Cleaning and maintenance
Checking of errors 
Data collection</t>
  </si>
  <si>
    <t>Genexpert module 6-color SN:677306</t>
  </si>
  <si>
    <t>DR. Number: 11905</t>
  </si>
  <si>
    <t>https://www.jotform.com/uploads/macarewecare/222927978372067/6023694531222782946/6023694531222782946_signature_28.png</t>
  </si>
  <si>
    <t>Renee Liz Rosa Gomez</t>
  </si>
  <si>
    <t>https://www.jotform.com/uploads/macarewecare/222927978372067/6023694531222782946/6023694531222782946_signature_31.png</t>
  </si>
  <si>
    <t>Tampakan,South Cotabato</t>
  </si>
  <si>
    <t xml:space="preserve">ASSAY: Xpert MTB/RIF Ultra, COUNT: 641
</t>
  </si>
  <si>
    <t>Module 4 for Service Required
Module 2 under observation due to temperature errors</t>
  </si>
  <si>
    <t>Perform Genexpert machine Preventive maintenance 
Genexpert machine repair</t>
  </si>
  <si>
    <t>Replace/repair defective module 4 SN:862222 with new module SN:806160
Perform Genexpert Cleaning and maintenance 
Checking of errors/problem 
Problem/errors reporting 
Data collection</t>
  </si>
  <si>
    <t>Genexpert module 6-color SN:806160</t>
  </si>
  <si>
    <t>Cepheid case: 1481068</t>
  </si>
  <si>
    <t>https://www.jotform.com/uploads/macarewecare/222927978372067/6023694531223306638/6023694531223306638_signature_28.png</t>
  </si>
  <si>
    <t>https://www.jotform.com/uploads/macarewecare/222927978372067/6023694531223306638/6023694531223306638_signature_31.png</t>
  </si>
  <si>
    <t>Poblacion, Datu Odin Sinsuat,  Maguindanao</t>
  </si>
  <si>
    <t>Perform Genexpert Module repair 
Perform Genexpert preventive maintenance</t>
  </si>
  <si>
    <t>Repair/replace defective module 2 SN:807327 with new module SN:643611
Gx ID sticker installation 
Perform Genexpert Cleaning and maintenance
Checking of errors 
Data collection</t>
  </si>
  <si>
    <t>Genexpert module 6-color SN:643611</t>
  </si>
  <si>
    <t>Cepheid case:1527730</t>
  </si>
  <si>
    <t>https://www.jotform.com/uploads/macarewecare/222927978372067/6023694531227688942/6023694531227688942_signature_28.png</t>
  </si>
  <si>
    <t>https://www.jotform.com/uploads/macarewecare/222927978372067/6023694531227688942/6023694531227688942_signature_31.png</t>
  </si>
  <si>
    <t>ajbtrryes@gmail.com</t>
  </si>
  <si>
    <t xml:space="preserve">ASSAY: Xpert MTB/RIF Ultra, COUNT: 1069
</t>
  </si>
  <si>
    <t>PM, cleaned optics, module bay, filter, pkunger rods.</t>
  </si>
  <si>
    <t>Performed Xpertcheck in all modules.</t>
  </si>
  <si>
    <t>All modules Passed Xpertcheck</t>
  </si>
  <si>
    <t>https://www.jotform.com/uploads/macarewecare/222927978372067/6023629764415836149/6023629764415836149_signature_28.png</t>
  </si>
  <si>
    <t>jose ali c. treyes</t>
  </si>
  <si>
    <t>https://www.jotform.com/uploads/macarewecare/222927978372067/6023629764415836149/6023629764415836149_signature_31.png</t>
  </si>
  <si>
    <t>rppadernal@up.edu.ph</t>
  </si>
  <si>
    <t>HAL 100 light source does not power on</t>
  </si>
  <si>
    <t>Replaced halogen bulb</t>
  </si>
  <si>
    <t>Performed additional troubleshooting
Checked fuses
Checked output voltages of power supply</t>
  </si>
  <si>
    <t>Unit is not operational. Isolated the power supply as the problem. Output is only at 4.5V when the output should be 12V</t>
  </si>
  <si>
    <t>Recommended for Power Supply replacement</t>
  </si>
  <si>
    <t>12V 100W Halogen Bulb</t>
  </si>
  <si>
    <t>https://www.jotform.com/uploads/macarewecare/222927978372067/6022757402427421723/6022757402427421723_signature_28.png</t>
  </si>
  <si>
    <t>https://www.jotform.com/uploads/macarewecare/222927978372067/6022757402427421723/6022757402427421723_signature_31.png</t>
  </si>
  <si>
    <t>Cleaned filter, optics, plunger rod, module bays.</t>
  </si>
  <si>
    <t>Paerformed PM and Xpertcheck.</t>
  </si>
  <si>
    <t>Module 4 for replacement 
Modules 1, 2, 3 Passed Xpertcheck</t>
  </si>
  <si>
    <t>https://www.jotform.com/uploads/macarewecare/222927978372067/6022648198691228953/6022648198691228953_signature_28.png</t>
  </si>
  <si>
    <t>Dianne C. Mi-ot, RMT</t>
  </si>
  <si>
    <t>https://www.jotform.com/uploads/macarewecare/222927978372067/6022648198691228953/6022648198691228953_signature_31.png</t>
  </si>
  <si>
    <t>Wilson st,San Juan</t>
  </si>
  <si>
    <t>Encounter system error.
Unusual rotation AC pump motor.</t>
  </si>
  <si>
    <t>Performed repair
Replaced and installed AC pump motor.
Checked calibration parameters.
Performed pump test
Performed functionality test</t>
  </si>
  <si>
    <t>Performed repair.
Lent spare parts AC pump motor</t>
  </si>
  <si>
    <t>For quotation of AC pump motor</t>
  </si>
  <si>
    <t>AC pump motor assy</t>
  </si>
  <si>
    <t>https://www.jotform.com/uploads/macarewecare/222927978372067/6022603467023174484/6022603467023174484_signature_28.png</t>
  </si>
  <si>
    <t>https://www.jotform.com/uploads/macarewecare/222927978372067/6022603467023174484/6022603467023174484_signature_31.png</t>
  </si>
  <si>
    <t>Scout Torillo, Rosario ,Cavite</t>
  </si>
  <si>
    <t>Hard Startup CPU.</t>
  </si>
  <si>
    <t>Checked Software System.
Replaced and Clean RAM for Troubleshooting.
Checked and Restart GX System.
Run Diagnostic Tests for Memory, Storage, and Motherboard.
Replaced Bios Battery.
Generate Reports.</t>
  </si>
  <si>
    <t>All Modules are Operational. CPU for further Observation.</t>
  </si>
  <si>
    <t>https://www.jotform.com/uploads/macarewecare/222927978372067/6022565397023659541/6022565397023659541_signature_28.png</t>
  </si>
  <si>
    <t>https://www.jotform.com/uploads/macarewecare/222927978372067/6022565397023659541/6022565397023659541_signature_31.png</t>
  </si>
  <si>
    <t>Lacson Ave., Manila</t>
  </si>
  <si>
    <t xml:space="preserve">ASSAY: Xpert BCR-ABL Ultra, COUNT: 11
ASSAY: Xpert MTB/RIF Ultra, COUNT: 962
</t>
  </si>
  <si>
    <t>Cleaned Unit's Surface Area.
Cleaned Cartridge Bay, Plunger Rod and Icore Optics.
Checked if Filter is Clogged.
Performed Self-test.
Generate Reports.</t>
  </si>
  <si>
    <t>https://www.jotform.com/uploads/macarewecare/222927978372067/6022565397024137495/6022565397024137495_signature_28.png</t>
  </si>
  <si>
    <t>https://www.jotform.com/uploads/macarewecare/222927978372067/6022565397024137495/6022565397024137495_signature_31.png</t>
  </si>
  <si>
    <t xml:space="preserve">ASSAY: Xpert MTB/RIF Ultra, COUNT: 442
</t>
  </si>
  <si>
    <t>https://www.jotform.com/uploads/macarewecare/222927978372067/6022146161852802649/6022146161852802649_signature_28.png</t>
  </si>
  <si>
    <t>https://www.jotform.com/uploads/macarewecare/222927978372067/6022146161852802649/6022146161852802649_signature_31.png</t>
  </si>
  <si>
    <t>- Cleaned Cartridge Bays, Plunger Rods and I-CORE 
- Replaced Defective Modules B1 808218 &gt;&gt;&gt; 685424 B4 698768 &gt;&gt;&gt; 210091816</t>
  </si>
  <si>
    <t>GeneXpert Modules 685424 &amp; 210091816</t>
  </si>
  <si>
    <t>DR 11915, DR 11925</t>
  </si>
  <si>
    <t>https://www.jotform.com/uploads/macarewecare/222927978372067/6022144661857632352/6022144661857632352_signature_28.png</t>
  </si>
  <si>
    <t>https://www.jotform.com/uploads/macarewecare/222927978372067/6022144661857632352/6022144661857632352_signature_31.png</t>
  </si>
  <si>
    <t>- Cleaned Cartridge Bays, Plunger Rods and I-CORE 
- Replaced Defective Module B4 862532 &gt;&gt;&gt; 676927
- Generated Reports</t>
  </si>
  <si>
    <t>GeneXpert Module 676927</t>
  </si>
  <si>
    <t>DR 11929</t>
  </si>
  <si>
    <t>https://www.jotform.com/uploads/macarewecare/222927978372067/6022143221855702111/6022143221855702111_signature_28.png</t>
  </si>
  <si>
    <t>Marione Klaudette J. Farro</t>
  </si>
  <si>
    <t>https://www.jotform.com/uploads/macarewecare/222927978372067/6022143221855702111/6022143221855702111_signature_31.png</t>
  </si>
  <si>
    <t>jeffreyvrumbaoa@gmail.com</t>
  </si>
  <si>
    <t>For Calibration and Preventive Maintenance</t>
  </si>
  <si>
    <t>Unit is Operational 
Modules unavailable for Calibration</t>
  </si>
  <si>
    <t>https://www.jotform.com/uploads/macarewecare/222927978372067/6022140731855459227/6022140731855459227_signature_28.png</t>
  </si>
  <si>
    <t>Jeffrey V. Rumbaoa</t>
  </si>
  <si>
    <t>https://www.jotform.com/uploads/macarewecare/222927978372067/6022140731855459227/6022140731855459227_signature_31.png</t>
  </si>
  <si>
    <t>Brgy. Calongay, Pilar</t>
  </si>
  <si>
    <t xml:space="preserve">ASSAY: Xpert MTB/RIF Ultra, COUNT: 1234
</t>
  </si>
  <si>
    <t>B1/807683 for module replacement</t>
  </si>
  <si>
    <t>Replaced module: B1 - 807683 &gt;&gt; 210028907
Cleaned cartridge bays, plunger rod, fan filter
Collect data</t>
  </si>
  <si>
    <t>Replaced module B1/807683
Performed Preventive Maintenance</t>
  </si>
  <si>
    <t>https://www.jotform.com/uploads/macarewecare/222927978372067/6021013929945068966/6021013929945068966_signature_28.png</t>
  </si>
  <si>
    <t>https://www.jotform.com/uploads/macarewecare/222927978372067/6021013929945068966/6021013929945068966_signature_31.png</t>
  </si>
  <si>
    <t>CATIGBIAN BOHOL</t>
  </si>
  <si>
    <t>https://www.jotform.com/uploads/macarewecare/222927978372067/6020307409311413657/6020307409311413657_signature_28.png</t>
  </si>
  <si>
    <t>Rheazel G. Ranes</t>
  </si>
  <si>
    <t>https://www.jotform.com/uploads/macarewecare/222927978372067/6020307409311413657/6020307409311413657_signature_31.png</t>
  </si>
  <si>
    <t xml:space="preserve">ASSAY: Xpert BCR-ABL Ultra, COUNT: 48
ASSAY: Xpert MTB/RIF Ultra, COUNT: 2574
ASSAY: Xpert SARS-CoV-2, COUNT: 1751
ASSAY: Xpert SARS-CoV-2, COUNT: 918
</t>
  </si>
  <si>
    <t>GX16 (10C)</t>
  </si>
  <si>
    <t>https://www.jotform.com/uploads/macarewecare/222927978372067/6020201947027616523/6020201947027616523_signature_28.png</t>
  </si>
  <si>
    <t>https://www.jotform.com/uploads/macarewecare/222927978372067/6020201947027616523/6020201947027616523_signature_31.png</t>
  </si>
  <si>
    <t xml:space="preserve">ASSAY: Xpert MTB/RIF Ultra, COUNT: 1527
</t>
  </si>
  <si>
    <t>https://www.jotform.com/uploads/macarewecare/222927978372067/6020194667023798117/6020194667023798117_signature_28.png</t>
  </si>
  <si>
    <t>https://www.jotform.com/uploads/macarewecare/222927978372067/6020194667023798117/6020194667023798117_signature_31.png</t>
  </si>
  <si>
    <t>Dr. Sixto Ave. Pasig City</t>
  </si>
  <si>
    <t xml:space="preserve">ASSAY: Xpert MTB/RIF Ultra, COUNT: 437
</t>
  </si>
  <si>
    <t>https://www.jotform.com/uploads/macarewecare/222927978372067/6020194477029900931/6020194477029900931_signature_28.png</t>
  </si>
  <si>
    <t>https://www.jotform.com/uploads/macarewecare/222927978372067/6020194477029900931/6020194477029900931_signature_31.png</t>
  </si>
  <si>
    <t xml:space="preserve">ASSAY: Xpert MTB/RIF Ultra, COUNT: 558
</t>
  </si>
  <si>
    <t>https://www.jotform.com/uploads/macarewecare/222927978372067/6020194337028135172/6020194337028135172_signature_28.png</t>
  </si>
  <si>
    <t>https://www.jotform.com/uploads/macarewecare/222927978372067/6020194337028135172/6020194337028135172_signature_31.png</t>
  </si>
  <si>
    <t>https://www.jotform.com/uploads/macarewecare/222927978372067/6020193927021383414/6020193927021383414_signature_28.png</t>
  </si>
  <si>
    <t>https://www.jotform.com/uploads/macarewecare/222927978372067/6020193927021383414/6020193927021383414_signature_31.png</t>
  </si>
  <si>
    <t>https://www.jotform.com/uploads/macarewecare/222927978372067/6020193927024354147/6020193927024354147_signature_28.png</t>
  </si>
  <si>
    <t>https://www.jotform.com/uploads/macarewecare/222927978372067/6020193927024354147/6020193927024354147_signature_31.png</t>
  </si>
  <si>
    <t>https://www.jotform.com/uploads/macarewecare/222927978372067/6020193927029320579/6020193927029320579_signature_28.png</t>
  </si>
  <si>
    <t>https://www.jotform.com/uploads/macarewecare/222927978372067/6020193927029320579/6020193927029320579_signature_31.png</t>
  </si>
  <si>
    <t>1005 Aurora Grand,Aurora blvd</t>
  </si>
  <si>
    <t>In House</t>
  </si>
  <si>
    <t>Lenovo M720S</t>
  </si>
  <si>
    <t>CPU booting problem</t>
  </si>
  <si>
    <t>Performed troubleshooting and repair.
Reset all cable.
Cleaned RAM
Cleaned all data.
Checked hard drive.
Performed functionality test</t>
  </si>
  <si>
    <t>Operational.</t>
  </si>
  <si>
    <t>https://www.jotform.com/uploads/macarewecare/222927978372067/6020173367024801520/6020173367024801520_signature_28.png</t>
  </si>
  <si>
    <t>https://www.jotform.com/uploads/macarewecare/222927978372067/6020173367024801520/6020173367024801520_signature_31.png</t>
  </si>
  <si>
    <t xml:space="preserve">ASSAY: Xpert MTB/RIF Ultra, COUNT: 783
</t>
  </si>
  <si>
    <t>ModuleB3 for replacement</t>
  </si>
  <si>
    <t>Performed Preventive maintenance 
Replaced module B3
Generated report</t>
  </si>
  <si>
    <t>Checked and cleaned cartridge bays, plunger rod, icore slot and filter 
Replaced module B3
807295 -&gt; 625372</t>
  </si>
  <si>
    <t>DR 12075</t>
  </si>
  <si>
    <t>https://www.jotform.com/uploads/macarewecare/222927978372067/6020162119561206154/6020162119561206154_signature_28.png</t>
  </si>
  <si>
    <t>https://www.jotform.com/uploads/macarewecare/222927978372067/6020162119561206154/6020162119561206154_signature_31.png</t>
  </si>
  <si>
    <t xml:space="preserve">ASSAY: Xpert MTB/RIF Ultra, COUNT: 2079
</t>
  </si>
  <si>
    <t>All modules passed XPC and is functional.</t>
  </si>
  <si>
    <t>XpertCheck, CE-IVD 5 Cartridges/kit
1001120421 June 01, 2025</t>
  </si>
  <si>
    <t>DR no. 11964</t>
  </si>
  <si>
    <t>https://www.jotform.com/uploads/macarewecare/222927978372067/6020152785488152223/6020152785488152223_signature_28.png</t>
  </si>
  <si>
    <t>Jedieva Lumbab</t>
  </si>
  <si>
    <t>https://www.jotform.com/uploads/macarewecare/222927978372067/6020152785488152223/6020152785488152223_signature_31.png</t>
  </si>
  <si>
    <t>TEODORO B. GALAGAR DISTRICT HOSPITAL</t>
  </si>
  <si>
    <t>JAGNA BOHOL</t>
  </si>
  <si>
    <t>applecpalma09@yahoo.com</t>
  </si>
  <si>
    <t xml:space="preserve">ASSAY: Xpert MTB/RIF Ultra, COUNT: 770
</t>
  </si>
  <si>
    <t>-PERFORM PREVENTIVE MAINTENANCE
-PERFORM MODULE B2 DEF SN:786200 REPLACEMENT WITH NEW SN:660740
-RUN XPERTCHECK CALIBRATION:
ALL MODULES PASSED</t>
  </si>
  <si>
    <t>-GeneXpert Module
-Xpertcheck, CE-IVD 5 Cartridges/kit</t>
  </si>
  <si>
    <t>11903, 11979</t>
  </si>
  <si>
    <t>https://www.jotform.com/uploads/macarewecare/222927978372067/6020039416173124494/6020039416173124494_signature_28.png</t>
  </si>
  <si>
    <t>Therese Arjelin Palma, RMT</t>
  </si>
  <si>
    <t>https://www.jotform.com/uploads/macarewecare/222927978372067/6020039416173124494/6020039416173124494_signature_31.png</t>
  </si>
  <si>
    <t>Almaguer, Bambang, Nueva Vizcaya</t>
  </si>
  <si>
    <t xml:space="preserve">ASSAY: Xpert MTB/RIF Ultra, COUNT: 1115
</t>
  </si>
  <si>
    <t>Module 1 and 2 errors</t>
  </si>
  <si>
    <t>Performed Module Replacement 
B1(650488 - 793131)
B2(674508 - 794253)</t>
  </si>
  <si>
    <t>11868 &amp; 11869</t>
  </si>
  <si>
    <t>https://www.jotform.com/uploads/macarewecare/222927978372067/6019421640916233252/6019421640916233252_signature_28.png</t>
  </si>
  <si>
    <t>https://www.jotform.com/uploads/macarewecare/222927978372067/6019421640916233252/6019421640916233252_signature_31.png</t>
  </si>
  <si>
    <t>CANDIJAY COMMUNITY HOSPITAL</t>
  </si>
  <si>
    <t>CANDIJAY BOHOL</t>
  </si>
  <si>
    <t>REPAIR
MAINTENANCE
GX ID Sticker Installation</t>
  </si>
  <si>
    <t>-PERFORM PREVENTIVE MAINTENANCE PROCEDURE
-PERFORM MODULE REPLACEMENT:
B2 DEF SN: 860993 WITH NEW SN: 662120
B3 DEF SN: 860994 WITH NEW SN: 893616</t>
  </si>
  <si>
    <t>GeneXpert module</t>
  </si>
  <si>
    <t>11877/11902</t>
  </si>
  <si>
    <t>https://www.jotform.com/uploads/macarewecare/222927978372067/6019407414129274024/6019407414129274024_signature_28.png</t>
  </si>
  <si>
    <t>ANGELINA O. REDULLA</t>
  </si>
  <si>
    <t>https://www.jotform.com/uploads/macarewecare/222927978372067/6019407414129274024/6019407414129274024_signature_31.png</t>
  </si>
  <si>
    <t>Velzco St., Zone 1 Poblacion, Libon</t>
  </si>
  <si>
    <t>B2/860937 for module replacement</t>
  </si>
  <si>
    <t>Replaced module: B2 - 860937 &gt;&gt; 645793
Cleaned cartridge bays, plunger rod, Gx fan
Generate Data</t>
  </si>
  <si>
    <t>Replaced module B2/860937
Performed Preventive Maintenance</t>
  </si>
  <si>
    <t>UPS is battery problem, was already stored. Advised end user to collect data for reporting</t>
  </si>
  <si>
    <t>https://www.jotform.com/uploads/macarewecare/222927978372067/6019369760815933249/6019369760815933249_signature_28.png</t>
  </si>
  <si>
    <t>https://www.jotform.com/uploads/macarewecare/222927978372067/6019369760815933249/6019369760815933249_signature_31.png</t>
  </si>
  <si>
    <t>Mayor, Vitaliano Agan Ave, Zamboanga, 7000 Zamboanga del Sur</t>
  </si>
  <si>
    <t>INSTALLATION
Module Replacement</t>
  </si>
  <si>
    <t>supplychain@ciudadmedicalzamboanga.com.ph</t>
  </si>
  <si>
    <t xml:space="preserve">ASSAY: Xpert CT/NG, COUNT: 3
ASSAY: Xpert HBV VL, COUNT: 51
ASSAY: Xpert MTB/RIF Ultra, COUNT: 348
ASSAY: Xpert MTB/RIF Ultra, COUNT: 28
</t>
  </si>
  <si>
    <t>Module 2 gives an error of 1002, 2005 and 4009 all related to temperature problem.</t>
  </si>
  <si>
    <t>Replaced module 781102 with new module 210118423.</t>
  </si>
  <si>
    <t>All modules 1 and 2 are working properly.</t>
  </si>
  <si>
    <t>900-0508</t>
  </si>
  <si>
    <t>https://www.jotform.com/uploads/macarewecare/222927978372067/6019351868299726171/6019351868299726171_signature_28.png</t>
  </si>
  <si>
    <t>https://www.jotform.com/uploads/macarewecare/222927978372067/6019351868299726171/6019351868299726171_signature_31.png</t>
  </si>
  <si>
    <t>Module B2 for repair
For Preventive Maintenance and XpertCheck Calibration</t>
  </si>
  <si>
    <t>Clean Surface Area, Cartridge Bay, Plunger Rod, Fan Filters and Icore Lenses
Generate IQR, Assay Stat and System Log
Replaced the Defective Module SN:806397 with new Module SN: 685453
Run XpertCheck on Modules 1, 3 and 4</t>
  </si>
  <si>
    <t>Perform Preventive Maintenance, Module Repair and Calibration</t>
  </si>
  <si>
    <t>Module 4 for Service Required
Module 1 and 3
Module 2 skipped newly replaced module
Only Three Modules arw operational
Data sent to Cepheid for Further Assessment</t>
  </si>
  <si>
    <t>900-0491rs
XpertCheck CE 5</t>
  </si>
  <si>
    <t>DR 11909 and DR 12004</t>
  </si>
  <si>
    <t>https://www.jotform.com/uploads/macarewecare/222927978372067/6019331831487438906/6019331831487438906_signature_28.png</t>
  </si>
  <si>
    <t>Pamela Joyce Sustento,. RMT</t>
  </si>
  <si>
    <t>https://www.jotform.com/uploads/macarewecare/222927978372067/6019331831487438906/6019331831487438906_signature_31.png</t>
  </si>
  <si>
    <t>South Road Property, Cebu</t>
  </si>
  <si>
    <t>Clean Fan Filter
Xpertcheck all modules
IQR, System log, GXC file</t>
  </si>
  <si>
    <t>https://www.jotform.com/uploads/macarewecare/222927978372067/6019233927675390381/6019233927675390381_signature_28.png</t>
  </si>
  <si>
    <t>https://www.jotform.com/uploads/macarewecare/222927978372067/6019233927675390381/6019233927675390381_signature_31.png</t>
  </si>
  <si>
    <t>Poblacion Cagayan City</t>
  </si>
  <si>
    <t>. Module B1 serial number 808130 defective
. Due for Xpertcheck</t>
  </si>
  <si>
    <t>. Save Installation Qualification Report
. System Log 
. Save GXC file
. Save Assay stat</t>
  </si>
  <si>
    <t>.Replace module B1 with new module.
. Perform Xpertcheck for module B2, B3, B4 only.</t>
  </si>
  <si>
    <t>Module B3,B4 fail for calibration 
Module B2 passed for calibration
Module B1 new module functional ok to use.</t>
  </si>
  <si>
    <t>https://www.jotform.com/uploads/macarewecare/222927978372067/6019233184324360022/6019233184324360022_signature_28.png</t>
  </si>
  <si>
    <t>https://www.jotform.com/uploads/macarewecare/222927978372067/6019233184324360022/6019233184324360022_signature_31.png</t>
  </si>
  <si>
    <t>27 Ofelia St., Ofelia Village, Brgy. Project 8, Quezon City</t>
  </si>
  <si>
    <t>finance@likhaan.org</t>
  </si>
  <si>
    <t>GXIV - II - 10C L</t>
  </si>
  <si>
    <t>Setup and installed GX and accessories 
Performed PM
Generated report</t>
  </si>
  <si>
    <t>Unbox GX and accessories
Setup GX and accessories 
Setup user admin</t>
  </si>
  <si>
    <t>U it is operational 
All modules working</t>
  </si>
  <si>
    <t>https://www.jotform.com/uploads/macarewecare/222927978372067/6019197044515472087/6019197044515472087_signature_28.png</t>
  </si>
  <si>
    <t>Ronith Susi</t>
  </si>
  <si>
    <t>https://www.jotform.com/uploads/macarewecare/222927978372067/6019197044515472087/6019197044515472087_signature_31.png</t>
  </si>
  <si>
    <t>eslabrajan02@gmail.com</t>
  </si>
  <si>
    <t xml:space="preserve">ASSAY: Xpert MTB/RIF Ultra, COUNT: 726
</t>
  </si>
  <si>
    <t>Module 3 errors</t>
  </si>
  <si>
    <t>Performed Module Replacement
B3(862506 - 210091171)</t>
  </si>
  <si>
    <t>https://www.jotform.com/uploads/macarewecare/222927978372067/6019145494825087969/6019145494825087969_signature_28.png</t>
  </si>
  <si>
    <t>Jan Anthony Eslabra</t>
  </si>
  <si>
    <t>https://www.jotform.com/uploads/macarewecare/222927978372067/6019145494825087969/6019145494825087969_signature_31.png</t>
  </si>
  <si>
    <t>Poblacion Laguindingan</t>
  </si>
  <si>
    <t>. Module B1 stuckup cartridge
. Due for Xpertcheck
. Module B3 defective serial number 863072</t>
  </si>
  <si>
    <t>. Save Installation Qualifications Report before and after. 
. Save Assay stat
. Save GXC file
. Save system Log</t>
  </si>
  <si>
    <t>. Pullout cartridge inside the module B1
. Perform Xpertch for module B2 &amp; B3
. Replace Module B3 with new module</t>
  </si>
  <si>
    <t>https://www.jotform.com/uploads/macarewecare/222927978372067/6019144884323148728/6019144884323148728_signature_28.png</t>
  </si>
  <si>
    <t>CLINT RHEEVEN MAGRAMO</t>
  </si>
  <si>
    <t>https://www.jotform.com/uploads/macarewecare/222927978372067/6019144884323148728/6019144884323148728_signature_31.png</t>
  </si>
  <si>
    <t>CONG. SIMEON G. TORIBIO MEMORIAL HOSPITAL</t>
  </si>
  <si>
    <t>CARMEN BOHOL</t>
  </si>
  <si>
    <t xml:space="preserve">ASSAY: Xpert MTB/RIF Ultra, COUNT: 769
</t>
  </si>
  <si>
    <t>https://www.jotform.com/uploads/macarewecare/222927978372067/6018707696211130590/6018707696211130590_signature_28.png</t>
  </si>
  <si>
    <t>HIMAYA VALE,RMT</t>
  </si>
  <si>
    <t>https://www.jotform.com/uploads/macarewecare/222927978372067/6018707696211130590/6018707696211130590_signature_31.png</t>
  </si>
  <si>
    <t>GARCIA MEMORIAL PROVINCIAL HOSPITAL</t>
  </si>
  <si>
    <t>TALIBON, BOHOL</t>
  </si>
  <si>
    <t xml:space="preserve">ASSAY: Xpert MTB/RIF Ultra, COUNT: 1404
</t>
  </si>
  <si>
    <t>https://www.jotform.com/uploads/macarewecare/222927978372067/6018701546216237422/6018701546216237422_signature_28.png</t>
  </si>
  <si>
    <t>ROSALINA A. YBANEZ</t>
  </si>
  <si>
    <t>https://www.jotform.com/uploads/macarewecare/222927978372067/6018701546216237422/6018701546216237422_signature_31.png</t>
  </si>
  <si>
    <t>Corner E. Quirino, Camus Street Davao City</t>
  </si>
  <si>
    <t>Due for Preventive Maintenance
Due for Annual Calibration
Module 2 encounter temperature related error</t>
  </si>
  <si>
    <t>Clean Surface Area, Cartridge Bay, Plunger Rod, Fan Filters and Icore Lenses
Generate IQR, Assay Stat and System Log
Replaced the Defective Module SN: 791145 with new Module SN:684209
Upgrade the XpertCheck to newer version 1.5B
Run XpertCheck Calibration on Three Modules</t>
  </si>
  <si>
    <t>Perform Preventive Maintenance, Module Repair, and XpertCheck Calibration</t>
  </si>
  <si>
    <t>Module B1 and B4 Passed the Calibration
Module 2 Skipped since newly replaced
Module 3 Retry and For Service Required
Module 3 for under observation</t>
  </si>
  <si>
    <t>Errors will be sent to Cepheid for further Assessment</t>
  </si>
  <si>
    <t>900-0491rs
XpertCheck CE - 5</t>
  </si>
  <si>
    <t>DR 11906 AND DR 11999</t>
  </si>
  <si>
    <t>https://www.jotform.com/uploads/macarewecare/222927978372067/6018527035222119631/6018527035222119631_signature_28.png</t>
  </si>
  <si>
    <t>Arlene P. Alconera,. RMT</t>
  </si>
  <si>
    <t>https://www.jotform.com/uploads/macarewecare/222927978372067/6018527035222119631/6018527035222119631_signature_31.png</t>
  </si>
  <si>
    <t xml:space="preserve">ASSAY: Xpert MTB/RIF Ultra, COUNT: 413
</t>
  </si>
  <si>
    <t>UPS Problem
Module 2 errors</t>
  </si>
  <si>
    <t>Performed UPS Troubleshooting 
Performed Module Replacement 
B2(862459 - 669254)</t>
  </si>
  <si>
    <t>https://www.jotform.com/uploads/macarewecare/222927978372067/6018468034824512043/6018468034824512043_signature_28.png</t>
  </si>
  <si>
    <t>https://www.jotform.com/uploads/macarewecare/222927978372067/6018468034824512043/6018468034824512043_signature_31.png</t>
  </si>
  <si>
    <t xml:space="preserve">ASSAY: Xpert MTB/RIF Ultra, COUNT: 1854
</t>
  </si>
  <si>
    <t>https://www.jotform.com/uploads/macarewecare/222927978372067/6018433323857062891/6018433323857062891_signature_28.png</t>
  </si>
  <si>
    <t>https://www.jotform.com/uploads/macarewecare/222927978372067/6018433323857062891/6018433323857062891_signature_31.png</t>
  </si>
  <si>
    <t>Smart, Gonzaga, Cagayan</t>
  </si>
  <si>
    <t xml:space="preserve">ASSAY: Xpert MTB/RIF Ultra, COUNT: 2224
</t>
  </si>
  <si>
    <t>UPS PROBLEM</t>
  </si>
  <si>
    <t>Performed Maintenance 
Performed Module Replacement
B3(861932 - 667514)
Gathered Reports 
Performed Functionality Test</t>
  </si>
  <si>
    <t>https://www.jotform.com/uploads/macarewecare/222927978372067/6018381528418085464/6018381528418085464_signature_28.png</t>
  </si>
  <si>
    <t>https://www.jotform.com/uploads/macarewecare/222927978372067/6018381528418085464/6018381528418085464_signature_31.png</t>
  </si>
  <si>
    <t>Wilson st., San juan</t>
  </si>
  <si>
    <t>As per end user they encounter intermittent system error.
AC pump motor sudden unusual rotation during pump test and simulation test</t>
  </si>
  <si>
    <t>Checked unit,
Checked calibration parameters
Checked and cleaned pump rotor
Performed and obeserved simulation testing. 
During simulation testing safety system error encountered.
Possible defective AC pump motor.</t>
  </si>
  <si>
    <t>Unit unoperational 
For further repair and problem isolation</t>
  </si>
  <si>
    <t>AC pump motor assy for possible replacement</t>
  </si>
  <si>
    <t>https://www.jotform.com/uploads/macarewecare/222927978372067/6017636187015031206/6017636187015031206_signature_28.png</t>
  </si>
  <si>
    <t>FidelTejada</t>
  </si>
  <si>
    <t>https://www.jotform.com/uploads/macarewecare/222927978372067/6017636187015031206/6017636187015031206_signature_31.png</t>
  </si>
  <si>
    <t>Bulanao Centro, Tabuk City, Kalinga</t>
  </si>
  <si>
    <t>Module 1 errors</t>
  </si>
  <si>
    <t>Performed Module Replacement 
B1(686593 - 693927)</t>
  </si>
  <si>
    <t>https://www.jotform.com/uploads/macarewecare/222927978372067/6017635492375503101/6017635492375503101_signature_28.png</t>
  </si>
  <si>
    <t>https://www.jotform.com/uploads/macarewecare/222927978372067/6017635492375503101/6017635492375503101_signature_31.png</t>
  </si>
  <si>
    <t>lalaine.batalla@gmail.com</t>
  </si>
  <si>
    <t>For XpertCheck 
Module B2 for replacement</t>
  </si>
  <si>
    <t>Replaced module B2
Run XpertCheck</t>
  </si>
  <si>
    <t>Performed maintenance 
Cleaned:
-cartridge bay 
-plunger rod 
-icore
Replaced filter
Replaced module B2
Run XpertCheck 
Generated reports</t>
  </si>
  <si>
    <t>Unit is operational. All modules operational. Modules B1, B3 and B4 passed. Module B2 newly replaced.</t>
  </si>
  <si>
    <t>Old: B2/807273
New: B2/797006</t>
  </si>
  <si>
    <t>DR# 11870, DR# 11793</t>
  </si>
  <si>
    <t>https://www.jotform.com/uploads/macarewecare/222927978372067/6017620929922371768/6017620929922371768_signature_28.png</t>
  </si>
  <si>
    <t>LALAINE V. BATALLA,RMT</t>
  </si>
  <si>
    <t>https://www.jotform.com/uploads/macarewecare/222927978372067/6017620929922371768/6017620929922371768_signature_31.png</t>
  </si>
  <si>
    <t>San Pablo, Calabanga</t>
  </si>
  <si>
    <t>Lang</t>
  </si>
  <si>
    <t>B1/807565 for module replacement</t>
  </si>
  <si>
    <t>Replaced Module: B1 - 807565 &gt;&gt; 693641
Cleaned cartridge bays, plunger rod, icore
Generate Data</t>
  </si>
  <si>
    <t>Replaced module B1/807565
Performed Preventive Maintenance</t>
  </si>
  <si>
    <t>https://www.jotform.com/uploads/macarewecare/222927978372067/6017599338324809799/6017599338324809799_signature_28.png</t>
  </si>
  <si>
    <t>https://www.jotform.com/uploads/macarewecare/222927978372067/6017599338324809799/6017599338324809799_signature_31.png</t>
  </si>
  <si>
    <t>Module 1 and Module 2 encounter multiple temperature related errors
Due for Preventive Maintenance</t>
  </si>
  <si>
    <t>Clean Surface Area, Cartridge Bay, Plunger Rod, Fan Filters and Icore Lenses
Generate IQR, Assay Stat and System Log
Replaced the Defective Module SN: 861015 with new Module SN: 872183
Replaced the Defective Module SN: 692438 with new Module SN:685132</t>
  </si>
  <si>
    <t>Only Three Modules are operational
Module 4 encounter temperature related errors
Errors sent to Cepheid for further Assessment</t>
  </si>
  <si>
    <t>DR 11876 and DR 11927</t>
  </si>
  <si>
    <t>https://www.jotform.com/uploads/macarewecare/222927978372067/6017592617407675667/6017592617407675667_signature_28.png</t>
  </si>
  <si>
    <t>Rosemarie Dy RMT</t>
  </si>
  <si>
    <t>https://www.jotform.com/uploads/macarewecare/222927978372067/6017592617407675667/6017592617407675667_signature_31.png</t>
  </si>
  <si>
    <t>Tondo Foreshore Super Health Centee</t>
  </si>
  <si>
    <t>Preventive maintenance, troubleshooting and repair.</t>
  </si>
  <si>
    <t>Performed Preventive Maintenance.
-Cleaned and disinfect plunger
-Cleaned and disinfect cartridge bay
-Cleaned and disinfect instrument surface
-Cleaned icore sensors
-Cleaned filter fan
-Archived test results
Performed troubleshooting and repair of monitor.
Replaced HDMI cable.
Generated reports.</t>
  </si>
  <si>
    <t>Unit is operational. Monitor is now operational.</t>
  </si>
  <si>
    <t>https://www.jotform.com/uploads/macarewecare/222927978372067/6017524724013937245/6017524724013937245_signature_28.png</t>
  </si>
  <si>
    <t>https://www.jotform.com/uploads/macarewecare/222927978372067/6017524724013937245/6017524724013937245_signature_31.png</t>
  </si>
  <si>
    <t>Module B4/861165 Defective</t>
  </si>
  <si>
    <t>- Performed preventive maintenance 
- Module replacement B4/861165 into 640214
- Performed functionality test 
- Generate IQR and System log</t>
  </si>
  <si>
    <t>1 Genexpert Module</t>
  </si>
  <si>
    <t>https://www.jotform.com/uploads/macarewecare/222927978372067/6017508406653760022/6017508406653760022_signature_28.png</t>
  </si>
  <si>
    <t>lorna C.abaigar</t>
  </si>
  <si>
    <t>https://www.jotform.com/uploads/macarewecare/222927978372067/6017508406653760022/6017508406653760022_signature_31.png</t>
  </si>
  <si>
    <t>Magsaysay, Alicia, Isabela</t>
  </si>
  <si>
    <t>Performed Module Replacement 
B3(807773 - 860270)</t>
  </si>
  <si>
    <t>https://www.jotform.com/uploads/macarewecare/222927978372067/6017453036518593724/6017453036518593724_signature_28.png</t>
  </si>
  <si>
    <t>Jesile Reymunda Valdez</t>
  </si>
  <si>
    <t>https://www.jotform.com/uploads/macarewecare/222927978372067/6017453036518593724/6017453036518593724_signature_31.png</t>
  </si>
  <si>
    <t>Poro, Camotes Island</t>
  </si>
  <si>
    <t>Defective Module 3
Auto adjustment eroor in monitor</t>
  </si>
  <si>
    <t>New module 3 installed
Troubleshoot monitor
Clean Fan filter
IQR and System log data</t>
  </si>
  <si>
    <t>Genexpert Systems operational
Need CMOS battery for CPU</t>
  </si>
  <si>
    <t>https://www.jotform.com/uploads/macarewecare/222927978372067/6017450946743264060/6017450946743264060_signature_28.png</t>
  </si>
  <si>
    <t>https://www.jotform.com/uploads/macarewecare/222927978372067/6017450946743264060/6017450946743264060_signature_31.png</t>
  </si>
  <si>
    <t>Module D4</t>
  </si>
  <si>
    <t>New Module D4 installed 674714
Clean Fan Filter
Gx Data IQR and system log</t>
  </si>
  <si>
    <t>Systems operational
High Ambient temperature up to 32C</t>
  </si>
  <si>
    <t>https://www.jotform.com/uploads/macarewecare/222927978372067/6017450346747677049/6017450346747677049_signature_28.png</t>
  </si>
  <si>
    <t>https://www.jotform.com/uploads/macarewecare/222927978372067/6017450346747677049/6017450346747677049_signature_31.png</t>
  </si>
  <si>
    <t>Balaman rural health unit</t>
  </si>
  <si>
    <t>Pullout GeneXpert Machine System</t>
  </si>
  <si>
    <t>Pullout GeneXpert Machine Transfer to Naga City.</t>
  </si>
  <si>
    <t>Pullout Printer Serial number KMMK20508
. Pullout Keyboard CT: BEXHP0BCP51CYP
. Pullout Voltage regulator Model number SVC
. Pullout LCD serial number CNK9430322
. Pullout CPU serial number *CPH0520F08544*
. UPS serial number AT1000190402ST0391</t>
  </si>
  <si>
    <t>. Pullout Printer Serial number KMMK20508
. Pullout Keyboard CT: BEXHP0BCP51CYP
. Pullout Voltage regulator Model number SVC
. Pullout LCD serial number CNK9430322
. Pullout CPU serial number *CPH0520F08544*
. UPS serial number AT1000190402ST0391</t>
  </si>
  <si>
    <t>https://www.jotform.com/uploads/macarewecare/222927978372067/6017445883418198788/6017445883418198788_signature_28.png</t>
  </si>
  <si>
    <t>https://www.jotform.com/uploads/macarewecare/222927978372067/6017445883418198788/6017445883418198788_signature_31.png</t>
  </si>
  <si>
    <t>covivido211@gmail.com</t>
  </si>
  <si>
    <t>Gx ID sticker installation 
Perform Genexpert Cleaning and maintenance 
Checking of errors/problem 
Data collection</t>
  </si>
  <si>
    <t>4 functional module</t>
  </si>
  <si>
    <t>https://www.jotform.com/uploads/macarewecare/222927978372067/6016996836868785137/6016996836868785137_signature_28.png</t>
  </si>
  <si>
    <t>ROLAN E. COLOMA</t>
  </si>
  <si>
    <t>https://www.jotform.com/uploads/macarewecare/222927978372067/6016996836868785137/6016996836868785137_signature_31.png</t>
  </si>
  <si>
    <t>Defective module B3/862087.</t>
  </si>
  <si>
    <t>Precentive Maintenance. Cleaned optics, filter, module bay areas, plunger rods.</t>
  </si>
  <si>
    <t>Replaced Module B3 with new module SN 625627.</t>
  </si>
  <si>
    <t>https://www.jotform.com/uploads/macarewecare/222927978372067/6016796041527945313/6016796041527945313_signature_28.png</t>
  </si>
  <si>
    <t>https://www.jotform.com/uploads/macarewecare/222927978372067/6016796041527945313/6016796041527945313_signature_31.png</t>
  </si>
  <si>
    <t>https://www.jotform.com/uploads/macarewecare/222927978372067/6016784783618296414/6016784783618296414_signature_28.png</t>
  </si>
  <si>
    <t>https://www.jotform.com/uploads/macarewecare/222927978372067/6016784783618296414/6016784783618296414_signature_31.png</t>
  </si>
  <si>
    <t>Module C4 (692507) booting problem for further troubleshooting</t>
  </si>
  <si>
    <t>Swapped C4 (692507) with C1 (882201)</t>
  </si>
  <si>
    <t>Unit is operational
Module 692507 under observation</t>
  </si>
  <si>
    <t>https://www.jotform.com/uploads/macarewecare/222927978372067/6016784493617122991/6016784493617122991_signature_28.png</t>
  </si>
  <si>
    <t>https://www.jotform.com/uploads/macarewecare/222927978372067/6016784493617122991/6016784493617122991_signature_31.png</t>
  </si>
  <si>
    <t>https://www.jotform.com/uploads/macarewecare/222927978372067/6016784173619879963/6016784173619879963_signature_28.png</t>
  </si>
  <si>
    <t>https://www.jotform.com/uploads/macarewecare/222927978372067/6016784173619879963/6016784173619879963_signature_31.png</t>
  </si>
  <si>
    <t>Unit is operational
Defective UPS for pull out</t>
  </si>
  <si>
    <t>Accupower 1000VA UPS
SN: AT1K240323ST0015</t>
  </si>
  <si>
    <t>https://www.jotform.com/uploads/macarewecare/222927978372067/6016783923615114871/6016783923615114871_signature_28.png</t>
  </si>
  <si>
    <t>https://www.jotform.com/uploads/macarewecare/222927978372067/6016783923615114871/6016783923615114871_signature_31.png</t>
  </si>
  <si>
    <t>Diduyon, Maddela, Quirino</t>
  </si>
  <si>
    <t xml:space="preserve">ASSAY: Xpert MTB/RIF Ultra, COUNT: 316
</t>
  </si>
  <si>
    <t>Module 1 Errors</t>
  </si>
  <si>
    <t>Performed Module Replacement
B1(861013 - 655523)</t>
  </si>
  <si>
    <t>https://www.jotform.com/uploads/macarewecare/222927978372067/6016739503522450715/6016739503522450715_signature_28.png</t>
  </si>
  <si>
    <t>DONNA MAY CAN̈EGA</t>
  </si>
  <si>
    <t>https://www.jotform.com/uploads/macarewecare/222927978372067/6016739503522450715/6016739503522450715_signature_31.png</t>
  </si>
  <si>
    <t xml:space="preserve">ASSAY: Xpert MTB/RIF Ultra, COUNT: 295
ASSAY: Xpert HIV-1 Viral Load, COUNT: 1306
ASSAY: Xpert HBV VL, COUNT: 9
</t>
  </si>
  <si>
    <t>Module 2 and Module 4 for Repair
For Preventive Maintenance</t>
  </si>
  <si>
    <t>Clean Surface Area, Cartridge Bay, Plunger Rod, Fan Filters, and Icore Lenses
Generate IQR, Assay Stat and System Log
Replaced the Defective Module SN: 807733 with new Module SN:210042937
Replaced the Defective Module SN 807952 with new Module SN : 210043526</t>
  </si>
  <si>
    <t>DR 11878 and DR 11879</t>
  </si>
  <si>
    <t>https://www.jotform.com/uploads/macarewecare/222927978372067/6016710377402783053/6016710377402783053_signature_28.png</t>
  </si>
  <si>
    <t>Kent Ferolin</t>
  </si>
  <si>
    <t>https://www.jotform.com/uploads/macarewecare/222927978372067/6016710377402783053/6016710377402783053_signature_31.png</t>
  </si>
  <si>
    <t>Three Modules are operational</t>
  </si>
  <si>
    <t>https://www.jotform.com/uploads/macarewecare/222927978372067/6016709697407439973/6016709697407439973_signature_28.png</t>
  </si>
  <si>
    <t>Kent G. Ferolin</t>
  </si>
  <si>
    <t>https://www.jotform.com/uploads/macarewecare/222927978372067/6016709697407439973/6016709697407439973_signature_31.png</t>
  </si>
  <si>
    <t xml:space="preserve">ASSAY: Xpert MTB/RIF Ultra, COUNT: 832
</t>
  </si>
  <si>
    <t>- Cleaned Cartridge Bays, Plunger Rods and I-CORE 
- Replaced Defective Module B4 761595 &gt;&gt;&gt; 675665
- Generated Reports</t>
  </si>
  <si>
    <t>GeneXpert Module 675665</t>
  </si>
  <si>
    <t>DR 11898</t>
  </si>
  <si>
    <t>https://www.jotform.com/uploads/macarewecare/222927978372067/6016708631858509517/6016708631858509517_signature_28.png</t>
  </si>
  <si>
    <t>https://www.jotform.com/uploads/macarewecare/222927978372067/6016708631858509517/6016708631858509517_signature_31.png</t>
  </si>
  <si>
    <t>- Cleaned Cartridge Bays, Plunger Rods and I-CORE 
- Replaced Defective Module B4 210045938 &gt;&gt;&gt;644959
- Generated Reports</t>
  </si>
  <si>
    <t>GeneXpert Module 644959</t>
  </si>
  <si>
    <t>DR 11897</t>
  </si>
  <si>
    <t>https://www.jotform.com/uploads/macarewecare/222927978372067/6016707481855989627/6016707481855989627_signature_28.png</t>
  </si>
  <si>
    <t>Charmi faith p. Ines</t>
  </si>
  <si>
    <t>https://www.jotform.com/uploads/macarewecare/222927978372067/6016707481855989627/6016707481855989627_signature_31.png</t>
  </si>
  <si>
    <t>- Cleaned Cartridge Bays, Plunger Rods and I-CORE 
- Replaced Defective Module B3 806441 &gt;&gt;&gt;624493
- Generated Reports</t>
  </si>
  <si>
    <t>Replaced Defective Module</t>
  </si>
  <si>
    <t>GeneXpert Module 624493</t>
  </si>
  <si>
    <t>DR 11888</t>
  </si>
  <si>
    <t>https://www.jotform.com/uploads/macarewecare/222927978372067/6016706511852308997/6016706511852308997_signature_28.png</t>
  </si>
  <si>
    <t>https://www.jotform.com/uploads/macarewecare/222927978372067/6016706511852308997/6016706511852308997_signature_31.png</t>
  </si>
  <si>
    <t>Scollt Torillo St., Rosario, Cavite</t>
  </si>
  <si>
    <t xml:space="preserve">ASSAY: Xpert MTB/RIF Ultra, COUNT: 1129
</t>
  </si>
  <si>
    <t>Modules 2 and 3 with Problem/Disabled.</t>
  </si>
  <si>
    <t>Cleaned Cartridge Bay, Plunger Rod and Replaced Filter.
Replaced Modules 2 and 3.
Performed Functionality Test.
Performed Self-test.
Generate Reports.</t>
  </si>
  <si>
    <t>Def: 683305&amp;732613 , New: 622319&amp;782590</t>
  </si>
  <si>
    <t>GX Module Kit 6-C</t>
  </si>
  <si>
    <t>11920 &amp; 11914</t>
  </si>
  <si>
    <t>https://www.jotform.com/uploads/macarewecare/222927978372067/6016703413619986059/6016703413619986059_signature_28.png</t>
  </si>
  <si>
    <t>https://www.jotform.com/uploads/macarewecare/222927978372067/6016703413619986059/6016703413619986059_signature_31.png</t>
  </si>
  <si>
    <t xml:space="preserve">ASSAY: Xpert MTB/RIF Ultra, COUNT: 738
</t>
  </si>
  <si>
    <t>- Cleaned Cartridge Bays, Plunger Rods and I-CORE 
- Replaced Defective Module B1 861502 &gt;&gt;&gt; 638011
- Performed Troubleshooting on newly replaced Module 
- Generated Reports</t>
  </si>
  <si>
    <t>GeneXpert Module 638011</t>
  </si>
  <si>
    <t>DR 11891</t>
  </si>
  <si>
    <t>https://www.jotform.com/uploads/macarewecare/222927978372067/6016703361855117571/6016703361855117571_signature_28.png</t>
  </si>
  <si>
    <t>https://www.jotform.com/uploads/macarewecare/222927978372067/6016703361855117571/6016703361855117571_signature_31.png</t>
  </si>
  <si>
    <t xml:space="preserve">ASSAY: Xpert MTB/RIF Ultra, COUNT: 1369
</t>
  </si>
  <si>
    <t>- Cleaned Cartridge Bays, Plunger Rods and I-CORE 
- Replaced Defective Module B2 862041 &gt;&gt;&gt; 615896
- Generated Reports</t>
  </si>
  <si>
    <t>GeneXpert Module 862041</t>
  </si>
  <si>
    <t>DR 11887</t>
  </si>
  <si>
    <t>https://www.jotform.com/uploads/macarewecare/222927978372067/6016700711857330196/6016700711857330196_signature_28.png</t>
  </si>
  <si>
    <t>https://www.jotform.com/uploads/macarewecare/222927978372067/6016700711857330196/6016700711857330196_signature_31.png</t>
  </si>
  <si>
    <t xml:space="preserve">ASSAY: Xpert MTB/RIF Ultra, COUNT: 985
</t>
  </si>
  <si>
    <t>- Cleaned Cartridge Bays, Plunger Rods and I-CORE 
- Replaced Defective Module B1 862034 &gt;&gt;&gt; 652028
- Generated Reports</t>
  </si>
  <si>
    <t>GeneXpert Module 652028</t>
  </si>
  <si>
    <t>DR 11896</t>
  </si>
  <si>
    <t>https://www.jotform.com/uploads/macarewecare/222927978372067/6016699731857885149/6016699731857885149_signature_28.png</t>
  </si>
  <si>
    <t>https://www.jotform.com/uploads/macarewecare/222927978372067/6016699731857885149/6016699731857885149_signature_31.png</t>
  </si>
  <si>
    <t xml:space="preserve">ASSAY: Xpert MTB/RIF Ultra, COUNT: 193
ASSAY: Others, COUNT: 8
</t>
  </si>
  <si>
    <t>-Frequent Error 5007
-For Preventive Maintenance</t>
  </si>
  <si>
    <t>https://www.jotform.com/uploads/macarewecare/222927978372067/6016698021852603290/6016698021852603290_signature_28.png</t>
  </si>
  <si>
    <t>https://www.jotform.com/uploads/macarewecare/222927978372067/6016698021852603290/6016698021852603290_signature_31.png</t>
  </si>
  <si>
    <t xml:space="preserve">ASSAY: Xpert MTB/RIF Ultra, COUNT: 1176
</t>
  </si>
  <si>
    <t>Module B2/617811 Defective</t>
  </si>
  <si>
    <t>- Module replacement B2/617811 into 794426
- Performed preventive maintenance 
- Performed functionality test</t>
  </si>
  <si>
    <t>https://www.jotform.com/uploads/macarewecare/222927978372067/6016625420616651062/6016625420616651062_signature_28.png</t>
  </si>
  <si>
    <t>https://www.jotform.com/uploads/macarewecare/222927978372067/6016625420616651062/6016625420616651062_signature_31.png</t>
  </si>
  <si>
    <t xml:space="preserve">ASSAY: Xpert MTB/RIF Ultra, COUNT: 7171
</t>
  </si>
  <si>
    <t>Defective module B3/806656.</t>
  </si>
  <si>
    <t>Precentive Maintenance
- clean optics, filter, module bay area, pkunger.</t>
  </si>
  <si>
    <t>Replaced Module B3 with new module SN 210074294.</t>
  </si>
  <si>
    <t>Genexpert module 6c, PN 900-0491RS.</t>
  </si>
  <si>
    <t>DR 11883</t>
  </si>
  <si>
    <t>https://www.jotform.com/uploads/macarewecare/222927978372067/6016554155984176231/6016554155984176231_signature_28.png</t>
  </si>
  <si>
    <t>Danica Escorpion</t>
  </si>
  <si>
    <t>https://www.jotform.com/uploads/macarewecare/222927978372067/6016554155984176231/6016554155984176231_signature_31.png</t>
  </si>
  <si>
    <t>https://www.jotform.com/uploads/macarewecare/222927978372067/6016522423614687658/6016522423614687658_signature_28.png</t>
  </si>
  <si>
    <t>Carla Nikka L. Sisno</t>
  </si>
  <si>
    <t>https://www.jotform.com/uploads/macarewecare/222927978372067/6016522423614687658/6016522423614687658_signature_31.png</t>
  </si>
  <si>
    <t>dynrhernandez@gmail.com</t>
  </si>
  <si>
    <t xml:space="preserve">ASSAY: Others, COUNT: 2
ASSAY: Xpert HPV, COUNT: 30
ASSAY: Xpert MTB/RIF Ultra, COUNT: 167
ASSAY: Xpert SARS-CoV-2, COUNT: 1446
ASSAY: Xpert HIV-1 Viral Load, COUNT: 2
</t>
  </si>
  <si>
    <t>Unit is operational. Modules A1/860941, A2/860940, B3/702534, B4/860923, C2/668748, C3/662448, D1/860832, D3/860742 not operational, for replacement. Module D4/661946 has error 2014, for reporting.</t>
  </si>
  <si>
    <t>https://www.jotform.com/uploads/macarewecare/222927978372067/6016522423616760969/6016522423616760969_signature_28.png</t>
  </si>
  <si>
    <t>Dayanara C Hernandez</t>
  </si>
  <si>
    <t>https://www.jotform.com/uploads/macarewecare/222927978372067/6016522423616760969/6016522423616760969_signature_31.png</t>
  </si>
  <si>
    <t xml:space="preserve">ASSAY: Xpert MTB/RIF Ultra, COUNT: 2086
</t>
  </si>
  <si>
    <t>Gx4-6C</t>
  </si>
  <si>
    <t>CPU Power Supply Problem</t>
  </si>
  <si>
    <t>Perform Genexpert CPU repair</t>
  </si>
  <si>
    <t>Repair/replace Genexpert Cpu power supply</t>
  </si>
  <si>
    <t>https://www.jotform.com/uploads/macarewecare/222927978372067/6016140816864632595/6016140816864632595_signature_28.png</t>
  </si>
  <si>
    <t>Ma. Luisa Francisco</t>
  </si>
  <si>
    <t>https://www.jotform.com/uploads/macarewecare/222927978372067/6016140816864632595/6016140816864632595_signature_31.png</t>
  </si>
  <si>
    <t xml:space="preserve">ASSAY: Xpert MTB/RIF Ultra, COUNT: 2684
</t>
  </si>
  <si>
    <t>B2 disabled due to 5007 error</t>
  </si>
  <si>
    <t>B2 disabled
B1,B3,B4 operational</t>
  </si>
  <si>
    <t>https://www.jotform.com/uploads/macarewecare/222927978372067/6014696366521679342/6014696366521679342_signature_28.png</t>
  </si>
  <si>
    <t>https://www.jotform.com/uploads/macarewecare/222927978372067/6014696366521679342/6014696366521679342_signature_31.png</t>
  </si>
  <si>
    <t>As per end user they encounter bowl breakage during process</t>
  </si>
  <si>
    <t>Cleaned unit
Cleaned centrifuge 
Checked program parameters
Checked and adjust line sensor value
Checked rollers,dpm,spm,centrifuge,weigher
Performed functionality test
Performed simulation running</t>
  </si>
  <si>
    <t>Troubleshooting and maintenance</t>
  </si>
  <si>
    <t>https://www.jotform.com/uploads/macarewecare/222927978372067/6014695906521338225/6014695906521338225_signature_28.png</t>
  </si>
  <si>
    <t>https://www.jotform.com/uploads/macarewecare/222927978372067/6014695906521338225/6014695906521338225_signature_31.png</t>
  </si>
  <si>
    <t>San Lazaro Hospital (SACCL)</t>
  </si>
  <si>
    <t>Quericada,Manila</t>
  </si>
  <si>
    <t>Saccl</t>
  </si>
  <si>
    <t>estrellesb@yahoo.com</t>
  </si>
  <si>
    <t xml:space="preserve">ASSAY: Xpert HBV VL, COUNT: 273
ASSAY: Xpert HCV VL, COUNT: 17
ASSAY: Xpert HIV-1 Viral Load, COUNT: 65
</t>
  </si>
  <si>
    <t>Work with Gian Paolo</t>
  </si>
  <si>
    <t>https://www.jotform.com/uploads/macarewecare/222927978372067/6014239289745620369/6014239289745620369_signature_28.png</t>
  </si>
  <si>
    <t>Blessie estrelles</t>
  </si>
  <si>
    <t>https://www.jotform.com/uploads/macarewecare/222927978372067/6014239289745620369/6014239289745620369_signature_31.png</t>
  </si>
  <si>
    <t>Module B1, B3 and B4 for repair
For Preventive Maintenance 
UPS Troubleshooting and Gx sticker installation</t>
  </si>
  <si>
    <t>Clean Surface Area, Cartridge Bay, Plunger Rod, Fan Filters and Icore Lenses
Generate IQR, Assay Stat, and System Log
Replaced the Defective Module SN 694881 with new Module 659601
Replaced the Defective Module SN 618174 with new Module SN 696367
Replaced the Defective Module SN 612606 with new Module SN 651048
Reset network connection and gateway board
Reset UPS connections and test line battery voltages</t>
  </si>
  <si>
    <t>Perform Preventive Maintenance, Module Repair, Module Troubleshooting, UPS Troubleshooting and GX Sticker Installation</t>
  </si>
  <si>
    <t>New Module B1 encounter hardware failure, not detected by the GeneXpert Software even it is swap to other module bay. Documented the issue to be sent at Cepheid for further assessment
Module B3 and B4 are successfully replaced.
Only 3 Modules are operational 
UPS still not having response of any charging or led status changes, faulty UPS with SN:AT1000190402ST0483</t>
  </si>
  <si>
    <t>Item code 900-0491rs  GX-IV 6C module</t>
  </si>
  <si>
    <t>DR 11932 DR 11993 DR 11856</t>
  </si>
  <si>
    <t>https://www.jotform.com/uploads/macarewecare/222927978372067/6014187076912641341/6014187076912641341_signature_28.png</t>
  </si>
  <si>
    <t>Cristina Tiara Aguilar</t>
  </si>
  <si>
    <t>https://www.jotform.com/uploads/macarewecare/222927978372067/6014187076912641341/6014187076912641341_signature_31.png</t>
  </si>
  <si>
    <t>Module B2/607968, B4/718686 for module replacement</t>
  </si>
  <si>
    <t>Replaced module:
   B2 - 607968 &gt;&gt; 732943
   B4 - 718686 &gt;&gt; 909230
Cleaned cartridge bays, plunger rod, gx fan
Generate Data</t>
  </si>
  <si>
    <t>Replaced module B2/607968, B4/718686
Performed Preventive Maintenance</t>
  </si>
  <si>
    <t>Uni is operational</t>
  </si>
  <si>
    <t>https://www.jotform.com/uploads/macarewecare/222927978372067/6014174650614612509/6014174650614612509_signature_28.png</t>
  </si>
  <si>
    <t>https://www.jotform.com/uploads/macarewecare/222927978372067/6014174650614612509/6014174650614612509_signature_31.png</t>
  </si>
  <si>
    <t>REPAIR
MAINTENANCE
Installation of GX ID sticker</t>
  </si>
  <si>
    <t xml:space="preserve">ASSAY: Xpert MTB/RIF Ultra, COUNT: 384
</t>
  </si>
  <si>
    <t>Keyboard and mouse not working properly</t>
  </si>
  <si>
    <t>Replaced keyboard and mouse batteries, Preventive maintenence, Installation of GX ID sticker</t>
  </si>
  <si>
    <t>Replaced keyboard and mouse batteries, Preventive maintenence, Installation of GX ID sticker.</t>
  </si>
  <si>
    <t>All modules are available, mouse and keyboard are working properly.</t>
  </si>
  <si>
    <t>https://www.jotform.com/uploads/macarewecare/222927978372067/6014073864213080809/6014073864213080809_signature_28.png</t>
  </si>
  <si>
    <t>https://www.jotform.com/uploads/macarewecare/222927978372067/6014073864213080809/6014073864213080809_signature_31.png</t>
  </si>
  <si>
    <t>DR. Garcia St. Pasig City</t>
  </si>
  <si>
    <t xml:space="preserve">ASSAY: Xpert HIV-1 Viral Load, COUNT: 791
</t>
  </si>
  <si>
    <t>Unit is operational. Modules A1, A2 and A4 not operational, reported already.</t>
  </si>
  <si>
    <t>https://www.jotform.com/uploads/macarewecare/222927978372067/6014048107274725183/6014048107274725183_signature_28.png</t>
  </si>
  <si>
    <t>DAN SUMULONG</t>
  </si>
  <si>
    <t>https://www.jotform.com/uploads/macarewecare/222927978372067/6014048107274725183/6014048107274725183_signature_31.png</t>
  </si>
  <si>
    <t>Ortigas ave</t>
  </si>
  <si>
    <t xml:space="preserve">ASSAY: Xpert BCR-ABL Ultra, COUNT: 44
ASSAY: Xpert CT/NG, COUNT: 71
ASSAY: Others, COUNT: 1
ASSAY: Xpert HBV VL, COUNT: 589
ASSAY: Xpert HPV, COUNT: 445
ASSAY: Xpert MTB/RIF Ultra, COUNT: 5434
ASSAY: Others, COUNT: 1
ASSAY: Xpert HCV VL, COUNT: 87
ASSAY: Xpert HIV-1 Viral Load, COUNT: 700
ASSAY: Xpert SARS-CoV-2, COUNT: 1105
</t>
  </si>
  <si>
    <t>Performed maintenance 
Cleaned:
-cartridge bay 
-plunger rod 
-icore
-filter
Replaced module B4
Generated reports</t>
  </si>
  <si>
    <t>Old: B4/210082262
New: B4/872864</t>
  </si>
  <si>
    <t>DR# 11913</t>
  </si>
  <si>
    <t>https://www.jotform.com/uploads/macarewecare/222927978372067/6013280323292151965/6013280323292151965_signature_28.png</t>
  </si>
  <si>
    <t>Ashley espiel</t>
  </si>
  <si>
    <t>https://www.jotform.com/uploads/macarewecare/222927978372067/6013280323292151965/6013280323292151965_signature_31.png</t>
  </si>
  <si>
    <t xml:space="preserve">ASSAY: Xpert HBV VL, COUNT: 140
ASSAY: Xpert HPV, COUNT: 35
ASSAY: Xpert MTB/RIF Ultra, COUNT: 1130
</t>
  </si>
  <si>
    <t>Unit is operational. Module B3 not operational, disabled. For possible replacement.</t>
  </si>
  <si>
    <t>Module B3/210066495 service required. Modules B1 and B4 newly replaced.</t>
  </si>
  <si>
    <t>XpertCheck kit</t>
  </si>
  <si>
    <t>SI# 098703</t>
  </si>
  <si>
    <t>https://www.jotform.com/uploads/macarewecare/222927978372067/6013280323294993912/6013280323294993912_signature_28.png</t>
  </si>
  <si>
    <t>Ellaine Mare Gatchalia</t>
  </si>
  <si>
    <t>https://www.jotform.com/uploads/macarewecare/222927978372067/6013280323294993912/6013280323294993912_signature_31.png</t>
  </si>
  <si>
    <t>Ortigas Avenue, Pasig City</t>
  </si>
  <si>
    <t>Performed maintenance 
Run simulation 
Checked rotor pumps
Verified calibration parameters 
Functionality test</t>
  </si>
  <si>
    <t>https://www.jotform.com/uploads/macarewecare/222927978372067/6013280323292680936/6013280323292680936_signature_28.png</t>
  </si>
  <si>
    <t>Maricka Viloria</t>
  </si>
  <si>
    <t>https://www.jotform.com/uploads/macarewecare/222927978372067/6013280323292680936/6013280323292680936_signature_31.png</t>
  </si>
  <si>
    <t>https://www.jotform.com/uploads/macarewecare/222927978372067/6013280323298670101/6013280323298670101_signature_28.png</t>
  </si>
  <si>
    <t>https://www.jotform.com/uploads/macarewecare/222927978372067/6013280323298670101/6013280323298670101_signature_31.png</t>
  </si>
  <si>
    <t>PONTEVEDRA RURAL HEALTH UNIT</t>
  </si>
  <si>
    <t>PONTEVEDRA, CAPIZ</t>
  </si>
  <si>
    <t>CALIBRATION
MAINTENANCE
GX ID Sticker Installation</t>
  </si>
  <si>
    <t xml:space="preserve">ASSAY: Xpert MTB/RIF Ultra, COUNT: 998
</t>
  </si>
  <si>
    <t>https://www.jotform.com/uploads/macarewecare/222927978372067/6013272612716632772/6013272612716632772_signature_28.png</t>
  </si>
  <si>
    <t>https://www.jotform.com/uploads/macarewecare/222927978372067/6013272612716632772/6013272612716632772_signature_31.png</t>
  </si>
  <si>
    <t>Poblacion Dinas, Zamboanga del sur</t>
  </si>
  <si>
    <t>Module 4 h/w failed and monitor discolouration.</t>
  </si>
  <si>
    <t>Replaced VGA cord, Preventive maintenance, data collection for module 4 h/w failed, GX ID Barcode sticker installation</t>
  </si>
  <si>
    <t>Replaced VGA cord, Preventive maintenance, data collection for module 4 h/w failed, GX ID Barcode sticker installation.</t>
  </si>
  <si>
    <t>Modules 1, 2 and 2 are available while module 4 is h/w failed.</t>
  </si>
  <si>
    <t>Module 4 must be replaced.</t>
  </si>
  <si>
    <t>https://www.jotform.com/uploads/macarewecare/222927978372067/6013230484119959986/6013230484119959986_signature_28.png</t>
  </si>
  <si>
    <t>https://www.jotform.com/uploads/macarewecare/222927978372067/6013230484119959986/6013230484119959986_signature_31.png</t>
  </si>
  <si>
    <t>Caraycayon, Tigaon, Camarines Sur</t>
  </si>
  <si>
    <t xml:space="preserve">ASSAY: Xpert MTB/RIF Ultra, COUNT: 880
</t>
  </si>
  <si>
    <t>B1/862620, B3/862622, B4/695719 request for module replacement (temperature error)
Date and time reset
CPU not turning</t>
  </si>
  <si>
    <t>Replaced Module:
   B1 - 862620 &gt;&gt; 734388
   B3 - 862622 &gt;&gt; 733402
   B4 - 695719 &gt;&gt; 614067
Replaced coin-cell battery for Date &amp; time in CPU 
CPU: cleaned ram and placed in other port
Cleaned cartridge bays, plunger rod, fan, icore
Generate Data</t>
  </si>
  <si>
    <t>Replaced module B1/862620, B3/862622, B4/695719
Replaced coin-cell battery for date and time in cpu
Performed troubleshootingon CPU 
Performed Preventive Maintenance</t>
  </si>
  <si>
    <t>https://www.jotform.com/uploads/macarewecare/222927978372067/6013222016321401157/6013222016321401157_signature_28.png</t>
  </si>
  <si>
    <t>https://www.jotform.com/uploads/macarewecare/222927978372067/6013222016321401157/6013222016321401157_signature_31.png</t>
  </si>
  <si>
    <t>MAINTENANCE
["[\"GX ID Sticker Installation \",\"GX ID Sticker Installation \"]","[\"GX ID Sticker Installation \",\"GX ID Sticker Installation \"]"]</t>
  </si>
  <si>
    <t>-Preventive Maintenance
-GeneXpert ID Sticker Installation
-Upgrade XpertCheck software version to 1.5b</t>
  </si>
  <si>
    <t>https://www.jotform.com/uploads/macarewecare/222927978372067/6013220206159852402/6013220206159852402_signature_28.png</t>
  </si>
  <si>
    <t>https://www.jotform.com/uploads/macarewecare/222927978372067/6013220206159852402/6013220206159852402_signature_31.png</t>
  </si>
  <si>
    <t>Rhucalbig@gmail.com</t>
  </si>
  <si>
    <t>Unit is operational (Fan Filter for replacement)</t>
  </si>
  <si>
    <t>https://www.jotform.com/uploads/macarewecare/222927978372067/6013199741141595277/6013199741141595277_signature_28.png</t>
  </si>
  <si>
    <t>vanessa mabag</t>
  </si>
  <si>
    <t>https://www.jotform.com/uploads/macarewecare/222927978372067/6013199741141595277/6013199741141595277_signature_31.png</t>
  </si>
  <si>
    <t>Balamban rural health unit</t>
  </si>
  <si>
    <t>climaco.mildred@yahoo.comm</t>
  </si>
  <si>
    <t>Defective module B3 serial number 807124, B4 serial number 806389</t>
  </si>
  <si>
    <t>. Save Installation Qualification. 
. Save System Log
. Save Assay Stat</t>
  </si>
  <si>
    <t>Replace module B3,B4 with new serial number 688963,685825</t>
  </si>
  <si>
    <t>All modules are finctional ok to use.</t>
  </si>
  <si>
    <t>https://www.jotform.com/uploads/macarewecare/222927978372067/6013133312512513571/6013133312512513571_signature_28.png</t>
  </si>
  <si>
    <t>https://www.jotform.com/uploads/macarewecare/222927978372067/6013133312512513571/6013133312512513571_signature_31.png</t>
  </si>
  <si>
    <t xml:space="preserve">ASSAY: Xpert MTB/RIF Ultra, COUNT: 1923
</t>
  </si>
  <si>
    <t>Unit for preventive maintenance.
For module replacement of B2 and B3.</t>
  </si>
  <si>
    <t>GX module B2 (692810) and B3 (623515) in replacement to defective B2 (750024) and B3 (687052).</t>
  </si>
  <si>
    <t>DR# 11928 &amp; 11924</t>
  </si>
  <si>
    <t>https://www.jotform.com/uploads/macarewecare/222927978372067/6013125417714703451/6013125417714703451_signature_28.png</t>
  </si>
  <si>
    <t>https://www.jotform.com/uploads/macarewecare/222927978372067/6013125417714703451/6013125417714703451_signature_31.png</t>
  </si>
  <si>
    <t>ALTAVAS RURAL HEALTH UNIT</t>
  </si>
  <si>
    <t>ALTAVAS, AKLAN</t>
  </si>
  <si>
    <t>-XPERTCHECK, CE-IVD 5 CARTRIDGES/kit
-GX Fan Filter</t>
  </si>
  <si>
    <t>https://www.jotform.com/uploads/macarewecare/222927978372067/6012476842713380482/6012476842713380482_signature_28.png</t>
  </si>
  <si>
    <t>MA. NYCOLE S. BENEDICTO, RMT</t>
  </si>
  <si>
    <t>https://www.jotform.com/uploads/macarewecare/222927978372067/6012476842713380482/6012476842713380482_signature_31.png</t>
  </si>
  <si>
    <t>LIBACAO RURAL HEALTH UNIT</t>
  </si>
  <si>
    <t>LIBACAO, AKLAN</t>
  </si>
  <si>
    <t xml:space="preserve">ASSAY: Xpert MTB/RIF Ultra, COUNT: 362
</t>
  </si>
  <si>
    <t>https://www.jotform.com/uploads/macarewecare/222927978372067/6012470182714609476/6012470182714609476_signature_28.png</t>
  </si>
  <si>
    <t>Ma. Hala Deed Estanislao</t>
  </si>
  <si>
    <t>https://www.jotform.com/uploads/macarewecare/222927978372067/6012470182714609476/6012470182714609476_signature_31.png</t>
  </si>
  <si>
    <t>Talisay District Hospital</t>
  </si>
  <si>
    <t>mkrystelshean@gmail.com</t>
  </si>
  <si>
    <t>Module B4 Hardware fail</t>
  </si>
  <si>
    <t>Module B4 passed for Xpertchec. 
.Save Installation Qualification Reports 
. Save System Log
. Save Assay stat</t>
  </si>
  <si>
    <t>Perform Xpertcheck for module B4</t>
  </si>
  <si>
    <t>. Module B1 not ok to use
. Module B2, B3, B4 ok to use</t>
  </si>
  <si>
    <t>https://www.jotform.com/uploads/macarewecare/222927978372067/6012446794922659620/6012446794922659620_signature_28.png</t>
  </si>
  <si>
    <t>https://www.jotform.com/uploads/macarewecare/222927978372067/6012446794922659620/6012446794922659620_signature_31.png</t>
  </si>
  <si>
    <t>Unit turned off during operation</t>
  </si>
  <si>
    <t>Performed basic troubleshooting of GeneXpert 
Checked UPS functionality</t>
  </si>
  <si>
    <t>Unit is operational using newer UPS from customer. Original UPS has functionality issue with constant alarm, probably due to age of UPS.</t>
  </si>
  <si>
    <t>https://www.jotform.com/uploads/macarewecare/222927978372067/6012418841932386311/6012418841932386311_signature_28.png</t>
  </si>
  <si>
    <t>https://www.jotform.com/uploads/macarewecare/222927978372067/6012418841932386311/6012418841932386311_signature_31.png</t>
  </si>
  <si>
    <t>667 UN Ave. Ermita, Manila</t>
  </si>
  <si>
    <t xml:space="preserve">ASSAY: Xpert CT/NG, COUNT: 86
ASSAY: Xpert HBV VL, COUNT: 91
ASSAY: Xpert HPV, COUNT: 28
ASSAY: Xpert MTB/RIF Ultra, COUNT: 1297
ASSAY: Xpert HCV VL, COUNT: 12
ASSAY: Xpert HIV-1 Viral Load, COUNT: 111
</t>
  </si>
  <si>
    <t>End user asked assistance for printer replacement</t>
  </si>
  <si>
    <t>Performed PM
Replaced printer</t>
  </si>
  <si>
    <t>Checked and cleaned cartridge bays, plunger rod, icore slot and filter
Replaced printer
HP deskjet 2337 -&gt; HP 2135</t>
  </si>
  <si>
    <t>https://www.jotform.com/uploads/macarewecare/222927978372067/6012409422316677442/6012409422316677442_signature_28.png</t>
  </si>
  <si>
    <t>Dyan valois</t>
  </si>
  <si>
    <t>https://www.jotform.com/uploads/macarewecare/222927978372067/6012409422316677442/6012409422316677442_signature_31.png</t>
  </si>
  <si>
    <t>PhilExport Compound, Pasay City</t>
  </si>
  <si>
    <t>NCR 4th - Pasay</t>
  </si>
  <si>
    <t>BPI - One Stop Export Documentation Center</t>
  </si>
  <si>
    <t>jamoragennielyn14@gmail.com</t>
  </si>
  <si>
    <t>Installed Stemi 305
Installed 2x attachment</t>
  </si>
  <si>
    <t>https://www.jotform.com/uploads/macarewecare/222927978372067/6012384941618173166/6012384941618173166_signature_28.png</t>
  </si>
  <si>
    <t>GENNIELYN R JAMORA</t>
  </si>
  <si>
    <t>https://www.jotform.com/uploads/macarewecare/222927978372067/6012384941618173166/6012384941618173166_signature_31.png</t>
  </si>
  <si>
    <t>02A087</t>
  </si>
  <si>
    <t>CRC bios failed</t>
  </si>
  <si>
    <t>Replaced and installed CPU board 
Performed calibration
Performed functionality test</t>
  </si>
  <si>
    <t>CPU board s/n MM021214853</t>
  </si>
  <si>
    <t>https://www.jotform.com/uploads/macarewecare/222927978372067/6012384353613949185/6012384353613949185_signature_28.png</t>
  </si>
  <si>
    <t>https://www.jotform.com/uploads/macarewecare/222927978372067/6012384353613949185/6012384353613949185_signature_31.png</t>
  </si>
  <si>
    <t>Poblacion Alicia</t>
  </si>
  <si>
    <t>REPAIR
CALIBRATION
MAINTENANCE
Installation of GX ID barcode sticker</t>
  </si>
  <si>
    <t>artubag33@yahoo.com</t>
  </si>
  <si>
    <t xml:space="preserve">ASSAY: Xpert MTB/RIF Ultra, COUNT: 809
</t>
  </si>
  <si>
    <t>CPU unable to turn on properly.</t>
  </si>
  <si>
    <t>Replaced CMOS battery of CPU, Preventive maintenence, Replaced batteries of keyboard and mouse and undergone Xpertcheck calibration. Installation of GX ID sticker</t>
  </si>
  <si>
    <t>Genexpert filter must be replaced. Module 1 and 3 passed while module 2 service required and Module 4 suggested for retry.</t>
  </si>
  <si>
    <t>Genexpert filter must be replaced.</t>
  </si>
  <si>
    <t>https://www.jotform.com/uploads/macarewecare/222927978372067/6012375990718564335/6012375990718564335_signature_28.png</t>
  </si>
  <si>
    <t>https://www.jotform.com/uploads/macarewecare/222927978372067/6012375990718564335/6012375990718564335_signature_31.png</t>
  </si>
  <si>
    <t>Module B4 defective</t>
  </si>
  <si>
    <t>-Replace defective module B4/862188 with module SN: 637284</t>
  </si>
  <si>
    <t>DR no. 11890</t>
  </si>
  <si>
    <t>https://www.jotform.com/uploads/macarewecare/222927978372067/6012262268916330834/6012262268916330834_signature_28.png</t>
  </si>
  <si>
    <t>https://www.jotform.com/uploads/macarewecare/222927978372067/6012262268916330834/6012262268916330834_signature_31.png</t>
  </si>
  <si>
    <t>For Preventive Maintenance and GX Sticker Installation</t>
  </si>
  <si>
    <t>Clean Surface Area, Cartridge Bay, Plunger Rod, Fan Filters, and Icore Lenses
Generate IQR, Assay Stat and System Log
Install GX Sticker</t>
  </si>
  <si>
    <t>Perform Preventive Maintenance and GX Sticker Installation</t>
  </si>
  <si>
    <t>https://www.jotform.com/uploads/macarewecare/222927978372067/6011621006318329772/6011621006318329772_signature_28.png</t>
  </si>
  <si>
    <t>Charlene V. Magallanes, RMT</t>
  </si>
  <si>
    <t>https://www.jotform.com/uploads/macarewecare/222927978372067/6011621006318329772/6011621006318329772_signature_31.png</t>
  </si>
  <si>
    <t>DR. RAFAEL S. TUMBOKON MEMORIAL HOSPITAL</t>
  </si>
  <si>
    <t>MAINTENANCE
GX STICKER ID</t>
  </si>
  <si>
    <t xml:space="preserve">ASSAY: Xpert BCR-ABL Ultra, COUNT: 547
ASSAY: Xpert HIV-1 Viral Load, COUNT: 419
</t>
  </si>
  <si>
    <t>https://www.jotform.com/uploads/macarewecare/222927978372067/6011597652327557646/6011597652327557646_signature_28.png</t>
  </si>
  <si>
    <t>Eva Raquel Gonzaga, RMT</t>
  </si>
  <si>
    <t>https://www.jotform.com/uploads/macarewecare/222927978372067/6011597652327557646/6011597652327557646_signature_31.png</t>
  </si>
  <si>
    <t xml:space="preserve">ASSAY: Xpert BCR-ABL Ultra, COUNT: 11
ASSAY: Xpert HBV VL, COUNT: 47
ASSAY: Xpert MTB/RIF Ultra, COUNT: 1086
ASSAY: Xpert SARS-CoV-2, COUNT: 378
ASSAY: Xpert HCV VL, COUNT: 27
ASSAY: Xpert HIV-1 Viral Load, COUNT: 14
</t>
  </si>
  <si>
    <t>https://www.jotform.com/uploads/macarewecare/222927978372067/6011507161222999032/6011507161222999032_signature_28.png</t>
  </si>
  <si>
    <t>Karen Ringler RMT</t>
  </si>
  <si>
    <t>https://www.jotform.com/uploads/macarewecare/222927978372067/6011507161222999032/6011507161222999032_signature_31.png</t>
  </si>
  <si>
    <t xml:space="preserve">ASSAY: Xpert BCR-ABL Ultra, COUNT: 1
ASSAY: Xpert HBV VL, COUNT: 7
ASSAY: Xpert MTB/RIF Ultra, COUNT: 633
ASSAY: Xpert HCV VL, COUNT: 4
ASSAY: Xpert HIV-1 Viral Load, COUNT: 19
</t>
  </si>
  <si>
    <t>https://www.jotform.com/uploads/macarewecare/222927978372067/6011497071228901552/6011497071228901552_signature_28.png</t>
  </si>
  <si>
    <t>https://www.jotform.com/uploads/macarewecare/222927978372067/6011497071228901552/6011497071228901552_signature_31.png</t>
  </si>
  <si>
    <t>REPAIR
MAINTENANCE
GX ID Barcode Installation</t>
  </si>
  <si>
    <t xml:space="preserve">ASSAY: Xpert MTB/RIF Ultra, COUNT: 705
</t>
  </si>
  <si>
    <t>Keyboard unable to work properly</t>
  </si>
  <si>
    <t>Preventive Maintenence, GX ID Barcode Installation and replacement of keyboard batteries. Data collection.</t>
  </si>
  <si>
    <t>All modules are available and working properly</t>
  </si>
  <si>
    <t>https://www.jotform.com/uploads/macarewecare/222927978372067/6011439505329113024/6011439505329113024_signature_28.png</t>
  </si>
  <si>
    <t>Aldrin L.Acain</t>
  </si>
  <si>
    <t>https://www.jotform.com/uploads/macarewecare/222927978372067/6011439505329113024/6011439505329113024_signature_31.png</t>
  </si>
  <si>
    <t>Cong. Simeon G. Toribio Memorial Hospital</t>
  </si>
  <si>
    <t>MAINTENANCE
GX ID Sticker Installation</t>
  </si>
  <si>
    <t>-Preventive Maintenance
-GX ID Sticker Installation
-Upgrade XpertCheck Software to version 1.5b</t>
  </si>
  <si>
    <t>https://www.jotform.com/uploads/macarewecare/222927978372067/6011414176793643213/6011414176793643213_signature_28.png</t>
  </si>
  <si>
    <t>https://www.jotform.com/uploads/macarewecare/222927978372067/6011414176793643213/6011414176793643213_signature_31.png</t>
  </si>
  <si>
    <t>1005 Aurora Grand, Aurora blvd QC</t>
  </si>
  <si>
    <t>Replaced and installtion CPU board and safety board.
Performed calibration .
Test run unit</t>
  </si>
  <si>
    <t>CPU board s/n C121304219
Safety board s/n C031363275</t>
  </si>
  <si>
    <t>https://www.jotform.com/uploads/macarewecare/222927978372067/6011359433611213175/6011359433611213175_signature_28.png</t>
  </si>
  <si>
    <t>Macare Medicals Inc.</t>
  </si>
  <si>
    <t>https://www.jotform.com/uploads/macarewecare/222927978372067/6011359433611213175/6011359433611213175_signature_31.png</t>
  </si>
  <si>
    <t>UPS problem</t>
  </si>
  <si>
    <t>Unit is operational
Unit is temporarily plugged to other unit's UPS
UPS for replacement (SN: AT1000190123ST0184)</t>
  </si>
  <si>
    <t>https://www.jotform.com/uploads/macarewecare/222927978372067/6011335433619357540/6011335433619357540_signature_28.png</t>
  </si>
  <si>
    <t>https://www.jotform.com/uploads/macarewecare/222927978372067/6011335433619357540/6011335433619357540_signature_31.png</t>
  </si>
  <si>
    <t>Unit for maintenance
Module C4 for checkup</t>
  </si>
  <si>
    <t>Unit is operational
Unable to generate IQR due to error on C4
C4 waiting for module allocation</t>
  </si>
  <si>
    <t>https://www.jotform.com/uploads/macarewecare/222927978372067/6011335203612994555/6011335203612994555_signature_28.png</t>
  </si>
  <si>
    <t>https://www.jotform.com/uploads/macarewecare/222927978372067/6011335203612994555/6011335203612994555_signature_31.png</t>
  </si>
  <si>
    <t>Unit for maintenance
A1 for checkup</t>
  </si>
  <si>
    <t>Unit is operational
Waiting for module allocation for A1</t>
  </si>
  <si>
    <t>https://www.jotform.com/uploads/macarewecare/222927978372067/6011334993612000518/6011334993612000518_signature_28.png</t>
  </si>
  <si>
    <t>https://www.jotform.com/uploads/macarewecare/222927978372067/6011334993612000518/6011334993612000518_signature_31.png</t>
  </si>
  <si>
    <t>Blood and AC pump error</t>
  </si>
  <si>
    <t>Rotor roller pumps for AC, WBC, RBC for replacement</t>
  </si>
  <si>
    <t>Unit is temporarily not operational</t>
  </si>
  <si>
    <t>https://www.jotform.com/uploads/macarewecare/222927978372067/6011306793612267569/6011306793612267569_signature_28.png</t>
  </si>
  <si>
    <t>https://www.jotform.com/uploads/macarewecare/222927978372067/6011306793612267569/6011306793612267569_signature_31.png</t>
  </si>
  <si>
    <t xml:space="preserve">ASSAY: Xpert SARS-CoV-2, COUNT: 10583
</t>
  </si>
  <si>
    <t>Module 2 and 4 H/W failed</t>
  </si>
  <si>
    <t>Gx ID sticker installation 
Perform Genexpert Cleaning and maintenance 
Checking of errors/problem 
Problem/errors reporting 
Data collection</t>
  </si>
  <si>
    <t>2 functional modules</t>
  </si>
  <si>
    <t>https://www.jotform.com/uploads/macarewecare/222927978372067/6010948699497259121/6010948699497259121_signature_28.png</t>
  </si>
  <si>
    <t>https://www.jotform.com/uploads/macarewecare/222927978372067/6010948699497259121/6010948699497259121_signature_31.png</t>
  </si>
  <si>
    <t>Minglanilla rhu1</t>
  </si>
  <si>
    <t>Defective Module B4 Sr. Number 862341</t>
  </si>
  <si>
    <t>Replace module</t>
  </si>
  <si>
    <t>Replace module B4 with new serial number 684155</t>
  </si>
  <si>
    <t>B1 not ok to use B2, B3, B4 ok to use.</t>
  </si>
  <si>
    <t>https://www.jotform.com/uploads/macarewecare/222927978372067/6010716886118347376/6010716886118347376_signature_28.png</t>
  </si>
  <si>
    <t>Brenda G. Paredes</t>
  </si>
  <si>
    <t>https://www.jotform.com/uploads/macarewecare/222927978372067/6010716886118347376/6010716886118347376_signature_31.png</t>
  </si>
  <si>
    <t xml:space="preserve">ASSAY: Xpert BCR-ABL Ultra, COUNT: 3
ASSAY: Xpert CT/NG, COUNT: 20
ASSAY: Xpert HPV, COUNT: 35
ASSAY: Xpert MTB/RIF Ultra, COUNT: 49
ASSAY: Xpert HCV VL, COUNT: 1
</t>
  </si>
  <si>
    <t>Performed maintenance 
Cleaned:
-cartridge bay 
-plunger rod 
-icore
-filter
Replaced module A4
Generated reports</t>
  </si>
  <si>
    <t>Old: A4/210096427
New: A4/699644</t>
  </si>
  <si>
    <t>DR# 11833</t>
  </si>
  <si>
    <t>https://www.jotform.com/uploads/macarewecare/222927978372067/6010698203616288711/6010698203616288711_signature_28.png</t>
  </si>
  <si>
    <t>Alvin Pabalan</t>
  </si>
  <si>
    <t>https://www.jotform.com/uploads/macarewecare/222927978372067/6010698203616288711/6010698203616288711_signature_31.png</t>
  </si>
  <si>
    <t xml:space="preserve">ASSAY: Xpert HBV VL, COUNT: 141
ASSAY: Xpert HPV, COUNT: 36
ASSAY: Xpert MTB/RIF Ultra, COUNT: 1122
</t>
  </si>
  <si>
    <t>Performed maintenance 
Cleaned:
-cartridge bay 
-plunger rod 
-icore
-filter 
Replaced module B4
Generated reports</t>
  </si>
  <si>
    <t>Module B3/210066495 is operational but has confirmed module replacement.</t>
  </si>
  <si>
    <t>Old: B4/210113679
New: B4/210014273</t>
  </si>
  <si>
    <t>DR# 11832</t>
  </si>
  <si>
    <t>https://www.jotform.com/uploads/macarewecare/222927978372067/6010698013618487290/6010698013618487290_signature_28.png</t>
  </si>
  <si>
    <t>Sheilahmae Carandang</t>
  </si>
  <si>
    <t>https://www.jotform.com/uploads/macarewecare/222927978372067/6010698013618487290/6010698013618487290_signature_31.png</t>
  </si>
  <si>
    <t>Davao Doctors Hospital</t>
  </si>
  <si>
    <t>Quirino Avenue, Davao City</t>
  </si>
  <si>
    <t>alvindaniellegarcia@gmail.com</t>
  </si>
  <si>
    <t>labmolecular@ddh.com.ph</t>
  </si>
  <si>
    <t xml:space="preserve">ASSAY: Xpert HBV VL, COUNT: 10
</t>
  </si>
  <si>
    <t>Module 1 and Module 2 Disabled for multiple temperature related errors
Error sent to cepheid for further assessment
Only Modules 3 and 4 are operational</t>
  </si>
  <si>
    <t>Modules 1 and 2 are disabled and not operational</t>
  </si>
  <si>
    <t>https://www.jotform.com/uploads/macarewecare/222927978372067/6010683273348389186/6010683273348389186_signature_28.png</t>
  </si>
  <si>
    <t>Kien Larry T. Ylagan</t>
  </si>
  <si>
    <t>https://www.jotform.com/uploads/macarewecare/222927978372067/6010683273348389186/6010683273348389186_signature_31.png</t>
  </si>
  <si>
    <t>GX-II 6C 2D</t>
  </si>
  <si>
    <t>For data gathering and GX Sticker Installation 9</t>
  </si>
  <si>
    <t>Extract needed reports: Installation Qualification Report , Assay Statistics Report, anf System Log
Install GX Sticker</t>
  </si>
  <si>
    <t>Extract data needed</t>
  </si>
  <si>
    <t>All modules encounter multiple temperature related errors
Error sent to cepheid for further assessment</t>
  </si>
  <si>
    <t>Modules are disabled and not operational</t>
  </si>
  <si>
    <t>https://www.jotform.com/uploads/macarewecare/222927978372067/6010682573347963579/6010682573347963579_signature_28.png</t>
  </si>
  <si>
    <t>https://www.jotform.com/uploads/macarewecare/222927978372067/6010682573347963579/6010682573347963579_signature_31.png</t>
  </si>
  <si>
    <t xml:space="preserve">ASSAY: Xpert HPV, COUNT: 40
ASSAY: Xpert MTB/RIF Ultra, COUNT: 2452
ASSAY: Xpert HIV-1 Viral Load, COUNT: 402
</t>
  </si>
  <si>
    <t>-Replace defective module A1/626532 with module SN: 686648</t>
  </si>
  <si>
    <t>All modules are functional. Module A4 pending for replacement.</t>
  </si>
  <si>
    <t>900-0491RS GeneXpert Module SN. 686648</t>
  </si>
  <si>
    <t>https://www.jotform.com/uploads/macarewecare/222927978372067/6010649199108991308/6010649199108991308_signature_28.png</t>
  </si>
  <si>
    <t>Marc Rodney Manaban</t>
  </si>
  <si>
    <t>https://www.jotform.com/uploads/macarewecare/222927978372067/6010649199108991308/6010649199108991308_signature_31.png</t>
  </si>
  <si>
    <t>https://www.jotform.com/uploads/macarewecare/222927978372067/6010565463619296303/6010565463619296303_signature_28.png</t>
  </si>
  <si>
    <t>https://www.jotform.com/uploads/macarewecare/222927978372067/6010565463619296303/6010565463619296303_signature_31.png</t>
  </si>
  <si>
    <t xml:space="preserve">ASSAY: Xpert BCR-ABL Ultra, COUNT: 30
ASSAY: Xpert CT/NG, COUNT: 144
ASSAY: Xpert HBV VL, COUNT: 10
ASSAY: Xpert HPV, COUNT: 178
ASSAY: Xpert MTB/RIF Ultra, COUNT: 370
ASSAY: Xpert HCV VL, COUNT: 9
ASSAY: Xpert HIV-1 Viral Load, COUNT: 8
</t>
  </si>
  <si>
    <t>Performed maintenance 
Installed barcode scanner</t>
  </si>
  <si>
    <t>Performed maintenance 
Cleaned:
-cartridge bay 
-plunger rod
-icore 
-filter 
Installed barcode scanner
Generated reports</t>
  </si>
  <si>
    <t>Barcode scanner SN: 22355010550961</t>
  </si>
  <si>
    <t>DR# 11792</t>
  </si>
  <si>
    <t>https://www.jotform.com/uploads/macarewecare/222927978372067/6010565313615600713/6010565313615600713_signature_28.png</t>
  </si>
  <si>
    <t>https://www.jotform.com/uploads/macarewecare/222927978372067/6010565313615600713/6010565313615600713_signature_31.png</t>
  </si>
  <si>
    <t>pau.robles12@gmail.com</t>
  </si>
  <si>
    <t>Performed maintenance 
Checked rotor pumps
Run simulation 
Verified calibration parameters 
Functionality test</t>
  </si>
  <si>
    <t>https://www.jotform.com/uploads/macarewecare/222927978372067/6010565153612818419/6010565153612818419_signature_28.png</t>
  </si>
  <si>
    <t>Pauline Robles</t>
  </si>
  <si>
    <t>https://www.jotform.com/uploads/macarewecare/222927978372067/6010565153612818419/6010565153612818419_signature_31.png</t>
  </si>
  <si>
    <t>https://www.jotform.com/uploads/macarewecare/222927978372067/6010565013619465184/6010565013619465184_signature_28.png</t>
  </si>
  <si>
    <t>https://www.jotform.com/uploads/macarewecare/222927978372067/6010565013619465184/6010565013619465184_signature_31.png</t>
  </si>
  <si>
    <t>https://www.jotform.com/uploads/macarewecare/222927978372067/6010564873611675256/6010564873611675256_signature_28.png</t>
  </si>
  <si>
    <t>https://www.jotform.com/uploads/macarewecare/222927978372067/6010564873611675256/6010564873611675256_signature_31.png</t>
  </si>
  <si>
    <t>https://www.jotform.com/uploads/macarewecare/222927978372067/6010564623612885056/6010564623612885056_signature_28.png</t>
  </si>
  <si>
    <t>https://www.jotform.com/uploads/macarewecare/222927978372067/6010564623612885056/6010564623612885056_signature_31.png</t>
  </si>
  <si>
    <t>https://www.jotform.com/uploads/macarewecare/222927978372067/6010564623615760453/6010564623615760453_signature_28.png</t>
  </si>
  <si>
    <t>https://www.jotform.com/uploads/macarewecare/222927978372067/6010564623615760453/6010564623615760453_signature_31.png</t>
  </si>
  <si>
    <t>https://www.jotform.com/uploads/macarewecare/222927978372067/6010564623619460923/6010564623619460923_signature_28.png</t>
  </si>
  <si>
    <t>https://www.jotform.com/uploads/macarewecare/222927978372067/6010564623619460923/6010564623619460923_signature_31.png</t>
  </si>
  <si>
    <t>https://www.jotform.com/uploads/macarewecare/222927978372067/6010564633617027311/6010564633617027311_signature_28.png</t>
  </si>
  <si>
    <t>https://www.jotform.com/uploads/macarewecare/222927978372067/6010564633617027311/6010564633617027311_signature_31.png</t>
  </si>
  <si>
    <t>Negross Occidental, Bacolod</t>
  </si>
  <si>
    <t>Defective Module B2 and B4</t>
  </si>
  <si>
    <t>Xpertcheck Calibration B2 and B4
Clean Fan Filter</t>
  </si>
  <si>
    <t>Module 1 passed, module 2 and 4 retry</t>
  </si>
  <si>
    <t>https://www.jotform.com/uploads/macarewecare/222927978372067/6010536713292122271/6010536713292122271_signature_28.png</t>
  </si>
  <si>
    <t>https://www.jotform.com/uploads/macarewecare/222927978372067/6010536713292122271/6010536713292122271_signature_31.png</t>
  </si>
  <si>
    <t>Fuse busted in the supply.</t>
  </si>
  <si>
    <t>Replacement of fuse 2A and test run for reliability.</t>
  </si>
  <si>
    <t>Replacement of fuse 2A and test run for reliability. Check and clean bowl chuck</t>
  </si>
  <si>
    <t>https://www.jotform.com/uploads/macarewecare/222927978372067/6010467592118886022/6010467592118886022_signature_28.png</t>
  </si>
  <si>
    <t>Cebu Doctors Hospital University</t>
  </si>
  <si>
    <t>https://www.jotform.com/uploads/macarewecare/222927978372067/6010467592118886022/6010467592118886022_signature_31.png</t>
  </si>
  <si>
    <t>https://www.jotform.com/uploads/macarewecare/222927978372067/6010420997511621803/6010420997511621803_signature_28.png</t>
  </si>
  <si>
    <t>https://www.jotform.com/uploads/macarewecare/222927978372067/6010420997511621803/6010420997511621803_signature_31.png</t>
  </si>
  <si>
    <t>https://www.jotform.com/uploads/macarewecare/222927978372067/6010420327512238874/6010420327512238874_signature_28.png</t>
  </si>
  <si>
    <t>https://www.jotform.com/uploads/macarewecare/222927978372067/6010420327512238874/6010420327512238874_signature_31.png</t>
  </si>
  <si>
    <t xml:space="preserve">CALIBRATION
</t>
  </si>
  <si>
    <t>GeneXpert IV</t>
  </si>
  <si>
    <t>Performed maintenance cleaning
Performed XpertCheck</t>
  </si>
  <si>
    <t>Unit is operational, all modules passed</t>
  </si>
  <si>
    <t>https://www.jotform.com/uploads/macarewecare/222927978372067/6008161745154163115/6008161745154163115_signature_28.png</t>
  </si>
  <si>
    <t>Khariz Cabiao</t>
  </si>
  <si>
    <t>https://www.jotform.com/uploads/macarewecare/222927978372067/6008161745154163115/6008161745154163115_signature_31.png</t>
  </si>
  <si>
    <t>Performed maintenance cleaning 
Performed XpertCheck procedure</t>
  </si>
  <si>
    <t>Unit ia operational, module B4/657202 requires servicing</t>
  </si>
  <si>
    <t>https://www.jotform.com/uploads/macarewecare/222927978372067/6008160465153459656/6008160465153459656_signature_28.png</t>
  </si>
  <si>
    <t>https://www.jotform.com/uploads/macarewecare/222927978372067/6008160465153459656/6008160465153459656_signature_31.png</t>
  </si>
  <si>
    <t>Don Jose  S. Monfort Medical Center</t>
  </si>
  <si>
    <t>Poblacion Barotac</t>
  </si>
  <si>
    <t>shirleymae@gmail.com</t>
  </si>
  <si>
    <t>3 modules are functional only due to module 1 fail for XpertCheck last March.</t>
  </si>
  <si>
    <t>Save File's</t>
  </si>
  <si>
    <t>. Installation of GX ID sticker
. Perform preventive maintenance
. Save file System Log
. Save file Assay Stat
. Save Installation Qualification</t>
  </si>
  <si>
    <t>. Modules B1 subject for replacement fail for Xpert Check last march 2024
. Module B3 under observation due to error H/W sometimes 
. Module B2 and B4 ok to use.</t>
  </si>
  <si>
    <t>Operator of GeneXpert Machine request for training on how to Preventive maintenance and also how to handle error's of cartridges during running.</t>
  </si>
  <si>
    <t>https://www.jotform.com/uploads/macarewecare/222927978372067/6008095541661831302/6008095541661831302_signature_28.png</t>
  </si>
  <si>
    <t>Juny B. Boglosa</t>
  </si>
  <si>
    <t>https://www.jotform.com/uploads/macarewecare/222927978372067/6008095541661831302/6008095541661831302_signature_31.png</t>
  </si>
  <si>
    <t>["[\"GeneXpert ID Sticker Installation\",\"GeneXpert ID Sticker Installation\"]","[\"GeneXpert ID Sticker Installation\",\"GeneXpert ID Sticker Installation\"]"]</t>
  </si>
  <si>
    <t>malaymhoclinicallaboratory@gmail.com</t>
  </si>
  <si>
    <t xml:space="preserve">ASSAY: Xpert MTB/RIF Ultra, COUNT: 1042
</t>
  </si>
  <si>
    <t>Module B2 for replacement. Other modules passed XPC and functional.</t>
  </si>
  <si>
    <t>https://www.jotform.com/uploads/macarewecare/222927978372067/6008043908555529921/6008043908555529921_signature_28.png</t>
  </si>
  <si>
    <t>https://www.jotform.com/uploads/macarewecare/222927978372067/6008043908555529921/6008043908555529921_signature_31.png</t>
  </si>
  <si>
    <t>692 San Andres St., 706 Zone 77, Malate  Manila</t>
  </si>
  <si>
    <t>BPI-CPEQS Plant Pathology Lab</t>
  </si>
  <si>
    <t>banasihan.arnel28@gmail.com</t>
  </si>
  <si>
    <t>Axiocam 208 Color</t>
  </si>
  <si>
    <t>Installed Axiocam 208 Color on the Stemi 305 at Plant Pathology Laboratory
Set-up router for wireless access of Axiocam
Set-up Laptop</t>
  </si>
  <si>
    <t>Installed at BPI-CPEQS Los Baños</t>
  </si>
  <si>
    <t>Axiocam 208 Color
Laptop
Router</t>
  </si>
  <si>
    <t>SI 98674 &amp; DR 11844</t>
  </si>
  <si>
    <t>https://www.jotform.com/uploads/macarewecare/222927978372067/6008036856432057626/6008036856432057626_signature_28.png</t>
  </si>
  <si>
    <t>Arnel C Banasihan</t>
  </si>
  <si>
    <t>https://www.jotform.com/uploads/macarewecare/222927978372067/6008036856432057626/6008036856432057626_signature_31.png</t>
  </si>
  <si>
    <t>BPI-CPEQS Entomology Laboratory</t>
  </si>
  <si>
    <t>Installed Axiocam 208 Color on the Stemi 305 at Entomology Laboratory
Set-up router for wireless access of Axiocam
Set-up Laptop</t>
  </si>
  <si>
    <t>https://www.jotform.com/uploads/macarewecare/222927978372067/6008036436436977478/6008036436436977478_signature_28.png</t>
  </si>
  <si>
    <t>https://www.jotform.com/uploads/macarewecare/222927978372067/6008036436436977478/6008036436436977478_signature_31.png</t>
  </si>
  <si>
    <t>ammegzed@gmail.com</t>
  </si>
  <si>
    <t>https://www.jotform.com/uploads/macarewecare/222927978372067/6008016421018541966/6008016421018541966_signature_28.png</t>
  </si>
  <si>
    <t>https://www.jotform.com/uploads/macarewecare/222927978372067/6008016421018541966/6008016421018541966_signature_31.png</t>
  </si>
  <si>
    <t>Preventive Maintenance
GX ID Sticker Installation</t>
  </si>
  <si>
    <t>https://www.jotform.com/uploads/macarewecare/222927978372067/6008002690754346426/6008002690754346426_signature_28.png</t>
  </si>
  <si>
    <t>https://www.jotform.com/uploads/macarewecare/222927978372067/6008002690754346426/6008002690754346426_signature_31.png</t>
  </si>
  <si>
    <t>Vuena Valencia Rural Health Unit</t>
  </si>
  <si>
    <t>Prerntive Maintenance</t>
  </si>
  <si>
    <t>. Installation of GX ID Sticker
. Perform Preventive maintenance 
. Save file's Sytem Log, Installation Qualification
. Change filter.</t>
  </si>
  <si>
    <t>User of GeneXpert Machine Request for training on how to Preventive Maintenance and Error's encounter of Cartridge's during running.</t>
  </si>
  <si>
    <t>https://www.jotform.com/uploads/macarewecare/222927978372067/6007991371663046747/6007991371663046747_signature_28.png</t>
  </si>
  <si>
    <t>Rhea April Q. Saleco</t>
  </si>
  <si>
    <t>https://www.jotform.com/uploads/macarewecare/222927978372067/6007991371663046747/6007991371663046747_signature_31.png</t>
  </si>
  <si>
    <t>Sta Cruz, Iriga</t>
  </si>
  <si>
    <t>jahseh004200@gmail.com</t>
  </si>
  <si>
    <t xml:space="preserve">ASSAY: Xpert MTB/RIF Ultra, COUNT: 1930
</t>
  </si>
  <si>
    <t>UPS battery drained/defective 
GX for Calibration</t>
  </si>
  <si>
    <t>Replaced UPS batteries(2x)
XpertCheck Result:
   B1/758212 - passed
   B2/210044677 - service required 
   B3/669045 - passed
   B4/210040454 - passed
Cleaned cartridge bays, plunger rod, icore
Generate Data</t>
  </si>
  <si>
    <t>Replaced UPS batteries
Performed XpertCheck</t>
  </si>
  <si>
    <t>https://www.jotform.com/uploads/macarewecare/222927978372067/6007963099115483953/6007963099115483953_signature_28.png</t>
  </si>
  <si>
    <t>Hannah Kirsten O. Novela</t>
  </si>
  <si>
    <t>https://www.jotform.com/uploads/macarewecare/222927978372067/6007963099115483953/6007963099115483953_signature_31.png</t>
  </si>
  <si>
    <t>Phililpine General Hospital</t>
  </si>
  <si>
    <t>Taft. Ave. Ermita, Manil</t>
  </si>
  <si>
    <t xml:space="preserve">ASSAY: Xpert HPV, COUNT: 97
ASSAY: Others, COUNT: SA Nasal Complete G3 (1)
ASSAY: Xpert SARS-CoV-2, COUNT: 1598
ASSAY: Xpert SARS-CoV-2, COUNT: 56
</t>
  </si>
  <si>
    <t>Unit for preventive maintenance.
For generating of reports for technical troubleshooting.</t>
  </si>
  <si>
    <t>Performed Preventive Maintenance.
-Cleaned and disinfect plunger
-Cleaned and disinfect cartridge bay
-Cleaned and disinfect instrument surface
-Cleaned icore sensors
-Cleaned filter fan
-Archived test results
Generated GXX file for technical troubleshooting.
Generated reports.</t>
  </si>
  <si>
    <t>Unit is operational. Generated reports for technical troubleshooting of technical specialist for the reported errors.</t>
  </si>
  <si>
    <t>https://www.jotform.com/uploads/macarewecare/222927978372067/6007959332948621572/6007959332948621572_signature_28.png</t>
  </si>
  <si>
    <t>Angela Ricamela Reyes</t>
  </si>
  <si>
    <t>https://www.jotform.com/uploads/macarewecare/222927978372067/6007959332948621572/6007959332948621572_signature_31.png</t>
  </si>
  <si>
    <t xml:space="preserve">ASSAY: Xpert MTB/RIF Ultra, COUNT: 1034
</t>
  </si>
  <si>
    <t>For Preventive Maintenance and GX Installation</t>
  </si>
  <si>
    <t>Clean Surface Area, Cartridge Bay, Plunger Rod, Fan Filters, and Icore Lenses
Generate IQR, Assay Stat and System Log
Install Sticker</t>
  </si>
  <si>
    <t>Module B4 H/W Failed, reported to Jotform for further assessment</t>
  </si>
  <si>
    <t>Advised the Enduser to achieve the optimal GeneXpert Temperature for running</t>
  </si>
  <si>
    <t>https://www.jotform.com/uploads/macarewecare/222927978372067/6007260779812701040/6007260779812701040_signature_28.png</t>
  </si>
  <si>
    <t>Edlien Kai Prado</t>
  </si>
  <si>
    <t>https://www.jotform.com/uploads/macarewecare/222927978372067/6007260779812701040/6007260779812701040_signature_31.png</t>
  </si>
  <si>
    <t>New Terminal, Hagkol, Valencia City</t>
  </si>
  <si>
    <t>Module B3 found temperature error(reported)</t>
  </si>
  <si>
    <t>https://www.jotform.com/uploads/macarewecare/222927978372067/6007249472681199454/6007249472681199454_signature_28.png</t>
  </si>
  <si>
    <t>https://www.jotform.com/uploads/macarewecare/222927978372067/6007249472681199454/6007249472681199454_signature_31.png</t>
  </si>
  <si>
    <t>https://www.jotform.com/uploads/macarewecare/222927978372067/6007239612685330695/6007239612685330695_signature_28.png</t>
  </si>
  <si>
    <t>https://www.jotform.com/uploads/macarewecare/222927978372067/6007239612685330695/6007239612685330695_signature_31.png</t>
  </si>
  <si>
    <t>https://www.jotform.com/uploads/macarewecare/222927978372067/6007231763612652447/6007231763612652447_signature_28.png</t>
  </si>
  <si>
    <t>Shahinaz S. Saleh</t>
  </si>
  <si>
    <t>https://www.jotform.com/uploads/macarewecare/222927978372067/6007231763612652447/6007231763612652447_signature_31.png</t>
  </si>
  <si>
    <t>https://www.jotform.com/uploads/macarewecare/222927978372067/6007231763612898876/6007231763612898876_signature_28.png</t>
  </si>
  <si>
    <t>https://www.jotform.com/uploads/macarewecare/222927978372067/6007231763612898876/6007231763612898876_signature_31.png</t>
  </si>
  <si>
    <t>Negros Occidental, Silay</t>
  </si>
  <si>
    <t>mrvillan.pbsp@gmail.com</t>
  </si>
  <si>
    <t>Due date for xpertcheck calibration
A1 and A2</t>
  </si>
  <si>
    <t>Xpertcheck calibration
Module A3
Clean Fan Filter</t>
  </si>
  <si>
    <t>Systems operational
Xpertcheck A3 passed</t>
  </si>
  <si>
    <t>https://www.jotform.com/uploads/macarewecare/222927978372067/6007220604528241828/6007220604528241828_signature_28.png</t>
  </si>
  <si>
    <t>Ma. Arna R. Villan</t>
  </si>
  <si>
    <t>https://www.jotform.com/uploads/macarewecare/222927978372067/6007220604528241828/6007220604528241828_signature_31.png</t>
  </si>
  <si>
    <t>Bukidnon Provincial Hospital</t>
  </si>
  <si>
    <t>CM Recto St., Palma, Kibawe</t>
  </si>
  <si>
    <t>Module B4 found temperature error (for observation)</t>
  </si>
  <si>
    <t>https://www.jotform.com/uploads/macarewecare/222927978372067/6007153055113827651/6007153055113827651_signature_28.png</t>
  </si>
  <si>
    <t>https://www.jotform.com/uploads/macarewecare/222927978372067/6007153055113827651/6007153055113827651_signature_31.png</t>
  </si>
  <si>
    <t>LUGAIT HEALTH CENTER</t>
  </si>
  <si>
    <t>MAINTENANCE
GX Sticker ID Installation</t>
  </si>
  <si>
    <t xml:space="preserve">ASSAY: Xpert MTB/RIF Ultra, COUNT: 697
</t>
  </si>
  <si>
    <t>https://www.jotform.com/uploads/macarewecare/222927978372067/6007085061449116531/6007085061449116531_signature_28.png</t>
  </si>
  <si>
    <t>https://www.jotform.com/uploads/macarewecare/222927978372067/6007085061449116531/6007085061449116531_signature_31.png</t>
  </si>
  <si>
    <t xml:space="preserve">ASSAY: Xpert MTB/RIF Ultra, COUNT: 937
</t>
  </si>
  <si>
    <t>https://www.jotform.com/uploads/macarewecare/222927978372067/6007077814539775949/6007077814539775949_signature_28.png</t>
  </si>
  <si>
    <t>SARAH JEAN GABIETA</t>
  </si>
  <si>
    <t>https://www.jotform.com/uploads/macarewecare/222927978372067/6007077814539775949/6007077814539775949_signature_31.png</t>
  </si>
  <si>
    <t xml:space="preserve">ASSAY: Xpert MTB/RIF Ultra, COUNT: 1483
</t>
  </si>
  <si>
    <t>Module A1 h/w failed</t>
  </si>
  <si>
    <t>Set up/Network 2 Gx machine in 1 computer 
Gx ID sticker installation 
Perform Genexpert Cleaning and maintenance 
Checking of errors/problem 
Data collection</t>
  </si>
  <si>
    <t>https://www.jotform.com/uploads/macarewecare/222927978372067/6006979145718448491/6006979145718448491_signature_28.png</t>
  </si>
  <si>
    <t>https://www.jotform.com/uploads/macarewecare/222927978372067/6006979145718448491/6006979145718448491_signature_31.png</t>
  </si>
  <si>
    <t>Perform Genexpert machine Preventive</t>
  </si>
  <si>
    <t>https://www.jotform.com/uploads/macarewecare/222927978372067/6006976195718580268/6006976195718580268_signature_28.png</t>
  </si>
  <si>
    <t>EMELYN A,CADIZ</t>
  </si>
  <si>
    <t>https://www.jotform.com/uploads/macarewecare/222927978372067/6006976195718580268/6006976195718580268_signature_31.png</t>
  </si>
  <si>
    <t>Balagtas St, Tagoloan</t>
  </si>
  <si>
    <t>B3 was reported to Cepheid(Upcoming Shipment)</t>
  </si>
  <si>
    <t>3 modules working, 1 module for replacement
All GX accessories ate functional</t>
  </si>
  <si>
    <t>https://www.jotform.com/uploads/macarewecare/222927978372067/6006396511122592575/6006396511122592575_signature_28.png</t>
  </si>
  <si>
    <t>https://www.jotform.com/uploads/macarewecare/222927978372067/6006396511122592575/6006396511122592575_signature_31.png</t>
  </si>
  <si>
    <t>-FOR PREVENTIVE MAINTENANCE
-MODULE B3 ERROR 1001
-GX STICKER ID INSTALLATION</t>
  </si>
  <si>
    <t>https://www.jotform.com/uploads/macarewecare/222927978372067/6006394292137570903/6006394292137570903_signature_28.png</t>
  </si>
  <si>
    <t>Rochelle M. Sambaan , RMT</t>
  </si>
  <si>
    <t>https://www.jotform.com/uploads/macarewecare/222927978372067/6006394292137570903/6006394292137570903_signature_31.png</t>
  </si>
  <si>
    <t>Stuck Cartidge at Module B2</t>
  </si>
  <si>
    <t>Remove the stuck cartidge at Module 2
Clean Surface Area, Cartridge Bay, Plunger Rod, Fan Filters and Icore Lenses
Generate IQR, Assay Stat and System Log
Install GX Sticker</t>
  </si>
  <si>
    <t>Perform Stuck Cartidge Removal</t>
  </si>
  <si>
    <t>Successfully removed the stuck cartidge</t>
  </si>
  <si>
    <t>https://www.jotform.com/uploads/macarewecare/222927978372067/6006324789262121615/6006324789262121615_signature_28.png</t>
  </si>
  <si>
    <t>Karen Anuta RMT</t>
  </si>
  <si>
    <t>https://www.jotform.com/uploads/macarewecare/222927978372067/6006324789262121615/6006324789262121615_signature_31.png</t>
  </si>
  <si>
    <t>["GX ID Sticker Installation","GX ID Sticker Installation"]</t>
  </si>
  <si>
    <t xml:space="preserve">ASSAY: Xpert MTB/RIF Ultra, COUNT: 1124
ASSAY: Xpert HIV-1 Viral Load, COUNT: 87
</t>
  </si>
  <si>
    <t>All modules passed XpertCheck, functional.</t>
  </si>
  <si>
    <t>https://www.jotform.com/uploads/macarewecare/222927978372067/6006175888931563146/6006175888931563146_signature_28.png</t>
  </si>
  <si>
    <t>https://www.jotform.com/uploads/macarewecare/222927978372067/6006175888931563146/6006175888931563146_signature_31.png</t>
  </si>
  <si>
    <t>MM021214853</t>
  </si>
  <si>
    <t>CPU bios battery error</t>
  </si>
  <si>
    <t>Replaced and installed CPU battery
Performed calibration
Performed configuration
Test run unit ok</t>
  </si>
  <si>
    <t>https://www.jotform.com/uploads/macarewecare/222927978372067/6005530553613276084/6005530553613276084_signature_28.png</t>
  </si>
  <si>
    <t>https://www.jotform.com/uploads/macarewecare/222927978372067/6005530553613276084/6005530553613276084_signature_31.png</t>
  </si>
  <si>
    <t>1005 Aurora Grand,Aurora blvd. QC</t>
  </si>
  <si>
    <t>MM061004515</t>
  </si>
  <si>
    <t>Replaced and installed battery.
Performed calibration
Performed configuration
Test run unit ok</t>
  </si>
  <si>
    <t>https://www.jotform.com/uploads/macarewecare/222927978372067/6005528943618351829/6005528943618351829_signature_28.png</t>
  </si>
  <si>
    <t>https://www.jotform.com/uploads/macarewecare/222927978372067/6005528943618351829/6005528943618351829_signature_31.png</t>
  </si>
  <si>
    <t>C101429672G</t>
  </si>
  <si>
    <t>CPU Bios battery error</t>
  </si>
  <si>
    <t>https://www.jotform.com/uploads/macarewecare/222927978372067/6005527273612763899/6005527273612763899_signature_28.png</t>
  </si>
  <si>
    <t>https://www.jotform.com/uploads/macarewecare/222927978372067/6005527273612763899/6005527273612763899_signature_31.png</t>
  </si>
  <si>
    <t>1005 Aurora Grand Aurora blvd.QC</t>
  </si>
  <si>
    <t>C101429661G</t>
  </si>
  <si>
    <t>Replaced and installed CPU battery.
Performed calibration
Performed configuration
Test run unit ok</t>
  </si>
  <si>
    <t>https://www.jotform.com/uploads/macarewecare/222927978372067/6005525533614080700/6005525533614080700_signature_28.png</t>
  </si>
  <si>
    <t>https://www.jotform.com/uploads/macarewecare/222927978372067/6005525533614080700/6005525533614080700_signature_31.png</t>
  </si>
  <si>
    <t>https://www.jotform.com/uploads/macarewecare/222927978372067/6005501834941069745/6005501834941069745_signature_28.png</t>
  </si>
  <si>
    <t>Riverlie A. Valera</t>
  </si>
  <si>
    <t>https://www.jotform.com/uploads/macarewecare/222927978372067/6005501834941069745/6005501834941069745_signature_31.png</t>
  </si>
  <si>
    <t xml:space="preserve">ASSAY: Xpert MTB/RIF Ultra, COUNT: 315
</t>
  </si>
  <si>
    <t>https://www.jotform.com/uploads/macarewecare/222927978372067/6005500784946034080/6005500784946034080_signature_28.png</t>
  </si>
  <si>
    <t>https://www.jotform.com/uploads/macarewecare/222927978372067/6005500784946034080/6005500784946034080_signature_31.png</t>
  </si>
  <si>
    <t xml:space="preserve">ASSAY: Xpert MTB/RIF Ultra, COUNT: 113
</t>
  </si>
  <si>
    <t>https://www.jotform.com/uploads/macarewecare/222927978372067/6005499494945273072/6005499494945273072_signature_28.png</t>
  </si>
  <si>
    <t>Frannie G. Calixto</t>
  </si>
  <si>
    <t>https://www.jotform.com/uploads/macarewecare/222927978372067/6005499494945273072/6005499494945273072_signature_31.png</t>
  </si>
  <si>
    <t xml:space="preserve">ASSAY: Xpert MTB/RIF Ultra, COUNT: 2503
</t>
  </si>
  <si>
    <t>For Preventive Maintenance and Temporary Disassembly of GeneXpert System</t>
  </si>
  <si>
    <t>Performed Preventive Maintenance and Disassembly of GeneXpert System</t>
  </si>
  <si>
    <t>https://www.jotform.com/uploads/macarewecare/222927978372067/6005498544945675189/6005498544945675189_signature_28.png</t>
  </si>
  <si>
    <t>Emilee Cuison</t>
  </si>
  <si>
    <t>https://www.jotform.com/uploads/macarewecare/222927978372067/6005498544945675189/6005498544945675189_signature_31.png</t>
  </si>
  <si>
    <t>Hospital Road, Romblon, Romblon</t>
  </si>
  <si>
    <t xml:space="preserve">ASSAY: Xpert MTB/RIF Ultra, COUNT: 643
</t>
  </si>
  <si>
    <t>Cleaned Cartridge Bay, Plunger Rod and Icore Optics.
Cleaned Filter.
Performed Self-test.
Performed XpertCheck.
Generate Reports.</t>
  </si>
  <si>
    <t>All Modules Passed.</t>
  </si>
  <si>
    <t>DR 11457</t>
  </si>
  <si>
    <t>https://www.jotform.com/uploads/macarewecare/222927978372067/6005498253613784141/6005498253613784141_signature_28.png</t>
  </si>
  <si>
    <t>https://www.jotform.com/uploads/macarewecare/222927978372067/6005498253613784141/6005498253613784141_signature_31.png</t>
  </si>
  <si>
    <t xml:space="preserve">ASSAY: Xpert MTB/RIF Ultra, COUNT: 102
</t>
  </si>
  <si>
    <t>UPS Low Backup Voltage.</t>
  </si>
  <si>
    <t>Replaced UPS Battery.
Performed Functionality Test.
Generate Reports.</t>
  </si>
  <si>
    <t>GX System Is Good.</t>
  </si>
  <si>
    <t>DR 11790</t>
  </si>
  <si>
    <t>https://www.jotform.com/uploads/macarewecare/222927978372067/6005498253614786275/6005498253614786275_signature_28.png</t>
  </si>
  <si>
    <t>https://www.jotform.com/uploads/macarewecare/222927978372067/6005498253614786275/6005498253614786275_signature_31.png</t>
  </si>
  <si>
    <t>Rosario, Cavite</t>
  </si>
  <si>
    <t xml:space="preserve">ASSAY: Xpert MTB/RIF, COUNT: 1123
</t>
  </si>
  <si>
    <t>Cleaned Cartridge Bay, Plunger Rod, and Icore Optics.
Checked Cartridge if Clogged.
Generate Reports.
Performed Self-test.</t>
  </si>
  <si>
    <t>2 Modules are Dissabled.</t>
  </si>
  <si>
    <t>https://www.jotform.com/uploads/macarewecare/222927978372067/6005498253614820504/6005498253614820504_signature_28.png</t>
  </si>
  <si>
    <t>https://www.jotform.com/uploads/macarewecare/222927978372067/6005498253614820504/6005498253614820504_signature_31.png</t>
  </si>
  <si>
    <t>iveerose02@gmail.com</t>
  </si>
  <si>
    <t xml:space="preserve">ASSAY: Xpert HIV-1 Viral Load, COUNT: 650
</t>
  </si>
  <si>
    <t>Cleaned Cartridge Bay, Plunger Rod and Icore Optics.
Checked Filter if Clogged.
Generate Reports.
Performed Self-test</t>
  </si>
  <si>
    <t>https://www.jotform.com/uploads/macarewecare/222927978372067/6005498253618670028/6005498253618670028_signature_28.png</t>
  </si>
  <si>
    <t>Ivee Rose R. Milay</t>
  </si>
  <si>
    <t>https://www.jotform.com/uploads/macarewecare/222927978372067/6005498253618670028/6005498253618670028_signature_31.png</t>
  </si>
  <si>
    <t>https://www.jotform.com/uploads/macarewecare/222927978372067/6005498263611320090/6005498263611320090_signature_28.png</t>
  </si>
  <si>
    <t>https://www.jotform.com/uploads/macarewecare/222927978372067/6005498263611320090/6005498263611320090_signature_31.png</t>
  </si>
  <si>
    <t xml:space="preserve">ASSAY: Xpert HBV VL, COUNT: 177
ASSAY: Xpert SARS-CoV-2, COUNT: 203
ASSAY: Xpert HCV VL, COUNT: 41
ASSAY: Xpert HIV-1 Viral Load, COUNT: 28
</t>
  </si>
  <si>
    <t>https://www.jotform.com/uploads/macarewecare/222927978372067/6005496254948506956/6005496254948506956_signature_28.png</t>
  </si>
  <si>
    <t>Helley Mae Lo</t>
  </si>
  <si>
    <t>https://www.jotform.com/uploads/macarewecare/222927978372067/6005496254948506956/6005496254948506956_signature_31.png</t>
  </si>
  <si>
    <t>Unit for rearrangement</t>
  </si>
  <si>
    <t>Rearranged unit position</t>
  </si>
  <si>
    <t>https://www.jotform.com/uploads/macarewecare/222927978372067/6005495373617533709/6005495373617533709_signature_28.png</t>
  </si>
  <si>
    <t>Maria Angelica P. Guintu</t>
  </si>
  <si>
    <t>https://www.jotform.com/uploads/macarewecare/222927978372067/6005495373617533709/6005495373617533709_signature_31.png</t>
  </si>
  <si>
    <t xml:space="preserve">ASSAY: Xpert MTB/RIF Ultra, COUNT: 336
</t>
  </si>
  <si>
    <t>Performed Calibration and Preventive Maintenance</t>
  </si>
  <si>
    <t>- Unit is Operational 
- Did not perform XpertCheck on newly Replaced Module B3 (863306)
- All Remaining Modules passed XpertCheck</t>
  </si>
  <si>
    <t>DR 11730</t>
  </si>
  <si>
    <t>https://www.jotform.com/uploads/macarewecare/222927978372067/6005495214941645459/6005495214941645459_signature_28.png</t>
  </si>
  <si>
    <t>Gloria G. Depayso</t>
  </si>
  <si>
    <t>https://www.jotform.com/uploads/macarewecare/222927978372067/6005495214941645459/6005495214941645459_signature_31.png</t>
  </si>
  <si>
    <t>Bagong Barrio Health Center</t>
  </si>
  <si>
    <t>cruzernitamay@gmail.com</t>
  </si>
  <si>
    <t>Relocated unit</t>
  </si>
  <si>
    <t>Unit is not operational
Pending desktop replacement</t>
  </si>
  <si>
    <t>https://www.jotform.com/uploads/macarewecare/222927978372067/6005495133618189933/6005495133618189933_signature_28.png</t>
  </si>
  <si>
    <t>Ernita Cruz</t>
  </si>
  <si>
    <t>https://www.jotform.com/uploads/macarewecare/222927978372067/6005495133618189933/6005495133618189933_signature_31.png</t>
  </si>
  <si>
    <t>Carmen , Cagayan de Oro City</t>
  </si>
  <si>
    <t>MAINTENANCE
GX ID Sticker</t>
  </si>
  <si>
    <t xml:space="preserve">ASSAY: Xpert MTB/RIF Ultra, COUNT: 644
</t>
  </si>
  <si>
    <t>https://www.jotform.com/uploads/macarewecare/222927978372067/6005494944129779909/6005494944129779909_signature_28.png</t>
  </si>
  <si>
    <t>https://www.jotform.com/uploads/macarewecare/222927978372067/6005494944129779909/6005494944129779909_signature_31.png</t>
  </si>
  <si>
    <t>For replacement of the new pneumatic assembly as soon as possible. The pneumatic assembly is defective.</t>
  </si>
  <si>
    <t>Troubleshoot, and test Mcs+ valve test.</t>
  </si>
  <si>
    <t>Unit is not operational due to defective pneumatic assembly. (Service Unit)</t>
  </si>
  <si>
    <t>https://www.jotform.com/uploads/macarewecare/222927978372067/6005490423345986825/6005490423345986825_signature_28.png</t>
  </si>
  <si>
    <t>https://www.jotform.com/uploads/macarewecare/222927978372067/6005490423345986825/6005490423345986825_signature_31.png</t>
  </si>
  <si>
    <t xml:space="preserve">ASSAY: Xpert HPV, COUNT: 41
ASSAY: Xpert MTB/RIF Ultra, COUNT: 2826
ASSAY: Xpert HIV-1 Viral Load, COUNT: 431
</t>
  </si>
  <si>
    <t>-Run XpertCheck on module A1, A2, &amp; A3</t>
  </si>
  <si>
    <t>Module A1 failed XPC, for replacement. Module A2 and A3, passed XPC. Module A4 waiting for allocation.</t>
  </si>
  <si>
    <t>https://www.jotform.com/uploads/macarewecare/222927978372067/6005465224311236122/6005465224311236122_signature_28.png</t>
  </si>
  <si>
    <t>Leah Karen Noynay, RMT</t>
  </si>
  <si>
    <t>https://www.jotform.com/uploads/macarewecare/222927978372067/6005465224311236122/6005465224311236122_signature_31.png</t>
  </si>
  <si>
    <t>Sta. Rosa, Laguna</t>
  </si>
  <si>
    <t xml:space="preserve">ASSAY: Xpert BCR-ABL Ultra, COUNT: 1
ASSAY: Xpert HBV VL, COUNT: 40
ASSAY: Xpert MTB/RIF Ultra, COUNT: 188
ASSAY: Xpert HIV-1 Viral Load, COUNT: 29
ASSAY: Xpert SARS-CoV-2, COUNT: 2
</t>
  </si>
  <si>
    <t>https://www.jotform.com/uploads/macarewecare/222927978372067/6005462683612662781/6005462683612662781_signature_28.png</t>
  </si>
  <si>
    <t>Ma Veronica Agnas</t>
  </si>
  <si>
    <t>https://www.jotform.com/uploads/macarewecare/222927978372067/6005462683612662781/6005462683612662781_signature_31.png</t>
  </si>
  <si>
    <t xml:space="preserve">ASSAY: Xpert MTB/RIF Ultra, COUNT: 1133
</t>
  </si>
  <si>
    <t>Gx for Preventive Maintenance 
UPS batteries for replacement</t>
  </si>
  <si>
    <t>Replaced 2 UPS battery 
Cleaned cartridge bays, plunger rod 
Generate Data</t>
  </si>
  <si>
    <t>https://www.jotform.com/uploads/macarewecare/222927978372067/6005458113229960402/6005458113229960402_signature_28.png</t>
  </si>
  <si>
    <t>https://www.jotform.com/uploads/macarewecare/222927978372067/6005458113229960402/6005458113229960402_signature_31.png</t>
  </si>
  <si>
    <t>Unit is operational
Red and white pump rubber rollers for replacement next PM</t>
  </si>
  <si>
    <t>https://www.jotform.com/uploads/macarewecare/222927978372067/6005457483616221618/6005457483616221618_signature_28.png</t>
  </si>
  <si>
    <t>Marnelli Manuel</t>
  </si>
  <si>
    <t>https://www.jotform.com/uploads/macarewecare/222927978372067/6005457483616221618/6005457483616221618_signature_31.png</t>
  </si>
  <si>
    <t>UPS for troubleshooting (beeping sound)</t>
  </si>
  <si>
    <t>Plugged GX system to power outlet</t>
  </si>
  <si>
    <t>Unit is operational
UPS is recommended for repair/replacement from supplier</t>
  </si>
  <si>
    <t>https://www.jotform.com/uploads/macarewecare/222927978372067/6005457153618947999/6005457153618947999_signature_28.png</t>
  </si>
  <si>
    <t>https://www.jotform.com/uploads/macarewecare/222927978372067/6005457153618947999/6005457153618947999_signature_31.png</t>
  </si>
  <si>
    <t>Pinagbuhatan Health Center</t>
  </si>
  <si>
    <t>Urbano Velasco Ave Pinagbuhatan, Pasig City</t>
  </si>
  <si>
    <t>peachmango318@gmail.cim</t>
  </si>
  <si>
    <t>Performed maintenance 
Cleaned:
-cartridge bay 
-plunger rod 
-icore 
-filer
Replaced module B1
Generated reports</t>
  </si>
  <si>
    <t>Old: B1/210127592
New:B1/210021453</t>
  </si>
  <si>
    <t>DR# 11834</t>
  </si>
  <si>
    <t>https://www.jotform.com/uploads/macarewecare/222927978372067/6005456853613044442/6005456853613044442_signature_28.png</t>
  </si>
  <si>
    <t>https://www.jotform.com/uploads/macarewecare/222927978372067/6005456853613044442/6005456853613044442_signature_31.png</t>
  </si>
  <si>
    <t>https://www.jotform.com/uploads/macarewecare/222927978372067/6005456563613577611/6005456563613577611_signature_28.png</t>
  </si>
  <si>
    <t>https://www.jotform.com/uploads/macarewecare/222927978372067/6005456563613577611/6005456563613577611_signature_31.png</t>
  </si>
  <si>
    <t xml:space="preserve">ASSAY: Xpert MTB/RIF Ultra, COUNT: 1326
</t>
  </si>
  <si>
    <t>Module 1 for Service Required - H/W failed</t>
  </si>
  <si>
    <t>Perform Genexpert machine Cleaning/ maintenance 
Gx ID sticker installation 
Checking of errors/problem 
Data collection</t>
  </si>
  <si>
    <t>https://www.jotform.com/uploads/macarewecare/222927978372067/6004883830967104919/6004883830967104919_signature_28.png</t>
  </si>
  <si>
    <t>https://www.jotform.com/uploads/macarewecare/222927978372067/6004883830967104919/6004883830967104919_signature_31.png</t>
  </si>
  <si>
    <t>Detoxicare Molecular Diagnostics Laboratory Inc.</t>
  </si>
  <si>
    <t>GeneXpert Module
SN: 210069174</t>
  </si>
  <si>
    <t>https://www.jotform.com/uploads/macarewecare/222927978372067/6001196302026716353/6001196302026716353_signature_28.png</t>
  </si>
  <si>
    <t>https://www.jotform.com/uploads/macarewecare/222927978372067/6001196302026716353/6001196302026716353_signature_31.png</t>
  </si>
  <si>
    <t>National Road, Madrid</t>
  </si>
  <si>
    <t>Preventive Maintenance
GX ID STICKER INSTALLATION</t>
  </si>
  <si>
    <t>https://www.jotform.com/uploads/macarewecare/222927978372067/6001194546284431392/6001194546284431392_signature_28.png</t>
  </si>
  <si>
    <t>Rochelle J. Pueblas</t>
  </si>
  <si>
    <t>https://www.jotform.com/uploads/macarewecare/222927978372067/6001194546284431392/6001194546284431392_signature_31.png</t>
  </si>
  <si>
    <t>Our Lady Of Mt. Carmel Medical Center</t>
  </si>
  <si>
    <t>San Fernando, Pampanga</t>
  </si>
  <si>
    <t>laboratorymt.carmel@gmail.com</t>
  </si>
  <si>
    <t>gcvillanueva20@gmail.com</t>
  </si>
  <si>
    <t>None; Unit for calibration.</t>
  </si>
  <si>
    <t>Verify and checked calibration parameters.</t>
  </si>
  <si>
    <t>Performed unit calibration.
Performed unit maintenance/cleaning.
Replaced pump rotor rubber roller.
Run functionality and simulation test.</t>
  </si>
  <si>
    <t>Unit is calibrated and fully operational.</t>
  </si>
  <si>
    <t>DR #: 11797</t>
  </si>
  <si>
    <t>https://www.jotform.com/uploads/macarewecare/222927978372067/6001178664616521735/6001178664616521735_signature_28.png</t>
  </si>
  <si>
    <t>Gian Carlo S. Villanueva</t>
  </si>
  <si>
    <t>https://www.jotform.com/uploads/macarewecare/222927978372067/6001178664616521735/6001178664616521735_signature_31.png</t>
  </si>
  <si>
    <t>Tubural Rural Health Unit</t>
  </si>
  <si>
    <t>["GX ID Sticker installation ","GX ID Sticker installation "]</t>
  </si>
  <si>
    <t>rjakilan20@yahoo.com</t>
  </si>
  <si>
    <t>Preventive Maintenence, GX ID sticker installation and data gathering</t>
  </si>
  <si>
    <t>Preventive Maintenence, GX ID sticker installation and data gathering.</t>
  </si>
  <si>
    <t>https://www.jotform.com/uploads/macarewecare/222927978372067/6001044858964979074/6001044858964979074_signature_28.png</t>
  </si>
  <si>
    <t>https://www.jotform.com/uploads/macarewecare/222927978372067/6001044858964979074/6001044858964979074_signature_31.png</t>
  </si>
  <si>
    <t>REPAIR
MAINTENANCE
GX ID Sticker installation</t>
  </si>
  <si>
    <t>Teodor B. Galagar District Hospital</t>
  </si>
  <si>
    <t>vcorre84@gmail.com</t>
  </si>
  <si>
    <t>Defective Module 2</t>
  </si>
  <si>
    <t>Clean Fan Filter
Gx ID Sticker Installation</t>
  </si>
  <si>
    <t>H/W MODULE 2</t>
  </si>
  <si>
    <t>https://www.jotform.com/uploads/macarewecare/222927978372067/6001019026241858343/6001019026241858343_signature_28.png</t>
  </si>
  <si>
    <t>VENUS C. ATON,RMT</t>
  </si>
  <si>
    <t>https://www.jotform.com/uploads/macarewecare/222927978372067/6001019026241858343/6001019026241858343_signature_31.png</t>
  </si>
  <si>
    <t>Poblacion, Malungon, Sarangani Province</t>
  </si>
  <si>
    <t>ulbenarioe@yahoo.com</t>
  </si>
  <si>
    <t xml:space="preserve">ASSAY: Xpert MTB/RIF Ultra, COUNT: 766
</t>
  </si>
  <si>
    <t>Perform Genexpert Cleaning/maintenance 
Gx ID sticker installation 
Checking of errors 
Data collection</t>
  </si>
  <si>
    <t>https://www.jotform.com/uploads/macarewecare/222927978372067/6000997272517288290/6000997272517288290_signature_28.png</t>
  </si>
  <si>
    <t>https://www.jotform.com/uploads/macarewecare/222927978372067/6000997272517288290/6000997272517288290_signature_31.png</t>
  </si>
  <si>
    <t>Module 1 stuck cartridge</t>
  </si>
  <si>
    <t>Perform Genexpert machine repair</t>
  </si>
  <si>
    <t>Repair module 1 stuck cartridge</t>
  </si>
  <si>
    <t>https://www.jotform.com/uploads/macarewecare/222927978372067/6000997272519325519/6000997272519325519_signature_28.png</t>
  </si>
  <si>
    <t>Glenndale Latrez</t>
  </si>
  <si>
    <t>https://www.jotform.com/uploads/macarewecare/222927978372067/6000997272519325519/6000997272519325519_signature_31.png</t>
  </si>
  <si>
    <t xml:space="preserve">ASSAY: Xpert BCR-ABL Ultra, COUNT: 1468
ASSAY: Xpert CT/NG, COUNT: 1
ASSAY: Others, COUNT: 98
ASSAY: Xpert HBV VL, COUNT: 1054
ASSAY: Xpert HPV, COUNT: 129
ASSAY: Xpert MTB/RIF Ultra, COUNT: 2330
ASSAY: Others, COUNT: 1
ASSAY: Xpert SARS-CoV-2, COUNT: 12259
ASSAY: Xpert HCV VL, COUNT: 140
</t>
  </si>
  <si>
    <t>For module replacement A4 882420 - 210071029, C4 890075 - 210071450</t>
  </si>
  <si>
    <t>A4 ,C4 operational  newly replaced       A1,A2,C2,D2 reported already for replacement.
12 modules operational.</t>
  </si>
  <si>
    <t>https://www.jotform.com/uploads/macarewecare/222927978372067/6000338733613866679/6000338733613866679_signature_28.png</t>
  </si>
  <si>
    <t>https://www.jotform.com/uploads/macarewecare/222927978372067/6000338733613866679/6000338733613866679_signature_31.png</t>
  </si>
  <si>
    <t xml:space="preserve">ASSAY: Xpert BCR-ABL Ultra, COUNT: 43
ASSAY: Others, COUNT: 4
ASSAY: Xpert HBV VL, COUNT: 21
ASSAY: Xpert HPV, COUNT: 3
ASSAY: Xpert MTB/RIF Ultra, COUNT: 49
ASSAY: Xpert HCV VL, COUNT: 5
</t>
  </si>
  <si>
    <t>For module replacement B1 862543 -210062293,  B3 862548  -210070806</t>
  </si>
  <si>
    <t>Performed module replacement.
Cleaned unit
Cleaned plunger rod,filter,icore,cartridge bay
Gathered reports
Test run unit</t>
  </si>
  <si>
    <t>Module replacement and maintenance</t>
  </si>
  <si>
    <t>https://www.jotform.com/uploads/macarewecare/222927978372067/6000338483618515342/6000338483618515342_signature_28.png</t>
  </si>
  <si>
    <t>https://www.jotform.com/uploads/macarewecare/222927978372067/6000338483618515342/6000338483618515342_signature_31.png</t>
  </si>
  <si>
    <t>Centrifuge Assy</t>
  </si>
  <si>
    <t>Centrifuge  for troubleshooting
Previously reported sudden shutdown during centrifugation.
Stuck up centrifuge rotor.</t>
  </si>
  <si>
    <t>Test centrifuge assy in another machine after press the run button for centrifugation sudden  shutdown encounter.
Checked motor and rotor</t>
  </si>
  <si>
    <t>For replacement and quotaion of centrifuge assy.</t>
  </si>
  <si>
    <t>Defective centrifuge assy</t>
  </si>
  <si>
    <t>https://www.jotform.com/uploads/macarewecare/222927978372067/6000338023612912179/6000338023612912179_signature_28.png</t>
  </si>
  <si>
    <t>Macare Medical Inc</t>
  </si>
  <si>
    <t>https://www.jotform.com/uploads/macarewecare/222927978372067/6000338023612912179/6000338023612912179_signature_31.png</t>
  </si>
  <si>
    <t>Cabadbaran City</t>
  </si>
  <si>
    <t>https://www.jotform.com/uploads/macarewecare/222927978372067/6000335992339415345/6000335992339415345_signature_28.png</t>
  </si>
  <si>
    <t>Sammy Cempron</t>
  </si>
  <si>
    <t>https://www.jotform.com/uploads/macarewecare/222927978372067/6000335992339415345/6000335992339415345_signature_31.png</t>
  </si>
  <si>
    <t xml:space="preserve">ASSAY: Xpert MTB/RIF Ultra, COUNT: 432
</t>
  </si>
  <si>
    <t>Performed Maintenance
Gathered Reports 
Performed Functionality Test</t>
  </si>
  <si>
    <t>Attached Sticker</t>
  </si>
  <si>
    <t>https://www.jotform.com/uploads/macarewecare/222927978372067/6000291221516307945/6000291221516307945_signature_28.png</t>
  </si>
  <si>
    <t>https://www.jotform.com/uploads/macarewecare/222927978372067/6000291221516307945/6000291221516307945_signature_31.png</t>
  </si>
  <si>
    <t>B2 found error in temperature</t>
  </si>
  <si>
    <t>Error checking using XpertCheck Calibration in Module B2</t>
  </si>
  <si>
    <t>Preventive Maintenance
XpertCheck Calibration
GX ID Sticker Installation</t>
  </si>
  <si>
    <t>3 modules working, 1 module found service required
All GX accessories are functional</t>
  </si>
  <si>
    <t>https://www.jotform.com/uploads/macarewecare/222927978372067/6000255012337145892/6000255012337145892_signature_28.png</t>
  </si>
  <si>
    <t>Kristine Pelletero</t>
  </si>
  <si>
    <t>https://www.jotform.com/uploads/macarewecare/222927978372067/6000255012337145892/6000255012337145892_signature_31.png</t>
  </si>
  <si>
    <t>apemdh_laboratory@gmail.com</t>
  </si>
  <si>
    <t xml:space="preserve">ASSAY: Xpert MTB/RIF Ultra, COUNT: 2028
</t>
  </si>
  <si>
    <t>https://www.jotform.com/uploads/macarewecare/222927978372067/6000253849413030993/6000253849413030993_signature_28.png</t>
  </si>
  <si>
    <t>Shelly Vee Maona C. Naval</t>
  </si>
  <si>
    <t>https://www.jotform.com/uploads/macarewecare/222927978372067/6000253849413030993/6000253849413030993_signature_31.png</t>
  </si>
  <si>
    <t>GX-IV 4D 6C</t>
  </si>
  <si>
    <t>For XPC Error Verification at Module 2</t>
  </si>
  <si>
    <t>Install new Calibration XPC Version 1.5B
Run XPC at Module 2</t>
  </si>
  <si>
    <t>Run XPC at Module 2</t>
  </si>
  <si>
    <t>Module 2, retry and for service required
Module 2 for under observation, if error persist, suggested to disable the said module</t>
  </si>
  <si>
    <t>https://www.jotform.com/uploads/macarewecare/222927978372067/6000231395523534877/6000231395523534877_signature_28.png</t>
  </si>
  <si>
    <t>Pamela Joyce Sustento RMT</t>
  </si>
  <si>
    <t>https://www.jotform.com/uploads/macarewecare/222927978372067/6000231395523534877/6000231395523534877_signature_31.png</t>
  </si>
  <si>
    <t>ACE Hospital</t>
  </si>
  <si>
    <t>ID sticker Installation</t>
  </si>
  <si>
    <t>laboratory@acemcbohol.com</t>
  </si>
  <si>
    <t>ID sticker installation
Clean Fan Filter
Plunger rod maintenance</t>
  </si>
  <si>
    <t>https://www.jotform.com/uploads/macarewecare/222927978372067/6000227586313914991/6000227586313914991_signature_28.png</t>
  </si>
  <si>
    <t>ACEMC-BOHOL</t>
  </si>
  <si>
    <t>https://www.jotform.com/uploads/macarewecare/222927978372067/6000227586313914991/6000227586313914991_signature_31.png</t>
  </si>
  <si>
    <t>XpertCheck Result:
   B1/862627 - passed
   B2/730958 - newly replaced module 
   B3/757493 - newly replaced module 
   B4/673571 - service required
Cleaned cartridge bays, plunger rod, icore 
Attached QR sticker on Gx
Generate Data</t>
  </si>
  <si>
    <t>https://www.jotform.com/uploads/macarewecare/222927978372067/6000217962204603130/6000217962204603130_signature_28.png</t>
  </si>
  <si>
    <t>https://www.jotform.com/uploads/macarewecare/222927978372067/6000217962204603130/6000217962204603130_signature_31.png</t>
  </si>
  <si>
    <t>Guevarra Subdivision, Legazpi City</t>
  </si>
  <si>
    <t xml:space="preserve">ASSAY: Xpert BCR-ABL Ultra, COUNT: 1
ASSAY: Xpert HBV VL, COUNT: 126
ASSAY: Xpert MTB/RIF Ultra, COUNT: 76
ASSAY: Others, COUNT: 6
ASSAY: Xpert SARS-CoV-2, COUNT: 11
</t>
  </si>
  <si>
    <t>Cleaned cartridge bays, plunger rod, icore 
Attached QR sticker on Gx 
Generate Data</t>
  </si>
  <si>
    <t>https://www.jotform.com/uploads/macarewecare/222927978372067/6000217672206865488/6000217672206865488_signature_28.png</t>
  </si>
  <si>
    <t>Emh</t>
  </si>
  <si>
    <t>https://www.jotform.com/uploads/macarewecare/222927978372067/6000217672206865488/6000217672206865488_signature_31.png</t>
  </si>
  <si>
    <t xml:space="preserve">ASSAY: Xpert HBV VL, COUNT: 17
ASSAY: Xpert SARS-CoV-2, COUNT: 7594
ASSAY: Xpert HIV-1 Viral Load, COUNT: 2
ASSAY: Others, COUNT: 940
</t>
  </si>
  <si>
    <t>B1:662752
B2:623847
B3:792278
For module replacement</t>
  </si>
  <si>
    <t>Module replacement 
Preventive maintenance</t>
  </si>
  <si>
    <t>3 Genexpert module</t>
  </si>
  <si>
    <t>https://www.jotform.com/uploads/macarewecare/222927978372067/6000204452176745313/6000204452176745313_signature_28.png</t>
  </si>
  <si>
    <t>https://www.jotform.com/uploads/macarewecare/222927978372067/6000204452176745313/6000204452176745313_signature_31.png</t>
  </si>
  <si>
    <t>B2 error in temperature</t>
  </si>
  <si>
    <t>3 modules working, 1 module disabled (error)
All GX accessories are functional</t>
  </si>
  <si>
    <t>https://www.jotform.com/uploads/macarewecare/222927978372067/6000185852338767973/6000185852338767973_signature_28.png</t>
  </si>
  <si>
    <t>https://www.jotform.com/uploads/macarewecare/222927978372067/6000185852338767973/6000185852338767973_signature_31.png</t>
  </si>
  <si>
    <t>MAINTENANCE
Installation of GX Barcode Sticker</t>
  </si>
  <si>
    <t>wadznaibrahom0706@gmail.com</t>
  </si>
  <si>
    <t xml:space="preserve">ASSAY: Xpert MTB/RIF Ultra, COUNT: 569
</t>
  </si>
  <si>
    <t>Preventive Maintenence, Data Collection and gx barcode sticker</t>
  </si>
  <si>
    <t>System unit battery needs to be replaced</t>
  </si>
  <si>
    <t>https://www.jotform.com/uploads/macarewecare/222927978372067/6000157300422100698/6000157300422100698_signature_28.png</t>
  </si>
  <si>
    <t>Wanna Ibrahim</t>
  </si>
  <si>
    <t>https://www.jotform.com/uploads/macarewecare/222927978372067/6000157300422100698/6000157300422100698_signature_31.png</t>
  </si>
  <si>
    <t xml:space="preserve">ASSAY: Xpert MTB/RIF Ultra, COUNT: 663
</t>
  </si>
  <si>
    <t>https://www.jotform.com/uploads/macarewecare/222927978372067/6000147977914092840/6000147977914092840_signature_28.png</t>
  </si>
  <si>
    <t>https://www.jotform.com/uploads/macarewecare/222927978372067/6000147977914092840/6000147977914092840_signature_31.png</t>
  </si>
  <si>
    <t>Brgy. Calumpang, General Santos City, South Cotabato</t>
  </si>
  <si>
    <t xml:space="preserve">ASSAY: Xpert MTB/RIF Ultra, COUNT: 1284
</t>
  </si>
  <si>
    <t>Perform Genexpert Cleaning /preventive maintenance
Gx ID sticker installation 
Checking of errors/problem 
Data collection</t>
  </si>
  <si>
    <t>https://www.jotform.com/uploads/macarewecare/222927978372067/5999662846862652633/5999662846862652633_signature_28.png</t>
  </si>
  <si>
    <t>Janice  R. Camiña</t>
  </si>
  <si>
    <t>https://www.jotform.com/uploads/macarewecare/222927978372067/5999662846862652633/5999662846862652633_signature_31.png</t>
  </si>
  <si>
    <t xml:space="preserve">ASSAY: Xpert MTB/RIF Ultra, COUNT: 746
</t>
  </si>
  <si>
    <t>Perform Genexpert Preventive maintenance/Cleaning 
Gx ID sticker installation 
Checking of errors/problem 
Data collection</t>
  </si>
  <si>
    <t>https://www.jotform.com/uploads/macarewecare/222927978372067/5999662846865476883/5999662846865476883_signature_28.png</t>
  </si>
  <si>
    <t>PRINCESS JERRUMAE PORRAS</t>
  </si>
  <si>
    <t>https://www.jotform.com/uploads/macarewecare/222927978372067/5999662846865476883/5999662846865476883_signature_31.png</t>
  </si>
  <si>
    <t xml:space="preserve">ASSAY: Xpert MTB/RIF Ultra, COUNT: 51
</t>
  </si>
  <si>
    <t>Module 4 stuck cartridge</t>
  </si>
  <si>
    <t>Repair module 4 stuck cartridge 
Perform Genexpert Cleaning and maintenance 
Checking of error/problem 
Data collection</t>
  </si>
  <si>
    <t>https://www.jotform.com/uploads/macarewecare/222927978372067/5999662756866462598/5999662756866462598_signature_28.png</t>
  </si>
  <si>
    <t>https://www.jotform.com/uploads/macarewecare/222927978372067/5999662756866462598/5999662756866462598_signature_31.png</t>
  </si>
  <si>
    <t>gabbyg.carag@gmail.com</t>
  </si>
  <si>
    <t>Performed maintenance 
Simulation run
Checked rotor pumps
Verified calibration parameters 
Functionality test</t>
  </si>
  <si>
    <t>https://www.jotform.com/uploads/macarewecare/222927978372067/5999507403614036640/5999507403614036640_signature_28.png</t>
  </si>
  <si>
    <t>Ma Gabriela Grace Frances Carag</t>
  </si>
  <si>
    <t>https://www.jotform.com/uploads/macarewecare/222927978372067/5999507403614036640/5999507403614036640_signature_31.png</t>
  </si>
  <si>
    <t xml:space="preserve">ASSAY: Xpert HBV VL, COUNT: 145
ASSAY: Xpert HPV, COUNT: 36
ASSAY: Xpert MTB/RIF Ultra, COUNT: 1119
</t>
  </si>
  <si>
    <t>https://www.jotform.com/uploads/macarewecare/222927978372067/5999507243617589821/5999507243617589821_signature_28.png</t>
  </si>
  <si>
    <t>https://www.jotform.com/uploads/macarewecare/222927978372067/5999507243617589821/5999507243617589821_signature_31.png</t>
  </si>
  <si>
    <t>St. Luke's Medical Center BGC</t>
  </si>
  <si>
    <t xml:space="preserve">ASSAY: Xpert BCR-ABL Ultra, COUNT: 18
ASSAY: Xpert CT/NG, COUNT: 90
ASSAY: Xpert HBV VL, COUNT: 8
ASSAY: Xpert HPV, COUNT: 109
ASSAY: Xpert MTB/RIF Ultra, COUNT: 223
ASSAY: Xpert HCV VL, COUNT: 6
ASSAY: Xpert HIV-1 Viral Load, COUNT: 4
</t>
  </si>
  <si>
    <t>Printer wasted pad end of service life</t>
  </si>
  <si>
    <t>Cleaned printer waste pad</t>
  </si>
  <si>
    <t>Checked printer
Cleaned printer waste pad
Performed maintenance:
Cleaned:
-cartridge bay 
-plunger rod 
-icore 
-filter
Generated reports</t>
  </si>
  <si>
    <t>Unit is operational. All modules operational. Printer is operational.</t>
  </si>
  <si>
    <t>https://www.jotform.com/uploads/macarewecare/222927978372067/5999507063616845473/5999507063616845473_signature_28.png</t>
  </si>
  <si>
    <t>https://www.jotform.com/uploads/macarewecare/222927978372067/5999507063616845473/5999507063616845473_signature_31.png</t>
  </si>
  <si>
    <t xml:space="preserve">ASSAY: Xpert BCR-ABL Ultra, COUNT: 1
ASSAY: Xpert CT/NG, COUNT: 4
ASSAY: Xpert HPV, COUNT: 8
ASSAY: Xpert MTB/RIF Ultra, COUNT: 8
ASSAY: Xpert HCV VL, COUNT: 1
</t>
  </si>
  <si>
    <t>https://www.jotform.com/uploads/macarewecare/222927978372067/5999506843618983529/5999506843618983529_signature_28.png</t>
  </si>
  <si>
    <t>https://www.jotform.com/uploads/macarewecare/222927978372067/5999506843618983529/5999506843618983529_signature_31.png</t>
  </si>
  <si>
    <t>https://www.jotform.com/uploads/macarewecare/222927978372067/5999506853612212455/5999506853612212455_signature_28.png</t>
  </si>
  <si>
    <t>https://www.jotform.com/uploads/macarewecare/222927978372067/5999506853612212455/5999506853612212455_signature_31.png</t>
  </si>
  <si>
    <t>Urbano Velasco Ave., Pinagbuhatan, Pasig City</t>
  </si>
  <si>
    <t xml:space="preserve">ASSAY: Xpert MTB/RIF Ultra, COUNT: 152
</t>
  </si>
  <si>
    <t>Module B1 has error 4012</t>
  </si>
  <si>
    <t>Performed maintenance 
Cleaned:
-cartridge bay 
-plunger rod 
-icore 
-filter 
Checked module B1
Generated reports 
Disabled module B1</t>
  </si>
  <si>
    <t>Unit is operational. Module B1/210127592 not operational, for reporting.</t>
  </si>
  <si>
    <t>https://www.jotform.com/uploads/macarewecare/222927978372067/5999506573611459784/5999506573611459784_signature_28.png</t>
  </si>
  <si>
    <t>https://www.jotform.com/uploads/macarewecare/222927978372067/5999506573611459784/5999506573611459784_signature_31.png</t>
  </si>
  <si>
    <t xml:space="preserve">ASSAY: Xpert HIV-1 Viral Load, COUNT: 20
</t>
  </si>
  <si>
    <t>https://www.jotform.com/uploads/macarewecare/222927978372067/5999506363618843041/5999506363618843041_signature_28.png</t>
  </si>
  <si>
    <t>https://www.jotform.com/uploads/macarewecare/222927978372067/5999506363618843041/5999506363618843041_signature_31.png</t>
  </si>
  <si>
    <t>Piat Municipal Health Office</t>
  </si>
  <si>
    <t>Poblacion 2, Piat, Cagayan</t>
  </si>
  <si>
    <t>marieatalipsalas@gmail.com</t>
  </si>
  <si>
    <t xml:space="preserve">ASSAY: Xpert MTB/RIF Ultra, COUNT: 95
</t>
  </si>
  <si>
    <t>https://www.jotform.com/uploads/macarewecare/222927978372067/5999496055615398559/5999496055615398559_signature_28.png</t>
  </si>
  <si>
    <t>Marie Atalip Salas</t>
  </si>
  <si>
    <t>https://www.jotform.com/uploads/macarewecare/222927978372067/5999496055615398559/5999496055615398559_signature_31.png</t>
  </si>
  <si>
    <t>https://www.jotform.com/uploads/macarewecare/222927978372067/5999460995615969077/5999460995615969077_signature_28.png</t>
  </si>
  <si>
    <t>https://www.jotform.com/uploads/macarewecare/222927978372067/5999460995615969077/5999460995615969077_signature_31.png</t>
  </si>
  <si>
    <t>Conner District Hospital</t>
  </si>
  <si>
    <t>Ripang, Conner, Apayao</t>
  </si>
  <si>
    <t>Apayao</t>
  </si>
  <si>
    <t>cdhlaboratory2019@gmail.com</t>
  </si>
  <si>
    <t xml:space="preserve">ASSAY: Xpert SARS-CoV-2, COUNT: 17
ASSAY: Others, COUNT: 67
</t>
  </si>
  <si>
    <t>https://www.jotform.com/uploads/macarewecare/222927978372067/5999429739326118610/5999429739326118610_signature_28.png</t>
  </si>
  <si>
    <t>Mark Talay</t>
  </si>
  <si>
    <t>https://www.jotform.com/uploads/macarewecare/222927978372067/5999429739326118610/5999429739326118610_signature_31.png</t>
  </si>
  <si>
    <t>Module Error at Module B1
For Preventive Maintenance and GX Sticker Installation</t>
  </si>
  <si>
    <t>Clean Surface Area, Cartridge Bay, Plunger Rod, Fan Filters and Icore Lenses
Generate IQR, Assay Stat and System Log
Run XPC at Module B1
Install GX Sticker</t>
  </si>
  <si>
    <t>Perform Preventive Maintenance, Calibration and Sticker Installation</t>
  </si>
  <si>
    <t>Module B1 passed the Calibration
All Modules are operational</t>
  </si>
  <si>
    <t>https://www.jotform.com/uploads/macarewecare/222927978372067/5999376013212043185/5999376013212043185_signature_28.png</t>
  </si>
  <si>
    <t>Dorothy A. Dalagan RMT</t>
  </si>
  <si>
    <t>https://www.jotform.com/uploads/macarewecare/222927978372067/5999376013212043185/5999376013212043185_signature_31.png</t>
  </si>
  <si>
    <t>CALIBRATION
MAINTENANCE
GeneXpert ID Sticker Installation</t>
  </si>
  <si>
    <t>All modules passed XPC.</t>
  </si>
  <si>
    <t>https://www.jotform.com/uploads/macarewecare/222927978372067/5999326435196016567/5999326435196016567_signature_28.png</t>
  </si>
  <si>
    <t>https://www.jotform.com/uploads/macarewecare/222927978372067/5999326435196016567/5999326435196016567_signature_31.png</t>
  </si>
  <si>
    <t>Delfin Albano Rural Health Unit</t>
  </si>
  <si>
    <t>Ragan Sur, Delfin Albano, Isabela</t>
  </si>
  <si>
    <t>https://www.jotform.com/uploads/macarewecare/222927978372067/5999313604524667292/5999313604524667292_signature_28.png</t>
  </si>
  <si>
    <t>https://www.jotform.com/uploads/macarewecare/222927978372067/5999313604524667292/5999313604524667292_signature_31.png</t>
  </si>
  <si>
    <t>15H028G</t>
  </si>
  <si>
    <t>Exhaust fan motor unoperational, no voltage output</t>
  </si>
  <si>
    <t>Checked and test voltage output connector fan from personality board
Swap power supply.
Swap cable.
After troubleshooting is performed system status still the same fan motor unoperational</t>
  </si>
  <si>
    <t>Defective personality board for replacement and quotation</t>
  </si>
  <si>
    <t>https://www.jotform.com/uploads/macarewecare/222927978372067/5999238603612279249/5999238603612279249_signature_28.png</t>
  </si>
  <si>
    <t>https://www.jotform.com/uploads/macarewecare/222927978372067/5999238603612279249/5999238603612279249_signature_31.png</t>
  </si>
  <si>
    <t>Defective CPU and display cable</t>
  </si>
  <si>
    <t>Borrowed temporary CPU Board and display cable frm 15H028G to temporary use the machine</t>
  </si>
  <si>
    <t>https://www.jotform.com/uploads/macarewecare/222927978372067/5999238253611135573/5999238253611135573_signature_28.png</t>
  </si>
  <si>
    <t>https://www.jotform.com/uploads/macarewecare/222927978372067/5999238253611135573/5999238253611135573_signature_31.png</t>
  </si>
  <si>
    <t>Cabaruan, Cauayan City, Isabela</t>
  </si>
  <si>
    <t>MAINTENANCE
TROUBLESHOOTING
ON-SITE ASSISTANCE
Relocation</t>
  </si>
  <si>
    <t>kj102412@gmail.com</t>
  </si>
  <si>
    <t>Relocate Genexpert</t>
  </si>
  <si>
    <t>Performed Maintenance
Gathered Reports
Performed Functionality Test
Attached Sticker</t>
  </si>
  <si>
    <t>https://www.jotform.com/uploads/macarewecare/222927978372067/5999234274524275806/5999234274524275806_signature_28.png</t>
  </si>
  <si>
    <t>https://www.jotform.com/uploads/macarewecare/222927978372067/5999234274524275806/5999234274524275806_signature_31.png</t>
  </si>
  <si>
    <t>https://www.jotform.com/uploads/macarewecare/222927978372067/5998728077495121715/5998728077495121715_signature_28.png</t>
  </si>
  <si>
    <t>Ken Aquino</t>
  </si>
  <si>
    <t>https://www.jotform.com/uploads/macarewecare/222927978372067/5998728077495121715/5998728077495121715_signature_31.png</t>
  </si>
  <si>
    <t xml:space="preserve">ASSAY: Xpert MTB/RIF Ultra, COUNT: 17
</t>
  </si>
  <si>
    <t>https://www.jotform.com/uploads/macarewecare/222927978372067/5998727237492007126/5998727237492007126_signature_28.png</t>
  </si>
  <si>
    <t>Angelie Paz Olivar</t>
  </si>
  <si>
    <t>https://www.jotform.com/uploads/macarewecare/222927978372067/5998727237492007126/5998727237492007126_signature_31.png</t>
  </si>
  <si>
    <t>Dasol, Pangasinan</t>
  </si>
  <si>
    <t xml:space="preserve">ASSAY: Xpert MTB/RIF Ultra, COUNT: 664
</t>
  </si>
  <si>
    <t>https://www.jotform.com/uploads/macarewecare/222927978372067/5998726037494862190/5998726037494862190_signature_28.png</t>
  </si>
  <si>
    <t>https://www.jotform.com/uploads/macarewecare/222927978372067/5998726037494862190/5998726037494862190_signature_31.png</t>
  </si>
  <si>
    <t>Bolinao, Pangasinan</t>
  </si>
  <si>
    <t xml:space="preserve">ASSAY: Xpert MTB/RIF Ultra, COUNT: 626
</t>
  </si>
  <si>
    <t>https://www.jotform.com/uploads/macarewecare/222927978372067/5998716477496073878/5998716477496073878_signature_28.png</t>
  </si>
  <si>
    <t>Emylyn C Celzo</t>
  </si>
  <si>
    <t>https://www.jotform.com/uploads/macarewecare/222927978372067/5998716477496073878/5998716477496073878_signature_31.png</t>
  </si>
  <si>
    <t>- Error 6001: infinity server offline
- UPS constantly beeping</t>
  </si>
  <si>
    <t>Unit is operational, embedded PC did not restart properly, UPS was overheating due to stuck up coolong fans. Lubricated cooling fans for temporary fix but recommend replacing UPS as it is almost 7 years old. (Powervar Sinergy III 2KVA Model or similar)</t>
  </si>
  <si>
    <t>https://www.jotform.com/uploads/macarewecare/222927978372067/5998622621819264147/5998622621819264147_signature_28.png</t>
  </si>
  <si>
    <t>https://www.jotform.com/uploads/macarewecare/222927978372067/5998622621819264147/5998622621819264147_signature_31.png</t>
  </si>
  <si>
    <t>Poblacion Iligan Rd., Brgy. Poblacion, Masbate</t>
  </si>
  <si>
    <t>Cleaned cartridge bays, plunger rod
Attached QR sticker on Gx 
Generate Data</t>
  </si>
  <si>
    <t>https://www.jotform.com/uploads/macarewecare/222927978372067/5998426709511321007/5998426709511321007_signature_28.png</t>
  </si>
  <si>
    <t>https://www.jotform.com/uploads/macarewecare/222927978372067/5998426709511321007/5998426709511321007_signature_31.png</t>
  </si>
  <si>
    <t>gellatisimo@gmail.com</t>
  </si>
  <si>
    <t xml:space="preserve">ASSAY: Xpert MTB/RIF Ultra, COUNT: 877
</t>
  </si>
  <si>
    <t>XpertCheck Result:
   C1/807602 - passed
   C2/807592 - passed
   C3/784120 - passed
   C4/621794 - newly replaced module 
Cleaned cartridge bays, plunger rod, icore
Generate data
Attached QR sticker on Gx
Checked the battery dependability of UPS wheb unplugged drom AC source, checked power connection of UPS</t>
  </si>
  <si>
    <t>Performed XpertCheck 
Performed Preventive Maintenance 
Performed Troubleshooting on UPS</t>
  </si>
  <si>
    <t>Unit is Operational 
UPS battery drained</t>
  </si>
  <si>
    <t>UPS last a few seconds when unplugged from power source. Drained UPS battery, request for replacement</t>
  </si>
  <si>
    <t>https://www.jotform.com/uploads/macarewecare/222927978372067/5998426369517342144/5998426369517342144_signature_28.png</t>
  </si>
  <si>
    <t>https://www.jotform.com/uploads/macarewecare/222927978372067/5998426369517342144/5998426369517342144_signature_31.png</t>
  </si>
  <si>
    <t>City Hall Compound, Brgy. Kalipay, Masbate City</t>
  </si>
  <si>
    <t>Cleaned cartridge bays, plunger rod 
Generate Data 
Attachment of QR sticker on Gx</t>
  </si>
  <si>
    <t>https://www.jotform.com/uploads/macarewecare/222927978372067/5998424109514958086/5998424109514958086_signature_28.png</t>
  </si>
  <si>
    <t>JUEDE VAN A. ANCAJAS</t>
  </si>
  <si>
    <t>https://www.jotform.com/uploads/macarewecare/222927978372067/5998424109514958086/5998424109514958086_signature_31.png</t>
  </si>
  <si>
    <t>Poblacion, Claveria, Burias Island</t>
  </si>
  <si>
    <t>Cleaned cartridge bays, plunger rod, icore 
Attached QR sticker on Gx 
Generate Data 
Checked the power output of UPS, checked the power supply of UPS after unplugging from AC power source, checked the power connection from/to UPS</t>
  </si>
  <si>
    <t>Performed Preventive Maintenance 
Performed Troubleshooting for UPS</t>
  </si>
  <si>
    <t>UPS last 3mins at most when cutting connection from AC or if there is a power outage(frequent occurence within a day). UPS battery drained, request for replacement.</t>
  </si>
  <si>
    <t>https://www.jotform.com/uploads/macarewecare/222927978372067/5998423289519863526/5998423289519863526_signature_28.png</t>
  </si>
  <si>
    <t>https://www.jotform.com/uploads/macarewecare/222927978372067/5998423289519863526/5998423289519863526_signature_31.png</t>
  </si>
  <si>
    <t>Pioduran Rural Health Unit</t>
  </si>
  <si>
    <t>Caratagan,  Pioduran, Albay</t>
  </si>
  <si>
    <t>Laboratory GX4-6C</t>
  </si>
  <si>
    <t>Cleaned cartridge bays, plunger rod, icore 
Attached QR sticker on Gx
Generate data</t>
  </si>
  <si>
    <t>https://www.jotform.com/uploads/macarewecare/222927978372067/5998418749515092420/5998418749515092420_signature_28.png</t>
  </si>
  <si>
    <t>https://www.jotform.com/uploads/macarewecare/222927978372067/5998418749515092420/5998418749515092420_signature_31.png</t>
  </si>
  <si>
    <t xml:space="preserve">ASSAY: Xpert MTB/RIF Ultra, COUNT: 396
ASSAY: Xpert SARS-CoV-2, COUNT: 924
ASSAY: Xpert HIV-1 Viral Load, COUNT: 5
ASSAY: Xpert HIV-1 Viral Load, COUNT: 114
</t>
  </si>
  <si>
    <t>GX 4 D</t>
  </si>
  <si>
    <t>Performed xpertcheck
Performed maintenance</t>
  </si>
  <si>
    <t>B1,B4 failed in xpertcheck
B2,B3 retry.</t>
  </si>
  <si>
    <t>https://www.jotform.com/uploads/macarewecare/222927978372067/5996210288987169672/5996210288987169672_signature_28.png</t>
  </si>
  <si>
    <t>https://www.jotform.com/uploads/macarewecare/222927978372067/5996210288987169672/5996210288987169672_signature_31.png</t>
  </si>
  <si>
    <t>https://www.jotform.com/uploads/macarewecare/222927978372067/5996209838982762216/5996209838982762216_signature_28.png</t>
  </si>
  <si>
    <t>https://www.jotform.com/uploads/macarewecare/222927978372067/5996209838982762216/5996209838982762216_signature_31.png</t>
  </si>
  <si>
    <t>Due for maintenance
Exhaust fan not working</t>
  </si>
  <si>
    <t>Cleaned unit
Checked program parameters
Checked and adjust line sensor value
Checked rollers,dpm,spm,centrifuge,weigher
Replaced cable of exhaust fan 
Performed functionality test
Performed simulation running</t>
  </si>
  <si>
    <t>For further troubleshooting exhaust fan</t>
  </si>
  <si>
    <t>https://www.jotform.com/uploads/macarewecare/222927978372067/5996209448983493226/5996209448983493226_signature_28.png</t>
  </si>
  <si>
    <t>https://www.jotform.com/uploads/macarewecare/222927978372067/5996209448983493226/5996209448983493226_signature_31.png</t>
  </si>
  <si>
    <t>FEU Nicanor Reyes Medical Foundation</t>
  </si>
  <si>
    <t>Regalado Ave., West Fairview, Quezon City</t>
  </si>
  <si>
    <t xml:space="preserve">ASSAY: Xpert HPV, COUNT: 51
ASSAY: Xpert MTB/RIF Ultra, COUNT: 413
</t>
  </si>
  <si>
    <t>Performed preventive maintenance 
Generated report</t>
  </si>
  <si>
    <t>Unit is operational 
3 modules working
Module A3 reported already</t>
  </si>
  <si>
    <t>https://www.jotform.com/uploads/macarewecare/222927978372067/5995978001124151552/5995978001124151552_signature_28.png</t>
  </si>
  <si>
    <t>https://www.jotform.com/uploads/macarewecare/222927978372067/5995978001124151552/5995978001124151552_signature_31.png</t>
  </si>
  <si>
    <t>850 UN Ave, Paco, Manila</t>
  </si>
  <si>
    <t xml:space="preserve">ASSAY: Xpert MTB/RIF Ultra, COUNT: 1095
</t>
  </si>
  <si>
    <t>Checked and cleaned cartridge bays, plunger rod, icore slot and filter 
Archived test results</t>
  </si>
  <si>
    <t>https://www.jotform.com/uploads/macarewecare/222927978372067/5995863781124260114/5995863781124260114_signature_28.png</t>
  </si>
  <si>
    <t>https://www.jotform.com/uploads/macarewecare/222927978372067/5995863781124260114/5995863781124260114_signature_31.png</t>
  </si>
  <si>
    <t>AFPMC AFRIMS 10C</t>
  </si>
  <si>
    <t>V. Luna Road, Quezon City</t>
  </si>
  <si>
    <t xml:space="preserve">ASSAY: Xpert HBV VL, COUNT: 55
ASSAY: Xpert MTB/RIF Ultra, COUNT: 692
ASSAY: Xpert SARS-CoV-2, COUNT: 1046
ASSAY: Xpert HCV VL, COUNT: 31
ASSAY: Xpert HIV-1 Viral Load, COUNT: 39
ASSAY: Xpert HIV-1 Viral Load, COUNT: 105
</t>
  </si>
  <si>
    <t>Unit due for Calibration</t>
  </si>
  <si>
    <t>Performed preventive maintenance 
Performed Xpertcheck 
Generated report</t>
  </si>
  <si>
    <t>Checked and cleaned cartridge bays, plunger rod, icore slot and filter 
Performed Xpertcheck on B1,2,4
B3 already reported
All modules passed</t>
  </si>
  <si>
    <t>Unit is operational 
3 modules working</t>
  </si>
  <si>
    <t>Service done on 8/15/24. jotform error</t>
  </si>
  <si>
    <t>DR</t>
  </si>
  <si>
    <t>https://www.jotform.com/uploads/macarewecare/222927978372067/5995837651126761163/5995837651126761163_signature_28.png</t>
  </si>
  <si>
    <t>https://www.jotform.com/uploads/macarewecare/222927978372067/5995837651126761163/5995837651126761163_signature_31.png</t>
  </si>
  <si>
    <t>AFPMC AFRIMS 6C</t>
  </si>
  <si>
    <t xml:space="preserve">ASSAY: Xpert HBV VL, COUNT: 1
ASSAY: Xpert SARS-CoV-2, COUNT: 633
ASSAY: Xpert HCV VL, COUNT: 1
ASSAY: Xpert HIV-1 Viral Load, COUNT: 3
</t>
  </si>
  <si>
    <t>GXIV 6C L</t>
  </si>
  <si>
    <t>Modules B1 and B3!for replacement 
Unit due for Xpertcheck</t>
  </si>
  <si>
    <t>Performed preventive maintenance 
Replaced modules B1 and B3
Modules B2 and B4 for reporting 
Generated report</t>
  </si>
  <si>
    <t>Checked and cleaned cartridge bays, plunger rod, icore slot and filter 
Replaced modules
B1: 35793 -&gt; 210071525
B3: 715913 -&gt; 210063075
Performed Xpertcheck 
Module B2 and B4 for reporting</t>
  </si>
  <si>
    <t>2 GX Modules 6C
1 Xpertcheck kit</t>
  </si>
  <si>
    <t>Dr</t>
  </si>
  <si>
    <t>https://www.jotform.com/uploads/macarewecare/222927978372067/5995827711123951957/5995827711123951957_signature_28.png</t>
  </si>
  <si>
    <t>https://www.jotform.com/uploads/macarewecare/222927978372067/5995827711123951957/5995827711123951957_signature_31.png</t>
  </si>
  <si>
    <t xml:space="preserve">ASSAY: Xpert MTB/RIF Ultra, COUNT: 708
ASSAY: Xpert HBV VL, COUNT: 72
ASSAY: Xpert CT/NG, COUNT: 34
ASSAY: Xpert HCV VL, COUNT: 10
ASSAY: Xpert HIV-1 Viral Load, COUNT: 116
</t>
  </si>
  <si>
    <t>Module B1 and B2 error</t>
  </si>
  <si>
    <t>Performed Module Replacement
B1(210066389 - 779453)
B2(210065641 - 786610)</t>
  </si>
  <si>
    <t>https://www.jotform.com/uploads/macarewecare/222927978372067/5995178351125694525/5995178351125694525_signature_28.png</t>
  </si>
  <si>
    <t>Sharey Capati</t>
  </si>
  <si>
    <t>https://www.jotform.com/uploads/macarewecare/222927978372067/5995178351125694525/5995178351125694525_signature_31.png</t>
  </si>
  <si>
    <t xml:space="preserve">ASSAY: Xpert MTB/RIF Ultra, COUNT: 4784
ASSAY: Xpert HCV VL, COUNT: 39
ASSAY: Xpert HIV-1 Viral Load, COUNT: 243
</t>
  </si>
  <si>
    <t>https://www.jotform.com/uploads/macarewecare/222927978372067/5995141458336001600/5995141458336001600_signature_28.png</t>
  </si>
  <si>
    <t>https://www.jotform.com/uploads/macarewecare/222927978372067/5995141458336001600/5995141458336001600_signature_31.png</t>
  </si>
  <si>
    <t>Module B1 failed XPC, for replacement. Other modules are functional.</t>
  </si>
  <si>
    <t>https://www.jotform.com/uploads/macarewecare/222927978372067/5995113235003070663/5995113235003070663_signature_28.png</t>
  </si>
  <si>
    <t>https://www.jotform.com/uploads/macarewecare/222927978372067/5995113235003070663/5995113235003070663_signature_31.png</t>
  </si>
  <si>
    <t>Poblacion 17, P. Burgos St. Batangas City</t>
  </si>
  <si>
    <t>For installation of GeneXpert System.</t>
  </si>
  <si>
    <t>Performed installatiom of GeneXpert System.
Performed basic training and troubleshooting.
Generated reports.</t>
  </si>
  <si>
    <t>https://www.jotform.com/uploads/macarewecare/222927978372067/5995041755425764915/5995041755425764915_signature_28.png</t>
  </si>
  <si>
    <t>https://www.jotform.com/uploads/macarewecare/222927978372067/5995041755425764915/5995041755425764915_signature_31.png</t>
  </si>
  <si>
    <t xml:space="preserve">ASSAY: Xpert MTB/RIF Ultra, COUNT: 750
</t>
  </si>
  <si>
    <t>https://www.jotform.com/uploads/macarewecare/222927978372067/5993437732601419457/5993437732601419457_signature_28.png</t>
  </si>
  <si>
    <t>https://www.jotform.com/uploads/macarewecare/222927978372067/5993437732601419457/5993437732601419457_signature_31.png</t>
  </si>
  <si>
    <t>Brgy. Santiago, Naujan</t>
  </si>
  <si>
    <t>baldoza.shane25@yahoo.com</t>
  </si>
  <si>
    <t>Unit is operational. Module B1 (632561), service required.</t>
  </si>
  <si>
    <t>Xpertcheck kit.</t>
  </si>
  <si>
    <t>DR#11803</t>
  </si>
  <si>
    <t>https://www.jotform.com/uploads/macarewecare/222927978372067/5994963939618913962/5994963939618913962_signature_28.png</t>
  </si>
  <si>
    <t>Lucena Malicsi</t>
  </si>
  <si>
    <t>https://www.jotform.com/uploads/macarewecare/222927978372067/5994963939618913962/5994963939618913962_signature_31.png</t>
  </si>
  <si>
    <t>Quezon City General Hospital 2</t>
  </si>
  <si>
    <t>GX IV 10C-D</t>
  </si>
  <si>
    <t>GeneXpert detected but modules does not appear on GX DX Software</t>
  </si>
  <si>
    <t>Troubleshoot the connection problem
Performed preventive maintenance 
generated report</t>
  </si>
  <si>
    <t>Checked IP address
Ping IP address
Correct IP - still not detected 
Opened GX and tightened all cables
Problem solved
Checked and cleaned cartridge bays, plunger rod, icore slot and filter</t>
  </si>
  <si>
    <t>Performed on 8/13/24. Jotform error</t>
  </si>
  <si>
    <t>https://www.jotform.com/uploads/macarewecare/222927978372067/5994958122621082898/5994958122621082898_signature_28.png</t>
  </si>
  <si>
    <t>https://www.jotform.com/uploads/macarewecare/222927978372067/5994958122621082898/5994958122621082898_signature_31.png</t>
  </si>
  <si>
    <t xml:space="preserve">ASSAY: Xpert HBV VL, COUNT: 9
ASSAY: Xpert MTB/RIF Ultra, COUNT: 275
ASSAY: Xpert HIV-1 Viral Load, COUNT: 1236
</t>
  </si>
  <si>
    <t>Stuck Cartidge at Module 3</t>
  </si>
  <si>
    <t>Removed the stuck cartidge at Module 3, clean module cartidge bay</t>
  </si>
  <si>
    <t>Perform removal of stuck cartidge</t>
  </si>
  <si>
    <t>https://www.jotform.com/uploads/macarewecare/222927978372067/5994454380811752133/5994454380811752133_signature_28.png</t>
  </si>
  <si>
    <t>Cherry Ann Asis</t>
  </si>
  <si>
    <t>https://www.jotform.com/uploads/macarewecare/222927978372067/5994454380811752133/5994454380811752133_signature_31.png</t>
  </si>
  <si>
    <t>Poblacion Kidapawan</t>
  </si>
  <si>
    <t xml:space="preserve">ASSAY: Xpert MTB/RIF Ultra, COUNT: 2121
</t>
  </si>
  <si>
    <t>Clean Surface Area, Cartridge Bay, Plunger Rod, Fan Filters and Icore Lenses
Generate IQR, Assay Stat and System Log
Archived Data test results
Install GX Sticker</t>
  </si>
  <si>
    <t>https://www.jotform.com/uploads/macarewecare/222927978372067/5994453110811529414/5994453110811529414_signature_28.png</t>
  </si>
  <si>
    <t>Ma. Luisa Francisco, RMT</t>
  </si>
  <si>
    <t>https://www.jotform.com/uploads/macarewecare/222927978372067/5994453110811529414/5994453110811529414_signature_31.png</t>
  </si>
  <si>
    <t>https://www.jotform.com/uploads/macarewecare/222927978372067/5994343338302100616/5994343338302100616_signature_28.png</t>
  </si>
  <si>
    <t>Christine Jade T Lagat</t>
  </si>
  <si>
    <t>https://www.jotform.com/uploads/macarewecare/222927978372067/5994343338302100616/5994343338302100616_signature_31.png</t>
  </si>
  <si>
    <t>MAINTENANCE
GX Barcode Sticker installation and PM</t>
  </si>
  <si>
    <t xml:space="preserve">ASSAY: Xpert MTB/RIF Ultra, COUNT: 1457
</t>
  </si>
  <si>
    <t>Module 1 hardware failed, UPS is defective must replace both defective devices/Parts.</t>
  </si>
  <si>
    <t>Preventive Maintenence, Troubleshooting for UPS and GX barcode sticker installation</t>
  </si>
  <si>
    <t>Modules 2,3 and 4 are available while module 1 is currently hardware failed. UpS battered must be replaced.</t>
  </si>
  <si>
    <t>https://www.jotform.com/uploads/macarewecare/222927978372067/5994320673529611178/5994320673529611178_signature_28.png</t>
  </si>
  <si>
    <t>Abdul anam H. Nuh, RMT</t>
  </si>
  <si>
    <t>https://www.jotform.com/uploads/macarewecare/222927978372067/5994320673529611178/5994320673529611178_signature_31.png</t>
  </si>
  <si>
    <t xml:space="preserve">ASSAY: Xpert MTB/RIF Ultra, COUNT: 1096
</t>
  </si>
  <si>
    <t>Due for XpertCheck Calibration</t>
  </si>
  <si>
    <t>Module A1 and A3 passed XPC. Module A2 and A4 failed, for replacement.</t>
  </si>
  <si>
    <t>https://www.jotform.com/uploads/macarewecare/222927978372067/5994292705709431282/5994292705709431282_signature_28.png</t>
  </si>
  <si>
    <t>Sarah Jean R. Gabieta</t>
  </si>
  <si>
    <t>https://www.jotform.com/uploads/macarewecare/222927978372067/5994292705709431282/5994292705709431282_signature_31.png</t>
  </si>
  <si>
    <t>Module B4 found Service Required thru XPC</t>
  </si>
  <si>
    <t>GX ID Sticker Installation
Preventive Maintenance
Error Checking of Module B4 thru XpertCheck Calibration</t>
  </si>
  <si>
    <t>3 modules working, 1 module for replacement ( service required )
All GX accessories are functional</t>
  </si>
  <si>
    <t>https://www.jotform.com/uploads/macarewecare/222927978372067/5994238760128935512/5994238760128935512_signature_28.png</t>
  </si>
  <si>
    <t>https://www.jotform.com/uploads/macarewecare/222927978372067/5994238760128935512/5994238760128935512_signature_31.png</t>
  </si>
  <si>
    <t>Due Date for Preventive Maintenance</t>
  </si>
  <si>
    <t>Preventive Maintenance
Clean Fan Filter
Plunger rod maintenance</t>
  </si>
  <si>
    <t>https://www.jotform.com/uploads/macarewecare/222927978372067/5994238110429750455/5994238110429750455_signature_28.png</t>
  </si>
  <si>
    <t>https://www.jotform.com/uploads/macarewecare/222927978372067/5994238110429750455/5994238110429750455_signature_31.png</t>
  </si>
  <si>
    <t>Kairos Health Medical Diagnostic</t>
  </si>
  <si>
    <t>1123 A. Mabini St, Malate, Manila, 1000 Metro Manila</t>
  </si>
  <si>
    <t>GX IV 2 10C-D</t>
  </si>
  <si>
    <t>Performed preventive maintenance 
Archived results
Generated report</t>
  </si>
  <si>
    <t>Checked and cleaned cartridge bays, plunger rod, icore slot and filter 
Archived Results</t>
  </si>
  <si>
    <t>https://www.jotform.com/uploads/macarewecare/222927978372067/5994227612629121565/5994227612629121565_signature_28.png</t>
  </si>
  <si>
    <t>Isabelle C. Tesalona</t>
  </si>
  <si>
    <t>https://www.jotform.com/uploads/macarewecare/222927978372067/5994227612629121565/5994227612629121565_signature_31.png</t>
  </si>
  <si>
    <t>MAINTENANCE
Sticker Placement</t>
  </si>
  <si>
    <t>For sticker placement</t>
  </si>
  <si>
    <t>Unit is operational
Unit is in good condition</t>
  </si>
  <si>
    <t>https://www.jotform.com/uploads/macarewecare/222927978372067/5994211908544487523/5994211908544487523_signature_28.png</t>
  </si>
  <si>
    <t>Floriza Abad</t>
  </si>
  <si>
    <t>https://www.jotform.com/uploads/macarewecare/222927978372067/5994211908544487523/5994211908544487523_signature_31.png</t>
  </si>
  <si>
    <t>667 U.N. Ave., Ermita, Manila</t>
  </si>
  <si>
    <t xml:space="preserve">ASSAY: Xpert CT/NG, COUNT: 86
ASSAY: Xpert HBV VL, COUNT: 94
ASSAY: Xpert HPV, COUNT: 28
ASSAY: Xpert MTB/RIF Ultra, COUNT: 1297
ASSAY: Xpert HCV VL, COUNT: 12
ASSAY: Xpert HIV-1 Viral Load, COUNT: 109
</t>
  </si>
  <si>
    <t>Unit due for maintenance 
Module B3 error twice yesterday</t>
  </si>
  <si>
    <t>Performed preventive maintenance 
Archived results for technical to check the error
Generated report</t>
  </si>
  <si>
    <t>Checked and cleaned cartridge bays, plunger rod, icore slot and filter 
Checked system log and view results
Error 5007 and invalid
Gathered data to be checked by technical</t>
  </si>
  <si>
    <t>https://www.jotform.com/uploads/macarewecare/222927978372067/5994158558506924578/5994158558506924578_signature_28.png</t>
  </si>
  <si>
    <t>Ryamin F. Buentiempo</t>
  </si>
  <si>
    <t>https://www.jotform.com/uploads/macarewecare/222927978372067/5994158558506924578/5994158558506924578_signature_31.png</t>
  </si>
  <si>
    <t>Sulu Sanitarium and General Hospital</t>
  </si>
  <si>
    <t>MAINTENANCE
["Installation of GX ID sticker and Basic Training for end user","Installation of GX ID sticker and Basic Training for end user"]</t>
  </si>
  <si>
    <t>Printer unable to print</t>
  </si>
  <si>
    <t>Repair printer, Preventive maintenence, Conduct end user training regarding basic troubleshooting and maintenence. Installed GX ID sticker.</t>
  </si>
  <si>
    <t>All modules are available and printer is working</t>
  </si>
  <si>
    <t>https://www.jotform.com/uploads/macarewecare/222927978372067/5994157472426772413/5994157472426772413_signature_28.png</t>
  </si>
  <si>
    <t>Shirley y.julkanain</t>
  </si>
  <si>
    <t>https://www.jotform.com/uploads/macarewecare/222927978372067/5994157472426772413/5994157472426772413_signature_31.png</t>
  </si>
  <si>
    <t>Poblacio</t>
  </si>
  <si>
    <t>. Install GX ID sticker
. Perform Preventive maintenance 
. Save System log
. Save Installation Qualification
. Change filter</t>
  </si>
  <si>
    <t>All module's ok to use.</t>
  </si>
  <si>
    <t>https://www.jotform.com/uploads/macarewecare/222927978372067/5994107485343433103/5994107485343433103_signature_28.png</t>
  </si>
  <si>
    <t>Sheila Mae Negrido</t>
  </si>
  <si>
    <t>https://www.jotform.com/uploads/macarewecare/222927978372067/5994107485343433103/5994107485343433103_signature_31.png</t>
  </si>
  <si>
    <t>Bantayan Island, Cebu</t>
  </si>
  <si>
    <t>INSTALLATION
Id sticker installation</t>
  </si>
  <si>
    <t>Defective module B2
Damaged Fan Filter</t>
  </si>
  <si>
    <t>ID sticker installation
Clean fan filter</t>
  </si>
  <si>
    <t>Defective module 2
Damage fan filter
Need new fan filter</t>
  </si>
  <si>
    <t>https://www.jotform.com/uploads/macarewecare/222927978372067/5994105804325265697/5994105804325265697_signature_28.png</t>
  </si>
  <si>
    <t>https://www.jotform.com/uploads/macarewecare/222927978372067/5994105804325265697/5994105804325265697_signature_31.png</t>
  </si>
  <si>
    <t>Overseas Filipino Workers Hospital</t>
  </si>
  <si>
    <t>tiquifrancisca@gmail.com</t>
  </si>
  <si>
    <t xml:space="preserve">ASSAY: Xpert HPV, COUNT: 17
ASSAY: Xpert MTB/RIF Ultra, COUNT: 5
</t>
  </si>
  <si>
    <t>https://www.jotform.com/uploads/macarewecare/222927978372067/5994065729574194562/5994065729574194562_signature_28.png</t>
  </si>
  <si>
    <t>Francisca Tiqui</t>
  </si>
  <si>
    <t>https://www.jotform.com/uploads/macarewecare/222927978372067/5994065729574194562/5994065729574194562_signature_31.png</t>
  </si>
  <si>
    <t xml:space="preserve">ASSAY: Xpert HBV VL, COUNT: 168
ASSAY: Xpert HCV VL, COUNT: 25
ASSAY: Xpert HIV-1 Viral Load, COUNT: 950
</t>
  </si>
  <si>
    <t>https://www.jotform.com/uploads/macarewecare/222927978372067/5994065439579873993/5994065439579873993_signature_28.png</t>
  </si>
  <si>
    <t>Concepcion G. Alfonso</t>
  </si>
  <si>
    <t>https://www.jotform.com/uploads/macarewecare/222927978372067/5994065439579873993/5994065439579873993_signature_31.png</t>
  </si>
  <si>
    <t xml:space="preserve">ASSAY: Others, COUNT: 89
ASSAY: Xpert MTB/RIF Ultra, COUNT: 140
ASSAY: Others, COUNT: 10
ASSAY: Xpert SARS-CoV-2, COUNT: 889
</t>
  </si>
  <si>
    <t>https://www.jotform.com/uploads/macarewecare/222927978372067/5994064999577829200/5994064999577829200_signature_28.png</t>
  </si>
  <si>
    <t>https://www.jotform.com/uploads/macarewecare/222927978372067/5994064999577829200/5994064999577829200_signature_31.png</t>
  </si>
  <si>
    <t xml:space="preserve">ASSAY: Xpert HBV VL, COUNT: 17
ASSAY: Xpert SARS-CoV-2, COUNT: 8106
ASSAY: Xpert HIV-1 Viral Load, COUNT: 2
ASSAY: Others, COUNT: 940
</t>
  </si>
  <si>
    <t>Unit is operational except module B1, B2 and B3 for replacement</t>
  </si>
  <si>
    <t>https://www.jotform.com/uploads/macarewecare/222927978372067/5994064659574559269/5994064659574559269_signature_28.png</t>
  </si>
  <si>
    <t>https://www.jotform.com/uploads/macarewecare/222927978372067/5994064659574559269/5994064659574559269_signature_31.png</t>
  </si>
  <si>
    <t>Bataan General Hospital ad Medical Center</t>
  </si>
  <si>
    <t xml:space="preserve">ASSAY: Xpert HBV VL, COUNT: 10
ASSAY: Xpert SARS-CoV-2, COUNT: 3662
ASSAY: Xpert HCV VL, COUNT: 1
ASSAY: Xpert HIV-1 Viral Load, COUNT: 20
ASSAY: Others, COUNT: 1554
</t>
  </si>
  <si>
    <t>https://www.jotform.com/uploads/macarewecare/222927978372067/5994064379576751798/5994064379576751798_signature_28.png</t>
  </si>
  <si>
    <t>https://www.jotform.com/uploads/macarewecare/222927978372067/5994064379576751798/5994064379576751798_signature_31.png</t>
  </si>
  <si>
    <t>DR 11731</t>
  </si>
  <si>
    <t>https://www.jotform.com/uploads/macarewecare/222927978372067/5993475492608545424/5993475492608545424_signature_28.png</t>
  </si>
  <si>
    <t>https://www.jotform.com/uploads/macarewecare/222927978372067/5993475492608545424/5993475492608545424_signature_31.png</t>
  </si>
  <si>
    <t>https://www.jotform.com/uploads/macarewecare/222927978372067/5993474622603292430/5993474622603292430_signature_28.png</t>
  </si>
  <si>
    <t>PIA JUMAR T. RAMIREZ</t>
  </si>
  <si>
    <t>https://www.jotform.com/uploads/macarewecare/222927978372067/5993474622603292430/5993474622603292430_signature_31.png</t>
  </si>
  <si>
    <t>https://www.jotform.com/uploads/macarewecare/222927978372067/5993473602606363836/5993473602606363836_signature_28.png</t>
  </si>
  <si>
    <t>https://www.jotform.com/uploads/macarewecare/222927978372067/5993473602606363836/5993473602606363836_signature_31.png</t>
  </si>
  <si>
    <t>https://www.jotform.com/uploads/macarewecare/222927978372067/5993472632609902525/5993472632609902525_signature_28.png</t>
  </si>
  <si>
    <t>https://www.jotform.com/uploads/macarewecare/222927978372067/5993472632609902525/5993472632609902525_signature_31.png</t>
  </si>
  <si>
    <t xml:space="preserve">ASSAY: Xpert MTB/RIF Ultra, COUNT: 675
</t>
  </si>
  <si>
    <t>- Unit is Partially Operational 
- Did not perform XpertCheck on Reported module A4 (210045938)
-All remainin modules passed XpertCheck 
- Unit has been temporarily Relocated due to hospital construction
- Current room has no air-conditioning unit
- GeneXpert is recommended to be transferred to a room with air-conditioning</t>
  </si>
  <si>
    <t>DR 11657</t>
  </si>
  <si>
    <t>https://www.jotform.com/uploads/macarewecare/222927978372067/5993470932607063508/5993470932607063508_signature_28.png</t>
  </si>
  <si>
    <t>https://www.jotform.com/uploads/macarewecare/222927978372067/5993470932607063508/5993470932607063508_signature_31.png</t>
  </si>
  <si>
    <t>San Nicolas, Ilocos Norte</t>
  </si>
  <si>
    <t xml:space="preserve">ASSAY: Xpert MTB/RIF Ultra, COUNT: 30
</t>
  </si>
  <si>
    <t>https://www.jotform.com/uploads/macarewecare/222927978372067/5993469842606984984/5993469842606984984_signature_28.png</t>
  </si>
  <si>
    <t>Carmella Ramos</t>
  </si>
  <si>
    <t>https://www.jotform.com/uploads/macarewecare/222927978372067/5993469842606984984/5993469842606984984_signature_31.png</t>
  </si>
  <si>
    <t>["Attached Service Sticker ","Attached Service Sticker "]</t>
  </si>
  <si>
    <t>jpkperalta@mmsu.edu.ph</t>
  </si>
  <si>
    <t>To Attach Service Sticker</t>
  </si>
  <si>
    <t>Attached Service Sticker</t>
  </si>
  <si>
    <t>Unit is Operational 
Unable to perform Preventive Maintenance Lab is under renovation</t>
  </si>
  <si>
    <t>https://www.jotform.com/uploads/macarewecare/222927978372067/5993467022609952319/5993467022609952319_signature_28.png</t>
  </si>
  <si>
    <t>James Peralta</t>
  </si>
  <si>
    <t>https://www.jotform.com/uploads/macarewecare/222927978372067/5993467022609952319/5993467022609952319_signature_31.png</t>
  </si>
  <si>
    <t>DR 11659</t>
  </si>
  <si>
    <t>https://www.jotform.com/uploads/macarewecare/222927978372067/5993462962604840626/5993462962604840626_signature_28.png</t>
  </si>
  <si>
    <t>Rodenver D. Mahor</t>
  </si>
  <si>
    <t>https://www.jotform.com/uploads/macarewecare/222927978372067/5993462962604840626/5993462962604840626_signature_31.png</t>
  </si>
  <si>
    <t>https://www.jotform.com/uploads/macarewecare/222927978372067/5993461372608435644/5993461372608435644_signature_28.png</t>
  </si>
  <si>
    <t>https://www.jotform.com/uploads/macarewecare/222927978372067/5993461372608435644/5993461372608435644_signature_31.png</t>
  </si>
  <si>
    <t xml:space="preserve">ASSAY: Xpert MTB/RIF Ultra, COUNT: 1309
</t>
  </si>
  <si>
    <t>https://www.jotform.com/uploads/macarewecare/222927978372067/5993460022609987858/5993460022609987858_signature_28.png</t>
  </si>
  <si>
    <t>https://www.jotform.com/uploads/macarewecare/222927978372067/5993460022609987858/5993460022609987858_signature_31.png</t>
  </si>
  <si>
    <t xml:space="preserve">ASSAY: Xpert MTB/RIF Ultra, COUNT: 426
</t>
  </si>
  <si>
    <t>https://www.jotform.com/uploads/macarewecare/222927978372067/5993458582602767026/5993458582602767026_signature_28.png</t>
  </si>
  <si>
    <t>https://www.jotform.com/uploads/macarewecare/222927978372067/5993458582602767026/5993458582602767026_signature_31.png</t>
  </si>
  <si>
    <t xml:space="preserve">ASSAY: Xpert MTB/RIF Ultra, COUNT: 181
</t>
  </si>
  <si>
    <t>Unit is Partially Operational operational</t>
  </si>
  <si>
    <t>https://www.jotform.com/uploads/macarewecare/222927978372067/5993456992604947034/5993456992604947034_signature_28.png</t>
  </si>
  <si>
    <t>https://www.jotform.com/uploads/macarewecare/222927978372067/5993456992604947034/5993456992604947034_signature_31.png</t>
  </si>
  <si>
    <t>https://www.jotform.com/uploads/macarewecare/222927978372067/5993455322606876044/5993455322606876044_signature_28.png</t>
  </si>
  <si>
    <t>https://www.jotform.com/uploads/macarewecare/222927978372067/5993455322606876044/5993455322606876044_signature_31.png</t>
  </si>
  <si>
    <t xml:space="preserve">ASSAY: Xpert MTB/RIF Ultra, COUNT: 1455
</t>
  </si>
  <si>
    <t>https://www.jotform.com/uploads/macarewecare/222927978372067/5993448252607164303/5993448252607164303_signature_28.png</t>
  </si>
  <si>
    <t>https://www.jotform.com/uploads/macarewecare/222927978372067/5993448252607164303/5993448252607164303_signature_31.png</t>
  </si>
  <si>
    <t xml:space="preserve">ASSAY: Xpert MTB/RIF Ultra, COUNT: 270
</t>
  </si>
  <si>
    <t>https://www.jotform.com/uploads/macarewecare/222927978372067/5993436692606426803/5993436692606426803_signature_28.png</t>
  </si>
  <si>
    <t>https://www.jotform.com/uploads/macarewecare/222927978372067/5993436692606426803/5993436692606426803_signature_31.png</t>
  </si>
  <si>
    <t>Unit is fully Operational</t>
  </si>
  <si>
    <t>https://www.jotform.com/uploads/macarewecare/222927978372067/5993432272604566668/5993432272604566668_signature_28.png</t>
  </si>
  <si>
    <t>https://www.jotform.com/uploads/macarewecare/222927978372067/5993432272604566668/5993432272604566668_signature_31.png</t>
  </si>
  <si>
    <t xml:space="preserve">ASSAY: Xpert MTB/RIF Ultra, COUNT:  1410
</t>
  </si>
  <si>
    <t>PM , Calibration</t>
  </si>
  <si>
    <t>https://www.jotform.com/uploads/macarewecare/222927978372067/5993431967566952030/5993431967566952030_signature_28.png</t>
  </si>
  <si>
    <t>https://www.jotform.com/uploads/macarewecare/222927978372067/5993431967566952030/5993431967566952030_signature_31.png</t>
  </si>
  <si>
    <t>https://www.jotform.com/uploads/macarewecare/222927978372067/5993429662608831920/5993429662608831920_signature_28.png</t>
  </si>
  <si>
    <t>https://www.jotform.com/uploads/macarewecare/222927978372067/5993429662608831920/5993429662608831920_signature_31.png</t>
  </si>
  <si>
    <t>Due Preventive Maintenance and check apheresis machine.</t>
  </si>
  <si>
    <t>Conduct Maintenance in apheresis machine check rubber pumps, check ups, line sensor and bowl optics</t>
  </si>
  <si>
    <t>Units are operational</t>
  </si>
  <si>
    <t>https://www.jotform.com/uploads/macarewecare/222927978372067/5993397934992435129/5993397934992435129_signature_28.png</t>
  </si>
  <si>
    <t>https://www.jotform.com/uploads/macarewecare/222927978372067/5993397934992435129/5993397934992435129_signature_31.png</t>
  </si>
  <si>
    <t>Without CPU board</t>
  </si>
  <si>
    <t>Replaced and installed CPU board s/n: MM021214873
Performed functionality test</t>
  </si>
  <si>
    <t>CPU board s/n: MM021214873</t>
  </si>
  <si>
    <t>https://www.jotform.com/uploads/macarewecare/222927978372067/5993396643614554414/5993396643614554414_signature_28.png</t>
  </si>
  <si>
    <t>Macare Medicas Inc</t>
  </si>
  <si>
    <t>https://www.jotform.com/uploads/macarewecare/222927978372067/5993396643614554414/5993396643614554414_signature_31.png</t>
  </si>
  <si>
    <t xml:space="preserve">ASSAY: Xpert MTB/RIF Ultra, COUNT: 752
</t>
  </si>
  <si>
    <t>PM and Calibration</t>
  </si>
  <si>
    <t>Unit is operational (Module C3 for service required)</t>
  </si>
  <si>
    <t>https://www.jotform.com/uploads/macarewecare/222927978372067/5993368884919720030/5993368884919720030_signature_28.png</t>
  </si>
  <si>
    <t>LYNN N. JARITO</t>
  </si>
  <si>
    <t>https://www.jotform.com/uploads/macarewecare/222927978372067/5993368884919720030/5993368884919720030_signature_31.png</t>
  </si>
  <si>
    <t>gmdomingso13@gmail.com</t>
  </si>
  <si>
    <t>GX-IV 4d 6C</t>
  </si>
  <si>
    <t>Clean Surface Area, Cartridge Bay, Plunger Rod, Fan Filters and Icore Lenses
Generate IQR, Assay Stat and System Log
Install GX Sticker</t>
  </si>
  <si>
    <t>All Modules are operational
Damaged Filter, temporarily used gauze since there are no extra filters available</t>
  </si>
  <si>
    <t>Will report to jotform for request of replacement filters</t>
  </si>
  <si>
    <t>https://www.jotform.com/uploads/macarewecare/222927978372067/5993365302115870943/5993365302115870943_signature_28.png</t>
  </si>
  <si>
    <t>https://www.jotform.com/uploads/macarewecare/222927978372067/5993365302115870943/5993365302115870943_signature_31.png</t>
  </si>
  <si>
    <t>UPS doesn't able to backup</t>
  </si>
  <si>
    <t>GX ID Sticker Installation
Preventive Maintenance</t>
  </si>
  <si>
    <t>All modules are functional
Computer and other accessories (except for UPS) are functional</t>
  </si>
  <si>
    <t>https://www.jotform.com/uploads/macarewecare/222927978372067/5993314068517879293/5993314068517879293_signature_28.png</t>
  </si>
  <si>
    <t>Shyra Ericka Calamba</t>
  </si>
  <si>
    <t>https://www.jotform.com/uploads/macarewecare/222927978372067/5993314068517879293/5993314068517879293_signature_31.png</t>
  </si>
  <si>
    <t>mholaboratory.pinamalayan@gmail.com</t>
  </si>
  <si>
    <t xml:space="preserve">ASSAY: Xpert MTB/RIF Ultra, COUNT: 1138
</t>
  </si>
  <si>
    <t>DR#11802</t>
  </si>
  <si>
    <t>https://www.jotform.com/uploads/macarewecare/222927978372067/5993192770184813258/5993192770184813258_signature_28.png</t>
  </si>
  <si>
    <t>https://www.jotform.com/uploads/macarewecare/222927978372067/5993192770184813258/5993192770184813258_signature_31.png</t>
  </si>
  <si>
    <t>https://www.jotform.com/uploads/macarewecare/222927978372067/5993184273612058838/5993184273612058838_signature_28.png</t>
  </si>
  <si>
    <t>https://www.jotform.com/uploads/macarewecare/222927978372067/5993184273612058838/5993184273612058838_signature_31.png</t>
  </si>
  <si>
    <t>val.binondo@gmail.com</t>
  </si>
  <si>
    <t>Perform Preventive maintenance</t>
  </si>
  <si>
    <t>Perform and introduce Jotform reporting and troubleshooting 
GX ID sticker installation</t>
  </si>
  <si>
    <t>https://www.jotform.com/uploads/macarewecare/222927978372067/5992552839493358735/5992552839493358735_signature_28.png</t>
  </si>
  <si>
    <t>Valent Binondo</t>
  </si>
  <si>
    <t>https://www.jotform.com/uploads/macarewecare/222927978372067/5992552839493358735/5992552839493358735_signature_31.png</t>
  </si>
  <si>
    <t xml:space="preserve">ASSAY: Xpert MTB/RIF Ultra, COUNT: 1009
</t>
  </si>
  <si>
    <t>PM, Calibration</t>
  </si>
  <si>
    <t>Unit is operational (Module B4 for service required)</t>
  </si>
  <si>
    <t>https://www.jotform.com/uploads/macarewecare/222927978372067/5992544658206538107/5992544658206538107_signature_28.png</t>
  </si>
  <si>
    <t>https://www.jotform.com/uploads/macarewecare/222927978372067/5992544658206538107/5992544658206538107_signature_31.png</t>
  </si>
  <si>
    <t>Leon Guinto Blvd. , Atimonan</t>
  </si>
  <si>
    <t>amcl2008@yahoo.com</t>
  </si>
  <si>
    <t xml:space="preserve">ASSAY: Xpert MTB/RIF Ultra, COUNT: 795
</t>
  </si>
  <si>
    <t>Performed preventive maintenance 
Performed calibration
Generated report</t>
  </si>
  <si>
    <t>Checked and cleaned cartridge bays, plunger rod, icore slot and filter 
Performed Xpertcheck 
B1, B2 and B4 passed
B3 service Required</t>
  </si>
  <si>
    <t>Unit is operational
B3 service Required</t>
  </si>
  <si>
    <t>Used 5 Xpertcheck cartridges</t>
  </si>
  <si>
    <t>Dr11761</t>
  </si>
  <si>
    <t>https://www.jotform.com/uploads/macarewecare/222927978372067/5992440553617227262/5992440553617227262_signature_28.png</t>
  </si>
  <si>
    <t>Ma. Rica Christine Noriesta</t>
  </si>
  <si>
    <t>https://www.jotform.com/uploads/macarewecare/222927978372067/5992440553617227262/5992440553617227262_signature_31.png</t>
  </si>
  <si>
    <t>St. Elizabeth Hospital Inc.</t>
  </si>
  <si>
    <t>covidsupport@sehi.ph</t>
  </si>
  <si>
    <t xml:space="preserve">ASSAY: Xpert MTB/RIF Ultra, COUNT: 8
</t>
  </si>
  <si>
    <t>Module 2,3 and 4 request for replacement due to multiple temperature errors</t>
  </si>
  <si>
    <t>Perform Genexpert Cleaning/preventive maintenance 
GX ID Sticker installation 
Data collection</t>
  </si>
  <si>
    <t>1 operational modules (module 1)</t>
  </si>
  <si>
    <t>https://www.jotform.com/uploads/macarewecare/222927978372067/5992417269496713838/5992417269496713838_signature_28.png</t>
  </si>
  <si>
    <t>Sehi</t>
  </si>
  <si>
    <t>https://www.jotform.com/uploads/macarewecare/222927978372067/5992417269496713838/5992417269496713838_signature_31.png</t>
  </si>
  <si>
    <t xml:space="preserve">ASSAY: Xpert MTB/RIF Ultra, COUNT: 1776
</t>
  </si>
  <si>
    <t>Module 1 for Service Required 
Module 3 multiple temperature errors</t>
  </si>
  <si>
    <t>Perform Genexpert machine Preventive maintenance 
Gx ID sticker installation</t>
  </si>
  <si>
    <t>Perform Genexpert Cleaning/preventive maintenance 
Perform XPC at module 1 for module troubleshooting 
Checking of errors 
Problem/errors reporting 
Data collection</t>
  </si>
  <si>
    <t>https://www.jotform.com/uploads/macarewecare/222927978372067/5992417269495988977/5992417269495988977_signature_28.png</t>
  </si>
  <si>
    <t>JUNE Michele J. MIRASOL</t>
  </si>
  <si>
    <t>https://www.jotform.com/uploads/macarewecare/222927978372067/5992417269495988977/5992417269495988977_signature_31.png</t>
  </si>
  <si>
    <t>C111252810</t>
  </si>
  <si>
    <t>Replaced and installed battery
Performed calibration</t>
  </si>
  <si>
    <t>https://www.jotform.com/uploads/macarewecare/222927978372067/5992375843617371927/5992375843617371927_signature_28.png</t>
  </si>
  <si>
    <t>https://www.jotform.com/uploads/macarewecare/222927978372067/5992375843617371927/5992375843617371927_signature_31.png</t>
  </si>
  <si>
    <t>C121304219</t>
  </si>
  <si>
    <t>https://www.jotform.com/uploads/macarewecare/222927978372067/5992374133611184168/5992374133611184168_signature_28.png</t>
  </si>
  <si>
    <t>https://www.jotform.com/uploads/macarewecare/222927978372067/5992374133611184168/5992374133611184168_signature_31.png</t>
  </si>
  <si>
    <t>CPU</t>
  </si>
  <si>
    <t>MM021214873</t>
  </si>
  <si>
    <t>Replaced and installed CPU
Performed calibration</t>
  </si>
  <si>
    <t>https://www.jotform.com/uploads/macarewecare/222927978372067/5992372303612703147/5992372303612703147_signature_28.png</t>
  </si>
  <si>
    <t>https://www.jotform.com/uploads/macarewecare/222927978372067/5992372303612703147/5992372303612703147_signature_31.png</t>
  </si>
  <si>
    <t>SP071703335G</t>
  </si>
  <si>
    <t>Replace and installed battery
Performed calibration</t>
  </si>
  <si>
    <t>https://www.jotform.com/uploads/macarewecare/222927978372067/5992369983619547168/5992369983619547168_signature_28.png</t>
  </si>
  <si>
    <t>https://www.jotform.com/uploads/macarewecare/222927978372067/5992369983619547168/5992369983619547168_signature_31.png</t>
  </si>
  <si>
    <t>shad.famisaran@accenture.com</t>
  </si>
  <si>
    <t>https://www.jotform.com/uploads/macarewecare/222927978372067/5992347423611631643/5992347423611631643_signature_28.png</t>
  </si>
  <si>
    <t>Shad Famisaran</t>
  </si>
  <si>
    <t>https://www.jotform.com/uploads/macarewecare/222927978372067/5992347423611631643/5992347423611631643_signature_31.png</t>
  </si>
  <si>
    <t xml:space="preserve">ASSAY: Xpert MTB/RIF Ultra, COUNT: 1303
</t>
  </si>
  <si>
    <t>https://www.jotform.com/uploads/macarewecare/222927978372067/5992347423618348000/5992347423618348000_signature_28.png</t>
  </si>
  <si>
    <t>https://www.jotform.com/uploads/macarewecare/222927978372067/5992347423618348000/5992347423618348000_signature_31.png</t>
  </si>
  <si>
    <t xml:space="preserve">ASSAY: Xpert BCR-ABL Ultra, COUNT: 209
ASSAY: Xpert CT/NG, COUNT: 829
ASSAY: Xpert HPV, COUNT: 780
ASSAY: Xpert MTB/RIF Ultra, COUNT: 3108
ASSAY: Others, COUNT: 22
ASSAY: Xpert HCV VL, COUNT: 85
ASSAY: Xpert HIV-1 Viral Load, COUNT: 1890
</t>
  </si>
  <si>
    <t>Due for maintenance
B1 disabled due to 2008 and 5007 errror
UPS battery unable to backup current supply.</t>
  </si>
  <si>
    <t>Checked and test ups 
Cleaned unit
Cleaned plunger rod,filter,icore,cartridge bay
Gathered reports
Test run unit</t>
  </si>
  <si>
    <t>UPS need to replace
B1 disabled</t>
  </si>
  <si>
    <t>Genexpert module out of warranty</t>
  </si>
  <si>
    <t>https://www.jotform.com/uploads/macarewecare/222927978372067/5992344403614726410/5992344403614726410_signature_28.png</t>
  </si>
  <si>
    <t>https://www.jotform.com/uploads/macarewecare/222927978372067/5992344403614726410/5992344403614726410_signature_31.png</t>
  </si>
  <si>
    <t>silobo@tdf.org.ph</t>
  </si>
  <si>
    <t xml:space="preserve">ASSAY: Xpert MTB/RIF Ultra, COUNT: 1952
ASSAY: Xpert HIV-1 Viral Load, COUNT: 8
</t>
  </si>
  <si>
    <t>GX 4D</t>
  </si>
  <si>
    <t>Performed maintenance
Attached sticker</t>
  </si>
  <si>
    <t>https://www.jotform.com/uploads/macarewecare/222927978372067/5992344123614363310/5992344123614363310_signature_28.png</t>
  </si>
  <si>
    <t>Matthew Lobo</t>
  </si>
  <si>
    <t>https://www.jotform.com/uploads/macarewecare/222927978372067/5992344123614363310/5992344123614363310_signature_31.png</t>
  </si>
  <si>
    <t>https://www.jotform.com/uploads/macarewecare/222927978372067/5992330613615753390/5992330613615753390_signature_28.png</t>
  </si>
  <si>
    <t>https://www.jotform.com/uploads/macarewecare/222927978372067/5992330613615753390/5992330613615753390_signature_31.png</t>
  </si>
  <si>
    <t>https://www.jotform.com/uploads/macarewecare/222927978372067/5992324273617363709/5992324273617363709_signature_28.png</t>
  </si>
  <si>
    <t>https://www.jotform.com/uploads/macarewecare/222927978372067/5992324273617363709/5992324273617363709_signature_31.png</t>
  </si>
  <si>
    <t>https://www.jotform.com/uploads/macarewecare/222927978372067/5992323813617146415/5992323813617146415_signature_28.png</t>
  </si>
  <si>
    <t>https://www.jotform.com/uploads/macarewecare/222927978372067/5992323813617146415/5992323813617146415_signature_31.png</t>
  </si>
  <si>
    <t>https://www.jotform.com/uploads/macarewecare/222927978372067/5992322663614344475/5992322663614344475_signature_28.png</t>
  </si>
  <si>
    <t>https://www.jotform.com/uploads/macarewecare/222927978372067/5992322663614344475/5992322663614344475_signature_31.png</t>
  </si>
  <si>
    <t>https://www.jotform.com/uploads/macarewecare/222927978372067/5992321933618484070/5992321933618484070_signature_28.png</t>
  </si>
  <si>
    <t>https://www.jotform.com/uploads/macarewecare/222927978372067/5992321933618484070/5992321933618484070_signature_31.png</t>
  </si>
  <si>
    <t>omakproperty@yahoo.com</t>
  </si>
  <si>
    <t>osmakpatho_labs@yahoo.com.ph</t>
  </si>
  <si>
    <t>GXIV - 4D10C</t>
  </si>
  <si>
    <t>Unit for Calibration</t>
  </si>
  <si>
    <t>Performed Maintenance 
Cleaned
Filter
Cartridge Bay
Plunger Rod
Generate Reports</t>
  </si>
  <si>
    <t>Work with Rhea Anne Cañelas, Cienne Valerio</t>
  </si>
  <si>
    <t>https://www.jotform.com/uploads/macarewecare/222927978372067/5992320323612900798/5992320323612900798_signature_28.png</t>
  </si>
  <si>
    <t>Riza Bianca Reovoca</t>
  </si>
  <si>
    <t>https://www.jotform.com/uploads/macarewecare/222927978372067/5992320323612900798/5992320323612900798_signature_31.png</t>
  </si>
  <si>
    <t xml:space="preserve">ASSAY: Xpert MTB/RIF Ultra, COUNT: 269
ASSAY: Others, COUNT: 5
ASSAY: Xpert HIV-1 Viral Load, COUNT: 4
</t>
  </si>
  <si>
    <t>Performed maintenance 
Cleaned:
-cartridge bay 
-plunger rod 
-icore
-filter
Run XpertCheck 
Generated reports</t>
  </si>
  <si>
    <t>XpertCheck</t>
  </si>
  <si>
    <t>DR#11743</t>
  </si>
  <si>
    <t>https://www.jotform.com/uploads/macarewecare/222927978372067/5992320323613601929/5992320323613601929_signature_28.png</t>
  </si>
  <si>
    <t>https://www.jotform.com/uploads/macarewecare/222927978372067/5992320323613601929/5992320323613601929_signature_31.png</t>
  </si>
  <si>
    <t xml:space="preserve">ASSAY: Xpert MTB/RIF Ultra, COUNT: 1008
ASSAY: Others, COUNT: 1
</t>
  </si>
  <si>
    <t>https://www.jotform.com/uploads/macarewecare/222927978372067/5992320323615511250/5992320323615511250_signature_28.png</t>
  </si>
  <si>
    <t>https://www.jotform.com/uploads/macarewecare/222927978372067/5992320323615511250/5992320323615511250_signature_31.png</t>
  </si>
  <si>
    <t>Purok 1, Talubatib, Labo</t>
  </si>
  <si>
    <t>esteves110597@gmail.com</t>
  </si>
  <si>
    <t xml:space="preserve">ASSAY: Xpert MTB/RIF Ultra, COUNT: 1384
</t>
  </si>
  <si>
    <t>Cleaned cartridge bays, plunger rod, icore 
Attached QR Sticker on GX
Generate reports</t>
  </si>
  <si>
    <t>https://www.jotform.com/uploads/macarewecare/222927978372067/5992046622313820730/5992046622313820730_signature_28.png</t>
  </si>
  <si>
    <t>Janela Joyce Esteves</t>
  </si>
  <si>
    <t>https://www.jotform.com/uploads/macarewecare/222927978372067/5992046622313820730/5992046622313820730_signature_31.png</t>
  </si>
  <si>
    <t>Poblacion Ilaod, Ragay</t>
  </si>
  <si>
    <t xml:space="preserve">ASSAY: Xpert MTB/RIF Ultra, COUNT: 702
</t>
  </si>
  <si>
    <t>XpertCheck Result:
   B1/860776 - newly replaced module 
   B2/757700 - passed
   B3/861222 - newly replaced module 
   B4/757448 - passed
Cleaned cartridge bays, plunger rod, icore 
Attached QR sticker 
Generate report</t>
  </si>
  <si>
    <t>https://www.jotform.com/uploads/macarewecare/222927978372067/5992046192313820731/5992046192313820731_signature_28.png</t>
  </si>
  <si>
    <t>PHYL FRANCES C.GOMEZ</t>
  </si>
  <si>
    <t>https://www.jotform.com/uploads/macarewecare/222927978372067/5992046192313820731/5992046192313820731_signature_31.png</t>
  </si>
  <si>
    <t>San Fernando</t>
  </si>
  <si>
    <t>Cleaned cartridge bays, plunger rod, icore 
Generate Data 
Attached QR sticker on Gx</t>
  </si>
  <si>
    <t>https://www.jotform.com/uploads/macarewecare/222927978372067/5992045502316453540/5992045502316453540_signature_28.png</t>
  </si>
  <si>
    <t>Josephus garfin</t>
  </si>
  <si>
    <t>https://www.jotform.com/uploads/macarewecare/222927978372067/5992045502316453540/5992045502316453540_signature_31.png</t>
  </si>
  <si>
    <t>chanomode@gmail.com</t>
  </si>
  <si>
    <t xml:space="preserve">ASSAY: Xpert MTB/RIF Ultra, COUNT: 748
</t>
  </si>
  <si>
    <t>Cleaned cartridge bays, plunger rod, icore 
Generate data
Attached QR sticker on Gx</t>
  </si>
  <si>
    <t>https://www.jotform.com/uploads/macarewecare/222927978372067/5992044002318245652/5992044002318245652_signature_28.png</t>
  </si>
  <si>
    <t>Jan Christian Orlin</t>
  </si>
  <si>
    <t>https://www.jotform.com/uploads/macarewecare/222927978372067/5992044002318245652/5992044002318245652_signature_31.png</t>
  </si>
  <si>
    <t>maritesjudar611@gmail.com</t>
  </si>
  <si>
    <t xml:space="preserve">ASSAY: Xpert MTB/RIF Ultra, COUNT: 961
</t>
  </si>
  <si>
    <t>GX for Calibration</t>
  </si>
  <si>
    <t>XpertCheck Result:
   B1/862620 - passed
   B2/653396 - newly replaced module 
   B3/862622 - passed
   B4/695719 - passed
Cleaned cartridge bays, plunger rod, icore 
Generate reports</t>
  </si>
  <si>
    <t>https://www.jotform.com/uploads/macarewecare/222927978372067/5992042312316341939/5992042312316341939_signature_28.png</t>
  </si>
  <si>
    <t>Marites Judar</t>
  </si>
  <si>
    <t>https://www.jotform.com/uploads/macarewecare/222927978372067/5992042312316341939/5992042312316341939_signature_31.png</t>
  </si>
  <si>
    <t>Velasco St., Zone 1, Poblacion, Libon, Albay</t>
  </si>
  <si>
    <t xml:space="preserve">ASSAY: Xpert MTB/RIF Ultra, COUNT: 1080
</t>
  </si>
  <si>
    <t>Cleaned cartridge bays, plunger rod, icore
Generate Data
Attached QR sticker on GX</t>
  </si>
  <si>
    <t>https://www.jotform.com/uploads/macarewecare/222927978372067/5992041232314560715/5992041232314560715_signature_28.png</t>
  </si>
  <si>
    <t>https://www.jotform.com/uploads/macarewecare/222927978372067/5992041232314560715/5992041232314560715_signature_31.png</t>
  </si>
  <si>
    <t>Iriga</t>
  </si>
  <si>
    <t xml:space="preserve">ASSAY: Xpert MTB/RIF Ultra, COUNT: 179
</t>
  </si>
  <si>
    <t>Cleaned cartridge bays, plunger rod, icore 
Generate data</t>
  </si>
  <si>
    <t>https://www.jotform.com/uploads/macarewecare/222927978372067/5992038362313475809/5992038362313475809_signature_28.png</t>
  </si>
  <si>
    <t>https://www.jotform.com/uploads/macarewecare/222927978372067/5992038362313475809/5992038362313475809_signature_31.png</t>
  </si>
  <si>
    <t xml:space="preserve">ASSAY: Xpert MTB/RIF Ultra, COUNT: 1887
</t>
  </si>
  <si>
    <t>Cleaned cartridge bays, plunger rod, icore 
Attached QR sticker on GX
Generate Data</t>
  </si>
  <si>
    <t>https://www.jotform.com/uploads/macarewecare/222927978372067/5992036672319364816/5992036672319364816_signature_28.png</t>
  </si>
  <si>
    <t>https://www.jotform.com/uploads/macarewecare/222927978372067/5992036672319364816/5992036672319364816_signature_31.png</t>
  </si>
  <si>
    <t>Brgy. Dos, Poblacion Dos, Vinzons</t>
  </si>
  <si>
    <t xml:space="preserve">ASSAY: Xpert MTB/RIF Ultra, COUNT: 996
</t>
  </si>
  <si>
    <t>Cleaned cartridge bays, plunger rod, icore
Archived GX files
Attached QR sticker on Gx
Generate reports</t>
  </si>
  <si>
    <t>https://www.jotform.com/uploads/macarewecare/222927978372067/5992035242319715919/5992035242319715919_signature_28.png</t>
  </si>
  <si>
    <t>https://www.jotform.com/uploads/macarewecare/222927978372067/5992035242319715919/5992035242319715919_signature_31.png</t>
  </si>
  <si>
    <t>Sticker attachment</t>
  </si>
  <si>
    <t>bmc.bacteriology@gmail.com</t>
  </si>
  <si>
    <t xml:space="preserve">ASSAY: Xpert HIV-1 Viral Load, COUNT: 32
ASSAY: Xpert HPV, COUNT: 129
ASSAY: Xpert MTB/RIF Ultra, COUNT: 521
ASSAY: Xpert SARS-CoV-2, COUNT: 737
</t>
  </si>
  <si>
    <t>QR Sticker attachment on GX</t>
  </si>
  <si>
    <t>QR Sticker attachment on GX
Generate data</t>
  </si>
  <si>
    <t>https://www.jotform.com/uploads/macarewecare/222927978372067/5992034712315745686/5992034712315745686_signature_28.png</t>
  </si>
  <si>
    <t>Mary Elaine Tolidanes</t>
  </si>
  <si>
    <t>https://www.jotform.com/uploads/macarewecare/222927978372067/5992034712315745686/5992034712315745686_signature_31.png</t>
  </si>
  <si>
    <t>airalynecruz@yahoo.com.ph</t>
  </si>
  <si>
    <t>Error at startup, error message display BIOS CRC Fail</t>
  </si>
  <si>
    <t>Reset Connections of all the boards
Check the voltages</t>
  </si>
  <si>
    <t>Perform Troubleshooting</t>
  </si>
  <si>
    <t>Still Error BIOS CRC Failed
Unit not operational
Request for quotation of RAM Battery</t>
  </si>
  <si>
    <t>https://www.jotform.com/uploads/macarewecare/222927978372067/5990082422429516624/5990082422429516624_signature_28.png</t>
  </si>
  <si>
    <t>Airalyne Cruz</t>
  </si>
  <si>
    <t>https://www.jotform.com/uploads/macarewecare/222927978372067/5990082422429516624/5990082422429516624_signature_31.png</t>
  </si>
  <si>
    <t xml:space="preserve">ASSAY: Xpert CT/NG, COUNT: 5132
ASSAY: Xpert MTB/RIF Ultra, COUNT: 1497
</t>
  </si>
  <si>
    <t>Modules A3 and H4 for replacement.</t>
  </si>
  <si>
    <t>- Performed preventive maintenance cleaning
- Replaced modules A3 (702072 &gt; 754001) and H4 (672198 &gt; 210011662)</t>
  </si>
  <si>
    <t>With Harold Toco</t>
  </si>
  <si>
    <t>900-0491RS CERTIFIED PRE-OWNED GENEXPERT MODULE (2 MODULES)
300-7388 MODIFIED EJECTOR FOR GENEXPERT INFINITY MODULE (2 PCS)
700-4167 ASSY DOOR GENEXPERT MODULE (2 PCS)</t>
  </si>
  <si>
    <t>DR# 11791</t>
  </si>
  <si>
    <t>https://www.jotform.com/uploads/macarewecare/222927978372067/5990023512738723903/5990023512738723903_signature_28.png</t>
  </si>
  <si>
    <t>https://www.jotform.com/uploads/macarewecare/222927978372067/5990023512738723903/5990023512738723903_signature_31.png</t>
  </si>
  <si>
    <t>chhc_bloodbank@chonghua.com.ph</t>
  </si>
  <si>
    <t>No Display on the monitor.</t>
  </si>
  <si>
    <t>Observed machine during the weekend.</t>
  </si>
  <si>
    <t>Replaced cpu board and Reset .</t>
  </si>
  <si>
    <t>Restart the unit</t>
  </si>
  <si>
    <t>https://www.jotform.com/uploads/macarewecare/222927978372067/5989972670228636730/5989972670228636730_signature_28.png</t>
  </si>
  <si>
    <t>Anna Blanch</t>
  </si>
  <si>
    <t>https://www.jotform.com/uploads/macarewecare/222927978372067/5989972670228636730/5989972670228636730_signature_31.png</t>
  </si>
  <si>
    <t xml:space="preserve">ASSAY: Xpert BCR-ABL Ultra, COUNT: 77
ASSAY: Xpert CT/NG, COUNT: 205
ASSAY: Xpert HBV VL, COUNT: 181
ASSAY: Xpert HPV, COUNT: 21
ASSAY: Xpert MTB/RIF Ultra, COUNT: 1151
ASSAY: Xpert HCV VL, COUNT: 157
ASSAY: Xpert HIV-1 Viral Load, COUNT: 18
</t>
  </si>
  <si>
    <t>FOR SCHEDULED MONTHLY PREVENTIVE MAINTENANCE</t>
  </si>
  <si>
    <t>https://www.jotform.com/uploads/macarewecare/222927978372067/5989967215255136287/5989967215255136287_signature_28.png</t>
  </si>
  <si>
    <t>Queenie Valencia</t>
  </si>
  <si>
    <t>https://www.jotform.com/uploads/macarewecare/222927978372067/5989967215255136287/5989967215255136287_signature_31.png</t>
  </si>
  <si>
    <t>Philippine Red Cross Zamboanga, Zamboanga City</t>
  </si>
  <si>
    <t>INSTALLATION
Installation of barcode sticker and convertion Factors</t>
  </si>
  <si>
    <t>Installation of Barcode Sticker and Conversation Factors.</t>
  </si>
  <si>
    <t>Unit is available</t>
  </si>
  <si>
    <t>https://www.jotform.com/uploads/macarewecare/222927978372067/5989954706857446691/5989954706857446691_signature_28.png</t>
  </si>
  <si>
    <t>Joan A. Luna</t>
  </si>
  <si>
    <t>https://www.jotform.com/uploads/macarewecare/222927978372067/5989954706857446691/5989954706857446691_signature_31.png</t>
  </si>
  <si>
    <t>REPAIR
MAINTENANCE
Barcode sticker Installation</t>
  </si>
  <si>
    <t xml:space="preserve">ASSAY: Xpert CT/NG, COUNT: 2
ASSAY: Xpert HBV VL, COUNT: 49
ASSAY: Xpert MTB/RIF Ultra, COUNT: 348
ASSAY: Xpert HCV VL, COUNT: 29
</t>
  </si>
  <si>
    <t>Module 2 need to be replaced, Monitor unable to process image properly.</t>
  </si>
  <si>
    <t>Preventive Maintenence and Barcode sticker installation. Replaced VGA cord of monitor.</t>
  </si>
  <si>
    <t>Preventive Maintenence and Barcode sticker installation, replaced vga cord.</t>
  </si>
  <si>
    <t>Module 1 available while module 2 needs to be replaced. Monitor problem solved.</t>
  </si>
  <si>
    <t>https://www.jotform.com/uploads/macarewecare/222927978372067/5989933506856480118/5989933506856480118_signature_28.png</t>
  </si>
  <si>
    <t>Shereemer A. Cheong-Ynawat</t>
  </si>
  <si>
    <t>https://www.jotform.com/uploads/macarewecare/222927978372067/5989933506856480118/5989933506856480118_signature_31.png</t>
  </si>
  <si>
    <t>Unit is operational (Module B3 for monitoring - multiple temperature error)</t>
  </si>
  <si>
    <t>https://www.jotform.com/uploads/macarewecare/222927978372067/5989890807519125741/5989890807519125741_signature_28.png</t>
  </si>
  <si>
    <t>maryann</t>
  </si>
  <si>
    <t>https://www.jotform.com/uploads/macarewecare/222927978372067/5989890807519125741/5989890807519125741_signature_31.png</t>
  </si>
  <si>
    <t xml:space="preserve">ASSAY: Xpert BCR-ABL Ultra, COUNT: 1455
ASSAY: Others, COUNT: 95
ASSAY: Xpert HBV VL, COUNT: 1038
ASSAY: Xpert HPV, COUNT: 125
ASSAY: Xpert MTB/RIF Ultra, COUNT: 2323
ASSAY: Xpert SARS-CoV-2, COUNT: 12615
ASSAY: Xpert HCV VL, COUNT: 136
</t>
  </si>
  <si>
    <t>A1,A2,A4,C2,D2 reported already for replacement</t>
  </si>
  <si>
    <t>Performed maintenance and attached sticker</t>
  </si>
  <si>
    <t>11 modules operational</t>
  </si>
  <si>
    <t>https://www.jotform.com/uploads/macarewecare/222927978372067/5989870817192904564/5989870817192904564_signature_28.png</t>
  </si>
  <si>
    <t>https://www.jotform.com/uploads/macarewecare/222927978372067/5989870817192904564/5989870817192904564_signature_31.png</t>
  </si>
  <si>
    <t xml:space="preserve">ASSAY: Xpert CT/NG, COUNT: 6
ASSAY: Xpert HPV, COUNT: 34
ASSAY: Xpert MTB/RIF Ultra, COUNT: 144
ASSAY: Xpert HCV VL, COUNT: 2
</t>
  </si>
  <si>
    <t>Due for maintenance
A1,A2,B1,B3,C1,C2,C3,C4 encounter loss comm.
B4 temp error 4010,4009,4012</t>
  </si>
  <si>
    <t>A3,A4,B2 operational
A1,A2,B1,B3,B4,C1,C2,C3,C4 disabled</t>
  </si>
  <si>
    <t>https://www.jotform.com/uploads/macarewecare/222927978372067/5989870407194626796/5989870407194626796_signature_28.png</t>
  </si>
  <si>
    <t>https://www.jotform.com/uploads/macarewecare/222927978372067/5989870407194626796/5989870407194626796_signature_31.png</t>
  </si>
  <si>
    <t xml:space="preserve">ASSAY: Xpert BCR-ABL Ultra, COUNT: 43
ASSAY: Others, COUNT: 4
ASSAY: Xpert HBV VL, COUNT: 21
ASSAY: Xpert HPV, COUNT: 3
ASSAY: Xpert MTB/RIF Ultra, COUNT: 46
ASSAY: Xpert HCV VL, COUNT: 5
</t>
  </si>
  <si>
    <t>Due for maintenance B1,B3,B4 reported already for replacement</t>
  </si>
  <si>
    <t>B1,B3 disabled
B2,B4 in use</t>
  </si>
  <si>
    <t>https://www.jotform.com/uploads/macarewecare/222927978372067/5989869697191645788/5989869697191645788_signature_28.png</t>
  </si>
  <si>
    <t>https://www.jotform.com/uploads/macarewecare/222927978372067/5989869697191645788/5989869697191645788_signature_31.png</t>
  </si>
  <si>
    <t>Best Diagnostics Corporation</t>
  </si>
  <si>
    <t>Masikap St,Diliman QC</t>
  </si>
  <si>
    <t>bestdiagnosticacctg@gmail.com</t>
  </si>
  <si>
    <t xml:space="preserve">ASSAY: Xpert CT/NG, COUNT: 119
ASSAY: Xpert HBV VL, COUNT: 32
ASSAY: Xpert MTB/RIF Ultra, COUNT: 14
ASSAY: Xpert HCV VL, COUNT: 7
ASSAY: Xpert HIV-1 Viral Load, COUNT: 1
</t>
  </si>
  <si>
    <t>https://www.jotform.com/uploads/macarewecare/222927978372067/5989869157191478623/5989869157191478623_signature_28.png</t>
  </si>
  <si>
    <t>Darwin Jae Cruz</t>
  </si>
  <si>
    <t>https://www.jotform.com/uploads/macarewecare/222927978372067/5989869157191478623/5989869157191478623_signature_31.png</t>
  </si>
  <si>
    <t>molecularlab@dlsmc.ph</t>
  </si>
  <si>
    <t xml:space="preserve">ASSAY: Xpert HBV VL, COUNT: 12
ASSAY: Xpert HPV, COUNT: 3
ASSAY: Xpert MTB/RIF Ultra, COUNT: 313
</t>
  </si>
  <si>
    <t>https://www.jotform.com/uploads/macarewecare/222927978372067/5989868737197846223/5989868737197846223_signature_28.png</t>
  </si>
  <si>
    <t>Trisha Manzo</t>
  </si>
  <si>
    <t>https://www.jotform.com/uploads/macarewecare/222927978372067/5989868737197846223/5989868737197846223_signature_31.png</t>
  </si>
  <si>
    <t xml:space="preserve">ASSAY: Xpert MTB/RIF Ultra, COUNT: 264
</t>
  </si>
  <si>
    <t>Module B2 error</t>
  </si>
  <si>
    <t>https://www.jotform.com/uploads/macarewecare/222927978372067/5989792886029938433/5989792886029938433_signature_28.png</t>
  </si>
  <si>
    <t>Jane D. Diaron</t>
  </si>
  <si>
    <t>https://www.jotform.com/uploads/macarewecare/222927978372067/5989792886029938433/5989792886029938433_signature_31.png</t>
  </si>
  <si>
    <t xml:space="preserve">ASSAY: Xpert MTB/RIF Ultra, COUNT: 5468
ASSAY: Xpert HCV VL, COUNT: 39
ASSAY: Xpert HIV-1 Viral Load, COUNT: 233
</t>
  </si>
  <si>
    <t>https://www.jotform.com/uploads/macarewecare/222927978372067/5989087448815196433/5989087448815196433_signature_28.png</t>
  </si>
  <si>
    <t>https://www.jotform.com/uploads/macarewecare/222927978372067/5989087448815196433/5989087448815196433_signature_31.png</t>
  </si>
  <si>
    <t>https://www.jotform.com/uploads/macarewecare/222927978372067/5989083995443397194/5989083995443397194_signature_28.png</t>
  </si>
  <si>
    <t>Rey C. Mendoza,RMT</t>
  </si>
  <si>
    <t>https://www.jotform.com/uploads/macarewecare/222927978372067/5989083995443397194/5989083995443397194_signature_31.png</t>
  </si>
  <si>
    <t>Marcas Highway Antipolo, Rizal</t>
  </si>
  <si>
    <t xml:space="preserve">ASSAY: Xpert HBV VL, COUNT: 15
ASSAY: Xpert HPV, COUNT: 1
ASSAY: Xpert MTB/RIF Ultra, COUNT: 223
ASSAY: Xpert HIV-1 Viral Load, COUNT: 13
</t>
  </si>
  <si>
    <t>https://www.jotform.com/uploads/macarewecare/222927978372067/5989071114916306031/5989071114916306031_signature_28.png</t>
  </si>
  <si>
    <t>https://www.jotform.com/uploads/macarewecare/222927978372067/5989071114916306031/5989071114916306031_signature_31.png</t>
  </si>
  <si>
    <t>Buhangin District Health Center</t>
  </si>
  <si>
    <t>Clean Surface Area, Cartridge Bay, Plunger Rod, Fan Filters and Icore Lenses
Generate IQR, Assay Stat and System Log
Install GX Sticker for reporting</t>
  </si>
  <si>
    <t>https://www.jotform.com/uploads/macarewecare/222927978372067/5989023232029396035/5989023232029396035_signature_28.png</t>
  </si>
  <si>
    <t>Catherine B. Deocampo</t>
  </si>
  <si>
    <t>https://www.jotform.com/uploads/macarewecare/222927978372067/5989023232029396035/5989023232029396035_signature_31.png</t>
  </si>
  <si>
    <t>Serology</t>
  </si>
  <si>
    <t>MAINTENANCE
Pullout</t>
  </si>
  <si>
    <t>cvmcserology@gmail.com</t>
  </si>
  <si>
    <t>For Pullout</t>
  </si>
  <si>
    <t>Pullout Genexpert
Pullout Laptop
Pullout Barcode Scanner
Pullout UPS</t>
  </si>
  <si>
    <t>Performed Performed Maintenance</t>
  </si>
  <si>
    <t>https://www.jotform.com/uploads/macarewecare/222927978372067/5988990171229477676/5988990171229477676_signature_28.png</t>
  </si>
  <si>
    <t>Dorothy Pajarillo</t>
  </si>
  <si>
    <t>https://www.jotform.com/uploads/macarewecare/222927978372067/5988990171229477676/5988990171229477676_signature_31.png</t>
  </si>
  <si>
    <t xml:space="preserve">ASSAY: Xpert HBV VL, COUNT: 3
ASSAY: Xpert MTB/RIF Ultra, COUNT: 340
ASSAY: Xpert SARS-CoV-2, COUNT: 2695
ASSAY: Xpert HIV-1 Viral Load, COUNT: 10
ASSAY: Others, COUNT: 382
</t>
  </si>
  <si>
    <t>https://www.jotform.com/uploads/macarewecare/222927978372067/5988955884815594818/5988955884815594818_signature_28.png</t>
  </si>
  <si>
    <t>https://www.jotform.com/uploads/macarewecare/222927978372067/5988955884815594818/5988955884815594818_signature_31.png</t>
  </si>
  <si>
    <t>1 IBP Road, Batasan Hills, Quezon City</t>
  </si>
  <si>
    <t xml:space="preserve">ASSAY: Xpert CT/NG, COUNT: 7
ASSAY: Xpert HBV VL, COUNT: 1
ASSAY: Xpert HIV-1 Viral Load, COUNT: 359
</t>
  </si>
  <si>
    <t>Unit due for calibration</t>
  </si>
  <si>
    <t>Performed preventive maintenance 
Performed calibration 
Generated report</t>
  </si>
  <si>
    <t>Checked and cleaned cartridge bays, plunger rod, icore slot and filter 
Performed Xpertcheck 
All modules passed</t>
  </si>
  <si>
    <t>DR 11764</t>
  </si>
  <si>
    <t>https://www.jotform.com/uploads/macarewecare/222927978372067/5988946172717309667/5988946172717309667_signature_28.png</t>
  </si>
  <si>
    <t>rochelle sumilla</t>
  </si>
  <si>
    <t>https://www.jotform.com/uploads/macarewecare/222927978372067/5988946172717309667/5988946172717309667_signature_31.png</t>
  </si>
  <si>
    <t>Pandre Burgos Rural Health Unit</t>
  </si>
  <si>
    <t>Padre Burgos Southern Leyte</t>
  </si>
  <si>
    <t>https://www.jotform.com/uploads/macarewecare/222927978372067/5988896117882750343/5988896117882750343_signature_28.png</t>
  </si>
  <si>
    <t>KEISHA ELEZZE BATALON</t>
  </si>
  <si>
    <t>https://www.jotform.com/uploads/macarewecare/222927978372067/5988896117882750343/5988896117882750343_signature_31.png</t>
  </si>
  <si>
    <t>Plasmaire</t>
  </si>
  <si>
    <t>2006 -T - 188</t>
  </si>
  <si>
    <t>Cleaned unit
Checked and remove dust of filter
Checked program parameters
Checked cable connection
Performed functionality test</t>
  </si>
  <si>
    <t>https://www.jotform.com/uploads/macarewecare/222927978372067/5988250623933954951/5988250623933954951_signature_28.png</t>
  </si>
  <si>
    <t>Jennifer panuelos</t>
  </si>
  <si>
    <t>https://www.jotform.com/uploads/macarewecare/222927978372067/5988250623933954951/5988250623933954951_signature_31.png</t>
  </si>
  <si>
    <t>Barangay 1, Jones, Isabela</t>
  </si>
  <si>
    <t>cheryle_rmt@yahoo.com</t>
  </si>
  <si>
    <t>rhujoneslab@gmail.com</t>
  </si>
  <si>
    <t xml:space="preserve">ASSAY: Xpert MTB/RIF Ultra, COUNT: 1168
</t>
  </si>
  <si>
    <t>Module B1 and B4 error</t>
  </si>
  <si>
    <t>https://www.jotform.com/uploads/macarewecare/222927978372067/5988231329524053691/5988231329524053691_signature_28.png</t>
  </si>
  <si>
    <t>Cheryle C. Suarez</t>
  </si>
  <si>
    <t>https://www.jotform.com/uploads/macarewecare/222927978372067/5988231329524053691/5988231329524053691_signature_31.png</t>
  </si>
  <si>
    <t>Klinika Eastwood, City Walk, Bagumbayan, Quezon City</t>
  </si>
  <si>
    <t>DR11762</t>
  </si>
  <si>
    <t>https://www.jotform.com/uploads/macarewecare/222927978372067/5988214747228843776/5988214747228843776_signature_28.png</t>
  </si>
  <si>
    <t>Mary Claire p baptista</t>
  </si>
  <si>
    <t>https://www.jotform.com/uploads/macarewecare/222927978372067/5988214747228843776/5988214747228843776_signature_31.png</t>
  </si>
  <si>
    <t>https://www.jotform.com/uploads/macarewecare/222927978372067/5988179433709855726/5988179433709855726_signature_28.png</t>
  </si>
  <si>
    <t>Catherine Morante</t>
  </si>
  <si>
    <t>https://www.jotform.com/uploads/macarewecare/222927978372067/5988179433709855726/5988179433709855726_signature_31.png</t>
  </si>
  <si>
    <t>Bugallon</t>
  </si>
  <si>
    <t>https://www.jotform.com/uploads/macarewecare/222927978372067/5988134625792285878/5988134625792285878_signature_28.png</t>
  </si>
  <si>
    <t>https://www.jotform.com/uploads/macarewecare/222927978372067/5988134625792285878/5988134625792285878_signature_31.png</t>
  </si>
  <si>
    <t>MAINTENANCE
GeneXpert ID Sticker Installation</t>
  </si>
  <si>
    <t xml:space="preserve">ASSAY: Xpert MTB/RIF Ultra, COUNT: 621
</t>
  </si>
  <si>
    <t>No filter, module B2 for observation</t>
  </si>
  <si>
    <t>https://www.jotform.com/uploads/macarewecare/222927978372067/5988133327482364628/5988133327482364628_signature_28.png</t>
  </si>
  <si>
    <t>https://www.jotform.com/uploads/macarewecare/222927978372067/5988133327482364628/5988133327482364628_signature_31.png</t>
  </si>
  <si>
    <t>https://www.jotform.com/uploads/macarewecare/222927978372067/5988111589028965862/5988111589028965862_signature_28.png</t>
  </si>
  <si>
    <t>Carlyn Virtudazo</t>
  </si>
  <si>
    <t>https://www.jotform.com/uploads/macarewecare/222927978372067/5988111589028965862/5988111589028965862_signature_31.png</t>
  </si>
  <si>
    <t>https://www.jotform.com/uploads/macarewecare/222927978372067/5988107173421317619/5988107173421317619_signature_28.png</t>
  </si>
  <si>
    <t>MIRASOL P. CLARITO</t>
  </si>
  <si>
    <t>https://www.jotform.com/uploads/macarewecare/222927978372067/5988107173421317619/5988107173421317619_signature_31.png</t>
  </si>
  <si>
    <t>pontevedra.laboratory@gmai.com</t>
  </si>
  <si>
    <t>- Perform Xpertcheck in all 4 modules.
- Install Genexpert ID Sticker.
- Preventive Maintenance</t>
  </si>
  <si>
    <t>- 4 modules operational.
- All 4 modules Passed Xpertcheck</t>
  </si>
  <si>
    <t>https://www.jotform.com/uploads/macarewecare/222927978372067/5988094286718497241/5988094286718497241_signature_28.png</t>
  </si>
  <si>
    <t>Eliseo Pabalinas III</t>
  </si>
  <si>
    <t>https://www.jotform.com/uploads/macarewecare/222927978372067/5988094286718497241/5988094286718497241_signature_31.png</t>
  </si>
  <si>
    <t>Medi Linx laboratory Inc. / St. Elizabeth Hospital Inc.</t>
  </si>
  <si>
    <t>Micrology</t>
  </si>
  <si>
    <t>richei.hernandez@medilinx.com.ph</t>
  </si>
  <si>
    <t xml:space="preserve">ASSAY: Xpert MTB/RIF Ultra, COUNT: 298
</t>
  </si>
  <si>
    <t>Module 1, 3 and 4 requesting for module replacement due to multiple errors</t>
  </si>
  <si>
    <t>Perform Genexpert machine Cleaning/preventive maintenance 
Gx ID Sticker installation 
Data collection</t>
  </si>
  <si>
    <t>1 operational module (module 2)</t>
  </si>
  <si>
    <t>https://www.jotform.com/uploads/macarewecare/222927978372067/5988058206014231950/5988058206014231950_signature_28.png</t>
  </si>
  <si>
    <t>Riche Grace Hernandez</t>
  </si>
  <si>
    <t>https://www.jotform.com/uploads/macarewecare/222927978372067/5988058206014231950/5988058206014231950_signature_31.png</t>
  </si>
  <si>
    <t xml:space="preserve">ASSAY: Xpert HIV-1 Viral Load, COUNT: 181
</t>
  </si>
  <si>
    <t>https://www.jotform.com/uploads/macarewecare/222927978372067/5988015343617604416/5988015343617604416_signature_28.png</t>
  </si>
  <si>
    <t>https://www.jotform.com/uploads/macarewecare/222927978372067/5988015343617604416/5988015343617604416_signature_31.png</t>
  </si>
  <si>
    <t>https://www.jotform.com/uploads/macarewecare/222927978372067/5988012883616478633/5988012883616478633_signature_28.png</t>
  </si>
  <si>
    <t>https://www.jotform.com/uploads/macarewecare/222927978372067/5988012883616478633/5988012883616478633_signature_31.png</t>
  </si>
  <si>
    <t xml:space="preserve">ASSAY: Others, COUNT: 3
ASSAY: Xpert HPV, COUNT: 30
ASSAY: Xpert MTB/RIF Ultra, COUNT: 72
ASSAY: Xpert SARS-CoV-2, COUNT: 1446
ASSAY: Xpert HIV-1 Viral Load, COUNT: 2
</t>
  </si>
  <si>
    <t>Unit is operational. Modules A1, A2 B3, B4, C2, C3 and D2 not operational, for replacement. Modules D1 and D3 not operational, for reporting.</t>
  </si>
  <si>
    <t>Unit due for XpertCheck.</t>
  </si>
  <si>
    <t>https://www.jotform.com/uploads/macarewecare/222927978372067/5987998303611212621/5987998303611212621_signature_28.png</t>
  </si>
  <si>
    <t>Jhon Patrick Ariola</t>
  </si>
  <si>
    <t>https://www.jotform.com/uploads/macarewecare/222927978372067/5987998303611212621/5987998303611212621_signature_31.png</t>
  </si>
  <si>
    <t>https://www.jotform.com/uploads/macarewecare/222927978372067/5987998303611969627/5987998303611969627_signature_28.png</t>
  </si>
  <si>
    <t>Mae Sarah C. Alojado</t>
  </si>
  <si>
    <t>https://www.jotform.com/uploads/macarewecare/222927978372067/5987998303611969627/5987998303611969627_signature_31.png</t>
  </si>
  <si>
    <t>NS Amoranto St., Quezon City</t>
  </si>
  <si>
    <t xml:space="preserve">ASSAY: Xpert BCR-ABL Ultra, COUNT: 133
ASSAY: Xpert HPV, COUNT: 10
ASSAY: Xpert MTB/RIF Ultra, COUNT: 6570
</t>
  </si>
  <si>
    <t>Frequent error in Module 4</t>
  </si>
  <si>
    <t>Performed Preventive maintenance 
Checked what type of erros is occurring 
Archived results to be checked by technical
Generated report</t>
  </si>
  <si>
    <t>Checked and cleaned cartridge bays, plunger rod, icore slot and filter 
Checked system log
Cheked details of error
Mostly 5007 
Archived results from April to August</t>
  </si>
  <si>
    <t>https://www.jotform.com/uploads/macarewecare/222927978372067/5987501125668877256/5987501125668877256_signature_28.png</t>
  </si>
  <si>
    <t>Joselito Chua</t>
  </si>
  <si>
    <t>https://www.jotform.com/uploads/macarewecare/222927978372067/5987501125668877256/5987501125668877256_signature_31.png</t>
  </si>
  <si>
    <t>TAYASAN, NEGROS ORIENTAL</t>
  </si>
  <si>
    <t xml:space="preserve">ASSAY: Xpert MTB/RIF Ultra, COUNT: 47
</t>
  </si>
  <si>
    <t>https://www.jotform.com/uploads/macarewecare/222927978372067/5987412813595861369/5987412813595861369_signature_28.png</t>
  </si>
  <si>
    <t>https://www.jotform.com/uploads/macarewecare/222927978372067/5987412813595861369/5987412813595861369_signature_31.png</t>
  </si>
  <si>
    <t>Perform Genexpert Cleaning/preventive maintenance 
Gx ID sticker installation 
Checking of errors/problem 
Data collection</t>
  </si>
  <si>
    <t>https://www.jotform.com/uploads/macarewecare/222927978372067/5987403618956645347/5987403618956645347_signature_28.png</t>
  </si>
  <si>
    <t>KAMILAH NICHOL CHU</t>
  </si>
  <si>
    <t>https://www.jotform.com/uploads/macarewecare/222927978372067/5987403618956645347/5987403618956645347_signature_31.png</t>
  </si>
  <si>
    <t>H/W failed Module 2 multiple temperature errors
Module 3 temperature errors</t>
  </si>
  <si>
    <t>Perform Genexpert Cleaning/ preventive maintenance 
Perform XPC at module 3 for module temperature 
Gx ID sticker installation 
Problem/errors reporting 
Data collection</t>
  </si>
  <si>
    <t>https://www.jotform.com/uploads/macarewecare/222927978372067/5987395828955671696/5987395828955671696_signature_28.png</t>
  </si>
  <si>
    <t>https://www.jotform.com/uploads/macarewecare/222927978372067/5987395828955671696/5987395828955671696_signature_31.png</t>
  </si>
  <si>
    <t>CPU Sometimes dont power On</t>
  </si>
  <si>
    <t>https://www.jotform.com/uploads/macarewecare/222927978372067/5987377064514762368/5987377064514762368_signature_28.png</t>
  </si>
  <si>
    <t>May Vanessa  A. Dela Cruz</t>
  </si>
  <si>
    <t>https://www.jotform.com/uploads/macarewecare/222927978372067/5987377064514762368/5987377064514762368_signature_31.png</t>
  </si>
  <si>
    <t>https://www.jotform.com/uploads/macarewecare/222927978372067/5987318444029417209/5987318444029417209_signature_28.png</t>
  </si>
  <si>
    <t>Eloisa De Leon</t>
  </si>
  <si>
    <t>https://www.jotform.com/uploads/macarewecare/222927978372067/5987318444029417209/5987318444029417209_signature_31.png</t>
  </si>
  <si>
    <t>Project 7 Social Hyguene Clinic</t>
  </si>
  <si>
    <t xml:space="preserve">ASSAY: Xpert CT/NG, COUNT: 5
ASSAY: Xpert HBV VL, COUNT: 6
ASSAY: Xpert HCV VL, COUNT: 5
ASSAY: Xpert HIV-1 Viral Load, COUNT: 276
</t>
  </si>
  <si>
    <t>Unit due for XpertCheck</t>
  </si>
  <si>
    <t>Performed preventive maintenance 
Performed Calibration</t>
  </si>
  <si>
    <t>Checked and cleaned cartridge bays, plunger rod, icore slot and filter 
Performed Xpertcheck 
All modules passed.</t>
  </si>
  <si>
    <t>DR 11763</t>
  </si>
  <si>
    <t>https://www.jotform.com/uploads/macarewecare/222927978372067/5987209179719956677/5987209179719956677_signature_28.png</t>
  </si>
  <si>
    <t>https://www.jotform.com/uploads/macarewecare/222927978372067/5987209179719956677/5987209179719956677_signature_31.png</t>
  </si>
  <si>
    <t>Purok Rosas, Lake Sebu, Sou</t>
  </si>
  <si>
    <t>GxIV - 6C</t>
  </si>
  <si>
    <t>Performed:
Genexpert Cleaning/ preventive maintenance 
Gx ID sticker installation 
Checking of errors 
Data collection</t>
  </si>
  <si>
    <t>https://www.jotform.com/uploads/macarewecare/222927978372067/5986737216861271910/5986737216861271910_signature_28.png</t>
  </si>
  <si>
    <t>https://www.jotform.com/uploads/macarewecare/222927978372067/5986737216861271910/5986737216861271910_signature_31.png</t>
  </si>
  <si>
    <t>Tampkan Rural Health Unit</t>
  </si>
  <si>
    <t xml:space="preserve">ASSAY: Xpert MTB/RIF Ultra, COUNT: 733
</t>
  </si>
  <si>
    <t>Module 4 for Service Required (H/W failed)
Module 2 multiple temperature error</t>
  </si>
  <si>
    <t>Performed:
Genexpert Cleaning and Preventive maintenance 
Checking of errors 
Errors/problem reporting 
Gx ID sticker installation 
Data collection</t>
  </si>
  <si>
    <t>https://www.jotform.com/uploads/macarewecare/222927978372067/5986736766868334878/5986736766868334878_signature_28.png</t>
  </si>
  <si>
    <t>https://www.jotform.com/uploads/macarewecare/222927978372067/5986736766868334878/5986736766868334878_signature_31.png</t>
  </si>
  <si>
    <t xml:space="preserve">ASSAY: Xpert MTB/RIF Ultra, COUNT: 1113
</t>
  </si>
  <si>
    <t>https://www.jotform.com/uploads/macarewecare/222927978372067/5986485334103364719/5986485334103364719_signature_28.png</t>
  </si>
  <si>
    <t>https://www.jotform.com/uploads/macarewecare/222927978372067/5986485334103364719/5986485334103364719_signature_31.png</t>
  </si>
  <si>
    <t>WVMC rHIVda Confirmatory Laboratory</t>
  </si>
  <si>
    <t>INSTALLATION
Machine Transfer</t>
  </si>
  <si>
    <t>blacklion012886@yahoo.com</t>
  </si>
  <si>
    <t>GeneXpert Machine Transfer.</t>
  </si>
  <si>
    <t>Install GeneXpert Machine System.</t>
  </si>
  <si>
    <t>From molecular laboratory to RHIVda room GeneXpert Machine System Installation.</t>
  </si>
  <si>
    <t>https://www.jotform.com/uploads/macarewecare/222927978372067/5986415834329971825/5986415834329971825_signature_28.png</t>
  </si>
  <si>
    <t>Julie Garanganao</t>
  </si>
  <si>
    <t>https://www.jotform.com/uploads/macarewecare/222927978372067/5986415834329971825/5986415834329971825_signature_31.png</t>
  </si>
  <si>
    <t>https://www.jotform.com/uploads/macarewecare/222927978372067/5986414323397969484/5986414323397969484_signature_28.png</t>
  </si>
  <si>
    <t>Lemuel Quirit, RMT</t>
  </si>
  <si>
    <t>https://www.jotform.com/uploads/macarewecare/222927978372067/5986414323397969484/5986414323397969484_signature_31.png</t>
  </si>
  <si>
    <t>Calongay, Pilar, Sorsogon</t>
  </si>
  <si>
    <t>Cleaned cartridge bays, plunger rod, icore, fan
Provide QR sticker for easy reporting
Generate reports</t>
  </si>
  <si>
    <t>Pm performed last 07/25/24</t>
  </si>
  <si>
    <t>https://www.jotform.com/uploads/macarewecare/222927978372067/5986341974715705199/5986341974715705199_signature_28.png</t>
  </si>
  <si>
    <t>https://www.jotform.com/uploads/macarewecare/222927978372067/5986341974715705199/5986341974715705199_signature_31.png</t>
  </si>
  <si>
    <t>Poblacion, San Isidro, Pili, Camarines Sur</t>
  </si>
  <si>
    <t xml:space="preserve">ASSAY: Xpert MTB/RIF Ultra, COUNT: 1127
</t>
  </si>
  <si>
    <t>XpertCheck Result: 
   B1/688686 - Passed
   B2/220005368 - Passed
   B3/210029760 - Passed
   B4/662296 - Passed
Cleaned cartridge bays, plunger rod, icore, fan filter
Generate reports</t>
  </si>
  <si>
    <t>https://www.jotform.com/uploads/macarewecare/222927978372067/5986338824717556065/5986338824717556065_signature_28.png</t>
  </si>
  <si>
    <t>https://www.jotform.com/uploads/macarewecare/222927978372067/5986338824717556065/5986338824717556065_signature_31.png</t>
  </si>
  <si>
    <t>Soledad, San Jose, Camarines Sur</t>
  </si>
  <si>
    <t xml:space="preserve">ASSAY: Xpert MTB/RIF Ultra, COUNT: 2245
</t>
  </si>
  <si>
    <t>XpertCheck Result:
   B1/676102 - newly replaced module 
   B2/607968 - service required 
   B3/739734 - newly replaced module 
   B4/718686 - service required 
Cleaned cartridge bays, plunger rod, icore 
Placed QR sticker on Gx for reporting
Generate reports</t>
  </si>
  <si>
    <t>B2/607968, B4/718686 service required; requesting for replacement</t>
  </si>
  <si>
    <t>https://www.jotform.com/uploads/macarewecare/222927978372067/5986338534719575578/5986338534719575578_signature_28.png</t>
  </si>
  <si>
    <t>ROSMAR V FORMALEJO</t>
  </si>
  <si>
    <t>https://www.jotform.com/uploads/macarewecare/222927978372067/5986338534719575578/5986338534719575578_signature_31.png</t>
  </si>
  <si>
    <t>San Isidro Village, Virac, Catanduanes</t>
  </si>
  <si>
    <t>CPU frequent forced restart</t>
  </si>
  <si>
    <t>Replaced CPU(DELL Optiplex XE2)
Cleaned cartridge bays, plunger rod, icore
Generate reports</t>
  </si>
  <si>
    <t>Replaced CPU
Performed Preventive Maintenance</t>
  </si>
  <si>
    <t>https://www.jotform.com/uploads/macarewecare/222927978372067/5986337954714100279/5986337954714100279_signature_28.png</t>
  </si>
  <si>
    <t>Ramil Mariano</t>
  </si>
  <si>
    <t>https://www.jotform.com/uploads/macarewecare/222927978372067/5986337954714100279/5986337954714100279_signature_31.png</t>
  </si>
  <si>
    <t>Ramon Magsaysay Rural Health unit</t>
  </si>
  <si>
    <t>Poblacion Ramon Magsaysay, Zamboanga del sur</t>
  </si>
  <si>
    <t>MAINTENANCE
["Installation of Barcode sticker for reporting ","Installation of Barcode sticker for reporting "]</t>
  </si>
  <si>
    <t>GX 4(6C)</t>
  </si>
  <si>
    <t>Preventive Maintenence and Installation of barcode sticker for reporting</t>
  </si>
  <si>
    <t>https://www.jotform.com/uploads/macarewecare/222927978372067/5986173768217066495/5986173768217066495_signature_28.png</t>
  </si>
  <si>
    <t>https://www.jotform.com/uploads/macarewecare/222927978372067/5986173768217066495/5986173768217066495_signature_31.png</t>
  </si>
  <si>
    <t xml:space="preserve">ASSAY: Xpert MTB/RIF Ultra, COUNT: 2450
</t>
  </si>
  <si>
    <t>Unit is due for Maintenance.
No Backup Power on UPS.</t>
  </si>
  <si>
    <t>Preventive Maintenance.
Troubleshooting.</t>
  </si>
  <si>
    <t>Cleaned Cartridge Bay, Plunger Rod and Icore Optics.
Checked Filter if Clogged.
Intall CPU and Pull-out Backup.
Generate Reports.
Checked UPS Voltage.
Performed Functionality Test.</t>
  </si>
  <si>
    <t>All Modules are Operational.
CPU is Functioning.
UPS has Defective Battery. (Low Backup Voltage)</t>
  </si>
  <si>
    <t>UPS: AT1000190123ST0101</t>
  </si>
  <si>
    <t>GX Desktop</t>
  </si>
  <si>
    <t>DR 11753</t>
  </si>
  <si>
    <t>https://www.jotform.com/uploads/macarewecare/222927978372067/5983960200811441640/5983960200811441640_signature_28.png</t>
  </si>
  <si>
    <t>https://www.jotform.com/uploads/macarewecare/222927978372067/5983960200811441640/5983960200811441640_signature_31.png</t>
  </si>
  <si>
    <t>Aaian Hospital and Medical Center</t>
  </si>
  <si>
    <t>Performed Simulation Test.
Checked Pressure and Optic Values.
Checked Pump Rubber.
Checked A/D Values.</t>
  </si>
  <si>
    <t>Values are Good. Unit is Operational.</t>
  </si>
  <si>
    <t>https://www.jotform.com/uploads/macarewecare/222927978372067/5983960200813069182/5983960200813069182_signature_28.png</t>
  </si>
  <si>
    <t>https://www.jotform.com/uploads/macarewecare/222927978372067/5983960200813069182/5983960200813069182_signature_31.png</t>
  </si>
  <si>
    <t>Unit is Operational. Values are Good.</t>
  </si>
  <si>
    <t>https://www.jotform.com/uploads/macarewecare/222927978372067/5983960200813393790/5983960200813393790_signature_28.png</t>
  </si>
  <si>
    <t>https://www.jotform.com/uploads/macarewecare/222927978372067/5983960200813393790/5983960200813393790_signature_31.png</t>
  </si>
  <si>
    <t>trishpamittan@gmail.com</t>
  </si>
  <si>
    <t xml:space="preserve">ASSAY: Xpert HPV, COUNT: 118
ASSAY: Xpert MTB/RIF Ultra, COUNT: 31
ASSAY: Xpert SARS-CoV-2, COUNT: 2094
ASSAY: Others, COUNT: 265
</t>
  </si>
  <si>
    <t>Disabled Modules: None</t>
  </si>
  <si>
    <t>https://www.jotform.com/uploads/macarewecare/222927978372067/5983960200816505957/5983960200816505957_signature_28.png</t>
  </si>
  <si>
    <t>Tricia Wella M. Pamittan</t>
  </si>
  <si>
    <t>https://www.jotform.com/uploads/macarewecare/222927978372067/5983960200816505957/5983960200816505957_signature_31.png</t>
  </si>
  <si>
    <t xml:space="preserve">ASSAY: Others, COUNT: 20
ASSAY: Xpert SARS-CoV-2, COUNT: 502
</t>
  </si>
  <si>
    <t>Cleaned Cartridge Bay, Plunger Rod and Icore Optics.
Checked Filter if Clogged.
Generate Reports.</t>
  </si>
  <si>
    <t>Disabled Modules: A1/ 680659 &amp; A3/ 789441</t>
  </si>
  <si>
    <t>https://www.jotform.com/uploads/macarewecare/222927978372067/5983960200818397670/5983960200818397670_signature_28.png</t>
  </si>
  <si>
    <t>https://www.jotform.com/uploads/macarewecare/222927978372067/5983960200818397670/5983960200818397670_signature_31.png</t>
  </si>
  <si>
    <t>MLLI-Riverside Medical Center</t>
  </si>
  <si>
    <t>Bs Aquino drive, Bacolod</t>
  </si>
  <si>
    <t>Module B1 and B4</t>
  </si>
  <si>
    <t>Install ID sticker
PM
Clean</t>
  </si>
  <si>
    <t>https://www.jotform.com/uploads/macarewecare/222927978372067/5983870487921508787/5983870487921508787_signature_28.png</t>
  </si>
  <si>
    <t>https://www.jotform.com/uploads/macarewecare/222927978372067/5983870487921508787/5983870487921508787_signature_31.png</t>
  </si>
  <si>
    <t>Calamba Misamis Occidental</t>
  </si>
  <si>
    <t>INSTALLATION
["Perfomed end user training on GeneXpert operation, cleaning, and basic troubleshooting.","Perfomed end user training on GeneXpert operation, cleaning, and basic troubleshooting."]</t>
  </si>
  <si>
    <t>GX 4(10x)</t>
  </si>
  <si>
    <t>Installation of Genexpert Machine. Perfomed end user training on GeneXpert operation, cleaning, and basic troubleshooting</t>
  </si>
  <si>
    <t>Installation of Genexpert Machine. Perfomed end user training on GeneXpert operation, cleaning, and basic troubleshooting.</t>
  </si>
  <si>
    <t>Genexpert Machine Ready to use</t>
  </si>
  <si>
    <t>GX1V-4-D-10C
GX-DESKTOP
GX-MONITOR
GX-BSCAN
FC-IT-UPS ACCUIK
FC-IT-PRINTER
XPRSARS-COV2-10</t>
  </si>
  <si>
    <t>https://www.jotform.com/uploads/macarewecare/222927978372067/5983867462511135896/5983867462511135896_signature_28.png</t>
  </si>
  <si>
    <t>https://www.jotform.com/uploads/macarewecare/222927978372067/5983867462511135896/5983867462511135896_signature_31.png</t>
  </si>
  <si>
    <t>Poblacion Panabo</t>
  </si>
  <si>
    <t xml:space="preserve">ASSAY: Xpert MTB/RIF Ultra, COUNT: 2876
</t>
  </si>
  <si>
    <t>https://www.jotform.com/uploads/macarewecare/222927978372067/5983840764166818630/5983840764166818630_signature_28.png</t>
  </si>
  <si>
    <t>Sitti hannah deloso</t>
  </si>
  <si>
    <t>https://www.jotform.com/uploads/macarewecare/222927978372067/5983840764166818630/5983840764166818630_signature_31.png</t>
  </si>
  <si>
    <t>Preventive Maintenance and GeneXpert ID Sticker Installation.</t>
  </si>
  <si>
    <t>https://www.jotform.com/uploads/macarewecare/222927978372067/5983798689224886049/5983798689224886049_signature_28.png</t>
  </si>
  <si>
    <t>https://www.jotform.com/uploads/macarewecare/222927978372067/5983798689224886049/5983798689224886049_signature_31.png</t>
  </si>
  <si>
    <t>100 Gatwick Gateway, Zone, Clark Freeport, Mabalacat, 2023 Pampanga</t>
  </si>
  <si>
    <t xml:space="preserve">ASSAY: Xpert CT/NG, COUNT: 11
ASSAY: Xpert HBV VL, COUNT: 49
ASSAY: Others, COUNT: 35
ASSAY: Xpert MTB/RIF Ultra, COUNT: 179
ASSAY: Xpert HIV-1 Viral Load, COUNT: 4
</t>
  </si>
  <si>
    <t>Machine due for calibration</t>
  </si>
  <si>
    <t>https://www.jotform.com/uploads/macarewecare/222927978372067/5983782215416342781/5983782215416342781_signature_28.png</t>
  </si>
  <si>
    <t>https://www.jotform.com/uploads/macarewecare/222927978372067/5983782215416342781/5983782215416342781_signature_31.png</t>
  </si>
  <si>
    <t>Corazon Locsin Medical Memorial Regional Hospital</t>
  </si>
  <si>
    <t>ID Sticker Installation
PM
Clean fan filter</t>
  </si>
  <si>
    <t>https://www.jotform.com/uploads/macarewecare/222927978372067/5983706671151137380/5983706671151137380_signature_28.png</t>
  </si>
  <si>
    <t>Alain Juayang</t>
  </si>
  <si>
    <t>https://www.jotform.com/uploads/macarewecare/222927978372067/5983706671151137380/5983706671151137380_signature_31.png</t>
  </si>
  <si>
    <t>Jacinto Street, Davao</t>
  </si>
  <si>
    <t xml:space="preserve">ASSAY: Xpert MTB/RIF Ultra, COUNT: 254
ASSAY: Xpert HIV-1 Viral Load, COUNT: 1219
ASSAY: Xpert HBV VL, COUNT: 8
</t>
  </si>
  <si>
    <t>Clean Surface Area, Cartridge Bay, Plunger Rod, Fan Filters and Icore Lenses
Generate IQR, Assay Stat and System Log
Install GX Stickers</t>
  </si>
  <si>
    <t>https://www.jotform.com/uploads/macarewecare/222927978372067/5983266066215851143/5983266066215851143_signature_28.png</t>
  </si>
  <si>
    <t>https://www.jotform.com/uploads/macarewecare/222927978372067/5983266066215851143/5983266066215851143_signature_31.png</t>
  </si>
  <si>
    <t>Jacinto Street Davao</t>
  </si>
  <si>
    <t xml:space="preserve">ASSAY: Xpert MTB/RIF Ultra, COUNT: 354
ASSAY: Xpert HIV-1 Viral Load, COUNT: 1219
ASSAY: Xpert HBV VL, COUNT: 8
</t>
  </si>
  <si>
    <t>2 Modules are operational</t>
  </si>
  <si>
    <t>https://www.jotform.com/uploads/macarewecare/222927978372067/5983265606219853930/5983265606219853930_signature_28.png</t>
  </si>
  <si>
    <t>https://www.jotform.com/uploads/macarewecare/222927978372067/5983265606219853930/5983265606219853930_signature_31.png</t>
  </si>
  <si>
    <t xml:space="preserve">ASSAY: Xpert BCR-ABL Ultra, COUNT: 39
ASSAY: Xpert CT/NG, COUNT: 69
ASSAY: Xpert HBV VL, COUNT: 583
ASSAY: Xpert HPV, COUNT: 460
ASSAY: Xpert MTB/RIF Ultra, COUNT: 5300
ASSAY: Others, COUNT: 1
ASSAY: Xpert HCV VL, COUNT: 74
ASSAY: Xpert HIV-1 Viral Load, COUNT: 653
ASSAY: Others, COUNT: 931
</t>
  </si>
  <si>
    <t>Performed maintenance 
Cleaned:
-cartridge bay
-plunger rod
-icore 
-filter 
Generated reports 
Archive test</t>
  </si>
  <si>
    <t>Unit is operational. Module B4/210082262 operational but under observation.</t>
  </si>
  <si>
    <t>https://www.jotform.com/uploads/macarewecare/222927978372067/5983066103612279601/5983066103612279601_signature_28.png</t>
  </si>
  <si>
    <t>ashleyespiel@gmail.com</t>
  </si>
  <si>
    <t>https://www.jotform.com/uploads/macarewecare/222927978372067/5983066103612279601/5983066103612279601_signature_31.png</t>
  </si>
  <si>
    <t>DOST - Philippine Institute of Volcanology and Seismology</t>
  </si>
  <si>
    <t>C.P. Garcia Avenue, Quezon City</t>
  </si>
  <si>
    <t>DOST PhilVOLCS</t>
  </si>
  <si>
    <t>valerie.olfindo@phivolcs.dost.gov.ph</t>
  </si>
  <si>
    <t>There is a dark spot in the center of the screen</t>
  </si>
  <si>
    <t>Cleaned camera adapter</t>
  </si>
  <si>
    <t>Performed Preventive Maintenance
Cleaned Eyepieces
Checked moving parts
Checked lights
Checked camera
Performed functionality tests</t>
  </si>
  <si>
    <t>Unit is operational. Black spot in screen was cleaned and is now clear. Eyepieces have some mold on the outer parts.</t>
  </si>
  <si>
    <t>https://www.jotform.com/uploads/macarewecare/222927978372067/5983062071122347612/5983062071122347612_signature_28.png</t>
  </si>
  <si>
    <t>Valerie Shayne Olfindo</t>
  </si>
  <si>
    <t>https://www.jotform.com/uploads/macarewecare/222927978372067/5983062071122347612/5983062071122347612_signature_31.png</t>
  </si>
  <si>
    <t>DR 11655</t>
  </si>
  <si>
    <t>https://www.jotform.com/uploads/macarewecare/222927978372067/5983059171935361913/5983059171935361913_signature_28.png</t>
  </si>
  <si>
    <t>Pangilamun Mamowalas, Jr.</t>
  </si>
  <si>
    <t>https://www.jotform.com/uploads/macarewecare/222927978372067/5983059171935361913/5983059171935361913_signature_31.png</t>
  </si>
  <si>
    <t>GX XVI 10-Color</t>
  </si>
  <si>
    <t>Performed unit installation 
Performed functionality test
Generated reports</t>
  </si>
  <si>
    <t>https://www.jotform.com/uploads/macarewecare/222927978372067/5983057999129264818/5983057999129264818_signature_28.png</t>
  </si>
  <si>
    <t>https://www.jotform.com/uploads/macarewecare/222927978372067/5983057999129264818/5983057999129264818_signature_31.png</t>
  </si>
  <si>
    <t>Silay, Negros Occidental</t>
  </si>
  <si>
    <t>ID sticker Installation
Pm
Installation XDR assay</t>
  </si>
  <si>
    <t>https://www.jotform.com/uploads/macarewecare/222927978372067/5983033607712080684/5983033607712080684_signature_28.png</t>
  </si>
  <si>
    <t>https://www.jotform.com/uploads/macarewecare/222927978372067/5983033607712080684/5983033607712080684_signature_31.png</t>
  </si>
  <si>
    <t>Bacolod CHO</t>
  </si>
  <si>
    <t>vetpahilanga@gmail.com</t>
  </si>
  <si>
    <t>Error in module 3 and 4</t>
  </si>
  <si>
    <t>Clean Fan Filter
PM
ID sticker installation</t>
  </si>
  <si>
    <t>Defective module 3 and 4</t>
  </si>
  <si>
    <t>https://www.jotform.com/uploads/macarewecare/222927978372067/5983029537718878894/5983029537718878894_signature_28.png</t>
  </si>
  <si>
    <t>Ruby Eyvette Asendente</t>
  </si>
  <si>
    <t>https://www.jotform.com/uploads/macarewecare/222927978372067/5983029537718878894/5983029537718878894_signature_31.png</t>
  </si>
  <si>
    <t>https://www.jotform.com/uploads/macarewecare/222927978372067/5982986244536824594/5982986244536824594_signature_28.png</t>
  </si>
  <si>
    <t>https://www.jotform.com/uploads/macarewecare/222927978372067/5982986244536824594/5982986244536824594_signature_31.png</t>
  </si>
  <si>
    <t xml:space="preserve">ASSAY: Xpert MTB/RIF Ultra, COUNT: 389
</t>
  </si>
  <si>
    <t>GX ID Sticker Installation and Preventive Maintenance</t>
  </si>
  <si>
    <t>https://www.jotform.com/uploads/macarewecare/222927978372067/5982981908926666155/5982981908926666155_signature_28.png</t>
  </si>
  <si>
    <t>https://www.jotform.com/uploads/macarewecare/222927978372067/5982981908926666155/5982981908926666155_signature_31.png</t>
  </si>
  <si>
    <t>https://www.jotform.com/uploads/macarewecare/222927978372067/5982960770906111358/5982960770906111358_signature_28.png</t>
  </si>
  <si>
    <t>Bryan Michael Balunes</t>
  </si>
  <si>
    <t>https://www.jotform.com/uploads/macarewecare/222927978372067/5982960770906111358/5982960770906111358_signature_31.png</t>
  </si>
  <si>
    <t xml:space="preserve">ASSAY: Xpert HBV VL, COUNT: 89
ASSAY: Xpert MTB/RIF Ultra, COUNT: 704
ASSAY: Others, COUNT: 34
ASSAY: Xpert HCV VL, COUNT: 9
ASSAY: Xpert HIV-1 Viral Load, COUNT: 125
</t>
  </si>
  <si>
    <t>https://www.jotform.com/uploads/macarewecare/222927978372067/5982925230907035108/5982925230907035108_signature_28.png</t>
  </si>
  <si>
    <t>John Carlo Cuanan</t>
  </si>
  <si>
    <t>https://www.jotform.com/uploads/macarewecare/222927978372067/5982925230907035108/5982925230907035108_signature_31.png</t>
  </si>
  <si>
    <t>Unit is operational
Module C4 for follow up/reporting</t>
  </si>
  <si>
    <t>https://www.jotform.com/uploads/macarewecare/222927978372067/5982894933611661265/5982894933611661265_signature_28.png</t>
  </si>
  <si>
    <t>https://www.jotform.com/uploads/macarewecare/222927978372067/5982894933611661265/5982894933611661265_signature_31.png</t>
  </si>
  <si>
    <t>Unit is operational
Module A1 for follow up/reporting</t>
  </si>
  <si>
    <t>https://www.jotform.com/uploads/macarewecare/222927978372067/5982894933615413090/5982894933615413090_signature_28.png</t>
  </si>
  <si>
    <t>https://www.jotform.com/uploads/macarewecare/222927978372067/5982894933615413090/5982894933615413090_signature_31.png</t>
  </si>
  <si>
    <t>https://www.jotform.com/uploads/macarewecare/222927978372067/5982894933615537465/5982894933615537465_signature_28.png</t>
  </si>
  <si>
    <t>https://www.jotform.com/uploads/macarewecare/222927978372067/5982894933615537465/5982894933615537465_signature_31.png</t>
  </si>
  <si>
    <t>https://www.jotform.com/uploads/macarewecare/222927978372067/5982894933618147233/5982894933618147233_signature_28.png</t>
  </si>
  <si>
    <t>https://www.jotform.com/uploads/macarewecare/222927978372067/5982894933618147233/5982894933618147233_signature_31.png</t>
  </si>
  <si>
    <t>https://www.jotform.com/uploads/macarewecare/222927978372067/5982715932147074393/5982715932147074393_signature_28.png</t>
  </si>
  <si>
    <t>Mary Jane Amores</t>
  </si>
  <si>
    <t>https://www.jotform.com/uploads/macarewecare/222927978372067/5982715932147074393/5982715932147074393_signature_31.png</t>
  </si>
  <si>
    <t xml:space="preserve">ASSAY: Xpert BCR-ABL Ultra, COUNT: 43
ASSAY: Xpert MTB/RIF Ultra, COUNT: 2618
ASSAY: Xpert SARS-CoV-2, COUNT: 2368
ASSAY: Xpert SARS-CoV-2, COUNT: 591
</t>
  </si>
  <si>
    <t>https://www.jotform.com/uploads/macarewecare/222927978372067/5982715042145127264/5982715042145127264_signature_28.png</t>
  </si>
  <si>
    <t>https://www.jotform.com/uploads/macarewecare/222927978372067/5982715042145127264/5982715042145127264_signature_31.png</t>
  </si>
  <si>
    <t>https://www.jotform.com/uploads/macarewecare/222927978372067/5982714462142800508/5982714462142800508_signature_28.png</t>
  </si>
  <si>
    <t>https://www.jotform.com/uploads/macarewecare/222927978372067/5982714462142800508/5982714462142800508_signature_31.png</t>
  </si>
  <si>
    <t>Bloodbank bank</t>
  </si>
  <si>
    <t>https://www.jotform.com/uploads/macarewecare/222927978372067/5982714092142762553/5982714092142762553_signature_28.png</t>
  </si>
  <si>
    <t>https://www.jotform.com/uploads/macarewecare/222927978372067/5982714092142762553/5982714092142762553_signature_31.png</t>
  </si>
  <si>
    <t>PHO MBL Palawan UNOPS</t>
  </si>
  <si>
    <t>PGP Compound, South National Hi-way, Brgy. Irawan, Puerto Princesa</t>
  </si>
  <si>
    <t xml:space="preserve">ASSAY: Xpert MTB/RIF Ultra, COUNT: 
ASSAY: Xpert SARS-CoV-2, COUNT: 
</t>
  </si>
  <si>
    <t>Installed GX 
Generated report</t>
  </si>
  <si>
    <t>Unpacked and setup GX and accessories 
Setup User admin 
Setup system configuration 
Installed assays
Installed printer driver</t>
  </si>
  <si>
    <t>unit is operational 
All modules working</t>
  </si>
  <si>
    <t>GXIV 10C Desktop Package</t>
  </si>
  <si>
    <t>DR 11636</t>
  </si>
  <si>
    <t>https://www.jotform.com/uploads/macarewecare/222927978372067/5982449721017250478/5982449721017250478_signature_28.png</t>
  </si>
  <si>
    <t>Cyrus Cecilio A. Caabay</t>
  </si>
  <si>
    <t>https://www.jotform.com/uploads/macarewecare/222927978372067/5982449721017250478/5982449721017250478_signature_31.png</t>
  </si>
  <si>
    <t>Roxas Boulevard, Davao</t>
  </si>
  <si>
    <t>Clean Surface Area,
Check the parameters of SPM, DPM and Line Sensor
Run Cycle Diagnostic Test and Perform Cycle Test</t>
  </si>
  <si>
    <t>https://www.jotform.com/uploads/macarewecare/222927978372067/5982185814428872790/5982185814428872790_signature_28.png</t>
  </si>
  <si>
    <t>https://www.jotform.com/uploads/macarewecare/222927978372067/5982185814428872790/5982185814428872790_signature_31.png</t>
  </si>
  <si>
    <t>Mini Forest Health Center ( District C )</t>
  </si>
  <si>
    <t>Quezon Boulevard, Davao</t>
  </si>
  <si>
    <t xml:space="preserve">ASSAY: Xpert MTB/RIF Ultra, COUNT: 423
</t>
  </si>
  <si>
    <t>https://www.jotform.com/uploads/macarewecare/222927978372067/5982180434429341644/5982180434429341644_signature_28.png</t>
  </si>
  <si>
    <t>Joy L. Nio</t>
  </si>
  <si>
    <t>https://www.jotform.com/uploads/macarewecare/222927978372067/5982180434429341644/5982180434429341644_signature_31.png</t>
  </si>
  <si>
    <t>Dr. Sixto Ave., Rosario, Pasig City</t>
  </si>
  <si>
    <t xml:space="preserve">ASSAY: Xpert MTB/RIF Ultra, COUNT: 282
</t>
  </si>
  <si>
    <t>Performed maintenance 
Cleaned:
-cartridge bay
-plunger rod 
-icore
-filter 
Generated reports</t>
  </si>
  <si>
    <t>https://www.jotform.com/uploads/macarewecare/222927978372067/5982170224443461518/5982170224443461518_signature_28.png</t>
  </si>
  <si>
    <t>https://www.jotform.com/uploads/macarewecare/222927978372067/5982170224443461518/5982170224443461518_signature_31.png</t>
  </si>
  <si>
    <t>Evangelista St., Santolan, Pasig City</t>
  </si>
  <si>
    <t xml:space="preserve">ASSAY: Xpert MTB/RIF Ultra, COUNT: 360
</t>
  </si>
  <si>
    <t>https://www.jotform.com/uploads/macarewecare/222927978372067/5982170234441205193/5982170234441205193_signature_28.png</t>
  </si>
  <si>
    <t>https://www.jotform.com/uploads/macarewecare/222927978372067/5982170234441205193/5982170234441205193_signature_31.png</t>
  </si>
  <si>
    <t>https://www.jotform.com/uploads/macarewecare/222927978372067/5982168349965266541/5982168349965266541_signature_28.png</t>
  </si>
  <si>
    <t>lorna c.abaigar</t>
  </si>
  <si>
    <t>https://www.jotform.com/uploads/macarewecare/222927978372067/5982168349965266541/5982168349965266541_signature_31.png</t>
  </si>
  <si>
    <t>["GeneXpert ID Sticker Installation","GeneXpert ID Sticker Installation"]</t>
  </si>
  <si>
    <t xml:space="preserve">ASSAY: Xpert MTB/RIF Ultra, COUNT: 1196
</t>
  </si>
  <si>
    <t>Module B1 temperature error.</t>
  </si>
  <si>
    <t>-GeneXpert ID Sticker Installation
-Preventive Maintenance
-Run XPC in module B1
-Upgrade XpertCheck software version to 1.5b</t>
  </si>
  <si>
    <t>Module B1 failed, for replacement. All other modules are functional.</t>
  </si>
  <si>
    <t>https://www.jotform.com/uploads/macarewecare/222927978372067/5982100648993639792/5982100648993639792_signature_28.png</t>
  </si>
  <si>
    <t>https://www.jotform.com/uploads/macarewecare/222927978372067/5982100648993639792/5982100648993639792_signature_31.png</t>
  </si>
  <si>
    <t>Zamboanga del sur medical center, Pagadian City</t>
  </si>
  <si>
    <t>MAINTENANCE
Installation of barcode sticker for reporting</t>
  </si>
  <si>
    <t xml:space="preserve">ASSAY: Xpert MTB/RIF Ultra, COUNT: 1678
ASSAY: Xpert HIV-1 Viral Load, COUNT: 127
</t>
  </si>
  <si>
    <t>Module 2 and 4 temperature errors</t>
  </si>
  <si>
    <t>Preventive Maintenence and barcode sticker installation</t>
  </si>
  <si>
    <t>Module 1 and 3 are running and available while module 2 and 4 are pending for replacement</t>
  </si>
  <si>
    <t>Module 2 and 4 are for replacement</t>
  </si>
  <si>
    <t>https://www.jotform.com/uploads/macarewecare/222927978372067/5982076847314733876/5982076847314733876_signature_28.png</t>
  </si>
  <si>
    <t>https://www.jotform.com/uploads/macarewecare/222927978372067/5982076847314733876/5982076847314733876_signature_31.png</t>
  </si>
  <si>
    <t>Module B1 H/W failed.</t>
  </si>
  <si>
    <t>-Preventive Maintenance
-GeneXpert ID Sticker Installation
-Run XPC in module B1
-Upgrade XpertCheck software to version 1.5b</t>
  </si>
  <si>
    <t>Module B1 defective, for replacement. All other modules are functional.</t>
  </si>
  <si>
    <t>https://www.jotform.com/uploads/macarewecare/222927978372067/5982022823671261956/5982022823671261956_signature_28.png</t>
  </si>
  <si>
    <t>https://www.jotform.com/uploads/macarewecare/222927978372067/5982022823671261956/5982022823671261956_signature_31.png</t>
  </si>
  <si>
    <t xml:space="preserve">ASSAY: Xpert MTB/RIF Ultra, COUNT: 1078
</t>
  </si>
  <si>
    <t>Genexpert machine Cleaning/preventive maintenance 
Checking of errors 
Macare sticker installation 
Data Collection</t>
  </si>
  <si>
    <t>https://www.jotform.com/uploads/macarewecare/222927978372067/5981989157142407300/5981989157142407300_signature_28.png</t>
  </si>
  <si>
    <t>Geraldine  Magan, RMT</t>
  </si>
  <si>
    <t>https://www.jotform.com/uploads/macarewecare/222927978372067/5981989157142407300/5981989157142407300_signature_31.png</t>
  </si>
  <si>
    <t>-Preventive Maintenance
-GeneXpert ID Sticker Installation 
-Upgrade XpertCheck software version to 1.5b</t>
  </si>
  <si>
    <t>Waiting for module B3 allocation. All other modules are functional.</t>
  </si>
  <si>
    <t>https://www.jotform.com/uploads/macarewecare/222927978372067/5981967210037829650/5981967210037829650_signature_28.png</t>
  </si>
  <si>
    <t>https://www.jotform.com/uploads/macarewecare/222927978372067/5981967210037829650/5981967210037829650_signature_31.png</t>
  </si>
  <si>
    <t>Puerto Princesa City Health Office - UNOPS</t>
  </si>
  <si>
    <t>Valencia St., Puerto Princesa, Palawan</t>
  </si>
  <si>
    <t xml:space="preserve">ASSAY: Xpert MTB/RIF, COUNT: 
</t>
  </si>
  <si>
    <t>Unit due for Installation</t>
  </si>
  <si>
    <t>Unpacked and setup GX and accessories 
Setup User admin
Setup system configuration 
Installed assay
Installed printer driver</t>
  </si>
  <si>
    <t>GXIV Desktop Package</t>
  </si>
  <si>
    <t>DR 11637</t>
  </si>
  <si>
    <t>https://www.jotform.com/uploads/macarewecare/222927978372067/5981617529734090147/5981617529734090147_signature_28.png</t>
  </si>
  <si>
    <t>https://www.jotform.com/uploads/macarewecare/222927978372067/5981617529734090147/5981617529734090147_signature_31.png</t>
  </si>
  <si>
    <t xml:space="preserve">ASSAY: Xpert CT/NG, COUNT: 273
ASSAY: Xpert HPV, COUNT: 14
ASSAY: Xpert MTB/RIF Ultra, COUNT: 3192
</t>
  </si>
  <si>
    <t>Due for maintenance
B3 and B4 disabled failed xpertcheck
B1 broken uniframe hinge</t>
  </si>
  <si>
    <t>B1 and B2 ready to use
B3 and B4 disabled due to failed xpertcheck</t>
  </si>
  <si>
    <t>https://www.jotform.com/uploads/macarewecare/222927978372067/5981304601428126583/5981304601428126583_signature_28.png</t>
  </si>
  <si>
    <t>Cherry Ann M. Pastrana</t>
  </si>
  <si>
    <t>https://www.jotform.com/uploads/macarewecare/222927978372067/5981304601428126583/5981304601428126583_signature_31.png</t>
  </si>
  <si>
    <t xml:space="preserve">ASSAY: Xpert CT/NG, COUNT: 1
ASSAY: Xpert HBV VL, COUNT: 60
ASSAY: Xpert HPV, COUNT: 10
ASSAY: Xpert HPV, COUNT: 267
ASSAY: Xpert MTB/RIF Ultra, COUNT: 2
ASSAY: Xpert HCV VL, COUNT: 13
ASSAY: Xpert HIV-1 Viral Load, COUNT: 20
</t>
  </si>
  <si>
    <t>Due for maintenance
C4 disabled due to temp error</t>
  </si>
  <si>
    <t>C1,C2,C3 operational</t>
  </si>
  <si>
    <t>https://www.jotform.com/uploads/macarewecare/222927978372067/5981303601427092288/5981303601427092288_signature_28.png</t>
  </si>
  <si>
    <t>Jeinz Quinnie Alcsla</t>
  </si>
  <si>
    <t>https://www.jotform.com/uploads/macarewecare/222927978372067/5981303601427092288/5981303601427092288_signature_31.png</t>
  </si>
  <si>
    <t>Poblacion mabuhay, Zamboanga del sur</t>
  </si>
  <si>
    <t>INSTALLATION
Basic troubleshooting and Maintenence training for end users</t>
  </si>
  <si>
    <t>moffetgayvirtudazo@gmail.com</t>
  </si>
  <si>
    <t>GX 4 (10C)</t>
  </si>
  <si>
    <t>Installed Genexpert Machine 10c. Perfomed end user training on GeneXpert operation, cleaning, and basic troubleshooting. ty.</t>
  </si>
  <si>
    <t>GX-D-10C
GX-DESKTOP
GX-MONITOR
GXBCSCAN
FC-IT-UPSACCU1K
FC-IT-PRINTER
XPRSCARS-COV2-10</t>
  </si>
  <si>
    <t>https://www.jotform.com/uploads/macarewecare/222927978372067/5981291168007268349/5981291168007268349_signature_28.png</t>
  </si>
  <si>
    <t>Moffat Gay C. Virtudazo</t>
  </si>
  <si>
    <t>https://www.jotform.com/uploads/macarewecare/222927978372067/5981291168007268349/5981291168007268349_signature_31.png</t>
  </si>
  <si>
    <t>Preventive Maintenance
Calibration</t>
  </si>
  <si>
    <t>https://www.jotform.com/uploads/macarewecare/222927978372067/5981278024419274922/5981278024419274922_signature_28.png</t>
  </si>
  <si>
    <t>https://www.jotform.com/uploads/macarewecare/222927978372067/5981278024419274922/5981278024419274922_signature_31.png</t>
  </si>
  <si>
    <t>Graman Medical And Maternity Hospital</t>
  </si>
  <si>
    <t>Unit for troubleshooting</t>
  </si>
  <si>
    <t>- scanned system log for hardware errors (none)
- scanned test reports errors (error 5007 found)
- generated reports
- generated archived tests (2 months worth)
- checked cartridge bay, plunger rod, filter</t>
  </si>
  <si>
    <t>Unit is operational.
No hardware problems found.
Error/s found is suspected to be sample and/or cartridge related.
Found error/s for forwarding to applications specialist for further analysis.</t>
  </si>
  <si>
    <t>https://www.jotform.com/uploads/macarewecare/222927978372067/5981218406312342572/5981218406312342572_signature_28.png</t>
  </si>
  <si>
    <t>https://www.jotform.com/uploads/macarewecare/222927978372067/5981218406312342572/5981218406312342572_signature_31.png</t>
  </si>
  <si>
    <t xml:space="preserve">ASSAY: Xpert HPV, COUNT: 5
ASSAY: Xpert MTB/RIF Ultra, COUNT: 326
</t>
  </si>
  <si>
    <t>Unit is operational and in good condition
No hardware problems found</t>
  </si>
  <si>
    <t>https://www.jotform.com/uploads/macarewecare/222927978372067/5981218396319845096/5981218396319845096_signature_28.png</t>
  </si>
  <si>
    <t>https://www.jotform.com/uploads/macarewecare/222927978372067/5981218396319845096/5981218396319845096_signature_31.png</t>
  </si>
  <si>
    <t xml:space="preserve">ASSAY: Xpert SARS-CoV-2, COUNT: 1814
</t>
  </si>
  <si>
    <t>Due for preventive maintenance 
B3:888979 HW Failed 
B4:688212 HW Failed
Monitor display shaking and freezing</t>
  </si>
  <si>
    <t>Unit is operational exept modules B23 and B4
Monitor for replacement</t>
  </si>
  <si>
    <t>https://www.jotform.com/uploads/macarewecare/222927978372067/5980471629024388997/5980471629024388997_signature_28.png</t>
  </si>
  <si>
    <t>Angelina Cuaton</t>
  </si>
  <si>
    <t>https://www.jotform.com/uploads/macarewecare/222927978372067/5980471629024388997/5980471629024388997_signature_31.png</t>
  </si>
  <si>
    <t>Masinloc Rural Health Unit</t>
  </si>
  <si>
    <t>Masinloc Zambales</t>
  </si>
  <si>
    <t>rodenne@yahoo.com</t>
  </si>
  <si>
    <t xml:space="preserve">ASSAY: Xpert MTB/RIF Ultra, COUNT: 2351
</t>
  </si>
  <si>
    <t>Stuck cartridge module A2
UPS not Backing up</t>
  </si>
  <si>
    <t>Repair 
Preventive maintenance 
Troubleshooting</t>
  </si>
  <si>
    <t>Performed stuck cartridge removal
Performed surface cleaning 
Performed cleaning of plunger rod, cartridge bay, icore and filter 
UPS troubleshooting 
Archived test results 
Performed functionality test 
Gathered reports</t>
  </si>
  <si>
    <t>Unit is operational 
UPS not Backing up</t>
  </si>
  <si>
    <t>https://www.jotform.com/uploads/macarewecare/222927978372067/5980414229023462057/5980414229023462057_signature_28.png</t>
  </si>
  <si>
    <t>Rodenn Educala</t>
  </si>
  <si>
    <t>https://www.jotform.com/uploads/macarewecare/222927978372067/5980414229023462057/5980414229023462057_signature_31.png</t>
  </si>
  <si>
    <t>JP Laurel Bajada Davao</t>
  </si>
  <si>
    <t>Centrifuge not working</t>
  </si>
  <si>
    <t>Replace the defective Centrifuge Assembly with Serial SN: 7562 with Centrifuge Assembly SN: 282
Perform Preventive Maintenance, Calibration and Diagnostic Test
Perform Cycle Test</t>
  </si>
  <si>
    <t>Perform Centrifuge replacement to isolate the problem</t>
  </si>
  <si>
    <t>Successfully passed the cycle test
Unit is Operational</t>
  </si>
  <si>
    <t>Centrifuge Assembly Service Part Only, Request of Quotation for Centrifuge Assembly</t>
  </si>
  <si>
    <t>MCS+ Centrifuge Assembly SN: 282</t>
  </si>
  <si>
    <t>https://www.jotform.com/uploads/macarewecare/222927978372067/5980370805323101929/5980370805323101929_signature_28.png</t>
  </si>
  <si>
    <t>Dianne Karla De Leon</t>
  </si>
  <si>
    <t>https://www.jotform.com/uploads/macarewecare/222927978372067/5980370805323101929/5980370805323101929_signature_31.png</t>
  </si>
  <si>
    <t>crisdiazmedtech@yahoo.com</t>
  </si>
  <si>
    <t>Unit for Installation</t>
  </si>
  <si>
    <t>- Install Genexpert machine SN: 110023515
- CPU SN:CPH1023F47168
- Monitor SN:CN0WMYC5FCC0037KCLJXA05
- UPS SN:AT1K231111ST0005
- Printer SN:CN3B2431VN
- Perfomed end user training on GeneXpert operation, cleaning, and basic troubleshooting.</t>
  </si>
  <si>
    <t>Genexpert machine 
CPU
Printer Machine 
UPS
Barcode scanner 
Monitor</t>
  </si>
  <si>
    <t>DR 11643</t>
  </si>
  <si>
    <t>https://www.jotform.com/uploads/macarewecare/222927978372067/5971767726328808311/5971767726328808311_signature_28.png</t>
  </si>
  <si>
    <t>cristina d. diaz</t>
  </si>
  <si>
    <t>https://www.jotform.com/uploads/macarewecare/222927978372067/5971767726328808311/5971767726328808311_signature_31.png</t>
  </si>
  <si>
    <t xml:space="preserve">ASSAY: Xpert MTB/RIF Ultra, COUNT: 12
ASSAY: Xpert SARS-CoV-2, COUNT: 3
</t>
  </si>
  <si>
    <t>D2,D3 and D4 disabled encounter 5007 error
Defective ups
Last xpertcheck 6/30/21</t>
  </si>
  <si>
    <t>D1 operational</t>
  </si>
  <si>
    <t>https://www.jotform.com/uploads/macarewecare/222927978372067/5980114976837339603/5980114976837339603_signature_28.png</t>
  </si>
  <si>
    <t>https://www.jotform.com/uploads/macarewecare/222927978372067/5980114976837339603/5980114976837339603_signature_31.png</t>
  </si>
  <si>
    <t xml:space="preserve">ASSAY: Xpert MTB/RIF Ultra, COUNT: 408
ASSAY: Xpert SARS-CoV-2, COUNT: 965
ASSAY: Xpert HIV-1 Viral Load, COUNT: 10
ASSAY: Xpert HIV-1 Viral Load, COUNT: 113
ASSAY: Others, COUNT: 3
</t>
  </si>
  <si>
    <t>GX4. D</t>
  </si>
  <si>
    <t>Due for maintenance
B1 and B4 reported already encounter temp error</t>
  </si>
  <si>
    <t>B2 and B3 operational
B1 and B4 disabled</t>
  </si>
  <si>
    <t>https://www.jotform.com/uploads/macarewecare/222927978372067/5980114616837024146/5980114616837024146_signature_28.png</t>
  </si>
  <si>
    <t>https://www.jotform.com/uploads/macarewecare/222927978372067/5980114616837024146/5980114616837024146_signature_31.png</t>
  </si>
  <si>
    <t xml:space="preserve">ASSAY: Xpert MTB/RIF Ultra, COUNT: 361
ASSAY: Others, COUNT: 3
ASSAY: Xpert SARS-CoV-2, COUNT: 685
</t>
  </si>
  <si>
    <t>https://www.jotform.com/uploads/macarewecare/222927978372067/5980114106831714938/5980114106831714938_signature_28.png</t>
  </si>
  <si>
    <t>Arjay V. Abichuela (PHC)</t>
  </si>
  <si>
    <t>https://www.jotform.com/uploads/macarewecare/222927978372067/5980114106831714938/5980114106831714938_signature_31.png</t>
  </si>
  <si>
    <t xml:space="preserve">ASSAY: Xpert CT/NG, COUNT: 18
ASSAY: Xpert HPV, COUNT: 249
ASSAY: Xpert SARS-CoV-2, COUNT: 1281
ASSAY: Xpert SARS-CoV-2, COUNT: 2
</t>
  </si>
  <si>
    <t>GX4(10C)</t>
  </si>
  <si>
    <t>Installed sticker
Cleaned unit
Cleaned plunger rod,filter,icore,cartridge bay
Gathered reports
Test run unit</t>
  </si>
  <si>
    <t>https://www.jotform.com/uploads/macarewecare/222927978372067/5980113656839421485/5980113656839421485_signature_28.png</t>
  </si>
  <si>
    <t>Aldwin Kristofer M Orpilla</t>
  </si>
  <si>
    <t>https://www.jotform.com/uploads/macarewecare/222927978372067/5980113656839421485/5980113656839421485_signature_31.png</t>
  </si>
  <si>
    <t xml:space="preserve">ASSAY: Xpert MTB/RIF Ultra, COUNT: 2433
</t>
  </si>
  <si>
    <t>https://www.jotform.com/uploads/macarewecare/222927978372067/5980113346833882419/5980113346833882419_signature_28.png</t>
  </si>
  <si>
    <t>Noriel S.Ruiz</t>
  </si>
  <si>
    <t>https://www.jotform.com/uploads/macarewecare/222927978372067/5980113346833882419/5980113346833882419_signature_31.png</t>
  </si>
  <si>
    <t xml:space="preserve">ASSAY: Xpert CT/NG, COUNT: 2
ASSAY: Xpert MTB/RIF Ultra, COUNT: 195
ASSAY: Xpert SARS-CoV-2, COUNT: 186
</t>
  </si>
  <si>
    <t>https://www.jotform.com/uploads/macarewecare/222927978372067/5979838793128584426/5979838793128584426_signature_28.png</t>
  </si>
  <si>
    <t>Precision Santos</t>
  </si>
  <si>
    <t>https://www.jotform.com/uploads/macarewecare/222927978372067/5979838793128584426/5979838793128584426_signature_31.png</t>
  </si>
  <si>
    <t>Hospital drive Brgy San Vicente, Tarlac City</t>
  </si>
  <si>
    <t>https://www.jotform.com/uploads/macarewecare/222927978372067/5979838433123543443/5979838433123543443_signature_28.png</t>
  </si>
  <si>
    <t>https://www.jotform.com/uploads/macarewecare/222927978372067/5979838433123543443/5979838433123543443_signature_31.png</t>
  </si>
  <si>
    <t>Enduser advised to achieve optimal operating temperature when using the machine</t>
  </si>
  <si>
    <t>https://www.jotform.com/uploads/macarewecare/222927978372067/5979813572211215145/5979813572211215145_signature_28.png</t>
  </si>
  <si>
    <t>Marvielyn Lusica RMT</t>
  </si>
  <si>
    <t>https://www.jotform.com/uploads/macarewecare/222927978372067/5979813572211215145/5979813572211215145_signature_31.png</t>
  </si>
  <si>
    <t>Isu</t>
  </si>
  <si>
    <t>Gx4- 10C</t>
  </si>
  <si>
    <t>Installed:
Genexpert machine SN:110023520, with barcode and stand
CPU SN: CPH1023F47172
MONITOR SN: CN0WMYC5FCC0037KCL2XA05
UPS : Accupower 1000VA SN:AT1K231111ST0036
PRINTER SN: CN3B2431MH
Import Assay: MTB-ULTRA and Hiv Viral load</t>
  </si>
  <si>
    <t>All modules and accessories are functional</t>
  </si>
  <si>
    <t>https://www.jotform.com/uploads/macarewecare/222927978372067/5978960627148415812/5978960627148415812_signature_28.png</t>
  </si>
  <si>
    <t>NANCY A. MOSCOSO</t>
  </si>
  <si>
    <t>https://www.jotform.com/uploads/macarewecare/222927978372067/5978960627148415812/5978960627148415812_signature_31.png</t>
  </si>
  <si>
    <t>NAZARETH CAGAYAN DE ORO CITY</t>
  </si>
  <si>
    <t>SYSTEM UNIT DOES NOT FUNCTION</t>
  </si>
  <si>
    <t>https://www.jotform.com/uploads/macarewecare/222927978372067/5977993159123182807/5977993159123182807_signature_28.png</t>
  </si>
  <si>
    <t>https://www.jotform.com/uploads/macarewecare/222927978372067/5977993159123182807/5977993159123182807_signature_31.png</t>
  </si>
  <si>
    <t>Calamba Medical Centee</t>
  </si>
  <si>
    <t xml:space="preserve">ASSAY: Xpert HBV VL, COUNT: 55
ASSAY: Xpert HPV, COUNT: 30
ASSAY: Xpert MTB/RIF Ultra, COUNT: 682
</t>
  </si>
  <si>
    <t>https://www.jotform.com/uploads/macarewecare/222927978372067/5977836053202621064/5977836053202621064_signature_28.png</t>
  </si>
  <si>
    <t>Maria Niña Resurreccion</t>
  </si>
  <si>
    <t>https://www.jotform.com/uploads/macarewecare/222927978372067/5977836053202621064/5977836053202621064_signature_31.png</t>
  </si>
  <si>
    <t>Bagong Pag-asa Health Center</t>
  </si>
  <si>
    <t>Bagong Pag-asa, Quezon City</t>
  </si>
  <si>
    <t>louiseanntangolmontenegro@gmail.com</t>
  </si>
  <si>
    <t>Original CPU fixed
Back up CPU for pull out, original CPU for installation</t>
  </si>
  <si>
    <t>Pulled out back up CPU
Installed original CPU
Generated report</t>
  </si>
  <si>
    <t>Archived reports
Pulled out back up CPU
Setup original CPU</t>
  </si>
  <si>
    <t>Genexpert Desktop</t>
  </si>
  <si>
    <t>DR 11751</t>
  </si>
  <si>
    <t>https://www.jotform.com/uploads/macarewecare/222927978372067/5977784904119698471/5977784904119698471_signature_28.png</t>
  </si>
  <si>
    <t>Louise Ann Montenegro</t>
  </si>
  <si>
    <t>https://www.jotform.com/uploads/macarewecare/222927978372067/5977784904119698471/5977784904119698471_signature_31.png</t>
  </si>
  <si>
    <t>MAMBAJAO RURAL HEALTH UNIT</t>
  </si>
  <si>
    <t>MAMBAJAO, CAMUIGIN</t>
  </si>
  <si>
    <t>rhumambajaolaboratory@gmail.com</t>
  </si>
  <si>
    <t>https://www.jotform.com/uploads/macarewecare/222927978372067/5977137820216816042/5977137820216816042_signature_28.png</t>
  </si>
  <si>
    <t>MARJORIE OCLARIT</t>
  </si>
  <si>
    <t>https://www.jotform.com/uploads/macarewecare/222927978372067/5977137820216816042/5977137820216816042_signature_31.png</t>
  </si>
  <si>
    <t>North Ave., Diliman, Quezon City</t>
  </si>
  <si>
    <t xml:space="preserve">ASSAY: Xpert HBV VL, COUNT: 178
ASSAY: Xpert MTB/RIF Ultra, COUNT: 1304
ASSAY: Xpert SARS-CoV-2, COUNT: 110
ASSAY: Xpert HIV-1 Viral Load, COUNT: 16
</t>
  </si>
  <si>
    <t>GX modules defective
To perform additional troubleshooting from cepheid</t>
  </si>
  <si>
    <t>Performed preventive maintenance 
Performed additional troubleshooting 
Generated report</t>
  </si>
  <si>
    <t>Checked and cleaned cartridge bays, icore slot and filter 
Ping the IP address
Checked voltages, cables gateway board and grounding</t>
  </si>
  <si>
    <t>Desktop OK
GX modules defective</t>
  </si>
  <si>
    <t>with Maam Issa</t>
  </si>
  <si>
    <t>https://www.jotform.com/uploads/macarewecare/222927978372067/5976981603613322944/5976981603613322944_signature_28.png</t>
  </si>
  <si>
    <t>Gerard GhanivC. Sidic</t>
  </si>
  <si>
    <t>https://www.jotform.com/uploads/macarewecare/222927978372067/5976981603613322944/5976981603613322944_signature_31.png</t>
  </si>
  <si>
    <t>Module is installed and functional.</t>
  </si>
  <si>
    <t>https://www.jotform.com/uploads/macarewecare/222927978372067/5976962292167814497/5976962292167814497_signature_28.png</t>
  </si>
  <si>
    <t>Keisha Elezze C. Batalon</t>
  </si>
  <si>
    <t>https://www.jotform.com/uploads/macarewecare/222927978372067/5976962292167814497/5976962292167814497_signature_31.png</t>
  </si>
  <si>
    <t>Cong. Lamberto L. Macias Memorial Hospital</t>
  </si>
  <si>
    <t>Ppoblacion</t>
  </si>
  <si>
    <t>baldebrinmarquenicole@gmail.com</t>
  </si>
  <si>
    <t>.Due for Preventive Maintenance. 
.GX ID Installation.</t>
  </si>
  <si>
    <t>Perform Xpertcheck. 
Save IQR
Save Installation Qualification
Save GXC file</t>
  </si>
  <si>
    <t>.Module B1,B3 fail for XpertCheck
.Module B2, B4 passed for XpertCheck</t>
  </si>
  <si>
    <t>https://www.jotform.com/uploads/macarewecare/222927978372067/5976957448416963761/5976957448416963761_signature_28.png</t>
  </si>
  <si>
    <t>Marque Nicole M. Baldebrin</t>
  </si>
  <si>
    <t>https://www.jotform.com/uploads/macarewecare/222927978372067/5976957448416963761/5976957448416963761_signature_31.png</t>
  </si>
  <si>
    <t>Socorro Rural Health Center</t>
  </si>
  <si>
    <t>- Installation of New GeneXpert Machine (Gx-4 10 Colors) including accessories (Desktop, Monitor Display, Barcode scanner with stand, UPS, and printer)
- Performed end user training on GeneXpert operation, cleaning and basic troubleshooting.</t>
  </si>
  <si>
    <t>https://www.jotform.com/uploads/macarewecare/222927978372067/5976860093501571219/5976860093501571219_signature_28.png</t>
  </si>
  <si>
    <t>https://www.jotform.com/uploads/macarewecare/222927978372067/5976860093501571219/5976860093501571219_signature_31.png</t>
  </si>
  <si>
    <t>https://www.jotform.com/uploads/macarewecare/222927978372067/5976123152427754217/5976123152427754217_signature_28.png</t>
  </si>
  <si>
    <t>Ruth Rhoda Dalogdog</t>
  </si>
  <si>
    <t>https://www.jotform.com/uploads/macarewecare/222927978372067/5976123152427754217/5976123152427754217_signature_31.png</t>
  </si>
  <si>
    <t>City Health Office, City Hall Compound, Brgy. Washington, Surigao City</t>
  </si>
  <si>
    <t>jingnep@yahoo.com</t>
  </si>
  <si>
    <t>- Installation of New GeneXpert Machine (GX-4 10 Colors) including GeneXpert Desktop, Monitor Display, Barcode Scanner with Stand, UPS (ACCUPOWER 1000VA) and HP Printer
- Performed end user training on GeneXpert operation, cleaning and basic troubleshooting</t>
  </si>
  <si>
    <t>https://www.jotform.com/uploads/macarewecare/222927978372067/5976121342429306100/5976121342429306100_signature_28.png</t>
  </si>
  <si>
    <t>Jessica I. Nepomucino</t>
  </si>
  <si>
    <t>https://www.jotform.com/uploads/macarewecare/222927978372067/5976121342429306100/5976121342429306100_signature_31.png</t>
  </si>
  <si>
    <t>gprincessrona@yahoo.com</t>
  </si>
  <si>
    <t>https://www.jotform.com/uploads/macarewecare/222927978372067/5976080020412417269/5976080020412417269_signature_28.png</t>
  </si>
  <si>
    <t>Princess Geven</t>
  </si>
  <si>
    <t>https://www.jotform.com/uploads/macarewecare/222927978372067/5976080020412417269/5976080020412417269_signature_31.png</t>
  </si>
  <si>
    <t xml:space="preserve">ASSAY: Xpert MTB/RIF Ultra, COUNT: 1342
</t>
  </si>
  <si>
    <t>GxIV-6color</t>
  </si>
  <si>
    <t>Module 1 for Service Required due to multiple temperature error</t>
  </si>
  <si>
    <t>Genexpert machine Cleaning 
Perform XPC at module 1 for Troubleshooting
Genexpert errors/problem reporting 
Data collection</t>
  </si>
  <si>
    <t>https://www.jotform.com/uploads/macarewecare/222927978372067/5975975529418871368/5975975529418871368_signature_28.png</t>
  </si>
  <si>
    <t>GLADIOLA MARIE E. PELAEZ</t>
  </si>
  <si>
    <t>https://www.jotform.com/uploads/macarewecare/222927978372067/5975975529418871368/5975975529418871368_signature_31.png</t>
  </si>
  <si>
    <t>GxIV - 10C</t>
  </si>
  <si>
    <t>Installed:
Genexpert machine SN:110023524
CPU SN:CPH1023F46949 
Monitor SN:CN0WMYC5FCC00337KCK3XA05
UPS SN:AT1K231111ST0047
PRINTER SN:1001363852</t>
  </si>
  <si>
    <t>All Genexpert modules and accessories are functional</t>
  </si>
  <si>
    <t>https://www.jotform.com/uploads/macarewecare/222927978372067/5975960579417214081/5975960579417214081_signature_28.png</t>
  </si>
  <si>
    <t>Emelyn A. Cadiz, RMT</t>
  </si>
  <si>
    <t>https://www.jotform.com/uploads/macarewecare/222927978372067/5975960579417214081/5975960579417214081_signature_31.png</t>
  </si>
  <si>
    <t>https://www.jotform.com/uploads/macarewecare/222927978372067/5975347950019472668/5975347950019472668_signature_28.png</t>
  </si>
  <si>
    <t>Roda Flores</t>
  </si>
  <si>
    <t>https://www.jotform.com/uploads/macarewecare/222927978372067/5975347950019472668/5975347950019472668_signature_31.png</t>
  </si>
  <si>
    <t>https://www.jotform.com/uploads/macarewecare/222927978372067/5975346680019495663/5975346680019495663_signature_28.png</t>
  </si>
  <si>
    <t>https://www.jotform.com/uploads/macarewecare/222927978372067/5975346680019495663/5975346680019495663_signature_31.png</t>
  </si>
  <si>
    <t>P.16 Makilala Poblacion Makilala, Cotabato</t>
  </si>
  <si>
    <t>GX-IV 4D 10C</t>
  </si>
  <si>
    <t>For Installation of GeneXpert 10C Unit</t>
  </si>
  <si>
    <t>Making sure that the machine is correctly installed within acceptable temperature operating conditions.</t>
  </si>
  <si>
    <t>Perform Installation:
Installed the GeneXpert System
Installed the UPS with SN: AT1K231111ST0046
Installed the CPU System Unit with SN:CPH1023F47469
Installed the Monitor With SN: CN0WMYC5FCC0037KCLNXA05
Installed the Barcode Scanner with SN: 22355010554001
Installed the GX-IV 4D 10C with SN:110023521
Installed the Printer with SN: CN3B2431HT
Provide Basic Operation Training and Maintenance to Enduser upon turnover</t>
  </si>
  <si>
    <t>Successfully Installed the GX-IV 4d 10C UNOPS unit</t>
  </si>
  <si>
    <t>DR 11651</t>
  </si>
  <si>
    <t>https://www.jotform.com/uploads/macarewecare/222927978372067/5975236606127556257/5975236606127556257_signature_28.png</t>
  </si>
  <si>
    <t>Abegail Publico RMT</t>
  </si>
  <si>
    <t>https://www.jotform.com/uploads/macarewecare/222927978372067/5975236606127556257/5975236606127556257_signature_31.png</t>
  </si>
  <si>
    <t xml:space="preserve">ASSAY: Xpert BCR-ABL Ultra, COUNT: 15
ASSAY: Xpert CT/NG, COUNT: 56
ASSAY: Xpert HBV VL, COUNT: 7
ASSAY: Xpert HPV, COUNT: 64
ASSAY: Xpert MTB/RIF Ultra, COUNT: 137
ASSAY: Xpert HCV VL, COUNT: 4
ASSAY: Xpert HIV-1 Viral Load, COUNT: 4
</t>
  </si>
  <si>
    <t>For network switch disconnection</t>
  </si>
  <si>
    <t>Removed connection from network switch</t>
  </si>
  <si>
    <t>Removed connection from network switch 
Connected to separate CPU
Performed maintenance 
Cleaned:
-cartridge bay 
-plunger rod 
-icore
-filter
Generated reports</t>
  </si>
  <si>
    <t>https://www.jotform.com/uploads/macarewecare/222927978372067/5975230503615215595/5975230503615215595_signature_28.png</t>
  </si>
  <si>
    <t>Sapla Grace</t>
  </si>
  <si>
    <t>https://www.jotform.com/uploads/macarewecare/222927978372067/5975230503615215595/5975230503615215595_signature_31.png</t>
  </si>
  <si>
    <t>Rizal Dr. BGC, Taguig</t>
  </si>
  <si>
    <t>Setup</t>
  </si>
  <si>
    <t>Removed network switch connection</t>
  </si>
  <si>
    <t>Unit is operational. Module A4/210096427 reported already.</t>
  </si>
  <si>
    <t>https://www.jotform.com/uploads/macarewecare/222927978372067/5975230503617152608/5975230503617152608_signature_28.png</t>
  </si>
  <si>
    <t>Sapla, Grace</t>
  </si>
  <si>
    <t>https://www.jotform.com/uploads/macarewecare/222927978372067/5975230503617152608/5975230503617152608_signature_31.png</t>
  </si>
  <si>
    <t>Macare In-house</t>
  </si>
  <si>
    <t>Aurora Grand, Quezon City</t>
  </si>
  <si>
    <t>Macare</t>
  </si>
  <si>
    <t>CPU Not Booting.</t>
  </si>
  <si>
    <t>Checked Power Supply.
Replaced RAM.
Performed Functionality Test.</t>
  </si>
  <si>
    <t>CPU is Operational.</t>
  </si>
  <si>
    <t>CPU SN: CPH0520F08551</t>
  </si>
  <si>
    <t>https://www.jotform.com/uploads/macarewecare/222927978372067/5975217717119844113/5975217717119844113_signature_28.png</t>
  </si>
  <si>
    <t>https://www.jotform.com/uploads/macarewecare/222927978372067/5975217717119844113/5975217717119844113_signature_31.png</t>
  </si>
  <si>
    <t>covidlabjrrmc@gmail.com</t>
  </si>
  <si>
    <t xml:space="preserve">ASSAY: Xpert HPV, COUNT: 336
ASSAY: Xpert SARS-CoV-2, COUNT: 2297
</t>
  </si>
  <si>
    <t>Cleaned Cartridge Bay, Plunger Rod and Icore Optics.
Checked Filter if Clogged.
Performed Self-test.
Generate Reporta.</t>
  </si>
  <si>
    <t>https://www.jotform.com/uploads/macarewecare/222927978372067/5975214867111911697/5975214867111911697_signature_28.png</t>
  </si>
  <si>
    <t>https://www.jotform.com/uploads/macarewecare/222927978372067/5975214867111911697/5975214867111911697_signature_31.png</t>
  </si>
  <si>
    <t>Rodriguez St, Tunasan, Muntinlupa</t>
  </si>
  <si>
    <t>gigietan0911@gmail.com</t>
  </si>
  <si>
    <t xml:space="preserve">ASSAY: Xpert MTB/RIF Ultra, COUNT: 1973
ASSAY: Xpert HIV-1 Viral Load, COUNT: 257
</t>
  </si>
  <si>
    <t>Module 3 with 5007 Errors.</t>
  </si>
  <si>
    <t>Cleaned Cartridge Bay, Plunger Rod, and Icore Optics.
Checked Filter if Clogged.
Performed XpertCheck on Reported Module.
Performed Self-test.
Generate Reports.</t>
  </si>
  <si>
    <t>3 Modules are Operational. Module 3 Disabled and Failed in XpertCheck.</t>
  </si>
  <si>
    <t>B3/210100380 Service Required.</t>
  </si>
  <si>
    <t>https://www.jotform.com/uploads/macarewecare/222927978372067/5975214797118594797/5975214797118594797_signature_28.png</t>
  </si>
  <si>
    <t>Geraldine Trazo Tan</t>
  </si>
  <si>
    <t>https://www.jotform.com/uploads/macarewecare/222927978372067/5975214797118594797/5975214797118594797_signature_31.png</t>
  </si>
  <si>
    <t>Col P. Cruz, Taguig</t>
  </si>
  <si>
    <t>taguigclinicallaboratory@gmail.com</t>
  </si>
  <si>
    <t xml:space="preserve">ASSAY: Xpert MTB/RIF Ultra, COUNT: 4037
</t>
  </si>
  <si>
    <t>Module  3 with Temperature Error</t>
  </si>
  <si>
    <t>Cleaned Cartridge Bay, Plunger Rod, And Icore Optics.
Checked Filter if Clogged.
Generate Reports.
Performed Self-test.</t>
  </si>
  <si>
    <t>B3: 661374-&gt;723715</t>
  </si>
  <si>
    <t>https://www.jotform.com/uploads/macarewecare/222927978372067/5975214797119651168/5975214797119651168_signature_28.png</t>
  </si>
  <si>
    <t>https://www.jotform.com/uploads/macarewecare/222927978372067/5975214797119651168/5975214797119651168_signature_31.png</t>
  </si>
  <si>
    <t>De La Sall Health Sciences Institute</t>
  </si>
  <si>
    <t>Date and Time Problem in CPU.</t>
  </si>
  <si>
    <t>Troubleshoot.
Preventive Maintenance.</t>
  </si>
  <si>
    <t>Checked Bios Setup.
Replaced CMOS Battery.
Cleaned Cartridge Bay, Plunger Rod and Icore Optics.
Checked Filter if Clogged.
Generate Reports.
Performed Self-test.</t>
  </si>
  <si>
    <t>All Modules are Operational. CPU Problem Resolved.</t>
  </si>
  <si>
    <t>https://www.jotform.com/uploads/macarewecare/222927978372067/5975214797111302112/5975214797111302112_signature_28.png</t>
  </si>
  <si>
    <t>Chlorish Ann Villete</t>
  </si>
  <si>
    <t>https://www.jotform.com/uploads/macarewecare/222927978372067/5975214797111302112/5975214797111302112_signature_31.png</t>
  </si>
  <si>
    <t>Bacoor Rural Health Unit II (Panapaan HC)</t>
  </si>
  <si>
    <t>Floraville Subd, Panapaan,Bacoor</t>
  </si>
  <si>
    <t>tobiasmariacecila@gmail.com</t>
  </si>
  <si>
    <t xml:space="preserve">ASSAY: Xpert MTB/RIF Ultra, COUNT: 3066
ASSAY: Xpert HIV-1 Viral Load, COUNT: 144
</t>
  </si>
  <si>
    <t>Cleaned Cartridge Bay, Plunger Rod and Icore Optics.
Checked Filter if Clogged.
Performed Self-test.
Performed XpertCheck.
Generate Reports</t>
  </si>
  <si>
    <t>1 Module Disabled. 3 are Operationals.</t>
  </si>
  <si>
    <t>1-Service Required, 2- Pass with Error, 3- Pass,4-Newly Replaced</t>
  </si>
  <si>
    <t>https://www.jotform.com/uploads/macarewecare/222927978372067/5975214797112046141/5975214797112046141_signature_28.png</t>
  </si>
  <si>
    <t>Maria Cecila Tobias</t>
  </si>
  <si>
    <t>https://www.jotform.com/uploads/macarewecare/222927978372067/5975214797112046141/5975214797112046141_signature_31.png</t>
  </si>
  <si>
    <t xml:space="preserve">ASSAY: Xpert MTB/RIF Ultra, COUNT: 730
ASSAY: Xpert SARS-CoV-2, COUNT: 235
</t>
  </si>
  <si>
    <t>1 Module with Error, 3 Module are Operational.</t>
  </si>
  <si>
    <t>B1/210069526 for Reporting.</t>
  </si>
  <si>
    <t>https://www.jotform.com/uploads/macarewecare/222927978372067/5975214797119599209/5975214797119599209_signature_28.png</t>
  </si>
  <si>
    <t>https://www.jotform.com/uploads/macarewecare/222927978372067/5975214797119599209/5975214797119599209_signature_31.png</t>
  </si>
  <si>
    <t>Heat Sink not installed in CPU error.</t>
  </si>
  <si>
    <t>Troubleshooting of cpu error and found heat sink clip not in contact. (Should solderized)</t>
  </si>
  <si>
    <t>Installation of GeneXpert 10C and its peripherals</t>
  </si>
  <si>
    <t>CPU prior for replacement or to be solderized</t>
  </si>
  <si>
    <t>https://www.jotform.com/uploads/macarewecare/222927978372067/5974471084276101128/5974471084276101128_signature_28.png</t>
  </si>
  <si>
    <t>Jessica I. Nepomuceno</t>
  </si>
  <si>
    <t>https://www.jotform.com/uploads/macarewecare/222927978372067/5974471084276101128/5974471084276101128_signature_31.png</t>
  </si>
  <si>
    <t>Poblacion South, Piñan</t>
  </si>
  <si>
    <t>New Installation Genexpert
Basic training end user on operating and maintenace</t>
  </si>
  <si>
    <t>New Installation Genexpert.
Basic training end user on operating and maintenaceNew Installation.</t>
  </si>
  <si>
    <t>https://www.jotform.com/uploads/macarewecare/222927978372067/5974428402315766858/5974428402315766858_signature_28.png</t>
  </si>
  <si>
    <t>https://www.jotform.com/uploads/macarewecare/222927978372067/5974428402315766858/5974428402315766858_signature_31.png</t>
  </si>
  <si>
    <t>1005 Aurora Grand Aurora blvd.</t>
  </si>
  <si>
    <t>Dell Optiplex XE2</t>
  </si>
  <si>
    <t>CPU for repair</t>
  </si>
  <si>
    <t>Reformat CPU 
Installed GXDX
Test run unit</t>
  </si>
  <si>
    <t>https://www.jotform.com/uploads/macarewecare/222927978372067/5974385403618845324/5974385403618845324_signature_28.png</t>
  </si>
  <si>
    <t>https://www.jotform.com/uploads/macarewecare/222927978372067/5974385403618845324/5974385403618845324_signature_31.png</t>
  </si>
  <si>
    <t>As per end user they reddish collection in upp.</t>
  </si>
  <si>
    <t>Checked program parameters
Checked and adjust line sensor value.
Ajust bowl optics value 25 and 2800
Checked rollers,dpm,spm,centrifuge,weigher
Performed functionality test
Performed simulation running</t>
  </si>
  <si>
    <t>https://www.jotform.com/uploads/macarewecare/222927978372067/5974353683611371771/5974353683611371771_signature_28.png</t>
  </si>
  <si>
    <t>https://www.jotform.com/uploads/macarewecare/222927978372067/5974353683611371771/5974353683611371771_signature_31.png</t>
  </si>
  <si>
    <t>East Ave., QC</t>
  </si>
  <si>
    <t>DPM is out of tolerance.</t>
  </si>
  <si>
    <t>Performed troubleshooting on DPM.
Performed functionality test.</t>
  </si>
  <si>
    <t>1. Checked and calibrate DPM parameteer.
2. Run simulation and functionality test.</t>
  </si>
  <si>
    <t>https://www.jotform.com/uploads/macarewecare/222927978372067/5971851408323650224/5971851408323650224_signature_28.png</t>
  </si>
  <si>
    <t>Lian</t>
  </si>
  <si>
    <t>https://www.jotform.com/uploads/macarewecare/222927978372067/5971851408323650224/5971851408323650224_signature_31.png</t>
  </si>
  <si>
    <t xml:space="preserve">ASSAY: Xpert HPV, COUNT: 59
ASSAY: Xpert MTB/RIF Ultra, COUNT: 3056
ASSAY: Xpert HIV-1 Viral Load, COUNT: 472
</t>
  </si>
  <si>
    <t>-Preventive Maintenance
-Upgrade XpertCheck software to 1.5b</t>
  </si>
  <si>
    <t>Machine is operational. Module B4 still disabled; waiting for allocation.</t>
  </si>
  <si>
    <t>https://www.jotform.com/uploads/macarewecare/222927978372067/5971811165244012613/5971811165244012613_signature_28.png</t>
  </si>
  <si>
    <t>Jogeveve Alforque</t>
  </si>
  <si>
    <t>https://www.jotform.com/uploads/macarewecare/222927978372067/5971811165244012613/5971811165244012613_signature_31.png</t>
  </si>
  <si>
    <t xml:space="preserve">ASSAY: Xpert HPV, COUNT: 35
ASSAY: Xpert MTB/RIF Ultra, COUNT: 2917
ASSAY: Xpert HIV-1 Viral Load, COUNT: 398
</t>
  </si>
  <si>
    <t>6C GVI-4D</t>
  </si>
  <si>
    <t>https://www.jotform.com/uploads/macarewecare/222927978372067/5971811165244467505/5971811165244467505_signature_28.png</t>
  </si>
  <si>
    <t>https://www.jotform.com/uploads/macarewecare/222927978372067/5971811165244467505/5971811165244467505_signature_31.png</t>
  </si>
  <si>
    <t>Candelaria Rural Health Unit</t>
  </si>
  <si>
    <t>Candelaria, Quezon</t>
  </si>
  <si>
    <t>shirleyzrubz@gmail.com</t>
  </si>
  <si>
    <t xml:space="preserve">ASSAY: Xpert MTB/RIF Ultra, COUNT: 2259
ASSAY: Xpert HIV-1 Viral Load, COUNT: 107
</t>
  </si>
  <si>
    <t>GX IV 6C D</t>
  </si>
  <si>
    <t>Back Up laptop for installation while waiting for CPU
Unit due for Calibration</t>
  </si>
  <si>
    <t>Installed backup laptop
Performed preventive maintenance 
Performed Xpertcheck 
Generated report</t>
  </si>
  <si>
    <t>Installed back up laptop
Checked and cleaned cartridge bays, plunger rod, icore slot and filter 
Performed Xpertcheck 
D1: Passed
D2: Failed
D3: Passed
D4: Passed</t>
  </si>
  <si>
    <t>Unit is operational 
Module D2 for reporting</t>
  </si>
  <si>
    <t>jotform error. Service done on 07/12/24</t>
  </si>
  <si>
    <t>Bakcup laptop (Lenovo)
Xpertcheck kit</t>
  </si>
  <si>
    <t>G7090</t>
  </si>
  <si>
    <t>https://www.jotform.com/uploads/macarewecare/222927978372067/5971787153617243218/5971787153617243218_signature_28.png</t>
  </si>
  <si>
    <t>Shirley Dollente</t>
  </si>
  <si>
    <t>https://www.jotform.com/uploads/macarewecare/222927978372067/5971787153617243218/5971787153617243218_signature_31.png</t>
  </si>
  <si>
    <t>Macalelon Rural Health Unit</t>
  </si>
  <si>
    <t>Macalelon, Quezon Province</t>
  </si>
  <si>
    <t>cheyster7388@gmail.com</t>
  </si>
  <si>
    <t xml:space="preserve">ASSAY: Xpert HPV, COUNT: 74
ASSAY: Xpert MTB/RIF Ultra, COUNT: 394
</t>
  </si>
  <si>
    <t>Unit is operational 
Module A4 for reporting</t>
  </si>
  <si>
    <t>Jotform error. Service done on 7/11/24</t>
  </si>
  <si>
    <t>https://www.jotform.com/uploads/macarewecare/222927978372067/5971779143618060404/5971779143618060404_signature_28.png</t>
  </si>
  <si>
    <t>Cheysrter O. Agustin</t>
  </si>
  <si>
    <t>https://www.jotform.com/uploads/macarewecare/222927978372067/5971779143618060404/5971779143618060404_signature_31.png</t>
  </si>
  <si>
    <t>- Install Genexpert machine SN: 110023515
- CPU SN:CPH1023F47168
- Monitor SN:CN0WMYC5FCC0037KCLJXA05
- UPS SN:AT1K231111ST0005
- Printer SN:CN3B2431VN</t>
  </si>
  <si>
    <t>Cuyegkeng Health Center</t>
  </si>
  <si>
    <t>Cuyegkeng, Pasay</t>
  </si>
  <si>
    <t>demlhc.pasay@gmail.com</t>
  </si>
  <si>
    <t xml:space="preserve">ASSAY: Xpert MTB/RIF Ultra, COUNT: 1371
</t>
  </si>
  <si>
    <t>Performed preventive maintenance 
Installed ups
Generated report</t>
  </si>
  <si>
    <t>Checked and cleaned cartridge bays, plunger rod, icore slot and filter 
Checked ups
Replaced ups</t>
  </si>
  <si>
    <t>Jotform error. Service made on 07/09/2024</t>
  </si>
  <si>
    <t>https://www.jotform.com/uploads/macarewecare/222927978372067/5971704493613987434/5971704493613987434_signature_28.png</t>
  </si>
  <si>
    <t>Loraine Cosico</t>
  </si>
  <si>
    <t>https://www.jotform.com/uploads/macarewecare/222927978372067/5971704493613987434/5971704493613987434_signature_31.png</t>
  </si>
  <si>
    <t>AFPMC AFRIMS</t>
  </si>
  <si>
    <t xml:space="preserve">ASSAY: Xpert HBV VL, COUNT: 57
ASSAY: Xpert MTB/RIF Ultra, COUNT: 717
ASSAY: Xpert SARS-CoV-2, COUNT: 969
ASSAY: Xpert HCV VL, COUNT: 40
ASSAY: Xpert HIV-1 Viral Load, COUNT: 45
ASSAY: Xpert HIV-1 Viral Load, COUNT: 88
</t>
  </si>
  <si>
    <t>Performed preventive maintenance 
Performed reliability test 
B3 for reporting
Generated report</t>
  </si>
  <si>
    <t>Checked and cleaned cartridge bays, plunger rod, icore slot and filter 
Performed reliability test 
All modules passed reliability test
Module B3 system log frequent error 2014</t>
  </si>
  <si>
    <t>Unit is operational 
B3 for reporting</t>
  </si>
  <si>
    <t>https://www.jotform.com/uploads/macarewecare/222927978372067/5970983670578333221/5970983670578333221_signature_28.png</t>
  </si>
  <si>
    <t>https://www.jotform.com/uploads/macarewecare/222927978372067/5970983670578333221/5970983670578333221_signature_31.png</t>
  </si>
  <si>
    <t>carmenhealthcenterlab@gmail.com</t>
  </si>
  <si>
    <t>1 module found error in temperature (B2) while 1 module for observation.
2 modules are working and functional</t>
  </si>
  <si>
    <t>Preventive Maintenance and Data Gathering</t>
  </si>
  <si>
    <t>2 modules for observation
2 modules are working and functional
All units are functional</t>
  </si>
  <si>
    <t>https://www.jotform.com/uploads/macarewecare/222927978372067/5970963228102420918/5970963228102420918_signature_28.png</t>
  </si>
  <si>
    <t>https://www.jotform.com/uploads/macarewecare/222927978372067/5970963228102420918/5970963228102420918_signature_31.png</t>
  </si>
  <si>
    <t>Modules B1, B4 for replacement</t>
  </si>
  <si>
    <t>Replaced B1, B4</t>
  </si>
  <si>
    <t>Unit is operational
All modules functio al</t>
  </si>
  <si>
    <t>GeneXpert Module 
SN: 912409, 912371</t>
  </si>
  <si>
    <t>https://www.jotform.com/uploads/macarewecare/222927978372067/5970942554026637008/5970942554026637008_signature_28.png</t>
  </si>
  <si>
    <t>Osang Comedador</t>
  </si>
  <si>
    <t>https://www.jotform.com/uploads/macarewecare/222927978372067/5970942554026637008/5970942554026637008_signature_31.png</t>
  </si>
  <si>
    <t>https://www.jotform.com/uploads/macarewecare/222927978372067/5970912490725064479/5970912490725064479_signature_28.png</t>
  </si>
  <si>
    <t>https://www.jotform.com/uploads/macarewecare/222927978372067/5970912490725064479/5970912490725064479_signature_31.png</t>
  </si>
  <si>
    <t>blood.bank@makatimed.net.ph</t>
  </si>
  <si>
    <t>Due for maintenance and Calibration</t>
  </si>
  <si>
    <t>Cleaned unit
Checked program parameters
Checked and adjust line sensor value
Replaced rollers
Checked rollers,dpm,spm,centrifuge,weigher
Performed functionality test
Performed simulation running</t>
  </si>
  <si>
    <t>Performed maintenance and Calibration</t>
  </si>
  <si>
    <t>https://www.jotform.com/uploads/macarewecare/222927978372067/5970904771218245951/5970904771218245951_signature_28.png</t>
  </si>
  <si>
    <t>Makati Medical Center - Blood Bank and Transfusion Services</t>
  </si>
  <si>
    <t>https://www.jotform.com/uploads/macarewecare/222927978372067/5970904771218245951/5970904771218245951_signature_31.png</t>
  </si>
  <si>
    <t>Camus St. Corner E. Quirino Davao City</t>
  </si>
  <si>
    <t xml:space="preserve">ASSAY: Xpert MTB/RIF Ultra, COUNT: 580
</t>
  </si>
  <si>
    <t>Clean Surface Area, Cartridge Bay, Plunger Rod, Fan Filters and Icore Lenses.
Generate IQR, Assay Stat and System Log
Archived Data test results</t>
  </si>
  <si>
    <t>Only Three Modules are operational, Module 2 disabled due to multiple temperature related errors ; Waiting for parts from Cepheid</t>
  </si>
  <si>
    <t>https://www.jotform.com/uploads/macarewecare/222927978372067/5970885801817716488/5970885801817716488_signature_28.png</t>
  </si>
  <si>
    <t>Arleen P. Alconera RMT</t>
  </si>
  <si>
    <t>https://www.jotform.com/uploads/macarewecare/222927978372067/5970885801817716488/5970885801817716488_signature_31.png</t>
  </si>
  <si>
    <t>https://www.jotform.com/uploads/macarewecare/222927978372067/5970852111212708210/5970852111212708210_signature_28.png</t>
  </si>
  <si>
    <t>https://www.jotform.com/uploads/macarewecare/222927978372067/5970852111212708210/5970852111212708210_signature_31.png</t>
  </si>
  <si>
    <t xml:space="preserve">ASSAY: Xpert CT/NG, COUNT: 7
ASSAY: Xpert HIV-1 Viral Load, COUNT: 800
</t>
  </si>
  <si>
    <t>Unit is operational. Modules A1/733228, A2/734493 and A4/804598 not operational, reported already.</t>
  </si>
  <si>
    <t>https://www.jotform.com/uploads/macarewecare/222927978372067/5970124773612057485/5970124773612057485_signature_28.png</t>
  </si>
  <si>
    <t>https://www.jotform.com/uploads/macarewecare/222927978372067/5970124773612057485/5970124773612057485_signature_31.png</t>
  </si>
  <si>
    <t xml:space="preserve">ASSAY: Xpert MTB/RIF Ultra, COUNT: 1733
</t>
  </si>
  <si>
    <t>Lost Communication at Module 1 only
Due for Preventive Maintenance</t>
  </si>
  <si>
    <t>Clean Surface Area, Cartridge Bay, Plunger Rod, Fan Filters and Icore Lenses
Reset Gateway Board and GeneXpert Connections 
Generate IQR, Assay Stat and System Log
Archived Data test results</t>
  </si>
  <si>
    <t>https://www.jotform.com/uploads/macarewecare/222927978372067/5970033701069968649/5970033701069968649_signature_28.png</t>
  </si>
  <si>
    <t>https://www.jotform.com/uploads/macarewecare/222927978372067/5970033701069968649/5970033701069968649_signature_31.png</t>
  </si>
  <si>
    <t>khizajesseltimo@gmail.com</t>
  </si>
  <si>
    <t>https://www.jotform.com/uploads/macarewecare/222927978372067/5969953170497437899/5969953170497437899_signature_28.png</t>
  </si>
  <si>
    <t>Khiza Jessel Timo</t>
  </si>
  <si>
    <t>https://www.jotform.com/uploads/macarewecare/222927978372067/5969953170497437899/5969953170497437899_signature_31.png</t>
  </si>
  <si>
    <t>B1 found Service Required from XpertCheck Calibration</t>
  </si>
  <si>
    <t>3 modules working, 1 module for replacement (service required)</t>
  </si>
  <si>
    <t>https://www.jotform.com/uploads/macarewecare/222927978372067/5969527586226222207/5969527586226222207_signature_28.png</t>
  </si>
  <si>
    <t>Michelle Therese Cruz</t>
  </si>
  <si>
    <t>https://www.jotform.com/uploads/macarewecare/222927978372067/5969527586226222207/5969527586226222207_signature_31.png</t>
  </si>
  <si>
    <t xml:space="preserve">ASSAY: Xpert MTB/RIF Ultra, COUNT: 760
</t>
  </si>
  <si>
    <t>https://www.jotform.com/uploads/macarewecare/222927978372067/5969340160257101465/5969340160257101465_signature_28.png</t>
  </si>
  <si>
    <t>https://www.jotform.com/uploads/macarewecare/222927978372067/5969340160257101465/5969340160257101465_signature_31.png</t>
  </si>
  <si>
    <t>Antipolo, Rizal</t>
  </si>
  <si>
    <t xml:space="preserve">ASSAY: Xpert HBV VL, COUNT: 10
ASSAY: Xpert HPV, COUNT: 1
ASSAY: Xpert MTB/RIF Ultra, COUNT: 210
ASSAY: Xpert HIV-1 Viral Load, COUNT: 14
</t>
  </si>
  <si>
    <t>https://www.jotform.com/uploads/macarewecare/222927978372067/5969221611076699381/5969221611076699381_signature_28.png</t>
  </si>
  <si>
    <t>https://www.jotform.com/uploads/macarewecare/222927978372067/5969221611076699381/5969221611076699381_signature_31.png</t>
  </si>
  <si>
    <t>1005 Aurora Blvd, Project 3, Quezon City</t>
  </si>
  <si>
    <t>macarewecare@gmail.com</t>
  </si>
  <si>
    <t>HP Z240</t>
  </si>
  <si>
    <t>2UA8471VRW</t>
  </si>
  <si>
    <t>Unit for repair</t>
  </si>
  <si>
    <t>Reapair CPU</t>
  </si>
  <si>
    <t>Reaired Unit
Performed Functionality test</t>
  </si>
  <si>
    <t>https://www.jotform.com/uploads/macarewecare/222927978372067/5969221063613289633/5969221063613289633_signature_28.png</t>
  </si>
  <si>
    <t>Macare in-House</t>
  </si>
  <si>
    <t>https://www.jotform.com/uploads/macarewecare/222927978372067/5969221063613289633/5969221063613289633_signature_31.png</t>
  </si>
  <si>
    <t>Tacurong City Health Office</t>
  </si>
  <si>
    <t>cho_clinlab@yahoo.com</t>
  </si>
  <si>
    <t>Gx-IV (6-color)</t>
  </si>
  <si>
    <t>Replace defective module 4 SN:894007 with new module SN: 759943
Genexpert machine Cleaning/preventive maintenance 
Checking of errors 
Data collection</t>
  </si>
  <si>
    <t>Perform Genexpert machine module replacement/repair 
Perform Genexpert machine Preventive maintenance</t>
  </si>
  <si>
    <t>Genexpert module 6-color</t>
  </si>
  <si>
    <t>Cepheid case: 1566169/1566629</t>
  </si>
  <si>
    <t>https://www.jotform.com/uploads/macarewecare/222927978372067/5969106149495254046/5969106149495254046_signature_28.png</t>
  </si>
  <si>
    <t>CHERLYN A. BOLA</t>
  </si>
  <si>
    <t>https://www.jotform.com/uploads/macarewecare/222927978372067/5969106149495254046/5969106149495254046_signature_31.png</t>
  </si>
  <si>
    <t>CPU won't turn on
Defective Monitor (Glitching)</t>
  </si>
  <si>
    <t>Re-seating and Cleaning of the RAM in CPU
Changing CMOS Battery
Replacing Old Monitor (CNK9430B95) to Tablon Health Center Monitor Unit (CNK9430C26)
Preventive Maintenance</t>
  </si>
  <si>
    <t>https://www.jotform.com/uploads/macarewecare/222927978372067/5969083110499377221/5969083110499377221_signature_28.png</t>
  </si>
  <si>
    <t>https://www.jotform.com/uploads/macarewecare/222927978372067/5969083110499377221/5969083110499377221_signature_31.png</t>
  </si>
  <si>
    <t>Lingayen Rural Health Unit 2</t>
  </si>
  <si>
    <t>Lingayen Pangasinan</t>
  </si>
  <si>
    <t>michelledoriarmt@gmail.com</t>
  </si>
  <si>
    <t>B1:784881
B2:785081
For module replacement</t>
  </si>
  <si>
    <t>Unit is operational 
B1: 702701 new module 
B2: 706465 new module</t>
  </si>
  <si>
    <t>2 Genexpert module</t>
  </si>
  <si>
    <t>https://www.jotform.com/uploads/macarewecare/222927978372067/5969004140119487511/5969004140119487511_signature_28.png</t>
  </si>
  <si>
    <t>Glady DG. Urbano</t>
  </si>
  <si>
    <t>https://www.jotform.com/uploads/macarewecare/222927978372067/5969004140119487511/5969004140119487511_signature_31.png</t>
  </si>
  <si>
    <t>Hi-precision Diagnostics</t>
  </si>
  <si>
    <t>N.S. Amoranto St. Quezon City</t>
  </si>
  <si>
    <t xml:space="preserve">ASSAY: Xpert BCR-ABL Ultra, COUNT: 127
ASSAY: Xpert HPV, COUNT: 16
ASSAY: Xpert MTB/RIF Ultra, COUNT: 6523
</t>
  </si>
  <si>
    <t>Module B4 has error 5007</t>
  </si>
  <si>
    <t>Unit is operational. Module B4 is operational but under observation.</t>
  </si>
  <si>
    <t>https://www.jotform.com/uploads/macarewecare/222927978372067/5968429193614743863/5968429193614743863_signature_28.png</t>
  </si>
  <si>
    <t>https://www.jotform.com/uploads/macarewecare/222927978372067/5968429193614743863/5968429193614743863_signature_31.png</t>
  </si>
  <si>
    <t xml:space="preserve">ASSAY: Xpert BCR-ABL Ultra, COUNT: 13
ASSAY: Xpert CT/NG, COUNT: 103
ASSAY: Xpert HPV, COUNT: 2
ASSAY: Xpert MTB/RIF Ultra, COUNT: 7304
</t>
  </si>
  <si>
    <t>https://www.jotform.com/uploads/macarewecare/222927978372067/5968429193618805609/5968429193618805609_signature_28.png</t>
  </si>
  <si>
    <t>https://www.jotform.com/uploads/macarewecare/222927978372067/5968429193618805609/5968429193618805609_signature_31.png</t>
  </si>
  <si>
    <t xml:space="preserve">ASSAY: Xpert MTB/RIF Ultra, COUNT: 609
</t>
  </si>
  <si>
    <t>https://www.jotform.com/uploads/macarewecare/222927978372067/5968287747389401742/5968287747389401742_signature_28.png</t>
  </si>
  <si>
    <t>https://www.jotform.com/uploads/macarewecare/222927978372067/5968287747389401742/5968287747389401742_signature_31.png</t>
  </si>
  <si>
    <t>Pamplona Uno Health Center</t>
  </si>
  <si>
    <t>Alabang-Zapote Road, Pamplona Uno, Las Piñas</t>
  </si>
  <si>
    <t>carolinevecino5821@gmail.com</t>
  </si>
  <si>
    <t xml:space="preserve">ASSAY: Xpert MTB/RIF Ultra, COUNT: 1332
</t>
  </si>
  <si>
    <t>Module 1 Service Required in XpertCheck.</t>
  </si>
  <si>
    <t>Module Replacemet.</t>
  </si>
  <si>
    <t>Cleaned Cartridge Bay, Plunger Rod and Icore Optics.
Checked Filter if Clogged.
Replaced Module 1.
Generate Reports.</t>
  </si>
  <si>
    <t>B4 for Reporting.</t>
  </si>
  <si>
    <t>B1: 657495 -&gt; 761378</t>
  </si>
  <si>
    <t>https://www.jotform.com/uploads/macarewecare/222927978372067/5968134333614850449/5968134333614850449_signature_28.png</t>
  </si>
  <si>
    <t>Caroline R. Vecino</t>
  </si>
  <si>
    <t>https://www.jotform.com/uploads/macarewecare/222927978372067/5968134333614850449/5968134333614850449_signature_31.png</t>
  </si>
  <si>
    <t>Manito Rural Health Unit</t>
  </si>
  <si>
    <t>Manito, Albay</t>
  </si>
  <si>
    <t>rhumanito40@gmail.com</t>
  </si>
  <si>
    <t xml:space="preserve">ASSAY: Xpert MTB/RIF Ultra, COUNT: 3027
</t>
  </si>
  <si>
    <t>B3/600725 for module replacement 
CPU not powering On</t>
  </si>
  <si>
    <t>Replaced module: B3 - 600725&gt;&gt;210068327
Cleaned cartridge bays, plunger rod, icore
Generate reports 
CPU
   cleaned and Reset RAM
   moved RAM to different slot
   Replaced power cord
   Checked UPS power output going to CPU
   plugged CPU directly to AC source
   checked CPU power button</t>
  </si>
  <si>
    <t>Replaced B3/600725 module
Performed Troubleshooting</t>
  </si>
  <si>
    <t>Unit is Operational 
CPU not powering On(needs several attempt of plugged and unplugged from power source)</t>
  </si>
  <si>
    <t>CPU request for replacement</t>
  </si>
  <si>
    <t>https://www.jotform.com/uploads/macarewecare/222927978372067/5966797085816978248/5966797085816978248_signature_28.png</t>
  </si>
  <si>
    <t>Hael Lachet L. Germones</t>
  </si>
  <si>
    <t>https://www.jotform.com/uploads/macarewecare/222927978372067/5966797085816978248/5966797085816978248_signature_31.png</t>
  </si>
  <si>
    <t>Concepcion, Naga City</t>
  </si>
  <si>
    <t>Bacteriology Laboratory</t>
  </si>
  <si>
    <t>nacariorosalie1@gmail.com</t>
  </si>
  <si>
    <t xml:space="preserve">ASSAY: Xpert CT/NG, COUNT: 4
ASSAY: Xpert HPV, COUNT: 1320
ASSAY: Xpert MTB/RIF Ultra, COUNT: 7478
ASSAY: Xpert SARS-CoV-2, COUNT: 1641
ASSAY: Xpert HIV-1 Viral Load, COUNT: 833
ASSAY: Others, COUNT: 372
</t>
  </si>
  <si>
    <t>A1/885370 for module replacement (service required in Calibration)</t>
  </si>
  <si>
    <t>Replaced Module: A1 - 885370&gt;&gt;739879
Cleaned cartridge bays, plunger, fan
Generate report</t>
  </si>
  <si>
    <t>Replaced Module A1/885370
Performed Preventive Maintenance</t>
  </si>
  <si>
    <t>https://www.jotform.com/uploads/macarewecare/222927978372067/5966789545811170171/5966789545811170171_signature_28.png</t>
  </si>
  <si>
    <t>Rosalie Nacario, RMT</t>
  </si>
  <si>
    <t>https://www.jotform.com/uploads/macarewecare/222927978372067/5966789545811170171/5966789545811170171_signature_31.png</t>
  </si>
  <si>
    <t>Jose Panganiban Rural Health Unit</t>
  </si>
  <si>
    <t>South Poblacion, Jose Panganiban</t>
  </si>
  <si>
    <t>materesitaperes1@gmail.com</t>
  </si>
  <si>
    <t xml:space="preserve">ASSAY: Xpert MTB/RIF Ultra, COUNT: 2030
</t>
  </si>
  <si>
    <t>Module B1/667807 - temperature Error, for module replacement</t>
  </si>
  <si>
    <t>Module replaced: B1/667807&gt;&gt;683577
Cleaned cartridge bays, plunger rod, icore 
Replaced filter
Generate report</t>
  </si>
  <si>
    <t>Replaced module B1/667807
Performed Preventive Maintenance</t>
  </si>
  <si>
    <t>https://www.jotform.com/uploads/macarewecare/222927978372067/5966787045813821791/5966787045813821791_signature_28.png</t>
  </si>
  <si>
    <t>Ma. teresita G. Peres</t>
  </si>
  <si>
    <t>https://www.jotform.com/uploads/macarewecare/222927978372067/5966787045813821791/5966787045813821791_signature_31.png</t>
  </si>
  <si>
    <t>BRTTH Compound, Legazpi City, Albay</t>
  </si>
  <si>
    <t xml:space="preserve">ASSAY: Others, COUNT: 723
</t>
  </si>
  <si>
    <t>Cleaned cartridge bays, plunger rod, icore 
Generate reports</t>
  </si>
  <si>
    <t>https://www.jotform.com/uploads/macarewecare/222927978372067/5966780545813904706/5966780545813904706_signature_28.png</t>
  </si>
  <si>
    <t>https://www.jotform.com/uploads/macarewecare/222927978372067/5966780545813904706/5966780545813904706_signature_31.png</t>
  </si>
  <si>
    <t xml:space="preserve">ASSAY: Xpert HPV, COUNT: 347
ASSAY: Xpert MTB/RIF Ultra, COUNT: 2125
ASSAY: Xpert HIV-1 Viral Load, COUNT: 547
</t>
  </si>
  <si>
    <t>B4/644565 for module replacement</t>
  </si>
  <si>
    <t>Replaced module: B4 - 644565&gt;&gt;684259
Cleaned cartridge bays, plunger rod, icore
Generate reports</t>
  </si>
  <si>
    <t>Replaced B4/644565 module</t>
  </si>
  <si>
    <t>https://www.jotform.com/uploads/macarewecare/222927978372067/5966778915816231352/5966778915816231352_signature_28.png</t>
  </si>
  <si>
    <t>richard alzaga</t>
  </si>
  <si>
    <t>https://www.jotform.com/uploads/macarewecare/222927978372067/5966778915816231352/5966778915816231352_signature_31.png</t>
  </si>
  <si>
    <t>Sta. Rosa City Health Office 1</t>
  </si>
  <si>
    <t>2nd Floor Clinical Laboratory, City Health Office Building B, City Goverment Compound, Rizal Boulevard, Brgy. Market Area, City of Sta. Rosa Laguna</t>
  </si>
  <si>
    <t>Peformed installation of GeneXpert System.
Generated reports</t>
  </si>
  <si>
    <t>https://www.jotform.com/uploads/macarewecare/222927978372067/5965737779213351041/5965737779213351041_signature_28.png</t>
  </si>
  <si>
    <t>ALONA NINA L. ALVARO</t>
  </si>
  <si>
    <t>https://www.jotform.com/uploads/macarewecare/222927978372067/5965737779213351041/5965737779213351041_signature_31.png</t>
  </si>
  <si>
    <t>San Pedro City Health Office 1</t>
  </si>
  <si>
    <t>San Pedro Laguna</t>
  </si>
  <si>
    <t>venerdantos0425@gmail.com</t>
  </si>
  <si>
    <t xml:space="preserve">ASSAY: Xpert HPV, COUNT: 62
ASSAY: Xpert MTB/RIF Ultra, COUNT: 2120
</t>
  </si>
  <si>
    <t>Unit for PM.
For module replacement of module A2.</t>
  </si>
  <si>
    <t>PM and module replacement.</t>
  </si>
  <si>
    <t>GX module A2 (604063) in replacement to def. A2 (678381).</t>
  </si>
  <si>
    <t>https://www.jotform.com/uploads/macarewecare/222927978372067/5965737779214152447/5965737779214152447_signature_28.png</t>
  </si>
  <si>
    <t>Vener R. Santos</t>
  </si>
  <si>
    <t>https://www.jotform.com/uploads/macarewecare/222927978372067/5965737779214152447/5965737779214152447_signature_31.png</t>
  </si>
  <si>
    <t>Doña Marta HC 10C</t>
  </si>
  <si>
    <t>Doña Marta, Pasay</t>
  </si>
  <si>
    <t>LBCANICULA@gmail.com</t>
  </si>
  <si>
    <t>10C Unit for installation</t>
  </si>
  <si>
    <t>Insatlled GXIV 10C D
Generated report</t>
  </si>
  <si>
    <t>Prepared the table to be used for installation 
Setup GX and accessories 
Setup User administration
Installed assays</t>
  </si>
  <si>
    <t>https://www.jotform.com/uploads/macarewecare/222927978372067/5965692862199750061/5965692862199750061_signature_28.png</t>
  </si>
  <si>
    <t>Lorna Canicula</t>
  </si>
  <si>
    <t>https://www.jotform.com/uploads/macarewecare/222927978372067/5965692862199750061/5965692862199750061_signature_31.png</t>
  </si>
  <si>
    <t>Rodriguez Avenue, Makati City</t>
  </si>
  <si>
    <t>Filter is worn out. For reporting.</t>
  </si>
  <si>
    <t>https://www.jotform.com/uploads/macarewecare/222927978372067/5964896503556490823/5964896503556490823_signature_28.png</t>
  </si>
  <si>
    <t>https://www.jotform.com/uploads/macarewecare/222927978372067/5964896503556490823/5964896503556490823_signature_31.png</t>
  </si>
  <si>
    <t xml:space="preserve">ASSAY: Xpert MTB/RIF Ultra, COUNT: 4949
</t>
  </si>
  <si>
    <t>Performed maintenance 
Cleaned:
-cartridge bay
-plunger rod 
-icore
-filter 
Replaced module B4
Generated reports</t>
  </si>
  <si>
    <t>Old: B4/863458
New: B4/793029</t>
  </si>
  <si>
    <t>https://www.jotform.com/uploads/macarewecare/222927978372067/5964896503557040055/5964896503557040055_signature_28.png</t>
  </si>
  <si>
    <t>https://www.jotform.com/uploads/macarewecare/222927978372067/5964896503557040055/5964896503557040055_signature_31.png</t>
  </si>
  <si>
    <t>Buluan District Hospital</t>
  </si>
  <si>
    <t>Buluan, Maguindanao</t>
  </si>
  <si>
    <t>bdhclinicallaboratory@gmail.com</t>
  </si>
  <si>
    <t xml:space="preserve">ASSAY: Xpert MTB/RIF Ultra, COUNT: 1652
</t>
  </si>
  <si>
    <t>Gx-IV (6C)</t>
  </si>
  <si>
    <t>Replace defective module 2 SN:910652 with new module SN:711199
Genexpert machine Cleaning/ preventive maintenance 
Checking of errors 
Data collection</t>
  </si>
  <si>
    <t>Genexpert 6-color module</t>
  </si>
  <si>
    <t>Cepheid case:1562143</t>
  </si>
  <si>
    <t>https://www.jotform.com/uploads/macarewecare/222927978372067/5964856390711249482/5964856390711249482_signature_28.png</t>
  </si>
  <si>
    <t>Hamza Datu C. Acob</t>
  </si>
  <si>
    <t>https://www.jotform.com/uploads/macarewecare/222927978372067/5964856390711249482/5964856390711249482_signature_31.png</t>
  </si>
  <si>
    <t xml:space="preserve">ASSAY: Xpert MTB/RIF Ultra, COUNT: 668
</t>
  </si>
  <si>
    <t>All modules experiencing Error 2126</t>
  </si>
  <si>
    <t>-Reset internal power supply connections
-Reset LAN cable connections
-Check AC voltage supply of laboratory, 220V
-Check GeneXpert and peripheral connections to UPS, stable
-Observed machine while specimen running</t>
  </si>
  <si>
    <t>-Preventive Maintenance
-Upgrade XpertCheck Software to version 1.5b</t>
  </si>
  <si>
    <t>Sample run was completed with no problems occurring despite power fluctuations. All modules are functional. For further observation.</t>
  </si>
  <si>
    <t>Recommended for AVR usage since laboratory is prone to frequent fluctuations (occurred every 10-20mins)</t>
  </si>
  <si>
    <t>https://www.jotform.com/uploads/macarewecare/222927978372067/5964848924835605117/5964848924835605117_signature_28.png</t>
  </si>
  <si>
    <t>https://www.jotform.com/uploads/macarewecare/222927978372067/5964848924835605117/5964848924835605117_signature_31.png</t>
  </si>
  <si>
    <t xml:space="preserve">ASSAY: Xpert BCR-ABL Ultra, COUNT: 39
ASSAY: Xpert CT/NG, COUNT: 79
ASSAY: Xpert HBV VL, COUNT: 588
ASSAY: Xpert HPV, COUNT: 444
ASSAY: Xpert MTB/RIF Ultra, COUNT: 5279
ASSAY: Xpert HCV VL, COUNT: 66
ASSAY: Xpert HIV-1 Viral Load, COUNT: 639
ASSAY: Others, COUNT: 794
</t>
  </si>
  <si>
    <t>https://www.jotform.com/uploads/macarewecare/222927978372067/5964789292803725543/5964789292803725543_signature_28.png</t>
  </si>
  <si>
    <t>https://www.jotform.com/uploads/macarewecare/222927978372067/5964789292803725543/5964789292803725543_signature_31.png</t>
  </si>
  <si>
    <t>Ynares Ave, Lupang Arenda, Taytay, Rizal</t>
  </si>
  <si>
    <t xml:space="preserve">ASSAY: Xpert MTB/RIF Ultra, COUNT: 1545
</t>
  </si>
  <si>
    <t>Performed maintenance 
Cleaned:
-cartridge bay 
-plunger rod 
-icore
-filter 
Replaced module B3
Generated reports</t>
  </si>
  <si>
    <t>Old: B3/806713
New:B3/210047087</t>
  </si>
  <si>
    <t>https://www.jotform.com/uploads/macarewecare/222927978372067/5964789292804902321/5964789292804902321_signature_28.png</t>
  </si>
  <si>
    <t>Zenilynn Bobiles</t>
  </si>
  <si>
    <t>https://www.jotform.com/uploads/macarewecare/222927978372067/5964789292804902321/5964789292804902321_signature_31.png</t>
  </si>
  <si>
    <t>Performed maintenance 
Run simulation 
Checked rotor pumps 
Verified calibration parameters</t>
  </si>
  <si>
    <t>https://www.jotform.com/uploads/macarewecare/222927978372067/5964789292801476937/5964789292801476937_signature_28.png</t>
  </si>
  <si>
    <t>Gilian dominique dacanay</t>
  </si>
  <si>
    <t>https://www.jotform.com/uploads/macarewecare/222927978372067/5964789292801476937/5964789292801476937_signature_31.png</t>
  </si>
  <si>
    <t>https://www.jotform.com/uploads/macarewecare/222927978372067/5964789292807553579/5964789292807553579_signature_28.png</t>
  </si>
  <si>
    <t>Tio, Daryl Paolo</t>
  </si>
  <si>
    <t>https://www.jotform.com/uploads/macarewecare/222927978372067/5964789292807553579/5964789292807553579_signature_31.png</t>
  </si>
  <si>
    <t>Old Lower Bicutan Health Center</t>
  </si>
  <si>
    <t>M.L Quezon St., Bicutan Taguig</t>
  </si>
  <si>
    <t>ellainemagtoto35@gmail.com</t>
  </si>
  <si>
    <t xml:space="preserve">ASSAY: Xpert MTB/RIF Ultra, COUNT: 3089
</t>
  </si>
  <si>
    <t>Modules B1, B2 and B3 for replacement</t>
  </si>
  <si>
    <t>Replaced modules B1, B2 and B3</t>
  </si>
  <si>
    <t>Performed maintenance 
Replaced modules B1, B2 and B3.
Generated reports</t>
  </si>
  <si>
    <t>Old: B1/863216, B2/863322, B3/863340
New: B1/711219, B2/711524, B3/717660</t>
  </si>
  <si>
    <t>https://www.jotform.com/uploads/macarewecare/222927978372067/5964789292808418262/5964789292808418262_signature_28.png</t>
  </si>
  <si>
    <t>Ellaine Magtoto</t>
  </si>
  <si>
    <t>https://www.jotform.com/uploads/macarewecare/222927978372067/5964789292808418262/5964789292808418262_signature_31.png</t>
  </si>
  <si>
    <t>Anahawan Southern leyte</t>
  </si>
  <si>
    <t>laboratoryadh@gmail.com</t>
  </si>
  <si>
    <t>https://www.jotform.com/uploads/macarewecare/222927978372067/5964759559168892461/5964759559168892461_signature_28.png</t>
  </si>
  <si>
    <t>MARY GRACE SANTIAGO</t>
  </si>
  <si>
    <t>https://www.jotform.com/uploads/macarewecare/222927978372067/5964759559168892461/5964759559168892461_signature_31.png</t>
  </si>
  <si>
    <t>CEBU DOCTORS' UNIVERSITY HOSPITAL</t>
  </si>
  <si>
    <t xml:space="preserve">ASSAY: Xpert BCR-ABL Ultra, COUNT: 73
ASSAY: Xpert CT/NG, COUNT: 197
ASSAY: Xpert HBV VL, COUNT: 171
ASSAY: Xpert HPV, COUNT: 19
ASSAY: Xpert MTB/RIF Ultra, COUNT: 1167
ASSAY: Xpert HCV VL, COUNT: 146
ASSAY: Xpert HIV-1 Viral Load, COUNT: 18
</t>
  </si>
  <si>
    <t>https://www.jotform.com/uploads/macarewecare/222927978372067/5964698829225332915/5964698829225332915_signature_28.png</t>
  </si>
  <si>
    <t>https://www.jotform.com/uploads/macarewecare/222927978372067/5964698829225332915/5964698829225332915_signature_31.png</t>
  </si>
  <si>
    <t>Davao City Chest Center</t>
  </si>
  <si>
    <t>Villa Abrille Street, Davao City</t>
  </si>
  <si>
    <t>dcclabdept@gmail.com</t>
  </si>
  <si>
    <t xml:space="preserve">ASSAY: Xpert MTB/RIF Ultra, COUNT: 141
</t>
  </si>
  <si>
    <t>Module B3 and B4 for Repair</t>
  </si>
  <si>
    <t>Replaced the Defective Module SN:6354866 with new Module SN:807102
Replaced the Defective Module SN: 657440 with new Module SN:862401
Generate IQR, Assay Stat and System Log</t>
  </si>
  <si>
    <t>https://www.jotform.com/uploads/macarewecare/222927978372067/5964009127179168771/5964009127179168771_signature_28.png</t>
  </si>
  <si>
    <t>Crizz valerey bautista</t>
  </si>
  <si>
    <t>https://www.jotform.com/uploads/macarewecare/222927978372067/5964009127179168771/5964009127179168771_signature_31.png</t>
  </si>
  <si>
    <t>Casilagan, Mangatarem, Pangasinan</t>
  </si>
  <si>
    <t>INSTALLATION
Relocation</t>
  </si>
  <si>
    <t xml:space="preserve">ASSAY: Xpert MTB/RIF Ultra, COUNT: 1711
</t>
  </si>
  <si>
    <t>GeneXpert System originally from Western Pangasinan District Hospital</t>
  </si>
  <si>
    <t>https://www.jotform.com/uploads/macarewecare/222927978372067/5963935304682887691/5963935304682887691_signature_28.png</t>
  </si>
  <si>
    <t>Sweet Sell C. Veras</t>
  </si>
  <si>
    <t>https://www.jotform.com/uploads/macarewecare/222927978372067/5963935304682887691/5963935304682887691_signature_31.png</t>
  </si>
  <si>
    <t>charlenemae_amatac@yahoo.com</t>
  </si>
  <si>
    <t>Gx-IV (10C)</t>
  </si>
  <si>
    <t>Installed:
Genexpert machine SN: 110024249
CPU: CPH0224F49301
Monitor: Dell SN:CN0WMYC5FCC00398G2YXA05</t>
  </si>
  <si>
    <t>All modules operational and accessories</t>
  </si>
  <si>
    <t>https://www.jotform.com/uploads/macarewecare/222927978372067/5963860197316187486/5963860197316187486_signature_28.png</t>
  </si>
  <si>
    <t>https://www.jotform.com/uploads/macarewecare/222927978372067/5963860197316187486/5963860197316187486_signature_31.png</t>
  </si>
  <si>
    <t>Tarlac City Health Center 2</t>
  </si>
  <si>
    <t>Brgy. Matatalaib, Tarlac City</t>
  </si>
  <si>
    <t>clarizannebeltran1996@yahoo.com</t>
  </si>
  <si>
    <t>Repair
Preventive maintenance</t>
  </si>
  <si>
    <t>Performed surface cleaning 
Performed cleaning of plunger rod, cartridge bay, icore and filter 
Archived test results 
Performed UPS replacement 
Performed functionality test 
Gathered reports</t>
  </si>
  <si>
    <t>https://www.jotform.com/uploads/macarewecare/222927978372067/5963823065324931445/5963823065324931445_signature_28.png</t>
  </si>
  <si>
    <t>Clariz Anne M. Beltran</t>
  </si>
  <si>
    <t>https://www.jotform.com/uploads/macarewecare/222927978372067/5963823065324931445/5963823065324931445_signature_31.png</t>
  </si>
  <si>
    <t>Pettit Baracks,  Zamboanga City</t>
  </si>
  <si>
    <t xml:space="preserve">ASSAY: Xpert MTB/RIF Ultra, COUNT: 243
</t>
  </si>
  <si>
    <t>Module 1 and 3 for replacement</t>
  </si>
  <si>
    <t>Replaced module 714798 and 714711 with Module 732575 and 737061 respectively. Conducted Preventive Maintenence.</t>
  </si>
  <si>
    <t>Module Replacement and Preventive Maintenence</t>
  </si>
  <si>
    <t>All module are available. UPS for replacement and monitor</t>
  </si>
  <si>
    <t>UPS and monitor are for replacement</t>
  </si>
  <si>
    <t>https://www.jotform.com/uploads/macarewecare/222927978372067/5963248790003359820/5963248790003359820_signature_28.png</t>
  </si>
  <si>
    <t>https://www.jotform.com/uploads/macarewecare/222927978372067/5963248790003359820/5963248790003359820_signature_31.png</t>
  </si>
  <si>
    <t>General Tinio Rural Health Unit</t>
  </si>
  <si>
    <t>Poblacion, General Tinio, Nueva Ecija</t>
  </si>
  <si>
    <t>jadelyn_pajarillaga@yahoo.com</t>
  </si>
  <si>
    <t>CPU not booting</t>
  </si>
  <si>
    <t>https://www.jotform.com/uploads/macarewecare/222927978372067/5963180056015213298/5963180056015213298_signature_28.png</t>
  </si>
  <si>
    <t>Jadelyn B. Pajarillaga</t>
  </si>
  <si>
    <t>https://www.jotform.com/uploads/macarewecare/222927978372067/5963180056015213298/5963180056015213298_signature_31.png</t>
  </si>
  <si>
    <t>San Miguel District Hospital</t>
  </si>
  <si>
    <t>San Miguel, Bulacan</t>
  </si>
  <si>
    <t>smdh_laboratory@yahoo.com</t>
  </si>
  <si>
    <t>Replaced A4</t>
  </si>
  <si>
    <t>GeneXpert Module
SN: 681162</t>
  </si>
  <si>
    <t>https://www.jotform.com/uploads/macarewecare/222927978372067/5963153173115259457/5963153173115259457_signature_28.png</t>
  </si>
  <si>
    <t>Florencia Rivera</t>
  </si>
  <si>
    <t>https://www.jotform.com/uploads/macarewecare/222927978372067/5963153173115259457/5963153173115259457_signature_31.png</t>
  </si>
  <si>
    <t>Belmonte Health Center</t>
  </si>
  <si>
    <t>Sobriedad St. Manila</t>
  </si>
  <si>
    <t>maricar.lira@gmail.com</t>
  </si>
  <si>
    <t>Unit for PM.
For module replacement of module B2.</t>
  </si>
  <si>
    <t>GX module B2 (784427) in replacement to def. B2 (210059617).</t>
  </si>
  <si>
    <t>https://www.jotform.com/uploads/macarewecare/222927978372067/5963121606252285156/5963121606252285156_signature_28.png</t>
  </si>
  <si>
    <t>Maricar Lira</t>
  </si>
  <si>
    <t>https://www.jotform.com/uploads/macarewecare/222927978372067/5963121606252285156/5963121606252285156_signature_31.png</t>
  </si>
  <si>
    <t>Unit for PM.
For module replacement of module A1.</t>
  </si>
  <si>
    <t>GX module A1 (759993) in replacement to def. A1 (707949).</t>
  </si>
  <si>
    <t>https://www.jotform.com/uploads/macarewecare/222927978372067/5963121606253401093/5963121606253401093_signature_28.png</t>
  </si>
  <si>
    <t>https://www.jotform.com/uploads/macarewecare/222927978372067/5963121606253401093/5963121606253401093_signature_31.png</t>
  </si>
  <si>
    <t>Mc Arthur Highway, Candon</t>
  </si>
  <si>
    <t xml:space="preserve">ASSAY: Xpert MTB/RIF Ultra, COUNT: 599
</t>
  </si>
  <si>
    <t>DR#11658</t>
  </si>
  <si>
    <t>https://www.jotform.com/uploads/macarewecare/222927978372067/5963121606257903004/5963121606257903004_signature_28.png</t>
  </si>
  <si>
    <t>Marites B. Cortes</t>
  </si>
  <si>
    <t>https://www.jotform.com/uploads/macarewecare/222927978372067/5963121606257903004/5963121606257903004_signature_31.png</t>
  </si>
  <si>
    <t>Gapan Rural Health Unit II</t>
  </si>
  <si>
    <t>San Nicolas, Gapan City, Nueva Ecija</t>
  </si>
  <si>
    <t>emmaliwaggutierrez@gmail.com</t>
  </si>
  <si>
    <t>krystellebautista90@gmail.com</t>
  </si>
  <si>
    <t>Module 1 Error
UPS not working</t>
  </si>
  <si>
    <t>Performed Module Replacement
B1(690683 - 714204)
Troubleshoot UPS</t>
  </si>
  <si>
    <t>https://www.jotform.com/uploads/macarewecare/222927978372067/5963118416013081356/5963118416013081356_signature_28.png</t>
  </si>
  <si>
    <t>Krystelle Bautista</t>
  </si>
  <si>
    <t>https://www.jotform.com/uploads/macarewecare/222927978372067/5963118416013081356/5963118416013081356_signature_31.png</t>
  </si>
  <si>
    <t xml:space="preserve">ASSAY: Xpert MTB/RIF Ultra, COUNT: 2850
ASSAY: Xpert HIV-1 Viral Load, COUNT: 13
</t>
  </si>
  <si>
    <t>-Preventive Maintenance
-Install delivered fan filter
-Upgrade XpertCheck Software to version 1.5b</t>
  </si>
  <si>
    <t>https://www.jotform.com/uploads/macarewecare/222927978372067/5963115815759927209/5963115815759927209_signature_28.png</t>
  </si>
  <si>
    <t>https://www.jotform.com/uploads/macarewecare/222927978372067/5963115815759927209/5963115815759927209_signature_31.png</t>
  </si>
  <si>
    <t>tvanrlujan@gmail.com</t>
  </si>
  <si>
    <t>Defective Module b4 210068572</t>
  </si>
  <si>
    <t>New module install B4 710004
Clean Fan Filter
Gather data IQR</t>
  </si>
  <si>
    <t>https://www.jotform.com/uploads/macarewecare/222927978372067/5963115134225854046/5963115134225854046_signature_28.png</t>
  </si>
  <si>
    <t>Van Ryan R. Lujan</t>
  </si>
  <si>
    <t>https://www.jotform.com/uploads/macarewecare/222927978372067/5963115134225854046/5963115134225854046_signature_31.png</t>
  </si>
  <si>
    <t>lab.bacteriology@maniladoctors.com.ph</t>
  </si>
  <si>
    <t xml:space="preserve">ASSAY: Xpert CT/NG, COUNT: 96
ASSAY: Xpert HBV VL, COUNT: 89
ASSAY: Xpert HPV, COUNT: 24
ASSAY: Xpert MTB/RIF Ultra, COUNT: 1276
ASSAY: Xpert HCV VL, COUNT: 13
ASSAY: Xpert HIV-1 Viral Load, COUNT: 14
</t>
  </si>
  <si>
    <t>lot 1001120421</t>
  </si>
  <si>
    <t>https://www.jotform.com/uploads/macarewecare/222927978372067/5963075030413319105/5963075030413319105_signature_28.png</t>
  </si>
  <si>
    <t>https://www.jotform.com/uploads/macarewecare/222927978372067/5963075030413319105/5963075030413319105_signature_31.png</t>
  </si>
  <si>
    <t>TB-Dots</t>
  </si>
  <si>
    <t xml:space="preserve">ASSAY: Xpert MTB/RIF Ultra, COUNT: 1272
</t>
  </si>
  <si>
    <t>https://www.jotform.com/uploads/macarewecare/222927978372067/5963019777591845578/5963019777591845578_signature_28.png</t>
  </si>
  <si>
    <t>https://www.jotform.com/uploads/macarewecare/222927978372067/5963019777591845578/5963019777591845578_signature_31.png</t>
  </si>
  <si>
    <t>CUFF RELATED ISSUE</t>
  </si>
  <si>
    <t>https://www.jotform.com/uploads/macarewecare/222927978372067/5963009274222181393/5963009274222181393_signature_28.png</t>
  </si>
  <si>
    <t>Roda Fatima Flores</t>
  </si>
  <si>
    <t>https://www.jotform.com/uploads/macarewecare/222927978372067/5963009274222181393/5963009274222181393_signature_31.png</t>
  </si>
  <si>
    <t>marielgracia20@gmail.com</t>
  </si>
  <si>
    <t>Hx4</t>
  </si>
  <si>
    <t>Module B2 disable due to error reported error Code 2120.</t>
  </si>
  <si>
    <t>. Perform Preventive Maintenance 
. Cleaning all modules and cables inside the macine.
. Cleaning filter. 
. Plunger rod maintenance</t>
  </si>
  <si>
    <t>All module's functional ok to use.</t>
  </si>
  <si>
    <t>https://www.jotform.com/uploads/macarewecare/222927978372067/5962999324229968686/5962999324229968686_signature_28.png</t>
  </si>
  <si>
    <t>Mareil Gracia</t>
  </si>
  <si>
    <t>https://www.jotform.com/uploads/macarewecare/222927978372067/5962999324229968686/5962999324229968686_signature_31.png</t>
  </si>
  <si>
    <t>Bicol Region General Hospital and Geraitric Medical Center</t>
  </si>
  <si>
    <t>Cabusao, Camarines Sur</t>
  </si>
  <si>
    <t>jlvdvera_rmt@yahoo.com</t>
  </si>
  <si>
    <t xml:space="preserve">ASSAY: Xpert MTB/RIF Ultra, COUNT: 35
</t>
  </si>
  <si>
    <t>https://www.jotform.com/uploads/macarewecare/222927978372067/5962656536491037685/5962656536491037685_signature_28.png</t>
  </si>
  <si>
    <t>Jessie Lowell de vera</t>
  </si>
  <si>
    <t>https://www.jotform.com/uploads/macarewecare/222927978372067/5962656536491037685/5962656536491037685_signature_31.png</t>
  </si>
  <si>
    <t>Binangonan Rural Health Unit</t>
  </si>
  <si>
    <t>Osmena St., Binangonan, Rizal</t>
  </si>
  <si>
    <t>dhayanara.zapanta@gmail.com</t>
  </si>
  <si>
    <t>Unit from Binangonan RHU I</t>
  </si>
  <si>
    <t>https://www.jotform.com/uploads/macarewecare/222927978372067/5962360643613072123/5962360643613072123_signature_28.png</t>
  </si>
  <si>
    <t>Dhayanara Zapanta</t>
  </si>
  <si>
    <t>https://www.jotform.com/uploads/macarewecare/222927978372067/5962360643613072123/5962360643613072123_signature_31.png</t>
  </si>
  <si>
    <t>Binangonan Rural Health Unit III</t>
  </si>
  <si>
    <t>Performed maintenance 
Cleaned:
-cartridge bay 
-plunger rod 
-icore 
-filter 
Replaced module B4
Generated reports</t>
  </si>
  <si>
    <t>Old: B4/210100341
New: B4/666188</t>
  </si>
  <si>
    <t>https://www.jotform.com/uploads/macarewecare/222927978372067/5962360643618004830/5962360643618004830_signature_28.png</t>
  </si>
  <si>
    <t>https://www.jotform.com/uploads/macarewecare/222927978372067/5962360643618004830/5962360643618004830_signature_31.png</t>
  </si>
  <si>
    <t>https://www.jotform.com/uploads/macarewecare/222927978372067/5962360643617194325/5962360643617194325_signature_28.png</t>
  </si>
  <si>
    <t>https://www.jotform.com/uploads/macarewecare/222927978372067/5962360643617194325/5962360643617194325_signature_31.png</t>
  </si>
  <si>
    <t>Poblacion, Sudipen, La Union</t>
  </si>
  <si>
    <t>Module 2 with Temperature Error but Unavailable in XpertCheck.
Module 1 Passed.
Module 3 Neely Replaced Module.
Module 4 Service Required.</t>
  </si>
  <si>
    <t>XperrCheck Kit</t>
  </si>
  <si>
    <t>https://www.jotform.com/uploads/macarewecare/222927978372067/5962337133617084917/5962337133617084917_signature_28.png</t>
  </si>
  <si>
    <t>https://www.jotform.com/uploads/macarewecare/222927978372067/5962337133617084917/5962337133617084917_signature_31.png</t>
  </si>
  <si>
    <t>Vitali Lying Center</t>
  </si>
  <si>
    <t>Vitali, Zamboanga City</t>
  </si>
  <si>
    <t>INSTALLATION
MAINTENANCE
Replacement of System Unit</t>
  </si>
  <si>
    <t>vitalihealthdistrict@gmail.com</t>
  </si>
  <si>
    <t>Replaced System unit and conducted Preventive maintenance</t>
  </si>
  <si>
    <t>All modules are available and system unit is working well.</t>
  </si>
  <si>
    <t>https://www.jotform.com/uploads/macarewecare/222927978372067/5962308770009251271/5962308770009251271_signature_28.png</t>
  </si>
  <si>
    <t>Carmelo E. Umandal</t>
  </si>
  <si>
    <t>https://www.jotform.com/uploads/macarewecare/222927978372067/5962308770009251271/5962308770009251271_signature_31.png</t>
  </si>
  <si>
    <t>Iba Zambales</t>
  </si>
  <si>
    <t xml:space="preserve">ASSAY: Xpert SARS-CoV-2, COUNT: 
</t>
  </si>
  <si>
    <t>B4:784824 for module replacement</t>
  </si>
  <si>
    <t>Unit is operational 
B4:781528new module
UPS for replacement (defective)</t>
  </si>
  <si>
    <t>https://www.jotform.com/uploads/macarewecare/222927978372067/5962126773614991395/5962126773614991395_signature_28.png</t>
  </si>
  <si>
    <t>https://www.jotform.com/uploads/macarewecare/222927978372067/5962126773614991395/5962126773614991395_signature_31.png</t>
  </si>
  <si>
    <t>Poblacion-Iligan Rd., Poblacion, Esperanza</t>
  </si>
  <si>
    <t xml:space="preserve">ASSAY: Xpert MTB/RIF Ultra, COUNT: 1392
</t>
  </si>
  <si>
    <t>GX4-6C for Calibration</t>
  </si>
  <si>
    <t>XpertCheck Result:
   B1/210068697 - service required 
   B2/879219 - newly replaced modulr
   B3/210068696 - service required
   B4/668421 - passed
Cleaned cartridge bays, plunger rod, icore, replaced fan filter
Generate report</t>
  </si>
  <si>
    <t>https://www.jotform.com/uploads/macarewecare/222927978372067/5962099956496614691/5962099956496614691_signature_28.png</t>
  </si>
  <si>
    <t>https://www.jotform.com/uploads/macarewecare/222927978372067/5962099956496614691/5962099956496614691_signature_31.png</t>
  </si>
  <si>
    <t>Aroroy Rural Health Unit</t>
  </si>
  <si>
    <t>Aroroy, Masbate</t>
  </si>
  <si>
    <t>morenorhenaluz@gmail.com</t>
  </si>
  <si>
    <t>Frequent 5007 error</t>
  </si>
  <si>
    <t>Performed sample test run(aborted)
Collected data(gxx file)
Cleaned cartridge bays, plunger rod, icore 
Generate report</t>
  </si>
  <si>
    <t>https://www.jotform.com/uploads/macarewecare/222927978372067/5962099616496191117/5962099616496191117_signature_28.png</t>
  </si>
  <si>
    <t>Rhena M. Etcobanez</t>
  </si>
  <si>
    <t>https://www.jotform.com/uploads/macarewecare/222927978372067/5962099616496191117/5962099616496191117_signature_31.png</t>
  </si>
  <si>
    <t>Milagros Rural Health Unit</t>
  </si>
  <si>
    <t>Milagros, Masbate</t>
  </si>
  <si>
    <t>gracemarymesa1029@gmail.com</t>
  </si>
  <si>
    <t>Monitor grid lines appearing on screen</t>
  </si>
  <si>
    <t>Firmly connect GVA cable to monitor and CPU
Collected data(video) of grid lines appearing on screen 
Cleaned cartridge bays, plunger rod, icore 
Generate report</t>
  </si>
  <si>
    <t>Unit is Operational 
Grid lines on monitor(still functional)</t>
  </si>
  <si>
    <t>https://www.jotform.com/uploads/macarewecare/222927978372067/5962097056498334019/5962097056498334019_signature_28.png</t>
  </si>
  <si>
    <t>Mary Grace C.Mesa</t>
  </si>
  <si>
    <t>https://www.jotform.com/uploads/macarewecare/222927978372067/5962097056498334019/5962097056498334019_signature_31.png</t>
  </si>
  <si>
    <t>Philippine Red Cross (Laguna chapter)</t>
  </si>
  <si>
    <t>P.Guevarra st.,Sta Cruz Laguna</t>
  </si>
  <si>
    <t>Pinch Valve error
Loose valve tubing</t>
  </si>
  <si>
    <t>Re tighten tubings
Checked leakages
Checked program parameters
Checked and adjust line sensor value
Checked rollers,dpm,spm,centrifuge,weigher
Performed functionality test
Performed simulation running</t>
  </si>
  <si>
    <t>Perfomed troubleshooting</t>
  </si>
  <si>
    <t>Work with Monsour Doctor</t>
  </si>
  <si>
    <t>https://www.jotform.com/uploads/macarewecare/222927978372067/5962045590319380634/5962045590319380634_signature_28.png</t>
  </si>
  <si>
    <t>John Paul Carmona</t>
  </si>
  <si>
    <t>https://www.jotform.com/uploads/macarewecare/222927978372067/5962045590319380634/5962045590319380634_signature_31.png</t>
  </si>
  <si>
    <t>Sta. Lucia Health Center</t>
  </si>
  <si>
    <t>Sta. Lucia, Novaliches, Quezon City</t>
  </si>
  <si>
    <t>josiedingle2004@gmail.com</t>
  </si>
  <si>
    <t xml:space="preserve">ASSAY: Xpert MTB/RIF Ultra, COUNT: 1968
</t>
  </si>
  <si>
    <t>Keyboard keys were hard to press and sometimes it gets stucked when pressed</t>
  </si>
  <si>
    <t>Replaced keyboard
Performed preventive maintenance</t>
  </si>
  <si>
    <t>Installed new keyboard
Checked and cleaned cartridge bays, plunger rod, icore slot and filter 
Generated report</t>
  </si>
  <si>
    <t>https://www.jotform.com/uploads/macarewecare/222927978372067/5961666771016688194/5961666771016688194_signature_28.png</t>
  </si>
  <si>
    <t>Josephine Dingle</t>
  </si>
  <si>
    <t>https://www.jotform.com/uploads/macarewecare/222927978372067/5961666771016688194/5961666771016688194_signature_31.png</t>
  </si>
  <si>
    <t>NGC Super Health Center</t>
  </si>
  <si>
    <t>Pilot Drive, Mangahan, Quezon City</t>
  </si>
  <si>
    <t>tmcolisao@gmail.com</t>
  </si>
  <si>
    <t xml:space="preserve">ASSAY: Xpert MTB/RIF Ultra, COUNT: 666
</t>
  </si>
  <si>
    <t>Performed Preventive maintenance 
Performed reliability test
Generated report</t>
  </si>
  <si>
    <t>Checked and cleaned cartridge bays, plunger rod, icore slot, and filter 
Performed reliability test
Module A1 failed reliability test. Error 2035
Informed the end user to monitor module A1</t>
  </si>
  <si>
    <t>unit is operational 
 all modules working 
Module A1 for monitoring</t>
  </si>
  <si>
    <t>https://www.jotform.com/uploads/macarewecare/222927978372067/5961661571012757917/5961661571012757917_signature_28.png</t>
  </si>
  <si>
    <t>Mila N Baldovizo</t>
  </si>
  <si>
    <t>https://www.jotform.com/uploads/macarewecare/222927978372067/5961661571012757917/5961661571012757917_signature_31.png</t>
  </si>
  <si>
    <t>Urdaneta City Health Office</t>
  </si>
  <si>
    <t>Alexander Street, Urdaneta City, Pangasinan</t>
  </si>
  <si>
    <t>Urdcho1lab@gmail.com</t>
  </si>
  <si>
    <t xml:space="preserve">ASSAY: Xpert MTB/RIF Ultra, COUNT: 1411
</t>
  </si>
  <si>
    <t>For Installation/Relocation</t>
  </si>
  <si>
    <t>Performed  Installation/Relocation</t>
  </si>
  <si>
    <t>From Urdaneta District Hospital</t>
  </si>
  <si>
    <t>https://www.jotform.com/uploads/macarewecare/222927978372067/5961361960625638951/5961361960625638951_signature_28.png</t>
  </si>
  <si>
    <t>REVILYN C. GERONA</t>
  </si>
  <si>
    <t>https://www.jotform.com/uploads/macarewecare/222927978372067/5961361960625638951/5961361960625638951_signature_31.png</t>
  </si>
  <si>
    <t>UMINGAN COMMUNITY HOSPITAL</t>
  </si>
  <si>
    <t>Umingan Pangasinan</t>
  </si>
  <si>
    <t xml:space="preserve">ASSAY: Xpert MTB/RIF Ultra, COUNT: 1275
</t>
  </si>
  <si>
    <t>Performed Preventive Maintenance 
Performed functionality test</t>
  </si>
  <si>
    <t>https://www.jotform.com/uploads/macarewecare/222927978372067/5961360830624795235/5961360830624795235_signature_28.png</t>
  </si>
  <si>
    <t>https://www.jotform.com/uploads/macarewecare/222927978372067/5961360830624795235/5961360830624795235_signature_31.png</t>
  </si>
  <si>
    <t>clstan1998@gmail.com</t>
  </si>
  <si>
    <t>DPM out of tolerance</t>
  </si>
  <si>
    <t>Checked unit
Checked program parameters
Checked and adjust line sensor value
Checked rollers,dpm,spm,centrifuge
Adjust DPM and SPM value
Performed functionality test
Performed simulation running</t>
  </si>
  <si>
    <t>Performed trubleshooting</t>
  </si>
  <si>
    <t>https://www.jotform.com/uploads/macarewecare/222927978372067/5959882372395282754/5959882372395282754_signature_28.png</t>
  </si>
  <si>
    <t>Cayle Lester S. Tan</t>
  </si>
  <si>
    <t>https://www.jotform.com/uploads/macarewecare/222927978372067/5959882372395282754/5959882372395282754_signature_31.png</t>
  </si>
  <si>
    <t>Global City</t>
  </si>
  <si>
    <t>GX 4 D(10)</t>
  </si>
  <si>
    <t>Performed installation
Import ADF files</t>
  </si>
  <si>
    <t>https://www.jotform.com/uploads/macarewecare/222927978372067/5959881022395558505/5959881022395558505_signature_28.png</t>
  </si>
  <si>
    <t>Sapla, Ma Grace Angelica</t>
  </si>
  <si>
    <t>https://www.jotform.com/uploads/macarewecare/222927978372067/5959881022395558505/5959881022395558505_signature_31.png</t>
  </si>
  <si>
    <t xml:space="preserve">ASSAY: Xpert BCR-ABL Ultra, COUNT: 1425
ASSAY: Others, COUNT: 89
ASSAY: Xpert HBV VL, COUNT: 1032
ASSAY: Xpert HPV, COUNT: 101
ASSAY: Xpert MTB/RIF Ultra, COUNT: 2331
ASSAY: Xpert SARS-CoV-2, COUNT: 13588
ASSAY: Xpert HCV VL, COUNT: 134
</t>
  </si>
  <si>
    <t>A1 reported already
C2 reported already
D2,A2,A4 reported already confirmed for replacement</t>
  </si>
  <si>
    <t>5 modules not in use A1.A2.A4.C2.D2
11 modules operational</t>
  </si>
  <si>
    <t>https://www.jotform.com/uploads/macarewecare/222927978372067/5959838442399911724/5959838442399911724_signature_28.png</t>
  </si>
  <si>
    <t>https://www.jotform.com/uploads/macarewecare/222927978372067/5959838442399911724/5959838442399911724_signature_31.png</t>
  </si>
  <si>
    <t xml:space="preserve">ASSAY: Xpert CT/NG, COUNT: 6
ASSAY: Others, COUNT: 6
ASSAY: Xpert HPV, COUNT: 36
ASSAY: Xpert MTB/RIF Ultra, COUNT: 147
ASSAY: Xpert HCV VL, COUNT: 7
</t>
  </si>
  <si>
    <t>Due for maintenance, A1 A2,B1,B3,C1,C2,C3,C4 disabled due of continous error loss communication error 
B4 temp error 4009,4012,4017,4010</t>
  </si>
  <si>
    <t>A1 A2,B1,B3,C1,C2,C3,C4 disabled due of continous error loss communication error 
B4 temp error 4009,4012,4017,4010
A3,A4,B2 operational</t>
  </si>
  <si>
    <t>https://www.jotform.com/uploads/macarewecare/222927978372067/5959838042393724739/5959838042393724739_signature_28.png</t>
  </si>
  <si>
    <t>https://www.jotform.com/uploads/macarewecare/222927978372067/5959838042393724739/5959838042393724739_signature_31.png</t>
  </si>
  <si>
    <t xml:space="preserve">ASSAY: Xpert BCR-ABL Ultra, COUNT: 47
ASSAY: Others, COUNT: 4
ASSAY: Xpert HBV VL, COUNT: 18
ASSAY: Xpert HPV, COUNT: 3
ASSAY: Xpert MTB/RIF Ultra, COUNT: 44
</t>
  </si>
  <si>
    <t>Due for maintenance
B1,B3,B4 reported already confirmed for replacement</t>
  </si>
  <si>
    <t>B1 and B3 disabled
B2 and B4 in use</t>
  </si>
  <si>
    <t>https://www.jotform.com/uploads/macarewecare/222927978372067/5959837574315785851/5959837574315785851_signature_28.png</t>
  </si>
  <si>
    <t>https://www.jotform.com/uploads/macarewecare/222927978372067/5959837574315785851/5959837574315785851_signature_31.png</t>
  </si>
  <si>
    <t>Kasibu Rural Health Unit</t>
  </si>
  <si>
    <t>LGU Compound, Kasibu, Nueva Vizcaya</t>
  </si>
  <si>
    <t>mhokasibulaboratory@yahoo.com</t>
  </si>
  <si>
    <t>GXII6C</t>
  </si>
  <si>
    <t>Xpertcheck error 3005</t>
  </si>
  <si>
    <t>Reinstalling xpertcheck</t>
  </si>
  <si>
    <t>https://www.jotform.com/uploads/macarewecare/222927978372067/5959759841614060427/5959759841614060427_signature_28.png</t>
  </si>
  <si>
    <t>Halal Dumangeng</t>
  </si>
  <si>
    <t>https://www.jotform.com/uploads/macarewecare/222927978372067/5959759841614060427/5959759841614060427_signature_31.png</t>
  </si>
  <si>
    <t>arvalerio21@gmail.com</t>
  </si>
  <si>
    <t xml:space="preserve">ASSAY: Xpert MTB/RIF Ultra, COUNT: 1785
</t>
  </si>
  <si>
    <t>Unit is operational
Module B3 for follow up report</t>
  </si>
  <si>
    <t>https://www.jotform.com/uploads/macarewecare/222927978372067/5959756730816609919/5959756730816609919_signature_28.png</t>
  </si>
  <si>
    <t>Arnold Valerio</t>
  </si>
  <si>
    <t>https://www.jotform.com/uploads/macarewecare/222927978372067/5959756730816609919/5959756730816609919_signature_31.png</t>
  </si>
  <si>
    <t xml:space="preserve">ASSAY: Xpert MTB/RIF Ultra, COUNT: 1696
ASSAY: Xpert HIV-1 Viral Load, COUNT: 118
</t>
  </si>
  <si>
    <t>Replaced A3</t>
  </si>
  <si>
    <t>GeneXpert Module
SN: 604539</t>
  </si>
  <si>
    <t>https://www.jotform.com/uploads/macarewecare/222927978372067/5959756290813149066/5959756290813149066_signature_28.png</t>
  </si>
  <si>
    <t>Rona Marie Iris De Leon</t>
  </si>
  <si>
    <t>https://www.jotform.com/uploads/macarewecare/222927978372067/5959756290813149066/5959756290813149066_signature_31.png</t>
  </si>
  <si>
    <t>https://www.jotform.com/uploads/macarewecare/222927978372067/5959755930816772442/5959755930816772442_signature_28.png</t>
  </si>
  <si>
    <t>https://www.jotform.com/uploads/macarewecare/222927978372067/5959755930816772442/5959755930816772442_signature_31.png</t>
  </si>
  <si>
    <t>detoxicare.clinical@gmail.com</t>
  </si>
  <si>
    <t>Module B1 for troubleshooting</t>
  </si>
  <si>
    <t>Unit is operational
Module B1 for reporting
Average room temperature is 29C (30C threshold)
Room average temperature is recommended below 30C to prevent temperature related errors</t>
  </si>
  <si>
    <t>https://www.jotform.com/uploads/macarewecare/222927978372067/5959754980813336525/5959754980813336525_signature_28.png</t>
  </si>
  <si>
    <t>Cyrill Tataro</t>
  </si>
  <si>
    <t>https://www.jotform.com/uploads/macarewecare/222927978372067/5959754980813336525/5959754980813336525_signature_31.png</t>
  </si>
  <si>
    <t>https://www.jotform.com/uploads/macarewecare/222927978372067/5959754710813760794/5959754710813760794_signature_28.png</t>
  </si>
  <si>
    <t>https://www.jotform.com/uploads/macarewecare/222927978372067/5959754710813760794/5959754710813760794_signature_31.png</t>
  </si>
  <si>
    <t>https://www.jotform.com/uploads/macarewecare/222927978372067/5959754710817963532/5959754710817963532_signature_28.png</t>
  </si>
  <si>
    <t>https://www.jotform.com/uploads/macarewecare/222927978372067/5959754710817963532/5959754710817963532_signature_31.png</t>
  </si>
  <si>
    <t>ON-SITE ASSISTANCE
Relocation of GeneXpert ,Relocation of GeneXpert</t>
  </si>
  <si>
    <t>loreyleinela@gmail.com</t>
  </si>
  <si>
    <t xml:space="preserve">ASSAY: Xpert MTB/RIF Ultra, COUNT: 1902
</t>
  </si>
  <si>
    <t>For Relocation of GeneXpert Machine</t>
  </si>
  <si>
    <t>Relocate the Machine back to the Newly Renovated Laboratory</t>
  </si>
  <si>
    <t>Perform Relocation of The GeneXpert Machine</t>
  </si>
  <si>
    <t>Module B1 and B2 : Disabled waiting for parts from Cepheid
Only Module B3 and B4 are operational</t>
  </si>
  <si>
    <t>https://www.jotform.com/uploads/macarewecare/222927978372067/5959699227919322468/5959699227919322468_signature_28.png</t>
  </si>
  <si>
    <t>https://www.jotform.com/uploads/macarewecare/222927978372067/5959699227919322468/5959699227919322468_signature_31.png</t>
  </si>
  <si>
    <t>famh_guiuan@yahoo.com</t>
  </si>
  <si>
    <t>xpertcheck kit</t>
  </si>
  <si>
    <t>https://www.jotform.com/uploads/macarewecare/222927978372067/5959686420815004389/5959686420815004389_signature_28.png</t>
  </si>
  <si>
    <t>rogelio bagania</t>
  </si>
  <si>
    <t>https://www.jotform.com/uploads/macarewecare/222927978372067/5959686420815004389/5959686420815004389_signature_31.png</t>
  </si>
  <si>
    <t>BAIS DISTRICT HOSPITAL</t>
  </si>
  <si>
    <t>BAIS NEGROS ORIENTAL</t>
  </si>
  <si>
    <t>laboratorybdh@gmail.com</t>
  </si>
  <si>
    <t>https://www.jotform.com/uploads/macarewecare/222927978372067/5959673908453634485/5959673908453634485_signature_28.png</t>
  </si>
  <si>
    <t>EVAN JUN C. PACURIB</t>
  </si>
  <si>
    <t>https://www.jotform.com/uploads/macarewecare/222927978372067/5959673908453634485/5959673908453634485_signature_31.png</t>
  </si>
  <si>
    <t xml:space="preserve">ASSAY: Xpert MTB/RIF Ultra, COUNT: 1946
</t>
  </si>
  <si>
    <t>https://www.jotform.com/uploads/macarewecare/222927978372067/5959660093071764885/5959660093071764885_signature_28.png</t>
  </si>
  <si>
    <t>https://www.jotform.com/uploads/macarewecare/222927978372067/5959660093071764885/5959660093071764885_signature_31.png</t>
  </si>
  <si>
    <t xml:space="preserve">ASSAY: Xpert MTB/RIF Ultra, COUNT: 791
</t>
  </si>
  <si>
    <t>Due for Xpertcheck/Calibration.</t>
  </si>
  <si>
    <t>- Perform Xpertcheck in all 4 modules.
- Install Dell 21" LCD monitor.</t>
  </si>
  <si>
    <t>Diaabled module B3 due to runtime errors.</t>
  </si>
  <si>
    <t>https://www.jotform.com/uploads/macarewecare/222927978372067/5959659729053798748/5959659729053798748_signature_28.png</t>
  </si>
  <si>
    <t>Mira Luna E. Pascual</t>
  </si>
  <si>
    <t>https://www.jotform.com/uploads/macarewecare/222927978372067/5959659729053798748/5959659729053798748_signature_31.png</t>
  </si>
  <si>
    <t>robileanchin@gmail.com</t>
  </si>
  <si>
    <t>https://www.jotform.com/uploads/macarewecare/222927978372067/5959605146511506518/5959605146511506518_signature_28.png</t>
  </si>
  <si>
    <t>Robi Lean Ching</t>
  </si>
  <si>
    <t>https://www.jotform.com/uploads/macarewecare/222927978372067/5959605146511506518/5959605146511506518_signature_31.png</t>
  </si>
  <si>
    <t>Eastern Pangasinan District Hospital</t>
  </si>
  <si>
    <t>Tayug Pangasinan</t>
  </si>
  <si>
    <t>epdhlaboraory@gmail.com</t>
  </si>
  <si>
    <t xml:space="preserve">ASSAY: Xpert MTB/RIF Ultra, COUNT: 613
</t>
  </si>
  <si>
    <t>B4:696024 for module replacement</t>
  </si>
  <si>
    <t>1 genexpert module</t>
  </si>
  <si>
    <t>https://www.jotform.com/uploads/macarewecare/222927978372067/5959593191714183734/5959593191714183734_signature_28.png</t>
  </si>
  <si>
    <t>Fergyl Escaño</t>
  </si>
  <si>
    <t>https://www.jotform.com/uploads/macarewecare/222927978372067/5959593191714183734/5959593191714183734_signature_31.png</t>
  </si>
  <si>
    <t>Wilson St., San Juan City</t>
  </si>
  <si>
    <t>egatchalian@csmc.ph</t>
  </si>
  <si>
    <t xml:space="preserve">ASSAY: Xpert HBV VL, COUNT: 141
ASSAY: Xpert HPV, COUNT: 35
ASSAY: Xpert MTB/RIF Ultra, COUNT: 1095
</t>
  </si>
  <si>
    <t>Module B3 has error 1002 but under observation. Module B4 has error 2014 also under observation.</t>
  </si>
  <si>
    <t>https://www.jotform.com/uploads/macarewecare/222927978372067/5959589656514633901/5959589656514633901_signature_28.png</t>
  </si>
  <si>
    <t>https://www.jotform.com/uploads/macarewecare/222927978372067/5959589656514633901/5959589656514633901_signature_31.png</t>
  </si>
  <si>
    <t xml:space="preserve">ASSAY: Xpert MTB/RIF Ultra, COUNT: 1676
ASSAY: Xpert HIV-1 Viral Load, COUNT: 330
</t>
  </si>
  <si>
    <t>Replaced module A1
Functionality test
Generated reports</t>
  </si>
  <si>
    <t>Old: A1/650238
New: A1/692508</t>
  </si>
  <si>
    <t>https://www.jotform.com/uploads/macarewecare/222927978372067/5959550680082517139/5959550680082517139_signature_28.png</t>
  </si>
  <si>
    <t>https://www.jotform.com/uploads/macarewecare/222927978372067/5959550680082517139/5959550680082517139_signature_31.png</t>
  </si>
  <si>
    <t>JP Laurel Avenue Bajada Davao City</t>
  </si>
  <si>
    <t>RHIVDA, POPUP LABORATORY</t>
  </si>
  <si>
    <t>For Installation of GeneXpert</t>
  </si>
  <si>
    <t>Clean Surface Area
Check the line voltages
Install the UPS with SN: AT1K231111ST0024
Install the GeneXpert CPU System Unit with SN: CPH1023F46916
Install the GeneXpert 10 color Machine with SN:110023506
Install the assays to be performed
Setup Enduser Account</t>
  </si>
  <si>
    <t>Perform Installation</t>
  </si>
  <si>
    <t>Unit Successfully Installed
Machine is operational</t>
  </si>
  <si>
    <t>DR 11649</t>
  </si>
  <si>
    <t>https://www.jotform.com/uploads/macarewecare/222927978372067/5959511256321056075/5959511256321056075_signature_28.png</t>
  </si>
  <si>
    <t>Flordeliza B Go RMT MPH</t>
  </si>
  <si>
    <t>https://www.jotform.com/uploads/macarewecare/222927978372067/5959511256321056075/5959511256321056075_signature_31.png</t>
  </si>
  <si>
    <t>jacabiao.pbsp@gmail.com</t>
  </si>
  <si>
    <t xml:space="preserve">ASSAY: Xpert MTB/RIF Ultra, COUNT: 7040
</t>
  </si>
  <si>
    <t>Defective module 720028/C1</t>
  </si>
  <si>
    <t>Cleaned optics, module bay areas, pkunger rod, filter.</t>
  </si>
  <si>
    <t>Replaced module C1 with new module SN 860168.</t>
  </si>
  <si>
    <t>https://www.jotform.com/uploads/macarewecare/222927978372067/5959482758653991801/5959482758653991801_signature_28.png</t>
  </si>
  <si>
    <t>Jenzel Cabiao</t>
  </si>
  <si>
    <t>https://www.jotform.com/uploads/macarewecare/222927978372067/5959482758653991801/5959482758653991801_signature_31.png</t>
  </si>
  <si>
    <t>Potrero Health Center</t>
  </si>
  <si>
    <t>Malabon</t>
  </si>
  <si>
    <t>NCR 3rd - Malabon</t>
  </si>
  <si>
    <t>ailyn.santos19@yahoo.com</t>
  </si>
  <si>
    <t>Modules B2, B3, B4 for replacement</t>
  </si>
  <si>
    <t>Replaced modules B2, B3, B4</t>
  </si>
  <si>
    <t>GeneXpert Module
SN: 210006959, 749017, 790993</t>
  </si>
  <si>
    <t>https://www.jotform.com/uploads/macarewecare/222927978372067/5959481085611282837/5959481085611282837_signature_28.png</t>
  </si>
  <si>
    <t>Ailyn Santos</t>
  </si>
  <si>
    <t>https://www.jotform.com/uploads/macarewecare/222927978372067/5959481085611282837/5959481085611282837_signature_31.png</t>
  </si>
  <si>
    <t>MEDI LINX LABORATORY INC.</t>
  </si>
  <si>
    <t>St. Elizabeth Hospital Inc. General Santos City, South Cotabato</t>
  </si>
  <si>
    <t xml:space="preserve">ASSAY: Xpert MTB/RIF Ultra, COUNT: 268
</t>
  </si>
  <si>
    <t>Module 1 and 3 multiple temperature errors 
Module 4 Ultrasonic Problem</t>
  </si>
  <si>
    <t>Genexpert machine Cleaning/preventive maintenance 
Checking of errors 
Genexpert Problem/errors reporting</t>
  </si>
  <si>
    <t>1 operational modules (module 2)
Module 1, 3, and 4 requesting for module replacement</t>
  </si>
  <si>
    <t>https://www.jotform.com/uploads/macarewecare/222927978372067/5959439867147414680/5959439867147414680_signature_28.png</t>
  </si>
  <si>
    <t>Sofia Maclang, Unit Head - Main Test ll</t>
  </si>
  <si>
    <t>https://www.jotform.com/uploads/macarewecare/222927978372067/5959439867147414680/5959439867147414680_signature_31.png</t>
  </si>
  <si>
    <t>AYUNGON RURAL HEALTH UNIT</t>
  </si>
  <si>
    <t>AYUNGON NEGROS ORIENTAL</t>
  </si>
  <si>
    <t>kesheiadgantalao@gmail.com</t>
  </si>
  <si>
    <t>https://www.jotform.com/uploads/macarewecare/222927978372067/5958985177814170537/5958985177814170537_signature_28.png</t>
  </si>
  <si>
    <t>Kesheia Gantalao, RMT</t>
  </si>
  <si>
    <t>https://www.jotform.com/uploads/macarewecare/222927978372067/5958985177814170537/5958985177814170537_signature_31.png</t>
  </si>
  <si>
    <t xml:space="preserve">ASSAY: Xpert MTB/RIF Ultra, COUNT: 1828
</t>
  </si>
  <si>
    <t>Modules B1, B2 and B4 encounter multiple temperature related errors</t>
  </si>
  <si>
    <t>Clean Surface Area, Cartridge Bay, Plunger Rod, Fan Filters, and Icore Lenses
Generate IQR, Assay Stat and System Log
Archived Data test results
Perform Xpertcheck Calibration on Modules 1, 2, and 4</t>
  </si>
  <si>
    <t>Perform Preventive Maintenance and Functionality Test of the Modules</t>
  </si>
  <si>
    <t>Modules 1 and 4 For Service Required
Module 2 Passed
Module 2 for under observation</t>
  </si>
  <si>
    <t>https://www.jotform.com/uploads/macarewecare/222927978372067/5958908468348422198/5958908468348422198_signature_28.png</t>
  </si>
  <si>
    <t>Cristina Tiara A. Fernandez</t>
  </si>
  <si>
    <t>https://www.jotform.com/uploads/macarewecare/222927978372067/5958908468348422198/5958908468348422198_signature_31.png</t>
  </si>
  <si>
    <t>Module 3 Error, CPU sometimes not powering on, Due for Calibration</t>
  </si>
  <si>
    <t>Performed Calibration 
(B3/862506 - Service Required)
(B1 , B4 - PASSED)
Performed Troubleshooting on CPU
(Defective Power Supply)</t>
  </si>
  <si>
    <t>https://www.jotform.com/uploads/macarewecare/222927978372067/5958906767111509241/5958906767111509241_signature_28.png</t>
  </si>
  <si>
    <t>https://www.jotform.com/uploads/macarewecare/222927978372067/5958906767111509241/5958906767111509241_signature_31.png</t>
  </si>
  <si>
    <t>Defective Module B2 700369</t>
  </si>
  <si>
    <t>New Module B2 installed 609798
Clean Fan and Fan Filter
Gather data IQR
Xpertcheck module B3</t>
  </si>
  <si>
    <t>New Module B2 installed 609798
Clean Fan and Fan Filter
Gather data IQR</t>
  </si>
  <si>
    <t>Systems Operational
Xpertcheck B3 service require</t>
  </si>
  <si>
    <t>https://www.jotform.com/uploads/macarewecare/222927978372067/5958904465391376421/5958904465391376421_signature_28.png</t>
  </si>
  <si>
    <t>https://www.jotform.com/uploads/macarewecare/222927978372067/5958904465391376421/5958904465391376421_signature_31.png</t>
  </si>
  <si>
    <t xml:space="preserve">ASSAY: Xpert MTB/RIF Ultra, COUNT: 402
ASSAY: Xpert HIV-1 Viral Load, COUNT: 24
</t>
  </si>
  <si>
    <t>https://www.jotform.com/uploads/macarewecare/222927978372067/5958853688571908150/5958853688571908150_signature_28.png</t>
  </si>
  <si>
    <t>https://www.jotform.com/uploads/macarewecare/222927978372067/5958853688571908150/5958853688571908150_signature_31.png</t>
  </si>
  <si>
    <t>Amang Rodriguez Memorial Medical Center</t>
  </si>
  <si>
    <t>pathologymole.armmc@gmail.com</t>
  </si>
  <si>
    <t xml:space="preserve">ASSAY: Xpert HPV, COUNT: 1
ASSAY: Xpert SARS-CoV-2, COUNT: 2548
ASSAY: Others, COUNT: 13
</t>
  </si>
  <si>
    <t>Performed maintenance 
Cleaned:
-cartridge bay 
-plunger rod 
-icore
-filter
Replaced module A3
Generated reports</t>
  </si>
  <si>
    <t>Old: A3/891761
New: A3/865095</t>
  </si>
  <si>
    <t>https://www.jotform.com/uploads/macarewecare/222927978372067/5958853528573624742/5958853528573624742_signature_28.png</t>
  </si>
  <si>
    <t>Racquel Verzosa</t>
  </si>
  <si>
    <t>https://www.jotform.com/uploads/macarewecare/222927978372067/5958853528573624742/5958853528573624742_signature_31.png</t>
  </si>
  <si>
    <t>maricel_c27@yahoo.cim</t>
  </si>
  <si>
    <t xml:space="preserve">ASSAY: Xpert MTB/RIF Ultra, COUNT: 4487
</t>
  </si>
  <si>
    <t>https://www.jotform.com/uploads/macarewecare/222927978372067/5958853388579080115/5958853388579080115_signature_28.png</t>
  </si>
  <si>
    <t>Maricel S Calderon</t>
  </si>
  <si>
    <t>https://www.jotform.com/uploads/macarewecare/222927978372067/5958853388579080115/5958853388579080115_signature_31.png</t>
  </si>
  <si>
    <t>https://www.jotform.com/uploads/macarewecare/222927978372067/5958852988573280018/5958852988573280018_signature_28.png</t>
  </si>
  <si>
    <t>https://www.jotform.com/uploads/macarewecare/222927978372067/5958852988573280018/5958852988573280018_signature_31.png</t>
  </si>
  <si>
    <t xml:space="preserve">ASSAY: Xpert MTB/RIF Ultra, COUNT: 224
ASSAY: Xpert HIV-1 Viral Load, COUNT: 4
</t>
  </si>
  <si>
    <t>https://www.jotform.com/uploads/macarewecare/222927978372067/5958852918573138581/5958852918573138581_signature_28.png</t>
  </si>
  <si>
    <t>https://www.jotform.com/uploads/macarewecare/222927978372067/5958852918573138581/5958852918573138581_signature_31.png</t>
  </si>
  <si>
    <t xml:space="preserve">ASSAY: Xpert MTB/RIF Ultra, COUNT: 1675
ASSAY: Xpert HIV-1 Viral Load, COUNT: 330
</t>
  </si>
  <si>
    <t>https://www.jotform.com/uploads/macarewecare/222927978372067/5958852918578588426/5958852918578588426_signature_28.png</t>
  </si>
  <si>
    <t>https://www.jotform.com/uploads/macarewecare/222927978372067/5958852918578588426/5958852918578588426_signature_31.png</t>
  </si>
  <si>
    <t>https://www.jotform.com/uploads/macarewecare/222927978372067/5958852908575480499/5958852908575480499_signature_28.png</t>
  </si>
  <si>
    <t>https://www.jotform.com/uploads/macarewecare/222927978372067/5958852908575480499/5958852908575480499_signature_31.png</t>
  </si>
  <si>
    <t>https://www.jotform.com/uploads/macarewecare/222927978372067/5958852908577801544/5958852908577801544_signature_28.png</t>
  </si>
  <si>
    <t>https://www.jotform.com/uploads/macarewecare/222927978372067/5958852908577801544/5958852908577801544_signature_31.png</t>
  </si>
  <si>
    <t>https://www.jotform.com/uploads/macarewecare/222927978372067/5958852918571272209/5958852918571272209_signature_28.png</t>
  </si>
  <si>
    <t>https://www.jotform.com/uploads/macarewecare/222927978372067/5958852918571272209/5958852918571272209_signature_31.png</t>
  </si>
  <si>
    <t>Philippine Orthopedic Center</t>
  </si>
  <si>
    <t>Banawe, Quezon City</t>
  </si>
  <si>
    <t>cmblanceta@gmail.com</t>
  </si>
  <si>
    <t>Performed Preventive maintenance 
Replaced module B1
Generated report</t>
  </si>
  <si>
    <t>Checked and cleaned cartridge bays, plunger rod, icore slot and filter 
Replaced module B1
210092883 -&gt; 807091</t>
  </si>
  <si>
    <t>Gx module 6C</t>
  </si>
  <si>
    <t>DR 49013</t>
  </si>
  <si>
    <t>https://www.jotform.com/uploads/macarewecare/222927978372067/5958852275947185592/5958852275947185592_signature_28.png</t>
  </si>
  <si>
    <t>Claire Marie B. Lanceta</t>
  </si>
  <si>
    <t>https://www.jotform.com/uploads/macarewecare/222927978372067/5958852275947185592/5958852275947185592_signature_31.png</t>
  </si>
  <si>
    <t>https://www.jotform.com/uploads/macarewecare/222927978372067/5958847887382644449/5958847887382644449_signature_28.png</t>
  </si>
  <si>
    <t>https://www.jotform.com/uploads/macarewecare/222927978372067/5958847887382644449/5958847887382644449_signature_31.png</t>
  </si>
  <si>
    <t>https://www.jotform.com/uploads/macarewecare/222927978372067/5958847877387708225/5958847877387708225_signature_28.png</t>
  </si>
  <si>
    <t>https://www.jotform.com/uploads/macarewecare/222927978372067/5958847877387708225/5958847877387708225_signature_31.png</t>
  </si>
  <si>
    <t>https://www.jotform.com/uploads/macarewecare/222927978372067/5958847887388123965/5958847887388123965_signature_28.png</t>
  </si>
  <si>
    <t>https://www.jotform.com/uploads/macarewecare/222927978372067/5958847887388123965/5958847887388123965_signature_31.png</t>
  </si>
  <si>
    <t>https://www.jotform.com/uploads/macarewecare/222927978372067/5958847867386460517/5958847867386460517_signature_28.png</t>
  </si>
  <si>
    <t>https://www.jotform.com/uploads/macarewecare/222927978372067/5958847867386460517/5958847867386460517_signature_31.png</t>
  </si>
  <si>
    <t>https://www.jotform.com/uploads/macarewecare/222927978372067/5958847857387261948/5958847857387261948_signature_28.png</t>
  </si>
  <si>
    <t>https://www.jotform.com/uploads/macarewecare/222927978372067/5958847857387261948/5958847857387261948_signature_31.png</t>
  </si>
  <si>
    <t xml:space="preserve">ASSAY: Xpert MTB/RIF Ultra, COUNT: 960
</t>
  </si>
  <si>
    <t>GeneXpert unable to power on.</t>
  </si>
  <si>
    <t>Checked UPS</t>
  </si>
  <si>
    <t>Checked connections
Checked AVR and UPS output
Performed maintenance 
Cleaned:
-cartridge bay 
-plunger rod 
-icore
-filter
Generated reports</t>
  </si>
  <si>
    <t>Unit is operational but without UPS. UPS for replacement.</t>
  </si>
  <si>
    <t>UPS has no output voltage. GeneXpert System currently connected to the mains.</t>
  </si>
  <si>
    <t>https://www.jotform.com/uploads/macarewecare/222927978372067/5958847787386805430/5958847787386805430_signature_28.png</t>
  </si>
  <si>
    <t>https://www.jotform.com/uploads/macarewecare/222927978372067/5958847787386805430/5958847787386805430_signature_31.png</t>
  </si>
  <si>
    <t xml:space="preserve">ASSAY: Xpert MTB/RIF Ultra, COUNT: 896
</t>
  </si>
  <si>
    <t>https://www.jotform.com/uploads/macarewecare/222927978372067/5958847777388936513/5958847777388936513_signature_28.png</t>
  </si>
  <si>
    <t>https://www.jotform.com/uploads/macarewecare/222927978372067/5958847777388936513/5958847777388936513_signature_31.png</t>
  </si>
  <si>
    <t>https://www.jotform.com/uploads/macarewecare/222927978372067/5958847767389867764/5958847767389867764_signature_28.png</t>
  </si>
  <si>
    <t>https://www.jotform.com/uploads/macarewecare/222927978372067/5958847767389867764/5958847767389867764_signature_31.png</t>
  </si>
  <si>
    <t>Unit is operational. Module C4/210096427 not operational, for reporting.</t>
  </si>
  <si>
    <t>https://www.jotform.com/uploads/macarewecare/222927978372067/5958847747388642343/5958847747388642343_signature_28.png</t>
  </si>
  <si>
    <t>Ma. Mikhaela Rapadas</t>
  </si>
  <si>
    <t>https://www.jotform.com/uploads/macarewecare/222927978372067/5958847747388642343/5958847747388642343_signature_31.png</t>
  </si>
  <si>
    <t>Rizal dr., BGC, Taguig City</t>
  </si>
  <si>
    <t xml:space="preserve">ASSAY: Xpert BCR-ABL Ultra, COUNT: 192
ASSAY: Xpert CT/NG, COUNT: 1030
ASSAY: Xpert HBV VL, COUNT: 89
ASSAY: Xpert HPV, COUNT: 1079
ASSAY: Xpert MTB/RIF Ultra, COUNT: 2745
ASSAY: Xpert HCV VL, COUNT: 59
ASSAY: Xpert HIV-1 Viral Load, COUNT: 70
</t>
  </si>
  <si>
    <t>Unit is operational. Module B3/702387 not operational, under observation. Module B4/68862 not operational, reported already.</t>
  </si>
  <si>
    <t>https://www.jotform.com/uploads/macarewecare/222927978372067/5958847737387110585/5958847737387110585_signature_28.png</t>
  </si>
  <si>
    <t>https://www.jotform.com/uploads/macarewecare/222927978372067/5958847737387110585/5958847737387110585_signature_31.png</t>
  </si>
  <si>
    <t>POB. TAYASAN NEGROS ORIENTAL</t>
  </si>
  <si>
    <t>COLLECT IQR</t>
  </si>
  <si>
    <t>https://www.jotform.com/uploads/macarewecare/222927978372067/5958827103326081086/5958827103326081086_signature_28.png</t>
  </si>
  <si>
    <t>https://www.jotform.com/uploads/macarewecare/222927978372067/5958827103326081086/5958827103326081086_signature_31.png</t>
  </si>
  <si>
    <t>Installed Genexpert
Installed PC
Installed Printer
Installed Drivers
Installed UPS</t>
  </si>
  <si>
    <t>Genexpert Package</t>
  </si>
  <si>
    <t>https://www.jotform.com/uploads/macarewecare/222927978372067/5958776373819464255/5958776373819464255_signature_28.png</t>
  </si>
  <si>
    <t>https://www.jotform.com/uploads/macarewecare/222927978372067/5958776373819464255/5958776373819464255_signature_31.png</t>
  </si>
  <si>
    <t>Module B1 Valve not Aligned</t>
  </si>
  <si>
    <t>Manually aligned Valve
Checked Wirings (broken)</t>
  </si>
  <si>
    <t>Module B1 for Replacement</t>
  </si>
  <si>
    <t>https://www.jotform.com/uploads/macarewecare/222927978372067/5958764865716756121/5958764865716756121_signature_28.png</t>
  </si>
  <si>
    <t>https://www.jotform.com/uploads/macarewecare/222927978372067/5958764865716756121/5958764865716756121_signature_31.png</t>
  </si>
  <si>
    <t>Newly Installed Haemonetics MCS+</t>
  </si>
  <si>
    <t>Install Diagnostic Card and perform Diagnostic Tests
Checked the Cuff pressure
Checked the Centrifuge speed at 3000rpm to 7000 rpm
Checked the Valves if working properly
Checked the Donor Lights
Perform the Cycle Test to ensured the functionality of the Machine</t>
  </si>
  <si>
    <t>Perform Diagnostics and Cycle Test</t>
  </si>
  <si>
    <t>Successfully finished the Cycle Test
Machine is operational and functional</t>
  </si>
  <si>
    <t>https://www.jotform.com/uploads/macarewecare/222927978372067/5958746823412057452/5958746823412057452_signature_28.png</t>
  </si>
  <si>
    <t>Christine C. Porquiado</t>
  </si>
  <si>
    <t>https://www.jotform.com/uploads/macarewecare/222927978372067/5958746823412057452/5958746823412057452_signature_31.png</t>
  </si>
  <si>
    <t xml:space="preserve">ASSAY: Xpert MTB/RIF Ultra, COUNT: 1329
</t>
  </si>
  <si>
    <t>Cleaned cartridge bays, plunger rod,icore, fan filter
Generate reports</t>
  </si>
  <si>
    <t>https://www.jotform.com/uploads/macarewecare/222927978372067/5958734504228779445/5958734504228779445_signature_28.png</t>
  </si>
  <si>
    <t>Desiree Mae D. Dela Rosa</t>
  </si>
  <si>
    <t>https://www.jotform.com/uploads/macarewecare/222927978372067/5958734504228779445/5958734504228779445_signature_31.png</t>
  </si>
  <si>
    <t>Installed GX4-10C(110023512), CPU(CPH1023F47089), Monitor, UPS(AT1000), Printer
Generate reports</t>
  </si>
  <si>
    <t>Installed Gx4-10C set</t>
  </si>
  <si>
    <t>https://www.jotform.com/uploads/macarewecare/222927978372067/5958733594227694208/5958733594227694208_signature_28.png</t>
  </si>
  <si>
    <t>Desiree Mae D.Dela Rosa</t>
  </si>
  <si>
    <t>https://www.jotform.com/uploads/macarewecare/222927978372067/5958733594227694208/5958733594227694208_signature_31.png</t>
  </si>
  <si>
    <t xml:space="preserve">ASSAY: Xpert MTB/RIF Ultra, COUNT: 625
</t>
  </si>
  <si>
    <t>-Preventive Maintenance
-Archive Tests
-Upgrade XpertCheck 1.5a to 1.5b</t>
  </si>
  <si>
    <t>No filter (to be delivered)</t>
  </si>
  <si>
    <t>https://www.jotform.com/uploads/macarewecare/222927978372067/5958702796818354813/5958702796818354813_signature_28.png</t>
  </si>
  <si>
    <t>https://www.jotform.com/uploads/macarewecare/222927978372067/5958702796818354813/5958702796818354813_signature_31.png</t>
  </si>
  <si>
    <t>Jose Dalman Rural Health Unit</t>
  </si>
  <si>
    <t>INSTALLATION
REPAIR
MAINTENANCE
Replaced System Unit and repaired printer</t>
  </si>
  <si>
    <t>crizzycristina@yahoo.com</t>
  </si>
  <si>
    <t>GX 2 (6c)</t>
  </si>
  <si>
    <t>Replaced System uni, repaired printer and conducted Preventive Maintenence</t>
  </si>
  <si>
    <t>All modules are available. Note that uninterruptible Power supply (UPS) is not functioning properly and must be replaced emedietly.</t>
  </si>
  <si>
    <t>Note that uninterruptible Power supply (UPS) is not functioning properly and must be replaced emedietly.</t>
  </si>
  <si>
    <t>https://www.jotform.com/uploads/macarewecare/222927978372067/5958702587767595949/5958702587767595949_signature_28.png</t>
  </si>
  <si>
    <t>MA CRISTINA P MARIÑO</t>
  </si>
  <si>
    <t>https://www.jotform.com/uploads/macarewecare/222927978372067/5958702587767595949/5958702587767595949_signature_31.png</t>
  </si>
  <si>
    <t>Philippine Children's Medical Center</t>
  </si>
  <si>
    <t>kate_july27@yahoo.com</t>
  </si>
  <si>
    <t>For module replacement B1 685665 - 732262</t>
  </si>
  <si>
    <t>For pull out defective module 685665</t>
  </si>
  <si>
    <t>https://www.jotform.com/uploads/macarewecare/222927978372067/5958679686916986269/5958679686916986269_signature_28.png</t>
  </si>
  <si>
    <t>Katherine Tabaño</t>
  </si>
  <si>
    <t>https://www.jotform.com/uploads/macarewecare/222927978372067/5958679686916986269/5958679686916986269_signature_31.png</t>
  </si>
  <si>
    <t>Capoaa, Brgy. Masambong, Quezon City</t>
  </si>
  <si>
    <t xml:space="preserve">ASSAY: Xpert MTB/RIF Ultra, COUNT: 1985
</t>
  </si>
  <si>
    <t>Performed preventive maintenance 
Replaced module B1
Generated report</t>
  </si>
  <si>
    <t>Checked and cleaned cartridge bays, plunger rod, icore slot and filter 
Replaced module B1
690588 -&gt; 869848</t>
  </si>
  <si>
    <t>DR 48924</t>
  </si>
  <si>
    <t>https://www.jotform.com/uploads/macarewecare/222927978372067/5958667123241655302/5958667123241655302_signature_28.png</t>
  </si>
  <si>
    <t>https://www.jotform.com/uploads/macarewecare/222927978372067/5958667123241655302/5958667123241655302_signature_31.png</t>
  </si>
  <si>
    <t>Poblacion, Infanta Pangasinan</t>
  </si>
  <si>
    <t>DR 11629</t>
  </si>
  <si>
    <t>https://www.jotform.com/uploads/macarewecare/222927978372067/5958665360626636569/5958665360626636569_signature_28.png</t>
  </si>
  <si>
    <t>https://www.jotform.com/uploads/macarewecare/222927978372067/5958665360626636569/5958665360626636569_signature_31.png</t>
  </si>
  <si>
    <t>DR 11448</t>
  </si>
  <si>
    <t>https://www.jotform.com/uploads/macarewecare/222927978372067/5958661160623171123/5958661160623171123_signature_28.png</t>
  </si>
  <si>
    <t>https://www.jotform.com/uploads/macarewecare/222927978372067/5958661160623171123/5958661160623171123_signature_31.png</t>
  </si>
  <si>
    <t>Catmon Health Center</t>
  </si>
  <si>
    <t>Catmon, Malabon</t>
  </si>
  <si>
    <t>mariathes0218@gmail.com</t>
  </si>
  <si>
    <t>CPU for troubleshooting</t>
  </si>
  <si>
    <t>Installed components under DOH onto one system</t>
  </si>
  <si>
    <t>https://www.jotform.com/uploads/macarewecare/222927978372067/5958648562415513921/5958648562415513921_signature_28.png</t>
  </si>
  <si>
    <t>Clara Gloria</t>
  </si>
  <si>
    <t>https://www.jotform.com/uploads/macarewecare/222927978372067/5958648562415513921/5958648562415513921_signature_31.png</t>
  </si>
  <si>
    <t>Poblacion West, Sta. Maria</t>
  </si>
  <si>
    <t>Performed installation of GeneXpert System.
Verified outlet voltage.
Performed GebeXpert system maintenance training.
Generated reports.</t>
  </si>
  <si>
    <t>https://www.jotform.com/uploads/macarewecare/222927978372067/5958633454225161947/5958633454225161947_signature_28.png</t>
  </si>
  <si>
    <t>https://www.jotform.com/uploads/macarewecare/222927978372067/5958633454225161947/5958633454225161947_signature_31.png</t>
  </si>
  <si>
    <t>Philippine Red Cross (Laguna Chapter)</t>
  </si>
  <si>
    <t>P.Guevarra,Sta Cruz Laguna</t>
  </si>
  <si>
    <t>Self test failed yellow valve</t>
  </si>
  <si>
    <t>Replaced and instaaled valve manifold
Checked program parameters
Checked and adjust line sensor value
Checked rollers,dpm,spm,centrifuge
Performed functionality test
Performed simulation running</t>
  </si>
  <si>
    <t>Valve manifold</t>
  </si>
  <si>
    <t>https://www.jotform.com/uploads/macarewecare/222927978372067/5958611926914181952/5958611926914181952_signature_28.png</t>
  </si>
  <si>
    <t>Phil. Red  Cross Laguna Chapter</t>
  </si>
  <si>
    <t>https://www.jotform.com/uploads/macarewecare/222927978372067/5958611926914181952/5958611926914181952_signature_31.png</t>
  </si>
  <si>
    <t>Mlang Rural Health Unit</t>
  </si>
  <si>
    <t>Poblacion, Mlang, North Cotabato</t>
  </si>
  <si>
    <t>kathlynlacabe7@gmail.com</t>
  </si>
  <si>
    <t xml:space="preserve">ASSAY: Xpert MTB/RIF Ultra, COUNT: 1164
</t>
  </si>
  <si>
    <t>Replace defective module 2 SN:696344 with new module SN:628510
Genexpert machine Cleaning/preventive maintenance 
Checking of errors 
Data collection</t>
  </si>
  <si>
    <t>Cepheid case: 1553561</t>
  </si>
  <si>
    <t>https://www.jotform.com/uploads/macarewecare/222927978372067/5958084567708551262/5958084567708551262_signature_28.png</t>
  </si>
  <si>
    <t>Kathlyn mae y lacabe</t>
  </si>
  <si>
    <t>https://www.jotform.com/uploads/macarewecare/222927978372067/5958084567708551262/5958084567708551262_signature_31.png</t>
  </si>
  <si>
    <t>lisandrogacias@gmail.com</t>
  </si>
  <si>
    <t xml:space="preserve">ASSAY: Xpert SARS-CoV-2, COUNT: 2695
ASSAY: Xpert MTB/RIF Ultra, COUNT: 340
ASSAY: Xpert SARS-CoV-2, COUNT: 218
</t>
  </si>
  <si>
    <t>Performed Maintenance
(Cleaned Icore)
(Cleaned Cartridge Bay)
(Cleaned Filter)
(Cleaned Plunger Rod)
Performed Functionality Test</t>
  </si>
  <si>
    <t>Gathered Reports</t>
  </si>
  <si>
    <t>https://www.jotform.com/uploads/macarewecare/222927978372067/5958063390801304310/5958063390801304310_signature_28.png</t>
  </si>
  <si>
    <t>Lisandro Gacias</t>
  </si>
  <si>
    <t>https://www.jotform.com/uploads/macarewecare/222927978372067/5958063390801304310/5958063390801304310_signature_31.png</t>
  </si>
  <si>
    <t xml:space="preserve">ASSAY: Others, COUNT: 2
ASSAY: Xpert HBV VL, COUNT: 144
ASSAY: Xpert MTB/RIF Ultra, COUNT: 2
ASSAY: Xpert HCV VL, COUNT: 30
ASSAY: Xpert HIV-1 Viral Load, COUNT: 447
</t>
  </si>
  <si>
    <t>Performed Maintenance
(Cleaned Filter)
(Cleaned Icore)
(Cleaned Cartridge Bay)
(Cleaned Plunger Rod)</t>
  </si>
  <si>
    <t>https://www.jotform.com/uploads/macarewecare/222927978372067/5958049985712134542/5958049985712134542_signature_28.png</t>
  </si>
  <si>
    <t>https://www.jotform.com/uploads/macarewecare/222927978372067/5958049985712134542/5958049985712134542_signature_31.png</t>
  </si>
  <si>
    <t>Hospital Drive, General Trias, Cavite</t>
  </si>
  <si>
    <t xml:space="preserve">ASSAY: Xpert MTB/RIF Ultra, COUNT: 3594
</t>
  </si>
  <si>
    <t>Cleaned Cartridge Bay, Plunger Rod and Icore Optics.
Checked Filter if Clogged.
Generate Reports.
Performed Self-test.</t>
  </si>
  <si>
    <t>3 Modules are Operational. 1 Disabled for Reporting.</t>
  </si>
  <si>
    <t>A3/ 601653 for reporting.</t>
  </si>
  <si>
    <t>https://www.jotform.com/uploads/macarewecare/222927978372067/5958037336402062951/5958037336402062951_signature_28.png</t>
  </si>
  <si>
    <t>https://www.jotform.com/uploads/macarewecare/222927978372067/5958037336402062951/5958037336402062951_signature_31.png</t>
  </si>
  <si>
    <t>Dr. A. Santos Ave, San Isidro, Parañaque</t>
  </si>
  <si>
    <t xml:space="preserve">ASSAY: Xpert MTB/RIF Ultra, COUNT: 2031
ASSAY: Xpert HIV-1 Viral Load, COUNT: 76
</t>
  </si>
  <si>
    <t>Module 3 Service Required in XpertCheck.
System with UPS Problem.</t>
  </si>
  <si>
    <t>Repair.
UPS Troubleshooting.</t>
  </si>
  <si>
    <t>Cleaned and Replaced Module 3.
Performed Self-test.
Generate Reports.
Checked UPS Output Voltage and Backup Function.</t>
  </si>
  <si>
    <t>2 Modules are Operational. 2 for Retry in XpertCheck.
UPS Backup Voltage is Low.</t>
  </si>
  <si>
    <t>Recommendation for UPS Replacement. B3: 210091236 -&gt; 749978</t>
  </si>
  <si>
    <t>https://www.jotform.com/uploads/macarewecare/222927978372067/5958037336408566191/5958037336408566191_signature_28.png</t>
  </si>
  <si>
    <t>Amelia G. Herminado</t>
  </si>
  <si>
    <t>https://www.jotform.com/uploads/macarewecare/222927978372067/5958037336408566191/5958037336408566191_signature_31.png</t>
  </si>
  <si>
    <t>https://www.jotform.com/uploads/macarewecare/222927978372067/5958037336401911082/5958037336401911082_signature_28.png</t>
  </si>
  <si>
    <t>https://www.jotform.com/uploads/macarewecare/222927978372067/5958037336401911082/5958037336401911082_signature_31.png</t>
  </si>
  <si>
    <t>Abra-Ilocos Road, Calaba, Bangued, Abra</t>
  </si>
  <si>
    <t>Checked Outlet Voltage.
Installed GeneXpert System.
Performed Self-test.
Generate Reports.</t>
  </si>
  <si>
    <t>GeneXpert System Installed and Functional.</t>
  </si>
  <si>
    <t>DR 11627</t>
  </si>
  <si>
    <t>https://www.jotform.com/uploads/macarewecare/222927978372067/5958037336408006826/5958037336408006826_signature_28.png</t>
  </si>
  <si>
    <t>Riverlie A Valera</t>
  </si>
  <si>
    <t>https://www.jotform.com/uploads/macarewecare/222927978372067/5958037336408006826/5958037336408006826_signature_31.png</t>
  </si>
  <si>
    <t>15HO336</t>
  </si>
  <si>
    <t>Performed Maintenance
Adjust Line Sensor</t>
  </si>
  <si>
    <t>Check line sensor
Check rollers
Check values
Performed Test Run</t>
  </si>
  <si>
    <t>Due for Calibration, Rollers need Replacement</t>
  </si>
  <si>
    <t>https://www.jotform.com/uploads/macarewecare/222927978372067/5958033805712161430/5958033805712161430_signature_28.png</t>
  </si>
  <si>
    <t>https://www.jotform.com/uploads/macarewecare/222927978372067/5958033805712161430/5958033805712161430_signature_31.png</t>
  </si>
  <si>
    <t>ntpbinalbagan@gmail.com</t>
  </si>
  <si>
    <t xml:space="preserve">ASSAY: Xpert MTB/RIF Ultra, COUNT: 957
</t>
  </si>
  <si>
    <t>GX-4 R2</t>
  </si>
  <si>
    <t>Due doe Xpertcheck on July 31, 2024.</t>
  </si>
  <si>
    <t>All modules passed Xpertcheck.</t>
  </si>
  <si>
    <t>https://www.jotform.com/uploads/macarewecare/222927978372067/5958006273413518206/5958006273413518206_signature_28.png</t>
  </si>
  <si>
    <t>Xerxanne A. Galilea</t>
  </si>
  <si>
    <t>https://www.jotform.com/uploads/macarewecare/222927978372067/5958006273413518206/5958006273413518206_signature_31.png</t>
  </si>
  <si>
    <t>Quirino Memorial Medical Center</t>
  </si>
  <si>
    <t>JP Rizal, Project 4, Quezon City</t>
  </si>
  <si>
    <t>carlopalomera58@gmail.com</t>
  </si>
  <si>
    <t xml:space="preserve">ASSAY: Xpert CT/NG, COUNT: 21
ASSAY: Others, COUNT: 4
ASSAY: Xpert HPV, COUNT: 13
ASSAY: Xpert MTB/RIF Ultra, COUNT: 3764
</t>
  </si>
  <si>
    <t>Performed preventive maintenance 
Replaced module B3
Generated report</t>
  </si>
  <si>
    <t>Checked and cleaned cartridge bays, plunger rod, icore slot and filter 
Replaced module B3
754303 -&gt; 878880</t>
  </si>
  <si>
    <t>DR 48925</t>
  </si>
  <si>
    <t>https://www.jotform.com/uploads/macarewecare/222927978372067/5958002273616279093/5958002273616279093_signature_28.png</t>
  </si>
  <si>
    <t>Ma. Regina Catalan</t>
  </si>
  <si>
    <t>https://www.jotform.com/uploads/macarewecare/222927978372067/5958002273616279093/5958002273616279093_signature_31.png</t>
  </si>
  <si>
    <t>For Installation of Haemonetics MCS+</t>
  </si>
  <si>
    <t>Set up Haemonetics Machine System
Assemble the Trolley for Haemonetics 
Check the Line Voltages
Setup the AVR with SN:2379PSX809 and 
UPS with SN: AT1K240323ST0046
Assemble the Haemonetics Machine with SN:21M389SPG
Setup Parameters for UPP Configuration</t>
  </si>
  <si>
    <t>Unit Successfully Installed
Unit is Operational</t>
  </si>
  <si>
    <t>DR 11607</t>
  </si>
  <si>
    <t>https://www.jotform.com/uploads/macarewecare/222927978372067/5957995031416421225/5957995031416421225_signature_28.png</t>
  </si>
  <si>
    <t>https://www.jotform.com/uploads/macarewecare/222927978372067/5957995031416421225/5957995031416421225_signature_31.png</t>
  </si>
  <si>
    <t>Poblacion Bagumbayan, Sultan Kudarat</t>
  </si>
  <si>
    <t xml:space="preserve">ASSAY: Xpert MTB/RIF Ultra, COUNT: 901
ASSAY: Xpert MTB/RIF Ultra, COUNT: 905
</t>
  </si>
  <si>
    <t>Module 2,3 and 4 stuck cartridge</t>
  </si>
  <si>
    <t>Repair module stuck cartridge
Genexpert Cleaning/preventive maintenance 
Checking of errors 
Perform actual run at module 2,3 and 4 to test module functionality 
Data collection</t>
  </si>
  <si>
    <t>Perform Genexpert machine module repair 
Perform Genexpert machine Preventive maintenance</t>
  </si>
  <si>
    <t>https://www.jotform.com/uploads/macarewecare/222927978372067/5957955822672217398/5957955822672217398_signature_28.png</t>
  </si>
  <si>
    <t>https://www.jotform.com/uploads/macarewecare/222927978372067/5957955822672217398/5957955822672217398_signature_31.png</t>
  </si>
  <si>
    <t>Dr.Amado Diaz Provincial Foundation Hospital</t>
  </si>
  <si>
    <t xml:space="preserve">ASSAY: Xpert MTB/RIF Ultra, COUNT: 1038
ASSAY: Xpert HIV-1 Viral Load, COUNT: 108
</t>
  </si>
  <si>
    <t>Gx-IV</t>
  </si>
  <si>
    <t>Replace defective module 1 SN:729721 with new module SN:210036596
Genexpert Cleaning/preventive maintenance 
Checking of errors 
Data collections</t>
  </si>
  <si>
    <t>Cepheid case: 1550281</t>
  </si>
  <si>
    <t>https://www.jotform.com/uploads/macarewecare/222927978372067/5957955822677406131/5957955822677406131_signature_28.png</t>
  </si>
  <si>
    <t>CHARLENE MAE A. AMATAC</t>
  </si>
  <si>
    <t>https://www.jotform.com/uploads/macarewecare/222927978372067/5957955822677406131/5957955822677406131_signature_31.png</t>
  </si>
  <si>
    <t>Centro, Cabagan, Isabela</t>
  </si>
  <si>
    <t>Replaced Cmos Battery</t>
  </si>
  <si>
    <t>Installed Genexpert
Installed UPS
Installed Printer
Installed PC
Performed Maintenance
Gathered Reports
Performed Functionality Test</t>
  </si>
  <si>
    <t>From Southern Isabela Medical Center</t>
  </si>
  <si>
    <t>https://www.jotform.com/uploads/macarewecare/222927978372067/5957950403819072304/5957950403819072304_signature_28.png</t>
  </si>
  <si>
    <t>Millet Joy Jampas</t>
  </si>
  <si>
    <t>https://www.jotform.com/uploads/macarewecare/222927978372067/5957950403819072304/5957950403819072304_signature_31.png</t>
  </si>
  <si>
    <t>San Francisco, Camotes, Cebu</t>
  </si>
  <si>
    <t>ejoey22@gmail.com</t>
  </si>
  <si>
    <t>Module B1 H/W fail; failed XPC. Module B2 is functional.</t>
  </si>
  <si>
    <t>https://www.jotform.com/uploads/macarewecare/222927978372067/5957923814022340284/5957923814022340284_signature_28.png</t>
  </si>
  <si>
    <t>Josiecora Albarracin</t>
  </si>
  <si>
    <t>https://www.jotform.com/uploads/macarewecare/222927978372067/5957923814022340284/5957923814022340284_signature_31.png</t>
  </si>
  <si>
    <t xml:space="preserve">ASSAY: Xpert MTB/RIF Ultra, COUNT: 2363
ASSAY: Xpert HIV-1 Viral Load, COUNT: 141
ASSAY: Xpert HIV-1 Viral Load, COUNT: 355
</t>
  </si>
  <si>
    <t>Packed 6C machine requested to be used while waiting for relacation</t>
  </si>
  <si>
    <t>Unpacked 6C machine
Merged 2 machine in one cpu
Generated report</t>
  </si>
  <si>
    <t>Unpacked 6C machine
CPU waiting for replacement 
Merged to 805271 through network switch for the meantime
Checked and cleaned cartridge bays, plunger rod, icore slot, and filter</t>
  </si>
  <si>
    <t>Unit is operational 
B1 waiting for replacement</t>
  </si>
  <si>
    <t>https://www.jotform.com/uploads/macarewecare/222927978372067/5957845128347902612/5957845128347902612_signature_28.png</t>
  </si>
  <si>
    <t>ernita may b. cruz</t>
  </si>
  <si>
    <t>https://www.jotform.com/uploads/macarewecare/222927978372067/5957845128347902612/5957845128347902612_signature_31.png</t>
  </si>
  <si>
    <t>Module A2 and A3 for replacement</t>
  </si>
  <si>
    <t>Performed preventive maintenance 
Replaced modules
Generated report</t>
  </si>
  <si>
    <t>Checked and cleaned cartridge bays, plunger rod, icore slot and filter
Replaced modules
A2: 757103 -&gt; 889857
A3: 620656 -&gt; 210000207</t>
  </si>
  <si>
    <t>GX Modules 6C</t>
  </si>
  <si>
    <t>DR 48932</t>
  </si>
  <si>
    <t>https://www.jotform.com/uploads/macarewecare/222927978372067/5957838198344317050/5957838198344317050_signature_28.png</t>
  </si>
  <si>
    <t>https://www.jotform.com/uploads/macarewecare/222927978372067/5957838198344317050/5957838198344317050_signature_31.png</t>
  </si>
  <si>
    <t>E. Rodriguez Health Center</t>
  </si>
  <si>
    <t>Pajo St, Project 2, Quezon City</t>
  </si>
  <si>
    <t>beccaramilo07@gmail.com</t>
  </si>
  <si>
    <t xml:space="preserve">ASSAY: Xpert HPV, COUNT: 58
ASSAY: Xpert MTB/RIF Ultra, COUNT: 2189
</t>
  </si>
  <si>
    <t>Unit due for maintenance 
Module A4 frequent error</t>
  </si>
  <si>
    <t>Checked and cleaned cartridge bays, plunger rod, icore slot and filter
Checked system log
Temp error on module A4
A4 for reporting</t>
  </si>
  <si>
    <t>Unit is operational
3 modules working
1 module for reporting</t>
  </si>
  <si>
    <t>https://www.jotform.com/uploads/macarewecare/222927978372067/5957747992325922554/5957747992325922554_signature_28.png</t>
  </si>
  <si>
    <t>Rebecca Joy Ramilo</t>
  </si>
  <si>
    <t>https://www.jotform.com/uploads/macarewecare/222927978372067/5957747992325922554/5957747992325922554_signature_31.png</t>
  </si>
  <si>
    <t>Installed the GeneXpert Machine Serial Number :110023505
With CPU System Unit SN: CPH1123F47508
Install Assay for HIV VL, MTB RIF ULTRA
Enroll Enduser Account
Generate IQR</t>
  </si>
  <si>
    <t>Successfully Installed the GeneXpert Machine System</t>
  </si>
  <si>
    <t>DR 11648</t>
  </si>
  <si>
    <t>https://www.jotform.com/uploads/macarewecare/222927978372067/5957225146029456192/5957225146029456192_signature_28.png</t>
  </si>
  <si>
    <t>Flordeliza B. Go RMT MPH</t>
  </si>
  <si>
    <t>https://www.jotform.com/uploads/macarewecare/222927978372067/5957225146029456192/5957225146029456192_signature_31.png</t>
  </si>
  <si>
    <t>chd.laureanjocabase@gmail.com</t>
  </si>
  <si>
    <t>New Genexpert Machine Installations
Gather data IQR
Basic Operation training of End-User</t>
  </si>
  <si>
    <t>https://www.jotform.com/uploads/macarewecare/222927978372067/5957157569916936744/5957157569916936744_signature_28.png</t>
  </si>
  <si>
    <t>Laurean Jo F. Cabase</t>
  </si>
  <si>
    <t>https://www.jotform.com/uploads/macarewecare/222927978372067/5957157569916936744/5957157569916936744_signature_31.png</t>
  </si>
  <si>
    <t>Installed Genexpert
Installed PC
Installed Printer
Installed UPS
Installed Monitor
Installed Drivers
Performed Maintenance
Gathered Reports
Performed Functionality Test</t>
  </si>
  <si>
    <t>https://www.jotform.com/uploads/macarewecare/222927978372067/5957145973818580359/5957145973818580359_signature_28.png</t>
  </si>
  <si>
    <t>https://www.jotform.com/uploads/macarewecare/222927978372067/5957145973818580359/5957145973818580359_signature_31.png</t>
  </si>
  <si>
    <t>Sta. Cruz Sur, Iriga City, Camarines Sur</t>
  </si>
  <si>
    <t>GX DX version 6.4</t>
  </si>
  <si>
    <t>Install and update GX DC
Cleaned cartridge bays, plunger rod, icore 
Generate report</t>
  </si>
  <si>
    <t>Update GX DX
Performed Preventive Maintenance</t>
  </si>
  <si>
    <t>https://www.jotform.com/uploads/macarewecare/222927978372067/5957125212323645173/5957125212323645173_signature_28.png</t>
  </si>
  <si>
    <t>https://www.jotform.com/uploads/macarewecare/222927978372067/5957125212323645173/5957125212323645173_signature_31.png</t>
  </si>
  <si>
    <t>Installed GeneXpert machine(110023511), CPU(CPH1023F46954), monitor, UPS, Printer
Generate report</t>
  </si>
  <si>
    <t>Installed GX4-10C set</t>
  </si>
  <si>
    <t>https://www.jotform.com/uploads/macarewecare/222927978372067/5957124332326597689/5957124332326597689_signature_28.png</t>
  </si>
  <si>
    <t>https://www.jotform.com/uploads/macarewecare/222927978372067/5957124332326597689/5957124332326597689_signature_31.png</t>
  </si>
  <si>
    <t>jocelynpagpaguitan@yahoo.com</t>
  </si>
  <si>
    <t>GXIV - 2D</t>
  </si>
  <si>
    <t>https://www.jotform.com/uploads/macarewecare/222927978372067/5957112532124505007/5957112532124505007_signature_28.png</t>
  </si>
  <si>
    <t>Jocelyn C. Pagpaguitan</t>
  </si>
  <si>
    <t>https://www.jotform.com/uploads/macarewecare/222927978372067/5957112532124505007/5957112532124505007_signature_31.png</t>
  </si>
  <si>
    <t>DISPLAY CABLE</t>
  </si>
  <si>
    <t>https://www.jotform.com/uploads/macarewecare/222927978372067/5957087009916909125/5957087009916909125_signature_28.png</t>
  </si>
  <si>
    <t>CHRISTINE JADE LAGAT</t>
  </si>
  <si>
    <t>https://www.jotform.com/uploads/macarewecare/222927978372067/5957087009916909125/5957087009916909125_signature_31.png</t>
  </si>
  <si>
    <t>Angadanan Rural Health Unit</t>
  </si>
  <si>
    <t>Centro 3, Angadanan, Isabela</t>
  </si>
  <si>
    <t>rhuangadananlaboratory@gmail.com</t>
  </si>
  <si>
    <t>Cmos Battery</t>
  </si>
  <si>
    <t>Replaced CMOS Battery</t>
  </si>
  <si>
    <t>https://www.jotform.com/uploads/macarewecare/222927978372067/5957051081819633545/5957051081819633545_signature_28.png</t>
  </si>
  <si>
    <t>Julie Ann Dalupang</t>
  </si>
  <si>
    <t>https://www.jotform.com/uploads/macarewecare/222927978372067/5957051081819633545/5957051081819633545_signature_31.png</t>
  </si>
  <si>
    <t>Tondo Medical Center</t>
  </si>
  <si>
    <t>H. Lopez Blvd., Tondo Manila</t>
  </si>
  <si>
    <t>microscan@tmc.doh.gov.ph</t>
  </si>
  <si>
    <t>Unit for Preventive Maintenance.
Shuffled module assignments.</t>
  </si>
  <si>
    <t>Performed Preventive Maintenance.
-Cleaned and disinfect plunger
-Cleaned and disinfect cartridge bay
-Cleaned and disinfect instrument surface
-Cleaned icore sensors
-Cleaned filter fan
-Archived test results
Performed re-assignments of modules.
Generated reports.</t>
  </si>
  <si>
    <t>Unit is operational. For reporting of modules B2 and C3 due to temperature errors.</t>
  </si>
  <si>
    <t>https://www.jotform.com/uploads/macarewecare/222927978372067/5957050962992825313/5957050962992825313_signature_28.png</t>
  </si>
  <si>
    <t>Analyn Facto</t>
  </si>
  <si>
    <t>https://www.jotform.com/uploads/macarewecare/222927978372067/5957050962992825313/5957050962992825313_signature_31.png</t>
  </si>
  <si>
    <t>Lianga Rural Health Unit</t>
  </si>
  <si>
    <t>Poblacion, Lianga</t>
  </si>
  <si>
    <t>gyvxs@yahoo.com</t>
  </si>
  <si>
    <t>GX-2</t>
  </si>
  <si>
    <t>Module B2 found Service Required from XPC</t>
  </si>
  <si>
    <t>Replacing Module B2 with SN: 788906 to SN: 691828</t>
  </si>
  <si>
    <t>https://www.jotform.com/uploads/macarewecare/222927978372067/5957020147872758938/5957020147872758938_signature_28.png</t>
  </si>
  <si>
    <t>Gyver I. Sistona</t>
  </si>
  <si>
    <t>https://www.jotform.com/uploads/macarewecare/222927978372067/5957020147872758938/5957020147872758938_signature_31.png</t>
  </si>
  <si>
    <t>l_gemino@yahoo.com</t>
  </si>
  <si>
    <t xml:space="preserve">ASSAY: Xpert MTB/RIF Ultra, COUNT: 1194
ASSAY: Xpert HIV-1 Viral Load, COUNT: 97
</t>
  </si>
  <si>
    <t>Unit is operational 
Module A1 under observation</t>
  </si>
  <si>
    <t>https://www.jotform.com/uploads/macarewecare/222927978372067/5957009420816811738/5957009420816811738_signature_28.png</t>
  </si>
  <si>
    <t>Lilibeth Gemino</t>
  </si>
  <si>
    <t>https://www.jotform.com/uploads/macarewecare/222927978372067/5957009420816811738/5957009420816811738_signature_31.png</t>
  </si>
  <si>
    <t>Victorias City Health Office</t>
  </si>
  <si>
    <t>Victorias City, Negros Occidental</t>
  </si>
  <si>
    <t>dharwinliquez23@gmail.com</t>
  </si>
  <si>
    <t>Defective nodules 691294/B1 and 692687/B2</t>
  </si>
  <si>
    <t>Preventive maintenance - cleaned optics, module bays. plunger rods, filter.</t>
  </si>
  <si>
    <t>Replaced modules B1 and B2 with new modules SN 692459 and 696137 respectively.</t>
  </si>
  <si>
    <t>https://www.jotform.com/uploads/macarewecare/222927978372067/5956228635767836816/5956228635767836816_signature_28.png</t>
  </si>
  <si>
    <t>Dharwin Liquez</t>
  </si>
  <si>
    <t>https://www.jotform.com/uploads/macarewecare/222927978372067/5956228635767836816/5956228635767836816_signature_31.png</t>
  </si>
  <si>
    <t xml:space="preserve">ASSAY: Xpert HBV VL, COUNT: 81
ASSAY: Xpert MTB/RIF Ultra, COUNT: 720
ASSAY: Xpert CT/NG, COUNT: 29
ASSAY: Xpert HCV VL, COUNT: 11
ASSAY: Xpert HIV-1 Viral Load, COUNT: 138
</t>
  </si>
  <si>
    <t>Module B1 and B2 error 1002</t>
  </si>
  <si>
    <t>Performed Calibration
(Module B2 - Service Required)
(Module B1, B3, B4 - Passed)</t>
  </si>
  <si>
    <t>https://www.jotform.com/uploads/macarewecare/222927978372067/5956214147759276943/5956214147759276943_signature_28.png</t>
  </si>
  <si>
    <t>https://www.jotform.com/uploads/macarewecare/222927978372067/5956214147759276943/5956214147759276943_signature_31.png</t>
  </si>
  <si>
    <t>marteetingzon20@gmail.com</t>
  </si>
  <si>
    <t>https://www.jotform.com/uploads/macarewecare/222927978372067/5956198933312549683/5956198933312549683_signature_28.png</t>
  </si>
  <si>
    <t>Martee Tingzon</t>
  </si>
  <si>
    <t>https://www.jotform.com/uploads/macarewecare/222927978372067/5956198933312549683/5956198933312549683_signature_31.png</t>
  </si>
  <si>
    <t>parconriza521@gmail.com</t>
  </si>
  <si>
    <t xml:space="preserve">ASSAY: Xpert MTB/RIF Ultra, COUNT: 959
ASSAY: Xpert HIV-1 Viral Load, COUNT: 117
</t>
  </si>
  <si>
    <t>Old: B4/807137
New: B4/897559</t>
  </si>
  <si>
    <t>https://www.jotform.com/uploads/macarewecare/222927978372067/5956063433614598845/5956063433614598845_signature_28.png</t>
  </si>
  <si>
    <t>Riza Parcon</t>
  </si>
  <si>
    <t>https://www.jotform.com/uploads/macarewecare/222927978372067/5956063433614598845/5956063433614598845_signature_31.png</t>
  </si>
  <si>
    <t>San Pedro Rural Health Unit 2</t>
  </si>
  <si>
    <t>Brgy. Langgam, San Pedro Laguna</t>
  </si>
  <si>
    <t>lenimahalin@gmail.com</t>
  </si>
  <si>
    <t>Unit for preventive maintenance.
For module replacement of module A1.
For troubleshooting of CPU.</t>
  </si>
  <si>
    <t>Preventive maintenance, module replacement and troubleshooting.</t>
  </si>
  <si>
    <t>Performed Preventive Maintenance.
-Cleaned and disinfect plunger
-Cleaned and disinfect cartridge bay
-Cleaned and disinfect instrument surface
-Cleaned icore sensors
-Cleaned filter fan
-Archived test results
Performed module replacement.
Performed troubleshooting of CPU.
Generated reports.</t>
  </si>
  <si>
    <t>Unit is operational. CPU (HP Z240 SN: 2UA8471W4T) not operational and for replacement due to continous booting.</t>
  </si>
  <si>
    <t>GX module A1 (210018940) in replacement to defective A1 (784169).</t>
  </si>
  <si>
    <t>https://www.jotform.com/uploads/macarewecare/222927978372067/5956062783615532777/5956062783615532777_signature_28.png</t>
  </si>
  <si>
    <t>Celenita Mahalin</t>
  </si>
  <si>
    <t>https://www.jotform.com/uploads/macarewecare/222927978372067/5956062783615532777/5956062783615532777_signature_31.png</t>
  </si>
  <si>
    <t>Taft Ave., Manila</t>
  </si>
  <si>
    <t>Unit for preventive maintenance.
For troubleshooting of monitor.</t>
  </si>
  <si>
    <t>Performed Preventive Maintenance.
-Cleaned and disinfect plunger
-Cleaned and disinfect cartridge bay
-Cleaned and disinfect instrument surface
-Cleaned icore sensors
-Cleaned filter fan
-Archived test results
Performed troubleshooting of monitor
Generated reports.</t>
  </si>
  <si>
    <t>Unit is operational. Monitor HP ProDisplay 19A (CNK94302DX) has a malfunctioning controls. Monitor for replacement.</t>
  </si>
  <si>
    <t>https://www.jotform.com/uploads/macarewecare/222927978372067/5956062783618371885/5956062783618371885_signature_28.png</t>
  </si>
  <si>
    <t>https://www.jotform.com/uploads/macarewecare/222927978372067/5956062783618371885/5956062783618371885_signature_31.png</t>
  </si>
  <si>
    <t>https://www.jotform.com/uploads/macarewecare/222927978372067/5956062793612864527/5956062793612864527_signature_28.png</t>
  </si>
  <si>
    <t>https://www.jotform.com/uploads/macarewecare/222927978372067/5956062793612864527/5956062793612864527_signature_31.png</t>
  </si>
  <si>
    <t>Puerto Princesa Palawan</t>
  </si>
  <si>
    <t>Troubleshoot module B1 for stuck cartridge 
Unit due for calibration</t>
  </si>
  <si>
    <t>Performed preventive maintenance 
Module B1 troubleshooting 
Tried to perform Xpertcheck</t>
  </si>
  <si>
    <t>Checked and cleaned cartridge bays, plunger rod, icore slot and filter 
Tried removing stuck cartridge but nothing happens 
Cartridge still stuck on B1
Gathered report for B1 to be reported since it's been on H/W failed since May
Tried Xpertcheck but failed to do so because of error 2031
Can't perform Xpertcheck for reporting</t>
  </si>
  <si>
    <t>unit is operational 
3 modules working</t>
  </si>
  <si>
    <t>https://www.jotform.com/uploads/macarewecare/222927978372067/5956053393618860072/5956053393618860072_signature_28.png</t>
  </si>
  <si>
    <t>https://www.jotform.com/uploads/macarewecare/222927978372067/5956053393618860072/5956053393618860072_signature_31.png</t>
  </si>
  <si>
    <t>crmctblab@gmail.com</t>
  </si>
  <si>
    <t xml:space="preserve">ASSAY: Xpert MTB/RIF Ultra, COUNT: 28
ASSAY: Xpert HBV VL, COUNT: 7
ASSAY: Xpert HPV, COUNT: 9
ASSAY: Xpert HIV-1 Viral Load, COUNT: 19
</t>
  </si>
  <si>
    <t>Replace defective module 3 SN:210100874 with new module SN:639321
Genexpert machine Cleaning/preventive maintenance 
Checking of errors 
Data collection</t>
  </si>
  <si>
    <t>Cepheid case:1554610/1554694</t>
  </si>
  <si>
    <t>https://www.jotform.com/uploads/macarewecare/222927978372067/5955727357142583234/5955727357142583234_signature_28.png</t>
  </si>
  <si>
    <t>Velche Tindoc</t>
  </si>
  <si>
    <t>https://www.jotform.com/uploads/macarewecare/222927978372067/5955727357142583234/5955727357142583234_signature_31.png</t>
  </si>
  <si>
    <t>Error 413 Valve Problem "purple valve test failure"
Display Monitor input key Draw,Prime, and Return, etc malfunction.</t>
  </si>
  <si>
    <t>Replaced temporarily the defective pneumatic assembly with service pneumatic assy and advance cpu board while waiting for the purchase order of the parts to avoid interruptions of their apheresis procedures.</t>
  </si>
  <si>
    <t>Unit is operational with service parts of pneumatic assembly and advance cpu board.</t>
  </si>
  <si>
    <t>https://www.jotform.com/uploads/macarewecare/222927978372067/5955539041223852841/5955539041223852841_signature_28.png</t>
  </si>
  <si>
    <t>https://www.jotform.com/uploads/macarewecare/222927978372067/5955539041223852841/5955539041223852841_signature_31.png</t>
  </si>
  <si>
    <t>Philippine Red Cross Laguna Chapter</t>
  </si>
  <si>
    <t>P Guevarra St., Sta Cruz, Laguna</t>
  </si>
  <si>
    <t>lagunablood@gmail.org.ph</t>
  </si>
  <si>
    <t>Error display yellow valve selt test failed</t>
  </si>
  <si>
    <t>Checked and reset CPU board,Motor board,Safety board,
Checked and bypass manually yellow pinch valve 
Interchange white and yellow valve position but error still occur yellow valve test failed error.
Checked valve manifold
Checked and test compressor ok 
Checked connectors
Performed system reset multiple times but error still occur</t>
  </si>
  <si>
    <t>Unit unoperational
Suspect defective parts valve manifold</t>
  </si>
  <si>
    <t>https://www.jotform.com/uploads/macarewecare/222927978372067/5954212510932256011/5954212510932256011_signature_28.png</t>
  </si>
  <si>
    <t>Redcross Laguna Chapter</t>
  </si>
  <si>
    <t>https://www.jotform.com/uploads/macarewecare/222927978372067/5954212510932256011/5954212510932256011_signature_31.png</t>
  </si>
  <si>
    <t xml:space="preserve">ASSAY: Xpert MTB/RIF Ultra, COUNT: 1972
</t>
  </si>
  <si>
    <t>UPS noisy relay during charging
Due for Monthly Preventive Maintenance
Clean up probe, Icore, cartridge docking bay, and filter</t>
  </si>
  <si>
    <t>Clean up probe, Icore, cartridge docking bay, and filter
Generate GXX files, IQR, Sys Log, and Assay Statistics</t>
  </si>
  <si>
    <t>Due for Monthly Preventive Maintenance
Clean up probe, Icore, cartridge docking bay, and filter
Generate GXX files, IQR, Sys Log, and Assay Statistics</t>
  </si>
  <si>
    <t>UPS is still working but noisy relay.
All modules are operational.</t>
  </si>
  <si>
    <t>https://www.jotform.com/uploads/macarewecare/222927978372067/5954210583493731742/5954210583493731742_signature_28.png</t>
  </si>
  <si>
    <t>https://www.jotform.com/uploads/macarewecare/222927978372067/5954210583493731742/5954210583493731742_signature_31.png</t>
  </si>
  <si>
    <t xml:space="preserve">ASSAY: Xpert MTB/RIF Ultra, COUNT: 1928
</t>
  </si>
  <si>
    <t>GX-IV 4D</t>
  </si>
  <si>
    <t>Due to for Preventive Maintenance
Module Error at B2 and B4</t>
  </si>
  <si>
    <t>Clean Surface Area, Cartridge Bay, Plunger Rod, Fan Filters and Icore Lenses
Generate IQR, Assay Stat and System Log
Archived Data test results
Install XpertCheck version 1.5B
Perform Xpertcheck Calibration for Module 2 and Module 4</t>
  </si>
  <si>
    <t>Perform Preventive Maintenance and XpertCheck Calibration for Error Checking</t>
  </si>
  <si>
    <t>Module B1:Disable - Waiting for replacement parts
Module B2 Retry and For Service Required
Module B3 Passed the Calibration</t>
  </si>
  <si>
    <t>Module B4 For under observation</t>
  </si>
  <si>
    <t>https://www.jotform.com/uploads/macarewecare/222927978372067/5953699234627958851/5953699234627958851_signature_28.png</t>
  </si>
  <si>
    <t>https://www.jotform.com/uploads/macarewecare/222927978372067/5953699234627958851/5953699234627958851_signature_31.png</t>
  </si>
  <si>
    <t>ndchpathology@gmail.com</t>
  </si>
  <si>
    <t>Work with Engr. Harold Toco</t>
  </si>
  <si>
    <t>https://www.jotform.com/uploads/macarewecare/222927978372067/5953659198711004720/5953659198711004720_signature_28.png</t>
  </si>
  <si>
    <t>Kenneth Michael Sanchez</t>
  </si>
  <si>
    <t>https://www.jotform.com/uploads/macarewecare/222927978372067/5953659198711004720/5953659198711004720_signature_31.png</t>
  </si>
  <si>
    <t xml:space="preserve">ASSAY: Xpert MTB/RIF Ultra, COUNT: 2602
</t>
  </si>
  <si>
    <t>https://www.jotform.com/uploads/macarewecare/222927978372067/5953658408713052442/5953658408713052442_signature_28.png</t>
  </si>
  <si>
    <t>https://www.jotform.com/uploads/macarewecare/222927978372067/5953658408713052442/5953658408713052442_signature_31.png</t>
  </si>
  <si>
    <t>Km. 5 Benguet General Hospital Compound, La Trinidad,  Benguet</t>
  </si>
  <si>
    <t>DR 11626</t>
  </si>
  <si>
    <t>https://www.jotform.com/uploads/macarewecare/222927978372067/5953657508719638569/5953657508719638569_signature_28.png</t>
  </si>
  <si>
    <t>https://www.jotform.com/uploads/macarewecare/222927978372067/5953657508719638569/5953657508719638569_signature_31.png</t>
  </si>
  <si>
    <t xml:space="preserve">ASSAY: Xpert MTB/RIF Ultra, COUNT: 2265
</t>
  </si>
  <si>
    <t>https://www.jotform.com/uploads/macarewecare/222927978372067/5953656268714528812/5953656268714528812_signature_28.png</t>
  </si>
  <si>
    <t>https://www.jotform.com/uploads/macarewecare/222927978372067/5953656268714528812/5953656268714528812_signature_31.png</t>
  </si>
  <si>
    <t xml:space="preserve">ASSAY: Xpert HBV VL, COUNT: 132
ASSAY: Xpert SARS-CoV-2, COUNT: 207
ASSAY: Xpert HCV VL, COUNT: 25
ASSAY: Xpert HIV-1 Viral Load, COUNT: 23
</t>
  </si>
  <si>
    <t>https://www.jotform.com/uploads/macarewecare/222927978372067/5953655228719557192/5953655228719557192_signature_28.png</t>
  </si>
  <si>
    <t>Rhea Annetonetye Acosta</t>
  </si>
  <si>
    <t>https://www.jotform.com/uploads/macarewecare/222927978372067/5953655228719557192/5953655228719557192_signature_31.png</t>
  </si>
  <si>
    <t xml:space="preserve">ASSAY: Xpert HIV-1 Viral Load, COUNT: 470
</t>
  </si>
  <si>
    <t>https://www.jotform.com/uploads/macarewecare/222927978372067/5953654428719916248/5953654428719916248_signature_28.png</t>
  </si>
  <si>
    <t>Hazel Gwyneth T. Balba</t>
  </si>
  <si>
    <t>https://www.jotform.com/uploads/macarewecare/222927978372067/5953654428719916248/5953654428719916248_signature_31.png</t>
  </si>
  <si>
    <t>dmgonzales.pbsp@gmail.com</t>
  </si>
  <si>
    <t xml:space="preserve">ASSAY: Xpert HPV, COUNT: 247
ASSAY: Xpert MTB/RIF Ultra, COUNT: 944
</t>
  </si>
  <si>
    <t>https://www.jotform.com/uploads/macarewecare/222927978372067/5953653628713224845/5953653628713224845_signature_28.png</t>
  </si>
  <si>
    <t>https://www.jotform.com/uploads/macarewecare/222927978372067/5953653628713224845/5953653628713224845_signature_31.png</t>
  </si>
  <si>
    <t xml:space="preserve">ASSAY: Xpert HPV, COUNT: 65
ASSAY: Xpert MTB/RIF Ultra, COUNT: 1169
ASSAY: Others, COUNT: 37
</t>
  </si>
  <si>
    <t>https://www.jotform.com/uploads/macarewecare/222927978372067/5953652728719973395/5953652728719973395_signature_28.png</t>
  </si>
  <si>
    <t>https://www.jotform.com/uploads/macarewecare/222927978372067/5953652728719973395/5953652728719973395_signature_31.png</t>
  </si>
  <si>
    <t>https://www.jotform.com/uploads/macarewecare/222927978372067/5953651248716515974/5953651248716515974_signature_28.png</t>
  </si>
  <si>
    <t>https://www.jotform.com/uploads/macarewecare/222927978372067/5953651248716515974/5953651248716515974_signature_31.png</t>
  </si>
  <si>
    <t>6C GXIV</t>
  </si>
  <si>
    <t>Machine not used for 2 months for lack of cartridge.</t>
  </si>
  <si>
    <t>https://www.jotform.com/uploads/macarewecare/222927978372067/5953640836225130470/5953640836225130470_signature_28.png</t>
  </si>
  <si>
    <t>Christine Ivy Paula Agtuca</t>
  </si>
  <si>
    <t>https://www.jotform.com/uploads/macarewecare/222927978372067/5953640836225130470/5953640836225130470_signature_31.png</t>
  </si>
  <si>
    <t>Module B4 disabled for replacement. All other modules are functional.</t>
  </si>
  <si>
    <t>Machine not used for 2 months due to lack of cartridge.</t>
  </si>
  <si>
    <t>https://www.jotform.com/uploads/macarewecare/222927978372067/5953640466229718841/5953640466229718841_signature_28.png</t>
  </si>
  <si>
    <t>https://www.jotform.com/uploads/macarewecare/222927978372067/5953640466229718841/5953640466229718841_signature_31.png</t>
  </si>
  <si>
    <t>mikaela.chester@detoxicare.com.ph</t>
  </si>
  <si>
    <t xml:space="preserve">ASSAY: Xpert MTB/RIF Ultra, COUNT: 234
</t>
  </si>
  <si>
    <t>https://www.jotform.com/uploads/macarewecare/222927978372067/5953639149101922812/5953639149101922812_signature_28.png</t>
  </si>
  <si>
    <t>Maria Mikaela Chester</t>
  </si>
  <si>
    <t>https://www.jotform.com/uploads/macarewecare/222927978372067/5953639149101922812/5953639149101922812_signature_31.png</t>
  </si>
  <si>
    <t>Unit is operational
Unit is not recommended for use until air conditioning unit is repaired/installed (Room temperature exceeds optimal ambient temperature of below 30C)</t>
  </si>
  <si>
    <t>https://www.jotform.com/uploads/macarewecare/222927978372067/5953639149102127875/5953639149102127875_signature_28.png</t>
  </si>
  <si>
    <t>Mary Joy Marquez</t>
  </si>
  <si>
    <t>https://www.jotform.com/uploads/macarewecare/222927978372067/5953639149102127875/5953639149102127875_signature_31.png</t>
  </si>
  <si>
    <t>Guiguinto Rural Health Unit</t>
  </si>
  <si>
    <t>Guiguinto, Bulacan</t>
  </si>
  <si>
    <t>joie_calica@yahoo.com</t>
  </si>
  <si>
    <t xml:space="preserve">ASSAY: Xpert MTB/RIF Ultra, COUNT: 460
ASSAY: Xpert HIV-1 Viral Load, COUNT: 179
</t>
  </si>
  <si>
    <t>Unit for maintenance 
Module B3(696755) for replacement</t>
  </si>
  <si>
    <t>Unit os operational</t>
  </si>
  <si>
    <t>GeneXpert Module
SN: 716345</t>
  </si>
  <si>
    <t>https://www.jotform.com/uploads/macarewecare/222927978372067/5953639149102427219/5953639149102427219_signature_28.png</t>
  </si>
  <si>
    <t>Ligaya Calica</t>
  </si>
  <si>
    <t>https://www.jotform.com/uploads/macarewecare/222927978372067/5953639149102427219/5953639149102427219_signature_31.png</t>
  </si>
  <si>
    <t>Southern Palawan Provincial Hospital</t>
  </si>
  <si>
    <t>Brookes Point, Palawan</t>
  </si>
  <si>
    <t>spphlaboratory2023@gmail.com</t>
  </si>
  <si>
    <t xml:space="preserve">ASSAY: Xpert MTB/RIF Ultra, COUNT: 1855
</t>
  </si>
  <si>
    <t>GXIv 6C L</t>
  </si>
  <si>
    <t>Modules B3 and B4 for replacement</t>
  </si>
  <si>
    <t>Performed preventive maintenance 
Replaced modules b3 and b4
Troubleshoot error on module b4
Problem still persists 
Module B4 for reporting</t>
  </si>
  <si>
    <t>Checked and cleaned cartridge bays, plunger rod, icore slot and filter 
Replaced module B3 and B4
B3: 761307 -&gt; 711217
B4: 707921 -&gt; 702990
Module B4 error 4017 upon installation 
Perform slef test; problem persists
Troubleshoot module by switching to other module slot
Error still persists
Module B4 for replacement</t>
  </si>
  <si>
    <t>Unit is operational 
3 modules working
B4 for reporting</t>
  </si>
  <si>
    <t>gX modules 6C</t>
  </si>
  <si>
    <t>PL15740</t>
  </si>
  <si>
    <t>https://www.jotform.com/uploads/macarewecare/222927978372067/5953597017512401922/5953597017512401922_signature_28.png</t>
  </si>
  <si>
    <t>Mariah Paula Bolen</t>
  </si>
  <si>
    <t>https://www.jotform.com/uploads/macarewecare/222927978372067/5953597017512401922/5953597017512401922_signature_31.png</t>
  </si>
  <si>
    <t xml:space="preserve">ASSAY: Xpert MTB/RIF Ultra, COUNT: 6120
ASSAY: Xpert SARS-CoV-2, COUNT: 1029
ASSAY: Xpert HIV-1 Viral Load, COUNT: 2
ASSAY: Others, COUNT: 2
</t>
  </si>
  <si>
    <t>GX 16 L</t>
  </si>
  <si>
    <t>https://www.jotform.com/uploads/macarewecare/222927978372067/5953592762558144759/5953592762558144759_signature_28.png</t>
  </si>
  <si>
    <t>https://www.jotform.com/uploads/macarewecare/222927978372067/5953592762558144759/5953592762558144759_signature_31.png</t>
  </si>
  <si>
    <t>D2,D3,D4 disabled error 5007
Last xpertcheck 6.30.21
Def.UPS</t>
  </si>
  <si>
    <t>D2,D3,D4 disabled
D1 operational</t>
  </si>
  <si>
    <t>https://www.jotform.com/uploads/macarewecare/222927978372067/5953591832558872737/5953591832558872737_signature_28.png</t>
  </si>
  <si>
    <t>https://www.jotform.com/uploads/macarewecare/222927978372067/5953591832558872737/5953591832558872737_signature_31.png</t>
  </si>
  <si>
    <t xml:space="preserve">ASSAY: Xpert MTB/RIF Ultra, COUNT: 423
ASSAY: Xpert SARS-CoV-2, COUNT: 1162
ASSAY: Xpert HIV-1 Viral Load, COUNT: 16
ASSAY: Xpert HIV-1 Viral Load, COUNT: 113
ASSAY: Others, COUNT: 3
</t>
  </si>
  <si>
    <t>Due for maintenance B1 and B4 reported already encounter temp error</t>
  </si>
  <si>
    <t>B1 and B4 disabled
B2 and B3 operational</t>
  </si>
  <si>
    <t>https://www.jotform.com/uploads/macarewecare/222927978372067/5953591162553603433/5953591162553603433_signature_28.png</t>
  </si>
  <si>
    <t>https://www.jotform.com/uploads/macarewecare/222927978372067/5953591162553603433/5953591162553603433_signature_31.png</t>
  </si>
  <si>
    <t>Tb dots (koica)</t>
  </si>
  <si>
    <t>nilabis.pbsp@gmail.com</t>
  </si>
  <si>
    <t xml:space="preserve">ASSAY: Xpert MTB/RIF Ultra, COUNT: 356
</t>
  </si>
  <si>
    <t>https://www.jotform.com/uploads/macarewecare/222927978372067/5953590622555467266/5953590622555467266_signature_28.png</t>
  </si>
  <si>
    <t>Norman Charles Labis</t>
  </si>
  <si>
    <t>https://www.jotform.com/uploads/macarewecare/222927978372067/5953590622555467266/5953590622555467266_signature_31.png</t>
  </si>
  <si>
    <t xml:space="preserve">ASSAY: Xpert MTB/RIF Ultra, COUNT: 741
</t>
  </si>
  <si>
    <t>Due for maintenance, defective lan cable</t>
  </si>
  <si>
    <t>Performed troubleshooting
Cleaned unit
Cleaned plunger rod,filter,icore,cartridge bay
Gathered reports
Test run unit</t>
  </si>
  <si>
    <t>Replaced temporary lan cable provided of end user</t>
  </si>
  <si>
    <t>https://www.jotform.com/uploads/macarewecare/222927978372067/5953590022559435933/5953590022559435933_signature_28.png</t>
  </si>
  <si>
    <t>https://www.jotform.com/uploads/macarewecare/222927978372067/5953590022559435933/5953590022559435933_signature_31.png</t>
  </si>
  <si>
    <t>E.Rodriguez  QC</t>
  </si>
  <si>
    <t xml:space="preserve">ASSAY: Xpert CT/NG, COUNT: 1
ASSAY: Xpert HBV VL, COUNT: 59
ASSAY: Xpert HPV, COUNT: 10
ASSAY: Xpert HPV, COUNT: 229
ASSAY: Xpert MTB/RIF Ultra, COUNT: 2
ASSAY: Xpert HCV VL, COUNT: 13
ASSAY: Xpert HIV-1 Viral Load, COUNT: 20
</t>
  </si>
  <si>
    <t>For module replacement C1 654545 - 210101947</t>
  </si>
  <si>
    <t>3 module operational</t>
  </si>
  <si>
    <t>Genexpert 6 color modules</t>
  </si>
  <si>
    <t>https://www.jotform.com/uploads/macarewecare/222927978372067/5953589662552313661/5953589662552313661_signature_28.png</t>
  </si>
  <si>
    <t>https://www.jotform.com/uploads/macarewecare/222927978372067/5953589662552313661/5953589662552313661_signature_31.png</t>
  </si>
  <si>
    <t>lornsabaigat@gmail.com</t>
  </si>
  <si>
    <t>https://www.jotform.com/uploads/macarewecare/222927978372067/5953587425717908866/5953587425717908866_signature_28.png</t>
  </si>
  <si>
    <t>Loran C. Abaigar</t>
  </si>
  <si>
    <t>https://www.jotform.com/uploads/macarewecare/222927978372067/5953587425717908866/5953587425717908866_signature_31.png</t>
  </si>
  <si>
    <t>Installed the GeneXpert System 
-GeneXpert unit 
-Workstation 
-UPS
-Printer
-Barcode scanner with stand
Functionality test 
Conduct end-user training</t>
  </si>
  <si>
    <t>https://www.jotform.com/uploads/macarewecare/222927978372067/5953582049812555358/5953582049812555358_signature_28.png</t>
  </si>
  <si>
    <t>https://www.jotform.com/uploads/macarewecare/222927978372067/5953582049812555358/5953582049812555358_signature_31.png</t>
  </si>
  <si>
    <t>Pasig Blvd., Pasig City</t>
  </si>
  <si>
    <t xml:space="preserve">ASSAY: Xpert HPV, COUNT: 10
ASSAY: Xpert MTB/RIF Ultra, COUNT: 4300
ASSAY: Xpert SARS-CoV-2, COUNT: 16
ASSAY: Xpert HIV-1 Viral Load, COUNT: 86
</t>
  </si>
  <si>
    <t>Performed maintenance 
Cleaned:
-cartridge bay 
-plunger rod 
-icore 
-filter
Replaced module B3
Checked module B4
Generated reports</t>
  </si>
  <si>
    <t>Unit is operational. Modules B1, B2 and B3 operational. Module B4/645415 not operational, for reporting</t>
  </si>
  <si>
    <t>Module B4 has torn ultrasonic horn cable.</t>
  </si>
  <si>
    <t>Old: B3/210068672
New: B3/705609</t>
  </si>
  <si>
    <t>https://www.jotform.com/uploads/macarewecare/222927978372067/5953575409811990068/5953575409811990068_signature_28.png</t>
  </si>
  <si>
    <t>https://www.jotform.com/uploads/macarewecare/222927978372067/5953575409811990068/5953575409811990068_signature_31.png</t>
  </si>
  <si>
    <t xml:space="preserve">ASSAY: Others, COUNT: 2
ASSAY: Xpert HPV, COUNT: 30
ASSAY: Xpert MTB/RIF Ultra, COUNT: 11
ASSAY: Xpert SARS-CoV-2, COUNT: 1443
ASSAY: Xpert HIV-1 Viral Load, COUNT: 2
</t>
  </si>
  <si>
    <t>Performed maintenance 
Cleaned: 
-cartridge bay 
-plunger rod 
-icore 
-filter
Generated reports</t>
  </si>
  <si>
    <t>Unit is operational. Modules A1, A2, B3, B4, C2, C3, D2 and D4 not operational, reported already.</t>
  </si>
  <si>
    <t>https://www.jotform.com/uploads/macarewecare/222927978372067/5953575409817407973/5953575409817407973_signature_28.png</t>
  </si>
  <si>
    <t>https://www.jotform.com/uploads/macarewecare/222927978372067/5953575409817407973/5953575409817407973_signature_31.png</t>
  </si>
  <si>
    <t>NORTHERN MINDANAO MEDICAL CENTER</t>
  </si>
  <si>
    <t>CAGAYAN DE ORO, MISAMIS ORIENTAL</t>
  </si>
  <si>
    <t>nmmc.gxmtbrif@gmail.com</t>
  </si>
  <si>
    <t xml:space="preserve">ASSAY: Xpert HPV, COUNT: 346
ASSAY: Xpert MTB/RIF Ultra, COUNT: 7683
ASSAY: Xpert SARS-CoV-2, COUNT: 7682
ASSAY: Xpert HIV-1 Viral Load, COUNT: 628
</t>
  </si>
  <si>
    <t>-PERFORM PREVENTIVE MAINTENANCE PROCEDURE
-PERFORM MODULE REPLACEMENT:
MODULE A2 DEF SN:688804 / NEW SN: 710021
MODULE B3 DEF SN:683687 / NEW SN: 735112
MODULE B4 DEF SN:210102261 / NEW SN: 793590
MODULE C1 DEF SN:766096 / NEW SN:806405
MODULE C2 DEF SN:693907 / NEW SN:874960
MODULE C3 DEF SN:210063174 / NEW SN:881066
MODULE C4 DEF SN:906389 / NEW SN:896365
MODULE D1 DEF SN:691194 / NEW SN:903893
MODULE D2 DEF SN:677101 / NEW SN:210036382</t>
  </si>
  <si>
    <t>https://www.jotform.com/uploads/macarewecare/222927978372067/5953566463537770450/5953566463537770450_signature_28.png</t>
  </si>
  <si>
    <t>Rione Frances Lomongo</t>
  </si>
  <si>
    <t>https://www.jotform.com/uploads/macarewecare/222927978372067/5953566463537770450/5953566463537770450_signature_31.png</t>
  </si>
  <si>
    <t>Toledo City</t>
  </si>
  <si>
    <t>loriemaediapen@yahoo.com</t>
  </si>
  <si>
    <t>Module B3 Hardware fail.</t>
  </si>
  <si>
    <t>Replace module defective.</t>
  </si>
  <si>
    <t>Replace Module B3 with new module serial number 629652.</t>
  </si>
  <si>
    <t>Module B1, 2,3 ok to use module B4 need to replace due to error's.</t>
  </si>
  <si>
    <t>https://www.jotform.com/uploads/macarewecare/222927978372067/5953540362167508843/5953540362167508843_signature_28.png</t>
  </si>
  <si>
    <t>Lorie Mae C. Diapen</t>
  </si>
  <si>
    <t>https://www.jotform.com/uploads/macarewecare/222927978372067/5953540362167508843/5953540362167508843_signature_31.png</t>
  </si>
  <si>
    <t>aaron_noel122770sd@yahoo.com</t>
  </si>
  <si>
    <t>Module B2/632085 defective</t>
  </si>
  <si>
    <t>- Module replacement B2/632085 into 619845
- Preventive maintenance (Cleaned plunger rod, Cartridge bay, iCore and Fan Filter)
- Performed functionality test 
- Generate IQR and System log</t>
  </si>
  <si>
    <t>https://www.jotform.com/uploads/macarewecare/222927978372067/5953051363024055173/5953051363024055173_signature_28.png</t>
  </si>
  <si>
    <t>Ma. Leonora S. Dejapin</t>
  </si>
  <si>
    <t>https://www.jotform.com/uploads/macarewecare/222927978372067/5953051363024055173/5953051363024055173_signature_31.png</t>
  </si>
  <si>
    <t>Marawi City Health Office</t>
  </si>
  <si>
    <t>https://www.jotform.com/uploads/macarewecare/222927978372067/5953044643414498739/5953044643414498739_signature_28.png</t>
  </si>
  <si>
    <t>Faridah M. Busara, RMT</t>
  </si>
  <si>
    <t>https://www.jotform.com/uploads/macarewecare/222927978372067/5953044643414498739/5953044643414498739_signature_31.png</t>
  </si>
  <si>
    <t xml:space="preserve">ASSAY: Xpert MTB/RIF Ultra, COUNT: 1249
</t>
  </si>
  <si>
    <t>-FOR PREVENTIVE MAINTENANCE
-MODULE B4 ERROR 1002</t>
  </si>
  <si>
    <t>https://www.jotform.com/uploads/macarewecare/222927978372067/5953040723419862714/5953040723419862714_signature_28.png</t>
  </si>
  <si>
    <t>https://www.jotform.com/uploads/macarewecare/222927978372067/5953040723419862714/5953040723419862714_signature_31.png</t>
  </si>
  <si>
    <t>Amai Pakpak Medical Center RTDL</t>
  </si>
  <si>
    <t>rbarco2007@gmail.com</t>
  </si>
  <si>
    <t xml:space="preserve">ASSAY: Xpert MTB/RIF Ultra, COUNT: 2036
ASSAY: Xpert HIV-1 Viral Load, COUNT: 32
</t>
  </si>
  <si>
    <t>-PERFORM CLEANING OF GX WORKSTATION AND PREVENTIVE MAINTENANCE PROCEDURE
-PERFORM MODULE B1 DEF SN:911082 REPLACEMENT WITH NEW SN:210059851</t>
  </si>
  <si>
    <t>https://www.jotform.com/uploads/macarewecare/222927978372067/5953036279177075555/5953036279177075555_signature_28.png</t>
  </si>
  <si>
    <t>Raisah P. Barco</t>
  </si>
  <si>
    <t>https://www.jotform.com/uploads/macarewecare/222927978372067/5953036279177075555/5953036279177075555_signature_31.png</t>
  </si>
  <si>
    <t xml:space="preserve">ASSAY: Xpert MTB/RIF Ultra, COUNT: 810
</t>
  </si>
  <si>
    <t>-PERFORM CLEANING OF GENEXPERT WORKSTATION 
-PERFORM GENEXPERT PREVENTIVE MAINTENANCE PROCEDURE
-PERFORM GATEWAY BOARD REPLACEMENT AND SERIAL NUMBER CONFIG
-PERFORM MODULE C1 DEF SN: 655108 REPLACEMENT WITH NEW SN:634832
-INSTALL NEW PRINTER DRIVER</t>
  </si>
  <si>
    <t>https://www.jotform.com/uploads/macarewecare/222927978372067/5953033689178592740/5953033689178592740_signature_28.png</t>
  </si>
  <si>
    <t>https://www.jotform.com/uploads/macarewecare/222927978372067/5953033689178592740/5953033689178592740_signature_31.png</t>
  </si>
  <si>
    <t>Tierra Alta, Taal, Batangas</t>
  </si>
  <si>
    <t>hanetmanny@gmail.com</t>
  </si>
  <si>
    <t xml:space="preserve">ASSAY: Xpert MTB/RIF Ultra, COUNT: 1918
</t>
  </si>
  <si>
    <t>Module 4 Failed in XpertCheck.</t>
  </si>
  <si>
    <t>Replaced Module 4.
Performed Self-test.
Generate Reports.</t>
  </si>
  <si>
    <t>New Module with 4004 Error (H/W Failed).
3 Modules are Operational.</t>
  </si>
  <si>
    <t>B4: 761622 -&gt; 673300 for reporting.</t>
  </si>
  <si>
    <t>https://www.jotform.com/uploads/macarewecare/222927978372067/5952942116911193514/5952942116911193514_signature_28.png</t>
  </si>
  <si>
    <t>Juanita B Balbacal</t>
  </si>
  <si>
    <t>https://www.jotform.com/uploads/macarewecare/222927978372067/5952942116911193514/5952942116911193514_signature_31.png</t>
  </si>
  <si>
    <t>San Luis Rural Health Unit</t>
  </si>
  <si>
    <t>Poblacion, San Luis, Batangas</t>
  </si>
  <si>
    <t>ilao.rochell@gmail.com</t>
  </si>
  <si>
    <t>Module 1 Failed in XpertCheck.</t>
  </si>
  <si>
    <t>Performed Self-test.
Replaced Module 1.
Generate Reports.</t>
  </si>
  <si>
    <t>3 Modules are Operational, 1 Disabled Module.</t>
  </si>
  <si>
    <t>B1: 806301 -&gt; 679767</t>
  </si>
  <si>
    <t>https://www.jotform.com/uploads/macarewecare/222927978372067/5952941706915228015/5952941706915228015_signature_28.png</t>
  </si>
  <si>
    <t>Rochell C. Ilao</t>
  </si>
  <si>
    <t>https://www.jotform.com/uploads/macarewecare/222927978372067/5952941706915228015/5952941706915228015_signature_31.png</t>
  </si>
  <si>
    <t>Civic Drive, FCC, Alabang, Muntinlupa</t>
  </si>
  <si>
    <t>GX System is Functional.</t>
  </si>
  <si>
    <t>DR 11624</t>
  </si>
  <si>
    <t>https://www.jotform.com/uploads/macarewecare/222927978372067/5952941236913340109/5952941236913340109_signature_28.png</t>
  </si>
  <si>
    <t>Claire P. Bersamina</t>
  </si>
  <si>
    <t>https://www.jotform.com/uploads/macarewecare/222927978372067/5952941236913340109/5952941236913340109_signature_31.png</t>
  </si>
  <si>
    <t>Balayan Rural Health Unit</t>
  </si>
  <si>
    <t>Brgy Gumamela, Balayan, Batangas</t>
  </si>
  <si>
    <t>veronica.dalida@yahoo.com</t>
  </si>
  <si>
    <t>CPU with Hard Drive Problem.
Unit is due for XpertCheck.</t>
  </si>
  <si>
    <t>XpertCheck.
CPU Replacement.</t>
  </si>
  <si>
    <t>Replaced CPU.
Cleaned Cartridge Bay, Plunger Rod and Icore Optics.
Checked Filter if Clogged.
Performed XpertCheck.
Generate Reports.</t>
  </si>
  <si>
    <t>2 Modules Newly Replaced, 1 Service Required,  1 Passed</t>
  </si>
  <si>
    <t>B4: 861386 - Service Required</t>
  </si>
  <si>
    <t>https://www.jotform.com/uploads/macarewecare/222927978372067/5952911391837982132/5952911391837982132_signature_28.png</t>
  </si>
  <si>
    <t>Veronica M. Dalida</t>
  </si>
  <si>
    <t>https://www.jotform.com/uploads/macarewecare/222927978372067/5952911391837982132/5952911391837982132_signature_31.png</t>
  </si>
  <si>
    <t>Cotabato Sanitarium and General Hospital</t>
  </si>
  <si>
    <t>Sultan Kudarat, Maguindanao</t>
  </si>
  <si>
    <t>normiaando.tahir@gmail.com</t>
  </si>
  <si>
    <t xml:space="preserve">ASSAY: Xpert MTB/RIF Ultra, COUNT: 1257
</t>
  </si>
  <si>
    <t>Replace defective module 1 SN:801637 with new module SN:210074471
Genexpert Cleaning/Preventive maintenance 
Checking of errors 
Data collection</t>
  </si>
  <si>
    <t>Cepheid case:1542566/1542591</t>
  </si>
  <si>
    <t>https://www.jotform.com/uploads/macarewecare/222927978372067/5952858357276873969/5952858357276873969_signature_28.png</t>
  </si>
  <si>
    <t>Normia A. Tahir</t>
  </si>
  <si>
    <t>https://www.jotform.com/uploads/macarewecare/222927978372067/5952858357276873969/5952858357276873969_signature_31.png</t>
  </si>
  <si>
    <t>Dr. Paulini J. Garcia Memorial Research and Medical Center</t>
  </si>
  <si>
    <t>Installed UPS
Installed Genexpert
Installed Computer
Installed Printer
Installed Monitor</t>
  </si>
  <si>
    <t>https://www.jotform.com/uploads/macarewecare/222927978372067/5952845022251809002/5952845022251809002_signature_28.png</t>
  </si>
  <si>
    <t>https://www.jotform.com/uploads/macarewecare/222927978372067/5952845022251809002/5952845022251809002_signature_31.png</t>
  </si>
  <si>
    <t>HIMAMAYLAN CITY HEALTH OFFICE</t>
  </si>
  <si>
    <t>Himamaylan City, Negros Occidental</t>
  </si>
  <si>
    <t>fayemariejuguan@gmail.com</t>
  </si>
  <si>
    <t xml:space="preserve">ASSAY: Xpert MTB/RIF Ultra, COUNT: 1100
</t>
  </si>
  <si>
    <t>Defective Module 673308/B2 and 806690/B3.</t>
  </si>
  <si>
    <t>Preventive Maintenance - optics cleaning, filter cleabing, module bay cleabing, plunger rod maintenance.</t>
  </si>
  <si>
    <t>Replaced module B2 and B3 with new modules SN 661690 and 664077 respectively.</t>
  </si>
  <si>
    <t>https://www.jotform.com/uploads/macarewecare/222927978372067/5952794028572181959/5952794028572181959_signature_28.png</t>
  </si>
  <si>
    <t>Faye Marie Juguan</t>
  </si>
  <si>
    <t>https://www.jotform.com/uploads/macarewecare/222927978372067/5952794028572181959/5952794028572181959_signature_31.png</t>
  </si>
  <si>
    <t>Talaingod Rural Health Unit</t>
  </si>
  <si>
    <t>JBL Brgy. Sto Niño, Talaingod</t>
  </si>
  <si>
    <t>denniseolayan@gmail.com</t>
  </si>
  <si>
    <t>System Unit CPU not working
For Preventive Maintenance and XpertCheck Calibration</t>
  </si>
  <si>
    <t>Replaced the Defective CPU System unit SN:CPH0420F07731 with new CPU System Unit SN:CPH1023F46029
Clean Surface Area, Cartridge Bay, Plunger Rod, Fan Filters and Icore Lenses
Generate IQR
Install XPERTCHECK 1.5B and run XpertCheck on four modules</t>
  </si>
  <si>
    <t>Perform CPU System Unit replacement
Perform Preventive Maintenance and XpertCheck Calibration</t>
  </si>
  <si>
    <t>Module B1 and B2:Passed
Module B3: retry and Passed
Module B4: Retry and Skipped ;no available xpc cartidge
Module 4 for under observation</t>
  </si>
  <si>
    <t>https://www.jotform.com/uploads/macarewecare/222927978372067/5952772214624131385/5952772214624131385_signature_28.png</t>
  </si>
  <si>
    <t>Christine Dennise Olayan</t>
  </si>
  <si>
    <t>https://www.jotform.com/uploads/macarewecare/222927978372067/5952772214624131385/5952772214624131385_signature_31.png</t>
  </si>
  <si>
    <t>janzchel_neneh10@yahoo.com</t>
  </si>
  <si>
    <t>Cleaned cartridge bays, plunger rod, icore
Generate report</t>
  </si>
  <si>
    <t>https://www.jotform.com/uploads/macarewecare/222927978372067/5952766288425087323/5952766288425087323_signature_28.png</t>
  </si>
  <si>
    <t>Janzhel marie chan</t>
  </si>
  <si>
    <t>https://www.jotform.com/uploads/macarewecare/222927978372067/5952766288425087323/5952766288425087323_signature_31.png</t>
  </si>
  <si>
    <t>Baras Medicare &amp; Community Hospital</t>
  </si>
  <si>
    <t>Bagong Sirang, Baras</t>
  </si>
  <si>
    <t>malustesorerormt@gmail.com</t>
  </si>
  <si>
    <t>GX modules not detected</t>
  </si>
  <si>
    <t>Checked UTP cable connections checked/adjust network settings
Checked power cable
Opened Gx and reset cable connections
Cleaned cartridge bays, plunger rod
Generate report</t>
  </si>
  <si>
    <t>https://www.jotform.com/uploads/macarewecare/222927978372067/5952762368424391383/5952762368424391383_signature_28.png</t>
  </si>
  <si>
    <t>Malu S.Tesorero,RMT</t>
  </si>
  <si>
    <t>https://www.jotform.com/uploads/macarewecare/222927978372067/5952762368424391383/5952762368424391383_signature_31.png</t>
  </si>
  <si>
    <t>Libmanan Rural Health Unit ll</t>
  </si>
  <si>
    <t>San Isidro, Libmanan</t>
  </si>
  <si>
    <t>amyquiapo1972@gmail.com</t>
  </si>
  <si>
    <t>Set up and replaced with new Monitor (CN-0WMYC5-FCC00-36T-FK4X REV A05)
Generate report</t>
  </si>
  <si>
    <t>https://www.jotform.com/uploads/macarewecare/222927978372067/5952761878426489968/5952761878426489968_signature_28.png</t>
  </si>
  <si>
    <t>Amy Quiapo</t>
  </si>
  <si>
    <t>https://www.jotform.com/uploads/macarewecare/222927978372067/5952761878426489968/5952761878426489968_signature_31.png</t>
  </si>
  <si>
    <t>Ubay, Bohol</t>
  </si>
  <si>
    <t>Laboratory@devmh.doh.gov.ph</t>
  </si>
  <si>
    <t>Defective Module A2 734887</t>
  </si>
  <si>
    <t>New module A2 647493
Clean Fan Filter
Clean Fan
Gather data IQR</t>
  </si>
  <si>
    <t>https://www.jotform.com/uploads/macarewecare/222927978372067/5952653096216497393/5952653096216497393_signature_28.png</t>
  </si>
  <si>
    <t>Roger Lagura RMT</t>
  </si>
  <si>
    <t>https://www.jotform.com/uploads/macarewecare/222927978372067/5952653096216497393/5952653096216497393_signature_31.png</t>
  </si>
  <si>
    <t>https://www.jotform.com/uploads/macarewecare/222927978372067/5952651576213158619/5952651576213158619_signature_28.png</t>
  </si>
  <si>
    <t>https://www.jotform.com/uploads/macarewecare/222927978372067/5952651576213158619/5952651576213158619_signature_31.png</t>
  </si>
  <si>
    <t>https://www.jotform.com/uploads/macarewecare/222927978372067/5952651576215102477/5952651576215102477_signature_28.png</t>
  </si>
  <si>
    <t>https://www.jotform.com/uploads/macarewecare/222927978372067/5952651576215102477/5952651576215102477_signature_31.png</t>
  </si>
  <si>
    <t>https://www.jotform.com/uploads/macarewecare/222927978372067/5952649416216728384/5952649416216728384_signature_28.png</t>
  </si>
  <si>
    <t>https://www.jotform.com/uploads/macarewecare/222927978372067/5952649416216728384/5952649416216728384_signature_31.png</t>
  </si>
  <si>
    <t>Philippine General Hospital - UPM</t>
  </si>
  <si>
    <t>Microscopy</t>
  </si>
  <si>
    <t>agllacuna@up.edu.ph</t>
  </si>
  <si>
    <t>https://www.jotform.com/uploads/macarewecare/222927978372067/5952626153846686854/5952626153846686854_signature_28.png</t>
  </si>
  <si>
    <t>Allyana G. Llacuna</t>
  </si>
  <si>
    <t>https://www.jotform.com/uploads/macarewecare/222927978372067/5952626153846686854/5952626153846686854_signature_31.png</t>
  </si>
  <si>
    <t>https://www.jotform.com/uploads/macarewecare/222927978372067/5952625603841529917/5952625603841529917_signature_28.png</t>
  </si>
  <si>
    <t>https://www.jotform.com/uploads/macarewecare/222927978372067/5952625603841529917/5952625603841529917_signature_31.png</t>
  </si>
  <si>
    <t>Don Carlos Rural Health Unit</t>
  </si>
  <si>
    <t>Poblacion, Don Carlos</t>
  </si>
  <si>
    <t>doncarlosrhu@gmail.com</t>
  </si>
  <si>
    <t>Old Monitor not working.</t>
  </si>
  <si>
    <t>Replacing LG Monitor with SN: 504NDQA1N308 with New Dell Monitor E222HS with SN: CN-0WMYC5-FCC00-36T-FK8X-A05</t>
  </si>
  <si>
    <t>https://www.jotform.com/uploads/macarewecare/222927978372067/5952619513192503581/5952619513192503581_signature_28.png</t>
  </si>
  <si>
    <t>Gilbert E. Loro</t>
  </si>
  <si>
    <t>https://www.jotform.com/uploads/macarewecare/222927978372067/5952619513192503581/5952619513192503581_signature_31.png</t>
  </si>
  <si>
    <t>Mauban Molecular Laboratory</t>
  </si>
  <si>
    <t>Signal St. Mauban, Quezon</t>
  </si>
  <si>
    <t xml:space="preserve">ASSAY: Xpert HPV, COUNT: 227
ASSAY: Xpert MTB/RIF Ultra, COUNT: 1260
</t>
  </si>
  <si>
    <t>Stuck cartridge on module B2</t>
  </si>
  <si>
    <t>Manual removal of stuck cartridge
Performed maintenance
Cleaned:
-cartridge bay 
-plunger rod 
-icore 
-filter 
Generated reports</t>
  </si>
  <si>
    <t>https://www.jotform.com/uploads/macarewecare/222927978372067/5952607081035021370/5952607081035021370_signature_28.png</t>
  </si>
  <si>
    <t>HAZEL JOY G. PARDINWA</t>
  </si>
  <si>
    <t>https://www.jotform.com/uploads/macarewecare/222927978372067/5952607081035021370/5952607081035021370_signature_31.png</t>
  </si>
  <si>
    <t>Unit is operational. Module B4/620410 not operational, for reporting.</t>
  </si>
  <si>
    <t>https://www.jotform.com/uploads/macarewecare/222927978372067/5952607031031039011/5952607031031039011_signature_28.png</t>
  </si>
  <si>
    <t>HAZEL JOY G. PARDINES</t>
  </si>
  <si>
    <t>https://www.jotform.com/uploads/macarewecare/222927978372067/5952607031031039011/5952607031031039011_signature_31.png</t>
  </si>
  <si>
    <t>Installed the GeneXpert System:
-GeneXpert unit
-Workstation 
-Barcode scanner with stand 
-UPS
-Printer 
Refresher training for basic operation and troubleshooting</t>
  </si>
  <si>
    <t>Transferred from Santolan SHC.</t>
  </si>
  <si>
    <t>https://www.jotform.com/uploads/macarewecare/222927978372067/5952607031031443225/5952607031031443225_signature_28.png</t>
  </si>
  <si>
    <t>https://www.jotform.com/uploads/macarewecare/222927978372067/5952607031031443225/5952607031031443225_signature_31.png</t>
  </si>
  <si>
    <t>https://www.jotform.com/uploads/macarewecare/222927978372067/5952606781034409774/5952606781034409774_signature_28.png</t>
  </si>
  <si>
    <t>https://www.jotform.com/uploads/macarewecare/222927978372067/5952606781034409774/5952606781034409774_signature_31.png</t>
  </si>
  <si>
    <t>https://www.jotform.com/uploads/macarewecare/222927978372067/5952606781037191076/5952606781037191076_signature_28.png</t>
  </si>
  <si>
    <t>https://www.jotform.com/uploads/macarewecare/222927978372067/5952606781037191076/5952606781037191076_signature_31.png</t>
  </si>
  <si>
    <t>https://www.jotform.com/uploads/macarewecare/222927978372067/5952606761033770328/5952606761033770328_signature_28.png</t>
  </si>
  <si>
    <t>https://www.jotform.com/uploads/macarewecare/222927978372067/5952606761033770328/5952606761033770328_signature_31.png</t>
  </si>
  <si>
    <t>Guitnang bayan San Mateo</t>
  </si>
  <si>
    <t>wilhelminanartatez@yahoo.com</t>
  </si>
  <si>
    <t>https://www.jotform.com/uploads/macarewecare/222927978372067/5952593600802068434/5952593600802068434_signature_28.png</t>
  </si>
  <si>
    <t>Wilhelmina Nartatez</t>
  </si>
  <si>
    <t>https://www.jotform.com/uploads/macarewecare/222927978372067/5952593600802068434/5952593600802068434_signature_31.png</t>
  </si>
  <si>
    <t>Guitnang bayan,San Mateo</t>
  </si>
  <si>
    <t>For module replacement A2 621048 - 698618
Due for maintenance</t>
  </si>
  <si>
    <t>https://www.jotform.com/uploads/macarewecare/222927978372067/5952593080807659368/5952593080807659368_signature_28.png</t>
  </si>
  <si>
    <t>https://www.jotform.com/uploads/macarewecare/222927978372067/5952593080807659368/5952593080807659368_signature_31.png</t>
  </si>
  <si>
    <t>Replaced temporarily the pneumatic assembly while waiting for the purchase order of the parts to avoid interruptions of their apheresis procedures.
- troubleshoot cable, display monitor</t>
  </si>
  <si>
    <t>Replaced temporarily the pneumatic assembly while waiting for the purchase order of the parts to avoid interruptions of their apheresis procedures.</t>
  </si>
  <si>
    <t>Pneumatics assembly already replaced. 
Only the display monitor input keyboard problem.</t>
  </si>
  <si>
    <t>https://www.jotform.com/uploads/macarewecare/222927978372067/5952556394221510971/5952556394221510971_signature_28.png</t>
  </si>
  <si>
    <t>https://www.jotform.com/uploads/macarewecare/222927978372067/5952556394221510971/5952556394221510971_signature_31.png</t>
  </si>
  <si>
    <t>Genexpert Cleaning/Preventive maintenance 
Checking of errors 
Data collection</t>
  </si>
  <si>
    <t>https://www.jotform.com/uploads/macarewecare/222927978372067/5952506719492626052/5952506719492626052_signature_28.png</t>
  </si>
  <si>
    <t>Janice  R  Camiña</t>
  </si>
  <si>
    <t>https://www.jotform.com/uploads/macarewecare/222927978372067/5952506719492626052/5952506719492626052_signature_31.png</t>
  </si>
  <si>
    <t>https://www.jotform.com/uploads/macarewecare/222927978372067/5952505927146629142/5952505927146629142_signature_28.png</t>
  </si>
  <si>
    <t>https://www.jotform.com/uploads/macarewecare/222927978372067/5952505927146629142/5952505927146629142_signature_31.png</t>
  </si>
  <si>
    <t>Brgy.93 Bagacay, Tacloban City</t>
  </si>
  <si>
    <t>merl_agner62@yahoo.com.sg</t>
  </si>
  <si>
    <t>Module B3/685252 defective</t>
  </si>
  <si>
    <t>- Module replacement B3/685252 into 661605
- Performed preventive maintenance (Cleaned plunger rod, cartridge bay, iCore and Fan Filter)
- Functionality test 
- Generate IQR and System log</t>
  </si>
  <si>
    <t>https://www.jotform.com/uploads/macarewecare/222927978372067/5952158343023468361/5952158343023468361_signature_28.png</t>
  </si>
  <si>
    <t>Ma. Merlina Vistal</t>
  </si>
  <si>
    <t>https://www.jotform.com/uploads/macarewecare/222927978372067/5952158343023468361/5952158343023468361_signature_31.png</t>
  </si>
  <si>
    <t xml:space="preserve">ASSAY: Xpert MTB/RIF Ultra, COUNT: 3227
ASSAY: Xpert HIV-1 Viral Load, COUNT: 124
</t>
  </si>
  <si>
    <t>https://www.jotform.com/uploads/macarewecare/222927978372067/5952050774421374090/5952050774421374090_signature_28.png</t>
  </si>
  <si>
    <t>https://www.jotform.com/uploads/macarewecare/222927978372067/5952050774421374090/5952050774421374090_signature_31.png</t>
  </si>
  <si>
    <t>https://www.jotform.com/uploads/macarewecare/222927978372067/5952048304421391688/5952048304421391688_signature_28.png</t>
  </si>
  <si>
    <t>https://www.jotform.com/uploads/macarewecare/222927978372067/5952048304421391688/5952048304421391688_signature_31.png</t>
  </si>
  <si>
    <t>Bicol Region General Hospital and Geriatric Medical Center</t>
  </si>
  <si>
    <t>San Pedro, Cabusoa</t>
  </si>
  <si>
    <t xml:space="preserve">ASSAY: Xpert MTB/RIF Ultra, COUNT: 1851
</t>
  </si>
  <si>
    <t>For Preventive Maintenance 
UPS shuts down when having power outage</t>
  </si>
  <si>
    <t>Cleaned Cartridge bays,  plunger rod, icore
Checked dependability of UPS when unplugged to AC power source(UPS was charged for an hour)
Checked power connections going to UPS
tested power output of UPS
Generate reports</t>
  </si>
  <si>
    <t>Unit is operational 
UPS defective backup battery</t>
  </si>
  <si>
    <t>https://www.jotform.com/uploads/macarewecare/222927978372067/5838802519417118770/5838802519417118770_signature_28.png</t>
  </si>
  <si>
    <t>JESSIE LOwell de  vera</t>
  </si>
  <si>
    <t>https://www.jotform.com/uploads/macarewecare/222927978372067/5838802519417118770/5838802519417118770_signature_31.png</t>
  </si>
  <si>
    <t>Tb-Dots</t>
  </si>
  <si>
    <t xml:space="preserve">ASSAY: Xpert MTB/RIF Ultra, COUNT: 1016
</t>
  </si>
  <si>
    <t>Module B2 frequent H/W error</t>
  </si>
  <si>
    <t>All modules are functional. Module B2 passed XPC.</t>
  </si>
  <si>
    <t>https://www.jotform.com/uploads/macarewecare/222927978372067/5951951250496560938/5951951250496560938_signature_28.png</t>
  </si>
  <si>
    <t>https://www.jotform.com/uploads/macarewecare/222927978372067/5951951250496560938/5951951250496560938_signature_31.png</t>
  </si>
  <si>
    <t>Mexico Rural Health Unit IV</t>
  </si>
  <si>
    <t>Pandacaqui, Mexico, Pampanga</t>
  </si>
  <si>
    <t>annbathan79@gmail.com</t>
  </si>
  <si>
    <t>Troubleshoot UPS
Check Fuse
Trouble shoot CPU
Check Bios Battery</t>
  </si>
  <si>
    <t>Unit not Functional</t>
  </si>
  <si>
    <t>UPS and Computer for Replacement</t>
  </si>
  <si>
    <t>https://www.jotform.com/uploads/macarewecare/222927978372067/5951944212118039596/5951944212118039596_signature_28.png</t>
  </si>
  <si>
    <t>Mary Ann D. Carreon</t>
  </si>
  <si>
    <t>https://www.jotform.com/uploads/macarewecare/222927978372067/5951944212118039596/5951944212118039596_signature_31.png</t>
  </si>
  <si>
    <t>Arayat Rural Health Unit</t>
  </si>
  <si>
    <t>Arayat, Pampanga</t>
  </si>
  <si>
    <t>baylonrochelle06@yahoo.com</t>
  </si>
  <si>
    <t>All Modules error 2126</t>
  </si>
  <si>
    <t>Reset Gatewayboard</t>
  </si>
  <si>
    <t>All Modules for Observation</t>
  </si>
  <si>
    <t>https://www.jotform.com/uploads/macarewecare/222927978372067/5951899492118075821/5951899492118075821_signature_28.png</t>
  </si>
  <si>
    <t>Rochelle Baylon</t>
  </si>
  <si>
    <t>https://www.jotform.com/uploads/macarewecare/222927978372067/5951899492118075821/5951899492118075821_signature_31.png</t>
  </si>
  <si>
    <t>Navotas Medical and Wellness Center</t>
  </si>
  <si>
    <t>M. Naval St. Navotas City</t>
  </si>
  <si>
    <t>NCR 3rd - Navotas</t>
  </si>
  <si>
    <t>alejandrinoknowell@gmail.com</t>
  </si>
  <si>
    <t>Unit for installation.</t>
  </si>
  <si>
    <t>Performed installation of GeneXpert system.
Generated reports.</t>
  </si>
  <si>
    <t>https://www.jotform.com/uploads/macarewecare/222927978372067/5951881036608399068/5951881036608399068_signature_28.png</t>
  </si>
  <si>
    <t>Noel Alejandrino</t>
  </si>
  <si>
    <t>https://www.jotform.com/uploads/macarewecare/222927978372067/5951881036608399068/5951881036608399068_signature_31.png</t>
  </si>
  <si>
    <t xml:space="preserve">ASSAY: Xpert MTB/RIF Ultra, COUNT: 733
ASSAY: Xpert HIV-1 Viral Load, COUNT: 85
</t>
  </si>
  <si>
    <t>https://www.jotform.com/uploads/macarewecare/222927978372067/5951752021507154131/5951752021507154131_signature_28.png</t>
  </si>
  <si>
    <t>https://www.jotform.com/uploads/macarewecare/222927978372067/5951752021507154131/5951752021507154131_signature_31.png</t>
  </si>
  <si>
    <t>10C GXIV</t>
  </si>
  <si>
    <t>-Replace defective module A1/220013550 with module SN: 860815</t>
  </si>
  <si>
    <t>https://www.jotform.com/uploads/macarewecare/222927978372067/5951751901503205873/5951751901503205873_signature_28.png</t>
  </si>
  <si>
    <t>https://www.jotform.com/uploads/macarewecare/222927978372067/5951751901503205873/5951751901503205873_signature_31.png</t>
  </si>
  <si>
    <t>Tondo Health Center</t>
  </si>
  <si>
    <t>Juan Luna St. Gagalangin Manila</t>
  </si>
  <si>
    <t>malorinalontoc@gmail.com</t>
  </si>
  <si>
    <t xml:space="preserve">ASSAY: Xpert MTB/RIF Ultra, COUNT: 1713
</t>
  </si>
  <si>
    <t>https://www.jotform.com/uploads/macarewecare/222927978372067/5951749412819195155/5951749412819195155_signature_28.png</t>
  </si>
  <si>
    <t>Lontoc, ma. Lorina M.</t>
  </si>
  <si>
    <t>https://www.jotform.com/uploads/macarewecare/222927978372067/5951749412819195155/5951749412819195155_signature_31.png</t>
  </si>
  <si>
    <t>Rodriguez St., Balut Tondo Manila</t>
  </si>
  <si>
    <t>elizajunio05@yahoo.com.ph</t>
  </si>
  <si>
    <t>Unit for preventive maintenance.
For checking of barcode scanner.</t>
  </si>
  <si>
    <t>Performed Preventive Maintenance.
-Cleaned and disinfect plunger
-Cleaned and disinfect cartridge bay
-Cleaned and disinfect instrument surface
-Cleaned icore sensors
-Cleaned filter fan
-Archived test results
Performed troubleshooting of barcode scanner.
Generated reports.</t>
  </si>
  <si>
    <t>Unit is operational. Barcode scanner sometimes unable to detect and connection loss reoccurs after several minutes. Barcode scanner for reporting.</t>
  </si>
  <si>
    <t>Barcode Scanner (Symbol SN: 1324600508421)</t>
  </si>
  <si>
    <t>https://www.jotform.com/uploads/macarewecare/222927978372067/5951749312817034854/5951749312817034854_signature_28.png</t>
  </si>
  <si>
    <t>https://www.jotform.com/uploads/macarewecare/222927978372067/5951749312817034854/5951749312817034854_signature_31.png</t>
  </si>
  <si>
    <t>Unit for relocation.</t>
  </si>
  <si>
    <t>Relocation and installation.</t>
  </si>
  <si>
    <t>Performed relocation of GeneXpert to another room.
Performed installation.
Generated reports.</t>
  </si>
  <si>
    <t>https://www.jotform.com/uploads/macarewecare/222927978372067/5951748652814706765/5951748652814706765_signature_28.png</t>
  </si>
  <si>
    <t>Mark Lenard Moreno</t>
  </si>
  <si>
    <t>https://www.jotform.com/uploads/macarewecare/222927978372067/5951748652814706765/5951748652814706765_signature_31.png</t>
  </si>
  <si>
    <t>Alaminos Rural Health Unit</t>
  </si>
  <si>
    <t>Alaminos Laguna</t>
  </si>
  <si>
    <t>irahrobles@gmail.com</t>
  </si>
  <si>
    <t>Unit for PM.
Unit for Xpertcheck.</t>
  </si>
  <si>
    <t>PM and Xpertcheck.</t>
  </si>
  <si>
    <t>https://www.jotform.com/uploads/macarewecare/222927978372067/5951748342814022427/5951748342814022427_signature_28.png</t>
  </si>
  <si>
    <t>Iralyn M. Robles</t>
  </si>
  <si>
    <t>https://www.jotform.com/uploads/macarewecare/222927978372067/5951748342814022427/5951748342814022427_signature_31.png</t>
  </si>
  <si>
    <t>https://www.jotform.com/uploads/macarewecare/222927978372067/5951745632814338103/5951745632814338103_signature_28.png</t>
  </si>
  <si>
    <t>https://www.jotform.com/uploads/macarewecare/222927978372067/5951745632814338103/5951745632814338103_signature_31.png</t>
  </si>
  <si>
    <t>https://www.jotform.com/uploads/macarewecare/222927978372067/5951745632812196879/5951745632812196879_signature_28.png</t>
  </si>
  <si>
    <t>https://www.jotform.com/uploads/macarewecare/222927978372067/5951745632812196879/5951745632812196879_signature_31.png</t>
  </si>
  <si>
    <t>https://www.jotform.com/uploads/macarewecare/222927978372067/5951745632814568783/5951745632814568783_signature_28.png</t>
  </si>
  <si>
    <t>https://www.jotform.com/uploads/macarewecare/222927978372067/5951745632814568783/5951745632814568783_signature_31.png</t>
  </si>
  <si>
    <t>Payatas QC</t>
  </si>
  <si>
    <t>For maintenance and for replacement of UPS</t>
  </si>
  <si>
    <t>Replaced and installed UPS 1kva
Cleaned unit
Cleaned plunger rod,filter,icore,cartridge bay
Gathered reports
Test run unit</t>
  </si>
  <si>
    <t>UPS installation
Performed maintenance</t>
  </si>
  <si>
    <t>https://www.jotform.com/uploads/macarewecare/222927978372067/5951714093613814975/5951714093613814975_signature_28.png</t>
  </si>
  <si>
    <t>Carlee Mae Cruz</t>
  </si>
  <si>
    <t>https://www.jotform.com/uploads/macarewecare/222927978372067/5951714093613814975/5951714093613814975_signature_31.png</t>
  </si>
  <si>
    <t>Dr. Cornelio T. Martinez SR. Memorial Hospital</t>
  </si>
  <si>
    <t>Kiamba,  Sarangani</t>
  </si>
  <si>
    <t>dcmmh_lab@yahoo.com</t>
  </si>
  <si>
    <t>martineznoemi11281965@gmail.com</t>
  </si>
  <si>
    <t>Defective UPS upon receiving/delivered on site</t>
  </si>
  <si>
    <t>Installed:
Genexpert machine SN:120000498
Cpu SN: *CPH0623F42165*
Monitor SN: V5FTG679
Printer SN: CNB1RBK7RQ
UPS (defective)
Import assay MTB-ULTRA and MTB-XDR</t>
  </si>
  <si>
    <t>4 operational modules all accessories functional</t>
  </si>
  <si>
    <t>https://www.jotform.com/uploads/macarewecare/222927978372067/5951242184214678106/5951242184214678106_signature_28.png</t>
  </si>
  <si>
    <t>Noemi S. Martinez</t>
  </si>
  <si>
    <t>https://www.jotform.com/uploads/macarewecare/222927978372067/5951242184214678106/5951242184214678106_signature_31.png</t>
  </si>
  <si>
    <t>Cabanatuan City Health Office</t>
  </si>
  <si>
    <t>Kapt Pepe, Cabanatuan City, Nueva Ecija</t>
  </si>
  <si>
    <t>cholab2021@gmail.com</t>
  </si>
  <si>
    <t xml:space="preserve">ASSAY: Xpert MTB/RIF Ultra, COUNT: 2369
</t>
  </si>
  <si>
    <t>Module A3 Hardware Failure</t>
  </si>
  <si>
    <t>Gathered Reports for Reporting</t>
  </si>
  <si>
    <t>https://www.jotform.com/uploads/macarewecare/222927978372067/5951115415619762878/5951115415619762878_signature_28.png</t>
  </si>
  <si>
    <t>Maricris So</t>
  </si>
  <si>
    <t>https://www.jotform.com/uploads/macarewecare/222927978372067/5951115415619762878/5951115415619762878_signature_31.png</t>
  </si>
  <si>
    <t>Seminary Rd, Project 8, Quezon City</t>
  </si>
  <si>
    <t>Installed GX and accessories 
Gave training to end user
Gave exam</t>
  </si>
  <si>
    <t>setup GX and all its accessories 
Setup user administration 
Trained end user anout troubleshooting and maintenance</t>
  </si>
  <si>
    <t>GX machine</t>
  </si>
  <si>
    <t>DR 11625</t>
  </si>
  <si>
    <t>https://www.jotform.com/uploads/macarewecare/222927978372067/5951070377618706919/5951070377618706919_signature_28.png</t>
  </si>
  <si>
    <t>https://www.jotform.com/uploads/macarewecare/222927978372067/5951070377618706919/5951070377618706919_signature_31.png</t>
  </si>
  <si>
    <t xml:space="preserve">ASSAY: Xpert HIV-1 Viral Load, COUNT: 63
ASSAY: Xpert CT/NG, COUNT: 1
</t>
  </si>
  <si>
    <t>GX Module 10C D</t>
  </si>
  <si>
    <t>Performed Preventive maintenance 
Performed Xpertcheck</t>
  </si>
  <si>
    <t>Checked and cleaned cartridge bays, plunger rod, icore slot and filter 
Performed Xpertcheck</t>
  </si>
  <si>
    <t>DR 11601</t>
  </si>
  <si>
    <t>https://www.jotform.com/uploads/macarewecare/222927978372067/5951046359213590614/5951046359213590614_signature_28.png</t>
  </si>
  <si>
    <t>Elena G. Ventura</t>
  </si>
  <si>
    <t>https://www.jotform.com/uploads/macarewecare/222927978372067/5951046359213590614/5951046359213590614_signature_31.png</t>
  </si>
  <si>
    <t>Davao Regional Medical Center - RHIVDA Section</t>
  </si>
  <si>
    <t xml:space="preserve">ASSAY: Xpert MTB/RIF Ultra, COUNT: 59
ASSAY: Xpert SARS-CoV-2, COUNT: 29
ASSAY: Xpert HIV-1 Viral Load, COUNT: 797
</t>
  </si>
  <si>
    <t>GX-IV 4D 10Colors</t>
  </si>
  <si>
    <t>Clean Surface Area, Cartridge Bay, Plunger Rod, Fan Filters and Icore Lenses
Generate IQR, Assay Stat and System Log
Archived Data test results
Replaced the Defective Module SN: 220011054 with new Module SN: 210069469</t>
  </si>
  <si>
    <t>https://www.jotform.com/uploads/macarewecare/222927978372067/5951037724617523426/5951037724617523426_signature_28.png</t>
  </si>
  <si>
    <t>Sheila Marie Nimez RMT</t>
  </si>
  <si>
    <t>https://www.jotform.com/uploads/macarewecare/222927978372067/5951037724617523426/5951037724617523426_signature_31.png</t>
  </si>
  <si>
    <t>Gilbert Teodoro Memorial Hospital</t>
  </si>
  <si>
    <t>Camiling Tarlac</t>
  </si>
  <si>
    <t>almabellapdancel3@gmail.com</t>
  </si>
  <si>
    <t>C2:605738 for module replacement</t>
  </si>
  <si>
    <t>Unit us operational 
C2:702757 new module</t>
  </si>
  <si>
    <t>https://www.jotform.com/uploads/macarewecare/222927978372067/5950972555125859925/5950972555125859925_signature_28.png</t>
  </si>
  <si>
    <t>Alma Bella P. Dancel</t>
  </si>
  <si>
    <t>https://www.jotform.com/uploads/macarewecare/222927978372067/5950972555125859925/5950972555125859925_signature_31.png</t>
  </si>
  <si>
    <t>Estevez Memorial Hospital, Inc</t>
  </si>
  <si>
    <t xml:space="preserve">ASSAY: Xpert HIV-1 Viral Load, COUNT: 62
ASSAY: Xpert MTB/RIF Ultra, COUNT: 53
ASSAY: Others, COUNT: 3
ASSAY: Xpert SARS-CoV-2, COUNT: 7
</t>
  </si>
  <si>
    <t>A2/220009328 temperature Error 
2008 error for A1, A4
GX set shuts down after power outage</t>
  </si>
  <si>
    <t>Checked system log: A2/220009328 error/code - 1001, 2014
Checked/tested the dependability of UPS when unplugged from AC (UPS charged for 3hrs)
Checked power output/connections going to UPS
Cleaned cartridge bays, plunger rod, Icore
Generate reports</t>
  </si>
  <si>
    <t>Unit is Operational
UPS lasts for a few seconds after disconnected from AC power source</t>
  </si>
  <si>
    <t>A2/220009328 sufficient error collected for replacement, UPS request for replacement</t>
  </si>
  <si>
    <t>https://www.jotform.com/uploads/macarewecare/222927978372067/5950952495117263013/5950952495117263013_signature_28.png</t>
  </si>
  <si>
    <t>Lovendino, Rey</t>
  </si>
  <si>
    <t>https://www.jotform.com/uploads/macarewecare/222927978372067/5950952495117263013/5950952495117263013_signature_31.png</t>
  </si>
  <si>
    <t>Philippine Red Cross - Sta. Cruz</t>
  </si>
  <si>
    <t>Pedro Guevara Ave, Sta. Cruz, Laguna</t>
  </si>
  <si>
    <t>xernan.dawinan@redcross.org.ph</t>
  </si>
  <si>
    <t>Installed Haemonetics.</t>
  </si>
  <si>
    <t>Installed Haemonetics system.
Performed maintenance 
Simulation run
Verified calibration parameters 
Functionality test</t>
  </si>
  <si>
    <t>Unit from PRC Calamba</t>
  </si>
  <si>
    <t>https://www.jotform.com/uploads/macarewecare/222927978372067/5950911965013351515/5950911965013351515_signature_28.png</t>
  </si>
  <si>
    <t>Xernan Dawinan</t>
  </si>
  <si>
    <t>https://www.jotform.com/uploads/macarewecare/222927978372067/5950911965013351515/5950911965013351515_signature_31.png</t>
  </si>
  <si>
    <t>Due for Maintenance 
Filter worn out</t>
  </si>
  <si>
    <t>Replaced Filter</t>
  </si>
  <si>
    <t>https://www.jotform.com/uploads/macarewecare/222927978372067/5950845875618858514/5950845875618858514_signature_28.png</t>
  </si>
  <si>
    <t>Jazer M. Palasigue</t>
  </si>
  <si>
    <t>https://www.jotform.com/uploads/macarewecare/222927978372067/5950845875618858514/5950845875618858514_signature_31.png</t>
  </si>
  <si>
    <t>https://www.jotform.com/uploads/macarewecare/222927978372067/5950845715619650199/5950845715619650199_signature_28.png</t>
  </si>
  <si>
    <t>https://www.jotform.com/uploads/macarewecare/222927978372067/5950845715619650199/5950845715619650199_signature_31.png</t>
  </si>
  <si>
    <t>AYUNGON, NEGROS ORIENTAL</t>
  </si>
  <si>
    <t>https://www.jotform.com/uploads/macarewecare/222927978372067/5950440951514828140/5950440951514828140_signature_28.png</t>
  </si>
  <si>
    <t>https://www.jotform.com/uploads/macarewecare/222927978372067/5950440951514828140/5950440951514828140_signature_31.png</t>
  </si>
  <si>
    <t xml:space="preserve">ASSAY: Xpert MTB/RIF Ultra, COUNT: 2761
ASSAY: Xpert HIV-1 Viral Load, COUNT: 1805
</t>
  </si>
  <si>
    <t>Module B3 encounter multiple temperature related errors
For Preventive Maintenance</t>
  </si>
  <si>
    <t>Clean Surface Area, Cartridge Bay, Plunger Rod, Fan Filters, and Icore Lenses
Generate IQR, Assay Stat and System Log
Replaced the Defective Module SN: 644429 with new Module SN:604900</t>
  </si>
  <si>
    <t>https://www.jotform.com/uploads/macarewecare/222927978372067/5950217558326180742/5950217558326180742_signature_28.png</t>
  </si>
  <si>
    <t>Flordeliza Go</t>
  </si>
  <si>
    <t>https://www.jotform.com/uploads/macarewecare/222927978372067/5950217558326180742/5950217558326180742_signature_31.png</t>
  </si>
  <si>
    <t>https://www.jotform.com/uploads/macarewecare/222927978372067/5950099708327647704/5950099708327647704_signature_28.png</t>
  </si>
  <si>
    <t>https://www.jotform.com/uploads/macarewecare/222927978372067/5950099708327647704/5950099708327647704_signature_31.png</t>
  </si>
  <si>
    <t>CMC Ave., Calamba, Laguna</t>
  </si>
  <si>
    <t>cmc.rtpcr@gmail.com</t>
  </si>
  <si>
    <t xml:space="preserve">ASSAY: Xpert HBV VL, COUNT: 50
ASSAY: Xpert HPV, COUNT: 30
ASSAY: Xpert MTB/RIF Ultra, COUNT: 665
</t>
  </si>
  <si>
    <t>GXII-D-6C</t>
  </si>
  <si>
    <t>GeneXpert System for Relocation</t>
  </si>
  <si>
    <t>Performed Self-test.
Checked Cables.
Checked Outlet Voltage at Micro.
Generate Reports.
Relocate GX System.</t>
  </si>
  <si>
    <t>GX System Relocated fro Molecular to Micro. All Modules are Operational.</t>
  </si>
  <si>
    <t>https://www.jotform.com/uploads/macarewecare/222927978372067/5950065523615944144/5950065523615944144_signature_28.png</t>
  </si>
  <si>
    <t>Andrea Gail B. Orgesvik</t>
  </si>
  <si>
    <t>https://www.jotform.com/uploads/macarewecare/222927978372067/5950065523615944144/5950065523615944144_signature_31.png</t>
  </si>
  <si>
    <t>Alfonso Rural Health Unit</t>
  </si>
  <si>
    <t>Burgos St., Alfonso, Cavite</t>
  </si>
  <si>
    <t>abrigojan90@gmail.com</t>
  </si>
  <si>
    <t>All Module are Operational.</t>
  </si>
  <si>
    <t>https://www.jotform.com/uploads/macarewecare/222927978372067/5950065523617773856/5950065523617773856_signature_28.png</t>
  </si>
  <si>
    <t>Jan Karmel Abrigo</t>
  </si>
  <si>
    <t>https://www.jotform.com/uploads/macarewecare/222927978372067/5950065523617773856/5950065523617773856_signature_31.png</t>
  </si>
  <si>
    <t xml:space="preserve">ASSAY: Xpert HCV VL, COUNT: 64
</t>
  </si>
  <si>
    <t>https://www.jotform.com/uploads/macarewecare/222927978372067/5950065523618058886/5950065523618058886_signature_28.png</t>
  </si>
  <si>
    <t>https://www.jotform.com/uploads/macarewecare/222927978372067/5950065523618058886/5950065523618058886_signature_31.png</t>
  </si>
  <si>
    <t>angiepabruada@gmail.com</t>
  </si>
  <si>
    <t>Checked Output Voltage.
Install Gx System.
Generate Reports.</t>
  </si>
  <si>
    <t>System is Functional.
No UPS and Printer.</t>
  </si>
  <si>
    <t>Recommendation to have UPS (minimum of 1kVA).</t>
  </si>
  <si>
    <t>https://www.jotform.com/uploads/macarewecare/222927978372067/5950065523618948320/5950065523618948320_signature_28.png</t>
  </si>
  <si>
    <t>Angelita C. Pabruada</t>
  </si>
  <si>
    <t>https://www.jotform.com/uploads/macarewecare/222927978372067/5950065523618948320/5950065523618948320_signature_31.png</t>
  </si>
  <si>
    <t>Barili Rural Health Unit</t>
  </si>
  <si>
    <t>Poblacion, Barili Cebu</t>
  </si>
  <si>
    <t>barilimainrhu@gmail.com</t>
  </si>
  <si>
    <t xml:space="preserve">ASSAY: Xpert MTB/RIF Ultra, COUNT: 842
</t>
  </si>
  <si>
    <t>Module B3 SN # 786755failed module during calibration</t>
  </si>
  <si>
    <t>Module Replacement of B3 SN # 786755failed module during calibration
Pulled out defective module, clean Icore, clean plunger and cartridge bay</t>
  </si>
  <si>
    <t>Module Replacement of B3 SN # 786755failed module during calibration
Pulled out defective module, clean Icore, clean plunger and cartridge bay
Generate IQR, System, Gxx files, Assay Statistics</t>
  </si>
  <si>
    <t>https://www.jotform.com/uploads/macarewecare/222927978372067/5950025751114852788/5950025751114852788_signature_28.png</t>
  </si>
  <si>
    <t>Ma. Grace Cui, RMT</t>
  </si>
  <si>
    <t>https://www.jotform.com/uploads/macarewecare/222927978372067/5950025751114852788/5950025751114852788_signature_31.png</t>
  </si>
  <si>
    <t>RAKKK PROPHET MEDICAL CENTER 2</t>
  </si>
  <si>
    <t>Gumaca, Quezon</t>
  </si>
  <si>
    <t>rpmcimoleclab20@gmail.com</t>
  </si>
  <si>
    <t xml:space="preserve">ASSAY: Xpert MTB/RIF Ultra, COUNT: 166
</t>
  </si>
  <si>
    <t>Perfromed Preventive maintenance</t>
  </si>
  <si>
    <t>Checked and cleaned cartridge bays, plunger rod, icore slot and filter 
Generated report</t>
  </si>
  <si>
    <t>https://www.jotform.com/uploads/macarewecare/222927978372067/5949992593611711823/5949992593611711823_signature_28.png</t>
  </si>
  <si>
    <t>Katrina Rose F. Aureada</t>
  </si>
  <si>
    <t>https://www.jotform.com/uploads/macarewecare/222927978372067/5949992593611711823/5949992593611711823_signature_31.png</t>
  </si>
  <si>
    <t xml:space="preserve">ASSAY: Xpert MTB/RIF Ultra, COUNT: 1938
ASSAY: Xpert SARS-CoV-2, COUNT: 871
</t>
  </si>
  <si>
    <t>https://www.jotform.com/uploads/macarewecare/222927978372067/5949963453613964498/5949963453613964498_signature_28.png</t>
  </si>
  <si>
    <t>Rose Annn Parnes</t>
  </si>
  <si>
    <t>https://www.jotform.com/uploads/macarewecare/222927978372067/5949963453613964498/5949963453613964498_signature_31.png</t>
  </si>
  <si>
    <t>https://www.jotform.com/uploads/macarewecare/222927978372067/5949963063619231822/5949963063619231822_signature_28.png</t>
  </si>
  <si>
    <t>https://www.jotform.com/uploads/macarewecare/222927978372067/5949963063619231822/5949963063619231822_signature_31.png</t>
  </si>
  <si>
    <t xml:space="preserve">ASSAY: Xpert CT/NG, COUNT: 7
ASSAY: Xpert HPV, COUNT: 244
ASSAY: Xpert SARS-CoV-2, COUNT: 1243
</t>
  </si>
  <si>
    <t>https://www.jotform.com/uploads/macarewecare/222927978372067/5949962833619598327/5949962833619598327_signature_28.png</t>
  </si>
  <si>
    <t>https://www.jotform.com/uploads/macarewecare/222927978372067/5949962833619598327/5949962833619598327_signature_31.png</t>
  </si>
  <si>
    <t>Cleaned unit
Checked program parameters
Checked and adjust line sensor value
Checked rollers,dpm,spm,centrifuge
Performed functionality test
Performed simulation running</t>
  </si>
  <si>
    <t>https://www.jotform.com/uploads/macarewecare/222927978372067/5949962373612675821/5949962373612675821_signature_28.png</t>
  </si>
  <si>
    <t>Jocelyn Rote</t>
  </si>
  <si>
    <t>https://www.jotform.com/uploads/macarewecare/222927978372067/5949962373612675821/5949962373612675821_signature_31.png</t>
  </si>
  <si>
    <t xml:space="preserve">ASSAY: Xpert BCR-ABL Ultra, COUNT: 36
ASSAY: Xpert MTB/RIF Ultra, COUNT: 2752
ASSAY: Xpert SARS-CoV-2, COUNT: 3050
ASSAY: Others, COUNT: 340
</t>
  </si>
  <si>
    <t>Gx 16D (10C)</t>
  </si>
  <si>
    <t>https://www.jotform.com/uploads/macarewecare/222927978372067/5949962113618822253/5949962113618822253_signature_28.png</t>
  </si>
  <si>
    <t>https://www.jotform.com/uploads/macarewecare/222927978372067/5949962113618822253/5949962113618822253_signature_31.png</t>
  </si>
  <si>
    <t xml:space="preserve">ASSAY: Xpert MTB/RIF Ultra, COUNT: 18
ASSAY: Xpert SARS-CoV-2, COUNT: 24
</t>
  </si>
  <si>
    <t>https://www.jotform.com/uploads/macarewecare/222927978372067/5949961793614982063/5949961793614982063_signature_28.png</t>
  </si>
  <si>
    <t>https://www.jotform.com/uploads/macarewecare/222927978372067/5949961793614982063/5949961793614982063_signature_31.png</t>
  </si>
  <si>
    <t>Tarlac City Health Center 3</t>
  </si>
  <si>
    <t>Brgy. Sa Miguel, Tarlac City</t>
  </si>
  <si>
    <t>daganlea572@gmail.com</t>
  </si>
  <si>
    <t>A1:633848 error 1002
A3:757252 and A4:608004 for additional Cepheid troubleshooting</t>
  </si>
  <si>
    <t>Preventive maintenance 
Cepheid troubleshooting</t>
  </si>
  <si>
    <t>Performed surface cleaning 
Performed cleaning of plunger rod, cartridge bay, icore and filter 
Archived test results 
Performed Cepheid troubleshooting 
Performed functionality test 
Gathered reports</t>
  </si>
  <si>
    <t>Unit is operational except A1 for reporting 
A3 and A4 for reporting</t>
  </si>
  <si>
    <t>https://www.jotform.com/uploads/macarewecare/222927978372067/5949556990112301019/5949556990112301019_signature_28.png</t>
  </si>
  <si>
    <t>Lea Dagan</t>
  </si>
  <si>
    <t>https://www.jotform.com/uploads/macarewecare/222927978372067/5949556990112301019/5949556990112301019_signature_31.png</t>
  </si>
  <si>
    <t xml:space="preserve">ASSAY: Xpert MTB/RIF Ultra, COUNT: 346
</t>
  </si>
  <si>
    <t>Due for preventive maintenance 
A2:757555 error 4012</t>
  </si>
  <si>
    <t>Unit is operational 
A2:757555 for reporting error 4012</t>
  </si>
  <si>
    <t>https://www.jotform.com/uploads/macarewecare/222927978372067/5949556590116452026/5949556590116452026_signature_28.png</t>
  </si>
  <si>
    <t>https://www.jotform.com/uploads/macarewecare/222927978372067/5949556590116452026/5949556590116452026_signature_31.png</t>
  </si>
  <si>
    <t>Germinal, Bolinao, Pangasinan</t>
  </si>
  <si>
    <t>DR 11449</t>
  </si>
  <si>
    <t>https://www.jotform.com/uploads/macarewecare/222927978372067/5948768489029579346/5948768489029579346_signature_28.png</t>
  </si>
  <si>
    <t>Alma Sotelo Sicat</t>
  </si>
  <si>
    <t>https://www.jotform.com/uploads/macarewecare/222927978372067/5948768489029579346/5948768489029579346_signature_31.png</t>
  </si>
  <si>
    <t>GXII-2D-6C</t>
  </si>
  <si>
    <t>https://www.jotform.com/uploads/macarewecare/222927978372067/5948767529023124273/5948767529023124273_signature_28.png</t>
  </si>
  <si>
    <t>https://www.jotform.com/uploads/macarewecare/222927978372067/5948767529023124273/5948767529023124273_signature_31.png</t>
  </si>
  <si>
    <t>- Unit is Partially Operational 
- Module B4 (862532) Failed XpertCheck 
- Module B1, B2 and B3 Passed XpertCheck</t>
  </si>
  <si>
    <t>DR 11454</t>
  </si>
  <si>
    <t>https://www.jotform.com/uploads/macarewecare/222927978372067/5948766619022262172/5948766619022262172_signature_28.png</t>
  </si>
  <si>
    <t>https://www.jotform.com/uploads/macarewecare/222927978372067/5948766619022262172/5948766619022262172_signature_31.png</t>
  </si>
  <si>
    <t>Municipal Compound, Kasibu, Nueva Vizcaya</t>
  </si>
  <si>
    <t>apollojoselkimayong@gmail.com</t>
  </si>
  <si>
    <t xml:space="preserve">ASSAY: Xpert MTB/RIF Ultra, COUNT: 310
</t>
  </si>
  <si>
    <t>GXII-6C</t>
  </si>
  <si>
    <t>Error 2126</t>
  </si>
  <si>
    <t>Put Module B1, B2 to Module B3, B4</t>
  </si>
  <si>
    <t>https://www.jotform.com/uploads/macarewecare/222927978372067/5948515404327271094/5948515404327271094_signature_28.png</t>
  </si>
  <si>
    <t>Apollo Josel D. Kimayong</t>
  </si>
  <si>
    <t>https://www.jotform.com/uploads/macarewecare/222927978372067/5948515404327271094/5948515404327271094_signature_31.png</t>
  </si>
  <si>
    <t>RAKKK PROPHET MEDICAL CENTER 3</t>
  </si>
  <si>
    <t xml:space="preserve">ASSAY: Xpert MTB/RIF Ultra, COUNT: 69
ASSAY: Xpert SARS-CoV-2, COUNT: 7
</t>
  </si>
  <si>
    <t>Checked and cleaned cartridge bays, plunger rod, icore slot and filter
Performed Xpertcheck 
B1: Passed
B2: Passed
B3: Sevice Required
B4: Passed</t>
  </si>
  <si>
    <t>DR 47730</t>
  </si>
  <si>
    <t>https://www.jotform.com/uploads/macarewecare/222927978372067/5948426773748105924/5948426773748105924_signature_28.png</t>
  </si>
  <si>
    <t>https://www.jotform.com/uploads/macarewecare/222927978372067/5948426773748105924/5948426773748105924_signature_31.png</t>
  </si>
  <si>
    <t>Module Replacement B2 220011618 &amp; B4 220011638</t>
  </si>
  <si>
    <t>New module Installed B2 875317 &amp; B4 694507
Clean Fan Filter
Gather data IQR</t>
  </si>
  <si>
    <t>https://www.jotform.com/uploads/macarewecare/222927978372067/5947679899118625978/5947679899118625978_signature_28.png</t>
  </si>
  <si>
    <t>https://www.jotform.com/uploads/macarewecare/222927978372067/5947679899118625978/5947679899118625978_signature_31.png</t>
  </si>
  <si>
    <t>Genexpert Machine cannot be turned on</t>
  </si>
  <si>
    <t>Install temporary spare power supply from cebu office
Replace new fuse
Gather IQR
Request new AVR for another genexpert machine</t>
  </si>
  <si>
    <t>Install temporary spare power supply from cebu office
Replace new fuse
Gather IQR</t>
  </si>
  <si>
    <t>https://www.jotform.com/uploads/macarewecare/222927978372067/5947679039115474330/5947679039115474330_signature_28.png</t>
  </si>
  <si>
    <t>https://www.jotform.com/uploads/macarewecare/222927978372067/5947679039115474330/5947679039115474330_signature_31.png</t>
  </si>
  <si>
    <t>verbellmanuela36@gmail.com</t>
  </si>
  <si>
    <t xml:space="preserve">ASSAY: Xpert MTB/RIF Ultra, COUNT: 474
</t>
  </si>
  <si>
    <t>GXIV-6c</t>
  </si>
  <si>
    <t>Module B2 Hardware Failure
Due for Calibration</t>
  </si>
  <si>
    <t>Performed Calibration
(B1,B3,B4 - Passed)
(B2 - Service Required)</t>
  </si>
  <si>
    <t>https://www.jotform.com/uploads/macarewecare/222927978372067/5947669168897267016/5947669168897267016_signature_28.png</t>
  </si>
  <si>
    <t>Verbell M.Manuela</t>
  </si>
  <si>
    <t>https://www.jotform.com/uploads/macarewecare/222927978372067/5947669168897267016/5947669168897267016_signature_31.png</t>
  </si>
  <si>
    <t xml:space="preserve">ASSAY: Xpert MTB/RIF Ultra, COUNT: 721
</t>
  </si>
  <si>
    <t>B1/788023 - high temperature, burned surface at entrance of icore inside cartridge bay</t>
  </si>
  <si>
    <t>Cleaned cartridge bays, plunger rod 
Generate reports</t>
  </si>
  <si>
    <t>B1/788023 - sufficient error collected to request for replacement</t>
  </si>
  <si>
    <t>https://www.jotform.com/uploads/macarewecare/222927978372067/5947649786314171623/5947649786314171623_signature_28.png</t>
  </si>
  <si>
    <t>Malu S. Tesorero,RMT</t>
  </si>
  <si>
    <t>https://www.jotform.com/uploads/macarewecare/222927978372067/5947649786314171623/5947649786314171623_signature_31.png</t>
  </si>
  <si>
    <t>Davao Chest Center</t>
  </si>
  <si>
    <t>Villa Abrille Street, Poblacion District</t>
  </si>
  <si>
    <t>Defective CPU System unit
For Preventive Maintenance and XpertCheck Calibration</t>
  </si>
  <si>
    <t>Clean Surface Area, Cartridge Bay, Plunger Rod, Fan Filters and Icore Lenses
Replaced the Defective System Unit CPU SN: 2UA3520VTL with new System Unit CPU SN:CPH1223F48485
Run XpertCheck Calibration on four Modules</t>
  </si>
  <si>
    <t>Perform System Unit replacement
Perform Preventive Maintenance and XpertCheck Calibration</t>
  </si>
  <si>
    <t>New System Unit CPU installed
Module B1 and B2 passed the Calibration
Module B3 and B4 skipped and retest required - no available XPC Cartidge left</t>
  </si>
  <si>
    <t>Module B3 and B4 for under observation</t>
  </si>
  <si>
    <t>https://www.jotform.com/uploads/macarewecare/222927978372067/5947631255419932108/5947631255419932108_signature_28.png</t>
  </si>
  <si>
    <t>Maria Lisa Paras RMT</t>
  </si>
  <si>
    <t>https://www.jotform.com/uploads/macarewecare/222927978372067/5947631255419932108/5947631255419932108_signature_31.png</t>
  </si>
  <si>
    <t>RAKKK Prophet Medical Center (1)</t>
  </si>
  <si>
    <t>Brgy. Rosario, Maharlika Hiway, Gumaca, Quezon</t>
  </si>
  <si>
    <t xml:space="preserve">ASSAY: Xpert MTB/RIF Ultra, COUNT: 465
ASSAY: Xpert SARS-CoV-2, COUNT: 53
</t>
  </si>
  <si>
    <t>Monitor for replacement
Unit due for Calibration</t>
  </si>
  <si>
    <t>Replaced monitor
Performed Xpertcheck</t>
  </si>
  <si>
    <t>Replaced monitor
HP -&gt; Dell
Checked and cleaned cartridge bays, plunger rod, icore slot and filter 
Performed Xpertcheck 
B1: Passed
B2: Service Required 
B3: Passed
B4: Passed
Generated report</t>
  </si>
  <si>
    <t>Unit is operational 
Module B2 Service Required</t>
  </si>
  <si>
    <t>Dell monitor
Xpertcheck Kit</t>
  </si>
  <si>
    <t>DR 48688, DR 47730</t>
  </si>
  <si>
    <t>https://www.jotform.com/uploads/macarewecare/222927978372067/5947605978129905959/5947605978129905959_signature_28.png</t>
  </si>
  <si>
    <t>https://www.jotform.com/uploads/macarewecare/222927978372067/5947605978129905959/5947605978129905959_signature_31.png</t>
  </si>
  <si>
    <t xml:space="preserve">ASSAY: Xpert HBV VL, COUNT: 12
ASSAY: Xpert MTB/RIF Ultra, COUNT: 660
ASSAY: Xpert HCV VL, COUNT: 4
ASSAY: Xpert HIV-1 Viral Load, COUNT: 17
</t>
  </si>
  <si>
    <t>https://www.jotform.com/uploads/macarewecare/222927978372067/5947569480715337579/5947569480715337579_signature_28.png</t>
  </si>
  <si>
    <t>https://www.jotform.com/uploads/macarewecare/222927978372067/5947569480715337579/5947569480715337579_signature_31.png</t>
  </si>
  <si>
    <t>Santa Ana Rural Health Unit</t>
  </si>
  <si>
    <t>Centro, Santa Ana, Cagayan</t>
  </si>
  <si>
    <t>shena_22780@yahoo.com</t>
  </si>
  <si>
    <t>Installed Genexpert
Installed PC
Installed Printer
Installed Ups
Performed Maintenance
Gathered Reports</t>
  </si>
  <si>
    <t>https://www.jotform.com/uploads/macarewecare/222927978372067/5947529382615006101/5947529382615006101_signature_28.png</t>
  </si>
  <si>
    <t>Shena Marie Semana</t>
  </si>
  <si>
    <t>https://www.jotform.com/uploads/macarewecare/222927978372067/5947529382615006101/5947529382615006101_signature_31.png</t>
  </si>
  <si>
    <t xml:space="preserve">ASSAY: Xpert MTB/RIF Ultra, COUNT: 1532
</t>
  </si>
  <si>
    <t>Barcode Scanner not working
Due for Calibration</t>
  </si>
  <si>
    <t>Replaced Barcode Scanner
Performed Calibration
(2 Modules Passed)
B3 - Service Required
B4(Newly Replaced)</t>
  </si>
  <si>
    <t>Barcode Scanner</t>
  </si>
  <si>
    <t>https://www.jotform.com/uploads/macarewecare/222927978372067/5947462602616577735/5947462602616577735_signature_28.png</t>
  </si>
  <si>
    <t>https://www.jotform.com/uploads/macarewecare/222927978372067/5947462602616577735/5947462602616577735_signature_31.png</t>
  </si>
  <si>
    <t>baclig.katherine@yahoo.com</t>
  </si>
  <si>
    <t>Performed Calibration
Adjust the Line Sensor
Adjust the Weigher
Adjust the DPM
Adjust the SPM
Adjust Bowl Optics</t>
  </si>
  <si>
    <t>Performed Maintenance
Check the Line Sensor
Check the Weigher
Check the DPM
Check the SPM
Check the Bowl Optics
Performed Functionality Test(2x)</t>
  </si>
  <si>
    <t>https://www.jotform.com/uploads/macarewecare/222927978372067/5946814863027732469/5946814863027732469_signature_28.png</t>
  </si>
  <si>
    <t>https://www.jotform.com/uploads/macarewecare/222927978372067/5946814863027732469/5946814863027732469_signature_31.png</t>
  </si>
  <si>
    <t>J. Bocobo St, Ermita, Manila</t>
  </si>
  <si>
    <t xml:space="preserve">ASSAY: Xpert CT/NG, COUNT: 4884
ASSAY: Xpert MTB/RIF Ultra, COUNT: 1713
</t>
  </si>
  <si>
    <t>GX Infinity 48s</t>
  </si>
  <si>
    <t>Kiosk PC flagged by customer's IT system for outdated OS</t>
  </si>
  <si>
    <t>Restored database from old Kiosk PC
Performed functionality test
Generated reports</t>
  </si>
  <si>
    <t>Replaced Kiosk PC</t>
  </si>
  <si>
    <t>GeneXpert Desktop</t>
  </si>
  <si>
    <t>DR# 11610</t>
  </si>
  <si>
    <t>https://www.jotform.com/uploads/macarewecare/222927978372067/5946799060617981462/5946799060617981462_signature_28.png</t>
  </si>
  <si>
    <t>https://www.jotform.com/uploads/macarewecare/222927978372067/5946799060617981462/5946799060617981462_signature_31.png</t>
  </si>
  <si>
    <t>Marulas 3S Health Center</t>
  </si>
  <si>
    <t>Marulas, Valenzuela</t>
  </si>
  <si>
    <t xml:space="preserve">ASSAY: Xpert MTB/RIF Ultra, COUNT: 1555
</t>
  </si>
  <si>
    <t>Monitor for troubleshooting</t>
  </si>
  <si>
    <t>Replaced monitor by a back up unit temporarily</t>
  </si>
  <si>
    <t>- checked monitor's functionality (defective controls)
- generated reports thru a back up monitor
- performed self test</t>
  </si>
  <si>
    <t>Unit is operational
Monitor for replacement / repair
SN: CNK83224PP</t>
  </si>
  <si>
    <t>https://www.jotform.com/uploads/macarewecare/222927978372067/5946777737687744704/5946777737687744704_signature_28.png</t>
  </si>
  <si>
    <t>Melissa Martin Galit</t>
  </si>
  <si>
    <t>https://www.jotform.com/uploads/macarewecare/222927978372067/5946777737687744704/5946777737687744704_signature_31.png</t>
  </si>
  <si>
    <t>Bayawan CHO</t>
  </si>
  <si>
    <t>Bayawan City</t>
  </si>
  <si>
    <t>Emerson Bejemino</t>
  </si>
  <si>
    <t>06emerson23@gmail.com</t>
  </si>
  <si>
    <t>lobella_belliet@yahoo.com</t>
  </si>
  <si>
    <t xml:space="preserve">ASSAY: Xpert MTB/RIF Ultra, COUNT: 2070
</t>
  </si>
  <si>
    <t>Replaced module B1 with new module SN 220001406</t>
  </si>
  <si>
    <t>Module Replacement for B1 w/ SN 607064</t>
  </si>
  <si>
    <t>All modules are now functional and in good condition.</t>
  </si>
  <si>
    <t>https://www.jotform.com/uploads/macarewecare/222927978372067/5946777514819776170/5946777514819776170_signature_28.png</t>
  </si>
  <si>
    <t>Lobella Ilagan</t>
  </si>
  <si>
    <t>https://www.jotform.com/uploads/macarewecare/222927978372067/5946777514819776170/5946777514819776170_signature_31.png</t>
  </si>
  <si>
    <t>Unit is operational and ready to use</t>
  </si>
  <si>
    <t>https://www.jotform.com/uploads/macarewecare/222927978372067/5946744913629589930/5946744913629589930_signature_28.png</t>
  </si>
  <si>
    <t>https://www.jotform.com/uploads/macarewecare/222927978372067/5946744913629589930/5946744913629589930_signature_31.png</t>
  </si>
  <si>
    <t>Brgy. Poblacion, San Francisco, Quezon</t>
  </si>
  <si>
    <t>micoveLARDE13@GMAIL.COM</t>
  </si>
  <si>
    <t xml:space="preserve">ASSAY: Xpert MTB/RIF Ultra, COUNT: 376
</t>
  </si>
  <si>
    <t>GX IV 6C - D</t>
  </si>
  <si>
    <t>Performed preventive maintenance 
Replaced module A2</t>
  </si>
  <si>
    <t>Checked and cleaned cartridge bays, plunger rod, icore slot, and filter 
Replaced module A2
757206 -&gt; 210042259
Generated report</t>
  </si>
  <si>
    <t>DR 47631</t>
  </si>
  <si>
    <t>https://www.jotform.com/uploads/macarewecare/222927978372067/5946732371424657966/5946732371424657966_signature_28.png</t>
  </si>
  <si>
    <t>Michael Francis Velarde</t>
  </si>
  <si>
    <t>https://www.jotform.com/uploads/macarewecare/222927978372067/5946732371424657966/5946732371424657966_signature_31.png</t>
  </si>
  <si>
    <t>- Module B1/787858 and B2/787899 defective 
- Unit for installation</t>
  </si>
  <si>
    <t>-Install new module in B1/760731 and B2/783221
- Install other devices 
 CPU - SN/CPH1119F04303
 Monitor - SN/CNK92102RD
 Printer - SN/VNC7703319
 Keyboard/Mouse and barcode scanner 
- No UPS included</t>
  </si>
  <si>
    <t>Genexpert machine 
CPU
Monitor 
Printer</t>
  </si>
  <si>
    <t>https://www.jotform.com/uploads/macarewecare/222927978372067/5946718558713458337/5946718558713458337_signature_28.png</t>
  </si>
  <si>
    <t>https://www.jotform.com/uploads/macarewecare/222927978372067/5946718558713458337/5946718558713458337_signature_31.png</t>
  </si>
  <si>
    <t>rsjalova1974@yahoo.com</t>
  </si>
  <si>
    <t>Unit for maintenance and troubleshooting</t>
  </si>
  <si>
    <t>Unit is operational
C1: passed
C2: passed
C3: insufficient cartridge 
C4: passed</t>
  </si>
  <si>
    <t>https://www.jotform.com/uploads/macarewecare/222927978372067/5946711234526320609/5946711234526320609_signature_28.png</t>
  </si>
  <si>
    <t>Rosevi Jalova</t>
  </si>
  <si>
    <t>https://www.jotform.com/uploads/macarewecare/222927978372067/5946711234526320609/5946711234526320609_signature_31.png</t>
  </si>
  <si>
    <t>https://www.jotform.com/uploads/macarewecare/222927978372067/5946711234528955740/5946711234528955740_signature_28.png</t>
  </si>
  <si>
    <t>https://www.jotform.com/uploads/macarewecare/222927978372067/5946711234528955740/5946711234528955740_signature_31.png</t>
  </si>
  <si>
    <t>Solana Municipal Health Office</t>
  </si>
  <si>
    <t>Solana, Cagayan</t>
  </si>
  <si>
    <t>daisyjane2094@gmail.com</t>
  </si>
  <si>
    <t>Module B2 error
Module B1 Hardware Failure</t>
  </si>
  <si>
    <t>https://www.jotform.com/uploads/macarewecare/222927978372067/5946689970322157831/5946689970322157831_signature_28.png</t>
  </si>
  <si>
    <t>Daisy Jane P. Reyes</t>
  </si>
  <si>
    <t>https://www.jotform.com/uploads/macarewecare/222927978372067/5946689970322157831/5946689970322157831_signature_31.png</t>
  </si>
  <si>
    <t xml:space="preserve">ASSAY: Xpert MTB/RIF Ultra, COUNT: 87
</t>
  </si>
  <si>
    <t>https://www.jotform.com/uploads/macarewecare/222927978372067/5946645474216389034/5946645474216389034_signature_28.png</t>
  </si>
  <si>
    <t>https://www.jotform.com/uploads/macarewecare/222927978372067/5946645474216389034/5946645474216389034_signature_31.png</t>
  </si>
  <si>
    <t>Davao Occidental General Hospital</t>
  </si>
  <si>
    <t>Brgy. Lacaron, Malita</t>
  </si>
  <si>
    <t>carelpapelera@gmail.com</t>
  </si>
  <si>
    <t xml:space="preserve">ASSAY: Xpert MTB/RIF Ultra, COUNT: 86
</t>
  </si>
  <si>
    <t>Clean Surface Area, Cartridge Bay, Plunger Rod, Fan Filters and Icore Lenses
Generate IQR, Assay Stat and System Log
Install HIV VL Assay
Install XpertCheck 1.5b</t>
  </si>
  <si>
    <t>https://www.jotform.com/uploads/macarewecare/222927978372067/5946623819644860979/5946623819644860979_signature_28.png</t>
  </si>
  <si>
    <t>Nazel John F. Velasco, RMT</t>
  </si>
  <si>
    <t>https://www.jotform.com/uploads/macarewecare/222927978372067/5946623819644860979/5946623819644860979_signature_31.png</t>
  </si>
  <si>
    <t>https://www.jotform.com/uploads/macarewecare/222927978372067/5946604656346289408/5946604656346289408_signature_28.png</t>
  </si>
  <si>
    <t>https://www.jotform.com/uploads/macarewecare/222927978372067/5946604656346289408/5946604656346289408_signature_31.png</t>
  </si>
  <si>
    <t xml:space="preserve">ASSAY: Xpert MTB/RIF Ultra, COUNT: 229
</t>
  </si>
  <si>
    <t>https://www.jotform.com/uploads/macarewecare/222927978372067/5946601580118896464/5946601580118896464_signature_28.png</t>
  </si>
  <si>
    <t>https://www.jotform.com/uploads/macarewecare/222927978372067/5946601580118896464/5946601580118896464_signature_31.png</t>
  </si>
  <si>
    <t>Poblacion, Malita</t>
  </si>
  <si>
    <t>mariastellarmt@gmail.com</t>
  </si>
  <si>
    <t>Module 3 encounter multiple temperature related errors
For Preventive Maintenance</t>
  </si>
  <si>
    <t>Clean Surface Area, Cartridge Bay, Plunger Rod, Fan Filters and Icore Lenses
Generate IQR, Assay Stat, and System Log
Rearrange the GeneXpert position for suitable cooling position</t>
  </si>
  <si>
    <t>Module 3 reported to Cepheid for further Assessment
Filter was damaged due to aging; will request new filters
Only 3 Modules are operational</t>
  </si>
  <si>
    <t>https://www.jotform.com/uploads/macarewecare/222927978372067/5946559509642413911/5946559509642413911_signature_28.png</t>
  </si>
  <si>
    <t>https://www.jotform.com/uploads/macarewecare/222927978372067/5946559509642413911/5946559509642413911_signature_31.png</t>
  </si>
  <si>
    <t xml:space="preserve">ASSAY: Xpert CT/NG, COUNT: 286
ASSAY: Xpert HBV VL, COUNT: 5
ASSAY: Xpert HPV, COUNT: 1
ASSAY: Xpert HPV, COUNT: 57
ASSAY: Xpert MTB/RIF Ultra, COUNT: 3217
</t>
  </si>
  <si>
    <t>B1,B2 operational
B3,B4 disabled due to failed xpertcheck</t>
  </si>
  <si>
    <t>https://www.jotform.com/uploads/macarewecare/222927978372067/5946423161199800489/5946423161199800489_signature_28.png</t>
  </si>
  <si>
    <t>https://www.jotform.com/uploads/macarewecare/222927978372067/5946423161199800489/5946423161199800489_signature_31.png</t>
  </si>
  <si>
    <t xml:space="preserve">ASSAY: Xpert CT/NG, COUNT: 1
ASSAY: Xpert HBV VL, COUNT: 59
ASSAY: Xpert HPV, COUNT: 10
ASSAY: Xpert HPV, COUNT: 217
ASSAY: Xpert MTB/RIF Ultra, COUNT: 2
ASSAY: Xpert HCV VL, COUNT: 13
ASSAY: Xpert HIV-1 Viral Load, COUNT: 20
</t>
  </si>
  <si>
    <t>Due for xpertcheck, C1 encounter temp error 2014</t>
  </si>
  <si>
    <t>Xpertcheck and maintenance</t>
  </si>
  <si>
    <t>C3 and C4 retry xpertcheck lack of cartridge.
C1 failed xpertcheck
C2 passed</t>
  </si>
  <si>
    <t>https://www.jotform.com/uploads/macarewecare/222927978372067/5946422531194045271/5946422531194045271_signature_28.png</t>
  </si>
  <si>
    <t>Bonnie Lana, RMT</t>
  </si>
  <si>
    <t>https://www.jotform.com/uploads/macarewecare/222927978372067/5946422531194045271/5946422531194045271_signature_31.png</t>
  </si>
  <si>
    <t>Provincial Health Office, Brgy XI, Lucena City</t>
  </si>
  <si>
    <t>qmcrtdl2015@gmail.com</t>
  </si>
  <si>
    <t xml:space="preserve">ASSAY: Xpert HPV, COUNT: 153
ASSAY: Xpert MTB/RIF Ultra, COUNT: 1981
ASSAY: Xpert HIV-1 Viral Load, COUNT: 56
</t>
  </si>
  <si>
    <t>Unpacked Machine and accessories 
Performed preventive maintenance 
Performed Xpertcheck</t>
  </si>
  <si>
    <t>Removed machine and accessories from box
Setup machine and accessories 
Checked and cleaned cartridge bays, plunger rod, icore slot and filter
Performed Xpertcheck on D3 and D4
D1: New
D2: New
D3: service Required
D4: Service Required</t>
  </si>
  <si>
    <t>Unit is operational 
D3: Service Required 
D4: Service Required</t>
  </si>
  <si>
    <t>DR 47729</t>
  </si>
  <si>
    <t>https://www.jotform.com/uploads/macarewecare/222927978372067/5946251065317030748/5946251065317030748_signature_28.png</t>
  </si>
  <si>
    <t>Jo-Ann P. Yamballa</t>
  </si>
  <si>
    <t>https://www.jotform.com/uploads/macarewecare/222927978372067/5946251065317030748/5946251065317030748_signature_31.png</t>
  </si>
  <si>
    <t>Lower Bicutan Health Center</t>
  </si>
  <si>
    <t>M.L Quezon St., Bicutan, Taguig</t>
  </si>
  <si>
    <t xml:space="preserve">ASSAY: Xpert MTB/RIF Ultra, COUNT: 3172
</t>
  </si>
  <si>
    <t>Modules B1, B2 and B3 has errors 1001/1002/4009.</t>
  </si>
  <si>
    <t>Unit is operational. Modules B1/863216, B2/863322, B3/863340 not operational, for reporting.</t>
  </si>
  <si>
    <t>https://www.jotform.com/uploads/macarewecare/222927978372067/5946071018589695330/5946071018589695330_signature_28.png</t>
  </si>
  <si>
    <t>https://www.jotform.com/uploads/macarewecare/222927978372067/5946071018589695330/5946071018589695330_signature_31.png</t>
  </si>
  <si>
    <t>Mallig Super Health Center</t>
  </si>
  <si>
    <t>Mallig, Isabela</t>
  </si>
  <si>
    <t>shcmalliglab1@gmial.com</t>
  </si>
  <si>
    <t xml:space="preserve">ASSAY: Xpert MTB/RIF Ultra, COUNT: 933
</t>
  </si>
  <si>
    <t>Module B3 Error</t>
  </si>
  <si>
    <t>Performed Module Replacement
B3(210092911 - 692259)</t>
  </si>
  <si>
    <t>https://www.jotform.com/uploads/macarewecare/222927978372067/5945928283412620707/5945928283412620707_signature_28.png</t>
  </si>
  <si>
    <t>Hanna Jane C. Respicio</t>
  </si>
  <si>
    <t>https://www.jotform.com/uploads/macarewecare/222927978372067/5945928283412620707/5945928283412620707_signature_31.png</t>
  </si>
  <si>
    <t>LAMBUNAO RURAL HEALTH UNIT</t>
  </si>
  <si>
    <t>LAMBUNAO, ILOILO</t>
  </si>
  <si>
    <t>gabatanelson@gmail.com</t>
  </si>
  <si>
    <t xml:space="preserve">ASSAY: Xpert MTB/RIF Ultra, COUNT: 2447
</t>
  </si>
  <si>
    <t>-PERFORM CLEANING OF GENEXPERT WORKSTATION
-PERFORM PREVENTIVE MAINTENANCE PROCEDURE
-PERFORM MODULE B1 REPLACEMENT:
DEF SN:793566 WITH NEW SN:210060891</t>
  </si>
  <si>
    <t>https://www.jotform.com/uploads/macarewecare/222927978372067/5945924799743130482/5945924799743130482_signature_28.png</t>
  </si>
  <si>
    <t>Nelson Gabata, RMT</t>
  </si>
  <si>
    <t>https://www.jotform.com/uploads/macarewecare/222927978372067/5945924799743130482/5945924799743130482_signature_31.png</t>
  </si>
  <si>
    <t>Tumauini District Hospital</t>
  </si>
  <si>
    <t>Lingaling, Tumauini, Isabela</t>
  </si>
  <si>
    <t>https://www.jotform.com/uploads/macarewecare/222927978372067/5945863213418131941/5945863213418131941_signature_28.png</t>
  </si>
  <si>
    <t>https://www.jotform.com/uploads/macarewecare/222927978372067/5945863213418131941/5945863213418131941_signature_31.png</t>
  </si>
  <si>
    <t>Cebu TB reference lab</t>
  </si>
  <si>
    <t>SRP Cebu</t>
  </si>
  <si>
    <t>Defective Module D1, D3 &amp; D4
Defective monitor</t>
  </si>
  <si>
    <t>New Installation Module D1,D3 &amp; D4
New monitor Installed
Clean Fan Filter</t>
  </si>
  <si>
    <t>Systems operational
UPS defective</t>
  </si>
  <si>
    <t>https://www.jotform.com/uploads/macarewecare/222927978372067/5945848279718259005/5945848279718259005_signature_28.png</t>
  </si>
  <si>
    <t>https://www.jotform.com/uploads/macarewecare/222927978372067/5945848279718259005/5945848279718259005_signature_31.png</t>
  </si>
  <si>
    <t>Delfin Albano Memorial Hospital</t>
  </si>
  <si>
    <t>maryrosebacanirmt@gmail.com</t>
  </si>
  <si>
    <t xml:space="preserve">ASSAY: Xpert MTB/RIF Ultra, COUNT: 946
</t>
  </si>
  <si>
    <t>Performed Xpertcheck
2 Modules Passed(2 modules newly replaced)</t>
  </si>
  <si>
    <t>https://www.jotform.com/uploads/macarewecare/222927978372067/5945829040252987304/5945829040252987304_signature_28.png</t>
  </si>
  <si>
    <t>Mary Rose Bacani</t>
  </si>
  <si>
    <t>https://www.jotform.com/uploads/macarewecare/222927978372067/5945829040252987304/5945829040252987304_signature_31.png</t>
  </si>
  <si>
    <t>Abuyog District Hospital</t>
  </si>
  <si>
    <t>Abuyog Leyte</t>
  </si>
  <si>
    <t>erwindelacruz089@gmail.com</t>
  </si>
  <si>
    <t xml:space="preserve">ASSAY: Xpert MTB/RIF Ultra, COUNT: 992
</t>
  </si>
  <si>
    <t>https://www.jotform.com/uploads/macarewecare/222927978372067/5945821083215479320/5945821083215479320_signature_28.png</t>
  </si>
  <si>
    <t>Erwin B. De La Cruz</t>
  </si>
  <si>
    <t>https://www.jotform.com/uploads/macarewecare/222927978372067/5945821083215479320/5945821083215479320_signature_31.png</t>
  </si>
  <si>
    <t>Karangalan Dr. Cainta, Rizal</t>
  </si>
  <si>
    <t xml:space="preserve">ASSAY: Xpert MTB/RIF Ultra, COUNT: 949
ASSAY: Xpert HIV-1 Viral Load, COUNT: 117
</t>
  </si>
  <si>
    <t>Unit is operational. Module B4/807137 waiting for replacement module.</t>
  </si>
  <si>
    <t>https://www.jotform.com/uploads/macarewecare/222927978372067/5945809956795985756/5945809956795985756_signature_28.png</t>
  </si>
  <si>
    <t>https://www.jotform.com/uploads/macarewecare/222927978372067/5945809956795985756/5945809956795985756_signature_31.png</t>
  </si>
  <si>
    <t xml:space="preserve">ASSAY: Xpert MTB/RIF Ultra, COUNT: 763
ASSAY: Xpert HIV-1 Viral Load, COUNT: 74
</t>
  </si>
  <si>
    <t>Performed maintenance 
Cleaned:
-cartridge bay 
-plunger rod 
-icore 
-filter 
Replaced module A1
Generated reports</t>
  </si>
  <si>
    <t>Old: A1/802425
New: A1/693718</t>
  </si>
  <si>
    <t>https://www.jotform.com/uploads/macarewecare/222927978372067/5945809876794215134/5945809876794215134_signature_28.png</t>
  </si>
  <si>
    <t>https://www.jotform.com/uploads/macarewecare/222927978372067/5945809876794215134/5945809876794215134_signature_31.png</t>
  </si>
  <si>
    <t xml:space="preserve">ASSAY: Xpert MTB/RIF Ultra, COUNT: 1169
</t>
  </si>
  <si>
    <t>https://www.jotform.com/uploads/macarewecare/222927978372067/5945809776793360002/5945809776793360002_signature_28.png</t>
  </si>
  <si>
    <t>https://www.jotform.com/uploads/macarewecare/222927978372067/5945809776793360002/5945809776793360002_signature_31.png</t>
  </si>
  <si>
    <t xml:space="preserve">ASSAY: Xpert MTB/RIF Ultra, COUNT: NA
</t>
  </si>
  <si>
    <t>Unit is operational
Temp. Errors found on module 4</t>
  </si>
  <si>
    <t>https://www.jotform.com/uploads/macarewecare/222927978372067/5945774393615632807/5945774393615632807_signature_28.png</t>
  </si>
  <si>
    <t>Fritzie Mae T. Perante</t>
  </si>
  <si>
    <t>https://www.jotform.com/uploads/macarewecare/222927978372067/5945774393615632807/5945774393615632807_signature_31.png</t>
  </si>
  <si>
    <t>Sto Tomas Rural Health Unit</t>
  </si>
  <si>
    <t>Installed Genexpert
Installed PC
Installed Drivers
Installed UPS
Installed Printer
Performed Maintenance
Gathered Reports
Performed Functionality Test</t>
  </si>
  <si>
    <t>https://www.jotform.com/uploads/macarewecare/222927978372067/5945770938414922541/5945770938414922541_signature_28.png</t>
  </si>
  <si>
    <t>https://www.jotform.com/uploads/macarewecare/222927978372067/5945770938414922541/5945770938414922541_signature_31.png</t>
  </si>
  <si>
    <t>Mary Johnston Hospital</t>
  </si>
  <si>
    <t>J. Nolasco St. Tondo Manila</t>
  </si>
  <si>
    <t>mchjyclm@gmail.com</t>
  </si>
  <si>
    <t>mjhlaboratory@gmail.com</t>
  </si>
  <si>
    <t xml:space="preserve">ASSAY: Xpert MTB/RIF Ultra, COUNT: 2140
ASSAY: Xpert HIV-1 Viral Load, COUNT: 6
</t>
  </si>
  <si>
    <t>https://www.jotform.com/uploads/macarewecare/222927978372067/5945690401421940769/5945690401421940769_signature_28.png</t>
  </si>
  <si>
    <t>Micah Joy C. Talabong</t>
  </si>
  <si>
    <t>https://www.jotform.com/uploads/macarewecare/222927978372067/5945690401421940769/5945690401421940769_signature_31.png</t>
  </si>
  <si>
    <t>Badian Rural Health Unit</t>
  </si>
  <si>
    <t xml:space="preserve">ASSAY: Xpert MTB/RIF Ultra, COUNT: 1191
</t>
  </si>
  <si>
    <t>B1 SN# 739696 failed during calibration.
Need additional dust filter.</t>
  </si>
  <si>
    <t>Pulled out B1 SN# 739696 and replace new module SN # 694164 .
Generate IQR, GXX data, System log, Assay Statistics</t>
  </si>
  <si>
    <t>https://www.jotform.com/uploads/macarewecare/222927978372067/5945128941117006526/5945128941117006526_signature_28.png</t>
  </si>
  <si>
    <t>Avenizer Absin, RMT</t>
  </si>
  <si>
    <t>https://www.jotform.com/uploads/macarewecare/222927978372067/5945128941117006526/5945128941117006526_signature_31.png</t>
  </si>
  <si>
    <t>Calabanga, Camarines Sur</t>
  </si>
  <si>
    <t xml:space="preserve">ASSAY: Xpert MTB/RIF Ultra, COUNT: 807
</t>
  </si>
  <si>
    <t>XpertCheck Result: 
   B1/807565 - passed
   B2/737294 - newly replaced module 
   B3/731543 - newly replaced module 
   B4/807261 - newly replaced module 
Cleaned cartridge bays,  plunger rod, icore
Generate report</t>
  </si>
  <si>
    <t>https://www.jotform.com/uploads/macarewecare/222927978372067/5945052313715158387/5945052313715158387_signature_28.png</t>
  </si>
  <si>
    <t>https://www.jotform.com/uploads/macarewecare/222927978372067/5945052313715158387/5945052313715158387_signature_31.png</t>
  </si>
  <si>
    <t>https://www.jotform.com/uploads/macarewecare/222927978372067/5944950029311367774/5944950029311367774_signature_28.png</t>
  </si>
  <si>
    <t>https://www.jotform.com/uploads/macarewecare/222927978372067/5944950029311367774/5944950029311367774_signature_31.png</t>
  </si>
  <si>
    <t>MCS+ request for Preventive Maintenance</t>
  </si>
  <si>
    <t>Cleaned/disinfect Centrifuge, rotor pumps, valves, surface of MCS+
Checked power connections
Checked parameters</t>
  </si>
  <si>
    <t>https://www.jotform.com/uploads/macarewecare/222927978372067/5944948197612431364/5944948197612431364_signature_28.png</t>
  </si>
  <si>
    <t>Shiela P. Monge R.N.</t>
  </si>
  <si>
    <t>https://www.jotform.com/uploads/macarewecare/222927978372067/5944948197612431364/5944948197612431364_signature_31.png</t>
  </si>
  <si>
    <t>https://www.jotform.com/uploads/macarewecare/222927978372067/5944947457612798115/5944947457612798115_signature_28.png</t>
  </si>
  <si>
    <t>https://www.jotform.com/uploads/macarewecare/222927978372067/5944947457612798115/5944947457612798115_signature_31.png</t>
  </si>
  <si>
    <t xml:space="preserve">ASSAY: Xpert MTB/RIF Ultra, COUNT: 2519
</t>
  </si>
  <si>
    <t>Module B4 valve not aligned
Module B2 error
Module B3 Temperature error</t>
  </si>
  <si>
    <t>Performed Module Replacement
B2(678888 - 675119)
Performed Troubleshooting</t>
  </si>
  <si>
    <t>https://www.jotform.com/uploads/macarewecare/222927978372067/5944924293324333527/5944924293324333527_signature_28.png</t>
  </si>
  <si>
    <t>April Jenneth Chu</t>
  </si>
  <si>
    <t>https://www.jotform.com/uploads/macarewecare/222927978372067/5944924293324333527/5944924293324333527_signature_31.png</t>
  </si>
  <si>
    <t>Saragani Rural Health Unit</t>
  </si>
  <si>
    <t>Poblacion Mabila, Saragani</t>
  </si>
  <si>
    <t xml:space="preserve">ASSAY: Xpert MTB/RIF Ultra, COUNT: 343
</t>
  </si>
  <si>
    <t>GX-IV 4d</t>
  </si>
  <si>
    <t>Stuck Cartidge at Module B3
Due for Preventive Maintenance</t>
  </si>
  <si>
    <t>Remove Stuck Cartidge
Reset network connections 
Clean Surface Area, Cartridge Bay, Plunger Rod, Fan Filters and Icore Lenses
Generate IQR, Assay Stat, and System Log
Archived Data test results</t>
  </si>
  <si>
    <t>High temperature due to no ACU, reported to higherups for assessment</t>
  </si>
  <si>
    <t>https://www.jotform.com/uploads/macarewecare/222927978372067/5944880048613272051/5944880048613272051_signature_28.png</t>
  </si>
  <si>
    <t>QUENNIE C. LOVITOS</t>
  </si>
  <si>
    <t>https://www.jotform.com/uploads/macarewecare/222927978372067/5944880048613272051/5944880048613272051_signature_31.png</t>
  </si>
  <si>
    <t>Dapitan, Lawaan</t>
  </si>
  <si>
    <t>lovinoantonieta@gmail.comc</t>
  </si>
  <si>
    <t>Defective module A3 640864</t>
  </si>
  <si>
    <t>New module installed A3 210086464
Clean Fan
Gather data pre IQR and Post IQR</t>
  </si>
  <si>
    <t>https://www.jotform.com/uploads/macarewecare/222927978372067/5944831291112413298/5944831291112413298_signature_28.png</t>
  </si>
  <si>
    <t>Antonieta B. Lovino</t>
  </si>
  <si>
    <t>https://www.jotform.com/uploads/macarewecare/222927978372067/5944831291112413298/5944831291112413298_signature_31.png</t>
  </si>
  <si>
    <t>ALIMODIAN RURAL HEALTH UNIT</t>
  </si>
  <si>
    <t>PLAZA LIBERTAD STREET, ALIMODIAN, ILOILO</t>
  </si>
  <si>
    <t>rosemarie.rmt2@gmail.com</t>
  </si>
  <si>
    <t>FOR MODULE B1 AND MODULE B2 REPLACEMENT</t>
  </si>
  <si>
    <t>-PERFORM CLEANING OF GX WORKSTATION AND PREVENTIVE MAINTENANCE PROCEDURE
-PERFORM MODULE REPLACEMENT:
B1 DEF SN:787348, NEW SN:631282
B2 DEF SN:787350, NEW SN:675964</t>
  </si>
  <si>
    <t>https://www.jotform.com/uploads/macarewecare/222927978372067/5944815394579196667/5944815394579196667_signature_28.png</t>
  </si>
  <si>
    <t>Rosemarie Ani</t>
  </si>
  <si>
    <t>https://www.jotform.com/uploads/macarewecare/222927978372067/5944815394579196667/5944815394579196667_signature_31.png</t>
  </si>
  <si>
    <t>Unit not powering on</t>
  </si>
  <si>
    <t>Replaced fuse</t>
  </si>
  <si>
    <t>2.5A, 250V Fuse (2 pcs)</t>
  </si>
  <si>
    <t>https://www.jotform.com/uploads/macarewecare/222927978372067/5944808933612695527/5944808933612695527_signature_28.png</t>
  </si>
  <si>
    <t>Leonila flores</t>
  </si>
  <si>
    <t>https://www.jotform.com/uploads/macarewecare/222927978372067/5944808933612695527/5944808933612695527_signature_31.png</t>
  </si>
  <si>
    <t>guelaquino11@gmail.com</t>
  </si>
  <si>
    <t xml:space="preserve">ASSAY: Xpert C. difficile BT, COUNT: 32
ASSAY: Xpert CT/NG, COUNT: 79
ASSAY: Xpert MTB/RIF Ultra, COUNT: 644
ASSAY: Others, COUNT: 2
ASSAY: Xpert SARS-CoV-2, COUNT: 28
</t>
  </si>
  <si>
    <t>Unit is operational
Modules B1, B4 for reporting</t>
  </si>
  <si>
    <t>https://www.jotform.com/uploads/macarewecare/222927978372067/5944789993611795692/5944789993611795692_signature_28.png</t>
  </si>
  <si>
    <t>Miguel Joseph C. Aquino</t>
  </si>
  <si>
    <t>https://www.jotform.com/uploads/macarewecare/222927978372067/5944789993611795692/5944789993611795692_signature_31.png</t>
  </si>
  <si>
    <t>Malolos Rural Health Unit VI</t>
  </si>
  <si>
    <t>sandiego.redarizza@gmail.com</t>
  </si>
  <si>
    <t xml:space="preserve">ASSAY: Xpert MTB/RIF Ultra, COUNT: 1969
</t>
  </si>
  <si>
    <t>Module B2 for troubleshooting
Unit for maintenance</t>
  </si>
  <si>
    <t>Unit is operational
Module B2 for reporting</t>
  </si>
  <si>
    <t>https://www.jotform.com/uploads/macarewecare/222927978372067/5944788623611272972/5944788623611272972_signature_28.png</t>
  </si>
  <si>
    <t>Reda San Diego</t>
  </si>
  <si>
    <t>https://www.jotform.com/uploads/macarewecare/222927978372067/5944788623611272972/5944788623611272972_signature_31.png</t>
  </si>
  <si>
    <t>https://www.jotform.com/uploads/macarewecare/222927978372067/5944138913583364989/5944138913583364989_signature_28.png</t>
  </si>
  <si>
    <t>https://www.jotform.com/uploads/macarewecare/222927978372067/5944138913583364989/5944138913583364989_signature_31.png</t>
  </si>
  <si>
    <t>Capitol Site, Fuente, Cebu City</t>
  </si>
  <si>
    <t>Error 413 Valve Problem "purple valve test failure"</t>
  </si>
  <si>
    <t>Defective Pneumatic Assembly for replacement (out of warranty) 
Need a quotation for Pneumatic assembly</t>
  </si>
  <si>
    <t>Trouble problem check valve, check pneumatic assembly</t>
  </si>
  <si>
    <t>MCS+ is standby waiting for replacement. 
Pneumatic assembly problem.</t>
  </si>
  <si>
    <t>https://www.jotform.com/uploads/macarewecare/222927978372067/5943472713501643526/5943472713501643526_signature_28.png</t>
  </si>
  <si>
    <t>https://www.jotform.com/uploads/macarewecare/222927978372067/5943472713501643526/5943472713501643526_signature_31.png</t>
  </si>
  <si>
    <t>Dr. Jorge P. Royeca Hospital</t>
  </si>
  <si>
    <t xml:space="preserve">ASSAY: Xpert MTB/RIF Ultra, COUNT: 107
</t>
  </si>
  <si>
    <t>Genexpert machine Cleaning/Preventive maintenance 
Checking of errors 
Data collection for new Installed Genexpert machine</t>
  </si>
  <si>
    <t>https://www.jotform.com/uploads/macarewecare/222927978372067/5942756659495175496/5942756659495175496_signature_28.png</t>
  </si>
  <si>
    <t>Elsie R. Dacua</t>
  </si>
  <si>
    <t>https://www.jotform.com/uploads/macarewecare/222927978372067/5942756659495175496/5942756659495175496_signature_31.png</t>
  </si>
  <si>
    <t>Dr. Jorge P.  Royeca Hospital</t>
  </si>
  <si>
    <t xml:space="preserve">ASSAY: Xpert MTB/RIF Ultra, COUNT: 1102
</t>
  </si>
  <si>
    <t>Genexpert machine Cleaning/Preventive maintenance 
Checking of errors 
Data collection</t>
  </si>
  <si>
    <t>https://www.jotform.com/uploads/macarewecare/222927978372067/5942753079496157897/5942753079496157897_signature_28.png</t>
  </si>
  <si>
    <t>https://www.jotform.com/uploads/macarewecare/222927978372067/5942753079496157897/5942753079496157897_signature_31.png</t>
  </si>
  <si>
    <t xml:space="preserve">ASSAY: Xpert MTB/RIF Ultra, COUNT: 1273
ASSAY: Others, COUNT: 17
ASSAY: Xpert SARS-CoV-2, COUNT: 2671
</t>
  </si>
  <si>
    <t>https://www.jotform.com/uploads/macarewecare/222927978372067/5942100963415005416/5942100963415005416_signature_28.png</t>
  </si>
  <si>
    <t>Arjay V. Abichuela</t>
  </si>
  <si>
    <t>https://www.jotform.com/uploads/macarewecare/222927978372067/5942100963415005416/5942100963415005416_signature_31.png</t>
  </si>
  <si>
    <t xml:space="preserve">ASSAY: Xpert MTB/RIF Ultra, COUNT: 283
ASSAY: Xpert SARS-CoV-2, COUNT: 829
</t>
  </si>
  <si>
    <t>https://www.jotform.com/uploads/macarewecare/222927978372067/5942100643411703999/5942100643411703999_signature_28.png</t>
  </si>
  <si>
    <t>https://www.jotform.com/uploads/macarewecare/222927978372067/5942100643411703999/5942100643411703999_signature_31.png</t>
  </si>
  <si>
    <t>Masikap st.,Diliman QC</t>
  </si>
  <si>
    <t xml:space="preserve">ASSAY: Xpert CT/NG, COUNT: 148
ASSAY: Xpert HBV VL, COUNT: 45
ASSAY: Xpert MTB/RIF Ultra, COUNT: 13
ASSAY: Xpert HCV VL, COUNT: 6
ASSAY: Xpert HIV-1 Viral Load, COUNT: 2
ASSAY: Xpert CT/NG, COUNT: 148
ASSAY: Xpert HBV VL, COUNT: 45
ASSAY: Xpert MTB/RIF Ultra, COUNT: 13
ASSAY: Xpert HCV VL, COUNT: 6
ASSAY: Xpert HIV-1 Viral Load, COUNT: 2
</t>
  </si>
  <si>
    <t>https://www.jotform.com/uploads/macarewecare/222927978372067/5942100253413999487/5942100253413999487_signature_28.png</t>
  </si>
  <si>
    <t>https://www.jotform.com/uploads/macarewecare/222927978372067/5942100253413999487/5942100253413999487_signature_31.png</t>
  </si>
  <si>
    <t xml:space="preserve">ASSAY: Xpert CT/NG, COUNT: 34
ASSAY: Xpert HPV, COUNT: 5
ASSAY: Xpert SARS-CoV-2, COUNT: 30
</t>
  </si>
  <si>
    <t>14 modules operational
A3 disabled H/W failed
C2 failed xpertcheck</t>
  </si>
  <si>
    <t>https://www.jotform.com/uploads/macarewecare/222927978372067/5942099843419150414/5942099843419150414_signature_28.png</t>
  </si>
  <si>
    <t>Biopath Clinical Diagnostics, Inc-E. Rodriguez</t>
  </si>
  <si>
    <t>https://www.jotform.com/uploads/macarewecare/222927978372067/5942099843419150414/5942099843419150414_signature_31.png</t>
  </si>
  <si>
    <t>Philippine Red Cross tower</t>
  </si>
  <si>
    <t>Edsa,Mandaluyong</t>
  </si>
  <si>
    <t>CRC bios failed/ rollers slight worn out and yellowish color</t>
  </si>
  <si>
    <t>Replaced CPU board
Performed calibration
Checked program parameters
Checked and adjust line sensor value
Checked rollers,dpm,spm,centrifuge
Performed functionality test
Performed simulation running</t>
  </si>
  <si>
    <t>Rollers need to replace
Unit ready to use</t>
  </si>
  <si>
    <t>Pull out defective CPU board</t>
  </si>
  <si>
    <t>https://www.jotform.com/uploads/macarewecare/222927978372067/5942099513411367235/5942099513411367235_signature_28.png</t>
  </si>
  <si>
    <t>https://www.jotform.com/uploads/macarewecare/222927978372067/5942099513411367235/5942099513411367235_signature_31.png</t>
  </si>
  <si>
    <t>Klinika - Eastwood</t>
  </si>
  <si>
    <t>L3, Citywalk 1, Bagumbayan, Q.C.</t>
  </si>
  <si>
    <t>For installation.</t>
  </si>
  <si>
    <t>Unit installation done. Setup printer. Check unit funstionality.</t>
  </si>
  <si>
    <t>Performed unit installation.</t>
  </si>
  <si>
    <t>Recommended for wall partition between the zinc and the unit. Needs small table for the printer. Also needs heavy duty extention cord.</t>
  </si>
  <si>
    <t>https://www.jotform.com/uploads/macarewecare/222927978372067/5941614196229087695/5941614196229087695_signature_28.png</t>
  </si>
  <si>
    <t>https://www.jotform.com/uploads/macarewecare/222927978372067/5941614196229087695/5941614196229087695_signature_31.png</t>
  </si>
  <si>
    <t>Josefina Belmonte Duran Albay Provincial Hospital</t>
  </si>
  <si>
    <t>Tuburan, Ligao City</t>
  </si>
  <si>
    <t>slrempillo@gmail.com</t>
  </si>
  <si>
    <t xml:space="preserve">ASSAY: , COUNT: 804
</t>
  </si>
  <si>
    <t>Replaced Monitor 
Cleaned cartridge bays, plunger rod 
Generate reports</t>
  </si>
  <si>
    <t>Replaced monitor
Performed Preventive Maintenance</t>
  </si>
  <si>
    <t>https://www.jotform.com/uploads/macarewecare/222927978372067/5941598908103229447/5941598908103229447_signature_28.png</t>
  </si>
  <si>
    <t>https://www.jotform.com/uploads/macarewecare/222927978372067/5941598908103229447/5941598908103229447_signature_31.png</t>
  </si>
  <si>
    <t>Calongay, Pilar,  Sorsogon</t>
  </si>
  <si>
    <t>Printer not printing
UPS no power</t>
  </si>
  <si>
    <t>Printer - Reinstalled Printer driver, checked ink cartridge, performed print test
UPS - Checked power cord. Charged for 1hr. Tested the UPS status when unplugged. Checked output voltage.</t>
  </si>
  <si>
    <t>Performed troubleshooting for UPS &amp; Printer</t>
  </si>
  <si>
    <t>Unit is Operational 
   Printer is operational 
   UPS - drained/defective battery</t>
  </si>
  <si>
    <t>UPS - battery is defective, request for replacement</t>
  </si>
  <si>
    <t>https://www.jotform.com/uploads/macarewecare/222927978372067/5941593328106346676/5941593328106346676_signature_28.png</t>
  </si>
  <si>
    <t>https://www.jotform.com/uploads/macarewecare/222927978372067/5941593328106346676/5941593328106346676_signature_31.png</t>
  </si>
  <si>
    <t>Laboratort</t>
  </si>
  <si>
    <t>navotascitylab@gmail.com</t>
  </si>
  <si>
    <t xml:space="preserve">ASSAY: Xpert HPV, COUNT: 111
ASSAY: Xpert MTB/RIF Ultra, COUNT: 2017
</t>
  </si>
  <si>
    <t>Unit is operational. Module B4 (210102146) unable to Xpertcheck because it is new and installed last 02/22/2024. Modules B1, B2 and B3 passed Xpertcheck.</t>
  </si>
  <si>
    <t>https://www.jotform.com/uploads/macarewecare/222927978372067/5941587869614920015/5941587869614920015_signature_28.png</t>
  </si>
  <si>
    <t>Jade Renette Cesista</t>
  </si>
  <si>
    <t>https://www.jotform.com/uploads/macarewecare/222927978372067/5941587869614920015/5941587869614920015_signature_31.png</t>
  </si>
  <si>
    <t xml:space="preserve">ASSAY: Xpert MTB/RIF Ultra, COUNT: 1228
</t>
  </si>
  <si>
    <t>Perform Genexpert annual Xpertcheck/Calibration 
Genexpert Cleaning 
Checking of errors 
Problem reporting 
Data collection</t>
  </si>
  <si>
    <t>Perform Genexpert machine Preventive maintenance 
Perform Genexpert machine Xpertcheck</t>
  </si>
  <si>
    <t>All modules passed the Xpertcheck</t>
  </si>
  <si>
    <t>https://www.jotform.com/uploads/macarewecare/222927978372067/5941575202927679549/5941575202927679549_signature_28.png</t>
  </si>
  <si>
    <t>Johnella Maris Bautista</t>
  </si>
  <si>
    <t>https://www.jotform.com/uploads/macarewecare/222927978372067/5941575202927679549/5941575202927679549_signature_31.png</t>
  </si>
  <si>
    <t xml:space="preserve">ASSAY: Xpert MTB/RIF Ultra, COUNT: 940
ASSAY: Others, COUNT: 37
</t>
  </si>
  <si>
    <t>https://www.jotform.com/uploads/macarewecare/222927978372067/5941574252924437218/5941574252924437218_signature_28.png</t>
  </si>
  <si>
    <t>Johnella Maris R. Bautista</t>
  </si>
  <si>
    <t>https://www.jotform.com/uploads/macarewecare/222927978372067/5941574252924437218/5941574252924437218_signature_31.png</t>
  </si>
  <si>
    <t>mjgppalabrica@gmail.com</t>
  </si>
  <si>
    <t>Perform genexpert annul Xpertcheck/Calibration 
Genexpert Cleaning 
Checking of errors 
Problem/errors reporting 
Data collection</t>
  </si>
  <si>
    <t>Perform Genexpert machine Preventive maintenance 
Perform Genexpert Xpertcheck</t>
  </si>
  <si>
    <t>Module 1,2, and 3 passed the Xpertcheck</t>
  </si>
  <si>
    <t>Lot#: 1001252536</t>
  </si>
  <si>
    <t>https://www.jotform.com/uploads/macarewecare/222927978372067/5941560052924105377/5941560052924105377_signature_28.png</t>
  </si>
  <si>
    <t>Mary June Grace Villacruz</t>
  </si>
  <si>
    <t>https://www.jotform.com/uploads/macarewecare/222927978372067/5941560052924105377/5941560052924105377_signature_31.png</t>
  </si>
  <si>
    <t>Arayat Rural Health Unit I</t>
  </si>
  <si>
    <t>kamanlapaz@pbsp.org.ph</t>
  </si>
  <si>
    <t xml:space="preserve">ASSAY: Xpert MTB/RIF Ultra, COUNT: 1397
</t>
  </si>
  <si>
    <t>UPS not powering on
Due for Calibration</t>
  </si>
  <si>
    <t>Performed Calibration 
(All Modules Passed)
Performed UPS Troubleshooting</t>
  </si>
  <si>
    <t>https://www.jotform.com/uploads/macarewecare/222927978372067/5941546151316778596/5941546151316778596_signature_28.png</t>
  </si>
  <si>
    <t>https://www.jotform.com/uploads/macarewecare/222927978372067/5941546151316778596/5941546151316778596_signature_31.png</t>
  </si>
  <si>
    <t>Basilan, Isabela City</t>
  </si>
  <si>
    <t>enellaventura@gmail.com</t>
  </si>
  <si>
    <t>Module 4 for replacement</t>
  </si>
  <si>
    <t>Replaced Module 662321 with Module 877080 and Preventive Maintenence</t>
  </si>
  <si>
    <t>https://www.jotform.com/uploads/macarewecare/222927978372067/5941537194915420982/5941537194915420982_signature_28.png</t>
  </si>
  <si>
    <t>Allene A. Ventura</t>
  </si>
  <si>
    <t>https://www.jotform.com/uploads/macarewecare/222927978372067/5941537194915420982/5941537194915420982_signature_31.png</t>
  </si>
  <si>
    <t>Civic Dr., Filinvest, Alabang, Muntinlupa</t>
  </si>
  <si>
    <t>agalang@asisnhospital.com</t>
  </si>
  <si>
    <t xml:space="preserve">ASSAY: Xpert CT/NG, COUNT: 6
ASSAY: Others, COUNT: 69
ASSAY: Xpert HBV VL, COUNT: 21
ASSAY: Xpert HPV, COUNT: 144
ASSAY: Xpert MTB/RIF Ultra, COUNT: 917
ASSAY: Xpert HIV-1 Viral Load, COUNT: 24
</t>
  </si>
  <si>
    <t>Cleaned Cartridge Bay, Plunger Rod, Icore Optics and Filter.
Installed XpertCheck Software.
Performed XpertCheck.
Performed Self-test.
Generate Reports.</t>
  </si>
  <si>
    <t>https://www.jotform.com/uploads/macarewecare/222927978372067/5941485886411493397/5941485886411493397_signature_28.png</t>
  </si>
  <si>
    <t>Alyssa R. Galang</t>
  </si>
  <si>
    <t>https://www.jotform.com/uploads/macarewecare/222927978372067/5941485886411493397/5941485886411493397_signature_31.png</t>
  </si>
  <si>
    <t>neressleanoratienza@yahoo.com.ph</t>
  </si>
  <si>
    <t>Performed Simulation Runs.
Checked A/D Values.
Checked and Modify Calibration Values.
Checked Pump Rollers.
Cleaned Surface Unit.</t>
  </si>
  <si>
    <t>Unit is Operational and Calibration Values Passed.</t>
  </si>
  <si>
    <t>https://www.jotform.com/uploads/macarewecare/222927978372067/5941485886414670400/5941485886414670400_signature_28.png</t>
  </si>
  <si>
    <t>Neress Atienza</t>
  </si>
  <si>
    <t>https://www.jotform.com/uploads/macarewecare/222927978372067/5941485886414670400/5941485886414670400_signature_31.png</t>
  </si>
  <si>
    <t>https://www.jotform.com/uploads/macarewecare/222927978372067/5941480824682247543/5941480824682247543_signature_28.png</t>
  </si>
  <si>
    <t>https://www.jotform.com/uploads/macarewecare/222927978372067/5941480824682247543/5941480824682247543_signature_31.png</t>
  </si>
  <si>
    <t>Sta. Ana, Manila</t>
  </si>
  <si>
    <t>sah.genexpertlaboratory@gmail.com</t>
  </si>
  <si>
    <t xml:space="preserve">ASSAY: Xpert MTB/RIF Ultra, COUNT: 1118
ASSAY: Xpert SARS-CoV-2, COUNT: 1884
</t>
  </si>
  <si>
    <t>Unit is operational
Room temp exceeds max threshold (30C)
Unit is not recommended for use until room temp. is ideally under 30C to prevent module damage</t>
  </si>
  <si>
    <t>https://www.jotform.com/uploads/macarewecare/222927978372067/5941480524686265666/5941480524686265666_signature_28.png</t>
  </si>
  <si>
    <t>Ren Joshua Tumbado</t>
  </si>
  <si>
    <t>https://www.jotform.com/uploads/macarewecare/222927978372067/5941480524686265666/5941480524686265666_signature_31.png</t>
  </si>
  <si>
    <t>sahlabmedicine@gmail.com</t>
  </si>
  <si>
    <t xml:space="preserve">ASSAY: Xpert HIV-1 Viral Load, COUNT: 189
</t>
  </si>
  <si>
    <t>https://www.jotform.com/uploads/macarewecare/222927978372067/5941480044687184561/5941480044687184561_signature_28.png</t>
  </si>
  <si>
    <t>https://www.jotform.com/uploads/macarewecare/222927978372067/5941480044687184561/5941480044687184561_signature_31.png</t>
  </si>
  <si>
    <t>https://www.jotform.com/uploads/macarewecare/222927978372067/5941479194684940371/5941479194684940371_signature_28.png</t>
  </si>
  <si>
    <t>https://www.jotform.com/uploads/macarewecare/222927978372067/5941479194684940371/5941479194684940371_signature_31.png</t>
  </si>
  <si>
    <t>https://www.jotform.com/uploads/macarewecare/222927978372067/5941478814688183657/5941478814688183657_signature_28.png</t>
  </si>
  <si>
    <t>https://www.jotform.com/uploads/macarewecare/222927978372067/5941478814688183657/5941478814688183657_signature_31.png</t>
  </si>
  <si>
    <t>https://www.jotform.com/uploads/macarewecare/222927978372067/5941478564681217932/5941478564681217932_signature_28.png</t>
  </si>
  <si>
    <t>https://www.jotform.com/uploads/macarewecare/222927978372067/5941478564681217932/5941478564681217932_signature_31.png</t>
  </si>
  <si>
    <t>ljmalora@ollh.ph</t>
  </si>
  <si>
    <t xml:space="preserve">ASSAY: Xpert MTB/RIF, COUNT: 111
ASSAY: Xpert MTB/RIF Ultra, COUNT: 387
</t>
  </si>
  <si>
    <t>Unit for calibration and maintenance</t>
  </si>
  <si>
    <t>XpertCheck Kit
Lot: 1000410214</t>
  </si>
  <si>
    <t>https://www.jotform.com/uploads/macarewecare/222927978372067/5941475424684712974/5941475424684712974_signature_28.png</t>
  </si>
  <si>
    <t>Loureine Joy Obrero</t>
  </si>
  <si>
    <t>https://www.jotform.com/uploads/macarewecare/222927978372067/5941475424684712974/5941475424684712974_signature_31.png</t>
  </si>
  <si>
    <t xml:space="preserve">ASSAY: Xpert MTB/RIF Ultra, COUNT: 444
</t>
  </si>
  <si>
    <t>Unit is operational
Unit is in good working condition</t>
  </si>
  <si>
    <t>https://www.jotform.com/uploads/macarewecare/222927978372067/5941475144681869640/5941475144681869640_signature_28.png</t>
  </si>
  <si>
    <t>Leslie Jhon D. Cabanilla</t>
  </si>
  <si>
    <t>https://www.jotform.com/uploads/macarewecare/222927978372067/5941475144681869640/5941475144681869640_signature_31.png</t>
  </si>
  <si>
    <t>Coron Rural Health Unit</t>
  </si>
  <si>
    <t>Brgy. 2, Coron, Palawan</t>
  </si>
  <si>
    <t>lycking@yahoo.com</t>
  </si>
  <si>
    <t>checked and cleaned cartridge bays, plunger rod, icore slot, and filter 
Filter is worn out
Performed Xpertcheck 
B1, B2, B4 - Passed
B3 - Service required
Generated report</t>
  </si>
  <si>
    <t>Unit is operational 
B1: Passed
B2: Passed
B3: Service required 
B4: Passed
Filter for reporting</t>
  </si>
  <si>
    <t>DR 48191</t>
  </si>
  <si>
    <t>https://www.jotform.com/uploads/macarewecare/222927978372067/5941408287896847276/5941408287896847276_signature_28.png</t>
  </si>
  <si>
    <t>Lyca Torrible-Abaroa</t>
  </si>
  <si>
    <t>https://www.jotform.com/uploads/macarewecare/222927978372067/5941408287896847276/5941408287896847276_signature_31.png</t>
  </si>
  <si>
    <t>Culion Sanitarium General Hospital</t>
  </si>
  <si>
    <t>Robert St., Brgy. Tiza, Culion Palawan</t>
  </si>
  <si>
    <t>evecastillocalinawan@gmail.com</t>
  </si>
  <si>
    <t xml:space="preserve">ASSAY: Xpert MTB/RIF Ultra, COUNT: 392
ASSAY: Xpert SARS-CoV-2, COUNT: 1509
</t>
  </si>
  <si>
    <t>GX II 6C-D</t>
  </si>
  <si>
    <t>Setup GX and accessories 
Performed Preventive maintenance 
Performed Xpertcheck</t>
  </si>
  <si>
    <t>Unit packed by cepheid
Unpacked gx and accessories to perform XpertCheck 
Checked and cleaned cartridge bays, plunger, rod, icore slot, and filter 
Performed Xpertcheck 
Module A1, Insufficient cartridge
Module A2, failed
Generated report</t>
  </si>
  <si>
    <t>Unit is operational 
A1: insufficient cartridge for XpertCheck 
A2: Failed XpertCheck</t>
  </si>
  <si>
    <t>Lot 1000725070</t>
  </si>
  <si>
    <t>https://www.jotform.com/uploads/macarewecare/222927978372067/5941380477894537378/5941380477894537378_signature_28.png</t>
  </si>
  <si>
    <t>Rose Eve C. Calinawan</t>
  </si>
  <si>
    <t>https://www.jotform.com/uploads/macarewecare/222927978372067/5941380477894537378/5941380477894537378_signature_31.png</t>
  </si>
  <si>
    <t>Sitio Tabon, Caticlan, Malay, Aklan</t>
  </si>
  <si>
    <t xml:space="preserve">ASSAY: Xpert MTB/RIF Ultra, COUNT: 983
</t>
  </si>
  <si>
    <t>-Preventive Maintenance
-Reinstallation
-Archive tests
-Upgrade XpertCheck software to version 1.5b</t>
  </si>
  <si>
    <t>All modules are functional. Module B2 has history of temperature error.</t>
  </si>
  <si>
    <t>https://www.jotform.com/uploads/macarewecare/222927978372067/5941360550121374011/5941360550121374011_signature_28.png</t>
  </si>
  <si>
    <t>https://www.jotform.com/uploads/macarewecare/222927978372067/5941360550121374011/5941360550121374011_signature_31.png</t>
  </si>
  <si>
    <t>Occidental Mindoro Provincial Hospital</t>
  </si>
  <si>
    <t>Mamburao, Occidental Mindoro</t>
  </si>
  <si>
    <t>larryamita74@gmail.com</t>
  </si>
  <si>
    <t xml:space="preserve">ASSAY: Xpert MTB/RIF Ultra, COUNT: 782
ASSAY: Xpert SARS-CoV-2, COUNT: 394
ASSAY: Xpert HIV-1 Viral Load, COUNT: 61
</t>
  </si>
  <si>
    <t>Performed maintenance 
Cleaned: 
-cartridge bay 
-plunger rod 
-icore 
-filter
Replaced module B2
Generated reports</t>
  </si>
  <si>
    <t>Unit is operational. Modules A1/903695, A3/655470, B1/902969, B3/902978, B4/902977, C2/903601, C4/902997, D1/902984, D3/903602, D4/902994 not operational. For reporting.</t>
  </si>
  <si>
    <t>Old: B2/902976
New: B2/890344</t>
  </si>
  <si>
    <t>https://www.jotform.com/uploads/macarewecare/222927978372067/5940745758841377553/5940745758841377553_signature_28.png</t>
  </si>
  <si>
    <t>Larry Amita</t>
  </si>
  <si>
    <t>https://www.jotform.com/uploads/macarewecare/222927978372067/5940745758841377553/5940745758841377553_signature_31.png</t>
  </si>
  <si>
    <t xml:space="preserve">ASSAY: Xpert MTB/RIF Ultra, COUNT: 165
ASSAY: Xpert HIV-1 Viral Load, COUNT: 7
</t>
  </si>
  <si>
    <t>https://www.jotform.com/uploads/macarewecare/222927978372067/5940745758842646095/5940745758842646095_signature_28.png</t>
  </si>
  <si>
    <t>https://www.jotform.com/uploads/macarewecare/222927978372067/5940745758842646095/5940745758842646095_signature_31.png</t>
  </si>
  <si>
    <t xml:space="preserve">ASSAY: Xpert MTB/RIF Ultra, COUNT: 1864
ASSAY: Xpert HIV-1 Viral Load, COUNT: 138
</t>
  </si>
  <si>
    <t>Replace defective module B3/210091312 with module SN: 210079550</t>
  </si>
  <si>
    <t>900-0491RS GeneXpert Module 6-Color</t>
  </si>
  <si>
    <t>https://www.jotform.com/uploads/macarewecare/222927978372067/5940700051439364792/5940700051439364792_signature_28.png</t>
  </si>
  <si>
    <t>Ma. Victoria So</t>
  </si>
  <si>
    <t>https://www.jotform.com/uploads/macarewecare/222927978372067/5940700051439364792/5940700051439364792_signature_31.png</t>
  </si>
  <si>
    <t>Obando Rural Health Unit</t>
  </si>
  <si>
    <t>Obando, Bulacan</t>
  </si>
  <si>
    <t>romenvill@gmail.com</t>
  </si>
  <si>
    <t>Unit is operational
Cepheid Engineer performed XpertCheck on May
Modules 2 and 3 failed
Modules 4 for reporting</t>
  </si>
  <si>
    <t>https://www.jotform.com/uploads/macarewecare/222927978372067/5940682901309725928/5940682901309725928_signature_28.png</t>
  </si>
  <si>
    <t>Rosalina Villanueva</t>
  </si>
  <si>
    <t>https://www.jotform.com/uploads/macarewecare/222927978372067/5940682901309725928/5940682901309725928_signature_31.png</t>
  </si>
  <si>
    <t xml:space="preserve">ASSAY: Xpert MTB/RIF Ultra, COUNT: 1674
ASSAY: Xpert HIV-1 Viral Load, COUNT: 138
</t>
  </si>
  <si>
    <t>Module A2(758217) for replacement
UPS for troubleshooting</t>
  </si>
  <si>
    <t>Replaced A2 by 688602</t>
  </si>
  <si>
    <t>Unit is operational
UPS is recommended for replacement / repair
SN: AT1000181128ST0080</t>
  </si>
  <si>
    <t>GeneXpert Module 
SN: 688602</t>
  </si>
  <si>
    <t>https://www.jotform.com/uploads/macarewecare/222927978372067/5940682271301299106/5940682271301299106_signature_28.png</t>
  </si>
  <si>
    <t>https://www.jotform.com/uploads/macarewecare/222927978372067/5940682271301299106/5940682271301299106_signature_31.png</t>
  </si>
  <si>
    <t>Bagumbong, Caloocan City</t>
  </si>
  <si>
    <t xml:space="preserve">ASSAY: Xpert MTB/RIF Ultra, COUNT: 2799
</t>
  </si>
  <si>
    <t>UPS for troubleshooting</t>
  </si>
  <si>
    <t>Unit is operational
UPS is recommended for replacement / repair
SN: AT1000180910ST0399</t>
  </si>
  <si>
    <t>https://www.jotform.com/uploads/macarewecare/222927978372067/5940682271303807376/5940682271303807376_signature_28.png</t>
  </si>
  <si>
    <t>Jenilyn Duenas</t>
  </si>
  <si>
    <t>https://www.jotform.com/uploads/macarewecare/222927978372067/5940682271303807376/5940682271303807376_signature_31.png</t>
  </si>
  <si>
    <t>Davao del Norte Provincial Hospital Samal</t>
  </si>
  <si>
    <t>Brgy. Peñaplata, Island Garden City of Samal</t>
  </si>
  <si>
    <t>allensoriano92@yahoo.com</t>
  </si>
  <si>
    <t>Module B2 for service required</t>
  </si>
  <si>
    <t>Clean Surface Area, Cartridge Bay, Plunger Rod, Fan Filters and Icore Lenses
Generate IQR, Assay Stat and System Log
Replaces the Defective Module SN:608788 with new Module SN:220000589</t>
  </si>
  <si>
    <t>https://www.jotform.com/uploads/macarewecare/222927978372067/5940680010962073302/5940680010962073302_signature_28.png</t>
  </si>
  <si>
    <t>Allen Glenn B. Soriano RMT</t>
  </si>
  <si>
    <t>https://www.jotform.com/uploads/macarewecare/222927978372067/5940680010962073302/5940680010962073302_signature_31.png</t>
  </si>
  <si>
    <t>Purok 2, It-Ba, Manito, Albay</t>
  </si>
  <si>
    <t>famelafatima2022@gmail.com</t>
  </si>
  <si>
    <t xml:space="preserve">ASSAY: Xpert MTB/RIF Ultra, COUNT: 3268
</t>
  </si>
  <si>
    <t>XpertCheck Result:
   B1/884721 - passed
   B2/779135 - newly replaced module
   B3/600735 - service required
   B4/631003 - passed
Cleaned cartridge bays, plunger rod,  icore
Generate report</t>
  </si>
  <si>
    <t>Unitvis operational</t>
  </si>
  <si>
    <t>B3/600735 - service required/for replacement</t>
  </si>
  <si>
    <t>https://www.jotform.com/uploads/macarewecare/222927978372067/5940648387719574203/5940648387719574203_signature_28.png</t>
  </si>
  <si>
    <t>Famela Fatima A. Magdaong</t>
  </si>
  <si>
    <t>https://www.jotform.com/uploads/macarewecare/222927978372067/5940648387719574203/5940648387719574203_signature_31.png</t>
  </si>
  <si>
    <t>Laguna Chest Center</t>
  </si>
  <si>
    <t>J. De Leon St., Sta Cruz Laguna</t>
  </si>
  <si>
    <t>haizelmaganokumalao@rocketmail.com</t>
  </si>
  <si>
    <t>Installation and training.</t>
  </si>
  <si>
    <t>Performed installation.
Performed basic training to enduser.
Generated report.</t>
  </si>
  <si>
    <t>https://www.jotform.com/uploads/macarewecare/222927978372067/5940631069325890592/5940631069325890592_signature_28.png</t>
  </si>
  <si>
    <t>Haizel M. Kumalao</t>
  </si>
  <si>
    <t>https://www.jotform.com/uploads/macarewecare/222927978372067/5940631069325890592/5940631069325890592_signature_31.png</t>
  </si>
  <si>
    <t>Evangelista Ave, Pasig</t>
  </si>
  <si>
    <t>For packing</t>
  </si>
  <si>
    <t xml:space="preserve">ASSAY: Xpert MTB/RIF Ultra, COUNT: 116
</t>
  </si>
  <si>
    <t>GeneXpert System for packing</t>
  </si>
  <si>
    <t>Packed the GeneXpert System</t>
  </si>
  <si>
    <t>Performed maintenance 
Cleaned:
-cartridge bay 
-plunger rod 
-icore
-filter
Packed the GeneXpert System:
-GeneXpert unit
-Workstation with keyboard, mouse and monitor 
-barcode scanner with stand
-printer
-UPS
Generated reports</t>
  </si>
  <si>
    <t>Unit is operational and ready for pickup.</t>
  </si>
  <si>
    <t>https://www.jotform.com/uploads/macarewecare/222927978372067/5940624286588288938/5940624286588288938_signature_28.png</t>
  </si>
  <si>
    <t>https://www.jotform.com/uploads/macarewecare/222927978372067/5940624286588288938/5940624286588288938_signature_31.png</t>
  </si>
  <si>
    <t xml:space="preserve">ASSAY: Xpert MTB/RIF Ultra, COUNT: 3028
</t>
  </si>
  <si>
    <t>https://www.jotform.com/uploads/macarewecare/222927978372067/5940624296586174533/5940624296586174533_signature_28.png</t>
  </si>
  <si>
    <t>https://www.jotform.com/uploads/macarewecare/222927978372067/5940624296586174533/5940624296586174533_signature_31.png</t>
  </si>
  <si>
    <t xml:space="preserve">ASSAY: Xpert MTB/RIF Ultra, COUNT: 100
</t>
  </si>
  <si>
    <t>https://www.jotform.com/uploads/macarewecare/222927978372067/5940624296589023428/5940624296589023428_signature_28.png</t>
  </si>
  <si>
    <t>https://www.jotform.com/uploads/macarewecare/222927978372067/5940624296589023428/5940624296589023428_signature_31.png</t>
  </si>
  <si>
    <t>Misamis Occidental Provincial Hospital</t>
  </si>
  <si>
    <t>mophlaboratory2017@yahoo.com</t>
  </si>
  <si>
    <t>Gx 6c</t>
  </si>
  <si>
    <t>Module A4 hardware fail with serial number 210059819.</t>
  </si>
  <si>
    <t>.Replace module A4 with new serial number 210007029.
. Perform preventive maintenance</t>
  </si>
  <si>
    <t>All modules are functional ok to use. Ups not ok to use not charging.</t>
  </si>
  <si>
    <t>https://www.jotform.com/uploads/macarewecare/222927978372067/5940560031819772754/5940560031819772754_signature_28.png</t>
  </si>
  <si>
    <t>Mary Auxilium D. Omndam</t>
  </si>
  <si>
    <t>https://www.jotform.com/uploads/macarewecare/222927978372067/5940560031819772754/5940560031819772754_signature_31.png</t>
  </si>
  <si>
    <t>Culion Sanitarium General Hospital 10C</t>
  </si>
  <si>
    <t>Robert St., Brgy. Tiza, Culion, Palawan</t>
  </si>
  <si>
    <t xml:space="preserve">ASSAY: Xpert MTB/RIF Ultra, COUNT: 535
ASSAY: Xpert SARS-CoV-2, COUNT: 1509
</t>
  </si>
  <si>
    <t>GX IV 10C - D</t>
  </si>
  <si>
    <t>Troubleshoot UPS
Performed Preventive Maintenance</t>
  </si>
  <si>
    <t>Checked UPS
UPS does not turn on
No output voltage
Temporarily uses the UPS of packed GX machine
UPS for replacement
Checked and cleaned cartridge bays, plunger rod, icore slot and filter</t>
  </si>
  <si>
    <t>Unit is operational 
UPS needs replacement ASAP since power fluctuates most of the time</t>
  </si>
  <si>
    <t>https://www.jotform.com/uploads/macarewecare/222927978372067/5940556963114773569/5940556963114773569_signature_28.png</t>
  </si>
  <si>
    <t>https://www.jotform.com/uploads/macarewecare/222927978372067/5940556963114773569/5940556963114773569_signature_31.png</t>
  </si>
  <si>
    <t xml:space="preserve">ASSAY: Xpert MTB/RIF Ultra, COUNT: 669
ASSAY: Xpert SARS-CoV-2, COUNT: 3425
</t>
  </si>
  <si>
    <t>Modules B2 and B3 for replacement 
Unit due for XpertCheck</t>
  </si>
  <si>
    <t>Performed Module replacement 
Performed Xpertcheck 
Performed PM</t>
  </si>
  <si>
    <t>Replaced Modules 
B2: 210068598 -&gt; 621192
B3: 619092 -&gt; 633356
Performed Xpertcheck on modules B1 and B4
B1 passed; B4 failed
Checked and cleaned cartridge bays, plunger rod, icore slot, and filter 
Generated report</t>
  </si>
  <si>
    <t>GX modules 6C
XpertCheck Kit</t>
  </si>
  <si>
    <t>PL 15724</t>
  </si>
  <si>
    <t>https://www.jotform.com/uploads/macarewecare/222927978372067/5940555113112086191/5940555113112086191_signature_28.png</t>
  </si>
  <si>
    <t>https://www.jotform.com/uploads/macarewecare/222927978372067/5940555113112086191/5940555113112086191_signature_31.png</t>
  </si>
  <si>
    <t xml:space="preserve">ASSAY: Xpert BCR-ABL Ultra, COUNT: 195
ASSAY: Xpert CT/NG, COUNT: 834
ASSAY: Xpert HPV, COUNT: 808
ASSAY: Xpert MTB/RIF Ultra, COUNT: 3039
ASSAY: Others, COUNT: 18
ASSAY: Xpert HCV VL, COUNT: 85
ASSAY: Xpert HIV-1 Viral Load, COUNT: 1853
</t>
  </si>
  <si>
    <t>As per end user they error 5007 in mtb ultra assay</t>
  </si>
  <si>
    <t>B1 and B3 for observation</t>
  </si>
  <si>
    <t>https://www.jotform.com/uploads/macarewecare/222927978372067/5940545650999527259/5940545650999527259_signature_28.png</t>
  </si>
  <si>
    <t>https://www.jotform.com/uploads/macarewecare/222927978372067/5940545650999527259/5940545650999527259_signature_31.png</t>
  </si>
  <si>
    <t>Oroquieta City Health Office</t>
  </si>
  <si>
    <t>oroquietacho.rtdl@gmail.com</t>
  </si>
  <si>
    <t>Gx4 6c</t>
  </si>
  <si>
    <t>Module B2 Xpertcheck fail.</t>
  </si>
  <si>
    <t>.Replace module
.Preventive Maintenance</t>
  </si>
  <si>
    <t>.Replace module B2 with new serial number 210019009.
.Perform preventive maintenance</t>
  </si>
  <si>
    <t>Ok to use module B2,B3 under observation module B4 and B1 due to errors.</t>
  </si>
  <si>
    <t>https://www.jotform.com/uploads/macarewecare/222927978372067/5940514421817270205/5940514421817270205_signature_28.png</t>
  </si>
  <si>
    <t>Keneth Jane Lamoren</t>
  </si>
  <si>
    <t>https://www.jotform.com/uploads/macarewecare/222927978372067/5940514421817270205/5940514421817270205_signature_31.png</t>
  </si>
  <si>
    <t>Centrifuge cover lock problem during procedure of the platelet collection.</t>
  </si>
  <si>
    <t>Aligned the  Centrifuge cover lock switch aligned the switch and cover of the centrifuge.</t>
  </si>
  <si>
    <t>Performed diagnostic of the Centrifuge cover lock switch aligned the switch and cover of the centrifuge.</t>
  </si>
  <si>
    <t>MCS+ unit is operational.</t>
  </si>
  <si>
    <t>https://www.jotform.com/uploads/macarewecare/222927978372067/5939909041112046030/5939909041112046030_signature_28.png</t>
  </si>
  <si>
    <t>https://www.jotform.com/uploads/macarewecare/222927978372067/5939909041112046030/5939909041112046030_signature_31.png</t>
  </si>
  <si>
    <t>Lamitan city health office</t>
  </si>
  <si>
    <t>Lamitan city</t>
  </si>
  <si>
    <t>lcholaboratory@gmail.com</t>
  </si>
  <si>
    <t>Gx 4 6c</t>
  </si>
  <si>
    <t>System unit for replacement.</t>
  </si>
  <si>
    <t>Replaced System unit and Preventive Maintenence</t>
  </si>
  <si>
    <t>All modules and system unit are in good condition</t>
  </si>
  <si>
    <t>https://www.jotform.com/uploads/macarewecare/222927978372067/5939019908313045784/5939019908313045784_signature_28.png</t>
  </si>
  <si>
    <t>Criselita A. Sojor</t>
  </si>
  <si>
    <t>https://www.jotform.com/uploads/macarewecare/222927978372067/5939019908313045784/5939019908313045784_signature_31.png</t>
  </si>
  <si>
    <t xml:space="preserve">ASSAY: Xpert MTB/RIF Ultra, COUNT: 2
</t>
  </si>
  <si>
    <t>Modules unable to read</t>
  </si>
  <si>
    <t>Reset network and Preventive Maintenence</t>
  </si>
  <si>
    <t>https://www.jotform.com/uploads/macarewecare/222927978372067/5939019908319081917/5939019908319081917_signature_28.png</t>
  </si>
  <si>
    <t>https://www.jotform.com/uploads/macarewecare/222927978372067/5939019908319081917/5939019908319081917_signature_31.png</t>
  </si>
  <si>
    <t>Jose B. Lingad Memorial Regional Hospital</t>
  </si>
  <si>
    <t>Dolores, City of San Fernando, Pampanga</t>
  </si>
  <si>
    <t>rHivda</t>
  </si>
  <si>
    <t xml:space="preserve">ASSAY: Xpert HBV VL, COUNT: 126
ASSAY: Xpert HCV VL, COUNT: 17
ASSAY: Xpert HIV-1 Viral Load, COUNT: 760
</t>
  </si>
  <si>
    <t>Performed Calibration
(ALL MODULES PASSED)</t>
  </si>
  <si>
    <t>https://www.jotform.com/uploads/macarewecare/222927978372067/5939003882329031262/5939003882329031262_signature_28.png</t>
  </si>
  <si>
    <t>Lerdie Castro</t>
  </si>
  <si>
    <t>https://www.jotform.com/uploads/macarewecare/222927978372067/5939003882329031262/5939003882329031262_signature_31.png</t>
  </si>
  <si>
    <t>jblmgh.hpv@gmail.com</t>
  </si>
  <si>
    <t xml:space="preserve">ASSAY: Xpert HPV, COUNT: 89
ASSAY: Xpert MTB/RIF Ultra, COUNT: 5
ASSAY: Others, COUNT: 3
ASSAY: Xpert SARS-CoV-2, COUNT: 899
</t>
  </si>
  <si>
    <t>https://www.jotform.com/uploads/macarewecare/222927978372067/5938988722322884203/5938988722322884203_signature_28.png</t>
  </si>
  <si>
    <t>https://www.jotform.com/uploads/macarewecare/222927978372067/5938988722322884203/5938988722322884203_signature_31.png</t>
  </si>
  <si>
    <t>Bayombong, Nueva Vizcaya</t>
  </si>
  <si>
    <t>MAINTENANCE
Disassemble</t>
  </si>
  <si>
    <t>cecillepabance@gmail.com</t>
  </si>
  <si>
    <t>Disassemble Genexpert
Packed Genexpert</t>
  </si>
  <si>
    <t>Performed Maintenance
Gathered Reports
Performed Funtionality Test</t>
  </si>
  <si>
    <t>https://www.jotform.com/uploads/macarewecare/222927978372067/5938988602324136249/5938988602324136249_signature_28.png</t>
  </si>
  <si>
    <t>CECILLE A. HERMOSO</t>
  </si>
  <si>
    <t>https://www.jotform.com/uploads/macarewecare/222927978372067/5938988602324136249/5938988602324136249_signature_31.png</t>
  </si>
  <si>
    <t>ejustincarlos@gmail.com</t>
  </si>
  <si>
    <t xml:space="preserve">ASSAY: Xpert HPV, COUNT: 89
ASSAY: Xpert MTB/RIF Ultra, COUNT: 17
ASSAY: Others, COUNT: 4
ASSAY: Xpert SARS-CoV-2, COUNT: 899
</t>
  </si>
  <si>
    <t>https://www.jotform.com/uploads/macarewecare/222927978372067/5938986692327833824/5938986692327833824_signature_28.png</t>
  </si>
  <si>
    <t>Earvin Justin K. Carlos</t>
  </si>
  <si>
    <t>https://www.jotform.com/uploads/macarewecare/222927978372067/5938986692327833824/5938986692327833824_signature_31.png</t>
  </si>
  <si>
    <t>CHONG HUA HOSPITAL</t>
  </si>
  <si>
    <t xml:space="preserve">ASSAY: Xpert BCR-ABL Ultra, COUNT: 26
ASSAY: Xpert C. difficile BT, COUNT: 1
ASSAY: Xpert CT/NG, COUNT: 120
ASSAY: Xpert HBV VL, COUNT: 309
ASSAY: Xpert MTB/RIF Ultra, COUNT: 1835
ASSAY: Xpert HCV VL, COUNT: 124
ASSAY: Xpert HIV-1 Viral Load, COUNT: 380
ASSAY: Others, COUNT: XDR - 1
</t>
  </si>
  <si>
    <t>https://www.jotform.com/uploads/macarewecare/222927978372067/5938976666115224050/5938976666115224050_signature_28.png</t>
  </si>
  <si>
    <t>Matini E. Canedo, RMT</t>
  </si>
  <si>
    <t>https://www.jotform.com/uploads/macarewecare/222927978372067/5938976666115224050/5938976666115224050_signature_31.png</t>
  </si>
  <si>
    <t xml:space="preserve">ASSAY: Xpert BCR-ABL Ultra, COUNT: 69
ASSAY: Xpert CT/NG, COUNT: 180
ASSAY: Xpert HBV VL, COUNT: 165
ASSAY: Xpert HPV, COUNT: 13
ASSAY: Xpert MTB/RIF Ultra, COUNT: 1122
ASSAY: Xpert HCV VL, COUNT: 139
ASSAY: Xpert HIV-1 Viral Load, COUNT: 15
</t>
  </si>
  <si>
    <t>https://www.jotform.com/uploads/macarewecare/222927978372067/5938971991119129109/5938971991119129109_signature_28.png</t>
  </si>
  <si>
    <t>https://www.jotform.com/uploads/macarewecare/222927978372067/5938971991119129109/5938971991119129109_signature_31.png</t>
  </si>
  <si>
    <t>Las Nieves Rural Health Unit</t>
  </si>
  <si>
    <t>Brgy. Poblacion, Las Nieves</t>
  </si>
  <si>
    <t>Daisermt02@gmail.com</t>
  </si>
  <si>
    <t xml:space="preserve">ASSAY: Xpert MTB/RIF Ultra, COUNT: 247
</t>
  </si>
  <si>
    <t>Removing Stuck Cartridge
Preventive Maintenance</t>
  </si>
  <si>
    <t>All modules are functional
All units are functional</t>
  </si>
  <si>
    <t>https://www.jotform.com/uploads/macarewecare/222927978372067/5938957197414250669/5938957197414250669_signature_28.png</t>
  </si>
  <si>
    <t>Daisy Siega</t>
  </si>
  <si>
    <t>https://www.jotform.com/uploads/macarewecare/222927978372067/5938957197414250669/5938957197414250669_signature_31.png</t>
  </si>
  <si>
    <t>Sta. Lucia Ave., Novaliches, Quezon City</t>
  </si>
  <si>
    <t>Checked UPS 
Performed preventive maintenance</t>
  </si>
  <si>
    <t>Troubleshoot UPS
Checked Input Voltage from AVR 220V
Checked Output Voltage 0V
UPS does not work
UPS needs replacement
Temporarily plugged GX, CPU and monitor directly to AVR
Checked and cleaned cartridge bays, plunger rod, icore slot and filter 
Some keys on keyboard are hard to press
Generated report</t>
  </si>
  <si>
    <t>Unit is operational 
All modules working
UPS for replacement</t>
  </si>
  <si>
    <t>https://www.jotform.com/uploads/macarewecare/222927978372067/5938945547919900441/5938945547919900441_signature_28.png</t>
  </si>
  <si>
    <t>https://www.jotform.com/uploads/macarewecare/222927978372067/5938945547919900441/5938945547919900441_signature_31.png</t>
  </si>
  <si>
    <t>Kiblawan Rural Health Unit</t>
  </si>
  <si>
    <t>Magsaysay Street, Poblacion, Kiblawan</t>
  </si>
  <si>
    <t>chachindeasis0220@gmail.com</t>
  </si>
  <si>
    <t>Clean Surface Area, Cartridge Bay, Plunger Rod, Fan Filters and Icore Lenses
Generate IQR, Assay Stat, and System Log
Install Xpc Version 1.5b
Run XpertCheck on 2 Module</t>
  </si>
  <si>
    <t>https://www.jotform.com/uploads/macarewecare/222927978372067/5938934297718191320/5938934297718191320_signature_28.png</t>
  </si>
  <si>
    <t>Charice Dara P. De Asis</t>
  </si>
  <si>
    <t>https://www.jotform.com/uploads/macarewecare/222927978372067/5938934297718191320/5938934297718191320_signature_31.png</t>
  </si>
  <si>
    <t>Due for Pull out</t>
  </si>
  <si>
    <t>Disassembled Genexpert
Packed Genexpert</t>
  </si>
  <si>
    <t>https://www.jotform.com/uploads/macarewecare/222927978372067/5938932582323215668/5938932582323215668_signature_28.png</t>
  </si>
  <si>
    <t>https://www.jotform.com/uploads/macarewecare/222927978372067/5938932582323215668/5938932582323215668_signature_31.png</t>
  </si>
  <si>
    <t xml:space="preserve">ASSAY: Xpert MTB/RIF Ultra, COUNT: 2226
</t>
  </si>
  <si>
    <t>https://www.jotform.com/uploads/macarewecare/222927978372067/5938920869129309804/5938920869129309804_signature_28.png</t>
  </si>
  <si>
    <t>https://www.jotform.com/uploads/macarewecare/222927978372067/5938920869129309804/5938920869129309804_signature_31.png</t>
  </si>
  <si>
    <t>Brgy Aquino, C. Gotladera st., Bulan, Sorsogon</t>
  </si>
  <si>
    <t xml:space="preserve">ASSAY: Xpert MTB/RIF Ultra, COUNT: 2952
</t>
  </si>
  <si>
    <t>B4/690369 for replacement</t>
  </si>
  <si>
    <t>Replaced module: B4 - 690369&gt;&gt;793624
Cleaned cartridge bays, plunger rod, icore
Generate reports</t>
  </si>
  <si>
    <t>Replaced module B4
Performed Preventive Maintenance</t>
  </si>
  <si>
    <t>https://www.jotform.com/uploads/macarewecare/222927978372067/5938891499301801267/5938891499301801267_signature_28.png</t>
  </si>
  <si>
    <t>Claribel G. Nacion</t>
  </si>
  <si>
    <t>https://www.jotform.com/uploads/macarewecare/222927978372067/5938891499301801267/5938891499301801267_signature_31.png</t>
  </si>
  <si>
    <t>Sta. Cruz Municipal Health Office</t>
  </si>
  <si>
    <t>Sta. Cruz, Ilocos Sur</t>
  </si>
  <si>
    <t>stacruzrhudots@gmail.com</t>
  </si>
  <si>
    <t xml:space="preserve">ASSAY: Xpert MTB/RIF Ultra, COUNT: 903
</t>
  </si>
  <si>
    <t>- Cleaned Cartridge Bays, Plunger Rods and I-CORE 
- Replaced Defective Module 660878 &gt;&gt;&gt;632355
- Generated Reports</t>
  </si>
  <si>
    <t>GeneXpert Module 632355</t>
  </si>
  <si>
    <t>https://www.jotform.com/uploads/macarewecare/222927978372067/5938889839779190998/5938889839779190998_signature_28.png</t>
  </si>
  <si>
    <t>Donna Santiago</t>
  </si>
  <si>
    <t>https://www.jotform.com/uploads/macarewecare/222927978372067/5938889839779190998/5938889839779190998_signature_31.png</t>
  </si>
  <si>
    <t>Agno Rural Health Unit</t>
  </si>
  <si>
    <t>Agno, Pangasinan</t>
  </si>
  <si>
    <t>renahumildearenas@gmail.com</t>
  </si>
  <si>
    <t xml:space="preserve">ASSAY: Xpert MTB/RIF Ultra, COUNT: 324
</t>
  </si>
  <si>
    <t>GXIV-2D-6C</t>
  </si>
  <si>
    <t>- Cleaned Cartridge Bays, Plunger Rods and I-CORE 
- Replaced Defective Module 210057605 &gt;&gt;&gt; 770928
- Performed XpertCheck 
- Generated Reports</t>
  </si>
  <si>
    <t>- Unit is Operational 
- Did not perform XpertCheck on Newly Replaced Module B2 (770928)
- Module B1 passed XpertCheck</t>
  </si>
  <si>
    <t>GeneXpert Modules 
XpertCheck Kits</t>
  </si>
  <si>
    <t>https://www.jotform.com/uploads/macarewecare/222927978372067/5938888419713061400/5938888419713061400_signature_28.png</t>
  </si>
  <si>
    <t>Maria Cris Rena Arenas</t>
  </si>
  <si>
    <t>https://www.jotform.com/uploads/macarewecare/222927978372067/5938888419713061400/5938888419713061400_signature_31.png</t>
  </si>
  <si>
    <t>Bulingit, San Carlos City, Pangasinan</t>
  </si>
  <si>
    <t xml:space="preserve">ASSAY: Xpert MTB/RIF Ultra, COUNT: 159
ASSAY: Others, COUNT: 2
</t>
  </si>
  <si>
    <t>https://www.jotform.com/uploads/macarewecare/222927978372067/5938887349715485291/5938887349715485291_signature_28.png</t>
  </si>
  <si>
    <t>https://www.jotform.com/uploads/macarewecare/222927978372067/5938887349715485291/5938887349715485291_signature_31.png</t>
  </si>
  <si>
    <t>Lipa City Health Office</t>
  </si>
  <si>
    <t>CM Recto Ave., Lipa Batangas</t>
  </si>
  <si>
    <t>mylaolayao@yahoo.com</t>
  </si>
  <si>
    <t>Unit for PM.
For module replacement of modules B1, B2 and B3.</t>
  </si>
  <si>
    <t>GX module B1 (804678), B2 (805004) and B3 (862375) in replacement to defective B1 (649040) B2 (649071) and B3 (210041477).</t>
  </si>
  <si>
    <t>https://www.jotform.com/uploads/macarewecare/222927978372067/5938863348321801394/5938863348321801394_signature_28.png</t>
  </si>
  <si>
    <t>Myla Olayao</t>
  </si>
  <si>
    <t>https://www.jotform.com/uploads/macarewecare/222927978372067/5938863348321801394/5938863348321801394_signature_31.png</t>
  </si>
  <si>
    <t>Unit for PM.
For module replacement of module C2.</t>
  </si>
  <si>
    <t>GX module C2 (800647) in replacement to defective C2 (600607).</t>
  </si>
  <si>
    <t>https://www.jotform.com/uploads/macarewecare/222927978372067/5938863358326071201/5938863358326071201_signature_28.png</t>
  </si>
  <si>
    <t>https://www.jotform.com/uploads/macarewecare/222927978372067/5938863358326071201/5938863358326071201_signature_31.png</t>
  </si>
  <si>
    <t>Commonwealth Health Center 10C</t>
  </si>
  <si>
    <t>Katuparan St., Brgy. Commonwealth, Quezon City</t>
  </si>
  <si>
    <t>commonwealthclinical@gmail.com</t>
  </si>
  <si>
    <t>10C unit for installation</t>
  </si>
  <si>
    <t>Installed GX and accessories</t>
  </si>
  <si>
    <t>Setup GX and accessories 
Setup system Configuration 
Setup User  admin
Installed ADF
Changed Time and Date
Generated report</t>
  </si>
  <si>
    <t>Unut is operational 
all modules working</t>
  </si>
  <si>
    <t>GX IV 10C
HP Printer
Intex UPS</t>
  </si>
  <si>
    <t>https://www.jotform.com/uploads/macarewecare/222927978372067/5938823195269619470/5938823195269619470_signature_28.png</t>
  </si>
  <si>
    <t>Danica Laisa Hernandez</t>
  </si>
  <si>
    <t>https://www.jotform.com/uploads/macarewecare/222927978372067/5938823195269619470/5938823195269619470_signature_31.png</t>
  </si>
  <si>
    <t>Lucban Rural Health Unit</t>
  </si>
  <si>
    <t>Lucban, Quezon</t>
  </si>
  <si>
    <t>cudaninanniemarie@gmail.com</t>
  </si>
  <si>
    <t>All modules operational. Module B2/806828 service required.</t>
  </si>
  <si>
    <t>https://www.jotform.com/uploads/macarewecare/222927978372067/5938087733613577780/5938087733613577780_signature_28.png</t>
  </si>
  <si>
    <t>Annie Marie Cudanin</t>
  </si>
  <si>
    <t>https://www.jotform.com/uploads/macarewecare/222927978372067/5938087733613577780/5938087733613577780_signature_31.png</t>
  </si>
  <si>
    <t>Talisay City City Health Unit</t>
  </si>
  <si>
    <t>Cansojong, Talisay City Cebu</t>
  </si>
  <si>
    <t>marydelgella@gmail.com</t>
  </si>
  <si>
    <t xml:space="preserve">ASSAY: Xpert MTB/RIF Ultra, COUNT: 1840
</t>
  </si>
  <si>
    <t>Due for annual calibration 
Due for Preventive Maintenance</t>
  </si>
  <si>
    <t>Performed machine maintenance clean ICore, plunger, cartridge bay, filter
Conduct calibration in genexpert machine</t>
  </si>
  <si>
    <t>All module passed and genexpert machine is operational</t>
  </si>
  <si>
    <t>https://www.jotform.com/uploads/macarewecare/222927978372067/5938080181116313756/5938080181116313756_signature_28.png</t>
  </si>
  <si>
    <t>Marydel Gella, RMT</t>
  </si>
  <si>
    <t>https://www.jotform.com/uploads/macarewecare/222927978372067/5938080181116313756/5938080181116313756_signature_31.png</t>
  </si>
  <si>
    <t xml:space="preserve">ASSAY: Xpert MTB/RIF Ultra, COUNT: 1627
</t>
  </si>
  <si>
    <t>Genexpert machine Cleaning/Preventive maintenance 
Genexpert machine annual Xpertcheck/Calibration 
Checking of errors 
Problem/errors reporting 
Data collection</t>
  </si>
  <si>
    <t>Perform Genexpert machine Preventive maintenance 
Perform Genexpert machine Xpertcheck/Calibration</t>
  </si>
  <si>
    <t>Module 1 and 3 passed the Xpertcheck</t>
  </si>
  <si>
    <t>https://www.jotform.com/uploads/macarewecare/222927978372067/5938025907312993947/5938025907312993947_signature_28.png</t>
  </si>
  <si>
    <t>BDH LABORATORY</t>
  </si>
  <si>
    <t>https://www.jotform.com/uploads/macarewecare/222927978372067/5938025907312993947/5938025907312993947_signature_31.png</t>
  </si>
  <si>
    <t>ningrediang@gmail.com</t>
  </si>
  <si>
    <t xml:space="preserve">ASSAY: Xpert MTB/RIF Ultra, COUNT: 909
</t>
  </si>
  <si>
    <t>GXIV -2D</t>
  </si>
  <si>
    <t>Module B1/787877 defective</t>
  </si>
  <si>
    <t>- Module replacement B1/787877 into B1/713211
- Performed preventive maintenance 
- Generate reports</t>
  </si>
  <si>
    <t>1 Genexpert module 6c</t>
  </si>
  <si>
    <t>https://www.jotform.com/uploads/macarewecare/222927978372067/5938019725894895619/5938019725894895619_signature_28.png</t>
  </si>
  <si>
    <t>Luningning R. Abuda</t>
  </si>
  <si>
    <t>https://www.jotform.com/uploads/macarewecare/222927978372067/5938019725894895619/5938019725894895619_signature_31.png</t>
  </si>
  <si>
    <t xml:space="preserve">ASSAY: Xpert MTB/RIF Ultra, COUNT: 2493
</t>
  </si>
  <si>
    <t>- Assembled GeneXpert System  
- Cleaned Cartridge Bays, Plunger Rods and I-CORE 
- Replaced Defective Module 210067929 with New Module 688593
- Performed XpertCheck 
- Generated Reports 
- Disassembled and Repackaged GeneXpert System</t>
  </si>
  <si>
    <t>- Unit is Operational 
- Did not run XpertCheck on newly replaced Module A4 688593
- Modules A1, A2 and A3 passed XpertCheck</t>
  </si>
  <si>
    <t>- GeneXpert Module 688593
- XpertCheck Kits</t>
  </si>
  <si>
    <t>https://www.jotform.com/uploads/macarewecare/222927978372067/5937979759712958578/5937979759712958578_signature_28.png</t>
  </si>
  <si>
    <t>Judy Mabunga</t>
  </si>
  <si>
    <t>https://www.jotform.com/uploads/macarewecare/222927978372067/5937979759712958578/5937979759712958578_signature_31.png</t>
  </si>
  <si>
    <t>DR 11453</t>
  </si>
  <si>
    <t>https://www.jotform.com/uploads/macarewecare/222927978372067/5937978379718733725/5937978379718733725_signature_28.png</t>
  </si>
  <si>
    <t>https://www.jotform.com/uploads/macarewecare/222927978372067/5937978379718733725/5937978379718733725_signature_31.png</t>
  </si>
  <si>
    <t>Due date for Site Visit/PM</t>
  </si>
  <si>
    <t>Gathering data IQR, System log &amp; assay stats
Clean Fan Filter</t>
  </si>
  <si>
    <t>https://www.jotform.com/uploads/macarewecare/222927978372067/5937901981341876662/5937901981341876662_signature_28.png</t>
  </si>
  <si>
    <t>Nicanor Enriquez Jr.</t>
  </si>
  <si>
    <t>https://www.jotform.com/uploads/macarewecare/222927978372067/5937901981341876662/5937901981341876662_signature_31.png</t>
  </si>
  <si>
    <t>Bulacan st., Payatas QC</t>
  </si>
  <si>
    <t xml:space="preserve">ASSAY: Xpert MTB/RIF Ultra, COUNT: 2374
</t>
  </si>
  <si>
    <t>https://www.jotform.com/uploads/macarewecare/222927978372067/5936060590929178442/5936060590929178442_signature_28.png</t>
  </si>
  <si>
    <t>Racquel M.Rocero</t>
  </si>
  <si>
    <t>https://www.jotform.com/uploads/macarewecare/222927978372067/5936060590929178442/5936060590929178442_signature_31.png</t>
  </si>
  <si>
    <t>mjcordova02@yahoo.com</t>
  </si>
  <si>
    <t xml:space="preserve">ASSAY: Xpert MTB/RIF Ultra, COUNT: 2668
</t>
  </si>
  <si>
    <t>Performed maintenance and xpert check</t>
  </si>
  <si>
    <t>B2 newly replaced
B1 failed xpert check
B3,B4 passed xpertcheck</t>
  </si>
  <si>
    <t>https://www.jotform.com/uploads/macarewecare/222927978372067/5936060200929729897/5936060200929729897_signature_28.png</t>
  </si>
  <si>
    <t>https://www.jotform.com/uploads/macarewecare/222927978372067/5936060200929729897/5936060200929729897_signature_31.png</t>
  </si>
  <si>
    <t>Scout Magbanua, Quezon Ave., Quezon City</t>
  </si>
  <si>
    <t>Checked Output Voltage of Outlet and UPS.
Install GeneXpert System.
Generate Reports.</t>
  </si>
  <si>
    <t>https://www.jotform.com/uploads/macarewecare/222927978372067/5935530648219417437/5935530648219417437_signature_28.png</t>
  </si>
  <si>
    <t>https://www.jotform.com/uploads/macarewecare/222927978372067/5935530648219417437/5935530648219417437_signature_31.png</t>
  </si>
  <si>
    <t>Brgy. 4, San Francisco, Agusan del Sur</t>
  </si>
  <si>
    <t>periabrasangelica@gmail.com</t>
  </si>
  <si>
    <t xml:space="preserve">ASSAY: Xpert MTB/RIF Ultra, COUNT: 986
</t>
  </si>
  <si>
    <t>GX-2 6 Colors</t>
  </si>
  <si>
    <t>Module B2 found error in temperature</t>
  </si>
  <si>
    <t>Module Replacement
Calibration
Preventive Maintenance</t>
  </si>
  <si>
    <t>Replacing Module B2 with SN: 696050 with SN: 784340
Preventive Maintenance
XPC Calibration</t>
  </si>
  <si>
    <t>All modules passed in XPC
All modules are working and functional
All units are working and functional</t>
  </si>
  <si>
    <t>https://www.jotform.com/uploads/macarewecare/222927978372067/5935529648115137126/5935529648115137126_signature_28.png</t>
  </si>
  <si>
    <t>Ma. Angelica Ga</t>
  </si>
  <si>
    <t>https://www.jotform.com/uploads/macarewecare/222927978372067/5935529648115137126/5935529648115137126_signature_31.png</t>
  </si>
  <si>
    <t>Arsenia J. Maximo Health Center</t>
  </si>
  <si>
    <t>Novaliches, Quezon City</t>
  </si>
  <si>
    <t>sheryllopez310@gmail.com</t>
  </si>
  <si>
    <t xml:space="preserve">ASSAY: Xpert HPV, COUNT: 97
ASSAY: Xpert MTB/RIF Ultra, COUNT: 1963
ASSAY: Xpert HIV-1 Viral Load, COUNT: 123
</t>
  </si>
  <si>
    <t>Performed Preventive maintenance 
Performed reliability test</t>
  </si>
  <si>
    <t>Checked and cleaned cartridge bays, plunger rod, icore slot, and filter 
Performed reliability test 
All modules passed
Module B1 for monitoring, frequent error 5007
Archived results
Generated report</t>
  </si>
  <si>
    <t>Unit is operational 
Module B1 for cheling by technical dept.</t>
  </si>
  <si>
    <t>https://www.jotform.com/uploads/macarewecare/222927978372067/5935523393618076814/5935523393618076814_signature_28.png</t>
  </si>
  <si>
    <t>Sheryl Lopez'</t>
  </si>
  <si>
    <t>https://www.jotform.com/uploads/macarewecare/222927978372067/5935523393618076814/5935523393618076814_signature_31.png</t>
  </si>
  <si>
    <t>Calaca Rural Health Unit</t>
  </si>
  <si>
    <t>Dela Salud St., Calaca, Batangas</t>
  </si>
  <si>
    <t>Calacacityhealthlaboratory@gmail.com</t>
  </si>
  <si>
    <t xml:space="preserve">ASSAY: Xpert MTB/RIF Ultra, COUNT: 1993
</t>
  </si>
  <si>
    <t>Moduled 3 and 4 with Temperature Error.</t>
  </si>
  <si>
    <t>Cleaned Cartridge Bay, Plunger Rod and Icore Optics.
Checked Filter if Clogged.
Replaced Modules 3 and 4.
Performed Self-test.
Generate Reports.</t>
  </si>
  <si>
    <t>A3: 732771 -&gt; 897123 , A4:731307-&gt;909058</t>
  </si>
  <si>
    <t>https://www.jotform.com/uploads/macarewecare/222927978372067/5935519778213454505/5935519778213454505_signature_28.png</t>
  </si>
  <si>
    <t>Baldwin Catibog</t>
  </si>
  <si>
    <t>https://www.jotform.com/uploads/macarewecare/222927978372067/5935519778213454505/5935519778213454505_signature_31.png</t>
  </si>
  <si>
    <t>St. Francis St., San Agustin Village, Moonwalk, Parañaque</t>
  </si>
  <si>
    <t>almaaurea@yahoo.com</t>
  </si>
  <si>
    <t xml:space="preserve">ASSAY: Xpert MTB/RIF Ultra, COUNT: 1557
</t>
  </si>
  <si>
    <t>Unit is due for XpertCheck.
CPU has Date and Time Problem.</t>
  </si>
  <si>
    <t>XpertCheck.
Troubleshooting.
Preventive Maintenance</t>
  </si>
  <si>
    <t>Cleaned Cartridge Bay, Plunger Rod, Icore Optics.
Checked Filter if Clogged.
Performed Selt-test.
Performed XpertCheck.
Replaced Bios Battery.
Generate Reports.</t>
  </si>
  <si>
    <t>All Modules Passed. CPU Problem Resolved.</t>
  </si>
  <si>
    <t>https://www.jotform.com/uploads/macarewecare/222927978372067/5935519528214329765/5935519528214329765_signature_28.png</t>
  </si>
  <si>
    <t>Alma Aurea Limson</t>
  </si>
  <si>
    <t>https://www.jotform.com/uploads/macarewecare/222927978372067/5935519528214329765/5935519528214329765_signature_31.png</t>
  </si>
  <si>
    <t>Caridad Health Center</t>
  </si>
  <si>
    <t>Dela Cruz St, Caridad, Cavite City, Cavite</t>
  </si>
  <si>
    <t>seyerlanie85@gmail.com</t>
  </si>
  <si>
    <t>Module 4 with Temperature Error.</t>
  </si>
  <si>
    <t>Cleaned Cartridge Bay, Plunger Rod and Icore Optics.
Checked Filter if Clogged.
Replaced Module 4.
Performed Self-test.
Generate Reports.</t>
  </si>
  <si>
    <t>A4: 730140 -&gt; 884033</t>
  </si>
  <si>
    <t>https://www.jotform.com/uploads/macarewecare/222927978372067/5935519528217012559/5935519528217012559_signature_28.png</t>
  </si>
  <si>
    <t>Melanie Reyed</t>
  </si>
  <si>
    <t>https://www.jotform.com/uploads/macarewecare/222927978372067/5935519528217012559/5935519528217012559_signature_31.png</t>
  </si>
  <si>
    <t>J. Rizal St., Silang, Cavite</t>
  </si>
  <si>
    <t>2 Modules were Disabled.</t>
  </si>
  <si>
    <t>https://www.jotform.com/uploads/macarewecare/222927978372067/5935519528212632724/5935519528212632724_signature_28.png</t>
  </si>
  <si>
    <t>Benessie Madlangsakay</t>
  </si>
  <si>
    <t>https://www.jotform.com/uploads/macarewecare/222927978372067/5935519528212632724/5935519528212632724_signature_31.png</t>
  </si>
  <si>
    <t>Dr. A. Santos Ave., San Isidro, Parañaque</t>
  </si>
  <si>
    <t xml:space="preserve">ASSAY: Xpert MTB/RIF Ultra, COUNT: 2063
ASSAY: Xpert HIV-1 Viral Load, COUNT: 84
</t>
  </si>
  <si>
    <t>Cleaned Cartridge Bay, Plunger Rod and Icore Optics.
Checked if Filter is Clogged.
Performed Self-test.
Performed XpertCheck.
Generate Reports.</t>
  </si>
  <si>
    <t>2 Retry, 1 Service Required and 1 Passed.</t>
  </si>
  <si>
    <t>Retry: B1/ 784193, B2/ 788537. Service Required: B3/ 210091236</t>
  </si>
  <si>
    <t>https://www.jotform.com/uploads/macarewecare/222927978372067/5935519528217414063/5935519528217414063_signature_28.png</t>
  </si>
  <si>
    <t>https://www.jotform.com/uploads/macarewecare/222927978372067/5935519528217414063/5935519528217414063_signature_31.png</t>
  </si>
  <si>
    <t>Silay City Health Office</t>
  </si>
  <si>
    <t>gutierrezdaviddior@gmail.com</t>
  </si>
  <si>
    <t xml:space="preserve">ASSAY: Xpert MTB/RIF Ultra, COUNT: 3599
</t>
  </si>
  <si>
    <t>GX4 6 Color</t>
  </si>
  <si>
    <t>Modules A2, A3 and A4 failed in XPC. While module A1 is not due for calibration.</t>
  </si>
  <si>
    <t>Save files(GXC file, IQR, System Log and Assay Stats) for reporting.</t>
  </si>
  <si>
    <t>Run Xpert check calibration for 3 modules( A2, A3 and A4)</t>
  </si>
  <si>
    <t>Module A1 is in good condition while module A2, A3 &amp; A4 need service.</t>
  </si>
  <si>
    <t>https://www.jotform.com/uploads/macarewecare/222927978372067/5935504487218914144/5935504487218914144_signature_28.png</t>
  </si>
  <si>
    <t>David Dior V. Gutierrez</t>
  </si>
  <si>
    <t>https://www.jotform.com/uploads/macarewecare/222927978372067/5935504487218914144/5935504487218914144_signature_31.png</t>
  </si>
  <si>
    <t>SILIMAN UNIVERSITY MEDICAL CENTER</t>
  </si>
  <si>
    <t>DUMAGUETE CITY</t>
  </si>
  <si>
    <t>badayos@gmail.com</t>
  </si>
  <si>
    <t>clab@sumcfi.org</t>
  </si>
  <si>
    <t xml:space="preserve">ASSAY: Xpert MTB/RIF Ultra, COUNT: 6
ASSAY: Xpert BCR-ABL Ultra, COUNT: 2
ASSAY: Xpert C. difficile BT, COUNT: 17
ASSAY: Xpert CT/NG, COUNT: 20
ASSAY: Xpert HBV VL, COUNT: 137
ASSAY: Xpert HPV, COUNT: 92
ASSAY: Xpert MTB/RIF Ultra, COUNT: 571
ASSAY: Xpert SARS-CoV-2, COUNT: 125
ASSAY: Xpert HCV VL, COUNT: 19
ASSAY: Xpert HIV-1 Viral Load, COUNT: 13
ASSAY: Others, COUNT: RSV 10
</t>
  </si>
  <si>
    <t>-PERFORM PREVENTIVE MAINTENANCE PROCEDURE
-PERFORM MODULE REPLACEMENT:
MODULE A1 DEF SN:792139 , NEW SN:220016262
MODULE A4 DEF SN:210070900 , NEW SN:220022646</t>
  </si>
  <si>
    <t>GENEXPERT MODULE</t>
  </si>
  <si>
    <t>SI 98123</t>
  </si>
  <si>
    <t>https://www.jotform.com/uploads/macarewecare/222927978372067/5935499677094053896/5935499677094053896_signature_28.png</t>
  </si>
  <si>
    <t>George Guevarra</t>
  </si>
  <si>
    <t>https://www.jotform.com/uploads/macarewecare/222927978372067/5935499677094053896/5935499677094053896_signature_31.png</t>
  </si>
  <si>
    <t>Daram Rural Health Unit</t>
  </si>
  <si>
    <t>nenitaamistoso@gmail.com</t>
  </si>
  <si>
    <t>-Module B2/863402 defective</t>
  </si>
  <si>
    <t>-  Performed preventive maintenance 
- Module replacement B2/863402 into 883824
- Generate reports</t>
  </si>
  <si>
    <t>https://www.jotform.com/uploads/macarewecare/222927978372067/5935484280027788679/5935484280027788679_signature_28.png</t>
  </si>
  <si>
    <t>Nenita Amistoso</t>
  </si>
  <si>
    <t>https://www.jotform.com/uploads/macarewecare/222927978372067/5935484280027788679/5935484280027788679_signature_31.png</t>
  </si>
  <si>
    <t>Jacinto Street, Poblacion District</t>
  </si>
  <si>
    <t xml:space="preserve">ASSAY: Xpert MTB/RIF Ultra, COUNT: 197
ASSAY: Xpert HIV-1 Viral Load, COUNT: 1172
ASSAY: Xpert HBV VL, COUNT: 9
</t>
  </si>
  <si>
    <t>Only Three Modules are operational
Module 3 disabled; reported to Cepheid for further assessment</t>
  </si>
  <si>
    <t>https://www.jotform.com/uploads/macarewecare/222927978372067/5935463476956578333/5935463476956578333_signature_28.png</t>
  </si>
  <si>
    <t>https://www.jotform.com/uploads/macarewecare/222927978372067/5935463476956578333/5935463476956578333_signature_31.png</t>
  </si>
  <si>
    <t>Only Two Modules are operational
Modules C2 and C4 disabled, reported to Cepheid for further assessments</t>
  </si>
  <si>
    <t>https://www.jotform.com/uploads/macarewecare/222927978372067/5935463036954222767/5935463036954222767_signature_28.png</t>
  </si>
  <si>
    <t>https://www.jotform.com/uploads/macarewecare/222927978372067/5935463036954222767/5935463036954222767_signature_31.png</t>
  </si>
  <si>
    <t>Hospital drive Brgy. Sa Vicente, Tarlac City</t>
  </si>
  <si>
    <t>gmgalamay@cldh.com.ph</t>
  </si>
  <si>
    <t xml:space="preserve">ASSAY: Xpert MTB/RIF Ultra, COUNT: 193
ASSAY: Xpert CT/NG, COUNT: 2
ASSAY: Xpert SARS-CoV-2, COUNT: 366
</t>
  </si>
  <si>
    <t>https://www.jotform.com/uploads/macarewecare/222927978372067/5935435904748136630/5935435904748136630_signature_28.png</t>
  </si>
  <si>
    <t>https://www.jotform.com/uploads/macarewecare/222927978372067/5935435904748136630/5935435904748136630_signature_31.png</t>
  </si>
  <si>
    <t xml:space="preserve">ASSAY: Xpert CT/NG, COUNT: 2
ASSAY: Xpert MTB/RIF Ultra, COUNT: 193
ASSAY: Xpert SARS-CoV-2, COUNT: 366
</t>
  </si>
  <si>
    <t>Unit is operational excet B4:738203 error(2014) Temperature error</t>
  </si>
  <si>
    <t>https://www.jotform.com/uploads/macarewecare/222927978372067/5935434764743523448/5935434764743523448_signature_28.png</t>
  </si>
  <si>
    <t>https://www.jotform.com/uploads/macarewecare/222927978372067/5935434764743523448/5935434764743523448_signature_31.png</t>
  </si>
  <si>
    <t>Taytay Rural Health Unit - 5B</t>
  </si>
  <si>
    <t>Ynares Ave Taytay, Rizal</t>
  </si>
  <si>
    <t xml:space="preserve">ASSAY: Xpert MTB/RIF Ultra, COUNT: 1477
</t>
  </si>
  <si>
    <t>Module B1 newly replaced and operational. Modules B2, and B4 passed and operational. Module B3/806713 service required and not operational.</t>
  </si>
  <si>
    <t>https://www.jotform.com/uploads/macarewecare/222927978372067/5935433031871782393/5935433031871782393_signature_28.png</t>
  </si>
  <si>
    <t>https://www.jotform.com/uploads/macarewecare/222927978372067/5935433031871782393/5935433031871782393_signature_31.png</t>
  </si>
  <si>
    <t>Eusebio St. Pasig</t>
  </si>
  <si>
    <t xml:space="preserve">ASSAY: Xpert MTB/RIF Ultra, COUNT: 2993
</t>
  </si>
  <si>
    <t>All modules operational. All modules passed.</t>
  </si>
  <si>
    <t>https://www.jotform.com/uploads/macarewecare/222927978372067/5935433031873733634/5935433031873733634_signature_28.png</t>
  </si>
  <si>
    <t>Norma Angelique Valencia,RMT</t>
  </si>
  <si>
    <t>https://www.jotform.com/uploads/macarewecare/222927978372067/5935433031873733634/5935433031873733634_signature_31.png</t>
  </si>
  <si>
    <t>General Nakar Rural Health Unit</t>
  </si>
  <si>
    <t>General Nakar, Quezon</t>
  </si>
  <si>
    <t>buendichol@yahoo.com</t>
  </si>
  <si>
    <t xml:space="preserve">ASSAY: Xpert MTB/RIF Ultra, COUNT: 449
</t>
  </si>
  <si>
    <t>All modules passed. All modules operational.</t>
  </si>
  <si>
    <t>https://www.jotform.com/uploads/macarewecare/222927978372067/5935433031879604424/5935433031879604424_signature_28.png</t>
  </si>
  <si>
    <t>Lydelyn B.Costumbrado</t>
  </si>
  <si>
    <t>https://www.jotform.com/uploads/macarewecare/222927978372067/5935433031879604424/5935433031879604424_signature_31.png</t>
  </si>
  <si>
    <t xml:space="preserve">ASSAY: Xpert MTB/RIF Ultra, COUNT: 1526
ASSAY: Xpert HIV-1 Viral Load, COUNT: 60
</t>
  </si>
  <si>
    <t>Preventive Maintenence and Site visit</t>
  </si>
  <si>
    <t>https://www.jotform.com/uploads/macarewecare/222927978372067/5935431624759529808/5935431624759529808_signature_28.png</t>
  </si>
  <si>
    <t>Rheamay E. Solana</t>
  </si>
  <si>
    <t>https://www.jotform.com/uploads/macarewecare/222927978372067/5935431624759529808/5935431624759529808_signature_31.png</t>
  </si>
  <si>
    <t>Binan City Health Office 1</t>
  </si>
  <si>
    <t>Binan Laguna</t>
  </si>
  <si>
    <t>evalexaa29@gmail.com</t>
  </si>
  <si>
    <t xml:space="preserve">ASSAY: Xpert MTB/RIF Ultra, COUNT: 2426
</t>
  </si>
  <si>
    <t>GX module B2 (732611) in replacement to defective B2 (799008).</t>
  </si>
  <si>
    <t>https://www.jotform.com/uploads/macarewecare/222927978372067/5935418707808310804/5935418707808310804_signature_28.png</t>
  </si>
  <si>
    <t>Alexandra Mae Evangelista</t>
  </si>
  <si>
    <t>https://www.jotform.com/uploads/macarewecare/222927978372067/5935418707808310804/5935418707808310804_signature_31.png</t>
  </si>
  <si>
    <t>Brgy. Tibag, Talac City</t>
  </si>
  <si>
    <t xml:space="preserve">ASSAY: Xpert MTB/RIF Ultra, COUNT: 869
</t>
  </si>
  <si>
    <t>https://www.jotform.com/uploads/macarewecare/222927978372067/5935405650223455475/5935405650223455475_signature_28.png</t>
  </si>
  <si>
    <t>https://www.jotform.com/uploads/macarewecare/222927978372067/5935405650223455475/5935405650223455475_signature_31.png</t>
  </si>
  <si>
    <t>Dr. George T. Hofer Medical Center</t>
  </si>
  <si>
    <t>Purok Santan, Barangay tenan, ipil Zamboanga sibugay</t>
  </si>
  <si>
    <t>CALIBRATION
MAINTENANCE
Packed Genexpert Machine</t>
  </si>
  <si>
    <t>exelrose.remotigue@gmail.com</t>
  </si>
  <si>
    <t>Preventive Maintenence,  Xpertcheck Calibration and Packed Genexpert Machine with other accessories</t>
  </si>
  <si>
    <t>Genexpert Machine and other accessories are packed.</t>
  </si>
  <si>
    <t>https://www.jotform.com/uploads/macarewecare/222927978372067/5935405248102418764/5935405248102418764_signature_28.png</t>
  </si>
  <si>
    <t>Exel Rose Cainglet</t>
  </si>
  <si>
    <t>https://www.jotform.com/uploads/macarewecare/222927978372067/5935405248102418764/5935405248102418764_signature_31.png</t>
  </si>
  <si>
    <t xml:space="preserve">ASSAY: Others, COUNT: 11
</t>
  </si>
  <si>
    <t>Troubleshoot UPS
Replaced Power Cable
Replace Fuse</t>
  </si>
  <si>
    <t>https://www.jotform.com/uploads/macarewecare/222927978372067/5935404362523959951/5935404362523959951_signature_28.png</t>
  </si>
  <si>
    <t>https://www.jotform.com/uploads/macarewecare/222927978372067/5935404362523959951/5935404362523959951_signature_31.png</t>
  </si>
  <si>
    <t>GXXVI-6c</t>
  </si>
  <si>
    <t>UPS cannot backup
Due for Calibration</t>
  </si>
  <si>
    <t>Troubleshoot UPS
Performed Calibration
(All Modules Passed)</t>
  </si>
  <si>
    <t>https://www.jotform.com/uploads/macarewecare/222927978372067/5935392972522517407/5935392972522517407_signature_28.png</t>
  </si>
  <si>
    <t>https://www.jotform.com/uploads/macarewecare/222927978372067/5935392972522517407/5935392972522517407_signature_31.png</t>
  </si>
  <si>
    <t>Corazon Locsin Montelibano M.R.H</t>
  </si>
  <si>
    <t>Transfer of Location</t>
  </si>
  <si>
    <t xml:space="preserve">ASSAY: Xpert HIV-1 Viral Load, COUNT: 1006
</t>
  </si>
  <si>
    <t>GX4 10 Color</t>
  </si>
  <si>
    <t>NONE</t>
  </si>
  <si>
    <t>Pulled out the machines and its accessories together with their two BioMed engineers and transfer to their Molecular Lab.</t>
  </si>
  <si>
    <t>Transfer of their newly procurred GeneXpert IV 10 C machine from Immuno/Sero Dept. to Molecular Laboratory.</t>
  </si>
  <si>
    <t>GeneXpert Machine and its accessories are in good working conditions.</t>
  </si>
  <si>
    <t>https://www.jotform.com/uploads/macarewecare/222927978372067/5935376706019198424/5935376706019198424_signature_28.png</t>
  </si>
  <si>
    <t>https://www.jotform.com/uploads/macarewecare/222927978372067/5935376706019198424/5935376706019198424_signature_31.png</t>
  </si>
  <si>
    <t>Brgy. Matatalaib Tarlac City</t>
  </si>
  <si>
    <t xml:space="preserve">ASSAY: Xpert MTB/RIF Ultra, COUNT: 470
</t>
  </si>
  <si>
    <t>https://www.jotform.com/uploads/macarewecare/222927978372067/5935374325613251825/5935374325613251825_signature_28.png</t>
  </si>
  <si>
    <t>Clariz Anne Beltran</t>
  </si>
  <si>
    <t>https://www.jotform.com/uploads/macarewecare/222927978372067/5935374325613251825/5935374325613251825_signature_31.png</t>
  </si>
  <si>
    <t>Sta Ignacia Rural Health Unit</t>
  </si>
  <si>
    <t>Sta. Ignacia, Tarlac</t>
  </si>
  <si>
    <t>jdi0973@yahoo.com</t>
  </si>
  <si>
    <t xml:space="preserve">ASSAY: Xpert MTB/RIF Ultra, COUNT: 504
</t>
  </si>
  <si>
    <t>https://www.jotform.com/uploads/macarewecare/222927978372067/5935359895614465214/5935359895614465214_signature_28.png</t>
  </si>
  <si>
    <t>Jess D. Ibarra</t>
  </si>
  <si>
    <t>https://www.jotform.com/uploads/macarewecare/222927978372067/5935359895614465214/5935359895614465214_signature_31.png</t>
  </si>
  <si>
    <t>Gerona Rural Health Unit</t>
  </si>
  <si>
    <t>Brgy. Pinasling, Gerona, Talac</t>
  </si>
  <si>
    <t>huwakie15@gmail.com</t>
  </si>
  <si>
    <t>https://www.jotform.com/uploads/macarewecare/222927978372067/5935359585615035897/5935359585615035897_signature_28.png</t>
  </si>
  <si>
    <t>Artemio Nool III</t>
  </si>
  <si>
    <t>https://www.jotform.com/uploads/macarewecare/222927978372067/5935359585615035897/5935359585615035897_signature_31.png</t>
  </si>
  <si>
    <t>Victoria Rural Health Unit</t>
  </si>
  <si>
    <t>Brgy. Bulo Victoria, Tarlac</t>
  </si>
  <si>
    <t>diazrmt@yahoo.com</t>
  </si>
  <si>
    <t xml:space="preserve">ASSAY: Xpert MTB/RIF Ultra, COUNT: 756
</t>
  </si>
  <si>
    <t>https://www.jotform.com/uploads/macarewecare/222927978372067/5935359325615815455/5935359325615815455_signature_28.png</t>
  </si>
  <si>
    <t>Alma Estayo</t>
  </si>
  <si>
    <t>https://www.jotform.com/uploads/macarewecare/222927978372067/5935359325615815455/5935359325615815455_signature_31.png</t>
  </si>
  <si>
    <t>Culiat, Quezon City</t>
  </si>
  <si>
    <t>ameliafclemente2001@yahoo.com</t>
  </si>
  <si>
    <t xml:space="preserve">ASSAY: Xpert HPV, COUNT: 211
ASSAY: Xpert MTB/RIF Ultra, COUNT: 2973
</t>
  </si>
  <si>
    <t>Performed Preventive maintenance 
Performed reliability Test
Checked UPS</t>
  </si>
  <si>
    <t>Checked and cleaned cartridge bays, plunger rod, icore slot and filter 
Performed reliability test 
All modules passed 
UPS does not back up
Generated report</t>
  </si>
  <si>
    <t>Unit is operational 
All modules working 
UPS does not seotch to battery mode
Needs UPS replacement</t>
  </si>
  <si>
    <t>https://www.jotform.com/uploads/macarewecare/222927978372067/5935351653611530997/5935351653611530997_signature_28.png</t>
  </si>
  <si>
    <t>Felicidad R. De Castro</t>
  </si>
  <si>
    <t>https://www.jotform.com/uploads/macarewecare/222927978372067/5935351653611530997/5935351653611530997_signature_31.png</t>
  </si>
  <si>
    <t>General Santos</t>
  </si>
  <si>
    <t xml:space="preserve">ASSAY: Xpert MTB/RIF Ultra, COUNT: 53
ASSAY: Xpert SARS-CoV-2, COUNT: 8
</t>
  </si>
  <si>
    <t>Module 2, 3, and 4 requested for replacement due to multiple temperature error</t>
  </si>
  <si>
    <t>Genexpert machine Cleaning/Preventive maintenance 
Checking of errors/problem 
Problem/errors reporting 
Data collection</t>
  </si>
  <si>
    <t>https://www.jotform.com/uploads/macarewecare/222927978372067/5934956314311505211/5934956314311505211_signature_28.png</t>
  </si>
  <si>
    <t>Norjanah Antap</t>
  </si>
  <si>
    <t>https://www.jotform.com/uploads/macarewecare/222927978372067/5934956314311505211/5934956314311505211_signature_31.png</t>
  </si>
  <si>
    <t>St.Elizabeth Hospital Inc</t>
  </si>
  <si>
    <t>Module 1 and 3 multiple temperature errors 
Module 4 ultrasonic problem</t>
  </si>
  <si>
    <t>Genexpert machine Cleaning/ Preventive maintenance 
Checking of errors 
Problem/errors reporting 
Data collection</t>
  </si>
  <si>
    <t>1 operational module</t>
  </si>
  <si>
    <t>https://www.jotform.com/uploads/macarewecare/222927978372067/5934955674314927596/5934955674314927596_signature_28.png</t>
  </si>
  <si>
    <t>https://www.jotform.com/uploads/macarewecare/222927978372067/5934955674314927596/5934955674314927596_signature_31.png</t>
  </si>
  <si>
    <t>Poruk Rosa's, Brgy. Poblacion, Lake Sebu</t>
  </si>
  <si>
    <t>Module 2 stuck cartridge</t>
  </si>
  <si>
    <t>Repair module 2 stuck cartridge 
Genexpert machine Cleaning 
Checking of errors 
Problem/errors reporting 
Data collection</t>
  </si>
  <si>
    <t>Perform Genexpert machine Preventive maintenance 
Perform Genexpert machine module repair</t>
  </si>
  <si>
    <t>https://www.jotform.com/uploads/macarewecare/222927978372067/5934954544316570967/5934954544316570967_signature_28.png</t>
  </si>
  <si>
    <t>https://www.jotform.com/uploads/macarewecare/222927978372067/5934954544316570967/5934954544316570967_signature_31.png</t>
  </si>
  <si>
    <t>https://www.jotform.com/uploads/macarewecare/222927978372067/5934737507727675338/5934737507727675338_signature_28.png</t>
  </si>
  <si>
    <t>https://www.jotform.com/uploads/macarewecare/222927978372067/5934737507727675338/5934737507727675338_signature_31.png</t>
  </si>
  <si>
    <t>Combined with another GXIV-6c</t>
  </si>
  <si>
    <t>https://www.jotform.com/uploads/macarewecare/222927978372067/5934736705413656594/5934736705413656594_signature_28.png</t>
  </si>
  <si>
    <t>https://www.jotform.com/uploads/macarewecare/222927978372067/5934736705413656594/5934736705413656594_signature_31.png</t>
  </si>
  <si>
    <t>Always Lost Communication</t>
  </si>
  <si>
    <t>https://www.jotform.com/uploads/macarewecare/222927978372067/5934734785413159064/5934734785413159064_signature_28.png</t>
  </si>
  <si>
    <t>https://www.jotform.com/uploads/macarewecare/222927978372067/5934734785413159064/5934734785413159064_signature_31.png</t>
  </si>
  <si>
    <t>Purok santa, barangay tenant, ipil Zamboanga sibugay</t>
  </si>
  <si>
    <t>INSTALLATION
Site assessment</t>
  </si>
  <si>
    <t>GX 4 (10c)</t>
  </si>
  <si>
    <t>Genexpert Machine 10c Installation and Site assessment</t>
  </si>
  <si>
    <t>All modules are ready to use. Uninterrupted power supply is broken and will be replaced</t>
  </si>
  <si>
    <t>Uninterrupted power supply is broken and will be replaced</t>
  </si>
  <si>
    <t>https://www.jotform.com/uploads/macarewecare/222927978372067/5934732508103349216/5934732508103349216_signature_28.png</t>
  </si>
  <si>
    <t>https://www.jotform.com/uploads/macarewecare/222927978372067/5934732508103349216/5934732508103349216_signature_31.png</t>
  </si>
  <si>
    <t xml:space="preserve">ASSAY: Xpert HBV VL, COUNT: 1
ASSAY: Xpert MTB/RIF Ultra, COUNT: 2
ASSAY: Others, COUNT: 1096
ASSAY: Xpert HIV-1 Viral Load, COUNT: 12
</t>
  </si>
  <si>
    <t>Module 3 error</t>
  </si>
  <si>
    <t>Performed Module Replacement
B3(210084051 - 898071)</t>
  </si>
  <si>
    <t>https://www.jotform.com/uploads/macarewecare/222927978372067/5934731305411902505/5934731305411902505_signature_28.png</t>
  </si>
  <si>
    <t>https://www.jotform.com/uploads/macarewecare/222927978372067/5934731305411902505/5934731305411902505_signature_31.png</t>
  </si>
  <si>
    <t>San Pablo Colleges Medical Cente</t>
  </si>
  <si>
    <t>Maharlika Highway, San Pablo</t>
  </si>
  <si>
    <t>templo.richard@yahoo.com</t>
  </si>
  <si>
    <t>Performed installation of GeneXpert.
Performed maintenance training with Sir Noel Vicente.
Generated reports</t>
  </si>
  <si>
    <t>https://www.jotform.com/uploads/macarewecare/222927978372067/5934695188424362714/5934695188424362714_signature_28.png</t>
  </si>
  <si>
    <t>Richard Templo</t>
  </si>
  <si>
    <t>https://www.jotform.com/uploads/macarewecare/222927978372067/5934695188424362714/5934695188424362714_signature_31.png</t>
  </si>
  <si>
    <t>Dr. Elvira Lagrosa Health Center (Cuyegkeng)</t>
  </si>
  <si>
    <t>R. Layug, Pasay</t>
  </si>
  <si>
    <t xml:space="preserve">ASSAY: Xpert MTB/RIF Ultra, COUNT: 1416
</t>
  </si>
  <si>
    <t>Unit due for Preventive Maintenance</t>
  </si>
  <si>
    <t>Checked and cleaned cartridge bays, plunger rod, icore slot, and filter 
Performed Reliability test 
All modules passed
Generated report</t>
  </si>
  <si>
    <t>Unit is operational 
All modules working
UPS not switching to battery, needs replacement</t>
  </si>
  <si>
    <t>https://www.jotform.com/uploads/macarewecare/222927978372067/5934690183614105851/5934690183614105851_signature_28.png</t>
  </si>
  <si>
    <t>Georgette Domingo</t>
  </si>
  <si>
    <t>https://www.jotform.com/uploads/macarewecare/222927978372067/5934690183614105851/5934690183614105851_signature_31.png</t>
  </si>
  <si>
    <t>Baao Rural Health Unit</t>
  </si>
  <si>
    <t>Del Rosario</t>
  </si>
  <si>
    <t>demibreboneria@gmail.com</t>
  </si>
  <si>
    <t>GX4 for Calibration</t>
  </si>
  <si>
    <t>XpertCheck Result:
   A1/667540 - passed
   A2/210005380 - passed
   A3/210008802 - passed
   A4/210009609 - passed
Cleaned cartridge bays, plunger rod, icore
Generate reports</t>
  </si>
  <si>
    <t>https://www.jotform.com/uploads/macarewecare/222927978372067/5934680716413955576/5934680716413955576_signature_28.png</t>
  </si>
  <si>
    <t>Demi ann breboneria</t>
  </si>
  <si>
    <t>https://www.jotform.com/uploads/macarewecare/222927978372067/5934680716413955576/5934680716413955576_signature_31.png</t>
  </si>
  <si>
    <t>Philippine Red Cross (PRC Tower)</t>
  </si>
  <si>
    <t>Edsa,Mandaluyong City</t>
  </si>
  <si>
    <t>Encounter CRC bios failed</t>
  </si>
  <si>
    <t>Checked unit,
Checked and measured battery voltage output of CPU board 0 volts reading.
Performed CPU board reset.</t>
  </si>
  <si>
    <t>Unit unoperational
For replacement of CPU board</t>
  </si>
  <si>
    <t>https://www.jotform.com/uploads/macarewecare/222927978372067/5934642871313578149/5934642871313578149_signature_28.png</t>
  </si>
  <si>
    <t>https://www.jotform.com/uploads/macarewecare/222927978372067/5934642871313578149/5934642871313578149_signature_31.png</t>
  </si>
  <si>
    <t>rhuhagonoy@gmail.com</t>
  </si>
  <si>
    <t xml:space="preserve">ASSAY: Xpert MTB/RIF Ultra, COUNT: 466
</t>
  </si>
  <si>
    <t>Clean Surface Area, Cartridge Bay, Plunger Rod, Fan Filters and Icore Lenses
Generate IQR, Assay Stat and System Log
Install the new version of XPC
Run XpertCheck on 4 Modules</t>
  </si>
  <si>
    <t>Perform Preventive Maintenance
Perform Xpertcheck Calibration</t>
  </si>
  <si>
    <t>All Modules Passed the Calibration
Machine is fully operational</t>
  </si>
  <si>
    <t>https://www.jotform.com/uploads/macarewecare/222927978372067/5934607725422968152/5934607725422968152_signature_28.png</t>
  </si>
  <si>
    <t>ARNEL CRESAR G. NEROSA</t>
  </si>
  <si>
    <t>https://www.jotform.com/uploads/macarewecare/222927978372067/5934607725422968152/5934607725422968152_signature_31.png</t>
  </si>
  <si>
    <t>Samar Provincial Hospital</t>
  </si>
  <si>
    <t>Catbalogan Samar</t>
  </si>
  <si>
    <t>janicedytan@gmail.com</t>
  </si>
  <si>
    <t>https://www.jotform.com/uploads/macarewecare/222927978372067/5934560341223318720/5934560341223318720_signature_28.png</t>
  </si>
  <si>
    <t>Janice Tan</t>
  </si>
  <si>
    <t>https://www.jotform.com/uploads/macarewecare/222927978372067/5934560341223318720/5934560341223318720_signature_31.png</t>
  </si>
  <si>
    <t>Klinika Bernardo (QC Health Department)</t>
  </si>
  <si>
    <t>Kalayaan Ave., Quezon City</t>
  </si>
  <si>
    <t xml:space="preserve">ASSAY: Xpert CT/NG, COUNT: 14
ASSAY: Xpert HBV VL, COUNT: 1
ASSAY: Xpert MTB/RIF Ultra, COUNT: 394
ASSAY: Xpert HCV VL, COUNT: 3
ASSAY: Xpert HIV-1 Viral Load, COUNT: 1337
</t>
  </si>
  <si>
    <t>GX reuested for transfer to another room</t>
  </si>
  <si>
    <t>Transferred GX
Performed Reliability Test
Performed Preventive Maintenance</t>
  </si>
  <si>
    <t>Setup GX to new location
Check and cleaned cartridge bays, plunger rod, icore slot, and filter 
Performed Reliability test
Archived past results 
Generated report</t>
  </si>
  <si>
    <t>Unit is operational 
all modules working</t>
  </si>
  <si>
    <t>https://www.jotform.com/uploads/macarewecare/222927978372067/5934477762045366017/5934477762045366017_signature_28.png</t>
  </si>
  <si>
    <t>msileen reyna</t>
  </si>
  <si>
    <t>https://www.jotform.com/uploads/macarewecare/222927978372067/5934477762045366017/5934477762045366017_signature_31.png</t>
  </si>
  <si>
    <t>Carrascal Rural Health Unit</t>
  </si>
  <si>
    <t>Poblacion, Carrascal</t>
  </si>
  <si>
    <t>rhucarrascal2016@gmail.com</t>
  </si>
  <si>
    <t>B2 found temperature error</t>
  </si>
  <si>
    <t>Module Replacement
Preventive Maintenance</t>
  </si>
  <si>
    <t>Replacing Module B2 with SN: 787993 to SN: 760645
Preventive Maintenance</t>
  </si>
  <si>
    <t>https://www.jotform.com/uploads/macarewecare/222927978372067/5934445680916021665/5934445680916021665_signature_28.png</t>
  </si>
  <si>
    <t>Roela O. Garay</t>
  </si>
  <si>
    <t>https://www.jotform.com/uploads/macarewecare/222927978372067/5934445680916021665/5934445680916021665_signature_31.png</t>
  </si>
  <si>
    <t>Pawing palo leyte</t>
  </si>
  <si>
    <t>https://www.jotform.com/uploads/macarewecare/222927978372067/5934435664753079291/5934435664753079291_signature_28.png</t>
  </si>
  <si>
    <t>Kareen Tampil</t>
  </si>
  <si>
    <t>https://www.jotform.com/uploads/macarewecare/222927978372067/5934435664753079291/5934435664753079291_signature_31.png</t>
  </si>
  <si>
    <t>UPS unable to power on due to burn out power supply of ups</t>
  </si>
  <si>
    <t>Checked voltage output of main outlet 230v,
Checked and test power cord continuity.
Checked power supply</t>
  </si>
  <si>
    <t>Troubleshooting of ups</t>
  </si>
  <si>
    <t>UPS defective 
Genexpert and CPU operational</t>
  </si>
  <si>
    <t>For replacement of UPS</t>
  </si>
  <si>
    <t>https://www.jotform.com/uploads/macarewecare/222927978372067/5933899775897364063/5933899775897364063_signature_28.png</t>
  </si>
  <si>
    <t>https://www.jotform.com/uploads/macarewecare/222927978372067/5933899775897364063/5933899775897364063_signature_31.png</t>
  </si>
  <si>
    <t xml:space="preserve">ASSAY: Xpert MTB/RIF Ultra, COUNT: 971
</t>
  </si>
  <si>
    <t>2037, 2005 Error</t>
  </si>
  <si>
    <t>Cleaned icore
Check collected data test result
Generate report</t>
  </si>
  <si>
    <t>https://www.jotform.com/uploads/macarewecare/222927978372067/5933840099726527689/5933840099726527689_signature_28.png</t>
  </si>
  <si>
    <t>https://www.jotform.com/uploads/macarewecare/222927978372067/5933840099726527689/5933840099726527689_signature_31.png</t>
  </si>
  <si>
    <t xml:space="preserve">ASSAY: Xpert MTB/RIF Ultra, COUNT: 1925
</t>
  </si>
  <si>
    <t>Checked and cleaned cartridge bays, plunger rod, icore slot and filter 
Performed Xpertcheck 
B1: Failed
B2: Passed
B3: Passed
B4: Passed
Generated report</t>
  </si>
  <si>
    <t>unit is operational 
B1 for reporting</t>
  </si>
  <si>
    <t>DR 48180</t>
  </si>
  <si>
    <t>https://www.jotform.com/uploads/macarewecare/222927978372067/5933834646274433348/5933834646274433348_signature_28.png</t>
  </si>
  <si>
    <t>https://www.jotform.com/uploads/macarewecare/222927978372067/5933834646274433348/5933834646274433348_signature_31.png</t>
  </si>
  <si>
    <t>Doña Marta Health Center</t>
  </si>
  <si>
    <t>donamartaclinicallaboratory@gmail.com</t>
  </si>
  <si>
    <t xml:space="preserve">ASSAY: Xpert MTB/RIF Ultra, COUNT: 1431
</t>
  </si>
  <si>
    <t>Checked and cleaned cartridge bays, plunger rod, icore slot and filter 
Performed Xpertcheck 
All modules passed
Generated report</t>
  </si>
  <si>
    <t>PL 015867</t>
  </si>
  <si>
    <t>https://www.jotform.com/uploads/macarewecare/222927978372067/5933821136279604489/5933821136279604489_signature_28.png</t>
  </si>
  <si>
    <t>Tessa Rose Tabugo</t>
  </si>
  <si>
    <t>https://www.jotform.com/uploads/macarewecare/222927978372067/5933821136279604489/5933821136279604489_signature_31.png</t>
  </si>
  <si>
    <t>madrid_dh@yahoo.com</t>
  </si>
  <si>
    <t>https://www.jotform.com/uploads/macarewecare/222927978372067/5933795232322945383/5933795232322945383_signature_28.png</t>
  </si>
  <si>
    <t>https://www.jotform.com/uploads/macarewecare/222927978372067/5933795232322945383/5933795232322945383_signature_31.png</t>
  </si>
  <si>
    <t>Camarines Norte Provincial Hospital</t>
  </si>
  <si>
    <t>Brgy. 5. Bagasbas. Daet</t>
  </si>
  <si>
    <t>cnphlaboratory@gmail.com</t>
  </si>
  <si>
    <t>GX4-6C 807600 for Installation 
GX for Calibration</t>
  </si>
  <si>
    <t>Installed GX4-10C,  CPU , Monitor, UPS, Printer
Checked/Adjust GX information details 
XpertCheck Result:
   B1/623932 - passed
   B2/680631 - passed
   B3/662501 - passed
   B4/210101552 - passed
Cleaned cartridge bays, plunger rod, icore
Generate reports</t>
  </si>
  <si>
    <t>Installed Gx set
Performed XpertCheck 
Performed Preventive Maintenance</t>
  </si>
  <si>
    <t>Gx4-6C(807600) relocation from Basud MHO to CNPH</t>
  </si>
  <si>
    <t>https://www.jotform.com/uploads/macarewecare/222927978372067/5933787635815533746/5933787635815533746_signature_28.png</t>
  </si>
  <si>
    <t>Ernesto A. Gapoy</t>
  </si>
  <si>
    <t>https://www.jotform.com/uploads/macarewecare/222927978372067/5933787635815533746/5933787635815533746_signature_31.png</t>
  </si>
  <si>
    <t>Bato Rural Health Unit</t>
  </si>
  <si>
    <t>Bato, Leyte</t>
  </si>
  <si>
    <t>batodiagnosticcenterlaboratory@gmail.com</t>
  </si>
  <si>
    <t xml:space="preserve">ASSAY: Xpert MTB/RIF Ultra, COUNT: 22
</t>
  </si>
  <si>
    <t>Installed by enduser, checked by Cepheid.</t>
  </si>
  <si>
    <t>https://www.jotform.com/uploads/macarewecare/222927978372067/5933740726648197709/5933740726648197709_signature_28.png</t>
  </si>
  <si>
    <t>Grace C. Quijano</t>
  </si>
  <si>
    <t>https://www.jotform.com/uploads/macarewecare/222927978372067/5933740726648197709/5933740726648197709_signature_31.png</t>
  </si>
  <si>
    <t>Paquibato District Health Center</t>
  </si>
  <si>
    <t>Malabog, Paquibato Davao City</t>
  </si>
  <si>
    <t>paquibatohclab@gmail.com</t>
  </si>
  <si>
    <t xml:space="preserve">ASSAY: Xpert MTB/RIF Ultra, COUNT: 435
</t>
  </si>
  <si>
    <t>Clean Surface Area, Cartridge Bay, Plunger Rod, Fan Filters and Icore Lenses
Generate IQR, Assay Stat and System Log
Install the new version of XPC
Run XPC on 4 Modules</t>
  </si>
  <si>
    <t>Module B1, Retry and For Service Required
Module B2:Passed
Module B3, B4: Retry and Skipped due to out of spare XPC Cartidge
Modules B2, B3 and B4 are operational</t>
  </si>
  <si>
    <t>https://www.jotform.com/uploads/macarewecare/222927978372067/5933709570319492540/5933709570319492540_signature_28.png</t>
  </si>
  <si>
    <t>John Mark Mataganas</t>
  </si>
  <si>
    <t>https://www.jotform.com/uploads/macarewecare/222927978372067/5933709570319492540/5933709570319492540_signature_31.png</t>
  </si>
  <si>
    <t>Ospital ning Capas</t>
  </si>
  <si>
    <t>Capas, Talac</t>
  </si>
  <si>
    <t>onclaboratory@gmail.com</t>
  </si>
  <si>
    <t xml:space="preserve">ASSAY: Xpert MTB/RIF Ultra, COUNT: 1778
</t>
  </si>
  <si>
    <t>https://www.jotform.com/uploads/macarewecare/222927978372067/5933683732609902251/5933683732609902251_signature_28.png</t>
  </si>
  <si>
    <t>Afrilyn Roque</t>
  </si>
  <si>
    <t>https://www.jotform.com/uploads/macarewecare/222927978372067/5933683732609902251/5933683732609902251_signature_31.png</t>
  </si>
  <si>
    <t>ciudadlabmed@gmail.com</t>
  </si>
  <si>
    <t xml:space="preserve">ASSAY: Xpert CT/NG, COUNT: 2
ASSAY: Xpert HBV VL, COUNT: 62
ASSAY: Xpert MTB/RIF Ultra, COUNT: 328
ASSAY: Xpert HCV VL, COUNT: 30
</t>
  </si>
  <si>
    <t>Module 1 and Module 2 hardware failed</t>
  </si>
  <si>
    <t>Replaced module 781101 with Module 210118430</t>
  </si>
  <si>
    <t>Preventive Maintenence and Module Replacement</t>
  </si>
  <si>
    <t>Module 1 is available and ready to use while module 2 must be replaced.</t>
  </si>
  <si>
    <t>https://www.jotform.com/uploads/macarewecare/222927978372067/5933672368128025200/5933672368128025200_signature_28.png</t>
  </si>
  <si>
    <t>Shereemer Cheing-Ynawat</t>
  </si>
  <si>
    <t>https://www.jotform.com/uploads/macarewecare/222927978372067/5933672368128025200/5933672368128025200_signature_31.png</t>
  </si>
  <si>
    <t>Rizal Drive cor 32nd St., 5th Ave.Taguig</t>
  </si>
  <si>
    <t>None for unit installation.</t>
  </si>
  <si>
    <t>Performed unit installation..Performed functionality test.</t>
  </si>
  <si>
    <t>DR num 11546</t>
  </si>
  <si>
    <t>https://www.jotform.com/uploads/macarewecare/222927978372067/5933657863852569266/5933657863852569266_signature_28.png</t>
  </si>
  <si>
    <t>https://www.jotform.com/uploads/macarewecare/222927978372067/5933657863852569266/5933657863852569266_signature_31.png</t>
  </si>
  <si>
    <t>Brgy. Sn Miguel, Tarlac City</t>
  </si>
  <si>
    <t>https://www.jotform.com/uploads/macarewecare/222927978372067/5933638762609287368/5933638762609287368_signature_28.png</t>
  </si>
  <si>
    <t>Audrey Capiendo</t>
  </si>
  <si>
    <t>https://www.jotform.com/uploads/macarewecare/222927978372067/5933638762609287368/5933638762609287368_signature_31.png</t>
  </si>
  <si>
    <t>Tayug, Pangasinan</t>
  </si>
  <si>
    <t>epdhlaboratory@gmail.com</t>
  </si>
  <si>
    <t>https://www.jotform.com/uploads/macarewecare/222927978372067/5931163443453789340/5931163443453789340_signature_28.png</t>
  </si>
  <si>
    <t>https://www.jotform.com/uploads/macarewecare/222927978372067/5931163443453789340/5931163443453789340_signature_31.png</t>
  </si>
  <si>
    <t>Mapanas Rural Health Unit</t>
  </si>
  <si>
    <t>Mapanas Northern Samar</t>
  </si>
  <si>
    <t>redendelmonte5@gmail.com</t>
  </si>
  <si>
    <t>Module B2/787222 defective</t>
  </si>
  <si>
    <t>- Replaced module B2/787222 into 640942
- Performed preventive maintenance (Cleaned plunger rod, cartridge bay,l and Filter)
- Generate reports</t>
  </si>
  <si>
    <t>GX 6c SN/640942</t>
  </si>
  <si>
    <t>https://www.jotform.com/uploads/macarewecare/222927978372067/5933403461026136760/5933403461026136760_signature_28.png</t>
  </si>
  <si>
    <t>Reden B. Delmonte</t>
  </si>
  <si>
    <t>https://www.jotform.com/uploads/macarewecare/222927978372067/5933403461026136760/5933403461026136760_signature_31.png</t>
  </si>
  <si>
    <t xml:space="preserve">ASSAY: Xpert MTB/RIF Ultra, COUNT: 3113
</t>
  </si>
  <si>
    <t>Module 2 multiple error: 4004 and error: 2006</t>
  </si>
  <si>
    <t>Genexpert machine Cleaning 
Perform annual Xpertcheck/Calibration
Checking of errors 
Problem/errors reporting 
Data collection</t>
  </si>
  <si>
    <t>All modules passed the Xpertcheck/Calibration</t>
  </si>
  <si>
    <t>Lot #: 1001075092</t>
  </si>
  <si>
    <t>https://www.jotform.com/uploads/macarewecare/222927978372067/5933227467318561958/5933227467318561958_signature_28.png</t>
  </si>
  <si>
    <t>Hazyl Joy Quilla</t>
  </si>
  <si>
    <t>https://www.jotform.com/uploads/macarewecare/222927978372067/5933227467318561958/5933227467318561958_signature_31.png</t>
  </si>
  <si>
    <t>MAINTENANCE
Import additional Assay</t>
  </si>
  <si>
    <t xml:space="preserve">ASSAY: Xpert MTB/RIF Ultra, COUNT: 150
</t>
  </si>
  <si>
    <t>Module 1 for module placement 
UPS defective upon receiving</t>
  </si>
  <si>
    <t>Genexpert machine preventive maintenance 
Import HIV viral load Assay
Problem/errors Reporting
Data collection</t>
  </si>
  <si>
    <t>https://www.jotform.com/uploads/macarewecare/222927978372067/5933225494312727181/5933225494312727181_signature_28.png</t>
  </si>
  <si>
    <t>https://www.jotform.com/uploads/macarewecare/222927978372067/5933225494312727181/5933225494312727181_signature_31.png</t>
  </si>
  <si>
    <t>kchinky26@gmail.com</t>
  </si>
  <si>
    <t xml:space="preserve">ASSAY: Xpert MTB/RIF Ultra, COUNT: 404
</t>
  </si>
  <si>
    <t>-Perform preventive maintenance;
plunger rod, optic slot, fan filter, cartridge bay
-Archive test results
-Refresh enduser on maintenance procedures</t>
  </si>
  <si>
    <t>https://www.jotform.com/uploads/macarewecare/222927978372067/5933184379115887425/5933184379115887425_signature_28.png</t>
  </si>
  <si>
    <t>Ana Cariza V. Singson</t>
  </si>
  <si>
    <t>https://www.jotform.com/uploads/macarewecare/222927978372067/5933184379115887425/5933184379115887425_signature_31.png</t>
  </si>
  <si>
    <t>Concepcion Pequeña, Naga City</t>
  </si>
  <si>
    <t xml:space="preserve">ASSAY: Xpert CT/NG, COUNT: 4
ASSAY: Xpert HPV, COUNT: 1464
ASSAY: Xpert MTB/RIF Ultra, COUNT: 7398
ASSAY: Xpert SARS-CoV-2, COUNT: 1934
ASSAY: Xpert HIV-1 Viral Load, COUNT: 865
ASSAY: Others, COUNT: 182
</t>
  </si>
  <si>
    <t>GX16-6C</t>
  </si>
  <si>
    <t>GX16 for Calibration</t>
  </si>
  <si>
    <t>XpertCheck Result:
   A1/885370 - service required 
   A2/702996 - new module
   A3/807255 - passed
   A4/889656 - passed
   B1/210068158 - passed
   B2/669505 - new module
   B3/210013422 - new module
   B4/645181 - passed
   C1/693486 - passed
   C2/789699 - new module
   C3/652013 - passed
   C4/790018 - new module
   D1/909656 - new module
   D2/210092932 - passed
   D3/210006124 - new module
   D4/210092857 - passed</t>
  </si>
  <si>
    <t>https://www.jotform.com/uploads/macarewecare/222927978372067/5933059227021734506/5933059227021734506_signature_28.png</t>
  </si>
  <si>
    <t>Nathalie Grace Reamico</t>
  </si>
  <si>
    <t>https://www.jotform.com/uploads/macarewecare/222927978372067/5933059227021734506/5933059227021734506_signature_31.png</t>
  </si>
  <si>
    <t>Libmanan RHU ll</t>
  </si>
  <si>
    <t>San Isidro, Camarines Sur</t>
  </si>
  <si>
    <t>XpertCheck Result:
   B1/744281 - passed
   B2/916366 - new module 
   B3/693766 - passed
   B4/736878 - passed
Cleaned cartridge bays, plunger rod, icore</t>
  </si>
  <si>
    <t>https://www.jotform.com/uploads/macarewecare/222927978372067/5933041617022124096/5933041617022124096_signature_28.png</t>
  </si>
  <si>
    <t>https://www.jotform.com/uploads/macarewecare/222927978372067/5933041617022124096/5933041617022124096_signature_31.png</t>
  </si>
  <si>
    <t>Gamay Rural Health Unit</t>
  </si>
  <si>
    <t>Gamay Northern Samar</t>
  </si>
  <si>
    <t>zexuzahmpaul22@gmail.com</t>
  </si>
  <si>
    <t>teberioluz4@gmail.com</t>
  </si>
  <si>
    <t>unit for installation and Calibration</t>
  </si>
  <si>
    <t>Install Genexpert machine 
- Genexpert SN/807566
- CPU SN/2UA3481GQJ
- printer SN/505NTRL2F694
- UPS model RPT-1025AP</t>
  </si>
  <si>
    <t>Unit is operational 
- Module B2 service required</t>
  </si>
  <si>
    <t>https://www.jotform.com/uploads/macarewecare/222927978372067/5933026803649179209/5933026803649179209_signature_28.png</t>
  </si>
  <si>
    <t>Luz J. Teberio</t>
  </si>
  <si>
    <t>https://www.jotform.com/uploads/macarewecare/222927978372067/5933026803649179209/5933026803649179209_signature_31.png</t>
  </si>
  <si>
    <t>St Lukes Medical Center Global City</t>
  </si>
  <si>
    <t>32nd st.,cor 5tn ave,Rizal drive,Bonifacio Global City Taguig</t>
  </si>
  <si>
    <t>For maintenance and calibration</t>
  </si>
  <si>
    <t>https://www.jotform.com/uploads/macarewecare/222927978372067/5932939227026084207/5932939227026084207_signature_28.png</t>
  </si>
  <si>
    <t>https://www.jotform.com/uploads/macarewecare/222927978372067/5932939227026084207/5932939227026084207_signature_31.png</t>
  </si>
  <si>
    <t>Molino III City Health Unit</t>
  </si>
  <si>
    <t>Astro Drive, Sansan, Molino III, Bacoor, Cavite</t>
  </si>
  <si>
    <t>joanrnd@gmail.com</t>
  </si>
  <si>
    <t xml:space="preserve">ASSAY: Xpert MTB/RIF Ultra, COUNT: 1959
ASSAY: Xpert HIV-1 Viral Load, COUNT: 10
</t>
  </si>
  <si>
    <t>Module 3 with Temperature Error.</t>
  </si>
  <si>
    <t>Cleaned Cartridge Bay, Plunger Rod and Icore Optics.
Checked if Filter is Clogged.
Replaced Module 3.
Performed Self-test.
Generate Reports.</t>
  </si>
  <si>
    <t>https://www.jotform.com/uploads/macarewecare/222927978372067/5932890358318313414/5932890358318313414_signature_28.png</t>
  </si>
  <si>
    <t>Jonalyn Aranda</t>
  </si>
  <si>
    <t>https://www.jotform.com/uploads/macarewecare/222927978372067/5932890358318313414/5932890358318313414_signature_31.png</t>
  </si>
  <si>
    <t>Quirino Mermorial Medical Center</t>
  </si>
  <si>
    <t xml:space="preserve">ASSAY: Xpert CT/NG, COUNT: 21
ASSAY: Others, COUNT: 10
ASSAY: Xpert HIV-1 Viral Load, COUNT: 48
ASSAY: Xpert MTB/RIF Ultra, COUNT: 3710
ASSAY: Xpert HPV, COUNT: 13
</t>
  </si>
  <si>
    <t>Site visit for Data to Care</t>
  </si>
  <si>
    <t>Performed PM
Introduced Dr. Xavier to End User</t>
  </si>
  <si>
    <t>Data To care conducted interview to end user</t>
  </si>
  <si>
    <t>https://www.jotform.com/uploads/macarewecare/222927978372067/5932889785219334397/5932889785219334397_signature_28.png</t>
  </si>
  <si>
    <t>Carlo Palomera</t>
  </si>
  <si>
    <t>https://www.jotform.com/uploads/macarewecare/222927978372067/5932889785219334397/5932889785219334397_signature_31.png</t>
  </si>
  <si>
    <t>Stuck Cartidge at Module B1</t>
  </si>
  <si>
    <t>Remove the stuck cartidge at Module B1</t>
  </si>
  <si>
    <t>Perform Module Troubleshooting</t>
  </si>
  <si>
    <t>Successfully removed the Stuck Cartidge
All Modules are operational</t>
  </si>
  <si>
    <t>https://www.jotform.com/uploads/macarewecare/222927978372067/5932879332026631474/5932879332026631474_signature_28.png</t>
  </si>
  <si>
    <t>https://www.jotform.com/uploads/macarewecare/222927978372067/5932879332026631474/5932879332026631474_signature_31.png</t>
  </si>
  <si>
    <t>Purok 2, Brgy. Poblacion, Lianga</t>
  </si>
  <si>
    <t>GX-2 6 colors</t>
  </si>
  <si>
    <t>Service Required Module was reported to Cepheid</t>
  </si>
  <si>
    <t>Replacing Module B1 with SN: 210068498 with SN: 861624
XpertCheck Calibration of module B2
Preventive Maintenance</t>
  </si>
  <si>
    <t>https://www.jotform.com/uploads/macarewecare/222927978372067/5932878160919094125/5932878160919094125_signature_28.png</t>
  </si>
  <si>
    <t>https://www.jotform.com/uploads/macarewecare/222927978372067/5932878160919094125/5932878160919094125_signature_31.png</t>
  </si>
  <si>
    <t>Toril Health Center</t>
  </si>
  <si>
    <t>Toril, Davao City</t>
  </si>
  <si>
    <t>leabuelis@yahoo.com</t>
  </si>
  <si>
    <t xml:space="preserve">ASSAY: Xpert MTB/RIF Ultra, COUNT: 1734
</t>
  </si>
  <si>
    <t>Stuck cartidge on Module B2</t>
  </si>
  <si>
    <t>Remove the stuck cartidge on Module B2
Clean Surface Area, Cartridge Bay, Plunger Rod, Fan Filters and Icore Lenses
Generate IQR, Assay Stat, and System Log</t>
  </si>
  <si>
    <t>Successfully removed the cartidge
All Modules are Operational</t>
  </si>
  <si>
    <t>https://www.jotform.com/uploads/macarewecare/222927978372067/5932878142021387374/5932878142021387374_signature_28.png</t>
  </si>
  <si>
    <t>Lea Buelis RMT</t>
  </si>
  <si>
    <t>https://www.jotform.com/uploads/macarewecare/222927978372067/5932878142021387374/5932878142021387374_signature_31.png</t>
  </si>
  <si>
    <t>Taguig-Pateros District Hospitla</t>
  </si>
  <si>
    <t>East Service Road, Taguig</t>
  </si>
  <si>
    <t>kristinejane.kjd25@gmail.com</t>
  </si>
  <si>
    <t xml:space="preserve">ASSAY: Xpert MTB/RIF Ultra, COUNT: 3667
ASSAY: Xpert HIV-1 Viral Load, COUNT: 454
</t>
  </si>
  <si>
    <t>Module A2 for replacement.</t>
  </si>
  <si>
    <t>Performed maintenance 
Cleaned:
-cartridge bay 
-plunger rod 
-icore 
-filter 
Replaced module A2
Generated reports</t>
  </si>
  <si>
    <t>Old: A2/670055
New: A2/681512</t>
  </si>
  <si>
    <t>https://www.jotform.com/uploads/macarewecare/222927978372067/5932831804615823660/5932831804615823660_signature_28.png</t>
  </si>
  <si>
    <t>Kristine Jane Base</t>
  </si>
  <si>
    <t>https://www.jotform.com/uploads/macarewecare/222927978372067/5932831804615823660/5932831804615823660_signature_31.png</t>
  </si>
  <si>
    <t>Jordan Guimaras</t>
  </si>
  <si>
    <t>Save back up files and packed the old GeneXpert IV machine together with the accessories(UPS, Computer and Barcode Scanner) for pull-out. Installed also the MTB RIF Ultra and/MTB XDR Assays.</t>
  </si>
  <si>
    <t>Installed their new GeneXpert IV 10 color machine for MTB XDR under PBSP. Installed also their new printer and other accessories( UPS, Computer and Barcode Scanner).</t>
  </si>
  <si>
    <t>GeneXpert IV 10 color machine is in good condition together with the UPS, Computer, Printer and Barcode Scanner.</t>
  </si>
  <si>
    <t>https://www.jotform.com/uploads/macarewecare/222927978372067/5932814339815242637/5932814339815242637_signature_28.png</t>
  </si>
  <si>
    <t>Mylene G. Publico</t>
  </si>
  <si>
    <t>https://www.jotform.com/uploads/macarewecare/222927978372067/5932814339815242637/5932814339815242637_signature_31.png</t>
  </si>
  <si>
    <t>Gat Andres Bonifacio Memorial Medical Center</t>
  </si>
  <si>
    <t>Delpan St. Tondo Manila</t>
  </si>
  <si>
    <t>laboratory.gabmmc@gmail.com</t>
  </si>
  <si>
    <t>https://www.jotform.com/uploads/macarewecare/222927978372067/5932773499221898097/5932773499221898097_signature_28.png</t>
  </si>
  <si>
    <t>Shana Avila</t>
  </si>
  <si>
    <t>https://www.jotform.com/uploads/macarewecare/222927978372067/5932773499221898097/5932773499221898097_signature_31.png</t>
  </si>
  <si>
    <t xml:space="preserve">ASSAY: Xpert MTB/RIF Ultra, COUNT: 1805
ASSAY: Xpert HIV-1 Viral Load, COUNT: 8
</t>
  </si>
  <si>
    <t>https://www.jotform.com/uploads/macarewecare/222927978372067/5932698567024666910/5932698567024666910_signature_28.png</t>
  </si>
  <si>
    <t>Anthony Geronimo</t>
  </si>
  <si>
    <t>https://www.jotform.com/uploads/macarewecare/222927978372067/5932698567024666910/5932698567024666910_signature_31.png</t>
  </si>
  <si>
    <t xml:space="preserve">ASSAY: Xpert MTB/RIF Ultra, COUNT: 1801
ASSAY: Xpert HIV-1 Viral Load, COUNT: 8
</t>
  </si>
  <si>
    <t>C3 newly replaced
C1,C2,C4 passed xpertcheck</t>
  </si>
  <si>
    <t>https://www.jotform.com/uploads/macarewecare/222927978372067/5932698287024726457/5932698287024726457_signature_28.png</t>
  </si>
  <si>
    <t>https://www.jotform.com/uploads/macarewecare/222927978372067/5932698287024726457/5932698287024726457_signature_31.png</t>
  </si>
  <si>
    <t xml:space="preserve">ASSAY: Xpert MTB/RIF Ultra, COUNT: 6028
ASSAY: Xpert SARS-CoV-2, COUNT: 1397
ASSAY: Xpert HIV-1 Viral Load, COUNT: 1
ASSAY: Others, COUNT: 2
</t>
  </si>
  <si>
    <t>GX16 L</t>
  </si>
  <si>
    <t>https://www.jotform.com/uploads/macarewecare/222927978372067/5932697917024385705/5932697917024385705_signature_28.png</t>
  </si>
  <si>
    <t>https://www.jotform.com/uploads/macarewecare/222927978372067/5932697917024385705/5932697917024385705_signature_31.png</t>
  </si>
  <si>
    <t xml:space="preserve">ASSAY: Xpert MTB/RIF Ultra, COUNT: 84
ASSAY: Xpert SARS-CoV-2, COUNT: 9
</t>
  </si>
  <si>
    <t>D2,D3,D4 disabled error 5007
last Xpertcheck 6.30.21
Defective ups</t>
  </si>
  <si>
    <t>https://www.jotform.com/uploads/macarewecare/222927978372067/5932697677022216175/5932697677022216175_signature_28.png</t>
  </si>
  <si>
    <t>https://www.jotform.com/uploads/macarewecare/222927978372067/5932697677022216175/5932697677022216175_signature_31.png</t>
  </si>
  <si>
    <t xml:space="preserve">ASSAY: Xpert MTB/RIF Ultra, COUNT: 455
ASSAY: Xpert SARS-CoV-2, COUNT: 1323
ASSAY: Xpert HIV-1 Viral Load, COUNT: 25
ASSAY: Xpert HIV-1 Viral Load, COUNT: 106
ASSAY: Others, COUNT: 2
</t>
  </si>
  <si>
    <t>Due for maintenance,B4 module reported already</t>
  </si>
  <si>
    <t>3 modules operational</t>
  </si>
  <si>
    <t>https://www.jotform.com/uploads/macarewecare/222927978372067/5932697417026404476/5932697417026404476_signature_28.png</t>
  </si>
  <si>
    <t>https://www.jotform.com/uploads/macarewecare/222927978372067/5932697417026404476/5932697417026404476_signature_31.png</t>
  </si>
  <si>
    <t>Dalaguete City Health Office</t>
  </si>
  <si>
    <t>Poblacion, Dalaguete  Cebu</t>
  </si>
  <si>
    <t>ajreef5517@gmail.com</t>
  </si>
  <si>
    <t xml:space="preserve">ASSAY: Xpert MTB/RIF Ultra, COUNT: 1669
</t>
  </si>
  <si>
    <t>Due for calibration and  preventive maintenance of genexpert machine</t>
  </si>
  <si>
    <t>Conduct preventive maintenance of genexpert machine 
Clean Icore, plunger, valve, cartridge bay and filter
Generate IQR, System log, Assay Statistics Report and Gxx files
Need additional filter for genexpert machine</t>
  </si>
  <si>
    <t>Conduct preventive maintenance of genexpert machine 
Clean Icore, plunger, valve, cartridge bay and filter
Generate IQR, System log, Assay Statistics Report and Gxx files</t>
  </si>
  <si>
    <t>Module B1,B2 and B3 passed during calibration</t>
  </si>
  <si>
    <t>https://www.jotform.com/uploads/macarewecare/222927978372067/5932203541115222645/5932203541115222645_signature_28.png</t>
  </si>
  <si>
    <t>Allyza Rivera, RMT</t>
  </si>
  <si>
    <t>https://www.jotform.com/uploads/macarewecare/222927978372067/5932203541115222645/5932203541115222645_signature_31.png</t>
  </si>
  <si>
    <t>jhayrajaculbe@gmail.com</t>
  </si>
  <si>
    <t>Module 4 Serial Number 807289 Hardware failure.</t>
  </si>
  <si>
    <t>Calibrate module 4 
Clean up ICore, plunger, valve, cartridge bay , and filter.
Generate IQR, System log, GXX files, and Assay statistics</t>
  </si>
  <si>
    <t>Module 4 failed during calibration</t>
  </si>
  <si>
    <t>https://www.jotform.com/uploads/macarewecare/222927978372067/5932199901113287940/5932199901113287940_signature_28.png</t>
  </si>
  <si>
    <t>Jhayra Jaculbe, RMT</t>
  </si>
  <si>
    <t>https://www.jotform.com/uploads/macarewecare/222927978372067/5932199901113287940/5932199901113287940_signature_31.png</t>
  </si>
  <si>
    <t>MAYOR HILARION A RAMIRO SR MEDICAL CENTER</t>
  </si>
  <si>
    <t>Maningcol, Ozamiz-Oroquieta National Highway 7200 Ozamis City Misamis Occidental ·</t>
  </si>
  <si>
    <t>tyrosine.c@gmail.com</t>
  </si>
  <si>
    <t xml:space="preserve">ASSAY: Xpert MTB/RIF Ultra, COUNT: 1770
</t>
  </si>
  <si>
    <t>Calibrate module 1 Serial Number 660897</t>
  </si>
  <si>
    <t>Calibrate module 1 Serial Number 660897 
Need a separate room for genexpert machine alone to maintain room temperature</t>
  </si>
  <si>
    <t>Calibrate module 1 Serial Number 660897 
Clean ICore, plunger, and cartridge bay, and filter</t>
  </si>
  <si>
    <t>Module 1 passed during calibration.</t>
  </si>
  <si>
    <t>https://www.jotform.com/uploads/macarewecare/222927978372067/5932196641116177952/5932196641116177952_signature_28.png</t>
  </si>
  <si>
    <t>Don Felipe Jr. Saren, RMT</t>
  </si>
  <si>
    <t>https://www.jotform.com/uploads/macarewecare/222927978372067/5932196641116177952/5932196641116177952_signature_31.png</t>
  </si>
  <si>
    <t>Tangub City Health Office</t>
  </si>
  <si>
    <t>Poblacion, Tangub , Misamis Occidental</t>
  </si>
  <si>
    <t>chotangubcity@yahoo.com</t>
  </si>
  <si>
    <t>Defective B3 # 653356 and B4 #  695611</t>
  </si>
  <si>
    <t>Replaced B3 with new module Serial # 756860 and B4 Serial # 718097
Generate IQR, System Log, Gxx files archive, and Assay Statistics
Calibrate genexpert machine after module replacement</t>
  </si>
  <si>
    <t>All modules are operational
During Calibration Module B1 and B2 failed during calibration and need for replacement</t>
  </si>
  <si>
    <t>https://www.jotform.com/uploads/macarewecare/222927978372067/5932192281118905825/5932192281118905825_signature_28.png</t>
  </si>
  <si>
    <t>Vivian Malig-on</t>
  </si>
  <si>
    <t>https://www.jotform.com/uploads/macarewecare/222927978372067/5932192281118905825/5932192281118905825_signature_31.png</t>
  </si>
  <si>
    <t>comclimaco.mildred@yahoo.com</t>
  </si>
  <si>
    <t>Due for XpertCheck. 
Ups not charging</t>
  </si>
  <si>
    <t>Perform XpertCheck.</t>
  </si>
  <si>
    <t>Perform XpertCheck for the GeneXpert Machine.</t>
  </si>
  <si>
    <t>. Module B1, B2 passed for XpertCheck.
. Module B3 Sr.# 807124, B4 Sr.# 806389 failed for XpertCheck.</t>
  </si>
  <si>
    <t>Ups not charging not ok to use for GeneXpert Machine.</t>
  </si>
  <si>
    <t>https://www.jotform.com/uploads/macarewecare/222927978372067/5932069334267977711/5932069334267977711_signature_28.png</t>
  </si>
  <si>
    <t>https://www.jotform.com/uploads/macarewecare/222927978372067/5932069334267977711/5932069334267977711_signature_31.png</t>
  </si>
  <si>
    <t xml:space="preserve">ASSAY: Xpert CT/NG, COUNT: 2
ASSAY: Xpert MTB/RIF Ultra, COUNT: 839
</t>
  </si>
  <si>
    <t>Unit is operational and is in good condition</t>
  </si>
  <si>
    <t>https://www.jotform.com/uploads/macarewecare/222927978372067/5932057233618593664/5932057233618593664_signature_28.png</t>
  </si>
  <si>
    <t>Jasmin Lardizabal</t>
  </si>
  <si>
    <t>https://www.jotform.com/uploads/macarewecare/222927978372067/5932057233618593664/5932057233618593664_signature_31.png</t>
  </si>
  <si>
    <t>Unit is operational
A1: passed
A2: passed
A3: passed
A4: service required
A4 for reporting</t>
  </si>
  <si>
    <t>https://www.jotform.com/uploads/macarewecare/222927978372067/5932054063613731482/5932054063613731482_signature_28.png</t>
  </si>
  <si>
    <t>https://www.jotform.com/uploads/macarewecare/222927978372067/5932054063613731482/5932054063613731482_signature_31.png</t>
  </si>
  <si>
    <t xml:space="preserve">ASSAY: Xpert HBV VL, COUNT: 13
ASSAY: Xpert MTB/RIF Ultra, COUNT: 2361
ASSAY: Xpert HCV VL, COUNT: 26
ASSAY: Xpert HIV-1 Viral Load, COUNT: 568
</t>
  </si>
  <si>
    <t>Module B4 (210068588) for replacement</t>
  </si>
  <si>
    <t>Replaced B4</t>
  </si>
  <si>
    <t>- replaced module B4 by 784650
- checked and cleaned cartridge bay, plunger rod, filter 
- generated reports
- performed self test</t>
  </si>
  <si>
    <t>Unit is operational
Room temperature exceeds 35C
Unit is not recommended for use until proper air conditioning system is installed/repaired to prevent damage on GX</t>
  </si>
  <si>
    <t>GeneXpert Module 
SN: 784650</t>
  </si>
  <si>
    <t>https://www.jotform.com/uploads/macarewecare/222927978372067/5932053743611436921/5932053743611436921_signature_28.png</t>
  </si>
  <si>
    <t>https://www.jotform.com/uploads/macarewecare/222927978372067/5932053743611436921/5932053743611436921_signature_31.png</t>
  </si>
  <si>
    <t xml:space="preserve">ASSAY: Xpert MTB/RIF Ultra, COUNT: 1288
</t>
  </si>
  <si>
    <t>https://www.jotform.com/uploads/macarewecare/222927978372067/5932053743617328684/5932053743617328684_signature_28.png</t>
  </si>
  <si>
    <t>https://www.jotform.com/uploads/macarewecare/222927978372067/5932053743617328684/5932053743617328684_signature_31.png</t>
  </si>
  <si>
    <t xml:space="preserve">ASSAY: Xpert MTB/RIF Ultra, COUNT: 1120
</t>
  </si>
  <si>
    <t>https://www.jotform.com/uploads/macarewecare/222927978372067/5932053743619494614/5932053743619494614_signature_28.png</t>
  </si>
  <si>
    <t>https://www.jotform.com/uploads/macarewecare/222927978372067/5932053743619494614/5932053743619494614_signature_31.png</t>
  </si>
  <si>
    <t>Davao del Norte Provincial Hospital-Kapalong Zone</t>
  </si>
  <si>
    <t>Poblacion, Kapalong</t>
  </si>
  <si>
    <t>lot2salcedo@yahoo.com</t>
  </si>
  <si>
    <t xml:space="preserve">ASSAY: Xpert MTB/RIF Ultra, COUNT: 4464
</t>
  </si>
  <si>
    <t>Module C3 for Replacement
Due for Preventive Maintenance
Due for XpertCheck Calibration</t>
  </si>
  <si>
    <t>Replaced the Defective Module SN: 210062831 with new Module SN: 688263
Clean Surface Area, Cartridge Bay, Plunger Rod, Fan Filters and Icore Lenses
Generate IQR, Assay Stat and System Log
Run XpertCheck on Module C1, C2, C4</t>
  </si>
  <si>
    <t>Perform Module Replacement
Perform Preventive Maintenance
Perform Xpertcheck Calibration</t>
  </si>
  <si>
    <t>All Modules Passed the Calibration
Module C3 Skipped, new Module
Machine is Operational</t>
  </si>
  <si>
    <t>https://www.jotform.com/uploads/macarewecare/222927978372067/5932050172781678560/5932050172781678560_signature_28.png</t>
  </si>
  <si>
    <t>Leona S. Olila RMT</t>
  </si>
  <si>
    <t>https://www.jotform.com/uploads/macarewecare/222927978372067/5932050172781678560/5932050172781678560_signature_31.png</t>
  </si>
  <si>
    <t>ILOG RURAL HEALTH UNIT AND BIRTHING FACILITY</t>
  </si>
  <si>
    <t xml:space="preserve">ASSAY: Xpert MTB/RIF Ultra, COUNT: 1781
ASSAY: Xpert HIV-1 Viral Load, COUNT: 9
</t>
  </si>
  <si>
    <t>UPS Defective - No backup power during simulated power interruption.
   - UPS model:  5E-1100I-USBC
   - UPS SN:  PA64J48DE9
(GeneXpert, CPU and Monitor temporarily directly connected to wall outlet)</t>
  </si>
  <si>
    <t>- Install 6c unit
- End user training on operation, maintenance, troubleshooting.</t>
  </si>
  <si>
    <t>- All 4 modules are operational
- Defective UPS
- No AVR</t>
  </si>
  <si>
    <t>https://www.jotform.com/uploads/macarewecare/222927978372067/5931990026787365904/5931990026787365904_signature_28.png</t>
  </si>
  <si>
    <t>https://www.jotform.com/uploads/macarewecare/222927978372067/5931990026787365904/5931990026787365904_signature_31.png</t>
  </si>
  <si>
    <t>Kalayaan Rural Health Unit</t>
  </si>
  <si>
    <t>Kalayaan, Laguna</t>
  </si>
  <si>
    <t>rhukalayaanlab@gmaol.com</t>
  </si>
  <si>
    <t>For Bios battery replacement.</t>
  </si>
  <si>
    <t>Replaced CPU bios battery</t>
  </si>
  <si>
    <t>Replaced CPU bios battery
Performed maintenance 
Cleaned:
-cartridge bay 
-plunger rod
-icore
-filter
Generated reports</t>
  </si>
  <si>
    <t>https://www.jotform.com/uploads/macarewecare/222927978372067/5931841193618978286/5931841193618978286_signature_28.png</t>
  </si>
  <si>
    <t>Leslee Garcia</t>
  </si>
  <si>
    <t>https://www.jotform.com/uploads/macarewecare/222927978372067/5931841193618978286/5931841193618978286_signature_31.png</t>
  </si>
  <si>
    <t>J.P Rizal St. Baras, Rizal</t>
  </si>
  <si>
    <t>mesu.baras@gmail.com</t>
  </si>
  <si>
    <t>Performed maintenance 
Cleaned:
-cartridge bay 
-plunger rod 
-icore 
-filter 
Run XpertCheck
Generated reports</t>
  </si>
  <si>
    <t>Unit is operational. All modules operational. Modules B1, B2 and B3 passed. Module B4 newly replaced.</t>
  </si>
  <si>
    <t>https://www.jotform.com/uploads/macarewecare/222927978372067/5931841203612270921/5931841203612270921_signature_28.png</t>
  </si>
  <si>
    <t>MICHELLE MENDOZA-AVELA</t>
  </si>
  <si>
    <t>https://www.jotform.com/uploads/macarewecare/222927978372067/5931841203612270921/5931841203612270921_signature_31.png</t>
  </si>
  <si>
    <t xml:space="preserve">ASSAY: Xpert MTB/RIF Ultra, COUNT: 735
</t>
  </si>
  <si>
    <t>- Unit is partially operational 
- Module B1 (808218) For Reporting</t>
  </si>
  <si>
    <t>https://www.jotform.com/uploads/macarewecare/222927978372067/5931165453455841316/5931165453455841316_signature_28.png</t>
  </si>
  <si>
    <t>https://www.jotform.com/uploads/macarewecare/222927978372067/5931165453455841316/5931165453455841316_signature_31.png</t>
  </si>
  <si>
    <t>Lingayen Rural Health Unit</t>
  </si>
  <si>
    <t>Domalandan Ceter, Lingayen, Pang</t>
  </si>
  <si>
    <t>- Unit is Partially Operational 
- Module B1 (784881) and B2 (785081) failed XpertCheck; For Reporting 
- Module B3 and B4 passed XpertCheck</t>
  </si>
  <si>
    <t>https://www.jotform.com/uploads/macarewecare/222927978372067/5931164573456209200/5931164573456209200_signature_28.png</t>
  </si>
  <si>
    <t>https://www.jotform.com/uploads/macarewecare/222927978372067/5931164573456209200/5931164573456209200_signature_31.png</t>
  </si>
  <si>
    <t>Bical Norte, Bayambang, Pangasinan</t>
  </si>
  <si>
    <t xml:space="preserve">ASSAY: Xpert MTB/RIF Ultra, COUNT: 1468
</t>
  </si>
  <si>
    <t>https://www.jotform.com/uploads/macarewecare/222927978372067/5931161453451888891/5931161453451888891_signature_28.png</t>
  </si>
  <si>
    <t>Beverly Neri</t>
  </si>
  <si>
    <t>https://www.jotform.com/uploads/macarewecare/222927978372067/5931161453451888891/5931161453451888891_signature_31.png</t>
  </si>
  <si>
    <t>https://www.jotform.com/uploads/macarewecare/222927978372067/5931018182518446190/5931018182518446190_signature_28.png</t>
  </si>
  <si>
    <t>https://www.jotform.com/uploads/macarewecare/222927978372067/5931018182518446190/5931018182518446190_signature_31.png</t>
  </si>
  <si>
    <t>Davao Oriental Provincial Medical Center</t>
  </si>
  <si>
    <t>National Highway, Mati City</t>
  </si>
  <si>
    <t>ofeliamendiola3@gmail.com</t>
  </si>
  <si>
    <t xml:space="preserve">ASSAY: Xpert MTB/RIF Ultra, COUNT: 1482
</t>
  </si>
  <si>
    <t>https://www.jotform.com/uploads/macarewecare/222927978372067/5930422803719582687/5930422803719582687_signature_28.png</t>
  </si>
  <si>
    <t>Ofelia Mendiola, RMT</t>
  </si>
  <si>
    <t>https://www.jotform.com/uploads/macarewecare/222927978372067/5930422803719582687/5930422803719582687_signature_31.png</t>
  </si>
  <si>
    <t>Poblacion, Tampakan,  South Cotabato</t>
  </si>
  <si>
    <t xml:space="preserve">ASSAY: Xpert MTB/RIF Ultra, COUNT: 845
</t>
  </si>
  <si>
    <t>Module 3 waiting for replacement module</t>
  </si>
  <si>
    <t>Genexpert machine Cleaning 
Checking of errors 
Problem reporting 
Data collection</t>
  </si>
  <si>
    <t>https://www.jotform.com/uploads/macarewecare/222927978372067/5929503424314057369/5929503424314057369_signature_28.png</t>
  </si>
  <si>
    <t>https://www.jotform.com/uploads/macarewecare/222927978372067/5929503424314057369/5929503424314057369_signature_31.png</t>
  </si>
  <si>
    <t>Victorias CHO</t>
  </si>
  <si>
    <t>Victorias city, negros occidental</t>
  </si>
  <si>
    <t>daymin899@gmail.com</t>
  </si>
  <si>
    <t>vincent_llamoleonor@yahoo.com</t>
  </si>
  <si>
    <t>Xpertcheck B1,B2 Service require
B3,B4 passed
Perform xpertcheck
Clean fan filter</t>
  </si>
  <si>
    <t>Xpertcheck B1,B2 Service require
B3,B4 passed</t>
  </si>
  <si>
    <t>Need for module replacement B1 and B2</t>
  </si>
  <si>
    <t>https://www.jotform.com/uploads/macarewecare/222927978372067/5929408260515736125/5929408260515736125_signature_28.png</t>
  </si>
  <si>
    <t>Vincent Leonor</t>
  </si>
  <si>
    <t>https://www.jotform.com/uploads/macarewecare/222927978372067/5929408260515736125/5929408260515736125_signature_31.png</t>
  </si>
  <si>
    <t>MATI CITY HEALTH OFFICE</t>
  </si>
  <si>
    <t>Mati Davao Oriental</t>
  </si>
  <si>
    <t>jaslimjay@gmail.com</t>
  </si>
  <si>
    <t xml:space="preserve">ASSAY: Xpert MTB/RIF Ultra, COUNT: 1020
</t>
  </si>
  <si>
    <t>FOR MODULE B1 REPLACEMENT</t>
  </si>
  <si>
    <t>-PERFORM CLEANING OF GENEXPERT EQUIPMENT AND WORKSTATION
-PERFORM PREVENTIVE MAINTENANCE
-PERFORM MODULE B1 REPLACEMENT:
DEF SN: 210068172 WITH NEW SN: 683668
-PERFORM MODULE B2 CALIBRATION, PASSED</t>
  </si>
  <si>
    <t>https://www.jotform.com/uploads/macarewecare/222927978372067/5929377462966231198/5929377462966231198_signature_28.png</t>
  </si>
  <si>
    <t>JASPER JAY LIM</t>
  </si>
  <si>
    <t>https://www.jotform.com/uploads/macarewecare/222927978372067/5929377462966231198/5929377462966231198_signature_31.png</t>
  </si>
  <si>
    <t>Surigao del Norte Provincial Hospital</t>
  </si>
  <si>
    <t>National Highway, Sta. Cruz, Bad-as, Placer</t>
  </si>
  <si>
    <t>biyoyojayl@gmail.com</t>
  </si>
  <si>
    <t>Preventive Maintenance
Troubleshooting
Data Collection</t>
  </si>
  <si>
    <t>3 modules working, 1 modules for replacment</t>
  </si>
  <si>
    <t>https://www.jotform.com/uploads/macarewecare/222927978372067/5929357939428067113/5929357939428067113_signature_28.png</t>
  </si>
  <si>
    <t>Jay Biyoyo</t>
  </si>
  <si>
    <t>https://www.jotform.com/uploads/macarewecare/222927978372067/5929357939428067113/5929357939428067113_signature_31.png</t>
  </si>
  <si>
    <t>Orani Rural Health Unit</t>
  </si>
  <si>
    <t>Orani Bataan</t>
  </si>
  <si>
    <t>oranirhu@yahoo.com</t>
  </si>
  <si>
    <t>A3:757003 for module replacement</t>
  </si>
  <si>
    <t>Unit is operational 
A3:635093 new module</t>
  </si>
  <si>
    <t>https://www.jotform.com/uploads/macarewecare/222927978372067/5929353921011895733/5929353921011895733_signature_28.png</t>
  </si>
  <si>
    <t>Belinda Guinto</t>
  </si>
  <si>
    <t>https://www.jotform.com/uploads/macarewecare/222927978372067/5929353921011895733/5929353921011895733_signature_31.png</t>
  </si>
  <si>
    <t>Preventive maintenance. 
UPS Defective date Septem 26,2023</t>
  </si>
  <si>
    <t>. Clean plunger rod.
. Clean filter
. Save System Log file
. Save Installation Qualification Report</t>
  </si>
  <si>
    <t>. All modules are functional ok to use
. GeneXpert Machine not connected in UPS directly to 220V outlet.</t>
  </si>
  <si>
    <t>https://www.jotform.com/uploads/macarewecare/222927978372067/5929278419614027459/5929278419614027459_signature_28.png</t>
  </si>
  <si>
    <t>https://www.jotform.com/uploads/macarewecare/222927978372067/5929278419614027459/5929278419614027459_signature_31.png</t>
  </si>
  <si>
    <t>Honorio Lopez Blvd, Tondo, Manila</t>
  </si>
  <si>
    <t xml:space="preserve">ASSAY: Xpert HPV, COUNT: 13
ASSAY: Xpert MTB/RIF Ultra, COUNT: 393
ASSAY: Xpert SARS-CoV-2, COUNT: 47
</t>
  </si>
  <si>
    <t>GX XVI 6C-D</t>
  </si>
  <si>
    <t>Troubleshoot CPU
Troubleshoot GXIV
Performed PM</t>
  </si>
  <si>
    <t>Checked CPU
CPU beeps 
Tightened RAM 
Tightened SSD
Problem persists
Swapped GX XVI and GX IV's position temporarily 
1 GX IV with power but not detected by software
Tightened gateway board and power supply
Gx IV detected, problem solved 
Performed PM
Generated report
Generated report</t>
  </si>
  <si>
    <t>GX units working but 1 CPU for reporting</t>
  </si>
  <si>
    <t>https://www.jotform.com/uploads/macarewecare/222927978372067/5928764101712007559/5928764101712007559_signature_28.png</t>
  </si>
  <si>
    <t>Analyn N.Facto</t>
  </si>
  <si>
    <t>https://www.jotform.com/uploads/macarewecare/222927978372067/5928764101712007559/5928764101712007559_signature_31.png</t>
  </si>
  <si>
    <t>M. Icasiano Health Center</t>
  </si>
  <si>
    <t>Plaza Hugo St., Sta. Ana, Manila</t>
  </si>
  <si>
    <t>fabroslorrainelucila@gmail.com</t>
  </si>
  <si>
    <t>Checked and cleaned cartridge bays, plunger rod, icore slot and filter 
Performed Reliability test
All modules passed
Generated report</t>
  </si>
  <si>
    <t>https://www.jotform.com/uploads/macarewecare/222927978372067/5928663388125204200/5928663388125204200_signature_28.png</t>
  </si>
  <si>
    <t>Lorraine Lucila L.Fabros</t>
  </si>
  <si>
    <t>https://www.jotform.com/uploads/macarewecare/222927978372067/5928663388125204200/5928663388125204200_signature_31.png</t>
  </si>
  <si>
    <t>JP Laurel, Davao City</t>
  </si>
  <si>
    <t>ICU2</t>
  </si>
  <si>
    <t>Centrifuge related problem</t>
  </si>
  <si>
    <t>Reset connections
Flush the centrifuge to check if there is blockage</t>
  </si>
  <si>
    <t>Perform Machine Troubleshooting
Perform board isolation and power supply isolation</t>
  </si>
  <si>
    <t>For Centrifuge problem isolation</t>
  </si>
  <si>
    <t>https://www.jotform.com/uploads/macarewecare/222927978372067/5928662078416356857/5928662078416356857_signature_28.png</t>
  </si>
  <si>
    <t>Dianne Karla de Leon</t>
  </si>
  <si>
    <t>https://www.jotform.com/uploads/macarewecare/222927978372067/5928662078416356857/5928662078416356857_signature_31.png</t>
  </si>
  <si>
    <t xml:space="preserve">ASSAY: Xpert MTB/RIF Ultra, COUNT: 846
</t>
  </si>
  <si>
    <t>Modules B2, B3 and B4 for Replacement 
Unit due for calibration</t>
  </si>
  <si>
    <t>Perfoemed PM
Replaced Modules 
B2: 210100154 -&gt; 210039590
B3: 885647 -&gt; 210062452
B4: 705885 -&gt; 210062519
Performed Xpertcheck on B1</t>
  </si>
  <si>
    <t>Checked and cleaned cartridge bays, plunger rod, icore slot, and filter 
Replaced modules B2, B3 and B4
Performed Xpertcheck on B1
Generated report</t>
  </si>
  <si>
    <t>Unit is operational 
All modules working
Filter for replacement</t>
  </si>
  <si>
    <t>3 GX Modules 6C 
XpertCheck Kit</t>
  </si>
  <si>
    <t>PL 0158861</t>
  </si>
  <si>
    <t>https://www.jotform.com/uploads/macarewecare/222927978372067/5928643778128048715/5928643778128048715_signature_28.png</t>
  </si>
  <si>
    <t>https://www.jotform.com/uploads/macarewecare/222927978372067/5928643778128048715/5928643778128048715_signature_31.png</t>
  </si>
  <si>
    <t xml:space="preserve">ASSAY: Xpert MTB/RIF Ultra, COUNT: 349
</t>
  </si>
  <si>
    <t>Due for XpertCheck</t>
  </si>
  <si>
    <t>All modules passed calibration and are functional.</t>
  </si>
  <si>
    <t>https://www.jotform.com/uploads/macarewecare/222927978372067/5928615851132549600/5928615851132549600_signature_28.png</t>
  </si>
  <si>
    <t>https://www.jotform.com/uploads/macarewecare/222927978372067/5928615851132549600/5928615851132549600_signature_31.png</t>
  </si>
  <si>
    <t>Brgy. Escolta, Dinagat, Dinagat Islands</t>
  </si>
  <si>
    <t>Installation of New GeneXpert 4 Modules 10 Colors and peripherals.
Dissambling Old GeneXpert 4 6 Colors and Repacked</t>
  </si>
  <si>
    <t>All modules are functional.
CPU and monitor are working
Printer is working
Barcode Scanner is working
UPS not working. (Using old UPS)</t>
  </si>
  <si>
    <t>https://www.jotform.com/uploads/macarewecare/222927978372067/5928611566698265786/5928611566698265786_signature_28.png</t>
  </si>
  <si>
    <t>Idhona N. Tillo, RMT</t>
  </si>
  <si>
    <t>https://www.jotform.com/uploads/macarewecare/222927978372067/5928611566698265786/5928611566698265786_signature_31.png</t>
  </si>
  <si>
    <t>Defective module A1 606944</t>
  </si>
  <si>
    <t>New module installed Sn 210006956
New installation location Silay City Health Office
Gathering data IQR, System log
Clean Fan Filter and Fan</t>
  </si>
  <si>
    <t>https://www.jotform.com/uploads/macarewecare/222927978372067/5928597325834393933/5928597325834393933_signature_28.png</t>
  </si>
  <si>
    <t>David dior gutierrez</t>
  </si>
  <si>
    <t>https://www.jotform.com/uploads/macarewecare/222927978372067/5928597325834393933/5928597325834393933_signature_31.png</t>
  </si>
  <si>
    <t>A. Mabini St., Caloocan City</t>
  </si>
  <si>
    <t xml:space="preserve">ASSAY: Xpert MTB/RIF Ultra, COUNT: 2251
ASSAY: Xpert HIV-1 Viral Load, COUNT: 141
ASSAY: Xpert HIV-1 Viral Load, COUNT: 335
</t>
  </si>
  <si>
    <t>805271, 814154</t>
  </si>
  <si>
    <t>Unite due for calibration</t>
  </si>
  <si>
    <t>Performed PM
Performed Xpertcheck</t>
  </si>
  <si>
    <t>Checked and cleaned cartridge bays, plunger rod, icore slot and filter
Performed Xpertcheck 
Modules A2, A3 and B1 Service required
B2 lost comm, lack of cartridge 
Generated report</t>
  </si>
  <si>
    <t>Unit is operational 
A1: Passed
A2: Service required 
A3: Service required 
A4: New Module
B1: Service required 
B2: Lost comm needs XpertCheck kit
B3: Passed
B4: Passed</t>
  </si>
  <si>
    <t>PL 015858</t>
  </si>
  <si>
    <t>https://www.jotform.com/uploads/macarewecare/222927978372067/5928543869325025117/5928543869325025117_signature_28.png</t>
  </si>
  <si>
    <t>Maricris Name</t>
  </si>
  <si>
    <t>https://www.jotform.com/uploads/macarewecare/222927978372067/5928543869325025117/5928543869325025117_signature_31.png</t>
  </si>
  <si>
    <t>Caloocan City Health Office 10C</t>
  </si>
  <si>
    <t>10C unit due for Installation 
6C unit for packing</t>
  </si>
  <si>
    <t>Setup and installed 10C machine
Packed 6C machine</t>
  </si>
  <si>
    <t>Unpacked 10C machine
Setup GX and accessories 
Changed time
Setup user admin
Setup system config
Packed 6C unit
Generated report</t>
  </si>
  <si>
    <t>GX 10C
Intex UPS
HP Printer</t>
  </si>
  <si>
    <t>DR 48548</t>
  </si>
  <si>
    <t>https://www.jotform.com/uploads/macarewecare/222927978372067/5928525169327907524/5928525169327907524_signature_28.png</t>
  </si>
  <si>
    <t>https://www.jotform.com/uploads/macarewecare/222927978372067/5928525169327907524/5928525169327907524_signature_31.png</t>
  </si>
  <si>
    <t>gallegojennybelle@gmail.com</t>
  </si>
  <si>
    <t xml:space="preserve">ASSAY: Xpert MTB/RIF Ultra, COUNT: 1149
ASSAY: Xpert HIV-1 Viral Load, COUNT: 325
</t>
  </si>
  <si>
    <t>Their concerns is not with the GeneXpert machine but with their UPS(Uninterrupted Power Supply) battery cannot sustain anymore supply of power during brown out or fluctuation of electricity in the area.</t>
  </si>
  <si>
    <t>Conduct PM and save files.</t>
  </si>
  <si>
    <t>Conduct troubleshooting and suggested to request for a higher capacity of UPS and AVR to 2KVA or higher.</t>
  </si>
  <si>
    <t>GeneXpert Machine modules are in good conditions.</t>
  </si>
  <si>
    <t>https://www.jotform.com/uploads/macarewecare/222927978372067/5928451435614423076/5928451435614423076_signature_28.png</t>
  </si>
  <si>
    <t>Jennybell Gallego</t>
  </si>
  <si>
    <t>https://www.jotform.com/uploads/macarewecare/222927978372067/5928451435614423076/5928451435614423076_signature_31.png</t>
  </si>
  <si>
    <t>Modules have 5007 Errors.</t>
  </si>
  <si>
    <t>Cleaned Cartridge Bay, Plunger Rod, and Icore Optics.
Checked Filter if Clogged.
Performed Self-test.
Performed Reliability Test.
Generate Reports.</t>
  </si>
  <si>
    <t>https://www.jotform.com/uploads/macarewecare/222927978372067/5928444353848178303/5928444353848178303_signature_28.png</t>
  </si>
  <si>
    <t>https://www.jotform.com/uploads/macarewecare/222927978372067/5928444353848178303/5928444353848178303_signature_31.png</t>
  </si>
  <si>
    <t>Poblacion Liloan, Cebu</t>
  </si>
  <si>
    <t>Damaged Fan Filter
Room area cold temp is not enough for genexpert machine</t>
  </si>
  <si>
    <t>Clean fan filter
Plunger rod maintenance
Gathering data of genexpert machine</t>
  </si>
  <si>
    <t>Systems operational/rooam area cold temperature is not enough</t>
  </si>
  <si>
    <t>https://www.jotform.com/uploads/macarewecare/222927978372067/5928051140815575587/5928051140815575587_signature_28.png</t>
  </si>
  <si>
    <t>Vick P. Cabahug</t>
  </si>
  <si>
    <t>https://www.jotform.com/uploads/macarewecare/222927978372067/5928051140815575587/5928051140815575587_signature_31.png</t>
  </si>
  <si>
    <t>Mabalacat Rural Health Unit</t>
  </si>
  <si>
    <t>Old Municipal Hall Mac Arthur Highway, Poblacion Mabalacat City Pampanga</t>
  </si>
  <si>
    <t>perezriyadh@gmail.com</t>
  </si>
  <si>
    <t xml:space="preserve">ASSAY: Xpert MTB/RIF Ultra, COUNT: 1138
ASSAY: Xpert HIV-1 Viral Load, COUNT: 49
ASSAY: Xpert HIV-1 Viral Load, COUNT: 24
</t>
  </si>
  <si>
    <t>B2:715593 for module replacement</t>
  </si>
  <si>
    <t>Unit is operational 
B2:635095 new module</t>
  </si>
  <si>
    <t>https://www.jotform.com/uploads/macarewecare/222927978372067/5927811803694878316/5927811803694878316_signature_28.png</t>
  </si>
  <si>
    <t>Riyadh Perez</t>
  </si>
  <si>
    <t>https://www.jotform.com/uploads/macarewecare/222927978372067/5927811803694878316/5927811803694878316_signature_31.png</t>
  </si>
  <si>
    <t>Kalebo Aklan</t>
  </si>
  <si>
    <t>delfinteodia@yahoo.com</t>
  </si>
  <si>
    <t>New Installation for 10c GeneXpert Machine</t>
  </si>
  <si>
    <t>Install GeneXpert System.</t>
  </si>
  <si>
    <t>. Install GeneXpert Machine.
. Install CPU
. Install LCD Monitor
. Install HP printer</t>
  </si>
  <si>
    <t>New UPS not charging not ok to use.</t>
  </si>
  <si>
    <t>https://www.jotform.com/uploads/macarewecare/222927978372067/5927801052969061099/5927801052969061099_signature_28.png</t>
  </si>
  <si>
    <t>Teodia P. Delfin</t>
  </si>
  <si>
    <t>https://www.jotform.com/uploads/macarewecare/222927978372067/5927801052969061099/5927801052969061099_signature_31.png</t>
  </si>
  <si>
    <t>Caraga TB Reference Laboratory</t>
  </si>
  <si>
    <t>Rizal St. Brgy. Washington, Surigao City</t>
  </si>
  <si>
    <t>abpabellan.pbsp@gmail.com</t>
  </si>
  <si>
    <t>Preventive Maintenance.
XpertCheck Calibration</t>
  </si>
  <si>
    <t>All modules and units and functional
All modules passed in XPC Calibration</t>
  </si>
  <si>
    <t>https://www.jotform.com/uploads/macarewecare/222927978372067/5927793351215595839/5927793351215595839_signature_28.png</t>
  </si>
  <si>
    <t>Andrew B. Pabellan</t>
  </si>
  <si>
    <t>https://www.jotform.com/uploads/macarewecare/222927978372067/5927793351215595839/5927793351215595839_signature_31.png</t>
  </si>
  <si>
    <t>Pagsanjan Rural Health Unit</t>
  </si>
  <si>
    <t>Pagsanjan, Laguna</t>
  </si>
  <si>
    <t>dotspagsanjan@gmail.com</t>
  </si>
  <si>
    <t xml:space="preserve">ASSAY: Xpert MTB/RIF Ultra, COUNT: 545
ASSAY: Xpert HIV-1 Viral Load, COUNT: 174
</t>
  </si>
  <si>
    <t>GeneXpert system for packing</t>
  </si>
  <si>
    <t>Performed maintenance 
Cleaned:
-cartridge bay 
-plunger rod 
-icore 
-filter
Generated reports 
Packed the GeneXpert system:
-GeneXpert unit 
-Workstation 
-Printer
-Barcode scanner with stand 
-UPS</t>
  </si>
  <si>
    <t>Unit is operational. UPS operational but has no backup power, recommend to replace.</t>
  </si>
  <si>
    <t>https://www.jotform.com/uploads/macarewecare/222927978372067/5927775913487989562/5927775913487989562_signature_28.png</t>
  </si>
  <si>
    <t>Lei Arnie Abrigo</t>
  </si>
  <si>
    <t>https://www.jotform.com/uploads/macarewecare/222927978372067/5927775913487989562/5927775913487989562_signature_31.png</t>
  </si>
  <si>
    <t>iamleiarnie@gmail.com</t>
  </si>
  <si>
    <t xml:space="preserve">ASSAY: Xpert MTB/RIF Ultra, COUNT: 229
ASSAY: Xpert HIV-1 Viral Load, COUNT: 49
</t>
  </si>
  <si>
    <t>https://www.jotform.com/uploads/macarewecare/222927978372067/5927775903485371358/5927775903485371358_signature_28.png</t>
  </si>
  <si>
    <t>https://www.jotform.com/uploads/macarewecare/222927978372067/5927775903485371358/5927775903485371358_signature_31.png</t>
  </si>
  <si>
    <t>https://www.jotform.com/uploads/macarewecare/222927978372067/5927759400526549771/5927759400526549771_signature_28.png</t>
  </si>
  <si>
    <t>https://www.jotform.com/uploads/macarewecare/222927978372067/5927759400526549771/5927759400526549771_signature_31.png</t>
  </si>
  <si>
    <t xml:space="preserve">ASSAY: Xpert MTB/RIF Ultra, COUNT: 880
ASSAY: Xpert SARS-CoV-2, COUNT: 76
</t>
  </si>
  <si>
    <t>https://www.jotform.com/uploads/macarewecare/222927978372067/5927748840525610883/5927748840525610883_signature_28.png</t>
  </si>
  <si>
    <t>https://www.jotform.com/uploads/macarewecare/222927978372067/5927748840525610883/5927748840525610883_signature_31.png</t>
  </si>
  <si>
    <t>https://www.jotform.com/uploads/macarewecare/222927978372067/5927741080521409278/5927741080521409278_signature_28.png</t>
  </si>
  <si>
    <t>https://www.jotform.com/uploads/macarewecare/222927978372067/5927741080521409278/5927741080521409278_signature_31.png</t>
  </si>
  <si>
    <t>Pio Valenzuela St. Sta. Cruz, Laguna</t>
  </si>
  <si>
    <t>jezzaleal@gmail.com</t>
  </si>
  <si>
    <t xml:space="preserve">ASSAY: Xpert MTB/RIF Ultra, COUNT: 1462
</t>
  </si>
  <si>
    <t>Module D2 for replacement</t>
  </si>
  <si>
    <t>Replaced module D2</t>
  </si>
  <si>
    <t>Performed maintenance 
Cleaned:
-cartridge bay 
-plunger rod 
-icore
-filter
Replaced module D2
Generated reports</t>
  </si>
  <si>
    <t>Old: D2/722095
New: D2/883154</t>
  </si>
  <si>
    <t>https://www.jotform.com/uploads/macarewecare/222927978372067/5927724869326118407/5927724869326118407_signature_28.png</t>
  </si>
  <si>
    <t>Jezza N. Van patten</t>
  </si>
  <si>
    <t>https://www.jotform.com/uploads/macarewecare/222927978372067/5927724869326118407/5927724869326118407_signature_31.png</t>
  </si>
  <si>
    <t>A.H. Lacson Health Center</t>
  </si>
  <si>
    <t>dinajaen1990@yahoo.com</t>
  </si>
  <si>
    <t xml:space="preserve">ASSAY: Xpert MTB/RIF Ultra, COUNT: 4140
</t>
  </si>
  <si>
    <t>Unit is operational
A1: passed
A2: passed
A3: passed
A4: service required 
B1: passed
B2: passed
B3: passed
B4: passed
C1: passed
C2: passed
C3: service required 
C4: passed
D1: passed
D2: service required
D3: passed
D4: passed</t>
  </si>
  <si>
    <t>https://www.jotform.com/uploads/macarewecare/222927978372067/5927682955815106113/5927682955815106113_signature_28.png</t>
  </si>
  <si>
    <t>Dina Jaen</t>
  </si>
  <si>
    <t>https://www.jotform.com/uploads/macarewecare/222927978372067/5927682955815106113/5927682955815106113_signature_31.png</t>
  </si>
  <si>
    <t>Unit is operational
A1: service required
A2: passed
A3: passed
A4: passed</t>
  </si>
  <si>
    <t>https://www.jotform.com/uploads/macarewecare/222927978372067/5927682955815961355/5927682955815961355_signature_28.png</t>
  </si>
  <si>
    <t>https://www.jotform.com/uploads/macarewecare/222927978372067/5927682955815961355/5927682955815961355_signature_31.png</t>
  </si>
  <si>
    <t>Rosario Batangas</t>
  </si>
  <si>
    <t>Unit for PM.
For module replacement of module A3.</t>
  </si>
  <si>
    <t>GX module A3 (797805) in replacement to defective A3 (783674).</t>
  </si>
  <si>
    <t>https://www.jotform.com/uploads/macarewecare/222927978372067/5927667036517431234/5927667036517431234_signature_28.png</t>
  </si>
  <si>
    <t>Liberty Ilagan Yutuc</t>
  </si>
  <si>
    <t>https://www.jotform.com/uploads/macarewecare/222927978372067/5927667036517431234/5927667036517431234_signature_31.png</t>
  </si>
  <si>
    <t>https://www.jotform.com/uploads/macarewecare/222927978372067/5927667036516912737/5927667036516912737_signature_28.png</t>
  </si>
  <si>
    <t>https://www.jotform.com/uploads/macarewecare/222927978372067/5927667036516912737/5927667036516912737_signature_31.png</t>
  </si>
  <si>
    <t>Gov. Benjamin T. Romualdez General Hospital and Schistosomiasis Center</t>
  </si>
  <si>
    <t>Palo, Leyte</t>
  </si>
  <si>
    <t>mbesplago.pbsp@gmail.com</t>
  </si>
  <si>
    <t xml:space="preserve">ASSAY: Xpert MTB/RIF, COUNT: 12
ASSAY: Xpert MTB/RIF Ultra, COUNT: 2595
</t>
  </si>
  <si>
    <t>GXIV R1</t>
  </si>
  <si>
    <t>-Replaced defective module B4/615648 with module SN: 210035570
-Run XpertCheck on all three modules</t>
  </si>
  <si>
    <t>All modules are functional. Modules passed XpertCheck.</t>
  </si>
  <si>
    <t>900-0491RS GeneXpert 6-Color Module</t>
  </si>
  <si>
    <t>https://www.jotform.com/uploads/macarewecare/222927978372067/5927655173485513452/5927655173485513452_signature_28.png</t>
  </si>
  <si>
    <t>Maria Chrissa Villaflor</t>
  </si>
  <si>
    <t>https://www.jotform.com/uploads/macarewecare/222927978372067/5927655173485513452/5927655173485513452_signature_31.png</t>
  </si>
  <si>
    <t xml:space="preserve">ASSAY: Xpert CT/NG, COUNT: 22
ASSAY: Others, COUNT: 10
ASSAY: Xpert HPV, COUNT: 10
ASSAY: Xpert MTB/RIF Ultra, COUNT: 3705
ASSAY: Xpert HIV-1 Viral Load, COUNT: 49
</t>
  </si>
  <si>
    <t>Performed Preventive maintenance 
Performed Reliability test</t>
  </si>
  <si>
    <t>Checked and cleaned cartridge bays, plunger rod, icore slot, and filter 
Performed reliability test
module B3 many errors, for reporting 
Disabled module B3
Generated report</t>
  </si>
  <si>
    <t>Unit is operational 
Module B3 for reporting</t>
  </si>
  <si>
    <t>https://www.jotform.com/uploads/macarewecare/222927978372067/5927643312124050316/5927643312124050316_signature_28.png</t>
  </si>
  <si>
    <t>carlo palomera</t>
  </si>
  <si>
    <t>https://www.jotform.com/uploads/macarewecare/222927978372067/5927643312124050316/5927643312124050316_signature_31.png</t>
  </si>
  <si>
    <t>Oras District Hospital</t>
  </si>
  <si>
    <t>Oras Eastern Samar</t>
  </si>
  <si>
    <t>Disassemble</t>
  </si>
  <si>
    <t>espesopriscilla@gmail.com</t>
  </si>
  <si>
    <t>Unit for pullout</t>
  </si>
  <si>
    <t>- Disassembled unit
Genexpert SN/835081
CPU SN/CPH119F04303
LCD Monitor SN/CNK92102RD
Printer SN/VNC7703319
Barcode scanner
Keyboard/Mouse</t>
  </si>
  <si>
    <t>Unit for module replacement B1 and B2</t>
  </si>
  <si>
    <t>Unit is ready to pullout</t>
  </si>
  <si>
    <t>https://www.jotform.com/uploads/macarewecare/222927978372067/5927638371025083653/5927638371025083653_signature_28.png</t>
  </si>
  <si>
    <t>Priscilla Espeso</t>
  </si>
  <si>
    <t>https://www.jotform.com/uploads/macarewecare/222927978372067/5927638371025083653/5927638371025083653_signature_31.png</t>
  </si>
  <si>
    <t>unit for installation</t>
  </si>
  <si>
    <t>-Install Genexpert unit SN/804256
- CPU SN/2UA3450YRR
- Monitor SN/308NDPHJL568
-UPS SN/4018631904
- Printer SN/VN6N47660
- Generate reports</t>
  </si>
  <si>
    <t>Genexpert machine 
Monitor
Printer</t>
  </si>
  <si>
    <t>https://www.jotform.com/uploads/macarewecare/222927978372067/5927632421022263381/5927632421022263381_signature_28.png</t>
  </si>
  <si>
    <t>https://www.jotform.com/uploads/macarewecare/222927978372067/5927632421022263381/5927632421022263381_signature_31.png</t>
  </si>
  <si>
    <t>Minalin Rural Health Unit</t>
  </si>
  <si>
    <t>Minalin Pamanga</t>
  </si>
  <si>
    <t>bernadetteann0318@gmail.com</t>
  </si>
  <si>
    <t>Due for preventive maintenance 
UPS long beeing sound problem</t>
  </si>
  <si>
    <t>Preventive maintenance 
UPS check-u and troubleshooting</t>
  </si>
  <si>
    <t>Performed surface cleaning 
Performed cleaning of plunger rod, cartridge bay, icore and filter 
Archived test results 
Performed UPS troubleshooting 
Checked for faulty fuse
Performed functionality test 
Gathered reports</t>
  </si>
  <si>
    <t>Unit is operational 
UPS is operational ( for observation)</t>
  </si>
  <si>
    <t>https://www.jotform.com/uploads/macarewecare/222927978372067/5927630668882218545/5927630668882218545_signature_28.png</t>
  </si>
  <si>
    <t>Rizzie Niturada</t>
  </si>
  <si>
    <t>https://www.jotform.com/uploads/macarewecare/222927978372067/5927630668882218545/5927630668882218545_signature_31.png</t>
  </si>
  <si>
    <t>Unit for preventive maintenance.
For module replacement of module.A2.</t>
  </si>
  <si>
    <t>GX module A2 (616338) in replacement to defective module A2 (711157).</t>
  </si>
  <si>
    <t>https://www.jotform.com/uploads/macarewecare/222927978372067/5927616916511784464/5927616916511784464_signature_28.png</t>
  </si>
  <si>
    <t>https://www.jotform.com/uploads/macarewecare/222927978372067/5927616916511784464/5927616916511784464_signature_31.png</t>
  </si>
  <si>
    <t>Batangas Medical Center</t>
  </si>
  <si>
    <t>Kumintang Ibaba, Batangas</t>
  </si>
  <si>
    <t>batmc.tbculturelab@gmail.com</t>
  </si>
  <si>
    <t>Unit for PM.
For installation of new CPU.</t>
  </si>
  <si>
    <t>PM and installation of CPU.</t>
  </si>
  <si>
    <t>Performed Preventive Maintenance.
-Cleaned and disinfect plunger
-Cleaned and disinfect cartridge bay
-Cleaned and disinfect instrument surface
-Cleaned icore sensors
-Cleaned filter fan
-Archived test results
Performed installation of CPU.
Generated reports.</t>
  </si>
  <si>
    <t>Dell CPU (CPH1023F46024) in replacement to defective Lenovo CPU (CPH0622F38432).</t>
  </si>
  <si>
    <t>https://www.jotform.com/uploads/macarewecare/222927978372067/5927616916514321001/5927616916514321001_signature_28.png</t>
  </si>
  <si>
    <t>Marienan E. Marasigan</t>
  </si>
  <si>
    <t>https://www.jotform.com/uploads/macarewecare/222927978372067/5927616916514321001/5927616916514321001_signature_31.png</t>
  </si>
  <si>
    <t>Unit for PM.
For module replacement of module A1 and C2.
For checking of monitor.</t>
  </si>
  <si>
    <t>Unit is operational. For reporting of defective monitor HP P19A (CNK94309WP).</t>
  </si>
  <si>
    <t>GX module A1 (668724) and C2 (685644) in replacement to defective A1 (644387) and C2 (892210).</t>
  </si>
  <si>
    <t>https://www.jotform.com/uploads/macarewecare/222927978372067/5927616916517381718/5927616916517381718_signature_28.png</t>
  </si>
  <si>
    <t>https://www.jotform.com/uploads/macarewecare/222927978372067/5927616916517381718/5927616916517381718_signature_31.png</t>
  </si>
  <si>
    <t>Southern Isabela Medical Center</t>
  </si>
  <si>
    <t>Zamora, Santiago City, Isabela</t>
  </si>
  <si>
    <t>MAINTENANCE
ON-SITE ASSISTANCE
Disassemble</t>
  </si>
  <si>
    <t>simcmicrobiology@yahoo.com</t>
  </si>
  <si>
    <t>For Disassemble</t>
  </si>
  <si>
    <t>Disassembled Genexpert System
Packed Genexpert System</t>
  </si>
  <si>
    <t>Unit is ready for pickup</t>
  </si>
  <si>
    <t>https://www.jotform.com/uploads/macarewecare/222927978372067/5927610351145237180/5927610351145237180_signature_28.png</t>
  </si>
  <si>
    <t>Jannell T.Valdez</t>
  </si>
  <si>
    <t>https://www.jotform.com/uploads/macarewecare/222927978372067/5927610351145237180/5927610351145237180_signature_31.png</t>
  </si>
  <si>
    <t xml:space="preserve">ASSAY: Xpert MTB/RIF Ultra, COUNT: 342
</t>
  </si>
  <si>
    <t>https://www.jotform.com/uploads/macarewecare/222927978372067/5927610211141951677/5927610211141951677_signature_28.png</t>
  </si>
  <si>
    <t>https://www.jotform.com/uploads/macarewecare/222927978372067/5927610211141951677/5927610211141951677_signature_31.png</t>
  </si>
  <si>
    <t>Sinsuat Ave, Rosary Heights Cotabato City</t>
  </si>
  <si>
    <t>Clean Surface Area, Cartridge Bay, Plunger Rod, Fan Filters and Icore Lenses
Generate IQR, Assay Stat and System Log
Perform Xpertcheck Calibration on Modules</t>
  </si>
  <si>
    <t>All Modules are operational
All Modules Passed the Calibration</t>
  </si>
  <si>
    <t>https://www.jotform.com/uploads/macarewecare/222927978372067/5927582445748256335/5927582445748256335_signature_28.png</t>
  </si>
  <si>
    <t>Velchie Tindoc</t>
  </si>
  <si>
    <t>https://www.jotform.com/uploads/macarewecare/222927978372067/5927582445748256335/5927582445748256335_signature_31.png</t>
  </si>
  <si>
    <t>tindocvelche@gmail.com</t>
  </si>
  <si>
    <t xml:space="preserve">ASSAY: Xpert HIV-1 Viral Load, COUNT: 24
ASSAY: Xpert HPV, COUNT: 6
ASSAY: Xpert MTB/RIF Ultra, COUNT: 126
ASSAY: Xpert HIV-1 Viral Load, COUNT: 24
</t>
  </si>
  <si>
    <t>Module A1 and A2 for Service Required</t>
  </si>
  <si>
    <t>Replace defective module 2 SN:870832 with new module SN: 909867
Replace defective module 2 SN:870834 with new module SN: 904969
Genexpert machine Cleaning 
Checking of errors 
Problem reporting 
Data collection</t>
  </si>
  <si>
    <t>Perform Genexpert machine Preventive maintenance 
Perform Genexpert machine module replacement/repair</t>
  </si>
  <si>
    <t>16 operational modules</t>
  </si>
  <si>
    <t>Genexpert machine 6-color SN: 909867 and SN: 904969</t>
  </si>
  <si>
    <t>Cepheid case: 1498439</t>
  </si>
  <si>
    <t>https://www.jotform.com/uploads/macarewecare/222927978372067/5927580967917007889/5927580967917007889_signature_28.png</t>
  </si>
  <si>
    <t>https://www.jotform.com/uploads/macarewecare/222927978372067/5927580967917007889/5927580967917007889_signature_31.png</t>
  </si>
  <si>
    <t xml:space="preserve">ASSAY: Xpert MTB/RIF Ultra, COUNT: 1
ASSAY: Xpert HIV-1 Viral Load, COUNT: 1
ASSAY: Xpert HPV, COUNT: 1
</t>
  </si>
  <si>
    <t>Due for Preventive Maintenance and XpertCheck Calibration
Error on Module D1</t>
  </si>
  <si>
    <t>Clean Surface Area, Cartridge Bay, Plunger Rod, Fan Filters and Icore Lenses
Generate IQR, Assay Stat and System Log
Run XpertCheck on Modules
Reset network connections</t>
  </si>
  <si>
    <t>Perform Preventive Maintenance and XpertCheck Calibration
Perform Module Troubleshooting</t>
  </si>
  <si>
    <t>Module D3 For Service Required
Modules D1, D2, D4 passed the Calibration</t>
  </si>
  <si>
    <t>https://www.jotform.com/uploads/macarewecare/222927978372067/5927576855746072930/5927576855746072930_signature_28.png</t>
  </si>
  <si>
    <t>https://www.jotform.com/uploads/macarewecare/222927978372067/5927576855746072930/5927576855746072930_signature_31.png</t>
  </si>
  <si>
    <t xml:space="preserve">ASSAY: Xpert MTB/RIF Ultra, COUNT: 9
ASSAY: Others, COUNT: 230
</t>
  </si>
  <si>
    <t>GX-IV 10 4D</t>
  </si>
  <si>
    <t>Clean Surface Area, Cartridge Bay, Plunger Rod, Fan Filters and Icore Lenses
Generate IQR, Assay Stat and System Log
Archived Data test results
Perform Xpertcheck Calibration</t>
  </si>
  <si>
    <t>Run XpertCheck and Perform Preventive Maintenance</t>
  </si>
  <si>
    <t>All Modules passed the Calibration
All Modules are operational</t>
  </si>
  <si>
    <t>https://www.jotform.com/uploads/macarewecare/222927978372067/5927576045745779981/5927576045745779981_signature_28.png</t>
  </si>
  <si>
    <t>https://www.jotform.com/uploads/macarewecare/222927978372067/5927576045745779981/5927576045745779981_signature_31.png</t>
  </si>
  <si>
    <t>Provincial Health Office, Barangay XI, Lucena City</t>
  </si>
  <si>
    <t xml:space="preserve">ASSAY: Xpert MTB/RIF Ultra, COUNT: 747
ASSAY: Xpert HPV, COUNT: 89
</t>
  </si>
  <si>
    <t>Checked and cleaned cartridge bays, plunger rod icore slot and filter 
Performed Xpertcheck on modules B1, B2 and B3. B4 newly replaced 
All modules passed
Generated report</t>
  </si>
  <si>
    <t>DR 47700</t>
  </si>
  <si>
    <t>https://www.jotform.com/uploads/macarewecare/222927978372067/5927131193683894566/5927131193683894566_signature_28.png</t>
  </si>
  <si>
    <t>JoAnn P. Yamballa</t>
  </si>
  <si>
    <t>https://www.jotform.com/uploads/macarewecare/222927978372067/5927131193683894566/5927131193683894566_signature_31.png</t>
  </si>
  <si>
    <t>Quezon Medical Center 10C</t>
  </si>
  <si>
    <t xml:space="preserve">ASSAY: Xpert HPV, COUNT: 119
ASSAY: Xpert MTB/RIF Ultra, COUNT: 849
</t>
  </si>
  <si>
    <t>Module A1 stuck cartridge</t>
  </si>
  <si>
    <t>Removed stuck cartridge 
Checked and cleaned cartridge bays, plunger rod, icore slot and filter
Installed UPS
Generated report</t>
  </si>
  <si>
    <t>Removed stuck cartridge 
Performed Preventive maintenance 
Installed UPS</t>
  </si>
  <si>
    <t>https://www.jotform.com/uploads/macarewecare/222927978372067/5927127623686326428/5927127623686326428_signature_28.png</t>
  </si>
  <si>
    <t>https://www.jotform.com/uploads/macarewecare/222927978372067/5927127623686326428/5927127623686326428_signature_31.png</t>
  </si>
  <si>
    <t xml:space="preserve">ASSAY: Xpert SARS-CoV-2, COUNT: 12986
ASSAY: Others, COUNT: 356
</t>
  </si>
  <si>
    <t>Replace defective module 2 SN:210100872 with new module SN: 802585
Genexpert machine Cleaning 
Checking of errors 
Problem reporting 
Data collection</t>
  </si>
  <si>
    <t>Genexpert module 6-color SN 210100872</t>
  </si>
  <si>
    <t>Cepheid case : 1532113</t>
  </si>
  <si>
    <t>https://www.jotform.com/uploads/macarewecare/222927978372067/5927001365218730308/5927001365218730308_signature_28.png</t>
  </si>
  <si>
    <t>https://www.jotform.com/uploads/macarewecare/222927978372067/5927001365218730308/5927001365218730308_signature_31.png</t>
  </si>
  <si>
    <t xml:space="preserve">ASSAY: Xpert SARS-CoV-2, COUNT: 12986
</t>
  </si>
  <si>
    <t>Module 2 H/W failed</t>
  </si>
  <si>
    <t>Replace defective module 2 SN:867625 with new module SN: 210052543
Genexpert machine Cleaning 
Checking of errors 
Problem reporting 
Data collection</t>
  </si>
  <si>
    <t>Genexpert module 6-color SN:210052543</t>
  </si>
  <si>
    <t>Cepheid case: 1499268</t>
  </si>
  <si>
    <t>https://www.jotform.com/uploads/macarewecare/222927978372067/5927000245214259930/5927000245214259930_signature_28.png</t>
  </si>
  <si>
    <t>https://www.jotform.com/uploads/macarewecare/222927978372067/5927000245214259930/5927000245214259930_signature_31.png</t>
  </si>
  <si>
    <t>Module 2 and 4 multiple errors 1002</t>
  </si>
  <si>
    <t>https://www.jotform.com/uploads/macarewecare/222927978372067/5926999585211117502/5926999585211117502_signature_28.png</t>
  </si>
  <si>
    <t>https://www.jotform.com/uploads/macarewecare/222927978372067/5926999585211117502/5926999585211117502_signature_31.png</t>
  </si>
  <si>
    <t>https://www.jotform.com/uploads/macarewecare/222927978372067/5926999475215089660/5926999475215089660_signature_28.png</t>
  </si>
  <si>
    <t>https://www.jotform.com/uploads/macarewecare/222927978372067/5926999475215089660/5926999475215089660_signature_31.png</t>
  </si>
  <si>
    <t>Philippine Red Cross QC chapter</t>
  </si>
  <si>
    <t>Kalayaan ave QC</t>
  </si>
  <si>
    <t>Delivered and replaced CPU board
Checked Calibration parameters
Checked program parameters
Checked and adjust line sensor value
Checked rollers,dpm,spm,centrifuge
Performed functionality test
Performed simulation running
Pull out defective CPU board</t>
  </si>
  <si>
    <t>https://www.jotform.com/uploads/macarewecare/222927978372067/5926961726347139069/5926961726347139069_signature_28.png</t>
  </si>
  <si>
    <t>Philippine Red Cross Qiezon City Chapter</t>
  </si>
  <si>
    <t>https://www.jotform.com/uploads/macarewecare/222927978372067/5926961726347139069/5926961726347139069_signature_31.png</t>
  </si>
  <si>
    <t>GXDX unable to boot sql error display</t>
  </si>
  <si>
    <t>Reinstall gxdx 4.8 version
Cleaned unit
Cleaned plunger rod,filter,icore,cartridge bay
Gathered reports
Test run unit</t>
  </si>
  <si>
    <t>https://www.jotform.com/uploads/macarewecare/222927978372067/5926961396342477649/5926961396342477649_signature_28.png</t>
  </si>
  <si>
    <t>https://www.jotform.com/uploads/macarewecare/222927978372067/5926961396342477649/5926961396342477649_signature_31.png</t>
  </si>
  <si>
    <t>bloodbankphc@gmail.com</t>
  </si>
  <si>
    <t>As per end iser they encounter dpm out of tolerance</t>
  </si>
  <si>
    <t>Checked unit 
Cheked and test DPM 
Chekecd programs parameters
Adjust DPM value
Performed functionality test
Test run unit</t>
  </si>
  <si>
    <t>Operational 
After performed simulation test no error encountered</t>
  </si>
  <si>
    <t>https://www.jotform.com/uploads/macarewecare/222927978372067/5926960946345464093/5926960946345464093_signature_28.png</t>
  </si>
  <si>
    <t>Jeric Baluyot</t>
  </si>
  <si>
    <t>https://www.jotform.com/uploads/macarewecare/222927978372067/5926960946345464093/5926960946345464093_signature_31.png</t>
  </si>
  <si>
    <t>East Aveneue QC</t>
  </si>
  <si>
    <t>As per end user they encounter DPM is out of tolerance</t>
  </si>
  <si>
    <t>Operational
After performing simulation run no error encountered</t>
  </si>
  <si>
    <t>https://www.jotform.com/uploads/macarewecare/222927978372067/5926960306348961210/5926960306348961210_signature_28.png</t>
  </si>
  <si>
    <t>https://www.jotform.com/uploads/macarewecare/222927978372067/5926960306348961210/5926960306348961210_signature_31.png</t>
  </si>
  <si>
    <t>Conduct preventive maintenance;
Clean up Icore, Plunger, cartridge bay , and filter
Generate IQR, GXX files, System log, Assay Statistics
Check up UPS and AVR</t>
  </si>
  <si>
    <t>https://www.jotform.com/uploads/macarewecare/222927978372067/5926937574345880761/5926937574345880761_signature_28.png</t>
  </si>
  <si>
    <t>https://www.jotform.com/uploads/macarewecare/222927978372067/5926937574345880761/5926937574345880761_signature_31.png</t>
  </si>
  <si>
    <t>Santiago City Health Office</t>
  </si>
  <si>
    <t>San Andres, Santiago City, Isabela</t>
  </si>
  <si>
    <t>cholabstgo@gmail.com</t>
  </si>
  <si>
    <t xml:space="preserve">ASSAY: Xpert MTB/RIF Ultra, COUNT: 2378
</t>
  </si>
  <si>
    <t>https://www.jotform.com/uploads/macarewecare/222927978372067/5926914126993950103/5926914126993950103_signature_28.png</t>
  </si>
  <si>
    <t>Marichelle Zapanta</t>
  </si>
  <si>
    <t>https://www.jotform.com/uploads/macarewecare/222927978372067/5926914126993950103/5926914126993950103_signature_31.png</t>
  </si>
  <si>
    <t>Ortigas Avenue, Pasig</t>
  </si>
  <si>
    <t>https://www.jotform.com/uploads/macarewecare/222927978372067/5926867782512470461/5926867782512470461_signature_28.png</t>
  </si>
  <si>
    <t>analyn Ponferrada</t>
  </si>
  <si>
    <t>https://www.jotform.com/uploads/macarewecare/222927978372067/5926867782512470461/5926867782512470461_signature_31.png</t>
  </si>
  <si>
    <t>Performed maintenance 
Checked rotor pumps 
Simulation run
Verified calibration parameters 
Functionality test</t>
  </si>
  <si>
    <t>https://www.jotform.com/uploads/macarewecare/222927978372067/5926843002511216759/5926843002511216759_signature_28.png</t>
  </si>
  <si>
    <t>https://www.jotform.com/uploads/macarewecare/222927978372067/5926843002511216759/5926843002511216759_signature_31.png</t>
  </si>
  <si>
    <t>Quirino Province Medical Center</t>
  </si>
  <si>
    <t>Mangandingay, Cabarroguis, Quirino</t>
  </si>
  <si>
    <t>MAINTENANCE
TROUBLESHOOTING
Packing</t>
  </si>
  <si>
    <t>ylbumidang0817@gmail.com</t>
  </si>
  <si>
    <t>Cpu not powering on</t>
  </si>
  <si>
    <t>Troubleshoot wirings
Troubleshoot bios battery</t>
  </si>
  <si>
    <t>Unit is not Operational</t>
  </si>
  <si>
    <t>CPU for Replacement</t>
  </si>
  <si>
    <t>https://www.jotform.com/uploads/macarewecare/222927978372067/5926839656518038007/5926839656518038007_signature_28.png</t>
  </si>
  <si>
    <t>Yvone Bumidang</t>
  </si>
  <si>
    <t>https://www.jotform.com/uploads/macarewecare/222927978372067/5926839656518038007/5926839656518038007_signature_31.png</t>
  </si>
  <si>
    <t xml:space="preserve">ASSAY: Xpert MTB/RIF Ultra, COUNT: 170
</t>
  </si>
  <si>
    <t>https://www.jotform.com/uploads/macarewecare/222927978372067/5926839531814427912/5926839531814427912_signature_28.png</t>
  </si>
  <si>
    <t>https://www.jotform.com/uploads/macarewecare/222927978372067/5926839531814427912/5926839531814427912_signature_31.png</t>
  </si>
  <si>
    <t>Iba Rural Health Unit</t>
  </si>
  <si>
    <t>Machine Disassembly and Packing</t>
  </si>
  <si>
    <t>garadoshanna@gmail.com</t>
  </si>
  <si>
    <t xml:space="preserve">ASSAY: Xpert MTB/RIF Ultra, COUNT: 2142
ASSAY: Xpert HIV-1 Viral Load, COUNT: 83
</t>
  </si>
  <si>
    <t>Unit for disassembly and packing</t>
  </si>
  <si>
    <t>Preventive maintenance 
Disassembly and packing</t>
  </si>
  <si>
    <t>Performed preventive maintenance 
Performed functionality test 
Gathered reports 
Performed machine Disassembly and Packing</t>
  </si>
  <si>
    <t>https://www.jotform.com/uploads/macarewecare/222927978372067/5926827273785219418/5926827273785219418_signature_28.png</t>
  </si>
  <si>
    <t>Hanna C. Garados</t>
  </si>
  <si>
    <t>https://www.jotform.com/uploads/macarewecare/222927978372067/5926827273785219418/5926827273785219418_signature_31.png</t>
  </si>
  <si>
    <t>Ortigas Ave, Pasig</t>
  </si>
  <si>
    <t xml:space="preserve">ASSAY: Xpert BCR-ABL Ultra, COUNT: 40
ASSAY: Xpert CT/NG, COUNT: 81
ASSAY: Xpert HBV VL, COUNT: 586
ASSAY: Xpert HPV, COUNT: 442
ASSAY: Xpert MTB/RIF Ultra, COUNT: 5157
ASSAY: Others, COUNT: 1
ASSAY: Xpert HCV VL, COUNT: 71
ASSAY: Xpert HIV-1 Viral Load, COUNT: 689
ASSAY: Others, COUNT: 711
</t>
  </si>
  <si>
    <t>GX-XVI-D-10c</t>
  </si>
  <si>
    <t>https://www.jotform.com/uploads/macarewecare/222927978372067/5926816492514807669/5926816492514807669_signature_28.png</t>
  </si>
  <si>
    <t>https://www.jotform.com/uploads/macarewecare/222927978372067/5926816492514807669/5926816492514807669_signature_31.png</t>
  </si>
  <si>
    <t xml:space="preserve">ASSAY: Xpert BCR-ABL Ultra, COUNT: 2
ASSAY: Others, COUNT: 11
ASSAY: Xpert CT/NG, COUNT: 3
ASSAY: Xpert HBV VL, COUNT: 2
ASSAY: Xpert MTB/RIF Ultra, COUNT: 7
ASSAY: Others, COUNT: 10
ASSAY: Xpert HIV-1 Viral Load, COUNT: 1
</t>
  </si>
  <si>
    <t>Unit is operational. Module B4/210071314 not operational. For reporting.</t>
  </si>
  <si>
    <t>https://www.jotform.com/uploads/macarewecare/222927978372067/5926815792514096591/5926815792514096591_signature_28.png</t>
  </si>
  <si>
    <t>https://www.jotform.com/uploads/macarewecare/222927978372067/5926815792514096591/5926815792514096591_signature_31.png</t>
  </si>
  <si>
    <t>Baliwag Rural Health Unit</t>
  </si>
  <si>
    <t>Baliwag, Bulacan</t>
  </si>
  <si>
    <t>baliwagrhulab.003@gmail.com</t>
  </si>
  <si>
    <t>Unit is operational
B1: passed
B2: passed
B3: passed
B4: passed
Filter is worn out
Filter for request</t>
  </si>
  <si>
    <t>https://www.jotform.com/uploads/macarewecare/222927978372067/5926810300424264621/5926810300424264621_signature_28.png</t>
  </si>
  <si>
    <t>Erwin Valenzuela</t>
  </si>
  <si>
    <t>https://www.jotform.com/uploads/macarewecare/222927978372067/5926810300424264621/5926810300424264621_signature_31.png</t>
  </si>
  <si>
    <t>Nadurata St. Caloocan</t>
  </si>
  <si>
    <t>rosaleslorima0917@gmail.com</t>
  </si>
  <si>
    <t>Unit for PM.
For module replacement of module A4.</t>
  </si>
  <si>
    <t>GX module A4 (793401) in replacement to defective A4 (758230).</t>
  </si>
  <si>
    <t>https://www.jotform.com/uploads/macarewecare/222927978372067/5926799956512541768/5926799956512541768_signature_28.png</t>
  </si>
  <si>
    <t>https://www.jotform.com/uploads/macarewecare/222927978372067/5926799956512541768/5926799956512541768_signature_31.png</t>
  </si>
  <si>
    <t>Iba Super Health Center</t>
  </si>
  <si>
    <t>Brgy. Bangatalinga Iba, Zambales</t>
  </si>
  <si>
    <t xml:space="preserve">ASSAY: Xpert MTB/RIF Ultra, COUNT: 0
ASSAY: Xpert HIV-1 Viral Load, COUNT: 0
</t>
  </si>
  <si>
    <t>Installation of 10C machine</t>
  </si>
  <si>
    <t>Installation and setup</t>
  </si>
  <si>
    <t>Performed installation and setup of Genexpert Machine 
Gathered reports
Performed functionality test</t>
  </si>
  <si>
    <t>https://www.jotform.com/uploads/macarewecare/222927978372067/5926762706997564379/5926762706997564379_signature_28.png</t>
  </si>
  <si>
    <t>Hanna C. Gaados</t>
  </si>
  <si>
    <t>https://www.jotform.com/uploads/macarewecare/222927978372067/5926762706997564379/5926762706997564379_signature_31.png</t>
  </si>
  <si>
    <t>National Tuberculosis Reference Laboratory</t>
  </si>
  <si>
    <t>roeusvincent@gmail.com</t>
  </si>
  <si>
    <t>RoutineNTRL@gmail.com</t>
  </si>
  <si>
    <t>Modules 2 and 4 for Cepheid Additional Troubleshooting.</t>
  </si>
  <si>
    <t>Troubleshooting.
Preventive Maintenance.</t>
  </si>
  <si>
    <t>Cleaned Cartridge Bay, Plunger Rod, and Icore Optics.
Checked if Filter is Clogged.
Get Gateway Board Information.
Run Reliability Test on Modules 2 and 4.
Performed Self-test.
Generate Reports.</t>
  </si>
  <si>
    <t>1 Module is Operational.
Modules 1 and 2 with Temperature Related Errors for Reporting.
Module 4 with Ultrasonic Horn Problem for Reporting.</t>
  </si>
  <si>
    <t>https://www.jotform.com/uploads/macarewecare/222927978372067/5926753228642824977/5926753228642824977_signature_28.png</t>
  </si>
  <si>
    <t>Vaeda Paula Ortiz</t>
  </si>
  <si>
    <t>https://www.jotform.com/uploads/macarewecare/222927978372067/5926753228642824977/5926753228642824977_signature_31.png</t>
  </si>
  <si>
    <t xml:space="preserve">ASSAY: Xpert MTB/RIF Ultra, COUNT: 55
ASSAY: Others, COUNT: 2094
</t>
  </si>
  <si>
    <t>Unit has 5006 and 5007 Errors.</t>
  </si>
  <si>
    <t>Room Temperature is Not Ideal for GX Operation. Recommendation to Relocate on Colder Room.</t>
  </si>
  <si>
    <t>https://www.jotform.com/uploads/macarewecare/222927978372067/5926753228644291061/5926753228644291061_signature_28.png</t>
  </si>
  <si>
    <t>vaeda paula d. ortiz</t>
  </si>
  <si>
    <t>https://www.jotform.com/uploads/macarewecare/222927978372067/5926753228644291061/5926753228644291061_signature_31.png</t>
  </si>
  <si>
    <t>Modules with Temperature Errors.</t>
  </si>
  <si>
    <t>Cleaned Cartridge Bay, Plunger Rod, and Icore Optics.
Checked Fan.
Performed Self-test.
Generate Reports.</t>
  </si>
  <si>
    <t>3 Modules are Operational.
1 Module with Temperature Error for Reporting.
Unit has Defective Fan.</t>
  </si>
  <si>
    <t>https://www.jotform.com/uploads/macarewecare/222927978372067/5926753228646271520/5926753228646271520_signature_28.png</t>
  </si>
  <si>
    <t>https://www.jotform.com/uploads/macarewecare/222927978372067/5926753228646271520/5926753228646271520_signature_31.png</t>
  </si>
  <si>
    <t xml:space="preserve">ASSAY: Xpert HPV, COUNT: 364
ASSAY: Xpert MTB/RIF Ultra, COUNT: 7770
ASSAY: Xpert SARS-CoV-2, COUNT: 8030
ASSAY: Xpert HIV-1 Viral Load, COUNT: 647
</t>
  </si>
  <si>
    <t>-PERFORM CLEANING OF GENEXPERT EQUIPMENT AND WORKSTATION
-PERFORM PREVENTIVE MAINTENANCE PROCEDURE
-PERFORM MODULE REPLACEMENT:
MODULE A4 DEF SN: 683869 WITH NEW SN : 717338
MODULE D4 DEF SN: 656996 WITH NEW SN : 758394</t>
  </si>
  <si>
    <t>https://www.jotform.com/uploads/macarewecare/222927978372067/5926730486226538685/5926730486226538685_signature_28.png</t>
  </si>
  <si>
    <t>https://www.jotform.com/uploads/macarewecare/222927978372067/5926730486226538685/5926730486226538685_signature_31.png</t>
  </si>
  <si>
    <t>Marikina - Infanta Highway Antipolo, Rizal</t>
  </si>
  <si>
    <t xml:space="preserve">ASSAY: Xpert CT/NG, COUNT: 2
ASSAY: Xpert HBV VL, COUNT: 9
ASSAY: Xpert MTB/RIF Ultra, COUNT: 204
ASSAY: Xpert HIV-1 Viral Load, COUNT: 14
</t>
  </si>
  <si>
    <t>https://www.jotform.com/uploads/macarewecare/222927978372067/5926709810512384178/5926709810512384178_signature_28.png</t>
  </si>
  <si>
    <t>https://www.jotform.com/uploads/macarewecare/222927978372067/5926709810512384178/5926709810512384178_signature_31.png</t>
  </si>
  <si>
    <t>Toledo City Health Office - PPMD</t>
  </si>
  <si>
    <t>Module B3 with serial number 682924 hardware fail.</t>
  </si>
  <si>
    <t>Perform preventive maintenance for the GeneXpert System.</t>
  </si>
  <si>
    <t>.Save Sytem Log file
.Save Installation Qualification
.Save GXC files.
Perform preventive maintenance.</t>
  </si>
  <si>
    <t>Module B1, 2 and 4 ok to use.
Module B3 not ok to use.</t>
  </si>
  <si>
    <t>https://www.jotform.com/uploads/macarewecare/222927978372067/5926682650017383037/5926682650017383037_signature_28.png</t>
  </si>
  <si>
    <t>Mary june elemino</t>
  </si>
  <si>
    <t>https://www.jotform.com/uploads/macarewecare/222927978372067/5926682650017383037/5926682650017383037_signature_31.png</t>
  </si>
  <si>
    <t>Poblacion, Bagumbayan,Sultan Kudarat</t>
  </si>
  <si>
    <t xml:space="preserve">ASSAY: Xpert MTB/RIF Ultra, COUNT: 914
</t>
  </si>
  <si>
    <t>CPU hard start up problem</t>
  </si>
  <si>
    <t>Replace CPU power supply 
CPU problem troubleshooting</t>
  </si>
  <si>
    <t>CPU troubleshooting and Repair</t>
  </si>
  <si>
    <t>https://www.jotform.com/uploads/macarewecare/222927978372067/5926323735021785794/5926323735021785794_signature_28.png</t>
  </si>
  <si>
    <t>https://www.jotform.com/uploads/macarewecare/222927978372067/5926323735021785794/5926323735021785794_signature_31.png</t>
  </si>
  <si>
    <t>Due for Calibration on MCS+</t>
  </si>
  <si>
    <t>Conduct Calibration for MCS+
Preventive Maintenance in Transducers,Valve, Power Supply, Rubber pump</t>
  </si>
  <si>
    <t>MCS+ is operational.</t>
  </si>
  <si>
    <t>https://www.jotform.com/uploads/macarewecare/222927978372067/5926080361112805372/5926080361112805372_signature_28.png</t>
  </si>
  <si>
    <t>https://www.jotform.com/uploads/macarewecare/222927978372067/5926080361112805372/5926080361112805372_signature_31.png</t>
  </si>
  <si>
    <t>Dr. JOSE RIZAL MEMORIAL HOSPITAL</t>
  </si>
  <si>
    <t>Dr. Jose Rizal Memorial Hospital, Dapitan City</t>
  </si>
  <si>
    <t>MAINTENANCE
Packed Genexpert Machine</t>
  </si>
  <si>
    <t>lovinoantonieta@gmail.com</t>
  </si>
  <si>
    <t>Gx 4 (6c)</t>
  </si>
  <si>
    <t>Module 3 Temperature error</t>
  </si>
  <si>
    <t>Preventive Maintenence and Packed Genexpert Machine and other peripherals.</t>
  </si>
  <si>
    <t>Module 1,2 and 4 are all available while module 3 pending for replacement</t>
  </si>
  <si>
    <t>No printer packed due to printer is already broken and unable to work properly.</t>
  </si>
  <si>
    <t>https://www.jotform.com/uploads/macarewecare/222927978372067/5926074918378428119/5926074918378428119_signature_28.png</t>
  </si>
  <si>
    <t>https://www.jotform.com/uploads/macarewecare/222927978372067/5926074918378428119/5926074918378428119_signature_31.png</t>
  </si>
  <si>
    <t>Dr. jose rizal Memorial Hospital</t>
  </si>
  <si>
    <t>Installation of Genexpert Machine GX4, 10c modules.</t>
  </si>
  <si>
    <t>All modules are available. Brand new Uninterruptible power supply unable to turn on.</t>
  </si>
  <si>
    <t>Uninterruptible power supply (UPS), model IT-M2000A is Broken and unable to turn on.</t>
  </si>
  <si>
    <t>https://www.jotform.com/uploads/macarewecare/222927978372067/5926070053027645424/5926070053027645424_signature_28.png</t>
  </si>
  <si>
    <t>https://www.jotform.com/uploads/macarewecare/222927978372067/5926070053027645424/5926070053027645424_signature_31.png</t>
  </si>
  <si>
    <t>Panopdopan District Hospital</t>
  </si>
  <si>
    <t>Lamut, Ifugao</t>
  </si>
  <si>
    <t>Ifugao</t>
  </si>
  <si>
    <t>ilamawan.pbsp@gmail.com</t>
  </si>
  <si>
    <t>Module 4 error</t>
  </si>
  <si>
    <t>Performed Module Replacement
A4(672908 - 685260)</t>
  </si>
  <si>
    <t>https://www.jotform.com/uploads/macarewecare/222927978372067/5926020123551023926/5926020123551023926_signature_28.png</t>
  </si>
  <si>
    <t>Iolanthe Dawn L. Amawan</t>
  </si>
  <si>
    <t>https://www.jotform.com/uploads/macarewecare/222927978372067/5926020123551023926/5926020123551023926_signature_31.png</t>
  </si>
  <si>
    <t>San Jorge Rural Health Unit</t>
  </si>
  <si>
    <t>San Jorge Samar</t>
  </si>
  <si>
    <t>Laby</t>
  </si>
  <si>
    <t>johnfrancisortiz23@gmail.com</t>
  </si>
  <si>
    <t>Installed
- Genexpert machine SN 808291
- CPU SN/CPH0520F08484
- LCD monitor SN/V5TL380
- UPS model IT-M200A
- Printer SN/VNF8R45696
Generate reports</t>
  </si>
  <si>
    <t>room temperature above 30°c due to air-conditioner not working properly</t>
  </si>
  <si>
    <t>- GX SN 808291
- CPU SN/CPH0520F08484
- LCD monitor SN/V5TL380
- UPS model IT-M200A
- Printer SN/VNF8R45696
- Mouse/Keyboard
- Barcode scanner</t>
  </si>
  <si>
    <t>https://www.jotform.com/uploads/macarewecare/222927978372067/5926009519531099565/5926009519531099565_signature_28.png</t>
  </si>
  <si>
    <t>John Francis C. Ortiz</t>
  </si>
  <si>
    <t>https://www.jotform.com/uploads/macarewecare/222927978372067/5926009519531099565/5926009519531099565_signature_31.png</t>
  </si>
  <si>
    <t>Dell Flat Panel Monitor SN: CN0WMYC5FCC0034RCACXA05</t>
  </si>
  <si>
    <t>https://www.jotform.com/uploads/macarewecare/222927978372067/5925984615266963199/5925984615266963199_signature_28.png</t>
  </si>
  <si>
    <t>Dennis Retulla</t>
  </si>
  <si>
    <t>https://www.jotform.com/uploads/macarewecare/222927978372067/5925984615266963199/5925984615266963199_signature_31.png</t>
  </si>
  <si>
    <t>Paratong, Zone 4, Narvacan</t>
  </si>
  <si>
    <t xml:space="preserve">ASSAY: Xpert MTB/RIF Ultra, COUNT: 1141
</t>
  </si>
  <si>
    <t>For Installation and Calibration</t>
  </si>
  <si>
    <t>Installed GeneXpert 
Performed Calibration</t>
  </si>
  <si>
    <t>- Unit is Operational 
- Unable to perform XpertCheck on Newly Installed Module D4 705557
- Performed XpertCheck on Remaining Modules 
- Modules D1, D2 and D3 passed XpertCheck</t>
  </si>
  <si>
    <t>GeneXpert from Gabriela Silang Hospital</t>
  </si>
  <si>
    <t>https://www.jotform.com/uploads/macarewecare/222927978372067/5925982383455255702/5925982383455255702_signature_28.png</t>
  </si>
  <si>
    <t>https://www.jotform.com/uploads/macarewecare/222927978372067/5925982383455255702/5925982383455255702_signature_31.png</t>
  </si>
  <si>
    <t>Dingras District Hospital</t>
  </si>
  <si>
    <t>Dingras, Ilocos Norte</t>
  </si>
  <si>
    <t>kenacudapas1022@gmail.com</t>
  </si>
  <si>
    <t>- Cleaned Cartridge Bays, Plunger Rods and I-CORE 
- Replaced Defective Module 662121 with New Module 642641
- Generated Reports</t>
  </si>
  <si>
    <t>GeneXpert Module 642641</t>
  </si>
  <si>
    <t>https://www.jotform.com/uploads/macarewecare/222927978372067/5925981623455838416/5925981623455838416_signature_28.png</t>
  </si>
  <si>
    <t>KENADINE CUDAPAS</t>
  </si>
  <si>
    <t>https://www.jotform.com/uploads/macarewecare/222927978372067/5925981623455838416/5925981623455838416_signature_31.png</t>
  </si>
  <si>
    <t>Mc. Arthur Highway, San Fernando City, La Union</t>
  </si>
  <si>
    <t xml:space="preserve">ASSAY: Xpert HBV VL, COUNT: 133
ASSAY: Xpert HPV, COUNT: 230
ASSAY: Xpert MTB/RIF Ultra, COUNT: 3254
ASSAY: Xpert SARS-CoV-2, COUNT: 798
ASSAY: Xpert HIV-1 Viral Load, COUNT: 20
</t>
  </si>
  <si>
    <t>https://www.jotform.com/uploads/macarewecare/222927978372067/5925980563454292948/5925980563454292948_signature_28.png</t>
  </si>
  <si>
    <t>Russell Alili</t>
  </si>
  <si>
    <t>https://www.jotform.com/uploads/macarewecare/222927978372067/5925980563454292948/5925980563454292948_signature_31.png</t>
  </si>
  <si>
    <t>- Unit is operational 
- Did not perform XpertCheck on Newly Replaced Module B2 210056220
- Remaining 3 Modules Passed XpertCheck</t>
  </si>
  <si>
    <t>CPU CPH0923F44834
XpertCheck Kits</t>
  </si>
  <si>
    <t>https://www.jotform.com/uploads/macarewecare/222927978372067/5925979673455579636/5925979673455579636_signature_28.png</t>
  </si>
  <si>
    <t>https://www.jotform.com/uploads/macarewecare/222927978372067/5925979673455579636/5925979673455579636_signature_31.png</t>
  </si>
  <si>
    <t>Poblacion Sta. Cruz, Davao del Sur</t>
  </si>
  <si>
    <t>Module 1 encounter temperature related error, for observation</t>
  </si>
  <si>
    <t>https://www.jotform.com/uploads/macarewecare/222927978372067/5925948411515594989/5925948411515594989_signature_28.png</t>
  </si>
  <si>
    <t>https://www.jotform.com/uploads/macarewecare/222927978372067/5925948411515594989/5925948411515594989_signature_31.png</t>
  </si>
  <si>
    <t>Imus City Health Office II</t>
  </si>
  <si>
    <t>Bluebell, Bayan Luma, Imus</t>
  </si>
  <si>
    <t>amielynnmangulabnan1217@gmail.com</t>
  </si>
  <si>
    <t xml:space="preserve">ASSAY: Xpert MTB/RIF Ultra, COUNT: 1280
ASSAY: Xpert HIV-1 Viral Load, COUNT: 44
</t>
  </si>
  <si>
    <t>https://www.jotform.com/uploads/macarewecare/222927978372067/5925882803616778452/5925882803616778452_signature_28.png</t>
  </si>
  <si>
    <t>Amielynn Mangulabnan</t>
  </si>
  <si>
    <t>https://www.jotform.com/uploads/macarewecare/222927978372067/5925882803616778452/5925882803616778452_signature_31.png</t>
  </si>
  <si>
    <t xml:space="preserve">ASSAY: Xpert MTB/RIF Ultra, COUNT: 1882
</t>
  </si>
  <si>
    <t>Time and Date CPU Problem.
Unit is due for XpertCheck.</t>
  </si>
  <si>
    <t>Troubleshooting.
XpertCheck.</t>
  </si>
  <si>
    <t>Cleaned Cartridge Bay, Plunger Rod and Icore Optics.
Checked Filter.
Performed Self-test.
Performed XpertCheck.
Replaced Bios Battery of CPU.
Generate Reports.</t>
  </si>
  <si>
    <t>With Wornout Filter.
3 Modules Passed and 1 Service Required.
Date and Time Problem Resolved.</t>
  </si>
  <si>
    <t>XC: A4/ 761622 - Service Required</t>
  </si>
  <si>
    <t>https://www.jotform.com/uploads/macarewecare/222927978372067/5925882803617044575/5925882803617044575_signature_28.png</t>
  </si>
  <si>
    <t>https://www.jotform.com/uploads/macarewecare/222927978372067/5925882803617044575/5925882803617044575_signature_31.png</t>
  </si>
  <si>
    <t>rhoda_villanueva05@yahoo.com</t>
  </si>
  <si>
    <t>Defective CPU.
Unit is due for XpertCheck.</t>
  </si>
  <si>
    <t>CPU Replacement.
XpertCheck.</t>
  </si>
  <si>
    <t>Backup Tests.
Install CPU Replacement.
Pullout Backup Laptop.
Cleaned Cartridge Bay, Plunger Rod and Icor Optics.
Checked Filter if Clogged.
Performed XpertCheck.
Generate Reports.</t>
  </si>
  <si>
    <t>3 Modules Passed and 1 Service Required in XpertCheck.</t>
  </si>
  <si>
    <t>XC: B1/ 806301 - Service Required</t>
  </si>
  <si>
    <t>https://www.jotform.com/uploads/macarewecare/222927978372067/5925882813616352336/5925882813616352336_signature_28.png</t>
  </si>
  <si>
    <t>Rhoda Magsino</t>
  </si>
  <si>
    <t>https://www.jotform.com/uploads/macarewecare/222927978372067/5925882813616352336/5925882813616352336_signature_31.png</t>
  </si>
  <si>
    <t>BRTTH Compound, Legazpi City</t>
  </si>
  <si>
    <t>B4/644565 error/code 2126
Continuous error msg in msg log</t>
  </si>
  <si>
    <t>Reset cable connections inside Gx
Generate report</t>
  </si>
  <si>
    <t>https://www.jotform.com/uploads/macarewecare/222927978372067/5925851490015411675/5925851490015411675_signature_28.png</t>
  </si>
  <si>
    <t>https://www.jotform.com/uploads/macarewecare/222927978372067/5925851490015411675/5925851490015411675_signature_31.png</t>
  </si>
  <si>
    <t>Kamuning Health Center</t>
  </si>
  <si>
    <t>Kamuning, Quezon City</t>
  </si>
  <si>
    <t>vicvic.chua25@yahoo.com</t>
  </si>
  <si>
    <t xml:space="preserve">ASSAY: Xpert HPV, COUNT: 220
ASSAY: Xpert MTB/RIF Ultra, COUNT: 1496
</t>
  </si>
  <si>
    <t>https://www.jotform.com/uploads/macarewecare/222927978372067/5925793263619763833/5925793263619763833_signature_28.png</t>
  </si>
  <si>
    <t>Mary Rose Perejon</t>
  </si>
  <si>
    <t>https://www.jotform.com/uploads/macarewecare/222927978372067/5925793263619763833/5925793263619763833_signature_31.png</t>
  </si>
  <si>
    <t>Plaridel Rural Health Unit</t>
  </si>
  <si>
    <t>Plaridel, Bulacan</t>
  </si>
  <si>
    <t>Yellei0908@gmail.com</t>
  </si>
  <si>
    <t>Replaced module A2 by 684364</t>
  </si>
  <si>
    <t>GemeXpert Module
SN: 684364</t>
  </si>
  <si>
    <t>https://www.jotform.com/uploads/macarewecare/222927978372067/5925792983612285457/5925792983612285457_signature_28.png</t>
  </si>
  <si>
    <t>Ahlelei Hernandez</t>
  </si>
  <si>
    <t>https://www.jotform.com/uploads/macarewecare/222927978372067/5925792983612285457/5925792983612285457_signature_31.png</t>
  </si>
  <si>
    <t>Bocaue Rural Health Unit</t>
  </si>
  <si>
    <t>Bocaue, Bulacan</t>
  </si>
  <si>
    <t>zaychi20@yahoo.com</t>
  </si>
  <si>
    <t>https://www.jotform.com/uploads/macarewecare/222927978372067/5925792663618859134/5925792663618859134_signature_28.png</t>
  </si>
  <si>
    <t>Princess Castillo</t>
  </si>
  <si>
    <t>https://www.jotform.com/uploads/macarewecare/222927978372067/5925792663618859134/5925792663618859134_signature_31.png</t>
  </si>
  <si>
    <t>https://www.jotform.com/uploads/macarewecare/222927978372067/5925792403613819064/5925792403613819064_signature_28.png</t>
  </si>
  <si>
    <t>https://www.jotform.com/uploads/macarewecare/222927978372067/5925792403613819064/5925792403613819064_signature_31.png</t>
  </si>
  <si>
    <t>https://www.jotform.com/uploads/macarewecare/222927978372067/5925791993619747416/5925791993619747416_signature_28.png</t>
  </si>
  <si>
    <t>https://www.jotform.com/uploads/macarewecare/222927978372067/5925791993619747416/5925791993619747416_signature_31.png</t>
  </si>
  <si>
    <t xml:space="preserve">ASSAY: Xpert MTB/RIF Ultra, COUNT: 894
</t>
  </si>
  <si>
    <t>https://www.jotform.com/uploads/macarewecare/222927978372067/5925791163613647337/5925791163613647337_signature_28.png</t>
  </si>
  <si>
    <t>https://www.jotform.com/uploads/macarewecare/222927978372067/5925791163613647337/5925791163613647337_signature_31.png</t>
  </si>
  <si>
    <t>Meycauayan City Health Center VII</t>
  </si>
  <si>
    <t xml:space="preserve">ASSAY: Xpert MTB/RIF Ultra, COUNT: 1716
ASSAY: Xpert HIV-1 Viral Load, COUNT: 138
</t>
  </si>
  <si>
    <t>Temperature error on A3</t>
  </si>
  <si>
    <t>Unit is operational
A3 is under observation
A3 for reporting</t>
  </si>
  <si>
    <t>https://www.jotform.com/uploads/macarewecare/222927978372067/5925790943611926982/5925790943611926982_signature_28.png</t>
  </si>
  <si>
    <t>https://www.jotform.com/uploads/macarewecare/222927978372067/5925790943611926982/5925790943611926982_signature_31.png</t>
  </si>
  <si>
    <t xml:space="preserve">ASSAY: Xpert MTB/RIF Ultra, COUNT: 1546
ASSAY: Xpert HIV-1 Viral Load, COUNT: 110
</t>
  </si>
  <si>
    <t>https://www.jotform.com/uploads/macarewecare/222927978372067/5925790103618526446/5925790103618526446_signature_28.png</t>
  </si>
  <si>
    <t>Christopher Dilag</t>
  </si>
  <si>
    <t>https://www.jotform.com/uploads/macarewecare/222927978372067/5925790103618526446/5925790103618526446_signature_31.png</t>
  </si>
  <si>
    <t>Aloguinsan, Poblacion Malolos</t>
  </si>
  <si>
    <t>limjennifer82@gmail.com</t>
  </si>
  <si>
    <t>gx2</t>
  </si>
  <si>
    <t>Due for yearly calibration.</t>
  </si>
  <si>
    <t>Conduct Preventive Maintenance on genexpert machine 
Conduct calibration on four modules 
Generate IQR, System, Gxx files, Assay Statistics</t>
  </si>
  <si>
    <t>https://www.jotform.com/uploads/macarewecare/222927978372067/5923698991118272112/5923698991118272112_signature_28.png</t>
  </si>
  <si>
    <t>Jennifer L. Sayson, RMT</t>
  </si>
  <si>
    <t>https://www.jotform.com/uploads/macarewecare/222927978372067/5923698991118272112/5923698991118272112_signature_31.png</t>
  </si>
  <si>
    <t>Due for Annual Calibrations</t>
  </si>
  <si>
    <t>Conduct Preventive Maintenance on genexpert machine 
Conduct calibration on four modules 
Generate IQR, System, Gxx files, Assay Statistics
Need additional filter</t>
  </si>
  <si>
    <t>All modules passed except module  3  Serial Number 786755 failed</t>
  </si>
  <si>
    <t>https://www.jotform.com/uploads/macarewecare/222927978372067/5923692581114344222/5923692581114344222_signature_28.png</t>
  </si>
  <si>
    <t>https://www.jotform.com/uploads/macarewecare/222927978372067/5923692581114344222/5923692581114344222_signature_31.png</t>
  </si>
  <si>
    <t>https://www.jotform.com/uploads/macarewecare/222927978372067/5923597501295530094/5923597501295530094_signature_28.png</t>
  </si>
  <si>
    <t>Ivan</t>
  </si>
  <si>
    <t>https://www.jotform.com/uploads/macarewecare/222927978372067/5923597501295530094/5923597501295530094_signature_31.png</t>
  </si>
  <si>
    <t>https://www.jotform.com/uploads/macarewecare/222927978372067/5923597001293284047/5923597001293284047_signature_28.png</t>
  </si>
  <si>
    <t>https://www.jotform.com/uploads/macarewecare/222927978372067/5923597001293284047/5923597001293284047_signature_31.png</t>
  </si>
  <si>
    <t>Pritil St. Binangonan, Rizal</t>
  </si>
  <si>
    <t>All modules operational. Module B4 service required.</t>
  </si>
  <si>
    <t>https://www.jotform.com/uploads/macarewecare/222927978372067/5923548196182120032/5923548196182120032_signature_28.png</t>
  </si>
  <si>
    <t>Jenalyn Antiporda</t>
  </si>
  <si>
    <t>https://www.jotform.com/uploads/macarewecare/222927978372067/5923548196182120032/5923548196182120032_signature_31.png</t>
  </si>
  <si>
    <t>Agusan del Norte Provincial Health Office</t>
  </si>
  <si>
    <t>ronniebalansag74@gmail.com</t>
  </si>
  <si>
    <t>Installation of GeneXpert 6-colors and peripherals.</t>
  </si>
  <si>
    <t>https://www.jotform.com/uploads/macarewecare/222927978372067/5923501249224015567/5923501249224015567_signature_28.png</t>
  </si>
  <si>
    <t>Ronnie M. Balansag</t>
  </si>
  <si>
    <t>https://www.jotform.com/uploads/macarewecare/222927978372067/5923501249224015567/5923501249224015567_signature_31.png</t>
  </si>
  <si>
    <t>Margosatubig Regional Hospital, Zamboanga del sur</t>
  </si>
  <si>
    <t>cherylpuludo@gmail.com</t>
  </si>
  <si>
    <t>GX 4 / 10c</t>
  </si>
  <si>
    <t>Installation of Genexpert Machine GX 4 (10c).</t>
  </si>
  <si>
    <t>https://www.jotform.com/uploads/macarewecare/222927978372067/5923471853561017102/5923471853561017102_signature_28.png</t>
  </si>
  <si>
    <t>Cheryl Pulido</t>
  </si>
  <si>
    <t>https://www.jotform.com/uploads/macarewecare/222927978372067/5923471853561017102/5923471853561017102_signature_31.png</t>
  </si>
  <si>
    <t>Cleaned unit
Checked program parameters
Checked and adjust line sensor value
Adjust bowl optics value
Checked rollers,dpm,spm,centrifuge
Performed functionality test
Performed simulation running</t>
  </si>
  <si>
    <t>https://www.jotform.com/uploads/macarewecare/222927978372067/5923449689428200624/5923449689428200624_signature_28.png</t>
  </si>
  <si>
    <t>https://www.jotform.com/uploads/macarewecare/222927978372067/5923449689428200624/5923449689428200624_signature_31.png</t>
  </si>
  <si>
    <t>https://www.jotform.com/uploads/macarewecare/222927978372067/5923449299423667967/5923449299423667967_signature_28.png</t>
  </si>
  <si>
    <t>https://www.jotform.com/uploads/macarewecare/222927978372067/5923449299423667967/5923449299423667967_signature_31.png</t>
  </si>
  <si>
    <t>Manila East Rd, Binangonan, Rizal</t>
  </si>
  <si>
    <t>devera.dexter@gmail.com</t>
  </si>
  <si>
    <t>https://www.jotform.com/uploads/macarewecare/222927978372067/5923447282574825527/5923447282574825527_signature_28.png</t>
  </si>
  <si>
    <t>Dexter P. De Vera</t>
  </si>
  <si>
    <t>https://www.jotform.com/uploads/macarewecare/222927978372067/5923447282574825527/5923447282574825527_signature_31.png</t>
  </si>
  <si>
    <t xml:space="preserve">ASSAY: Xpert MTB/RIF Ultra, COUNT: 2250
</t>
  </si>
  <si>
    <t>All modules operational. Modules B1, B3 and B4 passed. Module B2 newly replaced.</t>
  </si>
  <si>
    <t>https://www.jotform.com/uploads/macarewecare/222927978372067/5923447282575025548/5923447282575025548_signature_28.png</t>
  </si>
  <si>
    <t>https://www.jotform.com/uploads/macarewecare/222927978372067/5923447282575025548/5923447282575025548_signature_31.png</t>
  </si>
  <si>
    <t xml:space="preserve">ASSAY: Xpert MTB/RIF Ultra, COUNT: 1697
ASSAY: Xpert HIV-1 Viral Load, COUNT: 345
</t>
  </si>
  <si>
    <t>Performed maintenance 
Cleaned: 
-cartridge bay 
-plunger rod 
-icore 
-filter
Checked module A1
Generated reports</t>
  </si>
  <si>
    <t>Unit is operational. Module A1/650238 not operational, for reporting.</t>
  </si>
  <si>
    <t>https://www.jotform.com/uploads/macarewecare/222927978372067/5923447162575721895/5923447162575721895_signature_28.png</t>
  </si>
  <si>
    <t>Lou Tomas</t>
  </si>
  <si>
    <t>https://www.jotform.com/uploads/macarewecare/222927978372067/5923447162575721895/5923447162575721895_signature_31.png</t>
  </si>
  <si>
    <t>Shoe Ave., Marikina</t>
  </si>
  <si>
    <t xml:space="preserve">ASSAY: Xpert MTB/RIF Ultra, COUNT: 193
ASSAY: Xpert HIV-1 Viral Load, COUNT: 4
</t>
  </si>
  <si>
    <t>https://www.jotform.com/uploads/macarewecare/222927978372067/5923447152571580885/5923447152571580885_signature_28.png</t>
  </si>
  <si>
    <t>https://www.jotform.com/uploads/macarewecare/222927978372067/5923447152571580885/5923447152571580885_signature_31.png</t>
  </si>
  <si>
    <t xml:space="preserve">ASSAY: Xpert MTB/RIF Ultra, COUNT: 294
ASSAY: Xpert HIV-1 Viral Load, COUNT: 24
</t>
  </si>
  <si>
    <t>https://www.jotform.com/uploads/macarewecare/222927978372067/5923447152573529761/5923447152573529761_signature_28.png</t>
  </si>
  <si>
    <t>https://www.jotform.com/uploads/macarewecare/222927978372067/5923447152573529761/5923447152573529761_signature_31.png</t>
  </si>
  <si>
    <t xml:space="preserve">ASSAY: Xpert MTB/RIF, COUNT: 779
</t>
  </si>
  <si>
    <t>https://www.jotform.com/uploads/macarewecare/222927978372067/5923447152575489442/5923447152575489442_signature_28.png</t>
  </si>
  <si>
    <t>https://www.jotform.com/uploads/macarewecare/222927978372067/5923447152575489442/5923447152575489442_signature_31.png</t>
  </si>
  <si>
    <t>https://www.jotform.com/uploads/macarewecare/222927978372067/5923447152578706179/5923447152578706179_signature_28.png</t>
  </si>
  <si>
    <t>https://www.jotform.com/uploads/macarewecare/222927978372067/5923447152578706179/5923447152578706179_signature_31.png</t>
  </si>
  <si>
    <t>Bagong Silang Ph. 1 Health Center</t>
  </si>
  <si>
    <t>Bagong Silang, Caloocan</t>
  </si>
  <si>
    <t>alcaydeirene07@gmail.com</t>
  </si>
  <si>
    <t xml:space="preserve">ASSAY: Xpert MTB/RIF Ultra, COUNT: 2780
</t>
  </si>
  <si>
    <t>Unit is operational
B1: passed
B2: passed
B3: newly replaced
B4: newly replaced</t>
  </si>
  <si>
    <t>https://www.jotform.com/uploads/macarewecare/222927978372067/5923432596725501906/5923432596725501906_signature_28.png</t>
  </si>
  <si>
    <t>Irene Alcayde</t>
  </si>
  <si>
    <t>https://www.jotform.com/uploads/macarewecare/222927978372067/5923432596725501906/5923432596725501906_signature_31.png</t>
  </si>
  <si>
    <t xml:space="preserve">ASSAY: Xpert MTB/RIF Ultra, COUNT: 427
ASSAY: Xpert HIV-1 Viral Load, COUNT: 1097
</t>
  </si>
  <si>
    <t>Replaced module A2 by 756790</t>
  </si>
  <si>
    <t>GeneXpert Module
SN: 756790</t>
  </si>
  <si>
    <t>https://www.jotform.com/uploads/macarewecare/222927978372067/5923432596728602686/5923432596728602686_signature_28.png</t>
  </si>
  <si>
    <t>https://www.jotform.com/uploads/macarewecare/222927978372067/5923432596728602686/5923432596728602686_signature_31.png</t>
  </si>
  <si>
    <t>Maysan 3S Health Center</t>
  </si>
  <si>
    <t>Maysan, Valenzuela</t>
  </si>
  <si>
    <t>GeneXpert Workstation not booting up</t>
  </si>
  <si>
    <t>Replaced BIOS battery
Reset internal connections</t>
  </si>
  <si>
    <t>Unit is not operational
GX desktop not booting up
Desktop is recommended for repair/replacement</t>
  </si>
  <si>
    <t>https://www.jotform.com/uploads/macarewecare/222927978372067/5923432596729084357/5923432596729084357_signature_28.png</t>
  </si>
  <si>
    <t>https://www.jotform.com/uploads/macarewecare/222927978372067/5923432596729084357/5923432596729084357_signature_31.png</t>
  </si>
  <si>
    <t>https://www.jotform.com/uploads/macarewecare/222927978372067/5923420024508931803/5923420024508931803_signature_28.png</t>
  </si>
  <si>
    <t>https://www.jotform.com/uploads/macarewecare/222927978372067/5923420024508931803/5923420024508931803_signature_31.png</t>
  </si>
  <si>
    <t>Butuan Medical Center</t>
  </si>
  <si>
    <t>KM 5, Baan, Butuan City</t>
  </si>
  <si>
    <t>Module B2 and B4 found error in temperature</t>
  </si>
  <si>
    <t>Troubleshooting of Module B2 using XPC
Data Collection
Preventive Maintenance</t>
  </si>
  <si>
    <t>2 modules working and 2 modules for replacement</t>
  </si>
  <si>
    <t>https://www.jotform.com/uploads/macarewecare/222927978372067/5923419404504551525/5923419404504551525_signature_28.png</t>
  </si>
  <si>
    <t>https://www.jotform.com/uploads/macarewecare/222927978372067/5923419404504551525/5923419404504551525_signature_31.png</t>
  </si>
  <si>
    <t xml:space="preserve">ASSAY: Xpert BCR-ABL Ultra, COUNT: 53
ASSAY: Others, COUNT: 5
ASSAY: Xpert HBV VL, COUNT: 27
ASSAY: Xpert HPV, COUNT: 1
ASSAY: Xpert HPV, COUNT: 3
ASSAY: Xpert MTB/RIF Ultra, COUNT: 41
ASSAY: Xpert HCV VL, COUNT: 9
</t>
  </si>
  <si>
    <t>B2 operational
B1,B3,B4 disabled</t>
  </si>
  <si>
    <t>https://www.jotform.com/uploads/macarewecare/222927978372067/5923404789427377456/5923404789427377456_signature_28.png</t>
  </si>
  <si>
    <t>https://www.jotform.com/uploads/macarewecare/222927978372067/5923404789427377456/5923404789427377456_signature_31.png</t>
  </si>
  <si>
    <t xml:space="preserve">ASSAY: Xpert CT/NG, COUNT: 6
ASSAY: Others, COUNT: 12
ASSAY: Xpert HPV, COUNT: 42
ASSAY: Xpert MTB/RIF Ultra, COUNT: 178
ASSAY: Xpert HCV VL, COUNT: 12
</t>
  </si>
  <si>
    <t>Due for maintenance, A1 A2,B1,B3,C1,C2,C3,C4 disaabled due of continous error loss communication error 
B4 temp error 4009,4012,4017,4010</t>
  </si>
  <si>
    <t>9 modules disable due to error 3 module operational A3,A4,B2</t>
  </si>
  <si>
    <t>https://www.jotform.com/uploads/macarewecare/222927978372067/5923404379421891922/5923404379421891922_signature_28.png</t>
  </si>
  <si>
    <t>https://www.jotform.com/uploads/macarewecare/222927978372067/5923404379421891922/5923404379421891922_signature_31.png</t>
  </si>
  <si>
    <t xml:space="preserve">ASSAY: Xpert BCR-ABL Ultra, COUNT: 1375
ASSAY: Others, COUNT: 75
ASSAY: Xpert HBV VL, COUNT: 1004
ASSAY: Xpert HPV, COUNT: 90
ASSAY: Xpert MTB/RIF Ultra, COUNT: 2298
ASSAY: Xpert SARS-CoV-2, COUNT: 15034
ASSAY: Xpert HCV VL, COUNT: 126
</t>
  </si>
  <si>
    <t>A1 encounter temp error 1002/4017
C2 encounter temp error 4010
D2,A2,A4 reported already confirmed for replacement
For maintenance</t>
  </si>
  <si>
    <t>11 module operational
5 modules disable due to temp error</t>
  </si>
  <si>
    <t>A1 and C2 for reporting</t>
  </si>
  <si>
    <t>https://www.jotform.com/uploads/macarewecare/222927978372067/5923403889422392352/5923403889422392352_signature_28.png</t>
  </si>
  <si>
    <t>https://www.jotform.com/uploads/macarewecare/222927978372067/5923403889422392352/5923403889422392352_signature_31.png</t>
  </si>
  <si>
    <t>Binan City Health Office 2</t>
  </si>
  <si>
    <t>eloicyparra@gmail.com</t>
  </si>
  <si>
    <t>Unit for preventive maintenance.
For module replacement of module</t>
  </si>
  <si>
    <t>GX module A1 (627235) in replacement to defective A1 (783692).</t>
  </si>
  <si>
    <t>https://www.jotform.com/uploads/macarewecare/222927978372067/5923381155125614353/5923381155125614353_signature_28.png</t>
  </si>
  <si>
    <t>Elizabeth de Pedro</t>
  </si>
  <si>
    <t>https://www.jotform.com/uploads/macarewecare/222927978372067/5923381155125614353/5923381155125614353_signature_31.png</t>
  </si>
  <si>
    <t>San Pedro RHU 2</t>
  </si>
  <si>
    <t>miraquely@gmail.com</t>
  </si>
  <si>
    <t>Unit for preventive maintenance.
For module replacement of module A4.</t>
  </si>
  <si>
    <t>GX module A4 (619830) in replacement to defectivr A4 (883941).</t>
  </si>
  <si>
    <t>https://www.jotform.com/uploads/macarewecare/222927978372067/5923378445129595467/5923378445129595467_signature_28.png</t>
  </si>
  <si>
    <t>MIRAQUEL GUIAO YUZON</t>
  </si>
  <si>
    <t>https://www.jotform.com/uploads/macarewecare/222927978372067/5923378445129595467/5923378445129595467_signature_31.png</t>
  </si>
  <si>
    <t>Dingalan Community Hospital</t>
  </si>
  <si>
    <t>Caragsacan, Dingalan, Aurora</t>
  </si>
  <si>
    <t>pajarilloerwin@gmail.com</t>
  </si>
  <si>
    <t>https://www.jotform.com/uploads/macarewecare/222927978372067/5923374485717517806/5923374485717517806_signature_28.png</t>
  </si>
  <si>
    <t>Erwin Pajarillo</t>
  </si>
  <si>
    <t>https://www.jotform.com/uploads/macarewecare/222927978372067/5923374485717517806/5923374485717517806_signature_31.png</t>
  </si>
  <si>
    <t xml:space="preserve">ASSAY: Xpert MTB/RIF Ultra, COUNT: 2069
ASSAY: Xpert HIV-1 Viral Load, COUNT: 77
</t>
  </si>
  <si>
    <t>Module 3 and 4 H/W failed</t>
  </si>
  <si>
    <t>Replaced module 614393 and 627052 with Module 769480 and 606863 respectively. Preventive Maintenance.</t>
  </si>
  <si>
    <t>https://www.jotform.com/uploads/macarewecare/222927978372067/5923365323565777430/5923365323565777430_signature_28.png</t>
  </si>
  <si>
    <t>https://www.jotform.com/uploads/macarewecare/222927978372067/5923365323565777430/5923365323565777430_signature_31.png</t>
  </si>
  <si>
    <t>dinahada70@gmail.com</t>
  </si>
  <si>
    <t>- Performed preventive maintenance 
- Disassembled unit and packed
Genexpert SN/807566
CPU SN/2UA381GQJ
UPS SN/40022022002</t>
  </si>
  <si>
    <t>https://www.jotform.com/uploads/macarewecare/222927978372067/5923362288854493655/5923362288854493655_signature_28.png</t>
  </si>
  <si>
    <t>Dinah F. Ada,RMT</t>
  </si>
  <si>
    <t>https://www.jotform.com/uploads/macarewecare/222927978372067/5923362288854493655/5923362288854493655_signature_31.png</t>
  </si>
  <si>
    <t xml:space="preserve">ASSAY: Xpert MTB/RIF Ultra, COUNT: 2683
ASSAY: Xpert HIV-1 Viral Load, COUNT: 1728
</t>
  </si>
  <si>
    <t>Module B1 reported for multiple temperature related error
Module B3, encounter temperature related errors
For Preventive Maintenance</t>
  </si>
  <si>
    <t>Replaced the Defective Module SN:210068532 with new Module SN: 725035
Clean Surface Area, Cartridge Bay, Plunger Rod, Fan Filters and Icore Lenses
Generate IQR, Assay Stat and System Log
Run XpertCheck on Module B3</t>
  </si>
  <si>
    <t>Perform Module Replacement
Perform Preventive Maintenance 
Perform Xpertcheck for error verification on Module B3</t>
  </si>
  <si>
    <t>Module B3 for Service Required, temporarily Disabled
Only Three Modules are operational</t>
  </si>
  <si>
    <t>https://www.jotform.com/uploads/macarewecare/222927978372067/5923357232659036608/5923357232659036608_signature_28.png</t>
  </si>
  <si>
    <t>Heart Hellenic S. Descallar</t>
  </si>
  <si>
    <t>https://www.jotform.com/uploads/macarewecare/222927978372067/5923357232659036608/5923357232659036608_signature_31.png</t>
  </si>
  <si>
    <t>- install new Genexpert 10c
SN: 120000480
- CPU SN/CPH0523F42151
- LCD Monitor SN/V5FTG709
- Printer SN/CNB1RBK7P2
- UPS SN/SKPH2KV23910070</t>
  </si>
  <si>
    <t>- Gexpert SN: 120000480
- CPU SN/CPH0523F42151
- LCD Monitor SN/V5FTG709
- Printer SN/CNB1RBK7P2
- UPS SN/SKPH2KV23910070</t>
  </si>
  <si>
    <t>https://www.jotform.com/uploads/macarewecare/222927978372067/5923356688858474487/5923356688858474487_signature_28.png</t>
  </si>
  <si>
    <t>Dinah F. Ada</t>
  </si>
  <si>
    <t>https://www.jotform.com/uploads/macarewecare/222927978372067/5923356688858474487/5923356688858474487_signature_31.png</t>
  </si>
  <si>
    <t>Dumalinao Rural Health Unit</t>
  </si>
  <si>
    <t>Purok talisay barangay pagasa dumalinao ZDS</t>
  </si>
  <si>
    <t>ryannjamesbalasabas@gmail.com</t>
  </si>
  <si>
    <t xml:space="preserve">ASSAY: Xpert MTB/RIF Ultra, COUNT: 511
</t>
  </si>
  <si>
    <t>Module 1 hardware failed</t>
  </si>
  <si>
    <t>Replaced module 909829 with Module 701981</t>
  </si>
  <si>
    <t>https://www.jotform.com/uploads/macarewecare/222927978372067/5923328643568009371/5923328643568009371_signature_28.png</t>
  </si>
  <si>
    <t>RYANN JAMES BALASABAS</t>
  </si>
  <si>
    <t>https://www.jotform.com/uploads/macarewecare/222927978372067/5923328643568009371/5923328643568009371_signature_31.png</t>
  </si>
  <si>
    <t>Gabaldon Rural Health Unit</t>
  </si>
  <si>
    <t>South Poblacion, Gabaldon, Nueva Ecija</t>
  </si>
  <si>
    <t>chinablue_12@yahoo.com</t>
  </si>
  <si>
    <t>Module 1 and 2 error</t>
  </si>
  <si>
    <t>Performed Module Replacement
B1(787168 - 676771)
B2(787169 - 677244)</t>
  </si>
  <si>
    <t>https://www.jotform.com/uploads/macarewecare/222927978372067/5923319892515642568/5923319892515642568_signature_28.png</t>
  </si>
  <si>
    <t>Helen Grace Parungao</t>
  </si>
  <si>
    <t>https://www.jotform.com/uploads/macarewecare/222927978372067/5923319892515642568/5923319892515642568_signature_31.png</t>
  </si>
  <si>
    <t xml:space="preserve">ASSAY: Xpert HPV, COUNT: 76
ASSAY: Xpert MTB/RIF Ultra, COUNT: 3359
ASSAY: Xpert HIV-1 Viral Load, COUNT: 472
</t>
  </si>
  <si>
    <t>Still waiting for module A4 replacement. Other modules are functional.</t>
  </si>
  <si>
    <t>https://www.jotform.com/uploads/macarewecare/222927978372067/5923298478178927842/5923298478178927842_signature_28.png</t>
  </si>
  <si>
    <t>Sarah Nicole Aurea Merino</t>
  </si>
  <si>
    <t>https://www.jotform.com/uploads/macarewecare/222927978372067/5923298478178927842/5923298478178927842_signature_31.png</t>
  </si>
  <si>
    <t>vsmmdeptpatho.microbiology@gmail.com</t>
  </si>
  <si>
    <t xml:space="preserve">ASSAY: Xpert HPV, COUNT: 41
ASSAY: Xpert MTB/RIF Ultra, COUNT: 3273
ASSAY: Xpert HIV-1 Viral Load, COUNT: 429
</t>
  </si>
  <si>
    <t>https://www.jotform.com/uploads/macarewecare/222927978372067/5923298478176098560/5923298478176098560_signature_28.png</t>
  </si>
  <si>
    <t>https://www.jotform.com/uploads/macarewecare/222927978372067/5923298478176098560/5923298478176098560_signature_31.png</t>
  </si>
  <si>
    <t>Baretto St. Calamba Laguna</t>
  </si>
  <si>
    <t>https://www.jotform.com/uploads/macarewecare/222927978372067/5923254831953021256/5923254831953021256_signature_28.png</t>
  </si>
  <si>
    <t>https://www.jotform.com/uploads/macarewecare/222927978372067/5923254831953021256/5923254831953021256_signature_31.png</t>
  </si>
  <si>
    <t>https://www.jotform.com/uploads/macarewecare/222927978372067/5923254311953857082/5923254311953857082_signature_28.png</t>
  </si>
  <si>
    <t>https://www.jotform.com/uploads/macarewecare/222927978372067/5923254311953857082/5923254311953857082_signature_31.png</t>
  </si>
  <si>
    <t xml:space="preserve">ASSAY: Xpert SARS-CoV-2, COUNT: 2108
</t>
  </si>
  <si>
    <t>Due for maintenance 
B4: H/W Failed</t>
  </si>
  <si>
    <t>Unit is operational except B4</t>
  </si>
  <si>
    <t>https://www.jotform.com/uploads/macarewecare/222927978372067/5923253708316642115/5923253708316642115_signature_28.png</t>
  </si>
  <si>
    <t>https://www.jotform.com/uploads/macarewecare/222927978372067/5923253708316642115/5923253708316642115_signature_31.png</t>
  </si>
  <si>
    <t xml:space="preserve">ASSAY: Xpert MTB/RIF Ultra, COUNT: 1350
</t>
  </si>
  <si>
    <t>Reset module 4 due to self-test error 4009.</t>
  </si>
  <si>
    <t>Reset module 4 due to self-test error 4009.
Generate IQR, System log, Assay Statistics</t>
  </si>
  <si>
    <t>All module are available for test.</t>
  </si>
  <si>
    <t>https://www.jotform.com/uploads/macarewecare/222927978372067/5922788121112404141/5922788121112404141_signature_28.png</t>
  </si>
  <si>
    <t>https://www.jotform.com/uploads/macarewecare/222927978372067/5922788121112404141/5922788121112404141_signature_31.png</t>
  </si>
  <si>
    <t xml:space="preserve">ASSAY: Xpert MTB/RIF Ultra, COUNT: 1208
</t>
  </si>
  <si>
    <t>A3: 636534 error 2014
Due for maintenance</t>
  </si>
  <si>
    <t>Unit is operational 
A3: 6363534 for reporting</t>
  </si>
  <si>
    <t>https://www.jotform.com/uploads/macarewecare/222927978372067/5922786048128506531/5922786048128506531_signature_28.png</t>
  </si>
  <si>
    <t>Rodenn Eduvala</t>
  </si>
  <si>
    <t>https://www.jotform.com/uploads/macarewecare/222927978372067/5922786048128506531/5922786048128506531_signature_31.png</t>
  </si>
  <si>
    <t>Balanga Rural Health Unit</t>
  </si>
  <si>
    <t>Samaguita St. Brgy. San Jose Balanga City, Bataan</t>
  </si>
  <si>
    <t>cho.melaniealonzo@gmail.com</t>
  </si>
  <si>
    <t xml:space="preserve">ASSAY: Xpert MTB/RIF Ultra, COUNT: 732
</t>
  </si>
  <si>
    <t>CPU start up error
Date and Time not syncing 
Due for calibration</t>
  </si>
  <si>
    <t>Repair( CMOS  replacement)
Xpertcheck</t>
  </si>
  <si>
    <t>Performed CMOS battery replacement 
Performed surface cleaning 
Performed cleaning of plunger rod, cartridge bay, icore and filter 
Archived test results 
Performed calibration 
Performed functionality test 
Gathered reports</t>
  </si>
  <si>
    <t>Unit is operational 
2 modules passed calibration</t>
  </si>
  <si>
    <t>2 genexpert kit</t>
  </si>
  <si>
    <t>https://www.jotform.com/uploads/macarewecare/222927978372067/5922785628127824941/5922785628127824941_signature_28.png</t>
  </si>
  <si>
    <t>Melanie Alonzo</t>
  </si>
  <si>
    <t>https://www.jotform.com/uploads/macarewecare/222927978372067/5922785628127824941/5922785628127824941_signature_31.png</t>
  </si>
  <si>
    <t>haelgermones18@gmail.com</t>
  </si>
  <si>
    <t>GX4-6C for Installation</t>
  </si>
  <si>
    <t>Installed/set-up GX4-6C(804257), Monitor, CPU, UPS, Printer, Barcode Scanner
Checked/adjust user information 
Generate report</t>
  </si>
  <si>
    <t>Installed Gx4-6C</t>
  </si>
  <si>
    <t>https://www.jotform.com/uploads/macarewecare/222927978372067/5922651428916081601/5922651428916081601_signature_28.png</t>
  </si>
  <si>
    <t>https://www.jotform.com/uploads/macarewecare/222927978372067/5922651428916081601/5922651428916081601_signature_31.png</t>
  </si>
  <si>
    <t>N. Zamora St. Tondo Manila</t>
  </si>
  <si>
    <t>For troubleshooting of UPS.</t>
  </si>
  <si>
    <t>Performed troubleshooting of UPS.
Generated reports.</t>
  </si>
  <si>
    <t>Unit is operational. UPS Accu power (AT1000180910ST0206) not backing up, for replacement of batttery or UPS.</t>
  </si>
  <si>
    <t>https://www.jotform.com/uploads/macarewecare/222927978372067/5922616749517187187/5922616749517187187_signature_28.png</t>
  </si>
  <si>
    <t>Lorina Lontoc</t>
  </si>
  <si>
    <t>https://www.jotform.com/uploads/macarewecare/222927978372067/5922616749517187187/5922616749517187187_signature_31.png</t>
  </si>
  <si>
    <t xml:space="preserve">ASSAY: Xpert HPV, COUNT: 30
ASSAY: Xpert MTB/RIF Ultra, COUNT: 3
ASSAY: Xpert SARS-CoV-2, COUNT: 917
ASSAY: Xpert HIV-1 Viral Load, COUNT: 2
</t>
  </si>
  <si>
    <t>Performed maintenance 
Cleaned:
- cartridge bay 
-plunger rod 
-icore
-filter
Checked module C3
Generated reports</t>
  </si>
  <si>
    <t>Unit is operational. Modules A1/860941, A2/860940, B3/702534, B4/860923, C2/668748, D2/620837, D4/661946 and C3/662448, reported already.</t>
  </si>
  <si>
    <t>https://www.jotform.com/uploads/macarewecare/222927978372067/5922596903462069306/5922596903462069306_signature_28.png</t>
  </si>
  <si>
    <t>https://www.jotform.com/uploads/macarewecare/222927978372067/5922596903462069306/5922596903462069306_signature_31.png</t>
  </si>
  <si>
    <t>Bais District Hospital</t>
  </si>
  <si>
    <t>Bry. Poblacion</t>
  </si>
  <si>
    <t>Module B3 with serial number 878813 hardware fail.</t>
  </si>
  <si>
    <t>Replace module B3.</t>
  </si>
  <si>
    <t>Replace module B3 with new serial number 706241</t>
  </si>
  <si>
    <t>All modules ok to use.</t>
  </si>
  <si>
    <t>https://www.jotform.com/uploads/macarewecare/222927978372067/5922567134103154798/5922567134103154798_signature_28.png</t>
  </si>
  <si>
    <t>https://www.jotform.com/uploads/macarewecare/222927978372067/5922567134103154798/5922567134103154798_signature_31.png</t>
  </si>
  <si>
    <t xml:space="preserve">ASSAY: Xpert MTB/RIF Ultra, COUNT: 2005
</t>
  </si>
  <si>
    <t>Unit is Operational 
- Module B2 for service required 
- UPS not working</t>
  </si>
  <si>
    <t>https://www.jotform.com/uploads/macarewecare/222927978372067/5922564884816496982/5922564884816496982_signature_28.png</t>
  </si>
  <si>
    <t>https://www.jotform.com/uploads/macarewecare/222927978372067/5922564884816496982/5922564884816496982_signature_31.png</t>
  </si>
  <si>
    <t>8 Malac St., Masambong, Quezon City, Metro Manila</t>
  </si>
  <si>
    <t>ichellebonrostro@gmail.com</t>
  </si>
  <si>
    <t xml:space="preserve">ASSAY: Xpert MTB/RIF Ultra, COUNT: 2032
</t>
  </si>
  <si>
    <t>Performed Preventive Maintenance 
Performed Xpertcheck</t>
  </si>
  <si>
    <t>Checked and cleaned cartridge bays, plunger rod, icore slot and filter
Performed Xpertcheck on modules B1, B2 and B3
B4 newly replaced
Generated report</t>
  </si>
  <si>
    <t>Unit is operational 
B1: Failed
B2: Passed
B3: Passed
B4: Newly replaced</t>
  </si>
  <si>
    <t>DR 48175</t>
  </si>
  <si>
    <t>https://www.jotform.com/uploads/macarewecare/222927978372067/5922555221323128290/5922555221323128290_signature_28.png</t>
  </si>
  <si>
    <t>https://www.jotform.com/uploads/macarewecare/222927978372067/5922555221323128290/5922555221323128290_signature_31.png</t>
  </si>
  <si>
    <t>Western Pangasinan District Hospital</t>
  </si>
  <si>
    <t>Alaminos Pangasinan</t>
  </si>
  <si>
    <t>CALIBRATION
MAINTENANCE
6C Machine Disassembly</t>
  </si>
  <si>
    <t>wpdhlab@gmail.com</t>
  </si>
  <si>
    <t xml:space="preserve">ASSAY: Xpert MTB/RIF Ultra, COUNT: 1912
</t>
  </si>
  <si>
    <t>Due for Calibration 
Machine Disassembly</t>
  </si>
  <si>
    <t>Preventive maintenance 
Xpertcheck 
Disassembly and packing</t>
  </si>
  <si>
    <t>Performed surface cleaning 
Performed cleaning of plunger rod, cartridge bay, icore and filter 
Archived test results 
Performed xpertcheck 
Performed functionality test 
Gathered reports
Performed machine Disassembly and Packing</t>
  </si>
  <si>
    <t>Unit is operational 
Module A2 and A3 unsupported for xpertcheck 
Module A1 abd A4 passed calibration</t>
  </si>
  <si>
    <t>Machine is packed and ready for pickup</t>
  </si>
  <si>
    <t>https://www.jotform.com/uploads/macarewecare/222927978372067/5922510270817986183/5922510270817986183_signature_28.png</t>
  </si>
  <si>
    <t>Czarina Catabay</t>
  </si>
  <si>
    <t>https://www.jotform.com/uploads/macarewecare/222927978372067/5922510270817986183/5922510270817986183_signature_31.png</t>
  </si>
  <si>
    <t>Kabacan Rural Health Unit</t>
  </si>
  <si>
    <t>Poblacion, Kabacan North Cotabato</t>
  </si>
  <si>
    <t>Tb-Lab x</t>
  </si>
  <si>
    <t>yayo_kmsi@yahoo.com</t>
  </si>
  <si>
    <t>Gx-IV (2modules)</t>
  </si>
  <si>
    <t>Replace defective module 2 SN:788903 with new module SN: 779279
Genexpert machine Cleaning 
Checking of errors 
Data collection</t>
  </si>
  <si>
    <t>Genexpert module 6-color SN:779279</t>
  </si>
  <si>
    <t>SN:779279</t>
  </si>
  <si>
    <t>https://www.jotform.com/uploads/macarewecare/222927978372067/5922508613476769074/5922508613476769074_signature_28.png</t>
  </si>
  <si>
    <t>Joan A Sangines</t>
  </si>
  <si>
    <t>https://www.jotform.com/uploads/macarewecare/222927978372067/5922508613476769074/5922508613476769074_signature_31.png</t>
  </si>
  <si>
    <t>Valentina G. Plaza Memorial Hospital</t>
  </si>
  <si>
    <t>San Teodoro, Bunawan</t>
  </si>
  <si>
    <t>rolandoivanlagapa@gmail.com</t>
  </si>
  <si>
    <t xml:space="preserve">ASSAY: Xpert MTB/RIF Ultra, COUNT: 4743
</t>
  </si>
  <si>
    <t>A3 found temperature errors
Ventillation not recommended</t>
  </si>
  <si>
    <t>Replacing Module A3 with SN: 870956 to SN: 210045941
Preventive Maintenance</t>
  </si>
  <si>
    <t>Ventillation of the site not recommended. Air-condtioning unit is required. System IQR temperature must range (18 to 25 degrees celsius).</t>
  </si>
  <si>
    <t>https://www.jotform.com/uploads/macarewecare/222927978372067/5922502227715537894/5922502227715537894_signature_28.png</t>
  </si>
  <si>
    <t>Rolando P. Lagapa</t>
  </si>
  <si>
    <t>https://www.jotform.com/uploads/macarewecare/222927978372067/5922502227715537894/5922502227715537894_signature_31.png</t>
  </si>
  <si>
    <t>Batobato, San Isidro Davao Oriental</t>
  </si>
  <si>
    <t>kwoc1510@gmail.com</t>
  </si>
  <si>
    <t xml:space="preserve">ASSAY: Xpert MTB/RIF Ultra, COUNT: 220
</t>
  </si>
  <si>
    <t>GX-IV 2D</t>
  </si>
  <si>
    <t>Module B1 for service required
Due for Preventive Maintenance</t>
  </si>
  <si>
    <t>Replaced the Defective Module SN:788659 with new Module SN: 713886
Clean Surface Area, Cartridge Bay, Plunger Rod, Fan Filters and Icore Lenses
Generate IQR, Assay Stat and System Log
Run XpertCheck on Module B2 for error verification</t>
  </si>
  <si>
    <t>Perform Module Repair
Perform Preventive Maintenance</t>
  </si>
  <si>
    <t>https://www.jotform.com/uploads/macarewecare/222927978372067/5922496935212658020/5922496935212658020_signature_28.png</t>
  </si>
  <si>
    <t>Kjell Wenn Cabusao</t>
  </si>
  <si>
    <t>https://www.jotform.com/uploads/macarewecare/222927978372067/5922496935212658020/5922496935212658020_signature_31.png</t>
  </si>
  <si>
    <t>Tinambacan Calbayog City</t>
  </si>
  <si>
    <t xml:space="preserve">ASSAY: Xpert MTB/RIF Ultra, COUNT: 429
</t>
  </si>
  <si>
    <t>-Module B1/787208 defective</t>
  </si>
  <si>
    <t>- Module replacement B1/787208 into B1/716897
- Performed preventive maintenance 
- Cleaned plunger rod, cartridge bay and filter
- Generate reports</t>
  </si>
  <si>
    <t>1 Genexpert 6 color module SN: 716897</t>
  </si>
  <si>
    <t>https://www.jotform.com/uploads/macarewecare/222927978372067/5922468453849339916/5922468453849339916_signature_28.png</t>
  </si>
  <si>
    <t>Stephanie Jis Rosales</t>
  </si>
  <si>
    <t>https://www.jotform.com/uploads/macarewecare/222927978372067/5922468453849339916/5922468453849339916_signature_31.png</t>
  </si>
  <si>
    <t>Guihulngan City Health Office</t>
  </si>
  <si>
    <t>Poblacion Guihulngan</t>
  </si>
  <si>
    <t>kian.macalua06@gmail.com</t>
  </si>
  <si>
    <t>Module B3 with serial number 732888 Hardware fail.</t>
  </si>
  <si>
    <t>Replace new module</t>
  </si>
  <si>
    <t>Replace module B3 with new serial number 624674</t>
  </si>
  <si>
    <t>Module B2, 3,4 ok to use</t>
  </si>
  <si>
    <t>https://www.jotform.com/uploads/macarewecare/222927978372067/5922461009838787879/5922461009838787879_signature_28.png</t>
  </si>
  <si>
    <t>Hyacinth S. Pedillo</t>
  </si>
  <si>
    <t>https://www.jotform.com/uploads/macarewecare/222927978372067/5922461009838787879/5922461009838787879_signature_31.png</t>
  </si>
  <si>
    <t>Bayawan City Health Office</t>
  </si>
  <si>
    <t>Module B1 with SN 607064 failed in XPC.</t>
  </si>
  <si>
    <t>Conduct PM and save files(IQR, System Log, Assay Stats and GXC File)</t>
  </si>
  <si>
    <t>Run Xpert check calibration for 4 modules. Module B1 need service while module B2, B3 &amp; B4 passed in XPC.</t>
  </si>
  <si>
    <t>Module B1 need service while modules B2, B3 and B4 passed in XPC.</t>
  </si>
  <si>
    <t>https://www.jotform.com/uploads/macarewecare/222927978372067/5922452037162027580/5922452037162027580_signature_28.png</t>
  </si>
  <si>
    <t>Lobella T. Ilagan</t>
  </si>
  <si>
    <t>https://www.jotform.com/uploads/macarewecare/222927978372067/5922452037162027580/5922452037162027580_signature_31.png</t>
  </si>
  <si>
    <t>https://www.jotform.com/uploads/macarewecare/222927978372067/5922435768667592585/5922435768667592585_signature_28.png</t>
  </si>
  <si>
    <t>https://www.jotform.com/uploads/macarewecare/222927978372067/5922435768667592585/5922435768667592585_signature_31.png</t>
  </si>
  <si>
    <t>https://www.jotform.com/uploads/macarewecare/222927978372067/5922435308666422293/5922435308666422293_signature_28.png</t>
  </si>
  <si>
    <t>https://www.jotform.com/uploads/macarewecare/222927978372067/5922435308666422293/5922435308666422293_signature_31.png</t>
  </si>
  <si>
    <t>Defective UPS
To be reported by the End User</t>
  </si>
  <si>
    <t>New Genexpert Machine Installation
Install MTB ultra assay
Gathering data, IQR</t>
  </si>
  <si>
    <t>New Genexpert Machine Installation</t>
  </si>
  <si>
    <t>https://www.jotform.com/uploads/macarewecare/222927978372067/5922424892118641994/5922424892118641994_signature_28.png</t>
  </si>
  <si>
    <t>https://www.jotform.com/uploads/macarewecare/222927978372067/5922424892118641994/5922424892118641994_signature_31.png</t>
  </si>
  <si>
    <t>Bagong Pag-Asa Health Center</t>
  </si>
  <si>
    <t>28 Rd 9, Bago Bantay, Quezon City, Metro Manila</t>
  </si>
  <si>
    <t>Labo</t>
  </si>
  <si>
    <t>Printer not working
Unit due maintenance</t>
  </si>
  <si>
    <t>Troubleshoot printer
Performed PM
Performed reliability test</t>
  </si>
  <si>
    <t>Checked and cleaned cartridge bays, plunger rod, icore slot and filter 
Checked Printer
Installed driver
Replaced Ink cartridges 
Performed reliability test 
All modules passed
Generated report</t>
  </si>
  <si>
    <t>Unit is operational.
All modules and printer working</t>
  </si>
  <si>
    <t>https://www.jotform.com/uploads/macarewecare/222927978372067/5922399101323350642/5922399101323350642_signature_28.png</t>
  </si>
  <si>
    <t>LOUISE ANN T. MONTENEGRO</t>
  </si>
  <si>
    <t>https://www.jotform.com/uploads/macarewecare/222927978372067/5922399101323350642/5922399101323350642_signature_31.png</t>
  </si>
  <si>
    <t>Parola Health Center</t>
  </si>
  <si>
    <t>Parola, Tondo Manila</t>
  </si>
  <si>
    <t>Laboatory</t>
  </si>
  <si>
    <t>olartecharlie06@gmail.com</t>
  </si>
  <si>
    <t>GX module B3 (612920) in replacement to defective B3 (661116).</t>
  </si>
  <si>
    <t>https://www.jotform.com/uploads/macarewecare/222927978372067/5922389346428259250/5922389346428259250_signature_28.png</t>
  </si>
  <si>
    <t>Charlie olarte</t>
  </si>
  <si>
    <t>https://www.jotform.com/uploads/macarewecare/222927978372067/5922389346428259250/5922389346428259250_signature_31.png</t>
  </si>
  <si>
    <t>UPS defective during installation</t>
  </si>
  <si>
    <t>Connect to the existing UPS and power up the unit</t>
  </si>
  <si>
    <t>Need new UPS for the new genexpert machine</t>
  </si>
  <si>
    <t>https://www.jotform.com/uploads/macarewecare/222927978372067/5921939229419078170/5921939229419078170_signature_28.png</t>
  </si>
  <si>
    <t>Lucille Potoy, RMT</t>
  </si>
  <si>
    <t>https://www.jotform.com/uploads/macarewecare/222927978372067/5921939229419078170/5921939229419078170_signature_31.png</t>
  </si>
  <si>
    <t>Due for Monthly Preventive Maintenance
Clean up probe, Icore, cartridge docking bay, and filter</t>
  </si>
  <si>
    <t>All units of module are operational</t>
  </si>
  <si>
    <t>https://www.jotform.com/uploads/macarewecare/222927978372067/5921932549417743994/5921932549417743994_signature_28.png</t>
  </si>
  <si>
    <t>https://www.jotform.com/uploads/macarewecare/222927978372067/5921932549417743994/5921932549417743994_signature_31.png</t>
  </si>
  <si>
    <t xml:space="preserve">ASSAY: Xpert MTB/RIF, COUNT: 1219
</t>
  </si>
  <si>
    <t>Module 4 SN # 210093378 Hardware failure</t>
  </si>
  <si>
    <t>Replaced Module 4 SN # 210093378
Generate Installation Qualification Report, System Log, Gxx files, and Assay Statistics
 Calibrate Genexpert machine A1 - Failed, A2/A3 - Passed, 
- Area of the laboratory required additional airconditioning unit to maintain desired room temperature.</t>
  </si>
  <si>
    <t>Replaced Module 4 SN # 210093378
Generate Installation Qualification Report, System Log, Gxx files, and Assay Statistics
- Calibrate Genexpert machine A1 - Failed, A2/A3 - Passed,</t>
  </si>
  <si>
    <t>All Units are operational.
A1 - Failed during calibration.</t>
  </si>
  <si>
    <t>https://www.jotform.com/uploads/macarewecare/222927978372067/5921915949412734000/5921915949412734000_signature_28.png</t>
  </si>
  <si>
    <t>https://www.jotform.com/uploads/macarewecare/222927978372067/5921915949412734000/5921915949412734000_signature_31.png</t>
  </si>
  <si>
    <t xml:space="preserve">ASSAY: Xpert MTB/RIF Ultra, COUNT: 1573
</t>
  </si>
  <si>
    <t>For module replacement b4 684160 - 619325</t>
  </si>
  <si>
    <t>900 -0650rs</t>
  </si>
  <si>
    <t>https://www.jotform.com/uploads/macarewecare/222927978372067/5921831501291274878/5921831501291274878_signature_28.png</t>
  </si>
  <si>
    <t>https://www.jotform.com/uploads/macarewecare/222927978372067/5921831501291274878/5921831501291274878_signature_31.png</t>
  </si>
  <si>
    <t>Dinalupihan Bataan</t>
  </si>
  <si>
    <t>dianalandicho87@gmail.com</t>
  </si>
  <si>
    <t xml:space="preserve">ASSAY: Xpert MTB/RIF Ultra, COUNT: 2244
ASSAY: Xpert HIV-1 Viral Load, COUNT: 49
ASSAY: Xpert HIV-1 Viral Load, COUNT: 41
</t>
  </si>
  <si>
    <t>Due for Calibration 
UPS not Backing Up</t>
  </si>
  <si>
    <t>Xpertcheck 
Preventive maintenance 
Troubleshooting</t>
  </si>
  <si>
    <t>Unit is operational 
UPS for replacement 
All modules passed calibration</t>
  </si>
  <si>
    <t>4 xpertcheck kits</t>
  </si>
  <si>
    <t>https://www.jotform.com/uploads/macarewecare/222927978372067/5921774208691423210/5921774208691423210_signature_28.png</t>
  </si>
  <si>
    <t>Diana Landicho</t>
  </si>
  <si>
    <t>https://www.jotform.com/uploads/macarewecare/222927978372067/5921774208691423210/5921774208691423210_signature_31.png</t>
  </si>
  <si>
    <t>Marihatag District Hospital</t>
  </si>
  <si>
    <t>Pagbahanan II, Poblacion, Marihatag</t>
  </si>
  <si>
    <t>marihatagdh@gmail.com</t>
  </si>
  <si>
    <t>Installation of GeneXpert Machine from Adela Serra Ty Memorial Medical Center</t>
  </si>
  <si>
    <t>https://www.jotform.com/uploads/macarewecare/222927978372067/5921748384657540695/5921748384657540695_signature_28.png</t>
  </si>
  <si>
    <t>Precious Avila</t>
  </si>
  <si>
    <t>https://www.jotform.com/uploads/macarewecare/222927978372067/5921748384657540695/5921748384657540695_signature_31.png</t>
  </si>
  <si>
    <t>39 Don C Revilla St., Pasay, Metro Manila</t>
  </si>
  <si>
    <t>Performed Preventive Maintenance 
Performed reliability test</t>
  </si>
  <si>
    <t>Checked and cleaned cartridge bays, plunger rod, icore slot and filter
Filter for reporting 
Performed reliability test 
All modules passed reliability test
Generated report</t>
  </si>
  <si>
    <t>Unit is operational 
All modules working 
Filter for reporting</t>
  </si>
  <si>
    <t>https://www.jotform.com/uploads/macarewecare/222927978372067/5921745847498217260/5921745847498217260_signature_28.png</t>
  </si>
  <si>
    <t>https://www.jotform.com/uploads/macarewecare/222927978372067/5921745847498217260/5921745847498217260_signature_31.png</t>
  </si>
  <si>
    <t>Governor Celestino Gallares Memorial Hospital</t>
  </si>
  <si>
    <t>TAGBILARAN, BOHOL</t>
  </si>
  <si>
    <t>cyrilxoxocagoco@gmail.com</t>
  </si>
  <si>
    <t xml:space="preserve">ASSAY: Xpert MTB/RIF Ultra, COUNT: 2388
ASSAY: Xpert HIV-1 Viral Load, COUNT: 207
</t>
  </si>
  <si>
    <t>-PERFORM CLEANING OF GX WORKSTATION AND EQUIPMENT
-PERFORM MODULE B1 DEF SN 600529 REPLACEMENT WITH NEW SN 616526</t>
  </si>
  <si>
    <t>https://www.jotform.com/uploads/macarewecare/222927978372067/5921742553417003416/5921742553417003416_signature_28.png</t>
  </si>
  <si>
    <t>Cyril Cagoco, RMT</t>
  </si>
  <si>
    <t>https://www.jotform.com/uploads/macarewecare/222927978372067/5921742553417003416/5921742553417003416_signature_31.png</t>
  </si>
  <si>
    <t>Sumulong Highway, Marikina</t>
  </si>
  <si>
    <t>maricel_c27@yahoo.com</t>
  </si>
  <si>
    <t xml:space="preserve">ASSAY: Xpert MTB/RIF Ultra, COUNT: 4565
</t>
  </si>
  <si>
    <t>Unit is operational. Modules B1 and B4 passed. Modules B2 and B3 not calibrated, out of cartridge due to retry.</t>
  </si>
  <si>
    <t>https://www.jotform.com/uploads/macarewecare/222927978372067/5921733560539607408/5921733560539607408_signature_28.png</t>
  </si>
  <si>
    <t>Maricel Calderon</t>
  </si>
  <si>
    <t>https://www.jotform.com/uploads/macarewecare/222927978372067/5921733560539607408/5921733560539607408_signature_31.png</t>
  </si>
  <si>
    <t xml:space="preserve">ASSAY: Xpert HPV, COUNT: 1
ASSAY: Xpert SARS-CoV-2, COUNT: 2802
</t>
  </si>
  <si>
    <t>Unit is operational. Module A3/891761 not operational, for reporting.</t>
  </si>
  <si>
    <t>https://www.jotform.com/uploads/macarewecare/222927978372067/5921733560539857632/5921733560539857632_signature_28.png</t>
  </si>
  <si>
    <t>https://www.jotform.com/uploads/macarewecare/222927978372067/5921733560539857632/5921733560539857632_signature_31.png</t>
  </si>
  <si>
    <t>Matnog Medicare Hospital</t>
  </si>
  <si>
    <t>Matnog, Sorsogon</t>
  </si>
  <si>
    <t>mtmh@sorsogon.gov.ph</t>
  </si>
  <si>
    <t>GX4-6C 2placer</t>
  </si>
  <si>
    <t>CPU Replacement: CPH0923F44832
Cleeaned Cartridge bays,  plunger rod, icore
Generate reports</t>
  </si>
  <si>
    <t>https://www.jotform.com/uploads/macarewecare/222927978372067/5921718774115066998/5921718774115066998_signature_28.png</t>
  </si>
  <si>
    <t>Mernadith Garcera</t>
  </si>
  <si>
    <t>https://www.jotform.com/uploads/macarewecare/222927978372067/5921718774115066998/5921718774115066998_signature_31.png</t>
  </si>
  <si>
    <t>Nabunturan Rural Health Unit</t>
  </si>
  <si>
    <t>Poblacion, Nabunturan Davao de Oro</t>
  </si>
  <si>
    <t>mbacerraiii@gmail.com</t>
  </si>
  <si>
    <t xml:space="preserve">ASSAY: Xpert MTB/RIF Ultra, COUNT: 1582
</t>
  </si>
  <si>
    <t>Error on Module B3
UPS Not working</t>
  </si>
  <si>
    <t>Clean Surface Area, Cartridge Bay, Plunger Rod, Fan Filters and Icore Lenses
Generate IQR, Assay Stat and System Log
Archived Data test results
Replaced the Defective Module SN:684339 with new Module SN:708660
Check the line voltage of the PSU and reset it connection</t>
  </si>
  <si>
    <t>Perform Module Replacement
Troubleshooting the UPS
Perform Preventive Maintenance</t>
  </si>
  <si>
    <t>All Modules are operational
UPS Still not having an output voltage</t>
  </si>
  <si>
    <t>Error Documented and sent to authorities for further assessment</t>
  </si>
  <si>
    <t>https://www.jotform.com/uploads/macarewecare/222927978372067/5921712705029958282/5921712705029958282_signature_28.png</t>
  </si>
  <si>
    <t>Manuel Bacerra III</t>
  </si>
  <si>
    <t>https://www.jotform.com/uploads/macarewecare/222927978372067/5921712705029958282/5921712705029958282_signature_31.png</t>
  </si>
  <si>
    <t>Almanza Uno Health Center</t>
  </si>
  <si>
    <t>Alabang-Zapote Road, Almanza Uno, Las Piñas</t>
  </si>
  <si>
    <t>milcerpl@gmail.com</t>
  </si>
  <si>
    <t>Checked Outlet Voltage.
Checked Stability of the Table.
Installed GeneXpert System.
Performed Self-test.
Generate Reports.</t>
  </si>
  <si>
    <t>https://www.jotform.com/uploads/macarewecare/222927978372067/5921704290615918098/5921704290615918098_signature_28.png</t>
  </si>
  <si>
    <t>Milcer P. Lladoc</t>
  </si>
  <si>
    <t>https://www.jotform.com/uploads/macarewecare/222927978372067/5921704290615918098/5921704290615918098_signature_31.png</t>
  </si>
  <si>
    <t>Pelaez St., San Dionisio, Parańaque</t>
  </si>
  <si>
    <t xml:space="preserve">ASSAY: Xpert HPV, COUNT: 98
ASSAY: Xpert MTB/RIF Ultra, COUNT: 2017
</t>
  </si>
  <si>
    <t>Modules 2 and 4 with Temperature Error.</t>
  </si>
  <si>
    <t>Replaced Modules 2 and 4.
Performed Self-test.
Cleaned Back Fan of Gx Unit.
Generate Reports.</t>
  </si>
  <si>
    <t>No UPS.</t>
  </si>
  <si>
    <t>https://www.jotform.com/uploads/macarewecare/222927978372067/5921692850614716115/5921692850614716115_signature_28.png</t>
  </si>
  <si>
    <t>https://www.jotform.com/uploads/macarewecare/222927978372067/5921692850614716115/5921692850614716115_signature_31.png</t>
  </si>
  <si>
    <t xml:space="preserve">ASSAY: Xpert HPV, COUNT: 3
ASSAY: Xpert MTB/RIF Ultra, COUNT: 309
</t>
  </si>
  <si>
    <t>https://www.jotform.com/uploads/macarewecare/222927978372067/5921658864228129587/5921658864228129587_signature_28.png</t>
  </si>
  <si>
    <t>https://www.jotform.com/uploads/macarewecare/222927978372067/5921658864228129587/5921658864228129587_signature_31.png</t>
  </si>
  <si>
    <t>Bataan Genaral Hospital and Medical Center</t>
  </si>
  <si>
    <t xml:space="preserve">ASSAY: Xpert HBV VL, COUNT: 17
ASSAY: Xpert SARS-CoV-2, COUNT: 10282
ASSAY: Xpert HIV-1 Viral Load, COUNT: 2
ASSAY: Others, COUNT: 179
</t>
  </si>
  <si>
    <t>C1:686924 
C4: 664590
For module replacement</t>
  </si>
  <si>
    <t>Unit is operational 
C1: 914919(new)
C4: 784107(new)</t>
  </si>
  <si>
    <t>https://www.jotform.com/uploads/macarewecare/222927978372067/5921645507969742420/5921645507969742420_signature_28.png</t>
  </si>
  <si>
    <t>https://www.jotform.com/uploads/macarewecare/222927978372067/5921645507969742420/5921645507969742420_signature_31.png</t>
  </si>
  <si>
    <t>Dr. Garcia St. Sumilang, Pasig</t>
  </si>
  <si>
    <t>maricor.obnamia05@gmail.com</t>
  </si>
  <si>
    <t>Installed the GeneXpert System:
-GeneXpert unit 
-Workstation 
-Barcode Scanner
-Printer
-UPS
Functionality test 
Generated reports</t>
  </si>
  <si>
    <t>Unit is operational. UPS not operational, for replacement.</t>
  </si>
  <si>
    <t>UPS SN: SKPHU2K230910081</t>
  </si>
  <si>
    <t>https://www.jotform.com/uploads/macarewecare/222927978372067/5921604635032632286/5921604635032632286_signature_28.png</t>
  </si>
  <si>
    <t>https://www.jotform.com/uploads/macarewecare/222927978372067/5921604635032632286/5921604635032632286_signature_31.png</t>
  </si>
  <si>
    <t xml:space="preserve">ASSAY: Xpert MTB/RIF Ultra, COUNT: 2295
ASSAY: Xpert HIV-1 Viral Load, COUNT: 73
</t>
  </si>
  <si>
    <t>Unit is operational
B2, B4 for reporting</t>
  </si>
  <si>
    <t>https://www.jotform.com/uploads/macarewecare/222927978372067/5921594366124799652/5921594366124799652_signature_28.png</t>
  </si>
  <si>
    <t>https://www.jotform.com/uploads/macarewecare/222927978372067/5921594366124799652/5921594366124799652_signature_31.png</t>
  </si>
  <si>
    <t>San Jose City Health Center VI</t>
  </si>
  <si>
    <t>theadelrosario1@gmail.com</t>
  </si>
  <si>
    <t xml:space="preserve">ASSAY: Xpert MTB/RIF Ultra, COUNT: 2551
ASSAY: Xpert HIV-1 Viral Load, COUNT: 129
</t>
  </si>
  <si>
    <t>CPU for repair
Unit for calibration
Unit for maintenance</t>
  </si>
  <si>
    <t>Unit is operational
C1: retry
C2: passed
C3: passed
C4: passed</t>
  </si>
  <si>
    <t>https://www.jotform.com/uploads/macarewecare/222927978372067/5921594376124720836/5921594376124720836_signature_28.png</t>
  </si>
  <si>
    <t>Thea Del Rosario</t>
  </si>
  <si>
    <t>https://www.jotform.com/uploads/macarewecare/222927978372067/5921594376124720836/5921594376124720836_signature_31.png</t>
  </si>
  <si>
    <t>San Jose Del Monte City Health Center VI</t>
  </si>
  <si>
    <t xml:space="preserve">ASSAY: Xpert MTB/RIF Ultra, COUNT: 2655
ASSAY: Xpert HIV-1 Viral Load, COUNT: 154
</t>
  </si>
  <si>
    <t>Unit for calibration 
Unit for maintenance</t>
  </si>
  <si>
    <t>Unit is operational 
B1: passed
B2: passed
B3: passed
B4: retry</t>
  </si>
  <si>
    <t>https://www.jotform.com/uploads/macarewecare/222927978372067/5921594376128300709/5921594376128300709_signature_28.png</t>
  </si>
  <si>
    <t>https://www.jotform.com/uploads/macarewecare/222927978372067/5921594376128300709/5921594376128300709_signature_31.png</t>
  </si>
  <si>
    <t>Sobriedad St. Sampaloc Manila</t>
  </si>
  <si>
    <t>Unit for preventive maintenance.
For installation of new monitor.</t>
  </si>
  <si>
    <t>Preventive maintenance and installation of monitor.</t>
  </si>
  <si>
    <t>Performed Preventive Maintenance.
-Cleaned and disinfect plunger
-Cleaned and disinfect cartridge bay
-Cleaned and disinfect instrument surface
-Cleaned icore sensors
-Cleaned filter fan
-Archived test results
Performed installation of monitor.
Generated reports.</t>
  </si>
  <si>
    <t>Dell monitor (CN-0WMYC5-FCC00-34R-ALFX) in replacement to defective HP monitor (CNK629119F).</t>
  </si>
  <si>
    <t>https://www.jotform.com/uploads/macarewecare/222927978372067/5921590280966229695/5921590280966229695_signature_28.png</t>
  </si>
  <si>
    <t>https://www.jotform.com/uploads/macarewecare/222927978372067/5921590280966229695/5921590280966229695_signature_31.png</t>
  </si>
  <si>
    <t>https://www.jotform.com/uploads/macarewecare/222927978372067/5921590280969628710/5921590280969628710_signature_28.png</t>
  </si>
  <si>
    <t>https://www.jotform.com/uploads/macarewecare/222927978372067/5921590280969628710/5921590280969628710_signature_31.png</t>
  </si>
  <si>
    <t>Cebu TB reference Lab 838882</t>
  </si>
  <si>
    <t>Due date for Xpertcheck calibration</t>
  </si>
  <si>
    <t>Xpertcheck calibration for module B1,B2 &amp;B4
Gather xpertcheck data</t>
  </si>
  <si>
    <t>https://www.jotform.com/uploads/macarewecare/222927978372067/5921569524315680515/5921569524315680515_signature_28.png</t>
  </si>
  <si>
    <t>https://www.jotform.com/uploads/macarewecare/222927978372067/5921569524315680515/5921569524315680515_signature_31.png</t>
  </si>
  <si>
    <t>Cebu TB Reference Lab 808620</t>
  </si>
  <si>
    <t>Due Date for Xpertcheck Calibration for Module B1,B2,B3 and B4</t>
  </si>
  <si>
    <t>Xpertcheck Calibration for Module B1,B2,B3 and B4
Gathering data of Xpertcheck calibration</t>
  </si>
  <si>
    <t>Module B1, B3 and B4 Service require</t>
  </si>
  <si>
    <t>https://www.jotform.com/uploads/macarewecare/222927978372067/5921562004316379502/5921562004316379502_signature_28.png</t>
  </si>
  <si>
    <t>https://www.jotform.com/uploads/macarewecare/222927978372067/5921562004316379502/5921562004316379502_signature_31.png</t>
  </si>
  <si>
    <t>H. Lopez Blvd. Tondo Manila</t>
  </si>
  <si>
    <t>https://www.jotform.com/uploads/macarewecare/222927978372067/5921557110963836855/5921557110963836855_signature_28.png</t>
  </si>
  <si>
    <t>https://www.jotform.com/uploads/macarewecare/222927978372067/5921557110963836855/5921557110963836855_signature_31.png</t>
  </si>
  <si>
    <t>https://www.jotform.com/uploads/macarewecare/222927978372067/5921557110965448189/5921557110965448189_signature_28.png</t>
  </si>
  <si>
    <t>https://www.jotform.com/uploads/macarewecare/222927978372067/5921557110965448189/5921557110965448189_signature_31.png</t>
  </si>
  <si>
    <t>Unit for Preventive maintenance.
For module replacement of module A4.</t>
  </si>
  <si>
    <t>Preventive maintenanxe and module replacement.</t>
  </si>
  <si>
    <t>GX module A4 (686765) in replacement to defective A4 (688318).</t>
  </si>
  <si>
    <t>https://www.jotform.com/uploads/macarewecare/222927978372067/5921557110965855500/5921557110965855500_signature_28.png</t>
  </si>
  <si>
    <t>https://www.jotform.com/uploads/macarewecare/222927978372067/5921557110965855500/5921557110965855500_signature_31.png</t>
  </si>
  <si>
    <t>Pobalacion Tuburan Cebu</t>
  </si>
  <si>
    <t>tuburanlaboratoryrhu1@gmail.com</t>
  </si>
  <si>
    <t>Module B2 with serial number 717505 no calibration data.
Last calibration 05/09/2024
Module B1, 3,4 passed the calibration.</t>
  </si>
  <si>
    <t>Save all files.</t>
  </si>
  <si>
    <t>.Perform preventive maintenance for the GeneXpert machine.
.Save Installation Qualification
.Save GXC file
.Save System Log</t>
  </si>
  <si>
    <t>Module B1, B3., B4 ok to use
Module B2 under observation.</t>
  </si>
  <si>
    <t>https://www.jotform.com/uploads/macarewecare/222927978372067/5921491363559718883/5921491363559718883_signature_28.png</t>
  </si>
  <si>
    <t>MARIEL R. GRACIA</t>
  </si>
  <si>
    <t>https://www.jotform.com/uploads/macarewecare/222927978372067/5921491363559718883/5921491363559718883_signature_31.png</t>
  </si>
  <si>
    <t xml:space="preserve">ASSAY: Xpert HBV VL, COUNT: 6
ASSAY: Xpert HPV, COUNT: 2
ASSAY: Xpert MTB/RIF Ultra, COUNT: 227
</t>
  </si>
  <si>
    <t>Transfer from microbiology to molecular lab</t>
  </si>
  <si>
    <t>Transfer unit
Cleaned unit
Cleaned plunger rod,filter,icore,cartridge bay
Gathered reports
Test run unit</t>
  </si>
  <si>
    <t>Transfer and maintenance</t>
  </si>
  <si>
    <t>https://www.jotform.com/uploads/macarewecare/222927978372067/5921460063617197971/5921460063617197971_signature_28.png</t>
  </si>
  <si>
    <t>Mary Grace Cabales</t>
  </si>
  <si>
    <t>https://www.jotform.com/uploads/macarewecare/222927978372067/5921460063617197971/5921460063617197971_signature_31.png</t>
  </si>
  <si>
    <t>dadpfh@yahoo.com</t>
  </si>
  <si>
    <t xml:space="preserve">ASSAY: Xpert HIV-1 Viral Load, COUNT: 118
ASSAY: Xpert MTB/RIF Ultra, COUNT: 1030
</t>
  </si>
  <si>
    <t>Module 1 for Service Required 
Genexpert machine temperature higher or not within the acceptable range of 15°C to 30°C</t>
  </si>
  <si>
    <t>Replace defective module B2 SN: 673498 with new module SN: 716967
Perform Genexpert Xpertcheck/Calibration 
Genexpert Cleaning 
Checking of errors 
Data collection</t>
  </si>
  <si>
    <t>Genexpert machine Preventive maintenance 
Genexpert module replacement/repair 
Genexpert machine Xpertcheck/Calibration</t>
  </si>
  <si>
    <t>Genexpert module 6-color SN:716967</t>
  </si>
  <si>
    <t>Module SN:716967</t>
  </si>
  <si>
    <t>https://www.jotform.com/uploads/macarewecare/222927978372067/5921422267289145475/5921422267289145475_signature_28.png</t>
  </si>
  <si>
    <t>Ermariz P. Jaducana</t>
  </si>
  <si>
    <t>https://www.jotform.com/uploads/macarewecare/222927978372067/5921422267289145475/5921422267289145475_signature_31.png</t>
  </si>
  <si>
    <t>- Unit is partially operational 
- Module B1 (861502) has already been reported</t>
  </si>
  <si>
    <t>https://www.jotform.com/uploads/macarewecare/222927978372067/5921024852011581043/5921024852011581043_signature_28.png</t>
  </si>
  <si>
    <t>https://www.jotform.com/uploads/macarewecare/222927978372067/5921024852011581043/5921024852011581043_signature_31.png</t>
  </si>
  <si>
    <t>Pine St., Rosales, Pangasinan</t>
  </si>
  <si>
    <t xml:space="preserve">ASSAY: Xpert MTB/RIF Ultra, COUNT: 1003
</t>
  </si>
  <si>
    <t>https://www.jotform.com/uploads/macarewecare/222927978372067/5921023552011345132/5921023552011345132_signature_28.png</t>
  </si>
  <si>
    <t>https://www.jotform.com/uploads/macarewecare/222927978372067/5921023552011345132/5921023552011345132_signature_31.png</t>
  </si>
  <si>
    <t>Burgos St. Poblacion West, Umingan, Pangasinan</t>
  </si>
  <si>
    <t xml:space="preserve">ASSAY: Xpert MTB/RIF Ultra, COUNT: 1194
</t>
  </si>
  <si>
    <t>https://www.jotform.com/uploads/macarewecare/222927978372067/5921020502016514128/5921020502016514128_signature_28.png</t>
  </si>
  <si>
    <t>Jeffrey Rumbaoa</t>
  </si>
  <si>
    <t>https://www.jotform.com/uploads/macarewecare/222927978372067/5921020502016514128/5921020502016514128_signature_31.png</t>
  </si>
  <si>
    <t>Ambassador Ramos Guiset Sur, San Manuel, Pangasinan</t>
  </si>
  <si>
    <t xml:space="preserve">ASSAY: Xpert MTB/RIF Ultra, COUNT: 844
</t>
  </si>
  <si>
    <t>https://www.jotform.com/uploads/macarewecare/222927978372067/5921019462016272717/5921019462016272717_signature_28.png</t>
  </si>
  <si>
    <t>https://www.jotform.com/uploads/macarewecare/222927978372067/5921019462016272717/5921019462016272717_signature_31.png</t>
  </si>
  <si>
    <t>Bayugan City Health Office</t>
  </si>
  <si>
    <t>Brgy. Poblacion, Bayugan</t>
  </si>
  <si>
    <t>lourdescayao@gmail.com</t>
  </si>
  <si>
    <t xml:space="preserve">ASSAY: Xpert MTB/RIF Ultra, COUNT: 3191
</t>
  </si>
  <si>
    <t>B2 an B4 reported temperature error.</t>
  </si>
  <si>
    <t>Module Replacements</t>
  </si>
  <si>
    <t>Replacing B2 with SN: 901636 to SN: 641028
Replacing B4 with SN: 612924 to SN: 773241
Preventive Maintenance</t>
  </si>
  <si>
    <t>https://www.jotform.com/uploads/macarewecare/222927978372067/5920902832124137916/5920902832124137916_signature_28.png</t>
  </si>
  <si>
    <t>Lourdes Diola</t>
  </si>
  <si>
    <t>https://www.jotform.com/uploads/macarewecare/222927978372067/5920902832124137916/5920902832124137916_signature_31.png</t>
  </si>
  <si>
    <t>vrrdy@stluke.com.ph</t>
  </si>
  <si>
    <t>Module C1 for replacement</t>
  </si>
  <si>
    <t>Replaced module C1</t>
  </si>
  <si>
    <t>Performed maintenance 
Replaced module C1
Functionality test 
Generated reports</t>
  </si>
  <si>
    <t>Old: C1/866691
New: C1/210124694</t>
  </si>
  <si>
    <t>SI# 098031</t>
  </si>
  <si>
    <t>https://www.jotform.com/uploads/macarewecare/222927978372067/5920892105294229139/5920892105294229139_signature_28.png</t>
  </si>
  <si>
    <t>Vincent-Raquiza Dy</t>
  </si>
  <si>
    <t>https://www.jotform.com/uploads/macarewecare/222927978372067/5920892105294229139/5920892105294229139_signature_31.png</t>
  </si>
  <si>
    <t xml:space="preserve">ASSAY: Xpert BCR-ABL Ultra, COUNT: 179
ASSAY: Xpert CT/NG, COUNT: 1055
ASSAY: Xpert HBV VL, COUNT: 77
ASSAY: Xpert HPV, COUNT: 1019
ASSAY: Xpert MTB/RIF Ultra, COUNT: 2629
ASSAY: Xpert HCV VL, COUNT: 44
ASSAY: Xpert HIV-1 Viral Load, COUNT: 50
</t>
  </si>
  <si>
    <t>Unit is operational. Module B4/688662 not operational, reported already.</t>
  </si>
  <si>
    <t>https://www.jotform.com/uploads/macarewecare/222927978372067/5920892105293895634/5920892105293895634_signature_28.png</t>
  </si>
  <si>
    <t>Vincent Raquiza Dy</t>
  </si>
  <si>
    <t>https://www.jotform.com/uploads/macarewecare/222927978372067/5920892105293895634/5920892105293895634_signature_31.png</t>
  </si>
  <si>
    <t>Kalayaan st., QC</t>
  </si>
  <si>
    <t>Performed CPU board reset.
Enter bypass mode to access calibration parameters but unable to change the value. encounter auto restart and crc bios failed appear on display.
Restart multiple time but error still occur</t>
  </si>
  <si>
    <t>Unit unoperational
For replacement of cpu board</t>
  </si>
  <si>
    <t>https://www.jotform.com/uploads/macarewecare/222927978372067/5920878948014502084/5920878948014502084_signature_28.png</t>
  </si>
  <si>
    <t>https://www.jotform.com/uploads/macarewecare/222927978372067/5920878948014502084/5920878948014502084_signature_31.png</t>
  </si>
  <si>
    <t>Lanuza Health Center</t>
  </si>
  <si>
    <t>Isagani St. Sta Cruz</t>
  </si>
  <si>
    <t>kikokendz_060830@yahoo.com</t>
  </si>
  <si>
    <t>GX module B2 (692028), B3 (694168) and B4 (714257).</t>
  </si>
  <si>
    <t>https://www.jotform.com/uploads/macarewecare/222927978372067/5920840110841673783/5920840110841673783_signature_28.png</t>
  </si>
  <si>
    <t>Eva jone</t>
  </si>
  <si>
    <t>https://www.jotform.com/uploads/macarewecare/222927978372067/5920840110841673783/5920840110841673783_signature_31.png</t>
  </si>
  <si>
    <t>Dimasalang Health Center</t>
  </si>
  <si>
    <t>Unit for preventive maintenance.
For module replacement of modules B1, B2, B3 and B4.</t>
  </si>
  <si>
    <t>GX modules B1 (687294), B2 (688240, B3 (688926) and B4 (689004).</t>
  </si>
  <si>
    <t>https://www.jotform.com/uploads/macarewecare/222927978372067/5920839400849637642/5920839400849637642_signature_28.png</t>
  </si>
  <si>
    <t>Maria joy cleofas m. Abenales</t>
  </si>
  <si>
    <t>https://www.jotform.com/uploads/macarewecare/222927978372067/5920839400849637642/5920839400849637642_signature_31.png</t>
  </si>
  <si>
    <t>Mexico RHU I</t>
  </si>
  <si>
    <t>Parian, Mexico, Pampanga</t>
  </si>
  <si>
    <t>jasperdizon20@yahoo.com</t>
  </si>
  <si>
    <t>https://www.jotform.com/uploads/macarewecare/222927978372067/5920834627618683299/5920834627618683299_signature_28.png</t>
  </si>
  <si>
    <t>Jasper Dizon</t>
  </si>
  <si>
    <t>https://www.jotform.com/uploads/macarewecare/222927978372067/5920834627618683299/5920834627618683299_signature_31.png</t>
  </si>
  <si>
    <t xml:space="preserve">ASSAY: Xpert MTB/RIF Ultra, COUNT: 457
</t>
  </si>
  <si>
    <t>Fan Filter</t>
  </si>
  <si>
    <t>https://www.jotform.com/uploads/macarewecare/222927978372067/5920829744964099569/5920829744964099569_signature_28.png</t>
  </si>
  <si>
    <t>https://www.jotform.com/uploads/macarewecare/222927978372067/5920829744964099569/5920829744964099569_signature_31.png</t>
  </si>
  <si>
    <t>Tuburan, Ligao City, Albay</t>
  </si>
  <si>
    <t>salvadorlyndonrempillo@gmail.com</t>
  </si>
  <si>
    <t>B4/210092937 for module replacement</t>
  </si>
  <si>
    <t>Replaced Module: B4 - 210092937&gt;&gt;711296
Cleaned cartridge bays, Plunger rod, Icore
Generate reports</t>
  </si>
  <si>
    <t>Replaced Module 210092937
Performed Preventive Maintenance</t>
  </si>
  <si>
    <t>https://www.jotform.com/uploads/macarewecare/222927978372067/5920825484023850137/5920825484023850137_signature_28.png</t>
  </si>
  <si>
    <t>Lirio Llorin</t>
  </si>
  <si>
    <t>https://www.jotform.com/uploads/macarewecare/222927978372067/5920825484023850137/5920825484023850137_signature_31.png</t>
  </si>
  <si>
    <t>nimfalinao2006@yahoo.com</t>
  </si>
  <si>
    <t>Haemonetics machine unable to turn on</t>
  </si>
  <si>
    <t>Replaced Power cord of the machine</t>
  </si>
  <si>
    <t>Troubleshoot and replaced power cord of the machine.</t>
  </si>
  <si>
    <t>Available and running</t>
  </si>
  <si>
    <t>https://www.jotform.com/uploads/macarewecare/222927978372067/5920821283315977617/5920821283315977617_signature_28.png</t>
  </si>
  <si>
    <t>Nimfa A. Linao</t>
  </si>
  <si>
    <t>https://www.jotform.com/uploads/macarewecare/222927978372067/5920821283315977617/5920821283315977617_signature_31.png</t>
  </si>
  <si>
    <t>Sison Rural Health Unit</t>
  </si>
  <si>
    <t>Sison Pangasinan</t>
  </si>
  <si>
    <t>sisonrhu@gmail.com</t>
  </si>
  <si>
    <t>B3:784437 for module replacement</t>
  </si>
  <si>
    <t>Unit is operational 
B3:885220 new module</t>
  </si>
  <si>
    <t>https://www.jotform.com/uploads/macarewecare/222927978372067/5920820377632063298/5920820377632063298_signature_28.png</t>
  </si>
  <si>
    <t>Jeannette O. Alcaide</t>
  </si>
  <si>
    <t>https://www.jotform.com/uploads/macarewecare/222927978372067/5920820377632063298/5920820377632063298_signature_31.png</t>
  </si>
  <si>
    <t xml:space="preserve">ASSAY: Xpert HBV VL, COUNT: 132
ASSAY: Xpert HPV, COUNT: 29
ASSAY: Xpert MTB/RIF Ultra, COUNT: 1095
</t>
  </si>
  <si>
    <t>Module B1 and B4 for replacement</t>
  </si>
  <si>
    <t>Replaced modules B1 and B4</t>
  </si>
  <si>
    <t>Performed maintenance 
Replaced modules B1 and B4
Functionality test 
Generated reports</t>
  </si>
  <si>
    <t>Old: B1/210022152, B4/210048235
New: B1/220023301, B4/210113679</t>
  </si>
  <si>
    <t>SI# 098028, 098027</t>
  </si>
  <si>
    <t>https://www.jotform.com/uploads/macarewecare/222927978372067/5920778060943848324/5920778060943848324_signature_28.png</t>
  </si>
  <si>
    <t>https://www.jotform.com/uploads/macarewecare/222927978372067/5920778060943848324/5920778060943848324_signature_31.png</t>
  </si>
  <si>
    <t>Cabahug Street, Cadiz City</t>
  </si>
  <si>
    <t xml:space="preserve">ASSAY: Xpert MTB/RIF Ultra, COUNT: 1817
</t>
  </si>
  <si>
    <t>Defective module for D2 with SN 808098.</t>
  </si>
  <si>
    <t>Conduct PM and save files (IQR, System Log and assay statistics).</t>
  </si>
  <si>
    <t>Replaced the defective module for D2 with new module SN 784326.</t>
  </si>
  <si>
    <t>All modules are now functional and in good running condition.</t>
  </si>
  <si>
    <t>https://www.jotform.com/uploads/macarewecare/222927978372067/5920749668812767317/5920749668812767317_signature_28.png</t>
  </si>
  <si>
    <t>https://www.jotform.com/uploads/macarewecare/222927978372067/5920749668812767317/5920749668812767317_signature_31.png</t>
  </si>
  <si>
    <t>Don Juan C. Cojuangco Memorial Health Center</t>
  </si>
  <si>
    <t>Cuyapo, Nueva Ecija</t>
  </si>
  <si>
    <t>jolenerodico09171998@gmsil.com</t>
  </si>
  <si>
    <t>Due for maintenance 
UPS no power/not charging</t>
  </si>
  <si>
    <t>Preventive maintenance 
UPS Troubleshooting</t>
  </si>
  <si>
    <t>Unit is operational 
Ups for replacement</t>
  </si>
  <si>
    <t>UPS SN:AT1000181128ST0186</t>
  </si>
  <si>
    <t>https://www.jotform.com/uploads/macarewecare/222927978372067/5920745556402853370/5920745556402853370_signature_28.png</t>
  </si>
  <si>
    <t>John Esteban</t>
  </si>
  <si>
    <t>https://www.jotform.com/uploads/macarewecare/222927978372067/5920745556402853370/5920745556402853370_signature_31.png</t>
  </si>
  <si>
    <t>Camalig Rural Health Unit</t>
  </si>
  <si>
    <t>Brgy. 2, Camalig, Albay</t>
  </si>
  <si>
    <t>leilanigrageda@gmail.com</t>
  </si>
  <si>
    <t xml:space="preserve">ASSAY: Xpert MTB/RIF Ultra, COUNT: 1032
</t>
  </si>
  <si>
    <t>GX4-6C 2placet</t>
  </si>
  <si>
    <t>Date and time reset when booting PC</t>
  </si>
  <si>
    <t>Replaced CMOS Battery of PC for date and time
Cleaned cartridge bays, plunger rod, icore
Generate report</t>
  </si>
  <si>
    <t>https://www.jotform.com/uploads/macarewecare/222927978372067/5920742484021748150/5920742484021748150_signature_28.png</t>
  </si>
  <si>
    <t>Leilani M. Grageda</t>
  </si>
  <si>
    <t>https://www.jotform.com/uploads/macarewecare/222927978372067/5920742484021748150/5920742484021748150_signature_31.png</t>
  </si>
  <si>
    <t>ktringler@gmail.com</t>
  </si>
  <si>
    <t xml:space="preserve">ASSAY: Xpert C. difficile BT, COUNT: 19
ASSAY: Xpert CT/NG, COUNT: 6
ASSAY: Xpert HBV VL, COUNT: 69
ASSAY: Xpert HPV, COUNT: 9
ASSAY: Xpert MTB/RIF Ultra, COUNT: 1625
ASSAY: Xpert SARS-CoV-2, COUNT: 378
ASSAY: Xpert HCV VL, COUNT: 29
ASSAY: Xpert HIV-1 Viral Load, COUNT: 20
</t>
  </si>
  <si>
    <t>Unit for relocation from bacteriology to molecular laboratory.
Unit for preventive maintenance.</t>
  </si>
  <si>
    <t>Relocation, installation and preventive maintenance.</t>
  </si>
  <si>
    <t>Performed relocation and installation of Genexpert.
Performed Preventive Maintenance.
-Cleaned and disinfect plunger
-Cleaned and disinfect cartridge bay
-Cleaned and disinfect instrument surface
-Cleaned icore sensors
-Cleaned filter fan
-Archived test results
Generated reports.</t>
  </si>
  <si>
    <t>https://www.jotform.com/uploads/macarewecare/222927978372067/5920716740319552442/5920716740319552442_signature_28.png</t>
  </si>
  <si>
    <t>KAREN RINGLER</t>
  </si>
  <si>
    <t>https://www.jotform.com/uploads/macarewecare/222927978372067/5920716740319552442/5920716740319552442_signature_31.png</t>
  </si>
  <si>
    <t>Davao TB Reference Laboratory</t>
  </si>
  <si>
    <t>DOH Compound, JP Laurel Davao City</t>
  </si>
  <si>
    <t>dtrlmark.pbsp@gmail.com</t>
  </si>
  <si>
    <t xml:space="preserve">ASSAY: Xpert MTB/RIF Ultra, COUNT: 1870
ASSAY: Others, COUNT: 386
</t>
  </si>
  <si>
    <t>Other Assay : XDR, High Room Temp, end user advise to regulate room temperature optimal for GeneXpert Usages</t>
  </si>
  <si>
    <t>https://www.jotform.com/uploads/macarewecare/222927978372067/5920701406381725668/5920701406381725668_signature_28.png</t>
  </si>
  <si>
    <t>Joseph Mark B. Anque</t>
  </si>
  <si>
    <t>https://www.jotform.com/uploads/macarewecare/222927978372067/5920701406381725668/5920701406381725668_signature_31.png</t>
  </si>
  <si>
    <t xml:space="preserve">ASSAY: Xpert MTB/RIF Ultra, COUNT: 1077
</t>
  </si>
  <si>
    <t>GX-IV 4L R1</t>
  </si>
  <si>
    <t>Modules B2, B3 and B4 disabled by end-user due to Multiple Temperature Error</t>
  </si>
  <si>
    <t>Clean Surface Area, Cartridge Bay, Plunger Rod, Fan Filters and Icore Lenses
Replace the defective Module SN:661183 with new Module SN:711446
Replaced the Defective Module SN: 610307 with new Module SN: 719867
Generate IQR, Assay Stat and System Log
Archived Data test results</t>
  </si>
  <si>
    <t>Perform Module Replacement, Troubleshooting and Preventive Maintenance</t>
  </si>
  <si>
    <t>Module B2 and B3 successfully replaced Module
Module B4 disabled and error datas will be sent to Cepheid for further Assessment</t>
  </si>
  <si>
    <t>High Room Temperature, End-user is advised to regulate the optimal room temperature</t>
  </si>
  <si>
    <t>https://www.jotform.com/uploads/macarewecare/222927978372067/5920695276384057663/5920695276384057663_signature_28.png</t>
  </si>
  <si>
    <t>https://www.jotform.com/uploads/macarewecare/222927978372067/5920695276384057663/5920695276384057663_signature_31.png</t>
  </si>
  <si>
    <t>Eversly Childs Sanitarium</t>
  </si>
  <si>
    <t>Jagobiao, mandaue City</t>
  </si>
  <si>
    <t>Defective module A1 644504</t>
  </si>
  <si>
    <t>New module Installed A1 678236
Clean Fan Filter
Gather data IQR, system log</t>
  </si>
  <si>
    <t>https://www.jotform.com/uploads/macarewecare/222927978372067/5920685162125941113/5920685162125941113_signature_28.png</t>
  </si>
  <si>
    <t>Juanita v. Alimurung</t>
  </si>
  <si>
    <t>https://www.jotform.com/uploads/macarewecare/222927978372067/5920685162125941113/5920685162125941113_signature_31.png</t>
  </si>
  <si>
    <t>North Avenue, Diliman, Quezon City</t>
  </si>
  <si>
    <t>Mole</t>
  </si>
  <si>
    <t xml:space="preserve">ASSAY: Xpert HBV VL, COUNT: 182
ASSAY: Xpert MTB/RIF Ultra, COUNT: 1576
ASSAY: Xpert SARS-CoV-2, COUNT: 110
ASSAY: Xpert HCV VL, COUNT: 17
</t>
  </si>
  <si>
    <t>Modules not detected in GeneXpert DX Software since lightning yesterday</t>
  </si>
  <si>
    <t>Troubleshoot GeneXpert
Checked UPS
Checked GX Fuse
Checked gateway board 
Checked modules
Generated report</t>
  </si>
  <si>
    <t>Outlet power too low 195V but UPS regulates the power to 225V
UPS is working
GX fuse intact
Tried switching gateway board still problem persists
Tried using the modules for office
Module from office detected.
Modules in GX still not detected
Tried switching positions
Still module from office is detected 
Gateway still works
Lightning surge hits the network cables and flow to the machine
Hence, all modules damaged</t>
  </si>
  <si>
    <t>UPS Ok
Desktop OK
Gateway OK
Power Supply OK
4 GX Modules defective</t>
  </si>
  <si>
    <t>Needs proper grounding of data cables and network cables and avoid putting cables on tree branches, as they are more likely to be hit by lightning.</t>
  </si>
  <si>
    <t>https://www.jotform.com/uploads/macarewecare/222927978372067/5920033581371443106/5920033581371443106_signature_28.png</t>
  </si>
  <si>
    <t>https://www.jotform.com/uploads/macarewecare/222927978372067/5920033581371443106/5920033581371443106_signature_31.png</t>
  </si>
  <si>
    <t xml:space="preserve">ASSAY: Xpert BCR-ABL Ultra, COUNT: 187
ASSAY: Xpert CT/NG, COUNT: 800
ASSAY: Xpert HPV, COUNT: 787
ASSAY: Xpert MTB/RIF Ultra, COUNT: 3042
ASSAY: Others, COUNT: 17
ASSAY: Xpert HCV VL, COUNT: 81
ASSAY: Xpert HIV-1 Viral Load, COUNT: 1912
</t>
  </si>
  <si>
    <t>As per end user they encounter a 5007 error in B1 210076418 and B3 210061783 in mtb rif ultra</t>
  </si>
  <si>
    <t>Cleaned plunger rod,filter,icore,cartridge bay
Gathered reports
Backup and purge nxx files.
Test run unit</t>
  </si>
  <si>
    <t>https://www.jotform.com/uploads/macarewecare/222927978372067/5920022601614766938/5920022601614766938_signature_28.png</t>
  </si>
  <si>
    <t>https://www.jotform.com/uploads/macarewecare/222927978372067/5920022601614766938/5920022601614766938_signature_31.png</t>
  </si>
  <si>
    <t>4PQR+67P, Don Juan S. Estevez Street, Guevarra Subdivision, Legazpi City, 4500 Albay</t>
  </si>
  <si>
    <t xml:space="preserve">ASSAY: Xpert HBV VL, COUNT: 26
ASSAY: Xpert MTB/RIF Ultra, COUNT: 24
</t>
  </si>
  <si>
    <t>https://www.jotform.com/uploads/macarewecare/222927978372067/5920021798916162268/5920021798916162268_signature_28.png</t>
  </si>
  <si>
    <t>Estevez memorial hospital</t>
  </si>
  <si>
    <t>https://www.jotform.com/uploads/macarewecare/222927978372067/5920021798916162268/5920021798916162268_signature_31.png</t>
  </si>
  <si>
    <t>mbalquen@gmail.com</t>
  </si>
  <si>
    <t>As per end user they encounter error message 108 network configuration</t>
  </si>
  <si>
    <t>Checked unit 
Checked parameters for network configuration.
Test run unit</t>
  </si>
  <si>
    <t>Endorse operator to press the YES once the error message 108 appear.for further troubleshooting</t>
  </si>
  <si>
    <t>https://www.jotform.com/uploads/macarewecare/222927978372067/5919927021611933813/5919927021611933813_signature_28.png</t>
  </si>
  <si>
    <t>https://www.jotform.com/uploads/macarewecare/222927978372067/5919927021611933813/5919927021611933813_signature_31.png</t>
  </si>
  <si>
    <t xml:space="preserve">ASSAY: Xpert BCR-ABL Ultra, COUNT: 36
ASSAY: Xpert MTB/RIF Ultra, COUNT: 2919
ASSAY: Xpert SARS-CoV-2, COUNT: 3688
ASSAY: Others, COUNT: 163
</t>
  </si>
  <si>
    <t>GX16 D(10C)</t>
  </si>
  <si>
    <t>https://www.jotform.com/uploads/macarewecare/222927978372067/5919926771612717357/5919926771612717357_signature_28.png</t>
  </si>
  <si>
    <t>https://www.jotform.com/uploads/macarewecare/222927978372067/5919926771612717357/5919926771612717357_signature_31.png</t>
  </si>
  <si>
    <t xml:space="preserve">ASSAY: Xpert MTB/RIF Ultra, COUNT: 1472
</t>
  </si>
  <si>
    <t>Due for maintenance B4 module reported already</t>
  </si>
  <si>
    <t>3 modules operational 1 disabled</t>
  </si>
  <si>
    <t>https://www.jotform.com/uploads/macarewecare/222927978372067/5919926281612852489/5919926281612852489_signature_28.png</t>
  </si>
  <si>
    <t>https://www.jotform.com/uploads/macarewecare/222927978372067/5919926281612852489/5919926281612852489_signature_31.png</t>
  </si>
  <si>
    <t>East Avenue,QC</t>
  </si>
  <si>
    <t>eamcmolecular@gmail.com</t>
  </si>
  <si>
    <t xml:space="preserve">ASSAY: Xpert CT/NG, COUNT: 31
ASSAY: Xpert HPV, COUNT: 244
ASSAY: Xpert SARS-CoV-2, COUNT: 1220
</t>
  </si>
  <si>
    <t>https://www.jotform.com/uploads/macarewecare/222927978372067/5919925961619764396/5919925961619764396_signature_28.png</t>
  </si>
  <si>
    <t>https://www.jotform.com/uploads/macarewecare/222927978372067/5919925961619764396/5919925961619764396_signature_31.png</t>
  </si>
  <si>
    <t>Poblacion 3, Talisay Batangas</t>
  </si>
  <si>
    <t xml:space="preserve">ASSAY: Xpert MTB/RIF Ultra, COUNT: 972
</t>
  </si>
  <si>
    <t>https://www.jotform.com/uploads/macarewecare/222927978372067/5919914563611212414/5919914563611212414_signature_28.png</t>
  </si>
  <si>
    <t>Adettlou A.Rodriguez</t>
  </si>
  <si>
    <t>https://www.jotform.com/uploads/macarewecare/222927978372067/5919914563611212414/5919914563611212414_signature_31.png</t>
  </si>
  <si>
    <t>Hagonoy, Bulacan</t>
  </si>
  <si>
    <t>Unit is not operational
Unit for follow up reporting</t>
  </si>
  <si>
    <t>https://www.jotform.com/uploads/macarewecare/222927978372067/5919902123615903146/5919902123615903146_signature_28.png</t>
  </si>
  <si>
    <t>Lanielyn Castro Abadam</t>
  </si>
  <si>
    <t>https://www.jotform.com/uploads/macarewecare/222927978372067/5919902123615903146/5919902123615903146_signature_31.png</t>
  </si>
  <si>
    <t>https://www.jotform.com/uploads/macarewecare/222927978372067/5919862223616239993/5919862223616239993_signature_28.png</t>
  </si>
  <si>
    <t>https://www.jotform.com/uploads/macarewecare/222927978372067/5919862223616239993/5919862223616239993_signature_31.png</t>
  </si>
  <si>
    <t>https://www.jotform.com/uploads/macarewecare/222927978372067/5919861933616861251/5919861933616861251_signature_28.png</t>
  </si>
  <si>
    <t>https://www.jotform.com/uploads/macarewecare/222927978372067/5919861933616861251/5919861933616861251_signature_31.png</t>
  </si>
  <si>
    <t>https://www.jotform.com/uploads/macarewecare/222927978372067/5919861633614304098/5919861633614304098_signature_28.png</t>
  </si>
  <si>
    <t>https://www.jotform.com/uploads/macarewecare/222927978372067/5919861633614304098/5919861633614304098_signature_31.png</t>
  </si>
  <si>
    <t>https://www.jotform.com/uploads/macarewecare/222927978372067/5919859583616190226/5919859583616190226_signature_28.png</t>
  </si>
  <si>
    <t>https://www.jotform.com/uploads/macarewecare/222927978372067/5919859583616190226/5919859583616190226_signature_31.png</t>
  </si>
  <si>
    <t>https://www.jotform.com/uploads/macarewecare/222927978372067/5919854993617271572/5919854993617271572_signature_28.png</t>
  </si>
  <si>
    <t>https://www.jotform.com/uploads/macarewecare/222927978372067/5919854993617271572/5919854993617271572_signature_31.png</t>
  </si>
  <si>
    <t>https://www.jotform.com/uploads/macarewecare/222927978372067/5919854673614545070/5919854673614545070_signature_28.png</t>
  </si>
  <si>
    <t>https://www.jotform.com/uploads/macarewecare/222927978372067/5919854673614545070/5919854673614545070_signature_31.png</t>
  </si>
  <si>
    <t>Mc Arthur Highway, San Vincente, Urdaneta City</t>
  </si>
  <si>
    <t xml:space="preserve">ASSAY: Xpert MTB/RIF Ultra, COUNT: 190
</t>
  </si>
  <si>
    <t>- Unit is partially operational 
- Module A1(720229) passed Retry of XpertCheck 
- Module A2(720228) failed last XpertCheck; For Reporting</t>
  </si>
  <si>
    <t>Replacing of Module A2(720228) is Recommended</t>
  </si>
  <si>
    <t>https://www.jotform.com/uploads/macarewecare/222927978372067/5919838912018433669/5919838912018433669_signature_28.png</t>
  </si>
  <si>
    <t>https://www.jotform.com/uploads/macarewecare/222927978372067/5919838912018433669/5919838912018433669_signature_31.png</t>
  </si>
  <si>
    <t>https://www.jotform.com/uploads/macarewecare/222927978372067/5919834793618670569/5919834793618670569_signature_28.png</t>
  </si>
  <si>
    <t>https://www.jotform.com/uploads/macarewecare/222927978372067/5919834793618670569/5919834793618670569_signature_31.png</t>
  </si>
  <si>
    <t>Brgy Sta.Cruz, DBB-E, Dasmariñas City, Cavite</t>
  </si>
  <si>
    <t xml:space="preserve">ASSAY: Xpert MTB/RIF Ultra, COUNT: 1971
</t>
  </si>
  <si>
    <t>XpertCheck.
Maintenance.</t>
  </si>
  <si>
    <t>Cleaned Cartridge Bay, Plunger Rod and Icore Optics.
Checked if Filter is Clogged and Replaced it.
Performed XpertCheck.
Performed Self-test.
Generate Reports.</t>
  </si>
  <si>
    <t>2 Modules Passed, 2 Newly Replaced.</t>
  </si>
  <si>
    <t>DR 11455</t>
  </si>
  <si>
    <t>https://www.jotform.com/uploads/macarewecare/222927978372067/5919782553617932076/5919782553617932076_signature_28.png</t>
  </si>
  <si>
    <t>Hazel M. Tabucol</t>
  </si>
  <si>
    <t>https://www.jotform.com/uploads/macarewecare/222927978372067/5919782553617932076/5919782553617932076_signature_31.png</t>
  </si>
  <si>
    <t>siennablanco@yahoo.com</t>
  </si>
  <si>
    <t>https://www.jotform.com/uploads/macarewecare/222927978372067/5919744043612339229/5919744043612339229_signature_28.png</t>
  </si>
  <si>
    <t>Sienna Blanco</t>
  </si>
  <si>
    <t>https://www.jotform.com/uploads/macarewecare/222927978372067/5919744043612339229/5919744043612339229_signature_31.png</t>
  </si>
  <si>
    <t xml:space="preserve">ASSAY: Xpert MTB/RIF Ultra, COUNT: 811
ASSAY: Xpert HIV-1 Viral Load, COUNT: 87
</t>
  </si>
  <si>
    <t>Unit is operational. Module A1/802425 not operational, for reporting.</t>
  </si>
  <si>
    <t>https://www.jotform.com/uploads/macarewecare/222927978372067/5919743873614046440/5919743873614046440_signature_28.png</t>
  </si>
  <si>
    <t>https://www.jotform.com/uploads/macarewecare/222927978372067/5919743873614046440/5919743873614046440_signature_31.png</t>
  </si>
  <si>
    <t>Cordlife Medical Philippines</t>
  </si>
  <si>
    <t>UP-Ayala Technohub, Commonwealth Ave, Quezon City</t>
  </si>
  <si>
    <t>CYTIVA</t>
  </si>
  <si>
    <t>patricia.perfecto@cordlife.com</t>
  </si>
  <si>
    <t>Smartmax</t>
  </si>
  <si>
    <t>Unit unable to boot</t>
  </si>
  <si>
    <t>Reset BIOS settings on CPU board directly
Performed functionality test
Checked calibration parameters
Tested temperature settings
Tested air bags
Tested pumps</t>
  </si>
  <si>
    <t>Reset BIOS settings</t>
  </si>
  <si>
    <t>https://www.jotform.com/uploads/macarewecare/222927978372067/5917418395636097923/5917418395636097923_signature_28.png</t>
  </si>
  <si>
    <t>Patricia Perfecto</t>
  </si>
  <si>
    <t>https://www.jotform.com/uploads/macarewecare/222927978372067/5917418395636097923/5917418395636097923_signature_31.png</t>
  </si>
  <si>
    <t>Brgy. Poblacion 4, Sariaya, Quezon Province</t>
  </si>
  <si>
    <t xml:space="preserve">ASSAY: Xpert MTB/RIF Ultra, COUNT: 2035
</t>
  </si>
  <si>
    <t>Checked and cleaned cartridge bays, plungger rod icore slot and filter 
Replaced module A4
Performed reliability test 
Generated report</t>
  </si>
  <si>
    <t>Replaced Module A4
210091100 -&gt; 611836
Performed Preventive maintenance</t>
  </si>
  <si>
    <t>DR 0047630</t>
  </si>
  <si>
    <t>https://www.jotform.com/uploads/macarewecare/222927978372067/5917345583313955195/5917345583313955195_signature_28.png</t>
  </si>
  <si>
    <t>rhea parreño</t>
  </si>
  <si>
    <t>https://www.jotform.com/uploads/macarewecare/222927978372067/5917345583313955195/5917345583313955195_signature_31.png</t>
  </si>
  <si>
    <t>Machine suddenly forcing shutdown</t>
  </si>
  <si>
    <t>Reset all board connection
Check voltages
Replaces the PSU with a spare PSU to isolate the issue
Reset Connections</t>
  </si>
  <si>
    <t>Machine is still forcing shutdown
Machine is not operational</t>
  </si>
  <si>
    <t>Waiting for spareparts from Manila to Isolate the Issue</t>
  </si>
  <si>
    <t>https://www.jotform.com/uploads/macarewecare/222927978372067/5917308766248593087/5917308766248593087_signature_28.png</t>
  </si>
  <si>
    <t>Noel N. Ligan</t>
  </si>
  <si>
    <t>https://www.jotform.com/uploads/macarewecare/222927978372067/5917308766248593087/5917308766248593087_signature_31.png</t>
  </si>
  <si>
    <t>Cuenca Rural Health Unit</t>
  </si>
  <si>
    <t>Cuenca Municipal Compound, Cuenca Batangas</t>
  </si>
  <si>
    <t>ligayamijares50@gmail.com</t>
  </si>
  <si>
    <t>https://www.jotform.com/uploads/macarewecare/222927978372067/5917248671501290579/5917248671501290579_signature_28.png</t>
  </si>
  <si>
    <t>Ligaya R. Mijares</t>
  </si>
  <si>
    <t>https://www.jotform.com/uploads/macarewecare/222927978372067/5917248671501290579/5917248671501290579_signature_31.png</t>
  </si>
  <si>
    <t>Kawit Rural Health Unit</t>
  </si>
  <si>
    <t>Brgy Combalay, Binakayan, Kawit , Cavite</t>
  </si>
  <si>
    <t>eleanor.perona@yahoo.com</t>
  </si>
  <si>
    <t>GX System has No Power</t>
  </si>
  <si>
    <t>Checked Outlet Voltage.
Checked UPS Output Voltage.
Cleaned Plunger Rod, Cartridge Bay and Icore Optics.
Checked and Cleaned Filter.
Performed Self-test.
Generate Reports.</t>
  </si>
  <si>
    <t>UPS is defective and needs to be replaced.</t>
  </si>
  <si>
    <t>https://www.jotform.com/uploads/macarewecare/222927978372067/5917065237612022753/5917065237612022753_signature_28.png</t>
  </si>
  <si>
    <t>Eleanor C.Perona</t>
  </si>
  <si>
    <t>https://www.jotform.com/uploads/macarewecare/222927978372067/5917065237612022753/5917065237612022753_signature_31.png</t>
  </si>
  <si>
    <t xml:space="preserve">ASSAY: Xpert MTB/RIF Ultra, COUNT: 1082
</t>
  </si>
  <si>
    <t>Cleaned Cartridge Bay, Plunger Rod,and Icore Optics.
Checked Filter if Clogged.
Performed XpertCheck.
Performed Self-test.
Generate Reports.</t>
  </si>
  <si>
    <t>1 Module Reported, 2 Passed and 1 Service Required in XpertCheck.</t>
  </si>
  <si>
    <t>B3/732613 Failed</t>
  </si>
  <si>
    <t>DR 11456</t>
  </si>
  <si>
    <t>https://www.jotform.com/uploads/macarewecare/222927978372067/5917065247611736318/5917065247611736318_signature_28.png</t>
  </si>
  <si>
    <t>https://www.jotform.com/uploads/macarewecare/222927978372067/5917065247611736318/5917065247611736318_signature_31.png</t>
  </si>
  <si>
    <t xml:space="preserve">ASSAY: Xpert MTB/RIF Ultra, COUNT: 2055
</t>
  </si>
  <si>
    <t>Unit due fo calibration</t>
  </si>
  <si>
    <t>Checked and cleaned cartridge bays, plunger rod, icore slot and filter
Performed xpertcheck on modules A1, A2 and A3
All 3 modules passed
Module A4 new
Archived results
Generated report</t>
  </si>
  <si>
    <t>Performed preventive maintenance 
Performed Xpertcheck</t>
  </si>
  <si>
    <t>Lot 06103</t>
  </si>
  <si>
    <t>https://www.jotform.com/uploads/macarewecare/222927978372067/5916525735617151811/5916525735617151811_signature_28.png</t>
  </si>
  <si>
    <t>Josephine L. Dingle</t>
  </si>
  <si>
    <t>https://www.jotform.com/uploads/macarewecare/222927978372067/5916525735617151811/5916525735617151811_signature_31.png</t>
  </si>
  <si>
    <t>All Modules are working, machine is fully operational</t>
  </si>
  <si>
    <t>https://www.jotform.com/uploads/macarewecare/222927978372067/5916466579717437085/5916466579717437085_signature_28.png</t>
  </si>
  <si>
    <t>https://www.jotform.com/uploads/macarewecare/222927978372067/5916466579717437085/5916466579717437085_signature_31.png</t>
  </si>
  <si>
    <t>District 1 Tiga, Brgy. Talisay, Nasipit</t>
  </si>
  <si>
    <t>Filter not reusable</t>
  </si>
  <si>
    <t>Filter reported to Jotform</t>
  </si>
  <si>
    <t>https://www.jotform.com/uploads/macarewecare/222927978372067/5916428497957947967/5916428497957947967_signature_28.png</t>
  </si>
  <si>
    <t>https://www.jotform.com/uploads/macarewecare/222927978372067/5916428497957947967/5916428497957947967_signature_31.png</t>
  </si>
  <si>
    <t>https://www.jotform.com/uploads/macarewecare/222927978372067/5916407825311016043/5916407825311016043_signature_28.png</t>
  </si>
  <si>
    <t>LORNA C.ABAIGAR</t>
  </si>
  <si>
    <t>https://www.jotform.com/uploads/macarewecare/222927978372067/5916407825311016043/5916407825311016043_signature_31.png</t>
  </si>
  <si>
    <t>Blumentritt St. Manila</t>
  </si>
  <si>
    <t>https://www.jotform.com/uploads/macarewecare/222927978372067/5916394576426633863/5916394576426633863_signature_28.png</t>
  </si>
  <si>
    <t>https://www.jotform.com/uploads/macarewecare/222927978372067/5916394576426633863/5916394576426633863_signature_31.png</t>
  </si>
  <si>
    <t>Evangelista Ave., Santolan, Pasig</t>
  </si>
  <si>
    <t>Replacement</t>
  </si>
  <si>
    <t>Installed new UPS
Connected the GeneXpert System to the UPS
Functionality test 
Checked voltage
Generated reports</t>
  </si>
  <si>
    <t>Old UPS SN: AT1K230830ST0024
New UPS SN: AT1K230830ST0021</t>
  </si>
  <si>
    <t>DR# 11498, under DR# 11478 and SI# 097968</t>
  </si>
  <si>
    <t>https://www.jotform.com/uploads/macarewecare/222927978372067/5916389422511861105/5916389422511861105_signature_28.png</t>
  </si>
  <si>
    <t>https://www.jotform.com/uploads/macarewecare/222927978372067/5916389422511861105/5916389422511861105_signature_31.png</t>
  </si>
  <si>
    <t>Module 1 error</t>
  </si>
  <si>
    <t>Performed Module Replacement
A1(756662 - 643503)</t>
  </si>
  <si>
    <t>https://www.jotform.com/uploads/macarewecare/222927978372067/5916343980414086553/5916343980414086553_signature_28.png</t>
  </si>
  <si>
    <t>Rizza Mae Riaza</t>
  </si>
  <si>
    <t>https://www.jotform.com/uploads/macarewecare/222927978372067/5916343980414086553/5916343980414086553_signature_31.png</t>
  </si>
  <si>
    <t>https://www.jotform.com/uploads/macarewecare/222927978372067/5916343840418146410/5916343840418146410_signature_28.png</t>
  </si>
  <si>
    <t>https://www.jotform.com/uploads/macarewecare/222927978372067/5916343840418146410/5916343840418146410_signature_31.png</t>
  </si>
  <si>
    <t xml:space="preserve">ASSAY: Xpert HPV, COUNT: 62
ASSAY: Xpert MTB/RIF Ultra, COUNT: 422
</t>
  </si>
  <si>
    <t>Checked and cleaned cartridge bays, plunger rod, icore slot and filter 
Performed reliability test 
All modules passed
Generated report</t>
  </si>
  <si>
    <t>https://www.jotform.com/uploads/macarewecare/222927978372067/5916341745619770094/5916341745619770094_signature_28.png</t>
  </si>
  <si>
    <t>Eddyline Pecaoco</t>
  </si>
  <si>
    <t>https://www.jotform.com/uploads/macarewecare/222927978372067/5916341745619770094/5916341745619770094_signature_31.png</t>
  </si>
  <si>
    <t>Bongabon District Hospital</t>
  </si>
  <si>
    <t>Bongabon, Nueva Ecija</t>
  </si>
  <si>
    <t>tsantuajr0128@gmail.com</t>
  </si>
  <si>
    <t xml:space="preserve">ASSAY: Xpert MTB/RIF Ultra, COUNT: 527
</t>
  </si>
  <si>
    <t>https://www.jotform.com/uploads/macarewecare/222927978372067/5916290865316780214/5916290865316780214_signature_28.png</t>
  </si>
  <si>
    <t>Joyce Hilario</t>
  </si>
  <si>
    <t>https://www.jotform.com/uploads/macarewecare/222927978372067/5916290865316780214/5916290865316780214_signature_31.png</t>
  </si>
  <si>
    <t>CPU problem 
CPU hard start up problem</t>
  </si>
  <si>
    <t>Troubleshoot CPU problem 
Genexpert machine Cleaning 
Checking of errors 
Problem reporting 
Data Collection</t>
  </si>
  <si>
    <t>Perform Genexpert machine Preventive maintenance 
Perform CPU troubleshooting</t>
  </si>
  <si>
    <t>Requesting for CPU power supply replacement</t>
  </si>
  <si>
    <t>https://www.jotform.com/uploads/macarewecare/222927978372067/5915830155024310466/5915830155024310466_signature_28.png</t>
  </si>
  <si>
    <t>Rey D Larroza, RMT</t>
  </si>
  <si>
    <t>https://www.jotform.com/uploads/macarewecare/222927978372067/5915830155024310466/5915830155024310466_signature_31.png</t>
  </si>
  <si>
    <t>Performed preventive maintenance.
Checked and cleaned rotor pumps and the unit.
Performed calibration.
Verfied and adjusted calibration parameters.
Performed simulation running.
Generated reports.</t>
  </si>
  <si>
    <t>https://www.jotform.com/uploads/macarewecare/222927978372067/5915605402561564328/5915605402561564328_signature_28.png</t>
  </si>
  <si>
    <t>Lallaine Ilagan</t>
  </si>
  <si>
    <t>https://www.jotform.com/uploads/macarewecare/222927978372067/5915605402561564328/5915605402561564328_signature_31.png</t>
  </si>
  <si>
    <t>https://www.jotform.com/uploads/macarewecare/222927978372067/5915605402564545863/5915605402564545863_signature_28.png</t>
  </si>
  <si>
    <t>https://www.jotform.com/uploads/macarewecare/222927978372067/5915605402564545863/5915605402564545863_signature_31.png</t>
  </si>
  <si>
    <t>850 United Nations Ave., Paco, Manila</t>
  </si>
  <si>
    <t xml:space="preserve">ASSAY: Xpert MTB/RIF Ultra, COUNT: 1097
</t>
  </si>
  <si>
    <t>Checked and cleaned cartridge bays, plunger rod, icoreslot and filter
Performed reliability test
All modules passed
Generated report</t>
  </si>
  <si>
    <t>https://www.jotform.com/uploads/macarewecare/222927978372067/5915597115611003198/5915597115611003198_signature_28.png</t>
  </si>
  <si>
    <t>FRANCES LEVINA VELARDE</t>
  </si>
  <si>
    <t>https://www.jotform.com/uploads/macarewecare/222927978372067/5915597115611003198/5915597115611003198_signature_31.png</t>
  </si>
  <si>
    <t>https://www.jotform.com/uploads/macarewecare/222927978372067/5915594883811314570/5915594883811314570_signature_28.png</t>
  </si>
  <si>
    <t>https://www.jotform.com/uploads/macarewecare/222927978372067/5915594883811314570/5915594883811314570_signature_31.png</t>
  </si>
  <si>
    <t>J.P. Rizal St. Marikina</t>
  </si>
  <si>
    <t>lorenzo.cruz@innovationsch.org</t>
  </si>
  <si>
    <t>https://www.jotform.com/uploads/macarewecare/222927978372067/5915526098484366313/5915526098484366313_signature_28.png</t>
  </si>
  <si>
    <t>Lorenzo Bryll acruz</t>
  </si>
  <si>
    <t>https://www.jotform.com/uploads/macarewecare/222927978372067/5915526098484366313/5915526098484366313_signature_31.png</t>
  </si>
  <si>
    <t xml:space="preserve">ASSAY: Xpert CT/NG, COUNT: 106
ASSAY: Xpert HBV VL, COUNT: 92
ASSAY: Xpert HPV, COUNT: 24
ASSAY: Xpert MTB/RIF Ultra, COUNT: 1243
ASSAY: Xpert HCV VL, COUNT: 10
ASSAY: Xpert HIV-1 Viral Load, COUNT: 124
</t>
  </si>
  <si>
    <t>Checked and cleaned cartridge bays, plunger rod, icore slot and filter
Performed reliability test. 
All modules passed
Generated report</t>
  </si>
  <si>
    <t>Performed Preventive Maintenance
Performed Relaiability Test</t>
  </si>
  <si>
    <t>https://www.jotform.com/uploads/macarewecare/222927978372067/5915502057408299036/5915502057408299036_signature_28.png</t>
  </si>
  <si>
    <t>Apple Mae Cabildo</t>
  </si>
  <si>
    <t>https://www.jotform.com/uploads/macarewecare/222927978372067/5915502057408299036/5915502057408299036_signature_31.png</t>
  </si>
  <si>
    <t>Monthly Preventive maintenance</t>
  </si>
  <si>
    <t>Clean Fan Filter
Clean Module Bay
Plunger Maintenance
Gather data IQR, System log, assay stats</t>
  </si>
  <si>
    <t>Systems operational
Module D4 for MR</t>
  </si>
  <si>
    <t>https://www.jotform.com/uploads/macarewecare/222927978372067/5915472491113622621/5915472491113622621_signature_28.png</t>
  </si>
  <si>
    <t>Laurean jo Cabase</t>
  </si>
  <si>
    <t>https://www.jotform.com/uploads/macarewecare/222927978372067/5915472491113622621/5915472491113622621_signature_31.png</t>
  </si>
  <si>
    <t>rezielrds0709@gmail.com</t>
  </si>
  <si>
    <t xml:space="preserve">ASSAY: Xpert MTB/RIF Ultra, COUNT: 1091
</t>
  </si>
  <si>
    <t>Genexpert machine Cleaning 
Checking of errors 
Data collection: IQR, S.LOG, ASSAY stat. and Archive test</t>
  </si>
  <si>
    <t>https://www.jotform.com/uploads/macarewecare/222927978372067/5915043765027897857/5915043765027897857_signature_28.png</t>
  </si>
  <si>
    <t>https://www.jotform.com/uploads/macarewecare/222927978372067/5915043765027897857/5915043765027897857_signature_31.png</t>
  </si>
  <si>
    <t>Genexpert IV</t>
  </si>
  <si>
    <t>Performed Calibration
(3 modules Passed, A1 module newly MR)</t>
  </si>
  <si>
    <t>https://www.jotform.com/uploads/macarewecare/222927978372067/5914781521504480112/5914781521504480112_signature_28.png</t>
  </si>
  <si>
    <t>https://www.jotform.com/uploads/macarewecare/222927978372067/5914781521504480112/5914781521504480112_signature_31.png</t>
  </si>
  <si>
    <t xml:space="preserve">ASSAY: Xpert MTB/RIF Ultra, COUNT: 2161
</t>
  </si>
  <si>
    <t>https://www.jotform.com/uploads/macarewecare/222927978372067/5914772434433172688/5914772434433172688_signature_28.png</t>
  </si>
  <si>
    <t>https://www.jotform.com/uploads/macarewecare/222927978372067/5914772434433172688/5914772434433172688_signature_31.png</t>
  </si>
  <si>
    <t>Lanoratory</t>
  </si>
  <si>
    <t>Unit for preventive maintenance.
UPS for checking.</t>
  </si>
  <si>
    <t>Performed Preventive Maintenance.
-Cleaned and disinfect plunger
-Cleaned and disinfect cartridge bay
-Cleaned and disinfect instrument surface
-Cleaned icore sensors
-Cleaned filter fan
-Archived test results
Performed troubleshooting of UPS.
Generated reports.</t>
  </si>
  <si>
    <t>Unit is operational. Accupower UPS (AT1000180910ST0538) not backing up and is for replacement.</t>
  </si>
  <si>
    <t>https://www.jotform.com/uploads/macarewecare/222927978372067/5914745749494457963/5914745749494457963_signature_28.png</t>
  </si>
  <si>
    <t>https://www.jotform.com/uploads/macarewecare/222927978372067/5914745749494457963/5914745749494457963_signature_31.png</t>
  </si>
  <si>
    <t>Due for PM.</t>
  </si>
  <si>
    <t>https://www.jotform.com/uploads/macarewecare/222927978372067/5914735521583301569/5914735521583301569_signature_28.png</t>
  </si>
  <si>
    <t>https://www.jotform.com/uploads/macarewecare/222927978372067/5914735521583301569/5914735521583301569_signature_31.png</t>
  </si>
  <si>
    <t xml:space="preserve">ASSAY: Xpert MTB/RIF Ultra, COUNT: 1642
</t>
  </si>
  <si>
    <t>Due for Preventive Maintenance
Monitor Display Problem</t>
  </si>
  <si>
    <t>Clean Surface Area, Cartridge Bay, Plunger Rod, Fan Filters and Icore Lenses
Generate IQR, Assay Stat and System Log
Archived Data test results
Reset Cables of the monitor replug and plug. Retry to adjust monitor settings. Still display issue problem</t>
  </si>
  <si>
    <t>Perform Preventive Maintenance
Monitor Troubleshooting</t>
  </si>
  <si>
    <t>All Modules are working, Machine is Operational
Monitor LCD Display problem</t>
  </si>
  <si>
    <t>Monitor Display Error documented and sent to Jotform for further assessment.</t>
  </si>
  <si>
    <t>https://www.jotform.com/uploads/macarewecare/222927978372067/5914688713319660710/5914688713319660710_signature_28.png</t>
  </si>
  <si>
    <t>https://www.jotform.com/uploads/macarewecare/222927978372067/5914688713319660710/5914688713319660710_signature_31.png</t>
  </si>
  <si>
    <t>tdh.labdept@gmail.com</t>
  </si>
  <si>
    <t xml:space="preserve">ASSAY: Xpert MTB/RIF Ultra, COUNT: 1302
</t>
  </si>
  <si>
    <t>No problems reported</t>
  </si>
  <si>
    <t>Activities done</t>
  </si>
  <si>
    <t>https://www.jotform.com/uploads/macarewecare/222927978372067/5914654519113637871/5914654519113637871_signature_28.png</t>
  </si>
  <si>
    <t>Stella Rica Perez</t>
  </si>
  <si>
    <t>https://www.jotform.com/uploads/macarewecare/222927978372067/5914654519113637871/5914654519113637871_signature_31.png</t>
  </si>
  <si>
    <t>Unit for preventive maintenance.
UPS not functioning.</t>
  </si>
  <si>
    <t>Performed Preventive Maintenance.
-Cleaned and disinfect plunger
-Cleaned and disinfect cartridge bay
-Cleaned and disinfect instrument surface
-Cleaned icore sensors
-Cleaned filter fan
-Archived test results
Performed trouble shooting of UPS.
Generated reports.</t>
  </si>
  <si>
    <t>Unit is operational. Accupower UPS (AT1K230830ST0014) is not operational and for replacement.</t>
  </si>
  <si>
    <t>https://www.jotform.com/uploads/macarewecare/222927978372067/5914653388621315840/5914653388621315840_signature_28.png</t>
  </si>
  <si>
    <t>https://www.jotform.com/uploads/macarewecare/222927978372067/5914653388621315840/5914653388621315840_signature_31.png</t>
  </si>
  <si>
    <t>Sta. Cruz Sur, Iriga City</t>
  </si>
  <si>
    <t>monge@yahoo.com.ph</t>
  </si>
  <si>
    <t xml:space="preserve">ASSAY: Xpert MTB/RIF Ultra, COUNT: 1620
</t>
  </si>
  <si>
    <t>Gx for Preventive Maintenance 
Data collection for B2 &amp; B4</t>
  </si>
  <si>
    <t>Cleaned cartridge bays, plunger rod, icore
Generate reports 
Collected B2&amp;B4 gxx file
Charged UPS &amp; tested for backup power dependability. Checked power connections. Checked power output.</t>
  </si>
  <si>
    <t>Performed Preventive Maintenance 
Collected gxx for b2&amp; b4</t>
  </si>
  <si>
    <t>UPS no backup power: cant store power when plugged off from AC. request for replacement.</t>
  </si>
  <si>
    <t>https://www.jotform.com/uploads/macarewecare/222927978372067/5913913407424893108/5913913407424893108_signature_28.png</t>
  </si>
  <si>
    <t>https://www.jotform.com/uploads/macarewecare/222927978372067/5913913407424893108/5913913407424893108_signature_31.png</t>
  </si>
  <si>
    <t>- Unit is partially operational 
- Module B3 (806441) has already been reported.</t>
  </si>
  <si>
    <t>https://www.jotform.com/uploads/macarewecare/222927978372067/5913870392184720628/5913870392184720628_signature_28.png</t>
  </si>
  <si>
    <t>https://www.jotform.com/uploads/macarewecare/222927978372067/5913870392184720628/5913870392184720628_signature_31.png</t>
  </si>
  <si>
    <t>- Unit is partially operational 
- Module A1 (720229) For Retry of XpertCheck next site visit
- Module A2(720228) Failed XpertCheck. For Reporting</t>
  </si>
  <si>
    <t>https://www.jotform.com/uploads/macarewecare/222927978372067/5913868802184682076/5913868802184682076_signature_28.png</t>
  </si>
  <si>
    <t>https://www.jotform.com/uploads/macarewecare/222927978372067/5913868802184682076/5913868802184682076_signature_31.png</t>
  </si>
  <si>
    <t>https://www.jotform.com/uploads/macarewecare/222927978372067/5913855462181644573/5913855462181644573_signature_28.png</t>
  </si>
  <si>
    <t>Marjelyn B. Rayray</t>
  </si>
  <si>
    <t>https://www.jotform.com/uploads/macarewecare/222927978372067/5913855462181644573/5913855462181644573_signature_31.png</t>
  </si>
  <si>
    <t>https://www.jotform.com/uploads/macarewecare/222927978372067/5913854522183585001/5913854522183585001_signature_28.png</t>
  </si>
  <si>
    <t>https://www.jotform.com/uploads/macarewecare/222927978372067/5913854522183585001/5913854522183585001_signature_31.png</t>
  </si>
  <si>
    <t xml:space="preserve">ASSAY: Xpert MTB/RIF Ultra, COUNT: 1559
</t>
  </si>
  <si>
    <t>https://www.jotform.com/uploads/macarewecare/222927978372067/5913852582189641419/5913852582189641419_signature_28.png</t>
  </si>
  <si>
    <t>https://www.jotform.com/uploads/macarewecare/222927978372067/5913852582189641419/5913852582189641419_signature_31.png</t>
  </si>
  <si>
    <t>Machine not functional</t>
  </si>
  <si>
    <t>Reset the connection of the PCB Boards
Test the voltage of the power supply</t>
  </si>
  <si>
    <t>Troubleshoot the MCS+ Machine</t>
  </si>
  <si>
    <t>Still the Machine is not operational
Waiting for PSU from Headoffice for problem Isolation</t>
  </si>
  <si>
    <t>https://www.jotform.com/uploads/macarewecare/222927978372067/5913839680121145534/5913839680121145534_signature_28.png</t>
  </si>
  <si>
    <t>https://www.jotform.com/uploads/macarewecare/222927978372067/5913839680121145534/5913839680121145534_signature_31.png</t>
  </si>
  <si>
    <t>https://www.jotform.com/uploads/macarewecare/222927978372067/5913796183618463746/5913796183618463746_signature_28.png</t>
  </si>
  <si>
    <t>https://www.jotform.com/uploads/macarewecare/222927978372067/5913796183618463746/5913796183618463746_signature_31.png</t>
  </si>
  <si>
    <t>https://www.jotform.com/uploads/macarewecare/222927978372067/5913795863615331180/5913795863615331180_signature_28.png</t>
  </si>
  <si>
    <t>https://www.jotform.com/uploads/macarewecare/222927978372067/5913795863615331180/5913795863615331180_signature_31.png</t>
  </si>
  <si>
    <t>https://www.jotform.com/uploads/macarewecare/222927978372067/5913795433615989307/5913795433615989307_signature_28.png</t>
  </si>
  <si>
    <t>https://www.jotform.com/uploads/macarewecare/222927978372067/5913795433615989307/5913795433615989307_signature_31.png</t>
  </si>
  <si>
    <t>Bustos, Bulacan</t>
  </si>
  <si>
    <t>https://www.jotform.com/uploads/macarewecare/222927978372067/5913795213614448527/5913795213614448527_signature_28.png</t>
  </si>
  <si>
    <t>https://www.jotform.com/uploads/macarewecare/222927978372067/5913795213614448527/5913795213614448527_signature_31.png</t>
  </si>
  <si>
    <t>https://www.jotform.com/uploads/macarewecare/222927978372067/5913794823611339119/5913794823611339119_signature_28.png</t>
  </si>
  <si>
    <t>https://www.jotform.com/uploads/macarewecare/222927978372067/5913794823611339119/5913794823611339119_signature_31.png</t>
  </si>
  <si>
    <t>As per end user they encounter system problem error and blurr image in display</t>
  </si>
  <si>
    <t>Checked unit 
Checked program parameters
Checked and reset cable
Performed simulation running</t>
  </si>
  <si>
    <t>During simulation running no error encounter unit is operational</t>
  </si>
  <si>
    <t>https://www.jotform.com/uploads/macarewecare/222927978372067/5913697163612426094/5913697163612426094_signature_28.png</t>
  </si>
  <si>
    <t>JOHN ERIC ARELLANO</t>
  </si>
  <si>
    <t>https://www.jotform.com/uploads/macarewecare/222927978372067/5913697163612426094/5913697163612426094_signature_31.png</t>
  </si>
  <si>
    <t>General Santos City Health Office</t>
  </si>
  <si>
    <t>Social hygiene Clinic</t>
  </si>
  <si>
    <t>dontingzon@gmail.com</t>
  </si>
  <si>
    <t xml:space="preserve">ASSAY: Xpert HIV-1 Viral Load, COUNT: 235
</t>
  </si>
  <si>
    <t>Gx-IV 10-C</t>
  </si>
  <si>
    <t>Genexpert machine Cleaning 
Checking of errors 
Data collection</t>
  </si>
  <si>
    <t>https://www.jotform.com/uploads/macarewecare/222927978372067/5913378355915574691/5913378355915574691_signature_28.png</t>
  </si>
  <si>
    <t>Jonnel Tingzon</t>
  </si>
  <si>
    <t>https://www.jotform.com/uploads/macarewecare/222927978372067/5913378355915574691/5913378355915574691_signature_31.png</t>
  </si>
  <si>
    <t>JP. Laurel Davao City</t>
  </si>
  <si>
    <t>Machine Suddenly off during procedure</t>
  </si>
  <si>
    <t>Check Centrifuge, check voltages across the machine and the Centrifuge
Resetting Board connection</t>
  </si>
  <si>
    <t>Diagnose each part</t>
  </si>
  <si>
    <t>Unit not operational
Waiting for parts from Manila to Isolate the diagnosis</t>
  </si>
  <si>
    <t>Machine is unavailable to use.</t>
  </si>
  <si>
    <t>https://www.jotform.com/uploads/macarewecare/222927978372067/5911437295868018437/5911437295868018437_signature_28.png</t>
  </si>
  <si>
    <t>Dianne karla</t>
  </si>
  <si>
    <t>https://www.jotform.com/uploads/macarewecare/222927978372067/5911437295868018437/5911437295868018437_signature_31.png</t>
  </si>
  <si>
    <t>Evangelista Ave</t>
  </si>
  <si>
    <t>Installed the GeneXpert System:
-GeneXpert unit
-Workstation
-UPS
-Barcode Scanner
-Printer
Functionality test 
Generated IQR</t>
  </si>
  <si>
    <t>UPS SN: AT1K230830ST0024</t>
  </si>
  <si>
    <t>https://www.jotform.com/uploads/macarewecare/222927978372067/5911410076248060991/5911410076248060991_signature_28.png</t>
  </si>
  <si>
    <t>https://www.jotform.com/uploads/macarewecare/222927978372067/5911410076248060991/5911410076248060991_signature_31.png</t>
  </si>
  <si>
    <t>Evangelista Ave.</t>
  </si>
  <si>
    <t>Installed the GeneXpert System:
-GeneXpert unit 
-Workstation 
-Barcode Scanner 
-Printer
-UPS
Functionality test 
Generated IQR</t>
  </si>
  <si>
    <t>https://www.jotform.com/uploads/macarewecare/222927978372067/5911407706249166031/5911407706249166031_signature_28.png</t>
  </si>
  <si>
    <t>https://www.jotform.com/uploads/macarewecare/222927978372067/5911407706249166031/5911407706249166031_signature_31.png</t>
  </si>
  <si>
    <t>biomedunit.vmmc@gmail.com</t>
  </si>
  <si>
    <t xml:space="preserve">ASSAY: Xpert HBV VL, COUNT: 178
ASSAY: Xpert MTB/RIF Ultra, COUNT: 1575
ASSAY: Xpert SARS-CoV-2, COUNT: 110
ASSAY: Xpert HCV VL, COUNT: 17
</t>
  </si>
  <si>
    <t>GX unit due for Preventive Maintenance</t>
  </si>
  <si>
    <t>Checked and cleaned cartridge bays, plunger rod, icore slot and filter
Performed reliability test
All modules passed
Generated report</t>
  </si>
  <si>
    <t>Unit for maintenance every 1st Friday of the month</t>
  </si>
  <si>
    <t>https://www.jotform.com/uploads/macarewecare/222927978372067/5911365365683726156/5911365365683726156_signature_28.png</t>
  </si>
  <si>
    <t>Sheila Bermido</t>
  </si>
  <si>
    <t>https://www.jotform.com/uploads/macarewecare/222927978372067/5911365365683726156/5911365365683726156_signature_31.png</t>
  </si>
  <si>
    <t>UP-Ayala Technohub, Commonwealth Ave., Quezon City</t>
  </si>
  <si>
    <t>patrick.baco@cordlife.com</t>
  </si>
  <si>
    <t>SmartMax</t>
  </si>
  <si>
    <t>Unit unable to boot, suspected drained CPU BIOS battery</t>
  </si>
  <si>
    <t>Replaced CPU BIOS battery</t>
  </si>
  <si>
    <t>Unit is not operational, further troubleshooting required with additional tools.</t>
  </si>
  <si>
    <t>https://www.jotform.com/uploads/macarewecare/222927978372067/5911364568028387816/5911364568028387816_signature_28.png</t>
  </si>
  <si>
    <t>Patrick Baco</t>
  </si>
  <si>
    <t>https://www.jotform.com/uploads/macarewecare/222927978372067/5911364568028387816/5911364568028387816_signature_31.png</t>
  </si>
  <si>
    <t>Preventive Maintenance pump roller, ups, check valve and compressor sounds</t>
  </si>
  <si>
    <t>https://www.jotform.com/uploads/macarewecare/222927978372067/5911357661119392469/5911357661119392469_signature_28.png</t>
  </si>
  <si>
    <t>Ericka Jane Corro, RMT</t>
  </si>
  <si>
    <t>https://www.jotform.com/uploads/macarewecare/222927978372067/5911357661119392469/5911357661119392469_signature_31.png</t>
  </si>
  <si>
    <t>Alabang-Zapote Road, Pamplona, Las Piñas City</t>
  </si>
  <si>
    <t>Unit has Blood Pump Problem.</t>
  </si>
  <si>
    <t>Repair/Parts Replacement.</t>
  </si>
  <si>
    <t>Removed and Replaced Defective Blood Pump Motor Assy.
Checked Diagnostic and A/D Values.
Performed Simulation Test.</t>
  </si>
  <si>
    <t>Motor Assy: 230705</t>
  </si>
  <si>
    <t>Motor Assembly</t>
  </si>
  <si>
    <t>SI 097969</t>
  </si>
  <si>
    <t>https://www.jotform.com/uploads/macarewecare/222927978372067/5911355550149154292/5911355550149154292_signature_28.png</t>
  </si>
  <si>
    <t>https://www.jotform.com/uploads/macarewecare/222927978372067/5911355550149154292/5911355550149154292_signature_31.png</t>
  </si>
  <si>
    <t>FO, Balce St., Brgy. Dos, Poblacion, Vinzons</t>
  </si>
  <si>
    <t>danemilbodino23@gmail.com1</t>
  </si>
  <si>
    <t xml:space="preserve">ASSAY: Xpert MTB/RIF Ultra, COUNT: 908
</t>
  </si>
  <si>
    <t>Frequent Date and Time reset</t>
  </si>
  <si>
    <t>Replaced CPU Date and Time battery
Generate report</t>
  </si>
  <si>
    <t>https://www.jotform.com/uploads/macarewecare/222927978372067/5911350480012018777/5911350480012018777_signature_28.png</t>
  </si>
  <si>
    <t>https://www.jotform.com/uploads/macarewecare/222927978372067/5911350480012018777/5911350480012018777_signature_31.png</t>
  </si>
  <si>
    <t>Bloodbank Service Unit</t>
  </si>
  <si>
    <t>https://www.jotform.com/uploads/macarewecare/222927978372067/5911342451116080507/5911342451116080507_signature_28.png</t>
  </si>
  <si>
    <t>https://www.jotform.com/uploads/macarewecare/222927978372067/5911342451116080507/5911342451116080507_signature_31.png</t>
  </si>
  <si>
    <t>Machine operational</t>
  </si>
  <si>
    <t>https://www.jotform.com/uploads/macarewecare/222927978372067/5911330011111570510/5911330011111570510_signature_28.png</t>
  </si>
  <si>
    <t>Dave Gabini</t>
  </si>
  <si>
    <t>https://www.jotform.com/uploads/macarewecare/222927978372067/5911330011111570510/5911330011111570510_signature_31.png</t>
  </si>
  <si>
    <t>Check pump roller, check valve, check ups</t>
  </si>
  <si>
    <t>https://www.jotform.com/uploads/macarewecare/222927978372067/5911327771115599081/5911327771115599081_signature_28.png</t>
  </si>
  <si>
    <t>https://www.jotform.com/uploads/macarewecare/222927978372067/5911327771115599081/5911327771115599081_signature_31.png</t>
  </si>
  <si>
    <t>tmcsl-molecular@themedicalcity.com</t>
  </si>
  <si>
    <t>Unit for prevenntive maintenance.
Unit for Xpertcheck.</t>
  </si>
  <si>
    <t>Unit is operational. Modules B3 (866650) and B4 (866802), Service Required.
Modules B1 (866519) and B2 (866649), Passed.</t>
  </si>
  <si>
    <t>https://www.jotform.com/uploads/macarewecare/222927978372067/5911304951618352253/5911304951618352253_signature_28.png</t>
  </si>
  <si>
    <t>Roxanne D. Rodriguez</t>
  </si>
  <si>
    <t>https://www.jotform.com/uploads/macarewecare/222927978372067/5911304951618352253/5911304951618352253_signature_31.png</t>
  </si>
  <si>
    <t xml:space="preserve">ASSAY: Xpert MTB/RIF Ultra, COUNT: 5929
ASSAY: Xpert HCV VL, COUNT: 25
ASSAY: Xpert HIV-1 Viral Load, COUNT: 241
</t>
  </si>
  <si>
    <t>https://www.jotform.com/uploads/macarewecare/222927978372067/5911275391117960215/5911275391117960215_signature_28.png</t>
  </si>
  <si>
    <t>https://www.jotform.com/uploads/macarewecare/222927978372067/5911275391117960215/5911275391117960215_signature_31.png</t>
  </si>
  <si>
    <t>https://www.jotform.com/uploads/macarewecare/222927978372067/5911273281118904871/5911273281118904871_signature_28.png</t>
  </si>
  <si>
    <t>https://www.jotform.com/uploads/macarewecare/222927978372067/5911273281118904871/5911273281118904871_signature_31.png</t>
  </si>
  <si>
    <t>troxoctubre@gmail.com</t>
  </si>
  <si>
    <t>Gentle MACS Octo Dissociator</t>
  </si>
  <si>
    <t>Cleaned unit
Performed functionality test
Checked and test connector
Checked and test display panel
Checked program parameters
Test run unit ok.</t>
  </si>
  <si>
    <t>https://www.jotform.com/uploads/macarewecare/222927978372067/5911261250217457806/5911261250217457806_signature_28.png</t>
  </si>
  <si>
    <t>https://www.jotform.com/uploads/macarewecare/222927978372067/5911261250217457806/5911261250217457806_signature_31.png</t>
  </si>
  <si>
    <t>https://www.jotform.com/uploads/macarewecare/222927978372067/5911251931611590212/5911251931611590212_signature_28.png</t>
  </si>
  <si>
    <t>https://www.jotform.com/uploads/macarewecare/222927978372067/5911251931611590212/5911251931611590212_signature_31.png</t>
  </si>
  <si>
    <t>Virac, Catanduanes</t>
  </si>
  <si>
    <t xml:space="preserve">ASSAY: Xpert MTB/RIF Ultra, COUNT: 1822
</t>
  </si>
  <si>
    <t>Gx for Calibration 
CPU restarting while running Gx test
Monitor grid/blue lines covering half the screen</t>
  </si>
  <si>
    <t>XpertCheck Result:
   B1/730980 - new module
   B2/210030593 - new module
   B3/736617 - service required
   B4/785028 - new module
Checked AVR power output
Checked ups power output
Checked/Tighten power cable connection 
Checked/cleaned CPU RAM
Collect data
Cleaned cartridge bays, plunger rod, icore 
Generate report</t>
  </si>
  <si>
    <t>Performed XpertCheck 
Performed Preventive Maintenance 
Performed Troubleshooting</t>
  </si>
  <si>
    <t>Unit is operational 
Monitor defective/not operational 
CPU problem still persists</t>
  </si>
  <si>
    <t>CPU Problem still persists, request for replacement, Monitor request for replacement</t>
  </si>
  <si>
    <t>https://www.jotform.com/uploads/macarewecare/222927978372067/5911228181115726701/5911228181115726701_signature_28.png</t>
  </si>
  <si>
    <t>https://www.jotform.com/uploads/macarewecare/222927978372067/5911228181115726701/5911228181115726701_signature_31.png</t>
  </si>
  <si>
    <t>Naga</t>
  </si>
  <si>
    <t>11J221</t>
  </si>
  <si>
    <t>Retrieve defective LCD ribbon cable
Performed Preventive Maintenance</t>
  </si>
  <si>
    <t>Retrieve defective lcd ribbon cable
Cleaned/disinfect mcs+ surface, centrifuge bowl, rotor pumps, valves</t>
  </si>
  <si>
    <t>Retrieve Defective component for replacement</t>
  </si>
  <si>
    <t>https://www.jotform.com/uploads/macarewecare/222927978372067/5911227251114944050/5911227251114944050_signature_28.png</t>
  </si>
  <si>
    <t>Josef D. Reyes, RN</t>
  </si>
  <si>
    <t>https://www.jotform.com/uploads/macarewecare/222927978372067/5911227251114944050/5911227251114944050_signature_31.png</t>
  </si>
  <si>
    <t>Cleaned/disinfect mcs+ surface, centrifuge bowl, valves, rotor pumps
Checked parameters</t>
  </si>
  <si>
    <t>https://www.jotform.com/uploads/macarewecare/222927978372067/5911226631114387280/5911226631114387280_signature_28.png</t>
  </si>
  <si>
    <t>https://www.jotform.com/uploads/macarewecare/222927978372067/5911226631114387280/5911226631114387280_signature_31.png</t>
  </si>
  <si>
    <t>Cleaned/disinfect mcs+ surface, centrifuge bowl, rotor pumps, valves
Checked parameters</t>
  </si>
  <si>
    <t>https://www.jotform.com/uploads/macarewecare/222927978372067/5911225871116481231/5911225871116481231_signature_28.png</t>
  </si>
  <si>
    <t>https://www.jotform.com/uploads/macarewecare/222927978372067/5911225871116481231/5911225871116481231_signature_31.png</t>
  </si>
  <si>
    <t>Womens Health Center</t>
  </si>
  <si>
    <t>sweetlove@yahoo.com</t>
  </si>
  <si>
    <t>AL-106</t>
  </si>
  <si>
    <t>118AAGN0006</t>
  </si>
  <si>
    <t>Unit for preventive maintenance.
For troubleshooting of recording console.</t>
  </si>
  <si>
    <t>Performed preventive maintenance.
Cleaned unit and lens.
Performed functionality testing.
Performed troubleshooting on recording console.
Performed actual recording.
Generated reports.</t>
  </si>
  <si>
    <t>Unit is operational. Recording console's AV input is loosed and only working on a certain fixed position. Endorsed to biomed the issue.</t>
  </si>
  <si>
    <t>https://www.jotform.com/uploads/macarewecare/222927978372067/5911203861618674918/5911203861618674918_signature_28.png</t>
  </si>
  <si>
    <t>Dulc amor tmodong</t>
  </si>
  <si>
    <t>https://www.jotform.com/uploads/macarewecare/222927978372067/5911203861618674918/5911203861618674918_signature_31.png</t>
  </si>
  <si>
    <t>sacclkiteval@gmail.com</t>
  </si>
  <si>
    <t>Unit has Lost Communication Errors.</t>
  </si>
  <si>
    <t>Checked Output Voltage.
Add Voltage Regulator.
Relocate GeneXpert System.
Generate Reports.</t>
  </si>
  <si>
    <t>Automatic Voltage Regulator</t>
  </si>
  <si>
    <t>DR 11482</t>
  </si>
  <si>
    <t>https://www.jotform.com/uploads/macarewecare/222927978372067/5910514117217278812/5910514117217278812_signature_28.png</t>
  </si>
  <si>
    <t>Melanie Perez</t>
  </si>
  <si>
    <t>https://www.jotform.com/uploads/macarewecare/222927978372067/5910514117217278812/5910514117217278812_signature_31.png</t>
  </si>
  <si>
    <t>Dr. Sixto Avenue</t>
  </si>
  <si>
    <t>Installed the GeneXpert System:
-GeneXpert unit
-Workstation
-UPS
-Printer
Functionality test
Generated IQR</t>
  </si>
  <si>
    <t>https://www.jotform.com/uploads/macarewecare/222927978372067/5910494273691052950/5910494273691052950_signature_28.png</t>
  </si>
  <si>
    <t>https://www.jotform.com/uploads/macarewecare/222927978372067/5910494273691052950/5910494273691052950_signature_31.png</t>
  </si>
  <si>
    <t>Taft Ave. Ermita Manila</t>
  </si>
  <si>
    <t>https://www.jotform.com/uploads/macarewecare/222927978372067/5910478631614285144/5910478631614285144_signature_28.png</t>
  </si>
  <si>
    <t>Allan canseco</t>
  </si>
  <si>
    <t>https://www.jotform.com/uploads/macarewecare/222927978372067/5910478631614285144/5910478631614285144_signature_31.png</t>
  </si>
  <si>
    <t xml:space="preserve">ASSAY: Xpert CT/NG, COUNT: 50
ASSAY: Xpert HPV, COUNT: 2
ASSAY: Xpert SARS-CoV-2, COUNT: 43
</t>
  </si>
  <si>
    <t>Due for maintenance,C2 disable failed xpertcheck,A3 HW failed</t>
  </si>
  <si>
    <t>14 module operational</t>
  </si>
  <si>
    <t>https://www.jotform.com/uploads/macarewecare/222927978372067/5910466023211614661/5910466023211614661_signature_28.png</t>
  </si>
  <si>
    <t>https://www.jotform.com/uploads/macarewecare/222927978372067/5910466023211614661/5910466023211614661_signature_31.png</t>
  </si>
  <si>
    <t xml:space="preserve">ASSAY: Xpert BCR-ABL Ultra, COUNT: 66
ASSAY: Xpert CT/NG, COUNT: 167
ASSAY: Xpert HBV VL, COUNT: 154
ASSAY: Xpert HPV, COUNT: 12
ASSAY: Xpert MTB/RIF Ultra, COUNT: 1110
ASSAY: Xpert HCV VL, COUNT: 131
ASSAY: Xpert HIV-1 Viral Load, COUNT: 8
</t>
  </si>
  <si>
    <t>https://www.jotform.com/uploads/macarewecare/222927978372067/5910465631112692116/5910465631112692116_signature_28.png</t>
  </si>
  <si>
    <t>https://www.jotform.com/uploads/macarewecare/222927978372067/5910465631112692116/5910465631112692116_signature_31.png</t>
  </si>
  <si>
    <t>Capas Tarlac</t>
  </si>
  <si>
    <t xml:space="preserve">ASSAY: Xpert MTB/RIF Ultra, COUNT: 1676
</t>
  </si>
  <si>
    <t>https://www.jotform.com/uploads/macarewecare/222927978372067/5910416227594963430/5910416227594963430_signature_28.png</t>
  </si>
  <si>
    <t>https://www.jotform.com/uploads/macarewecare/222927978372067/5910416227594963430/5910416227594963430_signature_31.png</t>
  </si>
  <si>
    <t>Pulilan Rural Health Unit</t>
  </si>
  <si>
    <t>Pulilan, Bulacan</t>
  </si>
  <si>
    <t>celsptcruz19@gmail.com</t>
  </si>
  <si>
    <t>Temp. errors found on module A3
Advised end user to use external fan for air circulation</t>
  </si>
  <si>
    <t>Unit is operational 
A3 under observation</t>
  </si>
  <si>
    <t>https://www.jotform.com/uploads/macarewecare/222927978372067/5910370871426205069/5910370871426205069_signature_28.png</t>
  </si>
  <si>
    <t>Cecille Cruz</t>
  </si>
  <si>
    <t>https://www.jotform.com/uploads/macarewecare/222927978372067/5910370871426205069/5910370871426205069_signature_31.png</t>
  </si>
  <si>
    <t>UP-ICHHD</t>
  </si>
  <si>
    <t>Pefro Gil St, Ermita Manila</t>
  </si>
  <si>
    <t>Unit for preventive maintenance.
For troubleshooting of GX as per instruction of cepheid.</t>
  </si>
  <si>
    <t>https://www.jotform.com/uploads/macarewecare/222927978372067/5910357901618824064/5910357901618824064_signature_28.png</t>
  </si>
  <si>
    <t>https://www.jotform.com/uploads/macarewecare/222927978372067/5910357901618824064/5910357901618824064_signature_31.png</t>
  </si>
  <si>
    <t>Found temperature errors on module A3</t>
  </si>
  <si>
    <t>Unit is operational 
Module A3 for reporting</t>
  </si>
  <si>
    <t>https://www.jotform.com/uploads/macarewecare/222927978372067/5910364899954085923/5910364899954085923_signature_28.png</t>
  </si>
  <si>
    <t>https://www.jotform.com/uploads/macarewecare/222927978372067/5910364899954085923/5910364899954085923_signature_31.png</t>
  </si>
  <si>
    <t>Brgy. San Miguel Tarlac City</t>
  </si>
  <si>
    <t xml:space="preserve">ASSAY: Xpert MTB/RIF Ultra, COUNT: 551
</t>
  </si>
  <si>
    <t>Due for preventive and calibration</t>
  </si>
  <si>
    <t>Performed surface cleaning 
Performed cleaning of plunger rod, cartridge bay, icore and filter 
Archived test result
Performed xpertcheck 
Performed functionality test 
Gathered reports</t>
  </si>
  <si>
    <t>Unit is operational 
All modules passed calibration
UPS: AT1000181128ST0132 for replacement</t>
  </si>
  <si>
    <t>Used 4 xpertcheck kits</t>
  </si>
  <si>
    <t>https://www.jotform.com/uploads/macarewecare/222927978372067/5910351977593568759/5910351977593568759_signature_28.png</t>
  </si>
  <si>
    <t>Lea A. Dagan</t>
  </si>
  <si>
    <t>https://www.jotform.com/uploads/macarewecare/222927978372067/5910351977593568759/5910351977593568759_signature_31.png</t>
  </si>
  <si>
    <t xml:space="preserve">ASSAY: Xpert MTB/RIF Ultra, COUNT: 1073
</t>
  </si>
  <si>
    <t>- Preventive maintenance (Cleaned plunger rod, iCore, Cartridge Bay nad Fan filter)
-</t>
  </si>
  <si>
    <t>https://www.jotform.com/uploads/macarewecare/222927978372067/5910345329123562558/5910345329123562558_signature_28.png</t>
  </si>
  <si>
    <t>Sarah Yangzon</t>
  </si>
  <si>
    <t>https://www.jotform.com/uploads/macarewecare/222927978372067/5910345329123562558/5910345329123562558_signature_31.png</t>
  </si>
  <si>
    <t>Brgy. Poblacion, Claver</t>
  </si>
  <si>
    <t>rhodaruthdalogdog@yahoo.com.ph</t>
  </si>
  <si>
    <t>Filter not reusable.</t>
  </si>
  <si>
    <t>Filter to be reported to Cepheid</t>
  </si>
  <si>
    <t>https://www.jotform.com/uploads/macarewecare/222927978372067/5910337926309010390/5910337926309010390_signature_28.png</t>
  </si>
  <si>
    <t>https://www.jotform.com/uploads/macarewecare/222927978372067/5910337926309010390/5910337926309010390_signature_31.png</t>
  </si>
  <si>
    <t>Clean fan filter
New module 3 installed sn 861590
Gathering data of genexpert machine
IQR, SYSTEM LOG</t>
  </si>
  <si>
    <t>https://www.jotform.com/uploads/macarewecare/222927978372067/5910314111119884372/5910314111119884372_signature_28.png</t>
  </si>
  <si>
    <t>Owen joshua L. briones</t>
  </si>
  <si>
    <t>https://www.jotform.com/uploads/macarewecare/222927978372067/5910314111119884372/5910314111119884372_signature_31.png</t>
  </si>
  <si>
    <t>kaye11ren08@gmail.com</t>
  </si>
  <si>
    <t>Unit is operational. Module A1 (210077560) retry then service required and A3 (210010363) is service required. Module A4 (210048255) passed. Result of A2 (210077583) is Retry, but there's no spare Xpertcheck to continue.</t>
  </si>
  <si>
    <t>Xpertcheck kit c/o pbsp.</t>
  </si>
  <si>
    <t>PL-015868</t>
  </si>
  <si>
    <t>https://www.jotform.com/uploads/macarewecare/222927978372067/5909678849819540774/5909678849819540774_signature_28.png</t>
  </si>
  <si>
    <t>Carina Moncada</t>
  </si>
  <si>
    <t>https://www.jotform.com/uploads/macarewecare/222927978372067/5909678849819540774/5909678849819540774_signature_31.png</t>
  </si>
  <si>
    <t>Hermosa Rural Health Unit</t>
  </si>
  <si>
    <t>Hermosa Bataan</t>
  </si>
  <si>
    <t>kryztnangela@gmail.com</t>
  </si>
  <si>
    <t xml:space="preserve">ASSAY: Xpert MTB/RIF Ultra, COUNT: 543
ASSAY: Xpert HIV-1 Viral Load, COUNT: 36
</t>
  </si>
  <si>
    <t>https://www.jotform.com/uploads/macarewecare/222927978372067/5909577097592808413/5909577097592808413_signature_28.png</t>
  </si>
  <si>
    <t>Mary Ann Patambang</t>
  </si>
  <si>
    <t>https://www.jotform.com/uploads/macarewecare/222927978372067/5909577097592808413/5909577097592808413_signature_31.png</t>
  </si>
  <si>
    <t>San Vicente Municipal Puerto Princesa North Road, Poblacion, San Vicente, 5309 Palawan</t>
  </si>
  <si>
    <t>GX IV 10C-L</t>
  </si>
  <si>
    <t>GX Unit for installation</t>
  </si>
  <si>
    <t>Unbox GX and all accessories 
Setup GX
Setup user admin
Setup System configuration 
Installed printer driver
Performed PM
Generated report</t>
  </si>
  <si>
    <t>Setup and Installed GX</t>
  </si>
  <si>
    <t>Uni is operational 
All modules working</t>
  </si>
  <si>
    <t>https://www.jotform.com/uploads/macarewecare/222927978372067/5909562200612410532/5909562200612410532_signature_28.png</t>
  </si>
  <si>
    <t>https://www.jotform.com/uploads/macarewecare/222927978372067/5909562200612410532/5909562200612410532_signature_31.png</t>
  </si>
  <si>
    <t>https://www.jotform.com/uploads/macarewecare/222927978372067/5909517094085816386/5909517094085816386_signature_28.png</t>
  </si>
  <si>
    <t>https://www.jotform.com/uploads/macarewecare/222927978372067/5909517094085816386/5909517094085816386_signature_31.png</t>
  </si>
  <si>
    <t>Porac Rural Health Unit</t>
  </si>
  <si>
    <t>Porac Pampanga</t>
  </si>
  <si>
    <t>rhulabporac@gmail.com</t>
  </si>
  <si>
    <t>Due for maintenance 
UPS for troubleshooting</t>
  </si>
  <si>
    <t>Performed surface cleaning 
Performed cleaning of plunger rod, cartridge bay, icore and filter 
Archived test results 
Performed UPS Troubleshooting 
Performed functionality test 
Gathered reports</t>
  </si>
  <si>
    <t>Unit is operational 
UPS:AT1000181128ST0159 for replacement</t>
  </si>
  <si>
    <t>https://www.jotform.com/uploads/macarewecare/222927978372067/5909504977599076344/5909504977599076344_signature_28.png</t>
  </si>
  <si>
    <t>Marife Lansangan</t>
  </si>
  <si>
    <t>https://www.jotform.com/uploads/macarewecare/222927978372067/5909504977599076344/5909504977599076344_signature_31.png</t>
  </si>
  <si>
    <t>Guagua Pampanga</t>
  </si>
  <si>
    <t xml:space="preserve">ASSAY: Xpert MTB/RIF Ultra, COUNT: 1310
</t>
  </si>
  <si>
    <t>https://www.jotform.com/uploads/macarewecare/222927978372067/5909454667598802285/5909454667598802285_signature_28.png</t>
  </si>
  <si>
    <t>https://www.jotform.com/uploads/macarewecare/222927978372067/5909454667598802285/5909454667598802285_signature_31.png</t>
  </si>
  <si>
    <t>Bagong Silang Ph. 2 Health Center</t>
  </si>
  <si>
    <t>laguitannataniel@gmail.com</t>
  </si>
  <si>
    <t>https://www.jotform.com/uploads/macarewecare/222927978372067/5909449089954367055/5909449089954367055_signature_28.png</t>
  </si>
  <si>
    <t>Nataniel Laguitan</t>
  </si>
  <si>
    <t>https://www.jotform.com/uploads/macarewecare/222927978372067/5909449089954367055/5909449089954367055_signature_31.png</t>
  </si>
  <si>
    <t>Unit for maintenance
Unit's desktop is not booting properly</t>
  </si>
  <si>
    <t>End user switched GeneXpert to other GeneXpert desktop unit (Defective desktop is already boxed upon visit)</t>
  </si>
  <si>
    <t>Unit is operational
Desktop for reporting (SN: 2UA8471RT1)</t>
  </si>
  <si>
    <t>https://www.jotform.com/uploads/macarewecare/222927978372067/5909449089952093536/5909449089952093536_signature_28.png</t>
  </si>
  <si>
    <t>https://www.jotform.com/uploads/macarewecare/222927978372067/5909449089952093536/5909449089952093536_signature_31.png</t>
  </si>
  <si>
    <t>Sampaguita St.</t>
  </si>
  <si>
    <t>https://www.jotform.com/uploads/macarewecare/222927978372067/5909442398131868393/5909442398131868393_signature_28.png</t>
  </si>
  <si>
    <t>Lily Rose Barras</t>
  </si>
  <si>
    <t>https://www.jotform.com/uploads/macarewecare/222927978372067/5909442398131868393/5909442398131868393_signature_31.png</t>
  </si>
  <si>
    <t>Unit for relocation to molecular lab.</t>
  </si>
  <si>
    <t>Performed installation.
Rearranged cables.
Generated reports.</t>
  </si>
  <si>
    <t>https://www.jotform.com/uploads/macarewecare/222927978372067/5909436771614005506/5909436771614005506_signature_28.png</t>
  </si>
  <si>
    <t>https://www.jotform.com/uploads/macarewecare/222927978372067/5909436771614005506/5909436771614005506_signature_31.png</t>
  </si>
  <si>
    <t>Request Filter</t>
  </si>
  <si>
    <t>Requesting filter</t>
  </si>
  <si>
    <t>https://www.jotform.com/uploads/macarewecare/222927978372067/5909427130688991511/5909427130688991511_signature_28.png</t>
  </si>
  <si>
    <t>https://www.jotform.com/uploads/macarewecare/222927978372067/5909427130688991511/5909427130688991511_signature_31.png</t>
  </si>
  <si>
    <t>Macabebe Rural Health Unit</t>
  </si>
  <si>
    <t>Macabebe Pampanga</t>
  </si>
  <si>
    <t>salvamari13@yahoo.com</t>
  </si>
  <si>
    <t>Due for preventive maintenance 
UPS not backing up for more than 5 1 minute</t>
  </si>
  <si>
    <t>Performed surface cleaning 
Performed cleaning of plunger rod, cartridge bay, icore and filter 
Archived test results 
Performed UPS troubleshooting 
Performed functionality test 
Gathered reports</t>
  </si>
  <si>
    <t>Unit is operational 
US:AT1000181128ST0187 for replacement</t>
  </si>
  <si>
    <t>https://www.jotform.com/uploads/macarewecare/222927978372067/5909387227596904885/5909387227596904885_signature_28.png</t>
  </si>
  <si>
    <t>Salva Mari Sese</t>
  </si>
  <si>
    <t>https://www.jotform.com/uploads/macarewecare/222927978372067/5909387227596904885/5909387227596904885_signature_31.png</t>
  </si>
  <si>
    <t>Apalit Pampanga</t>
  </si>
  <si>
    <t xml:space="preserve">ASSAY: Xpert MTB/RIF Ultra, COUNT: 961
ASSAY: Xpert HIV-1 Viral Load, COUNT: 44
</t>
  </si>
  <si>
    <t>Due for maintenance 
UPS troubleshooting 
A4:674002 troubleshooting</t>
  </si>
  <si>
    <t>Performed surface cleaning 
Performed cleaning of plunger rod, cartridge bay, icore and filter 
Archived test results 
UPS troubleshooting 
Performed functionality test 
Gathered reports</t>
  </si>
  <si>
    <t>Unit is operational 
A4:674002 for reporting (temperature error)
UPS:AT1000181128ST0220 For replacement</t>
  </si>
  <si>
    <t>https://www.jotform.com/uploads/macarewecare/222927978372067/5909349997595944781/5909349997595944781_signature_28.png</t>
  </si>
  <si>
    <t>Blesilda Dueñas</t>
  </si>
  <si>
    <t>https://www.jotform.com/uploads/macarewecare/222927978372067/5909349997595944781/5909349997595944781_signature_31.png</t>
  </si>
  <si>
    <t>Due for Preventive Maintenance
Relocation of GeneXpert System</t>
  </si>
  <si>
    <t>Setup and reinstall to new and optimal position of the GeneXpert System
Clean Surface Area, Cartridge Bay, Plunger Rod, Fan Filters and Icore Lenses
Generate IQR, Assay Stat and System Log
Archived Data test results</t>
  </si>
  <si>
    <t>Transfer the GeneXpert System to newly renovated laboratory
Perform Preventive Maintenance</t>
  </si>
  <si>
    <t>All Modules are operational.</t>
  </si>
  <si>
    <t>https://www.jotform.com/uploads/macarewecare/222927978372067/5908735641114346387/5908735641114346387_signature_28.png</t>
  </si>
  <si>
    <t>Joy L. Nio RMT</t>
  </si>
  <si>
    <t>https://www.jotform.com/uploads/macarewecare/222927978372067/5908735641114346387/5908735641114346387_signature_31.png</t>
  </si>
  <si>
    <t>Installed GX System.
Checked Output Voltages.
Performed Self-test.
Generate Reports.</t>
  </si>
  <si>
    <t>https://www.jotform.com/uploads/macarewecare/222927978372067/5908731025316746957/5908731025316746957_signature_28.png</t>
  </si>
  <si>
    <t>https://www.jotform.com/uploads/macarewecare/222927978372067/5908731025316746957/5908731025316746957_signature_31.png</t>
  </si>
  <si>
    <t>malitchelllanos@gmail.com</t>
  </si>
  <si>
    <t>https://www.jotform.com/uploads/macarewecare/222927978372067/5908705129928893235/5908705129928893235_signature_28.png</t>
  </si>
  <si>
    <t>Malitchel B. Llanos</t>
  </si>
  <si>
    <t>https://www.jotform.com/uploads/macarewecare/222927978372067/5908705129928893235/5908705129928893235_signature_31.png</t>
  </si>
  <si>
    <t>https://www.jotform.com/uploads/macarewecare/222927978372067/5908693953311024442/5908693953311024442_signature_28.png</t>
  </si>
  <si>
    <t>Dulce Karmela Lo</t>
  </si>
  <si>
    <t>https://www.jotform.com/uploads/macarewecare/222927978372067/5908693953311024442/5908693953311024442_signature_31.png</t>
  </si>
  <si>
    <t>Hospital dr. Brgy. San Vicente Tarlac City</t>
  </si>
  <si>
    <t xml:space="preserve">ASSAY: Xpert CT/NG, COUNT: 2
ASSAY: Xpert MTB/RIF Ultra, COUNT: 195
ASSAY: Xpert SARS-CoV-2, COUNT: 563
</t>
  </si>
  <si>
    <t>https://www.jotform.com/uploads/macarewecare/222927978372067/5908676163111498609/5908676163111498609_signature_28.png</t>
  </si>
  <si>
    <t>https://www.jotform.com/uploads/macarewecare/222927978372067/5908676163111498609/5908676163111498609_signature_31.png</t>
  </si>
  <si>
    <t>Hospital dr. Brgy. San Vicente, Tarlac City</t>
  </si>
  <si>
    <t>https://www.jotform.com/uploads/macarewecare/222927978372067/5908674243111372227/5908674243111372227_signature_28.png</t>
  </si>
  <si>
    <t>https://www.jotform.com/uploads/macarewecare/222927978372067/5908674243111372227/5908674243111372227_signature_31.png</t>
  </si>
  <si>
    <t>DOTS Laboratory City Health Office, Valencia St., Puerto Princesa City</t>
  </si>
  <si>
    <t xml:space="preserve">ASSAY: Xpert MTB/RIF Ultra, COUNT: 1331
</t>
  </si>
  <si>
    <t>GX IV 6C-L</t>
  </si>
  <si>
    <t>Laptop due for replacement</t>
  </si>
  <si>
    <t>Performed PM
Replaced Laptop 
Archived results
Setup new laptop
Generated report</t>
  </si>
  <si>
    <t>Replaced Laptop 
CNU330BSRQ -&gt; CPH1023F46638</t>
  </si>
  <si>
    <t>unit is operational 
3modules working
1 module for reporting</t>
  </si>
  <si>
    <t>GX Laptop</t>
  </si>
  <si>
    <t>DR 47194</t>
  </si>
  <si>
    <t>https://www.jotform.com/uploads/macarewecare/222927978372067/5908627753573434624/5908627753573434624_signature_28.png</t>
  </si>
  <si>
    <t>https://www.jotform.com/uploads/macarewecare/222927978372067/5908627753573434624/5908627753573434624_signature_31.png</t>
  </si>
  <si>
    <t>Brgy. Tibag Tarlac City</t>
  </si>
  <si>
    <t>rodelie220@gmail.com</t>
  </si>
  <si>
    <t xml:space="preserve">ASSAY: Xpert MTB/RIF Ultra, COUNT: 889
</t>
  </si>
  <si>
    <t>Due for maintenance 
UPS Troubleshooting</t>
  </si>
  <si>
    <t>Performed surface cleaning 
Performed cleaning of plunger rod, cartridge bay, icore and filter 
Archived test results  
Performed UPS Troubleshooting 
Performed functionality test 
Gathered reports</t>
  </si>
  <si>
    <t>https://www.jotform.com/uploads/macarewecare/222927978372067/5908610853119619951/5908610853119619951_signature_28.png</t>
  </si>
  <si>
    <t>Rodelie C. Verayo</t>
  </si>
  <si>
    <t>https://www.jotform.com/uploads/macarewecare/222927978372067/5908610853119619951/5908610853119619951_signature_31.png</t>
  </si>
  <si>
    <t>M. Naval St. Navotas</t>
  </si>
  <si>
    <t>https://www.jotform.com/uploads/macarewecare/222927978372067/5908608444613804139/5908608444613804139_signature_28.png</t>
  </si>
  <si>
    <t>https://www.jotform.com/uploads/macarewecare/222927978372067/5908608444613804139/5908608444613804139_signature_31.png</t>
  </si>
  <si>
    <t>Puerto Princesa City Health Office XVI</t>
  </si>
  <si>
    <t>GX XVI 10C-L</t>
  </si>
  <si>
    <t>GX XVI unit for replacement</t>
  </si>
  <si>
    <t>Performed PM
Setup User Administration
Setup System Configuration
Generated Report</t>
  </si>
  <si>
    <t>Installed GX XVI to Puerto Princesa CHO</t>
  </si>
  <si>
    <t>Unit is installed
All 16 modules working</t>
  </si>
  <si>
    <t>Room temp too high reaching 36°C. Ideal temp each module 22°C.  AC needs replacement, bigger size at least 2HP to reach the ideal temperature of the machine</t>
  </si>
  <si>
    <t xml:space="preserve">
</t>
  </si>
  <si>
    <t>https://www.jotform.com/uploads/macarewecare/222927978372067/5908601063573499944/5908601063573499944_signature_28.png</t>
  </si>
  <si>
    <t>https://www.jotform.com/uploads/macarewecare/222927978372067/5908601063573499944/5908601063573499944_signature_31.png</t>
  </si>
  <si>
    <t>Sta. Ignacia Rural Health Unit</t>
  </si>
  <si>
    <t>Sta. Ignacia Tarlac</t>
  </si>
  <si>
    <t xml:space="preserve">ASSAY: Xpert MTB/RIF Ultra, COUNT: 502
</t>
  </si>
  <si>
    <t>https://www.jotform.com/uploads/macarewecare/222927978372067/5908573063111033972/5908573063111033972_signature_28.png</t>
  </si>
  <si>
    <t>Jess D. Ibarra Jr.</t>
  </si>
  <si>
    <t>https://www.jotform.com/uploads/macarewecare/222927978372067/5908573063111033972/5908573063111033972_signature_31.png</t>
  </si>
  <si>
    <t>Brgy. Pinasling Gerona Tarlac</t>
  </si>
  <si>
    <t>https://www.jotform.com/uploads/macarewecare/222927978372067/5908533618699933363/5908533618699933363_signature_28.png</t>
  </si>
  <si>
    <t>Arremio Nool III</t>
  </si>
  <si>
    <t>https://www.jotform.com/uploads/macarewecare/222927978372067/5908533618699933363/5908533618699933363_signature_31.png</t>
  </si>
  <si>
    <t>Due for preventive maintenance 
UPS not backing up</t>
  </si>
  <si>
    <t>Performed surface cleaning 
Performed cleaning of plunger rod, cartridge bay, icore and filter 
Performed functionality test 
Performed UPS Troubleshooting 
Gathered reports</t>
  </si>
  <si>
    <t>Unit is operational 
UPS SN: AT1000181128ST0144 for replacement</t>
  </si>
  <si>
    <t>https://www.jotform.com/uploads/macarewecare/222927978372067/5908504998309659831/5908504998309659831_signature_28.png</t>
  </si>
  <si>
    <t>https://www.jotform.com/uploads/macarewecare/222927978372067/5908504998309659831/5908504998309659831_signature_31.png</t>
  </si>
  <si>
    <t xml:space="preserve">ASSAY: Xpert MTB/RIF Ultra, COUNT: 1161
</t>
  </si>
  <si>
    <t>Unit is operational 
- Module B2 disabled(defective)</t>
  </si>
  <si>
    <t>https://www.jotform.com/uploads/macarewecare/222927978372067/5907867873618971750/5907867873618971750_signature_28.png</t>
  </si>
  <si>
    <t>https://www.jotform.com/uploads/macarewecare/222927978372067/5907867873618971750/5907867873618971750_signature_31.png</t>
  </si>
  <si>
    <t>Nagpayong</t>
  </si>
  <si>
    <t xml:space="preserve">ASSAY: Xpert MTB/RIF Ultra, COUNT: 1773
</t>
  </si>
  <si>
    <t>Performed maintenance 
Cleaned:
-cartridge bay 
-plunger rod
-icore
-filter
Replaced module B1
Generated reports</t>
  </si>
  <si>
    <t>Old: B1/758209
New: B1/210071881</t>
  </si>
  <si>
    <t>G 6994</t>
  </si>
  <si>
    <t>https://www.jotform.com/uploads/macarewecare/222927978372067/5907843069126653562/5907843069126653562_signature_28.png</t>
  </si>
  <si>
    <t>Ma.Noreen De Leon</t>
  </si>
  <si>
    <t>https://www.jotform.com/uploads/macarewecare/222927978372067/5907843069126653562/5907843069126653562_signature_31.png</t>
  </si>
  <si>
    <t>F. Manalo St</t>
  </si>
  <si>
    <t xml:space="preserve">ASSAY: Xpert CT/NG, COUNT: 14
ASSAY: Xpert MTB/RIF Ultra, COUNT: 1886
ASSAY: Xpert HIV-1 Viral Load, COUNT: 92
</t>
  </si>
  <si>
    <t>Modules A1 and A4 for replacement.</t>
  </si>
  <si>
    <t>Replaced modules A1 and A4.</t>
  </si>
  <si>
    <t>Performed maintenance
Cleaned cartridge bay
Cleaned plunger rod
Cleaned instrument surface
Cleaned icore
Cleaned fan filter
Replaced modules A1 and A4
Generated reports.</t>
  </si>
  <si>
    <t>Old: A1/210091071, A4/879974
New: A1/652487, A4/665175</t>
  </si>
  <si>
    <t>G 6991</t>
  </si>
  <si>
    <t>https://www.jotform.com/uploads/macarewecare/222927978372067/5907662523613089760/5907662523613089760_signature_28.png</t>
  </si>
  <si>
    <t>Rosario Almacen</t>
  </si>
  <si>
    <t>https://www.jotform.com/uploads/macarewecare/222927978372067/5907662523613089760/5907662523613089760_signature_31.png</t>
  </si>
  <si>
    <t>Ortigas Ave.</t>
  </si>
  <si>
    <t xml:space="preserve">ASSAY: Xpert BCR-ABL Ultra, COUNT: 41
ASSAY: Xpert CT/NG, COUNT: 82
ASSAY: Xpert HBV VL, COUNT: 562
ASSAY: Xpert HPV, COUNT: 426
ASSAY: Xpert MTB/RIF Ultra, COUNT: 4975
ASSAY: Others, COUNT: 1
ASSAY: Xpert HCV VL, COUNT: 70
ASSAY: Xpert HIV-1 Viral Load, COUNT: 675
ASSAY: Xpert SARS-CoV-2, COUNT: 656
</t>
  </si>
  <si>
    <t>Module C2 for replacement.</t>
  </si>
  <si>
    <t>Replaced module C2</t>
  </si>
  <si>
    <t>Performed maintenance
Cleaned cartridge bay
Cleaned plunger rod
Cleaned instrument surface
Cleaned icore
Cleaned fan filter
Replaced module C2
Generated report</t>
  </si>
  <si>
    <t>Old: C2/210081841
New: C2/210094758</t>
  </si>
  <si>
    <t>DR# 11441</t>
  </si>
  <si>
    <t>https://www.jotform.com/uploads/macarewecare/222927978372067/5907660803617720776/5907660803617720776_signature_28.png</t>
  </si>
  <si>
    <t>https://www.jotform.com/uploads/macarewecare/222927978372067/5907660803617720776/5907660803617720776_signature_31.png</t>
  </si>
  <si>
    <t>Ortigas Ave</t>
  </si>
  <si>
    <t xml:space="preserve">ASSAY: Xpert BCR-ABL Ultra, COUNT: 6
ASSAY: Others, COUNT: 11
ASSAY: Xpert CT/NG, COUNT: 12
ASSAY: Xpert HBV VL, COUNT: 108
ASSAY: Xpert HPV, COUNT: 68
ASSAY: Xpert MTB/RIF Ultra, COUNT: 570
ASSAY: Others, COUNT: 28
ASSAY: Xpert HCV VL, COUNT: 14
ASSAY: Xpert HIV-1 Viral Load, COUNT: 88
</t>
  </si>
  <si>
    <t>Performed maintenance
Cleaned cartridge bay
Cleaned plunger rod
Cleaned instrument surface
Cleaned icore
Cleaned fan filter
Generated report</t>
  </si>
  <si>
    <t>Unit is operational. Module B4/210071314 not operational.</t>
  </si>
  <si>
    <t>https://www.jotform.com/uploads/macarewecare/222927978372067/5907658853619584339/5907658853619584339_signature_28.png</t>
  </si>
  <si>
    <t>https://www.jotform.com/uploads/macarewecare/222927978372067/5907658853619584339/5907658853619584339_signature_31.png</t>
  </si>
  <si>
    <t>Alabang Health Center (Bayanan Health Center)</t>
  </si>
  <si>
    <t>Baywalk, Bayanan, Muntinlupa</t>
  </si>
  <si>
    <t xml:space="preserve">ASSAY: Xpert HPV, COUNT: 112
ASSAY: Xpert MTB/RIF Ultra, COUNT: 1913
</t>
  </si>
  <si>
    <t>Module 2 with Temperature Error.</t>
  </si>
  <si>
    <t>Replaced Module 2.
Cleaned Cartridge Bay, Plunger Rod and Icore Optics.
Checked Filter if Clogged.
Performed Self-test.
Generate Reports.</t>
  </si>
  <si>
    <t>A2:692649-&gt;693531 , Machine Temporarily Trasferred to Bayanan Health Center</t>
  </si>
  <si>
    <t>GX Module 6-C</t>
  </si>
  <si>
    <t>G 6988</t>
  </si>
  <si>
    <t>https://www.jotform.com/uploads/macarewecare/222927978372067/5907130098318910915/5907130098318910915_signature_28.png</t>
  </si>
  <si>
    <t>Catherine carasig</t>
  </si>
  <si>
    <t>https://www.jotform.com/uploads/macarewecare/222927978372067/5907130098318910915/5907130098318910915_signature_31.png</t>
  </si>
  <si>
    <t>loidamarasigan123@gmail.com</t>
  </si>
  <si>
    <t xml:space="preserve">ASSAY: Xpert MTB/RIF Ultra, COUNT: 1991
</t>
  </si>
  <si>
    <t>Replaced Module 2.
Cleaned Cartridge Bay, Plunger Rod and Icore Optics.
Replaced Filter.
Performed Self-test.
Generate Reports.</t>
  </si>
  <si>
    <t>2 Modules are Available. 2 are Disabled(with Temp Errors).</t>
  </si>
  <si>
    <t>A2: 730076-&gt; 680107</t>
  </si>
  <si>
    <t>GeneXpert Module 6-C</t>
  </si>
  <si>
    <t>G 6989</t>
  </si>
  <si>
    <t>https://www.jotform.com/uploads/macarewecare/222927978372067/5907130098311348001/5907130098311348001_signature_28.png</t>
  </si>
  <si>
    <t>Loida c. Marasigan</t>
  </si>
  <si>
    <t>https://www.jotform.com/uploads/macarewecare/222927978372067/5907130098311348001/5907130098311348001_signature_31.png</t>
  </si>
  <si>
    <t>Molino 3 City Health Unit</t>
  </si>
  <si>
    <t>Molino Road, Molino, Bacoor, Cavite</t>
  </si>
  <si>
    <t xml:space="preserve">ASSAY: Xpert MTB/RIF Ultra, COUNT: 1937
ASSAY: Xpert HIV-1 Viral Load, COUNT: 10
</t>
  </si>
  <si>
    <t>3 Modules are Available, 1 Disabled.</t>
  </si>
  <si>
    <t>B3/784355 with Temperature Error</t>
  </si>
  <si>
    <t>https://www.jotform.com/uploads/macarewecare/222927978372067/5907130098313451205/5907130098313451205_signature_28.png</t>
  </si>
  <si>
    <t>https://www.jotform.com/uploads/macarewecare/222927978372067/5907130098313451205/5907130098313451205_signature_31.png</t>
  </si>
  <si>
    <t xml:space="preserve">ASSAY: Xpert MTB/RIF Ultra, COUNT: 1435
ASSAY: Xpert HIV-1 Viral Load, COUNT: 280
</t>
  </si>
  <si>
    <t>Modules 2, 3 and 4 with Temperature Error.</t>
  </si>
  <si>
    <t>Replaced Modules 2,3,4.
Cleaned Cartridge Bay and Plunger Rod.
Replaced  Filter.
Performed Self-test.
Generate Reports.</t>
  </si>
  <si>
    <t>B2:635070-&gt;701189, B3:210052509-&gt;702149, B4:758518-&gt;697937</t>
  </si>
  <si>
    <t>G 6987</t>
  </si>
  <si>
    <t>https://www.jotform.com/uploads/macarewecare/222927978372067/5907130098315408076/5907130098315408076_signature_28.png</t>
  </si>
  <si>
    <t>https://www.jotform.com/uploads/macarewecare/222927978372067/5907130098315408076/5907130098315408076_signature_31.png</t>
  </si>
  <si>
    <t>Casimiro A. Ynares Sr.Memorial Hospital</t>
  </si>
  <si>
    <t>Becco rd ,burgos Rodriguez Rizal</t>
  </si>
  <si>
    <t>For Module replacement A1 756792 - 747003</t>
  </si>
  <si>
    <t>900-0491rs genexpert module</t>
  </si>
  <si>
    <t>G6997</t>
  </si>
  <si>
    <t>https://www.jotform.com/uploads/macarewecare/222927978372067/5905429407919448598/5905429407919448598_signature_28.png</t>
  </si>
  <si>
    <t>John Patrick Cabreros</t>
  </si>
  <si>
    <t>https://www.jotform.com/uploads/macarewecare/222927978372067/5905429407919448598/5905429407919448598_signature_31.png</t>
  </si>
  <si>
    <t>Unit not booting up</t>
  </si>
  <si>
    <t>Performed functionality test
Checked internal voltages</t>
  </si>
  <si>
    <t>Unit is not operational, CPU BIOS battery is drained from normal use and requires replacement.</t>
  </si>
  <si>
    <t>https://www.jotform.com/uploads/macarewecare/222927978372067/5905340756119956710/5905340756119956710_signature_28.png</t>
  </si>
  <si>
    <t>Patricia Hannah Perfecto</t>
  </si>
  <si>
    <t>https://www.jotform.com/uploads/macarewecare/222927978372067/5905340756119956710/5905340756119956710_signature_31.png</t>
  </si>
  <si>
    <t>New Municipal Hall, San Jose Batangas</t>
  </si>
  <si>
    <t>lab.sanjoserhu@gmail.com</t>
  </si>
  <si>
    <t>https://www.jotform.com/uploads/macarewecare/222927978372067/5905335634652088252/5905335634652088252_signature_28.png</t>
  </si>
  <si>
    <t>Dolly Jeane Nitro</t>
  </si>
  <si>
    <t>https://www.jotform.com/uploads/macarewecare/222927978372067/5905335634652088252/5905335634652088252_signature_31.png</t>
  </si>
  <si>
    <t>Krus na Ligas Health Center</t>
  </si>
  <si>
    <t>89 LT. J. Francisco St. Krus na Ligas</t>
  </si>
  <si>
    <t>Rhea Anne Cañelas</t>
  </si>
  <si>
    <t>rheaannecanelas65@gmail.com</t>
  </si>
  <si>
    <t>maryroseperejon@gmail.com</t>
  </si>
  <si>
    <t xml:space="preserve">ASSAY: Xpert MTB/RIF Ultra, COUNT: 1412
</t>
  </si>
  <si>
    <t>GXIV-4D-6C</t>
  </si>
  <si>
    <t>Modules A1, A2, and A4</t>
  </si>
  <si>
    <t>Replaced Modules A1, A2 and A4</t>
  </si>
  <si>
    <t>Performed preventive maintenance
Performed functionality test
Cleaned ICORE, plunger rod, cartridge bay and filter.</t>
  </si>
  <si>
    <t>Unit is operational with 4 modules working.</t>
  </si>
  <si>
    <t>Work with Carlos Origenes/ Gateway board for reporting due to corrosion on one component.</t>
  </si>
  <si>
    <t>Module SN: 730714,675115,654343</t>
  </si>
  <si>
    <t>G 6981</t>
  </si>
  <si>
    <t>https://www.jotform.com/uploads/macarewecare/222927978372067/5905323458829893437/5905323458829893437_signature_28.png</t>
  </si>
  <si>
    <t>Mary Rose D. Perejon</t>
  </si>
  <si>
    <t>https://www.jotform.com/uploads/macarewecare/222927978372067/5905323458829893437/5905323458829893437_signature_31.png</t>
  </si>
  <si>
    <t>San Luis, Pampanga</t>
  </si>
  <si>
    <t>mohan_santos@yahoo.com</t>
  </si>
  <si>
    <t>https://www.jotform.com/uploads/macarewecare/222927978372067/5905272939031155683/5905272939031155683_signature_28.png</t>
  </si>
  <si>
    <t>Mohan S. Pangan</t>
  </si>
  <si>
    <t>https://www.jotform.com/uploads/macarewecare/222927978372067/5905272939031155683/5905272939031155683_signature_31.png</t>
  </si>
  <si>
    <t>Bangkal, Makati City</t>
  </si>
  <si>
    <t xml:space="preserve">ASSAY: Xpert MTB/RIF Ultra, COUNT: 4306
</t>
  </si>
  <si>
    <t>Module A3 and A4 for replacement</t>
  </si>
  <si>
    <t>Checked and cleaned cartridge bays, plunger rod, icore slot and filter 
Replaced modules A3 and A4
Generated report</t>
  </si>
  <si>
    <t>Replaced modules
A3: 739620 -&gt; 612647
A4: 616042 -&gt; 210012721</t>
  </si>
  <si>
    <t>unit is operational 
7 out of 8 modules working</t>
  </si>
  <si>
    <t>Module B4 for reporting</t>
  </si>
  <si>
    <t>Gx modules 6C</t>
  </si>
  <si>
    <t>G 6992</t>
  </si>
  <si>
    <t>https://www.jotform.com/uploads/macarewecare/222927978372067/5905253287627876060/5905253287627876060_signature_28.png</t>
  </si>
  <si>
    <t>blessed joy serrano</t>
  </si>
  <si>
    <t>https://www.jotform.com/uploads/macarewecare/222927978372067/5905253287627876060/5905253287627876060_signature_31.png</t>
  </si>
  <si>
    <t>Rosario Reyes Health Center</t>
  </si>
  <si>
    <t>627 San Andres St., Malate, Manila</t>
  </si>
  <si>
    <t>moninabatil16@gmail.com</t>
  </si>
  <si>
    <t xml:space="preserve">ASSAY: Xpert MTB/RIF Ultra, COUNT: 1319
</t>
  </si>
  <si>
    <t>Checked and cleaned cartridge bays, plunger rod, icore slot and filter 
Replaced module A3
Generated report</t>
  </si>
  <si>
    <t>Replaced module A3
694064 -&gt; 210034101</t>
  </si>
  <si>
    <t>GX due for XpertCheck. End user asking when</t>
  </si>
  <si>
    <t>G 6993</t>
  </si>
  <si>
    <t>https://www.jotform.com/uploads/macarewecare/222927978372067/5905245617623606953/5905245617623606953_signature_28.png</t>
  </si>
  <si>
    <t>Monina Batil</t>
  </si>
  <si>
    <t>https://www.jotform.com/uploads/macarewecare/222927978372067/5905245617623606953/5905245617623606953_signature_31.png</t>
  </si>
  <si>
    <t>Candaba Rural Health Unit</t>
  </si>
  <si>
    <t>Poblacion, Candaba, Pampanga</t>
  </si>
  <si>
    <t>rochelannlontoc@gmail.com</t>
  </si>
  <si>
    <t xml:space="preserve">ASSAY: Xpert MTB/RIF Ultra, COUNT: 563
</t>
  </si>
  <si>
    <t>Module A3 error 2035</t>
  </si>
  <si>
    <t>https://www.jotform.com/uploads/macarewecare/222927978372067/5905238317525236252/5905238317525236252_signature_28.png</t>
  </si>
  <si>
    <t>Dr jun tecson</t>
  </si>
  <si>
    <t>https://www.jotform.com/uploads/macarewecare/222927978372067/5905238317525236252/5905238317525236252_signature_31.png</t>
  </si>
  <si>
    <t>Brgy. Mulawin Orani Bataan</t>
  </si>
  <si>
    <t xml:space="preserve">ASSAY: Xpert MTB/RIF, COUNT: 554
</t>
  </si>
  <si>
    <t>A2:710695 for module replacement 
Due For preventive maintenance</t>
  </si>
  <si>
    <t>Unit is operational 
A2:210052194 new module</t>
  </si>
  <si>
    <t>https://www.jotform.com/uploads/macarewecare/222927978372067/5905235735217206292/5905235735217206292_signature_28.png</t>
  </si>
  <si>
    <t>Gabriel Mathew Magpantay</t>
  </si>
  <si>
    <t>https://www.jotform.com/uploads/macarewecare/222927978372067/5905235735217206292/5905235735217206292_signature_31.png</t>
  </si>
  <si>
    <t>Capitol Compound, Cagayan de Oro City</t>
  </si>
  <si>
    <t>Clean Surface Area
Check the SPM, DPM, Weigher, Optic Bowl and Line Sensor Parameters if it is in the acceptable range
Check Rollers
Run Cycle test for functionality</t>
  </si>
  <si>
    <t>Perform Preventive Maintenance and Calibration</t>
  </si>
  <si>
    <t>https://www.jotform.com/uploads/macarewecare/222927978372067/5905222244749311037/5905222244749311037_signature_28.png</t>
  </si>
  <si>
    <t>https://www.jotform.com/uploads/macarewecare/222927978372067/5905222244749311037/5905222244749311037_signature_31.png</t>
  </si>
  <si>
    <t>Nagcarlan Rural Health Unit</t>
  </si>
  <si>
    <t>Nagcarlan Laguna</t>
  </si>
  <si>
    <t>zekcoronado@gmail.com</t>
  </si>
  <si>
    <t>Unit for Preventive maintenance.
For module replacement of modules B1, B2 and B3.</t>
  </si>
  <si>
    <t>GX module B1 (636101), B2 (639428) and B3 (639633) in replacement to defective B1 (892641), B2 (627110) and B3 (862106).</t>
  </si>
  <si>
    <t>G6979</t>
  </si>
  <si>
    <t>https://www.jotform.com/uploads/macarewecare/222927978372067/5905217727719462650/5905217727719462650_signature_28.png</t>
  </si>
  <si>
    <t>Jojo B. Ramos</t>
  </si>
  <si>
    <t>https://www.jotform.com/uploads/macarewecare/222927978372067/5905217727719462650/5905217727719462650_signature_31.png</t>
  </si>
  <si>
    <t>https://www.jotform.com/uploads/macarewecare/222927978372067/5905211525864982251/5905211525864982251_signature_28.png</t>
  </si>
  <si>
    <t>https://www.jotform.com/uploads/macarewecare/222927978372067/5905211525864982251/5905211525864982251_signature_31.png</t>
  </si>
  <si>
    <t>marcievguevarra@stlukes.com.ph</t>
  </si>
  <si>
    <t xml:space="preserve">ASSAY: Xpert CT/NG, COUNT: 290
ASSAY: Xpert HBV VL, COUNT: 10
ASSAY: Xpert HPV, COUNT: 109
ASSAY: Xpert MTB/RIF Ultra, COUNT: 3228
ASSAY: Xpert HCV VL, COUNT: 5
</t>
  </si>
  <si>
    <t>Due for maintenance, last xpertcheck march 2023</t>
  </si>
  <si>
    <t>B1 ,B2 operational B3 and B4 disabled failed xpert check last march 2023</t>
  </si>
  <si>
    <t>https://www.jotform.com/uploads/macarewecare/222927978372067/5905191452021394027/5905191452021394027_signature_28.png</t>
  </si>
  <si>
    <t>Marcie V. Guevarra</t>
  </si>
  <si>
    <t>https://www.jotform.com/uploads/macarewecare/222927978372067/5905191452021394027/5905191452021394027_signature_31.png</t>
  </si>
  <si>
    <t>Pilar Bataan</t>
  </si>
  <si>
    <t>aimna_24@yahoo.com</t>
  </si>
  <si>
    <t>A2:754415 for module replacement 
Due for preventive maintenance</t>
  </si>
  <si>
    <t>Unit is operational 
A2:677004 (new module)</t>
  </si>
  <si>
    <t>https://www.jotform.com/uploads/macarewecare/222927978372067/5905161065218483463/5905161065218483463_signature_28.png</t>
  </si>
  <si>
    <t>Marciana I. Mendiola</t>
  </si>
  <si>
    <t>https://www.jotform.com/uploads/macarewecare/222927978372067/5905161065218483463/5905161065218483463_signature_31.png</t>
  </si>
  <si>
    <t>St.Lukes Medical Center</t>
  </si>
  <si>
    <t>E. Rodriguez ,QC</t>
  </si>
  <si>
    <t>Cellular immunology</t>
  </si>
  <si>
    <t xml:space="preserve">ASSAY: Xpert HBV VL, COUNT: 59
ASSAY: Xpert HPV, COUNT: 10
ASSAY: Xpert HPV, COUNT: 151
ASSAY: Xpert MTB/RIF Ultra, COUNT: 2
ASSAY: Xpert HCV VL, COUNT: 13
ASSAY: Xpert HIV-1 Viral Load, COUNT: 20
</t>
  </si>
  <si>
    <t>https://www.jotform.com/uploads/macarewecare/222927978372067/5905158932025272406/5905158932025272406_signature_28.png</t>
  </si>
  <si>
    <t>https://www.jotform.com/uploads/macarewecare/222927978372067/5905158932025272406/5905158932025272406_signature_31.png</t>
  </si>
  <si>
    <t xml:space="preserve">ASSAY: Xpert BCR-ABL Ultra, COUNT: 186
ASSAY: Xpert CT/NG, COUNT: 773
ASSAY: Xpert HPV, COUNT: 796
ASSAY: Xpert MTB/RIF Ultra, COUNT: 2955
ASSAY: Others, COUNT: 15
ASSAY: Xpert HCV VL, COUNT: 78
ASSAY: Xpert HIV-1 Viral Load, COUNT: 1993
</t>
  </si>
  <si>
    <t>Due for maintenance and form module replacement B4 210066943 - 210094674</t>
  </si>
  <si>
    <t>Maintenance and module replacement</t>
  </si>
  <si>
    <t>Room ambient temp too high</t>
  </si>
  <si>
    <t>https://www.jotform.com/uploads/macarewecare/222927978372067/5905065383619355072/5905065383619355072_signature_28.png</t>
  </si>
  <si>
    <t>https://www.jotform.com/uploads/macarewecare/222927978372067/5905065383619355072/5905065383619355072_signature_31.png</t>
  </si>
  <si>
    <t>Gen Luna, Mangatarem, Pangasinan</t>
  </si>
  <si>
    <t>DR 11359</t>
  </si>
  <si>
    <t>https://www.jotform.com/uploads/macarewecare/222927978372067/5904546402655334646/5904546402655334646_signature_28.png</t>
  </si>
  <si>
    <t>https://www.jotform.com/uploads/macarewecare/222927978372067/5904546402655334646/5904546402655334646_signature_31.png</t>
  </si>
  <si>
    <t>Performed surface cleaning 
Performed cartridge bay cleaning, icore, filter and plunger rod.
Archived test results
Performed functionality test 
Gathered reports</t>
  </si>
  <si>
    <t>https://www.jotform.com/uploads/macarewecare/222927978372067/5904497165409553658/5904497165409553658_signature_28.png</t>
  </si>
  <si>
    <t>https://www.jotform.com/uploads/macarewecare/222927978372067/5904497165409553658/5904497165409553658_signature_31.png</t>
  </si>
  <si>
    <t>Performed maintenance cleaning
Performed XpertCheck procedure
Generated Reports</t>
  </si>
  <si>
    <t>https://www.jotform.com/uploads/macarewecare/222927978372067/5904495681817811436/5904495681817811436_signature_28.png</t>
  </si>
  <si>
    <t>https://www.jotform.com/uploads/macarewecare/222927978372067/5904495681817811436/5904495681817811436_signature_31.png</t>
  </si>
  <si>
    <t>National Children"s Hospital</t>
  </si>
  <si>
    <t>E. Rodriquez Ave., Quezon City</t>
  </si>
  <si>
    <t>TROUBLESHOOTING
Unit check up</t>
  </si>
  <si>
    <t>Latham bowl breakage on their last procedure.</t>
  </si>
  <si>
    <t>Monitor functionality and simulation run.
Functionlity test = completed with no error.</t>
  </si>
  <si>
    <t>Performed on site troubleshooting.
Run funcionality test and simulation run with layham bowl installed in the centrifuge.</t>
  </si>
  <si>
    <t>https://www.jotform.com/uploads/macarewecare/222927978372067/5904463790525230041/5904463790525230041_signature_28.png</t>
  </si>
  <si>
    <t>John Eric Arellano</t>
  </si>
  <si>
    <t>https://www.jotform.com/uploads/macarewecare/222927978372067/5904463790525230041/5904463790525230041_signature_31.png</t>
  </si>
  <si>
    <t xml:space="preserve">ASSAY: Xpert MTB/RIF Ultra, COUNT: 3282
</t>
  </si>
  <si>
    <t>Module C3 for replacement</t>
  </si>
  <si>
    <t>GeneXpert Module
SN: 661625
Fan Filter</t>
  </si>
  <si>
    <t>https://www.jotform.com/uploads/macarewecare/222927978372067/5904403847707110705/5904403847707110705_signature_28.png</t>
  </si>
  <si>
    <t>https://www.jotform.com/uploads/macarewecare/222927978372067/5904403847707110705/5904403847707110705_signature_31.png</t>
  </si>
  <si>
    <t>Meycauayan City Health Center VI</t>
  </si>
  <si>
    <t xml:space="preserve">ASSAY: Xpert MTB/RIF Ultra, COUNT: 1702
ASSAY: Xpert HIV-1 Viral Load, COUNT: 157
</t>
  </si>
  <si>
    <t>Replaced module A4 (909140) by 616331</t>
  </si>
  <si>
    <t>GeneXpert Module
SN: 616331</t>
  </si>
  <si>
    <t>https://www.jotform.com/uploads/macarewecare/222927978372067/5904403857704188061/5904403857704188061_signature_28.png</t>
  </si>
  <si>
    <t>https://www.jotform.com/uploads/macarewecare/222927978372067/5904403857704188061/5904403857704188061_signature_31.png</t>
  </si>
  <si>
    <t xml:space="preserve">ASSAY: Xpert MTB/RIF Ultra, COUNT: 449
ASSAY: Xpert HIV-1 Viral Load, COUNT: 1088
</t>
  </si>
  <si>
    <t>Modules A1, A3 for replacement</t>
  </si>
  <si>
    <t>- replaced A1, A3 by 758228, 758231 respectively 
- cleaned clogged fan filter due to nearby construction</t>
  </si>
  <si>
    <t>GeneXpert Module
SN: 758228, 758231</t>
  </si>
  <si>
    <t>https://www.jotform.com/uploads/macarewecare/222927978372067/5904403857709971806/5904403857709971806_signature_28.png</t>
  </si>
  <si>
    <t>https://www.jotform.com/uploads/macarewecare/222927978372067/5904403857709971806/5904403857709971806_signature_31.png</t>
  </si>
  <si>
    <t>East Service Road, Western Bicutan, Taguig City</t>
  </si>
  <si>
    <t xml:space="preserve">ASSAY: Xpert MTB/RIF Ultra, COUNT: 3541
ASSAY: Xpert HIV-1 Viral Load, COUNT: 567
</t>
  </si>
  <si>
    <t>Modules A1 and A4 for replacement</t>
  </si>
  <si>
    <t>Checked and cleaned cartridge bays, plunger rod, icore slot and filter 
Replaced A1 and A4
Generated report</t>
  </si>
  <si>
    <t>Replaced nodules
A1: 710693 -&gt; 691267
A4: 754638 -&gt; 693385</t>
  </si>
  <si>
    <t>Unit is operational 
3 modules working
A2 for reporting</t>
  </si>
  <si>
    <t>GX modules 6C</t>
  </si>
  <si>
    <t>G 6995</t>
  </si>
  <si>
    <t>https://www.jotform.com/uploads/macarewecare/222927978372067/5904403412327477373/5904403412327477373_signature_28.png</t>
  </si>
  <si>
    <t>Kristine Jane D. Base</t>
  </si>
  <si>
    <t>https://www.jotform.com/uploads/macarewecare/222927978372067/5904403412327477373/5904403412327477373_signature_31.png</t>
  </si>
  <si>
    <t>Check up machine</t>
  </si>
  <si>
    <t>Detects High Temp in IQR</t>
  </si>
  <si>
    <t>Clean fan filter
Clean module bay
Module D4 for Module Replacement</t>
  </si>
  <si>
    <t>Clean fan filter
Clean module bay</t>
  </si>
  <si>
    <t>Systems operational
Detect high temperature in IQR</t>
  </si>
  <si>
    <t>Laboratory's aircon is incapable of maintaining the right temperature for genexpert machines</t>
  </si>
  <si>
    <t>https://www.jotform.com/uploads/macarewecare/222927978372067/5904388430612819276/5904388430612819276_signature_28.png</t>
  </si>
  <si>
    <t>https://www.jotform.com/uploads/macarewecare/222927978372067/5904388430612819276/5904388430612819276_signature_31.png</t>
  </si>
  <si>
    <t>- Unit is fully operational 
- Did not perform XpertCheck on Newly Replaced Module B2(739420)
- Module B4 (698768) failed XpertCheck, For Reporting 
- Module B1 (808218) and B3(635767) Passed XpertCheck</t>
  </si>
  <si>
    <t>DR 11360</t>
  </si>
  <si>
    <t>https://www.jotform.com/uploads/macarewecare/222927978372067/5904384272657879435/5904384272657879435_signature_28.png</t>
  </si>
  <si>
    <t>https://www.jotform.com/uploads/macarewecare/222927978372067/5904384272657879435/5904384272657879435_signature_31.png</t>
  </si>
  <si>
    <t>- Unit is fully operational 
-</t>
  </si>
  <si>
    <t>https://www.jotform.com/uploads/macarewecare/222927978372067/5904382402653028083/5904382402653028083_signature_28.png</t>
  </si>
  <si>
    <t>https://www.jotform.com/uploads/macarewecare/222927978372067/5904382402653028083/5904382402653028083_signature_31.png</t>
  </si>
  <si>
    <t xml:space="preserve">ASSAY: Xpert BCR-ABL Ultra, COUNT: 1381
ASSAY: Others, COUNT: 72
ASSAY: Xpert HBV VL, COUNT: 1011
ASSAY: Xpert HPV, COUNT: 71
ASSAY: Xpert MTB/RIF Ultra, COUNT: 2319
ASSAY: Xpert SARS-CoV-2, COUNT: 15566
ASSAY: Xpert HCV VL, COUNT: 115
</t>
  </si>
  <si>
    <t>For additional troubleshooting A1 module s/n896977.</t>
  </si>
  <si>
    <t>Performed cleaning of filter.
Restart system.
Performed self test multiple times</t>
  </si>
  <si>
    <t>A1,A2,A4,D2 reported already</t>
  </si>
  <si>
    <t>https://www.jotform.com/uploads/macarewecare/222927978372067/5904363573324744183/5904363573324744183_signature_28.png</t>
  </si>
  <si>
    <t>https://www.jotform.com/uploads/macarewecare/222927978372067/5904363573324744183/5904363573324744183_signature_31.png</t>
  </si>
  <si>
    <t>Malfunction of blue pinch valve</t>
  </si>
  <si>
    <t>Delivered and installed of pinch valve
Checked program parameters
Checked and adjust line sensor value
Checked rollers,dpm,spm,centrifuge
Performed functionality test
Performed simulation running.</t>
  </si>
  <si>
    <t>Repair and replacement of pinch valve</t>
  </si>
  <si>
    <t>Pinch valve assy</t>
  </si>
  <si>
    <t>97793/11377</t>
  </si>
  <si>
    <t>https://www.jotform.com/uploads/macarewecare/222927978372067/5904346283325707076/5904346283325707076_signature_28.png</t>
  </si>
  <si>
    <t>Life An Arit</t>
  </si>
  <si>
    <t>https://www.jotform.com/uploads/macarewecare/222927978372067/5904346283325707076/5904346283325707076_signature_31.png</t>
  </si>
  <si>
    <t>Brgy. Bulo, Victoria Tarlac</t>
  </si>
  <si>
    <t>A3:699002 for module replacement 
Due for maintenance 
UPS troubleshooting</t>
  </si>
  <si>
    <t>Preventive maintenance 
Module replacement 
Troubleshooting</t>
  </si>
  <si>
    <t>Performed surface cleaning 
Performed module replacement 
Performed UPS troubleshooting 
Performed functionality test 
Gathered reports</t>
  </si>
  <si>
    <t>Unit is operational 
New module SN:210028945
Defective UPS</t>
  </si>
  <si>
    <t>UPS:AT1000181128ST063</t>
  </si>
  <si>
    <t>1 genexpert module: 210028945</t>
  </si>
  <si>
    <t>https://www.jotform.com/uploads/macarewecare/222927978372067/5904322039011364193/5904322039011364193_signature_28.png</t>
  </si>
  <si>
    <t>Alma D. Estayo</t>
  </si>
  <si>
    <t>https://www.jotform.com/uploads/macarewecare/222927978372067/5904322039011364193/5904322039011364193_signature_31.png</t>
  </si>
  <si>
    <t>Marikina Health City Center, Marikina City</t>
  </si>
  <si>
    <t xml:space="preserve">ASSAY: Xpert MTB/RIF, COUNT: 1634
ASSAY: Xpert HIV-1 Viral Load, COUNT: 352
</t>
  </si>
  <si>
    <t>Checked and cleaned cartridge bays, plunger rod, icore slot and filter 
Replaced module B2
Generated report</t>
  </si>
  <si>
    <t>Replqced module B2
630566 -&gt; 688096</t>
  </si>
  <si>
    <t>G 6996</t>
  </si>
  <si>
    <t>https://www.jotform.com/uploads/macarewecare/222927978372067/5904259842321271226/5904259842321271226_signature_28.png</t>
  </si>
  <si>
    <t>RONICA ANA TADTAD</t>
  </si>
  <si>
    <t>https://www.jotform.com/uploads/macarewecare/222927978372067/5904259842321271226/5904259842321271226_signature_31.png</t>
  </si>
  <si>
    <t>Roxas St. Davao City</t>
  </si>
  <si>
    <t>Blood Centre</t>
  </si>
  <si>
    <t>Clean Surface Area
Check DPM, SPM, and Line Sensor Values
Run Cycle Test for Functionality</t>
  </si>
  <si>
    <t>https://www.jotform.com/uploads/macarewecare/222927978372067/5902732284003502700/5902732284003502700_signature_28.png</t>
  </si>
  <si>
    <t>https://www.jotform.com/uploads/macarewecare/222927978372067/5902732284003502700/5902732284003502700_signature_31.png</t>
  </si>
  <si>
    <t>Pampanga St. Gagalangin Manila</t>
  </si>
  <si>
    <t>sdarpya.macare@gmail.com</t>
  </si>
  <si>
    <t>https://www.jotform.com/uploads/macarewecare/222927978372067/5902729859813278834/5902729859813278834_signature_28.png</t>
  </si>
  <si>
    <t>Monaliza Balcos</t>
  </si>
  <si>
    <t>https://www.jotform.com/uploads/macarewecare/222927978372067/5902729859813278834/5902729859813278834_signature_31.png</t>
  </si>
  <si>
    <t>Commonwealth Health Center</t>
  </si>
  <si>
    <t>Katuparan St., Quezon City</t>
  </si>
  <si>
    <t xml:space="preserve">ASSAY: Xpert HPV, COUNT: 114
ASSAY: Xpert MTB/RIF Ultra, COUNT: 2849
</t>
  </si>
  <si>
    <t>Checcked and cleaned cartridge bays, icore slots, plunger rod and filter
Replaced module A2
Generated report</t>
  </si>
  <si>
    <t>Replaced Module A2
643802 -&gt; 687061</t>
  </si>
  <si>
    <t>GCIV 6C -D</t>
  </si>
  <si>
    <t>G 6990</t>
  </si>
  <si>
    <t>https://www.jotform.com/uploads/macarewecare/222927978372067/5902724584691408517/5902724584691408517_signature_28.png</t>
  </si>
  <si>
    <t>https://www.jotform.com/uploads/macarewecare/222927978372067/5902724584691408517/5902724584691408517_signature_31.png</t>
  </si>
  <si>
    <t>Philippine Red Cross - Ormoc Chapter</t>
  </si>
  <si>
    <t>15H043</t>
  </si>
  <si>
    <t>Unit is functional. Calibration parameters are within range. Rubber rollers are still intact and functional.</t>
  </si>
  <si>
    <t>https://www.jotform.com/uploads/macarewecare/222927978372067/5902706116865527149/5902706116865527149_signature_28.png</t>
  </si>
  <si>
    <t>Roselyn Pura</t>
  </si>
  <si>
    <t>https://www.jotform.com/uploads/macarewecare/222927978372067/5902706116865527149/5902706116865527149_signature_31.png</t>
  </si>
  <si>
    <t>Don Juan S. Estevez Street, Guevarra Subdivision, Legazpi City, Albay</t>
  </si>
  <si>
    <t>CPU CPH0522F36751 for replacement</t>
  </si>
  <si>
    <t>Replaced CPU: CPH0522F36751&gt;&gt;CPH1023F45919
Cleaned cartridge bays, plunger rod, icore
Generate reports</t>
  </si>
  <si>
    <t>Replaced Defective CPU
Performed Preventive Maintenance</t>
  </si>
  <si>
    <t>https://www.jotform.com/uploads/macarewecare/222927978372067/5902704861109731723/5902704861109731723_signature_28.png</t>
  </si>
  <si>
    <t>https://www.jotform.com/uploads/macarewecare/222927978372067/5902704861109731723/5902704861109731723_signature_31.png</t>
  </si>
  <si>
    <t>jblmgh.id@gmail.com</t>
  </si>
  <si>
    <t xml:space="preserve">ASSAY: Xpert HBV VL, COUNT: 89
ASSAY: Xpert HCV VL, COUNT: 8
ASSAY: Xpert HIV-1 Viral Load, COUNT: 588
</t>
  </si>
  <si>
    <t>https://www.jotform.com/uploads/macarewecare/222927978372067/5902684013227768693/5902684013227768693_signature_28.png</t>
  </si>
  <si>
    <t>Criselle medina</t>
  </si>
  <si>
    <t>https://www.jotform.com/uploads/macarewecare/222927978372067/5902684013227768693/5902684013227768693_signature_31.png</t>
  </si>
  <si>
    <t>https://www.jotform.com/uploads/macarewecare/222927978372067/5902672577373864825/5902672577373864825_signature_28.png</t>
  </si>
  <si>
    <t>mary ann c. sudario</t>
  </si>
  <si>
    <t>https://www.jotform.com/uploads/macarewecare/222927978372067/5902672577373864825/5902672577373864825_signature_31.png</t>
  </si>
  <si>
    <t>Performed Simulation.
Checked A/D Values and Parameters.
Cleaned Surface Area.
Checked Valves and Rollers.
Cleaned Sensors.</t>
  </si>
  <si>
    <t>All Values Passed. Unit is in Good Condition.</t>
  </si>
  <si>
    <t>https://www.jotform.com/uploads/macarewecare/222927978372067/5902672508418863780/5902672508418863780_signature_28.png</t>
  </si>
  <si>
    <t>Patricia Candelaria</t>
  </si>
  <si>
    <t>https://www.jotform.com/uploads/macarewecare/222927978372067/5902672508418863780/5902672508418863780_signature_31.png</t>
  </si>
  <si>
    <t>Carmona Rural Health Unit</t>
  </si>
  <si>
    <t>Loyola St, Carmona, Cavite</t>
  </si>
  <si>
    <t>irishzenreyes2197@gmail.com</t>
  </si>
  <si>
    <t xml:space="preserve">ASSAY: Xpert MTB/RIF Ultra, COUNT: 1507
</t>
  </si>
  <si>
    <t>Unit is due for Maintenance.
Module 1 with 5007 Error.</t>
  </si>
  <si>
    <t>All Modules are Available.</t>
  </si>
  <si>
    <t>A1/ 782522 for Observation.</t>
  </si>
  <si>
    <t>https://www.jotform.com/uploads/macarewecare/222927978372067/5902672518415741411/5902672518415741411_signature_28.png</t>
  </si>
  <si>
    <t>Irishzen reyes</t>
  </si>
  <si>
    <t>https://www.jotform.com/uploads/macarewecare/222927978372067/5902672518415741411/5902672518415741411_signature_31.png</t>
  </si>
  <si>
    <t>OFW Hospital</t>
  </si>
  <si>
    <t>City of San Fernando, Pampanga</t>
  </si>
  <si>
    <t>tiquifrancisca58@gmail.com</t>
  </si>
  <si>
    <t>https://www.jotform.com/uploads/macarewecare/222927978372067/5902644433222052787/5902644433222052787_signature_28.png</t>
  </si>
  <si>
    <t>https://www.jotform.com/uploads/macarewecare/222927978372067/5902644433222052787/5902644433222052787_signature_31.png</t>
  </si>
  <si>
    <t>https://www.jotform.com/uploads/macarewecare/222927978372067/5902624588453248009/5902624588453248009_signature_28.png</t>
  </si>
  <si>
    <t>Roda Fatima Flores,RMT</t>
  </si>
  <si>
    <t>https://www.jotform.com/uploads/macarewecare/222927978372067/5902624588453248009/5902624588453248009_signature_31.png</t>
  </si>
  <si>
    <t>JP. Laurel, Davao City</t>
  </si>
  <si>
    <t>Clean Surface Area
Check the values for SPM, DPM and Line Sensor if is it on range</t>
  </si>
  <si>
    <t>Machine is working and operational</t>
  </si>
  <si>
    <t>Maybe there is a debris underneath the centrifuge. Documented the errors further assessment</t>
  </si>
  <si>
    <t>https://www.jotform.com/uploads/macarewecare/222927978372067/5902619632014666390/5902619632014666390_signature_28.png</t>
  </si>
  <si>
    <t>Fernando p. Hinong II</t>
  </si>
  <si>
    <t>https://www.jotform.com/uploads/macarewecare/222927978372067/5902619632014666390/5902619632014666390_signature_31.png</t>
  </si>
  <si>
    <t>Due date for Site Visit</t>
  </si>
  <si>
    <t>Site Visit
Clean Fan Filter
Clean module bay</t>
  </si>
  <si>
    <t>https://www.jotform.com/uploads/macarewecare/222927978372067/5902577427141144664/5902577427141144664_signature_28.png</t>
  </si>
  <si>
    <t>Allan S. Mantiquila</t>
  </si>
  <si>
    <t>https://www.jotform.com/uploads/macarewecare/222927978372067/5902577427141144664/5902577427141144664_signature_31.png</t>
  </si>
  <si>
    <t>MAINTENANCE
Data Gathering and site inspection</t>
  </si>
  <si>
    <t xml:space="preserve">ASSAY: Xpert MTB/RIF Ultra, COUNT: 765
</t>
  </si>
  <si>
    <t>GX 4 6colors</t>
  </si>
  <si>
    <t>Preventive Maintenence, data gathering and site inspection</t>
  </si>
  <si>
    <t>All modules are all available</t>
  </si>
  <si>
    <t>https://www.jotform.com/uploads/macarewecare/222927978372067/5902567187374029775/5902567187374029775_signature_28.png</t>
  </si>
  <si>
    <t>Aldrin llanes Acain</t>
  </si>
  <si>
    <t>https://www.jotform.com/uploads/macarewecare/222927978372067/5902567187374029775/5902567187374029775_signature_31.png</t>
  </si>
  <si>
    <t xml:space="preserve">ASSAY: Xpert HBV VL, COUNT: 105
ASSAY: Xpert HPV, COUNT: 23
ASSAY: Xpert SARS-CoV-2, COUNT: 487
ASSAY: Xpert HCV VL, COUNT: 24
ASSAY: Xpert HIV-1 Viral Load, COUNT: 573
</t>
  </si>
  <si>
    <t>https://www.jotform.com/uploads/macarewecare/222927978372067/5902560832011020246/5902560832011020246_signature_28.png</t>
  </si>
  <si>
    <t>https://www.jotform.com/uploads/macarewecare/222927978372067/5902560832011020246/5902560832011020246_signature_31.png</t>
  </si>
  <si>
    <t xml:space="preserve">ASSAY: Xpert HPV, COUNT: 89
ASSAY: Xpert SARS-CoV-2, COUNT: 899
</t>
  </si>
  <si>
    <t>https://www.jotform.com/uploads/macarewecare/222927978372067/5902560472028754031/5902560472028754031_signature_28.png</t>
  </si>
  <si>
    <t>https://www.jotform.com/uploads/macarewecare/222927978372067/5902560472028754031/5902560472028754031_signature_31.png</t>
  </si>
  <si>
    <t>Unit is operational. For reporting of module B2 (210063240) and C4 (618126) due to temperature error.</t>
  </si>
  <si>
    <t>https://www.jotform.com/uploads/macarewecare/222927978372067/5902490286766228460/5902490286766228460_signature_28.png</t>
  </si>
  <si>
    <t>https://www.jotform.com/uploads/macarewecare/222927978372067/5902490286766228460/5902490286766228460_signature_31.png</t>
  </si>
  <si>
    <t>Tondo Manila</t>
  </si>
  <si>
    <t>ma.lorinamanera@gmail.com</t>
  </si>
  <si>
    <t>GX module A4 (659578) in replacement to defective A4 (644057).</t>
  </si>
  <si>
    <t>G6980</t>
  </si>
  <si>
    <t>https://www.jotform.com/uploads/macarewecare/222927978372067/5902489576761113625/5902489576761113625_signature_28.png</t>
  </si>
  <si>
    <t>Ma. Lorina M. Lontoc</t>
  </si>
  <si>
    <t>https://www.jotform.com/uploads/macarewecare/222927978372067/5902489576761113625/5902489576761113625_signature_31.png</t>
  </si>
  <si>
    <t>https://www.jotform.com/uploads/macarewecare/222927978372067/5902489566763297176/5902489566763297176_signature_28.png</t>
  </si>
  <si>
    <t>https://www.jotform.com/uploads/macarewecare/222927978372067/5902489566763297176/5902489566763297176_signature_31.png</t>
  </si>
  <si>
    <t>https://www.jotform.com/uploads/macarewecare/222927978372067/5902489566763670801/5902489566763670801_signature_28.png</t>
  </si>
  <si>
    <t>https://www.jotform.com/uploads/macarewecare/222927978372067/5902489566763670801/5902489566763670801_signature_31.png</t>
  </si>
  <si>
    <t>Unit is operational. For reporting of module A4 (688318) due to temperature error.</t>
  </si>
  <si>
    <t>https://www.jotform.com/uploads/macarewecare/222927978372067/5902489566764603831/5902489566764603831_signature_28.png</t>
  </si>
  <si>
    <t>https://www.jotform.com/uploads/macarewecare/222927978372067/5902489566764603831/5902489566764603831_signature_31.png</t>
  </si>
  <si>
    <t>Morong</t>
  </si>
  <si>
    <t>morongrhu@yahoo.com</t>
  </si>
  <si>
    <t xml:space="preserve">ASSAY: Xpert MTB/RIF Ultra, COUNT: 548
</t>
  </si>
  <si>
    <t>Performed maintenence</t>
  </si>
  <si>
    <t>Performed maintenance
Cleaned cartridge bay
Cleaned plunger rod
Cleaned instrument surface
Cleaned icore
Cleaned fan filter
Generated reports</t>
  </si>
  <si>
    <t>https://www.jotform.com/uploads/macarewecare/222927978372067/5901826543611089786/5901826543611089786_signature_28.png</t>
  </si>
  <si>
    <t>Necitas v. Perez</t>
  </si>
  <si>
    <t>https://www.jotform.com/uploads/macarewecare/222927978372067/5901826543611089786/5901826543611089786_signature_31.png</t>
  </si>
  <si>
    <t>Kalayaan</t>
  </si>
  <si>
    <t>gemmponce11@gmail.com</t>
  </si>
  <si>
    <t>Performed maintenance
Cleaned cartridge bay
Cleaned plunger rod
Cleaned instrument surface
Cleaned icore
Cleaned fan filter
Checked voltage
Generated reports</t>
  </si>
  <si>
    <t>https://www.jotform.com/uploads/macarewecare/222927978372067/5901826123614045707/5901826123614045707_signature_28.png</t>
  </si>
  <si>
    <t>Gemma Ponce</t>
  </si>
  <si>
    <t>https://www.jotform.com/uploads/macarewecare/222927978372067/5901826123614045707/5901826123614045707_signature_31.png</t>
  </si>
  <si>
    <t xml:space="preserve">ASSAY: Xpert CT/NG, COUNT: 18
ASSAY: Xpert HIV-1 Viral Load, COUNT: 752
</t>
  </si>
  <si>
    <t>Unit is operational. Modules A1/733228, A2/734493 and A4/681602 not operational,  reported already.</t>
  </si>
  <si>
    <t>https://www.jotform.com/uploads/macarewecare/222927978372067/5901825213612440751/5901825213612440751_signature_28.png</t>
  </si>
  <si>
    <t>https://www.jotform.com/uploads/macarewecare/222927978372067/5901825213612440751/5901825213612440751_signature_31.png</t>
  </si>
  <si>
    <t xml:space="preserve">ASSAY: Xpert MTB/RIF Ultra, COUNT: 1772
</t>
  </si>
  <si>
    <t>Unit is operational. Module B1/758209 not operational,  reported already.</t>
  </si>
  <si>
    <t>https://www.jotform.com/uploads/macarewecare/222927978372067/5901824773616315323/5901824773616315323_signature_28.png</t>
  </si>
  <si>
    <t>Ma.Noreen DeLeon</t>
  </si>
  <si>
    <t>https://www.jotform.com/uploads/macarewecare/222927978372067/5901824773616315323/5901824773616315323_signature_31.png</t>
  </si>
  <si>
    <t>Teresa</t>
  </si>
  <si>
    <t>roseannemaetamayo@gmail.com</t>
  </si>
  <si>
    <t xml:space="preserve">ASSAY: Xpert MTB/RIF Ultra, COUNT: 954
</t>
  </si>
  <si>
    <t>https://www.jotform.com/uploads/macarewecare/222927978372067/5901821863619607240/5901821863619607240_signature_28.png</t>
  </si>
  <si>
    <t>Roseanne Mae Tamayo</t>
  </si>
  <si>
    <t>https://www.jotform.com/uploads/macarewecare/222927978372067/5901821863619607240/5901821863619607240_signature_31.png</t>
  </si>
  <si>
    <t>Sta. Cruz</t>
  </si>
  <si>
    <t>Unit is operational. Module D2/722095 not operational. For reporting.</t>
  </si>
  <si>
    <t>https://www.jotform.com/uploads/macarewecare/222927978372067/5901820783613661419/5901820783613661419_signature_28.png</t>
  </si>
  <si>
    <t>Jezza Nequinto</t>
  </si>
  <si>
    <t>https://www.jotform.com/uploads/macarewecare/222927978372067/5901820783613661419/5901820783613661419_signature_31.png</t>
  </si>
  <si>
    <t>https://www.jotform.com/uploads/macarewecare/222927978372067/5901819783617378338/5901819783617378338_signature_28.png</t>
  </si>
  <si>
    <t>https://www.jotform.com/uploads/macarewecare/222927978372067/5901819783617378338/5901819783617378338_signature_31.png</t>
  </si>
  <si>
    <t>https://www.jotform.com/uploads/macarewecare/222927978372067/5901817903618675341/5901817903618675341_signature_28.png</t>
  </si>
  <si>
    <t>https://www.jotform.com/uploads/macarewecare/222927978372067/5901817903618675341/5901817903618675341_signature_31.png</t>
  </si>
  <si>
    <t>Shaw, Mandaluyong</t>
  </si>
  <si>
    <t>Unit for installation
Unit from Detoxicare Boni</t>
  </si>
  <si>
    <t>with Engr. Doctor</t>
  </si>
  <si>
    <t>https://www.jotform.com/uploads/macarewecare/222927978372067/5901811503612206308/5901811503612206308_signature_28.png</t>
  </si>
  <si>
    <t>https://www.jotform.com/uploads/macarewecare/222927978372067/5901811503612206308/5901811503612206308_signature_31.png</t>
  </si>
  <si>
    <t xml:space="preserve">ASSAY: Xpert MTB/RIF Ultra, COUNT: 1478
</t>
  </si>
  <si>
    <t>Unit is operational
Computer monitor for reporting</t>
  </si>
  <si>
    <t>https://www.jotform.com/uploads/macarewecare/222927978372067/5901810873615392042/5901810873615392042_signature_28.png</t>
  </si>
  <si>
    <t>https://www.jotform.com/uploads/macarewecare/222927978372067/5901810873615392042/5901810873615392042_signature_31.png</t>
  </si>
  <si>
    <t>98C002</t>
  </si>
  <si>
    <t>- checked rotor roller pumps
- checked calibration parameter
     - cuff: 72 (offset) , 1596 (full scale)
     - weigher: 135 (offset), 1588 (full scale)
     - spm: 2027 (offset), 3232 (full scale)
     - dpm: 2004 (offset), 3200 (full scale)
- performed self test</t>
  </si>
  <si>
    <t>https://www.jotform.com/uploads/macarewecare/222927978372067/5901810873616185180/5901810873616185180_signature_28.png</t>
  </si>
  <si>
    <t>https://www.jotform.com/uploads/macarewecare/222927978372067/5901810873616185180/5901810873616185180_signature_31.png</t>
  </si>
  <si>
    <t>Punturin 3S Health Station</t>
  </si>
  <si>
    <t>lukegonzaga09@gmail.com</t>
  </si>
  <si>
    <t xml:space="preserve">ASSAY: Xpert MTB/RIF Ultra, COUNT: 1426
</t>
  </si>
  <si>
    <t>- checked and cleaned cartridge bay, plunger rod, 
- generated reports 
- performed functionality test</t>
  </si>
  <si>
    <t>https://www.jotform.com/uploads/macarewecare/222927978372067/5901810873617861511/5901810873617861511_signature_28.png</t>
  </si>
  <si>
    <t>Judelyn Gonzaga</t>
  </si>
  <si>
    <t>https://www.jotform.com/uploads/macarewecare/222927978372067/5901810873617861511/5901810873617861511_signature_31.png</t>
  </si>
  <si>
    <t>- checked rotor roller pumps (good)
- checked calibration parameters (within acceptable range)
     - cuff: 32 (offset), 2124 (full scale)
     - weigher: 100 (offset), 1598 (full scale)
     - dpm: 2040 (offset), 3265 (full scale)
     - spm: 2039 (offset), 3260 (full scale)
- performed self test</t>
  </si>
  <si>
    <t>https://www.jotform.com/uploads/macarewecare/222927978372067/5901810873618410779/5901810873618410779_signature_28.png</t>
  </si>
  <si>
    <t>https://www.jotform.com/uploads/macarewecare/222927978372067/5901810873618410779/5901810873618410779_signature_31.png</t>
  </si>
  <si>
    <t>https://www.jotform.com/uploads/macarewecare/222927978372067/5901741868227409415/5901741868227409415_signature_28.png</t>
  </si>
  <si>
    <t>https://www.jotform.com/uploads/macarewecare/222927978372067/5901741868227409415/5901741868227409415_signature_31.png</t>
  </si>
  <si>
    <t>Jala-Jala</t>
  </si>
  <si>
    <t>kreszapaula64@yahoo.com</t>
  </si>
  <si>
    <t xml:space="preserve">ASSAY: Xpert MTB/RIF Ultra, COUNT: 401
</t>
  </si>
  <si>
    <t>For maintenance 
For UPS replacement</t>
  </si>
  <si>
    <t>Performed maintenance 
Replaced UPS</t>
  </si>
  <si>
    <t>Performed maintenance 
Cleaned:
-cartridge bay 
-plunger rod 
-icore 
-filter 
Replaced UPS
Generated reports</t>
  </si>
  <si>
    <t>Old UPS SN: AT1000180910ST0582
New UPS SN: 40353382308</t>
  </si>
  <si>
    <t>https://www.jotform.com/uploads/macarewecare/222927978372067/5901712593613094109/5901712593613094109_signature_28.png</t>
  </si>
  <si>
    <t>paula de guzman</t>
  </si>
  <si>
    <t>https://www.jotform.com/uploads/macarewecare/222927978372067/5901712593613094109/5901712593613094109_signature_31.png</t>
  </si>
  <si>
    <t>San Nicolas Health Center</t>
  </si>
  <si>
    <t>Asuncion St, San Nicolas, Manila</t>
  </si>
  <si>
    <t>guadex7@gmail.com</t>
  </si>
  <si>
    <t xml:space="preserve">ASSAY: Xpert MTB/RIF Ultra, COUNT: 1539
</t>
  </si>
  <si>
    <t>Cleaned Cartridge Bay, Plunger Rod and Icore.
Checked Filter if Clogged.
Performed Self-test.
Generate Reports</t>
  </si>
  <si>
    <t>https://www.jotform.com/uploads/macarewecare/222927978372067/5901683053612953685/5901683053612953685_signature_28.png</t>
  </si>
  <si>
    <t>Guadalupe Cube</t>
  </si>
  <si>
    <t>https://www.jotform.com/uploads/macarewecare/222927978372067/5901683053612953685/5901683053612953685_signature_31.png</t>
  </si>
  <si>
    <t>Bagong Barangay Health Center</t>
  </si>
  <si>
    <t>West Zamora, Pandacan, Manila</t>
  </si>
  <si>
    <t>thea.peneyra@gmail.com</t>
  </si>
  <si>
    <t>Stuck Cartridge on Module 1
Unit is due for Maintenance</t>
  </si>
  <si>
    <t>Troubleshooting
Preventive Maintenance</t>
  </si>
  <si>
    <t>Removed Stuck Cartridge.
Cleaned Cartridge Bay, Plunger Rod and Icore.
Checked Filter if Clogged.
Performed Self-test.
Generate Reports.</t>
  </si>
  <si>
    <t>A1/210013103 for Observation</t>
  </si>
  <si>
    <t>https://www.jotform.com/uploads/macarewecare/222927978372067/5901683053615501674/5901683053615501674_signature_28.png</t>
  </si>
  <si>
    <t>Maria Anthea Peneyra</t>
  </si>
  <si>
    <t>https://www.jotform.com/uploads/macarewecare/222927978372067/5901683053615501674/5901683053615501674_signature_31.png</t>
  </si>
  <si>
    <t>materials.fabella@gmail.com</t>
  </si>
  <si>
    <t xml:space="preserve">ASSAY: Xpert SARS-CoV-2, COUNT: 1944
ASSAY: Others, COUNT: 8
</t>
  </si>
  <si>
    <t>Cleaned Cartridge Bay, Plunger Rod and Icore Optics.
Checked and Cleaned Filter.
Performed Self-test.
Generate Reports.</t>
  </si>
  <si>
    <t>A2/ 789440 for Observation(with 5007 error)</t>
  </si>
  <si>
    <t>https://www.jotform.com/uploads/macarewecare/222927978372067/5901683053619086940/5901683053619086940_signature_28.png</t>
  </si>
  <si>
    <t>Rallion gio paguia</t>
  </si>
  <si>
    <t>https://www.jotform.com/uploads/macarewecare/222927978372067/5901683053619086940/5901683053619086940_signature_31.png</t>
  </si>
  <si>
    <t xml:space="preserve">ASSAY: Xpert HPV, COUNT: 102
ASSAY: Xpert MTB/RIF Ultra, COUNT: 16
ASSAY: Xpert SARS-CoV-2, COUNT: 3942
ASSAY: Others, COUNT: 21
</t>
  </si>
  <si>
    <t>Cleaned Cartridge Bay, Plunger Rod and Icore Optics.
Cleaned Filter.
Performed Self-test.
Generate Reports</t>
  </si>
  <si>
    <t>https://www.jotform.com/uploads/macarewecare/222927978372067/5901683063611762006/5901683063611762006_signature_28.png</t>
  </si>
  <si>
    <t>https://www.jotform.com/uploads/macarewecare/222927978372067/5901683063611762006/5901683063611762006_signature_31.png</t>
  </si>
  <si>
    <t>Caratagan, Pioduran, Albay</t>
  </si>
  <si>
    <t>XpertCheck Result:
   B1/807820 - passed
   B2/807832 - passed
   B3/807835 - passed
   B4/807770 - passed</t>
  </si>
  <si>
    <t>https://www.jotform.com/uploads/macarewecare/222927978372067/5901659188421419258/5901659188421419258_signature_28.png</t>
  </si>
  <si>
    <t>https://www.jotform.com/uploads/macarewecare/222927978372067/5901659188421419258/5901659188421419258_signature_31.png</t>
  </si>
  <si>
    <t xml:space="preserve">ASSAY: Xpert MTB/RIF Ultra, COUNT: 1833
ASSAY: Xpert HIV-1 Viral Load, COUNT: 159
</t>
  </si>
  <si>
    <t>GX 6 colors</t>
  </si>
  <si>
    <t>Module 2 and Module 4 pending for replacement</t>
  </si>
  <si>
    <t>Preventive Maintenence, Site Inspection and data gathering.</t>
  </si>
  <si>
    <t>Module 2 and 4 for replacement, module 1 and 3 are available</t>
  </si>
  <si>
    <t>https://www.jotform.com/uploads/macarewecare/222927978372067/5901656837016223967/5901656837016223967_signature_28.png</t>
  </si>
  <si>
    <t>https://www.jotform.com/uploads/macarewecare/222927978372067/5901656837016223967/5901656837016223967_signature_31.png</t>
  </si>
  <si>
    <t>Talobatib, Labo, Camarines Norte</t>
  </si>
  <si>
    <t>XpertCheck Result:
   B1/807308 - passed
   B2/878474 - new module
   B3/719806 - new module 
   B4/807323 - passed
Cleaned cartridge bays, plunger rod, icore 
Generate reports</t>
  </si>
  <si>
    <t>https://www.jotform.com/uploads/macarewecare/222927978372067/5901655268429334454/5901655268429334454_signature_28.png</t>
  </si>
  <si>
    <t>JANELA JOYCE ESTEVES</t>
  </si>
  <si>
    <t>https://www.jotform.com/uploads/macarewecare/222927978372067/5901655268429334454/5901655268429334454_signature_31.png</t>
  </si>
  <si>
    <t>Brgy. Dos, Vinzons</t>
  </si>
  <si>
    <t>XpertCheck Result:
   B1/793494 - passed
   B2/862906 - passed
   B3/210091325 - new module
   B4/675496 - passed</t>
  </si>
  <si>
    <t>https://www.jotform.com/uploads/macarewecare/222927978372067/5901654858421984863/5901654858421984863_signature_28.png</t>
  </si>
  <si>
    <t>Amabel A.Bardon</t>
  </si>
  <si>
    <t>https://www.jotform.com/uploads/macarewecare/222927978372067/5901654858421984863/5901654858421984863_signature_31.png</t>
  </si>
  <si>
    <t>T. Alonzo, Baguio City</t>
  </si>
  <si>
    <t xml:space="preserve">ASSAY: Xpert MTB/RIF Ultra, COUNT: 1878
</t>
  </si>
  <si>
    <t>Due for Calibration and Preventive Maintenance</t>
  </si>
  <si>
    <t>- Unit is fully operational 
- Unable XpertCheck on newly installed modules B1 (678653) and B2 ( 651808)
- Modules B3 (716721) and B4(210005712) passed XpertCheck</t>
  </si>
  <si>
    <t>DR 11363</t>
  </si>
  <si>
    <t>https://www.jotform.com/uploads/macarewecare/222927978372067/5900942562652743739/5900942562652743739_signature_28.png</t>
  </si>
  <si>
    <t>https://www.jotform.com/uploads/macarewecare/222927978372067/5900942562652743739/5900942562652743739_signature_31.png</t>
  </si>
  <si>
    <t xml:space="preserve">ASSAY: Xpert MTB/RIF Ultra, COUNT: 327
ASSAY: Xpert SARS-CoV-2, COUNT: 1127
</t>
  </si>
  <si>
    <t>For data gathering and PM</t>
  </si>
  <si>
    <t>Performed pms</t>
  </si>
  <si>
    <t>https://www.jotform.com/uploads/macarewecare/222927978372067/5899499397918116280/5899499397918116280_signature_28.png</t>
  </si>
  <si>
    <t>PHILIPPINE HEART CENTER</t>
  </si>
  <si>
    <t>https://www.jotform.com/uploads/macarewecare/222927978372067/5899499397918116280/5899499397918116280_signature_31.png</t>
  </si>
  <si>
    <t xml:space="preserve">ASSAY: Xpert MTB/RIF Ultra, COUNT: 1240
</t>
  </si>
  <si>
    <t>GX4 (10c)</t>
  </si>
  <si>
    <t>B4 module error continous booting,</t>
  </si>
  <si>
    <t>Fixed twist cable
Reset home to home position
After performed troubleshooting error still occur</t>
  </si>
  <si>
    <t>B4 unoperational</t>
  </si>
  <si>
    <t>https://www.jotform.com/uploads/macarewecare/222927978372067/5899498897912843507/5899498897912843507_signature_28.png</t>
  </si>
  <si>
    <t>Nelson p. Miranda</t>
  </si>
  <si>
    <t>https://www.jotform.com/uploads/macarewecare/222927978372067/5899498897912843507/5899498897912843507_signature_31.png</t>
  </si>
  <si>
    <t xml:space="preserve">ASSAY: Xpert MTB/RIF Ultra, COUNT: 112
ASSAY: Xpert SARS-CoV-2, COUNT: 13
</t>
  </si>
  <si>
    <t>Last xpertcheck 6.30.2021
D2,D3,D4 disabled due to 5007</t>
  </si>
  <si>
    <t>D1 operational,D2,D3,D4 disabled</t>
  </si>
  <si>
    <t>https://www.jotform.com/uploads/macarewecare/222927978372067/5899498347911519391/5899498347911519391_signature_28.png</t>
  </si>
  <si>
    <t>Laurence laquindanum</t>
  </si>
  <si>
    <t>https://www.jotform.com/uploads/macarewecare/222927978372067/5899498347911519391/5899498347911519391_signature_31.png</t>
  </si>
  <si>
    <t>Quezon Avenue, QC</t>
  </si>
  <si>
    <t xml:space="preserve">ASSAY: Xpert MTB/RIF Ultra, COUNT: 456
ASSAY: Xpert SARS-CoV-2, COUNT: 1385
ASSAY: Xpert HIV-1 Viral Load, COUNT: 31
ASSAY: Xpert HIV-1 Viral Load, COUNT: 96
</t>
  </si>
  <si>
    <t>B4 reported already,B2 and B3 module encounter invalid error in HIV,B1 disabled due to intermittent temp error</t>
  </si>
  <si>
    <t>B1 and B4 disabled, B2 and B3 for observation
Last xpertcheck 7.25.23</t>
  </si>
  <si>
    <t>https://www.jotform.com/uploads/macarewecare/222927978372067/5899497677913636609/5899497677913636609_signature_28.png</t>
  </si>
  <si>
    <t>https://www.jotform.com/uploads/macarewecare/222927978372067/5899497677913636609/5899497677913636609_signature_31.png</t>
  </si>
  <si>
    <t>cyrilxoxocaguco@gmail.com</t>
  </si>
  <si>
    <t xml:space="preserve">ASSAY: Xpert MTB/RIF Ultra, COUNT: 2206
ASSAY: Xpert HIV-1 Viral Load, COUNT: 197
</t>
  </si>
  <si>
    <t>MODULE B1 FOR REPORTING</t>
  </si>
  <si>
    <t>https://www.jotform.com/uploads/macarewecare/222927978372067/5899352095328608073/5899352095328608073_signature_28.png</t>
  </si>
  <si>
    <t>Cyril Caguco</t>
  </si>
  <si>
    <t>https://www.jotform.com/uploads/macarewecare/222927978372067/5899352095328608073/5899352095328608073_signature_31.png</t>
  </si>
  <si>
    <t>Camus St. Davao City</t>
  </si>
  <si>
    <t>Multiple temperature related error to Module B2</t>
  </si>
  <si>
    <t>Run functionality test on Module B2</t>
  </si>
  <si>
    <t>Module B2, frequent error on temperature related error
Error Sent to Cepheid for further Assessment</t>
  </si>
  <si>
    <t>Module B2 temporarily disable</t>
  </si>
  <si>
    <t>https://www.jotform.com/uploads/macarewecare/222927978372067/5899260632011380892/5899260632011380892_signature_28.png</t>
  </si>
  <si>
    <t>Arleen P. Alconera</t>
  </si>
  <si>
    <t>https://www.jotform.com/uploads/macarewecare/222927978372067/5899260632011380892/5899260632011380892_signature_31.png</t>
  </si>
  <si>
    <t>Jacinto St. Davao City</t>
  </si>
  <si>
    <t xml:space="preserve">ASSAY: Xpert MTB/RIF Ultra, COUNT: 144
ASSAY: Xpert HIV-1 Viral Load, COUNT: 1044
ASSAY: Xpert HBV VL, COUNT: 9
</t>
  </si>
  <si>
    <t>Due for Preventive Maintenance
Error at Module B4</t>
  </si>
  <si>
    <t>Module 4 for under observation since the error encounter is Cartridge Related Error 2037</t>
  </si>
  <si>
    <t>https://www.jotform.com/uploads/macarewecare/222927978372067/5899229802012568251/5899229802012568251_signature_28.png</t>
  </si>
  <si>
    <t>Ellaine Malano, RMT.</t>
  </si>
  <si>
    <t>https://www.jotform.com/uploads/macarewecare/222927978372067/5899229802012568251/5899229802012568251_signature_31.png</t>
  </si>
  <si>
    <t xml:space="preserve">ASSAY: Xpert HIV-1 Viral Load, COUNT: 1006
ASSAY: Xpert MTB/RIF Ultra, COUNT: 144
ASSAY: Xpert HBV VL, COUNT: 9
</t>
  </si>
  <si>
    <t>Clean Surface Area, Cartridge Bay, Plunger Rod and Icore Lenses
Generate IQR, Assay Stat and System Log
Archived Data test results</t>
  </si>
  <si>
    <t>Module B2 and B4 disabled due to multiple errors</t>
  </si>
  <si>
    <t>Module B2 and B4 waiting for replacement parts</t>
  </si>
  <si>
    <t>https://www.jotform.com/uploads/macarewecare/222927978372067/5899228802019239767/5899228802019239767_signature_28.png</t>
  </si>
  <si>
    <t>Elaine Malano RMT</t>
  </si>
  <si>
    <t>https://www.jotform.com/uploads/macarewecare/222927978372067/5899228802019239767/5899228802019239767_signature_31.png</t>
  </si>
  <si>
    <t xml:space="preserve">ASSAY: Xpert HPV, COUNT: 74
ASSAY: Xpert MTB/RIF Ultra, COUNT: 3135
ASSAY: Xpert HIV-1 Viral Load, COUNT: 472
</t>
  </si>
  <si>
    <t>Waiting for module A4 allocation. Other modules are functional.</t>
  </si>
  <si>
    <t>https://www.jotform.com/uploads/macarewecare/222927978372067/5899215469063946396/5899215469063946396_signature_28.png</t>
  </si>
  <si>
    <t>https://www.jotform.com/uploads/macarewecare/222927978372067/5899215469063946396/5899215469063946396_signature_31.png</t>
  </si>
  <si>
    <t xml:space="preserve">ASSAY: Xpert HPV, COUNT: 101
ASSAY: Xpert MTB/RIF Ultra, COUNT: 3986
ASSAY: Xpert HIV-1 Viral Load, COUNT: 429
</t>
  </si>
  <si>
    <t>https://www.jotform.com/uploads/macarewecare/222927978372067/5899215469068543843/5899215469068543843_signature_28.png</t>
  </si>
  <si>
    <t>https://www.jotform.com/uploads/macarewecare/222927978372067/5899215469068543843/5899215469068543843_signature_31.png</t>
  </si>
  <si>
    <t xml:space="preserve">ASSAY: Xpert MTB/RIF Ultra, COUNT: 566
</t>
  </si>
  <si>
    <t>UPS not backing up
Due for preventive maintenance</t>
  </si>
  <si>
    <t>Performed surface cleaning 
Performed cleaning of cartridge bay, icore, filter and plunger rod
UPS troubleshooting 
Gathered reports 
Performed functionality test</t>
  </si>
  <si>
    <t>Unit is operational excet for UPS
UPS:AT1000181128ST0196 for replacement</t>
  </si>
  <si>
    <t>https://www.jotform.com/uploads/macarewecare/222927978372067/5899204104722121565/5899204104722121565_signature_28.png</t>
  </si>
  <si>
    <t>Belinda C. Guinto</t>
  </si>
  <si>
    <t>https://www.jotform.com/uploads/macarewecare/222927978372067/5899204104722121565/5899204104722121565_signature_31.png</t>
  </si>
  <si>
    <t xml:space="preserve">ASSAY: Xpert MTB/RIF Ultra, COUNT: 1313
ASSAY: Xpert HIV-1 Viral Load, COUNT: 8
</t>
  </si>
  <si>
    <t>Module 1 H/W failed due to temperature error</t>
  </si>
  <si>
    <t>Perform Xpertcheck at module 1 for troubleshooting 
Genexpert Cleaning 
Checking of errors 
Problem reporting 
Data collection</t>
  </si>
  <si>
    <t>https://www.jotform.com/uploads/macarewecare/222927978372067/5899195393824614351/5899195393824614351_signature_28.png</t>
  </si>
  <si>
    <t>Celine Jean Villanueva, RMT</t>
  </si>
  <si>
    <t>https://www.jotform.com/uploads/macarewecare/222927978372067/5899195393824614351/5899195393824614351_signature_31.png</t>
  </si>
  <si>
    <t>Abucay Bataan</t>
  </si>
  <si>
    <t>Performed surface cleaning
Performed cartridge bay, icor,filter and plunger rod
Performed functionality test 
Gathered reports</t>
  </si>
  <si>
    <t>https://www.jotform.com/uploads/macarewecare/222927978372067/5899117032319770531/5899117032319770531_signature_28.png</t>
  </si>
  <si>
    <t>https://www.jotform.com/uploads/macarewecare/222927978372067/5899117032319770531/5899117032319770531_signature_31.png</t>
  </si>
  <si>
    <t>San Fernando, Camarines Sur</t>
  </si>
  <si>
    <t>XpertCheck Result:
   B1/722557 - new module 
   B2/723641 - new module
   B3/725516 - new module
   B4/725516 - passed
Cleaned cartridge bays, plunger rod, icore 
Generate report</t>
  </si>
  <si>
    <t>https://www.jotform.com/uploads/macarewecare/222927978372067/5899038257512175511/5899038257512175511_signature_28.png</t>
  </si>
  <si>
    <t>https://www.jotform.com/uploads/macarewecare/222927978372067/5899038257512175511/5899038257512175511_signature_31.png</t>
  </si>
  <si>
    <t>Santa Rosa Rural Health Unit</t>
  </si>
  <si>
    <t>Santa Rosa, Nueva Ecija</t>
  </si>
  <si>
    <t>Lahoratory</t>
  </si>
  <si>
    <t>laicasalvador.08@gmail.com</t>
  </si>
  <si>
    <t xml:space="preserve">ASSAY: Xpert MTB/RIF Ultra, COUNT: 347
</t>
  </si>
  <si>
    <t>Genexpert GXIV</t>
  </si>
  <si>
    <t>Monitor on and off</t>
  </si>
  <si>
    <t>Troubleshoot the monitor cables</t>
  </si>
  <si>
    <t>https://www.jotform.com/uploads/macarewecare/222927978372067/5898404695515593531/5898404695515593531_signature_28.png</t>
  </si>
  <si>
    <t>Salvador, Maria Isabel M.</t>
  </si>
  <si>
    <t>https://www.jotform.com/uploads/macarewecare/222927978372067/5898404695515593531/5898404695515593531_signature_31.png</t>
  </si>
  <si>
    <t>https://www.jotform.com/uploads/macarewecare/222927978372067/5898379751057629163/5898379751057629163_signature_28.png</t>
  </si>
  <si>
    <t>Rheazel Ranes</t>
  </si>
  <si>
    <t>https://www.jotform.com/uploads/macarewecare/222927978372067/5898379751057629163/5898379751057629163_signature_31.png</t>
  </si>
  <si>
    <t>Himaya.vale@yahoo.com</t>
  </si>
  <si>
    <t xml:space="preserve">ASSAY: Xpert MTB/RIF Ultra, COUNT: 1068
</t>
  </si>
  <si>
    <t>-PERFORM BARCODE SCANNER REPLACEMENT:
DEF SN : 20112010552690
NEW SN : 1409700507304
-PERFORM CLEANING AND PREVENTIVE MAINTENANCE PROCEDURE
-REPLACE FAN FILTER</t>
  </si>
  <si>
    <t>https://www.jotform.com/uploads/macarewecare/222927978372067/5898376471054103717/5898376471054103717_signature_28.png</t>
  </si>
  <si>
    <t>https://www.jotform.com/uploads/macarewecare/222927978372067/5898376471054103717/5898376471054103717_signature_31.png</t>
  </si>
  <si>
    <t xml:space="preserve">ASSAY: Xpert MTB/RIF Ultra, COUNT: 862
</t>
  </si>
  <si>
    <t>-FOR PREVENTIVE MAINTENANCE
-MODULE B2 H/W FAIL ERROR 4004</t>
  </si>
  <si>
    <t>https://www.jotform.com/uploads/macarewecare/222927978372067/5898372181059479066/5898372181059479066_signature_28.png</t>
  </si>
  <si>
    <t>Therese Arjelin Palma</t>
  </si>
  <si>
    <t>https://www.jotform.com/uploads/macarewecare/222927978372067/5898372181059479066/5898372181059479066_signature_31.png</t>
  </si>
  <si>
    <t>Kapt. Pepe, Cabanatuan City, Nueva Ecija</t>
  </si>
  <si>
    <t xml:space="preserve">ASSAY: Xpert MTB/RIF Ultra, COUNT: 2360
</t>
  </si>
  <si>
    <t>Archive Results</t>
  </si>
  <si>
    <t>https://www.jotform.com/uploads/macarewecare/222927978372067/5898339720716006203/5898339720716006203_signature_28.png</t>
  </si>
  <si>
    <t>https://www.jotform.com/uploads/macarewecare/222927978372067/5898339720716006203/5898339720716006203_signature_31.png</t>
  </si>
  <si>
    <t>Preventive Maintenance
Data Collection</t>
  </si>
  <si>
    <t>https://www.jotform.com/uploads/macarewecare/222927978372067/5898322134614101248/5898322134614101248_signature_28.png</t>
  </si>
  <si>
    <t>https://www.jotform.com/uploads/macarewecare/222927978372067/5898322134614101248/5898322134614101248_signature_31.png</t>
  </si>
  <si>
    <t>Pililla</t>
  </si>
  <si>
    <t>https://www.jotform.com/uploads/macarewecare/222927978372067/5898316562282668839/5898316562282668839_signature_28.png</t>
  </si>
  <si>
    <t>Pililla RTDL</t>
  </si>
  <si>
    <t>https://www.jotform.com/uploads/macarewecare/222927978372067/5898316562282668839/5898316562282668839_signature_31.png</t>
  </si>
  <si>
    <t>Cleaned Unit's Surface Area.
Checked A/D and Diagnostic Values.
Cleaned Optics and Sensors.
Cleaned Pump Rollers.
Checked Centrifuge Function.
Performed Simulation Run.</t>
  </si>
  <si>
    <t>Unit is Operational. All Values are good.</t>
  </si>
  <si>
    <t>https://www.jotform.com/uploads/macarewecare/222927978372067/5898281118754089288/5898281118754089288_signature_28.png</t>
  </si>
  <si>
    <t>https://www.jotform.com/uploads/macarewecare/222927978372067/5898281118754089288/5898281118754089288_signature_31.png</t>
  </si>
  <si>
    <t>Cleaned Unit's Surface Area.
Checked A/D Values.
Cleaned Optics and Sensors.
Cleaned Pump Rollers.
Checked Centrifuge Function.
Performed Simulation Run.</t>
  </si>
  <si>
    <t>https://www.jotform.com/uploads/macarewecare/222927978372067/5898281098759882232/5898281098759882232_signature_28.png</t>
  </si>
  <si>
    <t>https://www.jotform.com/uploads/macarewecare/222927978372067/5898281098759882232/5898281098759882232_signature_31.png</t>
  </si>
  <si>
    <t xml:space="preserve">ASSAY: Others, COUNT: 62
ASSAY: Xpert HPV, COUNT: 124
ASSAY: Xpert MTB/RIF Ultra, COUNT: 765
ASSAY: Xpert HIV-1 Viral Load, COUNT: 14
</t>
  </si>
  <si>
    <t>Cleaned Cartridge Bay, Plunger Rod and Icore
Checked Filter if Clogged
Performed Self-test
Generate Reports</t>
  </si>
  <si>
    <t>B2/210076074 for Observation with Temp Error</t>
  </si>
  <si>
    <t>https://www.jotform.com/uploads/macarewecare/222927978372067/5898281088754579065/5898281088754579065_signature_28.png</t>
  </si>
  <si>
    <t>Trish Faye Pastor</t>
  </si>
  <si>
    <t>https://www.jotform.com/uploads/macarewecare/222927978372067/5898281088754579065/5898281088754579065_signature_31.png</t>
  </si>
  <si>
    <t>Dela Cruz St, Cavite City, Cavite</t>
  </si>
  <si>
    <t xml:space="preserve">ASSAY: Xpert MTB/RIF Ultra, COUNT: 1167
</t>
  </si>
  <si>
    <t>GX System No Power</t>
  </si>
  <si>
    <t>Checked Output Voltage of UPS
Checked Backup Function of UPS
Cleaned Cartridge Bay and Plunger Rod
Replaced Clogged Filter
Performed Selft-test
Generate Reports</t>
  </si>
  <si>
    <t>3 Modules are Operational, 1 Disabled
UPS is Defective</t>
  </si>
  <si>
    <t>A4/730140 Disabled. UPS SN:AT1000180910ST0370</t>
  </si>
  <si>
    <t>https://www.jotform.com/uploads/macarewecare/222927978372067/5898280998753502313/5898280998753502313_signature_28.png</t>
  </si>
  <si>
    <t>Melanie Reyes</t>
  </si>
  <si>
    <t>https://www.jotform.com/uploads/macarewecare/222927978372067/5898280998753502313/5898280998753502313_signature_31.png</t>
  </si>
  <si>
    <t>Hospital Rd, General Trias, Cavite</t>
  </si>
  <si>
    <t xml:space="preserve">ASSAY: Xpert HIV-1 Viral Load, COUNT: 500
</t>
  </si>
  <si>
    <t>XpertCheck
Preventive Maintenance</t>
  </si>
  <si>
    <t>Cleaned Cartridge Bay, Plunger Rod and Icore
Checked Filter if Clogged
Performed Self-test
Performed XpertCheck
Generate Reports</t>
  </si>
  <si>
    <t>All Modules Passed</t>
  </si>
  <si>
    <t>https://www.jotform.com/uploads/macarewecare/222927978372067/5898280938755293501/5898280938755293501_signature_28.png</t>
  </si>
  <si>
    <t>Alberto Lagunilla</t>
  </si>
  <si>
    <t>https://www.jotform.com/uploads/macarewecare/222927978372067/5898280938755293501/5898280938755293501_signature_31.png</t>
  </si>
  <si>
    <t>Congressional Rd, Dasmariñas, Cavite</t>
  </si>
  <si>
    <t xml:space="preserve">ASSAY: Xpert MTB/RIF Ultra, COUNT: 2638
</t>
  </si>
  <si>
    <t>Module B4 Failed in XpertCheck</t>
  </si>
  <si>
    <t>Replaced Module 4.
Performed Self-test.
Checked if Filter is Clogged.
Generate Reports.</t>
  </si>
  <si>
    <t>B4: 880257-&gt; 676646</t>
  </si>
  <si>
    <t>https://www.jotform.com/uploads/macarewecare/222927978372067/5898280888756770399/5898280888756770399_signature_28.png</t>
  </si>
  <si>
    <t>https://www.jotform.com/uploads/macarewecare/222927978372067/5898280888756770399/5898280888756770399_signature_31.png</t>
  </si>
  <si>
    <t>Scout Torillo St, Poblacion, Rosario, Cavite</t>
  </si>
  <si>
    <t>Cleaned Cartridge Bay and Plunger Rod 
Replaced Clogged Filter
Performed Self-test
Generate Reports</t>
  </si>
  <si>
    <t>3 Modules are Operational, 1 Defective
Monitor with Screen Problem</t>
  </si>
  <si>
    <t>B2 with Lost Comm Problem</t>
  </si>
  <si>
    <t>https://www.jotform.com/uploads/macarewecare/222927978372067/5898280878751154263/5898280878751154263_signature_28.png</t>
  </si>
  <si>
    <t>https://www.jotform.com/uploads/macarewecare/222927978372067/5898280878751154263/5898280878751154263_signature_31.png</t>
  </si>
  <si>
    <t>venersantos0425@gmail.com</t>
  </si>
  <si>
    <t>https://www.jotform.com/uploads/macarewecare/222927978372067/5898231960507026789/5898231960507026789_signature_28.png</t>
  </si>
  <si>
    <t>Solita L.Trinidad</t>
  </si>
  <si>
    <t>https://www.jotform.com/uploads/macarewecare/222927978372067/5898231960507026789/5898231960507026789_signature_31.png</t>
  </si>
  <si>
    <t>F. Manalo St.</t>
  </si>
  <si>
    <t xml:space="preserve">ASSAY: Xpert CT/NG, COUNT: 14
ASSAY: Xpert MTB/RIF Ultra, COUNT: 1891
ASSAY: Xpert HIV-1 Viral Load, COUNT: 98
</t>
  </si>
  <si>
    <t>Unit is operational. Modules A1/210091071 and A4/879974 not operational, reported already.</t>
  </si>
  <si>
    <t>https://www.jotform.com/uploads/macarewecare/222927978372067/5898230490337224065/5898230490337224065_signature_28.png</t>
  </si>
  <si>
    <t>https://www.jotform.com/uploads/macarewecare/222927978372067/5898230490337224065/5898230490337224065_signature_31.png</t>
  </si>
  <si>
    <t>leniemahalin@gmail.com</t>
  </si>
  <si>
    <t>Unit for preventive maitenance.</t>
  </si>
  <si>
    <t>https://www.jotform.com/uploads/macarewecare/222927978372067/5898179940509767183/5898179940509767183_signature_28.png</t>
  </si>
  <si>
    <t>Lenita Mahalin</t>
  </si>
  <si>
    <t>https://www.jotform.com/uploads/macarewecare/222927978372067/5898179940509767183/5898179940509767183_signature_31.png</t>
  </si>
  <si>
    <t>-PERFORM CLEANING OF GENEXPERT WORKSTATION
-PERFORM PREVENTIVE MAINTENANCE
-PERFORM MODULE B2 SN 860993 CALIBRATION, SERVICE REQUIRED</t>
  </si>
  <si>
    <t>MODULE B2 FOR SERVICE</t>
  </si>
  <si>
    <t>https://www.jotform.com/uploads/macarewecare/222927978372067/5897596814336027437/5897596814336027437_signature_28.png</t>
  </si>
  <si>
    <t>https://www.jotform.com/uploads/macarewecare/222927978372067/5897596814336027437/5897596814336027437_signature_31.png</t>
  </si>
  <si>
    <t xml:space="preserve">ASSAY: Xpert MTB/RIF Ultra, COUNT: 1486
</t>
  </si>
  <si>
    <t>https://www.jotform.com/uploads/macarewecare/222927978372067/5897594234338930022/5897594234338930022_signature_28.png</t>
  </si>
  <si>
    <t>https://www.jotform.com/uploads/macarewecare/222927978372067/5897594234338930022/5897594234338930022_signature_31.png</t>
  </si>
  <si>
    <t>Wilson St.</t>
  </si>
  <si>
    <t xml:space="preserve">ASSAY: Xpert HIV-1 Viral Load, COUNT: 126
ASSAY: Xpert HPV, COUNT: 29
ASSAY: Xpert MTB/RIF Ultra, COUNT: 1084
</t>
  </si>
  <si>
    <t>Performed maintenance 
Cleaned:
-cartridge bay
-plunger rod 
-icore
-filter
Generated reports 
Generated gxx file</t>
  </si>
  <si>
    <t>Unit is operational. Modules B1/210022152 and B4/210048235 not operational, reported already.</t>
  </si>
  <si>
    <t>https://www.jotform.com/uploads/macarewecare/222927978372067/5897487717461879637/5897487717461879637_signature_28.png</t>
  </si>
  <si>
    <t>https://www.jotform.com/uploads/macarewecare/222927978372067/5897487717461879637/5897487717461879637_signature_31.png</t>
  </si>
  <si>
    <t>Performed maintenance 
Cleaned 
-cartridge bay
-plunger rod
-icore
-filter
Generated reports 
Generated gxx file
Performed additional troubleshooting for module C3.</t>
  </si>
  <si>
    <t>Unit is operational. Modules A1/860941, A2/860940, B3/702534, B4/860923, C2/668748, D2/620837 and D4/661946 not operational. Reported already. Module C3/662448 not operational, for reporting.</t>
  </si>
  <si>
    <t>https://www.jotform.com/uploads/macarewecare/222927978372067/5897487717464053212/5897487717464053212_signature_28.png</t>
  </si>
  <si>
    <t>https://www.jotform.com/uploads/macarewecare/222927978372067/5897487717464053212/5897487717464053212_signature_31.png</t>
  </si>
  <si>
    <t xml:space="preserve">ASSAY: Xpert HIV-1 Viral Load, COUNT: 2238
</t>
  </si>
  <si>
    <t>GX4 D R1</t>
  </si>
  <si>
    <t>Maintenance and Xpertcheck</t>
  </si>
  <si>
    <t>A1 686966 module reported already confirmed defective for quotation replacement.
A2,A3,A4 passed in xpertcheck.</t>
  </si>
  <si>
    <t>https://www.jotform.com/uploads/macarewecare/222927978372067/5897482203618000512/5897482203618000512_signature_28.png</t>
  </si>
  <si>
    <t>https://www.jotform.com/uploads/macarewecare/222927978372067/5897482203618000512/5897482203618000512_signature_31.png</t>
  </si>
  <si>
    <t>ICHHD</t>
  </si>
  <si>
    <t>https://www.jotform.com/uploads/macarewecare/222927978372067/5897472967919175024/5897472967919175024_signature_28.png</t>
  </si>
  <si>
    <t>https://www.jotform.com/uploads/macarewecare/222927978372067/5897472967919175024/5897472967919175024_signature_31.png</t>
  </si>
  <si>
    <t>valenzuelacity.shc@gmail.com</t>
  </si>
  <si>
    <t xml:space="preserve">ASSAY: Xpert HIV-1 Viral Load, COUNT: 134
</t>
  </si>
  <si>
    <t>https://www.jotform.com/uploads/macarewecare/222927978372067/5897417821284501353/5897417821284501353_signature_28.png</t>
  </si>
  <si>
    <t>Marlette R. Delino</t>
  </si>
  <si>
    <t>https://www.jotform.com/uploads/macarewecare/222927978372067/5897417821284501353/5897417821284501353_signature_31.png</t>
  </si>
  <si>
    <t>XpertCheck Result:
   B1/807683 - passed
   B2/650253 - new module
   B3/880428 - new module
   B4/615874 - passed
Cleaned cartridge bays, plunger rod, icore 
Generate report</t>
  </si>
  <si>
    <t>https://www.jotform.com/uploads/macarewecare/222927978372067/5897382126618783737/5897382126618783737_signature_28.png</t>
  </si>
  <si>
    <t>https://www.jotform.com/uploads/macarewecare/222927978372067/5897382126618783737/5897382126618783737_signature_31.png</t>
  </si>
  <si>
    <t>UP-NIH</t>
  </si>
  <si>
    <t>NIH Central Lab, Ermita Manila</t>
  </si>
  <si>
    <t>Unit for Preventive Maintenance.
For module replacement of module B4.</t>
  </si>
  <si>
    <t>GX module B4 (887676) in replacement to defectivr B4 (210070221).</t>
  </si>
  <si>
    <t>DR#11431</t>
  </si>
  <si>
    <t>https://www.jotform.com/uploads/macarewecare/222927978372067/5897376813822704664/5897376813822704664_signature_28.png</t>
  </si>
  <si>
    <t>Vivienne V Luzentales</t>
  </si>
  <si>
    <t>https://www.jotform.com/uploads/macarewecare/222927978372067/5897376813822704664/5897376813822704664_signature_31.png</t>
  </si>
  <si>
    <t xml:space="preserve">ASSAY: Xpert CT/NG, COUNT: 2
ASSAY: Xpert MTB/RIF Ultra, COUNT: 833
</t>
  </si>
  <si>
    <t>Replaceed modules B1, B4</t>
  </si>
  <si>
    <t>GeneXpert Module
SN: 714862, 757409</t>
  </si>
  <si>
    <t>https://www.jotform.com/uploads/macarewecare/222927978372067/5897351137222068919/5897351137222068919_signature_28.png</t>
  </si>
  <si>
    <t>https://www.jotform.com/uploads/macarewecare/222927978372067/5897351137222068919/5897351137222068919_signature_31.png</t>
  </si>
  <si>
    <t>Bagumbong, Caloocan</t>
  </si>
  <si>
    <t xml:space="preserve">ASSAY: Xpert MTB/RIF Ultra, COUNT: 2833
</t>
  </si>
  <si>
    <t>Unit for maintenance
Intermittent errors on modules
UPS for check up</t>
  </si>
  <si>
    <t>Unit is operational 
UPS for reporting (SN: AT1000180910ST0399)
UPS is recommended for replacement</t>
  </si>
  <si>
    <t>https://www.jotform.com/uploads/macarewecare/222927978372067/5897350027225925609/5897350027225925609_signature_28.png</t>
  </si>
  <si>
    <t>https://www.jotform.com/uploads/macarewecare/222927978372067/5897350027225925609/5897350027225925609_signature_31.png</t>
  </si>
  <si>
    <t>Cotabato Regional and Medical Center - Molecular Laboratory</t>
  </si>
  <si>
    <t xml:space="preserve">ASSAY: Xpert SARS-CoV-2, COUNT: 13394
</t>
  </si>
  <si>
    <t>Error at Module 4
Install new assay for 4Plex</t>
  </si>
  <si>
    <t>Clean Surface Area, Cartridge Bay, Plunger Rod and Icore Lenses
Generate IQR, Assay Stat and System Log
Import Assay for 4plex</t>
  </si>
  <si>
    <t>Perform Preventive Maintenance and Module Troubleshooting
Install new assay</t>
  </si>
  <si>
    <t>Module 2 and Module 4 report for module replacement
Successfully installed the new assay</t>
  </si>
  <si>
    <t>https://www.jotform.com/uploads/macarewecare/222927978372067/5896694050313232751/5896694050313232751_signature_28.png</t>
  </si>
  <si>
    <t>Chareasse love yu utto</t>
  </si>
  <si>
    <t>https://www.jotform.com/uploads/macarewecare/222927978372067/5896694050313232751/5896694050313232751_signature_31.png</t>
  </si>
  <si>
    <t>https://www.jotform.com/uploads/macarewecare/222927978372067/5896606368316090757/5896606368316090757_signature_28.png</t>
  </si>
  <si>
    <t>https://www.jotform.com/uploads/macarewecare/222927978372067/5896606368316090757/5896606368316090757_signature_31.png</t>
  </si>
  <si>
    <t>https://www.jotform.com/uploads/macarewecare/222927978372067/5896605848314205355/5896605848314205355_signature_28.png</t>
  </si>
  <si>
    <t>https://www.jotform.com/uploads/macarewecare/222927978372067/5896605848314205355/5896605848314205355_signature_31.png</t>
  </si>
  <si>
    <t>crmcbloodcenter2016@gmail.com</t>
  </si>
  <si>
    <t>Line Sensor not within acceptable range; Acceptable Range: 2866-3276, Actual Value; 2598-2600</t>
  </si>
  <si>
    <t>Perform Calibration 
Perform cycle test using kits
Cleaning 
Parts Replacement (changing rollers)
Problem reporting</t>
  </si>
  <si>
    <t>Perform MCS+ Heamonetics Calibration</t>
  </si>
  <si>
    <t>Line Sensor for monitoring due to line sensor value out of range
Line Sensor recommendation for replacement</t>
  </si>
  <si>
    <t>Line Sensor recommendation for replacement</t>
  </si>
  <si>
    <t>https://www.jotform.com/uploads/macarewecare/222927978372067/5896559088211669688/5896559088211669688_signature_28.png</t>
  </si>
  <si>
    <t>Rhea L. Macion</t>
  </si>
  <si>
    <t>https://www.jotform.com/uploads/macarewecare/222927978372067/5896559088211669688/5896559088211669688_signature_31.png</t>
  </si>
  <si>
    <t>Manahan St. Tenejero Balanga City, Bataan</t>
  </si>
  <si>
    <t xml:space="preserve">ASSAY: Xpert HBV VL, COUNT: 29
ASSAY: Xpert SARS-CoV-2, COUNT: 3436
ASSAY: Xpert HCV VL, COUNT: 8
ASSAY: Xpert HIV-1 Viral Load, COUNT: 59
</t>
  </si>
  <si>
    <t>Xpertcheck 
Assay installation 
Preventive maintenance</t>
  </si>
  <si>
    <t>Performed Suraface Cleaning
Performed cleaning of catridge bay, icore, filter and plunger rod
Installation of xpertcheck application 
Installation of assay(RSV)
Archived test results
Performed xpertcheck 
Performed functionality test 
Gathered reports</t>
  </si>
  <si>
    <t>Unit is operational, all modules passed calibration 
B1: 210010244 unsuported for xpertcheck(newly replaced module)</t>
  </si>
  <si>
    <t>3 xpertcheck kits</t>
  </si>
  <si>
    <t>https://www.jotform.com/uploads/macarewecare/222927978372067/5896553582871505139/5896553582871505139_signature_28.png</t>
  </si>
  <si>
    <t>https://www.jotform.com/uploads/macarewecare/222927978372067/5896553582871505139/5896553582871505139_signature_31.png</t>
  </si>
  <si>
    <t xml:space="preserve">ASSAY: Xpert MTB/RIF Ultra, COUNT: 1606
</t>
  </si>
  <si>
    <t>Hardware failure in Module 4 SN#  86234 due to 1Error 4009 and Error 4012</t>
  </si>
  <si>
    <t>Adjust room temperature and direct the aircon to the genexpert machine. 
Generate data IQR, Sys log,  Assay Statistics and Archive data files.
Observed Module 4 for a week. 
Cut-off mode  of the Air-con too long to recover its desired set-temperature.</t>
  </si>
  <si>
    <t>Adjust room temperature and direct the aircon to the genexpert machine. 
Generate data IQR, Sys log,  Assay Statistics and Archive data files.
Observed Module 4 for a week.</t>
  </si>
  <si>
    <t>Module 4 for observation and expert check calibration after 1 week.</t>
  </si>
  <si>
    <t>https://www.jotform.com/uploads/macarewecare/222927978372067/5896524681113039583/5896524681113039583_signature_28.png</t>
  </si>
  <si>
    <t>https://www.jotform.com/uploads/macarewecare/222927978372067/5896524681113039583/5896524681113039583_signature_31.png</t>
  </si>
  <si>
    <t>Unit is operational
Unit for transfer</t>
  </si>
  <si>
    <t>https://www.jotform.com/uploads/macarewecare/222927978372067/5896479735326753988/5896479735326753988_signature_28.png</t>
  </si>
  <si>
    <t>Regene Mendezabal</t>
  </si>
  <si>
    <t>https://www.jotform.com/uploads/macarewecare/222927978372067/5896479735326753988/5896479735326753988_signature_31.png</t>
  </si>
  <si>
    <t>Parola St. Tondo Manila</t>
  </si>
  <si>
    <t>olartecharlie@gmail.com</t>
  </si>
  <si>
    <t>https://www.jotform.com/uploads/macarewecare/222927978372067/5896478862166142244/5896478862166142244_signature_28.png</t>
  </si>
  <si>
    <t>Charlie Olarte</t>
  </si>
  <si>
    <t>https://www.jotform.com/uploads/macarewecare/222927978372067/5896478862166142244/5896478862166142244_signature_31.png</t>
  </si>
  <si>
    <t xml:space="preserve">ASSAY: Xpert BCR-ABL Ultra, COUNT: 33
ASSAY: Xpert MTB/RIF Ultra, COUNT: 2999
ASSAY: Xpert SARS-CoV-2, COUNT: 4284
ASSAY: Others, COUNT: 10
</t>
  </si>
  <si>
    <t>C3,B3,D1 newly replaced module</t>
  </si>
  <si>
    <t>https://www.jotform.com/uploads/macarewecare/222927978372067/5889707453614855825/5889707453614855825_signature_28.png</t>
  </si>
  <si>
    <t>https://www.jotform.com/uploads/macarewecare/222927978372067/5889707453614855825/5889707453614855825_signature_31.png</t>
  </si>
  <si>
    <t xml:space="preserve">ASSAY: Xpert MTB/RIF Ultra, COUNT: 1209
</t>
  </si>
  <si>
    <t>XpertCheck Result:
   B1/210039783 - Passed
   B2/860937 - service required
   B3/860996 - Passed
   B4/210026807 - Passed
Cleaned cartridge bays, plunger rod, icore
Generate Report</t>
  </si>
  <si>
    <t>B2/860937 - service required/for module replacement</t>
  </si>
  <si>
    <t>https://www.jotform.com/uploads/macarewecare/222927978372067/5893197613117105049/5893197613117105049_signature_28.png</t>
  </si>
  <si>
    <t>Cedric V. Ravago</t>
  </si>
  <si>
    <t>https://www.jotform.com/uploads/macarewecare/222927978372067/5893197613117105049/5893197613117105049_signature_31.png</t>
  </si>
  <si>
    <t>For module replacement B1 210069919-887287,B3 210069924-718708,B4 210077551-684160</t>
  </si>
  <si>
    <t>Module replacement and Maintenance</t>
  </si>
  <si>
    <t>Genexpert 10c module</t>
  </si>
  <si>
    <t>https://www.jotform.com/uploads/macarewecare/222927978372067/5895583533613558611/5895583533613558611_signature_28.png</t>
  </si>
  <si>
    <t>https://www.jotform.com/uploads/macarewecare/222927978372067/5895583533613558611/5895583533613558611_signature_31.png</t>
  </si>
  <si>
    <t xml:space="preserve">ASSAY: Xpert CT/NG, COUNT: 31
ASSAY: Xpert HPV, COUNT: 244
ASSAY: Xpert SARS-CoV-2, COUNT: 1209
</t>
  </si>
  <si>
    <t>GX4- D (10C)</t>
  </si>
  <si>
    <t>For module replacement B4 210084572 - 210069864</t>
  </si>
  <si>
    <t>https://www.jotform.com/uploads/macarewecare/222927978372067/5895582693614179873/5895582693614179873_signature_28.png</t>
  </si>
  <si>
    <t>https://www.jotform.com/uploads/macarewecare/222927978372067/5895582693614179873/5895582693614179873_signature_31.png</t>
  </si>
  <si>
    <t>A1 encounter error 1002,A2 error 4009 ,4010,4017,  A4 error 4017, 4009 4012,D2 error 4009,4010,4017</t>
  </si>
  <si>
    <t>Gathered data</t>
  </si>
  <si>
    <t>Troubleshooting and gathered data</t>
  </si>
  <si>
    <t>A1,A2,A4,D2 disabled, 12 module operational</t>
  </si>
  <si>
    <t>https://www.jotform.com/uploads/macarewecare/222927978372067/5895581913619681011/5895581913619681011_signature_28.png</t>
  </si>
  <si>
    <t>Danielle Cortes</t>
  </si>
  <si>
    <t>https://www.jotform.com/uploads/macarewecare/222927978372067/5895581913619681011/5895581913619681011_signature_31.png</t>
  </si>
  <si>
    <t>University of The East - Ramon Magsaysay Memorial Hospital</t>
  </si>
  <si>
    <t>Unit is operational
All parameters are within range</t>
  </si>
  <si>
    <t>https://www.jotform.com/uploads/macarewecare/222927978372067/5895568613613940141/5895568613613940141_signature_28.png</t>
  </si>
  <si>
    <t>https://www.jotform.com/uploads/macarewecare/222927978372067/5895568613613940141/5895568613613940141_signature_31.png</t>
  </si>
  <si>
    <t xml:space="preserve">ASSAY: Xpert MTB/RIF Ultra, COUNT: 1165
ASSAY: Xpert SARS-CoV-2, COUNT: 2167
</t>
  </si>
  <si>
    <t>- Unit is operational
- Room temperature is recommended to be below 30 degrees Celsius (Current ave. temp. is 33 deg.) to avoid temperature errors on modules
- Installation of additional air flow machine is recommended (i.e. electric fan pointed towards the back of GeneXpert)</t>
  </si>
  <si>
    <t>https://www.jotform.com/uploads/macarewecare/222927978372067/5895568193619389698/5895568193619389698_signature_28.png</t>
  </si>
  <si>
    <t>Yollymel Mary Grejarte</t>
  </si>
  <si>
    <t>https://www.jotform.com/uploads/macarewecare/222927978372067/5895568193619389698/5895568193619389698_signature_31.png</t>
  </si>
  <si>
    <t xml:space="preserve">ASSAY: Xpert C. difficile BT, COUNT: 39
ASSAY: Xpert CT/NG, COUNT: 81
ASSAY: Xpert MTB/RIF Ultra, COUNT: 740
ASSAY: Others, COUNT: 2
ASSAY: Xpert SARS-CoV-2, COUNT: 25
</t>
  </si>
  <si>
    <t>https://www.jotform.com/uploads/macarewecare/222927978372067/5895567533614373988/5895567533614373988_signature_28.png</t>
  </si>
  <si>
    <t>https://www.jotform.com/uploads/macarewecare/222927978372067/5895567533614373988/5895567533614373988_signature_31.png</t>
  </si>
  <si>
    <t>Quezon Ave,QC</t>
  </si>
  <si>
    <t>Maintenance and calibration</t>
  </si>
  <si>
    <t>https://www.jotform.com/uploads/macarewecare/222927978372067/5895567253613161732/5895567253613161732_signature_28.png</t>
  </si>
  <si>
    <t>Lung Center Of the Philippine Blood Bank Section</t>
  </si>
  <si>
    <t>https://www.jotform.com/uploads/macarewecare/222927978372067/5895567253613161732/5895567253613161732_signature_31.png</t>
  </si>
  <si>
    <t>https://www.jotform.com/uploads/macarewecare/222927978372067/5895567033619321215/5895567033619321215_signature_28.png</t>
  </si>
  <si>
    <t>https://www.jotform.com/uploads/macarewecare/222927978372067/5895567033619321215/5895567033619321215_signature_31.png</t>
  </si>
  <si>
    <t>Due for Maintenance and Calibration
Defective LED bulb white pinch valve</t>
  </si>
  <si>
    <t>Maintenance and Calibration</t>
  </si>
  <si>
    <t>https://www.jotform.com/uploads/macarewecare/222927978372067/5895566703617832101/5895566703617832101_signature_28.png</t>
  </si>
  <si>
    <t>Lung Center of the Philippines Blood Bank Section</t>
  </si>
  <si>
    <t>https://www.jotform.com/uploads/macarewecare/222927978372067/5895566703617832101/5895566703617832101_signature_31.png</t>
  </si>
  <si>
    <t>https://www.jotform.com/uploads/macarewecare/222927978372067/5895566613611080806/5895566613611080806_signature_28.png</t>
  </si>
  <si>
    <t>https://www.jotform.com/uploads/macarewecare/222927978372067/5895566613611080806/5895566613611080806_signature_31.png</t>
  </si>
  <si>
    <t>https://www.jotform.com/uploads/macarewecare/222927978372067/5895566273617015774/5895566273617015774_signature_28.png</t>
  </si>
  <si>
    <t>https://www.jotform.com/uploads/macarewecare/222927978372067/5895566273617015774/5895566273617015774_signature_31.png</t>
  </si>
  <si>
    <t>https://www.jotform.com/uploads/macarewecare/222927978372067/5895565653614741111/5895565653614741111_signature_28.png</t>
  </si>
  <si>
    <t>https://www.jotform.com/uploads/macarewecare/222927978372067/5895565653614741111/5895565653614741111_signature_31.png</t>
  </si>
  <si>
    <t>https://www.jotform.com/uploads/macarewecare/222927978372067/5895560923614031077/5895560923614031077_signature_28.png</t>
  </si>
  <si>
    <t>https://www.jotform.com/uploads/macarewecare/222927978372067/5895560923614031077/5895560923614031077_signature_31.png</t>
  </si>
  <si>
    <t>https://www.jotform.com/uploads/macarewecare/222927978372067/5895560813616634127/5895560813616634127_signature_28.png</t>
  </si>
  <si>
    <t>https://www.jotform.com/uploads/macarewecare/222927978372067/5895560813616634127/5895560813616634127_signature_31.png</t>
  </si>
  <si>
    <t>https://www.jotform.com/uploads/macarewecare/222927978372067/5895560813619550360/5895560813619550360_signature_28.png</t>
  </si>
  <si>
    <t>https://www.jotform.com/uploads/macarewecare/222927978372067/5895560813619550360/5895560813619550360_signature_31.png</t>
  </si>
  <si>
    <t>https://www.jotform.com/uploads/macarewecare/222927978372067/5895560813611044007/5895560813611044007_signature_28.png</t>
  </si>
  <si>
    <t>https://www.jotform.com/uploads/macarewecare/222927978372067/5895560813611044007/5895560813611044007_signature_31.png</t>
  </si>
  <si>
    <t>XpertCheck Result:
   B1/210039783 - 
   B2/860937 - service required
   B3/860996 - 
   B4/210026807 - 
Cleaned cartridge bays, plunger rod, icore
Generate Report</t>
  </si>
  <si>
    <t>Sta Rosa Ciry Health Office 2</t>
  </si>
  <si>
    <t>Kabesang Moldes St. Sta Rosa</t>
  </si>
  <si>
    <t>Unit for Preventive maintenance.
Broken door on module A4.</t>
  </si>
  <si>
    <t>Performed preventive maintenance.
Performed repair on module door of A4.
Performed reliability test.
Generated reports.</t>
  </si>
  <si>
    <t>https://www.jotform.com/uploads/macarewecare/222927978372067/5893108192621154270/5893108192621154270_signature_28.png</t>
  </si>
  <si>
    <t>Santa Rosa CHOII</t>
  </si>
  <si>
    <t>https://www.jotform.com/uploads/macarewecare/222927978372067/5893108192621154270/5893108192621154270_signature_31.png</t>
  </si>
  <si>
    <t>rocelann.caranto14@gmail.com</t>
  </si>
  <si>
    <t xml:space="preserve">ASSAY: Xpert MTB/RIF Ultra, COUNT: 1706
</t>
  </si>
  <si>
    <t>Gathering additional data for reporting</t>
  </si>
  <si>
    <t>- Generated new reports
- Generated .gxx file (Jan. to Apr, 2024)</t>
  </si>
  <si>
    <t>Unit is operational
Additional data for reporting</t>
  </si>
  <si>
    <t>https://www.jotform.com/uploads/macarewecare/222927978372067/5893076131225322784/5893076131225322784_signature_28.png</t>
  </si>
  <si>
    <t>Rocel Ann Caranto</t>
  </si>
  <si>
    <t>https://www.jotform.com/uploads/macarewecare/222927978372067/5893076131225322784/5893076131225322784_signature_31.png</t>
  </si>
  <si>
    <t>Performed Maintenance
Gathered Reports
Performed Calibration
(B1=Service Required)
(B2=Passed)
(B3=Passed)
(B4=Passed)
Performed Functionality Test</t>
  </si>
  <si>
    <t>https://www.jotform.com/uploads/macarewecare/222927978372067/5893060053313592154/5893060053313592154_signature_28.png</t>
  </si>
  <si>
    <t>Alice A. Maranion</t>
  </si>
  <si>
    <t>https://www.jotform.com/uploads/macarewecare/222927978372067/5893060053313592154/5893060053313592154_signature_31.png</t>
  </si>
  <si>
    <t>mharsmicrobio@gmail.com</t>
  </si>
  <si>
    <t xml:space="preserve">ASSAY: Xpert MTB/RIF Ultra, COUNT: 1795
</t>
  </si>
  <si>
    <t>Pulled out cartridges in Module 1 SN 784173 and Replaced the Module after cartridge pulled-out.</t>
  </si>
  <si>
    <t>Pulled out cartridges in Module 1 SN 784173;
Module replacement in Module 1 with new module SN # 699652</t>
  </si>
  <si>
    <t>Pulled out stocked cartridges in Module 1 SN 784173 and Replaced the Module after cartridge pulled-out.</t>
  </si>
  <si>
    <t>https://www.jotform.com/uploads/macarewecare/222927978372067/5892372101113814506/5892372101113814506_signature_28.png</t>
  </si>
  <si>
    <t>Gretchen Lanas, RMT</t>
  </si>
  <si>
    <t>https://www.jotform.com/uploads/macarewecare/222927978372067/5892372101113814506/5892372101113814506_signature_31.png</t>
  </si>
  <si>
    <t>Module 2 multiple temperature error</t>
  </si>
  <si>
    <t>Perform Xpertcheck at module 2 for troubleshooting 
Genexpert machine Cleaning 
Checking of errors 
Problem reporting 
Data collection</t>
  </si>
  <si>
    <t>Perform Genexpert machine Preventive maintenance 
Perform troubleshooting at module 2</t>
  </si>
  <si>
    <t>Module 2 for service required</t>
  </si>
  <si>
    <t>https://www.jotform.com/uploads/macarewecare/222927978372067/5892331344329551487/5892331344329551487_signature_28.png</t>
  </si>
  <si>
    <t>Rowena B. Salazar</t>
  </si>
  <si>
    <t>https://www.jotform.com/uploads/macarewecare/222927978372067/5892331344329551487/5892331344329551487_signature_31.png</t>
  </si>
  <si>
    <t>Poblacion Columbio, Sultan Kudarat</t>
  </si>
  <si>
    <t>rochelle.toledo0119@yahoo.com</t>
  </si>
  <si>
    <t>Genexpert Cleaning
Checking of errors 
Data Collection</t>
  </si>
  <si>
    <t>https://www.jotform.com/uploads/macarewecare/222927978372067/5892303374328278181/5892303374328278181_signature_28.png</t>
  </si>
  <si>
    <t>Rochelle S. Toledo,Rmt</t>
  </si>
  <si>
    <t>https://www.jotform.com/uploads/macarewecare/222927978372067/5892303374328278181/5892303374328278181_signature_31.png</t>
  </si>
  <si>
    <t>Magsaysay St. Olongapo City Zambales</t>
  </si>
  <si>
    <t>03AO43</t>
  </si>
  <si>
    <t>Setup and installation of Haemonetics</t>
  </si>
  <si>
    <t>Performed installation and setup of machine
Performed configuration 
Performed functionality test</t>
  </si>
  <si>
    <t>https://www.jotform.com/uploads/macarewecare/222927978372067/5892291786115584859/5892291786115584859_signature_28.png</t>
  </si>
  <si>
    <t>https://www.jotform.com/uploads/macarewecare/222927978372067/5892291786115584859/5892291786115584859_signature_31.png</t>
  </si>
  <si>
    <t>Detoxicare Molecular Diagnostics Inc.</t>
  </si>
  <si>
    <t>imeehabaluyas@yahoo.com</t>
  </si>
  <si>
    <t xml:space="preserve">ASSAY: Xpert MTB/RIF Ultra, COUNT: 131
ASSAY: Xpert MTB/RIF Ultra, COUNT: 131
</t>
  </si>
  <si>
    <t>https://www.jotform.com/uploads/macarewecare/222927978372067/5892287559329925661/5892287559329925661_signature_28.png</t>
  </si>
  <si>
    <t>https://www.jotform.com/uploads/macarewecare/222927978372067/5892287559329925661/5892287559329925661_signature_31.png</t>
  </si>
  <si>
    <t>Performed Maintenance
Gathered Reports 
Performed Calibration 
(All Modules Passed)
Performed Functionality Test</t>
  </si>
  <si>
    <t>https://www.jotform.com/uploads/macarewecare/222927978372067/5892287152617095855/5892287152617095855_signature_28.png</t>
  </si>
  <si>
    <t>Janette T. Santiago</t>
  </si>
  <si>
    <t>https://www.jotform.com/uploads/macarewecare/222927978372067/5892287152617095855/5892287152617095855_signature_31.png</t>
  </si>
  <si>
    <t xml:space="preserve">ASSAY: Xpert HPV, COUNT: 3
ASSAY: Xpert MTB/RIF Ultra, COUNT: 295
</t>
  </si>
  <si>
    <t>Unit is operational
All 4 modules are available</t>
  </si>
  <si>
    <t>GeneXpert Module
SN: 630195</t>
  </si>
  <si>
    <t>https://www.jotform.com/uploads/macarewecare/222927978372067/5892287059321406030/5892287059321406030_signature_28.png</t>
  </si>
  <si>
    <t>https://www.jotform.com/uploads/macarewecare/222927978372067/5892287059321406030/5892287059321406030_signature_31.png</t>
  </si>
  <si>
    <t>rhucalbiga2018@gmail.com</t>
  </si>
  <si>
    <t>Module B4/861165 (H/W failed)</t>
  </si>
  <si>
    <t>Unit is operational 
- Module B4 for service required</t>
  </si>
  <si>
    <t>https://www.jotform.com/uploads/macarewecare/222927978372067/5892269046322347168/5892269046322347168_signature_28.png</t>
  </si>
  <si>
    <t>https://www.jotform.com/uploads/macarewecare/222927978372067/5892269046322347168/5892269046322347168_signature_31.png</t>
  </si>
  <si>
    <t>Perfrom Preventive Maintenance</t>
  </si>
  <si>
    <t>https://www.jotform.com/uploads/macarewecare/222927978372067/5892262393716530131/5892262393716530131_signature_28.png</t>
  </si>
  <si>
    <t>Catherine Deocampo</t>
  </si>
  <si>
    <t>https://www.jotform.com/uploads/macarewecare/222927978372067/5892262393716530131/5892262393716530131_signature_31.png</t>
  </si>
  <si>
    <t>Performed Calibration
(B1, B2 B4 = Passed)</t>
  </si>
  <si>
    <t>Module B3 reported to Cepheid</t>
  </si>
  <si>
    <t>https://www.jotform.com/uploads/macarewecare/222927978372067/5892235096319722358/5892235096319722358_signature_28.png</t>
  </si>
  <si>
    <t>Catherine A. Morante</t>
  </si>
  <si>
    <t>https://www.jotform.com/uploads/macarewecare/222927978372067/5892235096319722358/5892235096319722358_signature_31.png</t>
  </si>
  <si>
    <t>CPU not booting up</t>
  </si>
  <si>
    <t>Unit is not operational
CPU is for replacement</t>
  </si>
  <si>
    <t>https://www.jotform.com/uploads/macarewecare/222927978372067/5892211479011031159/5892211479011031159_signature_28.png</t>
  </si>
  <si>
    <t>Ernita May Cruz</t>
  </si>
  <si>
    <t>https://www.jotform.com/uploads/macarewecare/222927978372067/5892211479011031159/5892211479011031159_signature_31.png</t>
  </si>
  <si>
    <t>Blumentritt St. Sta Cruz Manila</t>
  </si>
  <si>
    <t>For installation of GeneXpert system.</t>
  </si>
  <si>
    <t>Performed installation of GeneXpert system.
Loaded assays.
Generated report.</t>
  </si>
  <si>
    <t>https://www.jotform.com/uploads/macarewecare/222927978372067/5892211220223501694/5892211220223501694_signature_28.png</t>
  </si>
  <si>
    <t>https://www.jotform.com/uploads/macarewecare/222927978372067/5892211220223501694/5892211220223501694_signature_31.png</t>
  </si>
  <si>
    <t>Brgy 1, Jones, Isabela</t>
  </si>
  <si>
    <t>ene</t>
  </si>
  <si>
    <t>Cheryle_rmt@yahoo.com</t>
  </si>
  <si>
    <t xml:space="preserve">ASSAY: Xpert MTB/RIF Ultra, COUNT: 1531
</t>
  </si>
  <si>
    <t>Module 1 and 4 for observation</t>
  </si>
  <si>
    <t>https://www.jotform.com/uploads/macarewecare/222927978372067/5892185817514746341/5892185817514746341_signature_28.png</t>
  </si>
  <si>
    <t>Cheryle Suarez</t>
  </si>
  <si>
    <t>https://www.jotform.com/uploads/macarewecare/222927978372067/5892185817514746341/5892185817514746341_signature_31.png</t>
  </si>
  <si>
    <t>Unit for Preventive Maintenance.
For module replacement of module B3.</t>
  </si>
  <si>
    <t>Preventive Maintenance and Module Replacement.</t>
  </si>
  <si>
    <t>Unit is operational. Module B2 for reporting due to temperature error.</t>
  </si>
  <si>
    <t>GX module B3 (711381) in replacement to defective B3 (685502).</t>
  </si>
  <si>
    <t>DR#11397</t>
  </si>
  <si>
    <t>https://www.jotform.com/uploads/macarewecare/222927978372067/5892148410227578911/5892148410227578911_signature_28.png</t>
  </si>
  <si>
    <t>https://www.jotform.com/uploads/macarewecare/222927978372067/5892148410227578911/5892148410227578911_signature_31.png</t>
  </si>
  <si>
    <t>Hi Precision Diagnostic Center Inc.</t>
  </si>
  <si>
    <t xml:space="preserve">ASSAY: Xpert BCR-ABL Ultra, COUNT: 30
ASSAY: Xpert HPV, COUNT: 2
ASSAY: Xpert MTB/RIF Ultra, COUNT: 6771
</t>
  </si>
  <si>
    <t>Unit for Preventive Maintenance.
For module replacement of modules A3 and A4.</t>
  </si>
  <si>
    <t>GX modules A3 (693796) and A4 (619553) in replacement to defective A3 (904172) and A4 (210028982).</t>
  </si>
  <si>
    <t>DR#11400</t>
  </si>
  <si>
    <t>https://www.jotform.com/uploads/macarewecare/222927978372067/5892108274619726311/5892108274619726311_signature_28.png</t>
  </si>
  <si>
    <t>https://www.jotform.com/uploads/macarewecare/222927978372067/5892108274619726311/5892108274619726311_signature_31.png</t>
  </si>
  <si>
    <t>Port Area, Intramuros Manila</t>
  </si>
  <si>
    <t>https://www.jotform.com/uploads/macarewecare/222927978372067/5891531083614542804/5891531083614542804_signature_28.png</t>
  </si>
  <si>
    <t>https://www.jotform.com/uploads/macarewecare/222927978372067/5891531083614542804/5891531083614542804_signature_31.png</t>
  </si>
  <si>
    <t>https://www.jotform.com/uploads/macarewecare/222927978372067/5891530963613774555/5891530963613774555_signature_28.png</t>
  </si>
  <si>
    <t>https://www.jotform.com/uploads/macarewecare/222927978372067/5891530963613774555/5891530963613774555_signature_31.png</t>
  </si>
  <si>
    <t>https://www.jotform.com/uploads/macarewecare/222927978372067/5891510753614386134/5891510753614386134_signature_28.png</t>
  </si>
  <si>
    <t>https://www.jotform.com/uploads/macarewecare/222927978372067/5891510753614386134/5891510753614386134_signature_31.png</t>
  </si>
  <si>
    <t>850 United Nations Avenue, Brgy. 674 Zone 73 Dist. V Paco Manila</t>
  </si>
  <si>
    <t>Module A1 for Module Replacement</t>
  </si>
  <si>
    <t>Performed Preventive Maintenance
Replaced Module A1
Generated Report</t>
  </si>
  <si>
    <t>Replaced Module A1 
789353-&gt;893812</t>
  </si>
  <si>
    <t>Unit is operational.
All modules are working.</t>
  </si>
  <si>
    <t>Work with Gian Paolo Magnaye</t>
  </si>
  <si>
    <t>DR 11396</t>
  </si>
  <si>
    <t>https://www.jotform.com/uploads/macarewecare/222927978372067/5891509510989687762/5891509510989687762_signature_28.png</t>
  </si>
  <si>
    <t>Keziah Mae Barit</t>
  </si>
  <si>
    <t>https://www.jotform.com/uploads/macarewecare/222927978372067/5891509510989687762/5891509510989687762_signature_31.png</t>
  </si>
  <si>
    <t>https://www.jotform.com/uploads/macarewecare/222927978372067/5891482653711804979/5891482653711804979_signature_28.png</t>
  </si>
  <si>
    <t>PATRICIA KAYE C. ESTRADA</t>
  </si>
  <si>
    <t>https://www.jotform.com/uploads/macarewecare/222927978372067/5891482653711804979/5891482653711804979_signature_31.png</t>
  </si>
  <si>
    <t>University of the Philippines Diliman - Institute of Biology</t>
  </si>
  <si>
    <t>UP Institute of Biology Building, National Science Complex, UP Diliman, Quezon City</t>
  </si>
  <si>
    <t>Animal Development Laboratory</t>
  </si>
  <si>
    <t>Stemi DV4</t>
  </si>
  <si>
    <t>Checked functionality
Checked lenses</t>
  </si>
  <si>
    <t>Unit is operational but mold contamination has affected the clarity very much</t>
  </si>
  <si>
    <t>Due to mold contamination on the lenses, unit can be cleaned and requested for preventive maintenance but it is recommended for replacement of new unit.</t>
  </si>
  <si>
    <t>https://www.jotform.com/uploads/macarewecare/222927978372067/5891474733619438780/5891474733619438780_signature_28.png</t>
  </si>
  <si>
    <t>https://www.jotform.com/uploads/macarewecare/222927978372067/5891474733619438780/5891474733619438780_signature_31.png</t>
  </si>
  <si>
    <t>Fish Biology Laboratory</t>
  </si>
  <si>
    <t>Unit is operational but lenses are contaminated with mold</t>
  </si>
  <si>
    <t>https://www.jotform.com/uploads/macarewecare/222927978372067/5891472653617459541/5891472653617459541_signature_28.png</t>
  </si>
  <si>
    <t>https://www.jotform.com/uploads/macarewecare/222927978372067/5891472653617459541/5891472653617459541_signature_31.png</t>
  </si>
  <si>
    <t>Room 260</t>
  </si>
  <si>
    <t>KF2 ICS</t>
  </si>
  <si>
    <t>Recommended for preventive maintenance. 40x objective for cleaning</t>
  </si>
  <si>
    <t>https://www.jotform.com/uploads/macarewecare/222927978372067/5891469813611783365/5891469813611783365_signature_28.png</t>
  </si>
  <si>
    <t>https://www.jotform.com/uploads/macarewecare/222927978372067/5891469813611783365/5891469813611783365_signature_31.png</t>
  </si>
  <si>
    <t>Recommended for preventive maintenance</t>
  </si>
  <si>
    <t>https://www.jotform.com/uploads/macarewecare/222927978372067/5891468613617243056/5891468613617243056_signature_28.png</t>
  </si>
  <si>
    <t>https://www.jotform.com/uploads/macarewecare/222927978372067/5891468613617243056/5891468613617243056_signature_31.png</t>
  </si>
  <si>
    <t>https://www.jotform.com/uploads/macarewecare/222927978372067/5891467143611684510/5891467143611684510_signature_28.png</t>
  </si>
  <si>
    <t>https://www.jotform.com/uploads/macarewecare/222927978372067/5891467143611684510/5891467143611684510_signature_31.png</t>
  </si>
  <si>
    <t>Room 232</t>
  </si>
  <si>
    <t>Unit is operational
Coarse adjust knob has resistance when turning
Fine adjust knob looses focus</t>
  </si>
  <si>
    <t>Recommended for preventive maintenance and repair of knobs</t>
  </si>
  <si>
    <t>https://www.jotform.com/uploads/macarewecare/222927978372067/5891465823616342712/5891465823616342712_signature_28.png</t>
  </si>
  <si>
    <t>https://www.jotform.com/uploads/macarewecare/222927978372067/5891465823616342712/5891465823616342712_signature_31.png</t>
  </si>
  <si>
    <t>Unit is operational
Coarse adjust knob has resistance when turning
Fine adjust knob looses focus
Specimen clip left and right adjustment knob is loose
40x objective for cleaning</t>
  </si>
  <si>
    <t>https://www.jotform.com/uploads/macarewecare/222927978372067/5891464213611225079/5891464213611225079_signature_28.png</t>
  </si>
  <si>
    <t>https://www.jotform.com/uploads/macarewecare/222927978372067/5891464213611225079/5891464213611225079_signature_31.png</t>
  </si>
  <si>
    <t>https://www.jotform.com/uploads/macarewecare/222927978372067/5891462393615159543/5891462393615159543_signature_28.png</t>
  </si>
  <si>
    <t>https://www.jotform.com/uploads/macarewecare/222927978372067/5891462393615159543/5891462393615159543_signature_31.png</t>
  </si>
  <si>
    <t>Unit does not power on
No knob for light source adjustment</t>
  </si>
  <si>
    <t>This product is no longer supported so repairing the unit is not possible. Recommended for replacement of new unit</t>
  </si>
  <si>
    <t>https://www.jotform.com/uploads/macarewecare/222927978372067/5891459853613172384/5891459853613172384_signature_28.png</t>
  </si>
  <si>
    <t>https://www.jotform.com/uploads/macarewecare/222927978372067/5891459853613172384/5891459853613172384_signature_31.png</t>
  </si>
  <si>
    <t xml:space="preserve">ASSAY: Xpert MTB/RIF Ultra, COUNT: 560
</t>
  </si>
  <si>
    <t>Performed Maintenance
Gathered Reports
Performed Calibration
(All Modules Passed)
Performed Functionality Test</t>
  </si>
  <si>
    <t>https://www.jotform.com/uploads/macarewecare/222927978372067/5891450823525550079/5891450823525550079_signature_28.png</t>
  </si>
  <si>
    <t>https://www.jotform.com/uploads/macarewecare/222927978372067/5891450823525550079/5891450823525550079_signature_31.png</t>
  </si>
  <si>
    <t>Module 3 Hardware Failure during processing error 2014  module 3</t>
  </si>
  <si>
    <t>Conduct Calibration in Module 3
Performed preventive maintenance on genexpert machine</t>
  </si>
  <si>
    <t>Module 3 failed during calibration.</t>
  </si>
  <si>
    <t>https://www.jotform.com/uploads/macarewecare/222927978372067/5891421546958111544/5891421546958111544_signature_28.png</t>
  </si>
  <si>
    <t>https://www.jotform.com/uploads/macarewecare/222927978372067/5891421546958111544/5891421546958111544_signature_31.png</t>
  </si>
  <si>
    <t>Module B4 for Observation (Existing Error 1002) Temperature Error</t>
  </si>
  <si>
    <t>3 modules working, 1 module disabled</t>
  </si>
  <si>
    <t>https://www.jotform.com/uploads/macarewecare/222927978372067/5891406639952801096/5891406639952801096_signature_28.png</t>
  </si>
  <si>
    <t>https://www.jotform.com/uploads/macarewecare/222927978372067/5891406639952801096/5891406639952801096_signature_31.png</t>
  </si>
  <si>
    <t xml:space="preserve">ASSAY: Xpert MTB/RIF Ultra, COUNT: 1220
</t>
  </si>
  <si>
    <t>https://www.jotform.com/uploads/macarewecare/222927978372067/5891404299228821907/5891404299228821907_signature_28.png</t>
  </si>
  <si>
    <t>Marter Tingzon</t>
  </si>
  <si>
    <t>https://www.jotform.com/uploads/macarewecare/222927978372067/5891404299228821907/5891404299228821907_signature_31.png</t>
  </si>
  <si>
    <t>Performed Maintenance
Gathered Reports
Performed Calibration
(B3 = Passed)
(B4 = Passed)</t>
  </si>
  <si>
    <t>2 modules passed</t>
  </si>
  <si>
    <t>https://www.jotform.com/uploads/macarewecare/222927978372067/5891391282122911245/5891391282122911245_signature_28.png</t>
  </si>
  <si>
    <t>https://www.jotform.com/uploads/macarewecare/222927978372067/5891391282122911245/5891391282122911245_signature_31.png</t>
  </si>
  <si>
    <t>Jaro, Iloilo City</t>
  </si>
  <si>
    <t xml:space="preserve">ASSAY: Xpert HPV, COUNT: 7
</t>
  </si>
  <si>
    <t>Conduct Preventive Maintenance and save files for IQR, System Log, Assays Stats and Archive Test for 1 patient.</t>
  </si>
  <si>
    <t>Transfer of their newly acquired GeneXpert Machine 10 color to Molecular Laboratory and guide the new user for their username and password.</t>
  </si>
  <si>
    <t>All modules are in good condition.</t>
  </si>
  <si>
    <t>https://www.jotform.com/uploads/macarewecare/222927978372067/5891365793745980885/5891365793745980885_signature_28.png</t>
  </si>
  <si>
    <t>https://www.jotform.com/uploads/macarewecare/222927978372067/5891365793745980885/5891365793745980885_signature_31.png</t>
  </si>
  <si>
    <t>Unit is operational
Coarse and fine adjust knobs have resistance when turning</t>
  </si>
  <si>
    <t>This product is no longer supported so repairing the knobs is not possible. Recommended for replacement of new unit</t>
  </si>
  <si>
    <t>https://www.jotform.com/uploads/macarewecare/222927978372067/5891285873611606175/5891285873611606175_signature_28.png</t>
  </si>
  <si>
    <t>https://www.jotform.com/uploads/macarewecare/222927978372067/5891285873611606175/5891285873611606175_signature_31.png</t>
  </si>
  <si>
    <t>KF2 KTR</t>
  </si>
  <si>
    <t>https://www.jotform.com/uploads/macarewecare/222927978372067/5891280603616334438/5891280603616334438_signature_28.png</t>
  </si>
  <si>
    <t>https://www.jotform.com/uploads/macarewecare/222927978372067/5891280603616334438/5891280603616334438_signature_31.png</t>
  </si>
  <si>
    <t>Unit is operational
One eyepiece has a crack</t>
  </si>
  <si>
    <t>Recommended for preventive maintenance. Eyepiece may not be available for this model</t>
  </si>
  <si>
    <t>https://www.jotform.com/uploads/macarewecare/222927978372067/5891278393614584208/5891278393614584208_signature_28.png</t>
  </si>
  <si>
    <t>https://www.jotform.com/uploads/macarewecare/222927978372067/5891278393614584208/5891278393614584208_signature_31.png</t>
  </si>
  <si>
    <t>Unit is operational
No specimen clip on the stage
Light source adjust knob is loose</t>
  </si>
  <si>
    <t>Recommended for preventive maintenance. Loose knob may not be repaired since it is integrated into the power supply of the microscope which is sealed.</t>
  </si>
  <si>
    <t>https://www.jotform.com/uploads/macarewecare/222927978372067/5891276973616176337/5891276973616176337_signature_28.png</t>
  </si>
  <si>
    <t>https://www.jotform.com/uploads/macarewecare/222927978372067/5891276973616176337/5891276973616176337_signature_31.png</t>
  </si>
  <si>
    <t>Unit is operational
Light source adjustment knob is loose</t>
  </si>
  <si>
    <t>https://www.jotform.com/uploads/macarewecare/222927978372067/5891275413618773258/5891275413618773258_signature_28.png</t>
  </si>
  <si>
    <t>https://www.jotform.com/uploads/macarewecare/222927978372067/5891275413618773258/5891275413618773258_signature_31.png</t>
  </si>
  <si>
    <t>Unit is functional
Lenses are contaminated with mold
5x Objective needs cleaning</t>
  </si>
  <si>
    <t>https://www.jotform.com/uploads/macarewecare/222927978372067/5891273293618323387/5891273293618323387_signature_28.png</t>
  </si>
  <si>
    <t>https://www.jotform.com/uploads/macarewecare/222927978372067/5891273293618323387/5891273293618323387_signature_31.png</t>
  </si>
  <si>
    <t>Unit does not power on
Lenses are contaminated with mold
Coarse and fine adjust knobs have resistance when turning</t>
  </si>
  <si>
    <t>https://www.jotform.com/uploads/macarewecare/222927978372067/5891267463612941156/5891267463612941156_signature_28.png</t>
  </si>
  <si>
    <t>https://www.jotform.com/uploads/macarewecare/222927978372067/5891267463612941156/5891267463612941156_signature_31.png</t>
  </si>
  <si>
    <t>Working</t>
  </si>
  <si>
    <t>https://www.jotform.com/uploads/macarewecare/222927978372067/5891263333613000653/5891263333613000653_signature_28.png</t>
  </si>
  <si>
    <t>https://www.jotform.com/uploads/macarewecare/222927978372067/5891263333613000653/5891263333613000653_signature_31.png</t>
  </si>
  <si>
    <t>Unit does not power on
Lenses are contaminated with mold</t>
  </si>
  <si>
    <t>https://www.jotform.com/uploads/macarewecare/222927978372067/5891251373611321322/5891251373611321322_signature_28.png</t>
  </si>
  <si>
    <t>https://www.jotform.com/uploads/macarewecare/222927978372067/5891251373611321322/5891251373611321322_signature_31.png</t>
  </si>
  <si>
    <t>A. Bonifacio St., Parañaque</t>
  </si>
  <si>
    <t>editadplaton@yahoo.com</t>
  </si>
  <si>
    <t xml:space="preserve">ASSAY: Xpert HPV, COUNT: 98
ASSAY: Xpert MTB/RIF Ultra, COUNT: 1944
</t>
  </si>
  <si>
    <t>System has No Power</t>
  </si>
  <si>
    <t>Checked UPS Voltage Output and Fuse
Cleaned Cartridge Bay and Plunger Rod
Checked Filter if Clogged
Performed Self-test
Generate Reports</t>
  </si>
  <si>
    <t>UPS is Defective. Not Charging and No Backup Function</t>
  </si>
  <si>
    <t>Modules 2 and 4 for Reporting</t>
  </si>
  <si>
    <t>https://www.jotform.com/uploads/macarewecare/222927978372067/5890834568319372938/5890834568319372938_signature_28.png</t>
  </si>
  <si>
    <t>Edita D.Platojn</t>
  </si>
  <si>
    <t>https://www.jotform.com/uploads/macarewecare/222927978372067/5890834568319372938/5890834568319372938_signature_31.png</t>
  </si>
  <si>
    <t>Congressional Rd., Dasmariñas, Cavite</t>
  </si>
  <si>
    <t>mgrioflorido@my.dlshsi.edu.ph</t>
  </si>
  <si>
    <t xml:space="preserve">ASSAY: Xpert HIV-1 Viral Load, COUNT: 68
</t>
  </si>
  <si>
    <t>Cleaned Cartridge Bay, Plunger Rod and Icore Optics
Checked Filters if Clogged
Performed Self-test
Performed XpertCheck
Generate Reports</t>
  </si>
  <si>
    <t>DR 11262 &amp; 11375</t>
  </si>
  <si>
    <t>https://www.jotform.com/uploads/macarewecare/222927978372067/5890834578311834916/5890834578311834916_signature_28.png</t>
  </si>
  <si>
    <t>https://www.jotform.com/uploads/macarewecare/222927978372067/5890834578311834916/5890834578311834916_signature_31.png</t>
  </si>
  <si>
    <t>Bernadette A. Bautista Medical Clinic</t>
  </si>
  <si>
    <t>Holy Spirit, Quezon City</t>
  </si>
  <si>
    <t>richeclevia@gmail.com</t>
  </si>
  <si>
    <t xml:space="preserve">ASSAY: Xpert MTB/RIF, COUNT: 31
</t>
  </si>
  <si>
    <t>Module b3 for replacement</t>
  </si>
  <si>
    <t>Performed PM
Replaced Module b3
Genereated report</t>
  </si>
  <si>
    <t>Replaced Module B3 
792309 -&gt; 680909</t>
  </si>
  <si>
    <t>work with Maam Rhea</t>
  </si>
  <si>
    <t>DR 11395</t>
  </si>
  <si>
    <t>https://www.jotform.com/uploads/macarewecare/222927978372067/5890551181016149058/5890551181016149058_signature_28.png</t>
  </si>
  <si>
    <t>richard eclevia</t>
  </si>
  <si>
    <t>https://www.jotform.com/uploads/macarewecare/222927978372067/5890551181016149058/5890551181016149058_signature_31.png</t>
  </si>
  <si>
    <t>Panabo Poblacion</t>
  </si>
  <si>
    <t>chopanabolaboratory@gmail.com</t>
  </si>
  <si>
    <t xml:space="preserve">ASSAY: Xpert MTB/RIF Ultra, COUNT: 2424
</t>
  </si>
  <si>
    <t>https://www.jotform.com/uploads/macarewecare/222927978372067/5890550554525233082/5890550554525233082_signature_28.png</t>
  </si>
  <si>
    <t>Louella Jane G. Lopez, RMT</t>
  </si>
  <si>
    <t>https://www.jotform.com/uploads/macarewecare/222927978372067/5890550554525233082/5890550554525233082_signature_31.png</t>
  </si>
  <si>
    <t>Cebu City Health Department</t>
  </si>
  <si>
    <t>iamanne1111@gmail.com</t>
  </si>
  <si>
    <t xml:space="preserve">ASSAY: Xpert HCV VL, COUNT: 72
ASSAY: Xpert HIV-1 Viral Load, COUNT: 638
</t>
  </si>
  <si>
    <t>Module A1, A2 Error Code 2120,2097,2024</t>
  </si>
  <si>
    <t>Perform Maintenance.</t>
  </si>
  <si>
    <t>Perform Preventive Maintenance for all modules.</t>
  </si>
  <si>
    <t>https://www.jotform.com/uploads/macarewecare/222927978372067/5890434805247552882/5890434805247552882_signature_28.png</t>
  </si>
  <si>
    <t>Eleanor Chavez</t>
  </si>
  <si>
    <t>https://www.jotform.com/uploads/macarewecare/222927978372067/5890434805247552882/5890434805247552882_signature_31.png</t>
  </si>
  <si>
    <t>Malakas st , QC</t>
  </si>
  <si>
    <t>Encounter self test error non valital during self test.
For CPU board replacement</t>
  </si>
  <si>
    <t>Cleaned unit
Installed and replaced CPU board
Checked program parameters
Checked and adjust line sensor value
Checked rollers,dpm,spm,centrifuge
Performed functionality test
Performed simulation running</t>
  </si>
  <si>
    <t>Repair amd calibration</t>
  </si>
  <si>
    <t>CPU Board</t>
  </si>
  <si>
    <t>https://www.jotform.com/uploads/macarewecare/222927978372067/5889706983618341483/5889706983618341483_signature_28.png</t>
  </si>
  <si>
    <t>https://www.jotform.com/uploads/macarewecare/222927978372067/5889706983618341483/5889706983618341483_signature_31.png</t>
  </si>
  <si>
    <t>Matatalaib Tarlac City</t>
  </si>
  <si>
    <t xml:space="preserve">ASSAY: Xpert MTB/RIF Ultra, COUNT: 383
</t>
  </si>
  <si>
    <t>Performed preventive maintenance 
Performed functionality test 
Gathered reports</t>
  </si>
  <si>
    <t>https://www.jotform.com/uploads/macarewecare/222927978372067/5889692822877625649/5889692822877625649_signature_28.png</t>
  </si>
  <si>
    <t>https://www.jotform.com/uploads/macarewecare/222927978372067/5889692822877625649/5889692822877625649_signature_31.png</t>
  </si>
  <si>
    <t>Dumaguete City, Philippines</t>
  </si>
  <si>
    <t xml:space="preserve">ASSAY: Xpert BCR-ABL Ultra, COUNT: 6
ASSAY: Xpert BCR-ABL Ultra, COUNT: 2
ASSAY: Xpert C. difficile BT, COUNT: 16
ASSAY: Xpert CT/NG, COUNT: 17
ASSAY: Xpert HBV VL, COUNT: 130
ASSAY: Xpert HPV, COUNT: 2
ASSAY: Xpert HPV, COUNT: 66
ASSAY: Xpert MTB/RIF Ultra, COUNT: 506
ASSAY: Xpert SARS-CoV-2, COUNT: 134
ASSAY: Xpert HCV VL, COUNT: 23
ASSAY: Xpert HIV-1 Viral Load, COUNT: 8
ASSAY: Xpert HIV-1 Viral Load, COUNT: 4
ASSAY: Xpert SARS-CoV-2, COUNT: 10
</t>
  </si>
  <si>
    <t>https://www.jotform.com/uploads/macarewecare/222927978372067/5889628845966720314/5889628845966720314_signature_28.png</t>
  </si>
  <si>
    <t>SUMCFI Molecular Laboratory</t>
  </si>
  <si>
    <t>https://www.jotform.com/uploads/macarewecare/222927978372067/5889628845966720314/5889628845966720314_signature_31.png</t>
  </si>
  <si>
    <t xml:space="preserve">ASSAY: Xpert MTB/RIF Ultra, COUNT: 1047
</t>
  </si>
  <si>
    <t>Did not run XpertCheck on newly replaced module B2. Module B1 failed XpertCheck, for reporting. Modules B3 and B4 passed XpertCheck</t>
  </si>
  <si>
    <t>DR 11362</t>
  </si>
  <si>
    <t>https://www.jotform.com/uploads/macarewecare/222927978372067/5887167547396115297/5887167547396115297_signature_28.png</t>
  </si>
  <si>
    <t>https://www.jotform.com/uploads/macarewecare/222927978372067/5887167547396115297/5887167547396115297_signature_31.png</t>
  </si>
  <si>
    <t>https://www.jotform.com/uploads/macarewecare/222927978372067/5887166287392552756/5887166287392552756_signature_28.png</t>
  </si>
  <si>
    <t>https://www.jotform.com/uploads/macarewecare/222927978372067/5887166287392552756/5887166287392552756_signature_31.png</t>
  </si>
  <si>
    <t>International Organization for Migration</t>
  </si>
  <si>
    <t>Trafalgar Plaza</t>
  </si>
  <si>
    <t>jsabalboro@iom.int</t>
  </si>
  <si>
    <t>rplan@iom.int</t>
  </si>
  <si>
    <t>Primostar iLED</t>
  </si>
  <si>
    <t>Performed maintenance/calibration</t>
  </si>
  <si>
    <t>Performed maintenance/calibration 
Cleaned microscope body
Cleaned objectives 
Cleaned eyepiece
Cleaned microscope stage
Functionality test</t>
  </si>
  <si>
    <t>https://www.jotform.com/uploads/macarewecare/222927978372067/5887143013937286294/5887143013937286294_signature_28.png</t>
  </si>
  <si>
    <t>Rosamer Anne S Plan</t>
  </si>
  <si>
    <t>https://www.jotform.com/uploads/macarewecare/222927978372067/5887143013937286294/5887143013937286294_signature_31.png</t>
  </si>
  <si>
    <t>For maintenance/calibration</t>
  </si>
  <si>
    <t>https://www.jotform.com/uploads/macarewecare/222927978372067/5887142383933465989/5887142383933465989_signature_28.png</t>
  </si>
  <si>
    <t>Rosamet Anne S. Plan</t>
  </si>
  <si>
    <t>https://www.jotform.com/uploads/macarewecare/222927978372067/5887142383933465989/5887142383933465989_signature_31.png</t>
  </si>
  <si>
    <t xml:space="preserve">ASSAY: Xpert MTB/RIF Ultra, COUNT: 2039
</t>
  </si>
  <si>
    <t>https://www.jotform.com/uploads/macarewecare/222927978372067/5887053845857553957/5887053845857553957_signature_28.png</t>
  </si>
  <si>
    <t>Hannah Jane D. Resuento</t>
  </si>
  <si>
    <t>https://www.jotform.com/uploads/macarewecare/222927978372067/5887053845857553957/5887053845857553957_signature_31.png</t>
  </si>
  <si>
    <t>N. Nadurata St. Caloocan</t>
  </si>
  <si>
    <t>https://www.jotform.com/uploads/macarewecare/222927978372067/5886987683441827476/5886987683441827476_signature_28.png</t>
  </si>
  <si>
    <t>https://www.jotform.com/uploads/macarewecare/222927978372067/5886987683441827476/5886987683441827476_signature_31.png</t>
  </si>
  <si>
    <t>Rizal Drive.</t>
  </si>
  <si>
    <t xml:space="preserve">ASSAY: Xpert BCR-ABL Ultra, COUNT: 174
ASSAY: Xpert CT/NG, COUNT: 1098
ASSAY: Xpert HBV VL, COUNT: 72
ASSAY: Xpert HPV, COUNT: 979
ASSAY: Xpert MTB/RIF Ultra, COUNT: 2534
ASSAY: Xpert HCV VL, COUNT: 32
ASSAY: Xpert HIV-1 Viral Load, COUNT: 31
</t>
  </si>
  <si>
    <t>GX-IV-D-L</t>
  </si>
  <si>
    <t>Old: B1/666350
New: B1/652045</t>
  </si>
  <si>
    <t>DR# 11373</t>
  </si>
  <si>
    <t>https://www.jotform.com/uploads/macarewecare/222927978372067/5886983689414259941/5886983689414259941_signature_28.png</t>
  </si>
  <si>
    <t>https://www.jotform.com/uploads/macarewecare/222927978372067/5886983689414259941/5886983689414259941_signature_31.png</t>
  </si>
  <si>
    <t>Cebu Velez General Hospital</t>
  </si>
  <si>
    <t>F. Ramos St. Ranudo St. Cebu City</t>
  </si>
  <si>
    <t>microbiovelez@gmail.com</t>
  </si>
  <si>
    <t>johmicroslee@gmail.com</t>
  </si>
  <si>
    <t xml:space="preserve">ASSAY: Xpert MTB/RIF Ultra, COUNT: 56
</t>
  </si>
  <si>
    <t>Due for Calibration and preventive maintenance.</t>
  </si>
  <si>
    <t>Performed maintenance and calibration.</t>
  </si>
  <si>
    <t>https://www.jotform.com/uploads/macarewecare/222927978372067/5886530891119844546/5886530891119844546_signature_28.png</t>
  </si>
  <si>
    <t>John  Lee, RMT</t>
  </si>
  <si>
    <t>https://www.jotform.com/uploads/macarewecare/222927978372067/5886530891119844546/5886530891119844546_signature_31.png</t>
  </si>
  <si>
    <t>Ortigas Avenue</t>
  </si>
  <si>
    <t>https://www.jotform.com/uploads/macarewecare/222927978372067/5886247240992089596/5886247240992089596_signature_28.png</t>
  </si>
  <si>
    <t>Gracia Angara</t>
  </si>
  <si>
    <t>https://www.jotform.com/uploads/macarewecare/222927978372067/5886247240992089596/5886247240992089596_signature_31.png</t>
  </si>
  <si>
    <t>Performed maintenance 
Run simulation
Checked rotor pumps
Verified calibration parameters 
Functionality test</t>
  </si>
  <si>
    <t>https://www.jotform.com/uploads/macarewecare/222927978372067/5886179360992099625/5886179360992099625_signature_28.png</t>
  </si>
  <si>
    <t>https://www.jotform.com/uploads/macarewecare/222927978372067/5886179360992099625/5886179360992099625_signature_31.png</t>
  </si>
  <si>
    <t>Kalayaan qve QC</t>
  </si>
  <si>
    <t>For transfer new location @ kalayaan ave qc</t>
  </si>
  <si>
    <t>Transfer and re installation</t>
  </si>
  <si>
    <t>https://www.jotform.com/uploads/macarewecare/222927978372067/5886144495112765874/5886144495112765874_signature_28.png</t>
  </si>
  <si>
    <t>https://www.jotform.com/uploads/macarewecare/222927978372067/5886144495112765874/5886144495112765874_signature_31.png</t>
  </si>
  <si>
    <t xml:space="preserve">ASSAY: Xpert MTB/RIF Ultra, COUNT: 1850
</t>
  </si>
  <si>
    <t>Genexpert Cleaning 
Checking of errors 
Data collection</t>
  </si>
  <si>
    <t>https://www.jotform.com/uploads/macarewecare/222927978372067/5884262394313677532/5884262394313677532_signature_28.png</t>
  </si>
  <si>
    <t>https://www.jotform.com/uploads/macarewecare/222927978372067/5884262394313677532/5884262394313677532_signature_31.png</t>
  </si>
  <si>
    <t>Poro, Camotes Cebu</t>
  </si>
  <si>
    <t>Stucked module</t>
  </si>
  <si>
    <t>Pulled out module and bring office for repair and replacement of module door in Module 1</t>
  </si>
  <si>
    <t>Module 1 need to be repair  and pulled stucked cartridge</t>
  </si>
  <si>
    <t>https://www.jotform.com/uploads/macarewecare/222927978372067/5883562641111224438/5883562641111224438_signature_28.png</t>
  </si>
  <si>
    <t>Charmaigne Avila, RMT</t>
  </si>
  <si>
    <t>https://www.jotform.com/uploads/macarewecare/222927978372067/5883562641111224438/5883562641111224438_signature_31.png</t>
  </si>
  <si>
    <t>MS+</t>
  </si>
  <si>
    <t>Unit has No Power</t>
  </si>
  <si>
    <t>Checked Voltage Outlet
Checked Power Cord
Replaced Defective Fuse 
Performed Functionality Test</t>
  </si>
  <si>
    <t>https://www.jotform.com/uploads/macarewecare/222927978372067/5883552133615859259/5883552133615859259_signature_28.png</t>
  </si>
  <si>
    <t>https://www.jotform.com/uploads/macarewecare/222927978372067/5883552133615859259/5883552133615859259_signature_31.png</t>
  </si>
  <si>
    <t>Malakas st., QC</t>
  </si>
  <si>
    <t>Encounter self test error non valital during self test.
Defective CPU board</t>
  </si>
  <si>
    <t>Cleaned unit
Replaced and installed CPU board
Checked program parameters
Checked and adjust line sensor value
Checked rollers,dpm,spm,centrifuge
Performed functionality test
Performed simulation running</t>
  </si>
  <si>
    <t>https://www.jotform.com/uploads/macarewecare/222927978372067/5883499063619659607/5883499063619659607_signature_28.png</t>
  </si>
  <si>
    <t>https://www.jotform.com/uploads/macarewecare/222927978372067/5883499063619659607/5883499063619659607_signature_31.png</t>
  </si>
  <si>
    <t>CRC Bios failed defective CPU board</t>
  </si>
  <si>
    <t>Pull out defective parts</t>
  </si>
  <si>
    <t>https://www.jotform.com/uploads/macarewecare/222927978372067/5883493963618833323/5883493963618833323_signature_28.png</t>
  </si>
  <si>
    <t>https://www.jotform.com/uploads/macarewecare/222927978372067/5883493963618833323/5883493963618833323_signature_31.png</t>
  </si>
  <si>
    <t>Shoe Avenue.</t>
  </si>
  <si>
    <t xml:space="preserve">ASSAY: Xpert MTB/RIF Ultra, COUNT: 136
</t>
  </si>
  <si>
    <t>https://www.jotform.com/uploads/macarewecare/222927978372067/5883408716715307595/5883408716715307595_signature_28.png</t>
  </si>
  <si>
    <t>Francesca  Herrera</t>
  </si>
  <si>
    <t>https://www.jotform.com/uploads/macarewecare/222927978372067/5883408716715307595/5883408716715307595_signature_31.png</t>
  </si>
  <si>
    <t>St. Luke's Medical Center- Global City</t>
  </si>
  <si>
    <t>Rizal Dr.</t>
  </si>
  <si>
    <t xml:space="preserve">ASSAY: Xpert BCR-ABL Ultra, COUNT: 173
ASSAY: Xpert CT/NG, COUNT: 1109
ASSAY: Xpert HPV, COUNT: 966
ASSAY: Xpert MTB/RIF Ultra, COUNT: 2511
ASSAY: Xpert HCV VL, COUNT: 35
ASSAY: Xpert HIV-1 Viral Load, COUNT: 32
</t>
  </si>
  <si>
    <t>Unit is operational. Modules B1 and B4 not operational, reported already.</t>
  </si>
  <si>
    <t>https://www.jotform.com/uploads/macarewecare/222927978372067/5883407656716118800/5883407656716118800_signature_28.png</t>
  </si>
  <si>
    <t>NORSHAINA UNGAD</t>
  </si>
  <si>
    <t>https://www.jotform.com/uploads/macarewecare/222927978372067/5883407656716118800/5883407656716118800_signature_31.png</t>
  </si>
  <si>
    <t>eileenjoie.eltanal@yahoo.com</t>
  </si>
  <si>
    <t xml:space="preserve">ASSAY: Xpert HBV VL, COUNT: 120
ASSAY: Xpert HPV, COUNT: 25
ASSAY: Xpert MTB/RIF Ultra, COUNT: 1068
</t>
  </si>
  <si>
    <t>https://www.jotform.com/uploads/macarewecare/222927978372067/5883404043478622672/5883404043478622672_signature_28.png</t>
  </si>
  <si>
    <t>Eileen Eltanal</t>
  </si>
  <si>
    <t>https://www.jotform.com/uploads/macarewecare/222927978372067/5883404043478622672/5883404043478622672_signature_31.png</t>
  </si>
  <si>
    <t>Unit is operational. Module C1 not operational,  reported already.</t>
  </si>
  <si>
    <t>https://www.jotform.com/uploads/macarewecare/222927978372067/5883404003473919970/5883404003473919970_signature_28.png</t>
  </si>
  <si>
    <t>https://www.jotform.com/uploads/macarewecare/222927978372067/5883404003473919970/5883404003473919970_signature_31.png</t>
  </si>
  <si>
    <t>Shoe Avenue</t>
  </si>
  <si>
    <t>https://www.jotform.com/uploads/macarewecare/222927978372067/5883402953471059736/5883402953471059736_signature_28.png</t>
  </si>
  <si>
    <t>Francesca Herrera</t>
  </si>
  <si>
    <t>https://www.jotform.com/uploads/macarewecare/222927978372067/5883402953471059736/5883402953471059736_signature_31.png</t>
  </si>
  <si>
    <t>Marocs Highway, Antipolo</t>
  </si>
  <si>
    <t xml:space="preserve">ASSAY: Xpert CT/NG, COUNT: 2
ASSAY: Xpert HBV VL, COUNT: 6
ASSAY: Xpert MTB/RIF Ultra, COUNT: 204
ASSAY: Xpert HIV-1 Viral Load, COUNT: 14
</t>
  </si>
  <si>
    <t>https://www.jotform.com/uploads/macarewecare/222927978372067/5883402953471312614/5883402953471312614_signature_28.png</t>
  </si>
  <si>
    <t>https://www.jotform.com/uploads/macarewecare/222927978372067/5883402953471312614/5883402953471312614_signature_31.png</t>
  </si>
  <si>
    <t>https://www.jotform.com/uploads/macarewecare/222927978372067/5883402953474615896/5883402953474615896_signature_28.png</t>
  </si>
  <si>
    <t>https://www.jotform.com/uploads/macarewecare/222927978372067/5883402953474615896/5883402953474615896_signature_31.png</t>
  </si>
  <si>
    <t>Shoe Ave.</t>
  </si>
  <si>
    <t>estyaragon2019@gmail.co</t>
  </si>
  <si>
    <t xml:space="preserve">ASSAY: Xpert MTB/RIF Ultra, COUNT: 1526
ASSAY: Xpert HIV-1 Viral Load, COUNT: 308
</t>
  </si>
  <si>
    <t>Unit is operational. Module B2/630566 not operational, reported already.</t>
  </si>
  <si>
    <t>https://www.jotform.com/uploads/macarewecare/222927978372067/5883402953475464507/5883402953475464507_signature_28.png</t>
  </si>
  <si>
    <t>https://www.jotform.com/uploads/macarewecare/222927978372067/5883402953475464507/5883402953475464507_signature_31.png</t>
  </si>
  <si>
    <t>https://www.jotform.com/uploads/macarewecare/222927978372067/5883402953476635538/5883402953476635538_signature_28.png</t>
  </si>
  <si>
    <t>https://www.jotform.com/uploads/macarewecare/222927978372067/5883402953476635538/5883402953476635538_signature_31.png</t>
  </si>
  <si>
    <t xml:space="preserve">ASSAY: Xpert HIV-1 Viral Load, COUNT: 587
</t>
  </si>
  <si>
    <t>Stucked up module in Module 1 SN # 807772
Conduct calibration in genexpert machine</t>
  </si>
  <si>
    <t>Pulled out stucked up cartridge in Module 1. 
Conduct calibration in genexpert machine</t>
  </si>
  <si>
    <t>All units are operational . Module 3 are failed during calibration.</t>
  </si>
  <si>
    <t>https://www.jotform.com/uploads/macarewecare/222927978372067/5881112651874599637/5881112651874599637_signature_28.png</t>
  </si>
  <si>
    <t>https://www.jotform.com/uploads/macarewecare/222927978372067/5881112651874599637/5881112651874599637_signature_31.png</t>
  </si>
  <si>
    <t>CEBU CITY HEALTH OFFICE</t>
  </si>
  <si>
    <t>jonnifercodoyceniza@gmail.com</t>
  </si>
  <si>
    <t xml:space="preserve">ASSAY: Xpert HCV VL, COUNT: 73
ASSAY: Xpert HIV-1 Viral Load, COUNT: 1839
</t>
  </si>
  <si>
    <t>EQUIPMENT OPERATIONAL, MODULE A3 AND A4 FOR SERVICE</t>
  </si>
  <si>
    <t>https://www.jotform.com/uploads/macarewecare/222927978372067/5881041111112428068/5881041111112428068_signature_28.png</t>
  </si>
  <si>
    <t>Jonnifer Ceniza</t>
  </si>
  <si>
    <t>https://www.jotform.com/uploads/macarewecare/222927978372067/5881041111112428068/5881041111112428068_signature_31.png</t>
  </si>
  <si>
    <t xml:space="preserve">ASSAY: Xpert MTB/RIF Ultra, COUNT: 2581
</t>
  </si>
  <si>
    <t>All modules undergone Xpertcheck calibration</t>
  </si>
  <si>
    <t>Preventive Maintenence and Xpertcheck calibration</t>
  </si>
  <si>
    <t>https://www.jotform.com/uploads/macarewecare/222927978372067/5881039898221813245/5881039898221813245_signature_28.png</t>
  </si>
  <si>
    <t>https://www.jotform.com/uploads/macarewecare/222927978372067/5881039898221813245/5881039898221813245_signature_31.png</t>
  </si>
  <si>
    <t>Tabing Ilog Samal Bataan</t>
  </si>
  <si>
    <t>vickytholits2002@gmail.com</t>
  </si>
  <si>
    <t xml:space="preserve">ASSAY: Xpert MTB/RIF Ultra, COUNT: 529
</t>
  </si>
  <si>
    <t>Machine relocation</t>
  </si>
  <si>
    <t>Preventive maintenance
Relocation</t>
  </si>
  <si>
    <t>Performed preventive maintenance
Perforned machine disassembly
Relocate machine to new facility
(Samal RHU to Samal Super Health Center)
Installation and setup of machine
Gahered reports
Performed functionality test</t>
  </si>
  <si>
    <t>https://www.jotform.com/uploads/macarewecare/222927978372067/5880898431521281524/5880898431521281524_signature_28.png</t>
  </si>
  <si>
    <t>Maria Victoria Banzuela</t>
  </si>
  <si>
    <t>https://www.jotform.com/uploads/macarewecare/222927978372067/5880898431521281524/5880898431521281524_signature_31.png</t>
  </si>
  <si>
    <t xml:space="preserve">ASSAY: Xpert MTB/RIF Ultra, COUNT: 1281
</t>
  </si>
  <si>
    <t>Used four XPC cartridges.</t>
  </si>
  <si>
    <t>https://www.jotform.com/uploads/macarewecare/222927978372067/5880882070443631315/5880882070443631315_signature_28.png</t>
  </si>
  <si>
    <t>https://www.jotform.com/uploads/macarewecare/222927978372067/5880882070443631315/5880882070443631315_signature_31.png</t>
  </si>
  <si>
    <t xml:space="preserve">ASSAY: Xpert CT/NG, COUNT: 6
ASSAY: Others, COUNT: 14
ASSAY: Xpert HPV, COUNT: 42
ASSAY: Xpert MTB/RIF Ultra, COUNT: 189
ASSAY: Xpert HCV VL, COUNT: 13
</t>
  </si>
  <si>
    <t>GX16-D (12)</t>
  </si>
  <si>
    <t>Due for maintenance 9 module disabled 3 module in operational</t>
  </si>
  <si>
    <t>3 modules operational
9 disabled</t>
  </si>
  <si>
    <t>https://www.jotform.com/uploads/macarewecare/222927978372067/5880413520319601982/5880413520319601982_signature_28.png</t>
  </si>
  <si>
    <t>https://www.jotform.com/uploads/macarewecare/222927978372067/5880413520319601982/5880413520319601982_signature_31.png</t>
  </si>
  <si>
    <t>Molcular</t>
  </si>
  <si>
    <t xml:space="preserve">ASSAY: Xpert BCR-ABL Ultra, COUNT: 50
ASSAY: Xpert CT/NG, COUNT: 1
ASSAY: Others, COUNT: 10
ASSAY: Xpert HBV VL, COUNT: 31
ASSAY: Xpert HPV, COUNT: 7
ASSAY: Xpert MTB/RIF Ultra, COUNT: 43
ASSAY: Xpert HCV VL, COUNT: 13
</t>
  </si>
  <si>
    <t>B2 operational B1 B3 disable B4 not in use</t>
  </si>
  <si>
    <t>https://www.jotform.com/uploads/macarewecare/222927978372067/5880412680318617759/5880412680318617759_signature_28.png</t>
  </si>
  <si>
    <t>https://www.jotform.com/uploads/macarewecare/222927978372067/5880412680318617759/5880412680318617759_signature_31.png</t>
  </si>
  <si>
    <t xml:space="preserve">ASSAY: Xpert BCR-ABL Ultra, COUNT: 1337
ASSAY: Others, COUNT: 62
ASSAY: Xpert HBV VL, COUNT: 969
ASSAY: Xpert HPV, COUNT: 63
ASSAY: Xpert MTB/RIF, COUNT: 9
ASSAY: Xpert MTB/RIF Ultra, COUNT: 2363
ASSAY: Xpert SARS-CoV-2, COUNT: 15391
ASSAY: Xpert HCV VL, COUNT: 110
</t>
  </si>
  <si>
    <t>Due for maintenance, A2,A4,C4 reported for replacement,D2 encounter temp error 4009,4010,4017,</t>
  </si>
  <si>
    <t>12 module operational 4 module disable due to temp error</t>
  </si>
  <si>
    <t>D2 for reporting</t>
  </si>
  <si>
    <t>https://www.jotform.com/uploads/macarewecare/222927978372067/5880412000319738341/5880412000319738341_signature_28.png</t>
  </si>
  <si>
    <t>https://www.jotform.com/uploads/macarewecare/222927978372067/5880412000319738341/5880412000319738341_signature_31.png</t>
  </si>
  <si>
    <t>Casimiro Ynares Memorial Hospital</t>
  </si>
  <si>
    <t>Baeco st., burgos Rodriguez Rizal</t>
  </si>
  <si>
    <t xml:space="preserve">ASSAY: Xpert MTB/RIF Ultra, COUNT: 629
</t>
  </si>
  <si>
    <t>Encounter continous temp error 1001 in module A1
Stuck cartridge A1</t>
  </si>
  <si>
    <t>Cleaned unit
Cleaned plunger rod,filter,icore,cartridge bay
Gathered reports
Fixed stuck cartridge
Test run unit</t>
  </si>
  <si>
    <t>A1 reported already
A2,A3,A4 operational</t>
  </si>
  <si>
    <t>https://www.jotform.com/uploads/macarewecare/222927978372067/5880411350315851445/5880411350315851445_signature_28.png</t>
  </si>
  <si>
    <t>Aileen Docto</t>
  </si>
  <si>
    <t>https://www.jotform.com/uploads/macarewecare/222927978372067/5880411350315851445/5880411350315851445_signature_31.png</t>
  </si>
  <si>
    <t>Katuparan st, Commonwealth QC</t>
  </si>
  <si>
    <t xml:space="preserve">ASSAY: Xpert HPV, COUNT: 114
ASSAY: Xpert MTB/RIF Ultra, COUNT: 2901
</t>
  </si>
  <si>
    <t>As per end user they encounter 4004 valve motion error in module A2
A2 module twist cable</t>
  </si>
  <si>
    <t>Cleaned unit
Cleaned plunger rod,filter,icore,cartridge bay
Gathered reports
Fixed twist cable
Test run unit</t>
  </si>
  <si>
    <t>After troubleshooting is performed A2  error 4004 still occur
A1,A3,A4 operational</t>
  </si>
  <si>
    <t>https://www.jotform.com/uploads/macarewecare/222927978372067/5880410940319359782/5880410940319359782_signature_28.png</t>
  </si>
  <si>
    <t>Danica Laisa T. Hernandez</t>
  </si>
  <si>
    <t>https://www.jotform.com/uploads/macarewecare/222927978372067/5880410940319359782/5880410940319359782_signature_31.png</t>
  </si>
  <si>
    <t>Unit for PlPreventive maintenance
Unit for Xpertcheck.</t>
  </si>
  <si>
    <t>Unit is operational. Module B4 (210070221), service required.</t>
  </si>
  <si>
    <t>https://www.jotform.com/uploads/macarewecare/222927978372067/5880225257426595067/5880225257426595067_signature_28.png</t>
  </si>
  <si>
    <t>https://www.jotform.com/uploads/macarewecare/222927978372067/5880225257426595067/5880225257426595067_signature_31.png</t>
  </si>
  <si>
    <t xml:space="preserve">ASSAY: Xpert HBV VL, COUNT: 8
ASSAY: Xpert MTB/RIF Ultra, COUNT: 592
ASSAY: Xpert HCV VL, COUNT: 5
ASSAY: Xpert HIV-1 Viral Load, COUNT: 15
</t>
  </si>
  <si>
    <t>Module B4 (210036037) for replacement</t>
  </si>
  <si>
    <t>- Replaced module B4 by SN: 210089719
- Checked and cleaned cartridge bay, plunger rod, filter
- Generated reports 
- Performed module self test</t>
  </si>
  <si>
    <t>Unit is operational
All 4 modules are in good condition</t>
  </si>
  <si>
    <t>GeneXpert Module
SN: 210036037</t>
  </si>
  <si>
    <t>https://www.jotform.com/uploads/macarewecare/222927978372067/5880192371022268790/5880192371022268790_signature_28.png</t>
  </si>
  <si>
    <t>https://www.jotform.com/uploads/macarewecare/222927978372067/5880192371022268790/5880192371022268790_signature_31.png</t>
  </si>
  <si>
    <t>Allied Care Expert Medical Center</t>
  </si>
  <si>
    <t>Performing xpertcheck calibration
Gathering genxpert data
Clean fan filter</t>
  </si>
  <si>
    <t>Performing xpertcheck calibration
Gathering genxpert data
Clean Fan filter</t>
  </si>
  <si>
    <t>Systems operational
All modules passed</t>
  </si>
  <si>
    <t>https://www.jotform.com/uploads/macarewecare/222927978372067/5880155201424829522/5880155201424829522_signature_28.png</t>
  </si>
  <si>
    <t>Dianne Dawn Ceniza</t>
  </si>
  <si>
    <t>https://www.jotform.com/uploads/macarewecare/222927978372067/5880155201424829522/5880155201424829522_signature_31.png</t>
  </si>
  <si>
    <t>msff-tondo-screeningsup@paris.msf.org</t>
  </si>
  <si>
    <t>Unit for PM.
For module replacement of modules A4, B2, B4, C2 and C3.</t>
  </si>
  <si>
    <t>PM and module replacement</t>
  </si>
  <si>
    <t>GX modules A4 (898763), B2 (210067405), B4 (210013968), C2 (210032686) and C3 (914567) in replacement to defective A4 (210076794), B2 (210083060), B4 (210083059), C2 (210081539) and C4 (210070572).</t>
  </si>
  <si>
    <t>DR#11356</t>
  </si>
  <si>
    <t>https://www.jotform.com/uploads/macarewecare/222927978372067/5880108227427376641/5880108227427376641_signature_28.png</t>
  </si>
  <si>
    <t>https://www.jotform.com/uploads/macarewecare/222927978372067/5880108227427376641/5880108227427376641_signature_31.png</t>
  </si>
  <si>
    <t>- Performed preventive maintenance (Cleaned Cartridge bay, i-Core, plunger rod and fan filter)
- Performed functionality test
- Generate reports</t>
  </si>
  <si>
    <t>https://www.jotform.com/uploads/macarewecare/222927978372067/5880085123226595084/5880085123226595084_signature_28.png</t>
  </si>
  <si>
    <t>https://www.jotform.com/uploads/macarewecare/222927978372067/5880085123226595084/5880085123226595084_signature_31.png</t>
  </si>
  <si>
    <t>Alabel Sarangani</t>
  </si>
  <si>
    <t>Module 3 temperature error</t>
  </si>
  <si>
    <t>Perform Xpertcheck at module 3 for troubleshooting 
Genexpert cleaning 
Reporting of errors/problem
Data collection</t>
  </si>
  <si>
    <t>Perform Genexpert machine Preventive maintenance 
Perform module Troubleshooting</t>
  </si>
  <si>
    <t>Module 3 passed Xpertcheck</t>
  </si>
  <si>
    <t>https://www.jotform.com/uploads/macarewecare/222927978372067/5880052085917450212/5880052085917450212_signature_28.png</t>
  </si>
  <si>
    <t>https://www.jotform.com/uploads/macarewecare/222927978372067/5880052085917450212/5880052085917450212_signature_31.png</t>
  </si>
  <si>
    <t>Sariaya</t>
  </si>
  <si>
    <t>marielinnetabril@gmail.com</t>
  </si>
  <si>
    <t xml:space="preserve">ASSAY: Xpert MTB/RIF Ultra, COUNT: 2098
</t>
  </si>
  <si>
    <t>Stuck cartridge on module A1</t>
  </si>
  <si>
    <t>Removed stuck cartridge.</t>
  </si>
  <si>
    <t>Manual removal of stuck cartridge. 
Performed maintenance
Cleaned cartridge bay
Cleaned plunger rod
Cleaned instrument surface
Cleaned icore
Cleaned fan filter
Generated reports.</t>
  </si>
  <si>
    <t>Unit is operational. Module A4 not operational,  reported already.</t>
  </si>
  <si>
    <t>https://www.jotform.com/uploads/macarewecare/222927978372067/5879189053618659145/5879189053618659145_signature_28.png</t>
  </si>
  <si>
    <t>https://www.jotform.com/uploads/macarewecare/222927978372067/5879189053618659145/5879189053618659145_signature_31.png</t>
  </si>
  <si>
    <t>Camp Capinpin Army Station Hospital</t>
  </si>
  <si>
    <t>Camp Capinpin</t>
  </si>
  <si>
    <t>cathialpha@gmail.com</t>
  </si>
  <si>
    <t>https://www.jotform.com/uploads/macarewecare/222927978372067/5879188303616873493/5879188303616873493_signature_28.png</t>
  </si>
  <si>
    <t>Anne Catherine I Alpha</t>
  </si>
  <si>
    <t>https://www.jotform.com/uploads/macarewecare/222927978372067/5879188303616873493/5879188303616873493_signature_31.png</t>
  </si>
  <si>
    <t>Wilson St. Greenhills</t>
  </si>
  <si>
    <t>colomakath14@gmail.com</t>
  </si>
  <si>
    <t>Red valve not correctly loaded. SPM error.</t>
  </si>
  <si>
    <t>Checked valves and SPM for leak.</t>
  </si>
  <si>
    <t>Simulation Run
Performed maintenance 
Checked valve
Checked rotor pumps
Checked SPM
Verified calibration parameters
Functionality test</t>
  </si>
  <si>
    <t>Unit is operational. No leak found.</t>
  </si>
  <si>
    <t>https://www.jotform.com/uploads/macarewecare/222927978372067/5879187943613309649/5879187943613309649_signature_28.png</t>
  </si>
  <si>
    <t>https://www.jotform.com/uploads/macarewecare/222927978372067/5879187943613309649/5879187943613309649_signature_31.png</t>
  </si>
  <si>
    <t xml:space="preserve">ASSAY: Xpert HPV, COUNT: 20
ASSAY: Xpert MTB/RIF Ultra, COUNT: 3
ASSAY: Xpert SARS-CoV-2, COUNT: 352
ASSAY: Xpert HIV-1 Viral Load, COUNT: 1
</t>
  </si>
  <si>
    <t>Modules A3, A4, B1, B2, C3, C4 and D3 for checking.</t>
  </si>
  <si>
    <t>Unit is operational. Modules A1, A2, B3, B4, C2, D2 and D4 not operational. Reported already. Modules A3, A4, B1, B2, C3, C4 and D3 under observation.</t>
  </si>
  <si>
    <t>https://www.jotform.com/uploads/macarewecare/222927978372067/5879139173618038557/5879139173618038557_signature_28.png</t>
  </si>
  <si>
    <t>Justine lorenz Falzado</t>
  </si>
  <si>
    <t>https://www.jotform.com/uploads/macarewecare/222927978372067/5879139173618038557/5879139173618038557_signature_31.png</t>
  </si>
  <si>
    <t>Pasig Blvd</t>
  </si>
  <si>
    <t>Performed maintenance
Run simulation
Checked rotor pumps
Verified calibration parameters
Calibrated the unit</t>
  </si>
  <si>
    <t>https://www.jotform.com/uploads/macarewecare/222927978372067/5879139173611019103/5879139173611019103_signature_28.png</t>
  </si>
  <si>
    <t>Ferdinand B. Barroga</t>
  </si>
  <si>
    <t>https://www.jotform.com/uploads/macarewecare/222927978372067/5879139173611019103/5879139173611019103_signature_31.png</t>
  </si>
  <si>
    <t>jericomd729@gmail.com</t>
  </si>
  <si>
    <t>Kit breakage inside Centrifuge</t>
  </si>
  <si>
    <t>Removed chipped particles of kit inside centrifuge
Checked parameters 
Checked power cord
Checked fuse</t>
  </si>
  <si>
    <t>https://www.jotform.com/uploads/macarewecare/222927978372067/5878488284916011359/5878488284916011359_signature_28.png</t>
  </si>
  <si>
    <t>Jerico R. Cabaña</t>
  </si>
  <si>
    <t>https://www.jotform.com/uploads/macarewecare/222927978372067/5878488284916011359/5878488284916011359_signature_31.png</t>
  </si>
  <si>
    <t>https://www.jotform.com/uploads/macarewecare/222927978372067/5878482649218392682/5878482649218392682_signature_28.png</t>
  </si>
  <si>
    <t>Harris F. Manuel</t>
  </si>
  <si>
    <t>https://www.jotform.com/uploads/macarewecare/222927978372067/5878482649218392682/5878482649218392682_signature_31.png</t>
  </si>
  <si>
    <t>S. Curato, Brgy. 5 Cabadbaran City</t>
  </si>
  <si>
    <t>XpertCheck Calibration of all modules</t>
  </si>
  <si>
    <t>All modules are passed in XPC
WORKING AND FUNCTIONAL</t>
  </si>
  <si>
    <t>https://www.jotform.com/uploads/macarewecare/222927978372067/5878444426978749263/5878444426978749263_signature_28.png</t>
  </si>
  <si>
    <t>https://www.jotform.com/uploads/macarewecare/222927978372067/5878444426978749263/5878444426978749263_signature_31.png</t>
  </si>
  <si>
    <t xml:space="preserve">ASSAY: Xpert BCR-ABL Ultra, COUNT: 65
ASSAY: Xpert CT/NG, COUNT: 139
ASSAY: Xpert HIV-1 Viral Load, COUNT: 144
ASSAY: Xpert HPV, COUNT: 9
ASSAY: Xpert MTB/RIF Ultra, COUNT: 1085
ASSAY: Xpert HCV VL, COUNT: 114
</t>
  </si>
  <si>
    <t>https://www.jotform.com/uploads/macarewecare/222927978372067/5878329071113515317/5878329071113515317_signature_28.png</t>
  </si>
  <si>
    <t>Jennifer Marie Lim</t>
  </si>
  <si>
    <t>https://www.jotform.com/uploads/macarewecare/222927978372067/5878329071113515317/5878329071113515317_signature_31.png</t>
  </si>
  <si>
    <t>UPS DOES NOT HOLD A CHARGE</t>
  </si>
  <si>
    <t>https://www.jotform.com/uploads/macarewecare/222927978372067/5878308294466347809/5878308294466347809_signature_28.png</t>
  </si>
  <si>
    <t>CHRISTINE JADE T. LAGAT</t>
  </si>
  <si>
    <t>https://www.jotform.com/uploads/macarewecare/222927978372067/5878308294466347809/5878308294466347809_signature_31.png</t>
  </si>
  <si>
    <t xml:space="preserve">ASSAY: Xpert HPV, COUNT: 45
ASSAY: Xpert MTB/RIF Ultra, COUNT: 321
</t>
  </si>
  <si>
    <t>Due for Calibration and Maintenance</t>
  </si>
  <si>
    <t>Performed XpertCheck and Maintenance</t>
  </si>
  <si>
    <t>Module B3 failed, for reporting</t>
  </si>
  <si>
    <t>DR 5336</t>
  </si>
  <si>
    <t>https://www.jotform.com/uploads/macarewecare/222927978372067/5877803805918073705/5877803805918073705_signature_28.png</t>
  </si>
  <si>
    <t>https://www.jotform.com/uploads/macarewecare/222927978372067/5877803805918073705/5877803805918073705_signature_31.png</t>
  </si>
  <si>
    <t xml:space="preserve">ASSAY: Xpert HPV, COUNT: 350
ASSAY: Xpert SARS-CoV-2, COUNT: 3214
</t>
  </si>
  <si>
    <t>Cleaned Cartridge Bay, Plunger Rod, Icore Optics
Checked Filter if Clogged
Performed Self-test
Performed XpertCheck
Archived Test Results
Generate Reports</t>
  </si>
  <si>
    <t>14 Passed, 2 Newly Replaced</t>
  </si>
  <si>
    <t>https://www.jotform.com/uploads/macarewecare/222927978372067/5877629543611641331/5877629543611641331_signature_28.png</t>
  </si>
  <si>
    <t>https://www.jotform.com/uploads/macarewecare/222927978372067/5877629543611641331/5877629543611641331_signature_31.png</t>
  </si>
  <si>
    <t xml:space="preserve">ASSAY: Xpert MTB/RIF Ultra, COUNT: 517
ASSAY: Xpert SARS-CoV-2, COUNT: 243
</t>
  </si>
  <si>
    <t>All Passed</t>
  </si>
  <si>
    <t>https://www.jotform.com/uploads/macarewecare/222927978372067/5877629543615851944/5877629543615851944_signature_28.png</t>
  </si>
  <si>
    <t>https://www.jotform.com/uploads/macarewecare/222927978372067/5877629543615851944/5877629543615851944_signature_31.png</t>
  </si>
  <si>
    <t>Training Center</t>
  </si>
  <si>
    <t>nathanpabilando@gmail.com</t>
  </si>
  <si>
    <t xml:space="preserve">ASSAY: Xpert HIV-1 Viral Load, COUNT: 1061
</t>
  </si>
  <si>
    <t>Cleaned Cartridge Bay, Plunger Rod and Icore Optics
Checked Filter if Clogged
Performed Self-test
Performed XpertCheck
Generate Reports</t>
  </si>
  <si>
    <t>DR 11219</t>
  </si>
  <si>
    <t>https://www.jotform.com/uploads/macarewecare/222927978372067/5877629553611071602/5877629553611071602_signature_28.png</t>
  </si>
  <si>
    <t>Nathaniel Pabilando</t>
  </si>
  <si>
    <t>https://www.jotform.com/uploads/macarewecare/222927978372067/5877629553611071602/5877629553611071602_signature_31.png</t>
  </si>
  <si>
    <t xml:space="preserve">ASSAY: Xpert HIV-1 Viral Load, COUNT: 965
</t>
  </si>
  <si>
    <t>DR 11220</t>
  </si>
  <si>
    <t>https://www.jotform.com/uploads/macarewecare/222927978372067/5877629553618563123/5877629553618563123_signature_28.png</t>
  </si>
  <si>
    <t>https://www.jotform.com/uploads/macarewecare/222927978372067/5877629553618563123/5877629553618563123_signature_31.png</t>
  </si>
  <si>
    <t>Laboratory Dept.(Micro)</t>
  </si>
  <si>
    <t>jennybellegallego@gmail.com</t>
  </si>
  <si>
    <t xml:space="preserve">ASSAY: Xpert MTB/RIF Ultra, COUNT: 1049
ASSAY: Xpert HIV-1 Viral Load, COUNT: 490
</t>
  </si>
  <si>
    <t>All modules passed the calibration today.</t>
  </si>
  <si>
    <t>Performed Xpert Check calibration for 4 Modules and conduct Preventive Maintenance.</t>
  </si>
  <si>
    <t>All modules are in good working conditions as well as the CPU and Monitor.</t>
  </si>
  <si>
    <t>https://www.jotform.com/uploads/macarewecare/222927978372067/5877628911518648742/5877628911518648742_signature_28.png</t>
  </si>
  <si>
    <t>Jennybelle Gallego</t>
  </si>
  <si>
    <t>https://www.jotform.com/uploads/macarewecare/222927978372067/5877628911518648742/5877628911518648742_signature_31.png</t>
  </si>
  <si>
    <t xml:space="preserve">ASSAY: Xpert MTB/RIF Ultra, COUNT: 1246
ASSAY: Xpert HPV, COUNT: 49
</t>
  </si>
  <si>
    <t>Due for Preventive Maintenance 
Error 2008 and 2036</t>
  </si>
  <si>
    <t>Performed Preventive Maintenance, Clean Up Icore and Plunger, clean filter
Generate IQR, GXX, Sys log, and Back up database</t>
  </si>
  <si>
    <t>https://www.jotform.com/uploads/macarewecare/222927978372067/5877509271114812328/5877509271114812328_signature_28.png</t>
  </si>
  <si>
    <t>Joseph Lorenzo, RMT</t>
  </si>
  <si>
    <t>https://www.jotform.com/uploads/macarewecare/222927978372067/5877509271114812328/5877509271114812328_signature_31.png</t>
  </si>
  <si>
    <t>Module B1 Failed XpertCheck. Remaining Modules passed XpertCheck</t>
  </si>
  <si>
    <t>DR 11189</t>
  </si>
  <si>
    <t>https://www.jotform.com/uploads/macarewecare/222927978372067/5877439955911425743/5877439955911425743_signature_28.png</t>
  </si>
  <si>
    <t>https://www.jotform.com/uploads/macarewecare/222927978372067/5877439955911425743/5877439955911425743_signature_31.png</t>
  </si>
  <si>
    <t>MCS+no power
Possible blown/busted fuse</t>
  </si>
  <si>
    <t>Replaced 2 Fuse</t>
  </si>
  <si>
    <t>Checked UPS
Power cable
Checked Fuse</t>
  </si>
  <si>
    <t>https://www.jotform.com/uploads/macarewecare/222927978372067/5874107039398477574/5874107039398477574_signature_28.png</t>
  </si>
  <si>
    <t>Leo C. Collao, RN</t>
  </si>
  <si>
    <t>https://www.jotform.com/uploads/macarewecare/222927978372067/5874107039398477574/5874107039398477574_signature_31.png</t>
  </si>
  <si>
    <t>https://www.jotform.com/uploads/macarewecare/222927978372067/5873306923612516906/5873306923612516906_signature_28.png</t>
  </si>
  <si>
    <t>https://www.jotform.com/uploads/macarewecare/222927978372067/5873306923612516906/5873306923612516906_signature_31.png</t>
  </si>
  <si>
    <t>https://www.jotform.com/uploads/macarewecare/222927978372067/5873306933612051958/5873306933612051958_signature_28.png</t>
  </si>
  <si>
    <t>https://www.jotform.com/uploads/macarewecare/222927978372067/5873306933612051958/5873306933612051958_signature_31.png</t>
  </si>
  <si>
    <t>https://www.jotform.com/uploads/macarewecare/222927978372067/5873306933614449062/5873306933614449062_signature_28.png</t>
  </si>
  <si>
    <t>https://www.jotform.com/uploads/macarewecare/222927978372067/5873306933614449062/5873306933614449062_signature_31.png</t>
  </si>
  <si>
    <t>https://www.jotform.com/uploads/macarewecare/222927978372067/5873306843614982066/5873306843614982066_signature_28.png</t>
  </si>
  <si>
    <t>https://www.jotform.com/uploads/macarewecare/222927978372067/5873306843614982066/5873306843614982066_signature_31.png</t>
  </si>
  <si>
    <t>https://www.jotform.com/uploads/macarewecare/222927978372067/5873306843616617580/5873306843616617580_signature_28.png</t>
  </si>
  <si>
    <t>https://www.jotform.com/uploads/macarewecare/222927978372067/5873306843616617580/5873306843616617580_signature_31.png</t>
  </si>
  <si>
    <t>https://www.jotform.com/uploads/macarewecare/222927978372067/5873306853614645850/5873306853614645850_signature_28.png</t>
  </si>
  <si>
    <t>https://www.jotform.com/uploads/macarewecare/222927978372067/5873306853614645850/5873306853614645850_signature_31.png</t>
  </si>
  <si>
    <t>nacosta@loveyourself.ph</t>
  </si>
  <si>
    <t xml:space="preserve">ASSAY: Xpert MTB/RIF Ultra, COUNT: 510
ASSAY: Xpert HIV-1 Viral Load, COUNT: 1074
</t>
  </si>
  <si>
    <t>Unit is operational
Modules A2, A3 for reporting</t>
  </si>
  <si>
    <t>https://www.jotform.com/uploads/macarewecare/222927978372067/5873300760116021999/5873300760116021999_signature_28.png</t>
  </si>
  <si>
    <t>https://www.jotform.com/uploads/macarewecare/222927978372067/5873300760116021999/5873300760116021999_signature_31.png</t>
  </si>
  <si>
    <t>Manila Service Road, Calamba Laguna</t>
  </si>
  <si>
    <t>prclaguna.calambadro@gmail.com</t>
  </si>
  <si>
    <t>Unit for Preventive maintenance.
Unit for calibration.</t>
  </si>
  <si>
    <t>Performed Preventive Maintenance.
Performed calibration.
Checked and cleaned rotor pumps.
Verified calibration parameters.
Performed simulation running.</t>
  </si>
  <si>
    <t>https://www.jotform.com/uploads/macarewecare/222927978372067/5873280852606273294/5873280852606273294_signature_28.png</t>
  </si>
  <si>
    <t>Rommel Branco</t>
  </si>
  <si>
    <t>https://www.jotform.com/uploads/macarewecare/222927978372067/5873280852606273294/5873280852606273294_signature_31.png</t>
  </si>
  <si>
    <t xml:space="preserve">ASSAY: Xpert MTB/RIF Ultra, COUNT: 312
</t>
  </si>
  <si>
    <t>Conduct Preventive Maintenance, Clean Filter, Clean Plunger and ICore
Generate IQR, Gxx, System Log, Assay Statistics</t>
  </si>
  <si>
    <t>https://www.jotform.com/uploads/macarewecare/222927978372067/5873267129709771092/5873267129709771092_signature_28.png</t>
  </si>
  <si>
    <t>https://www.jotform.com/uploads/macarewecare/222927978372067/5873267129709771092/5873267129709771092_signature_31.png</t>
  </si>
  <si>
    <t>La Castellana Rural Health UnitMi</t>
  </si>
  <si>
    <t>REPAIR
ON-SITE ASSISTANCE</t>
  </si>
  <si>
    <t xml:space="preserve">ASSAY: Xpert MTB/RIF Ultra, COUNT: 805
</t>
  </si>
  <si>
    <t>Defective LCD monitor, HP Pro Display 19A, SN CNK9430B94</t>
  </si>
  <si>
    <t>-Install backup LCD monitor (temporary unit only), Philips LCD monitor 15".</t>
  </si>
  <si>
    <t>https://www.jotform.com/uploads/macarewecare/222927978372067/5873124902317774980/5873124902317774980_signature_28.png</t>
  </si>
  <si>
    <t>https://www.jotform.com/uploads/macarewecare/222927978372067/5873124902317774980/5873124902317774980_signature_31.png</t>
  </si>
  <si>
    <t>Malakas St,QC</t>
  </si>
  <si>
    <t>Encounter self test error non valital during self test.</t>
  </si>
  <si>
    <t>Performed CPU reset
Checked voltage output of cpu battery
Reset cables.
Checked keypad functionality.
Checked connection</t>
  </si>
  <si>
    <t>After performed the troubleshooting, error self test non valital still occur.
Unit is unoperational for further troubleshooting suspect defective parts CPU board</t>
  </si>
  <si>
    <t>https://www.jotform.com/uploads/macarewecare/222927978372067/5873016296547765763/5873016296547765763_signature_28.png</t>
  </si>
  <si>
    <t>https://www.jotform.com/uploads/macarewecare/222927978372067/5873016296547765763/5873016296547765763_signature_31.png</t>
  </si>
  <si>
    <t>CRC bios failed
Low voltage output CPU battery</t>
  </si>
  <si>
    <t>Checked unit
Reset CPU board
Checked CPU board battery output voltage .834volts
Reset cables.</t>
  </si>
  <si>
    <t>After performed the troubleshooting CRC Bios failed still occur
Unit unoperational need to replace CPU board battery.</t>
  </si>
  <si>
    <t>https://www.jotform.com/uploads/macarewecare/222927978372067/5873015266544249047/5873015266544249047_signature_28.png</t>
  </si>
  <si>
    <t>zarabelle hilario</t>
  </si>
  <si>
    <t>https://www.jotform.com/uploads/macarewecare/222927978372067/5873015266544249047/5873015266544249047_signature_31.png</t>
  </si>
  <si>
    <t xml:space="preserve">ASSAY: Xpert HBV VL, COUNT: 8
ASSAY: Xpert MTB/RIF Ultra, COUNT: 125
ASSAY: Xpert HIV-1 Viral Load, COUNT: 790
</t>
  </si>
  <si>
    <t>Error At Module B2 and B3</t>
  </si>
  <si>
    <t>Perform Calibration and Maintenance, Clean optics of the Module</t>
  </si>
  <si>
    <t>Perform Xpc Check and Maintenance</t>
  </si>
  <si>
    <t>Module B3 for Service Required</t>
  </si>
  <si>
    <t>Data will be sent to Cepheid for further Assessment</t>
  </si>
  <si>
    <t>https://www.jotform.com/uploads/macarewecare/222927978372067/5872508289721985013/5872508289721985013_signature_28.png</t>
  </si>
  <si>
    <t>https://www.jotform.com/uploads/macarewecare/222927978372067/5872508289721985013/5872508289721985013_signature_31.png</t>
  </si>
  <si>
    <t>For Calibration of Modules B1 and B3</t>
  </si>
  <si>
    <t>Calibrate the Modules C1 and C3</t>
  </si>
  <si>
    <t>Perform Calibration</t>
  </si>
  <si>
    <t>Modules C1 and C3 Passed the Calirbation</t>
  </si>
  <si>
    <t>https://www.jotform.com/uploads/macarewecare/222927978372067/5872505639722311866/5872505639722311866_signature_28.png</t>
  </si>
  <si>
    <t>https://www.jotform.com/uploads/macarewecare/222927978372067/5872505639722311866/5872505639722311866_signature_31.png</t>
  </si>
  <si>
    <t>https://www.jotform.com/uploads/macarewecare/222927978372067/5872505269728828589/5872505269728828589_signature_28.png</t>
  </si>
  <si>
    <t>https://www.jotform.com/uploads/macarewecare/222927978372067/5872505269728828589/5872505269728828589_signature_31.png</t>
  </si>
  <si>
    <t>Stucked up cartridge in Module 4 SN# 210009597</t>
  </si>
  <si>
    <t>Removal of stucked cartridge , 
Generate GXX files, IQR, Sys Log, and back up database
Conduct preventive maintenance of the genexpert machine</t>
  </si>
  <si>
    <t>https://www.jotform.com/uploads/macarewecare/222927978372067/5872475431114800615/5872475431114800615_signature_28.png</t>
  </si>
  <si>
    <t>https://www.jotform.com/uploads/macarewecare/222927978372067/5872475431114800615/5872475431114800615_signature_31.png</t>
  </si>
  <si>
    <t xml:space="preserve">ASSAY: Xpert CT/NG, COUNT: 2
ASSAY: Xpert MTB/RIF Ultra, COUNT: 195
ASSAY: Xpert SARS-CoV-2, COUNT: 665
</t>
  </si>
  <si>
    <t>Preventive maintenance
Xpertcheck</t>
  </si>
  <si>
    <t>Performed surface cleaning
Performed cleaning of cartridge bay,icore,plunger rod and filter
Installation of xpertcheck application
Archived test results
Performed xpertcheck 
Generate reports
Performed functionality test</t>
  </si>
  <si>
    <t>Unit is operational 
C1 passed calibration</t>
  </si>
  <si>
    <t>For calibration Module C2</t>
  </si>
  <si>
    <t>1 xpertcheck kit</t>
  </si>
  <si>
    <t>https://www.jotform.com/uploads/macarewecare/222927978372067/5872396733415224708/5872396733415224708_signature_28.png</t>
  </si>
  <si>
    <t>https://www.jotform.com/uploads/macarewecare/222927978372067/5872396733415224708/5872396733415224708_signature_31.png</t>
  </si>
  <si>
    <t>Preventive maintenance
Calibration</t>
  </si>
  <si>
    <t>Performed surface cleaning
Performed cleaning of cartridge bay,icore,plunger rod and filter
Archived test results
Installation of xpertcheck application 
Performed xpertcheck 
Generate reports
Performed functionality test</t>
  </si>
  <si>
    <t>Unit is operational
B1,B2 and B3 passed calibration 
B4: 738203 failed xpertcheck</t>
  </si>
  <si>
    <t>https://www.jotform.com/uploads/macarewecare/222927978372067/5872396033419894566/5872396033419894566_signature_28.png</t>
  </si>
  <si>
    <t>https://www.jotform.com/uploads/macarewecare/222927978372067/5872396033419894566/5872396033419894566_signature_31.png</t>
  </si>
  <si>
    <t>Taft. Ave, Manila</t>
  </si>
  <si>
    <t>https://www.jotform.com/uploads/macarewecare/222927978372067/5872350711462359093/5872350711462359093_signature_28.png</t>
  </si>
  <si>
    <t>https://www.jotform.com/uploads/macarewecare/222927978372067/5872350711462359093/5872350711462359093_signature_31.png</t>
  </si>
  <si>
    <t>martertingzon20@gmail.com</t>
  </si>
  <si>
    <t xml:space="preserve">ASSAY: Xpert MTB/RIF Ultra, COUNT: 1244
</t>
  </si>
  <si>
    <t>1 xpc cartridge</t>
  </si>
  <si>
    <t>https://www.jotform.com/uploads/macarewecare/222927978372067/5872301574635698285/5872301574635698285_signature_28.png</t>
  </si>
  <si>
    <t>https://www.jotform.com/uploads/macarewecare/222927978372067/5872301574635698285/5872301574635698285_signature_31.png</t>
  </si>
  <si>
    <t>Gerona Rural Health Unit 2</t>
  </si>
  <si>
    <t>Gerona Tarlac</t>
  </si>
  <si>
    <t>Due for maintenance
Re-installation of printer</t>
  </si>
  <si>
    <t>Preventive maintenance
Installation</t>
  </si>
  <si>
    <t>Performed surfce cleaning, filter, icore, plunder rod and catridge bay
Performed printer installation
Performed functionality test
Gathered reports</t>
  </si>
  <si>
    <t>https://www.jotform.com/uploads/macarewecare/222927978372067/5872289624191932045/5872289624191932045_signature_28.png</t>
  </si>
  <si>
    <t>Artemio I. Nool III</t>
  </si>
  <si>
    <t>https://www.jotform.com/uploads/macarewecare/222927978372067/5872289624191932045/5872289624191932045_signature_31.png</t>
  </si>
  <si>
    <t>- Unit is operational
- Module B4 for monitoring (4012 error)</t>
  </si>
  <si>
    <t>https://www.jotform.com/uploads/macarewecare/222927978372067/5871512245131481955/5871512245131481955_signature_28.png</t>
  </si>
  <si>
    <t>https://www.jotform.com/uploads/macarewecare/222927978372067/5871512245131481955/5871512245131481955_signature_31.png</t>
  </si>
  <si>
    <t>Earnshaw St., Sampaloc, Manila</t>
  </si>
  <si>
    <t xml:space="preserve">ASSAY: Xpert MTB/RIF Ultra, COUNT: 234
ASSAY: Xpert HIV-1 Viral Load, COUNT: 697
</t>
  </si>
  <si>
    <t>Cleaned Cartridge Bay and Plunger Rod
Replaced Filter
Performed Self-test
Generate Reports</t>
  </si>
  <si>
    <t>3 Modules are Operational, 1 for Replacement</t>
  </si>
  <si>
    <t>https://www.jotform.com/uploads/macarewecare/222927978372067/5871401923611886297/5871401923611886297_signature_28.png</t>
  </si>
  <si>
    <t>https://www.jotform.com/uploads/macarewecare/222927978372067/5871401923611886297/5871401923611886297_signature_31.png</t>
  </si>
  <si>
    <t>Calaca, Batangas</t>
  </si>
  <si>
    <t xml:space="preserve">ASSAY: Xpert MTB/RIF Ultra, COUNT: 1926
</t>
  </si>
  <si>
    <t>Modules 2 and 3 with Temperature Errors</t>
  </si>
  <si>
    <t>Cleaned Cartridge Bay and Plunger Rod
Checked Filter if Clogged
Performed XpertCheck on Modules 2 and 3
Generate Reports</t>
  </si>
  <si>
    <t>3 Modules are Operational, 1 Defective</t>
  </si>
  <si>
    <t>Service Required: A2/ 730076</t>
  </si>
  <si>
    <t>https://www.jotform.com/uploads/macarewecare/222927978372067/5871401923618396159/5871401923618396159_signature_28.png</t>
  </si>
  <si>
    <t>Loida C. marasigan</t>
  </si>
  <si>
    <t>https://www.jotform.com/uploads/macarewecare/222927978372067/5871401923618396159/5871401923618396159_signature_31.png</t>
  </si>
  <si>
    <t>https://www.jotform.com/uploads/macarewecare/222927978372067/5871375743612082170/5871375743612082170_signature_28.png</t>
  </si>
  <si>
    <t>https://www.jotform.com/uploads/macarewecare/222927978372067/5871375743612082170/5871375743612082170_signature_31.png</t>
  </si>
  <si>
    <t xml:space="preserve">ASSAY: Xpert MTB/RIF Ultra, COUNT: 379
ASSAY: Xpert SARS-CoV-2, COUNT: 781
</t>
  </si>
  <si>
    <t>https://www.jotform.com/uploads/macarewecare/222927978372067/5871341693618933481/5871341693618933481_signature_28.png</t>
  </si>
  <si>
    <t>Arjay Abichuela</t>
  </si>
  <si>
    <t>https://www.jotform.com/uploads/macarewecare/222927978372067/5871341693618933481/5871341693618933481_signature_31.png</t>
  </si>
  <si>
    <t>B2 newly replaced,B1 ,B3 ,B4failed xpertcheck</t>
  </si>
  <si>
    <t>https://www.jotform.com/uploads/macarewecare/222927978372067/5871340863611362205/5871340863611362205_signature_28.png</t>
  </si>
  <si>
    <t>https://www.jotform.com/uploads/macarewecare/222927978372067/5871340863611362205/5871340863611362205_signature_31.png</t>
  </si>
  <si>
    <t>cruzelle95@gmail.com</t>
  </si>
  <si>
    <t xml:space="preserve">ASSAY: Xpert CT/NG, COUNT: 31
ASSAY: Xpert HPV, COUNT: 177
ASSAY: Xpert SARS-CoV-2, COUNT: 939
</t>
  </si>
  <si>
    <t>Maintenance and xpertcheck</t>
  </si>
  <si>
    <t>B1,B2,B3 0assed xpertcheck, B4 failed xpertcheck</t>
  </si>
  <si>
    <t>https://www.jotform.com/uploads/macarewecare/222927978372067/5871339223616838099/5871339223616838099_signature_28.png</t>
  </si>
  <si>
    <t>https://www.jotform.com/uploads/macarewecare/222927978372067/5871339223616838099/5871339223616838099_signature_31.png</t>
  </si>
  <si>
    <t>https://www.jotform.com/uploads/macarewecare/222927978372067/5870101564422767133/5870101564422767133_signature_28.png</t>
  </si>
  <si>
    <t>https://www.jotform.com/uploads/macarewecare/222927978372067/5870101564422767133/5870101564422767133_signature_31.png</t>
  </si>
  <si>
    <t>https://www.jotform.com/uploads/macarewecare/222927978372067/5870101564424512405/5870101564424512405_signature_28.png</t>
  </si>
  <si>
    <t>https://www.jotform.com/uploads/macarewecare/222927978372067/5870101564424512405/5870101564424512405_signature_31.png</t>
  </si>
  <si>
    <t xml:space="preserve">ASSAY: Xpert MTB/RIF Ultra, COUNT: 979
</t>
  </si>
  <si>
    <t>https://www.jotform.com/uploads/macarewecare/222927978372067/5868972288919444443/5868972288919444443_signature_28.png</t>
  </si>
  <si>
    <t>https://www.jotform.com/uploads/macarewecare/222927978372067/5868972288919444443/5868972288919444443_signature_31.png</t>
  </si>
  <si>
    <t>https://www.jotform.com/uploads/macarewecare/222927978372067/5868971708912363294/5868971708912363294_signature_28.png</t>
  </si>
  <si>
    <t>https://www.jotform.com/uploads/macarewecare/222927978372067/5868971708912363294/5868971708912363294_signature_31.png</t>
  </si>
  <si>
    <t>https://www.jotform.com/uploads/macarewecare/222927978372067/5868971708919964565/5868971708919964565_signature_28.png</t>
  </si>
  <si>
    <t>https://www.jotform.com/uploads/macarewecare/222927978372067/5868971708919964565/5868971708919964565_signature_31.png</t>
  </si>
  <si>
    <t>TB - DOTS</t>
  </si>
  <si>
    <t>GXIV - 6C</t>
  </si>
  <si>
    <t>Preventive maintenance
- Cleaned Cartridge bat, plunger rod, Fan Filter
- Performed functionality test
- Generate reports</t>
  </si>
  <si>
    <t>https://www.jotform.com/uploads/macarewecare/222927978372067/5868901937918879887/5868901937918879887_signature_28.png</t>
  </si>
  <si>
    <t>https://www.jotform.com/uploads/macarewecare/222927978372067/5868901937918879887/5868901937918879887_signature_31.png</t>
  </si>
  <si>
    <t>España Street Manila</t>
  </si>
  <si>
    <t xml:space="preserve">ASSAY: Xpert MTB/RIF, COUNT: 0
ASSAY: Xpert MTB/RIF Ultra, COUNT: 911
ASSAY: Xpert BCR-ABL Ultra, COUNT: 8
</t>
  </si>
  <si>
    <t>Unit is due for xpertcheck</t>
  </si>
  <si>
    <t>Performed xpertcheck
All modules passed.</t>
  </si>
  <si>
    <t>Cleaned catridge bay
Plunger maintenance
Cleaned Icore
Checked Filter
Generate reports</t>
  </si>
  <si>
    <t>Work with Cienne Valerio</t>
  </si>
  <si>
    <t>https://www.jotform.com/uploads/macarewecare/222927978372067/5868130887403332512/5868130887403332512_signature_28.png</t>
  </si>
  <si>
    <t>John Mark W. Garcia</t>
  </si>
  <si>
    <t>https://www.jotform.com/uploads/macarewecare/222927978372067/5868130887403332512/5868130887403332512_signature_31.png</t>
  </si>
  <si>
    <t>Baybay leyte</t>
  </si>
  <si>
    <t>https://www.jotform.com/uploads/macarewecare/222927978372067/5868023960342015479/5868023960342015479_signature_28.png</t>
  </si>
  <si>
    <t>https://www.jotform.com/uploads/macarewecare/222927978372067/5868023960342015479/5868023960342015479_signature_31.png</t>
  </si>
  <si>
    <t>United Blvd., Sta Rosa Laguna</t>
  </si>
  <si>
    <t xml:space="preserve">ASSAY: Xpert BCR-ABL Ultra, COUNT: 1
ASSAY: Xpert HBV VL, COUNT: 41
ASSAY: Xpert HPV, COUNT: 1
ASSAY: Xpert MTB/RIF Ultra, COUNT: 163
ASSAY: Xpert HIV-1 Viral Load, COUNT: 30
</t>
  </si>
  <si>
    <t>Unit for PM.</t>
  </si>
  <si>
    <t>Performed PM.
-Cleaned and disinfect plunger
-Cleaned and disinfect cartridge bay
-Cleaned and disinfect instrument surface
-Cleaned icore sensors
-Cleaned filter fan
-Archived test results
Generated reports.</t>
  </si>
  <si>
    <t>https://www.jotform.com/uploads/macarewecare/222927978372067/5868011686268333363/5868011686268333363_signature_28.png</t>
  </si>
  <si>
    <t>Ma. Veronica Agnas</t>
  </si>
  <si>
    <t>https://www.jotform.com/uploads/macarewecare/222927978372067/5868011686268333363/5868011686268333363_signature_31.png</t>
  </si>
  <si>
    <t>National Highway, Crossing, Calamba Laguna</t>
  </si>
  <si>
    <t xml:space="preserve">ASSAY: Xpert HBV VL, COUNT: 44
ASSAY: Xpert HPV, COUNT: 28
ASSAY: Xpert MTB/RIF Ultra, COUNT: 623
</t>
  </si>
  <si>
    <t>Unit for PM.
Unit for Xpertcheck.
For module replacement of module B1.</t>
  </si>
  <si>
    <t>PM, module replacement and Xpertcheck.</t>
  </si>
  <si>
    <t>Performed PM.
-Cleaned and disinfect plunger
-Cleaned and disinfect cartridge bay
-Cleaned and disinfect instrument surface
-Cleaned icore sensors
-Cleaned filter fan
-Archived test results
Performed module replacement.
Performed Xpertcheck.
Generated reports.</t>
  </si>
  <si>
    <t>GX module B1 (210096500) in replacement to defective B1 (685554).
Xpertcheck Kit</t>
  </si>
  <si>
    <t>SI# 97342 &amp; 97324</t>
  </si>
  <si>
    <t>https://www.jotform.com/uploads/macarewecare/222927978372067/5867962036262843977/5867962036262843977_signature_28.png</t>
  </si>
  <si>
    <t>https://www.jotform.com/uploads/macarewecare/222927978372067/5867962036262843977/5867962036262843977_signature_31.png</t>
  </si>
  <si>
    <t xml:space="preserve">ASSAY: Xpert MTB/RIF Ultra, COUNT: 90
ASSAY: Xpert SARS-CoV-2, COUNT: 8
</t>
  </si>
  <si>
    <t>Module 1,2 and 3 H/W failed</t>
  </si>
  <si>
    <t>Module 2,3 and 4 requesting for module replacement</t>
  </si>
  <si>
    <t>https://www.jotform.com/uploads/macarewecare/222927978372067/5867949442614530704/5867949442614530704_signature_28.png</t>
  </si>
  <si>
    <t>Joana Simplicio</t>
  </si>
  <si>
    <t>https://www.jotform.com/uploads/macarewecare/222927978372067/5867949442614530704/5867949442614530704_signature_31.png</t>
  </si>
  <si>
    <t xml:space="preserve">ASSAY: Xpert MTB/RIF Ultra, COUNT: 199
ASSAY: Xpert SARS-CoV-2, COUNT: 22
</t>
  </si>
  <si>
    <t>Module 1 and 3 H/W failed due to temperature errors</t>
  </si>
  <si>
    <t>https://www.jotform.com/uploads/macarewecare/222927978372067/5867945102611033813/5867945102611033813_signature_28.png</t>
  </si>
  <si>
    <t>Joana simplicio</t>
  </si>
  <si>
    <t>https://www.jotform.com/uploads/macarewecare/222927978372067/5867945102611033813/5867945102611033813_signature_31.png</t>
  </si>
  <si>
    <t xml:space="preserve">ASSAY: Xpert CT/NG, COUNT: 2
ASSAY: Xpert MTB/RIF, COUNT: 22
ASSAY: Xpert MTB/RIF Ultra, COUNT: 797
</t>
  </si>
  <si>
    <t>Unit is operational
B1: Service required
B2: Insufficient cartridge 
B3: Passed
B4: Insufficient cartridge 
No hardware error logs on B2.
B2 is under observation. Use until hardware failure / temp. error
Existing temp. errors on B4
B1 and B4 for reporting. Both modules are recommended for replacement</t>
  </si>
  <si>
    <t>XpertCheck Kit 
Lot: 1000410214</t>
  </si>
  <si>
    <t>https://www.jotform.com/uploads/macarewecare/222927978372067/5867288288529496842/5867288288529496842_signature_28.png</t>
  </si>
  <si>
    <t>https://www.jotform.com/uploads/macarewecare/222927978372067/5867288288529496842/5867288288529496842_signature_31.png</t>
  </si>
  <si>
    <t>https://www.jotform.com/uploads/macarewecare/222927978372067/5867288268521175705/5867288268521175705_signature_28.png</t>
  </si>
  <si>
    <t>https://www.jotform.com/uploads/macarewecare/222927978372067/5867288268521175705/5867288268521175705_signature_31.png</t>
  </si>
  <si>
    <t>https://www.jotform.com/uploads/macarewecare/222927978372067/5867288268526083101/5867288268526083101_signature_28.png</t>
  </si>
  <si>
    <t>https://www.jotform.com/uploads/macarewecare/222927978372067/5867288268526083101/5867288268526083101_signature_31.png</t>
  </si>
  <si>
    <t xml:space="preserve">ASSAY: Xpert MTB/RIF Ultra, COUNT: 1927
</t>
  </si>
  <si>
    <t>For Relocation of GeneXpert</t>
  </si>
  <si>
    <t>Relocation of GeneXpert</t>
  </si>
  <si>
    <t>Successfully Relocated the Machine
Frequently Occuring Error 5007 at Module B2
Monitor LCD Problem</t>
  </si>
  <si>
    <t>Errors are sent to JotForm for further Assessment</t>
  </si>
  <si>
    <t>https://www.jotform.com/uploads/macarewecare/222927978372067/5867287525299023448/5867287525299023448_signature_28.png</t>
  </si>
  <si>
    <t>https://www.jotform.com/uploads/macarewecare/222927978372067/5867287525299023448/5867287525299023448_signature_31.png</t>
  </si>
  <si>
    <t>Malapatan, Sarangani</t>
  </si>
  <si>
    <t>rhu.malapatan12@gmail.com</t>
  </si>
  <si>
    <t>Genexpert Filter</t>
  </si>
  <si>
    <t>Genexpert Cleaning 
Checking of errors 
Problem reporting 
Data collection</t>
  </si>
  <si>
    <t>Requesting for Genexpert filters</t>
  </si>
  <si>
    <t>https://www.jotform.com/uploads/macarewecare/222927978372067/5867265726819707032/5867265726819707032_signature_28.png</t>
  </si>
  <si>
    <t>https://www.jotform.com/uploads/macarewecare/222927978372067/5867265726819707032/5867265726819707032_signature_31.png</t>
  </si>
  <si>
    <t>Gx-lV</t>
  </si>
  <si>
    <t>Module 3 under observation due to temperature errors</t>
  </si>
  <si>
    <t>Genexpert cleaning
Checking of errors
Errors/module problem reporting
Data collection</t>
  </si>
  <si>
    <t>https://www.jotform.com/uploads/macarewecare/222927978372067/5867224426811479876/5867224426811479876_signature_28.png</t>
  </si>
  <si>
    <t>Eunice Jurilla</t>
  </si>
  <si>
    <t>https://www.jotform.com/uploads/macarewecare/222927978372067/5867224426811479876/5867224426811479876_signature_31.png</t>
  </si>
  <si>
    <t>Cardona</t>
  </si>
  <si>
    <t>rhucardona@gmail.com</t>
  </si>
  <si>
    <t>https://www.jotform.com/uploads/macarewecare/222927978372067/5867125843611646155/5867125843611646155_signature_28.png</t>
  </si>
  <si>
    <t>Khawla punzalan</t>
  </si>
  <si>
    <t>https://www.jotform.com/uploads/macarewecare/222927978372067/5867125843611646155/5867125843611646155_signature_31.png</t>
  </si>
  <si>
    <t>Karangalan Dr.</t>
  </si>
  <si>
    <t xml:space="preserve">ASSAY: Xpert MTB/RIF Ultra, COUNT: 983
ASSAY: Xpert HIV-1 Viral Load, COUNT: 112
</t>
  </si>
  <si>
    <t>Performed maintenance
Cleaned cartridge bay
Cleaned plunger rod
Cleaned instrument surface
Cleaned icore
Cleaned fan filter
Run XpertCheck 
Generated reports</t>
  </si>
  <si>
    <t>Unit is operational. Module B4/807137 failed. Modules B1, B2 and B3 passed.</t>
  </si>
  <si>
    <t>https://www.jotform.com/uploads/macarewecare/222927978372067/5867125843614080951/5867125843614080951_signature_28.png</t>
  </si>
  <si>
    <t>https://www.jotform.com/uploads/macarewecare/222927978372067/5867125843614080951/5867125843614080951_signature_31.png</t>
  </si>
  <si>
    <t xml:space="preserve">ASSAY: Xpert HPV, COUNT: 104
ASSAY: Xpert MTB/RIF Ultra, COUNT: 101
ASSAY: Xpert SARS-CoV-2, COUNT: 12704
ASSAY: Xpert HIV-1 Viral Load, COUNT: 4
</t>
  </si>
  <si>
    <t>For software upgrade</t>
  </si>
  <si>
    <t>Upgrade GeneXpert software</t>
  </si>
  <si>
    <t>Performed maintenance
Cleaned cartridge bay
Cleaned plunger rod
Cleaned instrument surface
Cleaned icore
Cleaned fan filter
Upgrade GeneXpert software from 5.1 to 6.4
Generated reports</t>
  </si>
  <si>
    <t>Unit is operational. Modules A1, A2, B3, B4, C2, D2, and D4 not operational. Reported already.</t>
  </si>
  <si>
    <t>https://www.jotform.com/uploads/macarewecare/222927978372067/5867125843614433144/5867125843614433144_signature_28.png</t>
  </si>
  <si>
    <t>https://www.jotform.com/uploads/macarewecare/222927978372067/5867125843614433144/5867125843614433144_signature_31.png</t>
  </si>
  <si>
    <t>Claro M. Recto District Hospital</t>
  </si>
  <si>
    <t>Infanta</t>
  </si>
  <si>
    <t>katelynaveryumerez@gmail.com</t>
  </si>
  <si>
    <t xml:space="preserve">ASSAY: Xpert MTB/RIF Ultra, COUNT: 1508
</t>
  </si>
  <si>
    <t>All modules operational. Modules C1 and C4 newly replaced. Modules C2 and C3 passed.</t>
  </si>
  <si>
    <t>UPS has no power. Recommend to replace.</t>
  </si>
  <si>
    <t>https://www.jotform.com/uploads/macarewecare/222927978372067/5867125843614629031/5867125843614629031_signature_28.png</t>
  </si>
  <si>
    <t>Lorelyn Miras</t>
  </si>
  <si>
    <t>https://www.jotform.com/uploads/macarewecare/222927978372067/5867125843614629031/5867125843614629031_signature_31.png</t>
  </si>
  <si>
    <t xml:space="preserve">ASSAY: Xpert BCR-ABL Ultra, COUNT: 32
ASSAY: Xpert CT/NG, COUNT: 44
ASSAY: Xpert HBV VL, COUNT: 434
ASSAY: Xpert HPV, COUNT: 334
ASSAY: Xpert MTB/RIF Ultra, COUNT: 3731
ASSAY: Xpert HCV VL, COUNT: 67
ASSAY: Xpert HIV-1 Viral Load, COUNT: 572
ASSAY: Xpert SARS-CoV-2, COUNT: 474
</t>
  </si>
  <si>
    <t>Performed maintenance
Cleaned cartridge bay
Cleaned plunger rod
Cleaned instrument surface
Cleaned icore
Cleaned fan filter
Run XpertCheck
Generated reports</t>
  </si>
  <si>
    <t>All modules operational. Module C2 failed. Other modules passed. Disabled module C2.</t>
  </si>
  <si>
    <t>DR# 11294</t>
  </si>
  <si>
    <t>https://www.jotform.com/uploads/macarewecare/222927978372067/5867125843616745861/5867125843616745861_signature_28.png</t>
  </si>
  <si>
    <t>https://www.jotform.com/uploads/macarewecare/222927978372067/5867125843616745861/5867125843616745861_signature_31.png</t>
  </si>
  <si>
    <t>https://www.jotform.com/uploads/macarewecare/222927978372067/5867116796265792221/5867116796265792221_signature_28.png</t>
  </si>
  <si>
    <t>https://www.jotform.com/uploads/macarewecare/222927978372067/5867116796265792221/5867116796265792221_signature_31.png</t>
  </si>
  <si>
    <t>https://www.jotform.com/uploads/macarewecare/222927978372067/5867116796266211920/5867116796266211920_signature_28.png</t>
  </si>
  <si>
    <t>https://www.jotform.com/uploads/macarewecare/222927978372067/5867116796266211920/5867116796266211920_signature_31.png</t>
  </si>
  <si>
    <t>FUENTE CEBU CITY</t>
  </si>
  <si>
    <t xml:space="preserve">ASSAY: Xpert BCR-ABL Ultra, COUNT: 15
ASSAY: Xpert CT/NG, COUNT: 62
ASSAY: Xpert HIV-1 Viral Load, COUNT: 195
ASSAY: Xpert MTB/RIF Ultra, COUNT: 1105
ASSAY: Xpert HCV VL, COUNT: 80
ASSAY: Xpert HIV-1 Viral Load, COUNT: 245
</t>
  </si>
  <si>
    <t>ERROR 2008 ENCOUNTERED</t>
  </si>
  <si>
    <t>https://www.jotform.com/uploads/macarewecare/222927978372067/5867096714149456410/5867096714149456410_signature_28.png</t>
  </si>
  <si>
    <t>Antonio Padernal</t>
  </si>
  <si>
    <t>https://www.jotform.com/uploads/macarewecare/222927978372067/5867096714149456410/5867096714149456410_signature_31.png</t>
  </si>
  <si>
    <t>Morong Bataan</t>
  </si>
  <si>
    <t>lielyn.lim@yahoo.com</t>
  </si>
  <si>
    <t>CPU for replacement
Defective CPU:2UA8461W0C</t>
  </si>
  <si>
    <t>Performed CPU replacement
Performed preventive maintenance
Performed installation and setup of genexpert application
Performed functionality test
Gathered reports</t>
  </si>
  <si>
    <t>Unit is operational
New CPU relacement SN:2UA52027WB</t>
  </si>
  <si>
    <t>https://www.jotform.com/uploads/macarewecare/222927978372067/5866277075426808986/5866277075426808986_signature_28.png</t>
  </si>
  <si>
    <t>Lielyn M. Lim</t>
  </si>
  <si>
    <t>https://www.jotform.com/uploads/macarewecare/222927978372067/5866277075426808986/5866277075426808986_signature_31.png</t>
  </si>
  <si>
    <t>Sto Domingo District Hospital</t>
  </si>
  <si>
    <t>Pulong Buli, Sto Domingo, Nueva Ecija</t>
  </si>
  <si>
    <t>lhaydeesel@yahoo.com</t>
  </si>
  <si>
    <t xml:space="preserve">ASSAY: Xpert MTB/RIF Ultra, COUNT: 994
</t>
  </si>
  <si>
    <t>Module A2 error 4006</t>
  </si>
  <si>
    <t>Performed Module Replacement
A2(888301 - 210085270)</t>
  </si>
  <si>
    <t>Genexpert Module - 210085270</t>
  </si>
  <si>
    <t>https://www.jotform.com/uploads/macarewecare/222927978372067/5865575468717393110/5865575468717393110_signature_28.png</t>
  </si>
  <si>
    <t>Cyndrell B. Samatra</t>
  </si>
  <si>
    <t>https://www.jotform.com/uploads/macarewecare/222927978372067/5865575468717393110/5865575468717393110_signature_31.png</t>
  </si>
  <si>
    <t>Mayor, Vitallino Agan Ave, Zamboanga City</t>
  </si>
  <si>
    <t xml:space="preserve">ASSAY: Xpert CT/NG, COUNT: 3
ASSAY: Xpert HBV VL, COUNT: 85
ASSAY: Xpert MTB/RIF Ultra, COUNT: 417
ASSAY: Xpert HCV VL, COUNT: 35
</t>
  </si>
  <si>
    <t>GX-4 6colors</t>
  </si>
  <si>
    <t>Module 2 excessive error 1002</t>
  </si>
  <si>
    <t>Complete Preventive Maintenence. And site assessment for Temperature related issues.</t>
  </si>
  <si>
    <t>Complete Preventive Maintenence. And site assessment for Temperature related issues. Undergone test run for the said module.</t>
  </si>
  <si>
    <t>All modules are not available. Module 1 error 4017 while module 2 error 1002.</t>
  </si>
  <si>
    <t>All modules must be replaced. Temperature of the room and Machine are in ideal range. Genexpert Machine Must be xpertcheck Calibrated yearly</t>
  </si>
  <si>
    <t>https://www.jotform.com/uploads/macarewecare/222927978372067/5865566934955345304/5865566934955345304_signature_28.png</t>
  </si>
  <si>
    <t>https://www.jotform.com/uploads/macarewecare/222927978372067/5865566934955345304/5865566934955345304_signature_31.png</t>
  </si>
  <si>
    <t>Computer Monitor</t>
  </si>
  <si>
    <t>HP ProDisplay P19A</t>
  </si>
  <si>
    <t>CNK8322445</t>
  </si>
  <si>
    <t>Repaired unit</t>
  </si>
  <si>
    <t>https://www.jotform.com/uploads/macarewecare/222927978372067/5865412273616728804/5865412273616728804_signature_28.png</t>
  </si>
  <si>
    <t>Macare Medical, Inc.</t>
  </si>
  <si>
    <t>https://www.jotform.com/uploads/macarewecare/222927978372067/5865412273616728804/5865412273616728804_signature_31.png</t>
  </si>
  <si>
    <t>Brgy Suyo, Dingras , Ilocos Norte</t>
  </si>
  <si>
    <t xml:space="preserve">ASSAY: Xpert MTB/RIF Ultra, COUNT: 725
ASSAY: Xpert MTB/RIF Ultra, COUNT: 725
</t>
  </si>
  <si>
    <t>Cleaned Cartridge Bay, Plunger Rod, and Icore Optics
Performed Self-test
Performed XpertCheck
Generate Reports</t>
  </si>
  <si>
    <t>2 Newly Replaced, 1 Failed, 1 Passed</t>
  </si>
  <si>
    <t>https://www.jotform.com/uploads/macarewecare/222927978372067/5865403963612991713/5865403963612991713_signature_28.png</t>
  </si>
  <si>
    <t>Kenadine Cudapas</t>
  </si>
  <si>
    <t>https://www.jotform.com/uploads/macarewecare/222927978372067/5865403963612991713/5865403963612991713_signature_31.png</t>
  </si>
  <si>
    <t>The Black Nazarene Hospital</t>
  </si>
  <si>
    <t>Brgy 2, San Nicolas, Ilocos Norte</t>
  </si>
  <si>
    <t xml:space="preserve">ASSAY: Xpert MTB/RIF Ultra, COUNT: 48
ASSAY: Xpert MTB/RIF Ultra, COUNT: 48
</t>
  </si>
  <si>
    <t>Cleaned Cartridge Bay, Plunger Rod and Icore
Checked if Filter is Clogged
Performed Self-test
Performed XpertCheck
Generate Reports</t>
  </si>
  <si>
    <t>DR 11263</t>
  </si>
  <si>
    <t>https://www.jotform.com/uploads/macarewecare/222927978372067/5865403063615108349/5865403063615108349_signature_28.png</t>
  </si>
  <si>
    <t>Carmella A. Ramos</t>
  </si>
  <si>
    <t>https://www.jotform.com/uploads/macarewecare/222927978372067/5865403063615108349/5865403063615108349_signature_31.png</t>
  </si>
  <si>
    <t>Batanes General Hospital</t>
  </si>
  <si>
    <t>National Road , Brgy. Kayhuvokan Basco, Batanes</t>
  </si>
  <si>
    <t>Cienne Mae Valerio</t>
  </si>
  <si>
    <t>ciennevalerio@gmail.com</t>
  </si>
  <si>
    <t>lenyda@yahoo.com</t>
  </si>
  <si>
    <t xml:space="preserve">ASSAY: Xpert MTB/RIF Ultra, COUNT: 277
ASSAY: Xpert SARS-CoV-2, COUNT: 30
ASSAY: Xpert MTB/RIF Ultra, COUNT: 64
ASSAY: Xpert SARS-CoV-2, COUNT: 30
</t>
  </si>
  <si>
    <t>Repack of old GX Unit 6C</t>
  </si>
  <si>
    <t>Packed GX Unit for transferring.
Defective UPS</t>
  </si>
  <si>
    <t>Cleaned machine
Cleaned cartridge bay
Cleaned Filter
Plunger Rod Maintenance
Gather Reports
Archived Tests
Back up old files</t>
  </si>
  <si>
    <t>https://www.jotform.com/uploads/macarewecare/222927978372067/5865392673617371055/5865392673617371055_signature_28.png</t>
  </si>
  <si>
    <t>Eleonor D. Argonza</t>
  </si>
  <si>
    <t>https://www.jotform.com/uploads/macarewecare/222927978372067/5865392673617371055/5865392673617371055_signature_31.png</t>
  </si>
  <si>
    <t>GXIV-4D-10C</t>
  </si>
  <si>
    <t>CPU not powering on.</t>
  </si>
  <si>
    <t>Install Network Switch between 110001652 and 110020685 to be able to use two machine.
Defective CPU SN *CPH0621F22206*</t>
  </si>
  <si>
    <t>Troubleshoot CPU still the same
Performed maintenance
Cleaned filter
Cleaned cartridge bay
Generate Reports</t>
  </si>
  <si>
    <t>Unit is operational
CPU for reporting</t>
  </si>
  <si>
    <t>Network Switch</t>
  </si>
  <si>
    <t>https://www.jotform.com/uploads/macarewecare/222927978372067/5865392673615729120/5865392673615729120_signature_28.png</t>
  </si>
  <si>
    <t>https://www.jotform.com/uploads/macarewecare/222927978372067/5865392673615729120/5865392673615729120_signature_31.png</t>
  </si>
  <si>
    <t>Defective UPS SN SKPHU2KV230910025
UPS Rating is 50Hz 
Temporarily using AVR
Site is with Back up Generator in case of power outage
UPS for Reporting</t>
  </si>
  <si>
    <t>Install GX Unit
Install CPU
Install Monitor
Install Barcode Scanner
Install Printer
Import Assay
Create Admin Account for End user
Defective UPS</t>
  </si>
  <si>
    <t>https://www.jotform.com/uploads/macarewecare/222927978372067/5865392673618963071/5865392673618963071_signature_28.png</t>
  </si>
  <si>
    <t>https://www.jotform.com/uploads/macarewecare/222927978372067/5865392673618963071/5865392673618963071_signature_31.png</t>
  </si>
  <si>
    <t>https://www.jotform.com/uploads/macarewecare/222927978372067/5865390883611307740/5865390883611307740_signature_28.png</t>
  </si>
  <si>
    <t>https://www.jotform.com/uploads/macarewecare/222927978372067/5865390883611307740/5865390883611307740_signature_31.png</t>
  </si>
  <si>
    <t>https://www.jotform.com/uploads/macarewecare/222927978372067/5865390883616779468/5865390883616779468_signature_28.png</t>
  </si>
  <si>
    <t>https://www.jotform.com/uploads/macarewecare/222927978372067/5865390883616779468/5865390883616779468_signature_31.png</t>
  </si>
  <si>
    <t>Backed-up results
Packed-up system and prepared for transfer</t>
  </si>
  <si>
    <t>Unit is operational and packed. Ready for transfer</t>
  </si>
  <si>
    <t>https://www.jotform.com/uploads/macarewecare/222927978372067/5865288293611577241/5865288293611577241_signature_28.png</t>
  </si>
  <si>
    <t>https://www.jotform.com/uploads/macarewecare/222927978372067/5865288293611577241/5865288293611577241_signature_31.png</t>
  </si>
  <si>
    <t xml:space="preserve">ASSAY: Xpert BCR-ABL Ultra, COUNT: 30
ASSAY: Xpert MTB/RIF Ultra, COUNT: 3050
ASSAY: Xpert SARS-CoV-2, COUNT: 4527
ASSAY: Others, COUNT: 10
</t>
  </si>
  <si>
    <t>GX16 D (10c)</t>
  </si>
  <si>
    <t>For module replacement D1 210069284 - 614213</t>
  </si>
  <si>
    <t>https://www.jotform.com/uploads/macarewecare/222927978372067/5864811084077156674/5864811084077156674_signature_28.png</t>
  </si>
  <si>
    <t>https://www.jotform.com/uploads/macarewecare/222927978372067/5864811084077156674/5864811084077156674_signature_31.png</t>
  </si>
  <si>
    <t>https://www.jotform.com/uploads/macarewecare/222927978372067/5864810564075522667/5864810564075522667_signature_28.png</t>
  </si>
  <si>
    <t>https://www.jotform.com/uploads/macarewecare/222927978372067/5864810564075522667/5864810564075522667_signature_31.png</t>
  </si>
  <si>
    <t xml:space="preserve">ASSAY: Xpert MTB/RIF Ultra, COUNT: 2287
</t>
  </si>
  <si>
    <t>https://www.jotform.com/uploads/macarewecare/222927978372067/5864810154071994500/5864810154071994500_signature_28.png</t>
  </si>
  <si>
    <t>https://www.jotform.com/uploads/macarewecare/222927978372067/5864810154071994500/5864810154071994500_signature_31.png</t>
  </si>
  <si>
    <t>NTRL</t>
  </si>
  <si>
    <t>Filinvest, Alabang Muntinlupa</t>
  </si>
  <si>
    <t>eradenice@gmail.com</t>
  </si>
  <si>
    <t xml:space="preserve">ASSAY: Xpert MTB/RIF Ultra, COUNT: 2512
</t>
  </si>
  <si>
    <t>For module replacement B3 662385 - 713880</t>
  </si>
  <si>
    <t>B1 and B3 operational
B2 encounter 4009 and B4 encounter 2032 disable</t>
  </si>
  <si>
    <t>G6894</t>
  </si>
  <si>
    <t>https://www.jotform.com/uploads/macarewecare/222927978372067/5864809754073358261/5864809754073358261_signature_28.png</t>
  </si>
  <si>
    <t>Era Denice R. Acueza</t>
  </si>
  <si>
    <t>https://www.jotform.com/uploads/macarewecare/222927978372067/5864809754073358261/5864809754073358261_signature_31.png</t>
  </si>
  <si>
    <t>Rodriguez RHU 1</t>
  </si>
  <si>
    <t>J.P Rizal Rodriguez Rizal</t>
  </si>
  <si>
    <t>karlbanal25@gmail.com</t>
  </si>
  <si>
    <t>GX4 D (10c)</t>
  </si>
  <si>
    <t>For installation and for re pack old unit s/n 807580</t>
  </si>
  <si>
    <t>Installation and repacking of old unit</t>
  </si>
  <si>
    <t>Old unit complete repacking</t>
  </si>
  <si>
    <t>https://www.jotform.com/uploads/macarewecare/222927978372067/5864808334079430139/5864808334079430139_signature_28.png</t>
  </si>
  <si>
    <t>Karl Michael Banal</t>
  </si>
  <si>
    <t>https://www.jotform.com/uploads/macarewecare/222927978372067/5864808334079430139/5864808334079430139_signature_31.png</t>
  </si>
  <si>
    <t>San Mateo RHU 5</t>
  </si>
  <si>
    <t>Modesta, San Mateo</t>
  </si>
  <si>
    <t>mmacahis@gmail.com</t>
  </si>
  <si>
    <t>For module replacement B3 807009 - 711149 B4 210091113 - 715597</t>
  </si>
  <si>
    <t>G6896</t>
  </si>
  <si>
    <t>https://www.jotform.com/uploads/macarewecare/222927978372067/5864807844076334363/5864807844076334363_signature_28.png</t>
  </si>
  <si>
    <t>Monina Rica Macahis - De guzman</t>
  </si>
  <si>
    <t>https://www.jotform.com/uploads/macarewecare/222927978372067/5864807844076334363/5864807844076334363_signature_31.png</t>
  </si>
  <si>
    <t>Module B3, B4 for replacement</t>
  </si>
  <si>
    <t>Replaced B3, B4</t>
  </si>
  <si>
    <t>GeneXpert Module
SN: 719046, 699744</t>
  </si>
  <si>
    <t>https://www.jotform.com/uploads/macarewecare/222927978372067/5863002919501225254/5863002919501225254_signature_28.png</t>
  </si>
  <si>
    <t>Airene Alcayde</t>
  </si>
  <si>
    <t>https://www.jotform.com/uploads/macarewecare/222927978372067/5863002919501225254/5863002919501225254_signature_31.png</t>
  </si>
  <si>
    <t>Cyrilcordova0515@gmail.com</t>
  </si>
  <si>
    <t>Defective Module C4 sn699776</t>
  </si>
  <si>
    <t>New module Installed C4 717815
Clean Fan And Fan Filter
Data of genexpert</t>
  </si>
  <si>
    <t>https://www.jotform.com/uploads/macarewecare/222927978372067/5862918771115858963/5862918771115858963_signature_28.png</t>
  </si>
  <si>
    <t>Cyril Cordova</t>
  </si>
  <si>
    <t>https://www.jotform.com/uploads/macarewecare/222927978372067/5862918771115858963/5862918771115858963_signature_31.png</t>
  </si>
  <si>
    <t>Tala, Caloocan</t>
  </si>
  <si>
    <t>venvalizado@gmail.com</t>
  </si>
  <si>
    <t>https://www.jotform.com/uploads/macarewecare/222927978372067/5862913919502846555/5862913919502846555_signature_28.png</t>
  </si>
  <si>
    <t>Venmarie Martinez</t>
  </si>
  <si>
    <t>https://www.jotform.com/uploads/macarewecare/222927978372067/5862913919502846555/5862913919502846555_signature_31.png</t>
  </si>
  <si>
    <t>Tagaytay City Health Office</t>
  </si>
  <si>
    <t>Acle St. Tagaytay</t>
  </si>
  <si>
    <t>edith.mirando@gmail.com</t>
  </si>
  <si>
    <t>Unit for PM.
For installation of backup laptop.</t>
  </si>
  <si>
    <t>PM and installation.</t>
  </si>
  <si>
    <t>Performed PM.
-Cleaned and disinfect plunger
-Cleaned and disinfect cartridge bay
-Cleaned and disinfect instrument surface
-Cleaned icore sensors
-Cleaned filter fan
-Archived test results
Performed installation of backup laptop.
Generated reports.</t>
  </si>
  <si>
    <t>Lenovo ThinkPad Laptop (sn: CPH1019F03275).</t>
  </si>
  <si>
    <t>https://www.jotform.com/uploads/macarewecare/222927978372067/5862858284448306135/5862858284448306135_signature_28.png</t>
  </si>
  <si>
    <t>Edith B.Mirando</t>
  </si>
  <si>
    <t>https://www.jotform.com/uploads/macarewecare/222927978372067/5862858284448306135/5862858284448306135_signature_31.png</t>
  </si>
  <si>
    <t>Amai pak-pak Medical Center</t>
  </si>
  <si>
    <t>Module C1 haraware fail.</t>
  </si>
  <si>
    <t>Save Installation Qualification Reports
Save system Log</t>
  </si>
  <si>
    <t>Module C1 not ok to use.</t>
  </si>
  <si>
    <t>https://www.jotform.com/uploads/macarewecare/222927978372067/5862768476324749745/5862768476324749745_signature_28.png</t>
  </si>
  <si>
    <t>https://www.jotform.com/uploads/macarewecare/222927978372067/5862768476324749745/5862768476324749745_signature_31.png</t>
  </si>
  <si>
    <t>Amai Pak-pak Medical Center</t>
  </si>
  <si>
    <t>Install GeneXpert Machine
Install Printer
Install LCD Monitor
Install CPU
Install UPS</t>
  </si>
  <si>
    <t>GeneXpert Machine ok to use.
Printer ok to use
UPS ok to use 
CPU ok to use.</t>
  </si>
  <si>
    <t>https://www.jotform.com/uploads/macarewecare/222927978372067/5862320555619397624/5862320555619397624_signature_28.png</t>
  </si>
  <si>
    <t>https://www.jotform.com/uploads/macarewecare/222927978372067/5862320555619397624/5862320555619397624_signature_31.png</t>
  </si>
  <si>
    <t>RURAL HEALTH UNIT OF SAPANG DALAGA</t>
  </si>
  <si>
    <t>SAPANG DALAGA, MISAMIS OCCIDENTAL</t>
  </si>
  <si>
    <t>cherryelogsong@gmail.com</t>
  </si>
  <si>
    <t>-PERFORM PREVENTIVE MAINTENANCE PROCEDURE
-PERFORM MODULE B3 REPLACEMENT:
DEF SN:910152
NEW SN:698867</t>
  </si>
  <si>
    <t>UPS FOR REPORTING</t>
  </si>
  <si>
    <t>https://www.jotform.com/uploads/macarewecare/222927978372067/5862235165742387654/5862235165742387654_signature_28.png</t>
  </si>
  <si>
    <t>Cherry Mae Elogsong</t>
  </si>
  <si>
    <t>https://www.jotform.com/uploads/macarewecare/222927978372067/5862235165742387654/5862235165742387654_signature_31.png</t>
  </si>
  <si>
    <t>disuanco3@gmail.com</t>
  </si>
  <si>
    <t xml:space="preserve">ASSAY: Xpert CT/NG, COUNT: 4
ASSAY: Xpert HPV, COUNT: 1384
ASSAY: Xpert MTB/RIF Ultra, COUNT: 7436
ASSAY: Xpert SARS-CoV-2, COUNT: 2463
ASSAY: Xpert HIV-1 Viral Load, COUNT: 560
ASSAY: Others, COUNT: 10
</t>
  </si>
  <si>
    <t>A2/758306 - temperature error. For module replacement</t>
  </si>
  <si>
    <t>Module Replaced: A2 - 758306&gt;&gt;702996
Cleaned cartridge bays,  plunger rod, icore
Generate reports</t>
  </si>
  <si>
    <t>Replaced module A2/758306</t>
  </si>
  <si>
    <t>https://www.jotform.com/uploads/macarewecare/222927978372067/5862179982327633897/5862179982327633897_signature_28.png</t>
  </si>
  <si>
    <t>Jb disuanco</t>
  </si>
  <si>
    <t>https://www.jotform.com/uploads/macarewecare/222927978372067/5862179982327633897/5862179982327633897_signature_31.png</t>
  </si>
  <si>
    <t>Lanao Del Norte Provincial Hospital</t>
  </si>
  <si>
    <t>Upper Sagadan, Baroy, Lanao Del Norte</t>
  </si>
  <si>
    <t>Pull and packed the 6c machine for transfer</t>
  </si>
  <si>
    <t>lnphlab2021@gmail.com</t>
  </si>
  <si>
    <t xml:space="preserve">ASSAY: Xpert MTB/RIF Ultra, COUNT: 1663
</t>
  </si>
  <si>
    <t>Pull out and packed the genexpert machine, cpu unit, printer, monitor, bar code reader, and the UPS
Back-up the machine, gxx files, generate sys log, IQR,</t>
  </si>
  <si>
    <t>All units are already packed for transfer to Matungao RHU.</t>
  </si>
  <si>
    <t>https://www.jotform.com/uploads/macarewecare/222927978372067/5862167591114527816/5862167591114527816_signature_28.png</t>
  </si>
  <si>
    <t>Anne Marie Tubio, RMT</t>
  </si>
  <si>
    <t>https://www.jotform.com/uploads/macarewecare/222927978372067/5862167591114527816/5862167591114527816_signature_31.png</t>
  </si>
  <si>
    <t>Installation of 10C genexpert machine, printer, UPS, CPU, Monitor</t>
  </si>
  <si>
    <t>IInstallation of 10C genexpert machine, printer, UPS, CPU, Monitor
Pull and repack 6c genexpert for transfer. 
Installation of XDR assay, MTB-ultra, HIV-viral load
back-up database</t>
  </si>
  <si>
    <t>Installation of 10C genexpert machine, printer, UPS, CPU, Monitor
Pull and repack 6c genexpert for transfer. 
Installation of XDR assay, MTB-ultra, HIV-viral load
back-up database</t>
  </si>
  <si>
    <t>All modules are operational. Except the UPS is defective during testing no power.</t>
  </si>
  <si>
    <t>https://www.jotform.com/uploads/macarewecare/222927978372067/5862164761118596076/5862164761118596076_signature_28.png</t>
  </si>
  <si>
    <t>https://www.jotform.com/uploads/macarewecare/222927978372067/5862164761118596076/5862164761118596076_signature_31.png</t>
  </si>
  <si>
    <t>helengrace.parungao@gmail.com</t>
  </si>
  <si>
    <t xml:space="preserve">ASSAY: Xpert MTB/RIF Ultra, COUNT: 288
</t>
  </si>
  <si>
    <t>Genexpert II</t>
  </si>
  <si>
    <t>Performed Maintenance
Gathered Reports
Performed Calibration
(B1/787168 = Service Required)
(B2/787169 = Service Required)
Performed Functionality Test</t>
  </si>
  <si>
    <t>Unit is Opetional</t>
  </si>
  <si>
    <t>Module B1 and B2 for Replacement</t>
  </si>
  <si>
    <t>Xpertcheck 2pc</t>
  </si>
  <si>
    <t>https://www.jotform.com/uploads/macarewecare/222927978372067/5862095203729340986/5862095203729340986_signature_28.png</t>
  </si>
  <si>
    <t>https://www.jotform.com/uploads/macarewecare/222927978372067/5862095203729340986/5862095203729340986_signature_31.png</t>
  </si>
  <si>
    <t>Modules A3, A4 for replacement</t>
  </si>
  <si>
    <t>Replaced modules A3, A4</t>
  </si>
  <si>
    <t>GeneXpert Module
SN: 702434, 702034</t>
  </si>
  <si>
    <t>https://www.jotform.com/uploads/macarewecare/222927978372067/5862081115107725910/5862081115107725910_signature_28.png</t>
  </si>
  <si>
    <t>https://www.jotform.com/uploads/macarewecare/222927978372067/5862081115107725910/5862081115107725910_signature_31.png</t>
  </si>
  <si>
    <t>Laboratory Gx4-6C</t>
  </si>
  <si>
    <t xml:space="preserve">ASSAY: Xpert MTB/RIF Ultra, COUNT: 1088
</t>
  </si>
  <si>
    <t>For Preventive Maintenance 
B1/722557 Temperature Error, for Investigation</t>
  </si>
  <si>
    <t>Cleaned Cartridge Bays, Plunger rod,  icore
Generate report</t>
  </si>
  <si>
    <t>Insufficient error collected for B1/722557</t>
  </si>
  <si>
    <t>https://www.jotform.com/uploads/macarewecare/222927978372067/5862061338015243989/5862061338015243989_signature_28.png</t>
  </si>
  <si>
    <t>https://www.jotform.com/uploads/macarewecare/222927978372067/5862061338015243989/5862061338015243989_signature_31.png</t>
  </si>
  <si>
    <t>Tambulig rural health unit</t>
  </si>
  <si>
    <t>Tambulig zamboanga del sur</t>
  </si>
  <si>
    <t>TROUBLESHOOTING
Preventive Maintenence</t>
  </si>
  <si>
    <t>tambuligmho@yahoo.com</t>
  </si>
  <si>
    <t>GX-2 6c</t>
  </si>
  <si>
    <t>System unit unable to power up. Module 2 failed in xpertcheck calibration last February 20, 2024</t>
  </si>
  <si>
    <t>Replaced module 787279 with module 714788</t>
  </si>
  <si>
    <t>Module Replacement, Preventive maintenence and system unit troubleshooting.</t>
  </si>
  <si>
    <t>All modules are available but system unit must be replaced</t>
  </si>
  <si>
    <t>System unit unable to start up and must be replaced</t>
  </si>
  <si>
    <t>https://www.jotform.com/uploads/macarewecare/222927978372067/5862036890313435932/5862036890313435932_signature_28.png</t>
  </si>
  <si>
    <t>Lucille Perez</t>
  </si>
  <si>
    <t>https://www.jotform.com/uploads/macarewecare/222927978372067/5862036890313435932/5862036890313435932_signature_31.png</t>
  </si>
  <si>
    <t>Unit is operational
UPS is recommended for replacement
Unit is already packed for PBSP pull out (Rovering unit)
UPS SN: GA64E45555</t>
  </si>
  <si>
    <t>https://www.jotform.com/uploads/macarewecare/222927978372067/5862015283105278640/5862015283105278640_signature_28.png</t>
  </si>
  <si>
    <t>https://www.jotform.com/uploads/macarewecare/222927978372067/5862015283105278640/5862015283105278640_signature_31.png</t>
  </si>
  <si>
    <t>National Highway, Cotabato City</t>
  </si>
  <si>
    <t xml:space="preserve">ASSAY: Xpert SARS-CoV-2, COUNT: 12844
</t>
  </si>
  <si>
    <t>Due for Preventive Maintenance and Module B2 encounter multiple temperature related errors</t>
  </si>
  <si>
    <t>Module B2 reported for further assessment.</t>
  </si>
  <si>
    <t>https://www.jotform.com/uploads/macarewecare/222927978372067/5861963537315020987/5861963537315020987_signature_28.png</t>
  </si>
  <si>
    <t>Kevin Dave G. Cruz</t>
  </si>
  <si>
    <t>https://www.jotform.com/uploads/macarewecare/222927978372067/5861963537315020987/5861963537315020987_signature_31.png</t>
  </si>
  <si>
    <t>crmcmolecularlab@gmail.comKevim</t>
  </si>
  <si>
    <t>https://www.jotform.com/uploads/macarewecare/222927978372067/5861962455475355496/5861962455475355496_signature_28.png</t>
  </si>
  <si>
    <t>https://www.jotform.com/uploads/macarewecare/222927978372067/5861962455475355496/5861962455475355496_signature_31.png</t>
  </si>
  <si>
    <t>crmcmolecularlab@gmail.comn</t>
  </si>
  <si>
    <t>Perform Xpertcheck at module 2 for troubleshooting 
Genexpert machine Cleaning
Checking of errors 
Problem reporting 
Data collection</t>
  </si>
  <si>
    <t>Genexpert machine Preventive maintenance 
Perform Genexpert module troubleshooting</t>
  </si>
  <si>
    <t>Module 2 waiting for replacement module</t>
  </si>
  <si>
    <t>https://www.jotform.com/uploads/macarewecare/222927978372067/5861960947424875446/5861960947424875446_signature_28.png</t>
  </si>
  <si>
    <t>https://www.jotform.com/uploads/macarewecare/222927978372067/5861960947424875446/5861960947424875446_signature_31.png</t>
  </si>
  <si>
    <t>Matalom Community Hospital</t>
  </si>
  <si>
    <t>Matalom Leyte</t>
  </si>
  <si>
    <t>fegorne@gmail.com</t>
  </si>
  <si>
    <t>Module B3/910533 defective</t>
  </si>
  <si>
    <t>- Replaced module B3/910533 into 885108
- Performed functionality test
- Performed preventive maintenance (Clean Cartridge bay, Plunger rod, Fan Filter)
- Generate reports
- Pullout defective module SN/910533</t>
  </si>
  <si>
    <t>Genexpert module 6C SN: 885108</t>
  </si>
  <si>
    <t>https://www.jotform.com/uploads/macarewecare/222927978372067/5861943516329314638/5861943516329314638_signature_28.png</t>
  </si>
  <si>
    <t>FE D. GORNE</t>
  </si>
  <si>
    <t>https://www.jotform.com/uploads/macarewecare/222927978372067/5861943516329314638/5861943516329314638_signature_31.png</t>
  </si>
  <si>
    <t xml:space="preserve">ASSAY: Xpert HBV VL, COUNT: 31
ASSAY: Xpert HPV, COUNT: 30
ASSAY: Xpert MTB/RIF Ultra, COUNT: 201
ASSAY: Xpert HIV-1 Viral Load, COUNT: 20
</t>
  </si>
  <si>
    <t>Perform Preventive</t>
  </si>
  <si>
    <t>https://www.jotform.com/uploads/macarewecare/222927978372067/5861931767315226820/5861931767315226820_signature_28.png</t>
  </si>
  <si>
    <t>Shaneen Ayn Meditar</t>
  </si>
  <si>
    <t>https://www.jotform.com/uploads/macarewecare/222927978372067/5861931767315226820/5861931767315226820_signature_31.png</t>
  </si>
  <si>
    <t>Guimbal RHU</t>
  </si>
  <si>
    <t>Guimbal, Iloilo</t>
  </si>
  <si>
    <t>guimbalrhulaboratory@gmail.com</t>
  </si>
  <si>
    <t>toto.davis.td@gmail.com</t>
  </si>
  <si>
    <t>None; For unit installation.</t>
  </si>
  <si>
    <t>Perforned unit installation. Perforned functionality test. Conduct operator's basic training.</t>
  </si>
  <si>
    <t>Performed unit installation. Disassemble of old 6C unit ready for pullout.</t>
  </si>
  <si>
    <t>https://www.jotform.com/uploads/macarewecare/222927978372067/5861918551126754627/5861918551126754627_signature_28.png</t>
  </si>
  <si>
    <t>Davis James Secapuri</t>
  </si>
  <si>
    <t>https://www.jotform.com/uploads/macarewecare/222927978372067/5861918551126754627/5861918551126754627_signature_31.png</t>
  </si>
  <si>
    <t xml:space="preserve">ASSAY: Xpert HBV VL, COUNT: 358
ASSAY: Xpert HPV, COUNT: 40
ASSAY: Xpert MTB/RIF Ultra, COUNT: 3240
ASSAY: Xpert HIV-1 Viral Load, COUNT: 249
ASSAY: Xpert HIV-1 Viral Load, COUNT: 318
ASSAY: Xpert MTB/RIF Ultra, COUNT: 3240
ASSAY: Xpert HPV, COUNT: 40
ASSAY: Xpert HBV VL, COUNT: 358
</t>
  </si>
  <si>
    <t>Module B3 and B4 for Service Required 
Due for Calibration</t>
  </si>
  <si>
    <t>Replace defective module B3 SN: 870481 with new module SN:717133
Replace defective module B4 SN: 868766 with new module SN:717192
Perform Xpertcheck/Calibration 
Perform Genexpert cleaning and checking of errors 
Data collection</t>
  </si>
  <si>
    <t>Perform Genexpert machine module replacement/repair 
Perform Genexpert machine Xpertcheck/Calibration 
Perform Genexpert machine preventive maintenance</t>
  </si>
  <si>
    <t>14 operational modules 
2 modules for service required (A1 &amp; A2)
3 modules under observation due to Xpertcheck result (D2, D3, &amp; D4 skipped then service required)</t>
  </si>
  <si>
    <t>Genexpert module 6-color SN:717133, SN:717192</t>
  </si>
  <si>
    <t>Cepheid case: 1484259 &amp; 1484261</t>
  </si>
  <si>
    <t>https://www.jotform.com/uploads/macarewecare/222927978372067/5861853887426976100/5861853887426976100_signature_28.png</t>
  </si>
  <si>
    <t>Shannon Ayn Meditar</t>
  </si>
  <si>
    <t>https://www.jotform.com/uploads/macarewecare/222927978372067/5861853887426976100/5861853887426976100_signature_31.png</t>
  </si>
  <si>
    <t>Wilson St.,</t>
  </si>
  <si>
    <t xml:space="preserve">ASSAY: Xpert HBV VL, COUNT: 103
ASSAY: Xpert HPV, COUNT: 22
ASSAY: Xpert MTB/RIF Ultra, COUNT: 1051
</t>
  </si>
  <si>
    <t>Module B4 has error 1002/4012</t>
  </si>
  <si>
    <t>Checked module B4</t>
  </si>
  <si>
    <t>Performed maintenance
Cleaned cartridge bay
Cleaned plunger rod
Cleaned instrument surface
Cleaned icore
Cleaned fan filter
Checked module B4
Generated reports</t>
  </si>
  <si>
    <t>Modules B2 and B3 operational. Module B1/210022152 for replacement failed in XpertCheck. Module B4/210048235 not operational, for replacement due to error.</t>
  </si>
  <si>
    <t>https://www.jotform.com/uploads/macarewecare/222927978372067/5847158893618692814/5847158893618692814_signature_28.png</t>
  </si>
  <si>
    <t>Elaine Marie Gatchalian</t>
  </si>
  <si>
    <t>https://www.jotform.com/uploads/macarewecare/222927978372067/5847158893618692814/5847158893618692814_signature_31.png</t>
  </si>
  <si>
    <t>Buug rural health unit</t>
  </si>
  <si>
    <t>Poblacion buug, Zamboanga sibugay</t>
  </si>
  <si>
    <t>chingskie1980@gmail.com</t>
  </si>
  <si>
    <t>Module 2 temperature error</t>
  </si>
  <si>
    <t>Replaced module 787228 with Module 807025</t>
  </si>
  <si>
    <t>Module Replacement B2 and Preventive Maintenence</t>
  </si>
  <si>
    <t>All 2 modules are available</t>
  </si>
  <si>
    <t>https://www.jotform.com/uploads/macarewecare/222927978372067/5861283737818941178/5861283737818941178_signature_28.png</t>
  </si>
  <si>
    <t>Ratchel D. Guerrero</t>
  </si>
  <si>
    <t>https://www.jotform.com/uploads/macarewecare/222927978372067/5861283737818941178/5861283737818941178_signature_31.png</t>
  </si>
  <si>
    <t>Philippines Red Cross Dagupan</t>
  </si>
  <si>
    <t>prcpangasinanbloodcenter@gmail.com</t>
  </si>
  <si>
    <t>https://www.jotform.com/uploads/macarewecare/222927978372067/5861282095705371083/5861282095705371083_signature_28.png</t>
  </si>
  <si>
    <t>Mae Dianne Alano</t>
  </si>
  <si>
    <t>https://www.jotform.com/uploads/macarewecare/222927978372067/5861282095705371083/5861282095705371083_signature_31.png</t>
  </si>
  <si>
    <t>Module B3 failed XpertCheck. Remaining Modules passed XpertCheck</t>
  </si>
  <si>
    <t>DR 11187</t>
  </si>
  <si>
    <t>https://www.jotform.com/uploads/macarewecare/222927978372067/5861279865703465452/5861279865703465452_signature_28.png</t>
  </si>
  <si>
    <t>https://www.jotform.com/uploads/macarewecare/222927978372067/5861279865703465452/5861279865703465452_signature_31.png</t>
  </si>
  <si>
    <t xml:space="preserve">ASSAY: Xpert MTB/RIF Ultra, COUNT: 1049
</t>
  </si>
  <si>
    <t>https://www.jotform.com/uploads/macarewecare/222927978372067/5861278325707819489/5861278325707819489_signature_28.png</t>
  </si>
  <si>
    <t>https://www.jotform.com/uploads/macarewecare/222927978372067/5861278325707819489/5861278325707819489_signature_31.png</t>
  </si>
  <si>
    <t>Manila North Road, Batac, Ilocos Norte</t>
  </si>
  <si>
    <t>dennisoncatindig@gmail.com</t>
  </si>
  <si>
    <t>Unit is due for Installation</t>
  </si>
  <si>
    <t>Install GeneXpert System</t>
  </si>
  <si>
    <t>https://www.jotform.com/uploads/macarewecare/222927978372067/5861266730249657414/5861266730249657414_signature_28.png</t>
  </si>
  <si>
    <t>DENNISON CATINDIG</t>
  </si>
  <si>
    <t>https://www.jotform.com/uploads/macarewecare/222927978372067/5861266730249657414/5861266730249657414_signature_31.png</t>
  </si>
  <si>
    <t>https://www.jotform.com/uploads/macarewecare/222927978372067/5861265430243879937/5861265430243879937_signature_28.png</t>
  </si>
  <si>
    <t>https://www.jotform.com/uploads/macarewecare/222927978372067/5861265430243879937/5861265430243879937_signature_31.png</t>
  </si>
  <si>
    <t>-Installation of new 10 Colors GeneXpert unit
-Setup GeneXpert workstation</t>
  </si>
  <si>
    <t>Unit is daisy-chained with DOH unit SN: 838412. UPS and printer not installed; site used their own units.</t>
  </si>
  <si>
    <t>https://www.jotform.com/uploads/macarewecare/222927978372067/5861231534607687655/5861231534607687655_signature_28.png</t>
  </si>
  <si>
    <t>Oscar Delano R. Salazar, IV</t>
  </si>
  <si>
    <t>https://www.jotform.com/uploads/macarewecare/222927978372067/5861231534607687655/5861231534607687655_signature_31.png</t>
  </si>
  <si>
    <t>REPAIR
CALIBRATION
MAINTENANCE
Pull-out</t>
  </si>
  <si>
    <t xml:space="preserve">ASSAY: Xpert MTB/RIF Ultra, COUNT: 2795
ASSAY: Xpert HIV-1 Viral Load, COUNT: 190
</t>
  </si>
  <si>
    <t>-Remove stuck cartridge in module C1
-Replace defective module C3/886646 with module SN: 715827
-Run XpertCheck on module C1, C2, and C4
-Pack up for pull-out</t>
  </si>
  <si>
    <t>-900-0491RS GeneXpert Module 6-Colors
-XpertCheck-CE-5</t>
  </si>
  <si>
    <t>https://www.jotform.com/uploads/macarewecare/222927978372067/5861220381128525508/5861220381128525508_signature_28.png</t>
  </si>
  <si>
    <t>https://www.jotform.com/uploads/macarewecare/222927978372067/5861220381128525508/5861220381128525508_signature_31.png</t>
  </si>
  <si>
    <t>San Ildefonso Rural Health Unit</t>
  </si>
  <si>
    <t>San Ildefonso, Bulacan</t>
  </si>
  <si>
    <t>marvinsanchez06@gmail.com</t>
  </si>
  <si>
    <t>GeneXpert Module
SN: 698949</t>
  </si>
  <si>
    <t>https://www.jotform.com/uploads/macarewecare/222927978372067/5861217502328741064/5861217502328741064_signature_28.png</t>
  </si>
  <si>
    <t>Marvin Sanchez</t>
  </si>
  <si>
    <t>https://www.jotform.com/uploads/macarewecare/222927978372067/5861217502328741064/5861217502328741064_signature_31.png</t>
  </si>
  <si>
    <t xml:space="preserve">ASSAY: Xpert HIV-1 Viral Load, COUNT: 36
ASSAY: Xpert HPV, COUNT: 198
ASSAY: Xpert MTB/RIF Ultra, COUNT: 1212
ASSAY: Xpert SARS-CoV-2, COUNT: 3806
</t>
  </si>
  <si>
    <t>Unit is for Pull-out</t>
  </si>
  <si>
    <t>Backup Files
Uninstall GX System
Generate Reports</t>
  </si>
  <si>
    <t>https://www.jotform.com/uploads/macarewecare/222927978372067/5861217270247211688/5861217270247211688_signature_28.png</t>
  </si>
  <si>
    <t>DENNISON B. CATINDIG</t>
  </si>
  <si>
    <t>https://www.jotform.com/uploads/macarewecare/222927978372067/5861217270247211688/5861217270247211688_signature_31.png</t>
  </si>
  <si>
    <t>Unit is operational
Unit is ready to use</t>
  </si>
  <si>
    <t>https://www.jotform.com/uploads/macarewecare/222927978372067/5861209982323017226/5861209982323017226_signature_28.png</t>
  </si>
  <si>
    <t>https://www.jotform.com/uploads/macarewecare/222927978372067/5861209982323017226/5861209982323017226_signature_31.png</t>
  </si>
  <si>
    <t>GeneXpert Module
SN: 716234</t>
  </si>
  <si>
    <t>https://www.jotform.com/uploads/macarewecare/222927978372067/5861207112323562419/5861207112323562419_signature_28.png</t>
  </si>
  <si>
    <t>https://www.jotform.com/uploads/macarewecare/222927978372067/5861207112323562419/5861207112323562419_signature_31.png</t>
  </si>
  <si>
    <t>-Preventive Maintenance
-Archive tests from September 2023 to recent</t>
  </si>
  <si>
    <t>CPU and Monitor packed up. Unit is daisy-chained with 10C unit.</t>
  </si>
  <si>
    <t>https://www.jotform.com/uploads/https:/www.jotform.com/uploads/macarewecare/222927978372067/5861193148837105282/5861193148837105282_signature_28.png</t>
  </si>
  <si>
    <t>https://www.jotform.com/uploads/https:/www.jotform.com/uploads/macarewecare/222927978372067/5861193148837105282/5861193148837105282_signature_31.png</t>
  </si>
  <si>
    <t>joneevamarie@yahoo.com</t>
  </si>
  <si>
    <t>PM.</t>
  </si>
  <si>
    <t>https://www.jotform.com/uploads/macarewecare/222927978372067/5861074893074690030/5861074893074690030_signature_28.png</t>
  </si>
  <si>
    <t>Eva Marie C. Jone</t>
  </si>
  <si>
    <t>https://www.jotform.com/uploads/macarewecare/222927978372067/5861074893074690030/5861074893074690030_signature_31.png</t>
  </si>
  <si>
    <t>https://www.jotform.com/uploads/macarewecare/222927978372067/5861073663076698145/5861073663076698145_signature_28.png</t>
  </si>
  <si>
    <t>https://www.jotform.com/uploads/macarewecare/222927978372067/5861073663076698145/5861073663076698145_signature_31.png</t>
  </si>
  <si>
    <t>N. Amotanto St. Quezon City</t>
  </si>
  <si>
    <t>Performed PM.
-Cleaned and disinfect plunger
-Cleaned and disinfect cartridge bay
-Cleaned and disinfect instrument surface
-Cleaned icore sensors
-Cleaned filter fan
-Archived test results
Performed Xpertcheck.
Generated reports.</t>
  </si>
  <si>
    <t>Unit is operational. Modules A3 (904172) and A4 (210028982), service required.</t>
  </si>
  <si>
    <t>DR#11271</t>
  </si>
  <si>
    <t>https://www.jotform.com/uploads/macarewecare/222927978372067/5861043741029961963/5861043741029961963_signature_28.png</t>
  </si>
  <si>
    <t>https://www.jotform.com/uploads/macarewecare/222927978372067/5861043741029961963/5861043741029961963_signature_31.png</t>
  </si>
  <si>
    <t>DR#11270</t>
  </si>
  <si>
    <t>https://www.jotform.com/uploads/macarewecare/222927978372067/5861042911022312077/5861042911022312077_signature_28.png</t>
  </si>
  <si>
    <t>https://www.jotform.com/uploads/macarewecare/222927978372067/5861042911022312077/5861042911022312077_signature_31.png</t>
  </si>
  <si>
    <t>Fabella Memorial Hospital</t>
  </si>
  <si>
    <t>Tayuman St.</t>
  </si>
  <si>
    <t>Performed maintenance
Cleaned cartridge bay
Cleaned icore
Cleaned plunger rod
Generated reports
Archive files</t>
  </si>
  <si>
    <t>https://www.jotform.com/uploads/macarewecare/222927978372067/5861031063615358717/5861031063615358717_signature_28.png</t>
  </si>
  <si>
    <t>Christianne Bernadette Bautista</t>
  </si>
  <si>
    <t>https://www.jotform.com/uploads/macarewecare/222927978372067/5861031063615358717/5861031063615358717_signature_31.png</t>
  </si>
  <si>
    <t>Gx-IV 10C</t>
  </si>
  <si>
    <t>Not functional UPS</t>
  </si>
  <si>
    <t>Installed Gx machine SN:110013917
Installed Dell CPU SN CPH0523F42141
Installed lenovo Monitor V5GAG439
Installed hp printer CNB1RBK7RS</t>
  </si>
  <si>
    <t>Genexpert machine 10C installation</t>
  </si>
  <si>
    <t>https://www.jotform.com/uploads/macarewecare/222927978372067/5860981017611268185/5860981017611268185_signature_28.png</t>
  </si>
  <si>
    <t>Ana Marie Grace C. Egasan</t>
  </si>
  <si>
    <t>https://www.jotform.com/uploads/macarewecare/222927978372067/5860981017611268185/5860981017611268185_signature_31.png</t>
  </si>
  <si>
    <t>Gabriela Silang General Hospital</t>
  </si>
  <si>
    <t>Brgy. Tamag, Vigan, Ilocos Sur</t>
  </si>
  <si>
    <t>isphcovidlab21@gmail.com</t>
  </si>
  <si>
    <t>Perfirmed Site Assessment
Installed GeneXpert System
Generate Reports</t>
  </si>
  <si>
    <t>https://www.jotform.com/uploads/macarewecare/222927978372067/5860558530419305147/5860558530419305147_signature_28.png</t>
  </si>
  <si>
    <t>Shaira Gelline Sorizo</t>
  </si>
  <si>
    <t>https://www.jotform.com/uploads/macarewecare/222927978372067/5860558530419305147/5860558530419305147_signature_31.png</t>
  </si>
  <si>
    <t>Poblacion Weste, Sta.Cruz</t>
  </si>
  <si>
    <t>donna.rsantiago@gmail.com</t>
  </si>
  <si>
    <t>Cleaned Cartridge Bay, Plunger, Icore
Checked if Filter is Clogged
Performed XpertCheck
Generate Reports</t>
  </si>
  <si>
    <t>Passed in XpertCheck</t>
  </si>
  <si>
    <t>https://www.jotform.com/uploads/macarewecare/222927978372067/5860553240414794027/5860553240414794027_signature_28.png</t>
  </si>
  <si>
    <t>Donna Fe Santiago</t>
  </si>
  <si>
    <t>https://www.jotform.com/uploads/macarewecare/222927978372067/5860553240414794027/5860553240414794027_signature_31.png</t>
  </si>
  <si>
    <t>Bacnotan District Hospital</t>
  </si>
  <si>
    <t>Poblacion, La Union</t>
  </si>
  <si>
    <t>zharinaapolsnolasco@yahoo.com</t>
  </si>
  <si>
    <t xml:space="preserve">ASSAY: Xpert MTB/RIF Ultra, COUNT: 118
</t>
  </si>
  <si>
    <t>Cleaned Cartridge Bay, Plunger Rod, Icore
Checked if Filter is Clogged
Performed XpertCheck
Generate Reports</t>
  </si>
  <si>
    <t>UPS is Defective</t>
  </si>
  <si>
    <t>https://www.jotform.com/uploads/macarewecare/222927978372067/5860553240418951528/5860553240418951528_signature_28.png</t>
  </si>
  <si>
    <t>Zharina Apols Nolasco</t>
  </si>
  <si>
    <t>https://www.jotform.com/uploads/macarewecare/222927978372067/5860553240418951528/5860553240418951528_signature_31.png</t>
  </si>
  <si>
    <t>Brgy Tamag, Vigan</t>
  </si>
  <si>
    <t xml:space="preserve">ASSAY: Xpert MTB/RIF Ultra, COUNT: 1421
ASSAY: Xpert SARS-CoV-2, COUNT: 513
ASSAY: Xpert HIV-1 Viral Load, COUNT: 139
</t>
  </si>
  <si>
    <t>Unit is due for Packed-up</t>
  </si>
  <si>
    <t>Uninstall GX System in Laboratory
Checked Functionality</t>
  </si>
  <si>
    <t>https://www.jotform.com/uploads/macarewecare/222927978372067/5860553250416119118/5860553250416119118_signature_28.png</t>
  </si>
  <si>
    <t>Shaira Gelline Quiaot Sorizo</t>
  </si>
  <si>
    <t>https://www.jotform.com/uploads/macarewecare/222927978372067/5860553250416119118/5860553250416119118_signature_31.png</t>
  </si>
  <si>
    <t>Brgy. Poblacion, Bayugan City</t>
  </si>
  <si>
    <t>Stuck Cartridge at Module B4
Error in Valve Motion persists after removing of the Cartridge at Module B4
H/W Failed at Module B2 due to Temperature related issues (Thermistor)</t>
  </si>
  <si>
    <t>Removing of Stuck Cartridge at Module B4
Troubleshooting of Module B2 and B4</t>
  </si>
  <si>
    <t>2 modules are working. 2 modules for replacement</t>
  </si>
  <si>
    <t>https://www.jotform.com/uploads/macarewecare/222927978372067/5860403755604200483/5860403755604200483_signature_28.png</t>
  </si>
  <si>
    <t>https://www.jotform.com/uploads/macarewecare/222927978372067/5860403755604200483/5860403755604200483_signature_31.png</t>
  </si>
  <si>
    <t>Quiricada St.</t>
  </si>
  <si>
    <t>egee_gtz@yahoo.com</t>
  </si>
  <si>
    <t>Performed maintenance
Cleaned cartridge bay
Cleaned plunger rod
Cleaned icore
Run XpertCheck
Generated reports 
Checked and cleaned printer</t>
  </si>
  <si>
    <t>Printer cannot print in black ink.</t>
  </si>
  <si>
    <t>https://www.jotform.com/uploads/macarewecare/222927978372067/5860389560029554025/5860389560029554025_signature_28.png</t>
  </si>
  <si>
    <t>Robethson Perez, RMT</t>
  </si>
  <si>
    <t>https://www.jotform.com/uploads/macarewecare/222927978372067/5860389560029554025/5860389560029554025_signature_31.png</t>
  </si>
  <si>
    <t>MCS+ KEYPAD DOES NOT FUNCTION</t>
  </si>
  <si>
    <t>https://www.jotform.com/uploads/macarewecare/222927978372067/5860385098029250270/5860385098029250270_signature_28.png</t>
  </si>
  <si>
    <t>Ericka Jane Corro</t>
  </si>
  <si>
    <t>https://www.jotform.com/uploads/macarewecare/222927978372067/5860385098029250270/5860385098029250270_signature_31.png</t>
  </si>
  <si>
    <t>Plaridel Rural Health Unit IV</t>
  </si>
  <si>
    <t xml:space="preserve">ASSAY: Xpert MTB/RIF Ultra, COUNT: 854
</t>
  </si>
  <si>
    <t>Unit is operational
A1: Passed
A2: Service required
A3: Insufficient cartridge 
A4: Passed</t>
  </si>
  <si>
    <t>https://www.jotform.com/uploads/macarewecare/222927978372067/5860336154617090877/5860336154617090877_signature_28.png</t>
  </si>
  <si>
    <t>Ahlelei G. Hernandez</t>
  </si>
  <si>
    <t>https://www.jotform.com/uploads/macarewecare/222927978372067/5860336154617090877/5860336154617090877_signature_31.png</t>
  </si>
  <si>
    <t>Blumentritt, Sta Cruz</t>
  </si>
  <si>
    <t>PM.amd Xpertcheck.</t>
  </si>
  <si>
    <t>DR#11268</t>
  </si>
  <si>
    <t>https://www.jotform.com/uploads/macarewecare/222927978372067/5860335321028994559/5860335321028994559_signature_28.png</t>
  </si>
  <si>
    <t>Jerwin E. Hermosura</t>
  </si>
  <si>
    <t>https://www.jotform.com/uploads/macarewecare/222927978372067/5860335321028994559/5860335321028994559_signature_31.png</t>
  </si>
  <si>
    <t>Cadiz City</t>
  </si>
  <si>
    <t xml:space="preserve">ASSAY: Xpert MTB/RIF Ultra, COUNT: 1617
</t>
  </si>
  <si>
    <t>Module D2 with SN 808098 failed in XPC today.</t>
  </si>
  <si>
    <t>Save Files(IQR, System Log, Assay Stats &amp; GXC Files). Conduct also PM(Filter, Optics and Plunger Cleaning).</t>
  </si>
  <si>
    <t>Performed Xpert Check calibration for 4 modules.</t>
  </si>
  <si>
    <t>Module D1, D3 &amp; D4 passed in XPC today.</t>
  </si>
  <si>
    <t>https://www.jotform.com/uploads/macarewecare/222927978372067/5860320809565858250/5860320809565858250_signature_28.png</t>
  </si>
  <si>
    <t>https://www.jotform.com/uploads/macarewecare/222927978372067/5860320809565858250/5860320809565858250_signature_31.png</t>
  </si>
  <si>
    <t>System unit cmos battery already drained.</t>
  </si>
  <si>
    <t>Replaced CMOS battery and conducted preventive Maintenance</t>
  </si>
  <si>
    <t>https://www.jotform.com/uploads/macarewecare/222927978372067/5860307975622501882/5860307975622501882_signature_28.png</t>
  </si>
  <si>
    <t>https://www.jotform.com/uploads/macarewecare/222927978372067/5860307975622501882/5860307975622501882_signature_31.png</t>
  </si>
  <si>
    <t>Lamitan</t>
  </si>
  <si>
    <t>Installation of GX-4 10c Genexpert Machine.</t>
  </si>
  <si>
    <t>All modules are available. UPS is defective and must be replaced emedietly.</t>
  </si>
  <si>
    <t>UPS is defective and must be replaced ASAP</t>
  </si>
  <si>
    <t>https://www.jotform.com/uploads/macarewecare/222927978372067/5860307975623281021/5860307975623281021_signature_28.png</t>
  </si>
  <si>
    <t>https://www.jotform.com/uploads/macarewecare/222927978372067/5860307975623281021/5860307975623281021_signature_31.png</t>
  </si>
  <si>
    <t>Bantayan RHU</t>
  </si>
  <si>
    <t>Install monitor for bantayan rhu, clean fan filter</t>
  </si>
  <si>
    <t>Install monitor for bantayan rhu</t>
  </si>
  <si>
    <t>Module B2 H/W fail</t>
  </si>
  <si>
    <t>https://www.jotform.com/uploads/macarewecare/222927978372067/5824141020013347585/5824141020013347585_signature_28.png</t>
  </si>
  <si>
    <t>https://www.jotform.com/uploads/macarewecare/222927978372067/5824141020013347585/5824141020013347585_signature_31.png</t>
  </si>
  <si>
    <t xml:space="preserve">ASSAY: Xpert MTB/RIF Ultra, COUNT: 1114
ASSAY: Xpert HIV-1 Viral Load, COUNT: 62
</t>
  </si>
  <si>
    <t>-Replace defective module B2/210068729 with module SN: 896225</t>
  </si>
  <si>
    <t>https://www.jotform.com/uploads/macarewecare/222927978372067/5860265929531694025/5860265929531694025_signature_28.png</t>
  </si>
  <si>
    <t>Teodia P Delfin</t>
  </si>
  <si>
    <t>https://www.jotform.com/uploads/macarewecare/222927978372067/5860265929531694025/5860265929531694025_signature_31.png</t>
  </si>
  <si>
    <t>Rafael Lazatin Memorial Medical Center</t>
  </si>
  <si>
    <t>Ageles City Pampanga</t>
  </si>
  <si>
    <t>onabb_lab@yahoo.com.ph</t>
  </si>
  <si>
    <t>B1:863513 and B4:799806 for module replacement</t>
  </si>
  <si>
    <t>Module replacement
Preventive maintenance</t>
  </si>
  <si>
    <t>Performed preventive maintenance
Performed module replacement
Performed functionality test
Gathered reports</t>
  </si>
  <si>
    <t>Unit is operational
B1:701068 and B4: 715586 new modules</t>
  </si>
  <si>
    <t>https://www.jotform.com/uploads/macarewecare/222927978372067/5860237988226565320/5860237988226565320_signature_28.png</t>
  </si>
  <si>
    <t>Perla Garcia</t>
  </si>
  <si>
    <t>https://www.jotform.com/uploads/macarewecare/222927978372067/5860237988226565320/5860237988226565320_signature_31.png</t>
  </si>
  <si>
    <t xml:space="preserve">ASSAY: Xpert MTB/RIF Ultra, COUNT: 2337
ASSAY: Xpert HIV-1 Viral Load, COUNT: 19
</t>
  </si>
  <si>
    <t>Module B3/730410 and B4/657532 for replacement</t>
  </si>
  <si>
    <t>- Install new module on B3 w/ SN: 674541
- Install new module on B4 w/ SN: 890880
- Performed preventive maintenance (Cleaned plunger rod, Cartridge bay, Fan Filter)
- Generate reports
- Pullout defective modules</t>
  </si>
  <si>
    <t>2 Genexpert module 6C SN: 674541 / 890880</t>
  </si>
  <si>
    <t>https://www.jotform.com/uploads/macarewecare/222927978372067/5860228578857303869/5860228578857303869_signature_28.png</t>
  </si>
  <si>
    <t>https://www.jotform.com/uploads/macarewecare/222927978372067/5860228578857303869/5860228578857303869_signature_31.png</t>
  </si>
  <si>
    <t>Performed PM.
-Cleaned and disinfect plunger
-Cleaned and disinfect cartridge bay
-Cleaned and disinfect instrument surface
-Cleaned icore sensors
-Cleaned filter fan
-Archived test results
Performed module replacement.
Generated reports.</t>
  </si>
  <si>
    <t>GX module A4 (806481) in replacement to defective A4 (210078094).</t>
  </si>
  <si>
    <t>DR#11285</t>
  </si>
  <si>
    <t>https://www.jotform.com/uploads/macarewecare/222927978372067/5860207441027513666/5860207441027513666_signature_28.png</t>
  </si>
  <si>
    <t>Ervin Emmett Sambolledo</t>
  </si>
  <si>
    <t>https://www.jotform.com/uploads/macarewecare/222927978372067/5860207441027513666/5860207441027513666_signature_31.png</t>
  </si>
  <si>
    <t>Jose Abad Santos</t>
  </si>
  <si>
    <t>No power on CPU System Unit</t>
  </si>
  <si>
    <t>Replaced the Defective Cpu System Unit with new System Unit SN: CPH1119F04296</t>
  </si>
  <si>
    <t>System Unit Replacement</t>
  </si>
  <si>
    <t>System Unit was successfully installed but Airconditioning Unit is damaged/no power. Enduser is advised not to run specimen due to high ambient temperature.</t>
  </si>
  <si>
    <t>Fix the Airconditioning Unit first before running specimen to avoid temperature related errors</t>
  </si>
  <si>
    <t>https://www.jotform.com/uploads/macarewecare/222927978372067/5859706370225550765/5859706370225550765_signature_28.png</t>
  </si>
  <si>
    <t>Dranreb John Alcalen</t>
  </si>
  <si>
    <t>https://www.jotform.com/uploads/macarewecare/222927978372067/5859706370225550765/5859706370225550765_signature_31.png</t>
  </si>
  <si>
    <t>antoniojrpadernal@gmail.com</t>
  </si>
  <si>
    <t xml:space="preserve">ASSAY: Xpert MTB/RIF Ultra, COUNT: 1018
ASSAY: Xpert HBV VL, COUNT: 188
ASSAY: Xpert CT/NG, COUNT: 54
ASSAY: Xpert HCV VL, COUNT: 74
ASSAY: Xpert HIV-1 Viral Load, COUNT: 234
</t>
  </si>
  <si>
    <t>- Repeated error 5007- samples processing problem for 
- Xpert BCR-ABL Ultra G2 assay
- Error 2097: Assay-Specific Termination Error    #2: 45, 28, 1, 0</t>
  </si>
  <si>
    <t>Conduct preventive maintenance for Module 2, Module 3, and Module 4 
- Required end-user review sample procedure for Xpert BCR-ABL Ultra G2 
- Generate IQR, Sys Log, Assay Statistics, Gxx files</t>
  </si>
  <si>
    <t>- Conduct preventive maintenance for Module 2, Module 3, and Module 4 
- Required end-user review sample procedure for Xpert BCR-ABL Ultra G2 
- Generate IQR, Sys Log, Assay Statistics, Gxx files</t>
  </si>
  <si>
    <t>https://www.jotform.com/uploads/macarewecare/222927978372067/5859508221113427047/5859508221113427047_signature_28.png</t>
  </si>
  <si>
    <t>Antonio Padernal Jr</t>
  </si>
  <si>
    <t>https://www.jotform.com/uploads/macarewecare/222927978372067/5859508221113427047/5859508221113427047_signature_31.png</t>
  </si>
  <si>
    <t>MIA Health Center</t>
  </si>
  <si>
    <t>NAIA Road, Pasay</t>
  </si>
  <si>
    <t>mervheequiogue14@gmail.com</t>
  </si>
  <si>
    <t>Module 3 with Temperature Error</t>
  </si>
  <si>
    <t>Replaced Module 3
Performed Self-test
Generate Reports</t>
  </si>
  <si>
    <t>768349 -&gt; 718714</t>
  </si>
  <si>
    <t>https://www.jotform.com/uploads/macarewecare/222927978372067/5859438643612308916/5859438643612308916_signature_28.png</t>
  </si>
  <si>
    <t>Mervhee Sorilla</t>
  </si>
  <si>
    <t>https://www.jotform.com/uploads/macarewecare/222927978372067/5859438643612308916/5859438643612308916_signature_31.png</t>
  </si>
  <si>
    <t>Special Health Sciences Institute, Dasmariñas, Cavite</t>
  </si>
  <si>
    <t>Cleaned Cartridge Bay, Plunger Rod, Icore
Checked if Filter is Clogged
Performed Self-test
Performed XpertCheck
Generate Reports</t>
  </si>
  <si>
    <t>3 Modules Passed, 1 Failed</t>
  </si>
  <si>
    <t>Failed Mod: 210005363</t>
  </si>
  <si>
    <t>DR 11257</t>
  </si>
  <si>
    <t>https://www.jotform.com/uploads/macarewecare/222927978372067/5859438643615677822/5859438643615677822_signature_28.png</t>
  </si>
  <si>
    <t>https://www.jotform.com/uploads/macarewecare/222927978372067/5859438643615677822/5859438643615677822_signature_31.png</t>
  </si>
  <si>
    <t>Don Carlos, Pasay</t>
  </si>
  <si>
    <t>tessa_0503@yahoo.com.ph</t>
  </si>
  <si>
    <t>Request for Relocation of GX System</t>
  </si>
  <si>
    <t>Relocate GX System to 2nd floor Laboratory
Checked Outlet Voltage
Checked Room if with A/C
Generate Reports</t>
  </si>
  <si>
    <t>Room is Good for GX Installation
All Modules are Operational</t>
  </si>
  <si>
    <t>https://www.jotform.com/uploads/macarewecare/222927978372067/5859438643611565890/5859438643611565890_signature_28.png</t>
  </si>
  <si>
    <t>https://www.jotform.com/uploads/macarewecare/222927978372067/5859438643611565890/5859438643611565890_signature_31.png</t>
  </si>
  <si>
    <t>Imus City Health Office III</t>
  </si>
  <si>
    <t>Greengate Subd, Imus, Cavite</t>
  </si>
  <si>
    <t>tess19_chua@yahoo.com</t>
  </si>
  <si>
    <t>702673-&gt; 713513</t>
  </si>
  <si>
    <t>https://www.jotform.com/uploads/macarewecare/222927978372067/5859438643612730530/5859438643612730530_signature_28.png</t>
  </si>
  <si>
    <t>Marites M. Chua</t>
  </si>
  <si>
    <t>https://www.jotform.com/uploads/macarewecare/222927978372067/5859438643612730530/5859438643612730530_signature_31.png</t>
  </si>
  <si>
    <t>Special Health and Sciences Institute, Dasmariñas, Cavite</t>
  </si>
  <si>
    <t xml:space="preserve">ASSAY: Xpert MTB/RIF Ultra, COUNT: 2411
</t>
  </si>
  <si>
    <t>15 Modules Passed, 1 Failed</t>
  </si>
  <si>
    <t>Failed Mod: 880257</t>
  </si>
  <si>
    <t>DR 11258</t>
  </si>
  <si>
    <t>https://www.jotform.com/uploads/macarewecare/222927978372067/5859438643614142741/5859438643614142741_signature_28.png</t>
  </si>
  <si>
    <t>https://www.jotform.com/uploads/macarewecare/222927978372067/5859438643614142741/5859438643614142741_signature_31.png</t>
  </si>
  <si>
    <t>Kabacan, North Cotabato</t>
  </si>
  <si>
    <t xml:space="preserve">ASSAY: Xpert MTB/RIF Ultra, COUNT: 631
ASSAY: Xpert MTB/RIF Ultra, COUNT: 633
</t>
  </si>
  <si>
    <t>Gx-IV 2modules</t>
  </si>
  <si>
    <t>Module 2 service required</t>
  </si>
  <si>
    <t>Perform Genexpert Xpertcheck 
Genexpert Cleaning and checking of errors 
Data collection</t>
  </si>
  <si>
    <t>Perform Genexpert machine preventive maintenance 
Perform Genexpert Xpertcheck/calibration</t>
  </si>
  <si>
    <t>Module 1 passed and Module 2 for service required</t>
  </si>
  <si>
    <t>Lot #: 1000725070</t>
  </si>
  <si>
    <t>https://www.jotform.com/uploads/macarewecare/222927978372067/5859389879423246598/5859389879423246598_signature_28.png</t>
  </si>
  <si>
    <t>https://www.jotform.com/uploads/macarewecare/222927978372067/5859389879423246598/5859389879423246598_signature_31.png</t>
  </si>
  <si>
    <t xml:space="preserve">ASSAY: Xpert MTB/RIF Ultra, COUNT: 2172
</t>
  </si>
  <si>
    <t>- Cleaned Cartridge Bays, Plunger Rods and I-CORE 
- Replaced Defective Module 656905 &gt;&gt;&gt; 717616
- Generated Reports</t>
  </si>
  <si>
    <t>GeneXpert Module 717616</t>
  </si>
  <si>
    <t>https://www.jotform.com/uploads/macarewecare/222927978372067/5859349115471744000/5859349115471744000_signature_28.png</t>
  </si>
  <si>
    <t>Cirila O. Sabiano</t>
  </si>
  <si>
    <t>https://www.jotform.com/uploads/macarewecare/222927978372067/5859349115471744000/5859349115471744000_signature_31.png</t>
  </si>
  <si>
    <t>MAINTENANCE
Temporary Relocation</t>
  </si>
  <si>
    <t>keithtagudar@gmail.com</t>
  </si>
  <si>
    <t xml:space="preserve">ASSAY: Xpert HPV, COUNT: 8
ASSAY: Xpert MTB/RIF Ultra, COUNT: 625
ASSAY: Others, COUNT: 24
</t>
  </si>
  <si>
    <t>For Temporary Relocation to Baguio Health Services Office</t>
  </si>
  <si>
    <t>https://www.jotform.com/uploads/macarewecare/222927978372067/5859347745475261067/5859347745475261067_signature_28.png</t>
  </si>
  <si>
    <t>Keith Tagudar</t>
  </si>
  <si>
    <t>https://www.jotform.com/uploads/macarewecare/222927978372067/5859347745475261067/5859347745475261067_signature_31.png</t>
  </si>
  <si>
    <t xml:space="preserve">ASSAY: Xpert HPV, COUNT: 423
ASSAY: Xpert MTB/RIF Ultra, COUNT: 1670
</t>
  </si>
  <si>
    <t>- Cleaned Cartridge Bays, Plunger Rods and I-CORE 
- Replaced Defective Module 786825 &gt;&gt;&gt; 718969
- Generated Reports</t>
  </si>
  <si>
    <t>GeneXpert Module 718969</t>
  </si>
  <si>
    <t>https://www.jotform.com/uploads/macarewecare/222927978372067/5859345155472586446/5859345155472586446_signature_28.png</t>
  </si>
  <si>
    <t>https://www.jotform.com/uploads/macarewecare/222927978372067/5859345155472586446/5859345155472586446_signature_31.png</t>
  </si>
  <si>
    <t>Rosario District Hospital</t>
  </si>
  <si>
    <t>Rosario, La Union</t>
  </si>
  <si>
    <t>rosariodhlab@gmail.com</t>
  </si>
  <si>
    <t>All Modules passed</t>
  </si>
  <si>
    <t>https://www.jotform.com/uploads/macarewecare/222927978372067/5859343765479008900/5859343765479008900_signature_28.png</t>
  </si>
  <si>
    <t>Juanita Orine</t>
  </si>
  <si>
    <t>https://www.jotform.com/uploads/macarewecare/222927978372067/5859343765479008900/5859343765479008900_signature_31.png</t>
  </si>
  <si>
    <t>Sison, Pangasinan</t>
  </si>
  <si>
    <t xml:space="preserve">ASSAY: Xpert MTB/RIF Ultra, COUNT: 286
</t>
  </si>
  <si>
    <t>https://www.jotform.com/uploads/macarewecare/222927978372067/5859337415478020306/5859337415478020306_signature_28.png</t>
  </si>
  <si>
    <t>Jeannette Alcaide</t>
  </si>
  <si>
    <t>https://www.jotform.com/uploads/macarewecare/222927978372067/5859337415478020306/5859337415478020306_signature_31.png</t>
  </si>
  <si>
    <t xml:space="preserve">ASSAY: Xpert MTB/RIF Ultra, COUNT: 1491
</t>
  </si>
  <si>
    <t>Did not perform XpertCheck on Newly replaced Module B3. All remaining Modules passed XpertCheck</t>
  </si>
  <si>
    <t>DR 11186</t>
  </si>
  <si>
    <t>https://www.jotform.com/uploads/macarewecare/222927978372067/5859334824753710589/5859334824753710589_signature_28.png</t>
  </si>
  <si>
    <t>https://www.jotform.com/uploads/macarewecare/222927978372067/5859334824753710589/5859334824753710589_signature_31.png</t>
  </si>
  <si>
    <t>CPU does not turn on</t>
  </si>
  <si>
    <t>Installed backup CPU</t>
  </si>
  <si>
    <t>Replaced CPU
Performed maintenance
Cleaned cartridge bay
Cleaned plunger rod
Cleaned instrument surface
Cleaned icore
Cleaned fan filter
Generated reports 
Installed printer driver
Import assay</t>
  </si>
  <si>
    <t>Old CPU SN: 2UA8471VWM
Backup CPU SN: 2UA70329CV</t>
  </si>
  <si>
    <t>DR# 11264</t>
  </si>
  <si>
    <t>https://www.jotform.com/uploads/macarewecare/222927978372067/5859256943611248713/5859256943611248713_signature_28.png</t>
  </si>
  <si>
    <t>Gemma M. PONCE</t>
  </si>
  <si>
    <t>https://www.jotform.com/uploads/macarewecare/222927978372067/5859256943611248713/5859256943611248713_signature_31.png</t>
  </si>
  <si>
    <t>Cailes St., Sta. Maria</t>
  </si>
  <si>
    <t>maidauridorado@gmail.com</t>
  </si>
  <si>
    <t xml:space="preserve">ASSAY: Xpert MTB/RIF Ultra, COUNT: 546
</t>
  </si>
  <si>
    <t>Performed maintenance 
Replaced module B3
Generated reports</t>
  </si>
  <si>
    <t>Old: B3/806702
New: B3/891643</t>
  </si>
  <si>
    <t>https://www.jotform.com/uploads/macarewecare/222927978372067/5859256203613446822/5859256203613446822_signature_28.png</t>
  </si>
  <si>
    <t>Maida DORADO</t>
  </si>
  <si>
    <t>https://www.jotform.com/uploads/macarewecare/222927978372067/5859256203613446822/5859256203613446822_signature_31.png</t>
  </si>
  <si>
    <t>Installed the GeneXpert system
-UPS
-GeneXpert unit
-Desktop
-Printer
Functionality test
Generated IQR</t>
  </si>
  <si>
    <t>https://www.jotform.com/uploads/macarewecare/222927978372067/5859254583616145113/5859254583616145113_signature_28.png</t>
  </si>
  <si>
    <t>Kim adrine federizo</t>
  </si>
  <si>
    <t>https://www.jotform.com/uploads/macarewecare/222927978372067/5859254583616145113/5859254583616145113_signature_31.png</t>
  </si>
  <si>
    <t>JP Rizal St.</t>
  </si>
  <si>
    <t xml:space="preserve">ASSAY: Xpert MTB/RIF Ultra, COUNT: 870
</t>
  </si>
  <si>
    <t>https://www.jotform.com/uploads/macarewecare/222927978372067/5859253783613791482/5859253783613791482_signature_28.png</t>
  </si>
  <si>
    <t>https://www.jotform.com/uploads/macarewecare/222927978372067/5859253783613791482/5859253783613791482_signature_31.png</t>
  </si>
  <si>
    <t>https://www.jotform.com/uploads/macarewecare/222927978372067/5859253033613098453/5859253033613098453_signature_28.png</t>
  </si>
  <si>
    <t>https://www.jotform.com/uploads/macarewecare/222927978372067/5859253033613098453/5859253033613098453_signature_31.png</t>
  </si>
  <si>
    <t>https://www.jotform.com/uploads/macarewecare/222927978372067/5859253033613557925/5859253033613557925_signature_28.png</t>
  </si>
  <si>
    <t>https://www.jotform.com/uploads/macarewecare/222927978372067/5859253033613557925/5859253033613557925_signature_31.png</t>
  </si>
  <si>
    <t>https://www.jotform.com/uploads/macarewecare/222927978372067/5859253033614858096/5859253033614858096_signature_28.png</t>
  </si>
  <si>
    <t>https://www.jotform.com/uploads/macarewecare/222927978372067/5859253033614858096/5859253033614858096_signature_31.png</t>
  </si>
  <si>
    <t>https://www.jotform.com/uploads/macarewecare/222927978372067/5859253033615118276/5859253033615118276_signature_28.png</t>
  </si>
  <si>
    <t>https://www.jotform.com/uploads/macarewecare/222927978372067/5859253033615118276/5859253033615118276_signature_31.png</t>
  </si>
  <si>
    <t>Bernadette bautista medical clinic</t>
  </si>
  <si>
    <t>7 BF Rd QC</t>
  </si>
  <si>
    <t xml:space="preserve">ASSAY: Xpert MTB/RIF Ultra, COUNT: 31
</t>
  </si>
  <si>
    <t>B3 failed xpertcheck B1,B2,B4 passed</t>
  </si>
  <si>
    <t>https://www.jotform.com/uploads/macarewecare/222927978372067/5858791821719920437/5858791821719920437_signature_28.png</t>
  </si>
  <si>
    <t>Richard Eclevia</t>
  </si>
  <si>
    <t>https://www.jotform.com/uploads/macarewecare/222927978372067/5858791821719920437/5858791821719920437_signature_31.png</t>
  </si>
  <si>
    <t>Casimiro Ynares Sr.Memorial Hospital</t>
  </si>
  <si>
    <t>Becco st., Burgos, Rodriguez Rizal</t>
  </si>
  <si>
    <t>A1 encounter intemittent temp error 4012. For reporting</t>
  </si>
  <si>
    <t>https://www.jotform.com/uploads/macarewecare/222927978372067/5858791371714692335/5858791371714692335_signature_28.png</t>
  </si>
  <si>
    <t>Patricia Mae Magsino</t>
  </si>
  <si>
    <t>https://www.jotform.com/uploads/macarewecare/222927978372067/5858791371714692335/5858791371714692335_signature_31.png</t>
  </si>
  <si>
    <t>biomedtech@dlsmc.ph</t>
  </si>
  <si>
    <t>Due for maintenance and xpert check</t>
  </si>
  <si>
    <t>All module passed in xpertcheck.</t>
  </si>
  <si>
    <t>https://www.jotform.com/uploads/macarewecare/222927978372067/5858791021718898349/5858791021718898349_signature_28.png</t>
  </si>
  <si>
    <t>Jeanela Velarde</t>
  </si>
  <si>
    <t>https://www.jotform.com/uploads/macarewecare/222927978372067/5858791021718898349/5858791021718898349_signature_31.png</t>
  </si>
  <si>
    <t>Bais, Negros Oriental</t>
  </si>
  <si>
    <t>END USER REQUEST FOR PREVENTIVE MAINTENANCE AND CALIBRATION</t>
  </si>
  <si>
    <t>-PERFORM PREVENTIVE MAINTENANCE PROCEDURE
-PERFORM XPERTCHECKC CALIBRATION:
MODULE B1, B2, AND B4 PASSED
MODULE B3 SN 878813 FOR SERVICE</t>
  </si>
  <si>
    <t>https://www.jotform.com/uploads/macarewecare/222927978372067/5856937740044798059/5856937740044798059_signature_28.png</t>
  </si>
  <si>
    <t>Evanjun Paccurig</t>
  </si>
  <si>
    <t>https://www.jotform.com/uploads/macarewecare/222927978372067/5856937740044798059/5856937740044798059_signature_31.png</t>
  </si>
  <si>
    <t>Immuno/Sero Dept.</t>
  </si>
  <si>
    <t>lorenzrhudy@gmail.com</t>
  </si>
  <si>
    <t xml:space="preserve">ASSAY: Xpert HIV-1 Viral Load, COUNT: 632
</t>
  </si>
  <si>
    <t>Save Files(IQR, System Log &amp; Assay Stats).</t>
  </si>
  <si>
    <t>Conduct Preventive Maintenance( Filter, Bay Area &amp; Optics Cleaning) for GeneXpert Machine 10 C.</t>
  </si>
  <si>
    <t>All modules are in good working conditions.</t>
  </si>
  <si>
    <t>https://www.jotform.com/uploads/macarewecare/222927978372067/5856927447215365051/5856927447215365051_signature_28.png</t>
  </si>
  <si>
    <t>LORENZ RUDY</t>
  </si>
  <si>
    <t>https://www.jotform.com/uploads/macarewecare/222927978372067/5856927447215365051/5856927447215365051_signature_31.png</t>
  </si>
  <si>
    <t>CPU not booting up ( Error 3FO)</t>
  </si>
  <si>
    <t>Performed BIOS battery replacement
Performed hard drive checkick
Performed RAM and connection reset</t>
  </si>
  <si>
    <t>Unit is not operational
CPU for replacement error 3F0</t>
  </si>
  <si>
    <t>https://www.jotform.com/uploads/macarewecare/222927978372067/5856921104247901796/5856921104247901796_signature_28.png</t>
  </si>
  <si>
    <t>https://www.jotform.com/uploads/macarewecare/222927978372067/5856921104247901796/5856921104247901796_signature_31.png</t>
  </si>
  <si>
    <t>Aurora Memorial Hosital</t>
  </si>
  <si>
    <t>Baler-Casiguran Rd. Brgy Reserva Baler Aurora</t>
  </si>
  <si>
    <t>raymondrmt2010@gmail.com</t>
  </si>
  <si>
    <t>Installation of machine
B1:661317
B2:636286</t>
  </si>
  <si>
    <t>Installation
Preventive maintenance
Module repair</t>
  </si>
  <si>
    <t>Performed installation and setup of 6C machine
Performed module replacement
Performed enduser training
Gathered reports
Performed functionality test</t>
  </si>
  <si>
    <t>Unit is operational 
B1:702999 new module
B2:701072 new module</t>
  </si>
  <si>
    <t>https://www.jotform.com/uploads/macarewecare/222927978372067/5856920744241384346/5856920744241384346_signature_28.png</t>
  </si>
  <si>
    <t>Raymond DL. Alviar</t>
  </si>
  <si>
    <t>https://www.jotform.com/uploads/macarewecare/222927978372067/5856920744241384346/5856920744241384346_signature_31.png</t>
  </si>
  <si>
    <t>fbvelarde.manilamed@gmail.com</t>
  </si>
  <si>
    <t xml:space="preserve">ASSAY: Xpert MTB/RIF Ultra, COUNT: 1054
</t>
  </si>
  <si>
    <t>Unit due for xpertcheck</t>
  </si>
  <si>
    <t>Performed xpertcheck and maintenance
B1 failed, B2-B4 passed</t>
  </si>
  <si>
    <t>Collect reports
Cleaned filter
Cleaned cartridge bay
Plunger rod maintenance
I-core cleaning</t>
  </si>
  <si>
    <t>https://www.jotform.com/uploads/macarewecare/222927978372067/5856905385018284287/5856905385018284287_signature_28.png</t>
  </si>
  <si>
    <t>https://www.jotform.com/uploads/macarewecare/222927978372067/5856905385018284287/5856905385018284287_signature_31.png</t>
  </si>
  <si>
    <t>Rogaciano M. Mercado Memorial Hospital</t>
  </si>
  <si>
    <t>Sta. Maria, Bulacan</t>
  </si>
  <si>
    <t>alona0276@gmail.com</t>
  </si>
  <si>
    <t>Unit for packing</t>
  </si>
  <si>
    <t>Packed unit</t>
  </si>
  <si>
    <t>Unit is operational
Unit ready for pull out</t>
  </si>
  <si>
    <t>https://www.jotform.com/uploads/macarewecare/222927978372067/5856903662029874360/5856903662029874360_signature_28.png</t>
  </si>
  <si>
    <t>Alona Cruz</t>
  </si>
  <si>
    <t>https://www.jotform.com/uploads/macarewecare/222927978372067/5856903662029874360/5856903662029874360_signature_31.png</t>
  </si>
  <si>
    <t xml:space="preserve">ASSAY: Xpert MTB/RIF Ultra, COUNT: 1948
</t>
  </si>
  <si>
    <t>https://www.jotform.com/uploads/macarewecare/222927978372067/5856868338475637360/5856868338475637360_signature_28.png</t>
  </si>
  <si>
    <t>Farimah Maraviles</t>
  </si>
  <si>
    <t>https://www.jotform.com/uploads/macarewecare/222927978372067/5856868338475637360/5856868338475637360_signature_31.png</t>
  </si>
  <si>
    <t>Defective Module B2 sn 210092147</t>
  </si>
  <si>
    <t>New Module B2 installed
Clean Fan and Filter</t>
  </si>
  <si>
    <t>New module installed B2 705575
Clean Fan and Filter
Gathering data of genexpert machine</t>
  </si>
  <si>
    <t>https://www.jotform.com/uploads/macarewecare/222927978372067/5856820971112156951/5856820971112156951_signature_28.png</t>
  </si>
  <si>
    <t>https://www.jotform.com/uploads/macarewecare/222927978372067/5856820971112156951/5856820971112156951_signature_31.png</t>
  </si>
  <si>
    <t>Tubod Rural Health Unit</t>
  </si>
  <si>
    <t>Tubod, lanao del norte</t>
  </si>
  <si>
    <t>jasminerusselcuevas@gmail.com</t>
  </si>
  <si>
    <t>Defective module B3 910220</t>
  </si>
  <si>
    <t>New module installed B3 784156
Clean fan filter
Gathering data of gx machine</t>
  </si>
  <si>
    <t>https://www.jotform.com/uploads/macarewecare/222927978372067/5856818281113473041/5856818281113473041_signature_28.png</t>
  </si>
  <si>
    <t>Jasmine Russel Cuevas</t>
  </si>
  <si>
    <t>https://www.jotform.com/uploads/macarewecare/222927978372067/5856818281113473041/5856818281113473041_signature_31.png</t>
  </si>
  <si>
    <t>Dona Remedios Trinidad Health Center</t>
  </si>
  <si>
    <t>Dona Remedios Trinidad, Bulacan</t>
  </si>
  <si>
    <t>maricel.rmt24@gmail.com</t>
  </si>
  <si>
    <t xml:space="preserve">ASSAY: Xpert MTB/RIF Ultra, COUNT: 433
</t>
  </si>
  <si>
    <t>Unit is operational 
B1: Passed
B2: Passed
B3: Passed
B4: Service required</t>
  </si>
  <si>
    <t>https://www.jotform.com/uploads/macarewecare/222927978372067/5856811822023033112/5856811822023033112_signature_28.png</t>
  </si>
  <si>
    <t>Cecille Angeles</t>
  </si>
  <si>
    <t>https://www.jotform.com/uploads/macarewecare/222927978372067/5856811822023033112/5856811822023033112_signature_31.png</t>
  </si>
  <si>
    <t xml:space="preserve">ASSAY: Xpert MTB/RIF Ultra, COUNT: 1922
ASSAY: Xpert SARS-CoV-2, COUNT: 3962
</t>
  </si>
  <si>
    <t>Module C3 Error</t>
  </si>
  <si>
    <t>Performed Module Replacement 
C3(686934 - 632425)</t>
  </si>
  <si>
    <t>Genexpert Module - 632425</t>
  </si>
  <si>
    <t>https://www.jotform.com/uploads/macarewecare/222927978372067/5856805447689617931/5856805447689617931_signature_28.png</t>
  </si>
  <si>
    <t>Mikeala Anne Torio</t>
  </si>
  <si>
    <t>https://www.jotform.com/uploads/macarewecare/222927978372067/5856805447689617931/5856805447689617931_signature_31.png</t>
  </si>
  <si>
    <t>Rizal Rural Health Unit</t>
  </si>
  <si>
    <t>Rizal Nueva Ecija</t>
  </si>
  <si>
    <t>abigailestoque@yahoo.com</t>
  </si>
  <si>
    <t>Performed surface cleaning
Performed cleaning of cartridge bay,icore,plunger rod and filter
Performed xpertcheck 
Generate reports
Archived test results
Performed functionality test</t>
  </si>
  <si>
    <t>Xpertcheck
Preventive maintenance</t>
  </si>
  <si>
    <t>https://www.jotform.com/uploads/macarewecare/222927978372067/5856759124813574753/5856759124813574753_signature_28.png</t>
  </si>
  <si>
    <t>Abigail Estoque</t>
  </si>
  <si>
    <t>https://www.jotform.com/uploads/macarewecare/222927978372067/5856759124813574753/5856759124813574753_signature_31.png</t>
  </si>
  <si>
    <t>zionclydematote@gmail.com</t>
  </si>
  <si>
    <t xml:space="preserve">ASSAY: Xpert HPV, COUNT: 100
ASSAY: Xpert MTB/RIF Ultra, COUNT: 3072
ASSAY: Xpert SARS-CoV-2, COUNT: 6296
</t>
  </si>
  <si>
    <t>Genexpert XVI</t>
  </si>
  <si>
    <t>Module B3 error 4008</t>
  </si>
  <si>
    <t>Performed Maintenance
Gathered Reports
Performed Module Replacement
A1(888955 - 627228)
A3(210061145 - 635995)
A4(655356 - 793031)
Performed Functionality Test</t>
  </si>
  <si>
    <t>Module B3 for Observation</t>
  </si>
  <si>
    <t>Genexpert Module = 627228 &amp; 635995 &amp; 793031</t>
  </si>
  <si>
    <t>https://www.jotform.com/uploads/macarewecare/222927978372067/5856757520211224213/5856757520211224213_signature_28.png</t>
  </si>
  <si>
    <t>Sunshine Matote</t>
  </si>
  <si>
    <t>https://www.jotform.com/uploads/macarewecare/222927978372067/5856757520211224213/5856757520211224213_signature_31.png</t>
  </si>
  <si>
    <t xml:space="preserve">ASSAY: Xpert HBV VL, COUNT: 40
ASSAY: Xpert MTB/RIF Ultra, COUNT: 2
ASSAY: Xpert HCV VL, COUNT: 3
ASSAY: Xpert HIV-1 Viral Load, COUNT: 216
</t>
  </si>
  <si>
    <t>Assay problem</t>
  </si>
  <si>
    <t>Archived Results</t>
  </si>
  <si>
    <t>Performed Maintenance
-Cleaned Filter
-Cleaned Icore
-Cleaned Cartridge bay
-Cleaned Plunger Rod
Gathered Reports
Performed Functionality Test</t>
  </si>
  <si>
    <t>No Preventive Maintenance Certificate</t>
  </si>
  <si>
    <t>https://www.jotform.com/uploads/macarewecare/222927978372067/5856711956444670881/5856711956444670881_signature_28.png</t>
  </si>
  <si>
    <t>https://www.jotform.com/uploads/macarewecare/222927978372067/5856711956444670881/5856711956444670881_signature_31.png</t>
  </si>
  <si>
    <t xml:space="preserve">ASSAY: Others, COUNT: 0
</t>
  </si>
  <si>
    <t>https://www.jotform.com/uploads/macarewecare/222927978372067/5856707863249441042/5856707863249441042_signature_28.png</t>
  </si>
  <si>
    <t>rezelmarielagos@gmail</t>
  </si>
  <si>
    <t>https://www.jotform.com/uploads/macarewecare/222927978372067/5856707863249441042/5856707863249441042_signature_31.png</t>
  </si>
  <si>
    <t>Regalado ave.Novaliches QC</t>
  </si>
  <si>
    <t>gqbugayong@feu-nrmf.edu.ph</t>
  </si>
  <si>
    <t>clinicallab@feu-nrmf.edu.ph</t>
  </si>
  <si>
    <t xml:space="preserve">ASSAY: Xpert HPV, COUNT: 60
ASSAY: Xpert MTB/RIF Ultra, COUNT: 415
</t>
  </si>
  <si>
    <t>Operational
All module passed in xpertcheck.</t>
  </si>
  <si>
    <t>https://www.jotform.com/uploads/macarewecare/222927978372067/5856699620308733141/5856699620308733141_signature_28.png</t>
  </si>
  <si>
    <t>Ley Arranz</t>
  </si>
  <si>
    <t>https://www.jotform.com/uploads/macarewecare/222927978372067/5856699620308733141/5856699620308733141_signature_31.png</t>
  </si>
  <si>
    <t>Pikit Rural Health Unit</t>
  </si>
  <si>
    <t>Pikit, North Cotabato</t>
  </si>
  <si>
    <t>litosepelagior@gmail.com</t>
  </si>
  <si>
    <t xml:space="preserve">ASSAY: Xpert MTB/RIF Ultra, COUNT: 
ASSAY: Xpert MTB/RIF Ultra, COUNT: 651
</t>
  </si>
  <si>
    <t>Gx-IV 2modules (6 color)</t>
  </si>
  <si>
    <t>Perform Xpertcheck 
Genexpert Cleaning and checking of errors 
Data collection</t>
  </si>
  <si>
    <t>All modules passed Xpertcheck</t>
  </si>
  <si>
    <t>Lot #: 1000410214</t>
  </si>
  <si>
    <t>https://www.jotform.com/uploads/macarewecare/222927978372067/5856297205122617736/5856297205122617736_signature_28.png</t>
  </si>
  <si>
    <t>Lito R. Sepelagio, RMT</t>
  </si>
  <si>
    <t>https://www.jotform.com/uploads/macarewecare/222927978372067/5856297205122617736/5856297205122617736_signature_31.png</t>
  </si>
  <si>
    <t>https://www.jotform.com/uploads/macarewecare/222927978372067/5856296925129987566/5856296925129987566_signature_28.png</t>
  </si>
  <si>
    <t>https://www.jotform.com/uploads/macarewecare/222927978372067/5856296925129987566/5856296925129987566_signature_31.png</t>
  </si>
  <si>
    <t>HP Z230</t>
  </si>
  <si>
    <t>2UA52027VVB</t>
  </si>
  <si>
    <t>Defective HDD</t>
  </si>
  <si>
    <t>Replaced HDD with SSD
Installed new software</t>
  </si>
  <si>
    <t>Replaced defective HDD</t>
  </si>
  <si>
    <t>https://www.jotform.com/uploads/macarewecare/222927978372067/5856056315704391664/5856056315704391664_signature_28.png</t>
  </si>
  <si>
    <t>Carlos Origenes</t>
  </si>
  <si>
    <t>https://www.jotform.com/uploads/macarewecare/222927978372067/5856056315704391664/5856056315704391664_signature_31.png</t>
  </si>
  <si>
    <t>Tarlac Provincial Hospital</t>
  </si>
  <si>
    <t>Hosital Drive San Vicente Tarlac City</t>
  </si>
  <si>
    <t>molecularlab.tph@gmail.com</t>
  </si>
  <si>
    <t xml:space="preserve">ASSAY: Xpert SARS-CoV-2, COUNT: 2747
</t>
  </si>
  <si>
    <t>Error 2120 Lost Communication</t>
  </si>
  <si>
    <t>Troubleshooting
Preventive maintenance</t>
  </si>
  <si>
    <t>Performed Preventive maintenance
Troubleshoot UPS if Backing up when power is interupted
Checked power connection
Check ad reset LAN cable and gateway board
Performed reliability test
Performed functionality test
Gthered reports</t>
  </si>
  <si>
    <t>Unit is operational 
Under observation</t>
  </si>
  <si>
    <t>https://www.jotform.com/uploads/macarewecare/222927978372067/5856044885716135050/5856044885716135050_signature_28.png</t>
  </si>
  <si>
    <t>Mark Rahael Turaray</t>
  </si>
  <si>
    <t>https://www.jotform.com/uploads/macarewecare/222927978372067/5856044885716135050/5856044885716135050_signature_31.png</t>
  </si>
  <si>
    <t>Jacinto Street Davao City</t>
  </si>
  <si>
    <t xml:space="preserve">ASSAY: Xpert HIV-1 Viral Load, COUNT: 8
ASSAY: Xpert MTB/RIF Ultra, COUNT: 117
ASSAY: Xpert HIV-1 Viral Load, COUNT: 680
</t>
  </si>
  <si>
    <t>Multiple Errors on Module B2 and B4
GeneXpert Relocation and to be Networked</t>
  </si>
  <si>
    <t>Reset connection for B2 Module,  and reset the valve position to its home position
Relocate the GeneXpert for networked connection</t>
  </si>
  <si>
    <t>Module Troubleshooting and Relocation for network of GeneXpert</t>
  </si>
  <si>
    <t>Module B2 still occuring Error 4004: related to Valve position Error, Module B4 occurring temperature related even after XPC. Errors documented to be sent at Cepheid for further Assessment.
Successfully Networked the GeneXpert Machine</t>
  </si>
  <si>
    <t>Temporarily disabled Modules B2 and B4</t>
  </si>
  <si>
    <t>https://www.jotform.com/uploads/macarewecare/222927978372067/5856027298825146030/5856027298825146030_signature_28.png</t>
  </si>
  <si>
    <t>https://www.jotform.com/uploads/macarewecare/222927978372067/5856027298825146030/5856027298825146030_signature_31.png</t>
  </si>
  <si>
    <t>Pandan Rural Health Unit</t>
  </si>
  <si>
    <t>Pandan</t>
  </si>
  <si>
    <t>mjnamata10@gmail.com</t>
  </si>
  <si>
    <t xml:space="preserve">ASSAY: Xpert MTB/RIF Ultra, COUNT: 1186
</t>
  </si>
  <si>
    <t>For Preventive Maintenance 
Test results not archived</t>
  </si>
  <si>
    <t>Cleaned cartridge bays, plunger rod, icore 
Archived test results
Generate reports</t>
  </si>
  <si>
    <t>https://www.jotform.com/uploads/macarewecare/222927978372067/5856003083024167603/5856003083024167603_signature_28.png</t>
  </si>
  <si>
    <t>Mary Joan Namata</t>
  </si>
  <si>
    <t>https://www.jotform.com/uploads/macarewecare/222927978372067/5856003083024167603/5856003083024167603_signature_31.png</t>
  </si>
  <si>
    <t>chachaska.lp14@gmail.com</t>
  </si>
  <si>
    <t xml:space="preserve">ASSAY: Xpert MTB/RIF Ultra, COUNT: 1800
</t>
  </si>
  <si>
    <t>All modules encountered termination error due to syringe pressure exceeds at protocol limits</t>
  </si>
  <si>
    <t>- End-user advice to properly keep the reagent buffer at 20-28 degrees including cartridges
- Room temperature during weekends rise at approximately 40 degrees and end-user advice to store the cartridges at required temperature from 20-28 degrees to maintain.
- buffer turns yellowish during their operation</t>
  </si>
  <si>
    <t>All units of modules are operational.</t>
  </si>
  <si>
    <t>https://www.jotform.com/uploads/macarewecare/222927978372067/5856001851112194057/5856001851112194057_signature_28.png</t>
  </si>
  <si>
    <t>https://www.jotform.com/uploads/macarewecare/222927978372067/5856001851112194057/5856001851112194057_signature_31.png</t>
  </si>
  <si>
    <t>Legazpi</t>
  </si>
  <si>
    <t>melosept22@Gmail.com</t>
  </si>
  <si>
    <t xml:space="preserve">ASSAY: Xpert BCR-ABL Ultra, COUNT: 36
ASSAY: Xpert CT/NG, COUNT: 10
ASSAY: Xpert HBV VL, COUNT: 235
ASSAY: Xpert MTB/RIF Ultra, COUNT: 231
ASSAY: Others, COUNT: 31
ASSAY: Xpert SARS-CoV-2, COUNT: 12
</t>
  </si>
  <si>
    <t>Error/Code: 2008 for B2/220009328 &amp; B4/210083433</t>
  </si>
  <si>
    <t>Cleaned icore, carridge bays
Check gx cables and power cables
Collect Gxx file
Generate reports</t>
  </si>
  <si>
    <t>Performed troubleshooting 
Collect Data</t>
  </si>
  <si>
    <t>will request assistance from tech specialist for 2008 error if problem persists (insufficient error)</t>
  </si>
  <si>
    <t>https://www.jotform.com/uploads/macarewecare/222927978372067/5855998243028262984/5855998243028262984_signature_28.png</t>
  </si>
  <si>
    <t>Estevez Memorial Hoeputwl,Inc.</t>
  </si>
  <si>
    <t>https://www.jotform.com/uploads/macarewecare/222927978372067/5855998243028262984/5855998243028262984_signature_31.png</t>
  </si>
  <si>
    <t>Microobiology</t>
  </si>
  <si>
    <t xml:space="preserve">ASSAY: Xpert HPV, COUNT: 96
ASSAY: Xpert MTB/RIF Ultra, COUNT: 3495
ASSAY: Xpert HIV-1 Viral Load, COUNT: 340
</t>
  </si>
  <si>
    <t>https://www.jotform.com/uploads/macarewecare/222927978372067/5855993765522946365/5855993765522946365_signature_28.png</t>
  </si>
  <si>
    <t>Sarah Nicole Aurea Mireno</t>
  </si>
  <si>
    <t>https://www.jotform.com/uploads/macarewecare/222927978372067/5855993765522946365/5855993765522946365_signature_31.png</t>
  </si>
  <si>
    <t>vsmmcdepatho.microbiology@gmail.com</t>
  </si>
  <si>
    <t xml:space="preserve">ASSAY: Xpert HPV, COUNT: 105
ASSAY: Xpert MTB/RIF Ultra, COUNT: 3168
ASSAY: Xpert HIV-1 Viral Load, COUNT: 105
</t>
  </si>
  <si>
    <t>GXIV- 4D</t>
  </si>
  <si>
    <t>All modules are functional but error 2097 keeps occurring.</t>
  </si>
  <si>
    <t>Modules under observation. Error 2097 may be cause my insufficient sample or defective cartridge.</t>
  </si>
  <si>
    <t>https://www.jotform.com/uploads/macarewecare/222927978372067/5855993765523120821/5855993765523120821_signature_28.png</t>
  </si>
  <si>
    <t>https://www.jotform.com/uploads/macarewecare/222927978372067/5855993765523120821/5855993765523120821_signature_31.png</t>
  </si>
  <si>
    <t>Module 1 encountered a termination error due to temperature related problem</t>
  </si>
  <si>
    <t>Fix the temperature of the area, at 20 degrees.
Generate IQR, GXX, Assay Statistics
Run sample specimen at Module 1
Clean Filter, clean Icore, and plunger</t>
  </si>
  <si>
    <t>As of March 6, 2024, Module 1 run at normal condition and generate proper results without termination error,
- All modules are operation 
-Under Observation within  the week,
-Medtech end-user advise to properly close the exit area like doors, window 
-If aircon are malfunction, advise to stop the process and fix the aircon immediately.</t>
  </si>
  <si>
    <t>https://www.jotform.com/uploads/macarewecare/222927978372067/5855992611114866272/5855992611114866272_signature_28.png</t>
  </si>
  <si>
    <t>https://www.jotform.com/uploads/macarewecare/222927978372067/5855992611114866272/5855992611114866272_signature_31.png</t>
  </si>
  <si>
    <t>Brgy. Poblacion, Don Carlos</t>
  </si>
  <si>
    <t>gibsz.l002@gmail.com</t>
  </si>
  <si>
    <t xml:space="preserve">ASSAY: Xpert MTB/RIF Ultra, COUNT: 358
</t>
  </si>
  <si>
    <t>Module C2 found service required thru XPC</t>
  </si>
  <si>
    <t>Replacing Module C2 with SN:675868 to SN: 885298</t>
  </si>
  <si>
    <t>https://www.jotform.com/uploads/macarewecare/222927978372067/5855990020321551816/5855990020321551816_signature_28.png</t>
  </si>
  <si>
    <t>https://www.jotform.com/uploads/macarewecare/222927978372067/5855990020321551816/5855990020321551816_signature_31.png</t>
  </si>
  <si>
    <t>Schistosomiasis Research and Training Center</t>
  </si>
  <si>
    <t>https://www.jotform.com/uploads/macarewecare/222927978372067/5855940216115334362/5855940216115334362_signature_28.png</t>
  </si>
  <si>
    <t>Maria Chrissa E. Villaflor</t>
  </si>
  <si>
    <t>https://www.jotform.com/uploads/macarewecare/222927978372067/5855940216115334362/5855940216115334362_signature_31.png</t>
  </si>
  <si>
    <t>Amma Jadsac District Hospital</t>
  </si>
  <si>
    <t>Pudtol, Apayao</t>
  </si>
  <si>
    <t>dlgblacar.pbsp@gmail.com</t>
  </si>
  <si>
    <t xml:space="preserve">ASSAY: Xpert MTB/RIF Ultra, COUNT: 3419
</t>
  </si>
  <si>
    <t>Module 2 error</t>
  </si>
  <si>
    <t>Performed Module Replacement on Module A2
A2(210091324 - 861019)</t>
  </si>
  <si>
    <t>Genexpert Module - 861019</t>
  </si>
  <si>
    <t>https://www.jotform.com/uploads/macarewecare/222927978372067/5855937495517789772/5855937495517789772_signature_28.png</t>
  </si>
  <si>
    <t>Daisy Lynn Grace B. Lacar</t>
  </si>
  <si>
    <t>https://www.jotform.com/uploads/macarewecare/222927978372067/5855937495517789772/5855937495517789772_signature_31.png</t>
  </si>
  <si>
    <t xml:space="preserve">ASSAY: Xpert MTB/RIF Ultra, COUNT: 5296
</t>
  </si>
  <si>
    <t>Unit is operational. Modules A4 (210076794), B2 (210083060), B4 (210083059), C2 (210081539) and C3 (210070572) are Service Required.</t>
  </si>
  <si>
    <t>DR#11218</t>
  </si>
  <si>
    <t>https://www.jotform.com/uploads/macarewecare/222927978372067/5855904209981604378/5855904209981604378_signature_28.png</t>
  </si>
  <si>
    <t>https://www.jotform.com/uploads/macarewecare/222927978372067/5855904209981604378/5855904209981604378_signature_31.png</t>
  </si>
  <si>
    <t>Midsayap Rural Health Unit</t>
  </si>
  <si>
    <t>rhumidsayap@yahoo.com</t>
  </si>
  <si>
    <t>Gx-IV/2 module 6 color</t>
  </si>
  <si>
    <t>Module 2 under observation due to temperature errors</t>
  </si>
  <si>
    <t>Perform Genexpert annual Xpertcheck 
Genexpert Cleaning and checking of errors 
Data collection</t>
  </si>
  <si>
    <t>Perform Genexpert machine preventive maintenance 
Perform Genexpert Xpertcheck/Calibration</t>
  </si>
  <si>
    <t>https://www.jotform.com/uploads/macarewecare/222927978372067/5855895929417699228/5855895929417699228_signature_28.png</t>
  </si>
  <si>
    <t>Milcah sugcawan</t>
  </si>
  <si>
    <t>https://www.jotform.com/uploads/macarewecare/222927978372067/5855895929417699228/5855895929417699228_signature_31.png</t>
  </si>
  <si>
    <t>dadphf@yahoo.com</t>
  </si>
  <si>
    <t xml:space="preserve">ASSAY: Xpert MTB/RIF Ultra, COUNT: 1154
</t>
  </si>
  <si>
    <t>Module 2 multiple temperature errors</t>
  </si>
  <si>
    <t>Perform Xpertcheck at module 2 for module troubleshooting
Genexpert cleaning and Checking of errors 
Reporting of errors 
Data collection</t>
  </si>
  <si>
    <t>Perform Genexpert machine preventive maintenance
Perform Genexpert module troubleshooting</t>
  </si>
  <si>
    <t>3 operation modules</t>
  </si>
  <si>
    <t>https://www.jotform.com/uploads/macarewecare/222927978372067/5855833599411340980/5855833599411340980_signature_28.png</t>
  </si>
  <si>
    <t>Ermariz Jaducana</t>
  </si>
  <si>
    <t>https://www.jotform.com/uploads/macarewecare/222927978372067/5855833599411340980/5855833599411340980_signature_31.png</t>
  </si>
  <si>
    <t>Batasan Hills Super Health Center</t>
  </si>
  <si>
    <t>IBP RD Batasan QC</t>
  </si>
  <si>
    <t>ashwinkevin@gmail.com</t>
  </si>
  <si>
    <t xml:space="preserve">ASSAY: Xpert HPV, COUNT: 467
ASSAY: Xpert MTB/RIF Ultra, COUNT: 2992
</t>
  </si>
  <si>
    <t>For modeule replacement D2 640940 -700788, D3 210019124 - 716971</t>
  </si>
  <si>
    <t>G6855</t>
  </si>
  <si>
    <t>https://www.jotform.com/uploads/macarewecare/222927978372067/5855695061714759716/5855695061714759716_signature_28.png</t>
  </si>
  <si>
    <t>Kevin Orlando D. Cabuso</t>
  </si>
  <si>
    <t>https://www.jotform.com/uploads/macarewecare/222927978372067/5855695061714759716/5855695061714759716_signature_31.png</t>
  </si>
  <si>
    <t>Quezon avenue,QC</t>
  </si>
  <si>
    <t xml:space="preserve">ASSAY: Xpert MTB/RIF Ultra, COUNT: 5830
ASSAY: Xpert SARS-CoV-2, COUNT: 2536
</t>
  </si>
  <si>
    <t>C2 hw failed failure
A1 and A2 broken uniframe</t>
  </si>
  <si>
    <t>Swap module C2 to C1 after swapping the error hw failed still occur
Checked voltage of ups
Checked gateway board</t>
  </si>
  <si>
    <t>Trounleshooting</t>
  </si>
  <si>
    <t>C2 hw failed,
13 operational
A1 and A2 still can be use</t>
  </si>
  <si>
    <t>https://www.jotform.com/uploads/macarewecare/222927978372067/5855694211719944881/5855694211719944881_signature_28.png</t>
  </si>
  <si>
    <t>https://www.jotform.com/uploads/macarewecare/222927978372067/5855694211719944881/5855694211719944881_signature_31.png</t>
  </si>
  <si>
    <t>Sasa Health Center</t>
  </si>
  <si>
    <t>Sasa, Davao City</t>
  </si>
  <si>
    <t>mariarosario_mapayo@yahoo.com.sg</t>
  </si>
  <si>
    <t>Run XpertCheck Calibration on Four Module</t>
  </si>
  <si>
    <t>Perform Xpertcheck Calibration</t>
  </si>
  <si>
    <t>https://www.jotform.com/uploads/macarewecare/222927978372067/5855257575512709289/5855257575512709289_signature_28.png</t>
  </si>
  <si>
    <t>Maria Rosario M. Pino RMT</t>
  </si>
  <si>
    <t>https://www.jotform.com/uploads/macarewecare/222927978372067/5855257575512709289/5855257575512709289_signature_31.png</t>
  </si>
  <si>
    <t>Ipil rural health unit</t>
  </si>
  <si>
    <t xml:space="preserve">ASSAY: Xpert MTB/RIF Ultra, COUNT: 1688
ASSAY: Xpert HIV-1 Viral Load, COUNT: 29
</t>
  </si>
  <si>
    <t>Module 2 failed during xpertcheck</t>
  </si>
  <si>
    <t>Replaced module 637066 with Module 607974. And Preventive maintenance.</t>
  </si>
  <si>
    <t>https://www.jotform.com/uploads/macarewecare/222927978372067/5855234722346816830/5855234722346816830_signature_28.png</t>
  </si>
  <si>
    <t>https://www.jotform.com/uploads/macarewecare/222927978372067/5855234722346816830/5855234722346816830_signature_31.png</t>
  </si>
  <si>
    <t>INTEGRATED PROVINCIAL HEALTH OFFICE - SIQUIJOR</t>
  </si>
  <si>
    <t>DUMANHOG, SIQUIJOR</t>
  </si>
  <si>
    <t>Siquijor</t>
  </si>
  <si>
    <t>glinniericamor73@gmail.com</t>
  </si>
  <si>
    <t>UPS FOR OBSERVATION DUE TO ALARM</t>
  </si>
  <si>
    <t>https://www.jotform.com/uploads/macarewecare/222927978372067/5855210426819604547/5855210426819604547_signature_28.png</t>
  </si>
  <si>
    <t>GLINNIE RICAMOR</t>
  </si>
  <si>
    <t>https://www.jotform.com/uploads/macarewecare/222927978372067/5855210426819604547/5855210426819604547_signature_31.png</t>
  </si>
  <si>
    <t>Malvar Rural Health Unit</t>
  </si>
  <si>
    <t>Malvar</t>
  </si>
  <si>
    <t>lopezsheryl13@gmail.com</t>
  </si>
  <si>
    <t>Performed maintenance
Replaced module B4
Generated reports</t>
  </si>
  <si>
    <t>Old: B4/806888
New: B4/893800</t>
  </si>
  <si>
    <t>https://www.jotform.com/uploads/macarewecare/222927978372067/5855204395268168497/5855204395268168497_signature_28.png</t>
  </si>
  <si>
    <t>Sheryl E. Lopez</t>
  </si>
  <si>
    <t>https://www.jotform.com/uploads/macarewecare/222927978372067/5855204395268168497/5855204395268168497_signature_31.png</t>
  </si>
  <si>
    <t xml:space="preserve">ASSAY: Xpert HPV, COUNT: 3
ASSAY: Xpert MTB/RIF Ultra, COUNT: 285
</t>
  </si>
  <si>
    <t>Unit is operational
B1: Passed
B2: Service required
B3: Passed
B4: Passed
Module B2 for reporting</t>
  </si>
  <si>
    <t>https://www.jotform.com/uploads/macarewecare/222927978372067/5855199776542319333/5855199776542319333_signature_28.png</t>
  </si>
  <si>
    <t>Marcjoven Angelo Superales</t>
  </si>
  <si>
    <t>https://www.jotform.com/uploads/macarewecare/222927978372067/5855199776542319333/5855199776542319333_signature_31.png</t>
  </si>
  <si>
    <t>Carmen Rural Health Unit</t>
  </si>
  <si>
    <t>Carmen, North Cotabato</t>
  </si>
  <si>
    <t xml:space="preserve">REPAIR
CALIBRATION
MAINTENANCE
</t>
  </si>
  <si>
    <t>lumawagrosalyn1@gmail.com</t>
  </si>
  <si>
    <t>Gx-IV 6 color</t>
  </si>
  <si>
    <t>Module 3 H/W failed 
Request for genexpert fan filter</t>
  </si>
  <si>
    <t>Replace defective module 3 SN:695711 with new module SN:862382
Perform Xpertcheck at module 1,2 and 4
Genexpert Cleaning and checking of errors 
Data collection</t>
  </si>
  <si>
    <t>Perform Genexpert machine preventive maintenance 
Perform Genexpert machine module replacement/repair 
Perform Genexpert Xpertcheck/Calibration</t>
  </si>
  <si>
    <t>Module 1,2 and 4 passed Xpertcheck</t>
  </si>
  <si>
    <t>Genexpert module 6-color SN:695711</t>
  </si>
  <si>
    <t>Cepheid case:1467083</t>
  </si>
  <si>
    <t>https://www.jotform.com/uploads/macarewecare/222927978372067/5855194121517866022/5855194121517866022_signature_28.png</t>
  </si>
  <si>
    <t>Rosalyn L. Lumawag</t>
  </si>
  <si>
    <t>https://www.jotform.com/uploads/macarewecare/222927978372067/5855194121517866022/5855194121517866022_signature_31.png</t>
  </si>
  <si>
    <t>Module C2 with SN 808243 and module C3 with SN 740037 failed in Xpert check today.</t>
  </si>
  <si>
    <t>Conduct PM and save files(IQR, System Log, Assay Stats and GXC File).</t>
  </si>
  <si>
    <t>Performed Xpert check calibration for 4 modules.</t>
  </si>
  <si>
    <t>Module C1 and C4 passed the XPC and in good working conditions.</t>
  </si>
  <si>
    <t>https://www.jotform.com/uploads/macarewecare/222927978372067/5855155806222300477/5855155806222300477_signature_28.png</t>
  </si>
  <si>
    <t>https://www.jotform.com/uploads/macarewecare/222927978372067/5855155806222300477/5855155806222300477_signature_31.png</t>
  </si>
  <si>
    <t>Mataas na Kahoy Rural Health Unit</t>
  </si>
  <si>
    <t>Brgy. Dos, Dimayuga St. Mataas na Kahoy</t>
  </si>
  <si>
    <t>dmlescano1219@gmail.com</t>
  </si>
  <si>
    <t>PM and Xpercheck.</t>
  </si>
  <si>
    <t>https://www.jotform.com/uploads/macarewecare/222927978372067/5855155742511863484/5855155742511863484_signature_28.png</t>
  </si>
  <si>
    <t>Debbie Lescano</t>
  </si>
  <si>
    <t>https://www.jotform.com/uploads/macarewecare/222927978372067/5855155742511863484/5855155742511863484_signature_31.png</t>
  </si>
  <si>
    <t>Unit for PM.
For module replacement of A2, C3, C4 and D4.</t>
  </si>
  <si>
    <t>GX modules A2 (862414), C3 (638691), C4 (717781) and D4 (886347) in replacement to defective A2 (607813), C3 (892213), C4 (892212) and D4 (680439).</t>
  </si>
  <si>
    <t>https://www.jotform.com/uploads/macarewecare/222927978372067/5855117852512685625/5855117852512685625_signature_28.png</t>
  </si>
  <si>
    <t>Patricia Louisse A. Baltazar</t>
  </si>
  <si>
    <t>https://www.jotform.com/uploads/macarewecare/222927978372067/5855117852512685625/5855117852512685625_signature_31.png</t>
  </si>
  <si>
    <t>Unit for PM.
For module replacement of C1.</t>
  </si>
  <si>
    <t>GX module C1 (717610) in replacement to defective C1 (619967).</t>
  </si>
  <si>
    <t>https://www.jotform.com/uploads/macarewecare/222927978372067/5855117852514643912/5855117852514643912_signature_28.png</t>
  </si>
  <si>
    <t>https://www.jotform.com/uploads/macarewecare/222927978372067/5855117852514643912/5855117852514643912_signature_31.png</t>
  </si>
  <si>
    <t>Buhangin, Davao City</t>
  </si>
  <si>
    <t>Due for Preventive Maintenance and UPS Problem</t>
  </si>
  <si>
    <t>Clean Surface Area, Cartridge Bay, Plunger Rod, Fan Filters and Icore Lenses
Generate IQR, Assay Stat, and System Log
Archived Data test results
Check UPS</t>
  </si>
  <si>
    <t>Perform Preventive Maintenance
UPS Troubleshooting</t>
  </si>
  <si>
    <t>All Modules are Operational
UPS no power on battery mode, documented to be sent for reporting</t>
  </si>
  <si>
    <t>https://www.jotform.com/uploads/macarewecare/222927978372067/5855106912917894943/5855106912917894943_signature_28.png</t>
  </si>
  <si>
    <t>Catherine De Ocampo</t>
  </si>
  <si>
    <t>https://www.jotform.com/uploads/macarewecare/222927978372067/5855106912917894943/5855106912917894943_signature_31.png</t>
  </si>
  <si>
    <t>djnrmhsmolecularlab@gmail.com</t>
  </si>
  <si>
    <t>Modules B1, B2, B3 for replacement</t>
  </si>
  <si>
    <t>Unit is operational
Module B3's status is hardware failed upon installation
B3 for reporting</t>
  </si>
  <si>
    <t>GeneXpert Module
SN: 700319, 717214, 713929</t>
  </si>
  <si>
    <t>https://www.jotform.com/uploads/macarewecare/222927978372067/5855098798817209324/5855098798817209324_signature_28.png</t>
  </si>
  <si>
    <t>https://www.jotform.com/uploads/macarewecare/222927978372067/5855098798817209324/5855098798817209324_signature_31.png</t>
  </si>
  <si>
    <t>shirleymaepecto@gmail.com</t>
  </si>
  <si>
    <t>Module B1 with SN 760020 failed in XPC today.</t>
  </si>
  <si>
    <t>Save files(GXX File, IQR, System Log and Assay Stat). Conduct also PM and Jotf</t>
  </si>
  <si>
    <t>Module B2, B3 and B4 passed the calibration.</t>
  </si>
  <si>
    <t>https://www.jotform.com/uploads/macarewecare/222927978372067/5855063106229260466/5855063106229260466_signature_28.png</t>
  </si>
  <si>
    <t>Shirley Mae G. Pecto</t>
  </si>
  <si>
    <t>https://www.jotform.com/uploads/macarewecare/222927978372067/5855063106229260466/5855063106229260466_signature_31.png</t>
  </si>
  <si>
    <t>GXIV 6 color</t>
  </si>
  <si>
    <t>stuck cartridge on B2,B3,B4</t>
  </si>
  <si>
    <t>https://www.jotform.com/uploads/macarewecare/222927978372067/5855016442542844652/5855016442542844652_signature_28.png</t>
  </si>
  <si>
    <t>https://www.jotform.com/uploads/macarewecare/222927978372067/5855016442542844652/5855016442542844652_signature_31.png</t>
  </si>
  <si>
    <t>Balang Bataan</t>
  </si>
  <si>
    <t xml:space="preserve">ASSAY: Xpert HBV VL, COUNT: 17
ASSAY: Xpert SARS-CoV-2, COUNT: 11512
ASSAY: Xpert HIV-1 Viral Load, COUNT: 2
</t>
  </si>
  <si>
    <t>Performed cleaning of cartridge bay, plunger rod, filter, icore and surface area
Archived test results
Performed machine calibration
Gathered reports
Performed functionality test</t>
  </si>
  <si>
    <t>Unit is operational
2 modules passed calibration</t>
  </si>
  <si>
    <t>https://www.jotform.com/uploads/macarewecare/222927978372067/5855011049619654979/5855011049619654979_signature_28.png</t>
  </si>
  <si>
    <t>https://www.jotform.com/uploads/macarewecare/222927978372067/5855011049619654979/5855011049619654979_signature_31.png</t>
  </si>
  <si>
    <t>San fernado papanga</t>
  </si>
  <si>
    <t>Immunology/ Serology</t>
  </si>
  <si>
    <t>GCIV-D</t>
  </si>
  <si>
    <t>Performed surface cleaning
Performed cleaning of cartridge bay,icore,plunger rod and filter
Generate reports
Archived test results
Performed functionality test</t>
  </si>
  <si>
    <t>https://www.jotform.com/uploads/macarewecare/222927978372067/5854482783228406305/5854482783228406305_signature_28.png</t>
  </si>
  <si>
    <t>https://www.jotform.com/uploads/macarewecare/222927978372067/5854482783228406305/5854482783228406305_signature_31.png</t>
  </si>
  <si>
    <t>San Fernando Pampanga</t>
  </si>
  <si>
    <t>Immunology/Serology</t>
  </si>
  <si>
    <t xml:space="preserve">ASSAY: Xpert HBV VL, COUNT: 46
ASSAY: Xpert HCV VL, COUNT: 5
ASSAY: Xpert HIV-1 Viral Load, COUNT: 315
</t>
  </si>
  <si>
    <t>Performed surface cleaning
Performed cleaning of cartridge bay,icore,plunger rod and filter
Archived test results
Gathered reports
Performed functionality test</t>
  </si>
  <si>
    <t>https://www.jotform.com/uploads/macarewecare/222927978372067/5854383743227134025/5854383743227134025_signature_28.png</t>
  </si>
  <si>
    <t>https://www.jotform.com/uploads/macarewecare/222927978372067/5854383743227134025/5854383743227134025_signature_31.png</t>
  </si>
  <si>
    <t>Baras Medicare and Community Hospital</t>
  </si>
  <si>
    <t xml:space="preserve">ASSAY: Xpert BCR-ABL Ultra, COUNT: 709
</t>
  </si>
  <si>
    <t>Cleaned cartridge bays,  plunger rod, icore
Generate reports</t>
  </si>
  <si>
    <t>https://www.jotform.com/uploads/macarewecare/222927978372067/5854353817119532404/5854353817119532404_signature_28.png</t>
  </si>
  <si>
    <t>Malu S.  Tesorero</t>
  </si>
  <si>
    <t>https://www.jotform.com/uploads/macarewecare/222927978372067/5854353817119532404/5854353817119532404_signature_31.png</t>
  </si>
  <si>
    <t>Catarman Municipal Health Office</t>
  </si>
  <si>
    <t>Brgy. Poblacion, Catarman</t>
  </si>
  <si>
    <t>airishcamacho1225@gmail.com</t>
  </si>
  <si>
    <t>Module B2 found service required thru XPC</t>
  </si>
  <si>
    <t>Replacing Module B2 with SN: 787848 to SN: 660885</t>
  </si>
  <si>
    <t>https://www.jotform.com/uploads/macarewecare/222927978372067/5854352883699139704/5854352883699139704_signature_28.png</t>
  </si>
  <si>
    <t>Airish Camacho</t>
  </si>
  <si>
    <t>https://www.jotform.com/uploads/macarewecare/222927978372067/5854352883699139704/5854352883699139704_signature_31.png</t>
  </si>
  <si>
    <t>Installed Gx4-10C, CPU, Monitor,  UPS,  Printer,  Barcode Scanner
Generate Reports</t>
  </si>
  <si>
    <t>GX4-10C installed</t>
  </si>
  <si>
    <t>https://www.jotform.com/uploads/macarewecare/222927978372067/5854351797114490506/5854351797114490506_signature_28.png</t>
  </si>
  <si>
    <t>Malu S. Tesorero</t>
  </si>
  <si>
    <t>https://www.jotform.com/uploads/macarewecare/222927978372067/5854351797114490506/5854351797114490506_signature_31.png</t>
  </si>
  <si>
    <t xml:space="preserve">ASSAY: Xpert MTB/RIF Ultra, COUNT: 1391
</t>
  </si>
  <si>
    <t>A2:649409 for module replacement</t>
  </si>
  <si>
    <t>Unit is operational 
A2:720724 ( new module)</t>
  </si>
  <si>
    <t>1 genexpert module(720724)</t>
  </si>
  <si>
    <t>https://www.jotform.com/uploads/macarewecare/222927978372067/5854305195412465024/5854305195412465024_signature_28.png</t>
  </si>
  <si>
    <t>https://www.jotform.com/uploads/macarewecare/222927978372067/5854305195412465024/5854305195412465024_signature_31.png</t>
  </si>
  <si>
    <t>Pandi Rural Health Unit</t>
  </si>
  <si>
    <t>Pandi, Bulacan</t>
  </si>
  <si>
    <t>pandirhulaboratory@gmail.com</t>
  </si>
  <si>
    <t xml:space="preserve">ASSAY: Xpert MTB/RIF Ultra, COUNT: 1064
ASSAY: Xpert MTB/RIF Ultra, COUNT: 1064
</t>
  </si>
  <si>
    <t>https://www.jotform.com/uploads/macarewecare/222927978372067/5854286192521050762/5854286192521050762_signature_28.png</t>
  </si>
  <si>
    <t>Jhoana Marie Salvador</t>
  </si>
  <si>
    <t>https://www.jotform.com/uploads/macarewecare/222927978372067/5854286192521050762/5854286192521050762_signature_31.png</t>
  </si>
  <si>
    <t xml:space="preserve">ASSAY: Xpert MTB/RIF Ultra, COUNT: 1705
</t>
  </si>
  <si>
    <t>Module B1 service required last Xpc Calibration</t>
  </si>
  <si>
    <t>Replaced the Defective Module SN: 788487 with new Module SN: 210058025
Clean Surface Area, Cartridge Bay, Plunger Rod, Fan Filters and Icore Lenses
Generate IQR, Assay Stat and System Log</t>
  </si>
  <si>
    <t>https://www.jotform.com/uploads/macarewecare/222927978372067/5854274265911569304/5854274265911569304_signature_28.png</t>
  </si>
  <si>
    <t>Lea L. Buelis RMT</t>
  </si>
  <si>
    <t>https://www.jotform.com/uploads/macarewecare/222927978372067/5854274265911569304/5854274265911569304_signature_31.png</t>
  </si>
  <si>
    <t>Palimbang Rural Health Unit</t>
  </si>
  <si>
    <t>Palimbang, Sultan Kudarat</t>
  </si>
  <si>
    <t>tinavillegas1910@gmail.com</t>
  </si>
  <si>
    <t xml:space="preserve">ASSAY: Xpert MTB/RIF Ultra, COUNT: 412
</t>
  </si>
  <si>
    <t>Gx-IV 6-color</t>
  </si>
  <si>
    <t>Replace defective module 1 SN:910135 with new module SN:883410
Genexpert Cleaning and checking of errors 
Data collection</t>
  </si>
  <si>
    <t>Perform Genexpert machine Preventive maintenance 
Perform Genexpert module replacement/repair</t>
  </si>
  <si>
    <t>Cepheid case:1470649/1470759</t>
  </si>
  <si>
    <t>https://www.jotform.com/uploads/macarewecare/222927978372067/5854232836644759323/5854232836644759323_signature_28.png</t>
  </si>
  <si>
    <t>Cristina Nelda Villegas</t>
  </si>
  <si>
    <t>https://www.jotform.com/uploads/macarewecare/222927978372067/5854232836644759323/5854232836644759323_signature_31.png</t>
  </si>
  <si>
    <t>Mabalacat Pamanga</t>
  </si>
  <si>
    <t xml:space="preserve">ASSAY: Xpert MTB/RIF Ultra, COUNT: 1155
ASSAY: Xpert HIV-1 Viral Load, COUNT: 52
ASSAY: Xpert HIV-1 Viral Load, COUNT: 10
</t>
  </si>
  <si>
    <t>Performed surface cleaning
Performed cleaning of cartridge bay,icore,plunger rod and filter
Archived test results
Performed xpertcheck 
Generate reports
Performed functionality test</t>
  </si>
  <si>
    <t>Unit is operational except B2
B1 passed calibration B2 Failed calibration</t>
  </si>
  <si>
    <t>B2:715593 for reporting</t>
  </si>
  <si>
    <t>https://www.jotform.com/uploads/macarewecare/222927978372067/5854224185417207043/5854224185417207043_signature_28.png</t>
  </si>
  <si>
    <t>https://www.jotform.com/uploads/macarewecare/222927978372067/5854224185417207043/5854224185417207043_signature_31.png</t>
  </si>
  <si>
    <t>Mabalacat Pampanga</t>
  </si>
  <si>
    <t xml:space="preserve">ASSAY: Xpert MTB/RIF Ultra, COUNT: 314
ASSAY: Xpert HIV-1 Viral Load, COUNT: 14
</t>
  </si>
  <si>
    <t>Due for calibration 
Error 2034( unable to performed xpertcheck)</t>
  </si>
  <si>
    <t>Xpertcheck
Preventive maintenance
Troubleshooting</t>
  </si>
  <si>
    <t>Performed surface cleaning
Performed cleaning of cartridge bay,icore,plunger rod and filter
Installation of xpertcheck application
Performed troubleshooting 
Generate reports
Archived test results
Performed functionality test</t>
  </si>
  <si>
    <t>Error 2034 for reporting</t>
  </si>
  <si>
    <t>https://www.jotform.com/uploads/macarewecare/222927978372067/5854223695412892519/5854223695412892519_signature_28.png</t>
  </si>
  <si>
    <t>https://www.jotform.com/uploads/macarewecare/222927978372067/5854223695412892519/5854223695412892519_signature_31.png</t>
  </si>
  <si>
    <t>Maitum Rural Health Unit</t>
  </si>
  <si>
    <t>Maitum, Sarangani</t>
  </si>
  <si>
    <t>mikexxxballesteros@gmail.com</t>
  </si>
  <si>
    <t xml:space="preserve">ASSAY: Xpert MTB/RIF Ultra, COUNT: 1030
</t>
  </si>
  <si>
    <t>Gx-IV (2 modules) 6-color</t>
  </si>
  <si>
    <t>Module 2 H/W failed due to temperature errors 
Genexpert module temperature not within the acceptable range of 15°C to 30°C
Modules average temperature - 35.2°C</t>
  </si>
  <si>
    <t>Perform Genexpert Xpertcheck/calibration 
Genexpert Cleaning and checking of errors 
Reporting of problem 
Data collection</t>
  </si>
  <si>
    <t>Perform Genexpert machine Preventive maintenance 
Perform Genexpert Xpertcheck/Calibration</t>
  </si>
  <si>
    <t>Need to install/replace air conditioning unit for genexpert required temperature</t>
  </si>
  <si>
    <t>https://www.jotform.com/uploads/macarewecare/222927978372067/5854221616641677205/5854221616641677205_signature_28.png</t>
  </si>
  <si>
    <t>Michael F. Ballesteros</t>
  </si>
  <si>
    <t>https://www.jotform.com/uploads/macarewecare/222927978372067/5854221616641677205/5854221616641677205_signature_31.png</t>
  </si>
  <si>
    <t>1005 Aurora Blvd. Proj 3, Quezon City</t>
  </si>
  <si>
    <t>GXIV CPU</t>
  </si>
  <si>
    <t>2UA70329CV</t>
  </si>
  <si>
    <t>Replaced HDD</t>
  </si>
  <si>
    <t>Replaced HDD
Installed GX software
Test the CPU with GX machine
Setup system configuration</t>
  </si>
  <si>
    <t>https://www.jotform.com/uploads/macarewecare/222927978372067/5854133963619854921/5854133963619854921_signature_28.png</t>
  </si>
  <si>
    <t>https://www.jotform.com/uploads/macarewecare/222927978372067/5854133963619854921/5854133963619854921_signature_31.png</t>
  </si>
  <si>
    <t>Magalang Rural Health Unit</t>
  </si>
  <si>
    <t>Sa Nicolas 1 Magalang Pampanga</t>
  </si>
  <si>
    <t xml:space="preserve">ASSAY: Xpert MTB/RIF Ultra, COUNT: 831
</t>
  </si>
  <si>
    <t>Performed surface cleaning
Performed cleaning of cartridge bay,icore,plunger rod and filter
Archived test results
Installation of xpertcheck application 
Performed machine calibration 
Generate reports
Performed functionality test</t>
  </si>
  <si>
    <t>https://www.jotform.com/uploads/macarewecare/222927978372067/5854126475419264792/5854126475419264792_signature_28.png</t>
  </si>
  <si>
    <t>https://www.jotform.com/uploads/macarewecare/222927978372067/5854126475419264792/5854126475419264792_signature_31.png</t>
  </si>
  <si>
    <t>Toledo, Ilihan, CEbu</t>
  </si>
  <si>
    <t xml:space="preserve">ASSAY: Xpert MTB/RIF Ultra, COUNT: 1529
</t>
  </si>
  <si>
    <t>Module 2 SN 79154 replacement due to failed last calibration</t>
  </si>
  <si>
    <t>Module 2 New Module SN# 693979 replacement</t>
  </si>
  <si>
    <t>https://www.jotform.com/uploads/macarewecare/222927978372067/5853670121116362502/5853670121116362502_signature_28.png</t>
  </si>
  <si>
    <t>Lorelie Mae Diapen, RMT</t>
  </si>
  <si>
    <t>https://www.jotform.com/uploads/macarewecare/222927978372067/5853670121116362502/5853670121116362502_signature_31.png</t>
  </si>
  <si>
    <t>Moalboal Rural Health Unit</t>
  </si>
  <si>
    <t>Poblacion, Moalboal Cebu</t>
  </si>
  <si>
    <t>rhu_moalboal@yahoo.com</t>
  </si>
  <si>
    <t>Module 1 863544 failed during calibration,</t>
  </si>
  <si>
    <t>Module 1 replaced new module Serial number : 787969
Generate IQR, Sys Log, Assay Statistics, GXX file</t>
  </si>
  <si>
    <t>All modules are functioning.</t>
  </si>
  <si>
    <t>https://www.jotform.com/uploads/macarewecare/222927978372067/5853666111119779622/5853666111119779622_signature_28.png</t>
  </si>
  <si>
    <t>Ava Anaciano Gako</t>
  </si>
  <si>
    <t>https://www.jotform.com/uploads/macarewecare/222927978372067/5853666111119779622/5853666111119779622_signature_31.png</t>
  </si>
  <si>
    <t>FOR QUOTATION</t>
  </si>
  <si>
    <t>https://www.jotform.com/uploads/macarewecare/222927978372067/5853495812391651361/5853495812391651361_signature_28.png</t>
  </si>
  <si>
    <t>https://www.jotform.com/uploads/macarewecare/222927978372067/5853495812391651361/5853495812391651361_signature_31.png</t>
  </si>
  <si>
    <t>Rizal Ave, Sta. Cruz, Manila</t>
  </si>
  <si>
    <t xml:space="preserve">ASSAY: Xpert HPV, COUNT: 398
</t>
  </si>
  <si>
    <t>Cleaned Cartridge Bay, Filter and Plunger Rod
Archived Test Results
Performed Self-test
Generate Reports</t>
  </si>
  <si>
    <t>1 Module for Replacement, 15 Modules are Operational</t>
  </si>
  <si>
    <t>https://www.jotform.com/uploads/macarewecare/222927978372067/5853412573616518609/5853412573616518609_signature_28.png</t>
  </si>
  <si>
    <t>https://www.jotform.com/uploads/macarewecare/222927978372067/5853412573616518609/5853412573616518609_signature_31.png</t>
  </si>
  <si>
    <t xml:space="preserve">ASSAY: Xpert CT/NG, COUNT: 8
ASSAY: Xpert HBV VL, COUNT: 34
ASSAY: Xpert HPV, COUNT: 11
ASSAY: Xpert MTB/RIF Ultra, COUNT: 361
ASSAY: Xpert HCV VL, COUNT: 4
ASSAY: Xpert HIV-1 Viral Load, COUNT: 2
</t>
  </si>
  <si>
    <t>Cleaned Cartridge Bay, Plunger Rod, Filter and Icore
Performed XpertCheck
Performed Self-test
Generate Reports</t>
  </si>
  <si>
    <t>2 Modules Passed, 2 Modules Failed</t>
  </si>
  <si>
    <t>A1: 784655 and A4: 784666 Failed in XpertCheck</t>
  </si>
  <si>
    <t>SI 97180</t>
  </si>
  <si>
    <t>https://www.jotform.com/uploads/macarewecare/222927978372067/5853412013615444358/5853412013615444358_signature_28.png</t>
  </si>
  <si>
    <t>https://www.jotform.com/uploads/macarewecare/222927978372067/5853412013615444358/5853412013615444358_signature_31.png</t>
  </si>
  <si>
    <t xml:space="preserve">REPAIR
MAINTENANCE
</t>
  </si>
  <si>
    <t>aim_1225@yahoo.com</t>
  </si>
  <si>
    <t xml:space="preserve">ASSAY: Xpert MTB/RIF Ultra, COUNT: 784
</t>
  </si>
  <si>
    <t>Module 1 with Temperature Related Problem</t>
  </si>
  <si>
    <t>Replaced Module 1
Performed Selft-test
Performed Maintenance
Generate Reports</t>
  </si>
  <si>
    <t>B1: 738405 -&gt; 756445</t>
  </si>
  <si>
    <t>https://www.jotform.com/uploads/macarewecare/222927978372067/5853411603616294526/5853411603616294526_signature_28.png</t>
  </si>
  <si>
    <t>Aim Arroyo</t>
  </si>
  <si>
    <t>https://www.jotform.com/uploads/macarewecare/222927978372067/5853411603616294526/5853411603616294526_signature_31.png</t>
  </si>
  <si>
    <t>Rizal Ave., Sta. Cruz, Manila</t>
  </si>
  <si>
    <t>covidlabjrrmmc@gamil.com</t>
  </si>
  <si>
    <t xml:space="preserve">ASSAY: Xpert HPV, COUNT: 14
ASSAY: Xpert MTB/RIF Ultra, COUNT: 451
ASSAY: Xpert SARS-CoV-2, COUNT: 273
</t>
  </si>
  <si>
    <t>https://www.jotform.com/uploads/macarewecare/222927978372067/5853411123619979777/5853411123619979777_signature_28.png</t>
  </si>
  <si>
    <t>https://www.jotform.com/uploads/macarewecare/222927978372067/5853411123619979777/5853411123619979777_signature_31.png</t>
  </si>
  <si>
    <t xml:space="preserve">ASSAY: Xpert HPV, COUNT: 23
ASSAY: Xpert MTB/RIF Ultra, COUNT: 215
ASSAY: Xpert SARS-CoV-2, COUNT: 96
</t>
  </si>
  <si>
    <t>https://www.jotform.com/uploads/macarewecare/222927978372067/5853410683614406387/5853410683614406387_signature_28.png</t>
  </si>
  <si>
    <t>https://www.jotform.com/uploads/macarewecare/222927978372067/5853410683614406387/5853410683614406387_signature_31.png</t>
  </si>
  <si>
    <t>RITM, Filinvest</t>
  </si>
  <si>
    <t>MBL</t>
  </si>
  <si>
    <t>eracueza.pbsp@gmail.com</t>
  </si>
  <si>
    <t>ntrlphil_cs@yahoo.com</t>
  </si>
  <si>
    <t xml:space="preserve">ASSAY: Xpert MTB/RIF Ultra, COUNT: 48
ASSAY: Others, COUNT: 1893
</t>
  </si>
  <si>
    <t>Cleaned Cartridge Bay, Filter, Icore and Plunger Rod
Performed XpertCheck
Performed Self-test
Generate Reports</t>
  </si>
  <si>
    <t>3 Pass, 1 New Module</t>
  </si>
  <si>
    <t>https://www.jotform.com/uploads/macarewecare/222927978372067/5853409743615771859/5853409743615771859_signature_28.png</t>
  </si>
  <si>
    <t>https://www.jotform.com/uploads/macarewecare/222927978372067/5853409743615771859/5853409743615771859_signature_31.png</t>
  </si>
  <si>
    <t>RITM, Filinvest, Muntinlupa</t>
  </si>
  <si>
    <t>3 Modules are Operational</t>
  </si>
  <si>
    <t>B3/662385 Service Required</t>
  </si>
  <si>
    <t>https://www.jotform.com/uploads/macarewecare/222927978372067/5853408863611226576/5853408863611226576_signature_28.png</t>
  </si>
  <si>
    <t>https://www.jotform.com/uploads/macarewecare/222927978372067/5853408863611226576/5853408863611226576_signature_31.png</t>
  </si>
  <si>
    <t>Tanza Rural Health Unit</t>
  </si>
  <si>
    <t>Bawis, Tanza,Cavite</t>
  </si>
  <si>
    <t>wenarcala@gmail.com</t>
  </si>
  <si>
    <t>Cleaned Cartridge Bay, Icore, Filter and Plunger Rod
Performed Self-test
Performed XpertCheck
Generate Reports</t>
  </si>
  <si>
    <t>B2 Service Required</t>
  </si>
  <si>
    <t>https://www.jotform.com/uploads/macarewecare/222927978372067/5853408513619442700/5853408513619442700_signature_28.png</t>
  </si>
  <si>
    <t>Edwina P. Arcala</t>
  </si>
  <si>
    <t>https://www.jotform.com/uploads/macarewecare/222927978372067/5853408513619442700/5853408513619442700_signature_31.png</t>
  </si>
  <si>
    <t>Biwas, Tanza, Cavite</t>
  </si>
  <si>
    <t xml:space="preserve">ASSAY: Xpert HPV, COUNT: 78
ASSAY: Xpert MTB/RIF Ultra, COUNT: 2549
</t>
  </si>
  <si>
    <t>https://www.jotform.com/uploads/macarewecare/222927978372067/5853408033619007999/5853408033619007999_signature_28.png</t>
  </si>
  <si>
    <t>https://www.jotform.com/uploads/macarewecare/222927978372067/5853408033619007999/5853408033619007999_signature_31.png</t>
  </si>
  <si>
    <t>slhtbclab@gmail.com</t>
  </si>
  <si>
    <t>Installed GeneXpert System
Generate Reports</t>
  </si>
  <si>
    <t>https://www.jotform.com/uploads/macarewecare/222927978372067/5853407013617579681/5853407013617579681_signature_28.png</t>
  </si>
  <si>
    <t>Ashley Ong</t>
  </si>
  <si>
    <t>https://www.jotform.com/uploads/macarewecare/222927978372067/5853407013617579681/5853407013617579681_signature_31.png</t>
  </si>
  <si>
    <t>Sto Tomas City Health Office</t>
  </si>
  <si>
    <t>Sto. Tomas, Batangas</t>
  </si>
  <si>
    <t>vickybana_412@yahoo.com</t>
  </si>
  <si>
    <t>Unit for PM.
Unit for Xpertcheck.
For module replacement of B2.</t>
  </si>
  <si>
    <t>PM, Xpertcheck and module replacement.</t>
  </si>
  <si>
    <t>Performed PM.
-Cleaned and disinfect plunger
-Cleaned and disinfect cartridge bay
-Cleaned and disinfect instrument surface
-Cleaned icore sensors
-Cleaned filter fan
-Archived test results
Performed Xpertcheck.
Performed module replacement.
Generated reports.</t>
  </si>
  <si>
    <t>Unit is operational. Module B3 (686333), service required.</t>
  </si>
  <si>
    <t>Actual service date Feb. 21, 2024.</t>
  </si>
  <si>
    <t>GX module B2 (627677) in replacement to defective B2 (643194).</t>
  </si>
  <si>
    <t>https://www.jotform.com/uploads/macarewecare/222927978372067/5853398333615126514/5853398333615126514_signature_28.png</t>
  </si>
  <si>
    <t>Victoria Menor</t>
  </si>
  <si>
    <t>https://www.jotform.com/uploads/macarewecare/222927978372067/5853398333615126514/5853398333615126514_signature_31.png</t>
  </si>
  <si>
    <t>Installed Genexpert
Installed Drivers
Installed PC
Installed Monitor
Installed Printer
Installed UPS
Performed Maintenance
Gathered Reports
Performed Functionality Test</t>
  </si>
  <si>
    <t>https://www.jotform.com/uploads/macarewecare/222927978372067/5853313354125573578/5853313354125573578_signature_28.png</t>
  </si>
  <si>
    <t>Bryan Michael N. Balunes</t>
  </si>
  <si>
    <t>https://www.jotform.com/uploads/macarewecare/222927978372067/5853313354125573578/5853313354125573578_signature_31.png</t>
  </si>
  <si>
    <t>Indang Rural Health Unit</t>
  </si>
  <si>
    <t>Alfonso-Indang Rd., Indang, Cavite</t>
  </si>
  <si>
    <t>rhuindang@gmail.com</t>
  </si>
  <si>
    <t>Cleaned Plunger Rod, Icore, and Cartridge Bay
Checked Filter if Clogged
Performed XpertCheck
Generate Reports</t>
  </si>
  <si>
    <t>https://www.jotform.com/uploads/macarewecare/222927978372067/5853244533618726188/5853244533618726188_signature_28.png</t>
  </si>
  <si>
    <t>Cherry rose digma</t>
  </si>
  <si>
    <t>https://www.jotform.com/uploads/macarewecare/222927978372067/5853244533618726188/5853244533618726188_signature_31.png</t>
  </si>
  <si>
    <t>Dasmariñas City Health Office IV</t>
  </si>
  <si>
    <t>Paliparan, Dasmariñas, Cavite</t>
  </si>
  <si>
    <t>krlanday25@gmail.com</t>
  </si>
  <si>
    <t xml:space="preserve">ASSAY: Xpert MTB/RIF Ultra, COUNT: 2522
ASSAY: Xpert HIV-1 Viral Load, COUNT: 102
</t>
  </si>
  <si>
    <t>Cleaned Cartridge Bay, Plunger Rod, an Icore
Checked if Filter is Clogged
Performed XpertCheck
Performed Self-test
Generate Reports</t>
  </si>
  <si>
    <t>3 Modules Passed, 1 Newly Replaced</t>
  </si>
  <si>
    <t>https://www.jotform.com/uploads/macarewecare/222927978372067/5853244543611033985/5853244543611033985_signature_28.png</t>
  </si>
  <si>
    <t>Khristofer Ralph L. Andaya</t>
  </si>
  <si>
    <t>https://www.jotform.com/uploads/macarewecare/222927978372067/5853244543611033985/5853244543611033985_signature_31.png</t>
  </si>
  <si>
    <t xml:space="preserve">ASSAY: Xpert HPV, COUNT: 2
ASSAY: Xpert MTB/RIF Ultra, COUNT: 4061
ASSAY: Xpert SARS-CoV-2, COUNT: 15
ASSAY: Xpert HIV-1 Viral Load, COUNT: 38
</t>
  </si>
  <si>
    <t>Module B2 newly replaced. Modules B1, B3 and B4 passed. All modules operational.</t>
  </si>
  <si>
    <t>https://www.jotform.com/uploads/macarewecare/222927978372067/5853237953619185342/5853237953619185342_signature_28.png</t>
  </si>
  <si>
    <t>Justine Lorenz V. Falzado</t>
  </si>
  <si>
    <t>https://www.jotform.com/uploads/macarewecare/222927978372067/5853237953619185342/5853237953619185342_signature_31.png</t>
  </si>
  <si>
    <t>Lumban Rural Health Unit</t>
  </si>
  <si>
    <t>Lumban</t>
  </si>
  <si>
    <t>rizalynesacdalan@gmail.com</t>
  </si>
  <si>
    <t xml:space="preserve">ASSAY: Xpert MTB/RIF Ultra, COUNT: 1184
</t>
  </si>
  <si>
    <t>Unit is operational. Module B3 newly replaced.  Module B1, B2 and B4 passed.</t>
  </si>
  <si>
    <t>https://www.jotform.com/uploads/macarewecare/222927978372067/5853235863612897770/5853235863612897770_signature_28.png</t>
  </si>
  <si>
    <t>Rizalyne Sacdalan</t>
  </si>
  <si>
    <t>https://www.jotform.com/uploads/macarewecare/222927978372067/5853235863612897770/5853235863612897770_signature_31.png</t>
  </si>
  <si>
    <t>https://www.jotform.com/uploads/macarewecare/222927978372067/5853235863614768743/5853235863614768743_signature_28.png</t>
  </si>
  <si>
    <t>https://www.jotform.com/uploads/macarewecare/222927978372067/5853235863614768743/5853235863614768743_signature_31.png</t>
  </si>
  <si>
    <t>Sumilang</t>
  </si>
  <si>
    <t>Performed maintenance 
Replaced module B4 
Generated reports</t>
  </si>
  <si>
    <t>Old: B4/718085
New: B4/876093</t>
  </si>
  <si>
    <t>https://www.jotform.com/uploads/macarewecare/222927978372067/5853235863616395184/5853235863616395184_signature_28.png</t>
  </si>
  <si>
    <t>https://www.jotform.com/uploads/macarewecare/222927978372067/5853235863616395184/5853235863616395184_signature_31.png</t>
  </si>
  <si>
    <t>St. Luke's Medical Center Global City</t>
  </si>
  <si>
    <t>ci.bgc@stluke.com.ph</t>
  </si>
  <si>
    <t>For maintenance, checking of date and time</t>
  </si>
  <si>
    <t>Performed maintenance
Cleaned cartridge bay
Cleaned plunger rod
Cleaned instrument surface
Cleaned icore
Cleaned fan filter
Checked date and time of workstation
Generated reports</t>
  </si>
  <si>
    <t>Module C1 not operational, for replacement. Modules C2, C3 and C4 operational.</t>
  </si>
  <si>
    <t>https://www.jotform.com/uploads/macarewecare/222927978372067/5853235863617724496/5853235863617724496_signature_28.png</t>
  </si>
  <si>
    <t>Leslie</t>
  </si>
  <si>
    <t>https://www.jotform.com/uploads/macarewecare/222927978372067/5853235863617724496/5853235863617724496_signature_31.png</t>
  </si>
  <si>
    <t xml:space="preserve">ASSAY: Xpert BCR-ABL Ultra, COUNT: 173
ASSAY: Xpert CT/NG, COUNT: 1192
ASSAY: Xpert HIV-1 Viral Load, COUNT: 54
ASSAY: Xpert HPV, COUNT: 988
ASSAY: Xpert MTB/RIF Ultra, COUNT: 2485
ASSAY: Xpert HCV VL, COUNT: 29
</t>
  </si>
  <si>
    <t>For maintenance, checking of date and time.</t>
  </si>
  <si>
    <t>Performed maintenance
Cleaned cartridge bay
Cleaned plunger rod
Cleaned instrument surface
Cleaned icore
Cleaned fan filter
Checked Workstation date and time
Generated reports</t>
  </si>
  <si>
    <t>Modules B1 and B4 not operational, for replacement. Modules B2 and B3 operational.</t>
  </si>
  <si>
    <t>https://www.jotform.com/uploads/macarewecare/222927978372067/5853235863619272256/5853235863619272256_signature_28.png</t>
  </si>
  <si>
    <t>https://www.jotform.com/uploads/macarewecare/222927978372067/5853235863619272256/5853235863619272256_signature_31.png</t>
  </si>
  <si>
    <t>Sto niño,San mateo</t>
  </si>
  <si>
    <t xml:space="preserve">ASSAY: Xpert BCR-ABL Ultra, COUNT: 
</t>
  </si>
  <si>
    <t>Cleaned unit
Performed xpertcheck
Cleaned plunger rod,filter,icore,cartridge bay
Gathered reports
Test run unit</t>
  </si>
  <si>
    <t>B3 and B4 failed xpertcheck B1 and B2 passed</t>
  </si>
  <si>
    <t>https://www.jotform.com/uploads/macarewecare/222927978372067/5853231683616009294/5853231683616009294_signature_28.png</t>
  </si>
  <si>
    <t>Monina Rica M. De Guzman</t>
  </si>
  <si>
    <t>https://www.jotform.com/uploads/macarewecare/222927978372067/5853231683616009294/5853231683616009294_signature_31.png</t>
  </si>
  <si>
    <t>Rodriguez RHU</t>
  </si>
  <si>
    <t>J.P Rizal,Rodriguez Rizal</t>
  </si>
  <si>
    <t xml:space="preserve">ASSAY: Xpert MTB/RIF Ultra, COUNT: 3014
ASSAY: Xpert HIV-1 Viral Load, COUNT: 37
</t>
  </si>
  <si>
    <t>For module replacement B2 737085 - 801853</t>
  </si>
  <si>
    <t>G6843</t>
  </si>
  <si>
    <t>https://www.jotform.com/uploads/macarewecare/222927978372067/5853231103613355053/5853231103613355053_signature_28.png</t>
  </si>
  <si>
    <t>Karl Muchael M. Banal</t>
  </si>
  <si>
    <t>https://www.jotform.com/uploads/macarewecare/222927978372067/5853231103613355053/5853231103613355053_signature_31.png</t>
  </si>
  <si>
    <t>Lung Center of The Philippines</t>
  </si>
  <si>
    <t xml:space="preserve">ASSAY: Xpert MTB/RIF Ultra, COUNT: 466
ASSAY: Xpert SARS-CoV-2, COUNT: 1458
ASSAY: Xpert HIV-1 Viral Load, COUNT: 47
ASSAY: Xpert HIV-1 Viral Load, COUNT: 56
</t>
  </si>
  <si>
    <t>B1 temp error,and B4 h/w failed</t>
  </si>
  <si>
    <t>B1 and B4 for reporting B2 nad B3 operational</t>
  </si>
  <si>
    <t>https://www.jotform.com/uploads/macarewecare/222927978372067/5853230563618429351/5853230563618429351_signature_28.png</t>
  </si>
  <si>
    <t>https://www.jotform.com/uploads/macarewecare/222927978372067/5853230563618429351/5853230563618429351_signature_31.png</t>
  </si>
  <si>
    <t xml:space="preserve">ASSAY: Xpert MTB/RIF Ultra, COUNT: 135
ASSAY: Xpert SARS-CoV-2, COUNT: 40
</t>
  </si>
  <si>
    <t>D2,D3,D4 disabled loss comunication error</t>
  </si>
  <si>
    <t>Troubleshooting. And maintenance</t>
  </si>
  <si>
    <t>D1 operational D2,D3,D4 for reporting</t>
  </si>
  <si>
    <t>https://www.jotform.com/uploads/macarewecare/222927978372067/5853230133615698427/5853230133615698427_signature_28.png</t>
  </si>
  <si>
    <t>https://www.jotform.com/uploads/macarewecare/222927978372067/5853230133615698427/5853230133615698427_signature_31.png</t>
  </si>
  <si>
    <t xml:space="preserve">ASSAY: Xpert MTB/RIF Ultra, COUNT: 5810
ASSAY: Xpert SARS-CoV-2, COUNT: 2607
ASSAY: Others, COUNT: 2
</t>
  </si>
  <si>
    <t>C2 H/W failed</t>
  </si>
  <si>
    <t>15 module operational C2 for reporting</t>
  </si>
  <si>
    <t>https://www.jotform.com/uploads/macarewecare/222927978372067/5853229643618152655/5853229643618152655_signature_28.png</t>
  </si>
  <si>
    <t>https://www.jotform.com/uploads/macarewecare/222927978372067/5853229643618152655/5853229643618152655_signature_31.png</t>
  </si>
  <si>
    <t>bloodbankphc@gmail.cim</t>
  </si>
  <si>
    <t>As per end user they encounter lid lock mechanism problem of centrifuge.</t>
  </si>
  <si>
    <t>Checked unit
Checked lidlock assy
Replaced centrifuge assy taken from 01M201
Performed functionality test
Test run unit</t>
  </si>
  <si>
    <t>Operational ready to use</t>
  </si>
  <si>
    <t>https://www.jotform.com/uploads/macarewecare/222927978372067/5853228963611409933/5853228963611409933_signature_28.png</t>
  </si>
  <si>
    <t>https://www.jotform.com/uploads/macarewecare/222927978372067/5853228963611409933/5853228963611409933_signature_31.png</t>
  </si>
  <si>
    <t>Tatalon Health Center</t>
  </si>
  <si>
    <t>Victory avenue QC</t>
  </si>
  <si>
    <t>tatalonhc@gmail.com</t>
  </si>
  <si>
    <t xml:space="preserve">ASSAY: Xpert MTB/RIF Ultra, COUNT: 1005
</t>
  </si>
  <si>
    <t>As per end user they encounter unable to power on the workstation.</t>
  </si>
  <si>
    <t>Performed troubleshooting
Checked ups voltage output ok
Checked cable connection
Cleaned RAM.
Performed system restart.</t>
  </si>
  <si>
    <t>https://www.jotform.com/uploads/macarewecare/222927978372067/5853228513618306696/5853228513618306696_signature_28.png</t>
  </si>
  <si>
    <t>https://www.jotform.com/uploads/macarewecare/222927978372067/5853228513618306696/5853228513618306696_signature_31.png</t>
  </si>
  <si>
    <t xml:space="preserve">ASSAY: Xpert BCR-ABL Ultra, COUNT: 30
ASSAY: Xpert MTB/RIF Ultra, COUNT: 3046
ASSAY: Xpert SARS-CoV-2, COUNT: 4660
ASSAY: Xpert SARS-CoV-2, COUNT: 10
</t>
  </si>
  <si>
    <t>For module replacement C3 210069272 - 898257</t>
  </si>
  <si>
    <t>D1 reported already, 15 module operational</t>
  </si>
  <si>
    <t>https://www.jotform.com/uploads/macarewecare/222927978372067/5853228013615504862/5853228013615504862_signature_28.png</t>
  </si>
  <si>
    <t>https://www.jotform.com/uploads/macarewecare/222927978372067/5853228013615504862/5853228013615504862_signature_31.png</t>
  </si>
  <si>
    <t>- Installed GeneXpert 10C System 
- Setup Necessary Accounts 
- Installed Required Assays
- Generated Reports</t>
  </si>
  <si>
    <t>- Installed GeneXpert 10C system</t>
  </si>
  <si>
    <t>https://www.jotform.com/uploads/macarewecare/222927978372067/5853221265471166992/5853221265471166992_signature_28.png</t>
  </si>
  <si>
    <t>https://www.jotform.com/uploads/macarewecare/222927978372067/5853221265471166992/5853221265471166992_signature_31.png</t>
  </si>
  <si>
    <t xml:space="preserve">ASSAY: Xpert MTB/RIF Ultra, COUNT: 2437
</t>
  </si>
  <si>
    <t>- Cleaned Cartridge Bays, Plunger Rods and I-CORE 
- Replaced Defective Module 662126 &gt;&gt;&gt; 210068732, 662128 &gt;&gt;&gt; 806812
- Generated Reports</t>
  </si>
  <si>
    <t>https://www.jotform.com/uploads/macarewecare/222927978372067/5853219075476779731/5853219075476779731_signature_28.png</t>
  </si>
  <si>
    <t>Riverlie Vallera</t>
  </si>
  <si>
    <t>https://www.jotform.com/uploads/macarewecare/222927978372067/5853219075476779731/5853219075476779731_signature_31.png</t>
  </si>
  <si>
    <t>DR 11232</t>
  </si>
  <si>
    <t>https://www.jotform.com/uploads/macarewecare/222927978372067/5853216935479903137/5853216935479903137_signature_28.png</t>
  </si>
  <si>
    <t>https://www.jotform.com/uploads/macarewecare/222927978372067/5853216935479903137/5853216935479903137_signature_31.png</t>
  </si>
  <si>
    <t>Module B2 failed ReXpertCheck, For reporting</t>
  </si>
  <si>
    <t>https://www.jotform.com/uploads/macarewecare/222927978372067/5853209315477431088/5853209315477431088_signature_28.png</t>
  </si>
  <si>
    <t>https://www.jotform.com/uploads/macarewecare/222927978372067/5853209315477431088/5853209315477431088_signature_31.png</t>
  </si>
  <si>
    <t xml:space="preserve">ASSAY: Xpert MTB/RIF Ultra, COUNT: 1263
</t>
  </si>
  <si>
    <t>Cleaned cartridge bays,  plunger rod,  icores
Replaced fan filter
Generate reports</t>
  </si>
  <si>
    <t>https://www.jotform.com/uploads/macarewecare/222927978372067/5852860156619889720/5852860156619889720_signature_28.png</t>
  </si>
  <si>
    <t>https://www.jotform.com/uploads/macarewecare/222927978372067/5852860156619889720/5852860156619889720_signature_31.png</t>
  </si>
  <si>
    <t>Rakkk Prophet Medical Center</t>
  </si>
  <si>
    <t>Maharlika Highway, Brgy. Rosario, Gumaca, Quezon</t>
  </si>
  <si>
    <t xml:space="preserve">ASSAY: Xpert MTB/RIF Ultra, COUNT: 119
ASSAY: Xpert SARS-CoV-2, COUNT: 18
</t>
  </si>
  <si>
    <t>CPU beeping sound</t>
  </si>
  <si>
    <t>Cleaned RAM pins
Cleaned SSD pins
Checked fan
Problem Solved
Performed PM
Generated report</t>
  </si>
  <si>
    <t>unit is operational
all modules working</t>
  </si>
  <si>
    <t>https://www.jotform.com/uploads/macarewecare/222927978372067/5850912563619044043/5850912563619044043_signature_28.png</t>
  </si>
  <si>
    <t>https://www.jotform.com/uploads/macarewecare/222927978372067/5850912563619044043/5850912563619044043_signature_31.png</t>
  </si>
  <si>
    <t>Guinayangan Municipal Health Office</t>
  </si>
  <si>
    <t>Brgy. Calimpak, Guinayangan, Quezon Province</t>
  </si>
  <si>
    <t>lala0117r.kampitan@yahoo.com</t>
  </si>
  <si>
    <t>GXIV 6C - D</t>
  </si>
  <si>
    <t>Checked and cleaned cartridge bays, plunger rod, icore slots and filter
Performed XpertCheck on modules B1, B2 and B4 . B3 newly replaced</t>
  </si>
  <si>
    <t>Used 4 xpertcheck cartridges</t>
  </si>
  <si>
    <t>DR 46612</t>
  </si>
  <si>
    <t>https://www.jotform.com/uploads/macarewecare/222927978372067/5850902093611282113/5850902093611282113_signature_28.png</t>
  </si>
  <si>
    <t>https://www.jotform.com/uploads/macarewecare/222927978372067/5850902093611282113/5850902093611282113_signature_31.png</t>
  </si>
  <si>
    <t>Gumaca District Hospital</t>
  </si>
  <si>
    <t>Maharlika Highway, Brgy. Rosario, Gumaca</t>
  </si>
  <si>
    <t>danecadanna@gmail.com</t>
  </si>
  <si>
    <t>Modules C1 and C2 for replacement
Unit due for calibration</t>
  </si>
  <si>
    <t>Checked and cleaned cartridge bays, plunger rod, icore slot and filter
Replaced modules C1 and C2
Performed XpertCheck on C3 and C4
C3 and C4 passed XpertCheck
Generated report</t>
  </si>
  <si>
    <t>Replaced Modules 
C1: 667447 -&gt; 719925
C2: 642538 -&gt; 890611
Performed XpertCheck</t>
  </si>
  <si>
    <t>2 GX Modules 6C, XpertCheck kit</t>
  </si>
  <si>
    <t>DR 47083, DR 47170, DR 46613</t>
  </si>
  <si>
    <t>https://www.jotform.com/uploads/macarewecare/222927978372067/5850900843617891202/5850900843617891202_signature_28.png</t>
  </si>
  <si>
    <t>danna edan</t>
  </si>
  <si>
    <t>https://www.jotform.com/uploads/macarewecare/222927978372067/5850900843617891202/5850900843617891202_signature_31.png</t>
  </si>
  <si>
    <t>MIA HEALTH CENTER, CHAPEL ROAD NAIA AVENUE, PASAY CITY</t>
  </si>
  <si>
    <t>GX for setup to new location
Module B1 for replacement
Unit due for XpertCheck</t>
  </si>
  <si>
    <t>Installed GX and accessories
Performed PM
Replaced Module B1
Setup User admin
Performed XpertCheck on Modules 2 and 4
B1: Newly replaced
B2: Passed
B3: Reported waiting for replacement
B4: Failed xpertcheck</t>
  </si>
  <si>
    <t>Setup GX to new location
Duay HC -&gt; MIA HC
Replaced Module B1
635266 -&gt; 210073917
Performed XpertCheck</t>
  </si>
  <si>
    <t>unit is operational
2 modules working 2 modules fo replacement</t>
  </si>
  <si>
    <t>used 3 XpertCheck cartridges</t>
  </si>
  <si>
    <t>G6845</t>
  </si>
  <si>
    <t>https://www.jotform.com/uploads/macarewecare/222927978372067/5850900353616817280/5850900353616817280_signature_28.png</t>
  </si>
  <si>
    <t>mervhee sorilla</t>
  </si>
  <si>
    <t>https://www.jotform.com/uploads/macarewecare/222927978372067/5850900353616817280/5850900353616817280_signature_31.png</t>
  </si>
  <si>
    <t>Salvacion Oppus-Yñiguez Memorial Hospital</t>
  </si>
  <si>
    <t>-New GeneXpert 10C Unit Installation
-Setup GeneXpert workstation including printer and UPS</t>
  </si>
  <si>
    <t>https://www.jotform.com/uploads/macarewecare/222927978372067/5850864260322443679/5850864260322443679_signature_28.png</t>
  </si>
  <si>
    <t>https://www.jotform.com/uploads/macarewecare/222927978372067/5850864260322443679/5850864260322443679_signature_31.png</t>
  </si>
  <si>
    <t>Maasin City, Leyte</t>
  </si>
  <si>
    <t>For pull-out, to be transferred to another site.</t>
  </si>
  <si>
    <t>Pack-up unit for pull-out.</t>
  </si>
  <si>
    <t>https://www.jotform.com/uploads/macarewecare/222927978372067/5850860390321412396/5850860390321412396_signature_28.png</t>
  </si>
  <si>
    <t>https://www.jotform.com/uploads/macarewecare/222927978372067/5850860390321412396/5850860390321412396_signature_31.png</t>
  </si>
  <si>
    <t>naomidecastro35@gmail.com</t>
  </si>
  <si>
    <t xml:space="preserve">ASSAY: Xpert MTB/RIF Ultra, COUNT: 1514
</t>
  </si>
  <si>
    <t>https://www.jotform.com/uploads/macarewecare/222927978372067/5850852435603044864/5850852435603044864_signature_28.png</t>
  </si>
  <si>
    <t>Naomi De Castro</t>
  </si>
  <si>
    <t>https://www.jotform.com/uploads/macarewecare/222927978372067/5850852435603044864/5850852435603044864_signature_31.png</t>
  </si>
  <si>
    <t>jacabiaao.pbsp@gmail.com</t>
  </si>
  <si>
    <t xml:space="preserve">ASSAY: Xpert MTB/RIF Ultra, COUNT: 6570
</t>
  </si>
  <si>
    <t>Defective module 643461/D4.</t>
  </si>
  <si>
    <t>- Preventive Maintenance (optic cleaning, module bay cleaning, plunger rod maintenance, filter cleaning, archive tests).</t>
  </si>
  <si>
    <t>- Replaced module D4 with new module SN 807732.</t>
  </si>
  <si>
    <t>4 Modules operational</t>
  </si>
  <si>
    <t>https://www.jotform.com/uploads/macarewecare/222927978372067/5850832514571860073/5850832514571860073_signature_28.png</t>
  </si>
  <si>
    <t>https://www.jotform.com/uploads/macarewecare/222927978372067/5850832514571860073/5850832514571860073_signature_31.png</t>
  </si>
  <si>
    <t>Defective module 210068557/E1 and 702067/E2.</t>
  </si>
  <si>
    <t>-Replaced module E1 with new modules SN 684571/E1 and 210074399/E2.</t>
  </si>
  <si>
    <t>https://www.jotform.com/uploads/macarewecare/222927978372067/5850830674575485464/5850830674575485464_signature_28.png</t>
  </si>
  <si>
    <t>https://www.jotform.com/uploads/macarewecare/222927978372067/5850830674575485464/5850830674575485464_signature_31.png</t>
  </si>
  <si>
    <t>Maguindanao Provincial Hospital</t>
  </si>
  <si>
    <t>Datu Hoffer, Maguindanao</t>
  </si>
  <si>
    <t>maulananor03@gmail.com</t>
  </si>
  <si>
    <t>Gx-IV (10 color)</t>
  </si>
  <si>
    <t>Installed Genexpert machine SN:110020260
Installed CPU SN:*CPHO523F42120
Installed Monitor SN:V5FTG688
Installed UPS - IT - M2000A
Installed Printer HP laser jet M107a</t>
  </si>
  <si>
    <t>https://www.jotform.com/uploads/macarewecare/222927978372067/5850821697277892998/5850821697277892998_signature_28.png</t>
  </si>
  <si>
    <t>Norhata Maulana</t>
  </si>
  <si>
    <t>https://www.jotform.com/uploads/macarewecare/222927978372067/5850821697277892998/5850821697277892998_signature_31.png</t>
  </si>
  <si>
    <t xml:space="preserve">ASSAY: Xpert MTB/RIF Ultra, COUNT: 1670
</t>
  </si>
  <si>
    <t>Perform annual Xpertcheck/Calibration 
Genexpert Cleaning 
Checking of errors 
Data collection</t>
  </si>
  <si>
    <t>Lot #:1000410214</t>
  </si>
  <si>
    <t>https://www.jotform.com/uploads/macarewecare/222927978372067/5850819407277363614/5850819407277363614_signature_28.png</t>
  </si>
  <si>
    <t>https://www.jotform.com/uploads/macarewecare/222927978372067/5850819407277363614/5850819407277363614_signature_31.png</t>
  </si>
  <si>
    <t>Cataingan Rural Health Unit</t>
  </si>
  <si>
    <t>Cataingan</t>
  </si>
  <si>
    <t>catainganrhu@gmail.com</t>
  </si>
  <si>
    <t>Cleaned cartridge bays,  plunger rod
Generate reports</t>
  </si>
  <si>
    <t>https://www.jotform.com/uploads/macarewecare/222927978372067/5850804361816964722/5850804361816964722_signature_28.png</t>
  </si>
  <si>
    <t>Rowena Alicante</t>
  </si>
  <si>
    <t>https://www.jotform.com/uploads/macarewecare/222927978372067/5850804361816964722/5850804361816964722_signature_31.png</t>
  </si>
  <si>
    <t>B3/807011 for Module Replacement</t>
  </si>
  <si>
    <t>Replaced Module: B3 - 807011&gt;&gt;210047214
Cleaned cartridge bays,  plunger rod,  fan
Generate reports</t>
  </si>
  <si>
    <t>Replaced Module B3/807011
Performed Preventive Maintenance</t>
  </si>
  <si>
    <t>https://www.jotform.com/uploads/macarewecare/222927978372067/5850802301814280939/5850802301814280939_signature_28.png</t>
  </si>
  <si>
    <t>Rowena Cadungog</t>
  </si>
  <si>
    <t>https://www.jotform.com/uploads/macarewecare/222927978372067/5850802301814280939/5850802301814280939_signature_31.png</t>
  </si>
  <si>
    <t>Cabuyao City Health Office 1</t>
  </si>
  <si>
    <t>Rosario Village, Brgy. Sala, Cabuyao</t>
  </si>
  <si>
    <t>shirleypalcatara18@gmail.com</t>
  </si>
  <si>
    <t xml:space="preserve">ASSAY: Xpert MTB/RIF Ultra, COUNT: 1443
</t>
  </si>
  <si>
    <t>https://www.jotform.com/uploads/macarewecare/222927978372067/5850800138907126263/5850800138907126263_signature_28.png</t>
  </si>
  <si>
    <t>Shirley Alcantara</t>
  </si>
  <si>
    <t>https://www.jotform.com/uploads/macarewecare/222927978372067/5850800138907126263/5850800138907126263_signature_31.png</t>
  </si>
  <si>
    <t xml:space="preserve">ASSAY: Xpert MTB/RIF Ultra, COUNT: 1675
ASSAY: Xpert HIV-1 Viral Load, COUNT: 142
</t>
  </si>
  <si>
    <t>Performed additional troubleshooting by Cepheid</t>
  </si>
  <si>
    <t>Unit is operational
A2 is under observation</t>
  </si>
  <si>
    <t>https://www.jotform.com/uploads/macarewecare/222927978372067/5850791086499409468/5850791086499409468_signature_28.png</t>
  </si>
  <si>
    <t>Rocel Ann A. Caranto</t>
  </si>
  <si>
    <t>https://www.jotform.com/uploads/macarewecare/222927978372067/5850791086499409468/5850791086499409468_signature_31.png</t>
  </si>
  <si>
    <t>Performed installation and setup of new 10c Machine
Gathered reports
Performed functionality test</t>
  </si>
  <si>
    <t>https://www.jotform.com/uploads/macarewecare/222927978372067/5850780937116338065/5850780937116338065_signature_28.png</t>
  </si>
  <si>
    <t>https://www.jotform.com/uploads/macarewecare/222927978372067/5850780937116338065/5850780937116338065_signature_31.png</t>
  </si>
  <si>
    <t>Ibaan Municipal Health Office</t>
  </si>
  <si>
    <t>Brgy. Talaibon, Ibaan</t>
  </si>
  <si>
    <t>bagsicemieliza@yahoo.com</t>
  </si>
  <si>
    <t>Performed installation.
Performed basic training on end-user.
Generated reports.</t>
  </si>
  <si>
    <t>Unit was from Tanauan CHO.</t>
  </si>
  <si>
    <t>https://www.jotform.com/uploads/macarewecare/222927978372067/5850736748901897119/5850736748901897119_signature_28.png</t>
  </si>
  <si>
    <t>Emie Liza H. Bagsic</t>
  </si>
  <si>
    <t>https://www.jotform.com/uploads/macarewecare/222927978372067/5850736748901897119/5850736748901897119_signature_31.png</t>
  </si>
  <si>
    <t>PCR Labortory</t>
  </si>
  <si>
    <t xml:space="preserve">ASSAY: Xpert SARS-CoV-2, COUNT: 11432
ASSAY: Xpert HBV VL, COUNT: 17
ASSAY: Xpert HIV-1 Viral Load, COUNT: 2
</t>
  </si>
  <si>
    <t>B1: 662752 temperature error
B2:623847 temperature error
B3:792278 temperature error</t>
  </si>
  <si>
    <t>Unit is partially operational
B1,B2 and B3 for replacement</t>
  </si>
  <si>
    <t>https://www.jotform.com/uploads/macarewecare/222927978372067/5850698487114568103/5850698487114568103_signature_28.png</t>
  </si>
  <si>
    <t>https://www.jotform.com/uploads/macarewecare/222927978372067/5850698487114568103/5850698487114568103_signature_31.png</t>
  </si>
  <si>
    <t>GOVERNOR CELESTINO GALLARES MEMORIAL MEDICAL CENTER</t>
  </si>
  <si>
    <t>majieocmen@gmail.com</t>
  </si>
  <si>
    <t xml:space="preserve">ASSAY: Xpert MTB/RIF Ultra, COUNT: 1095
ASSAY: Xpert HIV-1 Viral Load, COUNT: 111
</t>
  </si>
  <si>
    <t>https://www.jotform.com/uploads/macarewecare/222927978372067/5850046771111387068/5850046771111387068_signature_28.png</t>
  </si>
  <si>
    <t>Ma. Jernai Sosoban, RMT</t>
  </si>
  <si>
    <t>https://www.jotform.com/uploads/macarewecare/222927978372067/5850046771111387068/5850046771111387068_signature_31.png</t>
  </si>
  <si>
    <t>-PERFORM PREVENTIVE MAINTENANCE
-PERFORM MODULE B2 REPLACEMENT:
DEF SN : 860580 
NEW SN: 794001</t>
  </si>
  <si>
    <t>https://www.jotform.com/uploads/macarewecare/222927978372067/5850044631111968940/5850044631111968940_signature_28.png</t>
  </si>
  <si>
    <t>https://www.jotform.com/uploads/macarewecare/222927978372067/5850044631111968940/5850044631111968940_signature_31.png</t>
  </si>
  <si>
    <t>Camus Street. Davao City</t>
  </si>
  <si>
    <t xml:space="preserve">ASSAY: Xpert MTB/RIF Ultra, COUNT: 648
</t>
  </si>
  <si>
    <t>No power on System Unit
Due for Preventive Maintenance</t>
  </si>
  <si>
    <t>Reset connection of the system unit
Clean ram slots
Replaced the CMOS Battery
Clean Surface Area, Cartridge Bay, Plunger Rod, Fan Filters and Icore Lenses
Generate IQR, Assay Stat and System Log
Archived Data test results</t>
  </si>
  <si>
    <t>Perform Preventive Maintenance
Troubleshoot the System Unit</t>
  </si>
  <si>
    <t>System unit is able to boot and All Modules are operational</t>
  </si>
  <si>
    <t>https://www.jotform.com/uploads/macarewecare/222927978372067/5849979831716603853/5849979831716603853_signature_28.png</t>
  </si>
  <si>
    <t>Arleen P Alconera</t>
  </si>
  <si>
    <t>https://www.jotform.com/uploads/macarewecare/222927978372067/5849979831716603853/5849979831716603853_signature_31.png</t>
  </si>
  <si>
    <t>Barangay Burgos, Padre Burgos, Quezon Province</t>
  </si>
  <si>
    <t>miralynmendoza30@gmail.com</t>
  </si>
  <si>
    <t>Checked and cleaned cartridge bays, plunger rod, icore slot and filter
Performed XpertCheck
B2 and B4 failed xpertcheck 
Generated report</t>
  </si>
  <si>
    <t>unit is operational
2 modules for reporting</t>
  </si>
  <si>
    <t>DR 46625</t>
  </si>
  <si>
    <t>https://www.jotform.com/uploads/macarewecare/222927978372067/5849951589015263363/5849951589015263363_signature_28.png</t>
  </si>
  <si>
    <t>Miralyn Pionilla</t>
  </si>
  <si>
    <t>https://www.jotform.com/uploads/macarewecare/222927978372067/5849951589015263363/5849951589015263363_signature_31.png</t>
  </si>
  <si>
    <t>Milagros</t>
  </si>
  <si>
    <t xml:space="preserve">ASSAY: Xpert MTB/RIF Ultra, COUNT: 1446
</t>
  </si>
  <si>
    <t>B2/610287, B3/807742 for module replacement</t>
  </si>
  <si>
    <t>Replaced Modules:
   B2 - 610287&gt;&gt;652302
   B3 - 807742&gt;&gt;718960
Cleaned cartridge bays,  plunger rods, icores, fan
Generate reports</t>
  </si>
  <si>
    <t>Replaced Module B2/610287, B3/807742
Performed Preventive Maintenance</t>
  </si>
  <si>
    <t>https://www.jotform.com/uploads/macarewecare/222927978372067/5849948061425624081/5849948061425624081_signature_28.png</t>
  </si>
  <si>
    <t>https://www.jotform.com/uploads/macarewecare/222927978372067/5849948061425624081/5849948061425624081_signature_31.png</t>
  </si>
  <si>
    <t>https://www.jotform.com/uploads/macarewecare/222927978372067/5849948021427631817/5849948021427631817_signature_28.png</t>
  </si>
  <si>
    <t>https://www.jotform.com/uploads/macarewecare/222927978372067/5849948021427631817/5849948021427631817_signature_31.png</t>
  </si>
  <si>
    <t xml:space="preserve">ASSAY: Xpert MTB/RIF Ultra, COUNT: 2433
ASSAY: Xpert HIV-1 Viral Load, COUNT: 123
</t>
  </si>
  <si>
    <t>https://www.jotform.com/uploads/macarewecare/222927978372067/5849940666939787917/5849940666939787917_signature_28.png</t>
  </si>
  <si>
    <t>Rosebi Jalova</t>
  </si>
  <si>
    <t>https://www.jotform.com/uploads/macarewecare/222927978372067/5849940666939787917/5849940666939787917_signature_31.png</t>
  </si>
  <si>
    <t>For pull-out and transfer to another site.</t>
  </si>
  <si>
    <t>Pack-up machine for pull-out.</t>
  </si>
  <si>
    <t>https://www.jotform.com/uploads/macarewecare/222927978372067/5849926648112839470/5849926648112839470_signature_28.png</t>
  </si>
  <si>
    <t>https://www.jotform.com/uploads/macarewecare/222927978372067/5849926648112839470/5849926648112839470_signature_31.png</t>
  </si>
  <si>
    <t>-New 10C GeneXpert Unit Installation
-Setup GeneXpert workstation including printer and UPS</t>
  </si>
  <si>
    <t>https://www.jotform.com/uploads/macarewecare/222927978372067/5849926648116344195/5849926648116344195_signature_28.png</t>
  </si>
  <si>
    <t>https://www.jotform.com/uploads/macarewecare/222927978372067/5849926648116344195/5849926648116344195_signature_31.png</t>
  </si>
  <si>
    <t>No power on UPS
No power on System Unit</t>
  </si>
  <si>
    <t>Check and reset the connection making sure it is properly plug
Reset and Change Cmos Battery</t>
  </si>
  <si>
    <t>Troubleshoot the System Unit and UPS</t>
  </si>
  <si>
    <t>Still no power on ups and System Unit
Errors documented to be sent to Cepheid for further Assessment</t>
  </si>
  <si>
    <t>Installed a GeneXpert Software on End User's Personal Laptop for  temporarily use the GeneXpert System</t>
  </si>
  <si>
    <t>https://www.jotform.com/uploads/macarewecare/222927978372067/5849907285634653597/5849907285634653597_signature_28.png</t>
  </si>
  <si>
    <t>https://www.jotform.com/uploads/macarewecare/222927978372067/5849907285634653597/5849907285634653597_signature_31.png</t>
  </si>
  <si>
    <t>Unit is operational
CPU under observation</t>
  </si>
  <si>
    <t>https://www.jotform.com/uploads/macarewecare/222927978372067/5849880166933606384/5849880166933606384_signature_28.png</t>
  </si>
  <si>
    <t>https://www.jotform.com/uploads/macarewecare/222927978372067/5849880166933606384/5849880166933606384_signature_31.png</t>
  </si>
  <si>
    <t>Rosario, Santiago City, Isabela</t>
  </si>
  <si>
    <t>cassflotildesvillanueva@yahoo.com</t>
  </si>
  <si>
    <t>Installed PC
Installed Genexpert
Installed UPS
Installed Printer
Installed Monitor
Performed Maintenance
Gathered Reports
Performed Functionality Test</t>
  </si>
  <si>
    <t>https://www.jotform.com/uploads/macarewecare/222927978372067/5849861775274861278/5849861775274861278_signature_28.png</t>
  </si>
  <si>
    <t>Cassandra Ramos</t>
  </si>
  <si>
    <t>https://www.jotform.com/uploads/macarewecare/222927978372067/5849861775274861278/5849861775274861278_signature_31.png</t>
  </si>
  <si>
    <t>La Castella Rural Health Unit</t>
  </si>
  <si>
    <t xml:space="preserve">ASSAY: Xpert MTB/RIF Ultra, COUNT: 789
</t>
  </si>
  <si>
    <t>Same problem after troubleshooting, recommend replacement of LCD monitor.</t>
  </si>
  <si>
    <t>https://www.jotform.com/uploads/macarewecare/222927978372067/5849844800712055441/5849844800712055441_signature_28.png</t>
  </si>
  <si>
    <t>https://www.jotform.com/uploads/macarewecare/222927978372067/5849844800712055441/5849844800712055441_signature_31.png</t>
  </si>
  <si>
    <t xml:space="preserve">ASSAY: Xpert MTB/RIF Ultra, COUNT: 2682
</t>
  </si>
  <si>
    <t>Defective module 800544/C1</t>
  </si>
  <si>
    <t>- Replaced module 800544/C1 with new module with SN 766466.</t>
  </si>
  <si>
    <t>https://www.jotform.com/uploads/macarewecare/222927978372067/5849772866617814584/5849772866617814584_signature_28.png</t>
  </si>
  <si>
    <t>https://www.jotform.com/uploads/macarewecare/222927978372067/5849772866617814584/5849772866617814584_signature_31.png</t>
  </si>
  <si>
    <t>maricrisvillanueva96@gmail.com</t>
  </si>
  <si>
    <t>Instaled Genexpert
Installed PC
Installed Monitor
Installed UPS
Installed Drivers
Performed Maintenance
Gathered Reports
Performed Functionality Test</t>
  </si>
  <si>
    <t>https://www.jotform.com/uploads/macarewecare/222927978372067/5849167033614286120/5849167033614286120_signature_28.png</t>
  </si>
  <si>
    <t>Maricris Villanueva</t>
  </si>
  <si>
    <t>https://www.jotform.com/uploads/macarewecare/222927978372067/5849167033614286120/5849167033614286120_signature_31.png</t>
  </si>
  <si>
    <t>Brgy. Baga-Uma, Aroroy</t>
  </si>
  <si>
    <t>Installed Gx4-10C, UPS, Printer, CPU,  Monitor
Generate Report</t>
  </si>
  <si>
    <t>https://www.jotform.com/uploads/macarewecare/222927978372067/5849153583522816497/5849153583522816497_signature_28.png</t>
  </si>
  <si>
    <t>Rhena Luz M. Etcobanez</t>
  </si>
  <si>
    <t>https://www.jotform.com/uploads/macarewecare/222927978372067/5849153583522816497/5849153583522816497_signature_31.png</t>
  </si>
  <si>
    <t xml:space="preserve">ASSAY: Xpert MTB/RIF Ultra, COUNT: 1665
</t>
  </si>
  <si>
    <t>For Packing
For Preventive Maintenance</t>
  </si>
  <si>
    <t>Cleaned Cartridge bays, plunger rod,
Packed Gx4-6C, Monitor, CPU, UPS, Printer
Generate reports</t>
  </si>
  <si>
    <t>Performed Preventive Maintenance 
Packed Gx4-6s set</t>
  </si>
  <si>
    <t>https://www.jotform.com/uploads/macarewecare/222927978372067/5849151623525535114/5849151623525535114_signature_28.png</t>
  </si>
  <si>
    <t>https://www.jotform.com/uploads/macarewecare/222927978372067/5849151623525535114/5849151623525535114_signature_31.png</t>
  </si>
  <si>
    <t>Vitali Lying-In Centre</t>
  </si>
  <si>
    <t>erianejanecardenas@gmail.com</t>
  </si>
  <si>
    <t>System unit won't turn on</t>
  </si>
  <si>
    <t>System unit undergone troubleshooting.</t>
  </si>
  <si>
    <t>System unit is unable to turn on.</t>
  </si>
  <si>
    <t>System unit is for replacement</t>
  </si>
  <si>
    <t>https://www.jotform.com/uploads/macarewecare/222927978372067/5849112971855389715/5849112971855389715_signature_28.png</t>
  </si>
  <si>
    <t>Eriane Jane M. Cardenas</t>
  </si>
  <si>
    <t>https://www.jotform.com/uploads/macarewecare/222927978372067/5849112971855389715/5849112971855389715_signature_31.png</t>
  </si>
  <si>
    <t>Hinoba-an Rural Health Unit</t>
  </si>
  <si>
    <t>Hinoba-an, Negros Occidental</t>
  </si>
  <si>
    <t>johnericvillamater@gmail.com</t>
  </si>
  <si>
    <t>Stuck Cartridge in module 2.</t>
  </si>
  <si>
    <t>- Removes stuck cartridge.
- Run Xpertcheck on all 2 modules.</t>
  </si>
  <si>
    <t>All modules passed Xpertcheck; all modules operational.</t>
  </si>
  <si>
    <t>https://www.jotform.com/uploads/macarewecare/222927978372067/5849100146714348479/5849100146714348479_signature_28.png</t>
  </si>
  <si>
    <t>Loralyn Villamater</t>
  </si>
  <si>
    <t>https://www.jotform.com/uploads/macarewecare/222927978372067/5849100146714348479/5849100146714348479_signature_31.png</t>
  </si>
  <si>
    <t>San Simon Rural Health Unit</t>
  </si>
  <si>
    <t>San Simon Pampanga</t>
  </si>
  <si>
    <t>pingolseven@yahoo.com</t>
  </si>
  <si>
    <t xml:space="preserve">ASSAY: Xpert MTB/RIF Ultra, COUNT: 311
</t>
  </si>
  <si>
    <t>Unit is operational
3 modules passed calibration 
B1 failed calibration</t>
  </si>
  <si>
    <t>B1 for reporting</t>
  </si>
  <si>
    <t>https://www.jotform.com/uploads/macarewecare/222927978372067/5849088220603162273/5849088220603162273_signature_28.png</t>
  </si>
  <si>
    <t>Virmar Pingol</t>
  </si>
  <si>
    <t>https://www.jotform.com/uploads/macarewecare/222927978372067/5849088220603162273/5849088220603162273_signature_31.png</t>
  </si>
  <si>
    <t xml:space="preserve">ASSAY: Xpert HBV VL, COUNT: 38
ASSAY: Xpert HPV, COUNT: 28
ASSAY: Xpert MTB/RIF Ultra, COUNT: 627
</t>
  </si>
  <si>
    <t>Unit for PM.
Unit for software upgrade.</t>
  </si>
  <si>
    <t>PM and software upgrade.</t>
  </si>
  <si>
    <t>Performed PM.
Performed Genexpert Software Upgrade.
Generated reports.</t>
  </si>
  <si>
    <t>Unit is operational. GeneXpert software is now running on version 6.4.</t>
  </si>
  <si>
    <t>https://www.jotform.com/uploads/macarewecare/222927978372067/5849038868442604382/5849038868442604382_signature_28.png</t>
  </si>
  <si>
    <t>https://www.jotform.com/uploads/macarewecare/222927978372067/5849038868442604382/5849038868442604382_signature_31.png</t>
  </si>
  <si>
    <t>Minalin Pampanga</t>
  </si>
  <si>
    <t>Due for calibration
Manual setup of date and time
Hard boot up</t>
  </si>
  <si>
    <t>Xpertcheck
Preventive maintenance
Bios battery replacement</t>
  </si>
  <si>
    <t>Performed surface cleaning
Performed cleaning of cartridge bay,icore,plunger rod and filter
Performed xpertcheck 
Generate reports
Archived test results
Replaced BIOS battery
Performed functionality test</t>
  </si>
  <si>
    <t>Unitis is operational
Under obesrvation
2 modules passed calibration (B1,B2 and B3
2 failed calibration (B4)</t>
  </si>
  <si>
    <t>Used 6 Xpertcheck kits, pulled out 4 exyra Xpertcheck kits</t>
  </si>
  <si>
    <t>https://www.jotform.com/uploads/macarewecare/222927978372067/5849036590608372349/5849036590608372349_signature_28.png</t>
  </si>
  <si>
    <t>Bernadette Lazaro</t>
  </si>
  <si>
    <t>https://www.jotform.com/uploads/macarewecare/222927978372067/5849036590608372349/5849036590608372349_signature_31.png</t>
  </si>
  <si>
    <t>No power of ups and no voltage output,</t>
  </si>
  <si>
    <t>Checked voltage output main supply ok 
Checked ups fuse ok 
Checked power cord continuity ok 
Checked supply board defective.
Checked transformer ok</t>
  </si>
  <si>
    <t>UPS unoperational</t>
  </si>
  <si>
    <t>For quotation and dor replacement of ups 1kva  Model accupower s/n AT1000190402ST0399</t>
  </si>
  <si>
    <t>https://www.jotform.com/uploads/macarewecare/222927978372067/5849028334911886804/5849028334911886804_signature_28.png</t>
  </si>
  <si>
    <t>https://www.jotform.com/uploads/macarewecare/222927978372067/5849028334911886804/5849028334911886804_signature_31.png</t>
  </si>
  <si>
    <t>TB-HIV Laboratory</t>
  </si>
  <si>
    <t xml:space="preserve">ASSAY: Xpert MTB/RIF Ultra, COUNT: 226
ASSAY: Xpert HIV-1 Viral Load, COUNT: 869
ASSAY: Xpert HBV VL, COUNT: 1
</t>
  </si>
  <si>
    <t>Due for Preventive Maintenance
Module B4 encounter multiple temperature related errors</t>
  </si>
  <si>
    <t>Clean Surface Area, Cartridge Bay, Plunger Rod, Fan Filters and Icore Lenses
Generate IQR, Assay Stat and System Log
Run XpertCheck at Module 4</t>
  </si>
  <si>
    <t>Perform Preventive Maintenance
Perform Functionality Test</t>
  </si>
  <si>
    <t>Module 4 passed the functionality test</t>
  </si>
  <si>
    <t>Module 4 for under observation if error.</t>
  </si>
  <si>
    <t>https://www.jotform.com/uploads/macarewecare/222927978372067/5849025385016967116/5849025385016967116_signature_28.png</t>
  </si>
  <si>
    <t>https://www.jotform.com/uploads/macarewecare/222927978372067/5849025385016967116/5849025385016967116_signature_31.png</t>
  </si>
  <si>
    <t xml:space="preserve">ASSAY: Xpert MTB/RIF Ultra, COUNT: 114
ASSAY: Xpert HIV-1 Viral Load, COUNT: 660
ASSAY: Xpert HBV VL, COUNT: 6
</t>
  </si>
  <si>
    <t>Due for Preventive Maintenance
Error on Modules B2, and B4</t>
  </si>
  <si>
    <t>Module B2, B4 encounter cartidge related errors
Enduser was advised to run sample under new cartidge</t>
  </si>
  <si>
    <t>https://www.jotform.com/uploads/macarewecare/222927978372067/5849024925011854013/5849024925011854013_signature_28.png</t>
  </si>
  <si>
    <t>https://www.jotform.com/uploads/macarewecare/222927978372067/5849024925011854013/5849024925011854013_signature_31.png</t>
  </si>
  <si>
    <t>Imus City Health Office I</t>
  </si>
  <si>
    <t>Velarde Subd, Imus, Cavite</t>
  </si>
  <si>
    <t>armandlasq@gmail.com</t>
  </si>
  <si>
    <t>Installed GeneXpert System
Retrieved Test
Generate Reports</t>
  </si>
  <si>
    <t>Unit is with UPS. Unit is Operational</t>
  </si>
  <si>
    <t>https://www.jotform.com/uploads/macarewecare/222927978372067/5849018659025788799/5849018659025788799_signature_28.png</t>
  </si>
  <si>
    <t>Armand G. Lasquete</t>
  </si>
  <si>
    <t>https://www.jotform.com/uploads/macarewecare/222927978372067/5849018659025788799/5849018659025788799_signature_31.png</t>
  </si>
  <si>
    <t xml:space="preserve">ASSAY: Xpert MTB/RIF Ultra, COUNT: 3530
</t>
  </si>
  <si>
    <t>Old: B3/882702
New: B3/807020</t>
  </si>
  <si>
    <t>https://www.jotform.com/uploads/macarewecare/222927978372067/5849009183611955997/5849009183611955997_signature_28.png</t>
  </si>
  <si>
    <t>https://www.jotform.com/uploads/macarewecare/222927978372067/5849009183611955997/5849009183611955997_signature_31.png</t>
  </si>
  <si>
    <t>Sixto Antonio Ave.</t>
  </si>
  <si>
    <t>Old: B1/210101926
New: B1/677762</t>
  </si>
  <si>
    <t>https://www.jotform.com/uploads/macarewecare/222927978372067/5849009183616753322/5849009183616753322_signature_28.png</t>
  </si>
  <si>
    <t>https://www.jotform.com/uploads/macarewecare/222927978372067/5849009183616753322/5849009183616753322_signature_31.png</t>
  </si>
  <si>
    <t>https://www.jotform.com/uploads/macarewecare/222927978372067/5848993567772632540/5848993567772632540_signature_28.png</t>
  </si>
  <si>
    <t>https://www.jotform.com/uploads/macarewecare/222927978372067/5848993567772632540/5848993567772632540_signature_31.png</t>
  </si>
  <si>
    <t>San Fernando Rural Health Unit 2</t>
  </si>
  <si>
    <t>Sindalan San Fernando Pampanga</t>
  </si>
  <si>
    <t>punoricahrd@gmail.com</t>
  </si>
  <si>
    <t>B4:863566 for module replacement</t>
  </si>
  <si>
    <t>Repair(module replacement)
Preventive maintenance</t>
  </si>
  <si>
    <t>Unit is operational 
B4:807350 new module</t>
  </si>
  <si>
    <t>https://www.jotform.com/uploads/macarewecare/222927978372067/5848971906198629670/5848971906198629670_signature_28.png</t>
  </si>
  <si>
    <t>Richard Puno</t>
  </si>
  <si>
    <t>https://www.jotform.com/uploads/macarewecare/222927978372067/5848971906198629670/5848971906198629670_signature_31.png</t>
  </si>
  <si>
    <t>Brgy. Sto. Domingo, Binan</t>
  </si>
  <si>
    <t>annefriam.almazora@yahoo.com</t>
  </si>
  <si>
    <t xml:space="preserve">ASSAY: Xpert HPV, COUNT: 115
ASSAY: Xpert MTB/RIF Ultra, COUNT: 2556
</t>
  </si>
  <si>
    <t>Unit for PM.
For module replacement of module B1.</t>
  </si>
  <si>
    <t>GX module B1 (862476) in replacement to defective B1 (886541).</t>
  </si>
  <si>
    <t>https://www.jotform.com/uploads/macarewecare/222927978372067/5848968248441070571/5848968248441070571_signature_28.png</t>
  </si>
  <si>
    <t>https://www.jotform.com/uploads/macarewecare/222927978372067/5848968248441070571/5848968248441070571_signature_31.png</t>
  </si>
  <si>
    <t>Mayor Hilarion A Ramiro Sr. Medical Center</t>
  </si>
  <si>
    <t>Ozamiz City</t>
  </si>
  <si>
    <t>mharsmc.covidlabgenex@gmail.com</t>
  </si>
  <si>
    <t>Stuck-up Cartridge with Lot number. 51801</t>
  </si>
  <si>
    <t>Pull out cartridge</t>
  </si>
  <si>
    <t>Pull out cartridge.</t>
  </si>
  <si>
    <t>All modules ok to use</t>
  </si>
  <si>
    <t>Module B1 door is broken.</t>
  </si>
  <si>
    <t>https://www.jotform.com/uploads/macarewecare/222927978372067/5848912968813992917/5848912968813992917_signature_28.png</t>
  </si>
  <si>
    <t>John Carlo B. Bongales</t>
  </si>
  <si>
    <t>https://www.jotform.com/uploads/macarewecare/222927978372067/5848912968813992917/5848912968813992917_signature_31.png</t>
  </si>
  <si>
    <t>RHIVDA SECTION</t>
  </si>
  <si>
    <t xml:space="preserve">ASSAY: Xpert MTB/RIF Ultra, COUNT: 35
ASSAY: Xpert HIV-1 Viral Load, COUNT: 397
ASSAY: Xpert SARS-CoV-2, COUNT: 7
</t>
  </si>
  <si>
    <t>GX - IV 10 COLORS 4L</t>
  </si>
  <si>
    <t>Due for Preventive Maintenance
Module B2 encounter multiple temperature related errors</t>
  </si>
  <si>
    <t>Clean Surface Area, Cartridge Bay, Plunger Rod, Fan Filters and Icore Lenses
Generate IQR, Assay Stat and System Log
Archived Data test results
Perform Xpertcheck Calibration at Modules</t>
  </si>
  <si>
    <t>Perform Preventive Maintenance
Perform Module Functionality</t>
  </si>
  <si>
    <t>Module B2 for Service Required</t>
  </si>
  <si>
    <t>https://www.jotform.com/uploads/macarewecare/222927978372067/5848322380526940083/5848322380526940083_signature_28.png</t>
  </si>
  <si>
    <t>Sheila Marie Nimez</t>
  </si>
  <si>
    <t>https://www.jotform.com/uploads/macarewecare/222927978372067/5848322380526940083/5848322380526940083_signature_31.png</t>
  </si>
  <si>
    <t xml:space="preserve">ASSAY: Xpert MTB/RIF Ultra, COUNT: 2485
ASSAY: Xpert SARS-CoV-2, COUNT: 1886
ASSAY: Xpert HIV-1 Viral Load, COUNT: 155
</t>
  </si>
  <si>
    <t>Clean Surface Area, Cartridge Bay, Plunger Rod, Fan Filters and Icore Lenses
Generate IQR, Assay Stat and System Log
Archived Data test results
Perform XPERTCHECK Calibration</t>
  </si>
  <si>
    <t>All Modules Passed the Calibration and operational</t>
  </si>
  <si>
    <t>https://www.jotform.com/uploads/macarewecare/222927978372067/5848298360521469260/5848298360521469260_signature_28.png</t>
  </si>
  <si>
    <t>Jenry Ken Vincent Mibato RMT</t>
  </si>
  <si>
    <t>https://www.jotform.com/uploads/macarewecare/222927978372067/5848298360521469260/5848298360521469260_signature_31.png</t>
  </si>
  <si>
    <t>Apokon, Tagum City,  Davao Del Norte</t>
  </si>
  <si>
    <t xml:space="preserve">ASSAY: Xpert MTB/RIF Ultra, COUNT: 2485
ASSAY: Xpert SARS-CoV-2, COUNT: 1886
ASSAY: Xpert HIV-1 Viral Load, COUNT: 144
</t>
  </si>
  <si>
    <t>Module 3 H/W failed</t>
  </si>
  <si>
    <t>Replace defective module SN: 684273 with new module SN: 615093
Perform Genexpert Xpertcheck 
Genexpert Cleaning 
Checking of errors 
Data collection</t>
  </si>
  <si>
    <t>Perform Genexpert machine Preventive maintenance 
Perform Genexpert machine module replacement/repair 
Perform Genexpert machine Xpertcheck/Calibration</t>
  </si>
  <si>
    <t>https://www.jotform.com/uploads/macarewecare/222927978372067/5848297980022997706/5848297980022997706_signature_28.png</t>
  </si>
  <si>
    <t>Jenry Kent Vincent Mibato</t>
  </si>
  <si>
    <t>https://www.jotform.com/uploads/macarewecare/222927978372067/5848297980022997706/5848297980022997706_signature_31.png</t>
  </si>
  <si>
    <t xml:space="preserve">ASSAY: Xpert MTB/RIF Ultra, COUNT: 3762
ASSAY: Xpert SARS-CoV-2, COUNT: 3181
ASSAY: Xpert HIV-1 Viral Load, COUNT: 86
</t>
  </si>
  <si>
    <t>GX-XV1 16D</t>
  </si>
  <si>
    <t>Module A2, B2 and C4 encounter multiple temperature related errors.
Due for Preventive Maintenance</t>
  </si>
  <si>
    <t>Clean Surface Area, Cartridge Bay, Plunger Rod, Fan Filters and Icore Lenses
Replaced the Defective Module SN: 750639 with new SN: 677313
Replaced the Defective Module SN: 210091151 with new Module SN: 888732
Replaced the Defective Module SN: 870474 with New Module SN: 866121
Generate IQR, Assay Stat and System Log</t>
  </si>
  <si>
    <t>Module B4 encounter error, errors sent to JotForm for further assessment</t>
  </si>
  <si>
    <t>https://www.jotform.com/uploads/macarewecare/222927978372067/5848297820524274161/5848297820524274161_signature_28.png</t>
  </si>
  <si>
    <t>https://www.jotform.com/uploads/macarewecare/222927978372067/5848297820524274161/5848297820524274161_signature_31.png</t>
  </si>
  <si>
    <t>Apokon, Tagum City, Davao Del Norte</t>
  </si>
  <si>
    <t>Module 3 h/w failed</t>
  </si>
  <si>
    <t>Replace defective module 3 SN: 656018 with new module SN:210037029
Perform Xpertcheck 
Genexpert Cleaning 
Checking of errors 
Data collection</t>
  </si>
  <si>
    <t>Perform Genexpert machine Preventive maintenance 
Perform Genexpert machine module replacement/repair 
Perform Genexpert Xpertcheck/Calibration</t>
  </si>
  <si>
    <t>https://www.jotform.com/uploads/macarewecare/222927978372067/5848296130026211303/5848296130026211303_signature_28.png</t>
  </si>
  <si>
    <t>Jenny Ken Vincent mibato</t>
  </si>
  <si>
    <t>https://www.jotform.com/uploads/macarewecare/222927978372067/5848296130026211303/5848296130026211303_signature_31.png</t>
  </si>
  <si>
    <t>Lorenzo D. Zayco District Hospital</t>
  </si>
  <si>
    <t>Kabankalan City, Negros Occidental</t>
  </si>
  <si>
    <t>beuagravante@gmail.com</t>
  </si>
  <si>
    <t xml:space="preserve">ASSAY: Xpert MTB/RIF Ultra, COUNT: 0
ASSAY: Others, COUNT: 0
</t>
  </si>
  <si>
    <t>GX4- 10c</t>
  </si>
  <si>
    <t>-Installation of new 10c unit and accessories;
-System Configuration - Genexpert, Printer
- Daisy chained Gx4 6c (804755) and new 10c unit (110020360);
-Functionality testing.</t>
  </si>
  <si>
    <t>2 units operational in daisy chain configuration with all 8 modules operational.</t>
  </si>
  <si>
    <t>Waiting for UPS delivery, system connected directly to line voltage.</t>
  </si>
  <si>
    <t>https://www.jotform.com/uploads/macarewecare/222927978372067/5848294818314122091/5848294818314122091_signature_28.png</t>
  </si>
  <si>
    <t>Beulah Agravante, RMT</t>
  </si>
  <si>
    <t>https://www.jotform.com/uploads/macarewecare/222927978372067/5848294818314122091/5848294818314122091_signature_31.png</t>
  </si>
  <si>
    <t>Tiaong Rural Health Unit</t>
  </si>
  <si>
    <t>Don V. Robles St., Poblacion 3, Tiaong, Quezon Province</t>
  </si>
  <si>
    <t>ilabrgutiaong@gmail.com</t>
  </si>
  <si>
    <t xml:space="preserve">ASSAY: Xpert HPV, COUNT: 27
ASSAY: Xpert MTB/RIF Ultra, COUNT: 1627
</t>
  </si>
  <si>
    <t>Module B3 and B4 for replacement</t>
  </si>
  <si>
    <t>Performed PM
Replaced Modules B3 and B4
Generated report</t>
  </si>
  <si>
    <t>Replaced Modules
B3: 863780 -&gt;  877236
B4: 863787 -&gt; 877308</t>
  </si>
  <si>
    <t>2 GX modules 6C</t>
  </si>
  <si>
    <t>DR 46642</t>
  </si>
  <si>
    <t>https://www.jotform.com/uploads/macarewecare/222927978372067/5848239879429013736/5848239879429013736_signature_28.png</t>
  </si>
  <si>
    <t>Tiaong RTDL</t>
  </si>
  <si>
    <t>https://www.jotform.com/uploads/macarewecare/222927978372067/5848239879429013736/5848239879429013736_signature_31.png</t>
  </si>
  <si>
    <t>Democrito O. Plaza Memorial Hospital</t>
  </si>
  <si>
    <t>Brgy. Patin-ay, Prosperidad</t>
  </si>
  <si>
    <t>lermabpabillan@gmail.com</t>
  </si>
  <si>
    <t>Module B4 found temperature error and reported thru jotform</t>
  </si>
  <si>
    <t>Replacing Module B4 with SN: 686369 to SN: 675667</t>
  </si>
  <si>
    <t>https://www.jotform.com/uploads/macarewecare/222927978372067/5848164280761804867/5848164280761804867_signature_28.png</t>
  </si>
  <si>
    <t>Lerma B. Pabillan</t>
  </si>
  <si>
    <t>https://www.jotform.com/uploads/macarewecare/222927978372067/5848164280761804867/5848164280761804867_signature_31.png</t>
  </si>
  <si>
    <t>Hospital drive San Vicente Tarlac City</t>
  </si>
  <si>
    <t xml:space="preserve">ASSAY: Xpert MTB/RIF Ultra, COUNT: 2078
ASSAY: Xpert HIV-1 Viral Load, COUNT: 521
ASSAY: Xpert HBV VL, COUNT: 20
</t>
  </si>
  <si>
    <t>C1:717934 for module replacement</t>
  </si>
  <si>
    <t>Unit is operational
C1:888375 (new module)</t>
  </si>
  <si>
    <t>https://www.jotform.com/uploads/macarewecare/222927978372067/5848094899431119164/5848094899431119164_signature_28.png</t>
  </si>
  <si>
    <t>Danielle Santillan</t>
  </si>
  <si>
    <t>https://www.jotform.com/uploads/macarewecare/222927978372067/5848094899431119164/5848094899431119164_signature_31.png</t>
  </si>
  <si>
    <t>Klinika Project 7 Social Hygiene Clinic</t>
  </si>
  <si>
    <t xml:space="preserve">ASSAY: Xpert HIV-1 Viral Load, COUNT: 73
</t>
  </si>
  <si>
    <t>Printer assistance
Forgot login credentials</t>
  </si>
  <si>
    <t>Assisted end user on how to use printer
Created end user credentials
Generated report</t>
  </si>
  <si>
    <t>Printer assistance
Setup new user admin</t>
  </si>
  <si>
    <t>https://www.jotform.com/uploads/macarewecare/222927978372067/5847467173617997258/5847467173617997258_signature_28.png</t>
  </si>
  <si>
    <t>https://www.jotform.com/uploads/macarewecare/222927978372067/5847467173617997258/5847467173617997258_signature_31.png</t>
  </si>
  <si>
    <t>https://www.jotform.com/uploads/macarewecare/222927978372067/5847421403612258676/5847421403612258676_signature_28.png</t>
  </si>
  <si>
    <t>https://www.jotform.com/uploads/macarewecare/222927978372067/5847421403612258676/5847421403612258676_signature_31.png</t>
  </si>
  <si>
    <t>https://www.jotform.com/uploads/macarewecare/222927978372067/5847421403612585065/5847421403612585065_signature_28.png</t>
  </si>
  <si>
    <t>https://www.jotform.com/uploads/macarewecare/222927978372067/5847421403612585065/5847421403612585065_signature_31.png</t>
  </si>
  <si>
    <t>https://www.jotform.com/uploads/macarewecare/222927978372067/5847421403615095628/5847421403615095628_signature_28.png</t>
  </si>
  <si>
    <t>https://www.jotform.com/uploads/macarewecare/222927978372067/5847421403615095628/5847421403615095628_signature_31.png</t>
  </si>
  <si>
    <t>https://www.jotform.com/uploads/macarewecare/222927978372067/5847421403619426053/5847421403619426053_signature_28.png</t>
  </si>
  <si>
    <t>https://www.jotform.com/uploads/macarewecare/222927978372067/5847421403619426053/5847421403619426053_signature_31.png</t>
  </si>
  <si>
    <t>https://www.jotform.com/uploads/macarewecare/222927978372067/5847421343612215701/5847421343612215701_signature_28.png</t>
  </si>
  <si>
    <t>https://www.jotform.com/uploads/macarewecare/222927978372067/5847421343612215701/5847421343612215701_signature_31.png</t>
  </si>
  <si>
    <t>https://www.jotform.com/uploads/macarewecare/222927978372067/5847421293617608514/5847421293617608514_signature_28.png</t>
  </si>
  <si>
    <t>https://www.jotform.com/uploads/macarewecare/222927978372067/5847421293617608514/5847421293617608514_signature_31.png</t>
  </si>
  <si>
    <t>https://www.jotform.com/uploads/macarewecare/222927978372067/5847421293619409916/5847421293619409916_signature_28.png</t>
  </si>
  <si>
    <t>https://www.jotform.com/uploads/macarewecare/222927978372067/5847421293619409916/5847421293619409916_signature_31.png</t>
  </si>
  <si>
    <t>https://www.jotform.com/uploads/macarewecare/222927978372067/5847421303612935555/5847421303612935555_signature_28.png</t>
  </si>
  <si>
    <t>https://www.jotform.com/uploads/macarewecare/222927978372067/5847421303612935555/5847421303612935555_signature_31.png</t>
  </si>
  <si>
    <t>https://www.jotform.com/uploads/macarewecare/222927978372067/5847421303614162915/5847421303614162915_signature_28.png</t>
  </si>
  <si>
    <t>https://www.jotform.com/uploads/macarewecare/222927978372067/5847421303614162915/5847421303614162915_signature_31.png</t>
  </si>
  <si>
    <t>Institute of Biology - University of the Philippines Diliman</t>
  </si>
  <si>
    <t>IB National Science Complex, UP Diliman, Quezon City</t>
  </si>
  <si>
    <t>Checked lenses
Power-on check</t>
  </si>
  <si>
    <t>Unit is operational but right eyepiece prism has some growth the results in yellow tinge</t>
  </si>
  <si>
    <t>Storage room/areas should be clean and dry - minimal to no dust, and low humidity. Highly recommended to have a cover for each microscope. Recommended for Preventive Maintenance</t>
  </si>
  <si>
    <t>https://www.jotform.com/uploads/macarewecare/222927978372067/5847397584436234488/5847397584436234488_signature_28.png</t>
  </si>
  <si>
    <t>https://www.jotform.com/uploads/macarewecare/222927978372067/5847397584436234488/5847397584436234488_signature_31.png</t>
  </si>
  <si>
    <t>Knobs are heavy</t>
  </si>
  <si>
    <t>Checked knobs
Checked lenses
Power-on test</t>
  </si>
  <si>
    <t>Unit is operational but knobs need further checking and lubrication</t>
  </si>
  <si>
    <t>https://www.jotform.com/uploads/macarewecare/222927978372067/5847393524437654256/5847393524437654256_signature_28.png</t>
  </si>
  <si>
    <t>https://www.jotform.com/uploads/macarewecare/222927978372067/5847393524437654256/5847393524437654256_signature_31.png</t>
  </si>
  <si>
    <t xml:space="preserve">ASSAY: Xpert MTB/RIF Ultra, COUNT: 1904
</t>
  </si>
  <si>
    <t>Module B1 Encounter Multiple Temperature Related Error</t>
  </si>
  <si>
    <t>Run XpertCheck for Error Verification</t>
  </si>
  <si>
    <t>Module B1 for service Required</t>
  </si>
  <si>
    <t>Data Sent to Cepheid for further Assessment</t>
  </si>
  <si>
    <t>https://www.jotform.com/uploads/macarewecare/222927978372067/5847390334259831019/5847390334259831019_signature_28.png</t>
  </si>
  <si>
    <t>https://www.jotform.com/uploads/macarewecare/222927978372067/5847390334259831019/5847390334259831019_signature_31.png</t>
  </si>
  <si>
    <t>Primо Star</t>
  </si>
  <si>
    <t>Defective</t>
  </si>
  <si>
    <t>Checked power supply, swapped good power supply
Checked bulb, no bulb
Checked lenses</t>
  </si>
  <si>
    <t>Unit is not operational. Need to replace power supply and bulb</t>
  </si>
  <si>
    <t>https://www.jotform.com/uploads/macarewecare/222927978372067/5847389344435864085/5847389344435864085_signature_28.png</t>
  </si>
  <si>
    <t>https://www.jotform.com/uploads/macarewecare/222927978372067/5847389344435864085/5847389344435864085_signature_31.png</t>
  </si>
  <si>
    <t>Axiostar</t>
  </si>
  <si>
    <t>Unit is operational but need cleaning</t>
  </si>
  <si>
    <t>https://www.jotform.com/uploads/macarewecare/222927978372067/5847381564436391221/5847381564436391221_signature_28.png</t>
  </si>
  <si>
    <t>https://www.jotform.com/uploads/macarewecare/222927978372067/5847381564436391221/5847381564436391221_signature_31.png</t>
  </si>
  <si>
    <t>KF 2</t>
  </si>
  <si>
    <t>https://www.jotform.com/uploads/macarewecare/222927978372067/5847377164436408707/5847377164436408707_signature_28.png</t>
  </si>
  <si>
    <t>https://www.jotform.com/uploads/macarewecare/222927978372067/5847377164436408707/5847377164436408707_signature_31.png</t>
  </si>
  <si>
    <t>Checked lenses
power-on check</t>
  </si>
  <si>
    <t>https://www.jotform.com/uploads/macarewecare/222927978372067/5847374544431326887/5847374544431326887_signature_28.png</t>
  </si>
  <si>
    <t>https://www.jotform.com/uploads/macarewecare/222927978372067/5847374544431326887/5847374544431326887_signature_31.png</t>
  </si>
  <si>
    <t>Does not turn on</t>
  </si>
  <si>
    <t>Checked light bulb
Checked power supply = 0V output</t>
  </si>
  <si>
    <t>Unit is not operational. Further testing and isolation of power supply</t>
  </si>
  <si>
    <t>https://www.jotform.com/uploads/macarewecare/222927978372067/5847371684433323351/5847371684433323351_signature_28.png</t>
  </si>
  <si>
    <t>https://www.jotform.com/uploads/macarewecare/222927978372067/5847371684433323351/5847371684433323351_signature_31.png</t>
  </si>
  <si>
    <t>Working but light suddenly turns off after 1 to 2 hrs. of use</t>
  </si>
  <si>
    <t>Checked light bulb
Checked power supply output voltage</t>
  </si>
  <si>
    <t>Unit is operational but need to further test power supply</t>
  </si>
  <si>
    <t>https://www.jotform.com/uploads/macarewecare/222927978372067/5847361904432268523/5847361904432268523_signature_28.png</t>
  </si>
  <si>
    <t>https://www.jotform.com/uploads/macarewecare/222927978372067/5847361904432268523/5847361904432268523_signature_31.png</t>
  </si>
  <si>
    <t>vanessadelmonte140@gmail.com</t>
  </si>
  <si>
    <t>Performed preventive maintenance
- Cleaned cartridge bay, plunger rod, fan filter, icore
- Backed up files</t>
  </si>
  <si>
    <t>https://www.jotform.com/uploads/macarewecare/222927978372067/5847352534313637523/5847352534313637523_signature_28.png</t>
  </si>
  <si>
    <t>Vanessa Mabag</t>
  </si>
  <si>
    <t>https://www.jotform.com/uploads/macarewecare/222927978372067/5847352534313637523/5847352534313637523_signature_31.png</t>
  </si>
  <si>
    <t>Gov. Celestino Gallares Memorial Hospital</t>
  </si>
  <si>
    <t>Stucked-up Carthridge</t>
  </si>
  <si>
    <t>Repair Module Door and Remove stucked-up carthridge</t>
  </si>
  <si>
    <t>Damage Module Door</t>
  </si>
  <si>
    <t>Systems operatuonal</t>
  </si>
  <si>
    <t>https://www.jotform.com/uploads/macarewecare/222927978372067/5847340421118650534/5847340421118650534_signature_28.png</t>
  </si>
  <si>
    <t>https://www.jotform.com/uploads/macarewecare/222927978372067/5847340421118650534/5847340421118650534_signature_31.png</t>
  </si>
  <si>
    <t>GeneXpertIV 10C for installation</t>
  </si>
  <si>
    <t>Perform maintenance and check the condition of existing Gx 6C unit.
Disassemble of the existing Gx 6C unit.
Pack the unit using the 10C boxes to make sure it is safe and ready for transport to new facility.
Perform unit set up/Installation of the new Gx 10C unit.
Perform operator's basic training.
Generated report</t>
  </si>
  <si>
    <t>Packed GXIV 6C, Installed GXIV 10C</t>
  </si>
  <si>
    <t>Unit is operational. 
Allodules working</t>
  </si>
  <si>
    <t>GXIV 10C - D
UPS
Printer</t>
  </si>
  <si>
    <t>DR47081</t>
  </si>
  <si>
    <t>https://www.jotform.com/uploads/macarewecare/222927978372067/5847270983617251224/5847270983617251224_signature_28.png</t>
  </si>
  <si>
    <t>https://www.jotform.com/uploads/macarewecare/222927978372067/5847270983617251224/5847270983617251224_signature_31.png</t>
  </si>
  <si>
    <t>Installed GeneXpert system</t>
  </si>
  <si>
    <t>Installed the GeneXpert system 
-Installed the GeneXpert unit
-Installed Workstation
-Installed barcode scanner
-Installed printer
-Installed UPS
Functionality test 
Generated reports</t>
  </si>
  <si>
    <t>https://www.jotform.com/uploads/macarewecare/222927978372067/5847170973612712953/5847170973612712953_signature_28.png</t>
  </si>
  <si>
    <t>https://www.jotform.com/uploads/macarewecare/222927978372067/5847170973612712953/5847170973612712953_signature_31.png</t>
  </si>
  <si>
    <t>Shoe Ave</t>
  </si>
  <si>
    <t xml:space="preserve">ASSAY: Xpert MTB/RIF Ultra, COUNT: 1315
ASSAY: Xpert HIV-1 Viral Load, COUNT: 257
</t>
  </si>
  <si>
    <t>Modules A3 and A4 for replacement</t>
  </si>
  <si>
    <t>Replaced modules A3 and A4</t>
  </si>
  <si>
    <t>Performed maintenance 
Replaced modules A3 and A4
Generated reports</t>
  </si>
  <si>
    <t>Old: A3/753414, A4/691313
New: A3/891641, A4/636812</t>
  </si>
  <si>
    <t>G 6826</t>
  </si>
  <si>
    <t>https://www.jotform.com/uploads/macarewecare/222927978372067/5847169873613494598/5847169873613494598_signature_28.png</t>
  </si>
  <si>
    <t>https://www.jotform.com/uploads/macarewecare/222927978372067/5847169873613494598/5847169873613494598_signature_31.png</t>
  </si>
  <si>
    <t>Antipolo</t>
  </si>
  <si>
    <t xml:space="preserve">ASSAY: Xpert MTB/RIF Ultra, COUNT: 1504
ASSAY: Xpert HIV-1 Viral Load, COUNT: 115
</t>
  </si>
  <si>
    <t>GX-XVI-6C</t>
  </si>
  <si>
    <t>Stuck cartridge on module D3</t>
  </si>
  <si>
    <t>Manual removal of stuck cartridge</t>
  </si>
  <si>
    <t>Manual removal of stuck cartridge 
Performed maintenance 
Generated reports</t>
  </si>
  <si>
    <t>https://www.jotform.com/uploads/macarewecare/222927978372067/5847168203612224836/5847168203612224836_signature_28.png</t>
  </si>
  <si>
    <t>https://www.jotform.com/uploads/macarewecare/222927978372067/5847168203612224836/5847168203612224836_signature_31.png</t>
  </si>
  <si>
    <t>https://www.jotform.com/uploads/macarewecare/222927978372067/5847168203613888762/5847168203613888762_signature_28.png</t>
  </si>
  <si>
    <t>https://www.jotform.com/uploads/macarewecare/222927978372067/5847168203613888762/5847168203613888762_signature_31.png</t>
  </si>
  <si>
    <t>https://www.jotform.com/uploads/macarewecare/222927978372067/5847168203619244853/5847168203619244853_signature_28.png</t>
  </si>
  <si>
    <t>https://www.jotform.com/uploads/macarewecare/222927978372067/5847168203619244853/5847168203619244853_signature_31.png</t>
  </si>
  <si>
    <t>https://www.jotform.com/uploads/macarewecare/222927978372067/5847168173613856106/5847168173613856106_signature_28.png</t>
  </si>
  <si>
    <t>https://www.jotform.com/uploads/macarewecare/222927978372067/5847168173613856106/5847168173613856106_signature_31.png</t>
  </si>
  <si>
    <t>Pila Rural Health Unit</t>
  </si>
  <si>
    <t>Pila</t>
  </si>
  <si>
    <t>gezza.basarte@gmail.com</t>
  </si>
  <si>
    <t xml:space="preserve">ASSAY: Xpert MTB/RIF Ultra, COUNT: 1173
</t>
  </si>
  <si>
    <t>Modules B1 and B3 for replacement. CPU troubleshooting.</t>
  </si>
  <si>
    <t>Replaced modules B1 and B3
Checked CPU</t>
  </si>
  <si>
    <t>Performed maintenance 
Replaced modules B1 and B3 
Checked CPU
Generated reports</t>
  </si>
  <si>
    <t>CPU does not turn on sometimes. Under observation.</t>
  </si>
  <si>
    <t>Old: B1/782521, B3/786604
New: B1/786197, B3/719057</t>
  </si>
  <si>
    <t>https://www.jotform.com/uploads/macarewecare/222927978372067/5847166923611228313/5847166923611228313_signature_28.png</t>
  </si>
  <si>
    <t>Gezzamin Basarte</t>
  </si>
  <si>
    <t>https://www.jotform.com/uploads/macarewecare/222927978372067/5847166923611228313/5847166923611228313_signature_31.png</t>
  </si>
  <si>
    <t>https://www.jotform.com/uploads/macarewecare/222927978372067/5847166923614902857/5847166923614902857_signature_28.png</t>
  </si>
  <si>
    <t>https://www.jotform.com/uploads/macarewecare/222927978372067/5847166923614902857/5847166923614902857_signature_31.png</t>
  </si>
  <si>
    <t>Pangil Rural Health Unit</t>
  </si>
  <si>
    <t>Pangil</t>
  </si>
  <si>
    <t>jmdoctor.macare@gmail.com</t>
  </si>
  <si>
    <t>tacile10@yahoo.com</t>
  </si>
  <si>
    <t xml:space="preserve">ASSAY: Xpert MTB/RIF Ultra, COUNT: 572
</t>
  </si>
  <si>
    <t>Performed maintenance
Cleaned cartridge bay
Cleaned plunger rod
Cleaned icore
Run XpertCheck 
Generated reports</t>
  </si>
  <si>
    <t>All modules operational.  All modules passed.</t>
  </si>
  <si>
    <t>https://www.jotform.com/uploads/macarewecare/222927978372067/5847166083611984599/5847166083611984599_signature_28.png</t>
  </si>
  <si>
    <t>Cecile R. Sagritalo, RMT</t>
  </si>
  <si>
    <t>https://www.jotform.com/uploads/macarewecare/222927978372067/5847166083611984599/5847166083611984599_signature_31.png</t>
  </si>
  <si>
    <t>https://www.jotform.com/uploads/macarewecare/222927978372067/5847165433611954201/5847165433611954201_signature_28.png</t>
  </si>
  <si>
    <t>https://www.jotform.com/uploads/macarewecare/222927978372067/5847165433611954201/5847165433611954201_signature_31.png</t>
  </si>
  <si>
    <t>https://www.jotform.com/uploads/macarewecare/222927978372067/5847164603617323471/5847164603617323471_signature_28.png</t>
  </si>
  <si>
    <t>https://www.jotform.com/uploads/macarewecare/222927978372067/5847164603617323471/5847164603617323471_signature_31.png</t>
  </si>
  <si>
    <t xml:space="preserve">ASSAY: Xpert MTB/RIF Ultra, COUNT: 3554
</t>
  </si>
  <si>
    <t>Performed maintenance 
Replaced module B2
Generated reports</t>
  </si>
  <si>
    <t>Old: B2/210059845
New:B2/601491</t>
  </si>
  <si>
    <t>https://www.jotform.com/uploads/macarewecare/222927978372067/5847163833612468950/5847163833612468950_signature_28.png</t>
  </si>
  <si>
    <t>LOLITA FORMALEJO</t>
  </si>
  <si>
    <t>https://www.jotform.com/uploads/macarewecare/222927978372067/5847163833612468950/5847163833612468950_signature_31.png</t>
  </si>
  <si>
    <t>Baras</t>
  </si>
  <si>
    <t>Performed maintenance 
Replaced module B4
Generated reports</t>
  </si>
  <si>
    <t>Old: B4/696136
New: B4/653834</t>
  </si>
  <si>
    <t>G 6833</t>
  </si>
  <si>
    <t>https://www.jotform.com/uploads/macarewecare/222927978372067/5847162893614063914/5847162893614063914_signature_28.png</t>
  </si>
  <si>
    <t>Michelle Avela</t>
  </si>
  <si>
    <t>https://www.jotform.com/uploads/macarewecare/222927978372067/5847162893614063914/5847162893614063914_signature_31.png</t>
  </si>
  <si>
    <t>https://www.jotform.com/uploads/macarewecare/222927978372067/5847161433616937289/5847161433616937289_signature_28.png</t>
  </si>
  <si>
    <t>https://www.jotform.com/uploads/macarewecare/222927978372067/5847161433616937289/5847161433616937289_signature_31.png</t>
  </si>
  <si>
    <t>https://www.jotform.com/uploads/macarewecare/222927978372067/5847160693614431886/5847160693614431886_signature_28.png</t>
  </si>
  <si>
    <t>https://www.jotform.com/uploads/macarewecare/222927978372067/5847160693614431886/5847160693614431886_signature_31.png</t>
  </si>
  <si>
    <t>https://www.jotform.com/uploads/macarewecare/222927978372067/5847159653615171229/5847159653615171229_signature_28.png</t>
  </si>
  <si>
    <t>https://www.jotform.com/uploads/macarewecare/222927978372067/5847159653615171229/5847159653615171229_signature_31.png</t>
  </si>
  <si>
    <t>Modules B2 and B3 operational. Module B1/210022152 disabled, reported already. Module B4/210048235 not operational, for reporting to Cepheid.</t>
  </si>
  <si>
    <t>Performed maintenance 
Run simulation test
Checked rotor pumps
Verified calibration parameters</t>
  </si>
  <si>
    <t>https://www.jotform.com/uploads/macarewecare/222927978372067/5847158293611196370/5847158293611196370_signature_28.png</t>
  </si>
  <si>
    <t>https://www.jotform.com/uploads/macarewecare/222927978372067/5847158293611196370/5847158293611196370_signature_31.png</t>
  </si>
  <si>
    <t>F. Manalo St,</t>
  </si>
  <si>
    <t xml:space="preserve">ASSAY: Xpert CT/NG, COUNT: 14
ASSAY: Xpert MTB/RIF Ultra, COUNT: 1938
ASSAY: Xpert HIV-1 Viral Load, COUNT: 91
</t>
  </si>
  <si>
    <t>Performed maintenance
Cleaned cartridge bay
Cleaned plunger rod
Cleaned icore
Cleaned fan filter
Generated reports</t>
  </si>
  <si>
    <t>Modules A2 and A3 operational. Modules A1/210091071 and A4/879974 has error 1002, for reporting.</t>
  </si>
  <si>
    <t>https://www.jotform.com/uploads/macarewecare/222927978372067/5847156313613020576/5847156313613020576_signature_28.png</t>
  </si>
  <si>
    <t>https://www.jotform.com/uploads/macarewecare/222927978372067/5847156313613020576/5847156313613020576_signature_31.png</t>
  </si>
  <si>
    <t>https://www.jotform.com/uploads/macarewecare/222927978372067/5847154693613661603/5847154693613661603_signature_28.png</t>
  </si>
  <si>
    <t>https://www.jotform.com/uploads/macarewecare/222927978372067/5847154693613661603/5847154693613661603_signature_31.png</t>
  </si>
  <si>
    <t>Tinagacan Rural Health Unit</t>
  </si>
  <si>
    <t>Brgy. Tinagacan, General Santos City</t>
  </si>
  <si>
    <t>kolleenarcega24@gmail.com</t>
  </si>
  <si>
    <t xml:space="preserve">ASSAY: Xpert MTB/RIF Ultra, COUNT: 982
</t>
  </si>
  <si>
    <t>Module 1 Service Required</t>
  </si>
  <si>
    <t>Replace/repair defective module 1 SN:807303 with new module SN:655741
Genexpert machine Cleaning 
Checking of errors 
Data collection</t>
  </si>
  <si>
    <t>Genexpert module 6 color
SN:655741</t>
  </si>
  <si>
    <t>https://www.jotform.com/uploads/macarewecare/222927978372067/5846895321215454000/5846895321215454000_signature_28.png</t>
  </si>
  <si>
    <t>Mary Faith Kollen Arcega</t>
  </si>
  <si>
    <t>https://www.jotform.com/uploads/macarewecare/222927978372067/5846895321215454000/5846895321215454000_signature_31.png</t>
  </si>
  <si>
    <t>r1mcxpertlab@gmail.com</t>
  </si>
  <si>
    <t xml:space="preserve">ASSAY: Xpert MTB/RIF Ultra, COUNT: 1397
ASSAY: Xpert SARS-CoV-2, COUNT: 413
</t>
  </si>
  <si>
    <t>GXXVI-4-D-6C</t>
  </si>
  <si>
    <t>- Cleaned Cartridge Bays, Plunger Rods and I-CORE 
- Replaced Defective Module D2 617706 &gt;&gt;&gt; 210074100
- Generated Reports</t>
  </si>
  <si>
    <t>GeneXpert Module 210074100</t>
  </si>
  <si>
    <t>https://www.jotform.com/uploads/macarewecare/222927978372067/5844955480245270441/5844955480245270441_signature_28.png</t>
  </si>
  <si>
    <t>Mark Noni Pimentel</t>
  </si>
  <si>
    <t>https://www.jotform.com/uploads/macarewecare/222927978372067/5844955480245270441/5844955480245270441_signature_31.png</t>
  </si>
  <si>
    <t>Urdaneta District Hospital</t>
  </si>
  <si>
    <t>warlyacosta@gmail.com</t>
  </si>
  <si>
    <t>- Installed GeneXpert 10C System 
- Setup accounts
- Installed Assays 
- Generated Reports</t>
  </si>
  <si>
    <t>https://www.jotform.com/uploads/macarewecare/222927978372067/5844953280243575767/5844953280243575767_signature_28.png</t>
  </si>
  <si>
    <t>Warlito Acosta</t>
  </si>
  <si>
    <t>https://www.jotform.com/uploads/macarewecare/222927978372067/5844953280243575767/5844953280243575767_signature_31.png</t>
  </si>
  <si>
    <t xml:space="preserve">ASSAY: Xpert MTB/RIF Ultra, COUNT: 2057
</t>
  </si>
  <si>
    <t>https://www.jotform.com/uploads/macarewecare/222927978372067/5844951690245217913/5844951690245217913_signature_28.png</t>
  </si>
  <si>
    <t>https://www.jotform.com/uploads/macarewecare/222927978372067/5844951690245217913/5844951690245217913_signature_31.png</t>
  </si>
  <si>
    <t xml:space="preserve">ASSAY: Xpert MTB/RIF Ultra, COUNT: 191
</t>
  </si>
  <si>
    <t>XpertCheck Required. Last XpertCheck was on 06-18-2020</t>
  </si>
  <si>
    <t>https://www.jotform.com/uploads/macarewecare/222927978372067/5844947580247030989/5844947580247030989_signature_28.png</t>
  </si>
  <si>
    <t>https://www.jotform.com/uploads/macarewecare/222927978372067/5844947580247030989/5844947580247030989_signature_31.png</t>
  </si>
  <si>
    <t>BALASAN MUNICIPAL HEALTH OFFICE</t>
  </si>
  <si>
    <t>BALASAN, ILOILO</t>
  </si>
  <si>
    <t>rojtullo19@gmail.com</t>
  </si>
  <si>
    <t xml:space="preserve">ASSAY: Xpert MTB/RIF Ultra, COUNT: 1552
</t>
  </si>
  <si>
    <t>MODULE B1,B2, AND B4 STUCK CARTRIDGE</t>
  </si>
  <si>
    <t>https://www.jotform.com/uploads/macarewecare/222927978372067/5844947575111754667/5844947575111754667_signature_28.png</t>
  </si>
  <si>
    <t>MARIA ROJEANETTE TUTOR</t>
  </si>
  <si>
    <t>https://www.jotform.com/uploads/macarewecare/222927978372067/5844947575111754667/5844947575111754667_signature_31.png</t>
  </si>
  <si>
    <t>Alaminos City, Pangasinan</t>
  </si>
  <si>
    <t xml:space="preserve">ASSAY: Xpert MTB/RIF Ultra, COUNT: 1862
</t>
  </si>
  <si>
    <t>Current Air conditioner is not sufficient or too weak to cool the room where GeneXpert Systems are installed</t>
  </si>
  <si>
    <t>https://www.jotform.com/uploads/macarewecare/222927978372067/5844945060243911823/5844945060243911823_signature_28.png</t>
  </si>
  <si>
    <t>https://www.jotform.com/uploads/macarewecare/222927978372067/5844945060243911823/5844945060243911823_signature_31.png</t>
  </si>
  <si>
    <t>For GeneXpert 10C Installation</t>
  </si>
  <si>
    <t>- Installed GeneXpert 10C system 
- Installed required Assays
- Setup Accounts
- Generated Reports</t>
  </si>
  <si>
    <t>https://www.jotform.com/uploads/macarewecare/222927978372067/5844941210248560866/5844941210248560866_signature_28.png</t>
  </si>
  <si>
    <t>https://www.jotform.com/uploads/macarewecare/222927978372067/5844941210248560866/5844941210248560866_signature_31.png</t>
  </si>
  <si>
    <t>XpertCheck not runned on newly replaced Module B1. 3  modules passed</t>
  </si>
  <si>
    <t>DR 11188</t>
  </si>
  <si>
    <t>https://www.jotform.com/uploads/macarewecare/222927978372067/5844939290244684576/5844939290244684576_signature_28.png</t>
  </si>
  <si>
    <t>https://www.jotform.com/uploads/macarewecare/222927978372067/5844939290244684576/5844939290244684576_signature_31.png</t>
  </si>
  <si>
    <t xml:space="preserve">ASSAY: Xpert HPV, COUNT: 56
ASSAY: Xpert MTB/RIF Ultra, COUNT: 291
</t>
  </si>
  <si>
    <t>Checked and cleaned cartridge bays, plunger rod, icore slot, and filter
Performed XpertCheck
All modules passed
Generated report</t>
  </si>
  <si>
    <t>Unit is operational.
All modules working</t>
  </si>
  <si>
    <t>Used 5 XpertCheck cartridges</t>
  </si>
  <si>
    <t>DR46630</t>
  </si>
  <si>
    <t>https://www.jotform.com/uploads/macarewecare/222927978372067/5844901373849168717/5844901373849168717_signature_28.png</t>
  </si>
  <si>
    <t>https://www.jotform.com/uploads/macarewecare/222927978372067/5844901373849168717/5844901373849168717_signature_31.png</t>
  </si>
  <si>
    <t>San Narciso Rural Health Unit</t>
  </si>
  <si>
    <t>Brgy. Pagkakaisa, San Narciso, Quezon</t>
  </si>
  <si>
    <t>morena_veluz@yahoo.com</t>
  </si>
  <si>
    <t>GXIV 6C- D</t>
  </si>
  <si>
    <t>unit due for calibration</t>
  </si>
  <si>
    <t>Checked and cleaned cartridge bays, plunger rod, icore slot and filter
Performed Xpert Check
All modules passed
Generated report</t>
  </si>
  <si>
    <t>used 5 XpertCheck cartridges</t>
  </si>
  <si>
    <t>DR 46634</t>
  </si>
  <si>
    <t>https://www.jotform.com/uploads/macarewecare/222927978372067/5844897253845583789/5844897253845583789_signature_28.png</t>
  </si>
  <si>
    <t>MA. MORENA V.  DIMACULANGAN</t>
  </si>
  <si>
    <t>https://www.jotform.com/uploads/macarewecare/222927978372067/5844897253845583789/5844897253845583789_signature_31.png</t>
  </si>
  <si>
    <t>Ifugao General Hospital</t>
  </si>
  <si>
    <t>Poblacion North, Lagawe, Ifugao</t>
  </si>
  <si>
    <t>meannebahiwag@gmail.com</t>
  </si>
  <si>
    <t>Installed Genexpert
Installed PC
Installed Monitor
Installed Printer
Installed Drivers
Performed Maintenance
Gathered Reports
Performed Functionality Test</t>
  </si>
  <si>
    <t>https://www.jotform.com/uploads/macarewecare/222927978372067/5844794347396549478/5844794347396549478_signature_28.png</t>
  </si>
  <si>
    <t>Mary Ann Bahiwag</t>
  </si>
  <si>
    <t>https://www.jotform.com/uploads/macarewecare/222927978372067/5844794347396549478/5844794347396549478_signature_31.png</t>
  </si>
  <si>
    <t>Angeles City Pampanga</t>
  </si>
  <si>
    <t xml:space="preserve">ASSAY: Xpert MTB/RIF Ultra, COUNT: 127
</t>
  </si>
  <si>
    <t>CMOS Battery for replacement 
Module 2 Error 5007</t>
  </si>
  <si>
    <t>BIOS battery replacement
Repair
Preventive maintenance</t>
  </si>
  <si>
    <t>Performed preventive maintenance
Performed BIOS battery replacement
Performed functionality test
Archived test results
Gathered reports</t>
  </si>
  <si>
    <t>Unit is operational
Module B2 under observation</t>
  </si>
  <si>
    <t>https://www.jotform.com/uploads/macarewecare/222927978372067/5844771421818396593/5844771421818396593_signature_28.png</t>
  </si>
  <si>
    <t>https://www.jotform.com/uploads/macarewecare/222927978372067/5844771421818396593/5844771421818396593_signature_31.png</t>
  </si>
  <si>
    <t>ddnhkapalongzone.laboratory@gmail.com</t>
  </si>
  <si>
    <t xml:space="preserve">ASSAY: Xpert MTB/RIF Ultra, COUNT: 4404
</t>
  </si>
  <si>
    <t>Module C4 encountered multiple temperature related errors</t>
  </si>
  <si>
    <t>Replaced the Defective Module SN: 731230 with new Module SN: 801354
Generate IQR, Assay Stat, and System Log</t>
  </si>
  <si>
    <t>https://www.jotform.com/uploads/macarewecare/222927978372067/5844760976113674244/5844760976113674244_signature_28.png</t>
  </si>
  <si>
    <t>Leona Olila RMT</t>
  </si>
  <si>
    <t>https://www.jotform.com/uploads/macarewecare/222927978372067/5844760976113674244/5844760976113674244_signature_31.png</t>
  </si>
  <si>
    <t>rcb.comrcb.macare@gmail.com</t>
  </si>
  <si>
    <t>Unit is operational
C1: Service required 
C2: passed
C3: passed
C4: passed</t>
  </si>
  <si>
    <t>https://www.jotform.com/uploads/macarewecare/222927978372067/5844754101207117449/5844754101207117449_signature_28.png</t>
  </si>
  <si>
    <t>https://www.jotform.com/uploads/macarewecare/222927978372067/5844754101207117449/5844754101207117449_signature_31.png</t>
  </si>
  <si>
    <t>Unit is operational
B1: passed
B2: insufficient cartridge 
B3: passed
B4: passed</t>
  </si>
  <si>
    <t>https://www.jotform.com/uploads/macarewecare/222927978372067/5844754111207640870/5844754111207640870_signature_28.png</t>
  </si>
  <si>
    <t>https://www.jotform.com/uploads/macarewecare/222927978372067/5844754111207640870/5844754111207640870_signature_31.png</t>
  </si>
  <si>
    <t>bicolmedcovidlab@gmail.com</t>
  </si>
  <si>
    <t xml:space="preserve">ASSAY: Xpert CT/NG, COUNT: 4
ASSAY: Xpert HPV, COUNT: 1424
ASSAY: Xpert MTB/RIF Ultra, COUNT: 7464
ASSAY: Xpert SARS-CoV-2, COUNT: 2465
ASSAY: Xpert HIV-1 Viral Load, COUNT: 497
ASSAY: Others, COUNT: 10
</t>
  </si>
  <si>
    <t>GX16_6C</t>
  </si>
  <si>
    <t>D3/210092889 for Module Replacement</t>
  </si>
  <si>
    <t>Replaced Module: D3 210092889&gt;&gt;210006124
Cleaned cartridge bays, plunger rod, icore, fan, fan filter
Generate report</t>
  </si>
  <si>
    <t>Replaced D3 Defective module
Performed Preventive Maintenance</t>
  </si>
  <si>
    <t>https://www.jotform.com/uploads/macarewecare/222927978372067/5844713532328205678/5844713532328205678_signature_28.png</t>
  </si>
  <si>
    <t>Rosalie B. Nacario</t>
  </si>
  <si>
    <t>https://www.jotform.com/uploads/macarewecare/222927978372067/5844713532328205678/5844713532328205678_signature_31.png</t>
  </si>
  <si>
    <t>GeneXpert Monitor
SN: AVI215CMQY05B01060472</t>
  </si>
  <si>
    <t>https://www.jotform.com/uploads/macarewecare/222927978372067/5844694922345031341/5844694922345031341_signature_28.png</t>
  </si>
  <si>
    <t>https://www.jotform.com/uploads/macarewecare/222927978372067/5844694922345031341/5844694922345031341_signature_31.png</t>
  </si>
  <si>
    <t>Laak Rural Health Unit</t>
  </si>
  <si>
    <t>Poblacion, Laak</t>
  </si>
  <si>
    <t>alonaangco@yahoo.com</t>
  </si>
  <si>
    <t xml:space="preserve">ASSAY: Xpert MTB/RIF Ultra, COUNT: 741
ASSAY: Xpert MTB/RIF Ultra, COUNT: 741
</t>
  </si>
  <si>
    <t>Module B1 and B2 encounter multiple temperature related errors</t>
  </si>
  <si>
    <t>Replace defective module SN: 789109 with new Module SN:883222
Replaced the Defective Module SN:789161 with new Module SN:890331
Clean Surface Area, Cartridge Bay, Plunger Rod, Fan Filters and Icore Lenses
Generate IQR, Assay Stat and System Log</t>
  </si>
  <si>
    <t>https://www.jotform.com/uploads/macarewecare/222927978372067/5844538503714402816/5844538503714402816_signature_28.png</t>
  </si>
  <si>
    <t>Alona A. ANGCO</t>
  </si>
  <si>
    <t>https://www.jotform.com/uploads/macarewecare/222927978372067/5844538503714402816/5844538503714402816_signature_31.png</t>
  </si>
  <si>
    <t>East avenue,QC</t>
  </si>
  <si>
    <t>For module replacement C2 682748 - 715604,C3 718171- 888973,C4 661016 - 714498</t>
  </si>
  <si>
    <t>G6828</t>
  </si>
  <si>
    <t>https://www.jotform.com/uploads/macarewecare/222927978372067/5844135123012346507/5844135123012346507_signature_28.png</t>
  </si>
  <si>
    <t>https://www.jotform.com/uploads/macarewecare/222927978372067/5844135123012346507/5844135123012346507_signature_31.png</t>
  </si>
  <si>
    <t>GX4 R1</t>
  </si>
  <si>
    <t>For module replacement B3 684304- 715711</t>
  </si>
  <si>
    <t>G6829</t>
  </si>
  <si>
    <t>https://www.jotform.com/uploads/macarewecare/222927978372067/5844134743014291278/5844134743014291278_signature_28.png</t>
  </si>
  <si>
    <t>https://www.jotform.com/uploads/macarewecare/222927978372067/5844134743014291278/5844134743014291278_signature_31.png</t>
  </si>
  <si>
    <t>Amorsolo st,Makati City</t>
  </si>
  <si>
    <t xml:space="preserve">ASSAY: Xpert MTB/RIF Ultra, COUNT: 1637
</t>
  </si>
  <si>
    <t>For module replacement C3  684528 - 885095</t>
  </si>
  <si>
    <t>G6827</t>
  </si>
  <si>
    <t>https://www.jotform.com/uploads/macarewecare/222927978372067/5844134033019383565/5844134033019383565_signature_28.png</t>
  </si>
  <si>
    <t>https://www.jotform.com/uploads/macarewecare/222927978372067/5844134033019383565/5844134033019383565_signature_31.png</t>
  </si>
  <si>
    <t>SPM out of tolerance error</t>
  </si>
  <si>
    <t>Replaced and installed spare spm parts.
After replacing the spm the error still occur.
Try swapping cpu board,motor control board</t>
  </si>
  <si>
    <t>Unit unoperational 
For pull out for inhouse repair</t>
  </si>
  <si>
    <t>SPM Sensor assy</t>
  </si>
  <si>
    <t>https://www.jotform.com/uploads/macarewecare/222927978372067/5844133613019341928/5844133613019341928_signature_28.png</t>
  </si>
  <si>
    <t>Jude Celso P. Buenaventura III</t>
  </si>
  <si>
    <t>https://www.jotform.com/uploads/macarewecare/222927978372067/5844133613019341928/5844133613019341928_signature_31.png</t>
  </si>
  <si>
    <t>Naga city</t>
  </si>
  <si>
    <t>Malfunction of display keypad</t>
  </si>
  <si>
    <t>Performed calibration
Cleaned unit
Checked program parameters
Checked and adjust line sensor value
Checked rollers,dpm,spm,centrifuge
Performed functionality test
Performed simulation running
Replaced temporary display cable ribbon to use the machine.</t>
  </si>
  <si>
    <t>For quotation of display cable ribbon</t>
  </si>
  <si>
    <t>Cable ribbon taken from 11J221.</t>
  </si>
  <si>
    <t>https://www.jotform.com/uploads/macarewecare/222927978372067/5844133273011061621/5844133273011061621_signature_28.png</t>
  </si>
  <si>
    <t>https://www.jotform.com/uploads/macarewecare/222927978372067/5844133273011061621/5844133273011061621_signature_31.png</t>
  </si>
  <si>
    <t>Calibration and maintenance</t>
  </si>
  <si>
    <t>https://www.jotform.com/uploads/macarewecare/222927978372067/5844130403018490109/5844130403018490109_signature_28.png</t>
  </si>
  <si>
    <t>https://www.jotform.com/uploads/macarewecare/222927978372067/5844130403018490109/5844130403018490109_signature_31.png</t>
  </si>
  <si>
    <t>PHILIPPINE RED CROSS - ILOILO CHAPTER</t>
  </si>
  <si>
    <t>rlcerbas@gmail.com</t>
  </si>
  <si>
    <t>-PERFORM PREVENTIVE MAINTENANCE, REPLACE RUBBER ROLLERS(4 PCS.) FOR BLOOD PUMP AND TRANSFER PUMP
-PERFORM CALIBRATION PROCEDURE
-PERFORM CYCLE TEST AND DIAGNOSTICS,PASSED</t>
  </si>
  <si>
    <t>https://www.jotform.com/uploads/macarewecare/222927978372067/5843954225118246808/5843954225118246808_signature_28.png</t>
  </si>
  <si>
    <t>Ryan L Cerbas</t>
  </si>
  <si>
    <t>https://www.jotform.com/uploads/macarewecare/222927978372067/5843954225118246808/5843954225118246808_signature_31.png</t>
  </si>
  <si>
    <t xml:space="preserve">ASSAY: Xpert SARS-CoV-2, COUNT: 890
</t>
  </si>
  <si>
    <t>Unit is operational
A1: Newly replaced
A2: Passed
A3: Service required 
A4: Service required</t>
  </si>
  <si>
    <t>https://www.jotform.com/uploads/macarewecare/222927978372067/5843950255611846596/5843950255611846596_signature_28.png</t>
  </si>
  <si>
    <t>https://www.jotform.com/uploads/macarewecare/222927978372067/5843950255611846596/5843950255611846596_signature_31.png</t>
  </si>
  <si>
    <t>Cabarroguis, Quirino</t>
  </si>
  <si>
    <t>Installed Genexpert
Installed Monitor
Installed PC
Installed Printer
Installed Drivers
Performed Maintenance
Gathered Reports
Performed Functionality Test</t>
  </si>
  <si>
    <t>https://www.jotform.com/uploads/macarewecare/222927978372067/5843949911832057868/5843949911832057868_signature_28.png</t>
  </si>
  <si>
    <t>https://www.jotform.com/uploads/macarewecare/222927978372067/5843949911832057868/5843949911832057868_signature_31.png</t>
  </si>
  <si>
    <t>Gathered Results</t>
  </si>
  <si>
    <t>https://www.jotform.com/uploads/macarewecare/222927978372067/5843949781833695425/5843949781833695425_signature_28.png</t>
  </si>
  <si>
    <t>https://www.jotform.com/uploads/macarewecare/222927978372067/5843949781833695425/5843949781833695425_signature_31.png</t>
  </si>
  <si>
    <t>WESTERN VISAYAS SANITARIUM</t>
  </si>
  <si>
    <t>SANTA BARBARA, ILOILO</t>
  </si>
  <si>
    <t>MODULE B3 STUCK CARTRIDGE</t>
  </si>
  <si>
    <t>https://www.jotform.com/uploads/macarewecare/222927978372067/5843948945111859238/5843948945111859238_signature_28.png</t>
  </si>
  <si>
    <t>https://www.jotform.com/uploads/macarewecare/222927978372067/5843948945111859238/5843948945111859238_signature_31.png</t>
  </si>
  <si>
    <t>Poblacion, San Carlos City, Negros Occidental</t>
  </si>
  <si>
    <t>minozac450@gmail.com</t>
  </si>
  <si>
    <t xml:space="preserve">ASSAY: Xpert MTB/RIF Ultra, COUNT: 2444
</t>
  </si>
  <si>
    <t>Module 1 Serial Number 713029 failed during calibration.</t>
  </si>
  <si>
    <t>Replacement of Module 1 Serial Number 713029 failed during calibration.
Generate Data IQR, Sys log, GXX files, and Assay statistics</t>
  </si>
  <si>
    <t>Replacement of Module 1 Serial Number 713029 failed during calibration.</t>
  </si>
  <si>
    <t>https://www.jotform.com/uploads/macarewecare/222927978372067/5843905351153109591/5843905351153109591_signature_28.png</t>
  </si>
  <si>
    <t>Christine Minoza, RMT</t>
  </si>
  <si>
    <t>https://www.jotform.com/uploads/macarewecare/222927978372067/5843905351153109591/5843905351153109591_signature_31.png</t>
  </si>
  <si>
    <t>https://www.jotform.com/uploads/macarewecare/222927978372067/5843836546918701264/5843836546918701264_signature_28.png</t>
  </si>
  <si>
    <t>https://www.jotform.com/uploads/macarewecare/222927978372067/5843836546918701264/5843836546918701264_signature_31.png</t>
  </si>
  <si>
    <t>TB - Dots</t>
  </si>
  <si>
    <t>evelynvdomingo@yahoo.com</t>
  </si>
  <si>
    <t>unit for transfer</t>
  </si>
  <si>
    <t>- Archive data
- Back up data (Genexpert folder)
- Performed preventive maintenance (Cleaned surface , plunger rod, Cartridge bay, Fan filter)
- Packed 6C unit and peripherals using boxes of new 10c system. 
 - Monitor SN: V5GTL380
 - CPU SN: MJOC9TWS
- UPS SN: 2101784060193700026
- Printer - VNF8R45696</t>
  </si>
  <si>
    <t>https://www.jotform.com/uploads/macarewecare/222927978372067/5843820641524372022/5843820641524372022_signature_28.png</t>
  </si>
  <si>
    <t>Evelyn Domingo</t>
  </si>
  <si>
    <t>https://www.jotform.com/uploads/macarewecare/222927978372067/5843820641524372022/5843820641524372022_signature_31.png</t>
  </si>
  <si>
    <t>fatchoi12001@yahoo.com</t>
  </si>
  <si>
    <t xml:space="preserve">ASSAY: Xpert MTB/RIF Ultra, COUNT: 1122
ASSAY: Xpert HIV-1 Viral Load, COUNT: 224
</t>
  </si>
  <si>
    <t>Gx-IV (6-colors)</t>
  </si>
  <si>
    <t>Re arrange Genexpert set up
Genexpert Cleaning 
Checking of errors 
Data collection</t>
  </si>
  <si>
    <t>https://www.jotform.com/uploads/macarewecare/222927978372067/5843809385218114626/5843809385218114626_signature_28.png</t>
  </si>
  <si>
    <t>Maria Ivy A. Martinez</t>
  </si>
  <si>
    <t>https://www.jotform.com/uploads/macarewecare/222927978372067/5843809385218114626/5843809385218114626_signature_31.png</t>
  </si>
  <si>
    <t>- Installed  Genexpert 10C SN/120000737
- Installed CPU SN: CPH0523F42097
- Intalled Monitor SN: V5GAG428
- Installed UPS SN: SKPHU2KV231210098
- Intalled printer SN: CNBIRBK82W
- import assay (MTB Ultra, XDR, HIV-1)
- Retrieved data
- Generate reports</t>
  </si>
  <si>
    <t>Genexpert Machine 10C SN/120000737 
CPU SN: CPH0523F42097
Monitor SN: V5GAG428
 UPS SN: SKPHU2KV231210098
0rinter SN: CNBIRBK82W</t>
  </si>
  <si>
    <t>https://www.jotform.com/uploads/macarewecare/222927978372067/5843808461523336944/5843808461523336944_signature_28.png</t>
  </si>
  <si>
    <t>evelyn v.domingo</t>
  </si>
  <si>
    <t>https://www.jotform.com/uploads/macarewecare/222927978372067/5843808461523336944/5843808461523336944_signature_31.png</t>
  </si>
  <si>
    <t xml:space="preserve">ASSAY: Xpert MTB/RIF Ultra, COUNT: 1355
ASSAY: Xpert HIV-1 Viral Load, COUNT: 54
</t>
  </si>
  <si>
    <t>Gx-IV (6 color)</t>
  </si>
  <si>
    <t>Module 3 service Required</t>
  </si>
  <si>
    <t>Replace/repair defective module 3 SN: 603701 with new module SN: 893019
Genexpert machine Cleaning 
Checking of errors 
Data collection</t>
  </si>
  <si>
    <t>Perform Genexpert machine Preventive maintenance 
Perform Genexpert module repair</t>
  </si>
  <si>
    <t>Genexpert module 6-color 
SN: 893019</t>
  </si>
  <si>
    <t>https://www.jotform.com/uploads/macarewecare/222927978372067/5843807855211037719/5843807855211037719_signature_28.png</t>
  </si>
  <si>
    <t>https://www.jotform.com/uploads/macarewecare/222927978372067/5843807855211037719/5843807855211037719_signature_31.png</t>
  </si>
  <si>
    <t>mitorilla.pbsp@gmail.com</t>
  </si>
  <si>
    <t xml:space="preserve">ASSAY: Xpert MTB/RIF Ultra, COUNT: 4832
</t>
  </si>
  <si>
    <t>-PERFORM PREVENTIVE MAINTENANCE PROCEDURE
-PERFORM MODULE REPLACEMENT:
MODULE B4 DEF SN: 870437 - NEW SN:635869
MODULE D1 DEF SN: 870322 - NEW SN:784716</t>
  </si>
  <si>
    <t>https://www.jotform.com/uploads/macarewecare/222927978372067/5843780845111292228/5843780845111292228_signature_28.png</t>
  </si>
  <si>
    <t>Michel Joy Torilla</t>
  </si>
  <si>
    <t>https://www.jotform.com/uploads/macarewecare/222927978372067/5843780845111292228/5843780845111292228_signature_31.png</t>
  </si>
  <si>
    <t xml:space="preserve">ASSAY: Xpert HPV, COUNT: 81
ASSAY: Xpert MTB/RIF Ultra, COUNT: 1710
</t>
  </si>
  <si>
    <t>GX module B1 (758216) in replacement to defective B1 (908485</t>
  </si>
  <si>
    <t>https://www.jotform.com/uploads/macarewecare/222927978372067/5843770689617590854/5843770689617590854_signature_28.png</t>
  </si>
  <si>
    <t>https://www.jotform.com/uploads/macarewecare/222927978372067/5843770689617590854/5843770689617590854_signature_31.png</t>
  </si>
  <si>
    <t xml:space="preserve">ASSAY: Xpert CT/NG, COUNT: 10
ASSAY: Xpert HPV, COUNT: 47
ASSAY: Xpert MTB/RIF Ultra, COUNT: 2832
ASSAY: Xpert SARS-CoV-2, COUNT: 6821
ASSAY: Xpert HIV-1 Viral Load, COUNT: 14
</t>
  </si>
  <si>
    <t>Unit for PM.
For module replacement of module C3.</t>
  </si>
  <si>
    <t>GX module C3 (786433) in replacement to defective C3 (210070826).</t>
  </si>
  <si>
    <t>https://www.jotform.com/uploads/macarewecare/222927978372067/5843728459611060891/5843728459611060891_signature_28.png</t>
  </si>
  <si>
    <t>https://www.jotform.com/uploads/macarewecare/222927978372067/5843728459611060891/5843728459611060891_signature_31.png</t>
  </si>
  <si>
    <t xml:space="preserve">ASSAY: Xpert MTB/RIF, COUNT: 88
ASSAY: Xpert SARS-CoV-2, COUNT: 13
</t>
  </si>
  <si>
    <t>Unit for PM.
For module replacement of modules B1 and B2.</t>
  </si>
  <si>
    <t>GX modules B1 (783209) and B2 (878345) in replacement to defective B1 (677430) and B2 (210070789).</t>
  </si>
  <si>
    <t>https://www.jotform.com/uploads/macarewecare/222927978372067/5843727679617756296/5843727679617756296_signature_28.png</t>
  </si>
  <si>
    <t>https://www.jotform.com/uploads/macarewecare/222927978372067/5843727679617756296/5843727679617756296_signature_31.png</t>
  </si>
  <si>
    <t>Adela Serra Ty Memorial Medical Center</t>
  </si>
  <si>
    <t>Capitol Hills, Brgy. Telaje, Tandag City</t>
  </si>
  <si>
    <t>PMDT</t>
  </si>
  <si>
    <t>astmmclaboratory17@gmail.com</t>
  </si>
  <si>
    <t>Module A1 found Error in Temperature</t>
  </si>
  <si>
    <t>Replacing Module A1 with SN: 210018751 to SN; 910202</t>
  </si>
  <si>
    <t>https://www.jotform.com/uploads/macarewecare/222927978372067/5843273925317179895/5843273925317179895_signature_28.png</t>
  </si>
  <si>
    <t>Editha Martinez</t>
  </si>
  <si>
    <t>https://www.jotform.com/uploads/macarewecare/222927978372067/5843273925317179895/5843273925317179895_signature_31.png</t>
  </si>
  <si>
    <t>Poblacion Nabunturan</t>
  </si>
  <si>
    <t xml:space="preserve">ASSAY: Xpert MTB/RIF Ultra, COUNT: 1647
</t>
  </si>
  <si>
    <t>Due to for Preventive Maintenance, and XpertCheck
Error at Module B4</t>
  </si>
  <si>
    <t>Replace the defective Module SN: 910233 with new Module SN:628666
Clean Surface Area, Cartridge Bay, Plunger Rod, Fan Filters and Icore Lenses
Generate IQR, Assay Stat and System Log
Run XpertCheck Calibration</t>
  </si>
  <si>
    <t>Perform Module Replacement, Preventive Maintenance, and XpertCheck Calibration</t>
  </si>
  <si>
    <t>Module B3 For Service Required
Module B1 and B2 pass the Calibration</t>
  </si>
  <si>
    <t>Module B3 for under observation if error persist, enduser was advised to disable the Module</t>
  </si>
  <si>
    <t>https://www.jotform.com/uploads/macarewecare/222927978372067/5843273551612040686/5843273551612040686_signature_28.png</t>
  </si>
  <si>
    <t>Manueal Bacerra III</t>
  </si>
  <si>
    <t>https://www.jotform.com/uploads/macarewecare/222927978372067/5843273551612040686/5843273551612040686_signature_31.png</t>
  </si>
  <si>
    <t>wizard682000@yahoo.com</t>
  </si>
  <si>
    <t>Gx4-10 for Installation</t>
  </si>
  <si>
    <t>Installed Gx4-10C, CPU, Monitor,  UPS, Printer 
Generate Reports</t>
  </si>
  <si>
    <t>https://www.jotform.com/uploads/macarewecare/222927978372067/5843121780115844347/5843121780115844347_signature_28.png</t>
  </si>
  <si>
    <t>Reynaldo B. Gonzalgo</t>
  </si>
  <si>
    <t>https://www.jotform.com/uploads/macarewecare/222927978372067/5843121780115844347/5843121780115844347_signature_31.png</t>
  </si>
  <si>
    <t>Replaced BIOS battery
Reset internal cables</t>
  </si>
  <si>
    <t>Unit is</t>
  </si>
  <si>
    <t>https://www.jotform.com/uploads/macarewecare/222927978372067/5843120642713476503/5843120642713476503_signature_28.png</t>
  </si>
  <si>
    <t>https://www.jotform.com/uploads/macarewecare/222927978372067/5843120642713476503/5843120642713476503_signature_31.png</t>
  </si>
  <si>
    <t xml:space="preserve">ASSAY: Xpert MTB/RIF Ultra, COUNT: 1155
</t>
  </si>
  <si>
    <t>For Preventive Maintenance 
Gx for Packing, for relocation</t>
  </si>
  <si>
    <t>Cleaned cartridge bays, plunger rod, icore 
Packed Gx4-6X, CPU, Monitor, UPS, Printer
Generate reports</t>
  </si>
  <si>
    <t>Performed Preventive Maintenance 
Packed GX4 set</t>
  </si>
  <si>
    <t>https://www.jotform.com/uploads/macarewecare/222927978372067/5843118250111515793/5843118250111515793_signature_28.png</t>
  </si>
  <si>
    <t>https://www.jotform.com/uploads/macarewecare/222927978372067/5843118250111515793/5843118250111515793_signature_31.png</t>
  </si>
  <si>
    <t>Daisy St cor Dafoodial St Banlat Tandang Sora, Quezon City</t>
  </si>
  <si>
    <t>Rhea Ann Cañelas</t>
  </si>
  <si>
    <t>reyzelmariesantos@gmail.com</t>
  </si>
  <si>
    <t xml:space="preserve">ASSAY: Xpert HPV, COUNT: 114
ASSAY: Xpert MTB/RIF Ultra, COUNT: 1759
</t>
  </si>
  <si>
    <t>GXIV-6C-D</t>
  </si>
  <si>
    <t>Checked and cleaned cartridge bays, plunger rod, Icore slot and filter.
Replaced module A1 
Generated Report</t>
  </si>
  <si>
    <t>Replaced module A1 
608353-&gt;210001095</t>
  </si>
  <si>
    <t>Unit is operational. All modules are working.</t>
  </si>
  <si>
    <t>G 6836</t>
  </si>
  <si>
    <t>https://www.jotform.com/uploads/macarewecare/222927978372067/5843111375398061433/5843111375398061433_signature_28.png</t>
  </si>
  <si>
    <t>Reyzel marie Dulay</t>
  </si>
  <si>
    <t>https://www.jotform.com/uploads/macarewecare/222927978372067/5843111375398061433/5843111375398061433_signature_31.png</t>
  </si>
  <si>
    <t>Alabang zapote rd las piñas</t>
  </si>
  <si>
    <t>MCs +</t>
  </si>
  <si>
    <t>Safety system error</t>
  </si>
  <si>
    <t>Performed troubleshooting replaced motor control board,error still occur
Replaced AC pump motor error still occur
Replaced Transfer pump motor
Replaced blood pump motor error disappear,
After replacing blood pump motor simulation running complete</t>
  </si>
  <si>
    <t>Unit unoperational 
Need to replace blood pump motor</t>
  </si>
  <si>
    <t>For quotation of blood pump motor</t>
  </si>
  <si>
    <t>Motor 
Motor control board</t>
  </si>
  <si>
    <t>https://www.jotform.com/uploads/macarewecare/222927978372067/5843101684317791503/5843101684317791503_signature_28.png</t>
  </si>
  <si>
    <t>Prichi Tonido</t>
  </si>
  <si>
    <t>https://www.jotform.com/uploads/macarewecare/222927978372067/5843101684317791503/5843101684317791503_signature_31.png</t>
  </si>
  <si>
    <t>North Ave. Diliman, Quezon City</t>
  </si>
  <si>
    <t xml:space="preserve">ASSAY: Xpert HBV VL, COUNT: 125
ASSAY: Xpert MTB/RIF Ultra, COUNT: 1590
ASSAY: Xpert HCV VL, COUNT: 15
</t>
  </si>
  <si>
    <t>GX Unit for relocation</t>
  </si>
  <si>
    <t>Disassembled GX and all accessories
Transferred and setup to new location
Performed PM
Installed SARS-CoV-2 assay
Generated Report</t>
  </si>
  <si>
    <t>Relocate GX from Bacteriology to Molecular Laboratory</t>
  </si>
  <si>
    <t>Unit is operational. All modules working.</t>
  </si>
  <si>
    <t>https://www.jotform.com/uploads/macarewecare/222927978372067/5843060731781969091/5843060731781969091_signature_28.png</t>
  </si>
  <si>
    <t>Cyril Barros</t>
  </si>
  <si>
    <t>https://www.jotform.com/uploads/macarewecare/222927978372067/5843060731781969091/5843060731781969091_signature_31.png</t>
  </si>
  <si>
    <t xml:space="preserve">INSTALLATION
TROUBLESHOOTING
</t>
  </si>
  <si>
    <t xml:space="preserve">ASSAY: Xpert MTB/RIF Ultra, COUNT: 997
</t>
  </si>
  <si>
    <t>Module 4 multiple temperature errors
Module 4 for Service Required</t>
  </si>
  <si>
    <t>Perform Genexpert Xpertcheck at module 4 for troubleshooting 
Checking of errors 
Reporting of problem 
Cleaning 
Data collections</t>
  </si>
  <si>
    <t>https://www.jotform.com/uploads/macarewecare/222927978372067/5843056752213335543/5843056752213335543_signature_28.png</t>
  </si>
  <si>
    <t>https://www.jotform.com/uploads/macarewecare/222927978372067/5843056752213335543/5843056752213335543_signature_31.png</t>
  </si>
  <si>
    <t>Bankerohan Sur, National Highway Montevista</t>
  </si>
  <si>
    <t>Replaced the Defective Module SN: 210068322 with new Module SN: 210061224
Generate IQR</t>
  </si>
  <si>
    <t>Not operational due to cpu system unit problem</t>
  </si>
  <si>
    <t>https://www.jotform.com/uploads/macarewecare/222927978372067/5842981869711538261/5842981869711538261_signature_28.png</t>
  </si>
  <si>
    <t>Cecille A. Jagurilles</t>
  </si>
  <si>
    <t>https://www.jotform.com/uploads/macarewecare/222927978372067/5842981869711538261/5842981869711538261_signature_31.png</t>
  </si>
  <si>
    <t>Malilipot</t>
  </si>
  <si>
    <t>Gx4 for Calibration</t>
  </si>
  <si>
    <t>XpertCheck Check Result: 
   B1/870447 - Passed
   B2/210102150 - Passed
   B3/870950 - Passed
   B4/713836 - Passed
Cleaned cartridge bays, plunger rod, icore
Generate reports</t>
  </si>
  <si>
    <t>https://www.jotform.com/uploads/macarewecare/222927978372067/5842961165594079508/5842961165594079508_signature_28.png</t>
  </si>
  <si>
    <t>https://www.jotform.com/uploads/macarewecare/222927978372067/5842961165594079508/5842961165594079508_signature_31.png</t>
  </si>
  <si>
    <t>Klinika Bernardo</t>
  </si>
  <si>
    <t>Quezon City Health Department, Quezon City</t>
  </si>
  <si>
    <t xml:space="preserve">ASSAY: Xpert CT/NG, COUNT: 27
ASSAY: Xpert MTB/RIF, COUNT: 1
ASSAY: Xpert MTB/RIF Ultra, COUNT: 605
</t>
  </si>
  <si>
    <t>Checked and Cleaned cartridge bays, plunger rod, Icore slot and filter
Replace module B3 
Generated report</t>
  </si>
  <si>
    <t>Replace module B3
683694-&gt; 806718</t>
  </si>
  <si>
    <t>G 6838</t>
  </si>
  <si>
    <t>https://www.jotform.com/uploads/macarewecare/222927978372067/5842931968063893458/5842931968063893458_signature_28.png</t>
  </si>
  <si>
    <t>Mylen Sibal</t>
  </si>
  <si>
    <t>https://www.jotform.com/uploads/macarewecare/222927978372067/5842931968063893458/5842931968063893458_signature_31.png</t>
  </si>
  <si>
    <t>University of the Philippines - Diliman</t>
  </si>
  <si>
    <t>Institute of Biology, National Science Complex, UP Diliman, Quezon City</t>
  </si>
  <si>
    <t>Mammalian Cell Culture Laboratory</t>
  </si>
  <si>
    <t>AIRINSPACE</t>
  </si>
  <si>
    <t>palim1@up.edu.ph</t>
  </si>
  <si>
    <t>Plasmair Sentinel</t>
  </si>
  <si>
    <t>2006-TS-0015</t>
  </si>
  <si>
    <t>The room smells sour when the Sentinel is in use</t>
  </si>
  <si>
    <t>Check filters</t>
  </si>
  <si>
    <t>Unit is operational but the VOC Adsorber R34 (CP01027) needs to be replaced as it is already saturated leading to the sour smell. Pre Filter (CP11200) also needs to be replaced to prevent blockages as this filters out particles coming into the Sentinel</t>
  </si>
  <si>
    <t>Also recommended for replacement are the Catalyst R33 (CP01026), Collector R32 (CP01066), and Plasma GeN. R31 (CP01024)</t>
  </si>
  <si>
    <t>https://www.jotform.com/uploads/macarewecare/222927978372067/5842923035496060138/5842923035496060138_signature_28.png</t>
  </si>
  <si>
    <t>Patricia Lim</t>
  </si>
  <si>
    <t>https://www.jotform.com/uploads/macarewecare/222927978372067/5842923035496060138/5842923035496060138_signature_31.png</t>
  </si>
  <si>
    <t>Malvar Batangas</t>
  </si>
  <si>
    <t>Unit for PM.
For module replacement of B3.</t>
  </si>
  <si>
    <t>GX module B3 (883330) in replacement to defectivr B3 (806738).</t>
  </si>
  <si>
    <t>https://www.jotform.com/uploads/macarewecare/222927978372067/5842922971516428581/5842922971516428581_signature_28.png</t>
  </si>
  <si>
    <t>https://www.jotform.com/uploads/macarewecare/222927978372067/5842922971516428581/5842922971516428581_signature_31.png</t>
  </si>
  <si>
    <t>Quiricada St, Sta.cruz, Manila</t>
  </si>
  <si>
    <t xml:space="preserve">ASSAY: Xpert MTB/RIF Ultra, COUNT: 1633
ASSAY: Xpert HIV-1 Viral Load, COUNT: 614
</t>
  </si>
  <si>
    <t>Performed Maintenance
Performed XpertCheck
Generate Reports</t>
  </si>
  <si>
    <t>2 Modules are Operational. 2 Modules are Defective</t>
  </si>
  <si>
    <t>https://www.jotform.com/uploads/macarewecare/222927978372067/5842884224642713931/5842884224642713931_signature_28.png</t>
  </si>
  <si>
    <t>https://www.jotform.com/uploads/macarewecare/222927978372067/5842884224642713931/5842884224642713931_signature_31.png</t>
  </si>
  <si>
    <t>Liwasan ng mga Bayani, Alabang, Muntinlupa</t>
  </si>
  <si>
    <t xml:space="preserve">ASSAY: Xpert HPV, COUNT: 146
ASSAY: Xpert MTB/RIF Ultra, COUNT: 1980
</t>
  </si>
  <si>
    <t>CPU of GX System is Not Functioning
Module 2 with Temperature Error</t>
  </si>
  <si>
    <t>Checked Voltage Output and Cables
Cleaned RAM
XpertCheck Module 2
Generate Reports</t>
  </si>
  <si>
    <t>CPU is Operational but for Observation
3 Modules are Operational</t>
  </si>
  <si>
    <t>Module 2 Service Required</t>
  </si>
  <si>
    <t>https://www.jotform.com/uploads/macarewecare/222927978372067/5842867864641815625/5842867864641815625_signature_28.png</t>
  </si>
  <si>
    <t>catheeine carasig</t>
  </si>
  <si>
    <t>https://www.jotform.com/uploads/macarewecare/222927978372067/5842867864641815625/5842867864641815625_signature_31.png</t>
  </si>
  <si>
    <t xml:space="preserve">ASSAY: Xpert MTB/RIF Ultra, COUNT: 1508
ASSAY: Xpert HIV-1 Viral Load, COUNT: 276
</t>
  </si>
  <si>
    <t>Modules 2,3 and 4 with Temperature Errors
UPS and Monitor Not Functioning</t>
  </si>
  <si>
    <t>Performed XpertCheck on Modules 2,3 and 4
Checked UPS Output Voltage and Backup Function
Checked Monitor Power Cable
Generate Reports</t>
  </si>
  <si>
    <t>1 Module is Operational. UPS and Monitor are Defective</t>
  </si>
  <si>
    <t>Modules 2,3 and 4 Failed in XpertCheck</t>
  </si>
  <si>
    <t>https://www.jotform.com/uploads/macarewecare/222927978372067/5842867864647960524/5842867864647960524_signature_28.png</t>
  </si>
  <si>
    <t>https://www.jotform.com/uploads/macarewecare/222927978372067/5842867864647960524/5842867864647960524_signature_31.png</t>
  </si>
  <si>
    <t>Tabaco</t>
  </si>
  <si>
    <t>chutabacontp@gmail.com</t>
  </si>
  <si>
    <t xml:space="preserve">ASSAY: Xpert MTB/RIF Ultra, COUNT: 3825
</t>
  </si>
  <si>
    <t>For Preventive Maintenance
GX set for packing</t>
  </si>
  <si>
    <t>Cleaned cartridge bays,  plunger rod, icore
Packed Gx4, UPS, CPU, Monitor, Printer
Generate reports</t>
  </si>
  <si>
    <t>Performed Preventive Maintenance 
Packed Gx4 set, for relocation</t>
  </si>
  <si>
    <t>https://www.jotform.com/uploads/macarewecare/222927978372067/5842559792334782114/5842559792334782114_signature_28.png</t>
  </si>
  <si>
    <t>Ely Joy Hilario</t>
  </si>
  <si>
    <t>https://www.jotform.com/uploads/macarewecare/222927978372067/5842559792334782114/5842559792334782114_signature_31.png</t>
  </si>
  <si>
    <t>Installed Gx4-10C, CPU, Monitor, UPS, Printer
Generate Reports</t>
  </si>
  <si>
    <t>Installed Gx4-10C</t>
  </si>
  <si>
    <t>https://www.jotform.com/uploads/macarewecare/222927978372067/5842558302332038672/5842558302332038672_signature_28.png</t>
  </si>
  <si>
    <t>https://www.jotform.com/uploads/macarewecare/222927978372067/5842558302332038672/5842558302332038672_signature_31.png</t>
  </si>
  <si>
    <t>Module A2 reported thru Jotform (Temperature Error)</t>
  </si>
  <si>
    <t>Replacing Module A2 with SN: 663320 to SN: 877141</t>
  </si>
  <si>
    <t>https://www.jotform.com/uploads/macarewecare/222927978372067/5842229092418433771/5842229092418433771_signature_28.png</t>
  </si>
  <si>
    <t>Ronnie Balansag</t>
  </si>
  <si>
    <t>https://www.jotform.com/uploads/macarewecare/222927978372067/5842229092418433771/5842229092418433771_signature_31.png</t>
  </si>
  <si>
    <t>Malolos Rural Health Unit</t>
  </si>
  <si>
    <t>arneilquilao17@gmail.com</t>
  </si>
  <si>
    <t xml:space="preserve">ASSAY: Xpert MTB/RIF Ultra, COUNT: 1999
</t>
  </si>
  <si>
    <t>Unit is operational
All modules passed calibration 
Module B3 status is H/W failure
Module B3 for reporting</t>
  </si>
  <si>
    <t>https://www.jotform.com/uploads/macarewecare/222927978372067/5842225722717721360/5842225722717721360_signature_28.png</t>
  </si>
  <si>
    <t>Arneil Quilao</t>
  </si>
  <si>
    <t>https://www.jotform.com/uploads/macarewecare/222927978372067/5842225722717721360/5842225722717721360_signature_31.png</t>
  </si>
  <si>
    <t>B1 and B3 modules reported in Jotform (Temperature Errors)</t>
  </si>
  <si>
    <t>Replacing Module B1 with SN: 634834 to SN: 685791
Module B3 with SN: 694385</t>
  </si>
  <si>
    <t>https://www.jotform.com/uploads/macarewecare/222927978372067/5842224722417331764/5842224722417331764_signature_28.png</t>
  </si>
  <si>
    <t>https://www.jotform.com/uploads/macarewecare/222927978372067/5842224722417331764/5842224722417331764_signature_31.png</t>
  </si>
  <si>
    <t>https://www.jotform.com/uploads/macarewecare/222927978372067/5842180836637933244/5842180836637933244_signature_28.png</t>
  </si>
  <si>
    <t>https://www.jotform.com/uploads/macarewecare/222927978372067/5842180836637933244/5842180836637933244_signature_31.png</t>
  </si>
  <si>
    <t>https://www.jotform.com/uploads/macarewecare/222927978372067/5842179726633903940/5842179726633903940_signature_28.png</t>
  </si>
  <si>
    <t>https://www.jotform.com/uploads/macarewecare/222927978372067/5842179726633903940/5842179726633903940_signature_31.png</t>
  </si>
  <si>
    <t>Sta. Ignacia Tarla</t>
  </si>
  <si>
    <t>marj10venzon@gmail.com</t>
  </si>
  <si>
    <t xml:space="preserve">ASSAY: Xpert MTB/RIF Ultra, COUNT: 508
</t>
  </si>
  <si>
    <t>UPS for replacement
Defective UPS SN:AT1000181128ST0157</t>
  </si>
  <si>
    <t>Repair/ Parts replacement</t>
  </si>
  <si>
    <t>Performed UPS replacement
Performed surface cleaning
Cleaning of plunger rod,icore,filter and cartridge bay
Gathered reports
Performed functionality test</t>
  </si>
  <si>
    <t>Unit is operational
New UPS SN:AT1K230830ST0016</t>
  </si>
  <si>
    <t>https://www.jotform.com/uploads/macarewecare/222927978372067/5842164742358058723/5842164742358058723_signature_28.png</t>
  </si>
  <si>
    <t>Jesus D. Ibarra Jr.</t>
  </si>
  <si>
    <t>https://www.jotform.com/uploads/macarewecare/222927978372067/5842164742358058723/5842164742358058723_signature_31.png</t>
  </si>
  <si>
    <t>Davao del Sur Provincial Hospital</t>
  </si>
  <si>
    <t>Poblacion, Digos City</t>
  </si>
  <si>
    <t>shammyj0308@gmail.com</t>
  </si>
  <si>
    <t xml:space="preserve">ASSAY: Xpert MTB/RIF Ultra, COUNT: 3174
</t>
  </si>
  <si>
    <t>Replace the defective Module SN: 676407 with new Module SN: 861278
Generate IQR, Assay Stat, and System Log</t>
  </si>
  <si>
    <t>https://www.jotform.com/uploads/macarewecare/222927978372067/5842108526215528884/5842108526215528884_signature_28.png</t>
  </si>
  <si>
    <t>SHARMELLA JOY D. PINOTE</t>
  </si>
  <si>
    <t>https://www.jotform.com/uploads/macarewecare/222927978372067/5842108526215528884/5842108526215528884_signature_31.png</t>
  </si>
  <si>
    <t>Moncada Rural Health Unit</t>
  </si>
  <si>
    <t>Moncada Tarlac</t>
  </si>
  <si>
    <t>moncadarhulaboratory.2023@gmail.com</t>
  </si>
  <si>
    <t xml:space="preserve">ASSAY: Xpert MTB/RIF Ultra, COUNT: 654
ASSAY: Xpert HIV-1 Viral Load, COUNT: 8
</t>
  </si>
  <si>
    <t>Performed surface cleaning
Cleaning of plunger rod,icore,filter and cartridge bay
Archived test results
Xpertcheck application update to 1.5a
Performed calibration
Gathered reports
Performed functionality test</t>
  </si>
  <si>
    <t>https://www.jotform.com/uploads/macarewecare/222927978372067/5842092052358767349/5842092052358767349_signature_28.png</t>
  </si>
  <si>
    <t>Jessa Pabo</t>
  </si>
  <si>
    <t>https://www.jotform.com/uploads/macarewecare/222927978372067/5842092052358767349/5842092052358767349_signature_31.png</t>
  </si>
  <si>
    <t xml:space="preserve">ASSAY: Xpert HPV, COUNT: 484
</t>
  </si>
  <si>
    <t>https://www.jotform.com/uploads/macarewecare/222927978372067/5841864370241029356/5841864370241029356_signature_28.png</t>
  </si>
  <si>
    <t>https://www.jotform.com/uploads/macarewecare/222927978372067/5841864370241029356/5841864370241029356_signature_31.png</t>
  </si>
  <si>
    <t>menchiecorpuz@yahoo.com</t>
  </si>
  <si>
    <t xml:space="preserve">ASSAY: Xpert MTB/RIF Ultra, COUNT: 1330
</t>
  </si>
  <si>
    <t>B4/907516 frequent Invalid result</t>
  </si>
  <si>
    <t>Performed Reliability test
Cleaned Icore
Generate reports</t>
  </si>
  <si>
    <t>B4/907516 passed reliability test</t>
  </si>
  <si>
    <t>https://www.jotform.com/uploads/macarewecare/222927978372067/5841408469224394956/5841408469224394956_signature_28.png</t>
  </si>
  <si>
    <t>Menchie corpuz</t>
  </si>
  <si>
    <t>https://www.jotform.com/uploads/macarewecare/222927978372067/5841408469224394956/5841408469224394956_signature_31.png</t>
  </si>
  <si>
    <t>Bicol Region Diagnostics and Reference Laboratory</t>
  </si>
  <si>
    <t xml:space="preserve">ASSAY: Xpert HPV, COUNT: 532
ASSAY: Xpert MTB/RIF Ultra, COUNT: 1859
</t>
  </si>
  <si>
    <t>B1/210068731 for Module replacement</t>
  </si>
  <si>
    <t>Replaced Module: B1 - 210068731&gt;&gt;617185
Cleaned cartridge bays,  plunger rod,  icore, fan
Generate reports</t>
  </si>
  <si>
    <t>Replaced Module B1/210068731
Performed Preventive Maintenance</t>
  </si>
  <si>
    <t>https://www.jotform.com/uploads/macarewecare/222927978372067/5841378079228447613/5841378079228447613_signature_28.png</t>
  </si>
  <si>
    <t>https://www.jotform.com/uploads/macarewecare/222927978372067/5841378079228447613/5841378079228447613_signature_31.png</t>
  </si>
  <si>
    <t xml:space="preserve">ASSAY: Others, COUNT: 585
</t>
  </si>
  <si>
    <t>Cleaned cartridge bays,  plunger rod,  icore
Generate reports</t>
  </si>
  <si>
    <t>https://www.jotform.com/uploads/macarewecare/222927978372067/5841377189225568724/5841377189225568724_signature_28.png</t>
  </si>
  <si>
    <t>https://www.jotform.com/uploads/macarewecare/222927978372067/5841377189225568724/5841377189225568724_signature_31.png</t>
  </si>
  <si>
    <t>Bicol Regional Diagnostics and Reference Laboratory</t>
  </si>
  <si>
    <t xml:space="preserve">ASSAY: Xpert HPV, COUNT: 352
ASSAY: Xpert MTB/RIF Ultra, COUNT: 1794
ASSAY: Xpert HIV-1 Viral Load, COUNT: 328
</t>
  </si>
  <si>
    <t>https://www.jotform.com/uploads/macarewecare/222927978372067/5841376079228808422/5841376079228808422_signature_28.png</t>
  </si>
  <si>
    <t>https://www.jotform.com/uploads/macarewecare/222927978372067/5841376079228808422/5841376079228808422_signature_31.png</t>
  </si>
  <si>
    <t>Red Valve error</t>
  </si>
  <si>
    <t>Check compressor unit, check valve , conduct valve oculation</t>
  </si>
  <si>
    <t>https://www.jotform.com/uploads/macarewecare/222927978372067/5841375921115669737/5841375921115669737_signature_28.png</t>
  </si>
  <si>
    <t>https://www.jotform.com/uploads/macarewecare/222927978372067/5841375921115669737/5841375921115669737_signature_31.png</t>
  </si>
  <si>
    <t>cityhealthlaboratoryzamboanga@gmail.com</t>
  </si>
  <si>
    <t xml:space="preserve">ASSAY: Xpert MTB/RIF Ultra, COUNT: 773
</t>
  </si>
  <si>
    <t>Requested for xpertcheck calibration assistance for all four modules.</t>
  </si>
  <si>
    <t>All four modules undergone Xpertcheck calibration and Preventive maintenance.</t>
  </si>
  <si>
    <t>All modules passed Xpertcheck calibration</t>
  </si>
  <si>
    <t>N_A</t>
  </si>
  <si>
    <t>https://www.jotform.com/uploads/macarewecare/222927978372067/5841353991417214948/5841353991417214948_signature_28.png</t>
  </si>
  <si>
    <t>CHARLANE DELOS REYES</t>
  </si>
  <si>
    <t>https://www.jotform.com/uploads/macarewecare/222927978372067/5841353991417214948/5841353991417214948_signature_31.png</t>
  </si>
  <si>
    <t>Danao City health office</t>
  </si>
  <si>
    <t>Danao ciry, cebu</t>
  </si>
  <si>
    <t>Defective module 3 sn 210091171</t>
  </si>
  <si>
    <t>New module 3 installed sn 758585</t>
  </si>
  <si>
    <t>https://www.jotform.com/uploads/macarewecare/222927978372067/5841332569683064418/5841332569683064418_signature_28.png</t>
  </si>
  <si>
    <t>https://www.jotform.com/uploads/macarewecare/222927978372067/5841332569683064418/5841332569683064418_signature_31.png</t>
  </si>
  <si>
    <t>Bontoc General Hospital</t>
  </si>
  <si>
    <t>Bontoc</t>
  </si>
  <si>
    <t>Mountain Province</t>
  </si>
  <si>
    <t>rpdelim.pbsp@gmail.com</t>
  </si>
  <si>
    <t>Installed 10 C and required Assays</t>
  </si>
  <si>
    <t>Installed GeneXpert 10 C</t>
  </si>
  <si>
    <t>GeneXpert 10C system</t>
  </si>
  <si>
    <t>https://www.jotform.com/uploads/macarewecare/222927978372067/5841243950248712334/5841243950248712334_signature_28.png</t>
  </si>
  <si>
    <t>Roxanne P. Delim</t>
  </si>
  <si>
    <t>https://www.jotform.com/uploads/macarewecare/222927978372067/5841243950248712334/5841243950248712334_signature_31.png</t>
  </si>
  <si>
    <t xml:space="preserve">ASSAY: Xpert MTB/RIF Ultra, COUNT: 1687
</t>
  </si>
  <si>
    <t>https://www.jotform.com/uploads/macarewecare/222927978372067/5841241280244849036/5841241280244849036_signature_28.png</t>
  </si>
  <si>
    <t>https://www.jotform.com/uploads/macarewecare/222927978372067/5841241280244849036/5841241280244849036_signature_31.png</t>
  </si>
  <si>
    <t>- Cleaned Cartridge Bays, Plunger Rods and I-CORE 
- Replaced Defective Module 714131 &gt;&gt;&gt; 719050
- Run Reliability test on Module B3 and B4
- Generated Reports</t>
  </si>
  <si>
    <t>Modules B3 and B4 for Reporting</t>
  </si>
  <si>
    <t>GeneXpert Module 719050</t>
  </si>
  <si>
    <t>https://www.jotform.com/uploads/macarewecare/222927978372067/5841231200247478927/5841231200247478927_signature_28.png</t>
  </si>
  <si>
    <t>Cirila O, Sabiano</t>
  </si>
  <si>
    <t>https://www.jotform.com/uploads/macarewecare/222927978372067/5841231200247478927/5841231200247478927_signature_31.png</t>
  </si>
  <si>
    <t xml:space="preserve">ASSAY: Xpert HPV, COUNT: 552
ASSAY: Xpert MTB/RIF Ultra, COUNT: 1692
</t>
  </si>
  <si>
    <t>https://www.jotform.com/uploads/macarewecare/222927978372067/5841226520247538438/5841226520247538438_signature_28.png</t>
  </si>
  <si>
    <t>https://www.jotform.com/uploads/macarewecare/222927978372067/5841226520247538438/5841226520247538438_signature_31.png</t>
  </si>
  <si>
    <t xml:space="preserve">ASSAY: Xpert MTB/RIF Ultra, COUNT: 1353
</t>
  </si>
  <si>
    <t>https://www.jotform.com/uploads/macarewecare/222927978372067/5841225040249608378/5841225040249608378_signature_28.png</t>
  </si>
  <si>
    <t>https://www.jotform.com/uploads/macarewecare/222927978372067/5841225040249608378/5841225040249608378_signature_31.png</t>
  </si>
  <si>
    <t>Autoloading Safety Error</t>
  </si>
  <si>
    <t>Reset Boards Connection
Reset Motor Pump Connections
Checked Pump Rollers
Performed Functionality Test</t>
  </si>
  <si>
    <t>Unit is Not Operational</t>
  </si>
  <si>
    <t>For Additional/Further Troubleshooting. Test kit for Pull-out</t>
  </si>
  <si>
    <t>https://www.jotform.com/uploads/macarewecare/222927978372067/5841147413612260578/5841147413612260578_signature_28.png</t>
  </si>
  <si>
    <t>https://www.jotform.com/uploads/macarewecare/222927978372067/5841147413612260578/5841147413612260578_signature_31.png</t>
  </si>
  <si>
    <t xml:space="preserve">ASSAY: Xpert MTB/RIF Ultra, COUNT: 1467
</t>
  </si>
  <si>
    <t>Performed XpertCheck
Checked Filter
Cleaned Icore
Performed Self-test
Generate Reports</t>
  </si>
  <si>
    <t>2 Passed, 1 Failed, 1 Newly Replaced</t>
  </si>
  <si>
    <t>https://www.jotform.com/uploads/macarewecare/222927978372067/5841147413612081102/5841147413612081102_signature_28.png</t>
  </si>
  <si>
    <t>https://www.jotform.com/uploads/macarewecare/222927978372067/5841147413612081102/5841147413612081102_signature_31.png</t>
  </si>
  <si>
    <t>Dasmariñas City Health Office I</t>
  </si>
  <si>
    <t>D. Mangubat Ave., Dasmariñas, Cavite</t>
  </si>
  <si>
    <t>cho1lab@yahoo.com</t>
  </si>
  <si>
    <t xml:space="preserve">ASSAY: Xpert MTB/RIF Ultra, COUNT: 3020
ASSAY: Xpert HIV-1 Viral Load, COUNT: 127
</t>
  </si>
  <si>
    <t>Module 3 Failed in XpertCheck</t>
  </si>
  <si>
    <t>Replaced Module 3
Performed Self-test
Generte Reports</t>
  </si>
  <si>
    <t>B3: 863195 -&gt; 634942</t>
  </si>
  <si>
    <t>https://www.jotform.com/uploads/macarewecare/222927978372067/5841147413612990489/5841147413612990489_signature_28.png</t>
  </si>
  <si>
    <t>Elma R.Belostrino</t>
  </si>
  <si>
    <t>https://www.jotform.com/uploads/macarewecare/222927978372067/5841147413612990489/5841147413612990489_signature_31.png</t>
  </si>
  <si>
    <t>E. Aldana Health Center</t>
  </si>
  <si>
    <t>E. Aldana, Las Piñas</t>
  </si>
  <si>
    <t>egaguilar10@yahoo.com</t>
  </si>
  <si>
    <t xml:space="preserve">ASSAY: Xpert MTB/RIF Ultra, COUNT: 1351
</t>
  </si>
  <si>
    <t>Modules 1,2 and 3 Service Required</t>
  </si>
  <si>
    <t>Replaced Modules 1,2 and 3.
Cleaned Filter and Fan
Performed Self-test
Generate Reports</t>
  </si>
  <si>
    <t>639339, 725156, 688549 -&gt; 662522, 894805, 884275</t>
  </si>
  <si>
    <t>GX Modules</t>
  </si>
  <si>
    <t>G 6810</t>
  </si>
  <si>
    <t>https://www.jotform.com/uploads/macarewecare/222927978372067/5841147413617356456/5841147413617356456_signature_28.png</t>
  </si>
  <si>
    <t>Edita D.Aguilar</t>
  </si>
  <si>
    <t>https://www.jotform.com/uploads/macarewecare/222927978372067/5841147413617356456/5841147413617356456_signature_31.png</t>
  </si>
  <si>
    <t>https://www.jotform.com/uploads/macarewecare/222927978372067/5841117344096890449/5841117344096890449_signature_28.png</t>
  </si>
  <si>
    <t>https://www.jotform.com/uploads/macarewecare/222927978372067/5841117344096890449/5841117344096890449_signature_31.png</t>
  </si>
  <si>
    <t>Poblacion, Bagumbayan,  Sultan Kudarat</t>
  </si>
  <si>
    <t>Genexpert machine Cleaning 
Checking of errors 
Data collection: IQR, System log, Assay statistics report and Archive test</t>
  </si>
  <si>
    <t>https://www.jotform.com/uploads/macarewecare/222927978372067/5840787443489544549/5840787443489544549_signature_28.png</t>
  </si>
  <si>
    <t>https://www.jotform.com/uploads/macarewecare/222927978372067/5840787443489544549/5840787443489544549_signature_31.png</t>
  </si>
  <si>
    <t xml:space="preserve">ASSAY: Xpert MTB/RIF Ultra, COUNT: 1874
</t>
  </si>
  <si>
    <t>https://www.jotform.com/uploads/macarewecare/222927978372067/5838881248425388502/5838881248425388502_signature_28.png</t>
  </si>
  <si>
    <t>https://www.jotform.com/uploads/macarewecare/222927978372067/5838881248425388502/5838881248425388502_signature_31.png</t>
  </si>
  <si>
    <t>torilhealth@yahoo.com</t>
  </si>
  <si>
    <t xml:space="preserve">ASSAY: Xpert MTB/RIF Ultra, COUNT: 1664
</t>
  </si>
  <si>
    <t>Clean Surface Area, Cartridge Bay, Plunger Rod, Fan Filters and Icore Lenses
Generate IQR, Assay Stat and System Log
Run XpertCheck Calibration</t>
  </si>
  <si>
    <t>Module B1 for service required, other modules passed the Calibration</t>
  </si>
  <si>
    <t>Module B1 for under observation</t>
  </si>
  <si>
    <t>https://www.jotform.com/uploads/macarewecare/222927978372067/5838880698422193842/5838880698422193842_signature_28.png</t>
  </si>
  <si>
    <t>https://www.jotform.com/uploads/macarewecare/222927978372067/5838880698422193842/5838880698422193842_signature_31.png</t>
  </si>
  <si>
    <t xml:space="preserve">ASSAY: Xpert MTB/RIF Ultra, COUNT: 1997
</t>
  </si>
  <si>
    <t>Module 2 encounter running problem, hang up module 2 software side</t>
  </si>
  <si>
    <t>Forced stop module 2, restart GXDX , restart pc
Generate IQR, Sys log, Assay Stats,
Clean up filter</t>
  </si>
  <si>
    <t>https://www.jotform.com/uploads/macarewecare/222927978372067/5838858711111286499/5838858711111286499_signature_28.png</t>
  </si>
  <si>
    <t>Lucille Mae A. Potoy, RMT</t>
  </si>
  <si>
    <t>https://www.jotform.com/uploads/macarewecare/222927978372067/5838858711111286499/5838858711111286499_signature_31.png</t>
  </si>
  <si>
    <t>Operator ask for assistance for annual calibration of genexpert machines.</t>
  </si>
  <si>
    <t>Performed maintenance , clean Icore, and plunger, generate IQR, GXX and Assay statistics
Conduct genexpert check 
Clean filter</t>
  </si>
  <si>
    <t>B1- Failed during calibration
B2, B3 and B4</t>
  </si>
  <si>
    <t>https://www.jotform.com/uploads/macarewecare/222927978372067/5838821771116086779/5838821771116086779_signature_28.png</t>
  </si>
  <si>
    <t>https://www.jotform.com/uploads/macarewecare/222927978372067/5838821771116086779/5838821771116086779_signature_31.png</t>
  </si>
  <si>
    <t xml:space="preserve">ASSAY: Xpert HPV, COUNT: 411
ASSAY: Xpert MTB/RIF Ultra, COUNT: 2908
</t>
  </si>
  <si>
    <t>Unit to return to original location</t>
  </si>
  <si>
    <t>Renovation done on Wenceslao DLPHC
Unit to return to original location 
Packed GX and all accessories
Setup GX and accessories to original location
Tested GX 
Generated report</t>
  </si>
  <si>
    <t>Unit transferred from
SB Park -&gt; Culiat</t>
  </si>
  <si>
    <t>https://www.jotform.com/uploads/macarewecare/222927978372067/5838805113847257153/5838805113847257153_signature_28.png</t>
  </si>
  <si>
    <t>Camille Joy Mendoza</t>
  </si>
  <si>
    <t>https://www.jotform.com/uploads/macarewecare/222927978372067/5838805113847257153/5838805113847257153_signature_31.png</t>
  </si>
  <si>
    <t>San Pedro, Cabusao</t>
  </si>
  <si>
    <t>GX4-10C installation</t>
  </si>
  <si>
    <t>Installed Gx4-10C, Printer, UPS, CPU, Monitor
Generate reports</t>
  </si>
  <si>
    <t>https://www.jotform.com/uploads/macarewecare/222927978372067/5838802949418457421/5838802949418457421_signature_28.png</t>
  </si>
  <si>
    <t>Jessie lowell de vera</t>
  </si>
  <si>
    <t>https://www.jotform.com/uploads/macarewecare/222927978372067/5838802949418457421/5838802949418457421_signature_31.png</t>
  </si>
  <si>
    <t>Cleaned Cartridge bays,  plunger rod, icore
Generate reports</t>
  </si>
  <si>
    <t xml:space="preserve">ASSAY: Xpert BCR-ABL Ultra, COUNT: 57
ASSAY: Xpert CT/NG, COUNT: 111
ASSAY: Xpert HIV-1 Viral Load, COUNT: 135
ASSAY: Xpert HPV, COUNT: 8
ASSAY: Xpert MTB/RIF Ultra, COUNT: 1055
ASSAY: Xpert HCV VL, COUNT: 103
</t>
  </si>
  <si>
    <t>MODULE B1,B2, AND B3 STUCK CARTRIDGE</t>
  </si>
  <si>
    <t>https://www.jotform.com/uploads/macarewecare/222927978372067/5838764761115730553/5838764761115730553_signature_28.png</t>
  </si>
  <si>
    <t>Xavier C. Corraje,RMT</t>
  </si>
  <si>
    <t>https://www.jotform.com/uploads/macarewecare/222927978372067/5838764761115730553/5838764761115730553_signature_31.png</t>
  </si>
  <si>
    <t>Batasan Super Health Center</t>
  </si>
  <si>
    <t>Batasan Hills, Quezon City</t>
  </si>
  <si>
    <t>deandomingo12@gmail.com</t>
  </si>
  <si>
    <t xml:space="preserve">ASSAY: Xpert HPV, COUNT: 502
ASSAY: Xpert MTB/RIF Ultra, COUNT: 2950
</t>
  </si>
  <si>
    <t>Checked and cleaned cartridge bays, plunger rod, icore slot and filter
Performed XpertCheck on module D2
Module 1 and 4 passed XpertCheck on 1/29/24
Maodule 3 service required on 01/2924
Module D2 failed xpertcheck
Generated report</t>
  </si>
  <si>
    <t>unit is operational. 
Modules 2 and 3 service required</t>
  </si>
  <si>
    <t>Used 2 cartridges</t>
  </si>
  <si>
    <t>Lot 1000907498</t>
  </si>
  <si>
    <t>https://www.jotform.com/uploads/macarewecare/222927978372067/5838709074861224920/5838709074861224920_signature_28.png</t>
  </si>
  <si>
    <t>Dean Domingo</t>
  </si>
  <si>
    <t>https://www.jotform.com/uploads/macarewecare/222927978372067/5838709074861224920/5838709074861224920_signature_31.png</t>
  </si>
  <si>
    <t>Fairview Clinical Laboratory</t>
  </si>
  <si>
    <t>Brgy. Compound Dahlia Ave., Fairview, Quezon City</t>
  </si>
  <si>
    <t>fairviewclinicallab@gmail.com</t>
  </si>
  <si>
    <t xml:space="preserve">ASSAY: Xpert HPV, COUNT: 283
ASSAY: Xpert MTB/RIF Ultra, COUNT: 2017
</t>
  </si>
  <si>
    <t>Checked and cleaned cartridge bays, plunger rod, icore slot and filter
Performed XpertCheck
All modules passed
Generated report</t>
  </si>
  <si>
    <t>DR 46570</t>
  </si>
  <si>
    <t>https://www.jotform.com/uploads/macarewecare/222927978372067/5838605249299128222/5838605249299128222_signature_28.png</t>
  </si>
  <si>
    <t>Rinna May Bureros</t>
  </si>
  <si>
    <t>https://www.jotform.com/uploads/macarewecare/222927978372067/5838605249299128222/5838605249299128222_signature_31.png</t>
  </si>
  <si>
    <t>Governor Celestestino Gallares Memorial Hospital</t>
  </si>
  <si>
    <t>Stucked up carrthridge module 2 and 3</t>
  </si>
  <si>
    <t>Removing of stucked up carthridge</t>
  </si>
  <si>
    <t>https://www.jotform.com/uploads/macarewecare/222927978372067/5838546730751629618/5838546730751629618_signature_28.png</t>
  </si>
  <si>
    <t>https://www.jotform.com/uploads/macarewecare/222927978372067/5838546730751629618/5838546730751629618_signature_31.png</t>
  </si>
  <si>
    <t>Bood, Ubay, Bohol</t>
  </si>
  <si>
    <t>janarkid@gmail.com</t>
  </si>
  <si>
    <t>Dective CPU software, SQL error</t>
  </si>
  <si>
    <t>Intall genexpert software of thier existing CPU unit..</t>
  </si>
  <si>
    <t>https://www.jotform.com/uploads/macarewecare/222927978372067/5838025880133564824/5838025880133564824_signature_28.png</t>
  </si>
  <si>
    <t>JAN ARKID DIACOR</t>
  </si>
  <si>
    <t>https://www.jotform.com/uploads/macarewecare/222927978372067/5838025880133564824/5838025880133564824_signature_31.png</t>
  </si>
  <si>
    <t>National Children Hospital</t>
  </si>
  <si>
    <t xml:space="preserve">ASSAY: Xpert MTB/RIF Ultra, COUNT: 25
ASSAY: Xpert SARS-CoV-2, COUNT: 28
</t>
  </si>
  <si>
    <t>Perfromed xpertcheck
Cleaned unit
Cleaned plunger rod,filter,icore,cartridge bay
Gathered reports
Test run unit</t>
  </si>
  <si>
    <t>Module all passed</t>
  </si>
  <si>
    <t>https://www.jotform.com/uploads/macarewecare/222927978372067/5838005584984845253/5838005584984845253_signature_28.png</t>
  </si>
  <si>
    <t>https://www.jotform.com/uploads/macarewecare/222927978372067/5838005584984845253/5838005584984845253_signature_31.png</t>
  </si>
  <si>
    <t xml:space="preserve">ASSAY: Xpert BCR-ABL Ultra, COUNT: 29
ASSAY: Xpert MTB/RIF Ultra, COUNT: 3076
ASSAY: Xpert SARS-CoV-2, COUNT: 4744
ASSAY: Others, COUNT: 10
</t>
  </si>
  <si>
    <t>GX 16D 10C</t>
  </si>
  <si>
    <t>D2 stuck cartridge</t>
  </si>
  <si>
    <t>Fixed stuck cartridge,Maintenance</t>
  </si>
  <si>
    <t>https://www.jotform.com/uploads/macarewecare/222927978372067/5838004964985706557/5838004964985706557_signature_28.png</t>
  </si>
  <si>
    <t>https://www.jotform.com/uploads/macarewecare/222927978372067/5838004964985706557/5838004964985706557_signature_31.png</t>
  </si>
  <si>
    <t>Global City, Taguig</t>
  </si>
  <si>
    <t xml:space="preserve">ASSAY: Xpert BCR-ABL Ultra, COUNT: 175
ASSAY: Xpert CT/NG, COUNT: 1236
ASSAY: Xpert HBV VL, COUNT: 52
ASSAY: Xpert HPV, COUNT: 988
ASSAY: Xpert MTB/RIF Ultra, COUNT: 2462
ASSAY: Xpert HCV VL, COUNT: 26
ASSAY: Xpert HIV-1 Viral Load, COUNT: 49
</t>
  </si>
  <si>
    <t>GX-4L</t>
  </si>
  <si>
    <t>C1 reported already for maintenance</t>
  </si>
  <si>
    <t>C1 diabled
C2,C3,C4 operational</t>
  </si>
  <si>
    <t>https://www.jotform.com/uploads/macarewecare/222927978372067/5838004534986962144/5838004534986962144_signature_28.png</t>
  </si>
  <si>
    <t>Stephanie Infante</t>
  </si>
  <si>
    <t>https://www.jotform.com/uploads/macarewecare/222927978372067/5838004534986962144/5838004534986962144_signature_31.png</t>
  </si>
  <si>
    <t>Lung Center of the Philippines ( Koica)</t>
  </si>
  <si>
    <t>ibtee.pbsp@gmail.com</t>
  </si>
  <si>
    <t>GX4 L R1</t>
  </si>
  <si>
    <t>For module replacement C1 685469 - 210051258</t>
  </si>
  <si>
    <t>G6813</t>
  </si>
  <si>
    <t>https://www.jotform.com/uploads/macarewecare/222927978372067/5838003854986536824/5838003854986536824_signature_28.png</t>
  </si>
  <si>
    <t>Ivan Rhyan B. Tee</t>
  </si>
  <si>
    <t>https://www.jotform.com/uploads/macarewecare/222927978372067/5838003854986536824/5838003854986536824_signature_31.png</t>
  </si>
  <si>
    <t>Global City, Taguig City</t>
  </si>
  <si>
    <t>B1 encounter h/w failed,B4 ecounter temp error. 1002</t>
  </si>
  <si>
    <t>B1 and B4 disabled for reporting
B2 and B3 operational</t>
  </si>
  <si>
    <t>https://www.jotform.com/uploads/macarewecare/222927978372067/5838003314986816639/5838003314986816639_signature_28.png</t>
  </si>
  <si>
    <t>https://www.jotform.com/uploads/macarewecare/222927978372067/5838003314986816639/5838003314986816639_signature_31.png</t>
  </si>
  <si>
    <t>1221 J. Nolasco St., Tondo, Manila</t>
  </si>
  <si>
    <t>Machine relocated from
North Daang Hari Health Center -&gt; Mary Johnston Hospital</t>
  </si>
  <si>
    <t>Perfomed PM
Perform unit set up/Installation of the Gx 6C.
Perform operator's basic training.
Generated report</t>
  </si>
  <si>
    <t>Setup Gx and accessories to new location</t>
  </si>
  <si>
    <t>https://www.jotform.com/uploads/macarewecare/222927978372067/5837974514722340177/5837974514722340177_signature_28.png</t>
  </si>
  <si>
    <t>Clarice Cortez</t>
  </si>
  <si>
    <t>https://www.jotform.com/uploads/macarewecare/222927978372067/5837974514722340177/5837974514722340177_signature_31.png</t>
  </si>
  <si>
    <t>Maria Aurora Community Hospital</t>
  </si>
  <si>
    <t>Brgy. 1, Maria Aurora, Aurora</t>
  </si>
  <si>
    <t>mariabelenth@gmail.com</t>
  </si>
  <si>
    <t xml:space="preserve">ASSAY: Xpert MTB/RIF Ultra, COUNT: 3303
ASSAY: Xpert HIV-1 Viral Load, COUNT: 35
</t>
  </si>
  <si>
    <t>Module 2 for reporting</t>
  </si>
  <si>
    <t>Performed Miantenance
Gathered Reports
Performed Functionality Test
Disassembled Genexpert
Packed Genexpert</t>
  </si>
  <si>
    <t>Module 2 for replacement</t>
  </si>
  <si>
    <t>https://www.jotform.com/uploads/macarewecare/222927978372067/5837920891516440335/5837920891516440335_signature_28.png</t>
  </si>
  <si>
    <t>Maria Belem T. Teh</t>
  </si>
  <si>
    <t>https://www.jotform.com/uploads/macarewecare/222927978372067/5837920891516440335/5837920891516440335_signature_31.png</t>
  </si>
  <si>
    <t>Clean Surface Area, Cartridge Bay, Plunger Rod and Icore Lenses
Generate IQR, Assay Stat and System Log
Archived Data test results
Perform XPERTCHECK Calibration</t>
  </si>
  <si>
    <t>All Modules are operational and Passed the Calibration</t>
  </si>
  <si>
    <t>Damaged filters, will be reported to JotForm</t>
  </si>
  <si>
    <t>https://www.jotform.com/uploads/macarewecare/222927978372067/5837911322826308369/5837911322826308369_signature_28.png</t>
  </si>
  <si>
    <t>https://www.jotform.com/uploads/macarewecare/222927978372067/5837911322826308369/5837911322826308369_signature_31.png</t>
  </si>
  <si>
    <t>Installed Genexpert
Installed Genexpert PC
Installed Monitor
Installed Driver
Installed UPS
Installed Printer
Performed Maintenance
Gathered Reports
Performed Functionality Test</t>
  </si>
  <si>
    <t>https://www.jotform.com/uploads/macarewecare/222927978372067/5837883771511505505/5837883771511505505_signature_28.png</t>
  </si>
  <si>
    <t>Maria Belen T. Teh</t>
  </si>
  <si>
    <t>https://www.jotform.com/uploads/macarewecare/222927978372067/5837883771511505505/5837883771511505505_signature_31.png</t>
  </si>
  <si>
    <t>marvinisanchez06@gmail.com</t>
  </si>
  <si>
    <t>Unit is operational
B1: Passed
B2: Insufficient cartridge 
B3: Insufficient cartridge 
B4: Service required</t>
  </si>
  <si>
    <t>https://www.jotform.com/uploads/macarewecare/222927978372067/5837850689313856925/5837850689313856925_signature_28.png</t>
  </si>
  <si>
    <t>https://www.jotform.com/uploads/macarewecare/222927978372067/5837850689313856925/5837850689313856925_signature_31.png</t>
  </si>
  <si>
    <t>Basud Municipal Health Office</t>
  </si>
  <si>
    <t>Poblacion Dos, Basud</t>
  </si>
  <si>
    <t>kenedypomposo1925@gmail.com</t>
  </si>
  <si>
    <t>For Installation of GX4-10C</t>
  </si>
  <si>
    <t>Installed Gx4-10C, Monitor, UPS, CPU, Printer
Generate Reports</t>
  </si>
  <si>
    <t>Installed Gx4-10C, Monitor, UPS, CPU, Printer 1</t>
  </si>
  <si>
    <t>https://www.jotform.com/uploads/macarewecare/222927978372067/5837850426289444117/5837850426289444117_signature_28.png</t>
  </si>
  <si>
    <t>Kenedy M. Pomposo</t>
  </si>
  <si>
    <t>https://www.jotform.com/uploads/macarewecare/222927978372067/5837850426289444117/5837850426289444117_signature_31.png</t>
  </si>
  <si>
    <t>Poblacioon Dos, Basud</t>
  </si>
  <si>
    <t xml:space="preserve">ASSAY: Xpert MTB/RIF Ultra, COUNT: 1646
</t>
  </si>
  <si>
    <t>For Preventive Maintenance 
For Packing Gx, Preparation for Relocation</t>
  </si>
  <si>
    <t>Cleaned cartridge bays, plunger rod, icore
Packed Gx4, Monitor, CPU, UPS, Printer
Generate reports</t>
  </si>
  <si>
    <t>Performed Preventive Maintenance 
Packed Gx4</t>
  </si>
  <si>
    <t>https://www.jotform.com/uploads/macarewecare/222927978372067/5837849716285330970/5837849716285330970_signature_28.png</t>
  </si>
  <si>
    <t>https://www.jotform.com/uploads/macarewecare/222927978372067/5837849716285330970/5837849716285330970_signature_31.png</t>
  </si>
  <si>
    <t>Visitation St. Angeles City Pampanga</t>
  </si>
  <si>
    <t>Unit is fully operational
2 modules passed calibration 
2 modules failed calibration B1 and B4
Used 6 Xpertcheck kits</t>
  </si>
  <si>
    <t>B1 and B4 for reporting</t>
  </si>
  <si>
    <t>https://www.jotform.com/uploads/macarewecare/222927978372067/5837784249512975372/5837784249512975372_signature_28.png</t>
  </si>
  <si>
    <t>https://www.jotform.com/uploads/macarewecare/222927978372067/5837784249512975372/5837784249512975372_signature_31.png</t>
  </si>
  <si>
    <t>Brgy. 2, Vinzons</t>
  </si>
  <si>
    <t>Replaced UPS: AT1000
Cleaned cartridge bays. Plunger rod, icore, fan
Generate Reports</t>
  </si>
  <si>
    <t>Replaced UPS
Performed Preventive Maintenance</t>
  </si>
  <si>
    <t>https://www.jotform.com/uploads/macarewecare/222927978372067/5837760886289932300/5837760886289932300_signature_28.png</t>
  </si>
  <si>
    <t>https://www.jotform.com/uploads/macarewecare/222927978372067/5837760886289932300/5837760886289932300_signature_31.png</t>
  </si>
  <si>
    <t>Bay Breeze, Taguig City</t>
  </si>
  <si>
    <t xml:space="preserve">ASSAY: Xpert MTB/RIF Ultra, COUNT: 3451
ASSAY: Xpert HIV-1 Viral Load, COUNT: 2
</t>
  </si>
  <si>
    <t>Performed PM
Replaced Module B4
Generated report</t>
  </si>
  <si>
    <t>Replaced module B4
210059802 -&gt; 892293</t>
  </si>
  <si>
    <t>G6812</t>
  </si>
  <si>
    <t>https://www.jotform.com/uploads/macarewecare/222927978372067/5837737264728411352/5837737264728411352_signature_28.png</t>
  </si>
  <si>
    <t>Gina B.Dumawal</t>
  </si>
  <si>
    <t>https://www.jotform.com/uploads/macarewecare/222927978372067/5837737264728411352/5837737264728411352_signature_31.png</t>
  </si>
  <si>
    <t>Talisay Municipal Health Office</t>
  </si>
  <si>
    <t>Maharlika Highway, Poblacion, Yalisay</t>
  </si>
  <si>
    <t>savillaeditha@gmail.com</t>
  </si>
  <si>
    <t xml:space="preserve">ASSAY: Xpert MTB/RIF Ultra, COUNT: 935
</t>
  </si>
  <si>
    <t>GX4-6C 2Placer</t>
  </si>
  <si>
    <t>Cleaned cartridge bays, plunger rod, icore
Generate Reports</t>
  </si>
  <si>
    <t>https://www.jotform.com/uploads/macarewecare/222927978372067/5837708496282537227/5837708496282537227_signature_28.png</t>
  </si>
  <si>
    <t>Editha V.Savilla</t>
  </si>
  <si>
    <t>https://www.jotform.com/uploads/macarewecare/222927978372067/5837708496282537227/5837708496282537227_signature_31.png</t>
  </si>
  <si>
    <t xml:space="preserve">ASSAY: Xpert MTB/RIF Ultra, COUNT: 2501
</t>
  </si>
  <si>
    <t>Due for Preventive Maintenance and New Printer Installation</t>
  </si>
  <si>
    <t>Clean Surface Area, Cartridge Bay, Plunger Rod, Fan Filters and Icore Lenses
Generate IQR, Assay Stat and System Log
Archived Data test results
Install new printer</t>
  </si>
  <si>
    <t>New Printer from LGU - Panabo (Epson L5290)</t>
  </si>
  <si>
    <t>https://www.jotform.com/uploads/macarewecare/222927978372067/5837684479015331244/5837684479015331244_signature_28.png</t>
  </si>
  <si>
    <t>Nadine Gemma S. Eustaqiou</t>
  </si>
  <si>
    <t>https://www.jotform.com/uploads/macarewecare/222927978372067/5837684479015331244/5837684479015331244_signature_31.png</t>
  </si>
  <si>
    <t>marteetingzon20@gmail.con</t>
  </si>
  <si>
    <t xml:space="preserve">ASSAY: Xpert MTB/RIF Ultra, COUNT: 1294
</t>
  </si>
  <si>
    <t>Unit is operational
- Module B2 disabled (Defective)</t>
  </si>
  <si>
    <t>https://www.jotform.com/uploads/macarewecare/222927978372067/5837656607113056626/5837656607113056626_signature_28.png</t>
  </si>
  <si>
    <t>https://www.jotform.com/uploads/macarewecare/222927978372067/5837656607113056626/5837656607113056626_signature_31.png</t>
  </si>
  <si>
    <t>Brgy. Hagkol, Valencia City</t>
  </si>
  <si>
    <t xml:space="preserve">ASSAY: Xpert MTB/RIF Ultra, COUNT: 1945
</t>
  </si>
  <si>
    <t>B3 Found Service Required Thru XPC</t>
  </si>
  <si>
    <t>Error Checking Using XpertCheck Calibration of Module B3</t>
  </si>
  <si>
    <t>3 MODULES WORKING, 1 MODULE FOR REPLACEMENT (SERVICE REQUIRED)</t>
  </si>
  <si>
    <t>https://www.jotform.com/uploads/macarewecare/222927978372067/5837156916226123416/5837156916226123416_signature_28.png</t>
  </si>
  <si>
    <t>Joefelyn A. Caluya</t>
  </si>
  <si>
    <t>https://www.jotform.com/uploads/macarewecare/222927978372067/5837156916226123416/5837156916226123416_signature_31.png</t>
  </si>
  <si>
    <t>20 Katuparan St., Commonwealth, Quezon City</t>
  </si>
  <si>
    <t xml:space="preserve">ASSAY: Xpert HPV, COUNT: 104
ASSAY: Xpert MTB/RIF Ultra, COUNT: 3000
</t>
  </si>
  <si>
    <t>Printer for replacement</t>
  </si>
  <si>
    <t>Performed PM
Removed old printer
Setup new printer 
Generated report</t>
  </si>
  <si>
    <t>Replaced printer
K10347 -&gt; KLWR16647</t>
  </si>
  <si>
    <t>FC-IT-PRINTER</t>
  </si>
  <si>
    <t>DR11214</t>
  </si>
  <si>
    <t>https://www.jotform.com/uploads/macarewecare/222927978372067/5837056464729992899/5837056464729992899_signature_28.png</t>
  </si>
  <si>
    <t>Iron Capistrano</t>
  </si>
  <si>
    <t>https://www.jotform.com/uploads/macarewecare/222927978372067/5837056464729992899/5837056464729992899_signature_31.png</t>
  </si>
  <si>
    <t>Quezon ave QC</t>
  </si>
  <si>
    <t>GX4L R1</t>
  </si>
  <si>
    <t>For module replacement B2 650425 - 903572</t>
  </si>
  <si>
    <t>https://www.jotform.com/uploads/macarewecare/222927978372067/5836996530321073731/5836996530321073731_signature_28.png</t>
  </si>
  <si>
    <t>https://www.jotform.com/uploads/macarewecare/222927978372067/5836996530321073731/5836996530321073731_signature_31.png</t>
  </si>
  <si>
    <t xml:space="preserve">ASSAY: Xpert CT/NG, COUNT: 29
ASSAY: Xpert HBV VL, COUNT: 37
ASSAY: Others, COUNT: 14
ASSAY: Xpert MTB/RIF Ultra, COUNT: 2430
ASSAY: Xpert SARS-CoV-2, COUNT: 10587
ASSAY: Xpert HIV-1 Viral Load, COUNT: 163
</t>
  </si>
  <si>
    <t>Unit is operational
B1: Service required 
B2: Service required 
B3: Service required 
B4: Passed</t>
  </si>
  <si>
    <t>https://www.jotform.com/uploads/macarewecare/222927978372067/5836992871915160084/5836992871915160084_signature_28.png</t>
  </si>
  <si>
    <t>https://www.jotform.com/uploads/macarewecare/222927978372067/5836992871915160084/5836992871915160084_signature_31.png</t>
  </si>
  <si>
    <t>Unit is operational
C1: Passed
C2: Insufficient cartridge 
C3: Insufficient cartridge 
C4: Insufficient cartridge</t>
  </si>
  <si>
    <t>https://www.jotform.com/uploads/macarewecare/222927978372067/5836985801914258636/5836985801914258636_signature_28.png</t>
  </si>
  <si>
    <t>https://www.jotform.com/uploads/macarewecare/222927978372067/5836985801914258636/5836985801914258636_signature_31.png</t>
  </si>
  <si>
    <t>Bongabong Municipal Health Office</t>
  </si>
  <si>
    <t>Bongabong</t>
  </si>
  <si>
    <t>cortezmariel30@gmail.com</t>
  </si>
  <si>
    <t>Performed maintenance
Cleaned cartridge bay
Cleaned plunger rod
Cleaned icore
Cleaned filter
Run XpertCheck
Generated reports</t>
  </si>
  <si>
    <t>https://www.jotform.com/uploads/macarewecare/222927978372067/5836963356591949224/5836963356591949224_signature_28.png</t>
  </si>
  <si>
    <t>Mariel A. Cortez</t>
  </si>
  <si>
    <t>https://www.jotform.com/uploads/macarewecare/222927978372067/5836963356591949224/5836963356591949224_signature_31.png</t>
  </si>
  <si>
    <t xml:space="preserve">ASSAY: Xpert MTB/RIF Ultra, COUNT: 761
</t>
  </si>
  <si>
    <t>https://www.jotform.com/uploads/macarewecare/222927978372067/5836963356592852203/5836963356592852203_signature_28.png</t>
  </si>
  <si>
    <t>https://www.jotform.com/uploads/macarewecare/222927978372067/5836963356592852203/5836963356592852203_signature_31.png</t>
  </si>
  <si>
    <t>angelicaparba132@gmail.com</t>
  </si>
  <si>
    <t xml:space="preserve">ASSAY: Xpert SARS-CoV-2, COUNT: 2244
</t>
  </si>
  <si>
    <t>Module C2,C4,D1,And D2 problem due multiple Temperature errors
UPS problem - non functional power-packed up</t>
  </si>
  <si>
    <t>Perform Genexpert machine Cleaning 
Checking of errors
Data collection: Installation Qualification Report, System log, Assay statistics report and Archive test</t>
  </si>
  <si>
    <t>https://www.jotform.com/uploads/macarewecare/222927978372067/5836928505024663917/5836928505024663917_signature_28.png</t>
  </si>
  <si>
    <t>ANGELICA PARBA</t>
  </si>
  <si>
    <t>https://www.jotform.com/uploads/macarewecare/222927978372067/5836928505024663917/5836928505024663917_signature_31.png</t>
  </si>
  <si>
    <t xml:space="preserve">ASSAY: Xpert MTB/RIF Ultra, COUNT: 3085
</t>
  </si>
  <si>
    <t>FOR MODULE C1 REPLACEMENT</t>
  </si>
  <si>
    <t>-PERFORM PREVENTIVE MAINTENANCE
-PERFORM MODULE C1 REPLACEMENT:
DEF SN:861422
NEW SN:891040</t>
  </si>
  <si>
    <t>GENEXPERT PRE-OWNED GENEXPERT MODULE</t>
  </si>
  <si>
    <t>https://www.jotform.com/uploads/macarewecare/222927978372067/5836914060488824346/5836914060488824346_signature_28.png</t>
  </si>
  <si>
    <t>https://www.jotform.com/uploads/macarewecare/222927978372067/5836914060488824346/5836914060488824346_signature_31.png</t>
  </si>
  <si>
    <t>Oriental Mindoro Southern District Hospital</t>
  </si>
  <si>
    <t>Roxas, Oriental Mindoro</t>
  </si>
  <si>
    <t>markedisonmartinez@yahoo.com</t>
  </si>
  <si>
    <t xml:space="preserve">ASSAY: Xpert MTB/RIF Ultra, COUNT: 2508
</t>
  </si>
  <si>
    <t>Xpertcheck Kit.</t>
  </si>
  <si>
    <t>https://www.jotform.com/uploads/macarewecare/222927978372067/5836882257015847676/5836882257015847676_signature_28.png</t>
  </si>
  <si>
    <t>Mark Edison Martinez</t>
  </si>
  <si>
    <t>https://www.jotform.com/uploads/macarewecare/222927978372067/5836882257015847676/5836882257015847676_signature_31.png</t>
  </si>
  <si>
    <t>Poblacion, San Isidro, Nueva Ecija</t>
  </si>
  <si>
    <t>urian_marlyn@yahoo.com</t>
  </si>
  <si>
    <t>Performed Maintenance
Gathered Reports
Performed Calibration (All Modules Passed)
Performed Functionality Test</t>
  </si>
  <si>
    <t>Xpertcheck 4pc</t>
  </si>
  <si>
    <t>https://www.jotform.com/uploads/macarewecare/222927978372067/5836873086712768509/5836873086712768509_signature_28.png</t>
  </si>
  <si>
    <t>Marlyn Urian</t>
  </si>
  <si>
    <t>https://www.jotform.com/uploads/macarewecare/222927978372067/5836873086712768509/5836873086712768509_signature_31.png</t>
  </si>
  <si>
    <t>North Daang Hari Super Health</t>
  </si>
  <si>
    <t>14 road 1,North Daang Hari,Taguig City</t>
  </si>
  <si>
    <t>onlychumz@gmail.com</t>
  </si>
  <si>
    <t xml:space="preserve">ASSAY: Xpert MTB/RIF Ultra, COUNT: 3043
</t>
  </si>
  <si>
    <t>For packing to be transfer to another facility,and for xpertcheck</t>
  </si>
  <si>
    <t>Xpertcheck,Maintenance,</t>
  </si>
  <si>
    <t>A1,A2 newly replaced, A3 and A4 passed</t>
  </si>
  <si>
    <t>Packed unit ready for transfer</t>
  </si>
  <si>
    <t>Xpertcheck -ce-5</t>
  </si>
  <si>
    <t>https://www.jotform.com/uploads/macarewecare/222927978372067/5836869193612749018/5836869193612749018_signature_28.png</t>
  </si>
  <si>
    <t>Charmaine D. Trinidad RMT</t>
  </si>
  <si>
    <t>https://www.jotform.com/uploads/macarewecare/222927978372067/5836869193612749018/5836869193612749018_signature_31.png</t>
  </si>
  <si>
    <t>North Daang Hari Super Health Center</t>
  </si>
  <si>
    <t>14 road 1,North daang hari,Taguig</t>
  </si>
  <si>
    <t>GX4D 10c</t>
  </si>
  <si>
    <t>Performed installation 
Complete accesories
Test run unit</t>
  </si>
  <si>
    <t>https://www.jotform.com/uploads/macarewecare/222927978372067/5836868773612218367/5836868773612218367_signature_28.png</t>
  </si>
  <si>
    <t>https://www.jotform.com/uploads/macarewecare/222927978372067/5836868773612218367/5836868773612218367_signature_31.png</t>
  </si>
  <si>
    <t xml:space="preserve">ASSAY: Xpert BCR-ABL Ultra, COUNT: 161
ASSAY: Xpert CT/NG, COUNT: 682
ASSAY: Xpert HPV, COUNT: 776
ASSAY: Xpert MTB/RIF Ultra, COUNT: 2820
ASSAY: Others, COUNT: 14
ASSAY: Xpert HCV VL, COUNT: 70
ASSAY: Xpert HIV-1 Viral Load, COUNT: 1841
</t>
  </si>
  <si>
    <t>https://www.jotform.com/uploads/macarewecare/222927978372067/5836868423619570636/5836868423619570636_signature_28.png</t>
  </si>
  <si>
    <t>https://www.jotform.com/uploads/macarewecare/222927978372067/5836868423619570636/5836868423619570636_signature_31.png</t>
  </si>
  <si>
    <t>Bulalacao Municipal Health Office</t>
  </si>
  <si>
    <t>Bulalacao</t>
  </si>
  <si>
    <t>queence.macaraig@gmail.com</t>
  </si>
  <si>
    <t>GX-IV-D-6C (2 modules)</t>
  </si>
  <si>
    <t>https://www.jotform.com/uploads/macarewecare/222927978372067/5836865063243225837/5836865063243225837_signature_28.png</t>
  </si>
  <si>
    <t>Queencelyn festin</t>
  </si>
  <si>
    <t>https://www.jotform.com/uploads/macarewecare/222927978372067/5836865063243225837/5836865063243225837_signature_31.png</t>
  </si>
  <si>
    <t>Mamburao</t>
  </si>
  <si>
    <t>omphtbGxlab@gmail.com</t>
  </si>
  <si>
    <t xml:space="preserve">ASSAY: Xpert MTB/RIF Ultra, COUNT: 1522
ASSAY: Xpert SARS-CoV-2, COUNT: 37
ASSAY: Xpert HIV-1 Viral Load, COUNT: 6
</t>
  </si>
  <si>
    <t>Unit is operational. Mouse for replacement. Unresponsive right click. All modules passed. All modules operational.</t>
  </si>
  <si>
    <t>https://www.jotform.com/uploads/macarewecare/222927978372067/5836865063245044613/5836865063245044613_signature_28.png</t>
  </si>
  <si>
    <t>https://www.jotform.com/uploads/macarewecare/222927978372067/5836865063245044613/5836865063245044613_signature_31.png</t>
  </si>
  <si>
    <t>Bagacay, Tacloban City</t>
  </si>
  <si>
    <t xml:space="preserve">ASSAY: Xpert MTB/RIF Ultra, COUNT: 4014
ASSAY: Xpert HIV-1 Viral Load, COUNT: 202
</t>
  </si>
  <si>
    <t>- Module B1/662778 defective
- Due for Calibration</t>
  </si>
  <si>
    <t>- Install new module on B1 w/ SN: 717118
- Performed Functionality test
- Performed preventive maintenance (Cleaning surface ,Cartridge bay, plunger rod and Fan filter)
- Generate reports
- Performed Xpertcheck Calibration
- Pullout defective module SN/662778</t>
  </si>
  <si>
    <t>- Genexpert module 6 Color SN/717118
- xpertcheck kit</t>
  </si>
  <si>
    <t>https://www.jotform.com/uploads/macarewecare/222927978372067/5836864872367058800/5836864872367058800_signature_28.png</t>
  </si>
  <si>
    <t>MA.MERLINA A. VISTAL</t>
  </si>
  <si>
    <t>https://www.jotform.com/uploads/macarewecare/222927978372067/5836864872367058800/5836864872367058800_signature_31.png</t>
  </si>
  <si>
    <t xml:space="preserve">ASSAY: Xpert MTB/RIF Ultra, COUNT: 174
</t>
  </si>
  <si>
    <t>https://www.jotform.com/uploads/macarewecare/222927978372067/5836856303614060091/5836856303614060091_signature_28.png</t>
  </si>
  <si>
    <t>https://www.jotform.com/uploads/macarewecare/222927978372067/5836856303614060091/5836856303614060091_signature_31.png</t>
  </si>
  <si>
    <t>Module A1 (789085) for replacement</t>
  </si>
  <si>
    <t>Unit is operational
No hardware problems found on modules</t>
  </si>
  <si>
    <t>https://www.jotform.com/uploads/macarewecare/222927978372067/5836854043912990133/5836854043912990133_signature_28.png</t>
  </si>
  <si>
    <t>https://www.jotform.com/uploads/macarewecare/222927978372067/5836854043912990133/5836854043912990133_signature_31.png</t>
  </si>
  <si>
    <t>Lagonoy Rural Health Unit</t>
  </si>
  <si>
    <t>San Rafael, Lagonoy</t>
  </si>
  <si>
    <t>RTDL &amp; TML Laboratory</t>
  </si>
  <si>
    <t>barbacenaml28@gmail.com</t>
  </si>
  <si>
    <t xml:space="preserve">ASSAY: Xpert MTB/RIF Ultra, COUNT: 1563
</t>
  </si>
  <si>
    <t>GeneXpert for Calibration</t>
  </si>
  <si>
    <t>XpertCheck Result:
   B1/905884 - Passed
   B2/906159 - Passed
   B3/906400 - Passed
   B4/906502 - Passed
Cleaned module bays, plunger rod, icore
Generate reports</t>
  </si>
  <si>
    <t>https://www.jotform.com/uploads/macarewecare/222927978372067/5836830853114093285/5836830853114093285_signature_28.png</t>
  </si>
  <si>
    <t>Marietta L. Barbacena</t>
  </si>
  <si>
    <t>https://www.jotform.com/uploads/macarewecare/222927978372067/5836830853114093285/5836830853114093285_signature_31.png</t>
  </si>
  <si>
    <t>Error 1002 - temperature related error in Module 1 SN:  862340</t>
  </si>
  <si>
    <t>Conduct calibration   Module 1 SN:  862340
Relocate genexpert 
Generate data IQR, System Log, Gxx files, Assay Statistics</t>
  </si>
  <si>
    <t>Calibration in 862340 Module 1,
Relocate genexpert machine for temperature stabilization,</t>
  </si>
  <si>
    <t>Module 1  Module 1 SN:  862340 - Pass during calibration
All modules are operational</t>
  </si>
  <si>
    <t>https://www.jotform.com/uploads/macarewecare/222927978372067/5836791730199227886/5836791730199227886_signature_28.png</t>
  </si>
  <si>
    <t>Brenda Paredes , RMT</t>
  </si>
  <si>
    <t>https://www.jotform.com/uploads/macarewecare/222927978372067/5836791730199227886/5836791730199227886_signature_31.png</t>
  </si>
  <si>
    <t>https://www.jotform.com/uploads/macarewecare/222927978372067/5836791640193392253/5836791640193392253_signature_28.png</t>
  </si>
  <si>
    <t>https://www.jotform.com/uploads/macarewecare/222927978372067/5836791640193392253/5836791640193392253_signature_31.png</t>
  </si>
  <si>
    <t>For Pull-Out</t>
  </si>
  <si>
    <t>ronnel_mabasa@yahoo.com</t>
  </si>
  <si>
    <t xml:space="preserve">ASSAY: Xpert HIV-1 Viral Load, COUNT: 164
</t>
  </si>
  <si>
    <t>FOR PULL OUT(TRANSFER GX EQUIPMENT) TO ANOTHER FACILITY</t>
  </si>
  <si>
    <t>https://www.jotform.com/uploads/macarewecare/222927978372067/5836336326315557073/5836336326315557073_signature_28.png</t>
  </si>
  <si>
    <t>Ronnel Mabasa</t>
  </si>
  <si>
    <t>https://www.jotform.com/uploads/macarewecare/222927978372067/5836336326315557073/5836336326315557073_signature_31.png</t>
  </si>
  <si>
    <t xml:space="preserve">ASSAY: Xpert HPV, COUNT: 578
ASSAY: Xpert MTB/RIF Ultra, COUNT: 7842
ASSAY: Xpert SARS-CoV-2, COUNT: 9648
ASSAY: Xpert HIV-1 Viral Load, COUNT: 332
</t>
  </si>
  <si>
    <t>FOR MODULE A1 REPLACEMENT</t>
  </si>
  <si>
    <t>-PERFORM PREVENTIVE MAINTENANCE
-PERFORM MODULE A1 REPLACEMENT:
DEF SN: 210067859
NEW SN:672777</t>
  </si>
  <si>
    <t>https://www.jotform.com/uploads/macarewecare/222927978372067/5836322965111064737/5836322965111064737_signature_28.png</t>
  </si>
  <si>
    <t>Rione Frances Lomongo, RMT</t>
  </si>
  <si>
    <t>https://www.jotform.com/uploads/macarewecare/222927978372067/5836322965111064737/5836322965111064737_signature_31.png</t>
  </si>
  <si>
    <t>NORHTERN MINDANAO MEDICAL CENTER</t>
  </si>
  <si>
    <t>https://www.jotform.com/uploads/macarewecare/222927978372067/5836328396315563585/5836328396315563585_signature_28.png</t>
  </si>
  <si>
    <t>https://www.jotform.com/uploads/macarewecare/222927978372067/5836328396315563585/5836328396315563585_signature_31.png</t>
  </si>
  <si>
    <t>Northern Mindanao Medical Center</t>
  </si>
  <si>
    <t>Cagayan de Oro Ciry</t>
  </si>
  <si>
    <t>nmmcgenexpress@gmail.com</t>
  </si>
  <si>
    <t>B4 Found Temperature Errors</t>
  </si>
  <si>
    <t>Replacing Module B4 with SN: 671936 to SN: 627039</t>
  </si>
  <si>
    <t>https://www.jotform.com/uploads/macarewecare/222927978372067/5836315995468114355/5836315995468114355_signature_28.png</t>
  </si>
  <si>
    <t>https://www.jotform.com/uploads/macarewecare/222927978372067/5836315995468114355/5836315995468114355_signature_31.png</t>
  </si>
  <si>
    <t>Presentacion Rural Health</t>
  </si>
  <si>
    <t>Brgy. Pili, Presentacion</t>
  </si>
  <si>
    <t>tabo.juliet@yahoo.com</t>
  </si>
  <si>
    <t>Module B2/699326 for module replacement</t>
  </si>
  <si>
    <t>Replaced Module: B2 - 699326&gt;&gt;889837
Cleaned module bays, plunger rod, icore, fan
Generate Report</t>
  </si>
  <si>
    <t>Replaced Module B2
Performed Preventive Maintenance</t>
  </si>
  <si>
    <t>https://www.jotform.com/uploads/macarewecare/222927978372067/5836229795222152535/5836229795222152535_signature_28.png</t>
  </si>
  <si>
    <t>Julieta G Tabo</t>
  </si>
  <si>
    <t>https://www.jotform.com/uploads/macarewecare/222927978372067/5836229795222152535/5836229795222152535_signature_31.png</t>
  </si>
  <si>
    <t>San Jose Public Health and Diagnostic Center</t>
  </si>
  <si>
    <t>San Jose, Occidental Mindoro</t>
  </si>
  <si>
    <t>mhosanjose2018@gmail.com</t>
  </si>
  <si>
    <t>Unit is operational. Module B4 (807346), service required.</t>
  </si>
  <si>
    <t>https://www.jotform.com/uploads/macarewecare/222927978372067/5836186894616920645/5836186894616920645_signature_28.png</t>
  </si>
  <si>
    <t>Reina M. Marasigan</t>
  </si>
  <si>
    <t>https://www.jotform.com/uploads/macarewecare/222927978372067/5836186894616920645/5836186894616920645_signature_31.png</t>
  </si>
  <si>
    <t>Zaragoza Rural Health Unit I</t>
  </si>
  <si>
    <t>Del Pilar, Zaragoza, Nueva Ecija</t>
  </si>
  <si>
    <t>palapalzarah2425@gmail.com</t>
  </si>
  <si>
    <t xml:space="preserve">ASSAY: Xpert MTB/RIF Ultra, COUNT: 669
</t>
  </si>
  <si>
    <t>Genexpert for Calibration</t>
  </si>
  <si>
    <t>Performed Maintenance
Gathered Reports
Archive Tests
Performed Functionality Test</t>
  </si>
  <si>
    <t>https://www.jotform.com/uploads/macarewecare/222927978372067/5836158820275321364/5836158820275321364_signature_28.png</t>
  </si>
  <si>
    <t>Zarah A. Palapal</t>
  </si>
  <si>
    <t>https://www.jotform.com/uploads/macarewecare/222927978372067/5836158820275321364/5836158820275321364_signature_31.png</t>
  </si>
  <si>
    <t>Ipil,Zamboanga sibugay</t>
  </si>
  <si>
    <t>CALIBRATION
MAINTENANCE
Module Replacement</t>
  </si>
  <si>
    <t xml:space="preserve">ASSAY: Xpert MTB/RIF Ultra, COUNT: 1731
ASSAY: Xpert HIV-1 Viral Load, COUNT: 21
</t>
  </si>
  <si>
    <t>Module 2 hardware failed</t>
  </si>
  <si>
    <t>Replaced module 688497 with Module 640264. Module 1 passed Module 3 service required Module 4 retry.</t>
  </si>
  <si>
    <t>Module Replacement, Preventive Maintenance and xpertcheck calibration</t>
  </si>
  <si>
    <t>All 4 module are available</t>
  </si>
  <si>
    <t>Module 3 failed during xpertcheck</t>
  </si>
  <si>
    <t>https://www.jotform.com/uploads/macarewecare/222927978372067/5836150411177582609/5836150411177582609_signature_28.png</t>
  </si>
  <si>
    <t>RHEAMAY SOLANA</t>
  </si>
  <si>
    <t>https://www.jotform.com/uploads/macarewecare/222927978372067/5836150411177582609/5836150411177582609_signature_31.png</t>
  </si>
  <si>
    <t>AVR not functioning</t>
  </si>
  <si>
    <t>Replaced the fuse of the AVR
Visually check the avr the are burn marks and damaged components</t>
  </si>
  <si>
    <t>Troubleshoot the AVR</t>
  </si>
  <si>
    <t>Still no power on the AVR, upon visual inspection. There are black/burned spots on wirings</t>
  </si>
  <si>
    <t>Pictures will be documented and sent for reporting</t>
  </si>
  <si>
    <t>https://www.jotform.com/uploads/macarewecare/222927978372067/5836119264427893930/5836119264427893930_signature_28.png</t>
  </si>
  <si>
    <t>Arleen Alconera RMT</t>
  </si>
  <si>
    <t>https://www.jotform.com/uploads/macarewecare/222927978372067/5836119264427893930/5836119264427893930_signature_31.png</t>
  </si>
  <si>
    <t>PC not booting up</t>
  </si>
  <si>
    <t>Checked CPU
Checked and cleaned RAM, ok
Checked Bios battery, ok
Checked power and data cables, ok
Problem persists
Network switched 2 GX machine in 1 CPU temporarily</t>
  </si>
  <si>
    <t>CPU for reporting</t>
  </si>
  <si>
    <t>https://www.jotform.com/uploads/macarewecare/222927978372067/5836117983618645859/5836117983618645859_signature_28.png</t>
  </si>
  <si>
    <t>https://www.jotform.com/uploads/macarewecare/222927978372067/5836117983618645859/5836117983618645859_signature_31.png</t>
  </si>
  <si>
    <t>San Sebastian District Hospital</t>
  </si>
  <si>
    <t>Sablayan, Occidental Mindoro</t>
  </si>
  <si>
    <t>Labotatory</t>
  </si>
  <si>
    <t>merj3101996@gmail.com</t>
  </si>
  <si>
    <t xml:space="preserve">ASSAY: Xpert MTB/RIF Ultra, COUNT: 2494
</t>
  </si>
  <si>
    <t>Unit for PM.
Unit for Xpertcheck.
For module replacement of module B3.</t>
  </si>
  <si>
    <t>GX module B3 (210015095) in replacement to defective B3 (210091102).
Xpertcheck kit.</t>
  </si>
  <si>
    <t>Monarch DR 0046883 &amp; 0046784.</t>
  </si>
  <si>
    <t>https://www.jotform.com/uploads/macarewecare/222927978372067/5836048783319678947/5836048783319678947_signature_28.png</t>
  </si>
  <si>
    <t>Merjorie Ann R. Salazar</t>
  </si>
  <si>
    <t>https://www.jotform.com/uploads/macarewecare/222927978372067/5836048783319678947/5836048783319678947_signature_31.png</t>
  </si>
  <si>
    <t xml:space="preserve">ASSAY: Xpert MTB/RIF Ultra, COUNT: 1680
</t>
  </si>
  <si>
    <t>Module B1 and B2 defective.</t>
  </si>
  <si>
    <t>-Replace defective module B1/640300 with module SN: 210004146
-Replace defective module B2/757944 with module SN: 860932</t>
  </si>
  <si>
    <t>2 GeneXpert module 6-colors 900-0491RS</t>
  </si>
  <si>
    <t>https://www.jotform.com/uploads/macarewecare/222927978372067/5836036900324491200/5836036900324491200_signature_28.png</t>
  </si>
  <si>
    <t>Cherry M Oja</t>
  </si>
  <si>
    <t>https://www.jotform.com/uploads/macarewecare/222927978372067/5836036900324491200/5836036900324491200_signature_31.png</t>
  </si>
  <si>
    <t xml:space="preserve">ASSAY: Xpert CT/NG, COUNT: 103
ASSAY: Xpert HBV VL, COUNT: 79
ASSAY: Xpert MTB/RIF Ultra, COUNT: 1237
ASSAY: Xpert HCV VL, COUNT: 6
ASSAY: Xpert HIV-1 Viral Load, COUNT: 93
</t>
  </si>
  <si>
    <t>Printer not working</t>
  </si>
  <si>
    <t>Troubleshoot printer
Replaced printer 
HP Deskjet 2335 -&gt; Canon LBP2900</t>
  </si>
  <si>
    <t>Checked Printer
Data and power cables working
Resume Light, power light, and alert lights blinking
Restart the printer; problem persists
Reset the printer; problem persists
Printer beyond repair</t>
  </si>
  <si>
    <t>Unit is operational.
Printer replaced</t>
  </si>
  <si>
    <t>https://www.jotform.com/uploads/macarewecare/222927978372067/5836029934317690422/5836029934317690422_signature_28.png</t>
  </si>
  <si>
    <t>https://www.jotform.com/uploads/macarewecare/222927978372067/5836029934317690422/5836029934317690422_signature_31.png</t>
  </si>
  <si>
    <t>Toledo city</t>
  </si>
  <si>
    <t>Perform Xpertcheck</t>
  </si>
  <si>
    <t>Module B2 H/W  Serial Number 7915 Module B1, 3,4 ok to use.</t>
  </si>
  <si>
    <t>https://www.jotform.com/uploads/macarewecare/222927978372067/5836000575711534399/5836000575711534399_signature_28.png</t>
  </si>
  <si>
    <t>LORIE MAE DIAPEN</t>
  </si>
  <si>
    <t>https://www.jotform.com/uploads/macarewecare/222927978372067/5836000575711534399/5836000575711534399_signature_31.png</t>
  </si>
  <si>
    <t>Module B2/210100869 Defective</t>
  </si>
  <si>
    <t>- Installed new module on B2 w/ SN 713811
- Performed Functionality test
- Performed preventive maintenance ( Cleaning plunger rod, Cartridge bay, Fan Filter)
- Generate reports 
- pullout defective module SN/210100869</t>
  </si>
  <si>
    <t>1 Genexpert module 6 Color SN/713811</t>
  </si>
  <si>
    <t>https://www.jotform.com/uploads/macarewecare/222927978372067/5835999102513349631/5835999102513349631_signature_28.png</t>
  </si>
  <si>
    <t>Luningning Abuda</t>
  </si>
  <si>
    <t>https://www.jotform.com/uploads/macarewecare/222927978372067/5835999102513349631/5835999102513349631_signature_31.png</t>
  </si>
  <si>
    <t>Lingap Kalusugan CHU I - Alima</t>
  </si>
  <si>
    <t>Gen. Evangelista St., Alima, Bacoor, Cavitre</t>
  </si>
  <si>
    <t>eng112803@gmail.com</t>
  </si>
  <si>
    <t xml:space="preserve">ASSAY: Xpert MTB/RIF Ultra, COUNT: 1732
</t>
  </si>
  <si>
    <t>Module 3 with Temperature Errors
Unit is due for XpertCheck</t>
  </si>
  <si>
    <t>Module Replacement
XpertCheck</t>
  </si>
  <si>
    <t>Cleaned Cartridge Bay
Cleaned Plunger Rod
Checked Filter
Cleaned Icore Optics
Replaced Module 3
Performed Self-test
Generate Reports</t>
  </si>
  <si>
    <t>All Modules are Operational
1 Module Passed, 3 Modules Newly Replaced</t>
  </si>
  <si>
    <t>B3: 807167 -&gt; 877178</t>
  </si>
  <si>
    <t>GeneXpert Module 6-Colors</t>
  </si>
  <si>
    <t>G 6791</t>
  </si>
  <si>
    <t>https://www.jotform.com/uploads/macarewecare/222927978372067/5835988143612680863/5835988143612680863_signature_28.png</t>
  </si>
  <si>
    <t>Aide E. Santos</t>
  </si>
  <si>
    <t>https://www.jotform.com/uploads/macarewecare/222927978372067/5835988143612680863/5835988143612680863_signature_31.png</t>
  </si>
  <si>
    <t>https://www.jotform.com/uploads/macarewecare/222927978372067/5835987453616188981/5835987453616188981_signature_28.png</t>
  </si>
  <si>
    <t>https://www.jotform.com/uploads/macarewecare/222927978372067/5835987453616188981/5835987453616188981_signature_31.png</t>
  </si>
  <si>
    <t>-PERFORM PREVENTIVE MAINTENANCE
-PERFORM MODULE C4 REPLACEMENT:
DEF SN: 771991
NEW SN:210030509</t>
  </si>
  <si>
    <t>https://www.jotform.com/uploads/macarewecare/222927978372067/5835398604426182063/5835398604426182063_signature_28.png</t>
  </si>
  <si>
    <t>https://www.jotform.com/uploads/macarewecare/222927978372067/5835398604426182063/5835398604426182063_signature_31.png</t>
  </si>
  <si>
    <t>Dr. Evangelista Street, Snta Catalina, Zamboanga City</t>
  </si>
  <si>
    <t>zcmctblab@gmail.com</t>
  </si>
  <si>
    <t xml:space="preserve">ASSAY: Xpert CT/NG, COUNT: 2
ASSAY: Xpert HBV VL, COUNT: 4
ASSAY: Xpert HPV, COUNT: 884
ASSAY: Xpert MTB/RIF Ultra, COUNT: 5547
ASSAY: Xpert SARS-CoV-2, COUNT: 9184
ASSAY: Xpert HCV VL, COUNT: 1
</t>
  </si>
  <si>
    <t>GX 16</t>
  </si>
  <si>
    <t>Module B2, B2 and D3 temperature error</t>
  </si>
  <si>
    <t>Replaced Modules 210068680 , 210068674 and 657350 with modules 877546, 878234 and 880307 respectively. Preventive Maintenance</t>
  </si>
  <si>
    <t>https://www.jotform.com/uploads/macarewecare/222927978372067/5835364799518451367/5835364799518451367_signature_28.png</t>
  </si>
  <si>
    <t>Aira Faith Runas</t>
  </si>
  <si>
    <t>https://www.jotform.com/uploads/macarewecare/222927978372067/5835364799518451367/5835364799518451367_signature_31.png</t>
  </si>
  <si>
    <t>Burgos St., Bacolod City</t>
  </si>
  <si>
    <t xml:space="preserve">ASSAY: Xpert MTB/RIF Ultra, COUNT: 6671
</t>
  </si>
  <si>
    <t>Module E1 with SN 210068557 and E2 with SN 702067 failed in XPC and need service.</t>
  </si>
  <si>
    <t>Saved GXX Files, IQR, System Log and Assay Stats. Conduct also PM.</t>
  </si>
  <si>
    <t>Performed Xpert check calibration for 3 modules module E1, E2 &amp; E4 only.</t>
  </si>
  <si>
    <t>Modules E3 and E4 passed the calibration.</t>
  </si>
  <si>
    <t>https://www.jotform.com/uploads/macarewecare/222927978372067/5835348863262269819/5835348863262269819_signature_28.png</t>
  </si>
  <si>
    <t>https://www.jotform.com/uploads/macarewecare/222927978372067/5835348863262269819/5835348863262269819_signature_31.png</t>
  </si>
  <si>
    <t>Module D4 failed in XPC and need service.</t>
  </si>
  <si>
    <t>Save GXX File, IQR, System Log and Assay Stats. Conduct also PM.</t>
  </si>
  <si>
    <t>Run xpert check calibration for 3 modules. Module D1, D2 and D4.</t>
  </si>
  <si>
    <t>Module D1 &amp; D2 passed in XPC while module D3 is already calibrated and new installed.</t>
  </si>
  <si>
    <t>https://www.jotform.com/uploads/macarewecare/222927978372067/5835343323265477414/5835343323265477414_signature_28.png</t>
  </si>
  <si>
    <t>https://www.jotform.com/uploads/macarewecare/222927978372067/5835343323265477414/5835343323265477414_signature_31.png</t>
  </si>
  <si>
    <t xml:space="preserve">ASSAY: Xpert MTB/RIF Ultra, COUNT: 3141
ASSAY: Xpert HIV-1 Viral Load, COUNT: 2
ASSAY: Xpert HIV-1 Viral Load, COUNT: 4
ASSAY: Xpert MTB/RIF Ultra, COUNT: 3141
</t>
  </si>
  <si>
    <t>-Replace defective module B1/644830 with module SN: 674245</t>
  </si>
  <si>
    <t>Waiting for filter allocation.</t>
  </si>
  <si>
    <t>https://www.jotform.com/uploads/macarewecare/222927978372067/5835259617429234255/5835259617429234255_signature_28.png</t>
  </si>
  <si>
    <t>https://www.jotform.com/uploads/macarewecare/222927978372067/5835259617429234255/5835259617429234255_signature_31.png</t>
  </si>
  <si>
    <t>https://www.jotform.com/uploads/macarewecare/222927978372067/5835259407422203413/5835259407422203413_signature_28.png</t>
  </si>
  <si>
    <t>https://www.jotform.com/uploads/macarewecare/222927978372067/5835259407422203413/5835259407422203413_signature_31.png</t>
  </si>
  <si>
    <t xml:space="preserve">ASSAY: Xpert HBV VL, COUNT: 50
ASSAY: Xpert MTB/RIF Ultra, COUNT: 1252
ASSAY: Xpert HIV-1 Viral Load, COUNT: 134
</t>
  </si>
  <si>
    <t>Module D3 for replacement</t>
  </si>
  <si>
    <t>Replaced D3</t>
  </si>
  <si>
    <t>GeneXpert Module
SN: 705580</t>
  </si>
  <si>
    <t>https://www.jotform.com/uploads/macarewecare/222927978372067/5835135723614215049/5835135723614215049_signature_28.png</t>
  </si>
  <si>
    <t>Ma. Janeal Mizal</t>
  </si>
  <si>
    <t>https://www.jotform.com/uploads/macarewecare/222927978372067/5835135723614215049/5835135723614215049_signature_31.png</t>
  </si>
  <si>
    <t xml:space="preserve">MAINTENANCE
TROUBLESHOOTING
</t>
  </si>
  <si>
    <t xml:space="preserve">ASSAY: Xpert MTB/RIF Ultra, COUNT: 1293
ASSAY: Xpert HIV-1 Viral Load, COUNT: 221
</t>
  </si>
  <si>
    <t>Module A3 and A4 has temperature related errors</t>
  </si>
  <si>
    <t>Performed maintenance 
Checked module A3 and A4
Generated reports</t>
  </si>
  <si>
    <t>Modules A3 and A4 not operational. For reporting.</t>
  </si>
  <si>
    <t>https://www.jotform.com/uploads/macarewecare/222927978372067/5835086623614797276/5835086623614797276_signature_28.png</t>
  </si>
  <si>
    <t>https://www.jotform.com/uploads/macarewecare/222927978372067/5835086623614797276/5835086623614797276_signature_31.png</t>
  </si>
  <si>
    <t xml:space="preserve">MAINTENANCE
</t>
  </si>
  <si>
    <t>Performed maintenance 
Cleaned cartridge bay, plunger rod, icore and filter 
Generated reports</t>
  </si>
  <si>
    <t>https://www.jotform.com/uploads/macarewecare/222927978372067/5835086113619877150/5835086113619877150_signature_28.png</t>
  </si>
  <si>
    <t>https://www.jotform.com/uploads/macarewecare/222927978372067/5835086113619877150/5835086113619877150_signature_31.png</t>
  </si>
  <si>
    <t>Rodriguez Ave, Bangkal</t>
  </si>
  <si>
    <t xml:space="preserve">ASSAY: Xpert MTB/RIF Ultra, COUNT: 3349
</t>
  </si>
  <si>
    <t>Performed maintenance
Cleaned cartridge bay
Cleaned plunger rod
Cleaned instrument surface
Cleaned icore
Cleaned fan filter
Replaced module B2
Generated reports</t>
  </si>
  <si>
    <t>Old: B2/863410
New: B2/916341</t>
  </si>
  <si>
    <t>G 6776</t>
  </si>
  <si>
    <t>https://www.jotform.com/uploads/macarewecare/222927978372067/5835085783618512898/5835085783618512898_signature_28.png</t>
  </si>
  <si>
    <t>Eduardo O. Sepe V</t>
  </si>
  <si>
    <t>https://www.jotform.com/uploads/macarewecare/222927978372067/5835085783618512898/5835085783618512898_signature_31.png</t>
  </si>
  <si>
    <t>Aguilar Rural Health Unit</t>
  </si>
  <si>
    <t>Aguilar, Pangasinan</t>
  </si>
  <si>
    <t>riverabrendalyn@gmail.com</t>
  </si>
  <si>
    <t>https://www.jotform.com/uploads/macarewecare/222927978372067/5835085103611152418/5835085103611152418_signature_28.png</t>
  </si>
  <si>
    <t>Brendalyn Rivera</t>
  </si>
  <si>
    <t>https://www.jotform.com/uploads/macarewecare/222927978372067/5835085103611152418/5835085103611152418_signature_31.png</t>
  </si>
  <si>
    <t>Pila Rural Health</t>
  </si>
  <si>
    <t>Rizal St., Pila</t>
  </si>
  <si>
    <t>For XpertCheck, module B1 and B2 has error 1001</t>
  </si>
  <si>
    <t>Unit is operational. Modules B1 and B3 failed in XpertCheck. CPU for bios battery replacement.</t>
  </si>
  <si>
    <t>https://www.jotform.com/uploads/macarewecare/222927978372067/5835084773614469353/5835084773614469353_signature_28.png</t>
  </si>
  <si>
    <t>https://www.jotform.com/uploads/macarewecare/222927978372067/5835084773614469353/5835084773614469353_signature_31.png</t>
  </si>
  <si>
    <t>Sta. Maria</t>
  </si>
  <si>
    <t>https://www.jotform.com/uploads/macarewecare/222927978372067/5835084003617164843/5835084003617164843_signature_28.png</t>
  </si>
  <si>
    <t>Maida Dorado</t>
  </si>
  <si>
    <t>https://www.jotform.com/uploads/macarewecare/222927978372067/5835084003617164843/5835084003617164843_signature_31.png</t>
  </si>
  <si>
    <t xml:space="preserve">ASSAY: Xpert MTB/RIF Ultra, COUNT: 1374
</t>
  </si>
  <si>
    <t>Modules B2, B3 and B4 has error 2008</t>
  </si>
  <si>
    <t>Run reliability test on module B2 B3 and B4</t>
  </si>
  <si>
    <t>Performed maintenance
Cleaned cartridge bay
Cleaned plunger rod
Cleaned instrument surface
Cleaned icore
Cleaned fan filter
Run reliability test on modules B2 B3 and B4
Generated reports</t>
  </si>
  <si>
    <t>Module B1 not operational.  Modules B2 B3 and B4 under observation.</t>
  </si>
  <si>
    <t>https://www.jotform.com/uploads/macarewecare/222927978372067/5835082453614149112/5835082453614149112_signature_28.png</t>
  </si>
  <si>
    <t>Ma.Noreen L DeLeon</t>
  </si>
  <si>
    <t>https://www.jotform.com/uploads/macarewecare/222927978372067/5835082453614149112/5835082453614149112_signature_31.png</t>
  </si>
  <si>
    <t xml:space="preserve">ASSAY: Xpert CT/NG, COUNT: 2
ASSAY: Xpert HBV VL, COUNT: 3
ASSAY: Xpert MTB/RIF Ultra, COUNT: 178
ASSAY: Xpert HIV-1 Viral Load, COUNT: 12
</t>
  </si>
  <si>
    <t>Performed maintenance 
Cleaned cartridge bay, plunger rod, icore and filter 
Run XpertCheck
Generated reports</t>
  </si>
  <si>
    <t>DR# 11160</t>
  </si>
  <si>
    <t>https://www.jotform.com/uploads/macarewecare/222927978372067/5835081723615928639/5835081723615928639_signature_28.png</t>
  </si>
  <si>
    <t>https://www.jotform.com/uploads/macarewecare/222927978372067/5835081723615928639/5835081723615928639_signature_31.png</t>
  </si>
  <si>
    <t>https://www.jotform.com/uploads/macarewecare/222927978372067/5835080923619761214/5835080923619761214_signature_28.png</t>
  </si>
  <si>
    <t>https://www.jotform.com/uploads/macarewecare/222927978372067/5835080923619761214/5835080923619761214_signature_31.png</t>
  </si>
  <si>
    <t xml:space="preserve">ASSAY: Xpert MTB/RIF, COUNT: 1293
</t>
  </si>
  <si>
    <t>Module B2 has error 1001</t>
  </si>
  <si>
    <t>Performed maintenance 
Checked module B2
Generated reports</t>
  </si>
  <si>
    <t>Module B2 not operational. For reporting.</t>
  </si>
  <si>
    <t>https://www.jotform.com/uploads/macarewecare/222927978372067/5835080123614214215/5835080123614214215_signature_28.png</t>
  </si>
  <si>
    <t>https://www.jotform.com/uploads/macarewecare/222927978372067/5835080123614214215/5835080123614214215_signature_31.png</t>
  </si>
  <si>
    <t>https://www.jotform.com/uploads/macarewecare/222927978372067/5835080123614257750/5835080123614257750_signature_28.png</t>
  </si>
  <si>
    <t>https://www.jotform.com/uploads/macarewecare/222927978372067/5835080123614257750/5835080123614257750_signature_31.png</t>
  </si>
  <si>
    <t>Rodriguez RHU 3</t>
  </si>
  <si>
    <t>San isdro,Rodriguez</t>
  </si>
  <si>
    <t>medinawenona@gmail.com</t>
  </si>
  <si>
    <t>Due for xpertcheck and maintenance, filter worn out</t>
  </si>
  <si>
    <t>Cleaned unit
Cleaned plunger rod,filter,icore,cartridge bay
Gathered reports
Performed xpertcheck
Test run unit</t>
  </si>
  <si>
    <t>Xpertcheck-ce-5</t>
  </si>
  <si>
    <t>https://www.jotform.com/uploads/macarewecare/222927978372067/5835079733617492115/5835079733617492115_signature_28.png</t>
  </si>
  <si>
    <t>Wenona Beers</t>
  </si>
  <si>
    <t>https://www.jotform.com/uploads/macarewecare/222927978372067/5835079733617492115/5835079733617492115_signature_31.png</t>
  </si>
  <si>
    <t>https://www.jotform.com/uploads/macarewecare/222927978372067/5835079533611985005/5835079533611985005_signature_28.png</t>
  </si>
  <si>
    <t>https://www.jotform.com/uploads/macarewecare/222927978372067/5835079533611985005/5835079533611985005_signature_31.png</t>
  </si>
  <si>
    <t>Performed maintenance
Cleaned cartridge bay, plunger rod, icore and filter 
Generated reports</t>
  </si>
  <si>
    <t>https://www.jotform.com/uploads/macarewecare/222927978372067/5835079063614246710/5835079063614246710_signature_28.png</t>
  </si>
  <si>
    <t>https://www.jotform.com/uploads/macarewecare/222927978372067/5835079063614246710/5835079063614246710_signature_31.png</t>
  </si>
  <si>
    <t>https://www.jotform.com/uploads/macarewecare/222927978372067/5835075943612683626/5835075943612683626_signature_28.png</t>
  </si>
  <si>
    <t>https://www.jotform.com/uploads/macarewecare/222927978372067/5835075943612683626/5835075943612683626_signature_31.png</t>
  </si>
  <si>
    <t>MR Flores Health Center</t>
  </si>
  <si>
    <t>321 P. Herrera St.</t>
  </si>
  <si>
    <t>NCR 4th - Pateros</t>
  </si>
  <si>
    <t>paterosclinicallaboratory@gmail.com</t>
  </si>
  <si>
    <t>Performed maintenance
Cleaned cartridge bay
Cleaned plunger rod
Cleaned instrument surface
Cleaned icore
Cleaned fan filter
Run XpertCheck</t>
  </si>
  <si>
    <t>All modules operational. Modules D1 and D4 passed. Module D2 and D3 newly replaced.</t>
  </si>
  <si>
    <t>https://www.jotform.com/uploads/macarewecare/222927978372067/5835075373613380604/5835075373613380604_signature_28.png</t>
  </si>
  <si>
    <t>Jose Mari Zoilo B. De Borja</t>
  </si>
  <si>
    <t>https://www.jotform.com/uploads/macarewecare/222927978372067/5835075373613380604/5835075373613380604_signature_31.png</t>
  </si>
  <si>
    <t>https://www.jotform.com/uploads/macarewecare/222927978372067/5835073633619180061/5835073633619180061_signature_28.png</t>
  </si>
  <si>
    <t>https://www.jotform.com/uploads/macarewecare/222927978372067/5835073633619180061/5835073633619180061_signature_31.png</t>
  </si>
  <si>
    <t>https://www.jotform.com/uploads/macarewecare/222927978372067/5835072933613516807/5835072933613516807_signature_28.png</t>
  </si>
  <si>
    <t>https://www.jotform.com/uploads/macarewecare/222927978372067/5835072933613516807/5835072933613516807_signature_31.png</t>
  </si>
  <si>
    <t>Siniloan Rural Health Unit</t>
  </si>
  <si>
    <t>Siniloan</t>
  </si>
  <si>
    <t>siniloanruralhealthunit@gmail.com</t>
  </si>
  <si>
    <t>All modules operational. Module B3 newly replaced. All modules passed.</t>
  </si>
  <si>
    <t>https://www.jotform.com/uploads/macarewecare/222927978372067/5835072413619129119/5835072413619129119_signature_28.png</t>
  </si>
  <si>
    <t>Ethel May Merana</t>
  </si>
  <si>
    <t>https://www.jotform.com/uploads/macarewecare/222927978372067/5835072413619129119/5835072413619129119_signature_31.png</t>
  </si>
  <si>
    <t>https://www.jotform.com/uploads/macarewecare/222927978372067/5835070953612693737/5835070953612693737_signature_28.png</t>
  </si>
  <si>
    <t>https://www.jotform.com/uploads/macarewecare/222927978372067/5835070953612693737/5835070953612693737_signature_31.png</t>
  </si>
  <si>
    <t>Pagsanjan</t>
  </si>
  <si>
    <t xml:space="preserve">ASSAY: Xpert MTB/RIF Ultra, COUNT: 423
ASSAY: Xpert HIV-1 Viral Load, COUNT: 141
</t>
  </si>
  <si>
    <t>https://www.jotform.com/uploads/macarewecare/222927978372067/5835044963614977759/5835044963614977759_signature_28.png</t>
  </si>
  <si>
    <t>https://www.jotform.com/uploads/macarewecare/222927978372067/5835044963614977759/5835044963614977759_signature_31.png</t>
  </si>
  <si>
    <t>CPU has no power.</t>
  </si>
  <si>
    <t>Checked CPU
Checked UPS
Checked connections
Reseat internal connections 
Checked voltage of UPS
Swap power cable</t>
  </si>
  <si>
    <t>Unit is not operational. Possible defective power supply of CPU. For reporting.</t>
  </si>
  <si>
    <t>https://www.jotform.com/uploads/macarewecare/222927978372067/5835043583614446360/5835043583614446360_signature_28.png</t>
  </si>
  <si>
    <t>https://www.jotform.com/uploads/macarewecare/222927978372067/5835043583614446360/5835043583614446360_signature_31.png</t>
  </si>
  <si>
    <t>https://www.jotform.com/uploads/macarewecare/222927978372067/5835041633612999527/5835041633612999527_signature_28.png</t>
  </si>
  <si>
    <t>https://www.jotform.com/uploads/macarewecare/222927978372067/5835041633612999527/5835041633612999527_signature_31.png</t>
  </si>
  <si>
    <t>https://www.jotform.com/uploads/macarewecare/222927978372067/5835041633619553867/5835041633619553867_signature_28.png</t>
  </si>
  <si>
    <t>https://www.jotform.com/uploads/macarewecare/222927978372067/5835041633619553867/5835041633619553867_signature_31.png</t>
  </si>
  <si>
    <t>Dr. Cornelio T Martinez Sr. Memorial Hospital</t>
  </si>
  <si>
    <t>Kiamba, Sarangani</t>
  </si>
  <si>
    <t>mamartinez.pbsp@gmail.com</t>
  </si>
  <si>
    <t xml:space="preserve">ASSAY: Xpert MTB/RIF Ultra, COUNT: 
ASSAY: Xpert MTB/RIF Ultra, COUNT: 975
</t>
  </si>
  <si>
    <t>Perform Genexpert Xpertcheck/Calibration 
Genexpert Cleaning 
Checking of errors
Data collection: IQR, System log, Assay statistics report,  Archive test and Calibration data</t>
  </si>
  <si>
    <t>Genexpert machine Preventive maintenance
Genexpert machine Xpertcheck/Calibration</t>
  </si>
  <si>
    <t>All modules passed annual Xpertcheck/Calibration</t>
  </si>
  <si>
    <t>Lot 1000410214</t>
  </si>
  <si>
    <t>https://www.jotform.com/uploads/macarewecare/222927978372067/5834764533488074527/5834764533488074527_signature_28.png</t>
  </si>
  <si>
    <t>Madelene Martinez</t>
  </si>
  <si>
    <t>https://www.jotform.com/uploads/macarewecare/222927978372067/5834764533488074527/5834764533488074527_signature_31.png</t>
  </si>
  <si>
    <t>yer_lovendino@yahoo.com</t>
  </si>
  <si>
    <t xml:space="preserve">ASSAY: Xpert BCR-ABL Ultra, COUNT: 32
ASSAY: Xpert CT/NG, COUNT: 10
ASSAY: Xpert HBV VL, COUNT: 212
ASSAY: Xpert MTB/RIF Ultra, COUNT: 206
ASSAY: Others, COUNT: 30
ASSAY: Xpert SARS-CoV-2, COUNT: 12
</t>
  </si>
  <si>
    <t>XpertCheck Result:
   B1/220009435 - Passed
   B2/220009328 - Passed
   B3/210090192 - Passed
   B4/210083433 - Passed
Cleaned cartridge bays, plunger rod
Generate reports</t>
  </si>
  <si>
    <t>https://www.jotform.com/uploads/macarewecare/222927978372067/5834610296413679369/5834610296413679369_signature_28.png</t>
  </si>
  <si>
    <t>https://www.jotform.com/uploads/macarewecare/222927978372067/5834610296413679369/5834610296413679369_signature_31.png</t>
  </si>
  <si>
    <t xml:space="preserve">ASSAY: Xpert MTB/RIF Ultra, COUNT: 4493
ASSAY: Xpert HIV-1 Viral Load, COUNT: 192
</t>
  </si>
  <si>
    <t>Module A3 error 4008</t>
  </si>
  <si>
    <t>Checked IP address
Swapped Module A1 and A3
Returned Module A1 and A3
Reset Gatewayboard</t>
  </si>
  <si>
    <t>Module A3 for Observation</t>
  </si>
  <si>
    <t>https://www.jotform.com/uploads/macarewecare/222927978372067/5832576966811580963/5832576966811580963_signature_28.png</t>
  </si>
  <si>
    <t>Soneleth Abenoja</t>
  </si>
  <si>
    <t>https://www.jotform.com/uploads/macarewecare/222927978372067/5832576966811580963/5832576966811580963_signature_31.png</t>
  </si>
  <si>
    <t>Apollo St., Tandang Sora, Quezon City</t>
  </si>
  <si>
    <t>GX IV 6C -D</t>
  </si>
  <si>
    <t>Checked and cleaned GX Parts
*cartridge bays
*plunger rod
*icore slot
*filter</t>
  </si>
  <si>
    <t>https://www.jotform.com/uploads/macarewecare/222927978372067/5831911030715705838/5831911030715705838_signature_28.png</t>
  </si>
  <si>
    <t>https://www.jotform.com/uploads/macarewecare/222927978372067/5831911030715705838/5831911030715705838_signature_31.png</t>
  </si>
  <si>
    <t>Balagtas Rural Health Unit</t>
  </si>
  <si>
    <t>Balagtas, Bulacan</t>
  </si>
  <si>
    <t>jessaleisantiago@gmail.com</t>
  </si>
  <si>
    <t xml:space="preserve">ASSAY: Xpert MTB/RIF Ultra, COUNT: 1056
ASSAY: Xpert HIV-1 Viral Load, COUNT: 28
</t>
  </si>
  <si>
    <t>https://www.jotform.com/uploads/macarewecare/222927978372067/5831817223338472482/5831817223338472482_signature_28.png</t>
  </si>
  <si>
    <t>Jessa Santiago</t>
  </si>
  <si>
    <t>https://www.jotform.com/uploads/macarewecare/222927978372067/5831817223338472482/5831817223338472482_signature_31.png</t>
  </si>
  <si>
    <t>jerayvaldez@yahoo.com</t>
  </si>
  <si>
    <t>Module B3 error 1002</t>
  </si>
  <si>
    <t>Performed Xpertcheck on module B3 = Service Required</t>
  </si>
  <si>
    <t>Module B3 for Replacement</t>
  </si>
  <si>
    <t>Xpertcheck 1pc</t>
  </si>
  <si>
    <t>https://www.jotform.com/uploads/macarewecare/222927978372067/5831808173329757611/5831808173329757611_signature_28.png</t>
  </si>
  <si>
    <t>https://www.jotform.com/uploads/macarewecare/222927978372067/5831808173329757611/5831808173329757611_signature_31.png</t>
  </si>
  <si>
    <t>Installed the GeneXpert system
-GeneXpert machine
-Workstation 
-Printer
-UPS
Setup system configuration 
Generated reports</t>
  </si>
  <si>
    <t>https://www.jotform.com/uploads/macarewecare/222927978372067/5831795634161779804/5831795634161779804_signature_28.png</t>
  </si>
  <si>
    <t>https://www.jotform.com/uploads/macarewecare/222927978372067/5831795634161779804/5831795634161779804_signature_31.png</t>
  </si>
  <si>
    <t>Taytay Rural Health Unit 2A</t>
  </si>
  <si>
    <t>Kadalagahan St., Taytay</t>
  </si>
  <si>
    <t>dannelli11@yahoo.com</t>
  </si>
  <si>
    <t>https://www.jotform.com/uploads/macarewecare/222927978372067/5831792164164072589/5831792164164072589_signature_28.png</t>
  </si>
  <si>
    <t>Marissa M Flores</t>
  </si>
  <si>
    <t>https://www.jotform.com/uploads/macarewecare/222927978372067/5831792164164072589/5831792164164072589_signature_31.png</t>
  </si>
  <si>
    <t>Evangelista Ave., Santolan</t>
  </si>
  <si>
    <t xml:space="preserve">ASSAY: Xpert MTB/RIF Ultra, COUNT: 3639
</t>
  </si>
  <si>
    <t>Unit is operational. Modules B1, B2 and B4 passed. Module B3 failed.</t>
  </si>
  <si>
    <t>https://www.jotform.com/uploads/macarewecare/222927978372067/5831792164164640953/5831792164164640953_signature_28.png</t>
  </si>
  <si>
    <t>https://www.jotform.com/uploads/macarewecare/222927978372067/5831792164164640953/5831792164164640953_signature_31.png</t>
  </si>
  <si>
    <t>Dr. Garcia, Sumilang</t>
  </si>
  <si>
    <t>sumilangshc@gmail.com</t>
  </si>
  <si>
    <t>All modules operational. Modules B1, B2 and B3 passed. Module B4 failed. Monitor has dead pixels on the lower part of the screen, for reporting.</t>
  </si>
  <si>
    <t>https://www.jotform.com/uploads/macarewecare/222927978372067/5831792164169147257/5831792164169147257_signature_28.png</t>
  </si>
  <si>
    <t>Myrna Lising</t>
  </si>
  <si>
    <t>https://www.jotform.com/uploads/macarewecare/222927978372067/5831792164169147257/5831792164169147257_signature_31.png</t>
  </si>
  <si>
    <t>Sixto Avenue, Rosario</t>
  </si>
  <si>
    <t xml:space="preserve">ASSAY: Xpert MTB/RIF Ultra, COUNT: 2410
</t>
  </si>
  <si>
    <t>All modules operational. Modules B2, B3 and b4 passed. Module B1 failed.</t>
  </si>
  <si>
    <t>https://www.jotform.com/uploads/macarewecare/222927978372067/5831792154164502960/5831792154164502960_signature_28.png</t>
  </si>
  <si>
    <t>https://www.jotform.com/uploads/macarewecare/222927978372067/5831792154164502960/5831792154164502960_signature_31.png</t>
  </si>
  <si>
    <t>GXIV-2-D-6C</t>
  </si>
  <si>
    <t>https://www.jotform.com/uploads/macarewecare/222927978372067/5831770962047817059/5831770962047817059_signature_28.png</t>
  </si>
  <si>
    <t>https://www.jotform.com/uploads/macarewecare/222927978372067/5831770962047817059/5831770962047817059_signature_31.png</t>
  </si>
  <si>
    <t>Sta Rosa City Health Office 1</t>
  </si>
  <si>
    <t>City Health Office 1 Bldg., Sta. Rosa Laguna</t>
  </si>
  <si>
    <t>https://www.jotform.com/uploads/macarewecare/222927978372067/5831754058323340177/5831754058323340177_signature_28.png</t>
  </si>
  <si>
    <t>Mariza B. Garing</t>
  </si>
  <si>
    <t>https://www.jotform.com/uploads/macarewecare/222927978372067/5831754058323340177/5831754058323340177_signature_31.png</t>
  </si>
  <si>
    <t xml:space="preserve">ASSAY: Xpert CT/NG, COUNT: 2
ASSAY: Xpert MTB/RIF Ultra, COUNT: 4
ASSAY: Xpert SARS-CoV-2, COUNT: 468
ASSAY: Xpert HIV-1 Viral Load, COUNT: 16
</t>
  </si>
  <si>
    <t>Unit is operational. Modules B1 (644155) and B4 (769312), service required.</t>
  </si>
  <si>
    <t>https://www.jotform.com/uploads/macarewecare/222927978372067/5831754058325121706/5831754058325121706_signature_28.png</t>
  </si>
  <si>
    <t>https://www.jotform.com/uploads/macarewecare/222927978372067/5831754058325121706/5831754058325121706_signature_31.png</t>
  </si>
  <si>
    <t xml:space="preserve">ASSAY: Xpert MTB/RIF Ultra, COUNT: 64
ASSAY: Xpert SARS-CoV-2, COUNT: 2572
ASSAY: Xpert HIV-1 Viral Load, COUNT: 48
</t>
  </si>
  <si>
    <t>https://www.jotform.com/uploads/macarewecare/222927978372067/5831754068325202121/5831754068325202121_signature_28.png</t>
  </si>
  <si>
    <t>https://www.jotform.com/uploads/macarewecare/222927978372067/5831754068325202121/5831754068325202121_signature_31.png</t>
  </si>
  <si>
    <t>City Health Office 1 Bldg B., Sta Rosa Laguna</t>
  </si>
  <si>
    <t>Unit for PM.
Unit for Xpertcheck.
For module replacement on B2.</t>
  </si>
  <si>
    <t>Xpertcheck kkt.
GX module B2 (802611) in replacement to defective B2 (600006).</t>
  </si>
  <si>
    <t>G 6806</t>
  </si>
  <si>
    <t>https://www.jotform.com/uploads/macarewecare/222927978372067/5831711121224333911/5831711121224333911_signature_28.png</t>
  </si>
  <si>
    <t>https://www.jotform.com/uploads/macarewecare/222927978372067/5831711121224333911/5831711121224333911_signature_31.png</t>
  </si>
  <si>
    <t>667 UN Avenue, Ermita, Manila</t>
  </si>
  <si>
    <t xml:space="preserve">ASSAY: Xpert CT/NG, COUNT: 105
ASSAY: Xpert HPV, COUNT: 15
ASSAY: Xpert MTB/RIF Ultra, COUNT: 1229
ASSAY: Xpert HCV VL, COUNT: 1
ASSAY: Xpert HIV-1 Viral Load, COUNT: 94
</t>
  </si>
  <si>
    <t>Checked and cleaned cartridge bays, plunger rod, icore slot and filter
Replaced module B3
Pulled out wrong module (6C)
Generated report</t>
  </si>
  <si>
    <t>Replaced Module B3
210010361 -&gt; 210111218</t>
  </si>
  <si>
    <t>GX  Module 10C</t>
  </si>
  <si>
    <t>DR 11192</t>
  </si>
  <si>
    <t>https://www.jotform.com/uploads/macarewecare/222927978372067/5831709666137856176/5831709666137856176_signature_28.png</t>
  </si>
  <si>
    <t>Ryamin F. Buentiempo, RMT</t>
  </si>
  <si>
    <t>https://www.jotform.com/uploads/macarewecare/222927978372067/5831709666137856176/5831709666137856176_signature_31.png</t>
  </si>
  <si>
    <t>Brgy. Sto. Domingo, Binan Laguna</t>
  </si>
  <si>
    <t xml:space="preserve">ASSAY: Xpert HPV, COUNT: 149
ASSAY: Xpert MTB/RIF Ultra, COUNT: 2527
</t>
  </si>
  <si>
    <t>Unit is operational. Module B1 (886541), service required.</t>
  </si>
  <si>
    <t>https://www.jotform.com/uploads/macarewecare/222927978372067/5831653849129556515/5831653849129556515_signature_28.png</t>
  </si>
  <si>
    <t>Annefriam Almazora</t>
  </si>
  <si>
    <t>https://www.jotform.com/uploads/macarewecare/222927978372067/5831653849129556515/5831653849129556515_signature_31.png</t>
  </si>
  <si>
    <t>Appari Provincial Hospital</t>
  </si>
  <si>
    <t>Appari, Cagayan</t>
  </si>
  <si>
    <t>glorivimaruquin16@gmail.com</t>
  </si>
  <si>
    <t xml:space="preserve">ASSAY: Xpert MTB/RIF Ultra, COUNT: 3121
</t>
  </si>
  <si>
    <t>Filter broken</t>
  </si>
  <si>
    <t>Performed Maintenance
Gathered Reports
Performed Module Replacement
A2(666402 - 806898)
A3(666395 - 861254)
Performed Functionality Test</t>
  </si>
  <si>
    <t>Filter for replacement</t>
  </si>
  <si>
    <t>Genexpert Modules - 806898 &amp; 861254</t>
  </si>
  <si>
    <t>https://www.jotform.com/uploads/macarewecare/222927978372067/5831653150527683465/5831653150527683465_signature_28.png</t>
  </si>
  <si>
    <t>Grace De Guzman</t>
  </si>
  <si>
    <t>https://www.jotform.com/uploads/macarewecare/222927978372067/5831653150527683465/5831653150527683465_signature_31.png</t>
  </si>
  <si>
    <t>Rodriguez rhu (main)</t>
  </si>
  <si>
    <t>J.P rizal rodriguez rizal</t>
  </si>
  <si>
    <t xml:space="preserve">ASSAY: Xpert MTB/RIF Ultra, COUNT: 3025
ASSAY: Xpert HIV-1 Viral Load, COUNT: 37
</t>
  </si>
  <si>
    <t>For rexpertcheck B2 and B3, barcode scanner malfunction of trigger during press the button</t>
  </si>
  <si>
    <t>Cleaned unit
Cleaned plunger rod,filter,icore,cartridge bay
Gathered reports
Performed rexpertcheck
Performed barcode troubleshooting
Test run unit</t>
  </si>
  <si>
    <t>Rexpertcheck and troubleshooting</t>
  </si>
  <si>
    <t>B2 failed xpertcheck
B3 passed xpertcheck</t>
  </si>
  <si>
    <t>https://www.jotform.com/uploads/macarewecare/222927978372067/5831623364223013004/5831623364223013004_signature_28.png</t>
  </si>
  <si>
    <t>Karl Michael M. Banal</t>
  </si>
  <si>
    <t>https://www.jotform.com/uploads/macarewecare/222927978372067/5831623364223013004/5831623364223013004_signature_31.png</t>
  </si>
  <si>
    <t>Poblacion Montevista</t>
  </si>
  <si>
    <t>GX IV 4D</t>
  </si>
  <si>
    <t>No Power on CPU System Unit
Module C2 reported multiple temperature related errors</t>
  </si>
  <si>
    <t>Reset CPU System Connections
Reseat and clean RAM
Change CMOS Battery
Replaced the Defective Module SN: 792061 with new Module SN: 661274
Clean Surface Area, Cartridge Bay, Plunger Rod, Fan Filters and Icore Lenses
Generate IQR, Assay Stat and System Log</t>
  </si>
  <si>
    <t>Perform System Unit troubleshooting, Module Repair and Preventive Maintenance</t>
  </si>
  <si>
    <t>CPU System Unit still no power, all troubleshooting made was document to be sent to Cepheid for further assessment.</t>
  </si>
  <si>
    <t>https://www.jotform.com/uploads/macarewecare/222927978372067/5831167231822575333/5831167231822575333_signature_28.png</t>
  </si>
  <si>
    <t>Cecille Jagurilles RMT</t>
  </si>
  <si>
    <t>https://www.jotform.com/uploads/macarewecare/222927978372067/5831167231822575333/5831167231822575333_signature_31.png</t>
  </si>
  <si>
    <t>C1 passed in xpertcheck
C2, C3,C4 failed in xpertcheck</t>
  </si>
  <si>
    <t>https://www.jotform.com/uploads/macarewecare/222927978372067/5831147175421322694/5831147175421322694_signature_28.png</t>
  </si>
  <si>
    <t>https://www.jotform.com/uploads/macarewecare/222927978372067/5831147175421322694/5831147175421322694_signature_31.png</t>
  </si>
  <si>
    <t>Masikap ext. Central QC</t>
  </si>
  <si>
    <t xml:space="preserve">ASSAY: Xpert CT/NG, COUNT: 149
ASSAY: Xpert HBV VL, COUNT: 67
ASSAY: Xpert MTB/RIF Ultra, COUNT: 6
ASSAY: Xpert HCV VL, COUNT: 4
ASSAY: Xpert HIV-1 Viral Load, COUNT: 1
</t>
  </si>
  <si>
    <t>Operational 
All module passed in xpertcheck</t>
  </si>
  <si>
    <t>https://www.jotform.com/uploads/macarewecare/222927978372067/5831145599919056605/5831145599919056605_signature_28.png</t>
  </si>
  <si>
    <t>https://www.jotform.com/uploads/macarewecare/222927978372067/5831145599919056605/5831145599919056605_signature_31.png</t>
  </si>
  <si>
    <t>Software upgrade</t>
  </si>
  <si>
    <t xml:space="preserve">ASSAY: Xpert MTB/RIF Ultra, COUNT: 1625
</t>
  </si>
  <si>
    <t>For software upgrade unable to link LIS, C3 h/w failed.</t>
  </si>
  <si>
    <t>Performed software 5.1 to 6.4
Gathered reports.
Test run unit</t>
  </si>
  <si>
    <t>For upgrade</t>
  </si>
  <si>
    <t>C3 for reporting</t>
  </si>
  <si>
    <t>https://www.jotform.com/uploads/macarewecare/222927978372067/5831145029919463291/5831145029919463291_signature_28.png</t>
  </si>
  <si>
    <t>https://www.jotform.com/uploads/macarewecare/222927978372067/5831145029919463291/5831145029919463291_signature_31.png</t>
  </si>
  <si>
    <t>East avenue ,QC</t>
  </si>
  <si>
    <t xml:space="preserve">ASSAY: Xpert MTB/RIF Ultra, COUNT: 1238
ASSAY: Others, COUNT: 16
ASSAY: Xpert SARS-CoV-2, COUNT: 3581
</t>
  </si>
  <si>
    <t>Workstation unable to power,malfunction of on/off switch corroded terminal</t>
  </si>
  <si>
    <t>Checked and measure voltage input.
Cleaned RAM
Unplug and Plug connector inside workstation.
Checked cables 
Cleaned on/off switch terminal
Test run and observe unit</t>
  </si>
  <si>
    <t>https://www.jotform.com/uploads/macarewecare/222927978372067/5831144359911955091/5831144359911955091_signature_28.png</t>
  </si>
  <si>
    <t>Casidsid, Kenneth Melvin</t>
  </si>
  <si>
    <t>https://www.jotform.com/uploads/macarewecare/222927978372067/5831144359911955091/5831144359911955091_signature_31.png</t>
  </si>
  <si>
    <t>ormoc@redcross.org.ph</t>
  </si>
  <si>
    <t>CPU board using was spare parts of cebu office</t>
  </si>
  <si>
    <t>Re-installing Original CPU board of PRC ormoc haemonitics machine/update UPP settings configuration/PM and calibration</t>
  </si>
  <si>
    <t>https://www.jotform.com/uploads/macarewecare/222927978372067/5831022979845882964/5831022979845882964_signature_28.png</t>
  </si>
  <si>
    <t>Phil. Red Cross Ormoc City</t>
  </si>
  <si>
    <t>https://www.jotform.com/uploads/macarewecare/222927978372067/5831022979845882964/5831022979845882964_signature_31.png</t>
  </si>
  <si>
    <t>https://www.jotform.com/uploads/macarewecare/222927978372067/5831021879844584744/5831021879844584744_signature_28.png</t>
  </si>
  <si>
    <t>https://www.jotform.com/uploads/macarewecare/222927978372067/5831021879844584744/5831021879844584744_signature_31.png</t>
  </si>
  <si>
    <t>https://www.jotform.com/uploads/macarewecare/222927978372067/5831021309849851520/5831021309849851520_signature_28.png</t>
  </si>
  <si>
    <t>https://www.jotform.com/uploads/macarewecare/222927978372067/5831021309849851520/5831021309849851520_signature_31.png</t>
  </si>
  <si>
    <t xml:space="preserve">ASSAY: Xpert MTB/RIF Ultra, COUNT: 255
</t>
  </si>
  <si>
    <t>B1/807683</t>
  </si>
  <si>
    <t>Re-XpertCheck Result: B1/807683 - passed</t>
  </si>
  <si>
    <t>Performed Re-XpertCheck</t>
  </si>
  <si>
    <t>https://www.jotform.com/uploads/macarewecare/222927978372067/5831002806318661467/5831002806318661467_signature_28.png</t>
  </si>
  <si>
    <t>https://www.jotform.com/uploads/macarewecare/222927978372067/5831002806318661467/5831002806318661467_signature_31.png</t>
  </si>
  <si>
    <t>Julian Felipe Health Center</t>
  </si>
  <si>
    <t>Julian Felipe St., Brgy. 8, Caloocan City</t>
  </si>
  <si>
    <t>maoi.lloyd@gmail.com</t>
  </si>
  <si>
    <t>Performed PM
Replaced module b3
generated report</t>
  </si>
  <si>
    <t>Replaced Module B3 
863557 -&gt; 612274</t>
  </si>
  <si>
    <t>G6802</t>
  </si>
  <si>
    <t>https://www.jotform.com/uploads/macarewecare/222927978372067/5830983261023333538/5830983261023333538_signature_28.png</t>
  </si>
  <si>
    <t>Lloyd Maoi De Guzman</t>
  </si>
  <si>
    <t>https://www.jotform.com/uploads/macarewecare/222927978372067/5830983261023333538/5830983261023333538_signature_31.png</t>
  </si>
  <si>
    <t>Kumintang Ibaba, Batangas City</t>
  </si>
  <si>
    <t>Unit for PM.
Unit for Xpertcheck.
For checking of CPU.</t>
  </si>
  <si>
    <t>PM, Xpertcheck and troubleshooting.</t>
  </si>
  <si>
    <t>Performed PM.
-Cleaned and disinfect plunger
-Cleaned and disinfect cartridge bay
-Cleaned and disinfect instrument surface
-Cleaned icore sensors
-Cleaned filter fan
-Archived test results
Performed Xpertcheck.
Troubleshooting of CPU.
Generated reports.</t>
  </si>
  <si>
    <t>Unit is operational. All modules passed Xpertcheck using different CPU. CPU unable to poweron and for replacement.</t>
  </si>
  <si>
    <t>https://www.jotform.com/uploads/macarewecare/222927978372067/5830972888617646967/5830972888617646967_signature_28.png</t>
  </si>
  <si>
    <t>https://www.jotform.com/uploads/macarewecare/222927978372067/5830972888617646967/5830972888617646967_signature_31.png</t>
  </si>
  <si>
    <t xml:space="preserve">ASSAY: Xpert HPV, COUNT: 3
ASSAY: Xpert MTB/RIF Ultra, COUNT: 267
ASSAY: Xpert SARS-CoV-2, COUNT: 13
ASSAY: Xpert HIV-1 Viral Load, COUNT: 60
</t>
  </si>
  <si>
    <t>https://www.jotform.com/uploads/macarewecare/222927978372067/5830972398614879468/5830972398614879468_signature_28.png</t>
  </si>
  <si>
    <t>https://www.jotform.com/uploads/macarewecare/222927978372067/5830972398614879468/5830972398614879468_signature_31.png</t>
  </si>
  <si>
    <t xml:space="preserve">ASSAY: Xpert HPV, COUNT: 67
ASSAY: Xpert MTB/RIF Ultra, COUNT: 2440
ASSAY: Xpert SARS-CoV-2, COUNT: 330
ASSAY: Xpert HIV-1 Viral Load, COUNT: 611
</t>
  </si>
  <si>
    <t>GXI6</t>
  </si>
  <si>
    <t>PM and Xpertcheck</t>
  </si>
  <si>
    <t>Unit is operational. Modules A2 (607813), C3 (892213), C4 (892212) and D4 (680439) are Service Required.</t>
  </si>
  <si>
    <t>https://www.jotform.com/uploads/macarewecare/222927978372067/5830971768615698076/5830971768615698076_signature_28.png</t>
  </si>
  <si>
    <t>https://www.jotform.com/uploads/macarewecare/222927978372067/5830971768615698076/5830971768615698076_signature_31.png</t>
  </si>
  <si>
    <t xml:space="preserve">ASSAY: Xpert MTB/RIF Ultra, COUNT: 42
ASSAY: Others, COUNT: XDR 356
</t>
  </si>
  <si>
    <t>https://www.jotform.com/uploads/macarewecare/222927978372067/5830970888615633017/5830970888615633017_signature_28.png</t>
  </si>
  <si>
    <t>https://www.jotform.com/uploads/macarewecare/222927978372067/5830970888615633017/5830970888615633017_signature_31.png</t>
  </si>
  <si>
    <t xml:space="preserve">ASSAY: Xpert HPV, COUNT: 16
ASSAY: Xpert MTB/RIF Ultra, COUNT: 129
ASSAY: Xpert SARS-CoV-2, COUNT: 5
ASSAY: Xpert HIV-1 Viral Load, COUNT: 32
</t>
  </si>
  <si>
    <t>Unit is operational. Module C1 (619967) is service required.</t>
  </si>
  <si>
    <t>https://www.jotform.com/uploads/macarewecare/222927978372067/5830969018616894491/5830969018616894491_signature_28.png</t>
  </si>
  <si>
    <t>https://www.jotform.com/uploads/macarewecare/222927978372067/5830969018616894491/5830969018616894491_signature_31.png</t>
  </si>
  <si>
    <t>Unit is operational 
3 modules passed calibration
1 failed calibration</t>
  </si>
  <si>
    <t>A4 service required</t>
  </si>
  <si>
    <t>https://www.jotform.com/uploads/macarewecare/222927978372067/5830951433906253190/5830951433906253190_signature_28.png</t>
  </si>
  <si>
    <t>Richard M. Puno</t>
  </si>
  <si>
    <t>https://www.jotform.com/uploads/macarewecare/222927978372067/5830951433906253190/5830951433906253190_signature_31.png</t>
  </si>
  <si>
    <t>https://www.jotform.com/uploads/macarewecare/222927978372067/5830949913904343133/5830949913904343133_signature_28.png</t>
  </si>
  <si>
    <t>https://www.jotform.com/uploads/macarewecare/222927978372067/5830949913904343133/5830949913904343133_signature_31.png</t>
  </si>
  <si>
    <t>Olongapo City Health Offic</t>
  </si>
  <si>
    <t>West Bajac-bajac Olongapo City Zambales</t>
  </si>
  <si>
    <t xml:space="preserve">ASSAY: Xpert MTB/RIF Ultra, COUNT: 1703
</t>
  </si>
  <si>
    <t>GXIB-D</t>
  </si>
  <si>
    <t>D1:210089680 and D4:721209 for module replacement</t>
  </si>
  <si>
    <t>Performed preventive maintenance
Performed module replacement
Gathered reports
Performed functionality test</t>
  </si>
  <si>
    <t>Unit is operational
New modules
D1:629603
D4:210053177</t>
  </si>
  <si>
    <t>https://www.jotform.com/uploads/macarewecare/222927978372067/5830948673908699919/5830948673908699919_signature_28.png</t>
  </si>
  <si>
    <t>https://www.jotform.com/uploads/macarewecare/222927978372067/5830948673908699919/5830948673908699919_signature_31.png</t>
  </si>
  <si>
    <t>West bajac-bajac Olongapo City, Zambales</t>
  </si>
  <si>
    <t>Genexpert 10C installation</t>
  </si>
  <si>
    <t>Installation and setup of Genexpert Machine
Gathered reports
Performed functionality test</t>
  </si>
  <si>
    <t>https://www.jotform.com/uploads/macarewecare/222927978372067/5830947053907477855/5830947053907477855_signature_28.png</t>
  </si>
  <si>
    <t>Roselyn M. Milan</t>
  </si>
  <si>
    <t>https://www.jotform.com/uploads/macarewecare/222927978372067/5830947053907477855/5830947053907477855_signature_31.png</t>
  </si>
  <si>
    <t>Poblacion, Pudtol, Apayao</t>
  </si>
  <si>
    <t>Genexpert IV-10c</t>
  </si>
  <si>
    <t>Installed Genexpert
Installed Computer
Installed Barcode Scanner
Install Printer
Installed Monitor
Performed Maintenance
Gathered Reports
Performed Functionality Test</t>
  </si>
  <si>
    <t>https://www.jotform.com/uploads/macarewecare/222927978372067/5830918718455069368/5830918718455069368_signature_28.png</t>
  </si>
  <si>
    <t>Daisy Lynn Grace</t>
  </si>
  <si>
    <t>https://www.jotform.com/uploads/macarewecare/222927978372067/5830918718455069368/5830918718455069368_signature_31.png</t>
  </si>
  <si>
    <t xml:space="preserve">REPAIR
MAINTENANCE
TROUBLESHOOTING
</t>
  </si>
  <si>
    <t xml:space="preserve">ASSAY: Xpert MTB/RIF Ultra, COUNT: 3415
</t>
  </si>
  <si>
    <t>Module 4 error 2008</t>
  </si>
  <si>
    <t>Performed Maintenance
Performed Module Replacement
A1(210102203 - 784265)
Archive Results
Performed Functionality Test</t>
  </si>
  <si>
    <t>Genexpert Module - 784265</t>
  </si>
  <si>
    <t>https://www.jotform.com/uploads/macarewecare/222927978372067/5830913038459844616/5830913038459844616_signature_28.png</t>
  </si>
  <si>
    <t>https://www.jotform.com/uploads/macarewecare/222927978372067/5830913038459844616/5830913038459844616_signature_31.png</t>
  </si>
  <si>
    <t>Naic Rural Health Unit</t>
  </si>
  <si>
    <t>Capt. Nazareno St., Naic, Cavite</t>
  </si>
  <si>
    <t>jengcasamar2007@yahoo.com</t>
  </si>
  <si>
    <t xml:space="preserve">ASSAY: Xpert MTB/RIF Ultra, COUNT: 2243
</t>
  </si>
  <si>
    <t>Cleaned Cartridge Bay
Cleaned Icore Optics
Cleaned Plunger Rod
Checked Filter
Performed XpertCheck
Performed Self-test
Generate Reports</t>
  </si>
  <si>
    <t>All Modules Passed and Operational</t>
  </si>
  <si>
    <t>https://www.jotform.com/uploads/macarewecare/222927978372067/5830894779142624616/5830894779142624616_signature_28.png</t>
  </si>
  <si>
    <t>Jennifer S Casamar RMT</t>
  </si>
  <si>
    <t>https://www.jotform.com/uploads/macarewecare/222927978372067/5830894779142624616/5830894779142624616_signature_31.png</t>
  </si>
  <si>
    <t>Capt. Nazareno St, Naic, Cavite</t>
  </si>
  <si>
    <t>https://www.jotform.com/uploads/macarewecare/222927978372067/5830894779149501679/5830894779149501679_signature_28.png</t>
  </si>
  <si>
    <t>Jennifer Casamar</t>
  </si>
  <si>
    <t>https://www.jotform.com/uploads/macarewecare/222927978372067/5830894779149501679/5830894779149501679_signature_31.png</t>
  </si>
  <si>
    <t>Replaced B2</t>
  </si>
  <si>
    <t>GeneXpert Module
SN: 760346</t>
  </si>
  <si>
    <t>na</t>
  </si>
  <si>
    <t>https://www.jotform.com/uploads/macarewecare/222927978372067/5830875581379983626/5830875581379983626_signature_28.png</t>
  </si>
  <si>
    <t>Carlee Cruz</t>
  </si>
  <si>
    <t>https://www.jotform.com/uploads/macarewecare/222927978372067/5830875581379983626/5830875581379983626_signature_31.png</t>
  </si>
  <si>
    <t xml:space="preserve">REPAIR
CALIBRATION
MAINTENANCE
ON-SITE ASSISTANCE
</t>
  </si>
  <si>
    <t xml:space="preserve">ASSAY: Xpert MTB/RIF Ultra, COUNT: 1847
ASSAY: Xpert MTB/RIF Ultra, COUNT: 
</t>
  </si>
  <si>
    <t>Module B1 for replacement 
Unit for XpertCheck</t>
  </si>
  <si>
    <t>Replaced module B1
Performed XpertCheck</t>
  </si>
  <si>
    <t>Unit is operational
B1: newly replaced
B2: service required
B3: passed
B4: passed</t>
  </si>
  <si>
    <t>GeneXpert Module
SN: 764899</t>
  </si>
  <si>
    <t>G 6804</t>
  </si>
  <si>
    <t>https://www.jotform.com/uploads/macarewecare/222927978372067/5830873931371685499/5830873931371685499_signature_28.png</t>
  </si>
  <si>
    <t>https://www.jotform.com/uploads/macarewecare/222927978372067/5830873931371685499/5830873931371685499_signature_31.png</t>
  </si>
  <si>
    <t>Western Visayan Medical Center</t>
  </si>
  <si>
    <t xml:space="preserve">ASSAY: Xpert HPV, COUNT: 988
ASSAY: Xpert MTB/RIF Ultra, COUNT: 818
ASSAY: Xpert HIV-1 Viral Load, COUNT: 485
</t>
  </si>
  <si>
    <t>Defective module A1/639353</t>
  </si>
  <si>
    <t>Replaced module A1 with mew module SN 895555</t>
  </si>
  <si>
    <t>All 4 modules operational</t>
  </si>
  <si>
    <t>https://www.jotform.com/uploads/macarewecare/222927978372067/5830868701348619551/5830868701348619551_signature_28.png</t>
  </si>
  <si>
    <t>https://www.jotform.com/uploads/macarewecare/222927978372067/5830868701348619551/5830868701348619551_signature_31.png</t>
  </si>
  <si>
    <t xml:space="preserve">ASSAY: Xpert MTB/RIF Ultra, COUNT: 4637
</t>
  </si>
  <si>
    <t>Defective module D3/871127.</t>
  </si>
  <si>
    <t>Replaced module D3 with new module SN 839377.</t>
  </si>
  <si>
    <t>https://www.jotform.com/uploads/macarewecare/222927978372067/5830862081343892138/5830862081343892138_signature_28.png</t>
  </si>
  <si>
    <t>https://www.jotform.com/uploads/macarewecare/222927978372067/5830862081343892138/5830862081343892138_signature_31.png</t>
  </si>
  <si>
    <t>Mabini Rural Health Unit</t>
  </si>
  <si>
    <t>Poblacion Mabini Batangas</t>
  </si>
  <si>
    <t>glee.maravilla@gmail.com</t>
  </si>
  <si>
    <t xml:space="preserve">ASSAY: Xpert MTB/RIF Ultra, COUNT: 1024
</t>
  </si>
  <si>
    <t>https://www.jotform.com/uploads/macarewecare/222927978372067/5830828527011893608/5830828527011893608_signature_28.png</t>
  </si>
  <si>
    <t>Gliceria C. Maravilla</t>
  </si>
  <si>
    <t>https://www.jotform.com/uploads/macarewecare/222927978372067/5830828527011893608/5830828527011893608_signature_31.png</t>
  </si>
  <si>
    <t>Poblacion, Palimbang, Sultan Kudarat</t>
  </si>
  <si>
    <t xml:space="preserve">ASSAY: Xpert MTB/RIF Ultra, COUNT: 430
ASSAY: Xpert MTB/RIF Ultra, COUNT: 430
ASSAY: Xpert MTB/RIF Ultra, COUNT: 
</t>
  </si>
  <si>
    <t>Module 3 H/W  failed 
Module 1 for Service Required</t>
  </si>
  <si>
    <t>Replace/repair defective module 3 SN:910253 with new module SN:896614
Genexpert Cleaning 
Perform Calibration at module 1,2 and 4
Data collection: Pre and Post IQR, System log, Assay statistics report  and Archive test</t>
  </si>
  <si>
    <t>Genexpert module 6 color 
Xpertcheck CE-5</t>
  </si>
  <si>
    <t>https://www.jotform.com/uploads/macarewecare/222927978372067/5830820415456962417/5830820415456962417_signature_28.png</t>
  </si>
  <si>
    <t>https://www.jotform.com/uploads/macarewecare/222927978372067/5830820415456962417/5830820415456962417_signature_31.png</t>
  </si>
  <si>
    <t>GMA Rural Health Unit II</t>
  </si>
  <si>
    <t>Congressional Road, General Mariano Alvarez, Cavite</t>
  </si>
  <si>
    <t>ldlconti@yahoo.com</t>
  </si>
  <si>
    <t xml:space="preserve">ASSAY: Xpert MTB/RIF Ultra, COUNT: 1719
</t>
  </si>
  <si>
    <t>UPS Problem</t>
  </si>
  <si>
    <t>Checked Outlet Voltage
Checked Output Voltage of UPS
Performed Self-test
Generate Reports</t>
  </si>
  <si>
    <t>UPS is Defective. No Power and Backup Function. UPS for Replacement</t>
  </si>
  <si>
    <t>UPS S/N: 20002103290032 .All Modules are Operational</t>
  </si>
  <si>
    <t>https://www.jotform.com/uploads/macarewecare/222927978372067/5830772903388266069/5830772903388266069_signature_28.png</t>
  </si>
  <si>
    <t>Lorena L.Conti</t>
  </si>
  <si>
    <t>https://www.jotform.com/uploads/macarewecare/222927978372067/5830772903388266069/5830772903388266069_signature_31.png</t>
  </si>
  <si>
    <t>Tablas Island District Hospital</t>
  </si>
  <si>
    <t>TIDH Rd., San Agustin, Romblon</t>
  </si>
  <si>
    <t>nelda.grefiel@yahoo.com.ph</t>
  </si>
  <si>
    <t>CPU is Not Booting</t>
  </si>
  <si>
    <t>Performed Maintenance
Replaced CPU
Setup GeneXpert Software
Generate Reports</t>
  </si>
  <si>
    <t>All Modules are Operational. New CPU is Good</t>
  </si>
  <si>
    <t>CPH1119F04197 -&gt; CPH1023F45887</t>
  </si>
  <si>
    <t>https://www.jotform.com/uploads/macarewecare/222927978372067/5830772713383463796/5830772713383463796_signature_28.png</t>
  </si>
  <si>
    <t>Nelda S. Grefiel</t>
  </si>
  <si>
    <t>https://www.jotform.com/uploads/macarewecare/222927978372067/5830772713383463796/5830772713383463796_signature_31.png</t>
  </si>
  <si>
    <t>Pulang Lupa Dos Health Center</t>
  </si>
  <si>
    <t>St. Joseph Subd, Pulang Lupa Dos, Las Piñas</t>
  </si>
  <si>
    <t>elvimir08@yahoo.com</t>
  </si>
  <si>
    <t>Modukes 1 and 2 with Temperature Errors</t>
  </si>
  <si>
    <t>Performed Maintenance
Replaced Modules 1 and 2
Performed Self-test
Generate Reports</t>
  </si>
  <si>
    <t>807075&amp;807118 -&gt; 866511&amp;210067976</t>
  </si>
  <si>
    <t>G 6777</t>
  </si>
  <si>
    <t>https://www.jotform.com/uploads/macarewecare/222927978372067/5830772713384679361/5830772713384679361_signature_28.png</t>
  </si>
  <si>
    <t>Elvira alcantara</t>
  </si>
  <si>
    <t>https://www.jotform.com/uploads/macarewecare/222927978372067/5830772713384679361/5830772713384679361_signature_31.png</t>
  </si>
  <si>
    <t>MAINTENANCE
Installation of Backup Laptop</t>
  </si>
  <si>
    <t>sanluisbatangas.rhu@gmail.com</t>
  </si>
  <si>
    <t>CPU of GX System Not Booting Up</t>
  </si>
  <si>
    <t>Installation of Backup Laptop</t>
  </si>
  <si>
    <t>Checked CPU Problem
Installed Back-up Laptop
Generate Reports</t>
  </si>
  <si>
    <t>GX Laptop L480</t>
  </si>
  <si>
    <t>G 6762</t>
  </si>
  <si>
    <t>https://www.jotform.com/uploads/macarewecare/222927978372067/5830772713385201560/5830772713385201560_signature_28.png</t>
  </si>
  <si>
    <t>https://www.jotform.com/uploads/macarewecare/222927978372067/5830772713385201560/5830772713385201560_signature_31.png</t>
  </si>
  <si>
    <t>Checked and Ckeaned Sensors, Rollers, and Centrifuge
Checked A/D Values
Performed Simulation Test
Cleaned Surface Area of the Unit</t>
  </si>
  <si>
    <t>Unit is in Good Condition</t>
  </si>
  <si>
    <t>https://www.jotform.com/uploads/macarewecare/222927978372067/5830772713385390171/5830772713385390171_signature_28.png</t>
  </si>
  <si>
    <t>https://www.jotform.com/uploads/macarewecare/222927978372067/5830772713385390171/5830772713385390171_signature_31.png</t>
  </si>
  <si>
    <t xml:space="preserve">ASSAY: Xpert BCR-ABL Ultra, COUNT: 5
ASSAY: Xpert MTB/RIF Ultra, COUNT: 869
</t>
  </si>
  <si>
    <t>Cleaned Cartirdge Bay
Cleaned Plunger Rod
Cleaned Icore Optics
Checked Filter if Clogged
Archived Test Results
Performed Self-test
Generate Reports</t>
  </si>
  <si>
    <t>https://www.jotform.com/uploads/macarewecare/222927978372067/5830772713385804587/5830772713385804587_signature_28.png</t>
  </si>
  <si>
    <t>Maria Liova Sherleen D. Calaunan,RMT</t>
  </si>
  <si>
    <t>https://www.jotform.com/uploads/macarewecare/222927978372067/5830772713385804587/5830772713385804587_signature_31.png</t>
  </si>
  <si>
    <t>https://www.jotform.com/uploads/macarewecare/222927978372067/5830227442157459422/5830227442157459422_signature_28.png</t>
  </si>
  <si>
    <t>https://www.jotform.com/uploads/macarewecare/222927978372067/5830227442157459422/5830227442157459422_signature_31.png</t>
  </si>
  <si>
    <t>https://www.jotform.com/uploads/macarewecare/222927978372067/5830227432155495886/5830227432155495886_signature_28.png</t>
  </si>
  <si>
    <t>https://www.jotform.com/uploads/macarewecare/222927978372067/5830227432155495886/5830227432155495886_signature_31.png</t>
  </si>
  <si>
    <t>https://www.jotform.com/uploads/macarewecare/222927978372067/5830227442154796256/5830227442154796256_signature_28.png</t>
  </si>
  <si>
    <t>https://www.jotform.com/uploads/macarewecare/222927978372067/5830227442154796256/5830227442154796256_signature_31.png</t>
  </si>
  <si>
    <t>Rapu-Rapu RHU</t>
  </si>
  <si>
    <t>Rapu-Rapu</t>
  </si>
  <si>
    <t xml:space="preserve">ASSAY: Xpert MTB/RIF Ultra, COUNT: 351
</t>
  </si>
  <si>
    <t>B2/737128, B3/862633 for module replacement</t>
  </si>
  <si>
    <t>Replaced Module:
   B2 - 737128&gt;&gt;730958
   B3 - 862633&gt;&gt;757493
Cleaned fan, module bays, plunger rod
Generate reports</t>
  </si>
  <si>
    <t>Replaced defective module B2, B3
Performed Preventive Maintenance</t>
  </si>
  <si>
    <t>https://www.jotform.com/uploads/macarewecare/222927978372067/5830181420914863234/5830181420914863234_signature_28.png</t>
  </si>
  <si>
    <t>https://www.jotform.com/uploads/macarewecare/222927978372067/5830181420914863234/5830181420914863234_signature_31.png</t>
  </si>
  <si>
    <t xml:space="preserve">ASSAY: Xpert MTB/RIF Ultra, COUNT: 
ASSAY: Xpert MTB/RIF Ultra, COUNT: 3141
</t>
  </si>
  <si>
    <t>Module A3 encounter multiple temperature related errors</t>
  </si>
  <si>
    <t>Replaced the defective Module SN: 672526 with new Module SN:  632623
Generate IQR, Assay Stat, and System Log
Clean Surface area, Cartridge Bay, Plunger Rod, Fan Filters and Icore Lenses
Archive data test result</t>
  </si>
  <si>
    <t>Module A4 for under observation</t>
  </si>
  <si>
    <t>https://www.jotform.com/uploads/macarewecare/222927978372067/5830175380124237796/5830175380124237796_signature_28.png</t>
  </si>
  <si>
    <t>Sharmella Joy D. Pinote</t>
  </si>
  <si>
    <t>https://www.jotform.com/uploads/macarewecare/222927978372067/5830175380124237796/5830175380124237796_signature_31.png</t>
  </si>
  <si>
    <t>https://www.jotform.com/uploads/macarewecare/222927978372067/5830140821413860694/5830140821413860694_signature_28.png</t>
  </si>
  <si>
    <t>https://www.jotform.com/uploads/macarewecare/222927978372067/5830140821413860694/5830140821413860694_signature_31.png</t>
  </si>
  <si>
    <t>Quezon City Health Department, Quezon City Hall</t>
  </si>
  <si>
    <t>Unit for XpertCheck 
Module B3 and B4 for XpertCheck retry
Module B1 and B2 passed January 25, 2024</t>
  </si>
  <si>
    <t>Performed PM
Performed XpertCheck 
Module 3 - Service Required
Module 4 - Passed</t>
  </si>
  <si>
    <t>Performed Xpert Check on Modules 3 and 4
Module 3 - Service Required
Module 4 - Passed
Modules 1 and 2 passed on January 25, 2024</t>
  </si>
  <si>
    <t>Unit is operational
Module B3 for reporting</t>
  </si>
  <si>
    <t>Used 3 XpertCheck cartridges</t>
  </si>
  <si>
    <t>PL 014900</t>
  </si>
  <si>
    <t>https://www.jotform.com/uploads/macarewecare/222927978372067/5830135564623953129/5830135564623953129_signature_28.png</t>
  </si>
  <si>
    <t>https://www.jotform.com/uploads/macarewecare/222927978372067/5830135564623953129/5830135564623953129_signature_31.png</t>
  </si>
  <si>
    <t xml:space="preserve">ASSAY: Xpert MTB/RIF Ultra, COUNT: 2210
</t>
  </si>
  <si>
    <t>Temperature error on module A3</t>
  </si>
  <si>
    <t>Xoertcheck
Preventive maintenance</t>
  </si>
  <si>
    <t>A3 passed calibration under observation</t>
  </si>
  <si>
    <t>https://www.jotform.com/uploads/macarewecare/222927978372067/5830127296221976446/5830127296221976446_signature_28.png</t>
  </si>
  <si>
    <t>https://www.jotform.com/uploads/macarewecare/222927978372067/5830127296221976446/5830127296221976446_signature_31.png</t>
  </si>
  <si>
    <t>Amparo, Caloocan</t>
  </si>
  <si>
    <t>jjpsjasperjoyce@gmail.com</t>
  </si>
  <si>
    <t>Modules B1, B2 for replacement</t>
  </si>
  <si>
    <t>Replaced modules B1, B2</t>
  </si>
  <si>
    <t>GeneXpert Module
SN: 706384, 210035367</t>
  </si>
  <si>
    <t>G 6793</t>
  </si>
  <si>
    <t>https://www.jotform.com/uploads/macarewecare/222927978372067/5830068413417013165/5830068413417013165_signature_28.png</t>
  </si>
  <si>
    <t>Jasper Joyce Soriano</t>
  </si>
  <si>
    <t>https://www.jotform.com/uploads/macarewecare/222927978372067/5830068413417013165/5830068413417013165_signature_31.png</t>
  </si>
  <si>
    <t xml:space="preserve">CALIBRATION
MAINTENANCE
TROUBLESHOOTING
</t>
  </si>
  <si>
    <t>Module B3 Hardware Failure</t>
  </si>
  <si>
    <t>Performed Maintenance
Gathered Reports
Performed Calibration
(A1, A3, A4 = Service Required)
(B1, B2, B4, C2, C3, D1, D2, D3, D4 = Passed)
Performed Functionality Test</t>
  </si>
  <si>
    <t>Module A1, A3, A4, B3 for Replacement</t>
  </si>
  <si>
    <t>Xpertcheck 15pc</t>
  </si>
  <si>
    <t>https://www.jotform.com/uploads/macarewecare/222927978372067/5830066072147651555/5830066072147651555_signature_28.png</t>
  </si>
  <si>
    <t>Olive Salvador</t>
  </si>
  <si>
    <t>https://www.jotform.com/uploads/macarewecare/222927978372067/5830066072147651555/5830066072147651555_signature_31.png</t>
  </si>
  <si>
    <t>Don Quijote St. Sampaloc Manila</t>
  </si>
  <si>
    <t>spsurell@yahoo.com.ph</t>
  </si>
  <si>
    <t xml:space="preserve">ASSAY: Xpert MTB/RIF Ultra, COUNT: 1217
</t>
  </si>
  <si>
    <t>GX module A3 (210063191) in replacement to defective A3 (684928).</t>
  </si>
  <si>
    <t>G 6794</t>
  </si>
  <si>
    <t>https://www.jotform.com/uploads/macarewecare/222927978372067/5830055270169527459/5830055270169527459_signature_28.png</t>
  </si>
  <si>
    <t>Clarinda Sharon P.Surell</t>
  </si>
  <si>
    <t>https://www.jotform.com/uploads/macarewecare/222927978372067/5830055270169527459/5830055270169527459_signature_31.png</t>
  </si>
  <si>
    <t xml:space="preserve">ASSAY: Xpert MTB/RIF Ultra, COUNT: 457
ASSAY: Others, COUNT: 96
</t>
  </si>
  <si>
    <t>Genexpert IV - 10c</t>
  </si>
  <si>
    <t>Performed Maintenance
Gathered Reports
Performed Module Replacement
B3(220011645 - 210074806)
Performed Functionality Test</t>
  </si>
  <si>
    <t>Genexpert Module - 210074806</t>
  </si>
  <si>
    <t>https://www.jotform.com/uploads/macarewecare/222927978372067/5830009793623214648/5830009793623214648_signature_28.png</t>
  </si>
  <si>
    <t>https://www.jotform.com/uploads/macarewecare/222927978372067/5830009793623214648/5830009793623214648_signature_31.png</t>
  </si>
  <si>
    <t xml:space="preserve">ASSAY: Xpert MTB/RIF Ultra, COUNT: 2386
</t>
  </si>
  <si>
    <t>Defective module C2/210100867.</t>
  </si>
  <si>
    <t>Preventive Maintenance - optics cleaning, module bay cleaning, filter cleaning.</t>
  </si>
  <si>
    <t>Replaced module C2 with new module SN 877174.</t>
  </si>
  <si>
    <t>3 modules operational, 1 module (C1) for repoeting to Cepheid due to temperature-related errors.</t>
  </si>
  <si>
    <t>https://www.jotform.com/uploads/macarewecare/222927978372067/5830008242033047489/5830008242033047489_signature_28.png</t>
  </si>
  <si>
    <t>GLenly CAsona</t>
  </si>
  <si>
    <t>https://www.jotform.com/uploads/macarewecare/222927978372067/5830008242033047489/5830008242033047489_signature_31.png</t>
  </si>
  <si>
    <t>25th St., Intramuros Manila</t>
  </si>
  <si>
    <t xml:space="preserve">ASSAY: Xpert SARS-CoV-2, COUNT: 279
</t>
  </si>
  <si>
    <t>Unit is operational. Module D2 (893186), Service Required.</t>
  </si>
  <si>
    <t>https://www.jotform.com/uploads/macarewecare/222927978372067/5830007290169078777/5830007290169078777_signature_28.png</t>
  </si>
  <si>
    <t>https://www.jotform.com/uploads/macarewecare/222927978372067/5830007290169078777/5830007290169078777_signature_31.png</t>
  </si>
  <si>
    <t>Daisy St., cor Daffodil St., Banlat, Tandang Sora, Quezon City</t>
  </si>
  <si>
    <t xml:space="preserve">ASSAY: Xpert HPV, COUNT: 113
ASSAY: Xpert MTB/RIF Ultra, COUNT: 1701
</t>
  </si>
  <si>
    <t>Performed PM
Performed XpertCheck
Module A1 service required
Generated report</t>
  </si>
  <si>
    <t>Performed XpertCheck
Module A1 failed
Module A2, 3,4 passed</t>
  </si>
  <si>
    <t>Unit is operational
Module A1 for reporting</t>
  </si>
  <si>
    <t>Used 5 cartridges</t>
  </si>
  <si>
    <t>DR 0046564</t>
  </si>
  <si>
    <t>https://www.jotform.com/uploads/macarewecare/222927978372067/5829970666886952335/5829970666886952335_signature_28.png</t>
  </si>
  <si>
    <t>Reyzel Marie S.Dulay</t>
  </si>
  <si>
    <t>https://www.jotform.com/uploads/macarewecare/222927978372067/5829970666886952335/5829970666886952335_signature_31.png</t>
  </si>
  <si>
    <t>Nuestra Sra. De Piat District Hospital</t>
  </si>
  <si>
    <t>Maguilling, Piat, Cagayan</t>
  </si>
  <si>
    <t>mariagenevaligas@gmail.com</t>
  </si>
  <si>
    <t>Performed Maintenance
Gathered Reports
Performed Module Replacement
B2(210091136 - 210059766)
Performed Functionality Test</t>
  </si>
  <si>
    <t>https://www.jotform.com/uploads/macarewecare/222927978372067/5829331719982213772/5829331719982213772_signature_28.png</t>
  </si>
  <si>
    <t>Maria Geneva M. Ligas</t>
  </si>
  <si>
    <t>https://www.jotform.com/uploads/macarewecare/222927978372067/5829331719982213772/5829331719982213772_signature_31.png</t>
  </si>
  <si>
    <t>Paniqui Super Health Center</t>
  </si>
  <si>
    <t>Paniqui Tarlac</t>
  </si>
  <si>
    <t>forylab76@yahoo.com</t>
  </si>
  <si>
    <t xml:space="preserve">ASSAY: Xpert MTB/RIF Ultra, COUNT: 164
</t>
  </si>
  <si>
    <t>Unit is operational
4 modules passed calibration</t>
  </si>
  <si>
    <t>https://www.jotform.com/uploads/macarewecare/222927978372067/5829304142911641972/5829304142911641972_signature_28.png</t>
  </si>
  <si>
    <t>Fortune Abutin</t>
  </si>
  <si>
    <t>https://www.jotform.com/uploads/macarewecare/222927978372067/5829304142911641972/5829304142911641972_signature_31.png</t>
  </si>
  <si>
    <t>Talomo North Health Center</t>
  </si>
  <si>
    <t>Sandawa, S.I.R Matina, Davao City</t>
  </si>
  <si>
    <t>alfredojrsantos@gmail.com</t>
  </si>
  <si>
    <t xml:space="preserve">ASSAY: , COUNT: 2091
</t>
  </si>
  <si>
    <t>Module B3 encounter temperature error</t>
  </si>
  <si>
    <t>Replaced the defective Module SN: 625094 with new Module SN: 806700
Clean Surface area, Cartridge Bay, Plunger Rod, Fan Filters and Icore Lenses
Generate IQR, Assay Stat and System Log
Run Xpertcheck on Modules 1,2 and 4</t>
  </si>
  <si>
    <t>Perform Preventive Maintenance, Module Replacement and XpertCheck Calibration</t>
  </si>
  <si>
    <t>https://www.jotform.com/uploads/macarewecare/222927978372067/5829284669229944753/5829284669229944753_signature_28.png</t>
  </si>
  <si>
    <t>Alfredo Santos Jr. RMT</t>
  </si>
  <si>
    <t>https://www.jotform.com/uploads/macarewecare/222927978372067/5829284669229944753/5829284669229944753_signature_31.png</t>
  </si>
  <si>
    <t xml:space="preserve">ASSAY: Xpert HBV VL, COUNT: 15
ASSAY: Xpert MTB/RIF Ultra, COUNT: 2164
ASSAY: Xpert HIV-1 Viral Load, COUNT: 546
</t>
  </si>
  <si>
    <t>Unit is operational except module C1(service required)</t>
  </si>
  <si>
    <t>3 modules passed calibration 1 failed</t>
  </si>
  <si>
    <t>https://www.jotform.com/uploads/macarewecare/222927978372067/5829231953319348292/5829231953319348292_signature_28.png</t>
  </si>
  <si>
    <t>Ethel Mae D. Avellanosa</t>
  </si>
  <si>
    <t>https://www.jotform.com/uploads/macarewecare/222927978372067/5829231953319348292/5829231953319348292_signature_31.png</t>
  </si>
  <si>
    <t xml:space="preserve">ASSAY: Xpert SARS-CoV-2, COUNT: 2377
</t>
  </si>
  <si>
    <t>Unit is operational
2 modules passed calibration
2 newly replaced module</t>
  </si>
  <si>
    <t>https://www.jotform.com/uploads/macarewecare/222927978372067/5829231043312835705/5829231043312835705_signature_28.png</t>
  </si>
  <si>
    <t>https://www.jotform.com/uploads/macarewecare/222927978372067/5829231043312835705/5829231043312835705_signature_31.png</t>
  </si>
  <si>
    <t>genextphmpl@gmail.com</t>
  </si>
  <si>
    <t xml:space="preserve">ASSAY: Xpert SARS-CoV-2, COUNT: 1651
ASSAY: Xpert MTB/RIF Ultra, COUNT: 1196
</t>
  </si>
  <si>
    <t>B3:909438 for module replacement</t>
  </si>
  <si>
    <t>Performed preventive maintenance
Performed module replavement
Gathered reports
Performed functionality test</t>
  </si>
  <si>
    <t>New B3 SN:672264</t>
  </si>
  <si>
    <t>https://www.jotform.com/uploads/macarewecare/222927978372067/5829201335128254788/5829201335128254788_signature_28.png</t>
  </si>
  <si>
    <t>https://www.jotform.com/uploads/macarewecare/222927978372067/5829201335128254788/5829201335128254788_signature_31.png</t>
  </si>
  <si>
    <t>Love Yourself</t>
  </si>
  <si>
    <t>Error code 2096 all modules</t>
  </si>
  <si>
    <t>Perform expert check</t>
  </si>
  <si>
    <t>Clean all modules and perform Expert check for all modules.</t>
  </si>
  <si>
    <t>Module 1,2,3 ok to use and passed for expert check.</t>
  </si>
  <si>
    <t>https://www.jotform.com/uploads/macarewecare/222927978372067/5829132221119593311/5829132221119593311_signature_28.png</t>
  </si>
  <si>
    <t>https://www.jotform.com/uploads/macarewecare/222927978372067/5829132221119593311/5829132221119593311_signature_31.png</t>
  </si>
  <si>
    <t xml:space="preserve">ASSAY: Xpert MTB/RIF Ultra, COUNT: 2202
ASSAY: Xpert SARS-CoV-2, COUNT: 6
ASSAY: Xpert HIV-1 Viral Load, COUNT: 122
</t>
  </si>
  <si>
    <t>For XpertCheck and Preventive Maintenance</t>
  </si>
  <si>
    <t>https://www.jotform.com/uploads/macarewecare/222927978372067/5829053652041321102/5829053652041321102_signature_28.png</t>
  </si>
  <si>
    <t>Romar M. Tamayo</t>
  </si>
  <si>
    <t>https://www.jotform.com/uploads/macarewecare/222927978372067/5829053652041321102/5829053652041321102_signature_31.png</t>
  </si>
  <si>
    <t xml:space="preserve">ASSAY: Xpert MTB/RIF Ultra, COUNT: 1417
ASSAY: Xpert SARS-CoV-2, COUNT: 476
</t>
  </si>
  <si>
    <t>Module B3 recently installed, 15 modules for XpertCheck. 14 modules passed Module; D2 for reporting</t>
  </si>
  <si>
    <t>https://www.jotform.com/uploads/macarewecare/222927978372067/5829051252044731864/5829051252044731864_signature_28.png</t>
  </si>
  <si>
    <t>Efren Notario Jr</t>
  </si>
  <si>
    <t>https://www.jotform.com/uploads/macarewecare/222927978372067/5829051252044731864/5829051252044731864_signature_31.png</t>
  </si>
  <si>
    <t>Pull out tie up unit</t>
  </si>
  <si>
    <t>Pull out genexpert system</t>
  </si>
  <si>
    <t>1kva ups accupower # AT1000190402ST0439, barcode scanner # 1324600508420,HP elite book 8470p # CNU330BSTR</t>
  </si>
  <si>
    <t>https://www.jotform.com/uploads/macarewecare/222927978372067/5828450561214768217/5828450561214768217_signature_28.png</t>
  </si>
  <si>
    <t>Joyce Jasmin Ramos</t>
  </si>
  <si>
    <t>https://www.jotform.com/uploads/macarewecare/222927978372067/5828450561214768217/5828450561214768217_signature_31.png</t>
  </si>
  <si>
    <t>J.P Rizal.,Rodriguez Rizal</t>
  </si>
  <si>
    <t>B2 and B3 failed xpertcheck,</t>
  </si>
  <si>
    <t>https://www.jotform.com/uploads/macarewecare/222927978372067/5826695241222239384/5826695241222239384_signature_28.png</t>
  </si>
  <si>
    <t>https://www.jotform.com/uploads/macarewecare/222927978372067/5826695241222239384/5826695241222239384_signature_31.png</t>
  </si>
  <si>
    <t>Ragay</t>
  </si>
  <si>
    <t xml:space="preserve">ASSAY: Xpert MTB/RIF Ultra, COUNT: 639
</t>
  </si>
  <si>
    <t>B2/801695, B4/862868 for module replacement</t>
  </si>
  <si>
    <t>Replaced Module:
   B2 - 801695&gt;&gt;757700
   B4 - 862868&gt;&gt;757448
Cleaned cartridge bays, plunger rod, fan
Generate reports</t>
  </si>
  <si>
    <t>Replaced Module B2/801695, B4/862868
Performed Preventive Maintenance</t>
  </si>
  <si>
    <t>https://www.jotform.com/uploads/macarewecare/222927978372067/5826693533218313541/5826693533218313541_signature_28.png</t>
  </si>
  <si>
    <t>https://www.jotform.com/uploads/macarewecare/222927978372067/5826693533218313541/5826693533218313541_signature_31.png</t>
  </si>
  <si>
    <t xml:space="preserve">ASSAY: Xpert HBV VL, COUNT: 8
ASSAY: Xpert MTB/RIF Ultra, COUNT: 505
ASSAY: Xpert HCV VL, COUNT: 4
ASSAY: Xpert HIV-1 Viral Load, COUNT: 16
</t>
  </si>
  <si>
    <t>Module B4 for check up</t>
  </si>
  <si>
    <t>- checked and scanned system log (temperature errors 1002 found)
- generated reports
- checked and cleaned cartrdige bay, plunger rod, filter</t>
  </si>
  <si>
    <t>Scanned system log for possible hardware errors</t>
  </si>
  <si>
    <t>Unit is operational
Module B4 for reporting</t>
  </si>
  <si>
    <t>https://www.jotform.com/uploads/macarewecare/222927978372067/5826682972122296190/5826682972122296190_signature_28.png</t>
  </si>
  <si>
    <t>https://www.jotform.com/uploads/macarewecare/222927978372067/5826682972122296190/5826682972122296190_signature_31.png</t>
  </si>
  <si>
    <t>Jualin Felipe St., Sangandaan, Caloocan City</t>
  </si>
  <si>
    <t xml:space="preserve">ASSAY: Xpert MTB/RIF Ultra, COUNT: 1505
</t>
  </si>
  <si>
    <t>Gx IV 6C - D</t>
  </si>
  <si>
    <t>Performed PM
Performed Xpertcheck on modules B1, B2 and B4
All three modules passed
Generated report</t>
  </si>
  <si>
    <t>Performed XpertCheck on modules B1, B2, and B4
Module B3 reported and waiting for replacement</t>
  </si>
  <si>
    <t>unit is operational
3 modules passed
Module B3 waiting for replacement</t>
  </si>
  <si>
    <t>Used 3 Xpert Cartridges</t>
  </si>
  <si>
    <t>DR 46573</t>
  </si>
  <si>
    <t>https://www.jotform.com/uploads/macarewecare/222927978372067/5826640311119345674/5826640311119345674_signature_28.png</t>
  </si>
  <si>
    <t>lloyd maoi de guzman</t>
  </si>
  <si>
    <t>https://www.jotform.com/uploads/macarewecare/222927978372067/5826640311119345674/5826640311119345674_signature_31.png</t>
  </si>
  <si>
    <t>Rogaciano M. Mercado Memorial General Hospital</t>
  </si>
  <si>
    <t>https://www.jotform.com/uploads/macarewecare/222927978372067/5826615292122918322/5826615292122918322_signature_28.png</t>
  </si>
  <si>
    <t>https://www.jotform.com/uploads/macarewecare/222927978372067/5826615292122918322/5826615292122918322_signature_31.png</t>
  </si>
  <si>
    <t>Bay Rural Health Unit</t>
  </si>
  <si>
    <t>Bay, Laguna</t>
  </si>
  <si>
    <t>princessanncatungos@gmail.com</t>
  </si>
  <si>
    <t>rhubaylaboratory@gmail.com</t>
  </si>
  <si>
    <t>https://www.jotform.com/uploads/macarewecare/222927978372067/5826613556013089714/5826613556013089714_signature_28.png</t>
  </si>
  <si>
    <t>Princess Ann D. Catungos</t>
  </si>
  <si>
    <t>https://www.jotform.com/uploads/macarewecare/222927978372067/5826613556013089714/5826613556013089714_signature_31.png</t>
  </si>
  <si>
    <t>Libmanan Rural Health Unit</t>
  </si>
  <si>
    <t>Libmanan</t>
  </si>
  <si>
    <t>B2/210092909 for module replacement</t>
  </si>
  <si>
    <t>Replaced Module: B2 - 210092909&gt;&gt;916366
Cleaned fan filter, fan, module bay
Generate Report</t>
  </si>
  <si>
    <t>Replaced B2/210092909
Performed Module Replacement</t>
  </si>
  <si>
    <t>https://www.jotform.com/uploads/macarewecare/222927978372067/5826586555812746285/5826586555812746285_signature_28.png</t>
  </si>
  <si>
    <t>https://www.jotform.com/uploads/macarewecare/222927978372067/5826586555812746285/5826586555812746285_signature_31.png</t>
  </si>
  <si>
    <t>jayongtangco@yahoo.com</t>
  </si>
  <si>
    <t>Unit for PM.
For Re-Xpertcheck of modules B1, B2 and B3.</t>
  </si>
  <si>
    <t>Performed PM.
-Cleaned and disinfect plunger
-Cleaned and disinfect cartridge bay
-Cleaned and disinfect instrument surface
-Cleaned icore sensors
-Cleaned filter fan
-Archived test results
Performed Re-Xpertcheck.
Generated reports.</t>
  </si>
  <si>
    <t>PM and ReXpertcheck.</t>
  </si>
  <si>
    <t>Unit is operational. Modules B1 (892641), B2 (627110) and B3 (862106), Service Required.</t>
  </si>
  <si>
    <t>Used 4 spare Xpertcheck.</t>
  </si>
  <si>
    <t>https://www.jotform.com/uploads/macarewecare/222927978372067/5826568616225536725/5826568616225536725_signature_28.png</t>
  </si>
  <si>
    <t>Jay M. Ongtangco</t>
  </si>
  <si>
    <t>https://www.jotform.com/uploads/macarewecare/222927978372067/5826568616225536725/5826568616225536725_signature_31.png</t>
  </si>
  <si>
    <t xml:space="preserve">ASSAY: Xpert MTB/RIF Ultra, COUNT: 1071
</t>
  </si>
  <si>
    <t>Module A1 Error 4009</t>
  </si>
  <si>
    <t>Performed Xpertcheck on Module A1
(A1 = Service Required)</t>
  </si>
  <si>
    <t>Performed Maintenance
Gathered Reports
Performed Module Replacement on A2
(784358 - 210012191)
Performed Functionality Test</t>
  </si>
  <si>
    <t>Module A1 for Replacement</t>
  </si>
  <si>
    <t>Genexpert Module and Xpertcheck 1pc</t>
  </si>
  <si>
    <t>https://www.jotform.com/uploads/macarewecare/222927978372067/5826552678987797850/5826552678987797850_signature_28.png</t>
  </si>
  <si>
    <t>https://www.jotform.com/uploads/macarewecare/222927978372067/5826552678987797850/5826552678987797850_signature_31.png</t>
  </si>
  <si>
    <t>Malibay Health Center</t>
  </si>
  <si>
    <t>Malibay, Pasay City</t>
  </si>
  <si>
    <t>ag_abad@yahoo.com</t>
  </si>
  <si>
    <t xml:space="preserve">ASSAY: Xpert MTB/RIF Ultra, COUNT: 933
ASSAY: Xpert CT/NG, COUNT: 13
ASSAY: Xpert HIV-1 Viral Load, COUNT: 138
</t>
  </si>
  <si>
    <t>Performed PM
Performed XpertCheck
All modules passed
Generated report</t>
  </si>
  <si>
    <t>DR 46578</t>
  </si>
  <si>
    <t>https://www.jotform.com/uploads/macarewecare/222927978372067/5826534381115880937/5826534381115880937_signature_28.png</t>
  </si>
  <si>
    <t>Aljandro G. Abad</t>
  </si>
  <si>
    <t>https://www.jotform.com/uploads/macarewecare/222927978372067/5826534381115880937/5826534381115880937_signature_31.png</t>
  </si>
  <si>
    <t>J. P. Laurel Highway, Malvar</t>
  </si>
  <si>
    <t>malvarrhu@gmail.com</t>
  </si>
  <si>
    <t>GX module B1 (877137) in replacement to defective B1 (806219)</t>
  </si>
  <si>
    <t>G6778</t>
  </si>
  <si>
    <t>https://www.jotform.com/uploads/macarewecare/222927978372067/5826491006326040436/5826491006326040436_signature_28.png</t>
  </si>
  <si>
    <t>Baby Bhell A. Abraham</t>
  </si>
  <si>
    <t>https://www.jotform.com/uploads/macarewecare/222927978372067/5826491006326040436/5826491006326040436_signature_31.png</t>
  </si>
  <si>
    <t>https://www.jotform.com/uploads/macarewecare/222927978372067/5826458025025248633/5826458025025248633_signature_28.png</t>
  </si>
  <si>
    <t>https://www.jotform.com/uploads/macarewecare/222927978372067/5826458025025248633/5826458025025248633_signature_31.png</t>
  </si>
  <si>
    <t>https://www.jotform.com/uploads/macarewecare/222927978372067/5826458035026726072/5826458035026726072_signature_28.png</t>
  </si>
  <si>
    <t>https://www.jotform.com/uploads/macarewecare/222927978372067/5826458035026726072/5826458035026726072_signature_31.png</t>
  </si>
  <si>
    <t>https://www.jotform.com/uploads/macarewecare/222927978372067/5826458035026943656/5826458035026943656_signature_28.png</t>
  </si>
  <si>
    <t>https://www.jotform.com/uploads/macarewecare/222927978372067/5826458035026943656/5826458035026943656_signature_31.png</t>
  </si>
  <si>
    <t>https://www.jotform.com/uploads/macarewecare/222927978372067/5826458035029353582/5826458035029353582_signature_28.png</t>
  </si>
  <si>
    <t>https://www.jotform.com/uploads/macarewecare/222927978372067/5826458035029353582/5826458035029353582_signature_31.png</t>
  </si>
  <si>
    <t>Potrero, Malabon</t>
  </si>
  <si>
    <t xml:space="preserve">CALIBRATION
MAINTENANCE
ON-SITE ASSISTANCE
</t>
  </si>
  <si>
    <t xml:space="preserve">ASSAY: Xpert MTB/RIF Ultra, COUNT: 
ASSAY: Xpert MTB/RIF Ultra, COUNT: 2223
ASSAY: Xpert HIV-1 Viral Load, COUNT: 62
</t>
  </si>
  <si>
    <t>Unit for calibration
Printer for installation</t>
  </si>
  <si>
    <t>Performed XpertCheck 
Installed Printer</t>
  </si>
  <si>
    <t>https://www.jotform.com/uploads/macarewecare/222927978372067/5825776947125092192/5825776947125092192_signature_28.png</t>
  </si>
  <si>
    <t>https://www.jotform.com/uploads/macarewecare/222927978372067/5825776947125092192/5825776947125092192_signature_31.png</t>
  </si>
  <si>
    <t xml:space="preserve">ASSAY: Xpert MTB/RIF Ultra, COUNT: 655
</t>
  </si>
  <si>
    <t>Module 1 and 4 temperature error</t>
  </si>
  <si>
    <t>Replaced module 862293 with module 866128</t>
  </si>
  <si>
    <t>Preventive Maintenence and Module Replacement for module 1</t>
  </si>
  <si>
    <t>Module 4 is h/w failed</t>
  </si>
  <si>
    <t>Module 4 will be xpertchecked in the following weeks</t>
  </si>
  <si>
    <t>https://www.jotform.com/uploads/macarewecare/222927978372067/5825773948118458019/5825773948118458019_signature_28.png</t>
  </si>
  <si>
    <t>https://www.jotform.com/uploads/macarewecare/222927978372067/5825773948118458019/5825773948118458019_signature_31.png</t>
  </si>
  <si>
    <t>Brgy. Sindalan, San Fernando City, Pampanga</t>
  </si>
  <si>
    <t>michellehalili17@gmail.com</t>
  </si>
  <si>
    <t>Genexpert GXIV - 10c</t>
  </si>
  <si>
    <t>Unit is Opetational</t>
  </si>
  <si>
    <t>https://www.jotform.com/uploads/macarewecare/222927978372067/5825770750017802178/5825770750017802178_signature_28.png</t>
  </si>
  <si>
    <t>Michelle Angelica Halili</t>
  </si>
  <si>
    <t>https://www.jotform.com/uploads/macarewecare/222927978372067/5825770750017802178/5825770750017802178_signature_31.png</t>
  </si>
  <si>
    <t>Katuparan St., Commonwealth, Quezon City</t>
  </si>
  <si>
    <t>danicalaisa.025@gmail.com</t>
  </si>
  <si>
    <t xml:space="preserve">ASSAY: Xpert HPV, COUNT: 104
ASSAY: Xpert MTB/RIF Ultra, COUNT: 2960
</t>
  </si>
  <si>
    <t>Printer doesn't print</t>
  </si>
  <si>
    <t>Performed PM
Checked printer
Data and power cable working
Reset printer, problem persists
Printer for replacement
Generated report</t>
  </si>
  <si>
    <t>Troubleshoot printer</t>
  </si>
  <si>
    <t>GX is operational
All modules working
Printer for reporting</t>
  </si>
  <si>
    <t>https://www.jotform.com/uploads/macarewecare/222927978372067/5825757183619663574/5825757183619663574_signature_28.png</t>
  </si>
  <si>
    <t>https://www.jotform.com/uploads/macarewecare/222927978372067/5825757183619663574/5825757183619663574_signature_31.png</t>
  </si>
  <si>
    <t>Juan Luna St. Gagalangi Tondo</t>
  </si>
  <si>
    <t xml:space="preserve">ASSAY: Xpert MTB/RIF Ultra, COUNT: 1686
</t>
  </si>
  <si>
    <t>Unit for PM.
For Re-Xpertcheck of module A4.</t>
  </si>
  <si>
    <t>PM and Re-Xpertcheck</t>
  </si>
  <si>
    <t>Unit is operational. Module A4 (644057), service required.</t>
  </si>
  <si>
    <t>Used 2 spare Xpertchecks.</t>
  </si>
  <si>
    <t>https://www.jotform.com/uploads/macarewecare/222927978372067/5825741620756308233/5825741620756308233_signature_28.png</t>
  </si>
  <si>
    <t>Lontoc, Ma. Lorina M.</t>
  </si>
  <si>
    <t>https://www.jotform.com/uploads/macarewecare/222927978372067/5825741620756308233/5825741620756308233_signature_31.png</t>
  </si>
  <si>
    <t>Ilawod, Legazpi City</t>
  </si>
  <si>
    <t xml:space="preserve">ASSAY: Xpert MTB/RIF Ultra, COUNT: 1262
</t>
  </si>
  <si>
    <t>XpertCheck Result:
B1/882523 - Passed
B2/210101409 - Passed
B3/210101426 - Passed
B4/907516 - Passed
Cleaned cartridge bays, plunger rods, icore
Generate reports</t>
  </si>
  <si>
    <t>https://www.jotform.com/uploads/macarewecare/222927978372067/5825683793012427921/5825683793012427921_signature_28.png</t>
  </si>
  <si>
    <t>https://www.jotform.com/uploads/macarewecare/222927978372067/5825683793012427921/5825683793012427921_signature_31.png</t>
  </si>
  <si>
    <t>Philippine Red Cross dagupan chapter</t>
  </si>
  <si>
    <t>No display,Defective lcd</t>
  </si>
  <si>
    <t>Delivered and replaced Membrane panel and display cable
Checked program parameters
Checked and adjust line sensor value
Checked rollers,dpm,spm,centrifuge
Performed functionality test
Performed simulation running</t>
  </si>
  <si>
    <t>Work with Yasser</t>
  </si>
  <si>
    <t>Display cable and Membrane panel</t>
  </si>
  <si>
    <t>https://www.jotform.com/uploads/macarewecare/222927978372067/5825456931896282116/5825456931896282116_signature_28.png</t>
  </si>
  <si>
    <t>Emily Quiros</t>
  </si>
  <si>
    <t>https://www.jotform.com/uploads/macarewecare/222927978372067/5825456931896282116/5825456931896282116_signature_31.png</t>
  </si>
  <si>
    <t>JP Laurel Bajada Davao City</t>
  </si>
  <si>
    <t xml:space="preserve">ASSAY: Xpert MTB/RIF Ultra, COUNT: 2332
ASSAY: Xpert HIV-1 Viral Load, COUNT: 1038
</t>
  </si>
  <si>
    <t>Replaced the defective Module SN: 804865 with new Module SN: 870522
Generate IQR, Assay Stat and System Log</t>
  </si>
  <si>
    <t>3 Modules are operational</t>
  </si>
  <si>
    <t>Module 3 for under observation</t>
  </si>
  <si>
    <t>https://www.jotform.com/uploads/macarewecare/222927978372067/5825007134423015320/5825007134423015320_signature_28.png</t>
  </si>
  <si>
    <t>Flordeliza Go RMT</t>
  </si>
  <si>
    <t>https://www.jotform.com/uploads/macarewecare/222927978372067/5825007134423015320/5825007134423015320_signature_31.png</t>
  </si>
  <si>
    <t>JP Laurel, Bajada Davao City</t>
  </si>
  <si>
    <t xml:space="preserve">ASSAY: Xpert MTB/RIF Ultra, COUNT: 1671
ASSAY: Xpert HIV-1 Viral Load, COUNT: 813
</t>
  </si>
  <si>
    <t>Stuck Cartridge at Module B2</t>
  </si>
  <si>
    <t>Remove the stuck cartridge</t>
  </si>
  <si>
    <t>Perform Removal of Stuck Cartridge</t>
  </si>
  <si>
    <t>Only Module B3 is operational</t>
  </si>
  <si>
    <t>https://www.jotform.com/uploads/macarewecare/222927978372067/5825005574424702595/5825005574424702595_signature_28.png</t>
  </si>
  <si>
    <t>https://www.jotform.com/uploads/macarewecare/222927978372067/5825005574424702595/5825005574424702595_signature_31.png</t>
  </si>
  <si>
    <t>Tigaon RHU</t>
  </si>
  <si>
    <t>Tigaon RTDL</t>
  </si>
  <si>
    <t xml:space="preserve">ASSAY: Xpert MTB/RIF Ultra, COUNT: 1282
</t>
  </si>
  <si>
    <t>B1/862620, B3/862622, B4/695719 - temperature Error</t>
  </si>
  <si>
    <t>Performed Re-XpertCheck for B1, B3, B4
Cleaned cartridge bays, plunger rod, icore
Generate reports</t>
  </si>
  <si>
    <t>Re-XpertCheck B1, B3, B4
Performed Preventive Maintenance</t>
  </si>
  <si>
    <t>Unit is Operational
Re-XC result:
B1/862620 - service required
B3/862622 - service required
B4/695719 - passed</t>
  </si>
  <si>
    <t>B1/862620, B3/862622 for module replacement</t>
  </si>
  <si>
    <t>https://www.jotform.com/uploads/macarewecare/222927978372067/5824943793101121927/5824943793101121927_signature_28.png</t>
  </si>
  <si>
    <t>https://www.jotform.com/uploads/macarewecare/222927978372067/5824943793101121927/5824943793101121927_signature_31.png</t>
  </si>
  <si>
    <t xml:space="preserve">ASSAY: Xpert MTB/RIF Ultra, COUNT: 1866
</t>
  </si>
  <si>
    <t>B2/607968, B4/718686 temperature error</t>
  </si>
  <si>
    <t>XpertCheck Result: 
B2/607968 - service required
B4/718686 - passed
Generate Reports/Result</t>
  </si>
  <si>
    <t>Performed Re-XpertCheck for B2, B4</t>
  </si>
  <si>
    <t>Unit is Operational 
B2/607968 for module replacement</t>
  </si>
  <si>
    <t>https://www.jotform.com/uploads/macarewecare/222927978372067/5824943293109240403/5824943293109240403_signature_28.png</t>
  </si>
  <si>
    <t>https://www.jotform.com/uploads/macarewecare/222927978372067/5824943293109240403/5824943293109240403_signature_31.png</t>
  </si>
  <si>
    <t>H. Lopez Blvd., Balut Tondo</t>
  </si>
  <si>
    <t xml:space="preserve">ASSAY: Xpert CT/NG, COUNT: 10
ASSAY: Xpert HPV, COUNT: 69
ASSAY: Xpert MTB/RIF Ultra, COUNT: 2728
ASSAY: Xpert SARS-CoV-2, COUNT: 7255
ASSAY: Xpert HIV-1 Viral Load, COUNT: 14
</t>
  </si>
  <si>
    <t>Unit is operational. Module C3 (210070826), service required.</t>
  </si>
  <si>
    <t>https://www.jotform.com/uploads/macarewecare/222927978372067/5824830165619681055/5824830165619681055_signature_28.png</t>
  </si>
  <si>
    <t>https://www.jotform.com/uploads/macarewecare/222927978372067/5824830165619681055/5824830165619681055_signature_31.png</t>
  </si>
  <si>
    <t xml:space="preserve">ASSAY: Xpert MTB/RIF Ultra, COUNT: 150
ASSAY: Xpert SARS-CoV-2, COUNT: 11
</t>
  </si>
  <si>
    <t>Unit is operational. Module B1 (677430) &amp; B2 (210070789), service required.</t>
  </si>
  <si>
    <t>https://www.jotform.com/uploads/macarewecare/222927978372067/5824829515615448628/5824829515615448628_signature_28.png</t>
  </si>
  <si>
    <t>https://www.jotform.com/uploads/macarewecare/222927978372067/5824829515615448628/5824829515615448628_signature_31.png</t>
  </si>
  <si>
    <t xml:space="preserve">ASSAY: Xpert MTB/RIF Ultra, COUNT: 522
</t>
  </si>
  <si>
    <t>Performed preventive maintenance (Cartridge bay cleaning, plunger rod cleaning, changed fan filter, archrive data)</t>
  </si>
  <si>
    <t>https://www.jotform.com/uploads/macarewecare/222927978372067/5824789521919611757/5824789521919611757_signature_28.png</t>
  </si>
  <si>
    <t>https://www.jotform.com/uploads/macarewecare/222927978372067/5824789521919611757/5824789521919611757_signature_31.png</t>
  </si>
  <si>
    <t xml:space="preserve">ASSAY: Xpert MTB/RIF Ultra, COUNT: 1283
</t>
  </si>
  <si>
    <t>Module A2 defective</t>
  </si>
  <si>
    <t>-Replace defective module A2/862903 with module SN: 878222</t>
  </si>
  <si>
    <t>DR no. 11116</t>
  </si>
  <si>
    <t>https://www.jotform.com/uploads/macarewecare/222927978372067/5824785901868513765/5824785901868513765_signature_28.png</t>
  </si>
  <si>
    <t>https://www.jotform.com/uploads/macarewecare/222927978372067/5824785901868513765/5824785901868513765_signature_31.png</t>
  </si>
  <si>
    <t xml:space="preserve">ASSAY: Xpert MTB/RIF Ultra, COUNT: 778
</t>
  </si>
  <si>
    <t>Replaced module 807260 with module 758220</t>
  </si>
  <si>
    <t>https://www.jotform.com/uploads/macarewecare/222927978372067/5824777802404638758/5824777802404638758_signature_28.png</t>
  </si>
  <si>
    <t>Aldrin L. Acain</t>
  </si>
  <si>
    <t>https://www.jotform.com/uploads/macarewecare/222927978372067/5824777802404638758/5824777802404638758_signature_31.png</t>
  </si>
  <si>
    <t>M. Naval St., Navotas</t>
  </si>
  <si>
    <t xml:space="preserve">ASSAY: Xpert HPV, COUNT: 70
ASSAY: Xpert MTB/RIF Ultra, COUNT: 1415
</t>
  </si>
  <si>
    <t>https://www.jotform.com/uploads/macarewecare/222927978372067/5824741539743726928/5824741539743726928_signature_28.png</t>
  </si>
  <si>
    <t>https://www.jotform.com/uploads/macarewecare/222927978372067/5824741539743726928/5824741539743726928_signature_31.png</t>
  </si>
  <si>
    <t xml:space="preserve">ASSAY: Xpert HPV, COUNT: 70
ASSAY: Xpert MTB/RIF Ultra, COUNT: 1715
</t>
  </si>
  <si>
    <t>Unit is operational. Module B1 (908485), service required.</t>
  </si>
  <si>
    <t>https://www.jotform.com/uploads/macarewecare/222927978372067/5824741039746680217/5824741039746680217_signature_28.png</t>
  </si>
  <si>
    <t>https://www.jotform.com/uploads/macarewecare/222927978372067/5824741039746680217/5824741039746680217_signature_31.png</t>
  </si>
  <si>
    <t>B3 failed xpert check ,b4 newly replaced, 2 module passed xpertcheck</t>
  </si>
  <si>
    <t>https://www.jotform.com/uploads/macarewecare/222927978372067/5824147330524414886/5824147330524414886_signature_28.png</t>
  </si>
  <si>
    <t>Ivan Tee</t>
  </si>
  <si>
    <t>https://www.jotform.com/uploads/macarewecare/222927978372067/5824147330524414886/5824147330524414886_signature_31.png</t>
  </si>
  <si>
    <t>Due for xoertcheck and maintenance</t>
  </si>
  <si>
    <t>C1 failed xpertcheck, 3 modules passed</t>
  </si>
  <si>
    <t>https://www.jotform.com/uploads/macarewecare/222927978372067/5824146520525743041/5824146520525743041_signature_28.png</t>
  </si>
  <si>
    <t>https://www.jotform.com/uploads/macarewecare/222927978372067/5824146520525743041/5824146520525743041_signature_31.png</t>
  </si>
  <si>
    <t xml:space="preserve">ASSAY: Xpert MTB/RIF Ultra, COUNT: 173
</t>
  </si>
  <si>
    <t>Performed PM.
Performed Xpertcheck.
Generated reports.</t>
  </si>
  <si>
    <t>https://www.jotform.com/uploads/macarewecare/222927978372067/5824029741241240944/5824029741241240944_signature_28.png</t>
  </si>
  <si>
    <t>https://www.jotform.com/uploads/macarewecare/222927978372067/5824029741241240944/5824029741241240944_signature_31.png</t>
  </si>
  <si>
    <t>Filinvest Corporate City, Alabang Muntinlupa City</t>
  </si>
  <si>
    <t>Clinical Laboratory (Training Center)</t>
  </si>
  <si>
    <t>INSTALLATION
Gx operation and assay training</t>
  </si>
  <si>
    <t>Noel Vicente</t>
  </si>
  <si>
    <t>nvicente@macare-medicals.com</t>
  </si>
  <si>
    <t>ritmclinlab@gmail.com</t>
  </si>
  <si>
    <t>ritm.covid19reception@gmail.com</t>
  </si>
  <si>
    <t xml:space="preserve">ASSAY: Xpert MTB/RIF Ultra, COUNT: 
ASSAY: Xpert MTB/RIF Ultra, COUNT: 
</t>
  </si>
  <si>
    <t>Installation, gx operation, assay training</t>
  </si>
  <si>
    <t>Good and operational</t>
  </si>
  <si>
    <t>https://www.jotform.com/uploads/macarewecare/222927978372067/5823973570428006570/5823973570428006570_signature_28.png</t>
  </si>
  <si>
    <t>Maria Nyrissa B. Ubaldo</t>
  </si>
  <si>
    <t>https://www.jotform.com/uploads/macarewecare/222927978372067/5823973570428006570/5823973570428006570_signature_31.png</t>
  </si>
  <si>
    <t xml:space="preserve">ASSAY: Xpert MTB/RIF Ultra, COUNT: 1427
</t>
  </si>
  <si>
    <t>Module 3 error 2014, 4012</t>
  </si>
  <si>
    <t>Replaced module 654516 with module 786645</t>
  </si>
  <si>
    <t>https://www.jotform.com/uploads/macarewecare/222927978372067/5823924211529424483/5823924211529424483_signature_28.png</t>
  </si>
  <si>
    <t>GISELLE M.GIPULAN</t>
  </si>
  <si>
    <t>https://www.jotform.com/uploads/macarewecare/222927978372067/5823924211529424483/5823924211529424483_signature_31.png</t>
  </si>
  <si>
    <t>Poblacion, Malungon, Sarangani</t>
  </si>
  <si>
    <t>ulbenarioe@gmail.com</t>
  </si>
  <si>
    <t>Replace defective module 4 SN:862858 with new module SN:786232
Genexpert machine Cleaning 
Checking of errors 
Data collection: Pre and Post IQR, System log, Assay statistics report and Archive test</t>
  </si>
  <si>
    <t>Genexpert module 6 color SN:786232</t>
  </si>
  <si>
    <t>DR number: 10989</t>
  </si>
  <si>
    <t>https://www.jotform.com/uploads/macarewecare/222927978372067/5823232574314363567/5823232574314363567_signature_28.png</t>
  </si>
  <si>
    <t>https://www.jotform.com/uploads/macarewecare/222927978372067/5823232574314363567/5823232574314363567_signature_31.png</t>
  </si>
  <si>
    <t>Module 2 and 3 H/W failed</t>
  </si>
  <si>
    <t>Replace defective module 2 SN:701378 with new module SN:786418
Replace defective module 3 SN:862410 with new module SN:807256
Genexpert machine Cleaning 
Checking of errors 
Data collection: Pre and Post IQR, System log, Assay statistics report, and archive test</t>
  </si>
  <si>
    <t>Genexpert 6 color module SN:807256 and 786418</t>
  </si>
  <si>
    <t>DR number: 10988 and 10980</t>
  </si>
  <si>
    <t>https://www.jotform.com/uploads/macarewecare/222927978372067/5823232574314919686/5823232574314919686_signature_28.png</t>
  </si>
  <si>
    <t>Janice R. Camiña</t>
  </si>
  <si>
    <t>https://www.jotform.com/uploads/macarewecare/222927978372067/5823232574314919686/5823232574314919686_signature_31.png</t>
  </si>
  <si>
    <t xml:space="preserve">ASSAY: Xpert CT/NG, COUNT: 4
ASSAY: Xpert HPV, COUNT: 1414
ASSAY: Xpert MTB/RIF Ultra, COUNT: 7558
ASSAY: Xpert SARS-CoV-2, COUNT: 2458
ASSAY: Xpert HIV-1 Viral Load, COUNT: 352
ASSAY: Others, COUNT: 10
</t>
  </si>
  <si>
    <t>A1/885370 - broken module door
C2/718898 - for module replacement 
C4/896403 - for module replacement</t>
  </si>
  <si>
    <t>A1/885370 - replaced module door
C2/718898&gt;&gt;789699
C4/896403&gt;&gt;790018</t>
  </si>
  <si>
    <t>A1 - replaced module door
C2, C4 - replaced module</t>
  </si>
  <si>
    <t>https://www.jotform.com/uploads/macarewecare/222927978372067/5823115118214523480/5823115118214523480_signature_28.png</t>
  </si>
  <si>
    <t>Gianne Pornillos</t>
  </si>
  <si>
    <t>https://www.jotform.com/uploads/macarewecare/222927978372067/5823115118214523480/5823115118214523480_signature_31.png</t>
  </si>
  <si>
    <t>Bugasong Rural Health Unit</t>
  </si>
  <si>
    <t>Bugasong, antique</t>
  </si>
  <si>
    <t>jeanelyngabuyogimalay@gmail.com</t>
  </si>
  <si>
    <t>Stucked up carthridge module 2</t>
  </si>
  <si>
    <t>Removal of Stucked up carthridge module 2</t>
  </si>
  <si>
    <t>https://www.jotform.com/uploads/macarewecare/222927978372067/5823061651112980232/5823061651112980232_signature_28.png</t>
  </si>
  <si>
    <t>Jeanelyn G. Imalay</t>
  </si>
  <si>
    <t>https://www.jotform.com/uploads/macarewecare/222927978372067/5823061651112980232/5823061651112980232_signature_31.png</t>
  </si>
  <si>
    <t>Performed maintenance 
Replaced module A1
Generated reports</t>
  </si>
  <si>
    <t>Old: A1/717338
New: A1/662285</t>
  </si>
  <si>
    <t>DR# 11070</t>
  </si>
  <si>
    <t>https://www.jotform.com/uploads/macarewecare/222927978372067/5823015513617131122/5823015513617131122_signature_28.png</t>
  </si>
  <si>
    <t>Necita Perez</t>
  </si>
  <si>
    <t>https://www.jotform.com/uploads/macarewecare/222927978372067/5823015513617131122/5823015513617131122_signature_31.png</t>
  </si>
  <si>
    <t>Performed maintenance 
Cleaned cartridge bay,  plunger rod,  icore and filter 
Generated reports</t>
  </si>
  <si>
    <t>https://www.jotform.com/uploads/macarewecare/222927978372067/5823014643611257454/5823014643611257454_signature_28.png</t>
  </si>
  <si>
    <t>https://www.jotform.com/uploads/macarewecare/222927978372067/5823014643611257454/5823014643611257454_signature_31.png</t>
  </si>
  <si>
    <t>Performed maintenance 
Simulation run 
Checked pump rotors
Verified calibration parameters 
Functionality test</t>
  </si>
  <si>
    <t>https://www.jotform.com/uploads/macarewecare/222927978372067/5822997313615118847/5822997313615118847_signature_28.png</t>
  </si>
  <si>
    <t>Analyn Ponferrada</t>
  </si>
  <si>
    <t>https://www.jotform.com/uploads/macarewecare/222927978372067/5822997313615118847/5822997313615118847_signature_31.png</t>
  </si>
  <si>
    <t>Performed maintenance
Simulation run
Verified calibration parameters
Checked pump rotors
Functionality test</t>
  </si>
  <si>
    <t>https://www.jotform.com/uploads/macarewecare/222927978372067/5822997183613882253/5822997183613882253_signature_28.png</t>
  </si>
  <si>
    <t>Jennifer reyes</t>
  </si>
  <si>
    <t>https://www.jotform.com/uploads/macarewecare/222927978372067/5822997183613882253/5822997183613882253_signature_31.png</t>
  </si>
  <si>
    <t>Performed maintenance 
Simulation run
Checked rotor pump
Verified calibration parameters 
Functionality test</t>
  </si>
  <si>
    <t>https://www.jotform.com/uploads/macarewecare/222927978372067/5822997173616352236/5822997173616352236_signature_28.png</t>
  </si>
  <si>
    <t>https://www.jotform.com/uploads/macarewecare/222927978372067/5822997173616352236/5822997173616352236_signature_31.png</t>
  </si>
  <si>
    <t>https://www.jotform.com/uploads/macarewecare/222927978372067/5822996913611192076/5822996913611192076_signature_28.png</t>
  </si>
  <si>
    <t>https://www.jotform.com/uploads/macarewecare/222927978372067/5822996913611192076/5822996913611192076_signature_31.png</t>
  </si>
  <si>
    <t>https://www.jotform.com/uploads/macarewecare/222927978372067/5822996913613869307/5822996913613869307_signature_28.png</t>
  </si>
  <si>
    <t>https://www.jotform.com/uploads/macarewecare/222927978372067/5822996913613869307/5822996913613869307_signature_31.png</t>
  </si>
  <si>
    <t>Department oh Health Treatment and Rehabilitation Center - Bicutan</t>
  </si>
  <si>
    <t>Camp Bagong Diwa, Taguig</t>
  </si>
  <si>
    <t>dohtrcbicutan.lab@yahoo.com</t>
  </si>
  <si>
    <t xml:space="preserve">ASSAY: Xpert MTB/RIF Ultra, COUNT: 1896
</t>
  </si>
  <si>
    <t>CPU does not continue to boot and blue screen error appears</t>
  </si>
  <si>
    <t>Troubleshooting of CPU</t>
  </si>
  <si>
    <t>Reseat internal connection of CPU
Cleaned RAM
Performed disk checking
Performed maintenance 
Generated reports</t>
  </si>
  <si>
    <t>Unit is operational. CPU under observation.</t>
  </si>
  <si>
    <t>CPU SN: 2UA5212D9Y</t>
  </si>
  <si>
    <t>https://www.jotform.com/uploads/macarewecare/222927978372067/5822996913614786015/5822996913614786015_signature_28.png</t>
  </si>
  <si>
    <t>John Jay O. Madlangbayan, RMT</t>
  </si>
  <si>
    <t>https://www.jotform.com/uploads/macarewecare/222927978372067/5822996913614786015/5822996913614786015_signature_31.png</t>
  </si>
  <si>
    <t>ballesrerichard18@gmail.com</t>
  </si>
  <si>
    <t xml:space="preserve">ASSAY: Xpert MTB/RIF Ultra, COUNT: 869
ASSAY: Xpert HIV-1 Viral Load, COUNT: 68
</t>
  </si>
  <si>
    <t>Performed maintenance 
 Replaced module A2
 Generated reports</t>
  </si>
  <si>
    <t>Unit is operational. Module A1 not operational. Reported already.</t>
  </si>
  <si>
    <t>Old: A2/754519
New: A2/220005534</t>
  </si>
  <si>
    <t>DR# 11119</t>
  </si>
  <si>
    <t>https://www.jotform.com/uploads/macarewecare/222927978372067/5822996913617982494/5822996913617982494_signature_28.png</t>
  </si>
  <si>
    <t>https://www.jotform.com/uploads/macarewecare/222927978372067/5822996913617982494/5822996913617982494_signature_31.png</t>
  </si>
  <si>
    <t>C5 Road</t>
  </si>
  <si>
    <t xml:space="preserve">ASSAY: Xpert MTB/RIF Ultra, COUNT: 3182
ASSAY: Xpert HIV-1 Viral Load, COUNT: 791
</t>
  </si>
  <si>
    <t>Module A1 and A4 has error 4009</t>
  </si>
  <si>
    <t>Run XpertCheck on  modules A1 and A4</t>
  </si>
  <si>
    <t>Performed maintenance
 Run XpertCheck on modules A1 and A4
Generated reports</t>
  </si>
  <si>
    <t>Unit is Operational. Modules A1 and A4 passed the Xpertcheck  but under observation.</t>
  </si>
  <si>
    <t>https://www.jotform.com/uploads/macarewecare/222927978372067/5822996913618297628/5822996913618297628_signature_28.png</t>
  </si>
  <si>
    <t>https://www.jotform.com/uploads/macarewecare/222927978372067/5822996913618297628/5822996913618297628_signature_31.png</t>
  </si>
  <si>
    <t xml:space="preserve">ASSAY: Xpert HPV, COUNT: 80
ASSAY: Xpert MTB/RIF Ultra, COUNT: 625
ASSAY: Others, COUNT: 24
</t>
  </si>
  <si>
    <t>- Cleaned Cartridge Bays, Plunger Rods and I-CORE 
- Replaced Defective Module 220011692 &gt;&gt;&gt; 210056927
- Generated Reports</t>
  </si>
  <si>
    <t>GeneXpert Module 210056927</t>
  </si>
  <si>
    <t>https://www.jotform.com/uploads/macarewecare/222927978372067/5822648140947050824/5822648140947050824_signature_28.png</t>
  </si>
  <si>
    <t>https://www.jotform.com/uploads/macarewecare/222927978372067/5822648140947050824/5822648140947050824_signature_31.png</t>
  </si>
  <si>
    <t>https://www.jotform.com/uploads/macarewecare/222927978372067/5822646580947669003/5822646580947669003_signature_28.png</t>
  </si>
  <si>
    <t>https://www.jotform.com/uploads/macarewecare/222927978372067/5822646580947669003/5822646580947669003_signature_31.png</t>
  </si>
  <si>
    <t xml:space="preserve">ASSAY: Xpert MTB/RIF Ultra, COUNT: 1287
</t>
  </si>
  <si>
    <t>https://www.jotform.com/uploads/macarewecare/222927978372067/5822644880947698556/5822644880947698556_signature_28.png</t>
  </si>
  <si>
    <t>https://www.jotform.com/uploads/macarewecare/222927978372067/5822644880947698556/5822644880947698556_signature_31.png</t>
  </si>
  <si>
    <t>College of Medicine</t>
  </si>
  <si>
    <t>DR 11134</t>
  </si>
  <si>
    <t>https://www.jotform.com/uploads/macarewecare/222927978372067/5822640540941872016/5822640540941872016_signature_28.png</t>
  </si>
  <si>
    <t>Dr. Patrick James Peralta</t>
  </si>
  <si>
    <t>https://www.jotform.com/uploads/macarewecare/222927978372067/5822640540941872016/5822640540941872016_signature_31.png</t>
  </si>
  <si>
    <t>674 NS Amoranto Sr. ST. QC</t>
  </si>
  <si>
    <t xml:space="preserve">ASSAY: Xpert BCR-ABL Ultra, COUNT: 58
ASSAY: Xpert HPV, COUNT: 8
ASSAY: Xpert MTB/RIF Ultra, COUNT: 5602
</t>
  </si>
  <si>
    <t>Module B1:677244 defective and for module replacement</t>
  </si>
  <si>
    <t>Replaced module B1 with new moduke sn: 687400</t>
  </si>
  <si>
    <t>Performed module replacement.
Performed maintenance.
Geberate reports.</t>
  </si>
  <si>
    <t>Good mod SN: 687400</t>
  </si>
  <si>
    <t>DR number: 11154</t>
  </si>
  <si>
    <t>https://www.jotform.com/uploads/macarewecare/222927978372067/5820630040395107642/5820630040395107642_signature_28.png</t>
  </si>
  <si>
    <t>Glenn Christian A. Banlaygas</t>
  </si>
  <si>
    <t>https://www.jotform.com/uploads/macarewecare/222927978372067/5820630040395107642/5820630040395107642_signature_31.png</t>
  </si>
  <si>
    <t xml:space="preserve">ASSAY: Xpert MTB/RIF Ultra, COUNT: 1204
ASSAY: Xpert HIV-1 Viral Load, COUNT: 440
</t>
  </si>
  <si>
    <t>Performed PM
Replaced module A4
Generated report</t>
  </si>
  <si>
    <t>Replaced module A4
210059851 -&gt; 877032</t>
  </si>
  <si>
    <t>G 6764</t>
  </si>
  <si>
    <t>https://www.jotform.com/uploads/macarewecare/222927978372067/5820617773721516927/5820617773721516927_signature_28.png</t>
  </si>
  <si>
    <t>https://www.jotform.com/uploads/macarewecare/222927978372067/5820617773721516927/5820617773721516927_signature_31.png</t>
  </si>
  <si>
    <t>cholab20@gmail.com</t>
  </si>
  <si>
    <t xml:space="preserve">ASSAY: Xpert MTB/RIF Ultra, COUNT: 2387
</t>
  </si>
  <si>
    <t>https://www.jotform.com/uploads/macarewecare/222927978372067/5820558860316943868/5820558860316943868_signature_28.png</t>
  </si>
  <si>
    <t>https://www.jotform.com/uploads/macarewecare/222927978372067/5820558860316943868/5820558860316943868_signature_31.png</t>
  </si>
  <si>
    <t>mikaelamagno02@gmail.com</t>
  </si>
  <si>
    <t xml:space="preserve">ASSAY: Xpert HPV, COUNT: 3
ASSAY: Xpert MTB/RIF Ultra, COUNT: 271
</t>
  </si>
  <si>
    <t>https://www.jotform.com/uploads/macarewecare/222927978372067/5820553838513356994/5820553838513356994_signature_28.png</t>
  </si>
  <si>
    <t>https://www.jotform.com/uploads/macarewecare/222927978372067/5820553838513356994/5820553838513356994_signature_31.png</t>
  </si>
  <si>
    <t>Installed new purchased UPS (Uninterrupted power supply</t>
  </si>
  <si>
    <t>https://www.jotform.com/uploads/macarewecare/222927978372067/5820534057905703337/5820534057905703337_signature_28.png</t>
  </si>
  <si>
    <t>Philippine Red Cross Zamboanga City Chapter</t>
  </si>
  <si>
    <t>https://www.jotform.com/uploads/macarewecare/222927978372067/5820534057905703337/5820534057905703337_signature_31.png</t>
  </si>
  <si>
    <t>Checked up</t>
  </si>
  <si>
    <t>2006T</t>
  </si>
  <si>
    <t>For quotation of filters</t>
  </si>
  <si>
    <t>Checked filters</t>
  </si>
  <si>
    <t>Need to replace pre filter and filter 2,3,4 for quotation</t>
  </si>
  <si>
    <t>https://www.jotform.com/uploads/macarewecare/222927978372067/5820516058997735677/5820516058997735677_signature_28.png</t>
  </si>
  <si>
    <t>Mary Suzette A. De Guzman</t>
  </si>
  <si>
    <t>https://www.jotform.com/uploads/macarewecare/222927978372067/5820516058997735677/5820516058997735677_signature_31.png</t>
  </si>
  <si>
    <t>East avenuv.,QC</t>
  </si>
  <si>
    <t xml:space="preserve">ASSAY: Xpert BCR-ABL Ultra, COUNT: 1208
ASSAY: Others, COUNT: 43
ASSAY: Xpert HBV VL, COUNT: 866
ASSAY: Xpert HPV, COUNT: 94
ASSAY: Xpert MTB/RIF, COUNT: 524
ASSAY: Xpert MTB/RIF Ultra, COUNT: 1939
ASSAY: Xpert SARS-CoV-2, COUNT: 15094
ASSAY: Xpert HCV VL, COUNT: 88
</t>
  </si>
  <si>
    <t>For module replacement C2 210009197- 646651. C4 890075 and A4 882420 encounter continous temp error 4017,4012</t>
  </si>
  <si>
    <t>A4 and C4 for replacement and for quotation, A2 for reporting 13 module operational</t>
  </si>
  <si>
    <t>https://www.jotform.com/uploads/macarewecare/222927978372067/5820514938991752688/5820514938991752688_signature_28.png</t>
  </si>
  <si>
    <t>https://www.jotform.com/uploads/macarewecare/222927978372067/5820514938991752688/5820514938991752688_signature_31.png</t>
  </si>
  <si>
    <t>Tanauan City Health Office</t>
  </si>
  <si>
    <t>Tanauan City</t>
  </si>
  <si>
    <t>edithramilo04@gmail.com</t>
  </si>
  <si>
    <t>Performed installation.
Generated reports.</t>
  </si>
  <si>
    <t>https://www.jotform.com/uploads/macarewecare/222927978372067/5820514469113567424/5820514469113567424_signature_28.png</t>
  </si>
  <si>
    <t>EDITA D. RAMILO</t>
  </si>
  <si>
    <t>https://www.jotform.com/uploads/macarewecare/222927978372067/5820514469113567424/5820514469113567424_signature_31.png</t>
  </si>
  <si>
    <t>Poblacion, Talavera, Nueva Ecija</t>
  </si>
  <si>
    <t>pjgteh@gmail.com</t>
  </si>
  <si>
    <t xml:space="preserve">ASSAY: Xpert HBV VL, COUNT: 79
ASSAY: Xpert MTB/RIF Ultra, COUNT: 642
ASSAY: Xpert CT/NG, COUNT: 3
ASSAY: Xpert HCV VL, COUNT: 6
ASSAY: Xpert HIV-1 Viral Load, COUNT: 184
</t>
  </si>
  <si>
    <t>For Calibration this July 2024</t>
  </si>
  <si>
    <t>https://www.jotform.com/uploads/macarewecare/222927978372067/5820501560315406803/5820501560315406803_signature_28.png</t>
  </si>
  <si>
    <t>John Carlo P. Cuanan</t>
  </si>
  <si>
    <t>https://www.jotform.com/uploads/macarewecare/222927978372067/5820501560315406803/5820501560315406803_signature_31.png</t>
  </si>
  <si>
    <t>Pulong buli, Sto. Domingo, Nueva Ecija</t>
  </si>
  <si>
    <t xml:space="preserve">MAINTENANCE
TROUBLESHOOTING
ON-SITE ASSISTANCE
</t>
  </si>
  <si>
    <t xml:space="preserve">ASSAY: Xpert MTB/RIF Ultra, COUNT: 1033
</t>
  </si>
  <si>
    <t>Module 2 error 4006</t>
  </si>
  <si>
    <t>https://www.jotform.com/uploads/macarewecare/222927978372067/5820457360319355478/5820457360319355478_signature_28.png</t>
  </si>
  <si>
    <t>Haydee Alejo</t>
  </si>
  <si>
    <t>https://www.jotform.com/uploads/macarewecare/222927978372067/5820457360319355478/5820457360319355478_signature_31.png</t>
  </si>
  <si>
    <t>Dipolog City, Zamboanga del Norte</t>
  </si>
  <si>
    <t xml:space="preserve">ASSAY: Xpert MTB/RIF Ultra, COUNT: 1310
ASSAY: Xpert HIV-1 Viral Load, COUNT: 25
</t>
  </si>
  <si>
    <t>GXIV-II</t>
  </si>
  <si>
    <t>Module B2 temp error</t>
  </si>
  <si>
    <t>Module B2 disabled but no recent error. Module B1 operational.</t>
  </si>
  <si>
    <t>Module B2 under observation.</t>
  </si>
  <si>
    <t>https://www.jotform.com/uploads/macarewecare/222927978372067/5820408953742278309/5820408953742278309_signature_28.png</t>
  </si>
  <si>
    <t>https://www.jotform.com/uploads/macarewecare/222927978372067/5820408953742278309/5820408953742278309_signature_31.png</t>
  </si>
  <si>
    <t>925 Quirino Highway, Novaliches, Quezon City</t>
  </si>
  <si>
    <t>elyvettemacalalagbasa@gmail.com</t>
  </si>
  <si>
    <t xml:space="preserve">ASSAY: Xpert HPV, COUNT: 198
ASSAY: Xpert MTB/RIF Ultra, COUNT: 1767
ASSAY: Xpert HIV-1 Viral Load, COUNT: 265
</t>
  </si>
  <si>
    <t>Performed PM
Replaced Module B3
Generated report</t>
  </si>
  <si>
    <t>Replaced module B3
688602 -&gt; 874837</t>
  </si>
  <si>
    <t>U it is operational.
All modules working</t>
  </si>
  <si>
    <t>GX IV 6C module</t>
  </si>
  <si>
    <t>G 6763</t>
  </si>
  <si>
    <t>https://www.jotform.com/uploads/macarewecare/222927978372067/5820405535795782170/5820405535795782170_signature_28.png</t>
  </si>
  <si>
    <t>ma, Jocelyn c utanes</t>
  </si>
  <si>
    <t>https://www.jotform.com/uploads/macarewecare/222927978372067/5820405535795782170/5820405535795782170_signature_31.png</t>
  </si>
  <si>
    <t>Almaguer North, Bambang, Nueva Vizcaya</t>
  </si>
  <si>
    <t xml:space="preserve">ASSAY: Xpert MTB/RIF, COUNT: 1529
</t>
  </si>
  <si>
    <t>Modules B1 and B2 error
Printer not working</t>
  </si>
  <si>
    <t>Troubleshoot Printer
Performed Xpertcheck on Modules B1 and B2
B1 = Service Required
B2 = Service Required</t>
  </si>
  <si>
    <t>Printer and Modules B1 &amp; B2 for Replacement</t>
  </si>
  <si>
    <t>https://www.jotform.com/uploads/macarewecare/222927978372067/5819799522213517915/5819799522213517915_signature_28.png</t>
  </si>
  <si>
    <t>https://www.jotform.com/uploads/macarewecare/222927978372067/5819799522213517915/5819799522213517915_signature_31.png</t>
  </si>
  <si>
    <t>Pasay City, Metro Manila</t>
  </si>
  <si>
    <t>cerissalynsabado@yahoo.com</t>
  </si>
  <si>
    <t>GX IV 6C- D</t>
  </si>
  <si>
    <t>Module A3 and A4 frequent lost communication error</t>
  </si>
  <si>
    <t>Performed PM
Checked system log
1000+ lost comm error
Replaced Gateway board
Tightened screws
GX for monitoring if lost comm problem solved
Generated report</t>
  </si>
  <si>
    <t>Replaced Gateway board</t>
  </si>
  <si>
    <t>https://www.jotform.com/uploads/macarewecare/222927978372067/5819786111819783833/5819786111819783833_signature_28.png</t>
  </si>
  <si>
    <t>jouana marie sumando</t>
  </si>
  <si>
    <t>https://www.jotform.com/uploads/macarewecare/222927978372067/5819786111819783833/5819786111819783833_signature_31.png</t>
  </si>
  <si>
    <t>Dapitan City, Zamboanga del Norte</t>
  </si>
  <si>
    <t>Module C2 defective</t>
  </si>
  <si>
    <t>-Replace defective module C2/888548 with module SN: 754396</t>
  </si>
  <si>
    <t>https://www.jotform.com/uploads/macarewecare/222927978372067/5819756664425509802/5819756664425509802_signature_28.png</t>
  </si>
  <si>
    <t>Mendel Q. Calumba</t>
  </si>
  <si>
    <t>https://www.jotform.com/uploads/macarewecare/222927978372067/5819756664425509802/5819756664425509802_signature_31.png</t>
  </si>
  <si>
    <t>Compostela Rural Health Unit</t>
  </si>
  <si>
    <t>Poblacion Compostela, Davao De Oro</t>
  </si>
  <si>
    <t>comp.clin.lab@gmail.com</t>
  </si>
  <si>
    <t>nielmaquiling20@gmail.com</t>
  </si>
  <si>
    <t xml:space="preserve">ASSAY: Xpert MTB/RIF Ultra, COUNT: 1570
</t>
  </si>
  <si>
    <t>System Unit for Replacement</t>
  </si>
  <si>
    <t>Replaced the Defective System Unit SN: 2UA52027TS with new System Unit SN: CPH1023F45886
Clean Surface Area, Cartridge Bay, Plunger Rod, Fan Filters and Icore Lenses
Generate IQR, Assay Stat and System Log
Migrate the datas to new system unit</t>
  </si>
  <si>
    <t>Perform System Unit replacement</t>
  </si>
  <si>
    <t>Module B3 encounter temperature related errors</t>
  </si>
  <si>
    <t>Data gathered to be sent at Cepheid for further assessment</t>
  </si>
  <si>
    <t>https://www.jotform.com/uploads/macarewecare/222927978372067/5819748350912740601/5819748350912740601_signature_28.png</t>
  </si>
  <si>
    <t>Neil C. Maquiling RMT</t>
  </si>
  <si>
    <t>https://www.jotform.com/uploads/macarewecare/222927978372067/5819748350912740601/5819748350912740601_signature_31.png</t>
  </si>
  <si>
    <t>Cebu TB Reference Laboratory</t>
  </si>
  <si>
    <t>Module B3 hardware fail serial number 863551 B3</t>
  </si>
  <si>
    <t>Replace module B3 with new serial number 877045</t>
  </si>
  <si>
    <t>https://www.jotform.com/uploads/macarewecare/222927978372067/5819731353693606337/5819731353693606337_signature_28.png</t>
  </si>
  <si>
    <t>Alan Montiquilla</t>
  </si>
  <si>
    <t>https://www.jotform.com/uploads/macarewecare/222927978372067/5819731353693606337/5819731353693606337_signature_31.png</t>
  </si>
  <si>
    <t>GeneXpert Monitor
SN: AV1215CMQY05B01060568</t>
  </si>
  <si>
    <t>https://www.jotform.com/uploads/macarewecare/222927978372067/5819727975191010278/5819727975191010278_signature_28.png</t>
  </si>
  <si>
    <t>https://www.jotform.com/uploads/macarewecare/222927978372067/5819727975191010278/5819727975191010278_signature_31.png</t>
  </si>
  <si>
    <t>Unit is operational
C1: passed
C3: service required</t>
  </si>
  <si>
    <t>https://www.jotform.com/uploads/macarewecare/222927978372067/5819681267321417938/5819681267321417938_signature_28.png</t>
  </si>
  <si>
    <t>Maria Theresa Nunez</t>
  </si>
  <si>
    <t>https://www.jotform.com/uploads/macarewecare/222927978372067/5819681267321417938/5819681267321417938_signature_31.png</t>
  </si>
  <si>
    <t>Norzagaray, Bulacan</t>
  </si>
  <si>
    <t xml:space="preserve">ASSAY: Xpert MTB/RIF Ultra, COUNT: 1245
ASSAY: Xpert MTB/RIF Ultra, COUNT: 1245
</t>
  </si>
  <si>
    <t>Unit is operational
B1, B3, B4 passed calibration</t>
  </si>
  <si>
    <t>https://www.jotform.com/uploads/macarewecare/222927978372067/5819681267322604956/5819681267322604956_signature_28.png</t>
  </si>
  <si>
    <t>Rowena Cruz</t>
  </si>
  <si>
    <t>https://www.jotform.com/uploads/macarewecare/222927978372067/5819681267322604956/5819681267322604956_signature_31.png</t>
  </si>
  <si>
    <t xml:space="preserve">ASSAY: Xpert MTB/RIF Ultra, COUNT: 2489
ASSAY: Xpert HIV-1 Viral Load, COUNT: 132
ASSAY: Xpert MTB/RIF Ultra, COUNT: 2489
ASSAY: Xpert HIV-1 Viral Load, COUNT: 132
</t>
  </si>
  <si>
    <t>Unit for calibration
UPS for troubleshooting</t>
  </si>
  <si>
    <t>Unit is operational
All modules passed
UPS is recommended for replacement (no back up power)</t>
  </si>
  <si>
    <t>https://www.jotform.com/uploads/macarewecare/222927978372067/5819681267323647298/5819681267323647298_signature_28.png</t>
  </si>
  <si>
    <t>Teresita Mendoza</t>
  </si>
  <si>
    <t>https://www.jotform.com/uploads/macarewecare/222927978372067/5819681267323647298/5819681267323647298_signature_31.png</t>
  </si>
  <si>
    <t>Unit is operational
B4 passed the calibration</t>
  </si>
  <si>
    <t>https://www.jotform.com/uploads/macarewecare/222927978372067/5819681267329657673/5819681267329657673_signature_28.png</t>
  </si>
  <si>
    <t>https://www.jotform.com/uploads/macarewecare/222927978372067/5819681267329657673/5819681267329657673_signature_31.png</t>
  </si>
  <si>
    <t xml:space="preserve">ASSAY: Xpert MTB/RIF Ultra, COUNT: 2548
ASSAY: Xpert HIV-1 Viral Load, COUNT: 151
</t>
  </si>
  <si>
    <t>Module C3 ultrasonic error</t>
  </si>
  <si>
    <t>Performed XpertCheck on C3</t>
  </si>
  <si>
    <t>Unit is operational
C3 requires service</t>
  </si>
  <si>
    <t>https://www.jotform.com/uploads/macarewecare/222927978372067/5819681267329904139/5819681267329904139_signature_28.png</t>
  </si>
  <si>
    <t>https://www.jotform.com/uploads/macarewecare/222927978372067/5819681267329904139/5819681267329904139_signature_31.png</t>
  </si>
  <si>
    <t xml:space="preserve">ASSAY: Xpert MTB/RIF Ultra, COUNT: 4504
ASSAY: Xpert HIV-1 Viral Load, COUNT: 196
</t>
  </si>
  <si>
    <t>Module 3 error 4008</t>
  </si>
  <si>
    <t>Troubleshoot module 3
Check the fuse of module 3</t>
  </si>
  <si>
    <t>Performed Maintenance
Gathered Reports
Performed Module Replacement 
(874222 - 861608)
Performed Functionality Test</t>
  </si>
  <si>
    <t>Fuse Broken</t>
  </si>
  <si>
    <t>Genexpert Module - 861608</t>
  </si>
  <si>
    <t>https://www.jotform.com/uploads/macarewecare/222927978372067/5819665492215547879/5819665492215547879_signature_28.png</t>
  </si>
  <si>
    <t>Cassandra Cates Ramos</t>
  </si>
  <si>
    <t>https://www.jotform.com/uploads/macarewecare/222927978372067/5819665492215547879/5819665492215547879_signature_31.png</t>
  </si>
  <si>
    <t>Sampaloc Manila</t>
  </si>
  <si>
    <t>Unit for PM.
For module replacement of modules A2 and A4.</t>
  </si>
  <si>
    <t>Performed PM.
Performed module replacement.
Generated reports.</t>
  </si>
  <si>
    <t>GX module A2 (877065) ans A4 (877133) in replacement to defective A2 (671861) and A4 (882082).</t>
  </si>
  <si>
    <t>https://www.jotform.com/uploads/macarewecare/222927978372067/5819654361266122205/5819654361266122205_signature_28.png</t>
  </si>
  <si>
    <t>https://www.jotform.com/uploads/macarewecare/222927978372067/5819654361266122205/5819654361266122205_signature_31.png</t>
  </si>
  <si>
    <t>GX module B1 (869596) in replacement to defective B1 (210101692).</t>
  </si>
  <si>
    <t>https://www.jotform.com/uploads/macarewecare/222927978372067/5819653661262142721/5819653661262142721_signature_28.png</t>
  </si>
  <si>
    <t>Clarinda Sharon P, Surell</t>
  </si>
  <si>
    <t>https://www.jotform.com/uploads/macarewecare/222927978372067/5819653661262142721/5819653661262142721_signature_31.png</t>
  </si>
  <si>
    <t>Quezon City Health Department Building, Gate 4, Quezon City Hall Compound</t>
  </si>
  <si>
    <t xml:space="preserve">ASSAY: Xpert CT/NG, COUNT: 27
ASSAY: Xpert MTB/RIF Ultra, COUNT: 720
ASSAY: Xpert HIV-1 Viral Load, COUNT: 1458
</t>
  </si>
  <si>
    <t>Unit for setup in new location
Unit due for Calibration 
UPS Checking</t>
  </si>
  <si>
    <t>Performed PM
Setup GX and Hardware
Checked UPS
UPS does not turn on
Recommended for replacement
Performed XpertCheck
Generated report</t>
  </si>
  <si>
    <t>Setup GX machine and hardware to new location
Klinika Bernardo, Magsaysay Ave. Ermin Garcia St, Brgy. Pinagkaisagan 
transferred to 
Quezon City Health Department Building, Gate 4, Quezon City Hall Compound
Module 1&amp;2 passed XpertCheck
Module 3&amp;4 for retry, cartridge lacking</t>
  </si>
  <si>
    <t>Unit is operational
All modules working
UPS for replacement
To retry XpertCheck when kits arrive</t>
  </si>
  <si>
    <t>Used 5 XpertCheck kit</t>
  </si>
  <si>
    <t>https://www.jotform.com/uploads/macarewecare/222927978372067/5819649667699580655/5819649667699580655_signature_28.png</t>
  </si>
  <si>
    <t>Mylen Sibal, RMT</t>
  </si>
  <si>
    <t>https://www.jotform.com/uploads/macarewecare/222927978372067/5819649667699580655/5819649667699580655_signature_31.png</t>
  </si>
  <si>
    <t>Stucked up cartridge in Module 3</t>
  </si>
  <si>
    <t>Removed cartridge in module 3</t>
  </si>
  <si>
    <t>https://www.jotform.com/uploads/macarewecare/222927978372067/5819156821915650603/5819156821915650603_signature_28.png</t>
  </si>
  <si>
    <t>https://www.jotform.com/uploads/macarewecare/222927978372067/5819156821915650603/5819156821915650603_signature_31.png</t>
  </si>
  <si>
    <t>E.Rodriguez, QC</t>
  </si>
  <si>
    <t xml:space="preserve">ASSAY: Xpert BCR-ABL Ultra, COUNT: 28
ASSAY: Xpert MTB/RIF Ultra, COUNT: 3019
ASSAY: Xpert SARS-CoV-2, COUNT: 4999
ASSAY: Others, COUNT: 10
</t>
  </si>
  <si>
    <t>https://www.jotform.com/uploads/macarewecare/222927978372067/5819127479963477420/5819127479963477420_signature_28.png</t>
  </si>
  <si>
    <t>https://www.jotform.com/uploads/macarewecare/222927978372067/5819127479963477420/5819127479963477420_signature_31.png</t>
  </si>
  <si>
    <t>jel472020@gmail.com</t>
  </si>
  <si>
    <t>https://www.jotform.com/uploads/macarewecare/222927978372067/5819126969964815617/5819126969964815617_signature_28.png</t>
  </si>
  <si>
    <t>Jasmin A. Magtalas</t>
  </si>
  <si>
    <t>https://www.jotform.com/uploads/macarewecare/222927978372067/5819126969964815617/5819126969964815617_signature_31.png</t>
  </si>
  <si>
    <t>East Avenue, QC</t>
  </si>
  <si>
    <t xml:space="preserve">ASSAY: Xpert MTB/RIF Ultra, COUNT: 572
ASSAY: Others, COUNT: 2
ASSAY: Xpert SARS-CoV-2, COUNT: 1062
</t>
  </si>
  <si>
    <t>For module replacement D2 653968 - 220015088, C4 628454-22001525, C3 645559 - 220015090, C1 668429 -220015305, B3 662646 - 22005301, A3 644007 -220015266, A4 634060 - 220015133, B4 804727 -220015270</t>
  </si>
  <si>
    <t>https://www.jotform.com/uploads/macarewecare/222927978372067/5819125699964558870/5819125699964558870_signature_28.png</t>
  </si>
  <si>
    <t>https://www.jotform.com/uploads/macarewecare/222927978372067/5819125699964558870/5819125699964558870_signature_31.png</t>
  </si>
  <si>
    <t>East ave. QC</t>
  </si>
  <si>
    <t>Relocation of genexpert</t>
  </si>
  <si>
    <t xml:space="preserve">ASSAY: Xpert CT/NG, COUNT: 291
ASSAY: Xpert HPV, COUNT: 159
ASSAY: Xpert SARS-CoV-2, COUNT: 858
</t>
  </si>
  <si>
    <t>For transfer from molecular to tb dots</t>
  </si>
  <si>
    <t>Re installed gx, Cleaned unit
Cleaned plunger rod,filter,icore,cartridge bay
Gathered reports
Test run unit</t>
  </si>
  <si>
    <t>Relocation and installation</t>
  </si>
  <si>
    <t>Network 2 gx machine pbsp and hbdc</t>
  </si>
  <si>
    <t>https://www.jotform.com/uploads/macarewecare/222927978372067/5819125149963333902/5819125149963333902_signature_28.png</t>
  </si>
  <si>
    <t>https://www.jotform.com/uploads/macarewecare/222927978372067/5819125149963333902/5819125149963333902_signature_31.png</t>
  </si>
  <si>
    <t>National Government Center Super Health Center</t>
  </si>
  <si>
    <t>NGC Sentrong Sigla Health Center, MRB compound, Pilot Drive, Commonwealth</t>
  </si>
  <si>
    <t>Filter for replacement
Bios time not synced</t>
  </si>
  <si>
    <t>Performed PM
Changed filter
Bios battery changed
Monitor if time syncs automatically
Generated report</t>
  </si>
  <si>
    <t>Replaced Filter
Replaced bios battery</t>
  </si>
  <si>
    <t>https://www.jotform.com/uploads/macarewecare/222927978372067/5818911221817878637/5818911221817878637_signature_28.png</t>
  </si>
  <si>
    <t>Mila N. Baldovizo</t>
  </si>
  <si>
    <t>https://www.jotform.com/uploads/macarewecare/222927978372067/5818911221817878637/5818911221817878637_signature_31.png</t>
  </si>
  <si>
    <t xml:space="preserve">ASSAY: Xpert MTB/RIF Ultra, COUNT: 1324
</t>
  </si>
  <si>
    <t>MODULE B3 TESTS ARE ABORTED</t>
  </si>
  <si>
    <t>-PERFORM PREVENTIVE MAINTENANCE PROCEDURE
-PERFORM XPERTCHECK CALIBRATION ON MODULE B3 SN 688652: 
RETRY THEN FOR SERVICE</t>
  </si>
  <si>
    <t>https://www.jotform.com/uploads/macarewecare/222927978372067/5818900375514795652/5818900375514795652_signature_28.png</t>
  </si>
  <si>
    <t>https://www.jotform.com/uploads/macarewecare/222927978372067/5818900375514795652/5818900375514795652_signature_31.png</t>
  </si>
  <si>
    <t>Cebu TB reference lab - SRP</t>
  </si>
  <si>
    <t>tivalerio.pbsp@gmail.com</t>
  </si>
  <si>
    <t>Stuck up cartridge module B1</t>
  </si>
  <si>
    <t>Removing stuck up carthride module B1</t>
  </si>
  <si>
    <t>Module B2 and B4 H/W fail</t>
  </si>
  <si>
    <t>https://www.jotform.com/uploads/macarewecare/222927978372067/5818850761111721638/5818850761111721638_signature_28.png</t>
  </si>
  <si>
    <t>Titus Ian Valerio</t>
  </si>
  <si>
    <t>https://www.jotform.com/uploads/macarewecare/222927978372067/5818850761111721638/5818850761111721638_signature_31.png</t>
  </si>
  <si>
    <t>35 Road 9, cor. Road 10, Brgy. Bagong Pag-asa</t>
  </si>
  <si>
    <t>erikatagorda28@gmail.com</t>
  </si>
  <si>
    <t>Performed PM
Replaced Module A2
Generated report</t>
  </si>
  <si>
    <t>Replaced module A2
914754 -&gt; 210106611</t>
  </si>
  <si>
    <t>DR 11118</t>
  </si>
  <si>
    <t>https://www.jotform.com/uploads/macarewecare/222927978372067/5818848981812465935/5818848981812465935_signature_28.png</t>
  </si>
  <si>
    <t>erika lucas</t>
  </si>
  <si>
    <t>https://www.jotform.com/uploads/macarewecare/222927978372067/5818848981812465935/5818848981812465935_signature_31.png</t>
  </si>
  <si>
    <t>Replacing module B2 with SN: 806408 to SN: 629512
Preventive Maintenance</t>
  </si>
  <si>
    <t>https://www.jotform.com/uploads/macarewecare/222927978372067/5818746558324756448/5818746558324756448_signature_28.png</t>
  </si>
  <si>
    <t>https://www.jotform.com/uploads/macarewecare/222927978372067/5818746558324756448/5818746558324756448_signature_31.png</t>
  </si>
  <si>
    <t>Karangalan Dr</t>
  </si>
  <si>
    <t>Performed maintenance
Cleaned cartridge bay, plunger rod, icore and filter
Archive test
Generated reports</t>
  </si>
  <si>
    <t>https://www.jotform.com/uploads/macarewecare/222927978372067/5818686476232370766/5818686476232370766_signature_28.png</t>
  </si>
  <si>
    <t>https://www.jotform.com/uploads/macarewecare/222927978372067/5818686476232370766/5818686476232370766_signature_31.png</t>
  </si>
  <si>
    <t>https://www.jotform.com/uploads/macarewecare/222927978372067/5818686053615096297/5818686053615096297_signature_28.png</t>
  </si>
  <si>
    <t>https://www.jotform.com/uploads/macarewecare/222927978372067/5818686053615096297/5818686053615096297_signature_31.png</t>
  </si>
  <si>
    <t>https://www.jotform.com/uploads/macarewecare/222927978372067/5818685673619277672/5818685673619277672_signature_28.png</t>
  </si>
  <si>
    <t>https://www.jotform.com/uploads/macarewecare/222927978372067/5818685673619277672/5818685673619277672_signature_31.png</t>
  </si>
  <si>
    <t>https://www.jotform.com/uploads/macarewecare/222927978372067/5818685463613715658/5818685463613715658_signature_28.png</t>
  </si>
  <si>
    <t>https://www.jotform.com/uploads/macarewecare/222927978372067/5818685463613715658/5818685463613715658_signature_31.png</t>
  </si>
  <si>
    <t>HIV LAB</t>
  </si>
  <si>
    <t xml:space="preserve">ASSAY: Xpert HIV-1 Viral Load, COUNT: 118
</t>
  </si>
  <si>
    <t>-PERFORM PREVENTIVE MAINTENANCE
-PERFORM MODULE B4 SN 671936 SELF TEST, H/W FAILED</t>
  </si>
  <si>
    <t>https://www.jotform.com/uploads/macarewecare/222927978372067/5818127116224087378/5818127116224087378_signature_28.png</t>
  </si>
  <si>
    <t>https://www.jotform.com/uploads/macarewecare/222927978372067/5818127116224087378/5818127116224087378_signature_31.png</t>
  </si>
  <si>
    <t xml:space="preserve">ASSAY: Xpert HPV, COUNT: 670
ASSAY: Xpert MTB/RIF Ultra, COUNT: 7768
ASSAY: Xpert SARS-CoV-2, COUNT: 10136
ASSAY: Xpert HIV-1 Viral Load, COUNT: 334
</t>
  </si>
  <si>
    <t>-PERFORM PREVENTIVE MAINTENANCE PROCEDURE
-PERFORM MODULE REPLACEMENT:
MODULE A3 DEF SN: 210059879 , NEW SN: 791986
MODULE B2 DEF SN: 678540 , NEW SN 798296</t>
  </si>
  <si>
    <t>MODULE C2 AND C3 FOR OBSERVATION DUE TO INTERMITTENT ERRORS</t>
  </si>
  <si>
    <t>https://www.jotform.com/uploads/macarewecare/222927978372067/5818122736229827959/5818122736229827959_signature_28.png</t>
  </si>
  <si>
    <t>https://www.jotform.com/uploads/macarewecare/222927978372067/5818122736229827959/5818122736229827959_signature_31.png</t>
  </si>
  <si>
    <t>POBLACION LAGUINDINGAN</t>
  </si>
  <si>
    <t>-MODULE B3 ERROR 1001</t>
  </si>
  <si>
    <t>-PERFORM PREVENTIVE MAINTENANCE PROCEDURE
-PERFORM MODULE B3 SN 863072 XPERTCHECK CALIBRATION,
PASSED</t>
  </si>
  <si>
    <t>https://www.jotform.com/uploads/macarewecare/222927978372067/5818115336222247902/5818115336222247902_signature_28.png</t>
  </si>
  <si>
    <t>https://www.jotform.com/uploads/macarewecare/222927978372067/5818115336222247902/5818115336222247902_signature_31.png</t>
  </si>
  <si>
    <t>Bulan</t>
  </si>
  <si>
    <t xml:space="preserve">ASSAY: Xpert MTB/RIF Ultra, COUNT: 2688
</t>
  </si>
  <si>
    <t>B3/210070808 for Module Replacement</t>
  </si>
  <si>
    <t>Replaced Module: B3 - 210070808&gt;&gt;757241
Cleaned Gx fan, cartridge bays, plunger rod
Generate reports</t>
  </si>
  <si>
    <t>Replaced Module B3
Performed Preventive Maintenance</t>
  </si>
  <si>
    <t>https://www.jotform.com/uploads/macarewecare/222927978372067/5818073519212583259/5818073519212583259_signature_28.png</t>
  </si>
  <si>
    <t>https://www.jotform.com/uploads/macarewecare/222927978372067/5818073519212583259/5818073519212583259_signature_31.png</t>
  </si>
  <si>
    <t>Kairos Diagnostic Laboratory - Ermita</t>
  </si>
  <si>
    <t>1123 A. Mabini St., Malate, Manila</t>
  </si>
  <si>
    <t>kairoslaboperations@gmail.com</t>
  </si>
  <si>
    <t>Performed PM
Installed GX unit
Setup hardwares
Generated report</t>
  </si>
  <si>
    <t>Installed GX Machine</t>
  </si>
  <si>
    <t>Unit is operational
All modules working (2 Mod)</t>
  </si>
  <si>
    <t>GX IV 10C 2 modules
GX Barcode Scanner
GX Desktop
GX Monitor</t>
  </si>
  <si>
    <t>SI 9688</t>
  </si>
  <si>
    <t>https://www.jotform.com/uploads/macarewecare/222927978372067/5818029136626084276/5818029136626084276_signature_28.png</t>
  </si>
  <si>
    <t>Christine Joy Feliciano</t>
  </si>
  <si>
    <t>https://www.jotform.com/uploads/macarewecare/222927978372067/5818029136626084276/5818029136626084276_signature_31.png</t>
  </si>
  <si>
    <t>Module B2/617811 H/W Failed</t>
  </si>
  <si>
    <t>- Performed xpertcheck on B2
- Preventive maintenance
- Performed Functionality test
- Generate reports
-</t>
  </si>
  <si>
    <t>https://www.jotform.com/uploads/macarewecare/222927978372067/5817991484526331208/5817991484526331208_signature_28.png</t>
  </si>
  <si>
    <t>https://www.jotform.com/uploads/macarewecare/222927978372067/5817991484526331208/5817991484526331208_signature_31.png</t>
  </si>
  <si>
    <t>Poblacion Baganga, Davao Oriental</t>
  </si>
  <si>
    <t xml:space="preserve">ASSAY: Xpert MTB/RIF Ultra, COUNT: 565
</t>
  </si>
  <si>
    <t>Module B2 for Replacement and due for Preventive Maintenance</t>
  </si>
  <si>
    <t>Replace the defective Module SN: 860970 with new Module SN:888380
Clean Surface Area, Cartridge Bay, Plunger Rod, Fan Filters and Icore Lenses
Generate IQR, Assay Stat and System Log
Archived Data test results</t>
  </si>
  <si>
    <t>High Room Temperature, Enduser</t>
  </si>
  <si>
    <t>DR NO. 10971</t>
  </si>
  <si>
    <t>https://www.jotform.com/uploads/macarewecare/222927978372067/5817982212513010927/5817982212513010927_signature_28.png</t>
  </si>
  <si>
    <t>Liza Narciso RMT</t>
  </si>
  <si>
    <t>https://www.jotform.com/uploads/macarewecare/222927978372067/5817982212513010927/5817982212513010927_signature_31.png</t>
  </si>
  <si>
    <t>Poblacion Kapalong, Davao Del Norte</t>
  </si>
  <si>
    <t xml:space="preserve">ASSAY: Xpert MTB/RIF Ultra, COUNT: 4431
</t>
  </si>
  <si>
    <t>Module C1 encounter multiple temp related errors and for Preventive Maintenance</t>
  </si>
  <si>
    <t>Replaced the Defective Module SN: 690965 with new Module SN: 749076
Clean Surface Area, Cartridge Bay, Plunger Rod, Fan Filters and Icore Lenses
Generate IQR, Assay Stat and System Log
Relocate the GeneXpert Machine to achieve optimal temperature for operation</t>
  </si>
  <si>
    <t>Module C3 for under observation</t>
  </si>
  <si>
    <t>https://www.jotform.com/uploads/macarewecare/222927978372067/5817965252514588662/5817965252514588662_signature_28.png</t>
  </si>
  <si>
    <t>https://www.jotform.com/uploads/macarewecare/222927978372067/5817965252514588662/5817965252514588662_signature_31.png</t>
  </si>
  <si>
    <t>Tuburan, Ligao</t>
  </si>
  <si>
    <t>Replaced CPU: CPH0723F43470</t>
  </si>
  <si>
    <t>https://www.jotform.com/uploads/macarewecare/222927978372067/5817880903696960569/5817880903696960569_signature_28.png</t>
  </si>
  <si>
    <t>Salvador Lyndon P. Rempillo</t>
  </si>
  <si>
    <t>https://www.jotform.com/uploads/macarewecare/222927978372067/5817880903696960569/5817880903696960569_signature_31.png</t>
  </si>
  <si>
    <t>Dasmariñas (Paliparan) City Health Office IV</t>
  </si>
  <si>
    <t>N. Dela Cruz, Paliparan, Dasmariñas, Cavite</t>
  </si>
  <si>
    <t>krlandaya25@gmail.com</t>
  </si>
  <si>
    <t xml:space="preserve">ASSAY: Xpert MTB/RIF Ultra, COUNT: 2314
ASSAY: Xpert HIV-1 Viral Load, COUNT: 91
</t>
  </si>
  <si>
    <t>Module 2 with Temperature Error</t>
  </si>
  <si>
    <t>Replaced Module 2
Performed Maintenance
Performed Self-test
Generate Reports</t>
  </si>
  <si>
    <t>All Moduled are Operational</t>
  </si>
  <si>
    <t>B2:210091142-&gt; 782599</t>
  </si>
  <si>
    <t>G 6741</t>
  </si>
  <si>
    <t>https://www.jotform.com/uploads/macarewecare/222927978372067/5817175903612738774/5817175903612738774_signature_28.png</t>
  </si>
  <si>
    <t>Khristofer Ralph L Andaya</t>
  </si>
  <si>
    <t>https://www.jotform.com/uploads/macarewecare/222927978372067/5817175903612738774/5817175903612738774_signature_31.png</t>
  </si>
  <si>
    <t>St. Thomas St., Pulang Lupa Dos, Las Piñas</t>
  </si>
  <si>
    <t>MAINTENANCE
ReXpertCheck</t>
  </si>
  <si>
    <t xml:space="preserve">ASSAY: Xpert MTB/RIF Ultra, COUNT: 1233
</t>
  </si>
  <si>
    <t>Unit is for ReXpertCheck</t>
  </si>
  <si>
    <t>ReXpertCheck</t>
  </si>
  <si>
    <t>Performed XpertCheck
Performed Maintenance
Performed Self-test
Generate Reports</t>
  </si>
  <si>
    <t>3 Modules Failed</t>
  </si>
  <si>
    <t>https://www.jotform.com/uploads/macarewecare/222927978372067/5817175783612831300/5817175783612831300_signature_28.png</t>
  </si>
  <si>
    <t>https://www.jotform.com/uploads/macarewecare/222927978372067/5817175783612831300/5817175783612831300_signature_31.png</t>
  </si>
  <si>
    <t>Imus City Health Office 3</t>
  </si>
  <si>
    <t xml:space="preserve">ASSAY: Xpert MTB/RIF Ultra, COUNT: 1434
</t>
  </si>
  <si>
    <t>Module 4 with Temperature Erorr</t>
  </si>
  <si>
    <t>Performed Maintenance
Replaced Module 4
Performed Self-test
Generate Reports</t>
  </si>
  <si>
    <t>3 Modules are Operational, 1 Module for Reporting</t>
  </si>
  <si>
    <t>B4: 807102-&gt; 785038</t>
  </si>
  <si>
    <t>G 6740</t>
  </si>
  <si>
    <t>https://www.jotform.com/uploads/macarewecare/222927978372067/5817175783614579493/5817175783614579493_signature_28.png</t>
  </si>
  <si>
    <t>https://www.jotform.com/uploads/macarewecare/222927978372067/5817175783614579493/5817175783614579493_signature_31.png</t>
  </si>
  <si>
    <t>Tirona Highway, Kawit, Cavite</t>
  </si>
  <si>
    <t>kawitrhu@gmail.com</t>
  </si>
  <si>
    <t>Module 1 Failed in XpertCheck</t>
  </si>
  <si>
    <t>Replaced Module 1
Performed Maintenance
Performed Self-test
Generate Reports</t>
  </si>
  <si>
    <t>A1: 790930 -&gt; 757992</t>
  </si>
  <si>
    <t>https://www.jotform.com/uploads/macarewecare/222927978372067/5817175783615154046/5817175783615154046_signature_28.png</t>
  </si>
  <si>
    <t>Aljhon G. Alambra</t>
  </si>
  <si>
    <t>https://www.jotform.com/uploads/macarewecare/222927978372067/5817175783615154046/5817175783615154046_signature_31.png</t>
  </si>
  <si>
    <t>D. Mangubat Ave , Dasmariñas, Cavite</t>
  </si>
  <si>
    <t xml:space="preserve">ASSAY: Xpert MTB/RIF Ultra, COUNT: 2907
ASSAY: Xpert HIV-1 Viral Load, COUNT: 124
ASSAY: Xpert MTB/RIF Ultra, COUNT: 2565
ASSAY: Xpert HIV-1 Viral Load, COUNT: 122
</t>
  </si>
  <si>
    <t>Performed Maintenance
Performed XpertCheck
Performed Self-test
Generate Reports</t>
  </si>
  <si>
    <t>Modules B1,B4 Passed. B3 Failed. B2 Newly Replaced Module</t>
  </si>
  <si>
    <t>https://www.jotform.com/uploads/macarewecare/222927978372067/5817175783615260192/5817175783615260192_signature_28.png</t>
  </si>
  <si>
    <t>https://www.jotform.com/uploads/macarewecare/222927978372067/5817175783615260192/5817175783615260192_signature_31.png</t>
  </si>
  <si>
    <t xml:space="preserve">ASSAY: Xpert MTB/RIF Ultra, COUNT: 1757
ASSAY: Xpert MTB/RIF Ultra, COUNT: 1575
</t>
  </si>
  <si>
    <t>Performed Maintenance
Performed XpertCheck
Generate Reports
Performed Self-test</t>
  </si>
  <si>
    <t>2 Modules are Operational, 2 Reported</t>
  </si>
  <si>
    <t>2 Reported, 1 Passed, 1 Newly Replaced</t>
  </si>
  <si>
    <t>https://www.jotform.com/uploads/macarewecare/222927978372067/5817175773616383608/5817175773616383608_signature_28.png</t>
  </si>
  <si>
    <t>https://www.jotform.com/uploads/macarewecare/222927978372067/5817175773616383608/5817175773616383608_signature_31.png</t>
  </si>
  <si>
    <t>Unit is operational. Modules A1 and A2 not operational, reported already.</t>
  </si>
  <si>
    <t>https://www.jotform.com/uploads/macarewecare/222927978372067/5817175333618916714/5817175333618916714_signature_28.png</t>
  </si>
  <si>
    <t>https://www.jotform.com/uploads/macarewecare/222927978372067/5817175333618916714/5817175333618916714_signature_31.png</t>
  </si>
  <si>
    <t>Gagalangin Tondo Manila</t>
  </si>
  <si>
    <t xml:space="preserve">ASSAY: Xpert MTB/RIF Ultra, COUNT: 1301
</t>
  </si>
  <si>
    <t>Unit for PM.
For installation of new battery to UPS.</t>
  </si>
  <si>
    <t>Performed PM.
Performed repair of UPS.
Generated reports</t>
  </si>
  <si>
    <t>PM and repair.</t>
  </si>
  <si>
    <t>https://www.jotform.com/uploads/macarewecare/222927978372067/5817171307422720118/5817171307422720118_signature_28.png</t>
  </si>
  <si>
    <t>https://www.jotform.com/uploads/macarewecare/222927978372067/5817171307422720118/5817171307422720118_signature_31.png</t>
  </si>
  <si>
    <t xml:space="preserve">ASSAY: Xpert MTB/RIF Ultra, COUNT: 482
</t>
  </si>
  <si>
    <t>https://www.jotform.com/uploads/macarewecare/222927978372067/5817165761118476076/5817165761118476076_signature_28.png</t>
  </si>
  <si>
    <t>https://www.jotform.com/uploads/macarewecare/222927978372067/5817165761118476076/5817165761118476076_signature_31.png</t>
  </si>
  <si>
    <t>No signal on Monitor reported thru Jotform Ticket</t>
  </si>
  <si>
    <t>Troubleshooting CPU and Monitor
Preventive Maintenance</t>
  </si>
  <si>
    <t>https://www.jotform.com/uploads/macarewecare/222927978372067/5817090526326391748/5817090526326391748_signature_28.png</t>
  </si>
  <si>
    <t>https://www.jotform.com/uploads/macarewecare/222927978372067/5817090526326391748/5817090526326391748_signature_31.png</t>
  </si>
  <si>
    <t>elma.bragat@yahoo.com</t>
  </si>
  <si>
    <t xml:space="preserve">ASSAY: Xpert MTB/RIF, COUNT: 105
ASSAY: Xpert MTB/RIF Ultra, COUNT: 5591
ASSAY: Xpert HCV VL, COUNT: 4
ASSAY: Xpert HIV-1 Viral Load, COUNT: 148
</t>
  </si>
  <si>
    <t>MODULE B1 ERROR 2014</t>
  </si>
  <si>
    <t>-PERFORM MAINTENANCE PROCEDURE
-PERFORM MODULE B1 SN 629957 CALIBRATION, PASSED</t>
  </si>
  <si>
    <t>https://www.jotform.com/uploads/macarewecare/222927978372067/5817021700479049241/5817021700479049241_signature_28.png</t>
  </si>
  <si>
    <t>Elma Gonzales, RMT</t>
  </si>
  <si>
    <t>https://www.jotform.com/uploads/macarewecare/222927978372067/5817021700479049241/5817021700479049241_signature_31.png</t>
  </si>
  <si>
    <t>Gumaca, Quezon Province</t>
  </si>
  <si>
    <t>Perfomed PM
Replaced CPU
Setup new CPU
Generated report</t>
  </si>
  <si>
    <t>Replaced CPU
SGH530PD9W -&gt; CPH0923F45088</t>
  </si>
  <si>
    <t>unit is operational
All modules working</t>
  </si>
  <si>
    <t>GX desktop</t>
  </si>
  <si>
    <t>DR 45920</t>
  </si>
  <si>
    <t>https://www.jotform.com/uploads/macarewecare/222927978372067/5816553236903912719/5816553236903912719_signature_28.png</t>
  </si>
  <si>
    <t>https://www.jotform.com/uploads/macarewecare/222927978372067/5816553236903912719/5816553236903912719_signature_31.png</t>
  </si>
  <si>
    <t>San Francisco, Quezon Province</t>
  </si>
  <si>
    <t>micovelarde13@gmail.com</t>
  </si>
  <si>
    <t>Performed PM
Performed XpertCheck
Module A2 service required
Generated report</t>
  </si>
  <si>
    <t>Used 6 XpertCheck cartridges</t>
  </si>
  <si>
    <t>DR10779</t>
  </si>
  <si>
    <t>https://www.jotform.com/uploads/macarewecare/222927978372067/5816547196907578625/5816547196907578625_signature_28.png</t>
  </si>
  <si>
    <t>Michael Francis Velarde, RN</t>
  </si>
  <si>
    <t>https://www.jotform.com/uploads/macarewecare/222927978372067/5816547196907578625/5816547196907578625_signature_31.png</t>
  </si>
  <si>
    <t>Lucena, Quezon Province</t>
  </si>
  <si>
    <t>GX Iv 6C - D</t>
  </si>
  <si>
    <t>Performed PM
Removed GX from network switch
Replaced CPU
Setup system admin
Setup system configuration
Generated report</t>
  </si>
  <si>
    <t>Replaced CPU
CPH0619F01767 -&gt; CPH1023F45888</t>
  </si>
  <si>
    <t>DR 46016</t>
  </si>
  <si>
    <t>https://www.jotform.com/uploads/macarewecare/222927978372067/5816542606908070158/5816542606908070158_signature_28.png</t>
  </si>
  <si>
    <t>Ariel carmelo R. Villanueva</t>
  </si>
  <si>
    <t>https://www.jotform.com/uploads/macarewecare/222927978372067/5816542606908070158/5816542606908070158_signature_31.png</t>
  </si>
  <si>
    <t xml:space="preserve">ASSAY: Xpert HPV, COUNT: 373
ASSAY: Xpert MTB/RIF Ultra, COUNT: 2735
ASSAY: Xpert HIV-1 Viral Load, COUNT: 83
</t>
  </si>
  <si>
    <t>GX IV 6c - D</t>
  </si>
  <si>
    <t>Performed PM 
Replaced Mdoule D2
Generated report</t>
  </si>
  <si>
    <t>Replaced Module D2
861624 -&gt; 776975</t>
  </si>
  <si>
    <t>Jotform Error. Module Replacement Performed on January 17, 2024</t>
  </si>
  <si>
    <t>DR 45919</t>
  </si>
  <si>
    <t>https://www.jotform.com/uploads/macarewecare/222927978372067/5816527376906848565/5816527376906848565_signature_28.png</t>
  </si>
  <si>
    <t>https://www.jotform.com/uploads/macarewecare/222927978372067/5816527376906848565/5816527376906848565_signature_31.png</t>
  </si>
  <si>
    <t>Poblacion, Candelaria, Quezon</t>
  </si>
  <si>
    <t xml:space="preserve">ASSAY: Xpert MTB/RIF Ultra, COUNT: 1692
</t>
  </si>
  <si>
    <t>Performed PM
Replaced Monitor
Generated report</t>
  </si>
  <si>
    <t>Replaced monitor
CNK6290NRK -&gt; SV5FTH182</t>
  </si>
  <si>
    <t>GX Monitor</t>
  </si>
  <si>
    <t>DR 45912</t>
  </si>
  <si>
    <t>https://www.jotform.com/uploads/macarewecare/222927978372067/5816507756906182819/5816507756906182819_signature_28.png</t>
  </si>
  <si>
    <t>Shirley R. Dollente</t>
  </si>
  <si>
    <t>https://www.jotform.com/uploads/macarewecare/222927978372067/5816507756906182819/5816507756906182819_signature_31.png</t>
  </si>
  <si>
    <t>- Cleaned Cartridge Bays, Plunger Rods and I-CORE 
- Replaced Defective CPU CPH1221F29401 &gt;&gt;&gt; CPH0923F44932
- Generated Reports</t>
  </si>
  <si>
    <t>CPU CPH0923F44932</t>
  </si>
  <si>
    <t>https://www.jotform.com/uploads/macarewecare/222927978372067/5816411140942778834/5816411140942778834_signature_28.png</t>
  </si>
  <si>
    <t>https://www.jotform.com/uploads/macarewecare/222927978372067/5816411140942778834/5816411140942778834_signature_31.png</t>
  </si>
  <si>
    <t>M. Santos St.</t>
  </si>
  <si>
    <t>Module B3 for replacement 
For CPU Replacement</t>
  </si>
  <si>
    <t>Replaced module B3 and CPU</t>
  </si>
  <si>
    <t>Performed maintenance
Replaced module B3
Replaced CPU
Generated reports</t>
  </si>
  <si>
    <t>Old: B3/885762,Backup laptop/CPH1019F03472
New: B3/766856 New CPU: CPH1023F45878</t>
  </si>
  <si>
    <t>G 6736</t>
  </si>
  <si>
    <t>https://www.jotform.com/uploads/macarewecare/222927978372067/5816106104129987173/5816106104129987173_signature_28.png</t>
  </si>
  <si>
    <t>https://www.jotform.com/uploads/macarewecare/222927978372067/5816106104129987173/5816106104129987173_signature_31.png</t>
  </si>
  <si>
    <t>Claro M. Recto Memorial District Hospital</t>
  </si>
  <si>
    <t xml:space="preserve">ASSAY: Xpert MTB/RIF Ultra, COUNT: 1451
</t>
  </si>
  <si>
    <t>Module C4 for replacement</t>
  </si>
  <si>
    <t>Performed maintenance
Replaced module C4
Generated reports</t>
  </si>
  <si>
    <t>Old: C4/210068710
New: C4/717884</t>
  </si>
  <si>
    <t>https://www.jotform.com/uploads/macarewecare/222927978372067/5816105424127244026/5816105424127244026_signature_28.png</t>
  </si>
  <si>
    <t>https://www.jotform.com/uploads/macarewecare/222927978372067/5816105424127244026/5816105424127244026_signature_31.png</t>
  </si>
  <si>
    <t>M.A. Roxas St. Pililla</t>
  </si>
  <si>
    <t>Old: B4/670429
New: B4/210044515</t>
  </si>
  <si>
    <t>DR# 11069</t>
  </si>
  <si>
    <t>https://www.jotform.com/uploads/macarewecare/222927978372067/5816105424125656730/5816105424125656730_signature_28.png</t>
  </si>
  <si>
    <t>https://www.jotform.com/uploads/macarewecare/222927978372067/5816105424125656730/5816105424125656730_signature_31.png</t>
  </si>
  <si>
    <t>loisitalibertad@gmail.com</t>
  </si>
  <si>
    <t xml:space="preserve">ASSAY: Xpert MTB/RIF Ultra, COUNT: 353
</t>
  </si>
  <si>
    <t>For monitor replacement</t>
  </si>
  <si>
    <t>Replaced defective monitor</t>
  </si>
  <si>
    <t>Performed maintenance
Replaced defective monitor
Generated reports</t>
  </si>
  <si>
    <t>Old monitor: CNK831071T
New monitor: AVI215CMQY05B01060027</t>
  </si>
  <si>
    <t>DR# 11052</t>
  </si>
  <si>
    <t>https://www.jotform.com/uploads/macarewecare/222927978372067/5816105424128825217/5816105424128825217_signature_28.png</t>
  </si>
  <si>
    <t>https://www.jotform.com/uploads/macarewecare/222927978372067/5816105424128825217/5816105424128825217_signature_31.png</t>
  </si>
  <si>
    <t>For module replacement A3 667542 - 754442</t>
  </si>
  <si>
    <t>G6742</t>
  </si>
  <si>
    <t>https://www.jotform.com/uploads/macarewecare/222927978372067/5815337150647932792/5815337150647932792_signature_28.png</t>
  </si>
  <si>
    <t>Wilhelmina R. Nartatez</t>
  </si>
  <si>
    <t>https://www.jotform.com/uploads/macarewecare/222927978372067/5815337150647932792/5815337150647932792_signature_31.png</t>
  </si>
  <si>
    <t>Poblacion, Lake Sebu,  South Cotabato</t>
  </si>
  <si>
    <t xml:space="preserve">ASSAY: Xpert MTB/RIF Ultra, COUNT: 683
</t>
  </si>
  <si>
    <t>Replace defective module 4 SN:862119 with new module SN:756995
Genexpert Cleaning 
Checking of errors
Data collection: Pre and Post Installation qualification report, System log, Assay statistics report and Archive test</t>
  </si>
  <si>
    <t>Genexpert 6 color module SN: 756995</t>
  </si>
  <si>
    <t>DR number: 11026</t>
  </si>
  <si>
    <t>https://www.jotform.com/uploads/macarewecare/222927978372067/5814761901212361258/5814761901212361258_signature_28.png</t>
  </si>
  <si>
    <t>https://www.jotform.com/uploads/macarewecare/222927978372067/5814761901212361258/5814761901212361258_signature_31.png</t>
  </si>
  <si>
    <t>sorayajrm19@yahoo.com</t>
  </si>
  <si>
    <t>Module D1 with serial number 869706 calibration fail.</t>
  </si>
  <si>
    <t>Replace module D1</t>
  </si>
  <si>
    <t>Replace module D1 with new serial number 739641</t>
  </si>
  <si>
    <t>CPU with serial number CPH0320F05903 are not functioning schedule for repair.</t>
  </si>
  <si>
    <t>https://www.jotform.com/uploads/macarewecare/222927978372067/5814720102468047451/5814720102468047451_signature_28.png</t>
  </si>
  <si>
    <t>Soraya JM. Muti</t>
  </si>
  <si>
    <t>https://www.jotform.com/uploads/macarewecare/222927978372067/5814720102468047451/5814720102468047451_signature_31.png</t>
  </si>
  <si>
    <t>Module C4 with serial number 771991 hardware fail.</t>
  </si>
  <si>
    <t>Save Files</t>
  </si>
  <si>
    <t>Save Installation Qualification, SystemLog</t>
  </si>
  <si>
    <t>Module C1, C2, C3 ok to use</t>
  </si>
  <si>
    <t>Cpu running to slow while opening files and scaner also not functioning the trigger sometimes.</t>
  </si>
  <si>
    <t>https://www.jotform.com/uploads/macarewecare/222927978372067/5814711692465573687/5814711692465573687_signature_28.png</t>
  </si>
  <si>
    <t>https://www.jotform.com/uploads/macarewecare/222927978372067/5814711692465573687/5814711692465573687_signature_31.png</t>
  </si>
  <si>
    <t>Marawi city</t>
  </si>
  <si>
    <t>Module B1 serial number 781987 hardware fail.
Module B4 calibration fail last year 2023</t>
  </si>
  <si>
    <t>Replace module B1</t>
  </si>
  <si>
    <t>Replace module B1 with new serial number 210078829</t>
  </si>
  <si>
    <t>Module B1, B2, B3 ok to use.
Module B4 not ok to use always error.</t>
  </si>
  <si>
    <t>https://www.jotform.com/uploads/macarewecare/222927978372067/5814707522468783255/5814707522468783255_signature_28.png</t>
  </si>
  <si>
    <t>https://www.jotform.com/uploads/macarewecare/222927978372067/5814707522468783255/5814707522468783255_signature_31.png</t>
  </si>
  <si>
    <t>J.P Laurel , Davao City</t>
  </si>
  <si>
    <t xml:space="preserve">ASSAY: Xpert MTB/RIF Ultra, COUNT: 1672
ASSAY: Xpert HIV-1 Viral Load, COUNT: 790
</t>
  </si>
  <si>
    <t>Error at Modules B1, B3 and B4</t>
  </si>
  <si>
    <t>Run functionality test for error Modules</t>
  </si>
  <si>
    <t>Perform Functionality Test</t>
  </si>
  <si>
    <t>B1 and B4 for service required only B3 Passed the functionality test</t>
  </si>
  <si>
    <t>Modules B1, B2, B4 excluded from Test</t>
  </si>
  <si>
    <t>https://www.jotform.com/uploads/macarewecare/222927978372067/5814699352515345676/5814699352515345676_signature_28.png</t>
  </si>
  <si>
    <t>Maria Ronna Grace B. Seprado RMT</t>
  </si>
  <si>
    <t>https://www.jotform.com/uploads/macarewecare/222927978372067/5814699352515345676/5814699352515345676_signature_31.png</t>
  </si>
  <si>
    <t xml:space="preserve">ASSAY: Xpert MTB/RIF Ultra, COUNT: 2267
ASSAY: Xpert HIV-1 Viral Load, COUNT: 1003
</t>
  </si>
  <si>
    <t>Module B3 for error</t>
  </si>
  <si>
    <t>Run Functionality Test for Module B3</t>
  </si>
  <si>
    <t>Perform Functionality Test on Module B3</t>
  </si>
  <si>
    <t>Module B3 passed the functionality test. Module B3 for under observation</t>
  </si>
  <si>
    <t>Open a new MTB Ultra Cartidge  for error verification</t>
  </si>
  <si>
    <t>https://www.jotform.com/uploads/macarewecare/222927978372067/5814698272519019592/5814698272519019592_signature_28.png</t>
  </si>
  <si>
    <t>Maria Ronna Grace B. Seprado</t>
  </si>
  <si>
    <t>https://www.jotform.com/uploads/macarewecare/222927978372067/5814698272519019592/5814698272519019592_signature_31.png</t>
  </si>
  <si>
    <t>Replaced module 862916 with Module 768535</t>
  </si>
  <si>
    <t>Module Replacement and Preventive</t>
  </si>
  <si>
    <t>https://www.jotform.com/uploads/macarewecare/222927978372067/5814603007674290098/5814603007674290098_signature_28.png</t>
  </si>
  <si>
    <t>https://www.jotform.com/uploads/macarewecare/222927978372067/5814603007674290098/5814603007674290098_signature_31.png</t>
  </si>
  <si>
    <t>https://www.jotform.com/uploads/macarewecare/222927978372067/5814602807675910667/5814602807675910667_signature_28.png</t>
  </si>
  <si>
    <t>https://www.jotform.com/uploads/macarewecare/222927978372067/5814602807675910667/5814602807675910667_signature_31.png</t>
  </si>
  <si>
    <t xml:space="preserve">ASSAY: Xpert MTB/RIF Ultra, COUNT: 1156
</t>
  </si>
  <si>
    <t>A3 for module replacement</t>
  </si>
  <si>
    <t>Performed preventive maintenance
Performed module replacement
Gathered reports
Performwd functionality test</t>
  </si>
  <si>
    <t>1 genexpert moduke</t>
  </si>
  <si>
    <t>https://www.jotform.com/uploads/macarewecare/222927978372067/5814573353021225754/5814573353021225754_signature_28.png</t>
  </si>
  <si>
    <t>https://www.jotform.com/uploads/macarewecare/222927978372067/5814573353021225754/5814573353021225754_signature_31.png</t>
  </si>
  <si>
    <t>https://www.jotform.com/uploads/macarewecare/222927978372067/5814572943022935731/5814572943022935731_signature_28.png</t>
  </si>
  <si>
    <t>https://www.jotform.com/uploads/macarewecare/222927978372067/5814572943022935731/5814572943022935731_signature_31.png</t>
  </si>
  <si>
    <t xml:space="preserve">ASSAY: Xpert MTB/RIF Ultra, COUNT: 250
</t>
  </si>
  <si>
    <t>Due for monthly maintenance Icore clean, Plunger clean up, and filter clean up</t>
  </si>
  <si>
    <t>performed maintenance in GeneXpert clean Icore , Plunger clean up, and filter clean-up</t>
  </si>
  <si>
    <t>Conduct for  monthly maintenance Icore clean, Plunger clean up, and filter clean up</t>
  </si>
  <si>
    <t>https://www.jotform.com/uploads/macarewecare/222927978372067/5814497201115510932/5814497201115510932_signature_28.png</t>
  </si>
  <si>
    <t>https://www.jotform.com/uploads/macarewecare/222927978372067/5814497201115510932/5814497201115510932_signature_31.png</t>
  </si>
  <si>
    <t>https://www.jotform.com/uploads/macarewecare/222927978372067/5814495337326332679/5814495337326332679_signature_28.png</t>
  </si>
  <si>
    <t>https://www.jotform.com/uploads/macarewecare/222927978372067/5814495337326332679/5814495337326332679_signature_31.png</t>
  </si>
  <si>
    <t xml:space="preserve">ASSAY: Xpert MTB/RIF Ultra, COUNT: 1911
</t>
  </si>
  <si>
    <t>Repeated occurrence of error 2008 in all modules</t>
  </si>
  <si>
    <t>Extend time in specimen mixing process for sticky samples and review the sample preparation.</t>
  </si>
  <si>
    <t>Troubleshoot and clean up Icore, plunger, clean filter, and generate GXX, IQR, and Sys Log</t>
  </si>
  <si>
    <t>https://www.jotform.com/uploads/macarewecare/222927978372067/5814489901116607714/5814489901116607714_signature_28.png</t>
  </si>
  <si>
    <t>https://www.jotform.com/uploads/macarewecare/222927978372067/5814489901116607714/5814489901116607714_signature_31.png</t>
  </si>
  <si>
    <t>Lopez Rural Health Unit</t>
  </si>
  <si>
    <t>Lopez, Quezon Province</t>
  </si>
  <si>
    <t>janette_villasanta@yahoo.com</t>
  </si>
  <si>
    <t>Performed PM
Replaced Module C1
Performed reliability test
Generated report</t>
  </si>
  <si>
    <t>Replaced Module C1
783221 -&gt; 635746</t>
  </si>
  <si>
    <t>DR 11094</t>
  </si>
  <si>
    <t>https://www.jotform.com/uploads/macarewecare/222927978372067/5814368088023806031/5814368088023806031_signature_28.png</t>
  </si>
  <si>
    <t>Janette Villasanta</t>
  </si>
  <si>
    <t>https://www.jotform.com/uploads/macarewecare/222927978372067/5814368088023806031/5814368088023806031_signature_31.png</t>
  </si>
  <si>
    <t>Amorsolo st Makati City</t>
  </si>
  <si>
    <t>Blue pinch valve encounter error, malfunction of open and close of pinch valve due to wear and tear.</t>
  </si>
  <si>
    <t>Checked pinch valve
Checked tubings 
Checked leakage
Installed spare pinch valve for troubleshooting of defective parts.After installed the spare pinch valve the units is operational.no error encountered
Performed functionality test</t>
  </si>
  <si>
    <t>Unit unoperational, need to replace blue pinch valve</t>
  </si>
  <si>
    <t>For quotation of blue pinch valve</t>
  </si>
  <si>
    <t>https://www.jotform.com/uploads/macarewecare/222927978372067/5814226442291184792/5814226442291184792_signature_28.png</t>
  </si>
  <si>
    <t>https://www.jotform.com/uploads/macarewecare/222927978372067/5814226442291184792/5814226442291184792_signature_31.png</t>
  </si>
  <si>
    <t>Bureau of Animal Industry</t>
  </si>
  <si>
    <t>Visayas Ave., Quezon City</t>
  </si>
  <si>
    <t>addrl.bacte@yahoo.com</t>
  </si>
  <si>
    <t>Axioscope Standard 20</t>
  </si>
  <si>
    <t>Unit for preventive maintenance and cleaning</t>
  </si>
  <si>
    <t>Performed functionality test
Cleaned optics and microscope body
Performed optical alignment</t>
  </si>
  <si>
    <t>Unit is operational for brightfield use</t>
  </si>
  <si>
    <t>Camera, camera controller, and mercury light source are obsolete and unusable</t>
  </si>
  <si>
    <t>https://www.jotform.com/uploads/macarewecare/222927978372067/5813743557515448354/5813743557515448354_signature_28.png</t>
  </si>
  <si>
    <t>Revelyn R. Suyat</t>
  </si>
  <si>
    <t>https://www.jotform.com/uploads/macarewecare/222927978372067/5813743557515448354/5813743557515448354_signature_31.png</t>
  </si>
  <si>
    <t>carleecruz0@gmal.com</t>
  </si>
  <si>
    <t xml:space="preserve">ASSAY: Xpert MTB/RIF Ultra, COUNT: na
</t>
  </si>
  <si>
    <t>https://www.jotform.com/uploads/macarewecare/222927978372067/5813714882324430296/5813714882324430296_signature_28.png</t>
  </si>
  <si>
    <t>https://www.jotform.com/uploads/macarewecare/222927978372067/5813714882324430296/5813714882324430296_signature_31.png</t>
  </si>
  <si>
    <t>Unit is operational
Module 2 requires service</t>
  </si>
  <si>
    <t>https://www.jotform.com/uploads/macarewecare/222927978372067/5813714882324655501/5813714882324655501_signature_28.png</t>
  </si>
  <si>
    <t>https://www.jotform.com/uploads/macarewecare/222927978372067/5813714882324655501/5813714882324655501_signature_31.png</t>
  </si>
  <si>
    <t>Parasitology</t>
  </si>
  <si>
    <t>michelle.barcelona366@gmail.com</t>
  </si>
  <si>
    <t>Light source is flickering</t>
  </si>
  <si>
    <t>Verified functionality of light source</t>
  </si>
  <si>
    <t>Check-up and troubleshooting</t>
  </si>
  <si>
    <t>Recommend replacement of LED light source</t>
  </si>
  <si>
    <t>https://www.jotform.com/uploads/macarewecare/222927978372067/5813710157511135287/5813710157511135287_signature_28.png</t>
  </si>
  <si>
    <t>Michelle Ann Barcelona</t>
  </si>
  <si>
    <t>https://www.jotform.com/uploads/macarewecare/222927978372067/5813710157511135287/5813710157511135287_signature_31.png</t>
  </si>
  <si>
    <t>UP Diliman - Institute of Biology</t>
  </si>
  <si>
    <t>Commonwealth Ave, Quezon City</t>
  </si>
  <si>
    <t>MCCL</t>
  </si>
  <si>
    <t>aamanua@up.edu.ph</t>
  </si>
  <si>
    <t>Unable to start operation due to error</t>
  </si>
  <si>
    <t>Updated machine firmware</t>
  </si>
  <si>
    <t>Updated machine firmware
Performed functionality test</t>
  </si>
  <si>
    <t>Recommend replacing filters as they have exceeded manufacturer-recommended lifetime</t>
  </si>
  <si>
    <t>https://www.jotform.com/uploads/macarewecare/222927978372067/5813670361492208384/5813670361492208384_signature_28.png</t>
  </si>
  <si>
    <t>Al James A. Manua</t>
  </si>
  <si>
    <t>https://www.jotform.com/uploads/macarewecare/222927978372067/5813670361492208384/5813670361492208384_signature_31.png</t>
  </si>
  <si>
    <t>Casiguran Rural Health Unit</t>
  </si>
  <si>
    <t>Poblacion, Casiguran, Aurora</t>
  </si>
  <si>
    <t xml:space="preserve">ASSAY: Xpert MTB/RIF Ultra, COUNT: 951
</t>
  </si>
  <si>
    <t>Performed Maintenance
Gathered Reports
Performed Module Replacement
(699723 - 807311)
Performed Functionality Test</t>
  </si>
  <si>
    <t>Genexpert Module - 807311</t>
  </si>
  <si>
    <t>https://www.jotform.com/uploads/macarewecare/222927978372067/5813653117612272334/5813653117612272334_signature_28.png</t>
  </si>
  <si>
    <t>Princess Alen Cabunoc</t>
  </si>
  <si>
    <t>https://www.jotform.com/uploads/macarewecare/222927978372067/5813653117612272334/5813653117612272334_signature_31.png</t>
  </si>
  <si>
    <t>floresteresita25@gmail.com</t>
  </si>
  <si>
    <t xml:space="preserve">ASSAY: Xpert MTB/RIF Ultra, COUNT: 271
</t>
  </si>
  <si>
    <t>Module 2 h/w failed</t>
  </si>
  <si>
    <t>Replaced module 892103 with module 868378</t>
  </si>
  <si>
    <t>https://www.jotform.com/uploads/macarewecare/222927978372067/5813652698738014121/5813652698738014121_signature_28.png</t>
  </si>
  <si>
    <t>https://www.jotform.com/uploads/macarewecare/222927978372067/5813652698738014121/5813652698738014121_signature_31.png</t>
  </si>
  <si>
    <t>Chemical and Feeds Analysis Section</t>
  </si>
  <si>
    <t>leo.yambot@gmail.com</t>
  </si>
  <si>
    <t>None, for preventive maintenance and cleaning</t>
  </si>
  <si>
    <t>Recommended adding a blue light filter for more comfortable viewing</t>
  </si>
  <si>
    <t>https://www.jotform.com/uploads/macarewecare/222927978372067/5813576789217994577/5813576789217994577_signature_28.png</t>
  </si>
  <si>
    <t>Leonardo Dante P. Yambot</t>
  </si>
  <si>
    <t>https://www.jotform.com/uploads/macarewecare/222927978372067/5813576789217994577/5813576789217994577_signature_31.png</t>
  </si>
  <si>
    <t>JARO, ILOILO CITY</t>
  </si>
  <si>
    <t xml:space="preserve">ASSAY: Xpert MTB/RIF Ultra, COUNT: 3438
</t>
  </si>
  <si>
    <t>-PREVENTIVE MAINTENANCE 
-MODULE D4 SN 210068572 FAILED : ERROR 1002,4009</t>
  </si>
  <si>
    <t>MODULE D4 FOR REPORTING</t>
  </si>
  <si>
    <t>https://www.jotform.com/uploads/macarewecare/222927978372067/5813563241747743180/5813563241747743180_signature_28.png</t>
  </si>
  <si>
    <t>Van Ryan Lujan</t>
  </si>
  <si>
    <t>https://www.jotform.com/uploads/macarewecare/222927978372067/5813563241747743180/5813563241747743180_signature_31.png</t>
  </si>
  <si>
    <t>EQUIPMENT IS OPERATIONAL, FOR SERVICE OF FAN/PSU COMPONENT</t>
  </si>
  <si>
    <t>https://www.jotform.com/uploads/macarewecare/222927978372067/5813560611748875294/5813560611748875294_signature_28.png</t>
  </si>
  <si>
    <t>https://www.jotform.com/uploads/macarewecare/222927978372067/5813560611748875294/5813560611748875294_signature_31.png</t>
  </si>
  <si>
    <t>DA Compound, Visayas Avenue, Quezon City</t>
  </si>
  <si>
    <t>Veterenary Laboratory Division</t>
  </si>
  <si>
    <t>kpmalabas@gmail.com</t>
  </si>
  <si>
    <t>Performed cleaning of external surfaces
Performed cleaning of lenses, objectives, eyepieces  and condenser
Performed functionality check of the microscope
Performed functionality check of the cameras with the Labscope software
Performed kohler illumination alignment
Performed overall preventive maintenance
Performed overall system functionality checks</t>
  </si>
  <si>
    <t>https://www.jotform.com/uploads/macarewecare/222927978372067/5813534554225926713/5813534554225926713_signature_28.png</t>
  </si>
  <si>
    <t>Krista Mae Malabad</t>
  </si>
  <si>
    <t>https://www.jotform.com/uploads/macarewecare/222927978372067/5813534554225926713/5813534554225926713_signature_31.png</t>
  </si>
  <si>
    <t>MCS+ Heamonetics machine Cleaning
Checking of errors and parts functionality</t>
  </si>
  <si>
    <t>Perform MCS+ Heamonetics Preventive maintenance</t>
  </si>
  <si>
    <t>In good condition/functional</t>
  </si>
  <si>
    <t>https://www.jotform.com/uploads/macarewecare/222927978372067/5813512320613235207/5813512320613235207_signature_28.png</t>
  </si>
  <si>
    <t>CRMC- Blood Center</t>
  </si>
  <si>
    <t>https://www.jotform.com/uploads/macarewecare/222927978372067/5813512320613235207/5813512320613235207_signature_31.png</t>
  </si>
  <si>
    <t>WESTERN VISAYAS UNIVERSITY MEDICAL CENTER</t>
  </si>
  <si>
    <t>zielglet_09@yahoo.com</t>
  </si>
  <si>
    <t xml:space="preserve">ASSAY: , COUNT: N/A
</t>
  </si>
  <si>
    <t>MODULES NOT DETECTED</t>
  </si>
  <si>
    <t>https://www.jotform.com/uploads/macarewecare/222927978372067/5813493320008748839/5813493320008748839_signature_28.png</t>
  </si>
  <si>
    <t>Glezie T. Flores</t>
  </si>
  <si>
    <t>https://www.jotform.com/uploads/macarewecare/222927978372067/5813493320008748839/5813493320008748839_signature_31.png</t>
  </si>
  <si>
    <t>Brgy. Odiong, Roxas Oriental Mindoro</t>
  </si>
  <si>
    <t>markdisonmartinez@yhoo.com</t>
  </si>
  <si>
    <t xml:space="preserve">ASSAY: Xpert MTB/RIF Ultra, COUNT: 2469
</t>
  </si>
  <si>
    <t>Unit for PM.
For module replacement of module B3.
For installation of new gateway board.</t>
  </si>
  <si>
    <t>Performed PM.
Performed module replacement.
Performed installation of gateway board.
Generated reports.</t>
  </si>
  <si>
    <t>PM, installation and module replacement.</t>
  </si>
  <si>
    <t>GX module B3 (701116) in replacement to defective B3 (905814).</t>
  </si>
  <si>
    <t>Monarch DR#0045749</t>
  </si>
  <si>
    <t>https://www.jotform.com/uploads/macarewecare/222927978372067/5813489343917937861/5813489343917937861_signature_28.png</t>
  </si>
  <si>
    <t>Mark Edison G. Martinez</t>
  </si>
  <si>
    <t>https://www.jotform.com/uploads/macarewecare/222927978372067/5813489343917937861/5813489343917937861_signature_31.png</t>
  </si>
  <si>
    <t>marisatuansi123@gmail.com</t>
  </si>
  <si>
    <t xml:space="preserve">ASSAY: Xpert MTB/RIF Ultra, COUNT: 633
</t>
  </si>
  <si>
    <t>Module 2 and 4 h/w failed</t>
  </si>
  <si>
    <t>Replace/repair defective module 2 SN:862010 with new module SN: 749865
Replace/repair defective module 4 SN:673141 with new module SN: 750083
Genexpert machine Cleaning 
Data collection: Pre and Post IQR, System log, Assay statistics report,  and archive test</t>
  </si>
  <si>
    <t>Genexpert module 6 color SN:749865 and SN:750083</t>
  </si>
  <si>
    <t>DR number:  10987 and 10978</t>
  </si>
  <si>
    <t>https://www.jotform.com/uploads/macarewecare/222927978372067/5813468350611990509/5813468350611990509_signature_28.png</t>
  </si>
  <si>
    <t>Marisa Tuansi</t>
  </si>
  <si>
    <t>https://www.jotform.com/uploads/macarewecare/222927978372067/5813468350611990509/5813468350611990509_signature_31.png</t>
  </si>
  <si>
    <t>Cotabato Sanitarium</t>
  </si>
  <si>
    <t>cotsanlaboratory@gmail.com</t>
  </si>
  <si>
    <t xml:space="preserve">ASSAY: Xpert MTB/RIF Ultra, COUNT: 1059
</t>
  </si>
  <si>
    <t>Defective Genexpert machine monitor</t>
  </si>
  <si>
    <t>Replace defective monitor SN:611NTYT6B386 with new monitor SN:V5GAH836
Genexpert machine Cleaning
Checking of errors
Data collection: Installation qualification report, System log, Assay statistics report and Archive test</t>
  </si>
  <si>
    <t>Perform Genexpert machine Preventive maintenance 
Perform Genexpert machine monitor Replacement/repair</t>
  </si>
  <si>
    <t>https://www.jotform.com/uploads/macarewecare/222927978372067/5813468350616969005/5813468350616969005_signature_28.png</t>
  </si>
  <si>
    <t>Carolyn R, Paggao</t>
  </si>
  <si>
    <t>https://www.jotform.com/uploads/macarewecare/222927978372067/5813468350616969005/5813468350616969005_signature_31.png</t>
  </si>
  <si>
    <t>Defective module b2 735121</t>
  </si>
  <si>
    <t>New module installed B2 786200</t>
  </si>
  <si>
    <t>New module installed module b2 786200</t>
  </si>
  <si>
    <t>https://www.jotform.com/uploads/macarewecare/222927978372067/5812939447424073263/5812939447424073263_signature_28.png</t>
  </si>
  <si>
    <t>https://www.jotform.com/uploads/macarewecare/222927978372067/5812939447424073263/5812939447424073263_signature_31.png</t>
  </si>
  <si>
    <t>Defective module B1 860992</t>
  </si>
  <si>
    <t>New module installed B1 786121</t>
  </si>
  <si>
    <t>Module B2 HW fail</t>
  </si>
  <si>
    <t>https://www.jotform.com/uploads/macarewecare/222927978372067/5812934547429086194/5812934547429086194_signature_28.png</t>
  </si>
  <si>
    <t>https://www.jotform.com/uploads/macarewecare/222927978372067/5812934547429086194/5812934547429086194_signature_31.png</t>
  </si>
  <si>
    <t>Gomez St., Sariaya, Quezon</t>
  </si>
  <si>
    <t xml:space="preserve">ASSAY: Xpert MTB/RIF Ultra, COUNT: 1947
</t>
  </si>
  <si>
    <t>Performed PM
Replaced modules A2 and A3
Performed reliability test
Generated report</t>
  </si>
  <si>
    <t>Replaced modules
A2: 784340 -&gt; 210005873
A3: 784372 -&gt; 210040526</t>
  </si>
  <si>
    <t>DR 11092, 11093</t>
  </si>
  <si>
    <t>https://www.jotform.com/uploads/macarewecare/222927978372067/5812879050811306056/5812879050811306056_signature_28.png</t>
  </si>
  <si>
    <t>https://www.jotform.com/uploads/macarewecare/222927978372067/5812879050811306056/5812879050811306056_signature_31.png</t>
  </si>
  <si>
    <t>Scout Magbanua, Quezon City</t>
  </si>
  <si>
    <t>Unit is due for Preventive Maintenance</t>
  </si>
  <si>
    <t>Checked Sensors, Valves, Rollers, Pressure and Centrifuge
Checked A/D Values
Performed Simulation Run
Cleaned Surface Area</t>
  </si>
  <si>
    <t>Defective UPS Backup Function. For Replacement</t>
  </si>
  <si>
    <t>https://www.jotform.com/uploads/macarewecare/222927978372067/5812846553613902468/5812846553613902468_signature_28.png</t>
  </si>
  <si>
    <t>Gretha Faye B. Alcantara</t>
  </si>
  <si>
    <t>https://www.jotform.com/uploads/macarewecare/222927978372067/5812846553613902468/5812846553613902468_signature_31.png</t>
  </si>
  <si>
    <t>Civic Dr.,Filinvest, Muntinlupa</t>
  </si>
  <si>
    <t>Checked Pumps,Valves, Pressure, Sensors and Centrifuge
Checked A/D Values
Cleaned Surface Unit
Performed Simulation Run</t>
  </si>
  <si>
    <t>https://www.jotform.com/uploads/macarewecare/222927978372067/5812846553618031749/5812846553618031749_signature_28.png</t>
  </si>
  <si>
    <t>https://www.jotform.com/uploads/macarewecare/222927978372067/5812846553618031749/5812846553618031749_signature_31.png</t>
  </si>
  <si>
    <t>rpescasdor@asianhospital.com</t>
  </si>
  <si>
    <t>Checked Pumps, Valves, Sensors, Pressure and Centrifuge
Checked A/D Values if Pass
Performed Simulation Test
Cleaned Surface Area</t>
  </si>
  <si>
    <t>https://www.jotform.com/uploads/macarewecare/222927978372067/5812846543613801412/5812846543613801412_signature_28.png</t>
  </si>
  <si>
    <t>https://www.jotform.com/uploads/macarewecare/222927978372067/5812846543613801412/5812846543613801412_signature_31.png</t>
  </si>
  <si>
    <t>Molecular Laboratort</t>
  </si>
  <si>
    <t xml:space="preserve">ASSAY: Others, COUNT: 43
ASSAY: Xpert HBV VL, COUNT: 2
ASSAY: Xpert HPV, COUNT: 81
ASSAY: Xpert MTB/RIF Ultra, COUNT: 477
ASSAY: Xpert HIV-1 Viral Load, COUNT: 5
</t>
  </si>
  <si>
    <t>Cleaned Cartridge Bay, Plunger Rod, Icore, and Filter
Checked System Log for Errors
Performed Self-test
Generate Reports</t>
  </si>
  <si>
    <t>All Modules are Operationsl. Unit is Good</t>
  </si>
  <si>
    <t>https://www.jotform.com/uploads/macarewecare/222927978372067/5812846543615063593/5812846543615063593_signature_28.png</t>
  </si>
  <si>
    <t>https://www.jotform.com/uploads/macarewecare/222927978372067/5812846543615063593/5812846543615063593_signature_31.png</t>
  </si>
  <si>
    <t xml:space="preserve">ASSAY: Xpert MTB/RIF Ultra, COUNT: 1302
ASSAY: Xpert HIV-1 Viral Load, COUNT: 56
</t>
  </si>
  <si>
    <t>Monitor for replacement
Defective newly delivered monitor</t>
  </si>
  <si>
    <t>Performed preventive maintenance
Gathered reports
Performed functionality test</t>
  </si>
  <si>
    <t>Unit is operational, monitor for replacement</t>
  </si>
  <si>
    <t>Lenovo monitor</t>
  </si>
  <si>
    <t>https://www.jotform.com/uploads/macarewecare/222927978372067/5812833617512576457/5812833617512576457_signature_28.png</t>
  </si>
  <si>
    <t>Riyadh L. Perez</t>
  </si>
  <si>
    <t>https://www.jotform.com/uploads/macarewecare/222927978372067/5812833617512576457/5812833617512576457_signature_31.png</t>
  </si>
  <si>
    <t>CPU for replacement
CPU SN:2UA52027WB</t>
  </si>
  <si>
    <t>Performed preventive ,aintenance
Installation and setup of new CPE
Gathered reports
Performed functionality test</t>
  </si>
  <si>
    <t>CPU: COH1023F45889</t>
  </si>
  <si>
    <t>https://www.jotform.com/uploads/macarewecare/222927978372067/5812830807517306265/5812830807517306265_signature_28.png</t>
  </si>
  <si>
    <t>https://www.jotform.com/uploads/macarewecare/222927978372067/5812830807517306265/5812830807517306265_signature_31.png</t>
  </si>
  <si>
    <t xml:space="preserve">ASSAY: Xpert HBV VL, COUNT: 2
ASSAY: Xpert MTB/RIF Ultra, COUNT: 1626
</t>
  </si>
  <si>
    <t>Replaced B3</t>
  </si>
  <si>
    <t>Unit is operational
Fan filter for request to PBSP</t>
  </si>
  <si>
    <t>G 6739</t>
  </si>
  <si>
    <t>https://www.jotform.com/uploads/macarewecare/222927978372067/5812829695327547677/5812829695327547677_signature_28.png</t>
  </si>
  <si>
    <t>https://www.jotform.com/uploads/macarewecare/222927978372067/5812829695327547677/5812829695327547677_signature_31.png</t>
  </si>
  <si>
    <t>https://www.jotform.com/uploads/macarewecare/222927978372067/5812798423128556301/5812798423128556301_signature_28.png</t>
  </si>
  <si>
    <t>https://www.jotform.com/uploads/macarewecare/222927978372067/5812798423128556301/5812798423128556301_signature_31.png</t>
  </si>
  <si>
    <t>https://www.jotform.com/uploads/macarewecare/222927978372067/5812797173127524739/5812797173127524739_signature_28.png</t>
  </si>
  <si>
    <t>https://www.jotform.com/uploads/macarewecare/222927978372067/5812797173127524739/5812797173127524739_signature_31.png</t>
  </si>
  <si>
    <t>Victoria Luna Medical Center - Armed Forces of The Philippines Health Service Command</t>
  </si>
  <si>
    <t xml:space="preserve">ASSAY: Xpert CT/NG, COUNT: 4
ASSAY: Xpert HBV VL, COUNT: 100
ASSAY: Xpert MTB/RIF Ultra, COUNT: 707
ASSAY: Xpert SARS-CoV-2, COUNT: 2008
ASSAY: Xpert HCV VL, COUNT: 60
ASSAY: Others, COUNT: 49
ASSAY: Xpert HIV-1 Viral Load, COUNT: 80
</t>
  </si>
  <si>
    <t>Stuck cartridge on B1, B2, B3</t>
  </si>
  <si>
    <t>https://www.jotform.com/uploads/macarewecare/222927978372067/5812784325324806294/5812784325324806294_signature_28.png</t>
  </si>
  <si>
    <t>Maria Teressa Valderama</t>
  </si>
  <si>
    <t>https://www.jotform.com/uploads/macarewecare/222927978372067/5812784325324806294/5812784325324806294_signature_31.png</t>
  </si>
  <si>
    <t xml:space="preserve">ASSAY: Xpert MTB/RIF, COUNT: 691
</t>
  </si>
  <si>
    <t>A2: 754415 error 1001 temperature error</t>
  </si>
  <si>
    <t>Unit is operational, A2 under observation</t>
  </si>
  <si>
    <t>A2 passed calibration</t>
  </si>
  <si>
    <t>https://www.jotform.com/uploads/macarewecare/222927978372067/5812711343743136465/5812711343743136465_signature_28.png</t>
  </si>
  <si>
    <t>Marciana Mendiola</t>
  </si>
  <si>
    <t>https://www.jotform.com/uploads/macarewecare/222927978372067/5812711343743136465/5812711343743136465_signature_31.png</t>
  </si>
  <si>
    <t>https://www.jotform.com/uploads/macarewecare/222927978372067/5812701703749725207/5812701703749725207_signature_28.png</t>
  </si>
  <si>
    <t>https://www.jotform.com/uploads/macarewecare/222927978372067/5812701703749725207/5812701703749725207_signature_31.png</t>
  </si>
  <si>
    <t xml:space="preserve">ASSAY: Xpert HIV-1 Viral Load, COUNT: 96
ASSAY: Xpert HCV VL, COUNT: 4
</t>
  </si>
  <si>
    <t>Error code 5007,5015,5002</t>
  </si>
  <si>
    <t>Clean all modules and plunger, change filter</t>
  </si>
  <si>
    <t>https://www.jotform.com/uploads/macarewecare/222927978372067/5812686906944736653/5812686906944736653_signature_28.png</t>
  </si>
  <si>
    <t>Jonnifer ceniza</t>
  </si>
  <si>
    <t>https://www.jotform.com/uploads/macarewecare/222927978372067/5812686906944736653/5812686906944736653_signature_31.png</t>
  </si>
  <si>
    <t>MANDURRIAO, ILOILO CITY</t>
  </si>
  <si>
    <t xml:space="preserve">ASSAY: Xpert MTB/RIF Ultra, COUNT: 4745
</t>
  </si>
  <si>
    <t>-MODULE D3 ERROR 1001 AND 2014</t>
  </si>
  <si>
    <t>-PERFORM PREVENTIVE MAINTENANCE PROCEDURE
-DATA COLLECTION FOR MODULE D3 SN:871127</t>
  </si>
  <si>
    <t>https://www.jotform.com/uploads/macarewecare/222927978372067/5812672536189138869/5812672536189138869_signature_28.png</t>
  </si>
  <si>
    <t>https://www.jotform.com/uploads/macarewecare/222927978372067/5812672536189138869/5812672536189138869_signature_31.png</t>
  </si>
  <si>
    <t xml:space="preserve">ASSAY: Xpert HPV, COUNT: 1113
ASSAY: Xpert MTB/RIF Ultra, COUNT: 824
ASSAY: Xpert HIV-1 Viral Load, COUNT: 409
</t>
  </si>
  <si>
    <t>-MODULE A1 ERROR 1002</t>
  </si>
  <si>
    <t>https://www.jotform.com/uploads/macarewecare/222927978372067/5812669646181049905/5812669646181049905_signature_28.png</t>
  </si>
  <si>
    <t>https://www.jotform.com/uploads/macarewecare/222927978372067/5812669646181049905/5812669646181049905_signature_31.png</t>
  </si>
  <si>
    <t xml:space="preserve">ASSAY: Others, COUNT: XDR - 910
</t>
  </si>
  <si>
    <t>-PERFORM PREVENTIVE MAINTENANCE PROCEDURE
-PERFORM MODULE B4 REPLACEMENT :
DEF SN:210002436
NEW SN:210068892</t>
  </si>
  <si>
    <t>https://www.jotform.com/uploads/macarewecare/222927978372067/5812665776183522267/5812665776183522267_signature_28.png</t>
  </si>
  <si>
    <t>https://www.jotform.com/uploads/macarewecare/222927978372067/5812665776183522267/5812665776183522267_signature_31.png</t>
  </si>
  <si>
    <t>Mauban Municipal Health Office</t>
  </si>
  <si>
    <t>Signal St. Mauban</t>
  </si>
  <si>
    <t>jayveepasoot3@gmail.com</t>
  </si>
  <si>
    <t xml:space="preserve">ASSAY: Xpert CT/NG, COUNT: 1
ASSAY: Xpert HPV, COUNT: 143
ASSAY: Xpert MTB/RIF Ultra, COUNT: 602
</t>
  </si>
  <si>
    <t>Performed maintenance
Cleaned cartridge bay, plunger rod, icore and filter
Generated reports</t>
  </si>
  <si>
    <t>https://www.jotform.com/uploads/macarewecare/222927978372067/5812659153557288058/5812659153557288058_signature_28.png</t>
  </si>
  <si>
    <t>Jayvee Pasoot</t>
  </si>
  <si>
    <t>https://www.jotform.com/uploads/macarewecare/222927978372067/5812659153557288058/5812659153557288058_signature_31.png</t>
  </si>
  <si>
    <t>Cong. Toribio Semion Memorial Hospital</t>
  </si>
  <si>
    <t>Defective module 702990</t>
  </si>
  <si>
    <t>New module installed 784515</t>
  </si>
  <si>
    <t>https://www.jotform.com/uploads/macarewecare/222927978372067/5812657211121640706/5812657211121640706_signature_28.png</t>
  </si>
  <si>
    <t>Himaya vale</t>
  </si>
  <si>
    <t>https://www.jotform.com/uploads/macarewecare/222927978372067/5812657211121640706/5812657211121640706_signature_31.png</t>
  </si>
  <si>
    <t xml:space="preserve">ASSAY: Xpert MTB/RIF Ultra, COUNT: 1063
</t>
  </si>
  <si>
    <t>https://www.jotform.com/uploads/macarewecare/222927978372067/5812630809612407299/5812630809612407299_signature_28.png</t>
  </si>
  <si>
    <t>ma.teresa aliman</t>
  </si>
  <si>
    <t>https://www.jotform.com/uploads/macarewecare/222927978372067/5812630809612407299/5812630809612407299_signature_31.png</t>
  </si>
  <si>
    <t>aliceiytan@yahoo.com</t>
  </si>
  <si>
    <t>n/@</t>
  </si>
  <si>
    <t>Preventive Maintenance
- Cleaned plunger rod, cartridge bay
- Cleaned Fan filter
- archive data</t>
  </si>
  <si>
    <t>https://www.jotform.com/uploads/macarewecare/222927978372067/5812627319612976608/5812627319612976608_signature_28.png</t>
  </si>
  <si>
    <t>dr alice iy tan</t>
  </si>
  <si>
    <t>https://www.jotform.com/uploads/macarewecare/222927978372067/5812627319612976608/5812627319612976608_signature_31.png</t>
  </si>
  <si>
    <t xml:space="preserve">ASSAY: Xpert MTB/RIF Ultra, COUNT: 1464
</t>
  </si>
  <si>
    <t>- Cleaned Cartridge Bays, Plunger Rods and I-CORE 
- Replaced Defective Module 808254 &gt;&gt;&gt; 750392
- Generated Reports</t>
  </si>
  <si>
    <t>GeneXpert Module 750392</t>
  </si>
  <si>
    <t>DR 11045</t>
  </si>
  <si>
    <t>https://www.jotform.com/uploads/macarewecare/222927978372067/5812242330206046594/5812242330206046594_signature_28.png</t>
  </si>
  <si>
    <t>https://www.jotform.com/uploads/macarewecare/222927978372067/5812242330206046594/5812242330206046594_signature_31.png</t>
  </si>
  <si>
    <t>- Cleaned Cartridge Bays, Plunger Rods and I-CORE 
- Replaced Defective Module 808257 &gt;&gt;&gt; 739420
- Generated reports</t>
  </si>
  <si>
    <t>DR 11046</t>
  </si>
  <si>
    <t>https://www.jotform.com/uploads/macarewecare/222927978372067/5812237950201401711/5812237950201401711_signature_28.png</t>
  </si>
  <si>
    <t>Arlene U. Abad</t>
  </si>
  <si>
    <t>https://www.jotform.com/uploads/macarewecare/222927978372067/5812237950201401711/5812237950201401711_signature_31.png</t>
  </si>
  <si>
    <t xml:space="preserve">ASSAY: Xpert MTB/RIF Ultra, COUNT: 497
</t>
  </si>
  <si>
    <t>Module B1 and B2 for repair and  due for Preventive Maintenance</t>
  </si>
  <si>
    <t>Replaced the Defective Module SN: 862212 with new Module SN: 616039
Replaced the Defective Module SN: 862216 with new Module SN: 615764
Clean Surface Area, Cartridge Bay, Plunger Rod, Fan Filters and Icore Lenses
Generate IQR, Assay Stat and System Log</t>
  </si>
  <si>
    <t>DR 11033 &amp; DR 11034</t>
  </si>
  <si>
    <t>https://www.jotform.com/uploads/macarewecare/222927978372067/5812047095012482147/5812047095012482147_signature_28.png</t>
  </si>
  <si>
    <t>Charlene V. Magallanes RMT</t>
  </si>
  <si>
    <t>https://www.jotform.com/uploads/macarewecare/222927978372067/5812047095012482147/5812047095012482147_signature_31.png</t>
  </si>
  <si>
    <t>MRB Compound Pilot Drive, Brgy. Commonwealth, Quezon City</t>
  </si>
  <si>
    <t>Module A2 for replacement
CPU for troubleshooting; not booting up</t>
  </si>
  <si>
    <t>Performed PM
Checked cables
Tightened data cable and RAM
Problem persists
Replaced HDD
Replaced module A2
Generated report</t>
  </si>
  <si>
    <t>Replaced module A2 
754226 -&gt; 784178
Troubleshoot CPU</t>
  </si>
  <si>
    <t>DR 11095</t>
  </si>
  <si>
    <t>https://www.jotform.com/uploads/macarewecare/222927978372067/5812040060814990513/5812040060814990513_signature_28.png</t>
  </si>
  <si>
    <t>Trecia Marie D. Colisao</t>
  </si>
  <si>
    <t>https://www.jotform.com/uploads/macarewecare/222927978372067/5812040060814990513/5812040060814990513_signature_31.png</t>
  </si>
  <si>
    <t>Module B1 found Service Required
Defective CPU</t>
  </si>
  <si>
    <t>Replacing Defective CPU with New CPU (SN. CPH0923F45093)</t>
  </si>
  <si>
    <t>3 modules functional, 1 module service required
CPU is now functional</t>
  </si>
  <si>
    <t>https://www.jotform.com/uploads/macarewecare/222927978372067/5812035251612747607/5812035251612747607_signature_28.png</t>
  </si>
  <si>
    <t>Editha M. Martinez</t>
  </si>
  <si>
    <t>https://www.jotform.com/uploads/macarewecare/222927978372067/5812035251612747607/5812035251612747607_signature_31.png</t>
  </si>
  <si>
    <t>SARA RURAL HEALTH UNIT</t>
  </si>
  <si>
    <t>SARA, ILOILO</t>
  </si>
  <si>
    <t>dohro6hrh.sara@gmail.com</t>
  </si>
  <si>
    <t xml:space="preserve">ASSAY: Xpert MTB/RIF Ultra, COUNT: 182
</t>
  </si>
  <si>
    <t>-PERFORM REPLACEMENT OF MODULE B3 DEF SN:807217 WITH NEW MODULE SN:758436</t>
  </si>
  <si>
    <t>https://www.jotform.com/uploads/macarewecare/222927978372067/5812029997327885743/5812029997327885743_signature_28.png</t>
  </si>
  <si>
    <t>Candelaria Parrenas</t>
  </si>
  <si>
    <t>https://www.jotform.com/uploads/macarewecare/222927978372067/5812029997327885743/5812029997327885743_signature_31.png</t>
  </si>
  <si>
    <t>Replacement CPU for installation</t>
  </si>
  <si>
    <t>Installed CPU</t>
  </si>
  <si>
    <t>Unit is operational
Pulled out back up laptop</t>
  </si>
  <si>
    <t>GeneXpert Desktop
SN: CPH1023F45879</t>
  </si>
  <si>
    <t>https://www.jotform.com/uploads/macarewecare/222927978372067/5812029439014231809/5812029439014231809_signature_28.png</t>
  </si>
  <si>
    <t>https://www.jotform.com/uploads/macarewecare/222927978372067/5812029439014231809/5812029439014231809_signature_31.png</t>
  </si>
  <si>
    <t>Mauban</t>
  </si>
  <si>
    <t xml:space="preserve">ASSAY: Xpert HPV, COUNT: 152
ASSAY: Xpert MTB/RIF Ultra, COUNT: 1177
</t>
  </si>
  <si>
    <t>Performed maintenance
Replaced CPU
Archive test
Import assay
Generated reports</t>
  </si>
  <si>
    <t>Old CPU: 2UA70329D8
New CPU: CPH0723F43757</t>
  </si>
  <si>
    <t>https://www.jotform.com/uploads/macarewecare/222927978372067/5811983109351445985/5811983109351445985_signature_28.png</t>
  </si>
  <si>
    <t>Rhandy Buraga,RMT</t>
  </si>
  <si>
    <t>https://www.jotform.com/uploads/macarewecare/222927978372067/5811983109351445985/5811983109351445985_signature_31.png</t>
  </si>
  <si>
    <t>bnjlvrz@9gmail.com</t>
  </si>
  <si>
    <t xml:space="preserve">ASSAY: Xpert MTB/RIF Ultra, COUNT: 571
</t>
  </si>
  <si>
    <t>Performed Maintenance
Gathered Reports
Performed Module Replacement
(754456 - 757233)
(754457 - 754439)
Performed Functionality Test</t>
  </si>
  <si>
    <t>11044 &amp; 11043</t>
  </si>
  <si>
    <t>https://www.jotform.com/uploads/macarewecare/222927978372067/5811967375123936947/5811967375123936947_signature_28.png</t>
  </si>
  <si>
    <t>Benjo A  Alvarez</t>
  </si>
  <si>
    <t>https://www.jotform.com/uploads/macarewecare/222927978372067/5811967375123936947/5811967375123936947_signature_31.png</t>
  </si>
  <si>
    <t>Nabua Rural Health Unit</t>
  </si>
  <si>
    <t>Nabua</t>
  </si>
  <si>
    <t>fevalenzuela1965@gmail.com</t>
  </si>
  <si>
    <t>GX relocated. Assistance for re installation of GX</t>
  </si>
  <si>
    <t>Setup Gx: connected cables opened Gx, CPU, UPS, Monitor
Cleaned cartridge bays, plunger rod, icore
Generate reports</t>
  </si>
  <si>
    <t>Setup GX
Performed Preventive Maintenance</t>
  </si>
  <si>
    <t>https://www.jotform.com/uploads/macarewecare/222927978372067/5811958242225133130/5811958242225133130_signature_28.png</t>
  </si>
  <si>
    <t>Valenzuela, Fe L.</t>
  </si>
  <si>
    <t>https://www.jotform.com/uploads/macarewecare/222927978372067/5811958242225133130/5811958242225133130_signature_31.png</t>
  </si>
  <si>
    <t>asheilacatlirn@yahoo.com.ph</t>
  </si>
  <si>
    <t>Unit for PM.
For installation of new UPS and monitor.</t>
  </si>
  <si>
    <t>Performed PM.
Performed installation of UPS and monitor.
Generated reports.</t>
  </si>
  <si>
    <t>Focus monitor (AVI215CMQY05B01060156) in replacement to defective monitor (CNK83224MH).
Accupower 1KVA UPS (AT1K230830ST0014) in replacement to defective UPS (AT1000180910ST0289).</t>
  </si>
  <si>
    <t>DR#11104</t>
  </si>
  <si>
    <t>https://www.jotform.com/uploads/macarewecare/222927978372067/5811915963359402865/5811915963359402865_signature_28.png</t>
  </si>
  <si>
    <t>Arlene Sheila T. catli</t>
  </si>
  <si>
    <t>https://www.jotform.com/uploads/macarewecare/222927978372067/5811915963359402865/5811915963359402865_signature_31.png</t>
  </si>
  <si>
    <t>Laptop replacement</t>
  </si>
  <si>
    <t>For laptop replacement unable to upload adf files because of o.s version</t>
  </si>
  <si>
    <t>Replaced and installed laptop replacement s.n CNU1321BXY1.
Cleaned plunger rod,filter,icore,cartridge bay
Gathered reports
Test run unit</t>
  </si>
  <si>
    <t>For pull out for repair dell laptop s.n GCN2SM1</t>
  </si>
  <si>
    <t>Hp laptop</t>
  </si>
  <si>
    <t>https://www.jotform.com/uploads/macarewecare/222927978372067/5811899312716040623/5811899312716040623_signature_28.png</t>
  </si>
  <si>
    <t>https://www.jotform.com/uploads/macarewecare/222927978372067/5811899312716040623/5811899312716040623_signature_31.png</t>
  </si>
  <si>
    <t>35 Road 9 cor. Road 10. Brgy. Bagong Pag-Asa</t>
  </si>
  <si>
    <t>erikatagorda18@gmail.com</t>
  </si>
  <si>
    <t>Performed PM
Replaced module A1
Generated report</t>
  </si>
  <si>
    <t>Replaced module A1
698524 -&gt; 722419</t>
  </si>
  <si>
    <t>Unit is operational
3 modules working</t>
  </si>
  <si>
    <t>DR 11091</t>
  </si>
  <si>
    <t>https://www.jotform.com/uploads/macarewecare/222927978372067/5811889980819115928/5811889980819115928_signature_28.png</t>
  </si>
  <si>
    <t>https://www.jotform.com/uploads/macarewecare/222927978372067/5811889980819115928/5811889980819115928_signature_31.png</t>
  </si>
  <si>
    <t>Unit for PM.
For module replacement of module B3.</t>
  </si>
  <si>
    <t>Performed PM.
Performed module replacement.
Generated reports</t>
  </si>
  <si>
    <t>GX module B3 (791983) in replacement to defective B3 (653817).</t>
  </si>
  <si>
    <t>G6738</t>
  </si>
  <si>
    <t>https://www.jotform.com/uploads/macarewecare/222927978372067/5811870563352668392/5811870563352668392_signature_28.png</t>
  </si>
  <si>
    <t>Clarinda Sharon P. Surell</t>
  </si>
  <si>
    <t>https://www.jotform.com/uploads/macarewecare/222927978372067/5811870563352668392/5811870563352668392_signature_31.png</t>
  </si>
  <si>
    <t>Guguinto, Bulacan</t>
  </si>
  <si>
    <t>Workstation for replacement</t>
  </si>
  <si>
    <t>Replaced workstation</t>
  </si>
  <si>
    <t>GeneXpert Workstation CPU
SN: CPH0723F43759</t>
  </si>
  <si>
    <t>https://www.jotform.com/uploads/macarewecare/222927978372067/5811861257715259948/5811861257715259948_signature_28.png</t>
  </si>
  <si>
    <t>https://www.jotform.com/uploads/macarewecare/222927978372067/5811861257715259948/5811861257715259948_signature_31.png</t>
  </si>
  <si>
    <t>Guimba Community Hospital</t>
  </si>
  <si>
    <t>Guimba Nueva Ecija</t>
  </si>
  <si>
    <t>marquezandrelyn18@gmail.com</t>
  </si>
  <si>
    <t>laboratorygch@gmail.com</t>
  </si>
  <si>
    <t xml:space="preserve">ASSAY: Xpert MTB/RIF Ultra, COUNT: 956
ASSAY: Xpert HIV-1 Viral Load, COUNT: 18
</t>
  </si>
  <si>
    <t>Unit is operational, all modules passed calibration
Genexpert machine/ referigirator needs to change location due to high ambient temperature.
CPU BIOS battery for replacement</t>
  </si>
  <si>
    <t>https://www.jotform.com/uploads/macarewecare/222927978372067/5811851224522356530/5811851224522356530_signature_28.png</t>
  </si>
  <si>
    <t>Andrelyn Nazar Marquez</t>
  </si>
  <si>
    <t>https://www.jotform.com/uploads/macarewecare/222927978372067/5811851224522356530/5811851224522356530_signature_31.png</t>
  </si>
  <si>
    <t xml:space="preserve">ASSAY: Xpert MTB/RIF Ultra, COUNT: 707
</t>
  </si>
  <si>
    <t>Module B4/862238 Defective</t>
  </si>
  <si>
    <t>1 Genexpert module 6 Color SN/905745</t>
  </si>
  <si>
    <t>DOh</t>
  </si>
  <si>
    <t>https://www.jotform.com/uploads/macarewecare/222927978372067/5811830954022291749/5811830954022291749_signature_28.png</t>
  </si>
  <si>
    <t>https://www.jotform.com/uploads/macarewecare/222927978372067/5811830954022291749/5811830954022291749_signature_31.png</t>
  </si>
  <si>
    <t>Victoria Rural Health unit</t>
  </si>
  <si>
    <t>Brgy Bulo Victoria Tarlac</t>
  </si>
  <si>
    <t>Stuck cartridge</t>
  </si>
  <si>
    <t>Preventive maintenance
Stuck cartridge removal</t>
  </si>
  <si>
    <t>Performed cartridge removal
Performed preventive maintenance
Gathered reports
Performed functionality test</t>
  </si>
  <si>
    <t>https://www.jotform.com/uploads/macarewecare/222927978372067/5811803874528153243/5811803874528153243_signature_28.png</t>
  </si>
  <si>
    <t>https://www.jotform.com/uploads/macarewecare/222927978372067/5811803874528153243/5811803874528153243_signature_31.png</t>
  </si>
  <si>
    <t>Dr. Elvira Lagrosa Health Center (Duay)</t>
  </si>
  <si>
    <t>Dolores Hidago St., Pasay Metro Manila</t>
  </si>
  <si>
    <t>rhemejetbotaquia@gmail.com</t>
  </si>
  <si>
    <t xml:space="preserve">ASSAY: Xpert MTB/RIF Ultra, COUNT: 1522
</t>
  </si>
  <si>
    <t>Module B2 invalid results</t>
  </si>
  <si>
    <t>Performed PM
Checked system log
Archived reports
Generated report</t>
  </si>
  <si>
    <t>Troubleshoot module B2
Archived files</t>
  </si>
  <si>
    <t>https://www.jotform.com/uploads/macarewecare/222927978372067/5811770073616301180/5811770073616301180_signature_28.png</t>
  </si>
  <si>
    <t>Rheme Tañeza</t>
  </si>
  <si>
    <t>https://www.jotform.com/uploads/macarewecare/222927978372067/5811770073616301180/5811770073616301180_signature_31.png</t>
  </si>
  <si>
    <t>Philippine Tuberculosis Society, Inc.</t>
  </si>
  <si>
    <t>E. Rodriguez Sr. Ave., Quezon City</t>
  </si>
  <si>
    <t xml:space="preserve">ASSAY: Xpert MTB/RIF Ultra, COUNT: 1406
</t>
  </si>
  <si>
    <t>New machine to arrive
Files for back up</t>
  </si>
  <si>
    <t>Performed PM
Backed up all reports 
Store files in CD
Generated report</t>
  </si>
  <si>
    <t>Backed up files
stored files in CD</t>
  </si>
  <si>
    <t>https://www.jotform.com/uploads/macarewecare/222927978372067/5811760963618594261/5811760963618594261_signature_28.png</t>
  </si>
  <si>
    <t>sanny m isorena</t>
  </si>
  <si>
    <t>https://www.jotform.com/uploads/macarewecare/222927978372067/5811760963618594261/5811760963618594261_signature_31.png</t>
  </si>
  <si>
    <t>Sta ignacia Tarlac</t>
  </si>
  <si>
    <t xml:space="preserve">ASSAY: Xpert MTB/RIF Ultra, COUNT: 499
</t>
  </si>
  <si>
    <t>A2:758401 for module replacement
A3 for re-calibration
UPS for troubleshooting</t>
  </si>
  <si>
    <t>Repair
Xpertcheck
Troubleshooting</t>
  </si>
  <si>
    <t>Performed surface cleaning
Performed cleaning of cartridge bay,icore,plunger rod and filter
Performed xpertcheck 
Performed module replacement
Performed UPS troubleshooting 
Generate reports
Archived test results
Performed functionality test</t>
  </si>
  <si>
    <t>Defective UPS not charging for replacement.</t>
  </si>
  <si>
    <t>1 genexpert module 
1 xpertcheck kit</t>
  </si>
  <si>
    <t>https://www.jotform.com/uploads/macarewecare/222927978372067/5811327963023232650/5811327963023232650_signature_28.png</t>
  </si>
  <si>
    <t>https://www.jotform.com/uploads/macarewecare/222927978372067/5811327963023232650/5811327963023232650_signature_31.png</t>
  </si>
  <si>
    <t xml:space="preserve">ASSAY: Xpert MTB/RIF Ultra, COUNT: 1307
</t>
  </si>
  <si>
    <t>Defective Modules in B1 862252 and B3 662546</t>
  </si>
  <si>
    <t>Module replacement of defective modules</t>
  </si>
  <si>
    <t>Module replacement of New Module  SR 786303 and  786385</t>
  </si>
  <si>
    <t>https://www.jotform.com/uploads/macarewecare/222927978372067/5811222823919677738/5811222823919677738_signature_28.png</t>
  </si>
  <si>
    <t>https://www.jotform.com/uploads/macarewecare/222927978372067/5811222823919677738/5811222823919677738_signature_31.png</t>
  </si>
  <si>
    <t>Tomas Claudio (District A) Health Center</t>
  </si>
  <si>
    <t>Camus Street, Corner Quirino Avenue. Davao City</t>
  </si>
  <si>
    <t>Module B2 for repair and Due for Maintenance</t>
  </si>
  <si>
    <t>Replaced the defective Module SN: 8662215 with new Module SN:791145
Clean Surface Area, Cartridge Bay, Fan Filters, Plunger Rod and Icore Lense
Generate IQR, Assay Stat and System Log</t>
  </si>
  <si>
    <t>DR 10972</t>
  </si>
  <si>
    <t>https://www.jotform.com/uploads/macarewecare/222927978372067/5811173179913653937/5811173179913653937_signature_28.png</t>
  </si>
  <si>
    <t>Arleen Alconera, RMT</t>
  </si>
  <si>
    <t>https://www.jotform.com/uploads/macarewecare/222927978372067/5811173179913653937/5811173179913653937_signature_31.png</t>
  </si>
  <si>
    <t>Hospital Drive San Vicente Tarlac City</t>
  </si>
  <si>
    <t xml:space="preserve">ASSAY: Xpert SARS-CoV-2, COUNT: 2069
</t>
  </si>
  <si>
    <t>B2:644413 for module replacement</t>
  </si>
  <si>
    <t>B2:862237 new installed module</t>
  </si>
  <si>
    <t>https://www.jotform.com/uploads/macarewecare/222927978372067/5811058030518125090/5811058030518125090_signature_28.png</t>
  </si>
  <si>
    <t>Camille Ann Cariaga</t>
  </si>
  <si>
    <t>https://www.jotform.com/uploads/macarewecare/222927978372067/5811058030518125090/5811058030518125090_signature_31.png</t>
  </si>
  <si>
    <t>https://www.jotform.com/uploads/macarewecare/222927978372067/5810968073612145846/5810968073612145846_signature_28.png</t>
  </si>
  <si>
    <t>https://www.jotform.com/uploads/macarewecare/222927978372067/5810968073612145846/5810968073612145846_signature_31.png</t>
  </si>
  <si>
    <t>Hospital Dr., General Trias, Cavite</t>
  </si>
  <si>
    <t>loremontoya1169@gmail.com</t>
  </si>
  <si>
    <t xml:space="preserve">ASSAY: Xpert MTB/RIF Ultra, COUNT: 3152
ASSAY: Xpert HIV-1 Viral Load, COUNT: 116
</t>
  </si>
  <si>
    <t>Module 2 Failed in XpertCheck
UPS with No Back-up</t>
  </si>
  <si>
    <t>Performed Maintenance
Replaced Module 2
Checked UPS Output Voltage and Backup Function
Replaced UPS Battery
Performed Self-test
Generate Reports</t>
  </si>
  <si>
    <t>A2: 626065 -&gt; 671136</t>
  </si>
  <si>
    <t>https://www.jotform.com/uploads/macarewecare/222927978372067/5810968073612543561/5810968073612543561_signature_28.png</t>
  </si>
  <si>
    <t>Lorena R.Montoya</t>
  </si>
  <si>
    <t>https://www.jotform.com/uploads/macarewecare/222927978372067/5810968073612543561/5810968073612543561_signature_31.png</t>
  </si>
  <si>
    <t>Malinis Compound, Molino, Bacoor</t>
  </si>
  <si>
    <t xml:space="preserve">ASSAY: Xpert MTB/RIF Ultra, COUNT: 1867
</t>
  </si>
  <si>
    <t>Replaced Module 2
Performed Self-test
Performed Maintenance
Generate Reports</t>
  </si>
  <si>
    <t>B2: 784350 -&gt; 724167</t>
  </si>
  <si>
    <t>https://www.jotform.com/uploads/macarewecare/222927978372067/5810968073613009438/5810968073613009438_signature_28.png</t>
  </si>
  <si>
    <t>https://www.jotform.com/uploads/macarewecare/222927978372067/5810968073613009438/5810968073613009438_signature_31.png</t>
  </si>
  <si>
    <t>Brgy. Poblacion, Silang, Cavite</t>
  </si>
  <si>
    <t>bencq78@gmail.com</t>
  </si>
  <si>
    <t xml:space="preserve">ASSAY: Xpert MTB/RIF Ultra, COUNT: 1929
</t>
  </si>
  <si>
    <t>Module 4 Failed in XpertCheck</t>
  </si>
  <si>
    <t>Replaced Module 4
Performed Maintenance
Performed Self-test
Generate Reports</t>
  </si>
  <si>
    <t>A4: 629212 -&gt; 786530</t>
  </si>
  <si>
    <t>https://www.jotform.com/uploads/macarewecare/222927978372067/5810968073616863557/5810968073616863557_signature_28.png</t>
  </si>
  <si>
    <t>Benessie madlangsakay</t>
  </si>
  <si>
    <t>https://www.jotform.com/uploads/macarewecare/222927978372067/5810968073616863557/5810968073616863557_signature_31.png</t>
  </si>
  <si>
    <t xml:space="preserve">ASSAY: Xpert MTB/RIF Ultra, COUNT: 1092
ASSAY: Xpert MTB/RIF Ultra, COUNT: 1092
</t>
  </si>
  <si>
    <t>Module B4 XpertCheck service required.</t>
  </si>
  <si>
    <t>-Replace defective module B4/808286 with new module SN: 785115</t>
  </si>
  <si>
    <t>DR no. 10946</t>
  </si>
  <si>
    <t>https://www.jotform.com/uploads/macarewecare/222927978372067/5810921988984911358/5810921988984911358_signature_28.png</t>
  </si>
  <si>
    <t>https://www.jotform.com/uploads/macarewecare/222927978372067/5810921988984911358/5810921988984911358_signature_31.png</t>
  </si>
  <si>
    <t>https://www.jotform.com/uploads/macarewecare/222927978372067/5810921758987743117/5810921758987743117_signature_28.png</t>
  </si>
  <si>
    <t>https://www.jotform.com/uploads/macarewecare/222927978372067/5810921758987743117/5810921758987743117_signature_31.png</t>
  </si>
  <si>
    <t>Defective Module D3 791668</t>
  </si>
  <si>
    <t>New module D3 758219, clean fan filter</t>
  </si>
  <si>
    <t>New module D3 758219</t>
  </si>
  <si>
    <t>https://www.jotform.com/uploads/macarewecare/222927978372067/5810909433919271577/5810909433919271577_signature_28.png</t>
  </si>
  <si>
    <t>https://www.jotform.com/uploads/macarewecare/222927978372067/5810909433919271577/5810909433919271577_signature_31.png</t>
  </si>
  <si>
    <t>https://www.jotform.com/uploads/macarewecare/222927978372067/5810908373914585508/5810908373914585508_signature_28.png</t>
  </si>
  <si>
    <t>https://www.jotform.com/uploads/macarewecare/222927978372067/5810908373914585508/5810908373914585508_signature_31.png</t>
  </si>
  <si>
    <t>Cebu TB Referende lab-SRP</t>
  </si>
  <si>
    <t>Defective module B1 693532 and B2 807729</t>
  </si>
  <si>
    <t>New module installed B1 786431 and B2 210014805</t>
  </si>
  <si>
    <t>https://www.jotform.com/uploads/macarewecare/222927978372067/5810907483914364901/5810907483914364901_signature_28.png</t>
  </si>
  <si>
    <t>https://www.jotform.com/uploads/macarewecare/222927978372067/5810907483914364901/5810907483914364901_signature_31.png</t>
  </si>
  <si>
    <t xml:space="preserve">ASSAY: Xpert HBV VL, COUNT: 8
ASSAY: Xpert SARS-CoV-2, COUNT: 9
ASSAY: Xpert HCV VL, COUNT: 2
</t>
  </si>
  <si>
    <t>GX4 10 color</t>
  </si>
  <si>
    <t>Performed XpertCheck and Preventive Maintenance</t>
  </si>
  <si>
    <t>https://www.jotform.com/uploads/macarewecare/222927978372067/5810339630203880893/5810339630203880893_signature_28.png</t>
  </si>
  <si>
    <t>Ma. Victoria Teresa R. Mamuri</t>
  </si>
  <si>
    <t>https://www.jotform.com/uploads/macarewecare/222927978372067/5810339630203880893/5810339630203880893_signature_31.png</t>
  </si>
  <si>
    <t>- Cleaned Cartridge Bays, Plunger Rods and I-CORE 
- Replaced Defective Module 807798 &gt;&gt;&gt; 863306
- Generated Reports</t>
  </si>
  <si>
    <t>Unit is operational 1</t>
  </si>
  <si>
    <t>GeneXpert Module 863306</t>
  </si>
  <si>
    <t>DR 10916</t>
  </si>
  <si>
    <t>https://www.jotform.com/uploads/macarewecare/222927978372067/5810337420208193664/5810337420208193664_signature_28.png</t>
  </si>
  <si>
    <t>https://www.jotform.com/uploads/macarewecare/222927978372067/5810337420208193664/5810337420208193664_signature_31.png</t>
  </si>
  <si>
    <t>Bontoc, Mountain Province</t>
  </si>
  <si>
    <t>mffanglayan@gmail.com</t>
  </si>
  <si>
    <t>For Module Replacement and Troubleshooting</t>
  </si>
  <si>
    <t>- Cleaned Cartridge Bays, Plunger Rods and I-CORE 
- Replaced Defective Module 688593 &gt;&gt;&gt; 714782
- Swapped module B3 and B2 and performed Reliability Test
- Generated Reports</t>
  </si>
  <si>
    <t>Performed Module Replacement and Troubleshooting</t>
  </si>
  <si>
    <t>Work with with Engineer Venzon. Module B3 for observation.</t>
  </si>
  <si>
    <t>GeneXpert Module 714782</t>
  </si>
  <si>
    <t>https://www.jotform.com/uploads/macarewecare/222927978372067/5810334660209319504/5810334660209319504_signature_28.png</t>
  </si>
  <si>
    <t>Mary Lourdes Fanglayan</t>
  </si>
  <si>
    <t>https://www.jotform.com/uploads/macarewecare/222927978372067/5810334660209319504/5810334660209319504_signature_31.png</t>
  </si>
  <si>
    <t>Angono</t>
  </si>
  <si>
    <t xml:space="preserve">ASSAY: Xpert MTB/RIF Ultra, COUNT: 1040
</t>
  </si>
  <si>
    <t>Performed maintenance
Replaced module A2
Generated reports</t>
  </si>
  <si>
    <t>Old: A2/784784
New: A2/754306</t>
  </si>
  <si>
    <t>DR# 11068</t>
  </si>
  <si>
    <t>https://www.jotform.com/uploads/macarewecare/222927978372067/5810189385706850016/5810189385706850016_signature_28.png</t>
  </si>
  <si>
    <t>https://www.jotform.com/uploads/macarewecare/222927978372067/5810189385706850016/5810189385706850016_signature_31.png</t>
  </si>
  <si>
    <t>Laoag, Ilocos Norte</t>
  </si>
  <si>
    <t xml:space="preserve">ASSAY: Xpert MTB/RIF Ultra, COUNT: 559
</t>
  </si>
  <si>
    <t>- Cleaned Cartridge Bays, Plunger Rods, I-CORE 
- Replaced Defective Module 861111 &gt;&gt;&gt; 753904
- Generated Reports</t>
  </si>
  <si>
    <t>GeneXpert Module 753904</t>
  </si>
  <si>
    <t>DR 11040</t>
  </si>
  <si>
    <t>https://www.jotform.com/uploads/macarewecare/222927978372067/5810163030201641108/5810163030201641108_signature_28.png</t>
  </si>
  <si>
    <t>https://www.jotform.com/uploads/macarewecare/222927978372067/5810163030201641108/5810163030201641108_signature_31.png</t>
  </si>
  <si>
    <t xml:space="preserve">ASSAY: Xpert MTB/RIF Ultra, COUNT: 667
</t>
  </si>
  <si>
    <t>- Cleaned Cartridge Bays, Plunger Rods and I-CORE 
- Replaced Defective Modules 658000&gt;&gt;&gt;705668, 612388&gt;&gt;&gt;705964
- Generated Reports</t>
  </si>
  <si>
    <t>GeneXpert Modules 705668, 705964</t>
  </si>
  <si>
    <t>https://www.jotform.com/uploads/macarewecare/222927978372067/5810159130209964180/5810159130209964180_signature_28.png</t>
  </si>
  <si>
    <t>KENADINE Cudapas</t>
  </si>
  <si>
    <t>https://www.jotform.com/uploads/macarewecare/222927978372067/5810159130209964180/5810159130209964180_signature_31.png</t>
  </si>
  <si>
    <t xml:space="preserve">ASSAY: Xpert C. difficile BT, COUNT: 4
ASSAY: Xpert HBV VL, COUNT: 26
ASSAY: Xpert HPV, COUNT: 175
ASSAY: Xpert MTB/RIF Ultra, COUNT: 1137
ASSAY: Xpert HBV VL, COUNT: 3598
ASSAY: Xpert HCV VL, COUNT: 3
ASSAY: Xpert HIV-1 Viral Load, COUNT: 11
</t>
  </si>
  <si>
    <t>https://www.jotform.com/uploads/macarewecare/222927978372067/5810155430202451874/5810155430202451874_signature_28.png</t>
  </si>
  <si>
    <t>https://www.jotform.com/uploads/macarewecare/222927978372067/5810155430202451874/5810155430202451874_signature_31.png</t>
  </si>
  <si>
    <t>https://www.jotform.com/uploads/macarewecare/222927978372067/5810154380202239904/5810154380202239904_signature_28.png</t>
  </si>
  <si>
    <t>https://www.jotform.com/uploads/macarewecare/222927978372067/5810154380202239904/5810154380202239904_signature_31.png</t>
  </si>
  <si>
    <t xml:space="preserve">ASSAY: Xpert C. difficile BT, COUNT: 2
ASSAY: Xpert HBV VL, COUNT: 10
ASSAY: Xpert HPV, COUNT: 93
ASSAY: Xpert MTB/RIF Ultra, COUNT: 431
ASSAY: Xpert SARS-CoV-2, COUNT: 1489
ASSAY: Xpert HCV VL, COUNT: 3
</t>
  </si>
  <si>
    <t>- Cleaned Cartridge Bays, Plunger Rods and I-CORE 
- Replaced Defective Modules 645827 &gt;&gt;&gt; 754288, 713828 &gt;&gt;&gt; 701383, 654653 &gt;&gt;&gt; 699719
- Generated Reports</t>
  </si>
  <si>
    <t>GeneXpert Modules 754288, 701383, 699719q</t>
  </si>
  <si>
    <t>DR 11041, 10900, 10904</t>
  </si>
  <si>
    <t>https://www.jotform.com/uploads/macarewecare/222927978372067/5810148300204317207/5810148300204317207_signature_28.png</t>
  </si>
  <si>
    <t>https://www.jotform.com/uploads/macarewecare/222927978372067/5810148300204317207/5810148300204317207_signature_31.png</t>
  </si>
  <si>
    <t xml:space="preserve">ASSAY: Xpert MTB/RIF Ultra, COUNT: 1277
ASSAY: Xpert SARS-CoV-2, COUNT: 342
ASSAY: Xpert HIV-1 Viral Load, COUNT: 103
</t>
  </si>
  <si>
    <t>- Cleaned Cartridge Bays, Plunger Rods and I-CORE 
- Replaced Defective Module 865209 &gt;&gt;&gt; 705557
- Generated reports</t>
  </si>
  <si>
    <t>Replaced Defective module</t>
  </si>
  <si>
    <t>https://www.jotform.com/uploads/macarewecare/222927978372067/5810062840203375344/5810062840203375344_signature_28.png</t>
  </si>
  <si>
    <t>Mary Alexis F Tahil</t>
  </si>
  <si>
    <t>https://www.jotform.com/uploads/macarewecare/222927978372067/5810062840203375344/5810062840203375344_signature_31.png</t>
  </si>
  <si>
    <t xml:space="preserve">ASSAY: Xpert MTB/RIF Ultra, COUNT: 698
</t>
  </si>
  <si>
    <t>- Cleaned Cartridge Bays, Plunger Rods and I-CORE 
- Replaced Defective Module 795994 &gt;&gt;&gt; 210068699 and 808128 &gt;&gt;&gt; 210039876
- Generated Reports</t>
  </si>
  <si>
    <t>DR 10913 , DR 10917</t>
  </si>
  <si>
    <t>https://www.jotform.com/uploads/macarewecare/222927978372067/5810058090201081761/5810058090201081761_signature_28.png</t>
  </si>
  <si>
    <t>https://www.jotform.com/uploads/macarewecare/222927978372067/5810058090201081761/5810058090201081761_signature_31.png</t>
  </si>
  <si>
    <t>https://www.jotform.com/uploads/macarewecare/222927978372067/5810057020207649092/5810057020207649092_signature_28.png</t>
  </si>
  <si>
    <t>https://www.jotform.com/uploads/macarewecare/222927978372067/5810057020207649092/5810057020207649092_signature_31.png</t>
  </si>
  <si>
    <t xml:space="preserve">ASSAY: Xpert CT/NG, COUNT: 7
ASSAY: Xpert HIV-1 Viral Load, COUNT: 1739
</t>
  </si>
  <si>
    <t>Module B2 and B4 for replacement</t>
  </si>
  <si>
    <t>Performed PM
Replaced modules b2 and b4
Generated report</t>
  </si>
  <si>
    <t>Replaced modules
B2: 899269 -&gt; 210024871
B4: 899271 -&gt; 210078213</t>
  </si>
  <si>
    <t>GX Module 10C</t>
  </si>
  <si>
    <t>G6714</t>
  </si>
  <si>
    <t>https://www.jotform.com/uploads/macarewecare/222927978372067/5808590993975948911/5808590993975948911_signature_28.png</t>
  </si>
  <si>
    <t>alyanna faye zerrudo</t>
  </si>
  <si>
    <t>https://www.jotform.com/uploads/macarewecare/222927978372067/5808590993975948911/5808590993975948911_signature_31.png</t>
  </si>
  <si>
    <t>MAINTENANCE
On site manual removal of stucked cartridge.</t>
  </si>
  <si>
    <t xml:space="preserve">ASSAY: Xpert HBV VL, COUNT: 9
ASSAY: Xpert MTB/RIF Ultra, COUNT: 473
ASSAY: Xpert HCV VL, COUNT: 3
ASSAY: Xpert HIV-1 Viral Load, COUNT: 12
</t>
  </si>
  <si>
    <t>Stucked cartridge</t>
  </si>
  <si>
    <t>Performed manual removal of stucked cartridge</t>
  </si>
  <si>
    <t>Removed stucked cartridge
Performed maintenance.</t>
  </si>
  <si>
    <t>https://www.jotform.com/uploads/macarewecare/222927978372067/5808525950416480988/5808525950416480988_signature_28.png</t>
  </si>
  <si>
    <t>Maria Elizabeth de Leon</t>
  </si>
  <si>
    <t>https://www.jotform.com/uploads/macarewecare/222927978372067/5808525950416480988/5808525950416480988_signature_31.png</t>
  </si>
  <si>
    <t>Bagong Barrio, Caloocan</t>
  </si>
  <si>
    <t xml:space="preserve">ASSAY: Xpert MTB/RIF Ultra, COUNT: 1292
</t>
  </si>
  <si>
    <t>Module A1, A3 for replacement</t>
  </si>
  <si>
    <t>- replaced A1, A3
- checked and cleaned cartridge bay, plunger rod, 
- generated reports</t>
  </si>
  <si>
    <t>Replaced A1, A3</t>
  </si>
  <si>
    <t>GeneXpert Module
SN: 677426, 684092</t>
  </si>
  <si>
    <t>https://www.jotform.com/uploads/macarewecare/222927978372067/5808523822611170895/5808523822611170895_signature_28.png</t>
  </si>
  <si>
    <t>https://www.jotform.com/uploads/macarewecare/222927978372067/5808523822611170895/5808523822611170895_signature_31.png</t>
  </si>
  <si>
    <t>Performed PM
Replaced CPU
Checked Aircon
Aircon error E8 after 30 minutes of running
Aircon plug burnt
Aircon needs troubleshooting asap
GX machine can't function properly without AC
Generated report</t>
  </si>
  <si>
    <t>Replaced CPU
2UA7021MS6 -&gt; CPH0923F44892</t>
  </si>
  <si>
    <t>Unit is operational
Aircon for troubleshooting</t>
  </si>
  <si>
    <t>G6715</t>
  </si>
  <si>
    <t>https://www.jotform.com/uploads/macarewecare/222927978372067/5808491403437444405/5808491403437444405_signature_28.png</t>
  </si>
  <si>
    <t>https://www.jotform.com/uploads/macarewecare/222927978372067/5808491403437444405/5808491403437444405_signature_31.png</t>
  </si>
  <si>
    <t xml:space="preserve">ASSAY: Xpert MTB/RIF Ultra, COUNT: 1213
ASSAY: Xpert HIV-1 Viral Load, COUNT: 25
</t>
  </si>
  <si>
    <t>Replace module 2 SN:679154 with new module SN:80759
Replace module 3 SN:708473 with new module SN:807731
Genexpert machine Cleaning
Data collection: Pre and Post IQR, System log , Assay statistics report, and archive test</t>
  </si>
  <si>
    <t>Genexpert module 6-color SN:807594 and 87731</t>
  </si>
  <si>
    <t>DR number: 10979 and 10985</t>
  </si>
  <si>
    <t>https://www.jotform.com/uploads/macarewecare/222927978372067/5808486441916064145/5808486441916064145_signature_28.png</t>
  </si>
  <si>
    <t>https://www.jotform.com/uploads/macarewecare/222927978372067/5808486441916064145/5808486441916064145_signature_31.png</t>
  </si>
  <si>
    <t xml:space="preserve">ASSAY: Xpert MTB/RIF Ultra, COUNT: 3284
ASSAY: Xpert HIV-1 Viral Load, COUNT: 107
</t>
  </si>
  <si>
    <t>Module C2, C4 for replacement</t>
  </si>
  <si>
    <t>Replaced C2, C4</t>
  </si>
  <si>
    <t>GeneXpert Module
SN: 742879, 753902</t>
  </si>
  <si>
    <t>https://www.jotform.com/uploads/macarewecare/222927978372067/5808486182613506449/5808486182613506449_signature_28.png</t>
  </si>
  <si>
    <t>https://www.jotform.com/uploads/macarewecare/222927978372067/5808486182613506449/5808486182613506449_signature_31.png</t>
  </si>
  <si>
    <t>Genexpert machine Cleaning 
Data collection: IQR, System log, Assay statistics report, and Archive test</t>
  </si>
  <si>
    <t>https://www.jotform.com/uploads/macarewecare/222927978372067/5808484841915788948/5808484841915788948_signature_28.png</t>
  </si>
  <si>
    <t>https://www.jotform.com/uploads/macarewecare/222927978372067/5808484841915788948/5808484841915788948_signature_31.png</t>
  </si>
  <si>
    <t xml:space="preserve">ASSAY: Xpert HPV, COUNT: 102
ASSAY: Xpert MTB/RIF Ultra, COUNT: 1863
</t>
  </si>
  <si>
    <t>GX module A4 (743364) in replacement to defective A4 (730041).</t>
  </si>
  <si>
    <t>DR#11056</t>
  </si>
  <si>
    <t>https://www.jotform.com/uploads/macarewecare/222927978372067/5808481545116893670/5808481545116893670_signature_28.png</t>
  </si>
  <si>
    <t>https://www.jotform.com/uploads/macarewecare/222927978372067/5808481545116893670/5808481545116893670_signature_31.png</t>
  </si>
  <si>
    <t xml:space="preserve">ASSAY: Xpert MTB/RIF Ultra, COUNT: 2487
</t>
  </si>
  <si>
    <t>Defective modules B2/711021 and B3/862205.</t>
  </si>
  <si>
    <t>- Replaced B2 and B3 with new modules with SN 745913 and 758221.</t>
  </si>
  <si>
    <t>https://www.jotform.com/uploads/macarewecare/222927978372067/5808479531193254030/5808479531193254030_signature_28.png</t>
  </si>
  <si>
    <t>Grace L. Soria</t>
  </si>
  <si>
    <t>https://www.jotform.com/uploads/macarewecare/222927978372067/5808479531193254030/5808479531193254030_signature_31.png</t>
  </si>
  <si>
    <t>Jacinto Street. Poblacion Davao</t>
  </si>
  <si>
    <t xml:space="preserve">ASSAY: Xpert MTB/RIF Ultra, COUNT: 102
ASSAY: Xpert HIV-1 Viral Load, COUNT: 577
</t>
  </si>
  <si>
    <t>Module B1 and B2 for repair</t>
  </si>
  <si>
    <t>Replaced the Defective Module B1 SN:869012 with new Module SN: 210003270
Replaced the Defective Module SN:676723 with new Module SN: 210014848
Generate IQR, Assay Stat and System Log</t>
  </si>
  <si>
    <t>DR 10973 &amp; DR 10970</t>
  </si>
  <si>
    <t>https://www.jotform.com/uploads/macarewecare/222927978372067/5808477072257837119/5808477072257837119_signature_28.png</t>
  </si>
  <si>
    <t>Charlene Mae Dueňas</t>
  </si>
  <si>
    <t>https://www.jotform.com/uploads/macarewecare/222927978372067/5808477072257837119/5808477072257837119_signature_31.png</t>
  </si>
  <si>
    <t xml:space="preserve">ASSAY: Xpert MTB/RIF Ultra, COUNT: 1790
ASSAY: Xpert HPV, COUNT: 148
ASSAY: Xpert HIV-1 Viral Load, COUNT: 331
</t>
  </si>
  <si>
    <t>Unit for PM.
For module replacement of A3.</t>
  </si>
  <si>
    <t>GX module A3 (757236) in replacement to defective A3 (730170).</t>
  </si>
  <si>
    <t>DR#11057</t>
  </si>
  <si>
    <t>https://www.jotform.com/uploads/macarewecare/222927978372067/5808449140417183853/5808449140417183853_signature_28.png</t>
  </si>
  <si>
    <t>Eloicy Parra</t>
  </si>
  <si>
    <t>https://www.jotform.com/uploads/macarewecare/222927978372067/5808449140417183853/5808449140417183853_signature_31.png</t>
  </si>
  <si>
    <t xml:space="preserve">ASSAY: Xpert MTB/RIF, COUNT: 50
ASSAY: Xpert MTB/RIF Ultra, COUNT: 1453
</t>
  </si>
  <si>
    <t>C1, C2 and C4 found Service Required thru XPC</t>
  </si>
  <si>
    <t>Replacing C1 with SN: 807851 to SN: 874275
C2 with SN: 807837 to SN: 870802
C4 with SN: 807799 to SN: 863529</t>
  </si>
  <si>
    <t>Certified Pre-Owned GeneXpert Modules</t>
  </si>
  <si>
    <t>10933, 10932 and 10931</t>
  </si>
  <si>
    <t>https://www.jotform.com/uploads/macarewecare/222927978372067/5808407100785339989/5808407100785339989_signature_28.png</t>
  </si>
  <si>
    <t>https://www.jotform.com/uploads/macarewecare/222927978372067/5808407100785339989/5808407100785339989_signature_31.png</t>
  </si>
  <si>
    <t>cho.santiago@gmail.com</t>
  </si>
  <si>
    <t>Installed Genexpert System
Performed Maintenance
Gathered Reports
Performed Functionality Test</t>
  </si>
  <si>
    <t>https://www.jotform.com/uploads/macarewecare/222927978372067/5808403584813778411/5808403584813778411_signature_28.png</t>
  </si>
  <si>
    <t>https://www.jotform.com/uploads/macarewecare/222927978372067/5808403584813778411/5808403584813778411_signature_31.png</t>
  </si>
  <si>
    <t>Rodriguez St. Bangkal</t>
  </si>
  <si>
    <t xml:space="preserve">ASSAY: Xpert MTB/RIF Ultra, COUNT: 3135
</t>
  </si>
  <si>
    <t>Performed maintenance
Cleaned cartridge bay, plunger rod, icore and filter
Checked module B2
Generated reports</t>
  </si>
  <si>
    <t>Unit is operational. Module B2 for reporting.</t>
  </si>
  <si>
    <t>https://www.jotform.com/uploads/macarewecare/222927978372067/5808383019104434782/5808383019104434782_signature_28.png</t>
  </si>
  <si>
    <t>Eduardo Sepe</t>
  </si>
  <si>
    <t>https://www.jotform.com/uploads/macarewecare/222927978372067/5808383019104434782/5808383019104434782_signature_31.png</t>
  </si>
  <si>
    <t>Rodriguez St., Bangkal</t>
  </si>
  <si>
    <t>Modules A1 and A2 for replacement</t>
  </si>
  <si>
    <t>Performed maintenance
Replaced module A1 and A2
Generated reports</t>
  </si>
  <si>
    <t>Modules A1 and A2 operational. Module A3 not operational, for reporting. Module A4 not operational, reported already.</t>
  </si>
  <si>
    <t>Old: A1/210020089, A2/862667
New: A1/757959, A2/757999</t>
  </si>
  <si>
    <t>DR#11066, 11067</t>
  </si>
  <si>
    <t>https://www.jotform.com/uploads/macarewecare/222927978372067/5808382699108939910/5808382699108939910_signature_28.png</t>
  </si>
  <si>
    <t>https://www.jotform.com/uploads/macarewecare/222927978372067/5808382699108939910/5808382699108939910_signature_31.png</t>
  </si>
  <si>
    <t>MAINTENANCE
For software upgrade</t>
  </si>
  <si>
    <t xml:space="preserve">ASSAY: Xpert HPV, COUNT: 25
ASSAY: Xpert MTB/RIF Ultra, COUNT: 103
ASSAY: Xpert SARS-CoV-2, COUNT: 13335
ASSAY: Xpert HIV-1 Viral Load, COUNT: 1
</t>
  </si>
  <si>
    <t>GX-XVI-6C-D</t>
  </si>
  <si>
    <t>Performed maintenance, archive and purge tests</t>
  </si>
  <si>
    <t>Performed maintenance
Tried to upgrade GeneXpert software
Generated reports 
Archive and purge tests</t>
  </si>
  <si>
    <t>Unit is operational. Modules A1,A2,B3,B4,C2,D2,D4 not operational, reported already.</t>
  </si>
  <si>
    <t>https://www.jotform.com/uploads/macarewecare/222927978372067/5808376669101522061/5808376669101522061_signature_28.png</t>
  </si>
  <si>
    <t>https://www.jotform.com/uploads/macarewecare/222927978372067/5808376669101522061/5808376669101522061_signature_31.png</t>
  </si>
  <si>
    <t>https://www.jotform.com/uploads/macarewecare/222927978372067/5808376399108144695/5808376399108144695_signature_28.png</t>
  </si>
  <si>
    <t>https://www.jotform.com/uploads/macarewecare/222927978372067/5808376399108144695/5808376399108144695_signature_31.png</t>
  </si>
  <si>
    <t>Laboratory Dept.</t>
  </si>
  <si>
    <t xml:space="preserve">ASSAY: Xpert MTB/RIF, COUNT: 55
ASSAY: Xpert MTB/RIF Ultra, COUNT: 3644
</t>
  </si>
  <si>
    <t>Module B1 with SN 802411 failed during last XPC.</t>
  </si>
  <si>
    <t>Conduct PM and saves files.</t>
  </si>
  <si>
    <t>Installed the new module for B1 with SN 775357.</t>
  </si>
  <si>
    <t>All modules are now in good working conditions.</t>
  </si>
  <si>
    <t>https://www.jotform.com/uploads/macarewecare/222927978372067/5808340964822616543/5808340964822616543_signature_28.png</t>
  </si>
  <si>
    <t>Ma. Arna Villan</t>
  </si>
  <si>
    <t>https://www.jotform.com/uploads/macarewecare/222927978372067/5808340964822616543/5808340964822616543_signature_31.png</t>
  </si>
  <si>
    <t>Poblacion, Balamban Cebu</t>
  </si>
  <si>
    <t>Module A2 calibration fail.</t>
  </si>
  <si>
    <t>Replace module A2 with new module.</t>
  </si>
  <si>
    <t>https://www.jotform.com/uploads/macarewecare/222927978372067/5808340872712297163/5808340872712297163_signature_28.png</t>
  </si>
  <si>
    <t>Jonnel Barnayha</t>
  </si>
  <si>
    <t>https://www.jotform.com/uploads/macarewecare/222927978372067/5808340872712297163/5808340872712297163_signature_31.png</t>
  </si>
  <si>
    <t xml:space="preserve">ASSAY: Xpert MTB/RIF Ultra, COUNT: 3363
ASSAY: Xpert HIV-1 Viral Load, COUNT: 2
ASSAY: Xpert MTB/RIF Ultra, COUNT: 3363
ASSAY: Xpert HIV-1 Viral Load, COUNT: 2
</t>
  </si>
  <si>
    <t>Module B3 stuck cartridge</t>
  </si>
  <si>
    <t>All modules are functional. Module B1 has temp error history, for observation.</t>
  </si>
  <si>
    <t>-ADF HIV-VL 2.0 Error 2097</t>
  </si>
  <si>
    <t>https://www.jotform.com/uploads/macarewecare/222927978372067/5808324550753602024/5808324550753602024_signature_28.png</t>
  </si>
  <si>
    <t>https://www.jotform.com/uploads/macarewecare/222927978372067/5808324550753602024/5808324550753602024_signature_31.png</t>
  </si>
  <si>
    <t>Replace defective module 1 SN:801766 with new module SN: 861471
Genexpert machine Cleaning 
Data collection: Pre and Post IQR, S.Log,  Assay statistics report and Archive test</t>
  </si>
  <si>
    <t>Perform Genexpert machine Preventive maintenance 
Perform module repair</t>
  </si>
  <si>
    <t>Genexpert module 6 color SN:861471</t>
  </si>
  <si>
    <t>DR number: 10986</t>
  </si>
  <si>
    <t>https://www.jotform.com/uploads/macarewecare/222927978372067/5808302751217439093/5808302751217439093_signature_28.png</t>
  </si>
  <si>
    <t>Jovi G Gelio</t>
  </si>
  <si>
    <t>https://www.jotform.com/uploads/macarewecare/222927978372067/5808302751217439093/5808302751217439093_signature_31.png</t>
  </si>
  <si>
    <t xml:space="preserve">ASSAY: Xpert MTB/RIF, COUNT: 105
ASSAY: Xpert MTB/RIF Ultra, COUNT: 5547
ASSAY: Xpert HIV-1 Viral Load, COUNT: 4
</t>
  </si>
  <si>
    <t>-PERFORM CLEANING OF GX EQUIPMENT AND WORKSTATION
-PERFORM MODULE REPLACEMENT:
C1 DEF SN: 862195 WITH NEW SN: 758210
C4 DEF SN: 861023 WITH NEW SN: 757488</t>
  </si>
  <si>
    <t>https://www.jotform.com/uploads/macarewecare/222927978372067/5807732548226938926/5807732548226938926_signature_28.png</t>
  </si>
  <si>
    <t>https://www.jotform.com/uploads/macarewecare/222927978372067/5807732548226938926/5807732548226938926_signature_31.png</t>
  </si>
  <si>
    <t>-PERFORM CLEANING OF GX EQUIPMENT AND WORKSTATION
-PERFORM MODULE REPLACEMENT:
B2 DEF SN: 802814 WITH NEW SN: 754298
B4 DEF SN: 636240 WITH NEW SN: 757225</t>
  </si>
  <si>
    <t>MODULE B1 DISABLED</t>
  </si>
  <si>
    <t>https://www.jotform.com/uploads/macarewecare/222927978372067/5807728488226367601/5807728488226367601_signature_28.png</t>
  </si>
  <si>
    <t>https://www.jotform.com/uploads/macarewecare/222927978372067/5807728488226367601/5807728488226367601_signature_31.png</t>
  </si>
  <si>
    <t xml:space="preserve">ASSAY: Xpert MTB/RIF Ultra, COUNT: 1642
ASSAY: Xpert HIV-1 Viral Load, COUNT: 773
</t>
  </si>
  <si>
    <t>For Preventive Maintenance and reported Stuck Cartidge in Module B4</t>
  </si>
  <si>
    <t>Clean Surface Area, Cartridge Bay, Plunger Rod, Fan Filters and Icore Lenses
Generate IQR, Assay Stat and System Log
Removed the stuck cartidge</t>
  </si>
  <si>
    <t>Module B2 and B4 h/w failure</t>
  </si>
  <si>
    <t>All datas are sent and reported to Jotform for further assessments</t>
  </si>
  <si>
    <t>https://www.jotform.com/uploads/macarewecare/222927978372067/5807725776423036243/5807725776423036243_signature_28.png</t>
  </si>
  <si>
    <t>Flordeliza M. Go RMT</t>
  </si>
  <si>
    <t>https://www.jotform.com/uploads/macarewecare/222927978372067/5807725776423036243/5807725776423036243_signature_31.png</t>
  </si>
  <si>
    <t>Libertad, Butuan City</t>
  </si>
  <si>
    <t xml:space="preserve">ASSAY: Xpert MTB/RIF Ultra, COUNT: 1990
</t>
  </si>
  <si>
    <t>B2 found Service Required thru XPC
Temperature Error E2014</t>
  </si>
  <si>
    <t>XPC Error Checking at Module B2</t>
  </si>
  <si>
    <t>3 modules working, 1 module for replacement</t>
  </si>
  <si>
    <t>https://www.jotform.com/uploads/macarewecare/222927978372067/5807694430288997028/5807694430288997028_signature_28.png</t>
  </si>
  <si>
    <t>https://www.jotform.com/uploads/macarewecare/222927978372067/5807694430288997028/5807694430288997028_signature_31.png</t>
  </si>
  <si>
    <t xml:space="preserve">ASSAY: Xpert MTB/RIF, COUNT: 45
ASSAY: Xpert MTB/RIF Ultra, COUNT: 1282
</t>
  </si>
  <si>
    <t>Module A1 and A3 defective</t>
  </si>
  <si>
    <t>-Replace defective module A1/862891 with new module SN: 784638 
-Replace defective module A3/862904 with new module SN: 738209</t>
  </si>
  <si>
    <t>Waiting for module A2 allocation. Other modules are functional.</t>
  </si>
  <si>
    <t>2 modules 900-0491RS</t>
  </si>
  <si>
    <t>10952 10969</t>
  </si>
  <si>
    <t>https://www.jotform.com/uploads/macarewecare/222927978372067/5807689523681188174/5807689523681188174_signature_28.png</t>
  </si>
  <si>
    <t>https://www.jotform.com/uploads/macarewecare/222927978372067/5807689523681188174/5807689523681188174_signature_31.png</t>
  </si>
  <si>
    <t xml:space="preserve">ASSAY: Xpert MTB/RIF Ultra, COUNT: 2200
ASSAY: Xpert HIV-1 Viral Load, COUNT: 218
</t>
  </si>
  <si>
    <t>Reported Module Errors at B3 and B4</t>
  </si>
  <si>
    <t>Performed Module Maintenance and perform functionality test</t>
  </si>
  <si>
    <t>Module B3 and B4 h/w failure</t>
  </si>
  <si>
    <t>Additional Data reported to Jotform and Cepheid for further Assessment</t>
  </si>
  <si>
    <t>https://www.jotform.com/uploads/macarewecare/222927978372067/5807683588612066502/5807683588612066502_signature_28.png</t>
  </si>
  <si>
    <t>Flordeliza M. Go,. RMT</t>
  </si>
  <si>
    <t>https://www.jotform.com/uploads/macarewecare/222927978372067/5807683588612066502/5807683588612066502_signature_31.png</t>
  </si>
  <si>
    <t>Module 3 SN 862243 defective</t>
  </si>
  <si>
    <t>Module replacement of module 3</t>
  </si>
  <si>
    <t>Module replacement of Module with new Module Serial Number 787229</t>
  </si>
  <si>
    <t>All module are operational</t>
  </si>
  <si>
    <t>https://www.jotform.com/uploads/macarewecare/222927978372067/5807674563919759894/5807674563919759894_signature_28.png</t>
  </si>
  <si>
    <t>https://www.jotform.com/uploads/macarewecare/222927978372067/5807674563919759894/5807674563919759894_signature_31.png</t>
  </si>
  <si>
    <t>PAJO, LAPULAPU CITY, CEBU</t>
  </si>
  <si>
    <t xml:space="preserve">ASSAY: Xpert MTB/RIF Ultra, COUNT: 2126
</t>
  </si>
  <si>
    <t>Module 4 SN 753535 defective</t>
  </si>
  <si>
    <t>Module replacement of Module 4</t>
  </si>
  <si>
    <t>Module replacement of Module 4  with new module 210074454</t>
  </si>
  <si>
    <t>https://www.jotform.com/uploads/macarewecare/222927978372067/5807671473916179550/5807671473916179550_signature_28.png</t>
  </si>
  <si>
    <t>https://www.jotform.com/uploads/macarewecare/222927978372067/5807671473916179550/5807671473916179550_signature_31.png</t>
  </si>
  <si>
    <t>Punturin 3S Health Center</t>
  </si>
  <si>
    <t>Punturin, Valenzuela</t>
  </si>
  <si>
    <t>lukegonzaga09@gmail.comuxh</t>
  </si>
  <si>
    <t xml:space="preserve">ASSAY: Xpert MTB/RIF Ultra, COUNT: 1153
</t>
  </si>
  <si>
    <t>GeneXpert Module
SN: 756767</t>
  </si>
  <si>
    <t>https://www.jotform.com/uploads/macarewecare/222927978372067/5807660064535511819/5807660064535511819_signature_28.png</t>
  </si>
  <si>
    <t>https://www.jotform.com/uploads/macarewecare/222927978372067/5807660064535511819/5807660064535511819_signature_31.png</t>
  </si>
  <si>
    <t>Module B3 Found Defective</t>
  </si>
  <si>
    <t>Replacing Module B3 with SN: 862879 to SN:791131</t>
  </si>
  <si>
    <t>Certified Pre-Owned Genexpert Module</t>
  </si>
  <si>
    <t>https://www.jotform.com/uploads/macarewecare/222927978372067/5807650273029127736/5807650273029127736_signature_28.png</t>
  </si>
  <si>
    <t>https://www.jotform.com/uploads/macarewecare/222927978372067/5807650273029127736/5807650273029127736_signature_31.png</t>
  </si>
  <si>
    <t xml:space="preserve">ASSAY: Xpert MTB/RIF Ultra, COUNT: 1247
</t>
  </si>
  <si>
    <t>Defective module 862003/B2.</t>
  </si>
  <si>
    <t>- Replaced module B2 with new module SN 749944.</t>
  </si>
  <si>
    <t>https://www.jotform.com/uploads/macarewecare/222927978372067/5807615916428165176/5807615916428165176_signature_28.png</t>
  </si>
  <si>
    <t>jose ali c treyes</t>
  </si>
  <si>
    <t>https://www.jotform.com/uploads/macarewecare/222927978372067/5807615916428165176/5807615916428165176_signature_31.png</t>
  </si>
  <si>
    <t>Nuestra Señora De Piat District Hospital</t>
  </si>
  <si>
    <t>Module B2 error 2008</t>
  </si>
  <si>
    <t>Performed Xpertcheck</t>
  </si>
  <si>
    <t>Performed Maintenance
Gathered Reports
Performed Calibration
(B1 = Passed), (B2 = Service Required)
Performed Functionality Test</t>
  </si>
  <si>
    <t>Module B2 for Replacement</t>
  </si>
  <si>
    <t>https://www.jotform.com/uploads/macarewecare/222927978372067/5807615514519697267/5807615514519697267_signature_28.png</t>
  </si>
  <si>
    <t>https://www.jotform.com/uploads/macarewecare/222927978372067/5807615514519697267/5807615514519697267_signature_31.png</t>
  </si>
  <si>
    <t>Aurora Rural Health Unit</t>
  </si>
  <si>
    <t>Aurora, Zamboanga del sur</t>
  </si>
  <si>
    <t>joann8850@gmail.com</t>
  </si>
  <si>
    <t xml:space="preserve">ASSAY: Xpert MTB/RIF Ultra, COUNT: 371
</t>
  </si>
  <si>
    <t>Replaced module 776329 with module 680310</t>
  </si>
  <si>
    <t>https://www.jotform.com/uploads/macarewecare/222927978372067/5807607497612133650/5807607497612133650_signature_28.png</t>
  </si>
  <si>
    <t>Jo Ann Duran</t>
  </si>
  <si>
    <t>https://www.jotform.com/uploads/macarewecare/222927978372067/5807607497612133650/5807607497612133650_signature_31.png</t>
  </si>
  <si>
    <t>Cadiz CHO</t>
  </si>
  <si>
    <t xml:space="preserve">ASSAY: Xpert MTB/RIF Ultra, COUNT: 1698
</t>
  </si>
  <si>
    <t>Module B2, B3 and B4 failed in XPC during last calibration.</t>
  </si>
  <si>
    <t>Replaced the old module for B2 with SN 606933 to new module SN 723150. Replaced old module for B3 with SN 71560 to new module SN745137. Replaced the old module for B4 with SN 777925 to new module SN 210008412.</t>
  </si>
  <si>
    <t>All modules are now operational.</t>
  </si>
  <si>
    <t>https://www.jotform.com/uploads/macarewecare/222927978372067/5807593158276817790/5807593158276817790_signature_28.png</t>
  </si>
  <si>
    <t>Zherlyn Bacomo</t>
  </si>
  <si>
    <t>https://www.jotform.com/uploads/macarewecare/222927978372067/5807593158276817790/5807593158276817790_signature_31.png</t>
  </si>
  <si>
    <t>Module B1/861109 Defective</t>
  </si>
  <si>
    <t>- Module replacement
- Install new module on B1 w/ SN 862407
- Performed Functionality test
- Performed preventive maintenance
- Generate reports</t>
  </si>
  <si>
    <t>Genexpert module 6 Color SN/862407</t>
  </si>
  <si>
    <t>https://www.jotform.com/uploads/macarewecare/222927978372067/5807579806398018340/5807579806398018340_signature_28.png</t>
  </si>
  <si>
    <t>https://www.jotform.com/uploads/macarewecare/222927978372067/5807579806398018340/5807579806398018340_signature_31.png</t>
  </si>
  <si>
    <t>Module B1, B2 for replacement</t>
  </si>
  <si>
    <t>Replaced B1, B2</t>
  </si>
  <si>
    <t>GeneXpert Module
SN: 617067, 618478</t>
  </si>
  <si>
    <t>https://www.jotform.com/uploads/macarewecare/222927978372067/5807526065143143589/5807526065143143589_signature_28.png</t>
  </si>
  <si>
    <t>https://www.jotform.com/uploads/macarewecare/222927978372067/5807526065143143589/5807526065143143589_signature_31.png</t>
  </si>
  <si>
    <t>ON-SITE ASSISTANCE
Installation of UPS and AVR</t>
  </si>
  <si>
    <t>cyrilcordova0515@gmail.com</t>
  </si>
  <si>
    <t xml:space="preserve">ASSAY: Xpert MTB/RIF Ultra, COUNT: 6673
</t>
  </si>
  <si>
    <t>Defective UPS and AVR</t>
  </si>
  <si>
    <t>- Installation of UPS (2 KVA) and AVR (5 KVA)
- Functionality testing of UPS and AVR.</t>
  </si>
  <si>
    <t>- New UPS and AVR functional
- All 4 modules functional</t>
  </si>
  <si>
    <t>https://www.jotform.com/uploads/macarewecare/222927978372067/5806845833513377875/5806845833513377875_signature_28.png</t>
  </si>
  <si>
    <t>https://www.jotform.com/uploads/macarewecare/222927978372067/5806845833513377875/5806845833513377875_signature_31.png</t>
  </si>
  <si>
    <t>Module B1 w/ SN 806654 and B2 with SN 806655 failed during last XPC.</t>
  </si>
  <si>
    <t>Installed the new module for B1 w/ SN758240 and module B2 w/ SN 758602.</t>
  </si>
  <si>
    <t>https://www.jotform.com/uploads/macarewecare/222927978372067/5806844300917480514/5806844300917480514_signature_28.png</t>
  </si>
  <si>
    <t>https://www.jotform.com/uploads/macarewecare/222927978372067/5806844300917480514/5806844300917480514_signature_31.png</t>
  </si>
  <si>
    <t>Marik</t>
  </si>
  <si>
    <t>Performed PM 
Performed XpertCheck
all modules passed
Generated report</t>
  </si>
  <si>
    <t>used5 XpertCheck cartridges</t>
  </si>
  <si>
    <t>DR 11078</t>
  </si>
  <si>
    <t>https://www.jotform.com/uploads/macarewecare/222927978372067/5806829827423283159/5806829827423283159_signature_28.png</t>
  </si>
  <si>
    <t>May Verona</t>
  </si>
  <si>
    <t>https://www.jotform.com/uploads/macarewecare/222927978372067/5806829827423283159/5806829827423283159_signature_31.png</t>
  </si>
  <si>
    <t>Parola Tondo Manila</t>
  </si>
  <si>
    <t>friaslynette@yahoo.com</t>
  </si>
  <si>
    <t xml:space="preserve">ASSAY: Xpert MTB/RIF Ultra, COUNT: 1521
</t>
  </si>
  <si>
    <t>Unit for PM.
For installation of new UPS.</t>
  </si>
  <si>
    <t>Performed PM.
Performed installation of UPS.
Generated reports.</t>
  </si>
  <si>
    <t>Accupower UPS (SN: AT1K230830ST0012) in replacement to defective UPS (SN: AT1000180910ST0672).</t>
  </si>
  <si>
    <t>DR#11053</t>
  </si>
  <si>
    <t>https://www.jotform.com/uploads/macarewecare/222927978372067/5806818730317832824/5806818730317832824_signature_28.png</t>
  </si>
  <si>
    <t>Lynette Olarte</t>
  </si>
  <si>
    <t>https://www.jotform.com/uploads/macarewecare/222927978372067/5806818730317832824/5806818730317832824_signature_31.png</t>
  </si>
  <si>
    <t>Module B1/861073 and B4/861213 for module replacement</t>
  </si>
  <si>
    <t>- Install new module on B1 w/ SN:717426
- Install new module on B4 w/ SN:738410
- Performed Functionality test
- Performed preventive maintenance
- Generate reports</t>
  </si>
  <si>
    <t>Genexpert module 6 Color (SN: 717426, 738410)</t>
  </si>
  <si>
    <t>https://www.jotform.com/uploads/macarewecare/222927978372067/5806775264525656030/5806775264525656030_signature_28.png</t>
  </si>
  <si>
    <t>https://www.jotform.com/uploads/macarewecare/222927978372067/5806775264525656030/5806775264525656030_signature_31.png</t>
  </si>
  <si>
    <t>vsmmsdeptpatho.microbiology@gmail.com</t>
  </si>
  <si>
    <t xml:space="preserve">ASSAY: Xpert HPV, COUNT: 140
ASSAY: Xpert MTB/RIF Ultra, COUNT: 3289
ASSAY: Xpert HIV-1 Viral Load, COUNT: 218
</t>
  </si>
  <si>
    <t>-Replace defective module A2/716103 with new module SN: 784455</t>
  </si>
  <si>
    <t>https://www.jotform.com/uploads/macarewecare/222927978372067/5806760004956840291/5806760004956840291_signature_28.png</t>
  </si>
  <si>
    <t>https://www.jotform.com/uploads/macarewecare/222927978372067/5806760004956840291/5806760004956840291_signature_31.png</t>
  </si>
  <si>
    <t>rhuramonmagsaysay@gmail.com</t>
  </si>
  <si>
    <t>Module 2 and 3 hardware failed</t>
  </si>
  <si>
    <t>Replaced module 806383 and 806382 with modules 623329 and 210059989 respectively. Preventive Maintenance</t>
  </si>
  <si>
    <t>G 6460</t>
  </si>
  <si>
    <t>https://www.jotform.com/uploads/macarewecare/222927978372067/5806753175416273512/5806753175416273512_signature_28.png</t>
  </si>
  <si>
    <t>Gina B Borinaga</t>
  </si>
  <si>
    <t>https://www.jotform.com/uploads/macarewecare/222927978372067/5806753175416273512/5806753175416273512_signature_31.png</t>
  </si>
  <si>
    <t>Centro South East, Solana, Cagayan</t>
  </si>
  <si>
    <t>UPS not powering on</t>
  </si>
  <si>
    <t>https://www.jotform.com/uploads/macarewecare/222927978372067/5806750925214917833/5806750925214917833_signature_28.png</t>
  </si>
  <si>
    <t>Daisy Jane Reyes</t>
  </si>
  <si>
    <t>https://www.jotform.com/uploads/macarewecare/222927978372067/5806750925214917833/5806750925214917833_signature_31.png</t>
  </si>
  <si>
    <t>Relocated unit from Molecular Lab to Main Lab</t>
  </si>
  <si>
    <t>Unit is operational
Module D3 for reporting</t>
  </si>
  <si>
    <t>https://www.jotform.com/uploads/macarewecare/222927978372067/5806714389825845213/5806714389825845213_signature_28.png</t>
  </si>
  <si>
    <t>https://www.jotform.com/uploads/macarewecare/222927978372067/5806714389825845213/5806714389825845213_signature_31.png</t>
  </si>
  <si>
    <t>Dapa</t>
  </si>
  <si>
    <t xml:space="preserve">ASSAY: Xpert MTB/RIF, COUNT: 29
ASSAY: Xpert MTB/RIF Ultra, COUNT: 761
</t>
  </si>
  <si>
    <t>All modules passed in XPC
Modules and Units are functional</t>
  </si>
  <si>
    <t>https://www.jotform.com/uploads/macarewecare/222927978372067/5806685662106193045/5806685662106193045_signature_28.png</t>
  </si>
  <si>
    <t>https://www.jotform.com/uploads/macarewecare/222927978372067/5806685662106193045/5806685662106193045_signature_31.png</t>
  </si>
  <si>
    <t>Vinzons, Camarines Norte</t>
  </si>
  <si>
    <t>UPS in house repair</t>
  </si>
  <si>
    <t>UPS unable to power on,defective power board, shorted</t>
  </si>
  <si>
    <t>Checked power output, checked power board continuity,checked fuse continuity</t>
  </si>
  <si>
    <t>https://www.jotform.com/uploads/macarewecare/222927978372067/5806652823619852717/5806652823619852717_signature_28.png</t>
  </si>
  <si>
    <t>https://www.jotform.com/uploads/macarewecare/222927978372067/5806652823619852717/5806652823619852717_signature_31.png</t>
  </si>
  <si>
    <t>Isabela Municipal Health Office</t>
  </si>
  <si>
    <t>Borromeo St., Isabela, Negros Occidental</t>
  </si>
  <si>
    <t>laurelmarjorie1@gmail.com</t>
  </si>
  <si>
    <t xml:space="preserve">ASSAY: Xpert MTB/RIF Ultra, COUNT: 1305
</t>
  </si>
  <si>
    <t>- All 4 modules operational</t>
  </si>
  <si>
    <t>https://www.jotform.com/uploads/macarewecare/222927978372067/5806642845918015041/5806642845918015041_signature_28.png</t>
  </si>
  <si>
    <t>Marjorie Laurel</t>
  </si>
  <si>
    <t>https://www.jotform.com/uploads/macarewecare/222927978372067/5806642845918015041/5806642845918015041_signature_31.png</t>
  </si>
  <si>
    <t xml:space="preserve">ASSAY: Xpert MTB/RIF Ultra, COUNT: 1300
</t>
  </si>
  <si>
    <t>Unit for PM.
For generating of GXX report.
For troubleshooting of monitor.</t>
  </si>
  <si>
    <t>Performed PM.
Performed troubleshooting of monitor.
Generated reports.
Generated GXX files as per request of Cepheid.</t>
  </si>
  <si>
    <t>PM and troubleshooting</t>
  </si>
  <si>
    <t>Unit is operational. Monitor for replacement to due pixel problem.</t>
  </si>
  <si>
    <t>https://www.jotform.com/uploads/macarewecare/222927978372067/5806577961329737461/5806577961329737461_signature_28.png</t>
  </si>
  <si>
    <t>Maricar P. Lira</t>
  </si>
  <si>
    <t>https://www.jotform.com/uploads/macarewecare/222927978372067/5806577961329737461/5806577961329737461_signature_31.png</t>
  </si>
  <si>
    <t xml:space="preserve">ASSAY: Xpert BCR-ABL Ultra, COUNT: 1175
ASSAY: Others, COUNT: 40
ASSAY: Xpert HBV VL, COUNT: 799
ASSAY: Xpert HPV, COUNT: 143
ASSAY: Xpert MTB/RIF, COUNT: 627
ASSAY: Xpert MTB/RIF Ultra, COUNT: 1838
ASSAY: Xpert SARS-CoV-2, COUNT: 14961
ASSAY: Xpert HCV VL, COUNT: 82
</t>
  </si>
  <si>
    <t>Gx16</t>
  </si>
  <si>
    <t>For module replacement b4 686979 - 655306</t>
  </si>
  <si>
    <t>13 modules operational a4,c2,c4 disable encounter temp error</t>
  </si>
  <si>
    <t>900 0491rs</t>
  </si>
  <si>
    <t>https://www.jotform.com/uploads/macarewecare/222927978372067/5806093441893036738/5806093441893036738_signature_28.png</t>
  </si>
  <si>
    <t>https://www.jotform.com/uploads/macarewecare/222927978372067/5806093441893036738/5806093441893036738_signature_31.png</t>
  </si>
  <si>
    <t>Rizal Street, Brgy. Washington, Surigao City</t>
  </si>
  <si>
    <t xml:space="preserve">ASSAY: Xpert MTB/RIF Ultra, COUNT: 5651
ASSAY: Xpert HIV-1 Viral Load, COUNT: 2
ASSAY: Xpert HIV-1 Viral Load, COUNT: 22
</t>
  </si>
  <si>
    <t>XpertCheck Calibration and Preventive Maintenance of SN: 807602</t>
  </si>
  <si>
    <t>https://www.jotform.com/uploads/macarewecare/222927978372067/5805992681911146364/5805992681911146364_signature_28.png</t>
  </si>
  <si>
    <t>https://www.jotform.com/uploads/macarewecare/222927978372067/5805992681911146364/5805992681911146364_signature_31.png</t>
  </si>
  <si>
    <t>San Mateo Integrated Community Hospital</t>
  </si>
  <si>
    <t>Brgy 4, San Mateo, Isabela</t>
  </si>
  <si>
    <t>smichlab@yahoo.com</t>
  </si>
  <si>
    <t>Installed Genexpert System
Performed Maintenance
Gathered Reports
Performed Functionality</t>
  </si>
  <si>
    <t>https://www.jotform.com/uploads/macarewecare/222927978372067/5805934730613681618/5805934730613681618_signature_28.png</t>
  </si>
  <si>
    <t>Regina Ann Ramento</t>
  </si>
  <si>
    <t>https://www.jotform.com/uploads/macarewecare/222927978372067/5805934730613681618/5805934730613681618_signature_31.png</t>
  </si>
  <si>
    <t>Hinigaran Rural Health Unit</t>
  </si>
  <si>
    <t>Hinigaran, Negros Occidental</t>
  </si>
  <si>
    <t>mfeliprada@gmail.com</t>
  </si>
  <si>
    <t xml:space="preserve">ASSAY: Xpert MTB/RIF Ultra, COUNT: 1013
</t>
  </si>
  <si>
    <t>New Printer for installation</t>
  </si>
  <si>
    <t>New printer operational, 4 modules operational</t>
  </si>
  <si>
    <t>https://www.jotform.com/uploads/macarewecare/222927978372067/5805916412828831543/5805916412828831543_signature_28.png</t>
  </si>
  <si>
    <t>May Flo M. Feliprada</t>
  </si>
  <si>
    <t>https://www.jotform.com/uploads/macarewecare/222927978372067/5805916412828831543/5805916412828831543_signature_31.png</t>
  </si>
  <si>
    <t xml:space="preserve">ASSAY: Xpert MTB/RIF Ultra, COUNT: 1038
ASSAY: Xpert HIV-1 Viral Load, COUNT: 97
</t>
  </si>
  <si>
    <t>GeneXpert Module
SN: 717981</t>
  </si>
  <si>
    <t>https://www.jotform.com/uploads/macarewecare/222927978372067/5805891761214197030/5805891761214197030_signature_28.png</t>
  </si>
  <si>
    <t>Beth Gemin9</t>
  </si>
  <si>
    <t>https://www.jotform.com/uploads/macarewecare/222927978372067/5805891761214197030/5805891761214197030_signature_31.png</t>
  </si>
  <si>
    <t>Module Error at B1 and B3</t>
  </si>
  <si>
    <t>Clean Surface Area, Cartridge Bay, Plunger Rod, Fan Filters and Icore Lenses
Generate IQR, Assay Stat and System Log
Archived Data test results
Perform XPC Calibration for error verification and Run Dummy Test for Functionality Test</t>
  </si>
  <si>
    <t>Perform Preventive Maintenance and Functionality Test for error Modules</t>
  </si>
  <si>
    <t>Module B3 reported to Cepheid for further Assessment, Only 3 Modules are functional</t>
  </si>
  <si>
    <t>Module B1 for under observation, High Room Temp, end user is advised to have additional cooling system to achieve the GeneXpert prescribed room operating temperature</t>
  </si>
  <si>
    <t>https://www.jotform.com/uploads/macarewecare/222927978372067/5805883301422740808/5805883301422740808_signature_28.png</t>
  </si>
  <si>
    <t>https://www.jotform.com/uploads/macarewecare/222927978372067/5805883301422740808/5805883301422740808_signature_31.png</t>
  </si>
  <si>
    <t>Quezon ave , QC</t>
  </si>
  <si>
    <t>Next due of pms 4/8/24 due of calibration 1/8/25</t>
  </si>
  <si>
    <t>https://www.jotform.com/uploads/macarewecare/222927978372067/5805869814813489448/5805869814813489448_signature_28.png</t>
  </si>
  <si>
    <t>https://www.jotform.com/uploads/macarewecare/222927978372067/5805869814813489448/5805869814813489448_signature_31.png</t>
  </si>
  <si>
    <t>Quezon ave., QC</t>
  </si>
  <si>
    <t>Need to replace rollers, Next due of pms 4/8/24 and due of calibratin 1/8/25</t>
  </si>
  <si>
    <t>https://www.jotform.com/uploads/macarewecare/222927978372067/5805869304814609225/5805869304814609225_signature_28.png</t>
  </si>
  <si>
    <t>https://www.jotform.com/uploads/macarewecare/222927978372067/5805869304814609225/5805869304814609225_signature_31.png</t>
  </si>
  <si>
    <t>rogerericfacundo@gmail.com</t>
  </si>
  <si>
    <t xml:space="preserve">ASSAY: Xpert MTB/RIF Ultra, COUNT: 1717
</t>
  </si>
  <si>
    <t>B1/616796 for module replacement</t>
  </si>
  <si>
    <t>Replaced Module: B1 - 616796&gt;&gt;730980
Cleaned cartridge bays, plunger rod, icores
Generate reports</t>
  </si>
  <si>
    <t>Replaced module B1/616796
Performed Preventive Maintenance</t>
  </si>
  <si>
    <t>https://www.jotform.com/uploads/macarewecare/222927978372067/5805861658113350820/5805861658113350820_signature_28.png</t>
  </si>
  <si>
    <t>Roger Eric Facundo</t>
  </si>
  <si>
    <t>https://www.jotform.com/uploads/macarewecare/222927978372067/5805861658113350820/5805861658113350820_signature_31.png</t>
  </si>
  <si>
    <t>Zamboanga del sur Medicalcenter, Pagadian City</t>
  </si>
  <si>
    <t xml:space="preserve">ASSAY: Xpert MTB/RIF Ultra, COUNT: 1686
ASSAY: Xpert HIV-1 Viral Load, COUNT: 91
</t>
  </si>
  <si>
    <t>Module 1, 2 and 3 hardware failed</t>
  </si>
  <si>
    <t>Replaced module 807030 with module 210012372 and conducted xpertcheck calibration for module 2 and 4.</t>
  </si>
  <si>
    <t>Module 2 and 4 failed the xpertcheck calibration</t>
  </si>
  <si>
    <t>G 6461</t>
  </si>
  <si>
    <t>https://www.jotform.com/uploads/macarewecare/222927978372067/5805809794657094331/5805809794657094331_signature_28.png</t>
  </si>
  <si>
    <t>https://www.jotform.com/uploads/macarewecare/222927978372067/5805809794657094331/5805809794657094331_signature_31.png</t>
  </si>
  <si>
    <t>B3 for replacement</t>
  </si>
  <si>
    <t>GeneXpert Module
SN: 890579</t>
  </si>
  <si>
    <t>https://www.jotform.com/uploads/macarewecare/222927978372067/5805796961211437947/5805796961211437947_signature_28.png</t>
  </si>
  <si>
    <t>https://www.jotform.com/uploads/macarewecare/222927978372067/5805796961211437947/5805796961211437947_signature_31.png</t>
  </si>
  <si>
    <t xml:space="preserve">ASSAY: Xpert MTB/RIF Ultra, COUNT: 1574
ASSAY: Xpert HIV-1 Viral Load, COUNT: 109
</t>
  </si>
  <si>
    <t>Module A2 for re XpertCheck</t>
  </si>
  <si>
    <t>Unit is operational.
A2 under observation.</t>
  </si>
  <si>
    <t>https://www.jotform.com/uploads/macarewecare/222927978372067/5805796051213847492/5805796051213847492_signature_28.png</t>
  </si>
  <si>
    <t>Earl Zuniega</t>
  </si>
  <si>
    <t>https://www.jotform.com/uploads/macarewecare/222927978372067/5805796051213847492/5805796051213847492_signature_31.png</t>
  </si>
  <si>
    <t>Himamaylan City Health Office</t>
  </si>
  <si>
    <t>Defective module 806683/B1 due to temperature-related errors.</t>
  </si>
  <si>
    <t>Replaced module B1 with new module SN 700632.</t>
  </si>
  <si>
    <t>https://www.jotform.com/uploads/macarewecare/222927978372067/5805783421262196883/5805783421262196883_signature_28.png</t>
  </si>
  <si>
    <t>https://www.jotform.com/uploads/macarewecare/222927978372067/5805783421262196883/5805783421262196883_signature_31.png</t>
  </si>
  <si>
    <t xml:space="preserve">ASSAY: Xpert MTB/RIF Ultra, COUNT: 2191
</t>
  </si>
  <si>
    <t>Monitor for replacement
A2:754352
A4: 784650 for module replacement</t>
  </si>
  <si>
    <t>Performed preventive maintenance
Performed monitor and module replacement
Gathered reports
Performed functionality test</t>
  </si>
  <si>
    <t>A2:732005 and A4:670638</t>
  </si>
  <si>
    <t>1 monitor 2 modules</t>
  </si>
  <si>
    <t>11038/11037/10959</t>
  </si>
  <si>
    <t>https://www.jotform.com/uploads/macarewecare/222927978372067/5805142433618518252/5805142433618518252_signature_28.png</t>
  </si>
  <si>
    <t>https://www.jotform.com/uploads/macarewecare/222927978372067/5805142433618518252/5805142433618518252_signature_31.png</t>
  </si>
  <si>
    <t xml:space="preserve">ASSAY: Xpert MTB/RIF Ultra, COUNT: 1804
</t>
  </si>
  <si>
    <t>Performed preventive maintenance , check ups and voltage regulator voltage</t>
  </si>
  <si>
    <t>Performed preventive maintenance in Icore, clean filter, archive data gxx, generate Sys log, IQR , Assay Statistics</t>
  </si>
  <si>
    <t>https://www.jotform.com/uploads/macarewecare/222927978372067/5805113373918599489/5805113373918599489_signature_28.png</t>
  </si>
  <si>
    <t>https://www.jotform.com/uploads/macarewecare/222927978372067/5805113373918599489/5805113373918599489_signature_31.png</t>
  </si>
  <si>
    <t>Olongapo Ciyt Health Office</t>
  </si>
  <si>
    <t>West Bajac Bajac Olongapo City Zambales</t>
  </si>
  <si>
    <t xml:space="preserve">ASSAY: Xpert MTB/RIF, COUNT: 0
ASSAY: Xpert MTB/RIF Ultra, COUNT: 1491
ASSAY: Xpert HIV-1 Viral Load, COUNT: 134
</t>
  </si>
  <si>
    <t>GX2-D</t>
  </si>
  <si>
    <t>All modukes passed calibration</t>
  </si>
  <si>
    <t>https://www.jotform.com/uploads/macarewecare/222927978372067/5805003843611712193/5805003843611712193_signature_28.png</t>
  </si>
  <si>
    <t>https://www.jotform.com/uploads/macarewecare/222927978372067/5805003843611712193/5805003843611712193_signature_31.png</t>
  </si>
  <si>
    <t xml:space="preserve">ASSAY: Xpert MTB/RIF, COUNT: 0
ASSAY: Xpert MTB/RIF Ultra, COUNT: 1728
</t>
  </si>
  <si>
    <t>Unit is operational except D1
D2 unable to calibrate
D3 and D4 Passed calibration</t>
  </si>
  <si>
    <t>D1 failed calibration</t>
  </si>
  <si>
    <t>https://www.jotform.com/uploads/macarewecare/222927978372067/5805001803619512618/5805001803619512618_signature_28.png</t>
  </si>
  <si>
    <t>https://www.jotform.com/uploads/macarewecare/222927978372067/5805001803619512618/5805001803619512618_signature_31.png</t>
  </si>
  <si>
    <t>All modules passed calibration</t>
  </si>
  <si>
    <t>2 xpertcheck kits</t>
  </si>
  <si>
    <t>https://www.jotform.com/uploads/macarewecare/222927978372067/5804999593619888765/5804999593619888765_signature_28.png</t>
  </si>
  <si>
    <t>https://www.jotform.com/uploads/macarewecare/222927978372067/5804999593619888765/5804999593619888765_signature_31.png</t>
  </si>
  <si>
    <t>Mulawin Orani Bataan</t>
  </si>
  <si>
    <t>A1:757000 for module replacement
A2 and A3 for Re-calibration</t>
  </si>
  <si>
    <t>Troubleshooting
Repair
Preventive maintenance</t>
  </si>
  <si>
    <t>Performed surface cleaning
Cleaning of plunger rod,icore,filter and cartridge bay
Archived test results
Xpertcheck application update to 1.5a
Performed calibration
Performed module replacement
Gathered reports
Performed functionality test</t>
  </si>
  <si>
    <t>Unit is operational except A2</t>
  </si>
  <si>
    <t>A1:758120</t>
  </si>
  <si>
    <t>Genexpert module
3 xpertcheck kits</t>
  </si>
  <si>
    <t>https://www.jotform.com/uploads/macarewecare/222927978372067/5804904803617968928/5804904803617968928_signature_28.png</t>
  </si>
  <si>
    <t>https://www.jotform.com/uploads/macarewecare/222927978372067/5804904803617968928/5804904803617968928_signature_31.png</t>
  </si>
  <si>
    <t xml:space="preserve">ASSAY: Xpert MTB/RIF Ultra, COUNT: 1103
ASSAY: Xpert MTB/RIF Ultra, COUNT: 1103
</t>
  </si>
  <si>
    <t>Module B1 has error 1001/2014</t>
  </si>
  <si>
    <t>Run XpertCheck on module B1</t>
  </si>
  <si>
    <t>Performed maintenance
Run XpertCheck on module B1
Generated reports</t>
  </si>
  <si>
    <t>https://www.jotform.com/uploads/macarewecare/222927978372067/5804882613615075577/5804882613615075577_signature_28.png</t>
  </si>
  <si>
    <t>https://www.jotform.com/uploads/macarewecare/222927978372067/5804882613615075577/5804882613615075577_signature_31.png</t>
  </si>
  <si>
    <t xml:space="preserve">ASSAY: Xpert MTB/RIF Ultra, COUNT: 1035
</t>
  </si>
  <si>
    <t>Performed maintenance
Replaced module A4
Generated reports</t>
  </si>
  <si>
    <t>Unit is operational. Module A2 not operational, reported already.</t>
  </si>
  <si>
    <t>Old: A4/719514
New: A4/863009</t>
  </si>
  <si>
    <t>DR# 10998</t>
  </si>
  <si>
    <t>https://www.jotform.com/uploads/macarewecare/222927978372067/5804882613617648999/5804882613617648999_signature_28.png</t>
  </si>
  <si>
    <t>Rose Sienna Blanco</t>
  </si>
  <si>
    <t>https://www.jotform.com/uploads/macarewecare/222927978372067/5804882613617648999/5804882613617648999_signature_31.png</t>
  </si>
  <si>
    <t>Monitor replacement: defective monitor SN:CNK83224PD
Module replacement: A2 SN:792321</t>
  </si>
  <si>
    <t>Performed preventive maintenance
Performed module and monitor replacement
Gathered reports
Performed functionality test</t>
  </si>
  <si>
    <t>A2:749409 and new monitor:AVI215CMQY05B01060577</t>
  </si>
  <si>
    <t>Genexpert module and monitor</t>
  </si>
  <si>
    <t>11039 and11049</t>
  </si>
  <si>
    <t>https://www.jotform.com/uploads/macarewecare/222927978372067/5804809013611300393/5804809013611300393_signature_28.png</t>
  </si>
  <si>
    <t>https://www.jotform.com/uploads/macarewecare/222927978372067/5804809013611300393/5804809013611300393_signature_31.png</t>
  </si>
  <si>
    <t>Irigq, Camarines Sur</t>
  </si>
  <si>
    <t xml:space="preserve">ASSAY: Xpert MTB/RIF Ultra, COUNT: 1718
</t>
  </si>
  <si>
    <t>B1/780882 for Module Replacement</t>
  </si>
  <si>
    <t>Replaced Module: B1 - 780882&gt;&gt;758212
Cleaned fan, cartridge bays,  plunger rod, icore
Generate reports</t>
  </si>
  <si>
    <t>Replaced module B1
Performed Preventive Maintenance</t>
  </si>
  <si>
    <t>https://www.jotform.com/uploads/macarewecare/222927978372067/5804529692121466345/5804529692121466345_signature_28.png</t>
  </si>
  <si>
    <t>https://www.jotform.com/uploads/macarewecare/222927978372067/5804529692121466345/5804529692121466345_signature_31.png</t>
  </si>
  <si>
    <t>Pilar RHU</t>
  </si>
  <si>
    <t>Pilar</t>
  </si>
  <si>
    <t>Cleaned cartridge bays, plunger rod
Replaced CPU
Generate reports</t>
  </si>
  <si>
    <t>https://www.jotform.com/uploads/macarewecare/222927978372067/5804528262129579970/5804528262129579970_signature_28.png</t>
  </si>
  <si>
    <t>https://www.jotform.com/uploads/macarewecare/222927978372067/5804528262129579970/5804528262129579970_signature_31.png</t>
  </si>
  <si>
    <t>Juban RHU</t>
  </si>
  <si>
    <t>Juban, Sorsogon</t>
  </si>
  <si>
    <t>gaytarean@yahoo.com</t>
  </si>
  <si>
    <t xml:space="preserve">ASSAY: Xpert MTB/RIF Ultra, COUNT: 800
</t>
  </si>
  <si>
    <t>B2/210091002 for module replacement</t>
  </si>
  <si>
    <t>Replaced Module: B2 - 210091002&gt;&gt;701213</t>
  </si>
  <si>
    <t>Replaced module B2/210091002</t>
  </si>
  <si>
    <t>https://www.jotform.com/uploads/macarewecare/222927978372067/5804521092125746906/5804521092125746906_signature_28.png</t>
  </si>
  <si>
    <t>Rean G. Gracilla</t>
  </si>
  <si>
    <t>https://www.jotform.com/uploads/macarewecare/222927978372067/5804521092125746906/5804521092125746906_signature_31.png</t>
  </si>
  <si>
    <t xml:space="preserve">ASSAY: Xpert MTB/RIF Ultra, COUNT: 710
</t>
  </si>
  <si>
    <t>B2/860997, B3/860998, B4/860999 for module replacement
B1/807565 temperature error</t>
  </si>
  <si>
    <t>Replaced module: B2-860997&gt;&gt;737294, B3-860998&gt;&gt;731543, B4-860999&gt;&gt;807261
Performed Re-XpertCheck for B1
Generate reports</t>
  </si>
  <si>
    <t>Replaced module B2, B3, B4
Performed re-XpertCheck for B1</t>
  </si>
  <si>
    <t>Re-XpertCheck: B1/807565 - service required</t>
  </si>
  <si>
    <t>https://www.jotform.com/uploads/macarewecare/222927978372067/5804519192122266460/5804519192122266460_signature_28.png</t>
  </si>
  <si>
    <t>https://www.jotform.com/uploads/macarewecare/222927978372067/5804519192122266460/5804519192122266460_signature_31.png</t>
  </si>
  <si>
    <t xml:space="preserve">ASSAY: Xpert CT/NG, COUNT: 4
ASSAY: Xpert HPV, COUNT: 1417
ASSAY: Xpert MTB/RIF Ultra, COUNT: 7422
ASSAY: Xpert SARS-CoV-2, COUNT: 2319
ASSAY: Xpert HIV-1 Viral Load, COUNT: 273
ASSAY: Others, COUNT: 10
</t>
  </si>
  <si>
    <t>GX-16</t>
  </si>
  <si>
    <t>B2/612544 for module replacement</t>
  </si>
  <si>
    <t>Replaced Module: B2 - 612544&gt;&gt;669505
Cleaned cartridge bays, plunger rod, fan
Generate reports</t>
  </si>
  <si>
    <t>Replaced module B2/612544
Performed Preventive Maintenance</t>
  </si>
  <si>
    <t>https://www.jotform.com/uploads/macarewecare/222927978372067/5804515472123627539/5804515472123627539_signature_28.png</t>
  </si>
  <si>
    <t>Angelika Mae Bichara</t>
  </si>
  <si>
    <t>https://www.jotform.com/uploads/macarewecare/222927978372067/5804515472123627539/5804515472123627539_signature_31.png</t>
  </si>
  <si>
    <t>https://www.jotform.com/uploads/macarewecare/222927978372067/5804513052121071283/5804513052121071283_signature_28.png</t>
  </si>
  <si>
    <t>https://www.jotform.com/uploads/macarewecare/222927978372067/5804513052121071283/5804513052121071283_signature_31.png</t>
  </si>
  <si>
    <t>San Fernando, Camarines 3</t>
  </si>
  <si>
    <t>B1/861697, B2/861662, B3/862246 for module replacement</t>
  </si>
  <si>
    <t>Module replaced: B1-861697&gt;&gt;722557, B2-861662&gt;&gt;723641, B3-862246&gt;&gt;725516
Cleaned cartridge bay, plunger rod, icore, fan
Generate reports</t>
  </si>
  <si>
    <t>Replaced module: B1/861697, B2/861662, B3/862246
Performed Preventive Maintenance</t>
  </si>
  <si>
    <t>https://www.jotform.com/uploads/macarewecare/222927978372067/5804511462122490273/5804511462122490273_signature_28.png</t>
  </si>
  <si>
    <t>https://www.jotform.com/uploads/macarewecare/222927978372067/5804511462122490273/5804511462122490273_signature_31.png</t>
  </si>
  <si>
    <t>Bicol Medical Center- Blood Bank</t>
  </si>
  <si>
    <t>charitypreston88@gmail.com</t>
  </si>
  <si>
    <t>Cleaned MCS+ Surface
Cleaned centrifudge, rollers, checked diagnostic parameters</t>
  </si>
  <si>
    <t>https://www.jotform.com/uploads/macarewecare/222927978372067/5804509282127138003/5804509282127138003_signature_28.png</t>
  </si>
  <si>
    <t>Ma. CHARITY P. DE LOS REYES</t>
  </si>
  <si>
    <t>https://www.jotform.com/uploads/macarewecare/222927978372067/5804509282127138003/5804509282127138003_signature_31.png</t>
  </si>
  <si>
    <t>SPM out of tolerance</t>
  </si>
  <si>
    <t>Followed Diagnostic Parameters 
Check/Cleaned SPM
Cleaned MCS+ Surface
Checked calibration data</t>
  </si>
  <si>
    <t>Performed troubleshooting 
Performed Preventive Maintenance</t>
  </si>
  <si>
    <t>For further troubleshooting</t>
  </si>
  <si>
    <t>https://www.jotform.com/uploads/macarewecare/222927978372067/5804504352127187774/5804504352127187774_signature_28.png</t>
  </si>
  <si>
    <t>MA.CHARITY P. DE LOS REYES</t>
  </si>
  <si>
    <t>https://www.jotform.com/uploads/macarewecare/222927978372067/5804504352127187774/5804504352127187774_signature_31.png</t>
  </si>
  <si>
    <t>https://www.jotform.com/uploads/macarewecare/222927978372067/5804475541422538903/5804475541422538903_signature_28.png</t>
  </si>
  <si>
    <t>https://www.jotform.com/uploads/macarewecare/222927978372067/5804475541422538903/5804475541422538903_signature_31.png</t>
  </si>
  <si>
    <t>Quezon Medical Center Wellness Hub</t>
  </si>
  <si>
    <t>Quezon Medical Center Compound, Brgy. 11, Lucena</t>
  </si>
  <si>
    <t>villanuevazenjee18@gmail.com</t>
  </si>
  <si>
    <t xml:space="preserve">ASSAY: Xpert HIV-1 Viral Load, COUNT: 79
</t>
  </si>
  <si>
    <t>Error 5016 and Jotform Assistance</t>
  </si>
  <si>
    <t>Performed PM
Archived files for technical troubleshooting
assisted in jotform reporting
Gathered report</t>
  </si>
  <si>
    <t>Checked system log and reports
Walkthrough jotform assistance</t>
  </si>
  <si>
    <t>Serviced on January 4, 2023. Jotform error</t>
  </si>
  <si>
    <t>https://www.jotform.com/uploads/macarewecare/222927978372067/5804248071818432361/5804248071818432361_signature_28.png</t>
  </si>
  <si>
    <t>Zenjee V. Villanueva</t>
  </si>
  <si>
    <t>https://www.jotform.com/uploads/macarewecare/222927978372067/5804248071818432361/5804248071818432361_signature_31.png</t>
  </si>
  <si>
    <t>Provincial Health Office, Barangay XI, Lucena, Quezon City</t>
  </si>
  <si>
    <t>UPS not working
Module D2 frequent error</t>
  </si>
  <si>
    <t>Performed PM
UPS not backing up, for reporting 
Module D2 for reporting 
Generated report</t>
  </si>
  <si>
    <t>Troubleshoot UPS
Checked module D2</t>
  </si>
  <si>
    <t>unit is operational
UPS for replacement
Module D2 for replacement</t>
  </si>
  <si>
    <t>Serviced on Dec. 21, 2023. Jotform Error</t>
  </si>
  <si>
    <t>https://www.jotform.com/uploads/macarewecare/222927978372067/5804000911814913672/5804000911814913672_signature_28.png</t>
  </si>
  <si>
    <t>https://www.jotform.com/uploads/macarewecare/222927978372067/5804000911814913672/5804000911814913672_signature_31.png</t>
  </si>
  <si>
    <t>Domingo Santiago Health Center</t>
  </si>
  <si>
    <t>844 Domingo Santiago, Sampaloc, Manila</t>
  </si>
  <si>
    <t>fei_paas@yahoo.com</t>
  </si>
  <si>
    <t>Perfomed PM
Removed stuck cartridge 
Generated report</t>
  </si>
  <si>
    <t>https://www.jotform.com/uploads/macarewecare/222927978372067/5803973941817118688/5803973941817118688_signature_28.png</t>
  </si>
  <si>
    <t>Flory Fe Paas</t>
  </si>
  <si>
    <t>https://www.jotform.com/uploads/macarewecare/222927978372067/5803973941817118688/5803973941817118688_signature_31.png</t>
  </si>
  <si>
    <t>Provincial Helath Office, Barangay XI, Lucena City, Quezon</t>
  </si>
  <si>
    <t xml:space="preserve">ASSAY: Xpert HPV, COUNT: 340
ASSAY: Xpert MTB/RIF Ultra, COUNT: 2521
ASSAY: Xpert HIV-1 Viral Load, COUNT: 83
</t>
  </si>
  <si>
    <t>Module D1 for replacement</t>
  </si>
  <si>
    <t>Performed PM
Replaced Module D1
Generated report</t>
  </si>
  <si>
    <t>Replaced Module D1
210003676 -&gt; 717400</t>
  </si>
  <si>
    <t>unit is operational
3 modules working. 
1 module waiting for replacement</t>
  </si>
  <si>
    <t>DR 45839</t>
  </si>
  <si>
    <t>https://www.jotform.com/uploads/macarewecare/222927978372067/5803967311814715011/5803967311814715011_signature_28.png</t>
  </si>
  <si>
    <t>https://www.jotform.com/uploads/macarewecare/222927978372067/5803967311814715011/5803967311814715011_signature_31.png</t>
  </si>
  <si>
    <t>Brgy. Calimpak, Guinayangan, Quezon</t>
  </si>
  <si>
    <t>reamoongab@gmail.com</t>
  </si>
  <si>
    <t>Replaced module B3
210101928 -&gt; 685248</t>
  </si>
  <si>
    <t>Unit is operational. 
all modules working</t>
  </si>
  <si>
    <t>DR 45632</t>
  </si>
  <si>
    <t>https://www.jotform.com/uploads/macarewecare/222927978372067/5803964291812878328/5803964291812878328_signature_28.png</t>
  </si>
  <si>
    <t>Rea Joan Formanes</t>
  </si>
  <si>
    <t>https://www.jotform.com/uploads/macarewecare/222927978372067/5803964291812878328/5803964291812878328_signature_31.png</t>
  </si>
  <si>
    <t>Jacinto St., Poblacion Davao City</t>
  </si>
  <si>
    <t xml:space="preserve">ASSAY: Xpert MTB/RIF Ultra, COUNT: 211
ASSAY: Xpert HIV-1 Viral Load, COUNT: 841
</t>
  </si>
  <si>
    <t>Module B2, having errors
For Preventive Maintenance</t>
  </si>
  <si>
    <t>Clean Surface Area, Cartridge Bay, Plunger Rod, Fan Filters and Icore Lenses
Generate IQR, Assay Stat and System Log
Archived Data test results
Run dummy cartridge to check functionality</t>
  </si>
  <si>
    <t>Module B2 for under observation</t>
  </si>
  <si>
    <t>https://www.jotform.com/uploads/macarewecare/222927978372067/5803412508816164669/5803412508816164669_signature_28.png</t>
  </si>
  <si>
    <t>Ellaine B. Mallano,. RMT</t>
  </si>
  <si>
    <t>https://www.jotform.com/uploads/macarewecare/222927978372067/5803412508816164669/5803412508816164669_signature_31.png</t>
  </si>
  <si>
    <t>Stuck cartridge on A1
A1, A3 for reXpertCheck</t>
  </si>
  <si>
    <t>Removed stuck cartridge
Performed XpertCheck on A1, A3</t>
  </si>
  <si>
    <t>Unit is operational
A1, A3 requires service</t>
  </si>
  <si>
    <t>https://www.jotform.com/uploads/macarewecare/222927978372067/5802563436912784615/5802563436912784615_signature_28.png</t>
  </si>
  <si>
    <t>https://www.jotform.com/uploads/macarewecare/222927978372067/5802563436912784615/5802563436912784615_signature_31.png</t>
  </si>
  <si>
    <t xml:space="preserve">ASSAY: Xpert CT/NG, COUNT: 415
ASSAY: Xpert MTB/RIF Ultra, COUNT: 365
ASSAY: Xpert HIV-1 Viral Load, COUNT: 2529
</t>
  </si>
  <si>
    <t>Unit for maintenance
Bios battery problem
Laptop SN: 5CG5511V52</t>
  </si>
  <si>
    <t>Checked unit</t>
  </si>
  <si>
    <t>Unit is operational
Laptop for repair / bios battery for replacement
Modules for further analysis</t>
  </si>
  <si>
    <t>https://www.jotform.com/uploads/macarewecare/222927978372067/5802561476913865061/5802561476913865061_signature_28.png</t>
  </si>
  <si>
    <t>https://www.jotform.com/uploads/macarewecare/222927978372067/5802561476913865061/5802561476913865061_signature_31.png</t>
  </si>
  <si>
    <t>Monitor - AV125CMQY05B01060049</t>
  </si>
  <si>
    <t>https://www.jotform.com/uploads/macarewecare/222927978372067/5802488197614931280/5802488197614931280_signature_28.png</t>
  </si>
  <si>
    <t>Jasper P. Dizon</t>
  </si>
  <si>
    <t>https://www.jotform.com/uploads/macarewecare/222927978372067/5802488197614931280/5802488197614931280_signature_31.png</t>
  </si>
  <si>
    <t xml:space="preserve">ASSAY: Xpert MTB/RIF Ultra, COUNT: 1026
ASSAY: Xpert HIV-1 Viral Load, COUNT: 97
</t>
  </si>
  <si>
    <t>Modules A2, A3 for replacement</t>
  </si>
  <si>
    <t>Replaced A2, A3</t>
  </si>
  <si>
    <t>GeneXpert Module
SN: 717280, 715736</t>
  </si>
  <si>
    <t>https://www.jotform.com/uploads/macarewecare/222927978372067/5802463746914020348/5802463746914020348_signature_28.png</t>
  </si>
  <si>
    <t>https://www.jotform.com/uploads/macarewecare/222927978372067/5802463746914020348/5802463746914020348_signature_31.png</t>
  </si>
  <si>
    <t>https://www.jotform.com/uploads/macarewecare/222927978372067/5802463746917209458/5802463746917209458_signature_28.png</t>
  </si>
  <si>
    <t>https://www.jotform.com/uploads/macarewecare/222927978372067/5802463746917209458/5802463746917209458_signature_31.png</t>
  </si>
  <si>
    <t xml:space="preserve">ASSAY: Xpert MTB/RIF Ultra, COUNT: 2657
</t>
  </si>
  <si>
    <t>Module A4 for replacement
UPS for check up</t>
  </si>
  <si>
    <t>- replaced A4
- checked and cleaned cartridge bay, plunger rod, filter 
- archived tests from January to September 2023
- checked UPS</t>
  </si>
  <si>
    <t>Replaced A4
Checked UPS</t>
  </si>
  <si>
    <t>GeneXpert Module
SN: 722350</t>
  </si>
  <si>
    <t>https://www.jotform.com/uploads/macarewecare/222927978372067/5802463266918133779/5802463266918133779_signature_28.png</t>
  </si>
  <si>
    <t>https://www.jotform.com/uploads/macarewecare/222927978372067/5802463266918133779/5802463266918133779_signature_31.png</t>
  </si>
  <si>
    <t>Wilson st., Greenhills</t>
  </si>
  <si>
    <t>As per end user they encounter red valve error during process</t>
  </si>
  <si>
    <t>Checked program parameters
Checked and adjust line sensor value
Checked rollers,dpm,spm,centrifuge
Checked and performed simulation running of valves
Performed functionality test
Performed isolation running</t>
  </si>
  <si>
    <t>https://www.jotform.com/uploads/macarewecare/222927978372067/5802341412645568702/5802341412645568702_signature_28.png</t>
  </si>
  <si>
    <t>https://www.jotform.com/uploads/macarewecare/222927978372067/5802341412645568702/5802341412645568702_signature_31.png</t>
  </si>
  <si>
    <t>Champ Bldg.</t>
  </si>
  <si>
    <t xml:space="preserve">ASSAY: Xpert CT/NG, COUNT: 18
ASSAY: Xpert HIV-1 Viral Load, COUNT: 685
</t>
  </si>
  <si>
    <t>Unit is operational. Modules A1, A2 and A4 not operational, reported.</t>
  </si>
  <si>
    <t>https://www.jotform.com/uploads/macarewecare/222927978372067/5802335161916863452/5802335161916863452_signature_28.png</t>
  </si>
  <si>
    <t>https://www.jotform.com/uploads/macarewecare/222927978372067/5802335161916863452/5802335161916863452_signature_31.png</t>
  </si>
  <si>
    <t>M.A Roxas St., Pililla</t>
  </si>
  <si>
    <t>Performed maintenance
Replaced module B2
Generated reports</t>
  </si>
  <si>
    <t>Old: B2/687232
New: B2/784488</t>
  </si>
  <si>
    <t>DR# 10995</t>
  </si>
  <si>
    <t>https://www.jotform.com/uploads/macarewecare/222927978372067/5802335161917023825/5802335161917023825_signature_28.png</t>
  </si>
  <si>
    <t>Pililla RHU</t>
  </si>
  <si>
    <t>https://www.jotform.com/uploads/macarewecare/222927978372067/5802335161917023825/5802335161917023825_signature_31.png</t>
  </si>
  <si>
    <t>rosebenildatamayo@gmail.com</t>
  </si>
  <si>
    <t>https://www.jotform.com/uploads/macarewecare/222927978372067/5802335161918117510/5802335161918117510_signature_28.png</t>
  </si>
  <si>
    <t>Rosbenilda A.Tamayo</t>
  </si>
  <si>
    <t>https://www.jotform.com/uploads/macarewecare/222927978372067/5802335161918117510/5802335161918117510_signature_31.png</t>
  </si>
  <si>
    <t>Jacinto St. Poblacion Davao City</t>
  </si>
  <si>
    <t xml:space="preserve">ASSAY: Xpert MTB/RIF Ultra, COUNT: 102
ASSAY: Xpert HIV-1 Viral Load, COUNT: 570
</t>
  </si>
  <si>
    <t>Only 2 Modules are operational</t>
  </si>
  <si>
    <t>https://www.jotform.com/uploads/macarewecare/222927978372067/5802320720712059506/5802320720712059506_signature_28.png</t>
  </si>
  <si>
    <t>https://www.jotform.com/uploads/macarewecare/222927978372067/5802320720712059506/5802320720712059506_signature_31.png</t>
  </si>
  <si>
    <t>https://www.jotform.com/uploads/macarewecare/222927978372067/5802319680715050022/5802319680715050022_signature_28.png</t>
  </si>
  <si>
    <t>Ellaine Mallano RMT</t>
  </si>
  <si>
    <t>https://www.jotform.com/uploads/macarewecare/222927978372067/5802319680715050022/5802319680715050022_signature_31.png</t>
  </si>
  <si>
    <t>BIOPATH CLINICAL DIAGNOSTICS - EROD</t>
  </si>
  <si>
    <t>G14-15 GARDEN HEIGHTS CONDOMINIUM, 269 E. ROD. SR. AVE., QUEZON CITY</t>
  </si>
  <si>
    <t xml:space="preserve">ASSAY: Xpert CT/NG, COUNT: 49
ASSAY: Xpert SARS-CoV-2, COUNT: 86
ASSAY: Others, COUNT: 16
</t>
  </si>
  <si>
    <t>GXXVID</t>
  </si>
  <si>
    <t>A3 Hardware Fail</t>
  </si>
  <si>
    <t>Performed XpertCheck
Perform Maintenace, cleaning I-cores, cartridge bays, optics, and plunger rods.
Generated reports
Disabled service required module
Performed functionality test</t>
  </si>
  <si>
    <t>Unit is operational with 14 modules, A3 h/w fail, and C2 service required.</t>
  </si>
  <si>
    <t>SI 96919</t>
  </si>
  <si>
    <t>https://www.jotform.com/uploads/macarewecare/222927978372067/5802315627435853385/5802315627435853385_signature_28.png</t>
  </si>
  <si>
    <t>https://www.jotform.com/uploads/macarewecare/222927978372067/5802315627435853385/5802315627435853385_signature_31.png</t>
  </si>
  <si>
    <t>Module 3 error 2014.</t>
  </si>
  <si>
    <t>Undergone Xpertcheck calibration and Preventive Maintenence</t>
  </si>
  <si>
    <t>Modules 1, 2 and 4 passed while module 3 service required</t>
  </si>
  <si>
    <t>Module 3 needs to be replaced</t>
  </si>
  <si>
    <t>https://www.jotform.com/uploads/macarewecare/222927978372067/5801661684517070624/5801661684517070624_signature_28.png</t>
  </si>
  <si>
    <t>https://www.jotform.com/uploads/macarewecare/222927978372067/5801661684517070624/5801661684517070624_signature_31.png</t>
  </si>
  <si>
    <t>Uninterrupted power supply (UPS) is unable to work properly. Error F06</t>
  </si>
  <si>
    <t>Perform Troubleshooting on site</t>
  </si>
  <si>
    <t>Troubleshoot on site with enduser</t>
  </si>
  <si>
    <t>(Uninterrupted power supply) UPS Must be replaced emedietly</t>
  </si>
  <si>
    <t>https://www.jotform.com/uploads/macarewecare/222927978372067/5801614552519163204/5801614552519163204_signature_28.png</t>
  </si>
  <si>
    <t>https://www.jotform.com/uploads/macarewecare/222927978372067/5801614552519163204/5801614552519163204_signature_31.png</t>
  </si>
  <si>
    <t>rovijaelle.lare@makatimed.net.ph</t>
  </si>
  <si>
    <t>Cleaned unit
Checked program parameters
Checked and adjust line sensor value
Checked rollers,dpm,spm,centrifuge
Performed functionality test
Performed isolation running</t>
  </si>
  <si>
    <t>https://www.jotform.com/uploads/macarewecare/222927978372067/5801535718812235010/5801535718812235010_signature_28.png</t>
  </si>
  <si>
    <t>https://www.jotform.com/uploads/macarewecare/222927978372067/5801535718812235010/5801535718812235010_signature_31.png</t>
  </si>
  <si>
    <t xml:space="preserve">ASSAY: Xpert MTB/RIF, COUNT: 95
ASSAY: Xpert MTB/RIF Ultra, COUNT: 1963
</t>
  </si>
  <si>
    <t>https://www.jotform.com/uploads/macarewecare/222927978372067/5801531062619202723/5801531062619202723_signature_28.png</t>
  </si>
  <si>
    <t>https://www.jotform.com/uploads/macarewecare/222927978372067/5801531062619202723/5801531062619202723_signature_31.png</t>
  </si>
  <si>
    <t xml:space="preserve">ASSAY: Xpert MTB/RIF, COUNT: 89
ASSAY: Xpert MTB/RIF Ultra, COUNT: 961
</t>
  </si>
  <si>
    <t>https://www.jotform.com/uploads/macarewecare/222927978372067/5801528692611458793/5801528692611458793_signature_28.png</t>
  </si>
  <si>
    <t>https://www.jotform.com/uploads/macarewecare/222927978372067/5801528692611458793/5801528692611458793_signature_31.png</t>
  </si>
  <si>
    <t>Module B3 (793226) for replacement</t>
  </si>
  <si>
    <t>https://www.jotform.com/uploads/macarewecare/222927978372067/5801514008066036432/5801514008066036432_signature_28.png</t>
  </si>
  <si>
    <t>https://www.jotform.com/uploads/macarewecare/222927978372067/5801514008066036432/5801514008066036432_signature_31.png</t>
  </si>
  <si>
    <t>https://www.jotform.com/uploads/macarewecare/222927978372067/5801512948063906203/5801512948063906203_signature_28.png</t>
  </si>
  <si>
    <t>https://www.jotform.com/uploads/macarewecare/222927978372067/5801512948063906203/5801512948063906203_signature_31.png</t>
  </si>
  <si>
    <t>Genexpert machine Cleaning 
Data collection: IQR, System log, Assay statistics report and Archive test 
Report and request for fan filter</t>
  </si>
  <si>
    <t>https://www.jotform.com/uploads/macarewecare/222927978372067/5801497954104344819/5801497954104344819_signature_28.png</t>
  </si>
  <si>
    <t>https://www.jotform.com/uploads/macarewecare/222927978372067/5801497954104344819/5801497954104344819_signature_31.png</t>
  </si>
  <si>
    <t xml:space="preserve">ASSAY: Others, COUNT: 
</t>
  </si>
  <si>
    <t>Gx-IV (10color)</t>
  </si>
  <si>
    <t>Perform Genexpert machine Cleaning 
Data collection: IQR, System log, Assay statistics report and Archive test</t>
  </si>
  <si>
    <t>https://www.jotform.com/uploads/macarewecare/222927978372067/5801496614108372415/5801496614108372415_signature_28.png</t>
  </si>
  <si>
    <t>https://www.jotform.com/uploads/macarewecare/222927978372067/5801496614108372415/5801496614108372415_signature_31.png</t>
  </si>
  <si>
    <t>HIV Lab</t>
  </si>
  <si>
    <t xml:space="preserve">ASSAY: Xpert HIV-1 Viral Load, COUNT: 69
</t>
  </si>
  <si>
    <t>-Replace defective module B1/210068712 with new module SN: 715713</t>
  </si>
  <si>
    <t>https://www.jotform.com/uploads/macarewecare/222927978372067/5801463179522165752/5801463179522165752_signature_28.png</t>
  </si>
  <si>
    <t>https://www.jotform.com/uploads/macarewecare/222927978372067/5801463179522165752/5801463179522165752_signature_31.png</t>
  </si>
  <si>
    <t xml:space="preserve">ASSAY: Xpert MTB/RIF Ultra, COUNT: 1023
</t>
  </si>
  <si>
    <t>Performed Xpertcheck on Module 1
(Passed)</t>
  </si>
  <si>
    <t>Module 1 for Observation</t>
  </si>
  <si>
    <t>https://www.jotform.com/uploads/macarewecare/222927978372067/5801388597612722495/5801388597612722495_signature_28.png</t>
  </si>
  <si>
    <t>https://www.jotform.com/uploads/macarewecare/222927978372067/5801388597612722495/5801388597612722495_signature_31.png</t>
  </si>
  <si>
    <t>IBP Road, Batasan, Quezon City</t>
  </si>
  <si>
    <t>russelldelavega030210@gmail.com</t>
  </si>
  <si>
    <t xml:space="preserve">ASSAY: Xpert HIV-1 Viral Load, COUNT: 3
</t>
  </si>
  <si>
    <t>GXIVD 10C</t>
  </si>
  <si>
    <t>Installed new GXIV 10C unit
Installed printer
Performed basic end-user training on software and maintenance
Installed HIV VL ADF
Performed functionality test</t>
  </si>
  <si>
    <t>https://www.jotform.com/uploads/macarewecare/222927978372067/5800800836357591666/5800800836357591666_signature_28.png</t>
  </si>
  <si>
    <t>RUSSELL C. DELA VEGA, RMT</t>
  </si>
  <si>
    <t>https://www.jotform.com/uploads/macarewecare/222927978372067/5800800836357591666/5800800836357591666_signature_31.png</t>
  </si>
  <si>
    <t>Villa Abrille St, Poblacion Davao City</t>
  </si>
  <si>
    <t>Modules not detected when launching the GeneXpert Software</t>
  </si>
  <si>
    <t>Reconfigure Ip Address intended for GeneXpert
Tried reseating cable connection
Tried to use usb to rj45 cable adaptor
Tried to reinstall  Gx4.8 software and upgrade to version 5.1. Changing cables</t>
  </si>
  <si>
    <t>Perfrom Onsite troubleshooting</t>
  </si>
  <si>
    <t>Still Modules are not detected</t>
  </si>
  <si>
    <t>Installed temporarily a GeneXpert Software on the personal laptop of the enduser. Documented videos gathered will be sent to Cepheid foe Further Evaluation.</t>
  </si>
  <si>
    <t>https://www.jotform.com/uploads/macarewecare/222927978372067/5800799341428465985/5800799341428465985_signature_28.png</t>
  </si>
  <si>
    <t>Maria Lisa Paras, RMT</t>
  </si>
  <si>
    <t>https://www.jotform.com/uploads/macarewecare/222927978372067/5800799341428465985/5800799341428465985_signature_31.png</t>
  </si>
  <si>
    <t xml:space="preserve">ASSAY: Xpert MTB/RIF Ultra, COUNT: 3052
</t>
  </si>
  <si>
    <t>Repair/replace defective module 1 SN:866833 with new module SN: 730998
Genexpert machine Cleaning 
Data collection: Pre and Post IQR, System log, Assay statistics report, and Archive test</t>
  </si>
  <si>
    <t>Genexpert module 6- color SN: 730998</t>
  </si>
  <si>
    <t>https://www.jotform.com/uploads/macarewecare/222927978372067/5800790754993806586/5800790754993806586_signature_28.png</t>
  </si>
  <si>
    <t>https://www.jotform.com/uploads/macarewecare/222927978372067/5800790754993806586/5800790754993806586_signature_31.png</t>
  </si>
  <si>
    <t>Sto Domingo, Nueva Ecija</t>
  </si>
  <si>
    <t>Performed Maintenance
Gatherex Reports
Performed Module Replacement 
(754239 - 888301)
Performed Functionality Test</t>
  </si>
  <si>
    <t>Module 2 for observation</t>
  </si>
  <si>
    <t>https://www.jotform.com/uploads/macarewecare/222927978372067/5800774849219274367/5800774849219274367_signature_28.png</t>
  </si>
  <si>
    <t>https://www.jotform.com/uploads/macarewecare/222927978372067/5800774849219274367/5800774849219274367_signature_31.png</t>
  </si>
  <si>
    <t>https://www.jotform.com/uploads/macarewecare/222927978372067/5800720282956926794/5800720282956926794_signature_28.png</t>
  </si>
  <si>
    <t>https://www.jotform.com/uploads/macarewecare/222927978372067/5800720282956926794/5800720282956926794_signature_31.png</t>
  </si>
  <si>
    <t>https://www.jotform.com/uploads/macarewecare/222927978372067/5800720282954399298/5800720282954399298_signature_28.png</t>
  </si>
  <si>
    <t>https://www.jotform.com/uploads/macarewecare/222927978372067/5800720282954399298/5800720282954399298_signature_31.png</t>
  </si>
  <si>
    <t xml:space="preserve">ASSAY: Xpert MTB/RIF Ultra, COUNT: 2743
ASSAY: Xpert HIV-1 Viral Load, COUNT: 56
</t>
  </si>
  <si>
    <t>https://www.jotform.com/uploads/macarewecare/222927978372067/5800659655525019622/5800659655525019622_signature_28.png</t>
  </si>
  <si>
    <t>https://www.jotform.com/uploads/macarewecare/222927978372067/5800659655525019622/5800659655525019622_signature_31.png</t>
  </si>
  <si>
    <t>University of The Philippines Diliman</t>
  </si>
  <si>
    <t>Marine Science</t>
  </si>
  <si>
    <t>Carl Zeiss Primovert</t>
  </si>
  <si>
    <t>415510-1101-000</t>
  </si>
  <si>
    <t>Installed unit for demo</t>
  </si>
  <si>
    <t>with Engineers Bagbaguen, Daroya, Doctor</t>
  </si>
  <si>
    <t>https://www.jotform.com/uploads/macarewecare/222927978372067/5800655894655446989/5800655894655446989_signature_28.png</t>
  </si>
  <si>
    <t>https://www.jotform.com/uploads/macarewecare/222927978372067/5800655894655446989/5800655894655446989_signature_31.png</t>
  </si>
  <si>
    <t>MAINTENANCE
Update GeneXpert Software Version</t>
  </si>
  <si>
    <t>-PERFORM GENEXPERT SOFTWARE UPDATE FROM VERSION 5.1 TO VERSION 6.1
-PERFORM PREVENTIVE MAINTENANCE AND CLEANING OF GENEXPERT WORKSTATION</t>
  </si>
  <si>
    <t>https://www.jotform.com/uploads/macarewecare/222927978372067/5800652515523383438/5800652515523383438_signature_28.png</t>
  </si>
  <si>
    <t>https://www.jotform.com/uploads/macarewecare/222927978372067/5800652515523383438/5800652515523383438_signature_31.png</t>
  </si>
  <si>
    <t>Back up laptop for replacement (SN: CPH1019F03266)</t>
  </si>
  <si>
    <t>Replaced back up laptop with new back up laptop</t>
  </si>
  <si>
    <t>Unit is operational.
Laptop is suspected to have defective charger/charging port.</t>
  </si>
  <si>
    <t>Lenovo ThinkPad Laptop
SN: CPH1019F03275</t>
  </si>
  <si>
    <t>https://www.jotform.com/uploads/macarewecare/222927978372067/5800644214655435231/5800644214655435231_signature_28.png</t>
  </si>
  <si>
    <t>https://www.jotform.com/uploads/macarewecare/222927978372067/5800644214655435231/5800644214655435231_signature_31.png</t>
  </si>
  <si>
    <t>39 Bansalangin St., Veterans Village, Project 7, Quezon City</t>
  </si>
  <si>
    <t>GXIV 10C-D</t>
  </si>
  <si>
    <t>GX unit for installation</t>
  </si>
  <si>
    <t>Performed PM
Installed necessary drivers 
Setup User admin
Generated report</t>
  </si>
  <si>
    <t>Setup GX and accessories</t>
  </si>
  <si>
    <t>https://www.jotform.com/uploads/macarewecare/222927978372067/5800600110636653229/5800600110636653229_signature_28.png</t>
  </si>
  <si>
    <t>https://www.jotform.com/uploads/macarewecare/222927978372067/5800600110636653229/5800600110636653229_signature_31.png</t>
  </si>
  <si>
    <t>TB-DOT</t>
  </si>
  <si>
    <t xml:space="preserve">ASSAY: Xpert MTB/RIF Ultra, COUNT: 1312
</t>
  </si>
  <si>
    <t>-Monthly Preventive maintenance
- Archive data 
-</t>
  </si>
  <si>
    <t>Unit is Operational (module B1 &amp; B4 disabled - waiting for module replacement)</t>
  </si>
  <si>
    <t>https://www.jotform.com/uploads/macarewecare/222927978372067/5800496334529462598/5800496334529462598_signature_28.png</t>
  </si>
  <si>
    <t>https://www.jotform.com/uploads/macarewecare/222927978372067/5800496334529462598/5800496334529462598_signature_31.png</t>
  </si>
  <si>
    <t xml:space="preserve">ASSAY: Xpert HPV, COUNT: 29
ASSAY: Xpert MTB/RIF Ultra, COUNT: 2892
ASSAY: Xpert HIV-1 Viral Load, COUNT: 143
</t>
  </si>
  <si>
    <t>Replaced Module 2
Performed Self-test
Generate Reports</t>
  </si>
  <si>
    <t>B2: 863327 -&gt; 662467</t>
  </si>
  <si>
    <t>G 6608</t>
  </si>
  <si>
    <t>https://www.jotform.com/uploads/macarewecare/222927978372067/5799844523617120192/5799844523617120192_signature_28.png</t>
  </si>
  <si>
    <t>https://www.jotform.com/uploads/macarewecare/222927978372067/5799844523617120192/5799844523617120192_signature_31.png</t>
  </si>
  <si>
    <t>St. Thomas St.,Pulang Lupa Dos, Las Piñas</t>
  </si>
  <si>
    <t xml:space="preserve">ASSAY: Xpert MTB/RIF Ultra, COUNT: 1764
</t>
  </si>
  <si>
    <t>Module 4 with Temperature Error</t>
  </si>
  <si>
    <t>Performed Maintenance
Replaced Module 4
Generate Reports
Performed Self-test</t>
  </si>
  <si>
    <t>B4: 692293 -&gt; 696802</t>
  </si>
  <si>
    <t>G 6598</t>
  </si>
  <si>
    <t>https://www.jotform.com/uploads/macarewecare/222927978372067/5799844393612215598/5799844393612215598_signature_28.png</t>
  </si>
  <si>
    <t>Elvira Alcantara</t>
  </si>
  <si>
    <t>https://www.jotform.com/uploads/macarewecare/222927978372067/5799844393612215598/5799844393612215598_signature_31.png</t>
  </si>
  <si>
    <t>Interior Tramo St, Las Piñas</t>
  </si>
  <si>
    <t xml:space="preserve">ASSAY: Xpert MTB/RIF Ultra, COUNT: 1226
</t>
  </si>
  <si>
    <t>Unit is due fro XpertCheck</t>
  </si>
  <si>
    <t>3 Modules Failed, 1 Module Passed</t>
  </si>
  <si>
    <t>Modules 1,2 and 3 for Replacement.</t>
  </si>
  <si>
    <t>https://www.jotform.com/uploads/macarewecare/222927978372067/5799844393616349642/5799844393616349642_signature_28.png</t>
  </si>
  <si>
    <t>https://www.jotform.com/uploads/macarewecare/222927978372067/5799844393616349642/5799844393616349642_signature_31.png</t>
  </si>
  <si>
    <t xml:space="preserve">ASSAY: Xpert MTB/RIF Ultra, COUNT: 1861
</t>
  </si>
  <si>
    <t>Replaced Module 4
Performed Maintenance
Generate Reports
Performed Self-test</t>
  </si>
  <si>
    <t>3 Modules are Operational, 1 Module is Defective</t>
  </si>
  <si>
    <t>B4: 886282 -&gt; 862002</t>
  </si>
  <si>
    <t>https://www.jotform.com/uploads/macarewecare/222927978372067/5799844393616635743/5799844393616635743_signature_28.png</t>
  </si>
  <si>
    <t>Jonalyn N. Aranda</t>
  </si>
  <si>
    <t>https://www.jotform.com/uploads/macarewecare/222927978372067/5799844393616635743/5799844393616635743_signature_31.png</t>
  </si>
  <si>
    <t>P. Paterno St., Caridad, Cavite</t>
  </si>
  <si>
    <t xml:space="preserve">ASSAY: Xpert MTB/RIF Ultra, COUNT: 615
</t>
  </si>
  <si>
    <t>2 Modules for Replacement</t>
  </si>
  <si>
    <t>Performed Maintenance
Replaced Modules 1 and 3
Generate Reports
Performed Self-test</t>
  </si>
  <si>
    <t>B1: 729891 -&gt; 714076 &amp; B3: 894009 -&gt; 706171</t>
  </si>
  <si>
    <t>https://www.jotform.com/uploads/macarewecare/222927978372067/5799844393615110628/5799844393615110628_signature_28.png</t>
  </si>
  <si>
    <t>https://www.jotform.com/uploads/macarewecare/222927978372067/5799844393615110628/5799844393615110628_signature_31.png</t>
  </si>
  <si>
    <t>Putatan Health Center</t>
  </si>
  <si>
    <t>MSR, Putatan, Muntinlupa</t>
  </si>
  <si>
    <t>guimo.demesa@gmail.com</t>
  </si>
  <si>
    <t xml:space="preserve">ASSAY: Xpert HPV, COUNT: 102
ASSAY: Xpert MTB/RIF Ultra, COUNT: 1571
ASSAY: Xpert HIV-1 Viral Load, COUNT: 58
</t>
  </si>
  <si>
    <t>Replaced Module 3
Performed Maintenance
Generate Reports
Performed Self-test</t>
  </si>
  <si>
    <t>B3: 786785-&gt; 696025</t>
  </si>
  <si>
    <t>G 6600</t>
  </si>
  <si>
    <t>https://www.jotform.com/uploads/macarewecare/222927978372067/5799844393617963938/5799844393617963938_signature_28.png</t>
  </si>
  <si>
    <t>Guillermo De Mesa II</t>
  </si>
  <si>
    <t>https://www.jotform.com/uploads/macarewecare/222927978372067/5799844393617963938/5799844393617963938_signature_31.png</t>
  </si>
  <si>
    <t>VMMC North Ave, Diliman, Quezon City</t>
  </si>
  <si>
    <t>evitaleona@yahoo.com</t>
  </si>
  <si>
    <t xml:space="preserve">ASSAY: Xpert HBV VL, COUNT: 79
ASSAY: Xpert MTB/RIF Ultra, COUNT: 1559
ASSAY: Xpert HCV VL, COUNT: 10
</t>
  </si>
  <si>
    <t>Unit due for preventive maintenance</t>
  </si>
  <si>
    <t>Checked and cleaned cartridge bay, plunger rod, icore slot and filter</t>
  </si>
  <si>
    <t>Unit is operational. All modules working</t>
  </si>
  <si>
    <t>https://www.jotform.com/uploads/macarewecare/222927978372067/5799667513611244797/5799667513611244797_signature_28.png</t>
  </si>
  <si>
    <t>Evita Leona Buenavista</t>
  </si>
  <si>
    <t>https://www.jotform.com/uploads/macarewecare/222927978372067/5799667513611244797/5799667513611244797_signature_31.png</t>
  </si>
  <si>
    <t>10 Wilson street Greenhills West San Juan City</t>
  </si>
  <si>
    <t xml:space="preserve">ASSAY: Xpert HBV VL, COUNT: 93
ASSAY: Xpert HPV, COUNT: 17
ASSAY: Xpert MTB/RIF Ultra, COUNT: 1013
</t>
  </si>
  <si>
    <t>Run HBV on modules 2, 3, 4
Same sample all error
Sample is fine</t>
  </si>
  <si>
    <t>Performed PM
Checked error. All error 2097 - Assay-Specific termination error
Archived report for further checking by technical team.
End user wants to know if it's still safe to run HBV on GX to avoid wasting cartridges
Wants to know asap to avoid back logs
Generated report</t>
  </si>
  <si>
    <t>Checked report
Archived report for technical to check</t>
  </si>
  <si>
    <t>Unit is operational. Assay HBV for checking</t>
  </si>
  <si>
    <t>https://www.jotform.com/uploads/macarewecare/222927978372067/5799663173612788302/5799663173612788302_signature_28.png</t>
  </si>
  <si>
    <t>https://www.jotform.com/uploads/macarewecare/222927978372067/5799663173612788302/5799663173612788302_signature_31.png</t>
  </si>
  <si>
    <t xml:space="preserve">ASSAY: Xpert MTB/RIF Ultra, COUNT: 1051
ASSAY: Xpert HIV-1 Viral Load, COUNT: 298
</t>
  </si>
  <si>
    <t>Frequent error on module A4</t>
  </si>
  <si>
    <t>Performed PM
Checked module A4 system log
Informed end user to get reports right away when module turns red
Recommended to try using the module again
Generated report</t>
  </si>
  <si>
    <t>Checked module A4</t>
  </si>
  <si>
    <t>unit is operational.
2 modules under monitoring
6 modules working</t>
  </si>
  <si>
    <t>https://www.jotform.com/uploads/macarewecare/222927978372067/5799639923616030375/5799639923616030375_signature_28.png</t>
  </si>
  <si>
    <t>https://www.jotform.com/uploads/macarewecare/222927978372067/5799639923616030375/5799639923616030375_signature_31.png</t>
  </si>
  <si>
    <t>Tanay RHU</t>
  </si>
  <si>
    <t>Municipal cmpd.Tanay Rizal</t>
  </si>
  <si>
    <t>amcruz1970@gmail.com</t>
  </si>
  <si>
    <t xml:space="preserve">ASSAY: Xpert MTB/RIF Ultra, COUNT: 1593
ASSAY: Xpert HIV-1 Viral Load, COUNT: 22
</t>
  </si>
  <si>
    <t>For module replacement A3 683099 - 684492</t>
  </si>
  <si>
    <t>G6610</t>
  </si>
  <si>
    <t>https://www.jotform.com/uploads/macarewecare/222927978372067/5799609330813524025/5799609330813524025_signature_28.png</t>
  </si>
  <si>
    <t>Aireen m. Cruz</t>
  </si>
  <si>
    <t>https://www.jotform.com/uploads/macarewecare/222927978372067/5799609330813524025/5799609330813524025_signature_31.png</t>
  </si>
  <si>
    <t>Taytay rhu 5</t>
  </si>
  <si>
    <t>Sitio tayapan,taytay rizal</t>
  </si>
  <si>
    <t>For module replacement b1 806711 - 684235</t>
  </si>
  <si>
    <t>G6609</t>
  </si>
  <si>
    <t>https://www.jotform.com/uploads/macarewecare/222927978372067/5799608900816546449/5799608900816546449_signature_28.png</t>
  </si>
  <si>
    <t>Zenilynn bobiles</t>
  </si>
  <si>
    <t>https://www.jotform.com/uploads/macarewecare/222927978372067/5799608900816546449/5799608900816546449_signature_31.png</t>
  </si>
  <si>
    <t xml:space="preserve">ASSAY: Xpert MTB/RIF Ultra, COUNT: 2171
ASSAY: Xpert SARS-CoV-2, COUNT: 28
ASSAY: Xpert HIV-1 Viral Load, COUNT: 166
</t>
  </si>
  <si>
    <t>https://www.jotform.com/uploads/macarewecare/222927978372067/5797189877534744209/5797189877534744209_signature_28.png</t>
  </si>
  <si>
    <t>https://www.jotform.com/uploads/macarewecare/222927978372067/5797189877534744209/5797189877534744209_signature_31.png</t>
  </si>
  <si>
    <t>r1mc.molecularlab@gmail.com</t>
  </si>
  <si>
    <t xml:space="preserve">ASSAY: Xpert MTB/RIF Ultra, COUNT: 1435
ASSAY: Xpert SARS-CoV-2, COUNT: 955
</t>
  </si>
  <si>
    <t>For Preventive Maintenance  and Module Replacement</t>
  </si>
  <si>
    <t>- Cleaned Cartridge Bays, Plunger Rods and I-CORE 
- Replaced Defective Module 897569 &gt;&gt;&gt; 694832
- Generated reports</t>
  </si>
  <si>
    <t>GeneXpert Module 694832</t>
  </si>
  <si>
    <t>https://www.jotform.com/uploads/macarewecare/222927978372067/5797188177538792088/5797188177538792088_signature_28.png</t>
  </si>
  <si>
    <t>https://www.jotform.com/uploads/macarewecare/222927978372067/5797188177538792088/5797188177538792088_signature_31.png</t>
  </si>
  <si>
    <t>https://www.jotform.com/uploads/macarewecare/222927978372067/5796967131915529205/5796967131915529205_signature_28.png</t>
  </si>
  <si>
    <t>Mary Ann C. Sudario</t>
  </si>
  <si>
    <t>https://www.jotform.com/uploads/macarewecare/222927978372067/5796967131915529205/5796967131915529205_signature_31.png</t>
  </si>
  <si>
    <t xml:space="preserve">ASSAY: Xpert HPV, COUNT: 195
ASSAY: Xpert MTB/RIF Ultra, COUNT: 3410
ASSAY: Xpert HIV-1 Viral Load, COUNT: 181
</t>
  </si>
  <si>
    <t>CPU is not booting</t>
  </si>
  <si>
    <t>CPU is functional. Waiting for module A2 replacement.</t>
  </si>
  <si>
    <t>https://www.jotform.com/uploads/macarewecare/222927978372067/5794547556317445432/5794547556317445432_signature_28.png</t>
  </si>
  <si>
    <t>https://www.jotform.com/uploads/macarewecare/222927978372067/5794547556317445432/5794547556317445432_signature_31.png</t>
  </si>
  <si>
    <t>- Cleaned Cartridge Bays, Plunger Rods and I-CORE 
- Replaced Defective Module 807811 &gt;&gt;&gt; 651808
- Generated Reports</t>
  </si>
  <si>
    <t>GeneXpert Module 651808</t>
  </si>
  <si>
    <t>G 6455</t>
  </si>
  <si>
    <t>https://www.jotform.com/uploads/macarewecare/222927978372067/5794509367537021821/5794509367537021821_signature_28.png</t>
  </si>
  <si>
    <t>https://www.jotform.com/uploads/macarewecare/222927978372067/5794509367537021821/5794509367537021821_signature_31.png</t>
  </si>
  <si>
    <t>lmsacyafen.pbsp@gmail.com</t>
  </si>
  <si>
    <t>Due for Module Replacement 
Module B2 for Troubleshooting</t>
  </si>
  <si>
    <t>- Cleaned Cartridge Bays, Plunger Rods and I-CORE 
- Replaced Defective Module 220011687 &gt;&gt;&gt;210002907
- Checked Filter
- Performed Troubleshooting 
- Generated reports</t>
  </si>
  <si>
    <t>Performed Module Replacement  and Troubleshooting</t>
  </si>
  <si>
    <t>Self Test triggered Error 4012</t>
  </si>
  <si>
    <t>GeneXpert Module 210002907</t>
  </si>
  <si>
    <t>https://www.jotform.com/uploads/macarewecare/222927978372067/5794507247537409594/5794507247537409594_signature_28.png</t>
  </si>
  <si>
    <t>La Femmia M. Sacyafen</t>
  </si>
  <si>
    <t>https://www.jotform.com/uploads/macarewecare/222927978372067/5794507247537409594/5794507247537409594_signature_31.png</t>
  </si>
  <si>
    <t>For XpertCheck and Troubleshooting</t>
  </si>
  <si>
    <t>Performed XpertCheck and Troubleshooting</t>
  </si>
  <si>
    <t>Both fuses are blown. CPU no power. For Reporting</t>
  </si>
  <si>
    <t>XpertCheck Kits - 4</t>
  </si>
  <si>
    <t>DR 5337</t>
  </si>
  <si>
    <t>https://www.jotform.com/uploads/macarewecare/222927978372067/5794503227535809868/5794503227535809868_signature_28.png</t>
  </si>
  <si>
    <t>https://www.jotform.com/uploads/macarewecare/222927978372067/5794503227535809868/5794503227535809868_signature_31.png</t>
  </si>
  <si>
    <t>San isidro,Montalban</t>
  </si>
  <si>
    <t>melodie_medina@yahoo.com</t>
  </si>
  <si>
    <t>For installation unit transfer frm montalban rhu to rodriguez rhu 3</t>
  </si>
  <si>
    <t>https://www.jotform.com/uploads/macarewecare/222927978372067/5792351233256187749/5792351233256187749_signature_28.png</t>
  </si>
  <si>
    <t>Wenona M. Beers</t>
  </si>
  <si>
    <t>https://www.jotform.com/uploads/macarewecare/222927978372067/5792351233256187749/5792351233256187749_signature_31.png</t>
  </si>
  <si>
    <t>Seagull Ave. Brgy. San Miguel, Taguig City</t>
  </si>
  <si>
    <t xml:space="preserve">ASSAY: Xpert MTB/RIF Ultra, COUNT: 2986
</t>
  </si>
  <si>
    <t>Module A1 and A2 for replacement</t>
  </si>
  <si>
    <t>Performed PM
Replaced Modules
Generated report</t>
  </si>
  <si>
    <t>Replaced Modules 
A1: 661743 -&gt; 706111
A2: 713660 -&gt; 708486</t>
  </si>
  <si>
    <t>G 6594</t>
  </si>
  <si>
    <t>https://www.jotform.com/uploads/macarewecare/222927978372067/5791256613914356108/5791256613914356108_signature_28.png</t>
  </si>
  <si>
    <t>Charmaine Trinidad</t>
  </si>
  <si>
    <t>https://www.jotform.com/uploads/macarewecare/222927978372067/5791256613914356108/5791256613914356108_signature_31.png</t>
  </si>
  <si>
    <t>Barangay 3, Calauag, Quezon Province</t>
  </si>
  <si>
    <t>jamila17carmel@yahoo.com</t>
  </si>
  <si>
    <t>Module 3 for replacement</t>
  </si>
  <si>
    <t>Performed PM
Replaced Module 3
Generated report</t>
  </si>
  <si>
    <t>Replaced Module 3
909151 -&gt; 905825</t>
  </si>
  <si>
    <t>DR 10926</t>
  </si>
  <si>
    <t>https://www.jotform.com/uploads/macarewecare/222927978372067/5791247293914948517/5791247293914948517_signature_28.png</t>
  </si>
  <si>
    <t>Mark Errol M. Liwanag</t>
  </si>
  <si>
    <t>https://www.jotform.com/uploads/macarewecare/222927978372067/5791247293914948517/5791247293914948517_signature_31.png</t>
  </si>
  <si>
    <t xml:space="preserve">ASSAY: Xpert CT/NG, COUNT: 7
ASSAY: Xpert HBV VL, COUNT: 10
ASSAY: Xpert HPV, COUNT: 161
ASSAY: Others, COUNT: 1
ASSAY: Xpert SARS-CoV-2, COUNT: 7454
</t>
  </si>
  <si>
    <t>Monitor display appear continous movement of cursor in display settings</t>
  </si>
  <si>
    <t>Checked and reset vga cable
Checked monitor button
Performed reset in monitor
Test run unit</t>
  </si>
  <si>
    <t>https://www.jotform.com/uploads/macarewecare/222927978372067/5790609544224088736/5790609544224088736_signature_28.png</t>
  </si>
  <si>
    <t>Jesa Pedron</t>
  </si>
  <si>
    <t>https://www.jotform.com/uploads/macarewecare/222927978372067/5790609544224088736/5790609544224088736_signature_31.png</t>
  </si>
  <si>
    <t>Antipolo CHO</t>
  </si>
  <si>
    <t>M.Santos Antipolo</t>
  </si>
  <si>
    <t xml:space="preserve">ASSAY: Xpert MTB/RIF Ultra, COUNT: 1515
ASSAY: Xpert HIV-1 Viral Load, COUNT: 81
</t>
  </si>
  <si>
    <t>For module replacement B1 886028 -688971 B4 881319 -685962  C1 886306 - 686052 D4 884386 - 686588</t>
  </si>
  <si>
    <t>B3 for  reporting 15 module operational</t>
  </si>
  <si>
    <t>G6611</t>
  </si>
  <si>
    <t>https://www.jotform.com/uploads/macarewecare/222927978372067/5790609054228883285/5790609054228883285_signature_28.png</t>
  </si>
  <si>
    <t>Gwendolyn C. Batingan</t>
  </si>
  <si>
    <t>https://www.jotform.com/uploads/macarewecare/222927978372067/5790609054228883285/5790609054228883285_signature_31.png</t>
  </si>
  <si>
    <t>Centrufuge lock issue on opening cover.</t>
  </si>
  <si>
    <t>Perfuge check up and functionality test.</t>
  </si>
  <si>
    <t>Performed check up.
Apply WD40 and exercise centrifuge lock mrchanism.
Run actual procedure.</t>
  </si>
  <si>
    <t>https://www.jotform.com/uploads/macarewecare/222927978372067/5790439365321687516/5790439365321687516_signature_28.png</t>
  </si>
  <si>
    <t>Sheila  decena</t>
  </si>
  <si>
    <t>https://www.jotform.com/uploads/macarewecare/222927978372067/5790439365321687516/5790439365321687516_signature_31.png</t>
  </si>
  <si>
    <t>Site Visit, Check-up Machine</t>
  </si>
  <si>
    <t xml:space="preserve">ASSAY: Xpert MTB/RIF Ultra, COUNT: 1931
</t>
  </si>
  <si>
    <t>https://www.jotform.com/uploads/macarewecare/222927978372067/5790326945038963844/5790326945038963844_signature_28.png</t>
  </si>
  <si>
    <t>https://www.jotform.com/uploads/macarewecare/222927978372067/5790326945038963844/5790326945038963844_signature_31.png</t>
  </si>
  <si>
    <t xml:space="preserve">ASSAY: Xpert MTB/RIF Ultra, COUNT: 904
</t>
  </si>
  <si>
    <t>Performed Maintenance
Gathered Reports
Performed Module Replacement
B1(807314 - 880325)
B2(807356 - 880365)
Performed Functionality Test</t>
  </si>
  <si>
    <t>10915 &amp; 10914</t>
  </si>
  <si>
    <t>https://www.jotform.com/uploads/macarewecare/222927978372067/5790309040311268874/5790309040311268874_signature_28.png</t>
  </si>
  <si>
    <t>Mary Rose G. Bacani</t>
  </si>
  <si>
    <t>https://www.jotform.com/uploads/macarewecare/222927978372067/5790309040311268874/5790309040311268874_signature_31.png</t>
  </si>
  <si>
    <t xml:space="preserve">ASSAY: Xpert HBV VL, COUNT: 9
ASSAY: Xpert MTB/RIF Ultra, COUNT: 464
ASSAY: Xpert HCV VL, COUNT: 3
ASSAY: Xpert HIV-1 Viral Load, COUNT: 8
</t>
  </si>
  <si>
    <t>Unit is operational.
All modules passed the calibration.</t>
  </si>
  <si>
    <t>XpertCheck Kit
Lot: 1001075092</t>
  </si>
  <si>
    <t>https://www.jotform.com/uploads/macarewecare/222927978372067/5790261644316836215/5790261644316836215_signature_28.png</t>
  </si>
  <si>
    <t>https://www.jotform.com/uploads/macarewecare/222927978372067/5790261644316836215/5790261644316836215_signature_31.png</t>
  </si>
  <si>
    <t>https://www.jotform.com/uploads/macarewecare/222927978372067/5790257994317660093/5790257994317660093_signature_28.png</t>
  </si>
  <si>
    <t>https://www.jotform.com/uploads/macarewecare/222927978372067/5790257994317660093/5790257994317660093_signature_31.png</t>
  </si>
  <si>
    <t>REPAIR
MAINTENANCE
TROUBLESHOOTING
Xpertcheck</t>
  </si>
  <si>
    <t>Monitor bottom display problem</t>
  </si>
  <si>
    <t>Performed Maintenance
Gathered Reports
Performed Functionality Test
Performed Module Replacement
B2(861495 - 604122)
Performed Xpertcheck (B1 = Service Required)</t>
  </si>
  <si>
    <t>Monitor for Replacement</t>
  </si>
  <si>
    <t>G 6469</t>
  </si>
  <si>
    <t>https://www.jotform.com/uploads/macarewecare/222927978372067/5790234455023225664/5790234455023225664_signature_28.png</t>
  </si>
  <si>
    <t>Eden V. Asan</t>
  </si>
  <si>
    <t>https://www.jotform.com/uploads/macarewecare/222927978372067/5790234455023225664/5790234455023225664_signature_31.png</t>
  </si>
  <si>
    <t xml:space="preserve">ASSAY: Xpert MTB/RIF Ultra, COUNT: 2409
</t>
  </si>
  <si>
    <t>Error 2008</t>
  </si>
  <si>
    <t>Performed plunger rod maintenance</t>
  </si>
  <si>
    <t>https://www.jotform.com/uploads/macarewecare/222927978372067/5790229285022556654/5790229285022556654_signature_28.png</t>
  </si>
  <si>
    <t>https://www.jotform.com/uploads/macarewecare/222927978372067/5790229285022556654/5790229285022556654_signature_31.png</t>
  </si>
  <si>
    <t>Gubat Rural Health Unit</t>
  </si>
  <si>
    <t>Gubat, Sorsogon</t>
  </si>
  <si>
    <t>concepcionbrin08@gmail.com</t>
  </si>
  <si>
    <t>B3/691587 for module replacement 
GX for Calibration</t>
  </si>
  <si>
    <t>Replaced module: B3 - 691587&gt;&gt;682130
XpertCheck Result: 
   B1 - passed
   B2 - passed
   B3 - new module
   B4 - passed
Cleaned cartridge bays,  plunger rod, fan, icore
Generate reports</t>
  </si>
  <si>
    <t>Replaced B3/691587 module
Performed XpertCheck 
Performed Preventive Maintenance</t>
  </si>
  <si>
    <t>https://www.jotform.com/uploads/macarewecare/222927978372067/5790226558117275852/5790226558117275852_signature_28.png</t>
  </si>
  <si>
    <t>Concepcion E. Brin</t>
  </si>
  <si>
    <t>https://www.jotform.com/uploads/macarewecare/222927978372067/5790226558117275852/5790226558117275852_signature_31.png</t>
  </si>
  <si>
    <t>Covid Laboratory</t>
  </si>
  <si>
    <t>Unit for PM.
For installation of backup CPU.
For module replacement of module A1.</t>
  </si>
  <si>
    <t>Performed PM.
Performed installation of CPU.
Performed module replacement.
Generated reports.</t>
  </si>
  <si>
    <t>GX module A1 (879806) in replacement to defective A1 (655225).
Backup Gx Desktop HP Z240 (2UA6511RLL) in replacement to defective HP Z240 (2UA8471W4X).</t>
  </si>
  <si>
    <t>DR# 10964 &amp; 11007</t>
  </si>
  <si>
    <t>https://www.jotform.com/uploads/macarewecare/222927978372067/5790219933264216912/5790219933264216912_signature_28.png</t>
  </si>
  <si>
    <t>Irychrist Alcantara</t>
  </si>
  <si>
    <t>https://www.jotform.com/uploads/macarewecare/222927978372067/5790219933264216912/5790219933264216912_signature_31.png</t>
  </si>
  <si>
    <t>Philippine Children and Medical Center</t>
  </si>
  <si>
    <t>Quezon Ave.QC</t>
  </si>
  <si>
    <t>ppenasian1105@gamil.com</t>
  </si>
  <si>
    <t>For module replacement b2 714190 - 699194</t>
  </si>
  <si>
    <t>900 0491 RS</t>
  </si>
  <si>
    <t>G6596</t>
  </si>
  <si>
    <t>https://www.jotform.com/uploads/macarewecare/222927978372067/5790181814223879593/5790181814223879593_signature_28.png</t>
  </si>
  <si>
    <t>https://www.jotform.com/uploads/macarewecare/222927978372067/5790181814223879593/5790181814223879593_signature_31.png</t>
  </si>
  <si>
    <t xml:space="preserve">ASSAY: Xpert MTB/RIF Ultra, COUNT: 3108
ASSAY: Xpert HIV-1 Viral Load, COUNT: 131
</t>
  </si>
  <si>
    <t>Module C4(798804) for replacement</t>
  </si>
  <si>
    <t>Replacec C4</t>
  </si>
  <si>
    <t>GeneXpert Module
SN: 693697</t>
  </si>
  <si>
    <t>https://www.jotform.com/uploads/macarewecare/222927978372067/5790177684311441634/5790177684311441634_signature_28.png</t>
  </si>
  <si>
    <t>https://www.jotform.com/uploads/macarewecare/222927978372067/5790177684311441634/5790177684311441634_signature_31.png</t>
  </si>
  <si>
    <t xml:space="preserve">ASSAY: Xpert MTB/RIF Ultra, COUNT: 2382
</t>
  </si>
  <si>
    <t>Unit for PM.
For module replacement of B1 and B3.</t>
  </si>
  <si>
    <t>GX module B1 (892303) and B3 (903079) in replacement to defective B1 (756758) and B3 (614658).</t>
  </si>
  <si>
    <t>DR# 10968 &amp; 10967</t>
  </si>
  <si>
    <t>https://www.jotform.com/uploads/macarewecare/222927978372067/5790169683261398228/5790169683261398228_signature_28.png</t>
  </si>
  <si>
    <t>https://www.jotform.com/uploads/macarewecare/222927978372067/5790169683261398228/5790169683261398228_signature_31.png</t>
  </si>
  <si>
    <t>Negros Oriented Provincial Hospital</t>
  </si>
  <si>
    <t xml:space="preserve">ASSAY: Xpert MTB/RIF, COUNT: 130
ASSAY: Xpert MTB/RIF Ultra, COUNT: 3965
ASSAY: Xpert HIV-1 Viral Load, COUNT: 113
ASSAY: Xpert HIV-1 Viral Load, COUNT: 40
</t>
  </si>
  <si>
    <t>Defective CPU, Boot problem</t>
  </si>
  <si>
    <t>CPU cleaning, preventive maintenance.</t>
  </si>
  <si>
    <t>System Operational with 8 modules functional</t>
  </si>
  <si>
    <t>https://www.jotform.com/uploads/macarewecare/222927978372067/5790152591445409775/5790152591445409775_signature_28.png</t>
  </si>
  <si>
    <t>https://www.jotform.com/uploads/macarewecare/222927978372067/5790152591445409775/5790152591445409775_signature_31.png</t>
  </si>
  <si>
    <t>Cagayan Vallel Medical Center</t>
  </si>
  <si>
    <t>olivesalvador10@gmail.com</t>
  </si>
  <si>
    <t xml:space="preserve">ASSAY: Xpert MTB/RIF Ultra, COUNT: 3366
ASSAY: Xpert SARS-CoV-2, COUNT: 6630
</t>
  </si>
  <si>
    <t>Installed GENEXPERT
Installed UPS
Installed Barcode Scanner
Installed PC
Installed Monitor
Performed Maintenance
Gathered Reports
Performed Functionality Test
Installed HPV assay</t>
  </si>
  <si>
    <t>https://www.jotform.com/uploads/macarewecare/222927978372067/5789575900113593851/5789575900113593851_signature_28.png</t>
  </si>
  <si>
    <t>Olive A. Salvador</t>
  </si>
  <si>
    <t>https://www.jotform.com/uploads/macarewecare/222927978372067/5789575900113593851/5789575900113593851_signature_31.png</t>
  </si>
  <si>
    <t>jaemariemacaballug1111@gmail.com</t>
  </si>
  <si>
    <t xml:space="preserve">ASSAY: Xpert SARS-CoV-2, COUNT: 1433
</t>
  </si>
  <si>
    <t>Xpertcheck Result (B1, B2, B4 = Passed)</t>
  </si>
  <si>
    <t>Xpertcheck 3pc</t>
  </si>
  <si>
    <t>https://www.jotform.com/uploads/macarewecare/222927978372067/5789564599412560409/5789564599412560409_signature_28.png</t>
  </si>
  <si>
    <t>Tallion, Mary Angel Faye</t>
  </si>
  <si>
    <t>https://www.jotform.com/uploads/macarewecare/222927978372067/5789564599412560409/5789564599412560409_signature_31.png</t>
  </si>
  <si>
    <t>REPAIR
MAINTENANCE
Disassemble</t>
  </si>
  <si>
    <t xml:space="preserve">ASSAY: Xpert HBV VL, COUNT: 5
ASSAY: Xpert HPV, COUNT: 622
ASSAY: Xpert MTB/RIF Ultra, COUNT: 3349
ASSAY: Xpert HCV VL, COUNT: 3
ASSAY: Xpert HIV-1 Viral Load, COUNT: 242
</t>
  </si>
  <si>
    <t>Performed Module Replacement
(757492 - 908549)</t>
  </si>
  <si>
    <t>Performed Maintenance
Gathered Reports
Performed Functionality Test
Disassemble GENEXPERT</t>
  </si>
  <si>
    <t>Genexpert ready for pickup</t>
  </si>
  <si>
    <t>G 6447</t>
  </si>
  <si>
    <t>https://www.jotform.com/uploads/macarewecare/222927978372067/5789543989412774944/5789543989412774944_signature_28.png</t>
  </si>
  <si>
    <t>https://www.jotform.com/uploads/macarewecare/222927978372067/5789543989412774944/5789543989412774944_signature_31.png</t>
  </si>
  <si>
    <t>Sariaya, Quezon Province</t>
  </si>
  <si>
    <t>marielinnetabril@yahoo.com</t>
  </si>
  <si>
    <t>GXIv 6C - D</t>
  </si>
  <si>
    <t>Module A4 frequent error</t>
  </si>
  <si>
    <t>Performed PM
Re-XpertCheck module A4
Module A4 passed 
Module A4 under monitoring</t>
  </si>
  <si>
    <t>Performed Re- XpertCheck on module A4</t>
  </si>
  <si>
    <t>Unit is operational.
2 modules reported
2 modules working</t>
  </si>
  <si>
    <t>used 1 XpertCheck cartridge</t>
  </si>
  <si>
    <t>https://www.jotform.com/uploads/macarewecare/222927978372067/5789483630369707258/5789483630369707258_signature_28.png</t>
  </si>
  <si>
    <t>rhea parreno</t>
  </si>
  <si>
    <t>https://www.jotform.com/uploads/macarewecare/222927978372067/5789483630369707258/5789483630369707258_signature_31.png</t>
  </si>
  <si>
    <t>Felicia St., San Antonio Homes, Culiat, Quezon City</t>
  </si>
  <si>
    <t xml:space="preserve">ASSAY: Xpert HPV, COUNT: 362
ASSAY: Xpert MTB/RIF Ultra, COUNT: 2792
</t>
  </si>
  <si>
    <t>Module b4 for replacement</t>
  </si>
  <si>
    <t>Performed PM
Replaced module b4
Generated report</t>
  </si>
  <si>
    <t>Replaced module b4
783192 -&gt; 807309</t>
  </si>
  <si>
    <t>DR 10910</t>
  </si>
  <si>
    <t>https://www.jotform.com/uploads/macarewecare/222927978372067/5789475750365391599/5789475750365391599_signature_28.png</t>
  </si>
  <si>
    <t>amelia clemente</t>
  </si>
  <si>
    <t>https://www.jotform.com/uploads/macarewecare/222927978372067/5789475750365391599/5789475750365391599_signature_31.png</t>
  </si>
  <si>
    <t xml:space="preserve">ASSAY: Xpert MTB/RIF Ultra, COUNT: 986
ASSAY: Xpert HCV VL, COUNT: 80
ASSAY: Xpert HBV VL, COUNT: 109
ASSAY: Xpert CT/NG, COUNT: 101
ASSAY: Xpert HPV, COUNT: 6
ASSAY: Xpert BCR-ABL Ultra, COUNT: 48
</t>
  </si>
  <si>
    <t>https://www.jotform.com/uploads/macarewecare/222927978372067/5789469055059340703/5789469055059340703_signature_28.png</t>
  </si>
  <si>
    <t>Alyssa Sayson</t>
  </si>
  <si>
    <t>https://www.jotform.com/uploads/macarewecare/222927978372067/5789469055059340703/5789469055059340703_signature_31.png</t>
  </si>
  <si>
    <t xml:space="preserve">ASSAY: Xpert HPV, COUNT: 158
ASSAY: Xpert MTB/RIF Ultra, COUNT: 3093
ASSAY: Xpert HIV-1 Viral Load, COUNT: 202
</t>
  </si>
  <si>
    <t>Module A4 frequent temperature error.</t>
  </si>
  <si>
    <t>Module A4 is disabled. Other modules are functional.</t>
  </si>
  <si>
    <t>https://www.jotform.com/uploads/macarewecare/222927978372067/5789468369382078266/5789468369382078266_signature_28.png</t>
  </si>
  <si>
    <t>https://www.jotform.com/uploads/macarewecare/222927978372067/5789468369382078266/5789468369382078266_signature_31.png</t>
  </si>
  <si>
    <t xml:space="preserve">ASSAY: Xpert MTB/RIF Ultra, COUNT: 595
ASSAY: Xpert HIV-1 Viral Load, COUNT: 1067
</t>
  </si>
  <si>
    <t>Unit is operational.
A1, A3 for reXpertCheck
A2, A4 under observation.</t>
  </si>
  <si>
    <t>https://www.jotform.com/uploads/macarewecare/222927978372067/5789435940999836014/5789435940999836014_signature_28.png</t>
  </si>
  <si>
    <t>https://www.jotform.com/uploads/macarewecare/222927978372067/5789435940999836014/5789435940999836014_signature_31.png</t>
  </si>
  <si>
    <t>Performed Maintenance
Gathered Reports
Performed Functionality Test
Disassemble Genexpert System</t>
  </si>
  <si>
    <t>Genexpert Ready for pickup</t>
  </si>
  <si>
    <t>https://www.jotform.com/uploads/macarewecare/222927978372067/5789414058859724239/5789414058859724239_signature_28.png</t>
  </si>
  <si>
    <t>https://www.jotform.com/uploads/macarewecare/222927978372067/5789414058859724239/5789414058859724239_signature_31.png</t>
  </si>
  <si>
    <t>Installed Genexpert
Installed PC
Installed Monitor
Installed Printer
Installed UPS
Installed Barcode scanner
Performed Maintenance
Gathered Reports
Performed Functionality Test</t>
  </si>
  <si>
    <t>Genexpert from Alcala MHO</t>
  </si>
  <si>
    <t>https://www.jotform.com/uploads/macarewecare/222927978372067/5789410878857126636/5789410878857126636_signature_28.png</t>
  </si>
  <si>
    <t>https://www.jotform.com/uploads/macarewecare/222927978372067/5789410878857126636/5789410878857126636_signature_31.png</t>
  </si>
  <si>
    <t>Sanchez Mira Rural Health Unit</t>
  </si>
  <si>
    <t>Sanchez Mira, Cagayan</t>
  </si>
  <si>
    <t>sherylcaoagasralleca@yahoo.com</t>
  </si>
  <si>
    <t>Performed Maintenance
Gathered Reports
Performed Functionality Test
Disassemble Genexpert
Disassemble PC
Disassemble Monitor
Disassemble Printer</t>
  </si>
  <si>
    <t>https://www.jotform.com/uploads/macarewecare/222927978372067/5788627800222931949/5788627800222931949_signature_28.png</t>
  </si>
  <si>
    <t>Sheryl Ralleca</t>
  </si>
  <si>
    <t>https://www.jotform.com/uploads/macarewecare/222927978372067/5788627800222931949/5788627800222931949_signature_31.png</t>
  </si>
  <si>
    <t>Rizal St. Poblacion Padada</t>
  </si>
  <si>
    <t>Module B1 for replacement and for Preventive Maintenance</t>
  </si>
  <si>
    <t>Replace the defective Module SN: 861798 with new Module SN: 738840
Clean Surface Area, Cartridge Bay, Plunger Rod, Fan Filters and Icore Lenses
Generate IQR, Assay Stat and System Log
Archived Data test results</t>
  </si>
  <si>
    <t>Enduser is advised to achieve the optimal room temperature before using the GeneXpert</t>
  </si>
  <si>
    <t>G-6459</t>
  </si>
  <si>
    <t>https://www.jotform.com/uploads/macarewecare/222927978372067/5788604442373296396/5788604442373296396_signature_28.png</t>
  </si>
  <si>
    <t>Marvielyn C. Lusica, RMT</t>
  </si>
  <si>
    <t>https://www.jotform.com/uploads/macarewecare/222927978372067/5788604442373296396/5788604442373296396_signature_31.png</t>
  </si>
  <si>
    <t xml:space="preserve">ASSAY: Xpert MTB/RIF Ultra, COUNT: 1563
ASSAY: Xpert HIV-1 Viral Load, COUNT: 109
</t>
  </si>
  <si>
    <t>Module A4 for re XpertCheck</t>
  </si>
  <si>
    <t>Performed XpertCheck on A4</t>
  </si>
  <si>
    <t>Unit is operational.
A4: passed
A4 is under observation.</t>
  </si>
  <si>
    <t>https://www.jotform.com/uploads/macarewecare/222927978372067/5788581357759132556/5788581357759132556_signature_28.png</t>
  </si>
  <si>
    <t>https://www.jotform.com/uploads/macarewecare/222927978372067/5788581357759132556/5788581357759132556_signature_31.png</t>
  </si>
  <si>
    <t>Talugtug Rural Health Unit</t>
  </si>
  <si>
    <t>Talugtug Nueva Ecija</t>
  </si>
  <si>
    <t>christinejoyaliado@yahoo.com</t>
  </si>
  <si>
    <t>2 modules passed calibration</t>
  </si>
  <si>
    <t>https://www.jotform.com/uploads/macarewecare/222927978372067/5788552690634949387/5788552690634949387_signature_28.png</t>
  </si>
  <si>
    <t>Christine Joy Aliado</t>
  </si>
  <si>
    <t>https://www.jotform.com/uploads/macarewecare/222927978372067/5788552690634949387/5788552690634949387_signature_31.png</t>
  </si>
  <si>
    <t>Unit for PM.
For installation of assigned CPU.</t>
  </si>
  <si>
    <t>Performed PM.
Performed installation of CPU.
Generated reports.</t>
  </si>
  <si>
    <t>PM and installation</t>
  </si>
  <si>
    <t>GX desktop HPZ240 (2UA8471RRX). Pulled out backup unit HPZ240 (2UA6511RLL).</t>
  </si>
  <si>
    <t>DR#10966</t>
  </si>
  <si>
    <t>https://www.jotform.com/uploads/macarewecare/222927978372067/5788525809927471349/5788525809927471349_signature_28.png</t>
  </si>
  <si>
    <t>https://www.jotform.com/uploads/macarewecare/222927978372067/5788525809927471349/5788525809927471349_signature_31.png</t>
  </si>
  <si>
    <t xml:space="preserve">ASSAY: Xpert MTB/RIF Ultra, COUNT: 2315
</t>
  </si>
  <si>
    <t>Module A1 (622369) for replacement</t>
  </si>
  <si>
    <t>GeneXpert Module
SN: 691305</t>
  </si>
  <si>
    <t>https://www.jotform.com/uploads/macarewecare/222927978372067/5788510737218819306/5788510737218819306_signature_28.png</t>
  </si>
  <si>
    <t>https://www.jotform.com/uploads/macarewecare/222927978372067/5788510737218819306/5788510737218819306_signature_31.png</t>
  </si>
  <si>
    <t>francescaherrera415@gmail.com</t>
  </si>
  <si>
    <t xml:space="preserve">ASSAY: Xpert MTB/RIF Ultra, COUNT: 1111
ASSAY: Xpert HIV-1 Viral Load, COUNT: 173
</t>
  </si>
  <si>
    <t>Replaced Module B3
657408 -&gt; 880368</t>
  </si>
  <si>
    <t>GX module 6c</t>
  </si>
  <si>
    <t>DR 10965</t>
  </si>
  <si>
    <t>https://www.jotform.com/uploads/macarewecare/222927978372067/5788499864598445946/5788499864598445946_signature_28.png</t>
  </si>
  <si>
    <t>https://www.jotform.com/uploads/macarewecare/222927978372067/5788499864598445946/5788499864598445946_signature_31.png</t>
  </si>
  <si>
    <t>Toran, Appari, Cagayan</t>
  </si>
  <si>
    <t xml:space="preserve">ASSAY: Xpert MTB/RIF Ultra, COUNT: 2848
</t>
  </si>
  <si>
    <t>Performed Module Replacement
(666487 - 674284)</t>
  </si>
  <si>
    <t>Module 2 &amp; 3 failed in xpertcheck last 06/22/23</t>
  </si>
  <si>
    <t>https://www.jotform.com/uploads/macarewecare/222927978372067/5788495810221862137/5788495810221862137_signature_28.png</t>
  </si>
  <si>
    <t>Glorivi R. Maruquin</t>
  </si>
  <si>
    <t>https://www.jotform.com/uploads/macarewecare/222927978372067/5788495810221862137/5788495810221862137_signature_31.png</t>
  </si>
  <si>
    <t>Stuck cartridge on module B3</t>
  </si>
  <si>
    <t>https://www.jotform.com/uploads/macarewecare/222927978372067/5788477979461726962/5788477979461726962_signature_28.png</t>
  </si>
  <si>
    <t>https://www.jotform.com/uploads/macarewecare/222927978372067/5788477979461726962/5788477979461726962_signature_31.png</t>
  </si>
  <si>
    <t>Cuyapo rural Health Unit</t>
  </si>
  <si>
    <t>A2:757048
A4:757050 for module replacemen</t>
  </si>
  <si>
    <t>Oerformed preventive maintenance
Performed module replacement
Gathered reports
Performed functionality test</t>
  </si>
  <si>
    <t>Unit is operational
A2 new sn:885042
A4 new sn: 884790</t>
  </si>
  <si>
    <t>2 modulea</t>
  </si>
  <si>
    <t>10907 and 10909</t>
  </si>
  <si>
    <t>https://www.jotform.com/uploads/macarewecare/222927978372067/5788468630788084896/5788468630788084896_signature_28.png</t>
  </si>
  <si>
    <t>https://www.jotform.com/uploads/macarewecare/222927978372067/5788468630788084896/5788468630788084896_signature_31.png</t>
  </si>
  <si>
    <t>Module B3 Defective</t>
  </si>
  <si>
    <t>XpertCheck Calibration for Module B3. (Error Checking)</t>
  </si>
  <si>
    <t>https://www.jotform.com/uploads/macarewecare/222927978372067/5788468158416484164/5788468158416484164_signature_28.png</t>
  </si>
  <si>
    <t>https://www.jotform.com/uploads/macarewecare/222927978372067/5788468158416484164/5788468158416484164_signature_31.png</t>
  </si>
  <si>
    <t>Module B4/683832 Defective</t>
  </si>
  <si>
    <t>- Install new module on B4 w/ SN:669283
- Performed Functionality test
- Performed Preventive maintenance
- Cleaned Cartrige bay, Fan Filter, plunger rod
- Generate reports
- pullout defective module SN/683832</t>
  </si>
  <si>
    <t>1 Genexpert module 6 color SN/669283</t>
  </si>
  <si>
    <t>https://www.jotform.com/uploads/macarewecare/222927978372067/5788445871817693703/5788445871817693703_signature_28.png</t>
  </si>
  <si>
    <t>https://www.jotform.com/uploads/macarewecare/222927978372067/5788445871817693703/5788445871817693703_signature_31.png</t>
  </si>
  <si>
    <t>Brgy. Bulo Victoria Tarlac</t>
  </si>
  <si>
    <t>A3 for re-xpertcheck</t>
  </si>
  <si>
    <t>Re-xpertcheck
Preventive maintenance</t>
  </si>
  <si>
    <t>Unit is operational except module A3 service required</t>
  </si>
  <si>
    <t>A3 failed calibration, for replacement</t>
  </si>
  <si>
    <t>https://www.jotform.com/uploads/macarewecare/222927978372067/5788411790783451552/5788411790783451552_signature_28.png</t>
  </si>
  <si>
    <t>https://www.jotform.com/uploads/macarewecare/222927978372067/5788411790783451552/5788411790783451552_signature_31.png</t>
  </si>
  <si>
    <t xml:space="preserve">ASSAY: Xpert MTB/RIF Ultra, COUNT: 1601
ASSAY: Xpert SARS-CoV-2, COUNT: 3500
</t>
  </si>
  <si>
    <t>Module B3 error</t>
  </si>
  <si>
    <t>Performed Module Replacement 
210102183 - 675756</t>
  </si>
  <si>
    <t>https://www.jotform.com/uploads/macarewecare/222927978372067/5787858924916823820/5787858924916823820_signature_28.png</t>
  </si>
  <si>
    <t>https://www.jotform.com/uploads/macarewecare/222927978372067/5787858924916823820/5787858924916823820_signature_31.png</t>
  </si>
  <si>
    <t xml:space="preserve">ASSAY: Xpert MTB/RIF Ultra, COUNT: 3368
ASSAY: Xpert SARS-CoV-2, COUNT: 6630
</t>
  </si>
  <si>
    <t>Module C1 and C4 error</t>
  </si>
  <si>
    <t>Performed Module Replacement
C1(620327 - 676462)
C4(888629 - 679808)</t>
  </si>
  <si>
    <t>Ready for pickup for delivery</t>
  </si>
  <si>
    <t>https://www.jotform.com/uploads/macarewecare/222927978372067/5787843784919260073/5787843784919260073_signature_28.png</t>
  </si>
  <si>
    <t>https://www.jotform.com/uploads/macarewecare/222927978372067/5787843784919260073/5787843784919260073_signature_31.png</t>
  </si>
  <si>
    <t>Cordlife Medical Philippines Inc.</t>
  </si>
  <si>
    <t>U.P.-Ayalaland Technohub, Commonwealth Ave., Quezon City</t>
  </si>
  <si>
    <t xml:space="preserve">REPAIR
CALIBRATION
</t>
  </si>
  <si>
    <t>katrina.castro@cordlife.com</t>
  </si>
  <si>
    <t>Sepax 2</t>
  </si>
  <si>
    <t>Defective power supply</t>
  </si>
  <si>
    <t>Performed parts replacement, performed functionality test, performed calibration procedure</t>
  </si>
  <si>
    <t>Replaced defective power supply, calibrated unit</t>
  </si>
  <si>
    <t>Power Supply Assembly for Sepax 2</t>
  </si>
  <si>
    <t>DR# 10960</t>
  </si>
  <si>
    <t>https://www.jotform.com/uploads/macarewecare/222927978372067/5787841763026826559/5787841763026826559_signature_28.png</t>
  </si>
  <si>
    <t>Katrina Castro</t>
  </si>
  <si>
    <t>https://www.jotform.com/uploads/macarewecare/222927978372067/5787841763026826559/5787841763026826559_signature_31.png</t>
  </si>
  <si>
    <t xml:space="preserve">ASSAY: Xpert SARS-CoV-2, COUNT: 10787
</t>
  </si>
  <si>
    <t>Perform module 2 troubleshooting 
Genexpert machine Cleaning 
Generate data, IQR, System log, Assay statistics report, and archive test</t>
  </si>
  <si>
    <t>Module 2 under observation due to temperature error</t>
  </si>
  <si>
    <t>https://www.jotform.com/uploads/macarewecare/222927978372067/5787841295414654346/5787841295414654346_signature_28.png</t>
  </si>
  <si>
    <t>Cotabato Regional Medical Center Molecular Laboratory</t>
  </si>
  <si>
    <t>https://www.jotform.com/uploads/macarewecare/222927978372067/5787841295414654346/5787841295414654346_signature_31.png</t>
  </si>
  <si>
    <t>Genexpert machine Cleaning 
Generate data IQR, System log, Assay statistics report</t>
  </si>
  <si>
    <t>https://www.jotform.com/uploads/macarewecare/222927978372067/5787839265411448751/5787839265411448751_signature_28.png</t>
  </si>
  <si>
    <t>Cotabato Regional Medical Center Molecular laboratory</t>
  </si>
  <si>
    <t>https://www.jotform.com/uploads/macarewecare/222927978372067/5787839265411448751/5787839265411448751_signature_31.png</t>
  </si>
  <si>
    <t>Module 4 for Service Required/ h/w failed</t>
  </si>
  <si>
    <t>Replace/repair defect module 4 SN:902440 with new module SN:210005670
Genexpert machine Cleaning
Generate data, IQR, System log,  Assay statistics report and Archive test</t>
  </si>
  <si>
    <t>Perform Genexpert Preventive maintenance</t>
  </si>
  <si>
    <t>Genexpert module 6 color SN 210005670</t>
  </si>
  <si>
    <t>G-6463</t>
  </si>
  <si>
    <t>https://www.jotform.com/uploads/macarewecare/222927978372067/5787837365416409974/5787837365416409974_signature_28.png</t>
  </si>
  <si>
    <t>https://www.jotform.com/uploads/macarewecare/222927978372067/5787837365416409974/5787837365416409974_signature_31.png</t>
  </si>
  <si>
    <t>Poblacion, Norala,  South Cotabato</t>
  </si>
  <si>
    <t xml:space="preserve">ASSAY: Xpert MTB/RIF Ultra, COUNT: 1226
ASSAY: Xpert MTB/RIF Ultra, COUNT: 1226
</t>
  </si>
  <si>
    <t>Module 2 and 3 for Service Required</t>
  </si>
  <si>
    <t>Replace defective module 2 SN:807699 with new module SN: 210068700
Replace defective module 3 SN:861377 with new module SN: 666557
Genexpert machine Cleaning 
Data collection: Pre and Post IQR, System log, Assay statistics report  and Archive test</t>
  </si>
  <si>
    <t>Genexpert machine Preventive maintenance
Genexpert machine module repair</t>
  </si>
  <si>
    <t>Genexpert module 6 color SN:210068700 and SN:666557</t>
  </si>
  <si>
    <t>G-6449</t>
  </si>
  <si>
    <t>https://www.jotform.com/uploads/macarewecare/222927978372067/5787835385412241989/5787835385412241989_signature_28.png</t>
  </si>
  <si>
    <t>Reziel Sabido</t>
  </si>
  <si>
    <t>https://www.jotform.com/uploads/macarewecare/222927978372067/5787835385412241989/5787835385412241989_signature_31.png</t>
  </si>
  <si>
    <t>B.S AQUINO DRIVE, BACOLOD CITY</t>
  </si>
  <si>
    <t>LABORATORY DEPT.</t>
  </si>
  <si>
    <t>liza.paltriguera@gmail.com</t>
  </si>
  <si>
    <t xml:space="preserve">ASSAY: Xpert MTB/RIF Ultra, COUNT: 270
ASSAY: Xpert BCR-ABL Ultra, COUNT: 19
ASSAY: Xpert HBV VL, COUNT: 132
ASSAY: Xpert HPV, COUNT: 63
ASSAY: Xpert HCV VL, COUNT: 100
</t>
  </si>
  <si>
    <t>Conduct Preventive Maintenance and save files(IQR, System Log &amp; Assay Stats)</t>
  </si>
  <si>
    <t>All 4 modules passed the calibration</t>
  </si>
  <si>
    <t>https://www.jotform.com/uploads/macarewecare/222927978372067/5787807247215759910/5787807247215759910_signature_28.png</t>
  </si>
  <si>
    <t>Liza Mae B. Paltriguera</t>
  </si>
  <si>
    <t>https://www.jotform.com/uploads/macarewecare/222927978372067/5787807247215759910/5787807247215759910_signature_31.png</t>
  </si>
  <si>
    <t xml:space="preserve">ASSAY: Xpert MTB/RIF Ultra, COUNT: 509
ASSAY: Xpert MTB/RIF, COUNT: 11
</t>
  </si>
  <si>
    <t>For Module Replacement, Preventive Maintenance and retry Calibration of Module B2</t>
  </si>
  <si>
    <t>Replace the defective Module SN: 806379 with new Module SN: 636114
Clean Surface Area, Cartridge Bay, Plunger Rod, Fan Filters and Icore Lenses
Generate IQR, Assay Stat and System Log
Archived Data test results
Perform XPERTCHECK Calibration at Module B2</t>
  </si>
  <si>
    <t>Perfrom Module Repair, Preventive and XPC Calibration</t>
  </si>
  <si>
    <t>Module B2 for Service Required, Module is under observation, data will be sent to Cepheid for further Assessment</t>
  </si>
  <si>
    <t>Enduser is advised to makesure achieved the optimum room temp for GeneXpert Operation</t>
  </si>
  <si>
    <t>G-6473</t>
  </si>
  <si>
    <t>https://www.jotform.com/uploads/macarewecare/222927978372067/5787776034514463821/5787776034514463821_signature_28.png</t>
  </si>
  <si>
    <t>Pamela Joyce P. Sustento</t>
  </si>
  <si>
    <t>https://www.jotform.com/uploads/macarewecare/222927978372067/5787776034514463821/5787776034514463821_signature_31.png</t>
  </si>
  <si>
    <t>Bicutan, Taguig City</t>
  </si>
  <si>
    <t xml:space="preserve">ASSAY: Xpert MTB/RIF Ultra, COUNT: 3045
</t>
  </si>
  <si>
    <t>Performed PM
Replaced module 4
Generated report</t>
  </si>
  <si>
    <t>Replaced module 4
863341-&gt; 709910</t>
  </si>
  <si>
    <t>unit is operational. All modules working</t>
  </si>
  <si>
    <t>G 6592</t>
  </si>
  <si>
    <t>https://www.jotform.com/uploads/macarewecare/222927978372067/5787753052129103546/5787753052129103546_signature_28.png</t>
  </si>
  <si>
    <t>Ellaine D. Magtoto</t>
  </si>
  <si>
    <t>https://www.jotform.com/uploads/macarewecare/222927978372067/5787753052129103546/5787753052129103546_signature_31.png</t>
  </si>
  <si>
    <t>B3 module defective</t>
  </si>
  <si>
    <t>Replacing module b3 with SN: 862919 to SN: 674281</t>
  </si>
  <si>
    <t>G-6451</t>
  </si>
  <si>
    <t>https://www.jotform.com/uploads/macarewecare/222927978372067/5787692856415050769/5787692856415050769_signature_28.png</t>
  </si>
  <si>
    <t>Myrna T. Suyao</t>
  </si>
  <si>
    <t>https://www.jotform.com/uploads/macarewecare/222927978372067/5787692856415050769/5787692856415050769_signature_31.png</t>
  </si>
  <si>
    <t xml:space="preserve">ASSAY: Xpert MTB/RIF Ultra, COUNT: 1596
</t>
  </si>
  <si>
    <t>Module A3 frequent error</t>
  </si>
  <si>
    <t>Performed PM
Re XpertCheck Module A3
Module A3 failed XpertCheck
Generated report</t>
  </si>
  <si>
    <t>Troubleshoot module A3</t>
  </si>
  <si>
    <t>https://www.jotform.com/uploads/macarewecare/222927978372067/5787613892125993552/5787613892125993552_signature_28.png</t>
  </si>
  <si>
    <t>https://www.jotform.com/uploads/macarewecare/222927978372067/5787613892125993552/5787613892125993552_signature_31.png</t>
  </si>
  <si>
    <t>A3:754416 for module replacement</t>
  </si>
  <si>
    <t>A3 new module sn:210028938</t>
  </si>
  <si>
    <t>https://www.jotform.com/uploads/macarewecare/222927978372067/5787602194455611415/5787602194455611415_signature_28.png</t>
  </si>
  <si>
    <t>https://www.jotform.com/uploads/macarewecare/222927978372067/5787602194455611415/5787602194455611415_signature_31.png</t>
  </si>
  <si>
    <t>Iloilo city</t>
  </si>
  <si>
    <t>Defective module B2 sn 653541</t>
  </si>
  <si>
    <t>New module installed B2 sn 691154</t>
  </si>
  <si>
    <t>Systems opeartional</t>
  </si>
  <si>
    <t>https://www.jotform.com/uploads/macarewecare/222927978372067/5787584212729587126/5787584212729587126_signature_28.png</t>
  </si>
  <si>
    <t>https://www.jotform.com/uploads/macarewecare/222927978372067/5787584212729587126/5787584212729587126_signature_31.png</t>
  </si>
  <si>
    <t xml:space="preserve">ASSAY: Xpert MTB/RIF Ultra, COUNT: 1357
</t>
  </si>
  <si>
    <t>UPS and Module A3 for replacement</t>
  </si>
  <si>
    <t>Module replacement
UPS replacement
Preventive maintenance</t>
  </si>
  <si>
    <t>Performed preventive maintenance
Performed UPS and module replacement
Gathered reports
Performed functionality test</t>
  </si>
  <si>
    <t>Ups and 1 module</t>
  </si>
  <si>
    <t>10953 and 10905</t>
  </si>
  <si>
    <t>https://www.jotform.com/uploads/macarewecare/222927978372067/5787536154453089650/5787536154453089650_signature_28.png</t>
  </si>
  <si>
    <t>https://www.jotform.com/uploads/macarewecare/222927978372067/5787536154453089650/5787536154453089650_signature_31.png</t>
  </si>
  <si>
    <t>Jaro, Iloilo</t>
  </si>
  <si>
    <t>Labiratory</t>
  </si>
  <si>
    <t>Damaged Fan</t>
  </si>
  <si>
    <t>Open board panel and fan / clean Fan</t>
  </si>
  <si>
    <t>Open board panel and fan</t>
  </si>
  <si>
    <t>Defective Fan</t>
  </si>
  <si>
    <t>https://www.jotform.com/uploads/macarewecare/222927978372067/5787079661969587926/5787079661969587926_signature_28.png</t>
  </si>
  <si>
    <t>https://www.jotform.com/uploads/macarewecare/222927978372067/5787079661969587926/5787079661969587926_signature_31.png</t>
  </si>
  <si>
    <t>Villa Abrille St,. Poblacion District Davao City</t>
  </si>
  <si>
    <t>Modules Not Detected by the GeneXpert Software</t>
  </si>
  <si>
    <t>Reset Cable Connection, From Gateway Boards connection to PSU connection
Reset Network IP Connection
Reinstall the GX Software</t>
  </si>
  <si>
    <t>System Unit and Software troubleshooting</t>
  </si>
  <si>
    <t>Still Error persist, Modules not detected by the System Unit</t>
  </si>
  <si>
    <t>Tried to connect the GeneXpert to other unit (Laptop) GX Modules are detected when the GX Software Launches.</t>
  </si>
  <si>
    <t>https://www.jotform.com/uploads/macarewecare/222927978372067/5787069693618757078/5787069693618757078_signature_28.png</t>
  </si>
  <si>
    <t>https://www.jotform.com/uploads/macarewecare/222927978372067/5787069693618757078/5787069693618757078_signature_31.png</t>
  </si>
  <si>
    <t>Rodriguez St.</t>
  </si>
  <si>
    <t xml:space="preserve">ASSAY: Xpert MTB/RIF Ultra, COUNT: 2790
</t>
  </si>
  <si>
    <t>https://www.jotform.com/uploads/macarewecare/222927978372067/5786768401016891835/5786768401016891835_signature_28.png</t>
  </si>
  <si>
    <t>https://www.jotform.com/uploads/macarewecare/222927978372067/5786768401016891835/5786768401016891835_signature_31.png</t>
  </si>
  <si>
    <t>Stuck cartridge on module A3.
Error 4017 on module A4</t>
  </si>
  <si>
    <t>Manual removal of stuck cartridge
Run XpertCheck on module A4
Performed maintenance
Generated reports</t>
  </si>
  <si>
    <t>Unit is operational. Module A1, A2 not operational. Module A4 service required.</t>
  </si>
  <si>
    <t>https://www.jotform.com/uploads/macarewecare/222927978372067/5786767781016692431/5786767781016692431_signature_28.png</t>
  </si>
  <si>
    <t>https://www.jotform.com/uploads/macarewecare/222927978372067/5786767781016692431/5786767781016692431_signature_31.png</t>
  </si>
  <si>
    <t>Aurora Grand QC</t>
  </si>
  <si>
    <t>For inhouse repair of CPU</t>
  </si>
  <si>
    <t>Performed repair of CPU HP Z240 (2UA8471RRX) c/o Sir Noel.</t>
  </si>
  <si>
    <t>CPU is operational and ready to deploy.</t>
  </si>
  <si>
    <t>https://www.jotform.com/uploads/macarewecare/222927978372067/5786760234912505693/5786760234912505693_signature_28.png</t>
  </si>
  <si>
    <t>https://www.jotform.com/uploads/macarewecare/222927978372067/5786760234912505693/5786760234912505693_signature_31.png</t>
  </si>
  <si>
    <t>Cauyan Municipal Health Office</t>
  </si>
  <si>
    <t>cauayanmho@gmail.com</t>
  </si>
  <si>
    <t>Defective module 862945/B1.</t>
  </si>
  <si>
    <t>Replaced module B1 with new module SN 695314.</t>
  </si>
  <si>
    <t>3 modules operational; waiting module replacement for defective module 862003/B2.</t>
  </si>
  <si>
    <t>https://www.jotform.com/uploads/macarewecare/222927978372067/5786722834892579189/5786722834892579189_signature_28.png</t>
  </si>
  <si>
    <t>Doriza Joy A. Tizon</t>
  </si>
  <si>
    <t>https://www.jotform.com/uploads/macarewecare/222927978372067/5786722834892579189/5786722834892579189_signature_31.png</t>
  </si>
  <si>
    <t>BILIRAN PROVINCIAL HOSPITAL</t>
  </si>
  <si>
    <t>NAVAL, BILIRAN</t>
  </si>
  <si>
    <t>gheland01@gmail.com</t>
  </si>
  <si>
    <t>SN 220003268  B1 DEFECTIVE MODULE</t>
  </si>
  <si>
    <t>REPLACED NEW MODULE, GENERATE IQR, SYS LOG , GXX FILES</t>
  </si>
  <si>
    <t>REPLACED NEW MODULE 695537</t>
  </si>
  <si>
    <t>ALL MODULES ARE OPERATIONAL</t>
  </si>
  <si>
    <t>https://www.jotform.com/uploads/macarewecare/222927978372067/5785185413916685386/5785185413916685386_signature_28.png</t>
  </si>
  <si>
    <t>GHELAND CORTO, RMT</t>
  </si>
  <si>
    <t>https://www.jotform.com/uploads/macarewecare/222927978372067/5785185413916685386/5785185413916685386_signature_31.png</t>
  </si>
  <si>
    <t>Miltenyi biotech</t>
  </si>
  <si>
    <t>ma.portia.ronquillo@makatimed.net.ph</t>
  </si>
  <si>
    <t>CLINIMACS</t>
  </si>
  <si>
    <t>Cleaned unit
Checked program parameters
Checked and test liquid sensors
Checked valves
Checked and test display and buttons
Performed functionality test</t>
  </si>
  <si>
    <t>https://www.jotform.com/uploads/macarewecare/222927978372067/5784167069323672065/5784167069323672065_signature_28.png</t>
  </si>
  <si>
    <t>Marie Portia Vanessa P. Ronquillo</t>
  </si>
  <si>
    <t>https://www.jotform.com/uploads/macarewecare/222927978372067/5784167069323672065/5784167069323672065_signature_31.png</t>
  </si>
  <si>
    <t>Sta Rosa, Olango Island, Lapulapu City</t>
  </si>
  <si>
    <t xml:space="preserve">ASSAY: Xpert MTB/RIF Ultra, COUNT: 199
</t>
  </si>
  <si>
    <t>Due for Monthly Maintenance , Bar Code Scanner erratic</t>
  </si>
  <si>
    <t>Performed Maintenance and bar code scanner calibrate</t>
  </si>
  <si>
    <t>Peformed bar code scanner calibration , Clean Icore, Cartridge Bay , Filter 
Generate IQR, Gxx , Sys Log</t>
  </si>
  <si>
    <t>https://www.jotform.com/uploads/macarewecare/222927978372067/5782472843919494962/5782472843919494962_signature_28.png</t>
  </si>
  <si>
    <t>https://www.jotform.com/uploads/macarewecare/222927978372067/5782472843919494962/5782472843919494962_signature_31.png</t>
  </si>
  <si>
    <t>29 Bansalangin, Project 7, Quezon City, Metro Manila</t>
  </si>
  <si>
    <t>freyaoriana@gmail.com</t>
  </si>
  <si>
    <t xml:space="preserve">ASSAY: Xpert CT/NG, COUNT: 7
ASSAY: Xpert HIV-1 Viral Load, COUNT: 1567
</t>
  </si>
  <si>
    <t>Modules B2 and B4 frequent error</t>
  </si>
  <si>
    <t>Checked and cleaned cartridge bays, plunger rod, icore slot and filter
Module 2 and 4 for reporting
Generated report</t>
  </si>
  <si>
    <t>Troubleshoot module B2 and B4</t>
  </si>
  <si>
    <t>Unit is operational
B1 and B3 working
B2 , B4 for reporting</t>
  </si>
  <si>
    <t>https://www.jotform.com/uploads/macarewecare/222927978372067/5781710223616046316/5781710223616046316_signature_28.png</t>
  </si>
  <si>
    <t>Faye Oriana</t>
  </si>
  <si>
    <t>https://www.jotform.com/uploads/macarewecare/222927978372067/5781710223616046316/5781710223616046316_signature_31.png</t>
  </si>
  <si>
    <t>Lapulapu City Cebu</t>
  </si>
  <si>
    <t>Genxpert Machine unit no power</t>
  </si>
  <si>
    <t>Powerswitch defective</t>
  </si>
  <si>
    <t>Performed troubleshooting check fuse, check power switch</t>
  </si>
  <si>
    <t>No power input Ac 220 Volts defective power switch</t>
  </si>
  <si>
    <t>https://www.jotform.com/uploads/macarewecare/222927978372067/5781540670102270684/5781540670102270684_signature_28.png</t>
  </si>
  <si>
    <t>Lucille Arong</t>
  </si>
  <si>
    <t>https://www.jotform.com/uploads/macarewecare/222927978372067/5781540670102270684/5781540670102270684_signature_31.png</t>
  </si>
  <si>
    <t>B Rodriguez St, Cebu City</t>
  </si>
  <si>
    <t>aureamerino@gmail.com</t>
  </si>
  <si>
    <t>gx4</t>
  </si>
  <si>
    <t>power supply of cpu need to be replaced immediately intermitent voltage supply and hard to power start up</t>
  </si>
  <si>
    <t>check Cpu power supply check connection and voltage</t>
  </si>
  <si>
    <t>Cpu unit as of the moment are working but need to replaced the power supply of the cpu</t>
  </si>
  <si>
    <t>https://www.jotform.com/uploads/macarewecare/222927978372067/5778263603913108089/5778263603913108089_signature_28.png</t>
  </si>
  <si>
    <t>Sarah Nicole Aurea Merino, RMT</t>
  </si>
  <si>
    <t>https://www.jotform.com/uploads/macarewecare/222927978372067/5778263603913108089/5778263603913108089_signature_31.png</t>
  </si>
  <si>
    <t>University of The Philippines - Diliman</t>
  </si>
  <si>
    <t>Diliman</t>
  </si>
  <si>
    <t>Primostar</t>
  </si>
  <si>
    <t>Installed the microscope system</t>
  </si>
  <si>
    <t>Installed the microscope unit
Installed router connection
Checked allignment
Functionality test</t>
  </si>
  <si>
    <t>https://www.jotform.com/uploads/macarewecare/222927978372067/5777495591614421754/5777495591614421754_signature_28.png</t>
  </si>
  <si>
    <t>https://www.jotform.com/uploads/macarewecare/222927978372067/5777495591614421754/5777495591614421754_signature_31.png</t>
  </si>
  <si>
    <t>Institute of Biological Science UPLB</t>
  </si>
  <si>
    <t>University of the Philippines Los Baños, Los Baños, Laguna</t>
  </si>
  <si>
    <t>Phycology</t>
  </si>
  <si>
    <t>No light</t>
  </si>
  <si>
    <t>Checked connections
Minor cleaning
Performed Functionality check for 15 minutes</t>
  </si>
  <si>
    <t>Unit is operational. Recommended for Preventive Maintenance.</t>
  </si>
  <si>
    <t>Spotted some molds on the lens.</t>
  </si>
  <si>
    <t>https://www.jotform.com/uploads/macarewecare/222927978372067/5777304091811228795/5777304091811228795_signature_28.png</t>
  </si>
  <si>
    <t>Dr. Milagrosa Goss</t>
  </si>
  <si>
    <t>https://www.jotform.com/uploads/macarewecare/222927978372067/5777304091811228795/5777304091811228795_signature_31.png</t>
  </si>
  <si>
    <t>Villa Abrille St. Poblacion Davao City</t>
  </si>
  <si>
    <t>Modules are not Detected</t>
  </si>
  <si>
    <t>Change Lan Cable
Reset Connection for the GeneXpert
Reset IP configuration at the network control panel
Change and reconfigure lan ports available at System Unit</t>
  </si>
  <si>
    <t>Onsite troubleshooting for Network Connection</t>
  </si>
  <si>
    <t>Still error persist, no modules Detected after troubleshooting</t>
  </si>
  <si>
    <t>Documented serial number of gateway board to be sent at Cepheid</t>
  </si>
  <si>
    <t>https://www.jotform.com/uploads/macarewecare/222927978372067/5777300731426179647/5777300731426179647_signature_28.png</t>
  </si>
  <si>
    <t>Maria lisa paras</t>
  </si>
  <si>
    <t>https://www.jotform.com/uploads/macarewecare/222927978372067/5777300731426179647/5777300731426179647_signature_31.png</t>
  </si>
  <si>
    <t>Poblacion, Claver</t>
  </si>
  <si>
    <t>Replacing Module B3 with SN: 862375 to SN: 645516</t>
  </si>
  <si>
    <t>Certified pre-owned Genexpert Module
serial no. 645516</t>
  </si>
  <si>
    <t>G-6478</t>
  </si>
  <si>
    <t>https://www.jotform.com/uploads/macarewecare/222927978372067/5777295231316542468/5777295231316542468_signature_28.png</t>
  </si>
  <si>
    <t>https://www.jotform.com/uploads/macarewecare/222927978372067/5777295231316542468/5777295231316542468_signature_31.png</t>
  </si>
  <si>
    <t>https://www.jotform.com/uploads/macarewecare/222927978372067/5777288974315808683/5777288974315808683_signature_28.png</t>
  </si>
  <si>
    <t>https://www.jotform.com/uploads/macarewecare/222927978372067/5777288974315808683/5777288974315808683_signature_31.png</t>
  </si>
  <si>
    <t>acong.pbsp@gmail.com</t>
  </si>
  <si>
    <t xml:space="preserve">ASSAY: Xpert MTB/RIF Ultra, COUNT: 1504
ASSAY: Xpert HIV-1 Viral Load, COUNT: 1155
</t>
  </si>
  <si>
    <t>Module 2 Failed in XpertCheck</t>
  </si>
  <si>
    <t>B2: 682956 -&gt; 672525</t>
  </si>
  <si>
    <t>https://www.jotform.com/uploads/macarewecare/222927978372067/5777285089021510564/5777285089021510564_signature_28.png</t>
  </si>
  <si>
    <t>Ashley Cynna Ong</t>
  </si>
  <si>
    <t>https://www.jotform.com/uploads/macarewecare/222927978372067/5777285089021510564/5777285089021510564_signature_31.png</t>
  </si>
  <si>
    <t xml:space="preserve">ASSAY: Xpert MTB/RIF Ultra, COUNT: 1504
ASSAY: Xpert HIV-1 Viral Load, COUNT: 1155
ASSAY: Xpert MTB/RIF Ultra, COUNT: 1504
ASSAY: Xpert HIV-1 Viral Load, COUNT: 1155
</t>
  </si>
  <si>
    <t>Replaced Module 4
Performed Self-test
Performed Maintenance
Generate Reports</t>
  </si>
  <si>
    <t>C4: 210100884 -&gt; 672497</t>
  </si>
  <si>
    <t>https://www.jotform.com/uploads/macarewecare/222927978372067/5777285089021694613/5777285089021694613_signature_28.png</t>
  </si>
  <si>
    <t>https://www.jotform.com/uploads/macarewecare/222927978372067/5777285089021694613/5777285089021694613_signature_31.png</t>
  </si>
  <si>
    <t>Defective module A4 717390</t>
  </si>
  <si>
    <t>New module Installed A4 662316</t>
  </si>
  <si>
    <t>https://www.jotform.com/uploads/macarewecare/222927978372067/5777263954016578236/5777263954016578236_signature_28.png</t>
  </si>
  <si>
    <t>https://www.jotform.com/uploads/macarewecare/222927978372067/5777263954016578236/5777263954016578236_signature_31.png</t>
  </si>
  <si>
    <t xml:space="preserve">ASSAY: Xpert MTB/RIF Ultra, COUNT: 1445
</t>
  </si>
  <si>
    <t>Performed maintenance
Replaced module C1
Generated reports</t>
  </si>
  <si>
    <t>Unit is operational. Module C4 has error 1002, for reporting.</t>
  </si>
  <si>
    <t>Old: C1/743403
New: C1/653351</t>
  </si>
  <si>
    <t>https://www.jotform.com/uploads/macarewecare/222927978372067/5777257573618139469/5777257573618139469_signature_28.png</t>
  </si>
  <si>
    <t>Lorelyn U. Miras</t>
  </si>
  <si>
    <t>https://www.jotform.com/uploads/macarewecare/222927978372067/5777257573618139469/5777257573618139469_signature_31.png</t>
  </si>
  <si>
    <t>Poblacion Lapu lapu City</t>
  </si>
  <si>
    <t>ceren_sy@yahoo.com</t>
  </si>
  <si>
    <t xml:space="preserve">ASSAY: Xpert MTB/RIF Ultra, COUNT: 2580
</t>
  </si>
  <si>
    <t>Module 2 Defective 626040</t>
  </si>
  <si>
    <t>Replaced new module 2</t>
  </si>
  <si>
    <t>Replaced Module 2 New Module 666460
Generate IQR, Sys Log, GXX files</t>
  </si>
  <si>
    <t>All.modules are operational</t>
  </si>
  <si>
    <t>https://www.jotform.com/uploads/macarewecare/222927978372067/5777252840312644252/5777252840312644252_signature_28.png</t>
  </si>
  <si>
    <t>jovy villariasa</t>
  </si>
  <si>
    <t>https://www.jotform.com/uploads/macarewecare/222927978372067/5777252840312644252/5777252840312644252_signature_31.png</t>
  </si>
  <si>
    <t>BUREAU OF PLANT INDUSTRY</t>
  </si>
  <si>
    <t>BPI COMPOUND, LOS BAÑOS, LAGUNA</t>
  </si>
  <si>
    <t>ENTOM LAB</t>
  </si>
  <si>
    <t>carloa.leniel.origenes@gmail.com</t>
  </si>
  <si>
    <t>jestongaylo@gmail.com</t>
  </si>
  <si>
    <t>Defective Spot Illuminator, works internittently</t>
  </si>
  <si>
    <t>Replaced Spot Illuminator</t>
  </si>
  <si>
    <t>Spot illuminator</t>
  </si>
  <si>
    <t>DR 10880, SI 96817</t>
  </si>
  <si>
    <t>https://www.jotform.com/uploads/macarewecare/222927978372067/5777237891714887566/5777237891714887566_signature_28.png</t>
  </si>
  <si>
    <t>Jestoni O. Gaylo</t>
  </si>
  <si>
    <t>https://www.jotform.com/uploads/macarewecare/222927978372067/5777237891714887566/5777237891714887566_signature_31.png</t>
  </si>
  <si>
    <t>HIV Area</t>
  </si>
  <si>
    <t>Monitor no display/signal.</t>
  </si>
  <si>
    <t>https://www.jotform.com/uploads/macarewecare/222927978372067/5777220452148480168/5777220452148480168_signature_28.png</t>
  </si>
  <si>
    <t>https://www.jotform.com/uploads/macarewecare/222927978372067/5777220452148480168/5777220452148480168_signature_31.png</t>
  </si>
  <si>
    <t>gemmaalbello1970@gmail.com</t>
  </si>
  <si>
    <t>Temperature error, 1001</t>
  </si>
  <si>
    <t>Checked fan filter, distance of machine from wall, ambient temp
Generate and review reports</t>
  </si>
  <si>
    <t>https://www.jotform.com/uploads/macarewecare/222927978372067/5777210014341590138/5777210014341590138_signature_28.png</t>
  </si>
  <si>
    <t>Gemma M. Albello</t>
  </si>
  <si>
    <t>https://www.jotform.com/uploads/macarewecare/222927978372067/5777210014341590138/5777210014341590138_signature_31.png</t>
  </si>
  <si>
    <t xml:space="preserve">ASSAY: Xpert BCR-ABL Ultra, COUNT: 1053
ASSAY: Others, COUNT: 35
ASSAY: Xpert HBV VL, COUNT: 712
ASSAY: Xpert HPV, COUNT: 132
ASSAY: Xpert MTB/RIF, COUNT: 834
ASSAY: Xpert MTB/RIF Ultra, COUNT: 1623
ASSAY: Xpert SARS-CoV-2, COUNT: 15336
ASSAY: Xpert HCV VL, COUNT: 75
</t>
  </si>
  <si>
    <t>B4 encounter temp error 1002, C4 encounter temp error 4009,4012</t>
  </si>
  <si>
    <t>A4 reported for replacement, B4 and C4 for reporting.</t>
  </si>
  <si>
    <t>C2 module replacement done 801983 (old) - 210009197 (new)</t>
  </si>
  <si>
    <t>https://www.jotform.com/uploads/macarewecare/222927978372067/5777183983618836461/5777183983618836461_signature_28.png</t>
  </si>
  <si>
    <t>https://www.jotform.com/uploads/macarewecare/222927978372067/5777183983618836461/5777183983618836461_signature_31.png</t>
  </si>
  <si>
    <t>For reinstallation</t>
  </si>
  <si>
    <t>Transfer and Installation of GeneXpert Unit</t>
  </si>
  <si>
    <t>Module 1 is defective; for replacement. Other modules are functional.</t>
  </si>
  <si>
    <t>HDMI to VGA converter is defective, no display to monitor.</t>
  </si>
  <si>
    <t>https://www.jotform.com/uploads/macarewecare/222927978372067/5776624650221355154/5776624650221355154_signature_28.png</t>
  </si>
  <si>
    <t>https://www.jotform.com/uploads/macarewecare/222927978372067/5776624650221355154/5776624650221355154_signature_31.png</t>
  </si>
  <si>
    <t>Replacing Module B3 with Sn: 806426 to SN: 633480</t>
  </si>
  <si>
    <t>Certified pre-owned genexpert module
Serial no. 633480</t>
  </si>
  <si>
    <t>G-6472</t>
  </si>
  <si>
    <t>https://www.jotform.com/uploads/macarewecare/222927978372067/5776609852129502490/5776609852129502490_signature_28.png</t>
  </si>
  <si>
    <t>Nicole Correos</t>
  </si>
  <si>
    <t>https://www.jotform.com/uploads/macarewecare/222927978372067/5776609852129502490/5776609852129502490_signature_31.png</t>
  </si>
  <si>
    <t xml:space="preserve">ASSAY: Xpert HBV VL, COUNT: 2
ASSAY: Xpert MTB/RIF Ultra, COUNT: 1591
</t>
  </si>
  <si>
    <t>Unit is operational.
Temp. errors on B3
B3 is under observation.</t>
  </si>
  <si>
    <t>https://www.jotform.com/uploads/macarewecare/222927978372067/5776578935421878814/5776578935421878814_signature_28.png</t>
  </si>
  <si>
    <t>https://www.jotform.com/uploads/macarewecare/222927978372067/5776578935421878814/5776578935421878814_signature_31.png</t>
  </si>
  <si>
    <t xml:space="preserve">ASSAY: Xpert MTB/RIF Ultra, COUNT: 2530
</t>
  </si>
  <si>
    <t>Module B4 for replacement due to Calibration Failure
For Preventive Maintenance</t>
  </si>
  <si>
    <t>Replaced the Defective Module SN:808298 with new Module SN: 608521
Clean Surface Area, Cartridge Bay, Plunger Rod, Fan Filters and Icore Lenses
Generate IQR, Assay Stat and System Log
Archived Data test results</t>
  </si>
  <si>
    <t>G-6452</t>
  </si>
  <si>
    <t>https://www.jotform.com/uploads/macarewecare/222927978372067/5776519901424014931/5776519901424014931_signature_28.png</t>
  </si>
  <si>
    <t>Louella Jane G. Lopez</t>
  </si>
  <si>
    <t>https://www.jotform.com/uploads/macarewecare/222927978372067/5776519901424014931/5776519901424014931_signature_31.png</t>
  </si>
  <si>
    <t xml:space="preserve">REPAIR
TROUBLESHOOTING
</t>
  </si>
  <si>
    <t>CRC BIOS ERROR</t>
  </si>
  <si>
    <t>Take out CPU board and bring to cebu office to replace the battery</t>
  </si>
  <si>
    <t>Temporary Replacement of CPU Board from Cebu Office spareparts</t>
  </si>
  <si>
    <t>https://www.jotform.com/uploads/macarewecare/222927978372067/5776506792472601225/5776506792472601225_signature_28.png</t>
  </si>
  <si>
    <t>https://www.jotform.com/uploads/macarewecare/222927978372067/5776506792472601225/5776506792472601225_signature_31.png</t>
  </si>
  <si>
    <t xml:space="preserve">ASSAY: Xpert SARS-CoV-2, COUNT: 1651
</t>
  </si>
  <si>
    <t>https://www.jotform.com/uploads/macarewecare/222927978372067/5776502644914578727/5776502644914578727_signature_28.png</t>
  </si>
  <si>
    <t>https://www.jotform.com/uploads/macarewecare/222927978372067/5776502644914578727/5776502644914578727_signature_31.png</t>
  </si>
  <si>
    <t>Muñoz City Health Office</t>
  </si>
  <si>
    <t>Science City of Muñoz, Nueva Ecija</t>
  </si>
  <si>
    <t>scomrtdl@gmail.com</t>
  </si>
  <si>
    <t xml:space="preserve">ASSAY: Xpert MTB/RIF Ultra, COUNT: 747
</t>
  </si>
  <si>
    <t>CPU Problem</t>
  </si>
  <si>
    <t>CPU for monitoring</t>
  </si>
  <si>
    <t>https://www.jotform.com/uploads/macarewecare/222927978372067/5776419445326754384/5776419445326754384_signature_28.png</t>
  </si>
  <si>
    <t>Catherine Celestino</t>
  </si>
  <si>
    <t>https://www.jotform.com/uploads/macarewecare/222927978372067/5776419445326754384/5776419445326754384_signature_31.png</t>
  </si>
  <si>
    <t>Quezon Avenue, Diliman, Quezon City</t>
  </si>
  <si>
    <t>Microbiology and Bacteriology</t>
  </si>
  <si>
    <t>lcppathologyresults@gmail.com</t>
  </si>
  <si>
    <t xml:space="preserve">ASSAY: Xpert MTB/RIF Ultra, COUNT: 378
ASSAY: Xpert SARS-CoV-2, COUNT: 1714
ASSAY: Xpert HIV-1 Viral Load, COUNT: 93
ASSAY: Others, COUNT: 12
</t>
  </si>
  <si>
    <t>Modules 1 and 4 are disabled</t>
  </si>
  <si>
    <t>None, modules are for purchase.</t>
  </si>
  <si>
    <t>Upgrade software from 5.1 to 6.4</t>
  </si>
  <si>
    <t>https://www.jotform.com/uploads/macarewecare/222927978372067/5776376275029936554/5776376275029936554_signature_28.png</t>
  </si>
  <si>
    <t>Lucrecia S Bongato</t>
  </si>
  <si>
    <t>https://www.jotform.com/uploads/macarewecare/222927978372067/5776376275029936554/5776376275029936554_signature_31.png</t>
  </si>
  <si>
    <t>nuevarhu@gmail.com</t>
  </si>
  <si>
    <t xml:space="preserve">ASSAY: Xpert MTB/RIF Ultra, COUNT: 133
</t>
  </si>
  <si>
    <t>-PERFORM PREVENTIVE MAINTENANCE
-PERFORM MODULE B2 REPLACEMENT
DEF SN:806869
NEW SN:649042</t>
  </si>
  <si>
    <t>GX MODULE</t>
  </si>
  <si>
    <t>G 6479</t>
  </si>
  <si>
    <t>https://www.jotform.com/uploads/macarewecare/222927978372067/5776375905221005923/5776375905221005923_signature_28.png</t>
  </si>
  <si>
    <t>https://www.jotform.com/uploads/macarewecare/222927978372067/5776375905221005923/5776375905221005923_signature_31.png</t>
  </si>
  <si>
    <t>https://www.jotform.com/uploads/macarewecare/222927978372067/5776353218399530691/5776353218399530691_signature_28.png</t>
  </si>
  <si>
    <t>https://www.jotform.com/uploads/macarewecare/222927978372067/5776353218399530691/5776353218399530691_signature_31.png</t>
  </si>
  <si>
    <t>Datu halun sakilan Memorial Hospital</t>
  </si>
  <si>
    <t>Datu halun</t>
  </si>
  <si>
    <t>Replaced module 861191 with Module 636514</t>
  </si>
  <si>
    <t>G 6475</t>
  </si>
  <si>
    <t>https://www.jotform.com/uploads/macarewecare/222927978372067/5776242954224949089/5776242954224949089_signature_28.png</t>
  </si>
  <si>
    <t>Joel A Kamlian</t>
  </si>
  <si>
    <t>https://www.jotform.com/uploads/macarewecare/222927978372067/5776242954224949089/5776242954224949089_signature_31.png</t>
  </si>
  <si>
    <t>Amorsolo st.,</t>
  </si>
  <si>
    <t>majarocon022@gmail.com</t>
  </si>
  <si>
    <t>Barcode scanner open wire, for removal from the unit. Ever since the barcode scanner is not in use</t>
  </si>
  <si>
    <t>Removed barcode scanner,checked unit and program parameters,
Test run unit</t>
  </si>
  <si>
    <t>For removal of barcode scanner</t>
  </si>
  <si>
    <t>Unit operational ready to use</t>
  </si>
  <si>
    <t>https://www.jotform.com/uploads/macarewecare/222927978372067/5776191097494910002/5776191097494910002_signature_28.png</t>
  </si>
  <si>
    <t>Elle Lare</t>
  </si>
  <si>
    <t>https://www.jotform.com/uploads/macarewecare/222927978372067/5776191097494910002/5776191097494910002_signature_31.png</t>
  </si>
  <si>
    <t xml:space="preserve">ASSAY: Xpert MTB/RIF Ultra, COUNT: 1403
</t>
  </si>
  <si>
    <t>Replace defective module 2 SN:765336 with new module SN: 624012
Genexpert machine Cleaning 
Wash/clean filter
Data collection: Pre and Post IQR, System log, Assay statistics report and archive test</t>
  </si>
  <si>
    <t>Genexpert module 6 color SN: 624012</t>
  </si>
  <si>
    <t>G 6471</t>
  </si>
  <si>
    <t>https://www.jotform.com/uploads/macarewecare/222927978372067/5775946735723920949/5775946735723920949_signature_28.png</t>
  </si>
  <si>
    <t>https://www.jotform.com/uploads/macarewecare/222927978372067/5775946735723920949/5775946735723920949_signature_31.png</t>
  </si>
  <si>
    <t>Juban Rural Health Unit</t>
  </si>
  <si>
    <t>North Poblacion,  Juban</t>
  </si>
  <si>
    <t>RTDL/TML Laboratory</t>
  </si>
  <si>
    <t>B1/789036 for Module Replacement 
GX for Calibration</t>
  </si>
  <si>
    <t>Replaced Module: B1 - 789036&gt;&gt;649810
XpertCheck Result: B1/649810 - new module
                                 B2/210091002 - service required(after 2 tries)</t>
  </si>
  <si>
    <t>Replaced B2 Module
Performed XpertCheck</t>
  </si>
  <si>
    <t>https://www.jotform.com/uploads/macarewecare/222927978372067/5775737223114118922/5775737223114118922_signature_28.png</t>
  </si>
  <si>
    <t>https://www.jotform.com/uploads/macarewecare/222927978372067/5775737223114118922/5775737223114118922_signature_31.png</t>
  </si>
  <si>
    <t xml:space="preserve">ASSAY: Xpert MTB/RIF Ultra, COUNT: 1359
</t>
  </si>
  <si>
    <t>Replacing Module B4 with SN: 678339 to SN: 210060886</t>
  </si>
  <si>
    <t>Certified pre-owned GeneXpert Module
Serial No. 210060886</t>
  </si>
  <si>
    <t>G-6468</t>
  </si>
  <si>
    <t>https://www.jotform.com/uploads/macarewecare/222927978372067/5775722517756588627/5775722517756588627_signature_28.png</t>
  </si>
  <si>
    <t>https://www.jotform.com/uploads/macarewecare/222927978372067/5775722517756588627/5775722517756588627_signature_31.png</t>
  </si>
  <si>
    <t>J.P. Rizal, Project 4, Quezon City</t>
  </si>
  <si>
    <t xml:space="preserve">ASSAY: Xpert CT/NG, COUNT: 26
ASSAY: Others, COUNT: 21
ASSAY: Xpert HPV, COUNT: 9
ASSAY: Xpert MTB/RIF Ultra, COUNT: 3254
ASSAY: Xpert HIV-1 Viral Load, COUNT: 58
</t>
  </si>
  <si>
    <t>Module B1 for replacement
Stuck cartridge module B4</t>
  </si>
  <si>
    <t>Performed PM
Replaced module B1
Removed stuck cartridge on B4
Generated report</t>
  </si>
  <si>
    <t>Replaced module B1
750224 -&gt; 674840
Troubleshoot module b4</t>
  </si>
  <si>
    <t>unit is operational. 
all modules working</t>
  </si>
  <si>
    <t>DR 45620</t>
  </si>
  <si>
    <t>https://www.jotform.com/uploads/macarewecare/222927978372067/5775656233619645819/5775656233619645819_signature_28.png</t>
  </si>
  <si>
    <t>https://www.jotform.com/uploads/macarewecare/222927978372067/5775656233619645819/5775656233619645819_signature_31.png</t>
  </si>
  <si>
    <t>Performed maintenance
Replaced module B3
Generated reports</t>
  </si>
  <si>
    <t>Old: B3/806778
New: B3/667078</t>
  </si>
  <si>
    <t>https://www.jotform.com/uploads/macarewecare/222927978372067/5775648618639725628/5775648618639725628_signature_28.png</t>
  </si>
  <si>
    <t>Ethel May G. Meraña</t>
  </si>
  <si>
    <t>https://www.jotform.com/uploads/macarewecare/222927978372067/5775648618639725628/5775648618639725628_signature_31.png</t>
  </si>
  <si>
    <t>Poblacion Monkayo, Davao de Oro</t>
  </si>
  <si>
    <t xml:space="preserve">ASSAY: Xpert MTB/RIF Ultra, COUNT: 1691
</t>
  </si>
  <si>
    <t>Module B1 for replacement due to Calibration Error
For Preventive Maintenance</t>
  </si>
  <si>
    <t>Replaced the Defective Module SN:862177 with New Module SN: 643605
Clean Surface Area, Cartridge Bay, Plunger Rod  fan filters and Icore Lenses
Generate IQR, Assay Stat and System Log
Archived Data test results</t>
  </si>
  <si>
    <t>G6477</t>
  </si>
  <si>
    <t>https://www.jotform.com/uploads/macarewecare/222927978372067/5775643731429537782/5775643731429537782_signature_28.png</t>
  </si>
  <si>
    <t>Karen S. Anuta, RMT</t>
  </si>
  <si>
    <t>https://www.jotform.com/uploads/macarewecare/222927978372067/5775643731429537782/5775643731429537782_signature_31.png</t>
  </si>
  <si>
    <t>Nonw</t>
  </si>
  <si>
    <t>Replacing Module B1 with SN: 862581 to SN: 623297
Replacing B4 with SN: 862613 to SN: 623346</t>
  </si>
  <si>
    <t>Certified Pre-Owned Genexpert Module
Serial No. 623297 and 623346</t>
  </si>
  <si>
    <t>G-6470</t>
  </si>
  <si>
    <t>https://www.jotform.com/uploads/macarewecare/222927978372067/5775632745719110993/5775632745719110993_signature_28.png</t>
  </si>
  <si>
    <t>https://www.jotform.com/uploads/macarewecare/222927978372067/5775632745719110993/5775632745719110993_signature_31.png</t>
  </si>
  <si>
    <t>Brgy. Carmen, Cagayan de Oro City, Misamis Oriental</t>
  </si>
  <si>
    <t>Module B1, B3, &amp; B4 - xpertcheck service required.</t>
  </si>
  <si>
    <t>-Replace module B1/806450 with new module SN: 878085
-Replace module B3/806452 with new module SN: 790874
-Replace module B4/731631 with new module SN: 623431</t>
  </si>
  <si>
    <t>3 GeneXpert Module 6-Colors</t>
  </si>
  <si>
    <t>G6445</t>
  </si>
  <si>
    <t>https://www.jotform.com/uploads/macarewecare/222927978372067/5775611638395462139/5775611638395462139_signature_28.png</t>
  </si>
  <si>
    <t>https://www.jotform.com/uploads/macarewecare/222927978372067/5775611638395462139/5775611638395462139_signature_31.png</t>
  </si>
  <si>
    <t>https://www.jotform.com/uploads/macarewecare/222927978372067/5775610553643000791/5775610553643000791_signature_28.png</t>
  </si>
  <si>
    <t>https://www.jotform.com/uploads/macarewecare/222927978372067/5775610553643000791/5775610553643000791_signature_31.png</t>
  </si>
  <si>
    <t xml:space="preserve">ASSAY: Xpert MTB/RIF Ultra, COUNT: 3418
</t>
  </si>
  <si>
    <t>Module C1 H/W failed</t>
  </si>
  <si>
    <t>Module C1 xpertcheck service required; for replacement. Other modules are functional.</t>
  </si>
  <si>
    <t>1 XpertCheck</t>
  </si>
  <si>
    <t>https://www.jotform.com/uploads/macarewecare/222927978372067/5775551978395969975/5775551978395969975_signature_28.png</t>
  </si>
  <si>
    <t>https://www.jotform.com/uploads/macarewecare/222927978372067/5775551978395969975/5775551978395969975_signature_31.png</t>
  </si>
  <si>
    <t>Module B2 and B3 Xpert Check service required.</t>
  </si>
  <si>
    <t>-Replace defective module B2/731414 with new module SN: 883448
-Replace defective module B3/806414 with new module SN: 699450</t>
  </si>
  <si>
    <t>2 GeneXpert Module 6-Colors</t>
  </si>
  <si>
    <t>G6448</t>
  </si>
  <si>
    <t>https://www.jotform.com/uploads/macarewecare/222927978372067/5775548928397164695/5775548928397164695_signature_28.png</t>
  </si>
  <si>
    <t>https://www.jotform.com/uploads/macarewecare/222927978372067/5775548928397164695/5775548928397164695_signature_31.png</t>
  </si>
  <si>
    <t>Vira  Rural Health Unit</t>
  </si>
  <si>
    <t>B2/862611 for module replacement</t>
  </si>
  <si>
    <t>Replaced module: B2 - 862611&gt;&gt;210030593
Cleaned cartridge bays, plunger rod, icores,fan
Generate reports</t>
  </si>
  <si>
    <t>Replaced module B2
Performed Preventive Maintenance</t>
  </si>
  <si>
    <t>https://www.jotform.com/uploads/macarewecare/222927978372067/5775535862228700681/5775535862228700681_signature_28.png</t>
  </si>
  <si>
    <t>https://www.jotform.com/uploads/macarewecare/222927978372067/5775535862228700681/5775535862228700681_signature_31.png</t>
  </si>
  <si>
    <t xml:space="preserve">ASSAY: Xpert MTB/RIF Ultra, COUNT: 1834
</t>
  </si>
  <si>
    <t>Cleaned cartridge bays, plunger rod, icores
Generate reports</t>
  </si>
  <si>
    <t>https://www.jotform.com/uploads/macarewecare/222927978372067/5775531642227224129/5775531642227224129_signature_28.png</t>
  </si>
  <si>
    <t>Alyzza Rosabelle Gonzalgo</t>
  </si>
  <si>
    <t>https://www.jotform.com/uploads/macarewecare/222927978372067/5775531642227224129/5775531642227224129_signature_31.png</t>
  </si>
  <si>
    <t>Lamion, Datu halun</t>
  </si>
  <si>
    <t>rappaiballaho@gmail.com</t>
  </si>
  <si>
    <t>Module 3 hardware failed</t>
  </si>
  <si>
    <t>Replaced module 732750 with Module 624779</t>
  </si>
  <si>
    <t>https://www.jotform.com/uploads/macarewecare/222927978372067/5775531216014522916/5775531216014522916_signature_28.png</t>
  </si>
  <si>
    <t>Rappai o. Ballaho</t>
  </si>
  <si>
    <t>https://www.jotform.com/uploads/macarewecare/222927978372067/5775531216014522916/5775531216014522916_signature_31.png</t>
  </si>
  <si>
    <t>lermafernandez@yahoo.com</t>
  </si>
  <si>
    <t>nathanycarmel@gmail.com</t>
  </si>
  <si>
    <t xml:space="preserve">ASSAY: Xpert MTB/RIF Ultra, COUNT: 1281
ASSAY: Xpert HIV-1 Viral Load, COUNT: 9
</t>
  </si>
  <si>
    <t>- CPU system error (not booting)
- SN/2UA3450YRR</t>
  </si>
  <si>
    <t>CPU is now back to normal condition</t>
  </si>
  <si>
    <t>https://www.jotform.com/uploads/macarewecare/222927978372067/5775530720811675718/5775530720811675718_signature_28.png</t>
  </si>
  <si>
    <t>Glynnie Operario</t>
  </si>
  <si>
    <t>https://www.jotform.com/uploads/macarewecare/222927978372067/5775530720811675718/5775530720811675718_signature_31.png</t>
  </si>
  <si>
    <t>35 Rd. 9 cor Rd. 10, Bagong Pag-Asa, Quezon City</t>
  </si>
  <si>
    <t>module A2 error 2014</t>
  </si>
  <si>
    <t>performed pm
performed ReXpertCheck on module A2
Module A2 failed ReXpertCheck
Generated report</t>
  </si>
  <si>
    <t>troubleshoot module A2</t>
  </si>
  <si>
    <t>unit is operational
A1 reported
A2 failed reXC
A3, A4 working</t>
  </si>
  <si>
    <t>https://www.jotform.com/uploads/macarewecare/222927978372067/5775501761456634421/5775501761456634421_signature_28.png</t>
  </si>
  <si>
    <t>https://www.jotform.com/uploads/macarewecare/222927978372067/5775501761456634421/5775501761456634421_signature_31.png</t>
  </si>
  <si>
    <t xml:space="preserve">ASSAY: Xpert BCR-ABL Ultra, COUNT: 145
ASSAY: Xpert CT/NG, COUNT: 657
ASSAY: Others, COUNT: 7
ASSAY: Xpert HBV VL, COUNT: 15
ASSAY: Xpert HPV, COUNT: 686
ASSAY: Xpert MTB/RIF Ultra, COUNT: 2555
ASSAY: Others, COUNT: 2
ASSAY: Others, COUNT: 12
ASSAY: Xpert HCV VL, COUNT: 63
ASSAY: Xpert HIV-1 Viral Load, COUNT: 1827
</t>
  </si>
  <si>
    <t>GX4- D(10C)</t>
  </si>
  <si>
    <t>For module replacement b1 21008154- 210076418</t>
  </si>
  <si>
    <t>https://www.jotform.com/uploads/macarewecare/222927978372067/5775325610917076140/5775325610917076140_signature_28.png</t>
  </si>
  <si>
    <t>Reinaluz Bactol</t>
  </si>
  <si>
    <t>https://www.jotform.com/uploads/macarewecare/222927978372067/5775325610917076140/5775325610917076140_signature_31.png</t>
  </si>
  <si>
    <t>CEBU CITY MEDICAL CENTER</t>
  </si>
  <si>
    <t xml:space="preserve">ASSAY: Xpert MTB/RIF Ultra, COUNT: 1729
</t>
  </si>
  <si>
    <t>FOR MODULE A4 REPLACEMENT</t>
  </si>
  <si>
    <t>-PERFORM CLEANING AND PREVENTIVE MAINTENANCE OF GENEXPERT EQUIPMENT
-PERFORM MODULE A4 REPLACEMENT:
DEFECTIVE SN: 802146 , NEW SN:636313</t>
  </si>
  <si>
    <t>https://www.jotform.com/uploads/macarewecare/222927978372067/5774993399117157103/5774993399117157103_signature_28.png</t>
  </si>
  <si>
    <t>Fatimah Maraviles, RMT</t>
  </si>
  <si>
    <t>https://www.jotform.com/uploads/macarewecare/222927978372067/5774993399117157103/5774993399117157103_signature_31.png</t>
  </si>
  <si>
    <t>New Municipal Govermment Site, Barangay Calauag, Quezon</t>
  </si>
  <si>
    <t>Performed PM
Replaced Module A1 
GGenerated report</t>
  </si>
  <si>
    <t>Replaced Module A1
758305 -&gt; 210009608</t>
  </si>
  <si>
    <t>Unit is operational
3 modules working 
1 module reported</t>
  </si>
  <si>
    <t>Jotform Sync Error. Original MR date 12/01/23</t>
  </si>
  <si>
    <t>G6466</t>
  </si>
  <si>
    <t>https://www.jotform.com/uploads/macarewecare/222927978372067/5774882523614790660/5774882523614790660_signature_28.png</t>
  </si>
  <si>
    <t>https://www.jotform.com/uploads/macarewecare/222927978372067/5774882523614790660/5774882523614790660_signature_31.png</t>
  </si>
  <si>
    <t>Quezon Medical Center, Brgy. 11, Lucena, Quezon City</t>
  </si>
  <si>
    <t xml:space="preserve">ASSAY: Xpert HPV, COUNT: 295
ASSAY: Xpert MTB/RIF Ultra, COUNT: 2191
ASSAY: Xpert HIV-1 Viral Load, COUNT: 105
</t>
  </si>
  <si>
    <t>807462, 804692</t>
  </si>
  <si>
    <t>Modules frequent error 2008</t>
  </si>
  <si>
    <t>Checked and cleaned cartridge bays, plunger rod, icore slot and filter
Performed reliability test on modules
All modules passed
Advised end user to continue using the modules and perform maintenance regularly
Generated report</t>
  </si>
  <si>
    <t>Troubleshoot modules</t>
  </si>
  <si>
    <t>https://www.jotform.com/uploads/macarewecare/222927978372067/5774873963616338701/5774873963616338701_signature_28.png</t>
  </si>
  <si>
    <t>https://www.jotform.com/uploads/macarewecare/222927978372067/5774873963616338701/5774873963616338701_signature_31.png</t>
  </si>
  <si>
    <t>INHAIL</t>
  </si>
  <si>
    <t>HEPA Filter</t>
  </si>
  <si>
    <t>FA-EQ-HF</t>
  </si>
  <si>
    <t>SEALED HOLES IN FLEXIBLE DUCTING</t>
  </si>
  <si>
    <t>REPLACED FILTERS
SEALED REMAINING OPENINGS</t>
  </si>
  <si>
    <t>VENTILLATION UNITS ARE OPERATIONAL WITH NEW FILTERS</t>
  </si>
  <si>
    <t>30cm x 30cm x 2cm HEPA Filters (FA-EQ-HF) x4 units</t>
  </si>
  <si>
    <t>https://www.jotform.com/uploads/macarewecare/222927978372067/5774815711136130491/5774815711136130491_signature_28.png</t>
  </si>
  <si>
    <t>AMANDA INOCENTES</t>
  </si>
  <si>
    <t>https://www.jotform.com/uploads/macarewecare/222927978372067/5774815711136130491/5774815711136130491_signature_31.png</t>
  </si>
  <si>
    <t>Alima, Bacoor, Cavite</t>
  </si>
  <si>
    <t>lyzz.jimenez@gmail.com</t>
  </si>
  <si>
    <t>Module 1 with Temperature Error</t>
  </si>
  <si>
    <t>Replaced Module 1
Performed Self-test
Generate Reports</t>
  </si>
  <si>
    <t>G 6498</t>
  </si>
  <si>
    <t>https://www.jotform.com/uploads/macarewecare/222927978372067/5774776803613313998/5774776803613313998_signature_28.png</t>
  </si>
  <si>
    <t>Alyzza janelle jimenez</t>
  </si>
  <si>
    <t>https://www.jotform.com/uploads/macarewecare/222927978372067/5774776803613313998/5774776803613313998_signature_31.png</t>
  </si>
  <si>
    <t>Brgy. Gumamela, Balayan, Batangas</t>
  </si>
  <si>
    <t>balayantbdots@gmail.com</t>
  </si>
  <si>
    <t>Modules 1 and 2 with Temperature Errors</t>
  </si>
  <si>
    <t>Replaced Modules 1 and 2
Performed Maintenance
Performed Self-test
Generate Reports</t>
  </si>
  <si>
    <t>G 6497</t>
  </si>
  <si>
    <t>https://www.jotform.com/uploads/macarewecare/222927978372067/5774776803614857921/5774776803614857921_signature_28.png</t>
  </si>
  <si>
    <t>Veronica Dalida</t>
  </si>
  <si>
    <t>https://www.jotform.com/uploads/macarewecare/222927978372067/5774776803614857921/5774776803614857921_signature_31.png</t>
  </si>
  <si>
    <t>Filinvest Corporate City, Muntinlupa</t>
  </si>
  <si>
    <t>mspogosa.pbsp@gmail.com</t>
  </si>
  <si>
    <t xml:space="preserve">ASSAY: Xpert MTB/RIF Ultra, COUNT: 30
ASSAY: Others, COUNT: 2525
</t>
  </si>
  <si>
    <t>G 6496</t>
  </si>
  <si>
    <t>https://www.jotform.com/uploads/macarewecare/222927978372067/5774776803619983902/5774776803619983902_signature_28.png</t>
  </si>
  <si>
    <t>Maria Guileane Pogosa</t>
  </si>
  <si>
    <t>https://www.jotform.com/uploads/macarewecare/222927978372067/5774776803619983902/5774776803619983902_signature_31.png</t>
  </si>
  <si>
    <t>Rizal Street, Poblacion, Gingoog City</t>
  </si>
  <si>
    <t>lagbasmabel@gmail.com</t>
  </si>
  <si>
    <t xml:space="preserve">ASSAY: Xpert MTB/RIF Ultra, COUNT: 1630
</t>
  </si>
  <si>
    <t>Replacing Module B2 with SN:  674371 to SN: 210057600</t>
  </si>
  <si>
    <t>https://www.jotform.com/uploads/macarewecare/222927978372067/5774771328318900440/5774771328318900440_signature_28.png</t>
  </si>
  <si>
    <t>https://www.jotform.com/uploads/macarewecare/222927978372067/5774771328318900440/5774771328318900440_signature_31.png</t>
  </si>
  <si>
    <t xml:space="preserve">ASSAY: Xpert MTB/RIF, COUNT: 916
</t>
  </si>
  <si>
    <t>Module 2 Serial Number 806826 failed during calibration</t>
  </si>
  <si>
    <t>Replaced new module , clean Icore , clean fan,
Required end user to transfer the unit to other area due high temperature might cause irreparable damage to any modules in genexpert</t>
  </si>
  <si>
    <t>Replaced new module  2 serial number 210005638
Generate data System Log, Installation Qualification report, Assay Statistics</t>
  </si>
  <si>
    <t>https://www.jotform.com/uploads/macarewecare/222927978372067/5774765022517009408/5774765022517009408_signature_28.png</t>
  </si>
  <si>
    <t>https://www.jotform.com/uploads/macarewecare/222927978372067/5774765022517009408/5774765022517009408_signature_31.png</t>
  </si>
  <si>
    <t xml:space="preserve">ASSAY: Xpert MTB/RIF Ultra, COUNT: 730
</t>
  </si>
  <si>
    <t>Module 2 Serial Number 659378  failed during calibration</t>
  </si>
  <si>
    <t>Replaced new module , clean filter and fan</t>
  </si>
  <si>
    <t>Replaced new module in Module 2 Serial Number 210070828
Generate Gxx files, IQR , System Log</t>
  </si>
  <si>
    <t>https://www.jotform.com/uploads/macarewecare/222927978372067/5774758802517239095/5774758802517239095_signature_28.png</t>
  </si>
  <si>
    <t>https://www.jotform.com/uploads/macarewecare/222927978372067/5774758802517239095/5774758802517239095_signature_31.png</t>
  </si>
  <si>
    <t>Tipo-Tipo Rural Health Unit</t>
  </si>
  <si>
    <t>Tipo-Tipo, Basilan</t>
  </si>
  <si>
    <t>fatmaaunal84@gmail.com</t>
  </si>
  <si>
    <t>Replaced module 686161 with Module 686363</t>
  </si>
  <si>
    <t>https://www.jotform.com/uploads/macarewecare/222927978372067/5774757802438528868/5774757802438528868_signature_28.png</t>
  </si>
  <si>
    <t>Fatma Aunal</t>
  </si>
  <si>
    <t>https://www.jotform.com/uploads/macarewecare/222927978372067/5774757802438528868/5774757802438528868_signature_31.png</t>
  </si>
  <si>
    <t>Module 2 and Module 4 failed during calibration 807236 and 807440 respectively.</t>
  </si>
  <si>
    <t>Replacement of Defective module 2 and module 4</t>
  </si>
  <si>
    <t>Replaced new Module 2- 667515 and Module 4 667655 
Generate data Sys log, Installation Qualification Report, Gxx files
Clean Filter and fan motor</t>
  </si>
  <si>
    <t>https://www.jotform.com/uploads/macarewecare/222927978372067/5774692982518927068/5774692982518927068_signature_28.png</t>
  </si>
  <si>
    <t>https://www.jotform.com/uploads/macarewecare/222927978372067/5774692982518927068/5774692982518927068_signature_31.png</t>
  </si>
  <si>
    <t>DRSTMH</t>
  </si>
  <si>
    <t>Installing AVR</t>
  </si>
  <si>
    <t>hact.drstmh@gmail.com</t>
  </si>
  <si>
    <t>No AVR unit during installation</t>
  </si>
  <si>
    <t>Installing AVR back up unit from Cebu Office</t>
  </si>
  <si>
    <t>https://www.jotform.com/uploads/macarewecare/222927978372067/5774684393445574459/5774684393445574459_signature_28.png</t>
  </si>
  <si>
    <t>Carlo franz bontogon</t>
  </si>
  <si>
    <t>https://www.jotform.com/uploads/macarewecare/222927978372067/5774684393445574459/5774684393445574459_signature_31.png</t>
  </si>
  <si>
    <t>https://www.jotform.com/uploads/macarewecare/222927978372067/5774681123447155939/5774681123447155939_signature_28.png</t>
  </si>
  <si>
    <t>https://www.jotform.com/uploads/macarewecare/222927978372067/5774681123447155939/5774681123447155939_signature_31.png</t>
  </si>
  <si>
    <t>michelindg23@gmail.com</t>
  </si>
  <si>
    <t xml:space="preserve">ASSAY: Xpert MTB/RIF Ultra, COUNT: 925
</t>
  </si>
  <si>
    <t>https://www.jotform.com/uploads/macarewecare/222927978372067/5765171052694774066/5765171052694774066_signature_28.png</t>
  </si>
  <si>
    <t>Michelle De Guzman</t>
  </si>
  <si>
    <t>https://www.jotform.com/uploads/macarewecare/222927978372067/5765171052694774066/5765171052694774066_signature_31.png</t>
  </si>
  <si>
    <t>Module 1 H/W failed waiting for replacement module</t>
  </si>
  <si>
    <t>Genexpert machine Cleaning 
Data collection, IQR, Assay statistics report, S. Log and archive test</t>
  </si>
  <si>
    <t>https://www.jotform.com/uploads/macarewecare/222927978372067/5774559944317242307/5774559944317242307_signature_28.png</t>
  </si>
  <si>
    <t>https://www.jotform.com/uploads/macarewecare/222927978372067/5774559944317242307/5774559944317242307_signature_31.png</t>
  </si>
  <si>
    <t>Brgy. Calumpang,  General Santos City, South Cotabato</t>
  </si>
  <si>
    <t>Module 3 H/w failed waiting for replacement module</t>
  </si>
  <si>
    <t>Genexpert machine Cleaning
Wash/Clean Filter 
Data collection: IQR, S.log, Assay statistics repot and Archive test</t>
  </si>
  <si>
    <t>https://www.jotform.com/uploads/macarewecare/222927978372067/5774559944318347330/5774559944318347330_signature_28.png</t>
  </si>
  <si>
    <t>https://www.jotform.com/uploads/macarewecare/222927978372067/5774559944318347330/5774559944318347330_signature_31.png</t>
  </si>
  <si>
    <t>Modules A1, A3, B1, B2, B3, C2, C3, D1, E1, E2, E4, F2, F3, F4, G2, G3</t>
  </si>
  <si>
    <t>Performed maintenance cleaning
Replaced defective modules:
749978	704797
804179	702072
676644	710723
713581	702345
677939	718717
752696	701127
692430	701126
749224	719051
682673	695487
699651	694626
615706	695334
636265	692341
699635	710088
631346	702129
714776	695066
696264	694263
Perfomed Xpertcheck on Modules H1, H2, H3, H4:
H2/696244, H4/672198 needs servicing</t>
  </si>
  <si>
    <t>Replaced Defective Module
Performed Xpertcheck on Modules H1, H2, H3, H4</t>
  </si>
  <si>
    <t>With John Monsour Doctor, Cienne Mae Valerio, Rhea Anne A. Cañelas, Mike Pritos</t>
  </si>
  <si>
    <t>GX Module 6-color: 
749978
804179
676644
713581
677939
752696
692430
749224
682673
699651
615706
636265
699635
631346
714776
696264</t>
  </si>
  <si>
    <t>https://www.jotform.com/uploads/macarewecare/222927978372067/5772331450419752520/5772331450419752520_signature_28.png</t>
  </si>
  <si>
    <t>https://www.jotform.com/uploads/macarewecare/222927978372067/5772331450419752520/5772331450419752520_signature_31.png</t>
  </si>
  <si>
    <t>agnesabalos220@gmail.com</t>
  </si>
  <si>
    <t>Due for Module Replacement</t>
  </si>
  <si>
    <t>- Cleaned Cartridge Bays, Plunger Rods and I-CORE 
- Replaced Defective Modules 724823 &gt;&gt;&gt;706187 and 862048 &gt;&gt;&gt; 627680</t>
  </si>
  <si>
    <t>GeneXpert Modules 706187 and 627680</t>
  </si>
  <si>
    <t>DR 10774</t>
  </si>
  <si>
    <t>https://www.jotform.com/uploads/macarewecare/222927978372067/5772259762087680542/5772259762087680542_signature_28.png</t>
  </si>
  <si>
    <t>https://www.jotform.com/uploads/macarewecare/222927978372067/5772259762087680542/5772259762087680542_signature_31.png</t>
  </si>
  <si>
    <t>Philippine Red Cross Dagupan</t>
  </si>
  <si>
    <t>Due for Inspection</t>
  </si>
  <si>
    <t>Performed Inspection and Maintenance</t>
  </si>
  <si>
    <t>https://www.jotform.com/uploads/macarewecare/222927978372067/5772258092087781995/5772258092087781995_signature_28.png</t>
  </si>
  <si>
    <t>https://www.jotform.com/uploads/macarewecare/222927978372067/5772258092087781995/5772258092087781995_signature_31.png</t>
  </si>
  <si>
    <t xml:space="preserve">ASSAY: Xpert MTB/RIF Ultra, COUNT: 1430
ASSAY: Xpert SARS-CoV-2, COUNT: 1422
</t>
  </si>
  <si>
    <t>Due for Troubleshooting</t>
  </si>
  <si>
    <t>Module B3 for reporting</t>
  </si>
  <si>
    <t>https://www.jotform.com/uploads/macarewecare/222927978372067/5772254102087191332/5772254102087191332_signature_28.png</t>
  </si>
  <si>
    <t>Kirstin Deinielle S. Banaag</t>
  </si>
  <si>
    <t>https://www.jotform.com/uploads/macarewecare/222927978372067/5772254102087191332/5772254102087191332_signature_31.png</t>
  </si>
  <si>
    <t>La Union Medical Center</t>
  </si>
  <si>
    <t>Agoo, La Union</t>
  </si>
  <si>
    <t>lumcrtdl@gmail.com</t>
  </si>
  <si>
    <t>For Troubleshooting of UPS</t>
  </si>
  <si>
    <t>Performed Troubleshooting on UPS</t>
  </si>
  <si>
    <t>UPS not functioning. No power is measured when UPS is on or in backup mode. Site is to request UPS to PBSP. GeneXpert is currently plugged directly to the wall outlet.</t>
  </si>
  <si>
    <t>https://www.jotform.com/uploads/macarewecare/222927978372067/5772249772089876961/5772249772089876961_signature_28.png</t>
  </si>
  <si>
    <t>Josephine Paglingayen</t>
  </si>
  <si>
    <t>https://www.jotform.com/uploads/macarewecare/222927978372067/5772249772089876961/5772249772089876961_signature_31.png</t>
  </si>
  <si>
    <t xml:space="preserve">ASSAY: Xpert MTB/RIF Ultra, COUNT: 948
ASSAY: Xpert MTB/RIF, COUNT: 48
ASSAY: Xpert MTB/RIF Ultra, COUNT: 948
ASSAY: Xpert MTB/RIF, COUNT: 49
</t>
  </si>
  <si>
    <t>Module 4 for observation</t>
  </si>
  <si>
    <t>https://www.jotform.com/uploads/macarewecare/222927978372067/5772187972187512015/5772187972187512015_signature_28.png</t>
  </si>
  <si>
    <t>Myrish Ramirez</t>
  </si>
  <si>
    <t>https://www.jotform.com/uploads/macarewecare/222927978372067/5772187972187512015/5772187972187512015_signature_31.png</t>
  </si>
  <si>
    <t>Lower Bicutan</t>
  </si>
  <si>
    <t>Module B4 has error 4009/1002</t>
  </si>
  <si>
    <t>Performed maintenance
Checked module B4
Disabled module B4
Generated reports</t>
  </si>
  <si>
    <t>Unit is operational. Module B4 not operational, for reporting.</t>
  </si>
  <si>
    <t>https://www.jotform.com/uploads/macarewecare/222927978372067/5772106751153633453/5772106751153633453_signature_28.png</t>
  </si>
  <si>
    <t>https://www.jotform.com/uploads/macarewecare/222927978372067/5772106751153633453/5772106751153633453_signature_31.png</t>
  </si>
  <si>
    <t>Module B1 hardware fail</t>
  </si>
  <si>
    <t>Replace module B1 with new serial number 210041816</t>
  </si>
  <si>
    <t>Module B1, 2,4 ok to use module B3 not ok to use due to error code 1002 20x from October to December 2023</t>
  </si>
  <si>
    <t>https://www.jotform.com/uploads/macarewecare/222927978372067/5772101773119470715/5772101773119470715_signature_28.png</t>
  </si>
  <si>
    <t>https://www.jotform.com/uploads/macarewecare/222927978372067/5772101773119470715/5772101773119470715_signature_31.png</t>
  </si>
  <si>
    <t>Amai Pakpak Medical Center</t>
  </si>
  <si>
    <t>Module C1, C3 calibration fail.</t>
  </si>
  <si>
    <t>Replace module C1, C3 with new serial number 655108,655962</t>
  </si>
  <si>
    <t>All modules are functional ok to use</t>
  </si>
  <si>
    <t>https://www.jotform.com/uploads/macarewecare/222927978372067/5772085973117389651/5772085973117389651_signature_28.png</t>
  </si>
  <si>
    <t>https://www.jotform.com/uploads/macarewecare/222927978372067/5772085973117389651/5772085973117389651_signature_31.png</t>
  </si>
  <si>
    <t>Bicutan</t>
  </si>
  <si>
    <t xml:space="preserve">ASSAY: Xpert MTB/RIF Ultra, COUNT: 3055
</t>
  </si>
  <si>
    <t>Module A1 has error 4009. Module A2 is resetting</t>
  </si>
  <si>
    <t>Checked modules A1 and A2</t>
  </si>
  <si>
    <t>Performed maintenance
Checked module A1 and module A2
Checked internal connections
Checked internal voltage and gateway board 
Generated reports 
Checked UPS</t>
  </si>
  <si>
    <t>Unit is operational. Module A1 and A2 not operational. UPS not operational.</t>
  </si>
  <si>
    <t>Module A2's ultrasonic horn cable is cut. UPS SN: 40020332002</t>
  </si>
  <si>
    <t>https://www.jotform.com/uploads/macarewecare/222927978372067/5772075461159275951/5772075461159275951_signature_28.png</t>
  </si>
  <si>
    <t>Chummy</t>
  </si>
  <si>
    <t>https://www.jotform.com/uploads/macarewecare/222927978372067/5772075461159275951/5772075461159275951_signature_31.png</t>
  </si>
  <si>
    <t>jasmin.catral@innovationsch.org</t>
  </si>
  <si>
    <t>Module Be for replacement</t>
  </si>
  <si>
    <t>Old: B3/210035666
New: B3/616087</t>
  </si>
  <si>
    <t>DR# 10859</t>
  </si>
  <si>
    <t>https://www.jotform.com/uploads/macarewecare/222927978372067/5772068271152539401/5772068271152539401_signature_28.png</t>
  </si>
  <si>
    <t>Jasmin Catral</t>
  </si>
  <si>
    <t>https://www.jotform.com/uploads/macarewecare/222927978372067/5772068271152539401/5772068271152539401_signature_31.png</t>
  </si>
  <si>
    <t>WVSUMC</t>
  </si>
  <si>
    <t>Jaro, iloilo city</t>
  </si>
  <si>
    <t>New installation</t>
  </si>
  <si>
    <t>https://www.jotform.com/uploads/macarewecare/222927978372067/5772044154111216564/5772044154111216564_signature_28.png</t>
  </si>
  <si>
    <t>Gleziel T. Flores</t>
  </si>
  <si>
    <t>https://www.jotform.com/uploads/macarewecare/222927978372067/5772044154111216564/5772044154111216564_signature_31.png</t>
  </si>
  <si>
    <t xml:space="preserve">ASSAY: Xpert MTB/RIF, COUNT: 119
ASSAY: Xpert MTB/RIF Ultra, COUNT: 1282
</t>
  </si>
  <si>
    <t>Module A2 frequent temperature error.</t>
  </si>
  <si>
    <t>Module A2 failed XPC; for replacement. Waiting for module A1 and A3 replacements.</t>
  </si>
  <si>
    <t>https://www.jotform.com/uploads/macarewecare/222927978372067/5772019111701953318/5772019111701953318_signature_28.png</t>
  </si>
  <si>
    <t>Sarah Jean Raga Gabieta</t>
  </si>
  <si>
    <t>https://www.jotform.com/uploads/macarewecare/222927978372067/5772019111701953318/5772019111701953318_signature_31.png</t>
  </si>
  <si>
    <t>WVSU</t>
  </si>
  <si>
    <t>Internal Temp High</t>
  </si>
  <si>
    <t>Clean Fan</t>
  </si>
  <si>
    <t>Fan does not turning on</t>
  </si>
  <si>
    <t>https://www.jotform.com/uploads/macarewecare/222927978372067/5772016934112668169/5772016934112668169_signature_28.png</t>
  </si>
  <si>
    <t>Van Ryan R . Lujan</t>
  </si>
  <si>
    <t>https://www.jotform.com/uploads/macarewecare/222927978372067/5772016934112668169/5772016934112668169_signature_31.png</t>
  </si>
  <si>
    <t>Philippine Children Medical Center</t>
  </si>
  <si>
    <t>ernaandreaescobar013@gmail.com</t>
  </si>
  <si>
    <t>sdtl.pcmc@gmail.com</t>
  </si>
  <si>
    <t xml:space="preserve">ASSAY: Xpert MTB/RIF Ultra, COUNT: 2341
</t>
  </si>
  <si>
    <t>Due for maintenance, B2 module encounter temp error</t>
  </si>
  <si>
    <t>B2 for reporting,B1,B3,B4 operational</t>
  </si>
  <si>
    <t>https://www.jotform.com/uploads/macarewecare/222927978372067/5772001423614436226/5772001423614436226_signature_28.png</t>
  </si>
  <si>
    <t>Marie Zarina Mae D. Orbito</t>
  </si>
  <si>
    <t>https://www.jotform.com/uploads/macarewecare/222927978372067/5772001423614436226/5772001423614436226_signature_31.png</t>
  </si>
  <si>
    <t>https://www.jotform.com/uploads/macarewecare/222927978372067/5771498711965000753/5771498711965000753_signature_28.png</t>
  </si>
  <si>
    <t>https://www.jotform.com/uploads/macarewecare/222927978372067/5771498711965000753/5771498711965000753_signature_31.png</t>
  </si>
  <si>
    <t>https://www.jotform.com/uploads/macarewecare/222927978372067/5771498069939779360/5771498069939779360_signature_28.png</t>
  </si>
  <si>
    <t>https://www.jotform.com/uploads/macarewecare/222927978372067/5771498069939779360/5771498069939779360_signature_31.png</t>
  </si>
  <si>
    <t>Baao</t>
  </si>
  <si>
    <t>naschw.4u@gmail.com</t>
  </si>
  <si>
    <t>Replaced CPU - CPH0723F43458
Setup GXDx settings
Generate reports</t>
  </si>
  <si>
    <t>https://www.jotform.com/uploads/macarewecare/222927978372067/5771456603426949897/5771456603426949897_signature_28.png</t>
  </si>
  <si>
    <t>Ignacio B. Britanico</t>
  </si>
  <si>
    <t>https://www.jotform.com/uploads/macarewecare/222927978372067/5771456603426949897/5771456603426949897_signature_31.png</t>
  </si>
  <si>
    <t xml:space="preserve">ASSAY: Xpert CT/NG, COUNT: 4
ASSAY: Xpert HPV, COUNT: 1387
ASSAY: Xpert MTB/RIF Ultra, COUNT: 7237
ASSAY: Xpert SARS-CoV-2, COUNT: 2368
ASSAY: Xpert HIV-1 Viral Load, COUNT: 342
ASSAY: Others, COUNT: 8
</t>
  </si>
  <si>
    <t>GX16 for additional troubleshooting and data collection</t>
  </si>
  <si>
    <t>Checked Gateway board of C4. 
Generate reports</t>
  </si>
  <si>
    <t>Collected sufficient Data as requested by Cepheid</t>
  </si>
  <si>
    <t>https://www.jotform.com/uploads/macarewecare/222927978372067/5771454613425713881/5771454613425713881_signature_28.png</t>
  </si>
  <si>
    <t>https://www.jotform.com/uploads/macarewecare/222927978372067/5771454613425713881/5771454613425713881_signature_31.png</t>
  </si>
  <si>
    <t>BRTTH Compound,  Rizal St., Legazpi City</t>
  </si>
  <si>
    <t xml:space="preserve">ASSAY: Xpert HPV, COUNT: 444
ASSAY: Xpert MTB/RIF Ultra, COUNT: 1754
ASSAY: Xpert HIV-1 Viral Load, COUNT: 285
</t>
  </si>
  <si>
    <t>Error 2126 for all modules</t>
  </si>
  <si>
    <t>Checked power cords, plugged Gx to UPS
Generate reports</t>
  </si>
  <si>
    <t>https://www.jotform.com/uploads/macarewecare/222927978372067/5771453013422043457/5771453013422043457_signature_28.png</t>
  </si>
  <si>
    <t>https://www.jotform.com/uploads/macarewecare/222927978372067/5771453013422043457/5771453013422043457_signature_31.png</t>
  </si>
  <si>
    <t xml:space="preserve">ASSAY: Xpert HPV, COUNT: 3
ASSAY: Xpert SARS-CoV-2, COUNT: 1679
</t>
  </si>
  <si>
    <t>https://www.jotform.com/uploads/macarewecare/222927978372067/5771431899115266731/5771431899115266731_signature_28.png</t>
  </si>
  <si>
    <t>https://www.jotform.com/uploads/macarewecare/222927978372067/5771431899115266731/5771431899115266731_signature_31.png</t>
  </si>
  <si>
    <t>Module 2 Hardware Failure</t>
  </si>
  <si>
    <t>Performed Xpertcheck on Module 2 = (Service Required)</t>
  </si>
  <si>
    <t>https://www.jotform.com/uploads/macarewecare/222927978372067/5771428468104298077/5771428468104298077_signature_28.png</t>
  </si>
  <si>
    <t>https://www.jotform.com/uploads/macarewecare/222927978372067/5771428468104298077/5771428468104298077_signature_31.png</t>
  </si>
  <si>
    <t>Curva, Bongabon, Nueva Ecija</t>
  </si>
  <si>
    <t>Module 1 for observation</t>
  </si>
  <si>
    <t>https://www.jotform.com/uploads/macarewecare/222927978372067/5771364813644366189/5771364813644366189_signature_28.png</t>
  </si>
  <si>
    <t>Liezl J. Adriano</t>
  </si>
  <si>
    <t>https://www.jotform.com/uploads/macarewecare/222927978372067/5771364813644366189/5771364813644366189_signature_31.png</t>
  </si>
  <si>
    <t>B1/648078 &amp; B3/674962 for module replacement</t>
  </si>
  <si>
    <t>Replaced Module: B1/648078&gt;&gt;734479, B3/674962&gt;&gt;793128
Cleaned cartridge bays, plunger rod, fan
Generate reports</t>
  </si>
  <si>
    <t>Replaced B1 &amp; B3 module</t>
  </si>
  <si>
    <t>https://www.jotform.com/uploads/macarewecare/222927978372067/5771342324013790126/5771342324013790126_signature_28.png</t>
  </si>
  <si>
    <t>https://www.jotform.com/uploads/macarewecare/222927978372067/5771342324013790126/5771342324013790126_signature_31.png</t>
  </si>
  <si>
    <t xml:space="preserve">ASSAY: Xpert MTB/RIF Ultra, COUNT: 1461
ASSAY: Xpert HIV-1 Viral Load, COUNT: 17
ASSAY: Xpert MTB/RIF Ultra, COUNT: 1476
ASSAY: Xpert HIV-1 Viral Load, COUNT: 17
</t>
  </si>
  <si>
    <t>Module B4 defective.</t>
  </si>
  <si>
    <t>-Replace defective module B4/877768 with new module SN: 657173</t>
  </si>
  <si>
    <t>Module B1 for replacement. Other modules are functional.</t>
  </si>
  <si>
    <t>GeneXpert Module 6 Color</t>
  </si>
  <si>
    <t>https://www.jotform.com/uploads/macarewecare/222927978372067/5771318029511161948/5771318029511161948_signature_28.png</t>
  </si>
  <si>
    <t>https://www.jotform.com/uploads/macarewecare/222927978372067/5771318029511161948/5771318029511161948_signature_31.png</t>
  </si>
  <si>
    <t>Calubian Leyte</t>
  </si>
  <si>
    <t>melitaaringoy1@gmail.com</t>
  </si>
  <si>
    <t>Module B1/662277 and B4/860988 for replacement</t>
  </si>
  <si>
    <t>- Install new module on B1 w/ SN 642566
- Install new module on B4 w/ SN 642770
- Performed Functionality test 
- Cleaned Cartridge bay, Plunger rod and Fan Filter 
- Generate reports 
- Pullout defective modules (662277, 860988)</t>
  </si>
  <si>
    <t>2 GeneXpert Module SN (642566,642770)</t>
  </si>
  <si>
    <t>https://www.jotform.com/uploads/macarewecare/222927978372067/5771305325393326628/5771305325393326628_signature_28.png</t>
  </si>
  <si>
    <t>Melita E. Aringoy</t>
  </si>
  <si>
    <t>https://www.jotform.com/uploads/macarewecare/222927978372067/5771305325393326628/5771305325393326628_signature_31.png</t>
  </si>
  <si>
    <t>Genexpert PC auto restart</t>
  </si>
  <si>
    <t>Performed Genexpert PC troubleshooting</t>
  </si>
  <si>
    <t>Performed Maintenance
Gathered Reports
Performed Module Replacement (754609 - 210005937)
Performed Functionality Test</t>
  </si>
  <si>
    <t>Genexpert PC for observation</t>
  </si>
  <si>
    <t>Genexpert Module - 210005937</t>
  </si>
  <si>
    <t>G 6464</t>
  </si>
  <si>
    <t>https://www.jotform.com/uploads/macarewecare/222927978372067/5771266426507055432/5771266426507055432_signature_28.png</t>
  </si>
  <si>
    <t>https://www.jotform.com/uploads/macarewecare/222927978372067/5771266426507055432/5771266426507055432_signature_31.png</t>
  </si>
  <si>
    <t>Oriental Mindoro Souther District Hospital</t>
  </si>
  <si>
    <t>Brgy. Odiong, Oriental Mindoro</t>
  </si>
  <si>
    <t>Unit for PM.
For module replacement of modules B2 and B4.</t>
  </si>
  <si>
    <t>Performed PM.
Performed module replacement on B2 and B4.
Generated reports.</t>
  </si>
  <si>
    <t>Unit is operational. Module B3 for reporting.</t>
  </si>
  <si>
    <t>GX module B2 (655759) and B4 (686738) in replacement to defective B2 (712980) and B4 (718766)</t>
  </si>
  <si>
    <t>https://www.jotform.com/uploads/macarewecare/222927978372067/5771247899223164921/5771247899223164921_signature_28.png</t>
  </si>
  <si>
    <t>Mark Edison G. Martinez, RMT</t>
  </si>
  <si>
    <t>https://www.jotform.com/uploads/macarewecare/222927978372067/5771247899223164921/5771247899223164921_signature_31.png</t>
  </si>
  <si>
    <t>Quezon Medical Center Compound, Brgy. 11, Lucena, Quezon Province</t>
  </si>
  <si>
    <t>qmclivepositivewellnesshub@gmail.com</t>
  </si>
  <si>
    <t>GX machine for installation</t>
  </si>
  <si>
    <t>Checked installation site
Unpacked GX and accessories
Setup GX and accessories
Added users
Generated report</t>
  </si>
  <si>
    <t>Installed GX and all its accessories</t>
  </si>
  <si>
    <t>GX Machine</t>
  </si>
  <si>
    <t>Bill Landing No.  1551</t>
  </si>
  <si>
    <t>https://www.jotform.com/uploads/macarewecare/222927978372067/5771225331225994750/5771225331225994750_signature_28.png</t>
  </si>
  <si>
    <t>https://www.jotform.com/uploads/macarewecare/222927978372067/5771225331225994750/5771225331225994750_signature_31.png</t>
  </si>
  <si>
    <t>GX-IV-D-6c</t>
  </si>
  <si>
    <t>Module A1 and A2 has error 1002</t>
  </si>
  <si>
    <t>Run XpertCheck on module A1 and A2</t>
  </si>
  <si>
    <t>Performed maintenance
Run XpertCheck on module A1 and A2
Generated reports</t>
  </si>
  <si>
    <t>Unit is operational. Module A1 and A2 passed in XpertCheck but under observation.</t>
  </si>
  <si>
    <t>https://www.jotform.com/uploads/macarewecare/222927978372067/5771206486723886957/5771206486723886957_signature_28.png</t>
  </si>
  <si>
    <t>https://www.jotform.com/uploads/macarewecare/222927978372067/5771206486723886957/5771206486723886957_signature_31.png</t>
  </si>
  <si>
    <t>https://www.jotform.com/uploads/macarewecare/222927978372067/5771205076721012459/5771205076721012459_signature_28.png</t>
  </si>
  <si>
    <t>https://www.jotform.com/uploads/macarewecare/222927978372067/5771205076721012459/5771205076721012459_signature_31.png</t>
  </si>
  <si>
    <t>Passi City</t>
  </si>
  <si>
    <t>Defective module SN 646647</t>
  </si>
  <si>
    <t>New module installed SN 654986, clean fan fliter</t>
  </si>
  <si>
    <t>New module installed SN 654986</t>
  </si>
  <si>
    <t>https://www.jotform.com/uploads/macarewecare/222927978372067/5771139996712226906/5771139996712226906_signature_28.png</t>
  </si>
  <si>
    <t>John Aguilar</t>
  </si>
  <si>
    <t>https://www.jotform.com/uploads/macarewecare/222927978372067/5771139996712226906/5771139996712226906_signature_31.png</t>
  </si>
  <si>
    <t>West Visayas Medical Center</t>
  </si>
  <si>
    <t xml:space="preserve">INSTALLATION
REPAIR
</t>
  </si>
  <si>
    <t>Defective Module A3 683885</t>
  </si>
  <si>
    <t>New module installed A3 660775</t>
  </si>
  <si>
    <t>https://www.jotform.com/uploads/macarewecare/222927978372067/5770607222284496772/5770607222284496772_signature_28.png</t>
  </si>
  <si>
    <t>https://www.jotform.com/uploads/macarewecare/222927978372067/5770607222284496772/5770607222284496772_signature_31.png</t>
  </si>
  <si>
    <t xml:space="preserve">ASSAY: Xpert MTB/RIF Ultra, COUNT: 2038
ASSAY: Xpert HIV-1 Viral Load, COUNT: 121
</t>
  </si>
  <si>
    <t>GeneXpert Monitor
SN: V5GAH819</t>
  </si>
  <si>
    <t>G 6499</t>
  </si>
  <si>
    <t>https://www.jotform.com/uploads/macarewecare/222927978372067/5770533759126068484/5770533759126068484_signature_28.png</t>
  </si>
  <si>
    <t>https://www.jotform.com/uploads/macarewecare/222927978372067/5770533759126068484/5770533759126068484_signature_31.png</t>
  </si>
  <si>
    <t>Candelaria, Quezon Province</t>
  </si>
  <si>
    <t xml:space="preserve">ASSAY: Xpert MTB/RIF, COUNT: 1
ASSAY: Xpert MTB/RIF Ultra, COUNT: 1680
</t>
  </si>
  <si>
    <t>Modules frequent 2008 error</t>
  </si>
  <si>
    <t>Checked and cleaned cartridge bays, plunger rod, icore slot and filters
Checked system log, temp too high
Performed reliability test, all passed
Advised to use fan to lower the temp
Generated report</t>
  </si>
  <si>
    <t>Checked modules</t>
  </si>
  <si>
    <t>https://www.jotform.com/uploads/macarewecare/222927978372067/5770516150614605800/5770516150614605800_signature_28.png</t>
  </si>
  <si>
    <t>https://www.jotform.com/uploads/macarewecare/222927978372067/5770516150614605800/5770516150614605800_signature_31.png</t>
  </si>
  <si>
    <t xml:space="preserve">ASSAY: , COUNT: 457
</t>
  </si>
  <si>
    <t>Performed Maintenance
Gathered Reports
Installed Printer Driver
Performed Functionality Test</t>
  </si>
  <si>
    <t>https://www.jotform.com/uploads/macarewecare/222927978372067/5770501968572727925/5770501968572727925_signature_28.png</t>
  </si>
  <si>
    <t>Mary Ann Carreon</t>
  </si>
  <si>
    <t>https://www.jotform.com/uploads/macarewecare/222927978372067/5770501968572727925/5770501968572727925_signature_31.png</t>
  </si>
  <si>
    <t xml:space="preserve">ASSAY: Xpert HPV, COUNT: 180
ASSAY: Xpert MTB/RIF Ultra, COUNT: 3166
ASSAY: Xpert HIV-1 Viral Load, COUNT: 145
</t>
  </si>
  <si>
    <t>SYSTEM UNIT ABLE TO BOOT BUT DISPLAY IS NOT SHOWN</t>
  </si>
  <si>
    <t>-INSPECT EQUIPMENT POWER AND CABLE CONNECTIONS
-RESEAT DISPLAY PORT CONNECTION FROM SYSTEM UNIT SN:2UA8471RRQ TO DISPLAY CONNECTION</t>
  </si>
  <si>
    <t>https://www.jotform.com/uploads/macarewecare/222927978372067/5770486273913704058/5770486273913704058_signature_28.png</t>
  </si>
  <si>
    <t>Myra Riccil Estose</t>
  </si>
  <si>
    <t>https://www.jotform.com/uploads/macarewecare/222927978372067/5770486273913704058/5770486273913704058_signature_31.png</t>
  </si>
  <si>
    <t>Laboratiry</t>
  </si>
  <si>
    <t>migzko@yahoo.com</t>
  </si>
  <si>
    <t>Defective D4 module Sn 692166</t>
  </si>
  <si>
    <t>New module installed D4 Sn 883440, clean fan filter</t>
  </si>
  <si>
    <t>New module installed D4 Sn 883440</t>
  </si>
  <si>
    <t>https://www.jotform.com/uploads/macarewecare/222927978372067/5770348565964035246/5770348565964035246_signature_28.png</t>
  </si>
  <si>
    <t>https://www.jotform.com/uploads/macarewecare/222927978372067/5770348565964035246/5770348565964035246_signature_31.png</t>
  </si>
  <si>
    <t>Hinabangn Samar</t>
  </si>
  <si>
    <t>GXIV-2D</t>
  </si>
  <si>
    <t>Due for Calibration/Preventive maintenance</t>
  </si>
  <si>
    <t>All module passed (B1,B2)</t>
  </si>
  <si>
    <t>https://www.jotform.com/uploads/macarewecare/222927978372067/5770305798418438818/5770305798418438818_signature_28.png</t>
  </si>
  <si>
    <t>Ruth c nablo</t>
  </si>
  <si>
    <t>https://www.jotform.com/uploads/macarewecare/222927978372067/5770305798418438818/5770305798418438818_signature_31.png</t>
  </si>
  <si>
    <t>shairamethystcantos@gmail.com</t>
  </si>
  <si>
    <t xml:space="preserve">ASSAY: Xpert MTB/RIF Ultra, COUNT: 4338
</t>
  </si>
  <si>
    <t>Module B4/681450 defective</t>
  </si>
  <si>
    <t>- Install new module on B4 w/ SN: 657253
- Performed Functionality test 
- Performed Preventive maintenance 
- Generate reports 
- Pullout defective module SN/681450</t>
  </si>
  <si>
    <t>1 GeneXpert Module 6 Color SN/657253</t>
  </si>
  <si>
    <t>https://www.jotform.com/uploads/macarewecare/222927978372067/5770160958328779689/5770160958328779689_signature_28.png</t>
  </si>
  <si>
    <t>Shaira Amethyst C. Nicolas</t>
  </si>
  <si>
    <t>https://www.jotform.com/uploads/macarewecare/222927978372067/5770160958328779689/5770160958328779689_signature_31.png</t>
  </si>
  <si>
    <t>ramasmarkefren@gmail.co</t>
  </si>
  <si>
    <t>Red Pump no motion</t>
  </si>
  <si>
    <t>Replaced pump</t>
  </si>
  <si>
    <t>Replaced Red Pump and White Pump</t>
  </si>
  <si>
    <t>https://www.jotform.com/uploads/macarewecare/222927978372067/5769786135114289757/5769786135114289757_signature_28.png</t>
  </si>
  <si>
    <t>https://www.jotform.com/uploads/macarewecare/222927978372067/5769786135114289757/5769786135114289757_signature_31.png</t>
  </si>
  <si>
    <t>Bugasong, Antique</t>
  </si>
  <si>
    <t>-Replace defective module B4/801807 with new module SN: 871535</t>
  </si>
  <si>
    <t>https://www.jotform.com/uploads/macarewecare/222927978372067/5769632414817136345/5769632414817136345_signature_28.png</t>
  </si>
  <si>
    <t>Jeanelyn Gabuyog Imalay</t>
  </si>
  <si>
    <t>https://www.jotform.com/uploads/macarewecare/222927978372067/5769632414817136345/5769632414817136345_signature_31.png</t>
  </si>
  <si>
    <t>Minqlin Rural Health Unit</t>
  </si>
  <si>
    <t xml:space="preserve">ASSAY: Xpert MTB/RIF Ultra, COUNT: 472
</t>
  </si>
  <si>
    <t>CPU hard boot up</t>
  </si>
  <si>
    <t>Performed CPU Troubleshooting
Gathered reports
Performed functionality test</t>
  </si>
  <si>
    <t>CPU under observation(power button error)</t>
  </si>
  <si>
    <t>https://www.jotform.com/uploads/macarewecare/222927978372067/5769587326615356199/5769587326615356199_signature_28.png</t>
  </si>
  <si>
    <t>https://www.jotform.com/uploads/macarewecare/222927978372067/5769587326615356199/5769587326615356199_signature_31.png</t>
  </si>
  <si>
    <t xml:space="preserve">ASSAY: Xpert MTB/RIF Ultra, COUNT: 1339
</t>
  </si>
  <si>
    <t>A4 for module replacement
UPS not backing-up</t>
  </si>
  <si>
    <t>Unit is operational except A2 and A3</t>
  </si>
  <si>
    <t>UPS fir replacement</t>
  </si>
  <si>
    <t>https://www.jotform.com/uploads/macarewecare/222927978372067/5769551046613451661/5769551046613451661_signature_28.png</t>
  </si>
  <si>
    <t>https://www.jotform.com/uploads/macarewecare/222927978372067/5769551046613451661/5769551046613451661_signature_31.png</t>
  </si>
  <si>
    <t>VORTEX MIXER</t>
  </si>
  <si>
    <t>PERFORMED SURFACE CLEANING
VERIFIED SPEEDS AT 200RPM AND 3000RPM
PERFORMED FUNCTIONALITY TEST</t>
  </si>
  <si>
    <t>UNIT IS OPERATIONAL</t>
  </si>
  <si>
    <t>https://www.jotform.com/uploads/macarewecare/222927978372067/5769483549321461637/5769483549321461637_signature_28.png</t>
  </si>
  <si>
    <t>https://www.jotform.com/uploads/macarewecare/222927978372067/5769483549321461637/5769483549321461637_signature_31.png</t>
  </si>
  <si>
    <t>https://www.jotform.com/uploads/macarewecare/222927978372067/5769482969324343929/5769482969324343929_signature_28.png</t>
  </si>
  <si>
    <t>https://www.jotform.com/uploads/macarewecare/222927978372067/5769482969324343929/5769482969324343929_signature_31.png</t>
  </si>
  <si>
    <t>https://www.jotform.com/uploads/macarewecare/222927978372067/5769482469324838970/5769482469324838970_signature_28.png</t>
  </si>
  <si>
    <t>https://www.jotform.com/uploads/macarewecare/222927978372067/5769482469324838970/5769482469324838970_signature_31.png</t>
  </si>
  <si>
    <t>IRIS</t>
  </si>
  <si>
    <t>STATSPIN EXPRESS 2</t>
  </si>
  <si>
    <t>PERFORMED SURFACE CLEANING
VERIFIED SPEEDS AT 1000RPM AND 3000RPM
PERFORMED FUNCTIONALITY TEST</t>
  </si>
  <si>
    <t>https://www.jotform.com/uploads/macarewecare/222927978372067/5769481889327822928/5769481889327822928_signature_28.png</t>
  </si>
  <si>
    <t>https://www.jotform.com/uploads/macarewecare/222927978372067/5769481889327822928/5769481889327822928_signature_31.png</t>
  </si>
  <si>
    <t>THERMAL MIXER</t>
  </si>
  <si>
    <t>PERFORMED SURFACE CLEANING
VERIFIED SPEEDS AT 500RPM AND 2000RPM
VERIFIED TEMPERATURES AT 55°C AND 60°C
PERFORMED FUNCTIONALITY TEST</t>
  </si>
  <si>
    <t>https://www.jotform.com/uploads/macarewecare/222927978372067/5769481039325308560/5769481039325308560_signature_28.png</t>
  </si>
  <si>
    <t>https://www.jotform.com/uploads/macarewecare/222927978372067/5769481039325308560/5769481039325308560_signature_31.png</t>
  </si>
  <si>
    <t>MYSPIN 12</t>
  </si>
  <si>
    <t>PERFORMED SURFACE CLEANING
VERIFIED SPEEDS AT 500RPM AND 12500RPM
PERFORMED FUNCTIONALITY TEST</t>
  </si>
  <si>
    <t>https://www.jotform.com/uploads/macarewecare/222927978372067/5769479829325728189/5769479829325728189_signature_28.png</t>
  </si>
  <si>
    <t>https://www.jotform.com/uploads/macarewecare/222927978372067/5769479829325728189/5769479829325728189_signature_31.png</t>
  </si>
  <si>
    <t>https://www.jotform.com/uploads/macarewecare/222927978372067/5769478929326484687/5769478929326484687_signature_28.png</t>
  </si>
  <si>
    <t>https://www.jotform.com/uploads/macarewecare/222927978372067/5769478929326484687/5769478929326484687_signature_31.png</t>
  </si>
  <si>
    <t>https://www.jotform.com/uploads/macarewecare/222927978372067/5769477869328110155/5769477869328110155_signature_28.png</t>
  </si>
  <si>
    <t>https://www.jotform.com/uploads/macarewecare/222927978372067/5769477869328110155/5769477869328110155_signature_31.png</t>
  </si>
  <si>
    <t>https://www.jotform.com/uploads/macarewecare/222927978372067/5769477269326873816/5769477269326873816_signature_28.png</t>
  </si>
  <si>
    <t>https://www.jotform.com/uploads/macarewecare/222927978372067/5769477269326873816/5769477269326873816_signature_31.png</t>
  </si>
  <si>
    <t>MEDIFUGE</t>
  </si>
  <si>
    <t>PERFORMED SURFACE CLEANING
VERIFIED SPEEDS AT 1000RPM AND 5000RPM
PERFORMED FUNCTIONALITY TEST</t>
  </si>
  <si>
    <t>https://www.jotform.com/uploads/macarewecare/222927978372067/5769476419323963647/5769476419323963647_signature_28.png</t>
  </si>
  <si>
    <t>https://www.jotform.com/uploads/macarewecare/222927978372067/5769476419323963647/5769476419323963647_signature_31.png</t>
  </si>
  <si>
    <t>LW SCIENTIFIC</t>
  </si>
  <si>
    <t>EZ SWING</t>
  </si>
  <si>
    <t>https://www.jotform.com/uploads/macarewecare/222927978372067/5769475839324074131/5769475839324074131_signature_28.png</t>
  </si>
  <si>
    <t>https://www.jotform.com/uploads/macarewecare/222927978372067/5769475839324074131/5769475839324074131_signature_31.png</t>
  </si>
  <si>
    <t>ESCO</t>
  </si>
  <si>
    <t>PERFORMED SURFACE CLEANING
VERIFIED TEMPERATURES AT 56°C AND 60°C
PERFORMED FUNCTIONALITY TEST</t>
  </si>
  <si>
    <t>https://www.jotform.com/uploads/macarewecare/222927978372067/5769475129324001373/5769475129324001373_signature_28.png</t>
  </si>
  <si>
    <t>https://www.jotform.com/uploads/macarewecare/222927978372067/5769475129324001373/5769475129324001373_signature_31.png</t>
  </si>
  <si>
    <t>https://www.jotform.com/uploads/macarewecare/222927978372067/5769467549325187881/5769467549325187881_signature_28.png</t>
  </si>
  <si>
    <t>https://www.jotform.com/uploads/macarewecare/222927978372067/5769467549325187881/5769467549325187881_signature_31.png</t>
  </si>
  <si>
    <t>CONDURA</t>
  </si>
  <si>
    <t>CTD311MNI</t>
  </si>
  <si>
    <t>PERFORMED SURFACE CLEANING
VERIFIED TEMPERATURES AT 2°C, 8°C  AND -20°C
PERFORMED FUNCTIONALITY TEST</t>
  </si>
  <si>
    <t>https://www.jotform.com/uploads/macarewecare/222927978372067/5769465979324312899/5769465979324312899_signature_28.png</t>
  </si>
  <si>
    <t>https://www.jotform.com/uploads/macarewecare/222927978372067/5769465979324312899/5769465979324312899_signature_31.png</t>
  </si>
  <si>
    <t>PERFORMED SURFACE CLEANING
VERIFIED TEMPERATURES AT 2°C AND 8°C
PERFORMED FUNCTIONALITY TEST</t>
  </si>
  <si>
    <t>https://www.jotform.com/uploads/macarewecare/222927978372067/5769465279326051419/5769465279326051419_signature_28.png</t>
  </si>
  <si>
    <t>https://www.jotform.com/uploads/macarewecare/222927978372067/5769465279326051419/5769465279326051419_signature_31.png</t>
  </si>
  <si>
    <t>https://www.jotform.com/uploads/macarewecare/222927978372067/5769464629322865476/5769464629322865476_signature_28.png</t>
  </si>
  <si>
    <t>https://www.jotform.com/uploads/macarewecare/222927978372067/5769464629322865476/5769464629322865476_signature_31.png</t>
  </si>
  <si>
    <t>https://www.jotform.com/uploads/macarewecare/222927978372067/5769464039329108084/5769464039329108084_signature_28.png</t>
  </si>
  <si>
    <t>https://www.jotform.com/uploads/macarewecare/222927978372067/5769464039329108084/5769464039329108084_signature_31.png</t>
  </si>
  <si>
    <t>BIOBASE</t>
  </si>
  <si>
    <t>PERFORMED SURFACE CLEANING
VERIFIED TEMPERATURES AT 134°C
PERFORMED FUNCTIONALITY TEST</t>
  </si>
  <si>
    <t>https://www.jotform.com/uploads/macarewecare/222927978372067/5769463179326512610/5769463179326512610_signature_28.png</t>
  </si>
  <si>
    <t>https://www.jotform.com/uploads/macarewecare/222927978372067/5769463179326512610/5769463179326512610_signature_31.png</t>
  </si>
  <si>
    <t>https://www.jotform.com/uploads/macarewecare/222927978372067/5769462639329584039/5769462639329584039_signature_28.png</t>
  </si>
  <si>
    <t>https://www.jotform.com/uploads/macarewecare/222927978372067/5769462639329584039/5769462639329584039_signature_31.png</t>
  </si>
  <si>
    <t>MEDX</t>
  </si>
  <si>
    <t>PERFORMED SURFACE CLEANING
VERIFIED TEMPERATURES AT 129°C
PERFORMED FUNCTIONALITY TEST</t>
  </si>
  <si>
    <t>https://www.jotform.com/uploads/macarewecare/222927978372067/5769462029325381250/5769462029325381250_signature_28.png</t>
  </si>
  <si>
    <t>https://www.jotform.com/uploads/macarewecare/222927978372067/5769462029325381250/5769462029325381250_signature_31.png</t>
  </si>
  <si>
    <t>https://www.jotform.com/uploads/macarewecare/222927978372067/5769461469322919146/5769461469322919146_signature_28.png</t>
  </si>
  <si>
    <t>https://www.jotform.com/uploads/macarewecare/222927978372067/5769461469322919146/5769461469322919146_signature_31.png</t>
  </si>
  <si>
    <t>https://www.jotform.com/uploads/macarewecare/222927978372067/5769460949324657075/5769460949324657075_signature_28.png</t>
  </si>
  <si>
    <t>https://www.jotform.com/uploads/macarewecare/222927978372067/5769460949324657075/5769460949324657075_signature_31.png</t>
  </si>
  <si>
    <t>PRE NAT II</t>
  </si>
  <si>
    <t>PERFORMED SURFACE CLEANING
CHECKED AND VERIFIED ALIGNMENTS
PERFORMED WATER RUN
PERFORMED FUNCTIONALITY TEST</t>
  </si>
  <si>
    <t>https://www.jotform.com/uploads/macarewecare/222927978372067/5769460239329183442/5769460239329183442_signature_28.png</t>
  </si>
  <si>
    <t>https://www.jotform.com/uploads/macarewecare/222927978372067/5769460239329183442/5769460239329183442_signature_31.png</t>
  </si>
  <si>
    <t>https://www.jotform.com/uploads/macarewecare/222927978372067/5769459579326898557/5769459579326898557_signature_28.png</t>
  </si>
  <si>
    <t>https://www.jotform.com/uploads/macarewecare/222927978372067/5769459579326898557/5769459579326898557_signature_31.png</t>
  </si>
  <si>
    <t>MAGCORE PLUS II</t>
  </si>
  <si>
    <t>https://www.jotform.com/uploads/macarewecare/222927978372067/5769458969326434279/5769458969326434279_signature_28.png</t>
  </si>
  <si>
    <t>https://www.jotform.com/uploads/macarewecare/222927978372067/5769458969326434279/5769458969326434279_signature_31.png</t>
  </si>
  <si>
    <t>PERFORMED SURFACE CLEANING
VERIFIED TEMPERATURE AT -20°C
PERFORMED DEFROSTING
PERFORMED FUNCTIONALITY TEST</t>
  </si>
  <si>
    <t>https://www.jotform.com/uploads/macarewecare/222927978372067/5769458509326346099/5769458509326346099_signature_28.png</t>
  </si>
  <si>
    <t>https://www.jotform.com/uploads/macarewecare/222927978372067/5769458509326346099/5769458509326346099_signature_31.png</t>
  </si>
  <si>
    <t>PERFORMED SURFACE CLEANING
VERIFIED TEMPERATURE AT -80°C
PERFORMED DEFROSTING
PERFORMED FUNCTIONALITY TEST</t>
  </si>
  <si>
    <t>https://www.jotform.com/uploads/macarewecare/222927978372067/5769458069327860322/5769458069327860322_signature_28.png</t>
  </si>
  <si>
    <t>https://www.jotform.com/uploads/macarewecare/222927978372067/5769458069327860322/5769458069327860322_signature_31.png</t>
  </si>
  <si>
    <t>https://www.jotform.com/uploads/macarewecare/222927978372067/5769457539325151626/5769457539325151626_signature_28.png</t>
  </si>
  <si>
    <t>https://www.jotform.com/uploads/macarewecare/222927978372067/5769457539325151626/5769457539325151626_signature_31.png</t>
  </si>
  <si>
    <t>674 N.S. Amoranto Sr. St, Quezon City</t>
  </si>
  <si>
    <t xml:space="preserve">ASSAY: Xpert BCR-ABL Ultra, COUNT: 40
ASSAY: Xpert HPV, COUNT: 10
ASSAY: Xpert MTB/RIF Ultra, COUNT: 5201
</t>
  </si>
  <si>
    <t>Module B2 frequent error 2008</t>
  </si>
  <si>
    <t>Checked and cleaned cartridge bays, plunger rod, icore slot and filter
Performed functionality test
Archived results 
Generated report</t>
  </si>
  <si>
    <t>Checked modules
Performed maintenance</t>
  </si>
  <si>
    <t>Unut ia operational
Archived results to be checked by specialist</t>
  </si>
  <si>
    <t>https://www.jotform.com/uploads/macarewecare/222927978372067/5769456653619524450/5769456653619524450_signature_28.png</t>
  </si>
  <si>
    <t>Rachel Anne Alhambra</t>
  </si>
  <si>
    <t>https://www.jotform.com/uploads/macarewecare/222927978372067/5769456653619524450/5769456653619524450_signature_31.png</t>
  </si>
  <si>
    <t>D. Santiago St., Sampaloc, Manila</t>
  </si>
  <si>
    <t xml:space="preserve">ASSAY: Xpert MTB/RIF Ultra, COUNT: 1089
</t>
  </si>
  <si>
    <t>Replaced module A4
716610 -&gt; 644056</t>
  </si>
  <si>
    <t>G6484</t>
  </si>
  <si>
    <t>https://www.jotform.com/uploads/macarewecare/222927978372067/5769453133615985173/5769453133615985173_signature_28.png</t>
  </si>
  <si>
    <t>Flory Fe A. Paas</t>
  </si>
  <si>
    <t>https://www.jotform.com/uploads/macarewecare/222927978372067/5769453133615985173/5769453133615985173_signature_31.png</t>
  </si>
  <si>
    <t xml:space="preserve">ASSAY: Xpert HIV-1 Viral Load, COUNT: 203
</t>
  </si>
  <si>
    <t>Cleaned Cartridge Bay, Plunger Rod and Filter
Performed Self-test
Generate Reports</t>
  </si>
  <si>
    <t>https://www.jotform.com/uploads/macarewecare/222927978372067/5769432763617784171/5769432763617784171_signature_28.png</t>
  </si>
  <si>
    <t>Maria Christina Camille Saddul</t>
  </si>
  <si>
    <t>https://www.jotform.com/uploads/macarewecare/222927978372067/5769432763617784171/5769432763617784171_signature_31.png</t>
  </si>
  <si>
    <t>Hospital Rd., General Trias, Cavite</t>
  </si>
  <si>
    <t xml:space="preserve">ASSAY: Xpert MTB/RIF Ultra, COUNT: 2987
ASSAY: Xpert HIV-1 Viral Load, COUNT: 175
</t>
  </si>
  <si>
    <t>Module 1 with Temperature Error
Unit is due for XpertCheck</t>
  </si>
  <si>
    <t>XpertCheck
Module Replacement
Preventive Maintenance</t>
  </si>
  <si>
    <t>Replaced Module 1
Performed Maintenance
Performed XpertCheck
Generate Reports
Performed Self-test</t>
  </si>
  <si>
    <t>3 Modules are Operational, 1 For Reporting</t>
  </si>
  <si>
    <t>A2 Failed in XpertCheck</t>
  </si>
  <si>
    <t>https://www.jotform.com/uploads/macarewecare/222927978372067/5769432283614147679/5769432283614147679_signature_28.png</t>
  </si>
  <si>
    <t>https://www.jotform.com/uploads/macarewecare/222927978372067/5769432283614147679/5769432283614147679_signature_31.png</t>
  </si>
  <si>
    <t xml:space="preserve">ASSAY: Xpert HPV, COUNT: 138
ASSAY: Xpert MTB/RIF Ultra, COUNT: 1993
</t>
  </si>
  <si>
    <t>Modules 3 and 4 with Temperature Error</t>
  </si>
  <si>
    <t>Performed Maintenance
Replaced Modules 3 and 4
Generate Reports</t>
  </si>
  <si>
    <t>3 Modules are Operational, 1 Module for Replacement</t>
  </si>
  <si>
    <t>https://www.jotform.com/uploads/macarewecare/222927978372067/5769431863614142157/5769431863614142157_signature_28.png</t>
  </si>
  <si>
    <t>https://www.jotform.com/uploads/macarewecare/222927978372067/5769431863614142157/5769431863614142157_signature_31.png</t>
  </si>
  <si>
    <t>Indang-Trece Rd, Trece Martires,Cavite</t>
  </si>
  <si>
    <t xml:space="preserve">ASSAY: Xpert MTB/RIF Ultra, COUNT: 1486
ASSAY: Xpert HIV-1 Viral Load, COUNT: 206
</t>
  </si>
  <si>
    <t>GXIV-L</t>
  </si>
  <si>
    <t>Performed Maintenance
Replaced Module 2
Performed Self-test
Generate Reports</t>
  </si>
  <si>
    <t>https://www.jotform.com/uploads/macarewecare/222927978372067/5769430633611882401/5769430633611882401_signature_28.png</t>
  </si>
  <si>
    <t>JAEMIEL JUVIRENS A. DIMARANAN</t>
  </si>
  <si>
    <t>https://www.jotform.com/uploads/macarewecare/222927978372067/5769430633611882401/5769430633611882401_signature_31.png</t>
  </si>
  <si>
    <t>https://www.jotform.com/uploads/macarewecare/222927978372067/5769430633612958646/5769430633612958646_signature_28.png</t>
  </si>
  <si>
    <t>https://www.jotform.com/uploads/macarewecare/222927978372067/5769430633612958646/5769430633612958646_signature_31.png</t>
  </si>
  <si>
    <t>National Road, Putatan, Muntinlupa</t>
  </si>
  <si>
    <t>apmolera@gmail.com</t>
  </si>
  <si>
    <t xml:space="preserve">ASSAY: Xpert HPV, COUNT: 123
ASSAY: Xpert MTB/RIF Ultra, COUNT: 1638
ASSAY: Xpert HIV-1 Viral Load, COUNT: 89
</t>
  </si>
  <si>
    <t>Performed Maintenance
Performed XpertCheck
Performed Selft-test
Backup Tests
Generate Reports</t>
  </si>
  <si>
    <t>B3 Failed in XpertCheck</t>
  </si>
  <si>
    <t>https://www.jotform.com/uploads/macarewecare/222927978372067/5769430633614742806/5769430633614742806_signature_28.png</t>
  </si>
  <si>
    <t>Aleli P. Molera</t>
  </si>
  <si>
    <t>https://www.jotform.com/uploads/macarewecare/222927978372067/5769430633614742806/5769430633614742806_signature_31.png</t>
  </si>
  <si>
    <t>https://www.jotform.com/uploads/macarewecare/222927978372067/5769430633618646958/5769430633618646958_signature_28.png</t>
  </si>
  <si>
    <t>https://www.jotform.com/uploads/macarewecare/222927978372067/5769430633618646958/5769430633618646958_signature_31.png</t>
  </si>
  <si>
    <t>https://www.jotform.com/uploads/macarewecare/222927978372067/5769430633616571045/5769430633616571045_signature_28.png</t>
  </si>
  <si>
    <t>https://www.jotform.com/uploads/macarewecare/222927978372067/5769430633616571045/5769430633616571045_signature_31.png</t>
  </si>
  <si>
    <t>- Cleaned Cartridge Bays, Plunger Rods and I-CORE 
- Replaced Defective Module  609462 &gt;&gt;&gt; 863141
- Generated reports</t>
  </si>
  <si>
    <t>GeneXpert Module 863141</t>
  </si>
  <si>
    <t>https://www.jotform.com/uploads/macarewecare/222927978372067/5769414472082164060/5769414472082164060_signature_28.png</t>
  </si>
  <si>
    <t>Lorna rabara</t>
  </si>
  <si>
    <t>https://www.jotform.com/uploads/macarewecare/222927978372067/5769414472082164060/5769414472082164060_signature_31.png</t>
  </si>
  <si>
    <t>Modules B1, B3 and B4 for reporting</t>
  </si>
  <si>
    <t>https://www.jotform.com/uploads/macarewecare/222927978372067/5769409542084176149/5769409542084176149_signature_28.png</t>
  </si>
  <si>
    <t>https://www.jotform.com/uploads/macarewecare/222927978372067/5769409542084176149/5769409542084176149_signature_31.png</t>
  </si>
  <si>
    <t>jocelynrote.1970@gmail.com</t>
  </si>
  <si>
    <t>https://www.jotform.com/uploads/macarewecare/222927978372067/5769408633617502103/5769408633617502103_signature_28.png</t>
  </si>
  <si>
    <t>https://www.jotform.com/uploads/macarewecare/222927978372067/5769408633617502103/5769408633617502103_signature_31.png</t>
  </si>
  <si>
    <t xml:space="preserve">ASSAY: Xpert MTB/RIF, COUNT: 1408
</t>
  </si>
  <si>
    <t>Module B1 and B4 for observation</t>
  </si>
  <si>
    <t>https://www.jotform.com/uploads/macarewecare/222927978372067/5769406392086540799/5769406392086540799_signature_28.png</t>
  </si>
  <si>
    <t>https://www.jotform.com/uploads/macarewecare/222927978372067/5769406392086540799/5769406392086540799_signature_31.png</t>
  </si>
  <si>
    <t>Camalig, Albay</t>
  </si>
  <si>
    <t xml:space="preserve">ASSAY: , COUNT: 798
</t>
  </si>
  <si>
    <t>B1/788971 for module replacement</t>
  </si>
  <si>
    <t>Replaced module: B1-788971&gt;&gt;680782
Cleaned cartridge bays, plunger rod, icore, fan 
Generate reports</t>
  </si>
  <si>
    <t>Replaced Module B1
Performed Preventive Maintenance</t>
  </si>
  <si>
    <t>https://www.jotform.com/uploads/macarewecare/222927978372067/5768962085318458696/5768962085318458696_signature_28.png</t>
  </si>
  <si>
    <t>https://www.jotform.com/uploads/macarewecare/222927978372067/5768962085318458696/5768962085318458696_signature_31.png</t>
  </si>
  <si>
    <t>Matnog Medicare Community Hospital</t>
  </si>
  <si>
    <t>macaretablet.engineering@gmail.com</t>
  </si>
  <si>
    <t>Check power cord, cpu, power button, cpu and ups ports, RAM. Cleaned internal CPU.</t>
  </si>
  <si>
    <t>https://www.jotform.com/uploads/data:,</t>
  </si>
  <si>
    <t>https://www.jotform.com/uploads/macarewecare/222927978372067/5768951755319072810/5768951755319072810_signature_31.png</t>
  </si>
  <si>
    <t>Bulan, Sorsogon</t>
  </si>
  <si>
    <t>gemmaalbello1970@g.mail.com</t>
  </si>
  <si>
    <t xml:space="preserve">ASSAY: , COUNT: 2574
</t>
  </si>
  <si>
    <t>Cleaned cartridge bays, plunger rod, icore
Generate reports</t>
  </si>
  <si>
    <t>https://www.jotform.com/uploads/macarewecare/222927978372067/5768944355314939727/5768944355314939727_signature_28.png</t>
  </si>
  <si>
    <t>Gemma G. Albello</t>
  </si>
  <si>
    <t>https://www.jotform.com/uploads/macarewecare/222927978372067/5768944355314939727/5768944355314939727_signature_31.png</t>
  </si>
  <si>
    <t>San Jacinto,  Masbate</t>
  </si>
  <si>
    <t xml:space="preserve">ASSAY: , COUNT: 1285
</t>
  </si>
  <si>
    <t>For Anual Calibration</t>
  </si>
  <si>
    <t>XpertCheck Result: All modules passed
Cleaned cartridge bays, plunger rod, icore 
Generate reports</t>
  </si>
  <si>
    <t>https://www.jotform.com/uploads/macarewecare/222927978372067/5768933075312741640/5768933075312741640_signature_31.png</t>
  </si>
  <si>
    <t>Bulusan RHU</t>
  </si>
  <si>
    <t>Bulusan,  Sorsogon</t>
  </si>
  <si>
    <t xml:space="preserve">ASSAY: , COUNT: 718
</t>
  </si>
  <si>
    <t>B2/788991 for Module Replacement</t>
  </si>
  <si>
    <t>Replaced Module: B2-788991&gt;&gt;621480
Cleaned cartridge bays, plunger rod, icore, fan 
Generate reports</t>
  </si>
  <si>
    <t>Unjt is operational</t>
  </si>
  <si>
    <t>https://www.jotform.com/uploads/macarewecare/222927978372067/5768923405316557890/5768923405316557890_signature_28.png</t>
  </si>
  <si>
    <t>Maria Arlene G. Ragasa</t>
  </si>
  <si>
    <t>https://www.jotform.com/uploads/macarewecare/222927978372067/5768923405316557890/5768923405316557890_signature_31.png</t>
  </si>
  <si>
    <t>PASSI CITY HEALTH OFFICE</t>
  </si>
  <si>
    <t>PASSI CITY , ILOILO</t>
  </si>
  <si>
    <t xml:space="preserve">ASSAY: Xpert MTB/RIF Ultra, COUNT: 4421
ASSAY: Xpert HIV-1 Viral Load, COUNT: 264
</t>
  </si>
  <si>
    <t>FOR MODULE A1 AND MODULE A4 REPLACEMENT</t>
  </si>
  <si>
    <t>-PERFORM PREVENTIVE MAINTENANCE
-PERFORM MODULE REPLACEMENT: 
A1 DEF SN:210068726 WITH NEW SN:892448
A4 DEF SN:684889 WITH NEW SN:862309</t>
  </si>
  <si>
    <t>https://www.jotform.com/uploads/macarewecare/222927978372067/5766437592275827487/5766437592275827487_signature_28.png</t>
  </si>
  <si>
    <t>https://www.jotform.com/uploads/macarewecare/222927978372067/5766437592275827487/5766437592275827487_signature_31.png</t>
  </si>
  <si>
    <t xml:space="preserve">ASSAY: Xpert MTB/RIF Ultra, COUNT: 743
ASSAY: Xpert HIV-1 Viral Load, COUNT: 18
</t>
  </si>
  <si>
    <t>GX-XVI-L-6C</t>
  </si>
  <si>
    <t>Performed maintenance
Cleaned cartridge bay, plunger rod, icore and filter
Run XpertCheck
Generated reports</t>
  </si>
  <si>
    <t>Unit is operational. Module A2 not calibrated, module does not appear in XpertCheck. Module C1, D4 and B4 service required</t>
  </si>
  <si>
    <t>https://www.jotform.com/uploads/macarewecare/222927978372067/5766244726222353849/5766244726222353849_signature_28.png</t>
  </si>
  <si>
    <t>https://www.jotform.com/uploads/macarewecare/222927978372067/5766244726222353849/5766244726222353849_signature_31.png</t>
  </si>
  <si>
    <t>BAGO CITY HEALTH OFFICE</t>
  </si>
  <si>
    <t>Module bay cleaning, optics cleaning, plunger rod maintenance.</t>
  </si>
  <si>
    <t>Installation of backup Genexpert unit.</t>
  </si>
  <si>
    <t>https://www.jotform.com/uploads/macarewecare/222927978372067/5766184264566810615/5766184264566810615_signature_28.png</t>
  </si>
  <si>
    <t>GLENLY C. CASONA</t>
  </si>
  <si>
    <t>https://www.jotform.com/uploads/macarewecare/222927978372067/5766184264566810615/5766184264566810615_signature_31.png</t>
  </si>
  <si>
    <t xml:space="preserve">REPAIR
ON-SITE ASSISTANCE
</t>
  </si>
  <si>
    <t xml:space="preserve">ASSAY: Xpert MTB/RIF Ultra, COUNT: 2482
</t>
  </si>
  <si>
    <t>Defective Module B4/862207</t>
  </si>
  <si>
    <t>Replace module B4 with new module with SN 671816.</t>
  </si>
  <si>
    <t>2 modules operational, B2 and B3 waiting for availability of  replacement modules.</t>
  </si>
  <si>
    <t>https://www.jotform.com/uploads/macarewecare/222927978372067/5766180914565108621/5766180914565108621_signature_28.png</t>
  </si>
  <si>
    <t>https://www.jotform.com/uploads/macarewecare/222927978372067/5766180914565108621/5766180914565108621_signature_31.png</t>
  </si>
  <si>
    <t>https://www.jotform.com/uploads/macarewecare/222927978372067/5766180564562901081/5766180564562901081_signature_28.png</t>
  </si>
  <si>
    <t>https://www.jotform.com/uploads/macarewecare/222927978372067/5766180564562901081/5766180564562901081_signature_31.png</t>
  </si>
  <si>
    <t xml:space="preserve">ASSAY: Xpert MTB/RIF Ultra, COUNT: 1231
</t>
  </si>
  <si>
    <t>Modules A1, A3 for re XpertCheck</t>
  </si>
  <si>
    <t>Unit is operational.
A1: service required 
A3: service required</t>
  </si>
  <si>
    <t>https://www.jotform.com/uploads/macarewecare/222927978372067/5766167132619300556/5766167132619300556_signature_28.png</t>
  </si>
  <si>
    <t>https://www.jotform.com/uploads/macarewecare/222927978372067/5766167132619300556/5766167132619300556_signature_31.png</t>
  </si>
  <si>
    <t>Don Juan C. Cojuwngco Memorial Health Center</t>
  </si>
  <si>
    <t xml:space="preserve">ASSAY: Xpert MTB/RIF Ultra, COUNT: 1112
</t>
  </si>
  <si>
    <t>HW Failed on module A3</t>
  </si>
  <si>
    <t>A3 failed calibration</t>
  </si>
  <si>
    <t>https://www.jotform.com/uploads/macarewecare/222927978372067/5766150662212475336/5766150662212475336_signature_28.png</t>
  </si>
  <si>
    <t>John M. Esteban</t>
  </si>
  <si>
    <t>https://www.jotform.com/uploads/macarewecare/222927978372067/5766150662212475336/5766150662212475336_signature_31.png</t>
  </si>
  <si>
    <t>Balingasag Rural Health Unit</t>
  </si>
  <si>
    <t>Brgy. Waterfall, Balingasag</t>
  </si>
  <si>
    <t>joelquino79@gmail.com</t>
  </si>
  <si>
    <t>Replacing Module B1 with SN: 615094 to 696057</t>
  </si>
  <si>
    <t>https://www.jotform.com/uploads/macarewecare/222927978372067/5766148594178112692/5766148594178112692_signature_28.png</t>
  </si>
  <si>
    <t>Joel Quiño</t>
  </si>
  <si>
    <t>https://www.jotform.com/uploads/macarewecare/222927978372067/5766148594178112692/5766148594178112692_signature_31.png</t>
  </si>
  <si>
    <t>BACOLOD CITY HEALTH OFFICE</t>
  </si>
  <si>
    <t xml:space="preserve">ASSAY: Xpert MTB/RIF Ultra, COUNT: 6537
</t>
  </si>
  <si>
    <t>Defective module E3/634474.</t>
  </si>
  <si>
    <t>Replaced module E3 with new module with SN 754045.</t>
  </si>
  <si>
    <t>https://www.jotform.com/uploads/macarewecare/222927978372067/5766099664129380333/5766099664129380333_signature_28.png</t>
  </si>
  <si>
    <t>CYRIL CORDOVA, RMT</t>
  </si>
  <si>
    <t>https://www.jotform.com/uploads/macarewecare/222927978372067/5766099664129380333/5766099664129380333_signature_31.png</t>
  </si>
  <si>
    <t>Basio Poblacion Norte, Paniqui Tarlac</t>
  </si>
  <si>
    <t xml:space="preserve">INSTALLATION
MAINTENANCE
</t>
  </si>
  <si>
    <t>CPU and Monitor for replacement</t>
  </si>
  <si>
    <t>Installation and setup
Preventive maintenance</t>
  </si>
  <si>
    <t>Performed CPU and Monitor Replace,ent
Installation and user setup
Gathered reports
Performed functionality test</t>
  </si>
  <si>
    <t>CPU and Moniyor</t>
  </si>
  <si>
    <t>https://www.jotform.com/uploads/macarewecare/222927978372067/5766072192216253915/5766072192216253915_signature_28.png</t>
  </si>
  <si>
    <t>https://www.jotform.com/uploads/macarewecare/222927978372067/5766072192216253915/5766072192216253915_signature_31.png</t>
  </si>
  <si>
    <t>Pascual Laboratories</t>
  </si>
  <si>
    <t>McArthur Highway, Balagtas</t>
  </si>
  <si>
    <t>QC</t>
  </si>
  <si>
    <t>qcventura@pascuallab.com</t>
  </si>
  <si>
    <t>mbjimenez@pascuallab.com</t>
  </si>
  <si>
    <t>Axioscope A.1</t>
  </si>
  <si>
    <t>Replaced bulb</t>
  </si>
  <si>
    <t>Performed maintenance
Replaced bulb
Cleaned microscope body
Cleaned lenses
Cleaned filter
Checked camera
Performed Kohler Illumination
Functionality test</t>
  </si>
  <si>
    <t>Bulb 12V 50W Halogen Rectangular Filament</t>
  </si>
  <si>
    <t>DR# 10831, PO# 7310003931</t>
  </si>
  <si>
    <t>https://www.jotform.com/uploads/macarewecare/222927978372067/5766070101591689749/5766070101591689749_signature_28.png</t>
  </si>
  <si>
    <t>Maureen Jimenez</t>
  </si>
  <si>
    <t>https://www.jotform.com/uploads/macarewecare/222927978372067/5766070101591689749/5766070101591689749_signature_31.png</t>
  </si>
  <si>
    <t>Taytay Rural Health Unit 5B</t>
  </si>
  <si>
    <t>Taytay, Arenda</t>
  </si>
  <si>
    <t xml:space="preserve">ASSAY: Xpert MTB/RIF Ultra, COUNT: 1410
</t>
  </si>
  <si>
    <t>Module B1 has error 1002</t>
  </si>
  <si>
    <t>Checked module B1</t>
  </si>
  <si>
    <t>Performed maintenance
Checked module B1
Cleaned cartridge bay, plunger rod, icore and filter
Generated reports</t>
  </si>
  <si>
    <t>Unit is operational. Module B1 not operational. For reporting.</t>
  </si>
  <si>
    <t>https://www.jotform.com/uploads/macarewecare/222927978372067/5766061931594515490/5766061931594515490_signature_28.png</t>
  </si>
  <si>
    <t>https://www.jotform.com/uploads/macarewecare/222927978372067/5766061931594515490/5766061931594515490_signature_31.png</t>
  </si>
  <si>
    <t>Philippine Red Cross Q.C</t>
  </si>
  <si>
    <t>Malakas st QC</t>
  </si>
  <si>
    <t>e.villamar@yahoo.com</t>
  </si>
  <si>
    <t>O2A227</t>
  </si>
  <si>
    <t>https://www.jotform.com/uploads/macarewecare/222927978372067/5766003483611051850/5766003483611051850_signature_28.png</t>
  </si>
  <si>
    <t>https://www.jotform.com/uploads/macarewecare/222927978372067/5766003483611051850/5766003483611051850_signature_31.png</t>
  </si>
  <si>
    <t xml:space="preserve">ASSAY: Xpert MTB/RIF Ultra, COUNT: 2260
</t>
  </si>
  <si>
    <t>Genexpert machine Cleaning 
Data collection, IQR, S.Log, Assay statistics report, and archive test</t>
  </si>
  <si>
    <t>https://www.jotform.com/uploads/macarewecare/222927978372067/5765318129128984550/5765318129128984550_signature_28.png</t>
  </si>
  <si>
    <t>June Michele mirasol</t>
  </si>
  <si>
    <t>https://www.jotform.com/uploads/macarewecare/222927978372067/5765318129128984550/5765318129128984550_signature_31.png</t>
  </si>
  <si>
    <t xml:space="preserve">ASSAY: Xpert HPV, COUNT: 193
ASSAY: Xpert MTB/RIF Ultra, COUNT: 2998
ASSAY: Xpert HIV-1 Viral Load, COUNT: 152
ASSAY: Xpert HPV, COUNT: 193
ASSAY: Xpert MTB/RIF Ultra, COUNT: 2998
ASSAY: Xpert HIV-1 Viral Load, COUNT: 152
</t>
  </si>
  <si>
    <t>Module A4 frequent temp error</t>
  </si>
  <si>
    <t>Module A4 disabled. Other modules are functional.</t>
  </si>
  <si>
    <t>Module A4 are within calibrated parameters. Module temperature is too high (ranging from 32C-33C)</t>
  </si>
  <si>
    <t>https://www.jotform.com/uploads/macarewecare/222927978372067/5765304629911588809/5765304629911588809_signature_28.png</t>
  </si>
  <si>
    <t>https://www.jotform.com/uploads/macarewecare/222927978372067/5765304629911588809/5765304629911588809_signature_31.png</t>
  </si>
  <si>
    <t>delacerna.sheryl22@gmail.com</t>
  </si>
  <si>
    <t>Module B3 (786592) for replacement</t>
  </si>
  <si>
    <t>GeneXpert Module
SN: 644074</t>
  </si>
  <si>
    <t>https://www.jotform.com/uploads/macarewecare/222927978372067/5765295342617523734/5765295342617523734_signature_28.png</t>
  </si>
  <si>
    <t>https://www.jotform.com/uploads/macarewecare/222927978372067/5765295342617523734/5765295342617523734_signature_31.png</t>
  </si>
  <si>
    <t xml:space="preserve">ASSAY: Xpert HPV, COUNT: 195
ASSAY: Xpert MTB/RIF Ultra, COUNT: 3160
ASSAY: Xpert HIV-1 Viral Load, COUNT: 133
ASSAY: Xpert HPV, COUNT: 195
ASSAY: Xpert MTB/RIF Ultra, COUNT: 3160
ASSAY: Xpert HIV-1 Viral Load, COUNT: 133
</t>
  </si>
  <si>
    <t>Module A2 disabled, waiting for module replacement. Other modules are functional.</t>
  </si>
  <si>
    <t>https://www.jotform.com/uploads/macarewecare/222927978372067/5765265019917648161/5765265019917648161_signature_28.png</t>
  </si>
  <si>
    <t>Mariel Monilar</t>
  </si>
  <si>
    <t>https://www.jotform.com/uploads/macarewecare/222927978372067/5765265019917648161/5765265019917648161_signature_31.png</t>
  </si>
  <si>
    <t>Poblacion, Compostela</t>
  </si>
  <si>
    <t xml:space="preserve">ASSAY: Xpert MTB/RIF Ultra, COUNT: 1348
</t>
  </si>
  <si>
    <t>H/W Failure at Modules B1 and B4
UPS has no power at Battery Mode</t>
  </si>
  <si>
    <t>Replaced the Defective Module SN :715684 with New Module SN:807990
Replaced the Defective Module SN:676635 with new Module SN:719912
Troubleshoot the UPS</t>
  </si>
  <si>
    <t>Module Replacement
UPS Troubleshooting</t>
  </si>
  <si>
    <t>All Modules are operational
UPS Battery Mode is Defective, Pictures and Videos are documented to be sent at Cepheid for Further Assessment</t>
  </si>
  <si>
    <t>https://www.jotform.com/uploads/macarewecare/222927978372067/5765251757221513612/5765251757221513612_signature_28.png</t>
  </si>
  <si>
    <t>GIRNALYN D. ECONAR</t>
  </si>
  <si>
    <t>https://www.jotform.com/uploads/macarewecare/222927978372067/5765251757221513612/5765251757221513612_signature_31.png</t>
  </si>
  <si>
    <t>Dipolog City, Zamboanga del norte</t>
  </si>
  <si>
    <t>Evaluation of temperature errors, module 2 undergone some test run regarding error 1002, Preventive maintenence.</t>
  </si>
  <si>
    <t>Evaluation of temperature errors, module 2 undergone some test run regarding error 1002</t>
  </si>
  <si>
    <t>Module 2 give excessive error of 1002. Module 1 is available</t>
  </si>
  <si>
    <t>Module 2 need to be replaced</t>
  </si>
  <si>
    <t>https://www.jotform.com/uploads/macarewecare/222927978372067/5765222178112556829/5765222178112556829_signature_28.png</t>
  </si>
  <si>
    <t>https://www.jotform.com/uploads/macarewecare/222927978372067/5765222178112556829/5765222178112556829_signature_31.png</t>
  </si>
  <si>
    <t>8 Katuparan St., Commonwealth, Quezon City</t>
  </si>
  <si>
    <t xml:space="preserve">ASSAY: Xpert MTB/RIF Ultra, COUNT: 2827
ASSAY: Xpert HPV, COUNT: 107
</t>
  </si>
  <si>
    <t>Performed PM
Replaced Module
Generated report</t>
  </si>
  <si>
    <t>Replaced Module A2
754436 -&gt; 643802</t>
  </si>
  <si>
    <t>G 6485</t>
  </si>
  <si>
    <t>https://www.jotform.com/uploads/macarewecare/222927978372067/5765202476904584679/5765202476904584679_signature_28.png</t>
  </si>
  <si>
    <t>Rizza Clemente</t>
  </si>
  <si>
    <t>https://www.jotform.com/uploads/macarewecare/222927978372067/5765202476904584679/5765202476904584679_signature_31.png</t>
  </si>
  <si>
    <t>Kadingilan Rural Health Unit</t>
  </si>
  <si>
    <t>Poblacion, Kadingilan</t>
  </si>
  <si>
    <t>graycey_mikay@yahoo.com</t>
  </si>
  <si>
    <t xml:space="preserve">ASSAY: Xpert MTB/RIF Ultra, COUNT: 217
</t>
  </si>
  <si>
    <t>Reported Defective Module B2</t>
  </si>
  <si>
    <t>Replacing Module B2 with SN: 731556 to SN: 696056</t>
  </si>
  <si>
    <t>https://www.jotform.com/uploads/macarewecare/222927978372067/5765200868114543836/5765200868114543836_signature_28.png</t>
  </si>
  <si>
    <t>Grace B. Remando</t>
  </si>
  <si>
    <t>https://www.jotform.com/uploads/macarewecare/222927978372067/5765200868114543836/5765200868114543836_signature_31.png</t>
  </si>
  <si>
    <t xml:space="preserve">ASSAY: Xpert MTB/RIF Ultra, COUNT: 1058
ASSAY: Xpert HIV-1 Viral Load, COUNT: 174
</t>
  </si>
  <si>
    <t>Modules lost communication when running</t>
  </si>
  <si>
    <t>Checked connections
Checked LAN cable
Checked network switch
Run reliability test
Run actual sample
Generated reports</t>
  </si>
  <si>
    <t>https://www.jotform.com/uploads/macarewecare/222927978372067/5765191412694200263/5765191412694200263_signature_28.png</t>
  </si>
  <si>
    <t>https://www.jotform.com/uploads/macarewecare/222927978372067/5765191412694200263/5765191412694200263_signature_31.png</t>
  </si>
  <si>
    <t>Sta. Lucia Ave., Sta. Lucia, Novaliches, Quezon City</t>
  </si>
  <si>
    <t>Replaced Module A4
643103 -&gt; 702936</t>
  </si>
  <si>
    <t>G6454</t>
  </si>
  <si>
    <t>https://www.jotform.com/uploads/macarewecare/222927978372067/5765150417377959235/5765150417377959235_signature_28.png</t>
  </si>
  <si>
    <t>https://www.jotform.com/uploads/macarewecare/222927978372067/5765150417377959235/5765150417377959235_signature_31.png</t>
  </si>
  <si>
    <t>Payatas B HC</t>
  </si>
  <si>
    <t>Bulacan st,QC</t>
  </si>
  <si>
    <t xml:space="preserve">ASSAY: Xpert MTB/RIF Ultra, COUNT: 2277
</t>
  </si>
  <si>
    <t>https://www.jotform.com/uploads/macarewecare/222927978372067/5765147123615950567/5765147123615950567_signature_28.png</t>
  </si>
  <si>
    <t>https://www.jotform.com/uploads/macarewecare/222927978372067/5765147123615950567/5765147123615950567_signature_31.png</t>
  </si>
  <si>
    <t>Best Diagnostic</t>
  </si>
  <si>
    <t>Matalino st,QC</t>
  </si>
  <si>
    <t>valbuenashy@gmail.com</t>
  </si>
  <si>
    <t xml:space="preserve">ASSAY: Xpert CT/NG, COUNT: 115
ASSAY: Xpert HBV VL, COUNT: 90
ASSAY: Xpert MTB/RIF Ultra, COUNT: 3
ASSAY: Xpert HCV VL, COUNT: 6
ASSAY: Xpert HIV-1 Viral Load, COUNT: 1
</t>
  </si>
  <si>
    <t>https://www.jotform.com/uploads/macarewecare/222927978372067/5765146723617688985/5765146723617688985_signature_28.png</t>
  </si>
  <si>
    <t>https://www.jotform.com/uploads/macarewecare/222927978372067/5765146723617688985/5765146723617688985_signature_31.png</t>
  </si>
  <si>
    <t>AJUY RURAL HEALTH UNIT</t>
  </si>
  <si>
    <t>Ajuy, Iloilo</t>
  </si>
  <si>
    <t>ajuyrhu_11@yahoo.com</t>
  </si>
  <si>
    <t xml:space="preserve">ASSAY: Xpert MTB/RIF Ultra, COUNT: 1148
</t>
  </si>
  <si>
    <t>FOR MODULE B4 REPLACEMENT</t>
  </si>
  <si>
    <t>-PERFORM PREVENTIVE MAINTENANCE
-PERFORM MODULE B4 REPLACEMENT DEF SN: 695906 WITH NEW SN:702385</t>
  </si>
  <si>
    <t>https://www.jotform.com/uploads/macarewecare/222927978372067/5765125415061455817/5765125415061455817_signature_28.png</t>
  </si>
  <si>
    <t>Barbara Kylie Balleza</t>
  </si>
  <si>
    <t>https://www.jotform.com/uploads/macarewecare/222927978372067/5765125415061455817/5765125415061455817_signature_31.png</t>
  </si>
  <si>
    <t>Polanco Rural Health Unit</t>
  </si>
  <si>
    <t>Polanco, Zamboanga del norte</t>
  </si>
  <si>
    <t>MAINTENANCE
Modules Replacement</t>
  </si>
  <si>
    <t>polanco.rhu@gmail.com</t>
  </si>
  <si>
    <t>Replaced modules 600015 and 862129 with modules 802387 and 210004150 respectively.</t>
  </si>
  <si>
    <t>https://www.jotform.com/uploads/macarewecare/222927978372067/5765112198116971749/5765112198116971749_signature_28.png</t>
  </si>
  <si>
    <t>Winielyn F. Tapal</t>
  </si>
  <si>
    <t>https://www.jotform.com/uploads/macarewecare/222927978372067/5765112198116971749/5765112198116971749_signature_31.png</t>
  </si>
  <si>
    <t>Performed Xpertcheck on Module 1 = Passed</t>
  </si>
  <si>
    <t>https://www.jotform.com/uploads/macarewecare/222927978372067/5765105244109444456/5765105244109444456_signature_28.png</t>
  </si>
  <si>
    <t>Teodorico Santua</t>
  </si>
  <si>
    <t>https://www.jotform.com/uploads/macarewecare/222927978372067/5765105244109444456/5765105244109444456_signature_31.png</t>
  </si>
  <si>
    <t>Macare In - House</t>
  </si>
  <si>
    <t>1005 Aurora Grand,Aurora blvd.</t>
  </si>
  <si>
    <t>HPZ220</t>
  </si>
  <si>
    <t>2UA3520VNV</t>
  </si>
  <si>
    <t>Unable to boot</t>
  </si>
  <si>
    <t>Replaced SSD
Installed GX DX
Installed Operating System
Performed functionality test</t>
  </si>
  <si>
    <t>Repair CPU</t>
  </si>
  <si>
    <t>https://www.jotform.com/uploads/macarewecare/222927978372067/5765076293613484590/5765076293613484590_signature_28.png</t>
  </si>
  <si>
    <t>https://www.jotform.com/uploads/macarewecare/222927978372067/5765076293613484590/5765076293613484590_signature_31.png</t>
  </si>
  <si>
    <t>Aurora Grand, QC</t>
  </si>
  <si>
    <t>carlos.leniel.origenes@gmai.com</t>
  </si>
  <si>
    <t>For checkup</t>
  </si>
  <si>
    <t>Checked fuse
Checked batteries
Checked switch</t>
  </si>
  <si>
    <t>https://www.jotform.com/uploads/macarewecare/222927978372067/5764523453612097414/5764523453612097414_signature_28.png</t>
  </si>
  <si>
    <t>Carlos</t>
  </si>
  <si>
    <t>https://www.jotform.com/uploads/macarewecare/222927978372067/5764523453612097414/5764523453612097414_signature_31.png</t>
  </si>
  <si>
    <t>AT1000180910ST0568</t>
  </si>
  <si>
    <t>Doesnt turn on</t>
  </si>
  <si>
    <t>Checked fuse</t>
  </si>
  <si>
    <t>https://www.jotform.com/uploads/macarewecare/222927978372067/5764520363612621563/5764520363612621563_signature_28.png</t>
  </si>
  <si>
    <t>https://www.jotform.com/uploads/macarewecare/222927978372067/5764520363612621563/5764520363612621563_signature_31.png</t>
  </si>
  <si>
    <t>AT1000180910ST0429</t>
  </si>
  <si>
    <t>Checked fuse
Checked battery
Checked switch</t>
  </si>
  <si>
    <t>Condemn unit. Cannot be repaired</t>
  </si>
  <si>
    <t>https://www.jotform.com/uploads/macarewecare/222927978372067/5764518783618304196/5764518783618304196_signature_28.png</t>
  </si>
  <si>
    <t>https://www.jotform.com/uploads/macarewecare/222927978372067/5764518783618304196/5764518783618304196_signature_31.png</t>
  </si>
  <si>
    <t>AT1000181128ST0219</t>
  </si>
  <si>
    <t>Checked fuse
Checked switch
Checked batteries</t>
  </si>
  <si>
    <t>https://www.jotform.com/uploads/macarewecare/222927978372067/5764517133618097905/5764517133618097905_signature_28.png</t>
  </si>
  <si>
    <t>https://www.jotform.com/uploads/macarewecare/222927978372067/5764517133618097905/5764517133618097905_signature_31.png</t>
  </si>
  <si>
    <t>Stucked up cartridge</t>
  </si>
  <si>
    <t>Removing Stucked up carthridge/switch hub connection 2 genexpert unit</t>
  </si>
  <si>
    <t>https://www.jotform.com/uploads/macarewecare/222927978372067/5764471407517037130/5764471407517037130_signature_28.png</t>
  </si>
  <si>
    <t>Ma. Jernai Sosoban</t>
  </si>
  <si>
    <t>https://www.jotform.com/uploads/macarewecare/222927978372067/5764471407517037130/5764471407517037130_signature_31.png</t>
  </si>
  <si>
    <t>Dolores, City of San Fernando,Pampanga</t>
  </si>
  <si>
    <t xml:space="preserve">ASSAY: Xpert HIV-1 Viral Load, COUNT: 239
ASSAY: Xpert HIV-1 Viral Load, COUNT: 573
ASSAY: Xpert HBV VL, COUNT: 88
ASSAY: Xpert HCV VL, COUNT: 22
</t>
  </si>
  <si>
    <t>https://www.jotform.com/uploads/macarewecare/222927978372067/5764451434219308061/5764451434219308061_signature_28.png</t>
  </si>
  <si>
    <t>https://www.jotform.com/uploads/macarewecare/222927978372067/5764451434219308061/5764451434219308061_signature_31.png</t>
  </si>
  <si>
    <t>Mexico Rural Health Unit I</t>
  </si>
  <si>
    <t>Monitor no display on and off</t>
  </si>
  <si>
    <t>Troubleshoot the wirings</t>
  </si>
  <si>
    <t>https://www.jotform.com/uploads/macarewecare/222927978372067/5764403201577462846/5764403201577462846_signature_28.png</t>
  </si>
  <si>
    <t>https://www.jotform.com/uploads/macarewecare/222927978372067/5764403201577462846/5764403201577462846_signature_31.png</t>
  </si>
  <si>
    <t>Bulakan Rural Health Unit I</t>
  </si>
  <si>
    <t>Module A4 for reXpertCheck</t>
  </si>
  <si>
    <t>Peformed XpertCheck on A4</t>
  </si>
  <si>
    <t>Unit is operational.
A4 passed XpertCheck.
A4 is under observation.</t>
  </si>
  <si>
    <t>https://www.jotform.com/uploads/macarewecare/222927978372067/5764367088513957871/5764367088513957871_signature_28.png</t>
  </si>
  <si>
    <t>https://www.jotform.com/uploads/macarewecare/222927978372067/5764367088513957871/5764367088513957871_signature_31.png</t>
  </si>
  <si>
    <t>Module B1 has error 5007/2014</t>
  </si>
  <si>
    <t>Unit is operational. Module B1 under observation.</t>
  </si>
  <si>
    <t>https://www.jotform.com/uploads/macarewecare/222927978372067/5764344957571802395/5764344957571802395_signature_28.png</t>
  </si>
  <si>
    <t>https://www.jotform.com/uploads/macarewecare/222927978372067/5764344957571802395/5764344957571802395_signature_31.png</t>
  </si>
  <si>
    <t>Module C1 has error 4009</t>
  </si>
  <si>
    <t>Performed maintenance
Cleaned cartridge bay, plunger rod, icore and filter
Checked module C1
Generated reports</t>
  </si>
  <si>
    <t>Unit is operational. Module C1 for reporting.</t>
  </si>
  <si>
    <t>https://www.jotform.com/uploads/macarewecare/222927978372067/5764344957576613136/5764344957576613136_signature_28.png</t>
  </si>
  <si>
    <t>https://www.jotform.com/uploads/macarewecare/222927978372067/5764344957576613136/5764344957576613136_signature_31.png</t>
  </si>
  <si>
    <t>Aurora rural health unit</t>
  </si>
  <si>
    <t>Juan luna Street, poblacion aurora,  zamboanaga del sur</t>
  </si>
  <si>
    <t>joann8850@yahoo.com</t>
  </si>
  <si>
    <t xml:space="preserve">ASSAY: Xpert MTB/RIF Ultra, COUNT: 304
</t>
  </si>
  <si>
    <t>Module 2 h/w failed, Uninterrupted power supply malfunction</t>
  </si>
  <si>
    <t>Module 2 undergone Xpertcheck</t>
  </si>
  <si>
    <t>Module 2 undergone calibration, UPS battery in fault.</t>
  </si>
  <si>
    <t>Module 2 needs to be replaced, and UPS needs to be replaced.</t>
  </si>
  <si>
    <t>https://www.jotform.com/uploads/macarewecare/222927978372067/5764317870359207890/5764317870359207890_signature_28.png</t>
  </si>
  <si>
    <t>Jo Ann B. Duran</t>
  </si>
  <si>
    <t>https://www.jotform.com/uploads/macarewecare/222927978372067/5764317870359207890/5764317870359207890_signature_31.png</t>
  </si>
  <si>
    <t>Klinika Novaliches Sundown Clinic</t>
  </si>
  <si>
    <t>2nd flr. Bautista Building, 8 Doña Isaura, Novaliches, QC</t>
  </si>
  <si>
    <t>klinikanovaliches2022@gmail.com</t>
  </si>
  <si>
    <t>laiza.lanuza@gmail.com</t>
  </si>
  <si>
    <t xml:space="preserve">ASSAY: Xpert HIV-1 Viral Load, COUNT: 16
</t>
  </si>
  <si>
    <t>GX and UPS needs socket adaptor</t>
  </si>
  <si>
    <t>Performed PM
Added socket adaptor and fixed cable
Generated report</t>
  </si>
  <si>
    <t>Added socket adaptor</t>
  </si>
  <si>
    <t>https://www.jotform.com/uploads/macarewecare/222927978372067/5764300977519889311/5764300977519889311_signature_28.png</t>
  </si>
  <si>
    <t>ma. laiza mae lanuza</t>
  </si>
  <si>
    <t>https://www.jotform.com/uploads/macarewecare/222927978372067/5764300977519889311/5764300977519889311_signature_31.png</t>
  </si>
  <si>
    <t>Calinan Health Center</t>
  </si>
  <si>
    <t>Poblacion, Calinan Davao City</t>
  </si>
  <si>
    <t>mailfegelacio@gmail.com</t>
  </si>
  <si>
    <t>Error at System Unit
Erratic Lcd Display
Fan Filter is damaged</t>
  </si>
  <si>
    <t>Replace the defective System Unit SN:2UA7021M0R with New System Unit SN: CPH0273F43756
Replace the VGA chord, replace the vga to DP converter into VGA to HDMI</t>
  </si>
  <si>
    <t>System Unit Replacement
Troubleshoot monitor</t>
  </si>
  <si>
    <t>After troubleshooting The Monitor, Erratic display still persist, Documented Videos and Pictures to be sent at Cepheid for further assessment</t>
  </si>
  <si>
    <t>https://www.jotform.com/uploads/macarewecare/222927978372067/5763725900715224387/5763725900715224387_signature_28.png</t>
  </si>
  <si>
    <t>Mail Fe J. Gelacio RMT</t>
  </si>
  <si>
    <t>https://www.jotform.com/uploads/macarewecare/222927978372067/5763725900715224387/5763725900715224387_signature_31.png</t>
  </si>
  <si>
    <t xml:space="preserve">ASSAY: Xpert MTB/RIF, COUNT: 105
ASSAY: Xpert MTB/RIF Ultra, COUNT: 5037
ASSAY: Xpert HIV-1 Viral Load, COUNT: 133
</t>
  </si>
  <si>
    <t>https://www.jotform.com/uploads/macarewecare/222927978372067/5763612352428401258/5763612352428401258_signature_28.png</t>
  </si>
  <si>
    <t>https://www.jotform.com/uploads/macarewecare/222927978372067/5763612352428401258/5763612352428401258_signature_31.png</t>
  </si>
  <si>
    <t>1005 Aurora Blvd. Proj. 3</t>
  </si>
  <si>
    <t>HP Z220</t>
  </si>
  <si>
    <t>2UA3520VTR</t>
  </si>
  <si>
    <t>Replaced SSD
Installed GX DX
Installed Operating System
Functionality test</t>
  </si>
  <si>
    <t>https://www.jotform.com/uploads/macarewecare/222927978372067/5763595003615898527/5763595003615898527_signature_28.png</t>
  </si>
  <si>
    <t>https://www.jotform.com/uploads/macarewecare/222927978372067/5763595003615898527/5763595003615898527_signature_31.png</t>
  </si>
  <si>
    <t>2UA6511RLL</t>
  </si>
  <si>
    <t>https://www.jotform.com/uploads/macarewecare/222927978372067/5763591113619055711/5763591113619055711_signature_28.png</t>
  </si>
  <si>
    <t>https://www.jotform.com/uploads/macarewecare/222927978372067/5763591113619055711/5763591113619055711_signature_31.png</t>
  </si>
  <si>
    <t>1005 Auroa Blvd. Proj. 3</t>
  </si>
  <si>
    <t>Replaced SSD
Installed GX DX
Installed operating system
Functionality test</t>
  </si>
  <si>
    <t>https://www.jotform.com/uploads/macarewecare/222927978372067/5763588703614066428/5763588703614066428_signature_28.png</t>
  </si>
  <si>
    <t>https://www.jotform.com/uploads/macarewecare/222927978372067/5763588703614066428/5763588703614066428_signature_31.png</t>
  </si>
  <si>
    <t xml:space="preserve">ASSAY: Xpert MTB/RIF Ultra, COUNT: 510
</t>
  </si>
  <si>
    <t>CPU hard startup</t>
  </si>
  <si>
    <t>PC Troubleshooting
Preventive maintenance</t>
  </si>
  <si>
    <t>Performed CPU troubleshooting
Performed preventive maintenance
Gathered reports
Performed functionality test</t>
  </si>
  <si>
    <t>Under observation</t>
  </si>
  <si>
    <t>https://www.jotform.com/uploads/macarewecare/222927978372067/5763576484132128330/5763576484132128330_signature_28.png</t>
  </si>
  <si>
    <t>Lady Immaculate Magat</t>
  </si>
  <si>
    <t>https://www.jotform.com/uploads/macarewecare/222927978372067/5763576484132128330/5763576484132128330_signature_31.png</t>
  </si>
  <si>
    <t>https://www.jotform.com/uploads/macarewecare/222927978372067/5763511314139340046/5763511314139340046_signature_28.png</t>
  </si>
  <si>
    <t>Nathalie Coleen Covar</t>
  </si>
  <si>
    <t>https://www.jotform.com/uploads/macarewecare/222927978372067/5763511314139340046/5763511314139340046_signature_31.png</t>
  </si>
  <si>
    <t>Brgy. Pilaring, Pilar</t>
  </si>
  <si>
    <t>DexterJohnTDotillos@gmail.com</t>
  </si>
  <si>
    <t>UPS unable to sustain in battery mode. Automatically shutdown after power interruption.</t>
  </si>
  <si>
    <t>All modules are functional. CPU and Desktop are functional except for UPS.</t>
  </si>
  <si>
    <t>UPS must be replaced with recommended 1KVA POWERCOM Brand Raptor Series.</t>
  </si>
  <si>
    <t>https://www.jotform.com/uploads/macarewecare/222927978372067/5763438001349408719/5763438001349408719_signature_28.png</t>
  </si>
  <si>
    <t>Dexter John T. Dotillos</t>
  </si>
  <si>
    <t>https://www.jotform.com/uploads/macarewecare/222927978372067/5763438001349408719/5763438001349408719_signature_31.png</t>
  </si>
  <si>
    <t>National Rd. Panilao Pilar Bataan</t>
  </si>
  <si>
    <t>A2 for re-xpertcheck due to temperature error</t>
  </si>
  <si>
    <t>https://www.jotform.com/uploads/macarewecare/222927978372067/5763427764137329655/5763427764137329655_signature_28.png</t>
  </si>
  <si>
    <t>https://www.jotform.com/uploads/macarewecare/222927978372067/5763427764137329655/5763427764137329655_signature_31.png</t>
  </si>
  <si>
    <t>Tb-dots</t>
  </si>
  <si>
    <t>Unit is Operational 
- Module B1  disabled (waiting for module replacement)</t>
  </si>
  <si>
    <t>https://www.jotform.com/uploads/macarewecare/222927978372067/5763367109229770841/5763367109229770841_signature_28.png</t>
  </si>
  <si>
    <t>Lorna C. Abaigqr</t>
  </si>
  <si>
    <t>https://www.jotform.com/uploads/macarewecare/222927978372067/5763367109229770841/5763367109229770841_signature_31.png</t>
  </si>
  <si>
    <t xml:space="preserve">ASSAY: Xpert MTB/RIF Ultra, COUNT: 1226
ASSAY: Xpert HIV-1 Viral Load, COUNT: 9
</t>
  </si>
  <si>
    <t>Module B2/668765 defective (for replacement)</t>
  </si>
  <si>
    <t>- Install new module on B2 w/ SN: 655081
- Performed Functionality test 
- Performed Preventive maintenance 
- Generate reports 
- Pullout defective module SN: 668765</t>
  </si>
  <si>
    <t>Genexpert Module 6 Color SN/655081</t>
  </si>
  <si>
    <t>https://www.jotform.com/uploads/macarewecare/222927978372067/5762739796112758881/5762739796112758881_signature_28.png</t>
  </si>
  <si>
    <t>Lerma Fernandez</t>
  </si>
  <si>
    <t>https://www.jotform.com/uploads/macarewecare/222927978372067/5762739796112758881/5762739796112758881_signature_31.png</t>
  </si>
  <si>
    <t>Liwasan ng Bayani, Alabang, Muntinlupa</t>
  </si>
  <si>
    <t xml:space="preserve">ASSAY: Xpert HPV, COUNT: 138
ASSAY: Xpert MTB/RIF Ultra, COUNT: 2000
</t>
  </si>
  <si>
    <t>Performed Maintenance
Replaced UPS Battery
Generate Reports</t>
  </si>
  <si>
    <t>1 Module is Operational, 3 Modules are Defective</t>
  </si>
  <si>
    <t>https://www.jotform.com/uploads/macarewecare/222927978372067/5762678483613665092/5762678483613665092_signature_28.png</t>
  </si>
  <si>
    <t>https://www.jotform.com/uploads/macarewecare/222927978372067/5762678483613665092/5762678483613665092_signature_31.png</t>
  </si>
  <si>
    <t>Corporate Ave, Filinvest, Muntinlupa</t>
  </si>
  <si>
    <t xml:space="preserve">ASSAY: Xpert MTB/RIF Ultra, COUNT: 300
ASSAY: Xpert HIV-1 Viral Load, COUNT: 5
ASSAY: Xpert HPV, COUNT: 61
ASSAY: Xpert HBV VL, COUNT: 2
ASSAY: Others, COUNT: 16
</t>
  </si>
  <si>
    <t>Cleaned Cartridge Bay, Plunger Rod and Filter
Performed Self-test
Checked UPS Function
Generate Reports</t>
  </si>
  <si>
    <t>https://www.jotform.com/uploads/macarewecare/222927978372067/5762677173613314480/5762677173613314480_signature_28.png</t>
  </si>
  <si>
    <t>Daphnie Barrato Sarmiento</t>
  </si>
  <si>
    <t>https://www.jotform.com/uploads/macarewecare/222927978372067/5762677173613314480/5762677173613314480_signature_31.png</t>
  </si>
  <si>
    <t>Laptop Replacement</t>
  </si>
  <si>
    <t>Pulled-out Defective CPU
Installed Back-up Unit
Performed Maintenance
Generate Reports</t>
  </si>
  <si>
    <t>https://www.jotform.com/uploads/macarewecare/222927978372067/5762674613611515039/5762674613611515039_signature_28.png</t>
  </si>
  <si>
    <t>https://www.jotform.com/uploads/macarewecare/222927978372067/5762674613611515039/5762674613611515039_signature_31.png</t>
  </si>
  <si>
    <t>Bacoor Rural Health Unit (Panapaan Health Center)</t>
  </si>
  <si>
    <t>Floraville Subd., Bacoor, Cavite</t>
  </si>
  <si>
    <t xml:space="preserve">ASSAY: Xpert CT/NG, COUNT: 13
ASSAY: Xpert MTB/RIF Ultra, COUNT: 2748
ASSAY: Xpert HIV-1 Viral Load, COUNT: 191
</t>
  </si>
  <si>
    <t>Module 4 with Temperature Error
Unit is due for XpertCheck</t>
  </si>
  <si>
    <t>Performed Maintenance
Replaced Module 4
Performed XpertCheck
Performed Selft-Test
Generate Reports</t>
  </si>
  <si>
    <t>https://www.jotform.com/uploads/macarewecare/222927978372067/5762672813617293397/5762672813617293397_signature_28.png</t>
  </si>
  <si>
    <t>Maria Cecila V. Tobias</t>
  </si>
  <si>
    <t>https://www.jotform.com/uploads/macarewecare/222927978372067/5762672813617293397/5762672813617293397_signature_31.png</t>
  </si>
  <si>
    <t>San Nicolas St, Manila</t>
  </si>
  <si>
    <t>Replaced UPS Batteries
Performed Maintenance
Performed Self-test
Generate Reports</t>
  </si>
  <si>
    <t>All Modules are Available</t>
  </si>
  <si>
    <t>https://www.jotform.com/uploads/macarewecare/222927978372067/5762671643619908332/5762671643619908332_signature_28.png</t>
  </si>
  <si>
    <t>Guadalupe L. Cube</t>
  </si>
  <si>
    <t>https://www.jotform.com/uploads/macarewecare/222927978372067/5762671643619908332/5762671643619908332_signature_31.png</t>
  </si>
  <si>
    <t>Quiricada st., Manila</t>
  </si>
  <si>
    <t>smportugues.pbsp@gmail.com</t>
  </si>
  <si>
    <t xml:space="preserve">ASSAY: Xpert MTB/RIF Ultra, COUNT: 1415
ASSAY: Xpert HIV-1 Viral Load, COUNT: 1177
</t>
  </si>
  <si>
    <t>Module B2 failed in XpertCheck</t>
  </si>
  <si>
    <t>https://www.jotform.com/uploads/macarewecare/222927978372067/5762669043619559903/5762669043619559903_signature_28.png</t>
  </si>
  <si>
    <t>Sheradyne M. Portugues, RMT</t>
  </si>
  <si>
    <t>https://www.jotform.com/uploads/macarewecare/222927978372067/5762669043619559903/5762669043619559903_signature_31.png</t>
  </si>
  <si>
    <t>eeps101487sambolledo@yahoo.com</t>
  </si>
  <si>
    <t xml:space="preserve">ASSAY: Xpert HPV, COUNT: 44
ASSAY: Xpert MTB/RIF Ultra, COUNT: 173
ASSAY: Xpert SARS-CoV-2, COUNT: 110
</t>
  </si>
  <si>
    <t>Performed Maintenance
Performed Self-test
Generate Reports</t>
  </si>
  <si>
    <t>https://www.jotform.com/uploads/macarewecare/222927978372067/5762667953613209919/5762667953613209919_signature_28.png</t>
  </si>
  <si>
    <t>https://www.jotform.com/uploads/macarewecare/222927978372067/5762667953613209919/5762667953613209919_signature_31.png</t>
  </si>
  <si>
    <t xml:space="preserve">ASSAY: Xpert HPV, COUNT: 55
ASSAY: Xpert MTB/RIF Ultra, COUNT: 280
ASSAY: Xpert SARS-CoV-2, COUNT: 331
ASSAY: Xpert HPV, COUNT: 55
ASSAY: Xpert MTB/RIF Ultra, COUNT: 280
ASSAY: Xpert SARS-CoV-2, COUNT: 331
</t>
  </si>
  <si>
    <t>https://www.jotform.com/uploads/macarewecare/222927978372067/5762666623613333342/5762666623613333342_signature_28.png</t>
  </si>
  <si>
    <t>https://www.jotform.com/uploads/macarewecare/222927978372067/5762666623613333342/5762666623613333342_signature_31.png</t>
  </si>
  <si>
    <t xml:space="preserve">ASSAY: Xpert HPV, COUNT: 414
ASSAY: Xpert SARS-CoV-2, COUNT: 4380
ASSAY: Xpert HPV, COUNT: 414
ASSAY: Xpert SARS-CoV-2, COUNT: 4380
</t>
  </si>
  <si>
    <t>GX16-D</t>
  </si>
  <si>
    <t>Performed Maintenance
Purged Test Results
Performed Self-test
Generate Reports</t>
  </si>
  <si>
    <t>14 Modules are Operational</t>
  </si>
  <si>
    <t>Modules A2 and A4 for Reporting</t>
  </si>
  <si>
    <t>https://www.jotform.com/uploads/macarewecare/222927978372067/5762665243614615105/5762665243614615105_signature_28.png</t>
  </si>
  <si>
    <t>https://www.jotform.com/uploads/macarewecare/222927978372067/5762665243614615105/5762665243614615105_signature_31.png</t>
  </si>
  <si>
    <t>Lian Rural Health Unit</t>
  </si>
  <si>
    <t>Lian-Calatagan Rd, Lian, Batangas</t>
  </si>
  <si>
    <t>malcrmt2009@gmail.com</t>
  </si>
  <si>
    <t>Unit is due for XpertCheck
UPS Problem</t>
  </si>
  <si>
    <t>Performed Maintenance
Performed XpertCheck
Checked UPS Function
Checked UPS Output Voltage
Generate Reports</t>
  </si>
  <si>
    <t>UPS is Defective. All Modules are Operational</t>
  </si>
  <si>
    <t>UPS No Back-up Function.</t>
  </si>
  <si>
    <t>https://www.jotform.com/uploads/macarewecare/222927978372067/5762663633612607058/5762663633612607058_signature_28.png</t>
  </si>
  <si>
    <t>Mary Anne C. Sison</t>
  </si>
  <si>
    <t>https://www.jotform.com/uploads/macarewecare/222927978372067/5762663633612607058/5762663633612607058_signature_31.png</t>
  </si>
  <si>
    <t>Dipolog, Zamboanga del norte</t>
  </si>
  <si>
    <t xml:space="preserve">ASSAY: Xpert MTB/RIF Ultra, COUNT: 1396
</t>
  </si>
  <si>
    <t>Replaced module 723386 with Module 888548. Preventive Maintenance</t>
  </si>
  <si>
    <t>https://www.jotform.com/uploads/macarewecare/222927978372067/5762617491793558640/5762617491793558640_signature_28.png</t>
  </si>
  <si>
    <t>https://www.jotform.com/uploads/macarewecare/222927978372067/5762617491793558640/5762617491793558640_signature_31.png</t>
  </si>
  <si>
    <t xml:space="preserve">ASSAY: Xpert HPV, COUNT: 349
ASSAY: Xpert MTB/RIF Ultra, COUNT: 1779
</t>
  </si>
  <si>
    <t>- Cleaned Cartridge Bays, Plunger Rods and I-CORE 
- Replaced Defective Module  801381 &gt;&gt;&gt; 657281
- Generated reports</t>
  </si>
  <si>
    <t>GeneXpert Module 657281</t>
  </si>
  <si>
    <t>https://www.jotform.com/uploads/macarewecare/222927978372067/5762539147067504694/5762539147067504694_signature_28.png</t>
  </si>
  <si>
    <t>Donnel M. Gonzales</t>
  </si>
  <si>
    <t>https://www.jotform.com/uploads/macarewecare/222927978372067/5762539147067504694/5762539147067504694_signature_31.png</t>
  </si>
  <si>
    <t xml:space="preserve">ASSAY: Xpert HPV, COUNT: 75
ASSAY: Xpert MTB/RIF Ultra, COUNT: 574
ASSAY: Others, COUNT: 21
</t>
  </si>
  <si>
    <t>- Cleaned Cartridge Bays, Plunger Rods and I-CORE 
- Replaced Defective Module 220011687 &gt;&gt;&gt; 210048180
- Generated reports</t>
  </si>
  <si>
    <t>GeneXpert Module 210048180</t>
  </si>
  <si>
    <t>https://www.jotform.com/uploads/macarewecare/222927978372067/5762536897069976288/5762536897069976288_signature_28.png</t>
  </si>
  <si>
    <t>https://www.jotform.com/uploads/macarewecare/222927978372067/5762536897069976288/5762536897069976288_signature_31.png</t>
  </si>
  <si>
    <t xml:space="preserve">ASSAY: Xpert MTB/RIF Ultra, COUNT: 902
ASSAY: Others, COUNT: 14
ASSAY: Xpert SARS-CoV-2, COUNT: 3001
</t>
  </si>
  <si>
    <t>Workstation unable to booth,loose power inlet terminal</t>
  </si>
  <si>
    <t>Restart workstation
Reset RAM
Checked voltage output
Fixed power inlet terminal
Checked power supply</t>
  </si>
  <si>
    <t>https://www.jotform.com/uploads/macarewecare/222927978372067/5762474223618133562/5762474223618133562_signature_28.png</t>
  </si>
  <si>
    <t>ISON SAN JOSE</t>
  </si>
  <si>
    <t>https://www.jotform.com/uploads/macarewecare/222927978372067/5762474223618133562/5762474223618133562_signature_31.png</t>
  </si>
  <si>
    <t xml:space="preserve">ASSAY: Xpert CT/NG, COUNT: 8
ASSAY: Others, COUNT: 39
ASSAY: Xpert HPV, COUNT: 69
ASSAY: Xpert MTB/RIF, COUNT: 101
ASSAY: Xpert MTB/RIF Ultra, COUNT: 117
ASSAY: Xpert HCV VL, COUNT: 35
</t>
  </si>
  <si>
    <t>9 module disabled, 3module operational</t>
  </si>
  <si>
    <t>https://www.jotform.com/uploads/macarewecare/222927978372067/5762473883611750160/5762473883611750160_signature_28.png</t>
  </si>
  <si>
    <t>https://www.jotform.com/uploads/macarewecare/222927978372067/5762473883611750160/5762473883611750160_signature_31.png</t>
  </si>
  <si>
    <t xml:space="preserve">ASSAY: Xpert BCR-ABL Ultra, COUNT: 363
ASSAY: Xpert CT/NG, COUNT: 1
ASSAY: Others, COUNT: 20
ASSAY: Xpert HBV VL, COUNT: 281
ASSAY: Xpert HPV, COUNT: 1
ASSAY: Xpert HPV, COUNT: 28
ASSAY: Xpert MTB/RIF, COUNT: 169
ASSAY: Xpert MTB/RIF Ultra, COUNT: 26
ASSAY: Xpert HCV VL, COUNT: 25
</t>
  </si>
  <si>
    <t>Due for maintenance B1,B3,B4 disabled</t>
  </si>
  <si>
    <t>B2 passed xpertcheck</t>
  </si>
  <si>
    <t>https://www.jotform.com/uploads/macarewecare/222927978372067/5762473613615185982/5762473613615185982_signature_28.png</t>
  </si>
  <si>
    <t>https://www.jotform.com/uploads/macarewecare/222927978372067/5762473613615185982/5762473613615185982_signature_31.png</t>
  </si>
  <si>
    <t>florescanoel77@gmail.con</t>
  </si>
  <si>
    <t xml:space="preserve">ASSAY: Xpert BCR-ABL Ultra, COUNT: 978
ASSAY: Others, COUNT: 31
ASSAY: Xpert HBV VL, COUNT: 675
ASSAY: Xpert HPV, COUNT: 128
ASSAY: Xpert MTB/RIF, COUNT: 933
ASSAY: Xpert MTB/RIF Ultra, COUNT: 1476
ASSAY: Xpert SARS-CoV-2, COUNT: 15088
ASSAY: Xpert HCV VL, COUNT: 71
</t>
  </si>
  <si>
    <t>Due for maintenance C2 and A4 hw failed</t>
  </si>
  <si>
    <t>https://www.jotform.com/uploads/macarewecare/222927978372067/5762473323614303344/5762473323614303344_signature_28.png</t>
  </si>
  <si>
    <t>https://www.jotform.com/uploads/macarewecare/222927978372067/5762473323614303344/5762473323614303344_signature_31.png</t>
  </si>
  <si>
    <t xml:space="preserve">ASSAY: Xpert MTB/RIF Ultra, COUNT: 943
</t>
  </si>
  <si>
    <t>Replace defective CPU SN: *CPH0520F08552* with refurbished CPU SN: *CPH1119FO4268*</t>
  </si>
  <si>
    <t>https://www.jotform.com/uploads/macarewecare/222927978372067/5762183144319317567/5762183144319317567_signature_28.png</t>
  </si>
  <si>
    <t>Evelyn A,Cadiz</t>
  </si>
  <si>
    <t>https://www.jotform.com/uploads/macarewecare/222927978372067/5762183144319317567/5762183144319317567_signature_31.png</t>
  </si>
  <si>
    <t>Ospital ng Palawan GX XVI</t>
  </si>
  <si>
    <t>San Juan Rd. Cor. Malvar St., Puerto Princesa City, Palawan</t>
  </si>
  <si>
    <t>svsilva.pbsp@gmail.com</t>
  </si>
  <si>
    <t xml:space="preserve">ASSAY: Xpert MTB/RIF Ultra, COUNT: 3284
ASSAY: Xpert SARS-CoV-2, COUNT: 1747
ASSAY: Xpert HIV-1 Viral Load, COUNT: 173
</t>
  </si>
  <si>
    <t>Modules A4 and B1 for replacment</t>
  </si>
  <si>
    <t>Performed pm
Replaced modules</t>
  </si>
  <si>
    <t>Replaced 2 modules
A4: 210046004 -&gt; 880285
B1: 686440 -&gt; 730690</t>
  </si>
  <si>
    <t>Unit is operational
All 16 modules working</t>
  </si>
  <si>
    <t>DR  45256</t>
  </si>
  <si>
    <t>https://www.jotform.com/uploads/macarewecare/222927978372067/5762107328323673363/5762107328323673363_signature_28.png</t>
  </si>
  <si>
    <t>Shayne Marie Silva</t>
  </si>
  <si>
    <t>https://www.jotform.com/uploads/macarewecare/222927978372067/5762107328323673363/5762107328323673363_signature_31.png</t>
  </si>
  <si>
    <t>Ospital ng Palawan GXIV</t>
  </si>
  <si>
    <t>Laptop for replacement</t>
  </si>
  <si>
    <t>Performed PM
Replaced Laptop
Changed date &amp; time
Setup admin account
Generated report</t>
  </si>
  <si>
    <t>Replaced Laptop</t>
  </si>
  <si>
    <t>Lenovo Laptop</t>
  </si>
  <si>
    <t>FedEx TRK# 7739 0338 7097</t>
  </si>
  <si>
    <t>https://www.jotform.com/uploads/macarewecare/222927978372067/5762099978327895428/5762099978327895428_signature_28.png</t>
  </si>
  <si>
    <t>Shayne Marie V. Silva</t>
  </si>
  <si>
    <t>https://www.jotform.com/uploads/macarewecare/222927978372067/5762099978327895428/5762099978327895428_signature_31.png</t>
  </si>
  <si>
    <t>Valencia St. Brgy. Modal, Puerto Proncesa City, Palawan</t>
  </si>
  <si>
    <t>Modules D1, D2, D3 for replacement</t>
  </si>
  <si>
    <t>Performed PM
Replaced modules
Generated report</t>
  </si>
  <si>
    <t>Replaced 3 modules
D1: 698691 -&gt; 729707
D2: 643930 -&gt; 709361
D3: 640245 -&gt; 804652</t>
  </si>
  <si>
    <t>3 Gx modules 6C</t>
  </si>
  <si>
    <t>DR 45259</t>
  </si>
  <si>
    <t>https://www.jotform.com/uploads/macarewecare/222927978372067/5762096408324243798/5762096408324243798_signature_28.png</t>
  </si>
  <si>
    <t>Jocelyn L. CALALIN</t>
  </si>
  <si>
    <t>https://www.jotform.com/uploads/macarewecare/222927978372067/5762096408324243798/5762096408324243798_signature_31.png</t>
  </si>
  <si>
    <t>krisna.morante@innovationsvh.org</t>
  </si>
  <si>
    <t>Performed maintenance
Cleaned cartridge bay, plunger rod, icore and filter
Checked module B3
Generated reports</t>
  </si>
  <si>
    <t>Unit is operational. Module B3/210035667 not operational. For reporting.</t>
  </si>
  <si>
    <t>https://www.jotform.com/uploads/macarewecare/222927978372067/5760860340317295698/5760860340317295698_signature_28.png</t>
  </si>
  <si>
    <t>https://www.jotform.com/uploads/macarewecare/222927978372067/5760860340317295698/5760860340317295698_signature_31.png</t>
  </si>
  <si>
    <t>ferreradelyn@gmail.com</t>
  </si>
  <si>
    <t>Old: B3/630625
New: B3/787983</t>
  </si>
  <si>
    <t>https://www.jotform.com/uploads/macarewecare/222927978372067/5760860340317911236/5760860340317911236_signature_28.png</t>
  </si>
  <si>
    <t>Adelyn V. Ferrer</t>
  </si>
  <si>
    <t>https://www.jotform.com/uploads/macarewecare/222927978372067/5760860340317911236/5760860340317911236_signature_31.png</t>
  </si>
  <si>
    <t>Module B3 has error 1002</t>
  </si>
  <si>
    <t>Performed maintenance
Checked module B3</t>
  </si>
  <si>
    <t>Performed maintenance
Checked module B3
Functionality test
Generated reports</t>
  </si>
  <si>
    <t>Unit is operational. Module B3 not operational, for reporting.</t>
  </si>
  <si>
    <t>https://www.jotform.com/uploads/macarewecare/222927978372067/5760860340318880720/5760860340318880720_signature_28.png</t>
  </si>
  <si>
    <t>Jacobina A. Ybardolaza</t>
  </si>
  <si>
    <t>https://www.jotform.com/uploads/macarewecare/222927978372067/5760860340318880720/5760860340318880720_signature_31.png</t>
  </si>
  <si>
    <t xml:space="preserve">ASSAY: Xpert MTB/RIF Ultra, COUNT: 2267
</t>
  </si>
  <si>
    <t>Stuck cartridge on A1</t>
  </si>
  <si>
    <t>Performed troubleshooting on A1</t>
  </si>
  <si>
    <t>Unit is operational.
Module A1 for reporting.</t>
  </si>
  <si>
    <t>https://www.jotform.com/uploads/macarewecare/222927978372067/5760228071919866808/5760228071919866808_signature_28.png</t>
  </si>
  <si>
    <t>https://www.jotform.com/uploads/macarewecare/222927978372067/5760228071919866808/5760228071919866808_signature_31.png</t>
  </si>
  <si>
    <t xml:space="preserve">ASSAY: Xpert HBV VL, COUNT: 5
ASSAY: Xpert HPV, COUNT: 581
ASSAY: Xpert MTB/RIF Ultra, COUNT: 3355
</t>
  </si>
  <si>
    <t>Module 1 and 4 error</t>
  </si>
  <si>
    <t>Performed Xpertcheck on module 1, 4</t>
  </si>
  <si>
    <t>Performed Maintenance
Gathered Reports
Performed Functionality</t>
  </si>
  <si>
    <t>A1, A4 = Passed</t>
  </si>
  <si>
    <t>https://www.jotform.com/uploads/macarewecare/222927978372067/5760145813923773152/5760145813923773152_signature_28.png</t>
  </si>
  <si>
    <t>https://www.jotform.com/uploads/macarewecare/222927978372067/5760145813923773152/5760145813923773152_signature_31.png</t>
  </si>
  <si>
    <t>Lapu-Lapu City Health Office</t>
  </si>
  <si>
    <t>Lapu-Lapu City, Cebu</t>
  </si>
  <si>
    <t xml:space="preserve">ASSAY: Xpert MTB/RIF, COUNT: 210
ASSAY: Xpert MTB/RIF Ultra, COUNT: 2497
</t>
  </si>
  <si>
    <t>Module B2 failed XpertCheck. Module B4 frequent temp error.</t>
  </si>
  <si>
    <t>Module B4 under observation.</t>
  </si>
  <si>
    <t>https://www.jotform.com/uploads/macarewecare/222927978372067/5760142981578537748/5760142981578537748_signature_28.png</t>
  </si>
  <si>
    <t>https://www.jotform.com/uploads/macarewecare/222927978372067/5760142981578537748/5760142981578537748_signature_31.png</t>
  </si>
  <si>
    <t xml:space="preserve">ASSAY: Xpert SARS-CoV-2, COUNT: 1238
</t>
  </si>
  <si>
    <t>https://www.jotform.com/uploads/macarewecare/222927978372067/5760071264741740310/5760071264741740310_signature_28.png</t>
  </si>
  <si>
    <t>https://www.jotform.com/uploads/macarewecare/222927978372067/5760071264741740310/5760071264741740310_signature_31.png</t>
  </si>
  <si>
    <t>Installed Genexpert
Installed laptop
Installed UPS
Installed Barcode Scanner
Performed Maintenance
Gathered Reports
Performed Functionality Test</t>
  </si>
  <si>
    <t>Genexpert IV
Laptop
UPS
BARCODE</t>
  </si>
  <si>
    <t>https://www.jotform.com/uploads/macarewecare/222927978372067/5760028003961218531/5760028003961218531_signature_28.png</t>
  </si>
  <si>
    <t>https://www.jotform.com/uploads/macarewecare/222927978372067/5760028003961218531/5760028003961218531_signature_31.png</t>
  </si>
  <si>
    <t>https://www.jotform.com/uploads/macarewecare/222927978372067/5760027733964069903/5760027733964069903_signature_28.png</t>
  </si>
  <si>
    <t>https://www.jotform.com/uploads/macarewecare/222927978372067/5760027733964069903/5760027733964069903_signature_31.png</t>
  </si>
  <si>
    <t>https://www.jotform.com/uploads/macarewecare/222927978372067/5760027093083555410/5760027093083555410_signature_28.png</t>
  </si>
  <si>
    <t>https://www.jotform.com/uploads/macarewecare/222927978372067/5760027093083555410/5760027093083555410_signature_31.png</t>
  </si>
  <si>
    <t>climaco.mildred@gmail.com</t>
  </si>
  <si>
    <t>Module A2 hardware fail</t>
  </si>
  <si>
    <t>Module A2 with serial number 754214 fail for calibration.</t>
  </si>
  <si>
    <t>Perform maintenance for all modules
Calibrate module A2 only.</t>
  </si>
  <si>
    <t>Module A2 not ok to use.</t>
  </si>
  <si>
    <t>https://www.jotform.com/uploads/macarewecare/222927978372067/5760009805413644376/5760009805413644376_signature_28.png</t>
  </si>
  <si>
    <t>Jonnel P. Barnayha</t>
  </si>
  <si>
    <t>https://www.jotform.com/uploads/macarewecare/222927978372067/5760009805413644376/5760009805413644376_signature_31.png</t>
  </si>
  <si>
    <t>PHO MBL Palawan</t>
  </si>
  <si>
    <t>PGP Compund, south National Hi-Way, Brgy. Irawan, Puerto Princesa</t>
  </si>
  <si>
    <t>GC IV 10C</t>
  </si>
  <si>
    <t>GX for installation</t>
  </si>
  <si>
    <t>Installed GX and its accessories
Performed PM
Generated report</t>
  </si>
  <si>
    <t>Installed GX and all accessories</t>
  </si>
  <si>
    <t>Unit is operational
UPS defective out of the box
UPS RPT 2000AP for reporting s/n 40208832105</t>
  </si>
  <si>
    <t>https://www.jotform.com/uploads/macarewecare/222927978372067/5759960309526260723/5759960309526260723_signature_28.png</t>
  </si>
  <si>
    <t>https://www.jotform.com/uploads/macarewecare/222927978372067/5759960309526260723/5759960309526260723_signature_31.png</t>
  </si>
  <si>
    <t xml:space="preserve">ASSAY: Xpert MTB/RIF Ultra, COUNT: 785
</t>
  </si>
  <si>
    <t>Performed Module Replacement on Module 2 - (787950 - 713053)</t>
  </si>
  <si>
    <t>https://www.jotform.com/uploads/macarewecare/222927978372067/5759886492317907327/5759886492317907327_signature_28.png</t>
  </si>
  <si>
    <t>https://www.jotform.com/uploads/macarewecare/222927978372067/5759886492317907327/5759886492317907327_signature_31.png</t>
  </si>
  <si>
    <t>Medilinx</t>
  </si>
  <si>
    <t>Amorsolo st,Makati CIty</t>
  </si>
  <si>
    <t>florescanoel77@fmail.com</t>
  </si>
  <si>
    <t>angelynlangreo.medilinx@outlook.com</t>
  </si>
  <si>
    <t xml:space="preserve">ASSAY: Xpert BCR-ABL Ultra, COUNT: 137
ASSAY: Xpert C. difficile BT, COUNT: 9
ASSAY: Xpert CT/NG, COUNT: 619
ASSAY: Others, COUNT: 7
ASSAY: Xpert HBV VL, COUNT: 15
ASSAY: Xpert HPV, COUNT: 659
ASSAY: Xpert MTB/RIF Ultra, COUNT: 2427
ASSAY: Others, COUNT: 2
ASSAY: Others, COUNT: 10
ASSAY: Xpert HCV VL, COUNT: 57
ASSAY: Xpert HIV-1 Viral Load, COUNT: 1739
</t>
  </si>
  <si>
    <t>B1 failed xpertcheck B2 and B3 newly replaced module,B4 passed xpertcheck</t>
  </si>
  <si>
    <t>https://www.jotform.com/uploads/macarewecare/222927978372067/5759838275517881183/5759838275517881183_signature_28.png</t>
  </si>
  <si>
    <t>Angelyn Langreo</t>
  </si>
  <si>
    <t>https://www.jotform.com/uploads/macarewecare/222927978372067/5759838275517881183/5759838275517881183_signature_31.png</t>
  </si>
  <si>
    <t>Marikina-Sumulong Highway</t>
  </si>
  <si>
    <t xml:space="preserve">ASSAY: Xpert MTB/RIF Ultra, COUNT: 3999
</t>
  </si>
  <si>
    <t>https://www.jotform.com/uploads/macarewecare/222927978372067/5759245519027494122/5759245519027494122_signature_28.png</t>
  </si>
  <si>
    <t>https://www.jotform.com/uploads/macarewecare/222927978372067/5759245519027494122/5759245519027494122_signature_31.png</t>
  </si>
  <si>
    <t>Eastern Visayas Regional Medical Center</t>
  </si>
  <si>
    <t>merl_agner62@yahoo.com</t>
  </si>
  <si>
    <t>shyzamoras@gmail.com</t>
  </si>
  <si>
    <t xml:space="preserve">ASSAY: Xpert MTB/RIF, COUNT: 150
ASSAY: Xpert MTB/RIF Ultra, COUNT: 4400
ASSAY: Xpert HIV-1 Viral Load, COUNT: 250
</t>
  </si>
  <si>
    <t>Module B4/681450 error 2032</t>
  </si>
  <si>
    <t>Unit is Operational 
Module B4 disabled (Defective)</t>
  </si>
  <si>
    <t>https://www.jotform.com/uploads/macarewecare/222927978372067/5759236013126535140/5759236013126535140_signature_28.png</t>
  </si>
  <si>
    <t>Shirlyn C . ZAMORAS</t>
  </si>
  <si>
    <t>https://www.jotform.com/uploads/macarewecare/222927978372067/5759236013126535140/5759236013126535140_signature_31.png</t>
  </si>
  <si>
    <t>Cannot open windows of Laptop</t>
  </si>
  <si>
    <t>Restart Laptop, clean fan filter</t>
  </si>
  <si>
    <t>https://www.jotform.com/uploads/macarewecare/222927978372067/5759220029226766686/5759220029226766686_signature_28.png</t>
  </si>
  <si>
    <t>Jonnifer C. Ceniza</t>
  </si>
  <si>
    <t>https://www.jotform.com/uploads/macarewecare/222927978372067/5759220029226766686/5759220029226766686_signature_31.png</t>
  </si>
  <si>
    <t xml:space="preserve">ASSAY: Xpert MTB/RIF Ultra, COUNT: 219
</t>
  </si>
  <si>
    <t>XpertCheck CE-IVD 5 Cartridges
Lot No. 1000410214</t>
  </si>
  <si>
    <t>https://www.jotform.com/uploads/macarewecare/222927978372067/5759176042524083558/5759176042524083558_signature_28.png</t>
  </si>
  <si>
    <t>Alanna Eureka D. Avila</t>
  </si>
  <si>
    <t>https://www.jotform.com/uploads/macarewecare/222927978372067/5759176042524083558/5759176042524083558_signature_31.png</t>
  </si>
  <si>
    <t xml:space="preserve">ASSAY: Xpert MTB/RIF Ultra, COUNT: 1041
ASSAY: Xpert HIV-1 Viral Load, COUNT: 161
</t>
  </si>
  <si>
    <t>For network switch connection</t>
  </si>
  <si>
    <t>Connected to network switch</t>
  </si>
  <si>
    <t>Performed maintenance
Connected 2 units of GeneXpert in one desktop (805211/831588)
Functionality test
Generated reports</t>
  </si>
  <si>
    <t>Unit is operational. Module B3/657408 not operational, reported already.</t>
  </si>
  <si>
    <t>https://www.jotform.com/uploads/macarewecare/222927978372067/5759165769021852400/5759165769021852400_signature_28.png</t>
  </si>
  <si>
    <t>https://www.jotform.com/uploads/macarewecare/222927978372067/5759165769021852400/5759165769021852400_signature_31.png</t>
  </si>
  <si>
    <t xml:space="preserve">ASSAY: Xpert MTB/RIF Ultra, COUNT: 45
</t>
  </si>
  <si>
    <t>Performed maintenance
Transferred the GeneXpert system to other location (same room)
Functionality test
Generated reports</t>
  </si>
  <si>
    <t>https://www.jotform.com/uploads/macarewecare/222927978372067/5759164639024590649/5759164639024590649_signature_28.png</t>
  </si>
  <si>
    <t>https://www.jotform.com/uploads/macarewecare/222927978372067/5759164639024590649/5759164639024590649_signature_31.png</t>
  </si>
  <si>
    <t>ajdh.hospital@gmail.com</t>
  </si>
  <si>
    <t xml:space="preserve">ASSAY: , COUNT: 2833
</t>
  </si>
  <si>
    <t>Module 3 Hardware Failure</t>
  </si>
  <si>
    <t>Performed Module Replacement on Module 3 - (915564 - 690475)</t>
  </si>
  <si>
    <t>Genexpert Module - 690475</t>
  </si>
  <si>
    <t>https://www.jotform.com/uploads/macarewecare/222927978372067/5759145646939498892/5759145646939498892_signature_28.png</t>
  </si>
  <si>
    <t>Maybel Abuan</t>
  </si>
  <si>
    <t>https://www.jotform.com/uploads/macarewecare/222927978372067/5759145646939498892/5759145646939498892_signature_31.png</t>
  </si>
  <si>
    <t>srnormavspc@gmail.com</t>
  </si>
  <si>
    <t>Unit is operational.
All calibration parameters passed.</t>
  </si>
  <si>
    <t>w/ Engr. Salih</t>
  </si>
  <si>
    <t>https://www.jotform.com/uploads/macarewecare/222927978372067/5759077108317955602/5759077108317955602_signature_28.png</t>
  </si>
  <si>
    <t>Norma Vicentillo</t>
  </si>
  <si>
    <t>https://www.jotform.com/uploads/macarewecare/222927978372067/5759077108317955602/5759077108317955602_signature_31.png</t>
  </si>
  <si>
    <t>Due for Calibration and Preventive Maintenance
CPU System Unit not working</t>
  </si>
  <si>
    <t>Clean Surface Area, Cartridge Bay, Plunger Rod, Fan Filters and Icore Lenses
Troubleshoot the system unit by reseating and cleaning the ram, cmos battery and solid state drive.
Run XPC Calibration</t>
  </si>
  <si>
    <t>Perform Preventive Maintenance, and XpertCheck Calibration
Troubleshooting the System Unit</t>
  </si>
  <si>
    <t>After thoroughly isolation while troubleshooting the System Unit, hence it was defective for not detecting the SSD. No OS was detected.
All Modules Passed the Calibration</t>
  </si>
  <si>
    <t>System Unit was damaged due to leakage of the ceiling of the site. And XpertCheck Calibration was done on a backup/spare unit of the Laboratory</t>
  </si>
  <si>
    <t>https://www.jotform.com/uploads/macarewecare/222927978372067/5758724836412950693/5758724836412950693_signature_28.png</t>
  </si>
  <si>
    <t>Beverly Espinosa, RMT</t>
  </si>
  <si>
    <t>https://www.jotform.com/uploads/macarewecare/222927978372067/5758724836412950693/5758724836412950693_signature_31.png</t>
  </si>
  <si>
    <t>2nd flr, Bautista Bldg, Novaliches Proper, Quezon City</t>
  </si>
  <si>
    <t>Setup GX machine and accessories</t>
  </si>
  <si>
    <t>Installed GeneXpert</t>
  </si>
  <si>
    <t>https://www.jotform.com/uploads/macarewecare/222927978372067/5758661519211807841/5758661519211807841_signature_28.png</t>
  </si>
  <si>
    <t>Michelle Louise D. Perono, RMT</t>
  </si>
  <si>
    <t>https://www.jotform.com/uploads/macarewecare/222927978372067/5758661519211807841/5758661519211807841_signature_31.png</t>
  </si>
  <si>
    <t>V. Luna Medical Center</t>
  </si>
  <si>
    <t>V. Luna Avenue, Quezon City</t>
  </si>
  <si>
    <t>laboratorynco@gmail.com</t>
  </si>
  <si>
    <t>One calibration parameter for adjustment</t>
  </si>
  <si>
    <t>Adjusted Bowl Optics offset</t>
  </si>
  <si>
    <t>Adjusted Bowl Optics offset
Performed functionality test and simulation run</t>
  </si>
  <si>
    <t>https://www.jotform.com/uploads/macarewecare/222927978372067/5758488443691594693/5758488443691594693_signature_28.png</t>
  </si>
  <si>
    <t>Jem Gagan</t>
  </si>
  <si>
    <t>https://www.jotform.com/uploads/macarewecare/222927978372067/5758488443691594693/5758488443691594693_signature_31.png</t>
  </si>
  <si>
    <t>Molave,  Zamboanga del sur</t>
  </si>
  <si>
    <t>Labia</t>
  </si>
  <si>
    <t>Preventive Maintenence while module 2 undergone Xpertcheck calibration and passed</t>
  </si>
  <si>
    <t>Module 1, 2 and 4 are available</t>
  </si>
  <si>
    <t>https://www.jotform.com/uploads/macarewecare/222927978372067/5758415290147786536/5758415290147786536_signature_28.png</t>
  </si>
  <si>
    <t>https://www.jotform.com/uploads/macarewecare/222927978372067/5758415290147786536/5758415290147786536_signature_31.png</t>
  </si>
  <si>
    <t>Performed maintenance
Checked calibration parameters
Checked rotor pumps
Simulation run
Functionality test</t>
  </si>
  <si>
    <t>https://www.jotform.com/uploads/macarewecare/222927978372067/5758393440321481050/5758393440321481050_signature_28.png</t>
  </si>
  <si>
    <t>Ma Gabriela Carag</t>
  </si>
  <si>
    <t>https://www.jotform.com/uploads/macarewecare/222927978372067/5758393440321481050/5758393440321481050_signature_31.png</t>
  </si>
  <si>
    <t>Siquijor Provincial Health Office</t>
  </si>
  <si>
    <t>Caipilan, Siquijor</t>
  </si>
  <si>
    <t xml:space="preserve">ASSAY: Xpert MTB/RIF Ultra, COUNT: 1471
</t>
  </si>
  <si>
    <t>B1 SN # 667651 and B3 SN # 210068080 failed during calibration last October</t>
  </si>
  <si>
    <t>Replaced new module , generate data IQR, gxx giles , system log  , assay statistis, clean  filter and fan , check voltage supply</t>
  </si>
  <si>
    <t>Module replacement in B1 New module 706452 and B3 New Module 807134</t>
  </si>
  <si>
    <t>https://www.jotform.com/uploads/macarewecare/222927978372067/5758376752225081090/5758376752225081090_signature_28.png</t>
  </si>
  <si>
    <t>Glinnie Ricamor, RMT</t>
  </si>
  <si>
    <t>https://www.jotform.com/uploads/macarewecare/222927978372067/5758376752225081090/5758376752225081090_signature_31.png</t>
  </si>
  <si>
    <t>CHONG HUA HOSPITAL - MANDAUE</t>
  </si>
  <si>
    <t>bloodbankmandaue@gmail.com</t>
  </si>
  <si>
    <t>https://www.jotform.com/uploads/macarewecare/222927978372067/5758376418433492151/5758376418433492151_signature_28.png</t>
  </si>
  <si>
    <t>CHH MANDAUE BLOODBANK</t>
  </si>
  <si>
    <t>https://www.jotform.com/uploads/macarewecare/222927978372067/5758376418433492151/5758376418433492151_signature_31.png</t>
  </si>
  <si>
    <t xml:space="preserve">ASSAY: Xpert HBV VL, COUNT: 82
ASSAY: Xpert HPV, COUNT: 17
ASSAY: Xpert MTB/RIF Ultra, COUNT: 1005
</t>
  </si>
  <si>
    <t>Unit is operational. Module B1 not operational. Reported already.</t>
  </si>
  <si>
    <t>https://www.jotform.com/uploads/macarewecare/222927978372067/5758371018355761462/5758371018355761462_signature_28.png</t>
  </si>
  <si>
    <t>Paula Beatrice N. Reyes</t>
  </si>
  <si>
    <t>https://www.jotform.com/uploads/macarewecare/222927978372067/5758371018355761462/5758371018355761462_signature_31.png</t>
  </si>
  <si>
    <t>Mahayag rural health unit</t>
  </si>
  <si>
    <t>Mahayag, Zamboanga del sur</t>
  </si>
  <si>
    <t>cavanricky@gmail.com</t>
  </si>
  <si>
    <t>Module 1, 3 and 4 Failed in xpertcheck calibration</t>
  </si>
  <si>
    <t>Replaced modules 778048, 778490 and 778141 with modules 719869, 788463 and 723243 respectively</t>
  </si>
  <si>
    <t>Replaced module and Preventive Maintenence</t>
  </si>
  <si>
    <t>https://www.jotform.com/uploads/macarewecare/222927978372067/5758366040147244442/5758366040147244442_signature_28.png</t>
  </si>
  <si>
    <t>Ricky M. Cavan</t>
  </si>
  <si>
    <t>https://www.jotform.com/uploads/macarewecare/222927978372067/5758366040147244442/5758366040147244442_signature_31.png</t>
  </si>
  <si>
    <t xml:space="preserve">ASSAY: , COUNT: 262
</t>
  </si>
  <si>
    <t>UPS not working
Monitor half display</t>
  </si>
  <si>
    <t>Replaced Monitor
Replaced UPS</t>
  </si>
  <si>
    <t>UPS and Monitor</t>
  </si>
  <si>
    <t>https://www.jotform.com/uploads/macarewecare/222927978372067/5758365120321050176/5758365120321050176_signature_28.png</t>
  </si>
  <si>
    <t>Vanessa Roxanne Balbin</t>
  </si>
  <si>
    <t>https://www.jotform.com/uploads/macarewecare/222927978372067/5758365120321050176/5758365120321050176_signature_31.png</t>
  </si>
  <si>
    <t>Bukidnon Provincial Hospital - Kibawe</t>
  </si>
  <si>
    <t>C.M Recto St. Palma, Kibawe</t>
  </si>
  <si>
    <t>https://www.jotform.com/uploads/macarewecare/222927978372067/5758304867318842944/5758304867318842944_signature_28.png</t>
  </si>
  <si>
    <t>John Rhel T. Denque</t>
  </si>
  <si>
    <t>https://www.jotform.com/uploads/macarewecare/222927978372067/5758304867318842944/5758304867318842944_signature_31.png</t>
  </si>
  <si>
    <t>Calibrated the unit.</t>
  </si>
  <si>
    <t>https://www.jotform.com/uploads/macarewecare/222927978372067/5758267366395467300/5758267366395467300_signature_28.png</t>
  </si>
  <si>
    <t>https://www.jotform.com/uploads/macarewecare/222927978372067/5758267366395467300/5758267366395467300_signature_31.png</t>
  </si>
  <si>
    <t>Lavezares Rural Health Unit</t>
  </si>
  <si>
    <t>Lavezares Northern Samar</t>
  </si>
  <si>
    <t>jotchan3@gmail.com</t>
  </si>
  <si>
    <t xml:space="preserve">ASSAY: Xpert MTB/RIF Ultra, COUNT: 340
</t>
  </si>
  <si>
    <t>Module B2/787189 for replacement</t>
  </si>
  <si>
    <t>- Install new module in B2 w/ SN: 791454
- Performed Functionality test 
- Performed Preventive maintenance 
- Generate reports 
- Pullout defective modules SN:787189</t>
  </si>
  <si>
    <t>1 GeneXpert Module 6 color SN: 791454</t>
  </si>
  <si>
    <t>https://www.jotform.com/uploads/macarewecare/222927978372067/5758258405515880124/5758258405515880124_signature_28.png</t>
  </si>
  <si>
    <t>Jocelyn T. Chan</t>
  </si>
  <si>
    <t>https://www.jotform.com/uploads/macarewecare/222927978372067/5758258405515880124/5758258405515880124_signature_31.png</t>
  </si>
  <si>
    <t>Ortigas ave.</t>
  </si>
  <si>
    <t xml:space="preserve">ASSAY: Xpert BCR-ABL Ultra, COUNT: 23
ASSAY: Xpert CT/NG, COUNT: 40
ASSAY: Xpert HBV VL, COUNT: 338
ASSAY: Xpert HPV, COUNT: 261
ASSAY: Xpert MTB/RIF Ultra, COUNT: 2697
ASSAY: Xpert HCV VL, COUNT: 51
ASSAY: Xpert HIV-1 Viral Load, COUNT: 476
ASSAY: Xpert SARS-CoV-2, COUNT: 65
</t>
  </si>
  <si>
    <t>https://www.jotform.com/uploads/macarewecare/222927978372067/5758247456392842787/5758247456392842787_signature_28.png</t>
  </si>
  <si>
    <t>Paolo Crispin</t>
  </si>
  <si>
    <t>https://www.jotform.com/uploads/macarewecare/222927978372067/5758247456392842787/5758247456392842787_signature_31.png</t>
  </si>
  <si>
    <t>https://www.jotform.com/uploads/macarewecare/222927978372067/5758232006393523504/5758232006393523504_signature_28.png</t>
  </si>
  <si>
    <t>Daryl Tio</t>
  </si>
  <si>
    <t>https://www.jotform.com/uploads/macarewecare/222927978372067/5758232006393523504/5758232006393523504_signature_31.png</t>
  </si>
  <si>
    <t>cristinerod211@gmail.com</t>
  </si>
  <si>
    <t xml:space="preserve">ASSAY: , COUNT: 4
ASSAY: Xpert HPV, COUNT: 1473
ASSAY: Xpert MTB/RIF Ultra, COUNT: 7161
ASSAY: Xpert SARS-CoV-2, COUNT: 2341
ASSAY: Xpert HIV-1 Viral Load, COUNT: 346
</t>
  </si>
  <si>
    <t>B3/640895, D1/719871 for module replacement</t>
  </si>
  <si>
    <t>Replaced Module: B3-640895&gt;&gt;210013422, D1-719871&gt;&gt;909656
Cleaned cartridge bays, fan, plunger rod
Generate reports</t>
  </si>
  <si>
    <t>Replace Module: B3/640895, D1/719871
Performed Preventive Maintenance</t>
  </si>
  <si>
    <t>https://www.jotform.com/uploads/macarewecare/222927978372067/5757790875118594229/5757790875118594229_signature_28.png</t>
  </si>
  <si>
    <t>Cristine Rodriguez</t>
  </si>
  <si>
    <t>https://www.jotform.com/uploads/macarewecare/222927978372067/5757790875118594229/5757790875118594229_signature_31.png</t>
  </si>
  <si>
    <t>Quezon Ave., Lucena, Quezon Province</t>
  </si>
  <si>
    <t>joannpalermo0613@gmail.com</t>
  </si>
  <si>
    <t xml:space="preserve">ASSAY: Xpert HPV, COUNT: 337
ASSAY: Xpert MTB/RIF Ultra, COUNT: 2121
ASSAY: Xpert HIV-1 Viral Load, COUNT: 95
</t>
  </si>
  <si>
    <t>CPU not working</t>
  </si>
  <si>
    <t>Setup 2 units
Combined using network switch
Perfomed maintenance 
Generated report</t>
  </si>
  <si>
    <t>Combined 2 GX machine temporarily using netw9rk switch</t>
  </si>
  <si>
    <t>All modules working
Temporary combined while waiting for the replacement cpu</t>
  </si>
  <si>
    <t>https://www.jotform.com/uploads/macarewecare/222927978372067/5757761479218829639/5757761479218829639_signature_28.png</t>
  </si>
  <si>
    <t>Jo-Ann Yamballa</t>
  </si>
  <si>
    <t>https://www.jotform.com/uploads/macarewecare/222927978372067/5757761479218829639/5757761479218829639_signature_31.png</t>
  </si>
  <si>
    <t>susieleonardia@gmail.com</t>
  </si>
  <si>
    <t xml:space="preserve">ASSAY: Xpert CT/NG, COUNT: 4
ASSAY: Xpert HIV-1 Viral Load, COUNT: 93
ASSAY: Xpert MTB/RIF Ultra, COUNT: 691
ASSAY: Xpert SARS-CoV-2, COUNT: 2469
ASSAY: Xpert HCV VL, COUNT: 58
ASSAY: Others, COUNT: 48
ASSAY: Xpert HIV-1 Viral Load, COUNT: 74
</t>
  </si>
  <si>
    <t>Database error upon opening GX software</t>
  </si>
  <si>
    <t>Checked and cleaned cartridge bay, plunger rod, filter and icore slot
Troubleshoot GX software
Restart laptop multiple times
Performed database management task
Archived and purged Jan 2023 - June 2023 reports
Generated report</t>
  </si>
  <si>
    <t>Troubleshooting GX software</t>
  </si>
  <si>
    <t>w/ sir noel</t>
  </si>
  <si>
    <t>https://www.jotform.com/uploads/macarewecare/222927978372067/5757751369211445279/5757751369211445279_signature_28.png</t>
  </si>
  <si>
    <t>Susie Santiago</t>
  </si>
  <si>
    <t>https://www.jotform.com/uploads/macarewecare/222927978372067/5757751369211445279/5757751369211445279_signature_31.png</t>
  </si>
  <si>
    <t>laboratory.vlmc@yahoo.com</t>
  </si>
  <si>
    <t>17H636SP6</t>
  </si>
  <si>
    <t>Cleaned Unit
Checked program parameters
Checked and adjust line sensor value
Checked rollers, dpm, spm, centrifuge
Performed functionality test
Performed isolation running</t>
  </si>
  <si>
    <t>Bowl optics potentiometer lost connection
6 rollers for replacement</t>
  </si>
  <si>
    <t>w/ Sir Noel Floresca</t>
  </si>
  <si>
    <t>https://www.jotform.com/uploads/macarewecare/222927978372067/5757750219216871367/5757750219216871367_signature_28.png</t>
  </si>
  <si>
    <t>VICTORIANO LUNA MEDICAL CENTER</t>
  </si>
  <si>
    <t>https://www.jotform.com/uploads/macarewecare/222927978372067/5757750219216871367/5757750219216871367_signature_31.png</t>
  </si>
  <si>
    <t xml:space="preserve">ASSAY: Xpert MTB/RIF Ultra, COUNT: 1500
ASSAY: Xpert HCV VL, COUNT: 25
ASSAY: Xpert HIV-1 Viral Load, COUNT: 318
</t>
  </si>
  <si>
    <t>Unit is operational.
B1: passed
B2: passed
B3: passed
B4: passed</t>
  </si>
  <si>
    <t>https://www.jotform.com/uploads/macarewecare/222927978372067/5757576510396341066/5757576510396341066_signature_28.png</t>
  </si>
  <si>
    <t>https://www.jotform.com/uploads/macarewecare/222927978372067/5757576510396341066/5757576510396341066_signature_31.png</t>
  </si>
  <si>
    <t>The Medical City - Clark</t>
  </si>
  <si>
    <t>100 Gatwick Gateway Sabah Al-Ahmad Global Gateway Logistics City Industrial Estate 5 Clark Freeport Zone</t>
  </si>
  <si>
    <t>remortajessarae1998@gmail.com</t>
  </si>
  <si>
    <t xml:space="preserve">ASSAY: Xpert CT/NG, COUNT: 4
ASSAY: Xpert HBV VL, COUNT: 31
ASSAY: Xpert HPV, COUNT: 27
ASSAY: Xpert MTB/RIF Ultra, COUNT: 187
ASSAY: Xpert HIV-1 Viral Load, COUNT: 2
</t>
  </si>
  <si>
    <t>Barcode Scanner not working</t>
  </si>
  <si>
    <t>Replaced Barcode Scanner</t>
  </si>
  <si>
    <t>Barcode Scanner - 1618000503884</t>
  </si>
  <si>
    <t>https://www.jotform.com/uploads/macarewecare/222927978372067/5757564028226864876/5757564028226864876_signature_28.png</t>
  </si>
  <si>
    <t>https://www.jotform.com/uploads/macarewecare/222927978372067/5757564028226864876/5757564028226864876_signature_31.png</t>
  </si>
  <si>
    <t>Back up laptop for installation</t>
  </si>
  <si>
    <t>Installed laptop</t>
  </si>
  <si>
    <t>Lenovo Laptop
SN: CPH1019F03266</t>
  </si>
  <si>
    <t>https://www.jotform.com/uploads/macarewecare/222927978372067/5757550990395270117/5757550990395270117_signature_28.png</t>
  </si>
  <si>
    <t>https://www.jotform.com/uploads/macarewecare/222927978372067/5757550990395270117/5757550990395270117_signature_31.png</t>
  </si>
  <si>
    <t>Module B2 found service required in XPC</t>
  </si>
  <si>
    <t>https://www.jotform.com/uploads/macarewecare/222927978372067/5757531808987939798/5757531808987939798_signature_28.png</t>
  </si>
  <si>
    <t>https://www.jotform.com/uploads/macarewecare/222927978372067/5757531808987939798/5757531808987939798_signature_31.png</t>
  </si>
  <si>
    <t>Kumalarang rural health unit</t>
  </si>
  <si>
    <t>Kumalarang, Zamboanga del sur</t>
  </si>
  <si>
    <t>lisaleebindab@gmail.com</t>
  </si>
  <si>
    <t xml:space="preserve">ASSAY: Xpert MTB/RIF Ultra, COUNT: 940
</t>
  </si>
  <si>
    <t>Replaced module 695634 with Module 695631. Preventive Maintenance</t>
  </si>
  <si>
    <t>Replaced module 695644 with Module 695631. Preventive Maintenance</t>
  </si>
  <si>
    <t>https://www.jotform.com/uploads/macarewecare/222927978372067/5757519640028306105/5757519640028306105_signature_28.png</t>
  </si>
  <si>
    <t>Lisa Lee B. Indab</t>
  </si>
  <si>
    <t>https://www.jotform.com/uploads/macarewecare/222927978372067/5757519640028306105/5757519640028306105_signature_31.png</t>
  </si>
  <si>
    <t>Pamplona</t>
  </si>
  <si>
    <t>francislozano226@gmail.com</t>
  </si>
  <si>
    <t>A2/647604 for module replacement</t>
  </si>
  <si>
    <t>Replaced Module: A2 647604&gt;&gt;874672
Cleaned cartridge bays,  plunger rod,  fan
Generate reports</t>
  </si>
  <si>
    <t>Replaced module A2
Performed Preventive Maintenance</t>
  </si>
  <si>
    <t>https://www.jotform.com/uploads/macarewecare/222927978372067/5757432122717531630/5757432122717531630_signature_28.png</t>
  </si>
  <si>
    <t>Francis S. Lozano</t>
  </si>
  <si>
    <t>https://www.jotform.com/uploads/macarewecare/222927978372067/5757432122717531630/5757432122717531630_signature_31.png</t>
  </si>
  <si>
    <t>passichoab@gmail.com</t>
  </si>
  <si>
    <t>Calibration fail</t>
  </si>
  <si>
    <t>Replace module B1 and B4 with new serial number B1-210009712 B4-646647</t>
  </si>
  <si>
    <t>Replace module B1 and B4</t>
  </si>
  <si>
    <t>Module B1 ok to use module B4 not ok with o use h/w error.</t>
  </si>
  <si>
    <t>https://www.jotform.com/uploads/macarewecare/222927978372067/5757428366666567053/5757428366666567053_signature_28.png</t>
  </si>
  <si>
    <t>https://www.jotform.com/uploads/macarewecare/222927978372067/5757428366666567053/5757428366666567053_signature_31.png</t>
  </si>
  <si>
    <t>Pangantucan Rural Health Unit</t>
  </si>
  <si>
    <t>Poblacion, Pangantucan</t>
  </si>
  <si>
    <t>melita.alas@gmail.com</t>
  </si>
  <si>
    <t>Removing Stuck Cartridge
Preventive Maintenance
XpertCheck Calibration</t>
  </si>
  <si>
    <t>https://www.jotform.com/uploads/macarewecare/222927978372067/5757399526025407216/5757399526025407216_signature_28.png</t>
  </si>
  <si>
    <t>Melita P. Alas</t>
  </si>
  <si>
    <t>https://www.jotform.com/uploads/macarewecare/222927978372067/5757399526025407216/5757399526025407216_signature_31.png</t>
  </si>
  <si>
    <t>8 Malac St. Masambong, Quezon City</t>
  </si>
  <si>
    <t xml:space="preserve">ASSAY: Xpert MTB/RIF Ultra, COUNT: 1715
</t>
  </si>
  <si>
    <t>Performed PM
Replaced Module b4
Generated report</t>
  </si>
  <si>
    <t>Replaced Module B4
210063218 -&gt; 732791</t>
  </si>
  <si>
    <t>Unit is operational. 
All modukes working</t>
  </si>
  <si>
    <t>G 6404</t>
  </si>
  <si>
    <t>https://www.jotform.com/uploads/macarewecare/222927978372067/5756743183614123735/5756743183614123735_signature_28.png</t>
  </si>
  <si>
    <t>https://www.jotform.com/uploads/macarewecare/222927978372067/5756743183614123735/5756743183614123735_signature_31.png</t>
  </si>
  <si>
    <t>Alabat Island District Hospital</t>
  </si>
  <si>
    <t>National road, Brgy. 4, Poblacion, Alabat, Quezon Province</t>
  </si>
  <si>
    <t>letpiquero@yahoo.com</t>
  </si>
  <si>
    <t>Checked and cleaned cartridge bay plunger rod, icore slot, and filter
Performed xpertcheck
All modules passed xpertcheck
Generated report</t>
  </si>
  <si>
    <t>All modules passed xpertcheck</t>
  </si>
  <si>
    <t>DR 10778</t>
  </si>
  <si>
    <t>https://www.jotform.com/uploads/macarewecare/222927978372067/5756741983612097842/5756741983612097842_signature_28.png</t>
  </si>
  <si>
    <t>Carmelita Piquero</t>
  </si>
  <si>
    <t>https://www.jotform.com/uploads/macarewecare/222927978372067/5756741983612097842/5756741983612097842_signature_31.png</t>
  </si>
  <si>
    <t xml:space="preserve">ASSAY: Xpert MTB/RIF Ultra, COUNT: 6490
</t>
  </si>
  <si>
    <t>Pulled out the defective module for D3 with SN 864267 and save IQR file before and after replacement.</t>
  </si>
  <si>
    <t>Installed the new module for D3 with SN 667778.</t>
  </si>
  <si>
    <t>All 4 modules are now working in good condition.</t>
  </si>
  <si>
    <t>https://www.jotform.com/uploads/macarewecare/222927978372067/5756682717519443459/5756682717519443459_signature_28.png</t>
  </si>
  <si>
    <t>Mr. Cyril Cordova</t>
  </si>
  <si>
    <t>https://www.jotform.com/uploads/macarewecare/222927978372067/5756682717519443459/5756682717519443459_signature_31.png</t>
  </si>
  <si>
    <t>Evangelista, Alima, Bacoor</t>
  </si>
  <si>
    <t xml:space="preserve">ASSAY: Xpert MTB/RIF Ultra, COUNT: 1727
</t>
  </si>
  <si>
    <t>Performed Maintenance
Replaced Module 4
Generate Reports</t>
  </si>
  <si>
    <t>Module 1 for Reporting</t>
  </si>
  <si>
    <t>https://www.jotform.com/uploads/macarewecare/222927978372067/5756518193612037980/5756518193612037980_signature_28.png</t>
  </si>
  <si>
    <t>https://www.jotform.com/uploads/macarewecare/222927978372067/5756518193612037980/5756518193612037980_signature_31.png</t>
  </si>
  <si>
    <t>Biñan City Health Office I</t>
  </si>
  <si>
    <t>Sto. Domingo, Biñan, Laguna</t>
  </si>
  <si>
    <t xml:space="preserve">ASSAY: Xpert HPV, COUNT: 149
ASSAY: Xpert MTB/RIF Ultra, COUNT: 1901
</t>
  </si>
  <si>
    <t>Performed Maintenance
Replaced Module 2
Checked Functionality
Generate Reports</t>
  </si>
  <si>
    <t>https://www.jotform.com/uploads/macarewecare/222927978372067/5756518193612267364/5756518193612267364_signature_28.png</t>
  </si>
  <si>
    <t>https://www.jotform.com/uploads/macarewecare/222927978372067/5756518193612267364/5756518193612267364_signature_31.png</t>
  </si>
  <si>
    <t>albeaniza@maniladoctors.com.ph</t>
  </si>
  <si>
    <t>Unit is due for Maintenance
Unit is due for Calibration</t>
  </si>
  <si>
    <t>Cleaned Surface Area.
Checked and Cleaned Rollers.
Cleaned Valves and Sensors.
Checked Centrifuge Function.
Checked Pressures.
Checked A/D Values.
Performed Simulation Tests.
Performed Calibration</t>
  </si>
  <si>
    <t>https://www.jotform.com/uploads/macarewecare/222927978372067/5756518193613230361/5756518193613230361_signature_28.png</t>
  </si>
  <si>
    <t>Adonis L. Beaniza</t>
  </si>
  <si>
    <t>https://www.jotform.com/uploads/macarewecare/222927978372067/5756518193613230361/5756518193613230361_signature_31.png</t>
  </si>
  <si>
    <t>Madridejos Rural Health Unit</t>
  </si>
  <si>
    <t>Madridejos, Bantayan Island</t>
  </si>
  <si>
    <t>CALIBRATION
MAINTENANCE
ON-SITE ASSISTANCE
Install new CPU</t>
  </si>
  <si>
    <t>cabasevilma@gmail.com</t>
  </si>
  <si>
    <t>Install New CPU, xpert check calibration</t>
  </si>
  <si>
    <t>Install New CPU</t>
  </si>
  <si>
    <t>Systems operational, all 2 modules passed</t>
  </si>
  <si>
    <t>https://www.jotform.com/uploads/macarewecare/222927978372067/5756506553915495871/5756506553915495871_signature_28.png</t>
  </si>
  <si>
    <t>Vilma E. Cabase</t>
  </si>
  <si>
    <t>https://www.jotform.com/uploads/macarewecare/222927978372067/5756506553915495871/5756506553915495871_signature_31.png</t>
  </si>
  <si>
    <t>https://www.jotform.com/uploads/macarewecare/222927978372067/5756455393911361413/5756455393911361413_signature_28.png</t>
  </si>
  <si>
    <t>https://www.jotform.com/uploads/macarewecare/222927978372067/5756455393911361413/5756455393911361413_signature_31.png</t>
  </si>
  <si>
    <t xml:space="preserve">ASSAY: Xpert MTB/RIF Ultra, COUNT: 860
ASSAY: Others, COUNT: 4
ASSAY: Xpert SARS-CoV-2, COUNT: 1645
</t>
  </si>
  <si>
    <t>Due for xpertcheck,module b4,a3,c3,a4,c4,d2 reported already for replacement</t>
  </si>
  <si>
    <t>8 module operational,8 module unoperational</t>
  </si>
  <si>
    <t>B3,C1 failed in xpertcheck for replacement,D4 unable to performed xpertcheck due to lack of kits, passed xpertcheck a1,a2,b1,b2,c2,d1,d3</t>
  </si>
  <si>
    <t>https://www.jotform.com/uploads/macarewecare/222927978372067/5756447993618968840/5756447993618968840_signature_28.png</t>
  </si>
  <si>
    <t>https://www.jotform.com/uploads/macarewecare/222927978372067/5756447993618968840/5756447993618968840_signature_31.png</t>
  </si>
  <si>
    <t>University of the Philippines</t>
  </si>
  <si>
    <t>U.P diliman QC</t>
  </si>
  <si>
    <t>Institute of biology Regen lab</t>
  </si>
  <si>
    <t>ladiaz@up.edu.ph</t>
  </si>
  <si>
    <t>20006-S</t>
  </si>
  <si>
    <t>For maintenance/ dirty filter</t>
  </si>
  <si>
    <t>Cleaned filter 
Checked filters
Performed functionality test
Test run unit</t>
  </si>
  <si>
    <t>https://www.jotform.com/uploads/macarewecare/222927978372067/5756445243614054139/5756445243614054139_signature_28.png</t>
  </si>
  <si>
    <t>Leomir Diaz / Cielo Marquez</t>
  </si>
  <si>
    <t>https://www.jotform.com/uploads/macarewecare/222927978372067/5756445243614054139/5756445243614054139_signature_31.png</t>
  </si>
  <si>
    <t>University of the Philippines (Institute of Biology)</t>
  </si>
  <si>
    <t>U.P diliman,QC</t>
  </si>
  <si>
    <t>Biology</t>
  </si>
  <si>
    <t>sciarm.ib.upd@up.edu.ph</t>
  </si>
  <si>
    <t>Sentinel</t>
  </si>
  <si>
    <t>Error b encounter during startup of the unit module stage 1 weak current alarm,corrupted programs</t>
  </si>
  <si>
    <t>Performed reset to default value
Checked connection
Checked filters
Reset filter
Restart system.
Replaced bios battery
Update software</t>
  </si>
  <si>
    <t>https://www.jotform.com/uploads/macarewecare/222927978372067/5756444773611838412/5756444773611838412_signature_28.png</t>
  </si>
  <si>
    <t>Anna Isabel Navarro</t>
  </si>
  <si>
    <t>https://www.jotform.com/uploads/macarewecare/222927978372067/5756444773611838412/5756444773611838412_signature_31.png</t>
  </si>
  <si>
    <t xml:space="preserve">ASSAY: Xpert MTB/RIF Ultra, COUNT: 1753
</t>
  </si>
  <si>
    <t>- Cleaned Cartridge Bays, Plunger Rods and I-CORE 
- Replaced Defective Module 884568 &gt;&gt;&gt; 807790, 889789 &gt;&gt;&gt; 685784
- Generated Reports</t>
  </si>
  <si>
    <t>GeneXpert Module 807790, 685784</t>
  </si>
  <si>
    <t>https://www.jotform.com/uploads/macarewecare/222927978372067/5754360897064371199/5754360897064371199_signature_28.png</t>
  </si>
  <si>
    <t>https://www.jotform.com/uploads/macarewecare/222927978372067/5754360897064371199/5754360897064371199_signature_31.png</t>
  </si>
  <si>
    <t>AMAI PAKPAK MEDICAL CENTER</t>
  </si>
  <si>
    <t>MARAWI CITY</t>
  </si>
  <si>
    <t>apmcmollab@gmail.com</t>
  </si>
  <si>
    <t xml:space="preserve">ASSAY: Xpert SARS-CoV-2, COUNT: 7410
</t>
  </si>
  <si>
    <t>-PERFORM PREVENTIVE MAINTENANCE AND CLEANING OF GX WORKSTATION
-PERFORM MODULE B1 REPLACEMENT:
DEF SN: 210068644
NEW SN: 768575</t>
  </si>
  <si>
    <t>https://www.jotform.com/uploads/macarewecare/222927978372067/5754263427928239690/5754263427928239690_signature_28.png</t>
  </si>
  <si>
    <t>Rayan S. Cosari, RMT</t>
  </si>
  <si>
    <t>https://www.jotform.com/uploads/macarewecare/222927978372067/5754263427928239690/5754263427928239690_signature_31.png</t>
  </si>
  <si>
    <t>AFP Hospital</t>
  </si>
  <si>
    <t>V. Luna QC</t>
  </si>
  <si>
    <t>None. For maintenance</t>
  </si>
  <si>
    <t>Checked pump rotors. Verify calibration parameters.</t>
  </si>
  <si>
    <t>https://www.jotform.com/uploads/macarewecare/222927978372067/5754112494517029746/5754112494517029746_signature_28.png</t>
  </si>
  <si>
    <t>https://www.jotform.com/uploads/macarewecare/222927978372067/5754112494517029746/5754112494517029746_signature_31.png</t>
  </si>
  <si>
    <t>Due for Preventive Maintenance, and UPS Problem</t>
  </si>
  <si>
    <t>Clean Surface Area, Cartridge Bay, Plunger Rod, Fan Filters and Icore Lenses
Generate IQR, Assay Stat and System Log
Troubleshoot the UPS</t>
  </si>
  <si>
    <t>Perform Preventive Maintenance and Troubleshoot the UPS</t>
  </si>
  <si>
    <t>All Modules are operational UPS is Defective at Battery Mode,</t>
  </si>
  <si>
    <t>https://www.jotform.com/uploads/macarewecare/222927978372067/5754081975972319762/5754081975972319762_signature_28.png</t>
  </si>
  <si>
    <t>Allysa Thea C. Santos</t>
  </si>
  <si>
    <t>https://www.jotform.com/uploads/macarewecare/222927978372067/5754081975972319762/5754081975972319762_signature_31.png</t>
  </si>
  <si>
    <t>Gov. Tupas St., Morong</t>
  </si>
  <si>
    <t>Performed maintenance
Run XpertCheck
Generated reports</t>
  </si>
  <si>
    <t>Unit is operational. Module A1/717338 service required.</t>
  </si>
  <si>
    <t>https://www.jotform.com/uploads/macarewecare/222927978372067/5754064414411191277/5754064414411191277_signature_28.png</t>
  </si>
  <si>
    <t>https://www.jotform.com/uploads/macarewecare/222927978372067/5754064414411191277/5754064414411191277_signature_31.png</t>
  </si>
  <si>
    <t>Amorsolo st ,Makati City</t>
  </si>
  <si>
    <t>Due for maintenance and calibration,open wire barcode scanner</t>
  </si>
  <si>
    <t>Cleaned unit
Checked program parameters
Checked and adjust line sensor value
Checked rollers,dpm,spm,centrifuge
Performed functionality test
Performed isolation running
Performed calibration</t>
  </si>
  <si>
    <t>For replacement of barcode scanner cable</t>
  </si>
  <si>
    <t>Urethane roller assy</t>
  </si>
  <si>
    <t>https://www.jotform.com/uploads/macarewecare/222927978372067/5754056207409308928/5754056207409308928_signature_28.png</t>
  </si>
  <si>
    <t>Mark Dexter Majarocon</t>
  </si>
  <si>
    <t>https://www.jotform.com/uploads/macarewecare/222927978372067/5754056207409308928/5754056207409308928_signature_31.png</t>
  </si>
  <si>
    <t>For module replacement b3 898183 - 210067748</t>
  </si>
  <si>
    <t>https://www.jotform.com/uploads/macarewecare/222927978372067/5754054418815648676/5754054418815648676_signature_28.png</t>
  </si>
  <si>
    <t>https://www.jotform.com/uploads/macarewecare/222927978372067/5754054418815648676/5754054418815648676_signature_31.png</t>
  </si>
  <si>
    <t>AFRIMS</t>
  </si>
  <si>
    <t>V.Luna QC</t>
  </si>
  <si>
    <t>Stuck cartridge removal/maintenance.</t>
  </si>
  <si>
    <t>Checked module door and hinges..</t>
  </si>
  <si>
    <t>Performed cleaning and maintenance.Removed cartridge.</t>
  </si>
  <si>
    <t>https://www.jotform.com/uploads/macarewecare/222927978372067/5754050986022181341/5754050986022181341_signature_28.png</t>
  </si>
  <si>
    <t>https://www.jotform.com/uploads/macarewecare/222927978372067/5754050986022181341/5754050986022181341_signature_31.png</t>
  </si>
  <si>
    <t xml:space="preserve">ASSAY: Xpert MTB/RIF Ultra, COUNT: 1096
ASSAY: Xpert HIV-1 Viral Load, COUNT: 20
</t>
  </si>
  <si>
    <t>C4 for module replacement
Due for calibration</t>
  </si>
  <si>
    <t>Module replacement
Xpertcheck
Preventive maintenance</t>
  </si>
  <si>
    <t>Performed surface cleaning
Cleaning of plunger rod,icore,filter and cartridge bay
Archived test results
Xpertcheck application update to 1.5a
Performed calibration
Installation of new HIV VL Assay
Performed module replacement
Gathered reports
Performed functionality test</t>
  </si>
  <si>
    <t>All module passed calibration</t>
  </si>
  <si>
    <t>https://www.jotform.com/uploads/macarewecare/222927978372067/5754041210639884537/5754041210639884537_signature_28.png</t>
  </si>
  <si>
    <t>https://www.jotform.com/uploads/macarewecare/222927978372067/5754041210639884537/5754041210639884537_signature_31.png</t>
  </si>
  <si>
    <t xml:space="preserve">ASSAY: Xpert MTB/RIF Ultra, COUNT: 1916
</t>
  </si>
  <si>
    <t>Module A4 disabled, waiting for replacement. Other modules are functional.</t>
  </si>
  <si>
    <t>https://www.jotform.com/uploads/macarewecare/222927978372067/5753954113489872451/5753954113489872451_signature_28.png</t>
  </si>
  <si>
    <t>https://www.jotform.com/uploads/macarewecare/222927978372067/5753954113489872451/5753954113489872451_signature_31.png</t>
  </si>
  <si>
    <t>Marikina-Infanta Highway</t>
  </si>
  <si>
    <t xml:space="preserve">ASSAY: Xpert SARS-CoV-2, COUNT: 3669
ASSAY: Others, COUNT: 19
</t>
  </si>
  <si>
    <t>https://www.jotform.com/uploads/macarewecare/222927978372067/5753933684411747983/5753933684411747983_signature_28.png</t>
  </si>
  <si>
    <t>Racquel Rhys C. Verzosa</t>
  </si>
  <si>
    <t>https://www.jotform.com/uploads/macarewecare/222927978372067/5753933684411747983/5753933684411747983_signature_31.png</t>
  </si>
  <si>
    <t xml:space="preserve">ASSAY: Xpert MTB/RIF Ultra, COUNT: 930
ASSAY: Xpert HIV-1 Viral Load, COUNT: 128
</t>
  </si>
  <si>
    <t>https://www.jotform.com/uploads/macarewecare/222927978372067/5753922514412518686/5753922514412518686_signature_28.png</t>
  </si>
  <si>
    <t>Amelia C. Mitra</t>
  </si>
  <si>
    <t>https://www.jotform.com/uploads/macarewecare/222927978372067/5753922514412518686/5753922514412518686_signature_31.png</t>
  </si>
  <si>
    <t>https://www.jotform.com/uploads/macarewecare/222927978372067/5753922104413181059/5753922104413181059_signature_28.png</t>
  </si>
  <si>
    <t>https://www.jotform.com/uploads/macarewecare/222927978372067/5753922104413181059/5753922104413181059_signature_31.png</t>
  </si>
  <si>
    <t xml:space="preserve">ASSAY: Xpert MTB/RIF Ultra, COUNT: 1045
ASSAY: Xpert HIV-1 Viral Load, COUNT: 163
</t>
  </si>
  <si>
    <t>Unit is operational. Module A3 not operational, reported already.</t>
  </si>
  <si>
    <t>https://www.jotform.com/uploads/macarewecare/222927978372067/5753921594415488216/5753921594415488216_signature_28.png</t>
  </si>
  <si>
    <t>https://www.jotform.com/uploads/macarewecare/222927978372067/5753921594415488216/5753921594415488216_signature_31.png</t>
  </si>
  <si>
    <t>https://www.jotform.com/uploads/macarewecare/222927978372067/5753920574411032262/5753920574411032262_signature_28.png</t>
  </si>
  <si>
    <t>https://www.jotform.com/uploads/macarewecare/222927978372067/5753920574411032262/5753920574411032262_signature_31.png</t>
  </si>
  <si>
    <t>Tagkawayan Rural Health Unit</t>
  </si>
  <si>
    <t>Poblacion, Tagkawayan, Quezon Province</t>
  </si>
  <si>
    <t>rvteopy@yahoo.com</t>
  </si>
  <si>
    <t>Checked and cleaned cartridge bay, plunger rod, icore slot and filter
Performed Xpertcheck
All passed xpertcheck
Generated report</t>
  </si>
  <si>
    <t>2 new modules. 2 passed xpertcheck</t>
  </si>
  <si>
    <t>DR 10781</t>
  </si>
  <si>
    <t>https://www.jotform.com/uploads/macarewecare/222927978372067/5753377390113129385/5753377390113129385_signature_28.png</t>
  </si>
  <si>
    <t>Rodelo V Teopy</t>
  </si>
  <si>
    <t>https://www.jotform.com/uploads/macarewecare/222927978372067/5753377390113129385/5753377390113129385_signature_31.png</t>
  </si>
  <si>
    <t>Magsaysay Center, Lopez, Quezon</t>
  </si>
  <si>
    <t>Checked and cleaned cartridge bay, plunger rod, icore slot and filter
Performed XpertCheck
C1 failed XpertCheck
Generated report</t>
  </si>
  <si>
    <t>Unit is operational
3 modules passed xpertcheck, 1 module failed</t>
  </si>
  <si>
    <t>C1/783221 Service Required</t>
  </si>
  <si>
    <t>DR 10782</t>
  </si>
  <si>
    <t>https://www.jotform.com/uploads/macarewecare/222927978372067/5753377390115679054/5753377390115679054_signature_28.png</t>
  </si>
  <si>
    <t>https://www.jotform.com/uploads/macarewecare/222927978372067/5753377390115679054/5753377390115679054_signature_31.png</t>
  </si>
  <si>
    <t>https://www.jotform.com/uploads/macarewecare/222927978372067/5753377320112502454/5753377320112502454_signature_28.png</t>
  </si>
  <si>
    <t>https://www.jotform.com/uploads/macarewecare/222927978372067/5753377320112502454/5753377320112502454_signature_31.png</t>
  </si>
  <si>
    <t>https://www.jotform.com/uploads/macarewecare/222927978372067/5753377320113183093/5753377320113183093_signature_28.png</t>
  </si>
  <si>
    <t>https://www.jotform.com/uploads/macarewecare/222927978372067/5753377320113183093/5753377320113183093_signature_31.png</t>
  </si>
  <si>
    <t>BURAUEN DISTRICT HOSPITAL</t>
  </si>
  <si>
    <t xml:space="preserve">ASSAY: Xpert MTB/RIF, COUNT: 2
ASSAY: Xpert MTB/RIF Ultra, COUNT: 427
</t>
  </si>
  <si>
    <t>https://www.jotform.com/uploads/macarewecare/222927978372067/5753321497819350336/5753321497819350336_signature_28.png</t>
  </si>
  <si>
    <t>Mary Anne Sudario</t>
  </si>
  <si>
    <t>https://www.jotform.com/uploads/macarewecare/222927978372067/5753321497819350336/5753321497819350336_signature_31.png</t>
  </si>
  <si>
    <t>P. Herrera St.</t>
  </si>
  <si>
    <t xml:space="preserve">ASSAY: Xpert MTB/RIF Ultra, COUNT: 6
</t>
  </si>
  <si>
    <t>Replaced module D3</t>
  </si>
  <si>
    <t>Performed maintenance
Replaced module D3
Generated reports</t>
  </si>
  <si>
    <t>Old: D3/709295
New: D3/889948</t>
  </si>
  <si>
    <t>G 6405</t>
  </si>
  <si>
    <t>https://www.jotform.com/uploads/macarewecare/222927978372067/5753238475692175154/5753238475692175154_signature_28.png</t>
  </si>
  <si>
    <t>Jose Mari Zoilo B. De Borja, RMT</t>
  </si>
  <si>
    <t>https://www.jotform.com/uploads/macarewecare/222927978372067/5753238475692175154/5753238475692175154_signature_31.png</t>
  </si>
  <si>
    <t>Brgy. Tinagacan, General Santos City, South Cotabato</t>
  </si>
  <si>
    <t>Fixed/repair stuck cartridge problem</t>
  </si>
  <si>
    <t>https://www.jotform.com/uploads/macarewecare/222927978372067/5753095046414776856/5753095046414776856_signature_28.png</t>
  </si>
  <si>
    <t>Mary Faith Kolleen Arcega</t>
  </si>
  <si>
    <t>https://www.jotform.com/uploads/macarewecare/222927978372067/5753095046414776856/5753095046414776856_signature_31.png</t>
  </si>
  <si>
    <t xml:space="preserve">ASSAY: Xpert SARS-CoV-2, COUNT: 1421
</t>
  </si>
  <si>
    <t>Preventive Maintenance
Installation of MTB Ultra Assay</t>
  </si>
  <si>
    <t>https://www.jotform.com/uploads/macarewecare/222927978372067/5753076315323277724/5753076315323277724_signature_28.png</t>
  </si>
  <si>
    <t>https://www.jotform.com/uploads/macarewecare/222927978372067/5753076315323277724/5753076315323277724_signature_31.png</t>
  </si>
  <si>
    <t>M. Santos St., Antipolo</t>
  </si>
  <si>
    <t>Replaced defective CPU</t>
  </si>
  <si>
    <t>Replaced defective CPU with backup laptop
Import assays
Performed maintenance
Generated reports</t>
  </si>
  <si>
    <t>https://www.jotform.com/uploads/macarewecare/222927978372067/5753056191192363812/5753056191192363812_signature_28.png</t>
  </si>
  <si>
    <t>https://www.jotform.com/uploads/macarewecare/222927978372067/5753056191192363812/5753056191192363812_signature_31.png</t>
  </si>
  <si>
    <t>Sta. Rosa City Hall Compound</t>
  </si>
  <si>
    <t xml:space="preserve">ASSAY: Xpert MTB/RIF Ultra, COUNT: 900
</t>
  </si>
  <si>
    <t>Module A1 and A3 for replacement</t>
  </si>
  <si>
    <t>Replaced module A1 and A3</t>
  </si>
  <si>
    <t>Performed maintenance
Replaced module A1 and A3
Generated reports</t>
  </si>
  <si>
    <t>Old: A1/910573, A3/733542
New: A1/644705, A3/788671</t>
  </si>
  <si>
    <t>G 6412</t>
  </si>
  <si>
    <t>https://www.jotform.com/uploads/macarewecare/222927978372067/5753045741195055508/5753045741195055508_signature_28.png</t>
  </si>
  <si>
    <t>https://www.jotform.com/uploads/macarewecare/222927978372067/5753045741195055508/5753045741195055508_signature_31.png</t>
  </si>
  <si>
    <t>Barangay 1, Maria Aurora, Aurora</t>
  </si>
  <si>
    <t xml:space="preserve">ASSAY: Xpert MTB/RIF Ultra, COUNT: 2983
ASSAY: Xpert HIV-1 Viral Load, COUNT: 26
</t>
  </si>
  <si>
    <t>Performed Module Replacement = B3(628831 - 210057609)</t>
  </si>
  <si>
    <t>https://www.jotform.com/uploads/macarewecare/222927978372067/5752327053329418963/5752327053329418963_signature_28.png</t>
  </si>
  <si>
    <t>https://www.jotform.com/uploads/macarewecare/222927978372067/5752327053329418963/5752327053329418963_signature_31.png</t>
  </si>
  <si>
    <t>Sto. Tomas City Health Office</t>
  </si>
  <si>
    <t>Sto. Tomas</t>
  </si>
  <si>
    <t>nvsj12@gmail.com</t>
  </si>
  <si>
    <t>For module replacement and CPU replacement</t>
  </si>
  <si>
    <t>Replaced module B1 and CPU</t>
  </si>
  <si>
    <t>Performed maintenance
Replaced module B1
Replaced CPU
Generated reports</t>
  </si>
  <si>
    <t>Old: B1/701245, Backup laptop: CPH1019F03472, CPU: 2UA6511RLL
New: B1/754477 CPU: CPH0723F43754</t>
  </si>
  <si>
    <t>G 6408</t>
  </si>
  <si>
    <t>https://www.jotform.com/uploads/macarewecare/222927978372067/5752322382448357722/5752322382448357722_signature_28.png</t>
  </si>
  <si>
    <t>VICTORIA B. MENOR</t>
  </si>
  <si>
    <t>https://www.jotform.com/uploads/macarewecare/222927978372067/5752322382448357722/5752322382448357722_signature_31.png</t>
  </si>
  <si>
    <t xml:space="preserve">ASSAY: Xpert MTB/RIF Ultra, COUNT: 155
ASSAY: Xpert SARS-CoV-2, COUNT: 47
</t>
  </si>
  <si>
    <t>Due for maintenance, disabled 2,3,4 due to error</t>
  </si>
  <si>
    <t>Module 2,3,4 disabled</t>
  </si>
  <si>
    <t>https://www.jotform.com/uploads/macarewecare/222927978372067/5752267733615141838/5752267733615141838_signature_28.png</t>
  </si>
  <si>
    <t>Laurence M.Laquindanum</t>
  </si>
  <si>
    <t>https://www.jotform.com/uploads/macarewecare/222927978372067/5752267733615141838/5752267733615141838_signature_31.png</t>
  </si>
  <si>
    <t xml:space="preserve">ASSAY: Xpert MTB/RIF Ultra, COUNT: 387
ASSAY: Xpert SARS-CoV-2, COUNT: 1723
ASSAY: Xpert HIV-1 Viral Load, COUNT: 73
ASSAY: Others, COUNT: 11
</t>
  </si>
  <si>
    <t>B4 disabled h/w failed</t>
  </si>
  <si>
    <t>https://www.jotform.com/uploads/macarewecare/222927978372067/5752267263611994307/5752267263611994307_signature_28.png</t>
  </si>
  <si>
    <t>Laurence M. Laquindanum</t>
  </si>
  <si>
    <t>https://www.jotform.com/uploads/macarewecare/222927978372067/5752267263611994307/5752267263611994307_signature_31.png</t>
  </si>
  <si>
    <t xml:space="preserve">ASSAY: Xpert MTB/RIF Ultra, COUNT: 4583
ASSAY: Xpert SARS-CoV-2, COUNT: 3385
</t>
  </si>
  <si>
    <t>For module replacement C3 624937 - 662268</t>
  </si>
  <si>
    <t>G6403</t>
  </si>
  <si>
    <t>https://www.jotform.com/uploads/macarewecare/222927978372067/5752266763617387371/5752266763617387371_signature_28.png</t>
  </si>
  <si>
    <t>https://www.jotform.com/uploads/macarewecare/222927978372067/5752266763617387371/5752266763617387371_signature_31.png</t>
  </si>
  <si>
    <t>Isabela Municial Health Unut</t>
  </si>
  <si>
    <t>Municipality of Isabela</t>
  </si>
  <si>
    <t>rhofelgareza@gmail.com</t>
  </si>
  <si>
    <t>Defective CPU due to damage in power supply.</t>
  </si>
  <si>
    <t>Pulled out the defective CPU of Isabela MHU with SN CPH0420F07047.</t>
  </si>
  <si>
    <t>Installed the borrowed CPU from FPOP Community in Iloilo with SN CPH0420F07737.</t>
  </si>
  <si>
    <t>All modules are now detected by the new CPU.</t>
  </si>
  <si>
    <t>https://www.jotform.com/uploads/macarewecare/222927978372067/5752233551129400473/5752233551129400473_signature_28.png</t>
  </si>
  <si>
    <t>Rhofel Marie L. Gareza</t>
  </si>
  <si>
    <t>https://www.jotform.com/uploads/macarewecare/222927978372067/5752233551129400473/5752233551129400473_signature_31.png</t>
  </si>
  <si>
    <t>Romana Pangan District Hosoital</t>
  </si>
  <si>
    <t>Floridablanca Pampanga</t>
  </si>
  <si>
    <t>rpangandh@gmail.com</t>
  </si>
  <si>
    <t xml:space="preserve">ASSAY: Xpert MTB/RIF Ultra, COUNT: 947
</t>
  </si>
  <si>
    <t>B1 and B3 for module replacement
Due for calibration</t>
  </si>
  <si>
    <t>https://www.jotform.com/uploads/macarewecare/222927978372067/5752157051119431742/5752157051119431742_signature_28.png</t>
  </si>
  <si>
    <t>Hayfa Mae Almario</t>
  </si>
  <si>
    <t>https://www.jotform.com/uploads/macarewecare/222927978372067/5752157051119431742/5752157051119431742_signature_31.png</t>
  </si>
  <si>
    <t>GeneXpert Module
SN: 642246, 615348, 630858</t>
  </si>
  <si>
    <t>https://www.jotform.com/uploads/macarewecare/222927978372067/5751552582913800471/5751552582913800471_signature_28.png</t>
  </si>
  <si>
    <t>Maricar Godoy</t>
  </si>
  <si>
    <t>https://www.jotform.com/uploads/macarewecare/222927978372067/5751552582913800471/5751552582913800471_signature_31.png</t>
  </si>
  <si>
    <t>Catmon Super Health Center</t>
  </si>
  <si>
    <t>Sanciangco St., Catmon</t>
  </si>
  <si>
    <t>mariates0218@gmail.com</t>
  </si>
  <si>
    <t xml:space="preserve">ASSAY: Xpert MTB/RIF Ultra, COUNT: 3039
ASSAY: Xpert HIV-1 Viral Load, COUNT: 128
</t>
  </si>
  <si>
    <t>Old: B2/863567
New: B2/716021</t>
  </si>
  <si>
    <t>G 6401</t>
  </si>
  <si>
    <t>https://www.jotform.com/uploads/macarewecare/222927978372067/5751526879235074455/5751526879235074455_signature_28.png</t>
  </si>
  <si>
    <t>Ma. Theresa O. Nuñez</t>
  </si>
  <si>
    <t>https://www.jotform.com/uploads/macarewecare/222927978372067/5751526879235074455/5751526879235074455_signature_31.png</t>
  </si>
  <si>
    <t>Madinloc Zambales</t>
  </si>
  <si>
    <t>mariapaz.ferrer08@gmail.com</t>
  </si>
  <si>
    <t xml:space="preserve">ASSAY: Xpert MTB/RIF Ultra, COUNT: 2160
</t>
  </si>
  <si>
    <t>A4 for re-calibration</t>
  </si>
  <si>
    <t>Used 1 xpertcheck kit</t>
  </si>
  <si>
    <t>https://www.jotform.com/uploads/macarewecare/222927978372067/5751470988824345781/5751470988824345781_signature_28.png</t>
  </si>
  <si>
    <t>Maria Paz E. Ferrer</t>
  </si>
  <si>
    <t>https://www.jotform.com/uploads/macarewecare/222927978372067/5751470988824345781/5751470988824345781_signature_31.png</t>
  </si>
  <si>
    <t>SRP-CTRL</t>
  </si>
  <si>
    <t>New CPU installed</t>
  </si>
  <si>
    <t>Systems operational, white lines in down side of monitor</t>
  </si>
  <si>
    <t>https://www.jotform.com/uploads/macarewecare/222927978372067/5751447148814505464/5751447148814505464_signature_28.png</t>
  </si>
  <si>
    <t>https://www.jotform.com/uploads/macarewecare/222927978372067/5751447148814505464/5751447148814505464_signature_31.png</t>
  </si>
  <si>
    <t>GeneXpert Module
SN: 737171</t>
  </si>
  <si>
    <t>https://www.jotform.com/uploads/macarewecare/222927978372067/5751444470121331576/5751444470121331576_signature_28.png</t>
  </si>
  <si>
    <t>https://www.jotform.com/uploads/macarewecare/222927978372067/5751444470121331576/5751444470121331576_signature_31.png</t>
  </si>
  <si>
    <t>Mabila, Sarangani Islands</t>
  </si>
  <si>
    <t>All Modules Passed the Calibration
UPS intended to the GeneXpert System is Defective
All filters are damaged and subjected for replacement</t>
  </si>
  <si>
    <t>DR 10446</t>
  </si>
  <si>
    <t>https://www.jotform.com/uploads/macarewecare/222927978372067/5751438822292042595/5751438822292042595_signature_28.png</t>
  </si>
  <si>
    <t>Marilyn A. Astang</t>
  </si>
  <si>
    <t>https://www.jotform.com/uploads/macarewecare/222927978372067/5751438822292042595/5751438822292042595_signature_31.png</t>
  </si>
  <si>
    <t>Dalaguete Rural Health Unit</t>
  </si>
  <si>
    <t>Poblacion Dalaguete Cebu</t>
  </si>
  <si>
    <t xml:space="preserve">ASSAY: Xpert MTB/RIF Ultra, COUNT: 1622
</t>
  </si>
  <si>
    <t>Module 4 SN 210073850 encountered Error of 2032 during 30 mins of running</t>
  </si>
  <si>
    <t>Replaced new module</t>
  </si>
  <si>
    <t>Replaced new module SN 210027279
Generate IQR, Sys Log, Gxx files, Assay Stat</t>
  </si>
  <si>
    <t>https://www.jotform.com/uploads/macarewecare/222927978372067/5751420973522134477/5751420973522134477_signature_28.png</t>
  </si>
  <si>
    <t>https://www.jotform.com/uploads/macarewecare/222927978372067/5751420973522134477/5751420973522134477_signature_31.png</t>
  </si>
  <si>
    <t>G. Lazaro Rd. Valenzuela</t>
  </si>
  <si>
    <t>reyesmarlette030319@gmail.c9m</t>
  </si>
  <si>
    <t>Installed the GeneXpert System:
Installed GeneXpert machine, printer, UPS desktop and monitor
Installed HIV-VL assay
Functionality Test</t>
  </si>
  <si>
    <t>https://www.jotform.com/uploads/macarewecare/222927978372067/5751395676816359384/5751395676816359384_signature_28.png</t>
  </si>
  <si>
    <t>Marlette Delino</t>
  </si>
  <si>
    <t>https://www.jotform.com/uploads/macarewecare/222927978372067/5751395676816359384/5751395676816359384_signature_31.png</t>
  </si>
  <si>
    <t>Sub8c Rural Health Unit</t>
  </si>
  <si>
    <t>Subic, Zambales</t>
  </si>
  <si>
    <t>sanchezmacristina313@gmail.comb</t>
  </si>
  <si>
    <t xml:space="preserve">ASSAY: Xpert MTB/RIF, COUNT: 51
ASSAY: Xpert MTB/RIF Ultra, COUNT: 2967
ASSAY: Xpert HIV-1 Viral Load, COUNT: 67
</t>
  </si>
  <si>
    <t>B2 for module replacement</t>
  </si>
  <si>
    <t>https://www.jotform.com/uploads/macarewecare/222927978372067/5751357517913018824/5751357517913018824_signature_28.png</t>
  </si>
  <si>
    <t>Ma. Cristina D. Sanchez</t>
  </si>
  <si>
    <t>https://www.jotform.com/uploads/macarewecare/222927978372067/5751357517913018824/5751357517913018824_signature_31.png</t>
  </si>
  <si>
    <t>Cristino Paragas Memorial Hospital</t>
  </si>
  <si>
    <t>Quiniput, Zamboanga City</t>
  </si>
  <si>
    <t>sarahtabudjul@gmail.com</t>
  </si>
  <si>
    <t>Module 3 door cannot close</t>
  </si>
  <si>
    <t>Re align module valve and Preventive Maintenence</t>
  </si>
  <si>
    <t>https://www.jotform.com/uploads/macarewecare/222927978372067/5750677679127076237/5750677679127076237_signature_28.png</t>
  </si>
  <si>
    <t>Sarah Gail A. Tabudjul</t>
  </si>
  <si>
    <t>https://www.jotform.com/uploads/macarewecare/222927978372067/5750677679127076237/5750677679127076237_signature_31.png</t>
  </si>
  <si>
    <t>Poblacion Moalboal Cebu</t>
  </si>
  <si>
    <t>roavaul@gmail.com</t>
  </si>
  <si>
    <t>Display Monitor defective</t>
  </si>
  <si>
    <t>Replaced new monitor</t>
  </si>
  <si>
    <t>Replace new monitor Thinkvision Flat 
SN# :V5FTH187</t>
  </si>
  <si>
    <t>All modules are operational with New ThinkVision SN V5FTH187</t>
  </si>
  <si>
    <t>Thinkvision Flat Panel Monitor SN V5FTH187</t>
  </si>
  <si>
    <t>SN # V5FTH187</t>
  </si>
  <si>
    <t>https://www.jotform.com/uploads/macarewecare/222927978372067/5750622082666657124/5750622082666657124_signature_28.png</t>
  </si>
  <si>
    <t>Ava Anciano Gako</t>
  </si>
  <si>
    <t>https://www.jotform.com/uploads/macarewecare/222927978372067/5750622082666657124/5750622082666657124_signature_31.png</t>
  </si>
  <si>
    <t>San Antonio District Hospital</t>
  </si>
  <si>
    <t>San Mariano, San Antonio, Nueva Ecija</t>
  </si>
  <si>
    <t>garciaadonisanthony@gmail.com</t>
  </si>
  <si>
    <t>Performed Module Replacement B4(685801 - 681375)</t>
  </si>
  <si>
    <t>https://www.jotform.com/uploads/macarewecare/222927978372067/5750602618222516235/5750602618222516235_signature_28.png</t>
  </si>
  <si>
    <t>Ana Charize G. Manalastas</t>
  </si>
  <si>
    <t>https://www.jotform.com/uploads/macarewecare/222927978372067/5750602618222516235/5750602618222516235_signature_31.png</t>
  </si>
  <si>
    <t>Pakil-Pangil-Mabitac</t>
  </si>
  <si>
    <t>MAINTENANCE
Checkup</t>
  </si>
  <si>
    <t>Performed maintenance
Checked modules
Generated reports</t>
  </si>
  <si>
    <t>https://www.jotform.com/uploads/macarewecare/222927978372067/5750474473613800815/5750474473613800815_signature_28.png</t>
  </si>
  <si>
    <t>Cecile Sagritalo</t>
  </si>
  <si>
    <t>https://www.jotform.com/uploads/macarewecare/222927978372067/5750474473613800815/5750474473613800815_signature_31.png</t>
  </si>
  <si>
    <t>SITE visit</t>
  </si>
  <si>
    <t>Clean fan filter, plunger rod maintenance, clean module bay</t>
  </si>
  <si>
    <t>System operational.. waiting for module D3</t>
  </si>
  <si>
    <t>https://www.jotform.com/uploads/macarewecare/222927978372067/5750445776376434311/5750445776376434311_signature_28.png</t>
  </si>
  <si>
    <t>https://www.jotform.com/uploads/macarewecare/222927978372067/5750445776376434311/5750445776376434311_signature_31.png</t>
  </si>
  <si>
    <t>gutierrezrhian@gmail.com</t>
  </si>
  <si>
    <t>Performed Maintenance
Replaced Module 1 
Generate Reports</t>
  </si>
  <si>
    <t>G 6355</t>
  </si>
  <si>
    <t>https://www.jotform.com/uploads/macarewecare/222927978372067/5750429233616017053/5750429233616017053_signature_28.png</t>
  </si>
  <si>
    <t>MARY ANN C. GUTIERREZ</t>
  </si>
  <si>
    <t>https://www.jotform.com/uploads/macarewecare/222927978372067/5750429233616017053/5750429233616017053_signature_31.png</t>
  </si>
  <si>
    <t>Burgos St., Carmona, Cavite</t>
  </si>
  <si>
    <t>genexpert.carmona@gmail.com</t>
  </si>
  <si>
    <t>Replaced UPS
Checked Functionality of UPS
Generate Reports</t>
  </si>
  <si>
    <t>UPS 1.5kVA</t>
  </si>
  <si>
    <t>DR 10722</t>
  </si>
  <si>
    <t>https://www.jotform.com/uploads/macarewecare/222927978372067/5750428313611276525/5750428313611276525_signature_28.png</t>
  </si>
  <si>
    <t>Noreen Fortu</t>
  </si>
  <si>
    <t>https://www.jotform.com/uploads/macarewecare/222927978372067/5750428313611276525/5750428313611276525_signature_31.png</t>
  </si>
  <si>
    <t>Alabang-Zapote Rd, Las Piñas City</t>
  </si>
  <si>
    <t>MAINTENANCE
Troubleshoot</t>
  </si>
  <si>
    <t>Centrifuge Locking Alarm</t>
  </si>
  <si>
    <t>Performed Maintenance
Checked Transducers
Cleaned Sensors
Checked Functionality</t>
  </si>
  <si>
    <t>Centrifuge Locking for Observation</t>
  </si>
  <si>
    <t>https://www.jotform.com/uploads/macarewecare/222927978372067/5750428313614463100/5750428313614463100_signature_28.png</t>
  </si>
  <si>
    <t>MARISSA MACHADO</t>
  </si>
  <si>
    <t>https://www.jotform.com/uploads/macarewecare/222927978372067/5750428313614463100/5750428313614463100_signature_31.png</t>
  </si>
  <si>
    <t>Governor's Drive, Trece Martires, Cavite</t>
  </si>
  <si>
    <t>loricavivian@gmail.com</t>
  </si>
  <si>
    <t>Performed Maintenance
Replaced Module 1
Performed Self-test
Performed XpertCheck
Generate Reports</t>
  </si>
  <si>
    <t>806865 -&gt; 210100586</t>
  </si>
  <si>
    <t>G 6354</t>
  </si>
  <si>
    <t>https://www.jotform.com/uploads/macarewecare/222927978372067/5750428313615365830/5750428313615365830_signature_28.png</t>
  </si>
  <si>
    <t>https://www.jotform.com/uploads/macarewecare/222927978372067/5750428313615365830/5750428313615365830_signature_31.png</t>
  </si>
  <si>
    <t>https://www.jotform.com/uploads/macarewecare/222927978372067/5750428313617199631/5750428313617199631_signature_28.png</t>
  </si>
  <si>
    <t>https://www.jotform.com/uploads/macarewecare/222927978372067/5750428313617199631/5750428313617199631_signature_31.png</t>
  </si>
  <si>
    <t>2 katuparan st, commonwealth, quezon city</t>
  </si>
  <si>
    <t xml:space="preserve">ASSAY: Xpert HPV, COUNT: 243
ASSAY: Xpert MTB/RIF Ultra, COUNT: 2808
</t>
  </si>
  <si>
    <t>GX I V 6C</t>
  </si>
  <si>
    <t>Module A1 frequent error</t>
  </si>
  <si>
    <t>Performed PM
Checked system log 
No current error on module A1 system log
Checked module a1 report
Error 5007 frequent problem found
Cleaned optics thoroughly
Advised to do Reagent run
Module 1 passed reagent run
Made A1 available again
Generated report</t>
  </si>
  <si>
    <t>Troubleshoot A1</t>
  </si>
  <si>
    <t>Unit is operational
3 modules working. 
Module 2 already reported waiting for replacment</t>
  </si>
  <si>
    <t>https://www.jotform.com/uploads/macarewecare/222927978372067/5749977008324268956/5749977008324268956_signature_28.png</t>
  </si>
  <si>
    <t>https://www.jotform.com/uploads/macarewecare/222927978372067/5749977008324268956/5749977008324268956_signature_31.png</t>
  </si>
  <si>
    <t>MRB Compound, Pilot Drive, Quezon City</t>
  </si>
  <si>
    <t xml:space="preserve">ASSAY: Xpert MTB/RIF Ultra, COUNT: 1634
</t>
  </si>
  <si>
    <t>Module 2 frequent error</t>
  </si>
  <si>
    <t>Performed PM
Checked system log
Run XpertCheck
Module passed xpert check
Generated report</t>
  </si>
  <si>
    <t>Troubleahoot module 2</t>
  </si>
  <si>
    <t>Unit is operational
Module 2 under monitoring</t>
  </si>
  <si>
    <t>https://www.jotform.com/uploads/macarewecare/222927978372067/5749977008325416085/5749977008325416085_signature_28.png</t>
  </si>
  <si>
    <t>Trecia Marie Colisao</t>
  </si>
  <si>
    <t>https://www.jotform.com/uploads/macarewecare/222927978372067/5749977008325416085/5749977008325416085_signature_31.png</t>
  </si>
  <si>
    <t>Procedure UPP, encounter noisy in the bowl during 1st draw
UPP bowl problem</t>
  </si>
  <si>
    <t>Diagnostics procedure in Centrifuge motor assembly
Check kit of UPP install in the machine</t>
  </si>
  <si>
    <t>Check UPS supply, check centrifuge and centrifuge assembly</t>
  </si>
  <si>
    <t>MCS+ unit are operational during change of another kit</t>
  </si>
  <si>
    <t>https://www.jotform.com/uploads/macarewecare/222927978372067/5749955543913294539/5749955543913294539_signature_28.png</t>
  </si>
  <si>
    <t>Elyn Resuento, RMT</t>
  </si>
  <si>
    <t>https://www.jotform.com/uploads/macarewecare/222927978372067/5749955543913294539/5749955543913294539_signature_31.png</t>
  </si>
  <si>
    <t>culomariejennifer08@gmail.com</t>
  </si>
  <si>
    <t xml:space="preserve">ASSAY: Xpert HPV, COUNT: 335
ASSAY: Xpert MTB/RIF Ultra, COUNT: 1708
ASSAY: Others, COUNT: 687
ASSAY: Xpert SARS-CoV-2, COUNT: 441
</t>
  </si>
  <si>
    <t>- Cleaned Cartridge Bays, Plunger Rods and I-CORE 
- Replaced Defective Module 210067419&gt;&gt;&gt; 210056220
- Generated reports</t>
  </si>
  <si>
    <t>GeneXpert Module 210056220</t>
  </si>
  <si>
    <t>https://www.jotform.com/uploads/macarewecare/222927978372067/5748872764406802705/5748872764406802705_signature_28.png</t>
  </si>
  <si>
    <t>Marie Jennifer P. Culo</t>
  </si>
  <si>
    <t>https://www.jotform.com/uploads/macarewecare/222927978372067/5748872764406802705/5748872764406802705_signature_31.png</t>
  </si>
  <si>
    <t xml:space="preserve">ASSAY: Xpert HBV VL, COUNT: 103
ASSAY: Xpert HPV, COUNT: 357
ASSAY: Xpert MTB/RIF Ultra, COUNT: 2255
ASSAY: Xpert SARS-CoV-2, COUNT: 427
ASSAY: Xpert HIV-1 Viral Load, COUNT: 174
</t>
  </si>
  <si>
    <t>https://www.jotform.com/uploads/macarewecare/222927978372067/5748870684407301766/5748870684407301766_signature_28.png</t>
  </si>
  <si>
    <t>https://www.jotform.com/uploads/macarewecare/222927978372067/5748870684407301766/5748870684407301766_signature_31.png</t>
  </si>
  <si>
    <t>Machine will turn off during start up and self test</t>
  </si>
  <si>
    <t>Transfer UPS to other UPS 
MCS+ are operational
UPS need to replaced as soon as possible</t>
  </si>
  <si>
    <t>Check up fuse and voltage supply AC 220
Check UPS output 0 Volts AC 
Transfer UPS to other UPS unit</t>
  </si>
  <si>
    <t>MCS+ are operational</t>
  </si>
  <si>
    <t>https://www.jotform.com/uploads/macarewecare/222927978372067/5748796573915974669/5748796573915974669_signature_28.png</t>
  </si>
  <si>
    <t>Elyn Resuento , RMT</t>
  </si>
  <si>
    <t>https://www.jotform.com/uploads/macarewecare/222927978372067/5748796573915974669/5748796573915974669_signature_31.png</t>
  </si>
  <si>
    <t>Calamba Crossing,Calamba laguna</t>
  </si>
  <si>
    <t xml:space="preserve">ASSAY: Xpert CT/NG, COUNT: 2
ASSAY: Xpert HBV VL, COUNT: 20
ASSAY: Xpert HPV, COUNT: 23
ASSAY: Xpert MTB/RIF Ultra, COUNT: 600
</t>
  </si>
  <si>
    <t>GX2</t>
  </si>
  <si>
    <t>For module replacement b2 686424 - 210096466, b1 encounter continous h/w failed.</t>
  </si>
  <si>
    <t>Performed module replacement 
Cleaned plunger,cartridge bay,filter
Gathered reports
Performed selt test multiple times but b1 error still occur.
Test run unit</t>
  </si>
  <si>
    <t>B2 operational ready to use, b1 h/w failed for reporting</t>
  </si>
  <si>
    <t>https://www.jotform.com/uploads/macarewecare/222927978372067/5748771671025773197/5748771671025773197_signature_28.png</t>
  </si>
  <si>
    <t>Andrea Gail Orgesvik</t>
  </si>
  <si>
    <t>https://www.jotform.com/uploads/macarewecare/222927978372067/5748771671025773197/5748771671025773197_signature_31.png</t>
  </si>
  <si>
    <t>baluyotjeric@gmail.com</t>
  </si>
  <si>
    <t>Defective and pixelated display</t>
  </si>
  <si>
    <t>Swap lcd temporary to mcs s/n 01M201. Lcd.
Swap lcd display 
Test all button function.
Checked program protocol.
Performed functionality test.</t>
  </si>
  <si>
    <t>https://www.jotform.com/uploads/macarewecare/222927978372067/5748040397619147781/5748040397619147781_signature_28.png</t>
  </si>
  <si>
    <t>Jeric C. Baluyot</t>
  </si>
  <si>
    <t>https://www.jotform.com/uploads/macarewecare/222927978372067/5748040397619147781/5748040397619147781_signature_31.png</t>
  </si>
  <si>
    <t xml:space="preserve">ASSAY: Xpert MTB/RIF, COUNT: 43
ASSAY: Xpert MTB/RIF Ultra, COUNT: 1289
</t>
  </si>
  <si>
    <t>Unit is Operational (B1 and B4 disabled - Waiting for module replacement )</t>
  </si>
  <si>
    <t>https://www.jotform.com/uploads/macarewecare/222927978372067/5747940889319318655/5747940889319318655_signature_28.png</t>
  </si>
  <si>
    <t>https://www.jotform.com/uploads/macarewecare/222927978372067/5747940889319318655/5747940889319318655_signature_31.png</t>
  </si>
  <si>
    <t>Binalbagan Municipal Health Unit</t>
  </si>
  <si>
    <t>CALIBRATION
ON-SITE ASSISTANCE</t>
  </si>
  <si>
    <t xml:space="preserve">ASSAY: Xpert MTB/RIF, COUNT: 50
ASSAY: Xpert MTB/RIF Ultra, COUNT: 951
</t>
  </si>
  <si>
    <t>E5006 on module B1</t>
  </si>
  <si>
    <t>- B1 passed XPC, for observation for recurrence of E5006.
- 4 modules operational</t>
  </si>
  <si>
    <t>https://www.jotform.com/uploads/macarewecare/222927978372067/5747850580415997143/5747850580415997143_signature_28.png</t>
  </si>
  <si>
    <t>XERXANNE A. GALILEA</t>
  </si>
  <si>
    <t>https://www.jotform.com/uploads/macarewecare/222927978372067/5747850580415997143/5747850580415997143_signature_31.png</t>
  </si>
  <si>
    <t xml:space="preserve">ASSAY: Xpert MTB/RIF Ultra, COUNT: 604
ASSAY: Xpert HPV, COUNT: 23
ASSAY: Xpert HBV VL, COUNT: 20
ASSAY: Xpert CT/NG, COUNT: 2
</t>
  </si>
  <si>
    <t>Gx-II</t>
  </si>
  <si>
    <t>Error 4017 Temperature related issue.</t>
  </si>
  <si>
    <t>Performed maintenance..gather data.run functionality test.Reliability test completed.</t>
  </si>
  <si>
    <t>Performed unit maintenance.Clean fan filter..performed plunger maintenance. Clean cartridge bay.. Run reliability test</t>
  </si>
  <si>
    <t>Module B1 operational but for monitoring.</t>
  </si>
  <si>
    <t>https://www.jotform.com/uploads/macarewecare/222927978372067/5747210096711722018/5747210096711722018_signature_28.png</t>
  </si>
  <si>
    <t>https://www.jotform.com/uploads/macarewecare/222927978372067/5747210096711722018/5747210096711722018_signature_31.png</t>
  </si>
  <si>
    <t>Mainyenance and xpertcheck</t>
  </si>
  <si>
    <t>All passed in xpertcheck</t>
  </si>
  <si>
    <t>G6382</t>
  </si>
  <si>
    <t>https://www.jotform.com/uploads/macarewecare/222927978372067/5747175316012434679/5747175316012434679_signature_28.png</t>
  </si>
  <si>
    <t>Kenneth Melvin N. Casidsid</t>
  </si>
  <si>
    <t>https://www.jotform.com/uploads/macarewecare/222927978372067/5747175316012434679/5747175316012434679_signature_31.png</t>
  </si>
  <si>
    <t>Due for maintenance,</t>
  </si>
  <si>
    <t>2 module operational</t>
  </si>
  <si>
    <t>C2 and C4 disabled encounter intermittent temp error</t>
  </si>
  <si>
    <t>https://www.jotform.com/uploads/macarewecare/222927978372067/5747174866017680612/5747174866017680612_signature_28.png</t>
  </si>
  <si>
    <t>https://www.jotform.com/uploads/macarewecare/222927978372067/5747174866017680612/5747174866017680612_signature_31.png</t>
  </si>
  <si>
    <t>Laboratory (Koica)</t>
  </si>
  <si>
    <t>For module replacement B4 761791 - 210068678</t>
  </si>
  <si>
    <t>900 0491RS</t>
  </si>
  <si>
    <t>G6379</t>
  </si>
  <si>
    <t>https://www.jotform.com/uploads/macarewecare/222927978372067/5747174206013476481/5747174206013476481_signature_28.png</t>
  </si>
  <si>
    <t>Norman Labis</t>
  </si>
  <si>
    <t>https://www.jotform.com/uploads/macarewecare/222927978372067/5747174206013476481/5747174206013476481_signature_31.png</t>
  </si>
  <si>
    <t xml:space="preserve">ASSAY: Xpert HCV VL, COUNT: 1299
</t>
  </si>
  <si>
    <t>Error 2097 in HCV Assay cartridge problem</t>
  </si>
  <si>
    <t>Performed maintenance and plunger , Icore clean up
Required end user to report in jotform regarding the persistence Error 2097</t>
  </si>
  <si>
    <t>Replaced new assay in HCV Viral Load and install with new assay 
Performed Icore clean up and plunger maintenance</t>
  </si>
  <si>
    <t>https://www.jotform.com/uploads/macarewecare/222927978372067/5746941233915722660/5746941233915722660_signature_28.png</t>
  </si>
  <si>
    <t>Adrian Villanueva</t>
  </si>
  <si>
    <t>https://www.jotform.com/uploads/macarewecare/222927978372067/5746941233915722660/5746941233915722660_signature_31.png</t>
  </si>
  <si>
    <t xml:space="preserve">ASSAY: Xpert MTB/RIF Ultra, COUNT: 963
</t>
  </si>
  <si>
    <t>Module 4 stuck cartridge 
Screw Stand problem</t>
  </si>
  <si>
    <t>Reschedule stuck cartridge repair due to screw problem</t>
  </si>
  <si>
    <t>https://www.jotform.com/uploads/macarewecare/222927978372067/5745700904314570841/5745700904314570841_signature_28.png</t>
  </si>
  <si>
    <t>https://www.jotform.com/uploads/macarewecare/222927978372067/5745700904314570841/5745700904314570841_signature_31.png</t>
  </si>
  <si>
    <t xml:space="preserve">ASSAY: Xpert CT/NG, COUNT: 266
ASSAY: Xpert HBV VL, COUNT: 10
ASSAY: Xpert HPV, COUNT: 2
ASSAY: Xpert HPV, COUNT: 220
ASSAY: Xpert MTB/RIF Ultra, COUNT: 3200
ASSAY: Xpert HCV VL, COUNT: 5
</t>
  </si>
  <si>
    <t>As per end user they encounter 2008 error</t>
  </si>
  <si>
    <t>https://www.jotform.com/uploads/macarewecare/222927978372067/5745452643097647985/5745452643097647985_signature_28.png</t>
  </si>
  <si>
    <t>https://www.jotform.com/uploads/macarewecare/222927978372067/5745452643097647985/5745452643097647985_signature_31.png</t>
  </si>
  <si>
    <t>Gen Luna St., Lumban</t>
  </si>
  <si>
    <t>Stuck cartridge on module B4</t>
  </si>
  <si>
    <t>Performed maintenance
Manual removal of stuck cartridge
Checked module B3
Generated reports</t>
  </si>
  <si>
    <t>Unit is operational. Module B3/630625 not operational, reported already. Room temperature is high due to faulty aircon.</t>
  </si>
  <si>
    <t>https://www.jotform.com/uploads/macarewecare/222927978372067/5745300719104816442/5745300719104816442_signature_28.png</t>
  </si>
  <si>
    <t>https://www.jotform.com/uploads/macarewecare/222927978372067/5745300719104816442/5745300719104816442_signature_31.png</t>
  </si>
  <si>
    <t>CPU hard to press-open
Keyboard mot turning off when shutdown</t>
  </si>
  <si>
    <t>Check power option setup
Check ports placement
Generate reports</t>
  </si>
  <si>
    <t>https://www.jotform.com/uploads/macarewecare/222927978372067/5745239125211766226/5745239125211766226_signature_28.png</t>
  </si>
  <si>
    <t>https://www.jotform.com/uploads/macarewecare/222927978372067/5745239125211766226/5745239125211766226_signature_31.png</t>
  </si>
  <si>
    <t>elenocbina@gmail.com</t>
  </si>
  <si>
    <t xml:space="preserve">ASSAY: Xpert MTB/RIF Ultra, COUNT: 3278
</t>
  </si>
  <si>
    <t>D2/210089677 for module replacement</t>
  </si>
  <si>
    <t>Replaced module: D2 - 210089677&gt;&gt;779135
Cleaned cartridge bays, plunger rod, icore, fan
Generate reports</t>
  </si>
  <si>
    <t>Replaced D2 module 
Performed Preventive Maintenance</t>
  </si>
  <si>
    <t>https://www.jotform.com/uploads/macarewecare/222927978372067/5745236295217744362/5745236295217744362_signature_28.png</t>
  </si>
  <si>
    <t>Eleanor Ocbina</t>
  </si>
  <si>
    <t>https://www.jotform.com/uploads/macarewecare/222927978372067/5745236295217744362/5745236295217744362_signature_31.png</t>
  </si>
  <si>
    <t>Patnanungan Rurahl Health Unit</t>
  </si>
  <si>
    <t>Patnanungan, Quezon</t>
  </si>
  <si>
    <t>rhu_patnanungan@yahoo.com.ph</t>
  </si>
  <si>
    <t>GXIV-4L-6C</t>
  </si>
  <si>
    <t>Replaced Defective CPU with Back up Laptop
Old CPU 2UA8471W5V
Back Up Laptop 5CG5040H6L
3 Spare Xpertcheck for Module Troubleshooting</t>
  </si>
  <si>
    <t>Perfomed Maintenance
Cleaned Cartridge Bay
Plunger Rod Maintenance
Cleaned Filter 
Gather Reports</t>
  </si>
  <si>
    <t>Back up Laptop</t>
  </si>
  <si>
    <t>https://www.jotform.com/uploads/macarewecare/222927978372067/5745229414761434344/5745229414761434344_signature_28.png</t>
  </si>
  <si>
    <t>John Michael Bantucan</t>
  </si>
  <si>
    <t>https://www.jotform.com/uploads/macarewecare/222927978372067/5745229414761434344/5745229414761434344_signature_31.png</t>
  </si>
  <si>
    <t>Performed PM
Performed XpertCheck
Generated report</t>
  </si>
  <si>
    <t>Unit is operationaL
Module 2 and 3 service required</t>
  </si>
  <si>
    <t>https://www.jotform.com/uploads/macarewecare/222927978372067/5742670576218260396/5742670576218260396_signature_28.png</t>
  </si>
  <si>
    <t>Marie linnet abril</t>
  </si>
  <si>
    <t>https://www.jotform.com/uploads/macarewecare/222927978372067/5742670576218260396/5742670576218260396_signature_31.png</t>
  </si>
  <si>
    <t>Jagobiao, mandaue city</t>
  </si>
  <si>
    <t>Defective Module A4 753612</t>
  </si>
  <si>
    <t>Install New Module A4 694399/ clean fan filter</t>
  </si>
  <si>
    <t>Install New Module A4 694399</t>
  </si>
  <si>
    <t>https://www.jotform.com/uploads/macarewecare/222927978372067/5741983121026260863/5741983121026260863_signature_28.png</t>
  </si>
  <si>
    <t>Juanita V. Alimurung</t>
  </si>
  <si>
    <t>https://www.jotform.com/uploads/macarewecare/222927978372067/5741983121026260863/5741983121026260863_signature_31.png</t>
  </si>
  <si>
    <t>E1002 and E4014 encountered on modules B1 and B2.</t>
  </si>
  <si>
    <t>https://www.jotform.com/uploads/macarewecare/222927978372067/5741971137228054434/5741971137228054434_signature_28.png</t>
  </si>
  <si>
    <t>https://www.jotform.com/uploads/macarewecare/222927978372067/5741971137228054434/5741971137228054434_signature_31.png</t>
  </si>
  <si>
    <t>GX-16-D-6C</t>
  </si>
  <si>
    <t>CPU always shutting down after booting</t>
  </si>
  <si>
    <t>Checked CPU</t>
  </si>
  <si>
    <t>Checked the connections
Reseat internal connections
Checked RAM
Checked HDD
Swap RAM to other slot</t>
  </si>
  <si>
    <t>Unit is not operational. CPU SN: 2UA3520VTR</t>
  </si>
  <si>
    <t>https://www.jotform.com/uploads/macarewecare/222927978372067/5741965317711872412/5741965317711872412_signature_28.png</t>
  </si>
  <si>
    <t>https://www.jotform.com/uploads/macarewecare/222927978372067/5741965317711872412/5741965317711872412_signature_31.png</t>
  </si>
  <si>
    <t>Quezon Ave, Lucena</t>
  </si>
  <si>
    <t>GX machine for packing and CPU troubleshooting</t>
  </si>
  <si>
    <t>Checked CPU
Checked power cable
Checked and cleaned ram, and ssd
Transferred Ram
Problem persists
CPU for reporting
Packed unit for transfer to new laboratory</t>
  </si>
  <si>
    <t>Troubleshoot cpu, packed unit for transfer to new laboratory</t>
  </si>
  <si>
    <t>Gx is operational.
Cpu not working</t>
  </si>
  <si>
    <t>https://www.jotform.com/uploads/macarewecare/222927978372067/5741893790157657478/5741893790157657478_signature_28.png</t>
  </si>
  <si>
    <t>https://www.jotform.com/uploads/macarewecare/222927978372067/5741893790157657478/5741893790157657478_signature_31.png</t>
  </si>
  <si>
    <t>Manila E Rd, Tanay</t>
  </si>
  <si>
    <t>maryjunnette@yahoo.com</t>
  </si>
  <si>
    <t xml:space="preserve">ASSAY: Xpert MTB/RIF Ultra, COUNT: 1470
ASSAY: Xpert HIV-1 Viral Load, COUNT: 21
</t>
  </si>
  <si>
    <t>Performed maintenance
Replaced module A1
Generated reports</t>
  </si>
  <si>
    <t>Old: A1/628393
New: A1/725380</t>
  </si>
  <si>
    <t>G 6378</t>
  </si>
  <si>
    <t>https://www.jotform.com/uploads/macarewecare/222927978372067/5741893527713752329/5741893527713752329_signature_28.png</t>
  </si>
  <si>
    <t>https://www.jotform.com/uploads/macarewecare/222927978372067/5741893527713752329/5741893527713752329_signature_31.png</t>
  </si>
  <si>
    <t>PILAR RURAL HEALTH UNIT</t>
  </si>
  <si>
    <t>PILAR SIARGAO</t>
  </si>
  <si>
    <t xml:space="preserve">ASSAY: Xpert MTB/RIF, COUNT: 10
ASSAY: Xpert MTB/RIF Ultra, COUNT: 390
</t>
  </si>
  <si>
    <t>-PERFORM PREVENTIVE MAINTENANCE
-PERFORM MODULE B1 REPLACEMENT:
DEFECTIVE SN: 787231
NEW MODULE SN: 791649</t>
  </si>
  <si>
    <t>https://www.jotform.com/uploads/macarewecare/222927978372067/5741879726164692506/5741879726164692506_signature_28.png</t>
  </si>
  <si>
    <t>https://www.jotform.com/uploads/macarewecare/222927978372067/5741879726164692506/5741879726164692506_signature_31.png</t>
  </si>
  <si>
    <t>MA Roxas St., Pililla</t>
  </si>
  <si>
    <t>Unit is operational. Module B2/687232 not operational, reported already. Modules B1 and B3 passed. Module B4 service required.</t>
  </si>
  <si>
    <t>https://www.jotform.com/uploads/macarewecare/222927978372067/5741865105389394272/5741865105389394272_signature_28.png</t>
  </si>
  <si>
    <t>Karren Abegail Olaya</t>
  </si>
  <si>
    <t>https://www.jotform.com/uploads/macarewecare/222927978372067/5741865105389394272/5741865105389394272_signature_31.png</t>
  </si>
  <si>
    <t>Peñalosa St., Macalelon, Quezon</t>
  </si>
  <si>
    <t>To perform additional troubleshooting on module 4</t>
  </si>
  <si>
    <t>Performed PM
Checked and cleaned icore slot, filter, plunger rod and cartridge bay
Checked modules valve
Reseat Gateway board
Generated report</t>
  </si>
  <si>
    <t>Performed additional reoubleshooting</t>
  </si>
  <si>
    <t>Module 4 error 2035 again after troubleshooting</t>
  </si>
  <si>
    <t>https://www.jotform.com/uploads/macarewecare/222927978372067/5741361610151776280/5741361610151776280_signature_28.png</t>
  </si>
  <si>
    <t>Cheyster O. Agustin</t>
  </si>
  <si>
    <t>https://www.jotform.com/uploads/macarewecare/222927978372067/5741361610151776280/5741361610151776280_signature_31.png</t>
  </si>
  <si>
    <t>Capoas St., Masambong, Quezon City</t>
  </si>
  <si>
    <t xml:space="preserve">ASSAY: Xpert MTB/RIF Ultra, COUNT: 1668
</t>
  </si>
  <si>
    <t>Module 4 frequent error</t>
  </si>
  <si>
    <t>Performed PM
Troubleshoot module 4
Checked system log
Performed reliability test; HW Failed module 4
Generated report</t>
  </si>
  <si>
    <t>Troubleshoot module 4</t>
  </si>
  <si>
    <t>Unut is operational. 
3 modules working</t>
  </si>
  <si>
    <t>https://www.jotform.com/uploads/macarewecare/222927978372067/5741360190159688831/5741360190159688831_signature_28.png</t>
  </si>
  <si>
    <t>Cristy cortezano</t>
  </si>
  <si>
    <t>https://www.jotform.com/uploads/macarewecare/222927978372067/5741360190159688831/5741360190159688831_signature_31.png</t>
  </si>
  <si>
    <t>Basud Rural Health Unit</t>
  </si>
  <si>
    <t>Maharlika Highway, Poblacion 2, Basud</t>
  </si>
  <si>
    <t>gbechano@yahoo.com</t>
  </si>
  <si>
    <t>B4/210070836 for Module Replacement</t>
  </si>
  <si>
    <t>Replaced Module: B4 - 210070836&gt;&gt;210101552</t>
  </si>
  <si>
    <t>Replaced B4 Module
Performed Preventive Maintenance</t>
  </si>
  <si>
    <t>https://www.jotform.com/uploads/macarewecare/222927978372067/5741198922324909979/5741198922324909979_signature_28.png</t>
  </si>
  <si>
    <t>Grace B. Echano</t>
  </si>
  <si>
    <t>https://www.jotform.com/uploads/macarewecare/222927978372067/5741198922324909979/5741198922324909979_signature_31.png</t>
  </si>
  <si>
    <t>San Fernando Rural Health Unit I</t>
  </si>
  <si>
    <t>celpineda1973@yahoo.com</t>
  </si>
  <si>
    <t>Module 2,4 error</t>
  </si>
  <si>
    <t>Performed Module Replacement 
(690343 - 628383)
(631936 - 210019566)
(666782 - 638450)</t>
  </si>
  <si>
    <t>https://www.jotform.com/uploads/macarewecare/222927978372067/5741130714428918332/5741130714428918332_signature_28.png</t>
  </si>
  <si>
    <t>Celia T.Pineda</t>
  </si>
  <si>
    <t>https://www.jotform.com/uploads/macarewecare/222927978372067/5741130714428918332/5741130714428918332_signature_31.png</t>
  </si>
  <si>
    <t xml:space="preserve">ASSAY: Xpert MTB/RIF Ultra, COUNT: 912
</t>
  </si>
  <si>
    <t>Module B1, B2 for reXpertCheck</t>
  </si>
  <si>
    <t>Unit is operational.
B1: 
B2:</t>
  </si>
  <si>
    <t>https://www.jotform.com/uploads/macarewecare/222927978372067/5741122512521947964/5741122512521947964_signature_28.png</t>
  </si>
  <si>
    <t>https://www.jotform.com/uploads/macarewecare/222927978372067/5741122512521947964/5741122512521947964_signature_31.png</t>
  </si>
  <si>
    <t>Caraga Regional Hospital</t>
  </si>
  <si>
    <t>Brgy. Washington, Rizal Street, Surigao City</t>
  </si>
  <si>
    <t xml:space="preserve">ASSAY: Xpert MTB/RIF Ultra, COUNT: 5501
ASSAY: Xpert HIV-1 Viral Load, COUNT: 40
</t>
  </si>
  <si>
    <t>Replacing Module D2 with SN: 798340 to SN: 210044001
Preventive Maintenance</t>
  </si>
  <si>
    <t>https://www.jotform.com/uploads/macarewecare/222927978372067/5741112311913669266/5741112311913669266_signature_28.png</t>
  </si>
  <si>
    <t>Marie June Lastimosa</t>
  </si>
  <si>
    <t>https://www.jotform.com/uploads/macarewecare/222927978372067/5741112311913669266/5741112311913669266_signature_31.png</t>
  </si>
  <si>
    <t>Corner E. Quirino Street, Davao City</t>
  </si>
  <si>
    <t>Clean Surface Area, Cartridge Bay, Plunger Rod,  Fan Filters and Icore Lenses
Generate IQR, Assay Stat and System Log
Archived Data test results</t>
  </si>
  <si>
    <t>Module B2 disabled due to error</t>
  </si>
  <si>
    <t>https://www.jotform.com/uploads/macarewecare/222927978372067/5741084173718502815/5741084173718502815_signature_28.png</t>
  </si>
  <si>
    <t>https://www.jotform.com/uploads/macarewecare/222927978372067/5741084173718502815/5741084173718502815_signature_31.png</t>
  </si>
  <si>
    <t>Binan City, Laguna</t>
  </si>
  <si>
    <t xml:space="preserve">ASSAY: Xpert HPV, COUNT: 149
ASSAY: Xpert MTB/RIF Ultra, COUNT: 1848
</t>
  </si>
  <si>
    <t>Unit for PM.
For module replacement of module B4.</t>
  </si>
  <si>
    <t>GX module B4 (210060063) in replacement to defective B4 (698927).</t>
  </si>
  <si>
    <t>G6375</t>
  </si>
  <si>
    <t>https://www.jotform.com/uploads/macarewecare/222927978372067/5741082402482342205/5741082402482342205_signature_28.png</t>
  </si>
  <si>
    <t>Criselda F.Gallo</t>
  </si>
  <si>
    <t>https://www.jotform.com/uploads/macarewecare/222927978372067/5741082402482342205/5741082402482342205_signature_31.png</t>
  </si>
  <si>
    <t>S. Carmona-Ylagan St., San Carlos City, Negros Occidental</t>
  </si>
  <si>
    <t xml:space="preserve">ASSAY: Xpert MTB/RIF Ultra, COUNT: 2335
</t>
  </si>
  <si>
    <t>Defective modules 687124/B3.</t>
  </si>
  <si>
    <t>- Replaced modules 687124/B3 and with new modules with SN 668567/B3.
- Generated Pre and Post IQRs.</t>
  </si>
  <si>
    <t>All 4 modules are operational.</t>
  </si>
  <si>
    <t>https://www.jotform.com/uploads/macarewecare/222927978372067/5741075576037695118/5741075576037695118_signature_28.png</t>
  </si>
  <si>
    <t>Christine Miñoza</t>
  </si>
  <si>
    <t>https://www.jotform.com/uploads/macarewecare/222927978372067/5741075576037695118/5741075576037695118_signature_31.png</t>
  </si>
  <si>
    <t>Cabuyao City Health Office 2</t>
  </si>
  <si>
    <t>Cabuyao, Laguna</t>
  </si>
  <si>
    <t>irahchristine.scd@gmail.com</t>
  </si>
  <si>
    <t>Unit for PM.
For Xpertcheck of modules A1 and A3.</t>
  </si>
  <si>
    <t>Unit is operational. Modules A1 and A3, passed Xpertcheck.</t>
  </si>
  <si>
    <t>Used 2 spare Xpertcheck.</t>
  </si>
  <si>
    <t>https://www.jotform.com/uploads/macarewecare/222927978372067/5741034482483563946/5741034482483563946_signature_28.png</t>
  </si>
  <si>
    <t>Irah Christine Dimatulac</t>
  </si>
  <si>
    <t>https://www.jotform.com/uploads/macarewecare/222927978372067/5741034482483563946/5741034482483563946_signature_31.png</t>
  </si>
  <si>
    <t xml:space="preserve">ASSAY: Xpert MTB/RIF Ultra, COUNT: 1436
ASSAY: Xpert HIV-1 Viral Load, COUNT: 61
</t>
  </si>
  <si>
    <t>Hard drive not detected
Slow Boot up( 15-20 mins) to GX application</t>
  </si>
  <si>
    <t>Performed preventive maintenance
Performed RAM reset and RAM cleaning
Performed Hard drive reset
Performed hard drive defragment
Gathered reports
Performed functionality test</t>
  </si>
  <si>
    <t>For CPU replacement ( Slow CPU) since 2015</t>
  </si>
  <si>
    <t>https://www.jotform.com/uploads/macarewecare/222927978372067/5741015990129924675/5741015990129924675_signature_28.png</t>
  </si>
  <si>
    <t>https://www.jotform.com/uploads/macarewecare/222927978372067/5741015990129924675/5741015990129924675_signature_31.png</t>
  </si>
  <si>
    <t xml:space="preserve">ASSAY: Xpert MTB/RIF Ultra, COUNT: 1649
</t>
  </si>
  <si>
    <t>2008 for B1, B2 B4</t>
  </si>
  <si>
    <t>Orient end user for proper sampling preparation and reagents mixing.
Generate gxx files, patient report</t>
  </si>
  <si>
    <t>Performed Maintenance clean Icore, Valve, Plunger
No more filter damage all</t>
  </si>
  <si>
    <t>https://www.jotform.com/uploads/macarewecare/222927978372067/5741004313711792397/5741004313711792397_signature_28.png</t>
  </si>
  <si>
    <t>Lucille Mae A. Potoy</t>
  </si>
  <si>
    <t>https://www.jotform.com/uploads/macarewecare/222927978372067/5741004313711792397/5741004313711792397_signature_31.png</t>
  </si>
  <si>
    <t>Camp Capinpin Compound</t>
  </si>
  <si>
    <t>ccashlaboratory@gmail.com</t>
  </si>
  <si>
    <t xml:space="preserve">ASSAY: Xpert MTB/RIF Ultra, COUNT: 148
</t>
  </si>
  <si>
    <t>https://www.jotform.com/uploads/macarewecare/222927978372067/5740958780217531267/5740958780217531267_signature_28.png</t>
  </si>
  <si>
    <t>Maquilan, Khimberly C</t>
  </si>
  <si>
    <t>https://www.jotform.com/uploads/macarewecare/222927978372067/5740958780217531267/5740958780217531267_signature_31.png</t>
  </si>
  <si>
    <t>Due for ReXpertCheck</t>
  </si>
  <si>
    <t>Performed ReXpertCheck</t>
  </si>
  <si>
    <t>Module B2 for reporting</t>
  </si>
  <si>
    <t>https://www.jotform.com/uploads/macarewecare/222927978372067/5740892554409065286/5740892554409065286_signature_28.png</t>
  </si>
  <si>
    <t>https://www.jotform.com/uploads/macarewecare/222927978372067/5740892554409065286/5740892554409065286_signature_31.png</t>
  </si>
  <si>
    <t>rhusanjacinto16@gmail.com</t>
  </si>
  <si>
    <t>https://www.jotform.com/uploads/macarewecare/222927978372067/5740891544408703320/5740891544408703320_signature_28.png</t>
  </si>
  <si>
    <t>Shara Mae Dela Masa</t>
  </si>
  <si>
    <t>https://www.jotform.com/uploads/macarewecare/222927978372067/5740891544408703320/5740891544408703320_signature_31.png</t>
  </si>
  <si>
    <t>marianmelodyrabaca37@gmail.com</t>
  </si>
  <si>
    <t xml:space="preserve">ASSAY: Xpert MTB/RIF Ultra, COUNT: 337
</t>
  </si>
  <si>
    <t>B2 Defective SN # 791790  error 4012 repeated during start up and running</t>
  </si>
  <si>
    <t>Replaced new module SN  #  717505</t>
  </si>
  <si>
    <t>Replacement of New module SN#  717505</t>
  </si>
  <si>
    <t>https://www.jotform.com/uploads/macarewecare/222927978372067/5740427583915975342/5740427583915975342_signature_28.png</t>
  </si>
  <si>
    <t>Mariel Reguero, RMT</t>
  </si>
  <si>
    <t>https://www.jotform.com/uploads/macarewecare/222927978372067/5740427583915975342/5740427583915975342_signature_31.png</t>
  </si>
  <si>
    <t>Module B1, B3, B4, for replacement</t>
  </si>
  <si>
    <t>GeneXpert Module
SN: 653728, 710644, 655300</t>
  </si>
  <si>
    <t>https://www.jotform.com/uploads/macarewecare/222927978372067/5740265891311725055/5740265891311725055_signature_28.png</t>
  </si>
  <si>
    <t>https://www.jotform.com/uploads/macarewecare/222927978372067/5740265891311725055/5740265891311725055_signature_31.png</t>
  </si>
  <si>
    <t>acho.laboratory@gmail.coml</t>
  </si>
  <si>
    <t xml:space="preserve">ASSAY: Xpert CT/NG, COUNT: 80
ASSAY: Xpert MTB/RIF Ultra, COUNT: 9475
ASSAY: Xpert HIV-1 Viral Load, COUNT: 625
</t>
  </si>
  <si>
    <t>Old: A2/885372
New: A2/636902</t>
  </si>
  <si>
    <t>G 6377</t>
  </si>
  <si>
    <t>https://www.jotform.com/uploads/macarewecare/222927978372067/5740264858355828570/5740264858355828570_signature_28.png</t>
  </si>
  <si>
    <t>https://www.jotform.com/uploads/macarewecare/222927978372067/5740264858355828570/5740264858355828570_signature_31.png</t>
  </si>
  <si>
    <t>Villa Abrille St. Poblacion, Davao City</t>
  </si>
  <si>
    <t xml:space="preserve">ASSAY: Xpert MTB/RIF, COUNT: 2222
</t>
  </si>
  <si>
    <t>Replaced the Defective Module A1 SN: 645083 with new Module SN: 915216
Replaced the Defective Module A2 SN: 610272 with new Module SN 702694
Generate IQR, Assay Stat and System Log</t>
  </si>
  <si>
    <t>Modules A3 for under observation</t>
  </si>
  <si>
    <t>https://www.jotform.com/uploads/macarewecare/222927978372067/5740233144713423916/5740233144713423916_signature_28.png</t>
  </si>
  <si>
    <t>CRIZZ VALEREY BAUTISTA</t>
  </si>
  <si>
    <t>https://www.jotform.com/uploads/macarewecare/222927978372067/5740233144713423916/5740233144713423916_signature_31.png</t>
  </si>
  <si>
    <t>Poblacion, Pulupandan, Negros Occidental</t>
  </si>
  <si>
    <t xml:space="preserve">ASSAY: Xpert MTB/RIF, COUNT: 482
</t>
  </si>
  <si>
    <t>Defective modules 910236/B2 and 910237/B3</t>
  </si>
  <si>
    <t>- Replaced modules 910236/B2 and 910237/B3 with new modules with SN 886683/B2 and 720511/B3.
- Generated Pre and Post IQRs.</t>
  </si>
  <si>
    <t>https://www.jotform.com/uploads/macarewecare/222927978372067/5740214725217756052/5740214725217756052_signature_28.png</t>
  </si>
  <si>
    <t>Arriane Gaye Tambolero</t>
  </si>
  <si>
    <t>https://www.jotform.com/uploads/macarewecare/222927978372067/5740214725217756052/5740214725217756052_signature_31.png</t>
  </si>
  <si>
    <t>Unit for preventive maintenance</t>
  </si>
  <si>
    <t>Performed preventive maintenance
Run diagnostic test
Generated report</t>
  </si>
  <si>
    <t>With Sir Monsour</t>
  </si>
  <si>
    <t>https://www.jotform.com/uploads/macarewecare/222927978372067/5740160130427316369/5740160130427316369_signature_28.png</t>
  </si>
  <si>
    <t>https://www.jotform.com/uploads/macarewecare/222927978372067/5740160130427316369/5740160130427316369_signature_31.png</t>
  </si>
  <si>
    <t>Tipo-Tipo proper, Tipo-Tipo Basilan</t>
  </si>
  <si>
    <t>Module 1, 2 and 4 passed the calibration while module 3 failed</t>
  </si>
  <si>
    <t>https://www.jotform.com/uploads/macarewecare/222927978372067/5740157266812483615/5740157266812483615_signature_28.png</t>
  </si>
  <si>
    <t>https://www.jotform.com/uploads/macarewecare/222927978372067/5740157266812483615/5740157266812483615_signature_31.png</t>
  </si>
  <si>
    <t>Sto. Domingo District Hospital</t>
  </si>
  <si>
    <t>https://www.jotform.com/uploads/macarewecare/222927978372067/5740148612912079937/5740148612912079937_signature_28.png</t>
  </si>
  <si>
    <t>https://www.jotform.com/uploads/macarewecare/222927978372067/5740148612912079937/5740148612912079937_signature_31.png</t>
  </si>
  <si>
    <t>Old: B2/210068691
New: B2/210070889</t>
  </si>
  <si>
    <t>G 6380</t>
  </si>
  <si>
    <t>https://www.jotform.com/uploads/macarewecare/222927978372067/5740143788359252849/5740143788359252849_signature_28.png</t>
  </si>
  <si>
    <t>Erika Mae M. Memdoza</t>
  </si>
  <si>
    <t>https://www.jotform.com/uploads/macarewecare/222927978372067/5740143788359252849/5740143788359252849_signature_31.png</t>
  </si>
  <si>
    <t>Module D2 for replacement.</t>
  </si>
  <si>
    <t>Performed maintenance
Replaced module D2
Run reliability test on module D3
Generated reports</t>
  </si>
  <si>
    <t>Unit is operational. Module D3 operational but under observation.</t>
  </si>
  <si>
    <t>Unit from Marikina CHO</t>
  </si>
  <si>
    <t>Old: D2/690385
New: D2/654888</t>
  </si>
  <si>
    <t>G 6374</t>
  </si>
  <si>
    <t>https://www.jotform.com/uploads/macarewecare/222927978372067/5739450098621354214/5739450098621354214_signature_28.png</t>
  </si>
  <si>
    <t>John Karl Jimenez</t>
  </si>
  <si>
    <t>https://www.jotform.com/uploads/macarewecare/222927978372067/5739450098621354214/5739450098621354214_signature_31.png</t>
  </si>
  <si>
    <t>Science City of Munoz, Nueva Ecija</t>
  </si>
  <si>
    <t>UPS no backup</t>
  </si>
  <si>
    <t>Replaced battery of UPS</t>
  </si>
  <si>
    <t>Battery 2pcs</t>
  </si>
  <si>
    <t>https://www.jotform.com/uploads/macarewecare/222927978372067/5739420164914896968/5739420164914896968_signature_28.png</t>
  </si>
  <si>
    <t>https://www.jotform.com/uploads/macarewecare/222927978372067/5739420164914896968/5739420164914896968_signature_31.png</t>
  </si>
  <si>
    <t>https://www.jotform.com/uploads/macarewecare/222927978372067/5739397783817407544/5739397783817407544_signature_28.png</t>
  </si>
  <si>
    <t>https://www.jotform.com/uploads/macarewecare/222927978372067/5739397783817407544/5739397783817407544_signature_31.png</t>
  </si>
  <si>
    <t>Brgy. Telaje, Capitol Hills, Tandag City</t>
  </si>
  <si>
    <t>tbdotsppmdunit@gmail.com</t>
  </si>
  <si>
    <t xml:space="preserve">ASSAY: Xpert MTB/RIF Ultra, COUNT: 1175
</t>
  </si>
  <si>
    <t>Replacing Module A2 with SN: 623381 to SN: 638076
A3 with SN: 632682 to SN: 210009389
A4 with SN: 681588 to SN: 700114</t>
  </si>
  <si>
    <t>https://www.jotform.com/uploads/macarewecare/222927978372067/5739389601215418435/5739389601215418435_signature_28.png</t>
  </si>
  <si>
    <t>Lorene Dagasdas</t>
  </si>
  <si>
    <t>https://www.jotform.com/uploads/macarewecare/222927978372067/5739389601215418435/5739389601215418435_signature_31.png</t>
  </si>
  <si>
    <t>Tuburan rural health</t>
  </si>
  <si>
    <t>Tables used, Tuburan</t>
  </si>
  <si>
    <t xml:space="preserve">ASSAY: Xpert MTB/RIF Ultra, COUNT: 276
</t>
  </si>
  <si>
    <t>All 4 modules undergone Xpertcheck calibration</t>
  </si>
  <si>
    <t>Preventive Maintenence and xpertcheck calibration</t>
  </si>
  <si>
    <t>All modules passed the calibration.</t>
  </si>
  <si>
    <t>https://www.jotform.com/uploads/macarewecare/222927978372067/5739387554567171461/5739387554567171461_signature_28.png</t>
  </si>
  <si>
    <t>https://www.jotform.com/uploads/macarewecare/222927978372067/5739387554567171461/5739387554567171461_signature_31.png</t>
  </si>
  <si>
    <t>- Stuck cartridge on module 1
- CPU not powering up</t>
  </si>
  <si>
    <t>Unit is not operational.
CPU for reporting
Model: Lenovo ThinkCentre
SN: CPH0520F08487</t>
  </si>
  <si>
    <t>https://www.jotform.com/uploads/macarewecare/222927978372067/5739377993814104467/5739377993814104467_signature_28.png</t>
  </si>
  <si>
    <t>Michaela Sayo</t>
  </si>
  <si>
    <t>https://www.jotform.com/uploads/macarewecare/222927978372067/5739377993814104467/5739377993814104467_signature_31.png</t>
  </si>
  <si>
    <t>Daisy St., cor Daffodil St., Banlat Road, Tandang Sora, Quezon City, 1116</t>
  </si>
  <si>
    <t>mfgadayrmt17@gmail.com</t>
  </si>
  <si>
    <t>GX unit for PM</t>
  </si>
  <si>
    <t>Checked and cleaned cartridge bays, plunger rod, icore slot and filter
Performed self test; all passed
Performed preventive maintenance; all passed
Generated report</t>
  </si>
  <si>
    <t>Unit is operational. 
All modules working</t>
  </si>
  <si>
    <t>https://www.jotform.com/uploads/macarewecare/222927978372067/5739290150423854883/5739290150423854883_signature_28.png</t>
  </si>
  <si>
    <t>Maria Adaya</t>
  </si>
  <si>
    <t>https://www.jotform.com/uploads/macarewecare/222927978372067/5739290150423854883/5739290150423854883_signature_31.png</t>
  </si>
  <si>
    <t>ON-SITE ASSISTANCE
Unit transfer</t>
  </si>
  <si>
    <t>burtyboy22@yahoo.com</t>
  </si>
  <si>
    <t xml:space="preserve">ASSAY: Xpert HIV-1 Viral Load, COUNT: 48
</t>
  </si>
  <si>
    <t>Unit foe tranfer to another location in ithe laboratory.</t>
  </si>
  <si>
    <t>https://www.jotform.com/uploads/macarewecare/222927978372067/5739260184796810503/5739260184796810503_signature_28.png</t>
  </si>
  <si>
    <t>Mr. Burt Padronia</t>
  </si>
  <si>
    <t>https://www.jotform.com/uploads/macarewecare/222927978372067/5739260184796810503/5739260184796810503_signature_31.png</t>
  </si>
  <si>
    <t xml:space="preserve">ASSAY: Xpert CT/NG, COUNT: 2
ASSAY: Xpert MTB/RIF, COUNT: 0
ASSAY: Xpert MTB/RIF Ultra, COUNT: 166
ASSAY: Xpert SARS-CoV-2, COUNT: 1352
</t>
  </si>
  <si>
    <t>839232 and 830ñ0841</t>
  </si>
  <si>
    <t>Machine relocation
Preventive maintenance</t>
  </si>
  <si>
    <t>Machine relocation from Molecular Laboratory to Main Laboratory
Installation and setup of Genexpert machine
Setup daisy chain connection
Gathered reports
Performed functionality test</t>
  </si>
  <si>
    <t>For quotation of xpertcheck kits</t>
  </si>
  <si>
    <t>https://www.jotform.com/uploads/macarewecare/222927978372067/5739258634213549030/5739258634213549030_signature_28.png</t>
  </si>
  <si>
    <t>https://www.jotform.com/uploads/macarewecare/222927978372067/5739258634213549030/5739258634213549030_signature_31.png</t>
  </si>
  <si>
    <t>rodaflores1038@yahoo.com.ph</t>
  </si>
  <si>
    <t>UNIT HAS NO POWER</t>
  </si>
  <si>
    <t>https://www.jotform.com/uploads/macarewecare/222927978372067/5738680719425979787/5738680719425979787_signature_28.png</t>
  </si>
  <si>
    <t>https://www.jotform.com/uploads/macarewecare/222927978372067/5738680719425979787/5738680719425979787_signature_31.png</t>
  </si>
  <si>
    <t>Zamboanga del norte medical center</t>
  </si>
  <si>
    <t>ferranbryder@gmail.com</t>
  </si>
  <si>
    <t>Module 3 stuck cartridge</t>
  </si>
  <si>
    <t>Removed stuck cartridge and all 4 modules undergone Xpertcheck calibration all modules passed.</t>
  </si>
  <si>
    <t>Removed stuck cartridge and all 4 modules undergone Xpertcheck calibration</t>
  </si>
  <si>
    <t>All 4 modules are available</t>
  </si>
  <si>
    <t>https://www.jotform.com/uploads/macarewecare/222927978372067/5738603746418356586/5738603746418356586_signature_28.png</t>
  </si>
  <si>
    <t>Ferrari Bryder Tomoy</t>
  </si>
  <si>
    <t>https://www.jotform.com/uploads/macarewecare/222927978372067/5738603746418356586/5738603746418356586_signature_31.png</t>
  </si>
  <si>
    <t>Mabinay Medicre Community Hospital</t>
  </si>
  <si>
    <t xml:space="preserve">ASSAY: Xpert MTB/RIF, COUNT: 35
ASSAY: Xpert MTB/RIF Ultra, COUNT: 786
</t>
  </si>
  <si>
    <t>E5011 in module 769404/B2</t>
  </si>
  <si>
    <t>- 4 modules operational,
- module B2 for observation and parallel run on other modules in case of E5011 recurrence.</t>
  </si>
  <si>
    <t>https://www.jotform.com/uploads/macarewecare/222927978372067/5738516772012960387/5738516772012960387_signature_28.png</t>
  </si>
  <si>
    <t>DIANNE MI-OT</t>
  </si>
  <si>
    <t>https://www.jotform.com/uploads/macarewecare/222927978372067/5738516772012960387/5738516772012960387_signature_31.png</t>
  </si>
  <si>
    <t>Cleaned rollers, surface
Checked fuse, system</t>
  </si>
  <si>
    <t>https://www.jotform.com/uploads/macarewecare/222927978372067/5738384192813749273/5738384192813749273_signature_28.png</t>
  </si>
  <si>
    <t>https://www.jotform.com/uploads/macarewecare/222927978372067/5738384192813749273/5738384192813749273_signature_31.png</t>
  </si>
  <si>
    <t>MCS+ not powering on</t>
  </si>
  <si>
    <t>Replaced fuse
Cleaned rollers, surface</t>
  </si>
  <si>
    <t>Checked fuse
Performed Preventive Maintenance</t>
  </si>
  <si>
    <t>https://www.jotform.com/uploads/macarewecare/222927978372067/5738379372819750906/5738379372819750906_signature_28.png</t>
  </si>
  <si>
    <t>https://www.jotform.com/uploads/macarewecare/222927978372067/5738379372819750906/5738379372819750906_signature_31.png</t>
  </si>
  <si>
    <t>For preventive maintenance</t>
  </si>
  <si>
    <t>Cleaned rollers, surface. checked fuse</t>
  </si>
  <si>
    <t>For adjustment of SPM tolerance</t>
  </si>
  <si>
    <t>https://www.jotform.com/uploads/macarewecare/222927978372067/5738376212814518426/5738376212814518426_signature_28.png</t>
  </si>
  <si>
    <t>https://www.jotform.com/uploads/macarewecare/222927978372067/5738376212814518426/5738376212814518426_signature_31.png</t>
  </si>
  <si>
    <t>princesscalingacion@y7mail.com</t>
  </si>
  <si>
    <t xml:space="preserve">ASSAY: Xpert HPV, COUNT: 512
ASSAY: Xpert MTB/RIF Ultra, COUNT: 614
ASSAY: Xpert SARS-CoV-2, COUNT: 488
</t>
  </si>
  <si>
    <t>https://www.jotform.com/uploads/macarewecare/222927978372067/5738312252816284815/5738312252816284815_signature_28.png</t>
  </si>
  <si>
    <t>Princess Jastine Calingacion</t>
  </si>
  <si>
    <t>https://www.jotform.com/uploads/macarewecare/222927978372067/5738312252816284815/5738312252816284815_signature_31.png</t>
  </si>
  <si>
    <t xml:space="preserve">ASSAY: Xpert CT/NG, COUNT: 4
ASSAY: Xpert HPV, COUNT: 1593
ASSAY: Xpert MTB/RIF Ultra, COUNT: 6956
ASSAY: Xpert SARS-CoV-2, COUNT: 2216
ASSAY: Xpert HIV-1 Viral Load, COUNT: 359
</t>
  </si>
  <si>
    <t>B3, D1 hardware failed</t>
  </si>
  <si>
    <t>Cleaned cartridge bays, plunger rod 
Generate report</t>
  </si>
  <si>
    <t>https://www.jotform.com/uploads/macarewecare/222927978372067/5738302082811308181/5738302082811308181_signature_28.png</t>
  </si>
  <si>
    <t>Princess Calingacion</t>
  </si>
  <si>
    <t>https://www.jotform.com/uploads/macarewecare/222927978372067/5738302082811308181/5738302082811308181_signature_31.png</t>
  </si>
  <si>
    <t>kath101278@yahoo.com</t>
  </si>
  <si>
    <t xml:space="preserve">ASSAY: Xpert MTB/RIF Ultra, COUNT: 1387
</t>
  </si>
  <si>
    <t>https://www.jotform.com/uploads/macarewecare/222927978372067/5738296404403303109/5738296404403303109_signature_28.png</t>
  </si>
  <si>
    <t>https://www.jotform.com/uploads/macarewecare/222927978372067/5738296404403303109/5738296404403303109_signature_31.png</t>
  </si>
  <si>
    <t>Lingayen, Pangasinan</t>
  </si>
  <si>
    <t xml:space="preserve">ASSAY: Xpert MTB/RIF Ultra, COUNT: 1125
</t>
  </si>
  <si>
    <t>- Cleaned Cartridge Bays, Plunger Rods and I-CORE 
- Replaced Defective Module 786169 &gt;&gt;&gt;210101549
- Generated reports</t>
  </si>
  <si>
    <t>GeneXpert Module 210101549</t>
  </si>
  <si>
    <t>https://www.jotform.com/uploads/macarewecare/222927978372067/5738294054401492702/5738294054401492702_signature_28.png</t>
  </si>
  <si>
    <t>Susan c.delacruz</t>
  </si>
  <si>
    <t>https://www.jotform.com/uploads/macarewecare/222927978372067/5738294054401492702/5738294054401492702_signature_31.png</t>
  </si>
  <si>
    <t>Ilocos Training and Medical Center</t>
  </si>
  <si>
    <t xml:space="preserve">ASSAY: Xpert HPV, COUNT: 365
ASSAY: Xpert MTB/RIF Ultra, COUNT: 1723
ASSAY: Others, COUNT: 719
ASSAY: Xpert SARS-CoV-2, COUNT: 401
</t>
  </si>
  <si>
    <t>https://www.jotform.com/uploads/macarewecare/222927978372067/5738291774402984245/5738291774402984245_signature_28.png</t>
  </si>
  <si>
    <t>Romnick Conui</t>
  </si>
  <si>
    <t>https://www.jotform.com/uploads/macarewecare/222927978372067/5738291774402984245/5738291774402984245_signature_31.png</t>
  </si>
  <si>
    <t xml:space="preserve">ASSAY: Xpert HBV VL, COUNT: 97
ASSAY: Xpert HPV, COUNT: 357
ASSAY: Xpert MTB/RIF Ultra, COUNT: 2189
ASSAY: Xpert SARS-CoV-2, COUNT: 401
ASSAY: Xpert HIV-1 Viral Load, COUNT: 174
</t>
  </si>
  <si>
    <t>- Cleaned Cartridge Bays, Plunger Rods and I-CORE 
- Replaced Defective Module 616730 &gt;&gt;&gt; 210102068
- Generated reports</t>
  </si>
  <si>
    <t>GeneXpert Module 210102068</t>
  </si>
  <si>
    <t>https://www.jotform.com/uploads/macarewecare/222927978372067/5738288924405771382/5738288924405771382_signature_28.png</t>
  </si>
  <si>
    <t>https://www.jotform.com/uploads/macarewecare/222927978372067/5738288924405771382/5738288924405771382_signature_31.png</t>
  </si>
  <si>
    <t>- Cleaned Cartridge Bays, Plunger Rods and I-CORE 
- Replaced Defective Module 210097620 &gt;&gt;&gt; 662094
- Generated Reports</t>
  </si>
  <si>
    <t>GeneXpert Module 662094</t>
  </si>
  <si>
    <t>DR 10730</t>
  </si>
  <si>
    <t>https://www.jotform.com/uploads/macarewecare/222927978372067/5738286074406946559/5738286074406946559_signature_28.png</t>
  </si>
  <si>
    <t>Jeanette C.Trinidad</t>
  </si>
  <si>
    <t>https://www.jotform.com/uploads/macarewecare/222927978372067/5738286074406946559/5738286074406946559_signature_31.png</t>
  </si>
  <si>
    <t>St. Luke's Extension Clinic</t>
  </si>
  <si>
    <t>GX Infinity 6C</t>
  </si>
  <si>
    <t>Performed PM
Checked and cleaned plunger rod, icore slot, filter, cartridge bays</t>
  </si>
  <si>
    <t>Passed - A4, B4, C1, C4, D2, D3, D4, E3, F1, G1, G4
Failed - A1, A3, B1, B2, B3, C2, C3, D1, E1, E2, E4, F2, F3, F4, G2, G3
Not Available - A2</t>
  </si>
  <si>
    <t>With Sir Pat, Maam Cienne, Maam Rhea &amp; Mike</t>
  </si>
  <si>
    <t>DR 10748</t>
  </si>
  <si>
    <t>https://www.jotform.com/uploads/macarewecare/222927978372067/5737119397516518937/5737119397516518937_signature_28.png</t>
  </si>
  <si>
    <t>https://www.jotform.com/uploads/macarewecare/222927978372067/5737119397516518937/5737119397516518937_signature_31.png</t>
  </si>
  <si>
    <t xml:space="preserve">ASSAY: Xpert MTB/RIF Ultra, COUNT: 947
ASSAY: Others, COUNT: 7
ASSAY: Xpert SARS-CoV-2, COUNT: 1785
</t>
  </si>
  <si>
    <t>A3 644007 /A4 634060/ C3 645559/C4 628454/ D2 653968 encounter continous temp error.</t>
  </si>
  <si>
    <t>Checked up unit</t>
  </si>
  <si>
    <t>B3,B4,C1 disabled for reporting</t>
  </si>
  <si>
    <t>A3 644007 /A4 634060/ C3 645559/C4 628454/ D2 653968 encounter continous temp error. For replacement of module reported already</t>
  </si>
  <si>
    <t>https://www.jotform.com/uploads/macarewecare/222927978372067/5736171926018550719/5736171926018550719_signature_28.png</t>
  </si>
  <si>
    <t>https://www.jotform.com/uploads/macarewecare/222927978372067/5736171926018550719/5736171926018550719_signature_31.png</t>
  </si>
  <si>
    <t>East,Avenue QC</t>
  </si>
  <si>
    <t xml:space="preserve">ASSAY: Xpert BCR-ABL Ultra, COUNT: 888
ASSAY: Others, COUNT: 29
ASSAY: Xpert HBV VL, COUNT: 611
ASSAY: Xpert HPV, COUNT: 117
ASSAY: Xpert MTB/RIF, COUNT: 1115
ASSAY: Xpert MTB/RIF Ultra, COUNT: 1307
ASSAY: Xpert SARS-CoV-2, COUNT: 14074
ASSAY: Xpert HCV VL, COUNT: 59
ASSAY: Xpert SARS-CoV-2, COUNT: 9
</t>
  </si>
  <si>
    <t>For module replacement A1 620546 - 896997</t>
  </si>
  <si>
    <t>15 modules operational</t>
  </si>
  <si>
    <t>A4 h/w failed reported already</t>
  </si>
  <si>
    <t>https://www.jotform.com/uploads/macarewecare/222927978372067/5736171496014452546/5736171496014452546_signature_28.png</t>
  </si>
  <si>
    <t>https://www.jotform.com/uploads/macarewecare/222927978372067/5736171496014452546/5736171496014452546_signature_31.png</t>
  </si>
  <si>
    <t>AFP Health Service Command</t>
  </si>
  <si>
    <t>AFP Medical Center, V. Luna Road,Quezon City</t>
  </si>
  <si>
    <t>Module 1 and 3 frquent problem</t>
  </si>
  <si>
    <t>Performed PM
Checked system logs
Performed reliability test
Module 1 and 3 HW failed
Gathered data
Generated report</t>
  </si>
  <si>
    <t>Checked module 1 and 3</t>
  </si>
  <si>
    <t>U ut is operational
Module 1 and 3 for reporting</t>
  </si>
  <si>
    <t>https://www.jotform.com/uploads/macarewecare/222927978372067/5735992032616459868/5735992032616459868_signature_28.png</t>
  </si>
  <si>
    <t>https://www.jotform.com/uploads/macarewecare/222927978372067/5735992032616459868/5735992032616459868_signature_31.png</t>
  </si>
  <si>
    <t>P. Tolentino St. Angono</t>
  </si>
  <si>
    <t>For XpertCheck, for monitor replacement</t>
  </si>
  <si>
    <t>Run XpertCheck, replaced monitor</t>
  </si>
  <si>
    <t>Performed maintenance
Replaced monitor
Run XpertCheck
Generated reports</t>
  </si>
  <si>
    <t>Unit is operational. Module A2/784784 failed in XpertCheck. Module A4/719514 not operational, reported already.</t>
  </si>
  <si>
    <t>https://www.jotform.com/uploads/macarewecare/222927978372067/5735965126815591410/5735965126815591410_signature_28.png</t>
  </si>
  <si>
    <t>https://www.jotform.com/uploads/macarewecare/222927978372067/5735965126815591410/5735965126815591410_signature_31.png</t>
  </si>
  <si>
    <t xml:space="preserve">ASSAY: Xpert MTB/RIF Ultra, COUNT: 4429
ASSAY: Xpert SARS-CoV-2, COUNT: 3368
</t>
  </si>
  <si>
    <t>Cleaned plunger rod,i core, cartridge bay,filter
Gathered reports
Performed xpertcheck</t>
  </si>
  <si>
    <t>15 module passed xpertcheck</t>
  </si>
  <si>
    <t>C3 failed in xpertcheck</t>
  </si>
  <si>
    <t>https://www.jotform.com/uploads/macarewecare/222927978372067/5735780813615367655/5735780813615367655_signature_28.png</t>
  </si>
  <si>
    <t>https://www.jotform.com/uploads/macarewecare/222927978372067/5735780813615367655/5735780813615367655_signature_31.png</t>
  </si>
  <si>
    <t>Dr. Estancio St., Cardona</t>
  </si>
  <si>
    <t>https://www.jotform.com/uploads/macarewecare/222927978372067/5735776032421301804/5735776032421301804_signature_28.png</t>
  </si>
  <si>
    <t>Renalyn Villaran</t>
  </si>
  <si>
    <t>https://www.jotform.com/uploads/macarewecare/222927978372067/5735776032421301804/5735776032421301804_signature_31.png</t>
  </si>
  <si>
    <t>B2/653893 for Module Replacement</t>
  </si>
  <si>
    <t>Module replaced: B2 - 653893&gt;&gt;210101613
Cleaned Gx fan
Generate reports</t>
  </si>
  <si>
    <t>Replaced Module B2/653893</t>
  </si>
  <si>
    <t>https://www.jotform.com/uploads/macarewecare/222927978372067/5735775839226133660/5735775839226133660_signature_28.png</t>
  </si>
  <si>
    <t>https://www.jotform.com/uploads/macarewecare/222927978372067/5735775839226133660/5735775839226133660_signature_31.png</t>
  </si>
  <si>
    <t>MRB Compound Pilot Drive, Quezon City</t>
  </si>
  <si>
    <t>Checked and cleaned cartridge bays, plunger rod, icore slot and filter
Performed reliability test; all passed
Generated report</t>
  </si>
  <si>
    <t>https://www.jotform.com/uploads/macarewecare/222927978372067/5735758692612780138/5735758692612780138_signature_28.png</t>
  </si>
  <si>
    <t>TRECIA MARIE D. COLISAO</t>
  </si>
  <si>
    <t>https://www.jotform.com/uploads/macarewecare/222927978372067/5735758692612780138/5735758692612780138_signature_31.png</t>
  </si>
  <si>
    <t>Dr. Elvira Lagrosa (Duay) Health Center</t>
  </si>
  <si>
    <t>Libertad, Pasay</t>
  </si>
  <si>
    <t>Module 2 invalid results</t>
  </si>
  <si>
    <t>Performed PM
Checked module 2
Performed reliability test
Noticed that the valve is not in line with the case
Gathered data for reporting</t>
  </si>
  <si>
    <t>Troubleshoot module 2</t>
  </si>
  <si>
    <t>Unit is operational.
Module 2 disabled</t>
  </si>
  <si>
    <t>https://www.jotform.com/uploads/macarewecare/222927978372067/5735751212611001141/5735751212611001141_signature_28.png</t>
  </si>
  <si>
    <t>https://www.jotform.com/uploads/macarewecare/222927978372067/5735751212611001141/5735751212611001141_signature_31.png</t>
  </si>
  <si>
    <t>DATU HALUN SAKILAN MEMORIAL HOSPITAL</t>
  </si>
  <si>
    <t>BONGAO, TAWI-TAWI</t>
  </si>
  <si>
    <t xml:space="preserve">ASSAY: Xpert SARS-CoV-2, COUNT: 18
</t>
  </si>
  <si>
    <t>https://www.jotform.com/uploads/macarewecare/222927978372067/5735699001958826557/5735699001958826557_signature_28.png</t>
  </si>
  <si>
    <t>Joel A. Kamlian</t>
  </si>
  <si>
    <t>https://www.jotform.com/uploads/macarewecare/222927978372067/5735699001958826557/5735699001958826557_signature_31.png</t>
  </si>
  <si>
    <t>Roxas city</t>
  </si>
  <si>
    <t>Defective module b4 sn 210100878</t>
  </si>
  <si>
    <t>New module installed b4 sn 210101550, clean fan and fan filter</t>
  </si>
  <si>
    <t>New module installed b4 sn 210101550</t>
  </si>
  <si>
    <t>https://www.jotform.com/uploads/macarewecare/222927978372067/5735189181595398332/5735189181595398332_signature_28.png</t>
  </si>
  <si>
    <t>RUBY C. LUT</t>
  </si>
  <si>
    <t>https://www.jotform.com/uploads/macarewecare/222927978372067/5735189181595398332/5735189181595398332_signature_31.png</t>
  </si>
  <si>
    <t>Polanco Rural health unit</t>
  </si>
  <si>
    <t>Pblacion South polanco</t>
  </si>
  <si>
    <t>rhupolancocl@gmail.com</t>
  </si>
  <si>
    <t>Module 3 error 2008</t>
  </si>
  <si>
    <t>Run some sample test on module 3, undergone Xpertcheck on module 3 and conduct preventive Maintenence on all modules.</t>
  </si>
  <si>
    <t>Preventive Maintenence and xpertcheck calibration for module 3</t>
  </si>
  <si>
    <t>Module 3 failed xpertcheck calibration and needs to be replaced</t>
  </si>
  <si>
    <t>Module 1 and 3 are pending for replacement</t>
  </si>
  <si>
    <t>https://www.jotform.com/uploads/macarewecare/222927978372067/5735138467116596925/5735138467116596925_signature_28.png</t>
  </si>
  <si>
    <t>Gergean luna</t>
  </si>
  <si>
    <t>https://www.jotform.com/uploads/macarewecare/222927978372067/5735138467116596925/5735138467116596925_signature_31.png</t>
  </si>
  <si>
    <t>Run XpertCheck Calibration on Four Modules
Clean Surface Area, Cartridge Bay, Plunger Rod, Fan Filters and Icore Lenses
Generate IQR, Assay Stat and System Log
Archived Data test results</t>
  </si>
  <si>
    <t>Modules B3 and B4 passed the Calibration
Modules B1 and B2 skipped due to retries</t>
  </si>
  <si>
    <t>Module B1 and B2 for under observation</t>
  </si>
  <si>
    <t>https://www.jotform.com/uploads/macarewecare/222927978372067/5735133716816428612/5735133716816428612_signature_28.png</t>
  </si>
  <si>
    <t>Charlene Magallanes RMT</t>
  </si>
  <si>
    <t>https://www.jotform.com/uploads/macarewecare/222927978372067/5735133716816428612/5735133716816428612_signature_31.png</t>
  </si>
  <si>
    <t>ML Quezon St., Teresa</t>
  </si>
  <si>
    <t>All modules operational. All modules passed</t>
  </si>
  <si>
    <t>https://www.jotform.com/uploads/macarewecare/222927978372067/5735123216312137869/5735123216312137869_signature_28.png</t>
  </si>
  <si>
    <t>Rosalyn F. San Pedro</t>
  </si>
  <si>
    <t>https://www.jotform.com/uploads/macarewecare/222927978372067/5735123216312137869/5735123216312137869_signature_31.png</t>
  </si>
  <si>
    <t>marteetingzon@gmail.com</t>
  </si>
  <si>
    <t xml:space="preserve">ASSAY: Xpert MTB/RIF, COUNT: 69
ASSAY: Xpert MTB/RIF Ultra, COUNT: 1271
</t>
  </si>
  <si>
    <t>-Unit is Operational 
-Module B1 and B4 disabled (waiting for the</t>
  </si>
  <si>
    <t>https://www.jotform.com/uploads/macarewecare/222927978372067/5735092981216849472/5735092981216849472_signature_28.png</t>
  </si>
  <si>
    <t>https://www.jotform.com/uploads/macarewecare/222927978372067/5735092981216849472/5735092981216849472_signature_31.png</t>
  </si>
  <si>
    <t>Laboratory l</t>
  </si>
  <si>
    <t xml:space="preserve">ASSAY: Xpert MTB/RIF Ultra, COUNT: 3041
ASSAY: Xpert HIV-1 Viral Load, COUNT: 144
</t>
  </si>
  <si>
    <t>Unit for additional troubleshooting</t>
  </si>
  <si>
    <t>Gathered data required by Cepheid</t>
  </si>
  <si>
    <t>Unit is not operational.
Data gathered for reporting.</t>
  </si>
  <si>
    <t>https://www.jotform.com/uploads/macarewecare/222927978372067/5735053121426645748/5735053121426645748_signature_28.png</t>
  </si>
  <si>
    <t>https://www.jotform.com/uploads/macarewecare/222927978372067/5735053121426645748/5735053121426645748_signature_31.png</t>
  </si>
  <si>
    <t>Bongao, Tawi-Tawi</t>
  </si>
  <si>
    <t>Module B1 H/W failed. Other modules are functional.</t>
  </si>
  <si>
    <t>Waiting for module B1 replacement.</t>
  </si>
  <si>
    <t>https://www.jotform.com/uploads/macarewecare/222927978372067/5735041017425757082/5735041017425757082_signature_28.png</t>
  </si>
  <si>
    <t>https://www.jotform.com/uploads/macarewecare/222927978372067/5735041017425757082/5735041017425757082_signature_31.png</t>
  </si>
  <si>
    <t>Pililla-Jala-Jala-Pakil Rd.</t>
  </si>
  <si>
    <t>https://www.jotform.com/uploads/macarewecare/222927978372067/5735037266311740704/5735037266311740704_signature_28.png</t>
  </si>
  <si>
    <t>Angeline minebe</t>
  </si>
  <si>
    <t>https://www.jotform.com/uploads/macarewecare/222927978372067/5735037266311740704/5735037266311740704_signature_31.png</t>
  </si>
  <si>
    <t>U.P campus</t>
  </si>
  <si>
    <t>palim1@up.educ.ph</t>
  </si>
  <si>
    <t>Encounter no power,no display,on and off running of fan motor</t>
  </si>
  <si>
    <t>Checked electrical
Checked controller
Checked control panel 
Checked fan motor
Checked connector and filters
Test run unit</t>
  </si>
  <si>
    <t>Unit unoperational,during test run encounter intermittent no display and on and off fan motor running</t>
  </si>
  <si>
    <t>https://www.jotform.com/uploads/macarewecare/222927978372067/5735007764416609404/5735007764416609404_signature_28.png</t>
  </si>
  <si>
    <t>Patricia Anne Lim</t>
  </si>
  <si>
    <t>https://www.jotform.com/uploads/macarewecare/222927978372067/5735007764416609404/5735007764416609404_signature_31.png</t>
  </si>
  <si>
    <t>Las piñas general hospital and trauma center</t>
  </si>
  <si>
    <t>Zapote st las piñas</t>
  </si>
  <si>
    <t>lpghstc.molecular@gmail.com</t>
  </si>
  <si>
    <t xml:space="preserve">ASSAY: Xpert SARS-CoV-2, COUNT: 32330
</t>
  </si>
  <si>
    <t>For module replacement B1 785012 -210101669 B3 786171 - 210101532 B4 785093 - 210101897</t>
  </si>
  <si>
    <t>Cleaned unit
Cleaned filter,plunger rod, cartridge bay,icore
Gathered reports
Performed module replacement
Test run unit</t>
  </si>
  <si>
    <t>With bren bagbaguen</t>
  </si>
  <si>
    <t>G6352</t>
  </si>
  <si>
    <t>https://www.jotform.com/uploads/macarewecare/222927978372067/5735007304419208657/5735007304419208657_signature_28.png</t>
  </si>
  <si>
    <t>Vivien Angelu J. Panganiban</t>
  </si>
  <si>
    <t>https://www.jotform.com/uploads/macarewecare/222927978372067/5735007304419208657/5735007304419208657_signature_31.png</t>
  </si>
  <si>
    <t>https://www.jotform.com/uploads/macarewecare/222927978372067/5734930930829749186/5734930930829749186_signature_28.png</t>
  </si>
  <si>
    <t>https://www.jotform.com/uploads/macarewecare/222927978372067/5734930930829749186/5734930930829749186_signature_31.png</t>
  </si>
  <si>
    <t>A2 error 2035
UPS not charging</t>
  </si>
  <si>
    <t>Xpertcheck
Troubleshooting</t>
  </si>
  <si>
    <t>Performed surface cleaning
Performed cleaning of cartridge bay,icore,plunger rod and filter
Performed xpertcheck 
Troubleshoot UPS
Generate reports
Archived test results
Performed functionality test</t>
  </si>
  <si>
    <t>Unit is operational,A2 passed calibration under observation</t>
  </si>
  <si>
    <t>https://www.jotform.com/uploads/macarewecare/222927978372067/5734917844747567279/5734917844747567279_signature_28.png</t>
  </si>
  <si>
    <t>https://www.jotform.com/uploads/macarewecare/222927978372067/5734917844747567279/5734917844747567279_signature_31.png</t>
  </si>
  <si>
    <t xml:space="preserve">ASSAY: Xpert HBV VL, COUNT: 16
ASSAY: Xpert HPV, COUNT: 17
ASSAY: Xpert MTB/RIF Ultra, COUNT: 65
ASSAY: Xpert HIV-1 Viral Load, COUNT: 9
</t>
  </si>
  <si>
    <t>Replace/repair defective module 4 SN: 655757 with new module SN:210102218</t>
  </si>
  <si>
    <t>Genexpert module 6 color</t>
  </si>
  <si>
    <t>https://www.jotform.com/uploads/macarewecare/222927978372067/5734905473121462985/5734905473121462985_signature_28.png</t>
  </si>
  <si>
    <t>Shaneen Meditar</t>
  </si>
  <si>
    <t>https://www.jotform.com/uploads/macarewecare/222927978372067/5734905473121462985/5734905473121462985_signature_31.png</t>
  </si>
  <si>
    <t>Binan City</t>
  </si>
  <si>
    <t>kensarinas28@gmail.com</t>
  </si>
  <si>
    <t xml:space="preserve">ASSAY: Xpert HPV, COUNT: 126
ASSAY: Xpert MTB/RIF Ultra, COUNT: 1887
ASSAY: Xpert HIV-1 Viral Load, COUNT: 400
</t>
  </si>
  <si>
    <t>For installation of new monitor.</t>
  </si>
  <si>
    <t>Performed installation of monitor.
Generated reports</t>
  </si>
  <si>
    <t>Nvision Monitor (H22V5SG81A230601341) in replacement to defective HP ProDisplay P19A monitor (CNK629119V).</t>
  </si>
  <si>
    <t>DR#10733</t>
  </si>
  <si>
    <t>https://www.jotform.com/uploads/macarewecare/222927978372067/5734876509817049258/5734876509817049258_signature_28.png</t>
  </si>
  <si>
    <t>Kenneth Adrian Sarinas</t>
  </si>
  <si>
    <t>https://www.jotform.com/uploads/macarewecare/222927978372067/5734876509817049258/5734876509817049258_signature_31.png</t>
  </si>
  <si>
    <t>BONGAO, TAWI TAWI</t>
  </si>
  <si>
    <t>wmhadjula.pbsp@gmail.com</t>
  </si>
  <si>
    <t>https://www.jotform.com/uploads/macarewecare/222927978372067/5734519882224960458/5734519882224960458_signature_28.png</t>
  </si>
  <si>
    <t>Wardasa M. Hadjula</t>
  </si>
  <si>
    <t>https://www.jotform.com/uploads/macarewecare/222927978372067/5734519882224960458/5734519882224960458_signature_31.png</t>
  </si>
  <si>
    <t>-Replace defective module B1/605709 with new module SN: 210102185</t>
  </si>
  <si>
    <t>Module B3 encountering H/W fail. All other modules are functional.</t>
  </si>
  <si>
    <t>GeneXpert Module 6-Color</t>
  </si>
  <si>
    <t>https://www.jotform.com/uploads/macarewecare/222927978372067/5734294422327613001/5734294422327613001_signature_28.png</t>
  </si>
  <si>
    <t>https://www.jotform.com/uploads/macarewecare/222927978372067/5734294422327613001/5734294422327613001_signature_31.png</t>
  </si>
  <si>
    <t>Dr Rafael S Tumbukon Memorial Hospital - HACT</t>
  </si>
  <si>
    <t>Kalibo Aklan</t>
  </si>
  <si>
    <t>drstmhrhivda@gmail.com</t>
  </si>
  <si>
    <t>https://www.jotform.com/uploads/macarewecare/222927978372067/5734289397326809173/5734289397326809173_signature_28.png</t>
  </si>
  <si>
    <t>Chrizeus R. Mayiong</t>
  </si>
  <si>
    <t>https://www.jotform.com/uploads/macarewecare/222927978372067/5734289397326809173/5734289397326809173_signature_31.png</t>
  </si>
  <si>
    <t>LPHLabdeptcovid19@gmail.com</t>
  </si>
  <si>
    <t xml:space="preserve">ASSAY: Xpert MTB/RIF, COUNT: 101
ASSAY: Xpert MTB/RIF Ultra, COUNT: 749
ASSAY: Xpert HIV-1 Viral Load, COUNT: 8
</t>
  </si>
  <si>
    <t>https://www.jotform.com/uploads/macarewecare/222927978372067/5734268684428133956/5734268684428133956_signature_28.png</t>
  </si>
  <si>
    <t>Janelle Sevillana</t>
  </si>
  <si>
    <t>https://www.jotform.com/uploads/macarewecare/222927978372067/5734268684428133956/5734268684428133956_signature_31.png</t>
  </si>
  <si>
    <t>Replace defective module 4 SN:805746 with new module SN:210102154</t>
  </si>
  <si>
    <t>Genexpert module 6 color SN: 210102154</t>
  </si>
  <si>
    <t>https://www.jotform.com/uploads/macarewecare/222927978372067/5734257907228943629/5734257907228943629_signature_28.png</t>
  </si>
  <si>
    <t>https://www.jotform.com/uploads/macarewecare/222927978372067/5734257907228943629/5734257907228943629_signature_31.png</t>
  </si>
  <si>
    <t xml:space="preserve">ASSAY: Xpert SARS-CoV-2, COUNT: 7835
</t>
  </si>
  <si>
    <t>Replace defective module 1 SN:733420 with new module SN:210102042</t>
  </si>
  <si>
    <t>Genexpert module 6 color SN:210102042</t>
  </si>
  <si>
    <t>https://www.jotform.com/uploads/macarewecare/222927978372067/5734256837226823833/5734256837226823833_signature_28.png</t>
  </si>
  <si>
    <t>https://www.jotform.com/uploads/macarewecare/222927978372067/5734256837226823833/5734256837226823833_signature_31.png</t>
  </si>
  <si>
    <t>Tupi Rural Health Unit</t>
  </si>
  <si>
    <t>Tupi, South Cotabato</t>
  </si>
  <si>
    <t>pedzella@gmail.com</t>
  </si>
  <si>
    <t xml:space="preserve">ASSAY: Xpert MTB/RIF Ultra, COUNT: 804
</t>
  </si>
  <si>
    <t>Gx-IV (2 modules)</t>
  </si>
  <si>
    <t>Printer cartridge not detected</t>
  </si>
  <si>
    <t>Perform Genexpert machine annual Xpertcheck/Calibration 
Troubleshooting and repair printer problem</t>
  </si>
  <si>
    <t>Xpertcheck CE-5 cartridge/kit</t>
  </si>
  <si>
    <t>Lot no.: 1000907498</t>
  </si>
  <si>
    <t>https://www.jotform.com/uploads/macarewecare/222927978372067/5734245977223785475/5734245977223785475_signature_28.png</t>
  </si>
  <si>
    <t>Ella Esmailene S. Pedregosa</t>
  </si>
  <si>
    <t>https://www.jotform.com/uploads/macarewecare/222927978372067/5734245977223785475/5734245977223785475_signature_31.png</t>
  </si>
  <si>
    <t>New CPU installation</t>
  </si>
  <si>
    <t>New CPU installation, retrive data from old CPU</t>
  </si>
  <si>
    <t>https://www.jotform.com/uploads/macarewecare/222927978372067/5734241576313231651/5734241576313231651_signature_28.png</t>
  </si>
  <si>
    <t>https://www.jotform.com/uploads/macarewecare/222927978372067/5734241576313231651/5734241576313231651_signature_31.png</t>
  </si>
  <si>
    <t>Modules B3, B3 for replacement</t>
  </si>
  <si>
    <t>Replaced B2, B3</t>
  </si>
  <si>
    <t>GeneXpert Module
SN: 210101856, 210101622</t>
  </si>
  <si>
    <t>https://www.jotform.com/uploads/macarewecare/222927978372067/5734230123619112043/5734230123619112043_signature_28.png</t>
  </si>
  <si>
    <t>https://www.jotform.com/uploads/macarewecare/222927978372067/5734230123619112043/5734230123619112043_signature_31.png</t>
  </si>
  <si>
    <t xml:space="preserve">ASSAY: Xpert MTB/RIF Ultra, COUNT: 407
</t>
  </si>
  <si>
    <t>CPU for temporary replacement</t>
  </si>
  <si>
    <t>Performed PM
Checked CPU 
Archived results
Replaced CPU
Retrieved results
Installed drivers and softwares
Generated report</t>
  </si>
  <si>
    <t>Actual date of service Oct. 6,2023. Jotform error</t>
  </si>
  <si>
    <t>https://www.jotform.com/uploads/macarewecare/222927978372067/5734207933619310697/5734207933619310697_signature_28.png</t>
  </si>
  <si>
    <t>https://www.jotform.com/uploads/macarewecare/222927978372067/5734207933619310697/5734207933619310697_signature_31.png</t>
  </si>
  <si>
    <t>Guinayangan Munucipal Health Office</t>
  </si>
  <si>
    <t>Guinayangan, Quezon Province</t>
  </si>
  <si>
    <t>Checked and cleaned cartridge bays, plunger rod, i-core slot and filter
Replaced module B3
Generated report</t>
  </si>
  <si>
    <t>Replaced module B3
908422 -&gt; 210101928</t>
  </si>
  <si>
    <t>Actual date of service October 5, 2023. Jotform error</t>
  </si>
  <si>
    <t>DR 43550</t>
  </si>
  <si>
    <t>https://www.jotform.com/uploads/macarewecare/222927978372067/5734193533618848215/5734193533618848215_signature_28.png</t>
  </si>
  <si>
    <t>Leonila K. Flores</t>
  </si>
  <si>
    <t>https://www.jotform.com/uploads/macarewecare/222927978372067/5734193533618848215/5734193533618848215_signature_31.png</t>
  </si>
  <si>
    <t>E Rodriguez Sr. Ave, Quezon City</t>
  </si>
  <si>
    <t>Module 1 results for technical checking</t>
  </si>
  <si>
    <t>Performed PM
Archived results
Performed reliability tests: Passed
Gathered report</t>
  </si>
  <si>
    <t>Archived results for checking</t>
  </si>
  <si>
    <t>Unit ia operational</t>
  </si>
  <si>
    <t>https://www.jotform.com/uploads/macarewecare/222927978372067/5734184983619451103/5734184983619451103_signature_28.png</t>
  </si>
  <si>
    <t>https://www.jotform.com/uploads/macarewecare/222927978372067/5734184983619451103/5734184983619451103_signature_31.png</t>
  </si>
  <si>
    <t>All Modules Are Operational</t>
  </si>
  <si>
    <t>https://www.jotform.com/uploads/macarewecare/222927978372067/5734168444027497139/5734168444027497139_signature_28.png</t>
  </si>
  <si>
    <t>Maria Stella Solitana RMT</t>
  </si>
  <si>
    <t>https://www.jotform.com/uploads/macarewecare/222927978372067/5734168444027497139/5734168444027497139_signature_31.png</t>
  </si>
  <si>
    <t>Junction Polo-Dapitan Park National Rd, Lungsod ng Dapitan, 7101 Zamboanga del Norte</t>
  </si>
  <si>
    <t>laboratorydjrmh@yahoo.com</t>
  </si>
  <si>
    <t>Module 3 undergone sample testing</t>
  </si>
  <si>
    <t>Preventive Maintenence, checked module and room temperature. Site inspection.</t>
  </si>
  <si>
    <t>Module 1,2 and 4 are available while module 3 is disabled at the moment.</t>
  </si>
  <si>
    <t>https://www.jotform.com/uploads/macarewecare/222927978372067/5734138719714637179/5734138719714637179_signature_28.png</t>
  </si>
  <si>
    <t>Antonieta Lovino</t>
  </si>
  <si>
    <t>https://www.jotform.com/uploads/macarewecare/222927978372067/5734138719714637179/5734138719714637179_signature_31.png</t>
  </si>
  <si>
    <t>Module 4 Hardware Failure, UPS not working</t>
  </si>
  <si>
    <t>Performed Maintenance
Gathered Reports
Installed Replacement Monitor
Performed Functionality Test</t>
  </si>
  <si>
    <t>UPS for Replacement, Module 4 for Reporting</t>
  </si>
  <si>
    <t>Monitor - V5GAH837</t>
  </si>
  <si>
    <t>https://www.jotform.com/uploads/macarewecare/222927978372067/5734092978911475550/5734092978911475550_signature_28.png</t>
  </si>
  <si>
    <t>Adonis Anthony Garcia</t>
  </si>
  <si>
    <t>https://www.jotform.com/uploads/macarewecare/222927978372067/5734092978911475550/5734092978911475550_signature_31.png</t>
  </si>
  <si>
    <t>Pintuyan District Hospital</t>
  </si>
  <si>
    <t>Pintuyan, Southern Leyte</t>
  </si>
  <si>
    <t>oclaritcleofedel25@gmail.com</t>
  </si>
  <si>
    <t>All module passed (B1 and B2)</t>
  </si>
  <si>
    <t>https://www.jotform.com/uploads/macarewecare/222927978372067/5734061826464529405/5734061826464529405_signature_28.png</t>
  </si>
  <si>
    <t>CLEOFEDEL MARIE OCLARIT</t>
  </si>
  <si>
    <t>https://www.jotform.com/uploads/macarewecare/222927978372067/5734061826464529405/5734061826464529405_signature_31.png</t>
  </si>
  <si>
    <t>Lambunao RHU</t>
  </si>
  <si>
    <t>Lambunao</t>
  </si>
  <si>
    <t>Defective module B2 657139</t>
  </si>
  <si>
    <t>New module Installed B2 210101903, clean fan filter</t>
  </si>
  <si>
    <t>New module Installed B2 210101903</t>
  </si>
  <si>
    <t>https://www.jotform.com/uploads/macarewecare/222927978372067/5734056710213192955/5734056710213192955_signature_28.png</t>
  </si>
  <si>
    <t>Nelson Gabata</t>
  </si>
  <si>
    <t>https://www.jotform.com/uploads/macarewecare/222927978372067/5734056710213192955/5734056710213192955_signature_31.png</t>
  </si>
  <si>
    <t>Preventive Maintenence and Xpertcheck Calibration all modules passed</t>
  </si>
  <si>
    <t>Modules undergone Xpertcheck calibration</t>
  </si>
  <si>
    <t>https://www.jotform.com/uploads/macarewecare/222927978372067/5734037727766021656/5734037727766021656_signature_28.png</t>
  </si>
  <si>
    <t>https://www.jotform.com/uploads/macarewecare/222927978372067/5734037727766021656/5734037727766021656_signature_31.png</t>
  </si>
  <si>
    <t>1005 Aurora Blvd. Quezon City</t>
  </si>
  <si>
    <t>GeneXpert laptop</t>
  </si>
  <si>
    <t>HP Probook</t>
  </si>
  <si>
    <t>5CG5040H6L</t>
  </si>
  <si>
    <t>No CMOS battery</t>
  </si>
  <si>
    <t>Replaced CMOS battery
Functionality test
Connected to the GeneXpert unit
Run reliability test</t>
  </si>
  <si>
    <t>https://www.jotform.com/uploads/macarewecare/222927978372067/5734034183619880945/5734034183619880945_signature_28.png</t>
  </si>
  <si>
    <t>Harold B. Toco</t>
  </si>
  <si>
    <t>https://www.jotform.com/uploads/macarewecare/222927978372067/5734034183619880945/5734034183619880945_signature_31.png</t>
  </si>
  <si>
    <t>Unable to connect to Infinity server error on startup</t>
  </si>
  <si>
    <t>https://www.jotform.com/uploads/macarewecare/222927978372067/5733422995782860487/5733422995782860487_signature_28.png</t>
  </si>
  <si>
    <t>https://www.jotform.com/uploads/macarewecare/222927978372067/5733422995782860487/5733422995782860487_signature_31.png</t>
  </si>
  <si>
    <t xml:space="preserve">ASSAY: Xpert MTB/RIF Ultra, COUNT: 1895
ASSAY: Xpert HIV-1 Viral Load, COUNT: 107
</t>
  </si>
  <si>
    <t>GeneXpert Module
SN: 210101583</t>
  </si>
  <si>
    <t>G 6353</t>
  </si>
  <si>
    <t>https://www.jotform.com/uploads/macarewecare/222927978372067/5733377641895985222/5733377641895985222_signature_28.png</t>
  </si>
  <si>
    <t>https://www.jotform.com/uploads/macarewecare/222927978372067/5733377641895985222/5733377641895985222_signature_31.png</t>
  </si>
  <si>
    <t>West Crame Health Center</t>
  </si>
  <si>
    <t>Rd 10., West Crame</t>
  </si>
  <si>
    <t>azel1101@yahoo.com</t>
  </si>
  <si>
    <t>Module B3 for replacement, barcode scanner won't turn on.</t>
  </si>
  <si>
    <t>Performed maintenance
Replaced module B3
Replaced filter
Checked barcode scanner
Generated reports</t>
  </si>
  <si>
    <t>Unit is operational. Barcode scanner not operational, recommend to replace.</t>
  </si>
  <si>
    <t>Barcode scanner SN: 1624400501383</t>
  </si>
  <si>
    <t>Old: B3/682815
New: B3/210101893</t>
  </si>
  <si>
    <t>https://www.jotform.com/uploads/macarewecare/222927978372067/5733351687591646493/5733351687591646493_signature_28.png</t>
  </si>
  <si>
    <t>Azazel Alpad</t>
  </si>
  <si>
    <t>https://www.jotform.com/uploads/macarewecare/222927978372067/5733351687591646493/5733351687591646493_signature_31.png</t>
  </si>
  <si>
    <t>https://www.jotform.com/uploads/macarewecare/222927978372067/5733340982314975973/5733340982314975973_signature_28.png</t>
  </si>
  <si>
    <t>https://www.jotform.com/uploads/macarewecare/222927978372067/5733340982314975973/5733340982314975973_signature_31.png</t>
  </si>
  <si>
    <t>Caragsacan</t>
  </si>
  <si>
    <t>CALIBRATION
MAINTENANCE
Troubleshooting</t>
  </si>
  <si>
    <t>bnjlvrz9@gmail.com</t>
  </si>
  <si>
    <t>Module 2 and Module 3 Hardware Failure</t>
  </si>
  <si>
    <t>Performed Xpertcheck on Module 2 and 3</t>
  </si>
  <si>
    <t>Performed Maintenance
Gathered Reports
Performed Calibration
Performed Functionality Test</t>
  </si>
  <si>
    <t>Xpertcheck Result = (A1, A4 = Passed) &amp; (A2, A3 = Service Required)</t>
  </si>
  <si>
    <t>N/w</t>
  </si>
  <si>
    <t>https://www.jotform.com/uploads/macarewecare/222927978372067/5733310792312085860/5733310792312085860_signature_28.png</t>
  </si>
  <si>
    <t>Benjo Alvarez</t>
  </si>
  <si>
    <t>https://www.jotform.com/uploads/macarewecare/222927978372067/5733310792312085860/5733310792312085860_signature_31.png</t>
  </si>
  <si>
    <t>- checked and cleaned cartridge bay, plunger rod, filter 
- relocated GeneXpert since ambient temp. of room exceeds 30 degrees C.
- checked UPS' back up mode (&lt;5min. back up &amp; defective power switch)
- performed XpertCheck
- generated reports</t>
  </si>
  <si>
    <t>Unit is operational.
B1: passed
B2: service required 
B3: service required 
B4: service required 
UPS is recommended for replacement/repair.
GeneXpert is under observation.</t>
  </si>
  <si>
    <t>https://www.jotform.com/uploads/macarewecare/222927978372067/5733275961891622857/5733275961891622857_signature_28.png</t>
  </si>
  <si>
    <t>https://www.jotform.com/uploads/macarewecare/222927978372067/5733275961891622857/5733275961891622857_signature_31.png</t>
  </si>
  <si>
    <t>Sagay City Health Office</t>
  </si>
  <si>
    <t>Sagay City</t>
  </si>
  <si>
    <t>maravelesdebra@gmail.com</t>
  </si>
  <si>
    <t xml:space="preserve">ASSAY: Xpert MTB/RIF Ultra, COUNT: 1510
</t>
  </si>
  <si>
    <t>Pulled out the old module for B4 with SN 806359 and save IQR files before and after replacement.</t>
  </si>
  <si>
    <t>Installed the new module for B4 with SN 210101994.</t>
  </si>
  <si>
    <t>All modules are now working.</t>
  </si>
  <si>
    <t>https://www.jotform.com/uploads/macarewecare/222927978372067/5733230692172912561/5733230692172912561_signature_28.png</t>
  </si>
  <si>
    <t>Debra Abellar</t>
  </si>
  <si>
    <t>https://www.jotform.com/uploads/macarewecare/222927978372067/5733230692172912561/5733230692172912561_signature_31.png</t>
  </si>
  <si>
    <t>- Perform troubleshooting on temperature related errors.
- Reset modules gateway board.
- Check new CPU recived from cephied for installation.
- New CPU SN. CPH0623F42287.
- No available VGA port for existing LCD monitor.
- Canvas area for HDMI-to-VGA or DP-to-VGA connector. No available adapters around facility and within town area.
New CPU to be installed on 10/18/2023.</t>
  </si>
  <si>
    <t>4 modules operational, for further observation for temperature related errors.</t>
  </si>
  <si>
    <t>- No available HDMI-VGA adaptor in the vicinity, will continue installation of new CPU on 10/18/2023.</t>
  </si>
  <si>
    <t>https://www.jotform.com/uploads/macarewecare/222927978372067/5733227054229095894/5733227054229095894_signature_28.png</t>
  </si>
  <si>
    <t>Eva Raquel Gonzaga</t>
  </si>
  <si>
    <t>https://www.jotform.com/uploads/macarewecare/222927978372067/5733227054229095894/5733227054229095894_signature_31.png</t>
  </si>
  <si>
    <t>Defective CPU Due to Preventive Maintenance</t>
  </si>
  <si>
    <t>All module are functional.</t>
  </si>
  <si>
    <t>https://www.jotform.com/uploads/macarewecare/222927978372067/5733225524228188060/5733225524228188060_signature_28.png</t>
  </si>
  <si>
    <t>https://www.jotform.com/uploads/macarewecare/222927978372067/5733225524228188060/5733225524228188060_signature_31.png</t>
  </si>
  <si>
    <t>Module B4 with error 4018 with valve label version is out of range configuration setting of 0.</t>
  </si>
  <si>
    <t>Module B1, B2 and B3 passed the Xpert Check while module B4 is not detectable due to Harware Failed.</t>
  </si>
  <si>
    <t>Performed Xpert check calibration for B1, B2 and B3.</t>
  </si>
  <si>
    <t>Module B1, B2 and B3 are in good working condition while module B4 is need service.</t>
  </si>
  <si>
    <t>https://www.jotform.com/uploads/macarewecare/222927978372067/5733187294178686301/5733187294178686301_signature_28.png</t>
  </si>
  <si>
    <t>https://www.jotform.com/uploads/macarewecare/222927978372067/5733187294178686301/5733187294178686301_signature_31.png</t>
  </si>
  <si>
    <t>Purple valve problem during self test error</t>
  </si>
  <si>
    <t>Test valve in diagnostics mode and for observation</t>
  </si>
  <si>
    <t>Diagnose valve , check compressor and run valve test</t>
  </si>
  <si>
    <t>MCS+ are working properly</t>
  </si>
  <si>
    <t>https://www.jotform.com/uploads/macarewecare/222927978372067/5733145513919653561/5733145513919653561_signature_28.png</t>
  </si>
  <si>
    <t>Kyyara Lunzaga, RMT</t>
  </si>
  <si>
    <t>https://www.jotform.com/uploads/macarewecare/222927978372067/5733145513919653561/5733145513919653561_signature_31.png</t>
  </si>
  <si>
    <t>M</t>
  </si>
  <si>
    <t>CENTRIFUGE TOO LOW DURING RETURNS CYCLE</t>
  </si>
  <si>
    <t>Performed diagnostics in centrifuge, clean motor pumps red, white and blue pump,</t>
  </si>
  <si>
    <t>Performed diagnostics in centrifuge speed test for 45 minutes no problem exist</t>
  </si>
  <si>
    <t>The Mcs+ is operational,</t>
  </si>
  <si>
    <t>https://www.jotform.com/uploads/macarewecare/222927978372067/5733142243914212778/5733142243914212778_signature_28.png</t>
  </si>
  <si>
    <t>https://www.jotform.com/uploads/macarewecare/222927978372067/5733142243914212778/5733142243914212778_signature_31.png</t>
  </si>
  <si>
    <t>Guihulngan City Helth Office</t>
  </si>
  <si>
    <t>ayceepadillo@gmail.com</t>
  </si>
  <si>
    <t>Module 2</t>
  </si>
  <si>
    <t>Replace module 2</t>
  </si>
  <si>
    <t>Replace module 2 with new serial number.</t>
  </si>
  <si>
    <t>All moduleok to use.</t>
  </si>
  <si>
    <t>https://www.jotform.com/uploads/macarewecare/222927978372067/5732648430698684574/5732648430698684574_signature_28.png</t>
  </si>
  <si>
    <t>Hyacinth Padellio</t>
  </si>
  <si>
    <t>https://www.jotform.com/uploads/macarewecare/222927978372067/5732648430698684574/5732648430698684574_signature_31.png</t>
  </si>
  <si>
    <t xml:space="preserve">ASSAY: Xpert MTB/RIF Ultra, COUNT: 1938
</t>
  </si>
  <si>
    <t>Module replacement of B2 SN# 705605 due to error of 1001 / 1002</t>
  </si>
  <si>
    <t>Replaced new module of B2 and informed end user to maintain aircon temperature at 24 to 26 Celcius</t>
  </si>
  <si>
    <t>Replaced new module of B2- 210101904</t>
  </si>
  <si>
    <t>All 4 modules are operational</t>
  </si>
  <si>
    <t>https://www.jotform.com/uploads/macarewecare/222927978372067/5732558163913571374/5732558163913571374_signature_28.png</t>
  </si>
  <si>
    <t>https://www.jotform.com/uploads/macarewecare/222927978372067/5732558163913571374/5732558163913571374_signature_31.png</t>
  </si>
  <si>
    <t>Iriga City</t>
  </si>
  <si>
    <t xml:space="preserve">ASSAY: Xpert MTB/RIF Ultra, COUNT: 1915
</t>
  </si>
  <si>
    <t>https://www.jotform.com/uploads/macarewecare/222927978372067/5732528293423848153/5732528293423848153_signature_28.png</t>
  </si>
  <si>
    <t>https://www.jotform.com/uploads/macarewecare/222927978372067/5732528293423848153/5732528293423848153_signature_31.png</t>
  </si>
  <si>
    <t xml:space="preserve">ASSAY: Xpert MTB/RIF Ultra, COUNT: 25
</t>
  </si>
  <si>
    <t>For CPU Replacement
GX for Calibration</t>
  </si>
  <si>
    <t>CPU Replaced: CPH0623F42286
Performed XpertCheck 
Cleaned cartridge bays, plunger rod, icore 
Generate reports</t>
  </si>
  <si>
    <t>Replaced CPU
Performed XpertCheck 
Performed Preventive Maintenance</t>
  </si>
  <si>
    <t>XpertCheck: ,B1,B2,B3 passed, B4 for retry</t>
  </si>
  <si>
    <t>https://www.jotform.com/uploads/macarewecare/222927978372067/5732526343429335329/5732526343429335329_signature_28.png</t>
  </si>
  <si>
    <t>https://www.jotform.com/uploads/macarewecare/222927978372067/5732526343429335329/5732526343429335329_signature_31.png</t>
  </si>
  <si>
    <t>Gx for Callibration</t>
  </si>
  <si>
    <t>Performed XpertCheck 
Cleaned cartridge bays, plunger rod, icore 
Generate reports</t>
  </si>
  <si>
    <t>Unit Is Operational</t>
  </si>
  <si>
    <t>B2/801695, B4/862868 - Service Required</t>
  </si>
  <si>
    <t>https://www.jotform.com/uploads/macarewecare/222927978372067/5732522103421344633/5732522103421344633_signature_28.png</t>
  </si>
  <si>
    <t>https://www.jotform.com/uploads/macarewecare/222927978372067/5732522103421344633/5732522103421344633_signature_31.png</t>
  </si>
  <si>
    <t xml:space="preserve">ASSAY: Xpert MTB/RIF Ultra, COUNT: 218
</t>
  </si>
  <si>
    <t>A1/686139 for module replacement</t>
  </si>
  <si>
    <t>Module replaced: A1/686139&gt;&gt;210100892
Cleaned cartridge bays, plunger rod, icore, fan 
Generate reports</t>
  </si>
  <si>
    <t>Replaced module A1/686139
Performed Preventive Maintenance</t>
  </si>
  <si>
    <t>https://www.jotform.com/uploads/macarewecare/222927978372067/5732516523422152509/5732516523422152509_signature_28.png</t>
  </si>
  <si>
    <t>Francis S Lozano</t>
  </si>
  <si>
    <t>https://www.jotform.com/uploads/macarewecare/222927978372067/5732516523422152509/5732516523422152509_signature_31.png</t>
  </si>
  <si>
    <t xml:space="preserve">ASSAY: Xpert MTB/RIF, COUNT: 119
ASSAY: Xpert MTB/RIF Ultra, COUNT: 4731
ASSAY: Xpert HIV-1 Viral Load, COUNT: 159
</t>
  </si>
  <si>
    <t>FOR MODULE D2 REPLACEMENT</t>
  </si>
  <si>
    <t>COLLECT IQR, SYTEM LOG, AND ARCHIVE</t>
  </si>
  <si>
    <t>-PERFORM PREVENTIVE MAINTENANCE
-PERFORM MODULE D2 REPLACEMENT:
DEF SN: 629321
NEW MODULE SN:210101403</t>
  </si>
  <si>
    <t>https://www.jotform.com/uploads/macarewecare/222927978372067/5732496535107055784/5732496535107055784_signature_28.png</t>
  </si>
  <si>
    <t>https://www.jotform.com/uploads/macarewecare/222927978372067/5732496535107055784/5732496535107055784_signature_31.png</t>
  </si>
  <si>
    <t>Bansalan Rural Health Unit</t>
  </si>
  <si>
    <t>Poblacion Dos, Bansalan</t>
  </si>
  <si>
    <t>ellen68nebrada@gmail.com</t>
  </si>
  <si>
    <t xml:space="preserve">ASSAY: Xpert MTB/RIF Ultra, COUNT: 1010
</t>
  </si>
  <si>
    <t>Module B1 for replacement
Due for Preventive Maintenance</t>
  </si>
  <si>
    <t>Replace the defective Module B1 SN 768092 with new Module SN 210102149
Clean Surface Area, Cartridge Bay, Plunger Rod and Icore Lenses
Generate IQR, Assay Stat and System Log
Archived Data test results</t>
  </si>
  <si>
    <t>https://www.jotform.com/uploads/macarewecare/222927978372067/5732419273415453889/5732419273415453889_signature_28.png</t>
  </si>
  <si>
    <t>Ellen N. Mayor RMT</t>
  </si>
  <si>
    <t>https://www.jotform.com/uploads/macarewecare/222927978372067/5732419273415453889/5732419273415453889_signature_31.png</t>
  </si>
  <si>
    <t>Due for Module Replacement 
Modules B1 and B3 for Troubleshooting</t>
  </si>
  <si>
    <t>- Cleaned Cartridge Bays, Plunger Rods and I-CORE 
- Replaced Defective Module B4 220011690 &gt;&gt;&gt;210067568
- Performed Reliability Test on Module B3
- Generated Reports</t>
  </si>
  <si>
    <t>Performed Module Replacement 
Performed Troubleshooting</t>
  </si>
  <si>
    <t>Modules B1 and B3 for reporting</t>
  </si>
  <si>
    <t>GeneXpert Module 210067568</t>
  </si>
  <si>
    <t>https://www.jotform.com/uploads/macarewecare/222927978372067/5732280843618866987/5732280843618866987_signature_28.png</t>
  </si>
  <si>
    <t>https://www.jotform.com/uploads/macarewecare/222927978372067/5732280843618866987/5732280843618866987_signature_31.png</t>
  </si>
  <si>
    <t>For ReXpertCheck on Modules B1, B2, and B3</t>
  </si>
  <si>
    <t>Module B1 for Reporting</t>
  </si>
  <si>
    <t>https://www.jotform.com/uploads/macarewecare/222927978372067/5732279303613805884/5732279303613805884_signature_28.png</t>
  </si>
  <si>
    <t>https://www.jotform.com/uploads/macarewecare/222927978372067/5732279303613805884/5732279303613805884_signature_31.png</t>
  </si>
  <si>
    <t>https://www.jotform.com/uploads/macarewecare/222927978372067/5732278043617368197/5732278043617368197_signature_28.png</t>
  </si>
  <si>
    <t>https://www.jotform.com/uploads/macarewecare/222927978372067/5732278043617368197/5732278043617368197_signature_31.png</t>
  </si>
  <si>
    <t>Module B3 failed ReXpertCheck; For Reporting</t>
  </si>
  <si>
    <t>https://www.jotform.com/uploads/macarewecare/222927978372067/5732276603615115487/5732276603615115487_signature_28.png</t>
  </si>
  <si>
    <t>https://www.jotform.com/uploads/macarewecare/222927978372067/5732276603615115487/5732276603615115487_signature_31.png</t>
  </si>
  <si>
    <t>https://www.jotform.com/uploads/macarewecare/222927978372067/5732276173616161997/5732276173616161997_signature_28.png</t>
  </si>
  <si>
    <t>https://www.jotform.com/uploads/macarewecare/222927978372067/5732276173616161997/5732276173616161997_signature_31.png</t>
  </si>
  <si>
    <t>Modules B1, B2 and B3 for reporting</t>
  </si>
  <si>
    <t>https://www.jotform.com/uploads/macarewecare/222927978372067/5732275563619951924/5732275563619951924_signature_28.png</t>
  </si>
  <si>
    <t>https://www.jotform.com/uploads/macarewecare/222927978372067/5732275563619951924/5732275563619951924_signature_31.png</t>
  </si>
  <si>
    <t>https://www.jotform.com/uploads/macarewecare/222927978372067/5732274323612657333/5732274323612657333_signature_28.png</t>
  </si>
  <si>
    <t>Dennison Catindig</t>
  </si>
  <si>
    <t>https://www.jotform.com/uploads/macarewecare/222927978372067/5732274323612657333/5732274323612657333_signature_31.png</t>
  </si>
  <si>
    <t>https://www.jotform.com/uploads/macarewecare/222927978372067/5732271433612238947/5732271433612238947_signature_28.png</t>
  </si>
  <si>
    <t>https://www.jotform.com/uploads/macarewecare/222927978372067/5732271433612238947/5732271433612238947_signature_31.png</t>
  </si>
  <si>
    <t>arvibration@gmail.com</t>
  </si>
  <si>
    <t>- Cleaned Cartridge Bays, Plunger Rods and I-CORE 
- Replaced Defective Module A4 663731 &gt;&gt;&gt; 210100212
- Generated Reports</t>
  </si>
  <si>
    <t>Module A2 for reporting</t>
  </si>
  <si>
    <t>GeneXpert Module 210100212</t>
  </si>
  <si>
    <t>https://www.jotform.com/uploads/macarewecare/222927978372067/5732270463611159558/5732270463611159558_signature_28.png</t>
  </si>
  <si>
    <t>Mel Arvin Pagalanan</t>
  </si>
  <si>
    <t>https://www.jotform.com/uploads/macarewecare/222927978372067/5732270463611159558/5732270463611159558_signature_31.png</t>
  </si>
  <si>
    <t xml:space="preserve">ASSAY: Xpert HPV, COUNT: 126
ASSAY: Xpert MTB/RIF Ultra, COUNT: 1858
ASSAY: Xpert HIV-1 Viral Load, COUNT: 396
</t>
  </si>
  <si>
    <t>Unit for PM.
For Xpertcheck of module A3.
For checking of monitor.</t>
  </si>
  <si>
    <t>Performed PM.
Performed Xpertcheck.
Genersted reports.</t>
  </si>
  <si>
    <t>Unit is operational. Module A3, service required. Monitor for replacement due to lower part display has pixel damage.</t>
  </si>
  <si>
    <t>https://www.jotform.com/uploads/macarewecare/222927978372067/5728863514718698687/5728863514718698687_signature_28.png</t>
  </si>
  <si>
    <t>https://www.jotform.com/uploads/macarewecare/222927978372067/5728863514718698687/5728863514718698687_signature_31.png</t>
  </si>
  <si>
    <t>Nasugbu Rural Health Unit</t>
  </si>
  <si>
    <t>Nasugbu-Ternate Highway</t>
  </si>
  <si>
    <t>lucenavicente15@gmail.com</t>
  </si>
  <si>
    <t>Performed maintenance 
Run XpertCheck 
Generated reports</t>
  </si>
  <si>
    <t>https://www.jotform.com/uploads/macarewecare/222927978372067/5730121114406799396/5730121114406799396_signature_28.png</t>
  </si>
  <si>
    <t>Lucena I. Vicente</t>
  </si>
  <si>
    <t>https://www.jotform.com/uploads/macarewecare/222927978372067/5730121114406799396/5730121114406799396_signature_31.png</t>
  </si>
  <si>
    <t>San Juan Rd. cor. Malvar St. Puerto Princesa City, Palawan</t>
  </si>
  <si>
    <t>amabduljalil.pbsp@gmail.com</t>
  </si>
  <si>
    <t xml:space="preserve">ASSAY: Xpert MTB/RIF Ultra, COUNT: 3032
ASSAY: Xpert SARS-CoV-2, COUNT: 1500
ASSAY: Xpert HIV-1 Viral Load, COUNT: 174
</t>
  </si>
  <si>
    <t>Module C2 and D4 for replacement</t>
  </si>
  <si>
    <t>Performed PM
Checked all modules
Checked system log
Gathered data
Replaced 2 modules
Generated report</t>
  </si>
  <si>
    <t>Replaced Modules
C2: 885614 -&gt; 210102179
D4: 877188 -&gt; 210101886</t>
  </si>
  <si>
    <t>DR 43709</t>
  </si>
  <si>
    <t>https://www.jotform.com/uploads/macarewecare/222927978372067/5729959301421823270/5729959301421823270_signature_28.png</t>
  </si>
  <si>
    <t>Arabia M. Abduljalil</t>
  </si>
  <si>
    <t>https://www.jotform.com/uploads/macarewecare/222927978372067/5729959301421823270/5729959301421823270_signature_31.png</t>
  </si>
  <si>
    <t xml:space="preserve">ASSAY: Xpert MTB/RIF Ultra, COUNT: 1405
</t>
  </si>
  <si>
    <t>Module B2 and B3 for troubleshooting</t>
  </si>
  <si>
    <t>Performed PM
Checked all modules system log
Module B2 frequent temp error
Module B3 hardware failed
Gathered data
Generated report</t>
  </si>
  <si>
    <t>Checked system log, performed reliability test</t>
  </si>
  <si>
    <t>https://www.jotform.com/uploads/macarewecare/222927978372067/5729842352522434570/5729842352522434570_signature_28.png</t>
  </si>
  <si>
    <t>Jocelyn L.Calalin</t>
  </si>
  <si>
    <t>https://www.jotform.com/uploads/macarewecare/222927978372067/5729842352522434570/5729842352522434570_signature_31.png</t>
  </si>
  <si>
    <t>Modules D2, D3, D4 for troubleshooting</t>
  </si>
  <si>
    <t>Performed PM
Checked all modules
Performed reliability test
Modules D1, D2, D3 hardware failed, for reporting
Module D4-ok
Generated report</t>
  </si>
  <si>
    <t>Checked Modules and performed reliability test</t>
  </si>
  <si>
    <t>Unit is operational
1 module working, 3 modules hw failed</t>
  </si>
  <si>
    <t>https://www.jotform.com/uploads/macarewecare/222927978372067/5729834352525873279/5729834352525873279_signature_28.png</t>
  </si>
  <si>
    <t>https://www.jotform.com/uploads/macarewecare/222927978372067/5729834352525873279/5729834352525873279_signature_31.png</t>
  </si>
  <si>
    <t xml:space="preserve">ASSAY: Xpert MTB/RIF Ultra, COUNT: 1497
</t>
  </si>
  <si>
    <t>Module B4 already reported and has allocated new module for replacement.</t>
  </si>
  <si>
    <t>Module B2 and B3 passed the XPC. Save IQR  and GXC File.</t>
  </si>
  <si>
    <t>Run Xpert Check calibration for module B2 and B3 only.</t>
  </si>
  <si>
    <t>Module B1, B2  and B3 are in good condition. While module B4 is in disable mode.</t>
  </si>
  <si>
    <t>https://www.jotform.com/uploads/macarewecare/222927978372067/5729805561708521288/5729805561708521288_signature_28.png</t>
  </si>
  <si>
    <t>https://www.jotform.com/uploads/macarewecare/222927978372067/5729805561708521288/5729805561708521288_signature_31.png</t>
  </si>
  <si>
    <t>laboratory@sehi.ph</t>
  </si>
  <si>
    <t>Transfer Genexpert machine from molecular lab to micrology room
Install Genexpert Computer set up and UPS to micrology room
Install Genexpert machine to micrology room</t>
  </si>
  <si>
    <t>https://www.jotform.com/uploads/macarewecare/222927978372067/5729788757305528396/5729788757305528396_signature_28.png</t>
  </si>
  <si>
    <t>SEHI LABORATORY</t>
  </si>
  <si>
    <t>https://www.jotform.com/uploads/macarewecare/222927978372067/5729788757305528396/5729788757305528396_signature_31.png</t>
  </si>
  <si>
    <t>DAVAO DEL NORTE HOSPITAL-IGACOS ZONE</t>
  </si>
  <si>
    <t>SAMAL, DAVAO DEL NORTE</t>
  </si>
  <si>
    <t>MODULE B1 DEFECTIVE</t>
  </si>
  <si>
    <t>-PERFORM MAINTENANCE
-PERFORM MODULE B1 REPLACEMENT:
DEF SN:913008
NEW MODULE SN:210102030</t>
  </si>
  <si>
    <t>https://www.jotform.com/uploads/macarewecare/222927978372067/5729775092311067603/5729775092311067603_signature_28.png</t>
  </si>
  <si>
    <t>ALLEN GLENN SORIANO</t>
  </si>
  <si>
    <t>https://www.jotform.com/uploads/macarewecare/222927978372067/5729775092311067603/5729775092311067603_signature_31.png</t>
  </si>
  <si>
    <t>Amorsolo at., Makati</t>
  </si>
  <si>
    <t>clairemariejuguiad.medilinx@outlook.com</t>
  </si>
  <si>
    <t xml:space="preserve">ASSAY: Xpert BCR-ABL Ultra, COUNT: 120
ASSAY: Xpert C. difficile BT, COUNT: 9
ASSAY: Xpert CT/NG, COUNT: 555
ASSAY: Others, COUNT: 7
ASSAY: Xpert HBV VL, COUNT: 15
ASSAY: Xpert HPV, COUNT: 583
ASSAY: Xpert MTB/RIF Ultra, COUNT: 2178
ASSAY: Others, COUNT: 2
ASSAY: Others, COUNT: 10
ASSAY: Xpert HCV VL, COUNT: 51
ASSAY: Xpert HIV-1 Viral Load, COUNT: 1567
</t>
  </si>
  <si>
    <t>For Module replacement B2 210066496 - 210010556</t>
  </si>
  <si>
    <t>Performed Module replacement
Cleaned plunger Rod, filter cartridge bay
Gathered reports
Test run unit</t>
  </si>
  <si>
    <t>Module replacement, maintenance</t>
  </si>
  <si>
    <t>G6346</t>
  </si>
  <si>
    <t>https://www.jotform.com/uploads/macarewecare/222927978372067/5729774950149090451/5729774950149090451_signature_28.png</t>
  </si>
  <si>
    <t>Claire Marie C. Juguiad</t>
  </si>
  <si>
    <t>https://www.jotform.com/uploads/macarewecare/222927978372067/5729774950149090451/5729774950149090451_signature_31.png</t>
  </si>
  <si>
    <t xml:space="preserve">ASSAY: Xpert MTB/RIF Ultra, COUNT: 2429
</t>
  </si>
  <si>
    <t>Stuck cartridge on C1</t>
  </si>
  <si>
    <t>Unit is operational.
C1 under observation.</t>
  </si>
  <si>
    <t>https://www.jotform.com/uploads/macarewecare/222927978372067/5729733365224011504/5729733365224011504_signature_28.png</t>
  </si>
  <si>
    <t>https://www.jotform.com/uploads/macarewecare/222927978372067/5729733365224011504/5729733365224011504_signature_31.png</t>
  </si>
  <si>
    <t>Bulusan Rural Health Unit</t>
  </si>
  <si>
    <t>Bulusan</t>
  </si>
  <si>
    <t>erminokarlian@gmail.com</t>
  </si>
  <si>
    <t xml:space="preserve">ASSAY: Xpert MTB/RIF Ultra, COUNT: 711
</t>
  </si>
  <si>
    <t>Cleaned cartridge bays, plunger rod, icore, fan filter
Generate reports</t>
  </si>
  <si>
    <t>https://www.jotform.com/uploads/macarewecare/222927978372067/5729716450201537810/5729716450201537810_signature_28.png</t>
  </si>
  <si>
    <t>Karl Ian Ermino</t>
  </si>
  <si>
    <t>https://www.jotform.com/uploads/macarewecare/222927978372067/5729716450201537810/5729716450201537810_signature_31.png</t>
  </si>
  <si>
    <t xml:space="preserve">ASSAY: Xpert MTB/RIF Ultra, COUNT: 2619
</t>
  </si>
  <si>
    <t>Module 2 Hardware failure SN 662968 due to temperature problem</t>
  </si>
  <si>
    <t>Replaced new module in B2 SN # 210100203</t>
  </si>
  <si>
    <t>Replaced new module in B2 SN 210100203</t>
  </si>
  <si>
    <t>https://www.jotform.com/uploads/macarewecare/222927978372067/5729698283913331508/5729698283913331508_signature_28.png</t>
  </si>
  <si>
    <t>Felipe Jr. Saren, RMT</t>
  </si>
  <si>
    <t>https://www.jotform.com/uploads/macarewecare/222927978372067/5729698283913331508/5729698283913331508_signature_31.png</t>
  </si>
  <si>
    <t xml:space="preserve">ASSAY: Xpert MTB/RIF Ultra, COUNT: 474
ASSAY: Xpert SARS-CoV-2, COUNT: 5251
</t>
  </si>
  <si>
    <t>Module 3 SN # 784125 encountered hardware failure due to error 1002/1001</t>
  </si>
  <si>
    <t>Replaced new module and performed preventive maintenance</t>
  </si>
  <si>
    <t>Replaced Module 3 with new module SN# 210060931</t>
  </si>
  <si>
    <t>https://www.jotform.com/uploads/macarewecare/222927978372067/5729692893917036450/5729692893917036450_signature_28.png</t>
  </si>
  <si>
    <t>https://www.jotform.com/uploads/macarewecare/222927978372067/5729692893917036450/5729692893917036450_signature_31.png</t>
  </si>
  <si>
    <t>East avenue, QC</t>
  </si>
  <si>
    <t>Due for maintenance and for network of their new gx</t>
  </si>
  <si>
    <t>Cleaned unit 
Cleaned plunger Rod, filter, cartridge bay, icore
Gathered reports
Test run unit
Performed network</t>
  </si>
  <si>
    <t>https://www.jotform.com/uploads/macarewecare/222927978372067/5729644123614337802/5729644123614337802_signature_28.png</t>
  </si>
  <si>
    <t>Jev Ryan Bonifacio</t>
  </si>
  <si>
    <t>https://www.jotform.com/uploads/macarewecare/222927978372067/5729644123614337802/5729644123614337802_signature_31.png</t>
  </si>
  <si>
    <t>For maintenance and for network</t>
  </si>
  <si>
    <t>https://www.jotform.com/uploads/macarewecare/222927978372067/5729643723613440596/5729643723613440596_signature_28.png</t>
  </si>
  <si>
    <t>https://www.jotform.com/uploads/macarewecare/222927978372067/5729643723613440596/5729643723613440596_signature_31.png</t>
  </si>
  <si>
    <t>Quezon Ave, QC</t>
  </si>
  <si>
    <t>Blood collection</t>
  </si>
  <si>
    <t>CRC Bios, drain bios battery</t>
  </si>
  <si>
    <t>Checked battery voltage 0 volts
Swap CPU board frm MCS 15H029G
Temporary installed CPU board frm 15H029G.
Performed calibration
Test run unit
Checked program parameters</t>
  </si>
  <si>
    <t>For quotation of CPU Board</t>
  </si>
  <si>
    <t>https://www.jotform.com/uploads/macarewecare/222927978372067/5729643153615997378/5729643153615997378_signature_28.png</t>
  </si>
  <si>
    <t>https://www.jotform.com/uploads/macarewecare/222927978372067/5729643153615997378/5729643153615997378_signature_31.png</t>
  </si>
  <si>
    <t>Bago City</t>
  </si>
  <si>
    <t>swabteambago@gmail.coml</t>
  </si>
  <si>
    <t xml:space="preserve">ASSAY: Xpert MTB/RIF, COUNT: 259
ASSAY: Xpert MTB/RIF Ultra, COUNT: 2598
</t>
  </si>
  <si>
    <t>Module B3 and B4 already reported for module replacement due to failed in XPC.</t>
  </si>
  <si>
    <t>Module B2 failed in XPC and save IQR &amp; calibration info.</t>
  </si>
  <si>
    <t>Run XPC for module B2 with SN 711021 due to error 4012 &amp; 1002.</t>
  </si>
  <si>
    <t>Module B1 and B3 are the functional module.</t>
  </si>
  <si>
    <t>https://www.jotform.com/uploads/macarewecare/222927978372067/5729628406122084446/5729628406122084446_signature_28.png</t>
  </si>
  <si>
    <t>https://www.jotform.com/uploads/macarewecare/222927978372067/5729628406122084446/5729628406122084446_signature_31.png</t>
  </si>
  <si>
    <t>Perform Genexpert machine annual Xpertcheck/Calibration 
Module 1,2 and 3 passed
Module 4 skipped - new module 
Perform actual sample process to module 2 for troubleshooting</t>
  </si>
  <si>
    <t>DR no.: 10417</t>
  </si>
  <si>
    <t>https://www.jotform.com/uploads/macarewecare/222927978372067/5729611425508669953/5729611425508669953_signature_28.png</t>
  </si>
  <si>
    <t>https://www.jotform.com/uploads/macarewecare/222927978372067/5729611425508669953/5729611425508669953_signature_31.png</t>
  </si>
  <si>
    <t>Liloan Rural Health Unit</t>
  </si>
  <si>
    <t>Liloan, Cebu City</t>
  </si>
  <si>
    <t>Xpertcheck calibration for module 1 &amp; 2 only</t>
  </si>
  <si>
    <t>https://www.jotform.com/uploads/macarewecare/222927978372067/5729087212226290413/5729087212226290413_signature_28.png</t>
  </si>
  <si>
    <t>https://www.jotform.com/uploads/macarewecare/222927978372067/5729087212226290413/5729087212226290413_signature_31.png</t>
  </si>
  <si>
    <t>Makati</t>
  </si>
  <si>
    <t xml:space="preserve">ASSAY: Xpert MTB/RIF Ultra, COUNT: 1716
</t>
  </si>
  <si>
    <t>Connected GX to switch</t>
  </si>
  <si>
    <t>https://www.jotform.com/uploads/macarewecare/222927978372067/5728985644559180820/5728985644559180820_signature_28.png</t>
  </si>
  <si>
    <t>Ed Sepe</t>
  </si>
  <si>
    <t>https://www.jotform.com/uploads/macarewecare/222927978372067/5728985644559180820/5728985644559180820_signature_31.png</t>
  </si>
  <si>
    <t>Centro, Tumauini, Isabela</t>
  </si>
  <si>
    <t>Genexpert GXIV-10c</t>
  </si>
  <si>
    <t>Installed Genexpert
Installed Printer
Installed UPS
Installed PC
Performed Maintenance
Gathered Reports
Performed Functionality Test</t>
  </si>
  <si>
    <t>https://www.jotform.com/uploads/macarewecare/222927978372067/5728957175414867587/5728957175414867587_signature_28.png</t>
  </si>
  <si>
    <t>Kathrine Mae Catembung</t>
  </si>
  <si>
    <t>https://www.jotform.com/uploads/macarewecare/222927978372067/5728957175414867587/5728957175414867587_signature_31.png</t>
  </si>
  <si>
    <t>Poblacion, Las Nieves</t>
  </si>
  <si>
    <t>Daisermt@gmail.com</t>
  </si>
  <si>
    <t>Stuck Cartridges at Module B1 and B2</t>
  </si>
  <si>
    <t>Removing Stuck Cartridges
Preventive Maintenance</t>
  </si>
  <si>
    <t>All Modules are Functional</t>
  </si>
  <si>
    <t>https://www.jotform.com/uploads/macarewecare/222927978372067/5728953229016216961/5728953229016216961_signature_28.png</t>
  </si>
  <si>
    <t>https://www.jotform.com/uploads/macarewecare/222927978372067/5728953229016216961/5728953229016216961_signature_31.png</t>
  </si>
  <si>
    <t>Tatalon health center</t>
  </si>
  <si>
    <t>Victory Ave. QC</t>
  </si>
  <si>
    <t>annieduhino15@gmail.com</t>
  </si>
  <si>
    <t xml:space="preserve">ASSAY: Xpert MTB/RIF Ultra, COUNT: 892
</t>
  </si>
  <si>
    <t>Cleaned unit
Cleaned filter, cartridge bay, icore, plunger Rod
Gathered reports
Test run unit</t>
  </si>
  <si>
    <t>https://www.jotform.com/uploads/macarewecare/222927978372067/5728931420142527585/5728931420142527585_signature_28.png</t>
  </si>
  <si>
    <t>Annie D. Repayo</t>
  </si>
  <si>
    <t>https://www.jotform.com/uploads/macarewecare/222927978372067/5728931420142527585/5728931420142527585_signature_31.png</t>
  </si>
  <si>
    <t>TB lab</t>
  </si>
  <si>
    <t xml:space="preserve">ASSAY: Xpert MTB/RIF Ultra, COUNT: 348
</t>
  </si>
  <si>
    <t>Due for maintenance, B4 encounter temp error 4009</t>
  </si>
  <si>
    <t>Cleaned plunger, i-core, cartridge bay, 
Gathered reports
Test run unit</t>
  </si>
  <si>
    <t>B4 disabled, 3 Module operational</t>
  </si>
  <si>
    <t>https://www.jotform.com/uploads/macarewecare/222927978372067/5728930980143325149/5728930980143325149_signature_28.png</t>
  </si>
  <si>
    <t>https://www.jotform.com/uploads/macarewecare/222927978372067/5728930980143325149/5728930980143325149_signature_31.png</t>
  </si>
  <si>
    <t xml:space="preserve">ASSAY: Xpert MTB/RIF Ultra, COUNT: 910
</t>
  </si>
  <si>
    <t>For Module replacement C4 686446 - 210102141</t>
  </si>
  <si>
    <t>Performed Module replacement
Cleaned plunger, i-core, cartridge bay, 
Gathered reports
Test run unit</t>
  </si>
  <si>
    <t>O</t>
  </si>
  <si>
    <t>https://www.jotform.com/uploads/macarewecare/222927978372067/5728930410146644952/5728930410146644952_signature_28.png</t>
  </si>
  <si>
    <t>https://www.jotform.com/uploads/macarewecare/222927978372067/5728930410146644952/5728930410146644952_signature_31.png</t>
  </si>
  <si>
    <t>Philippine heart center</t>
  </si>
  <si>
    <t>Cleaned unit
Inspect roller
Checked program parameters
Adjust line sensor value
Checked dpm, spm, valves, centrifuge
Performed  simulation running
Performed functionality test
Performed maintenance</t>
  </si>
  <si>
    <t>https://www.jotform.com/uploads/macarewecare/222927978372067/5728929870145160260/5728929870145160260_signature_28.png</t>
  </si>
  <si>
    <t>https://www.jotform.com/uploads/macarewecare/222927978372067/5728929870145160260/5728929870145160260_signature_31.png</t>
  </si>
  <si>
    <t>https://www.jotform.com/uploads/macarewecare/222927978372067/5728928850143316649/5728928850143316649_signature_28.png</t>
  </si>
  <si>
    <t>https://www.jotform.com/uploads/macarewecare/222927978372067/5728928850143316649/5728928850143316649_signature_31.png</t>
  </si>
  <si>
    <t>Lower  Sagadan, Baroy Lanao Del Norte</t>
  </si>
  <si>
    <t>Tb Laborartory</t>
  </si>
  <si>
    <t>annamariebroce31@gmail.com</t>
  </si>
  <si>
    <t xml:space="preserve">ASSAY: Xpert MTB/RIF Ultra, COUNT: 1720
</t>
  </si>
  <si>
    <t>Module 1 - 662770 Module 2- 662772 and  Module 3 - 662773 encounter hardware failure Error 1001 and 1002</t>
  </si>
  <si>
    <t>Replaced new module 1 - 210102178, module  2 - 210102162 and module  3 - 210101969 all new</t>
  </si>
  <si>
    <t>All units modules are operational</t>
  </si>
  <si>
    <t>https://www.jotform.com/uploads/macarewecare/222927978372067/5728868867217868544/5728868867217868544_signature_28.png</t>
  </si>
  <si>
    <t>Anne Marie B. Tubio</t>
  </si>
  <si>
    <t>https://www.jotform.com/uploads/macarewecare/222927978372067/5728868867217868544/5728868867217868544_signature_31.png</t>
  </si>
  <si>
    <t xml:space="preserve">ASSAY: Xpert MTB/RIF, COUNT: 112
ASSAY: Xpert MTB/RIF Ultra, COUNT: 340
</t>
  </si>
  <si>
    <t>LCD monitor
BRAND: Lenovo
MODEL: ThinkVision S22e-20
SERIAL NUMBER: V5FT169</t>
  </si>
  <si>
    <t>https://www.jotform.com/uploads/macarewecare/222927978372067/5728866569514822627/5728866569514822627_signature_28.png</t>
  </si>
  <si>
    <t>FE GORNE</t>
  </si>
  <si>
    <t>https://www.jotform.com/uploads/macarewecare/222927978372067/5728866569514822627/5728866569514822627_signature_31.png</t>
  </si>
  <si>
    <t>Unit for PM.
For Xpertcheck of module A3.</t>
  </si>
  <si>
    <t>Unit is operational. Module A3, service required.</t>
  </si>
  <si>
    <t>Caibiran Rural Health Unit</t>
  </si>
  <si>
    <t>Caibiran,  Biliran</t>
  </si>
  <si>
    <t>ednaobaletran07@gmail.com</t>
  </si>
  <si>
    <t>Module B2/642814 for replacement</t>
  </si>
  <si>
    <t>- Install new module on B2 w/ SN: 210102188
- Performed Preventive maintenance 
- Performed Functionality test 
- Generate reports 
- Pullout defective module SN 642814</t>
  </si>
  <si>
    <t>Genexpert Module 6 color SN: 210102188</t>
  </si>
  <si>
    <t>https://www.jotform.com/uploads/macarewecare/222927978372067/5728859719518314132/5728859719518314132_signature_28.png</t>
  </si>
  <si>
    <t>Edna O Letran</t>
  </si>
  <si>
    <t>https://www.jotform.com/uploads/macarewecare/222927978372067/5728859719518314132/5728859719518314132_signature_31.png</t>
  </si>
  <si>
    <t xml:space="preserve">ASSAY: Xpert MTB/RIF Ultra, COUNT: 1144
ASSAY: Xpert HIV-1 Viral Load, COUNT: 27
</t>
  </si>
  <si>
    <t>System lag while running
Unable to stop tests</t>
  </si>
  <si>
    <t>Performed preventive maintenance
Troubkeshoot error
Gathered reports
Performed functiinality test</t>
  </si>
  <si>
    <t>Module 4 for reporting</t>
  </si>
  <si>
    <t>https://www.jotform.com/uploads/macarewecare/222927978372067/5728853680525002745/5728853680525002745_signature_28.png</t>
  </si>
  <si>
    <t>Rowena Punsalan</t>
  </si>
  <si>
    <t>https://www.jotform.com/uploads/macarewecare/222927978372067/5728853680525002745/5728853680525002745_signature_31.png</t>
  </si>
  <si>
    <t xml:space="preserve">ASSAY: Xpert MTB/RIF Ultra, COUNT: 6285
</t>
  </si>
  <si>
    <t>Pulled out the old module for D1 with SN 640561. Save IQR files before and after replacement.</t>
  </si>
  <si>
    <t>Installed the new module for D1 with SN 210102186.</t>
  </si>
  <si>
    <t>All units are now functionall.</t>
  </si>
  <si>
    <t>https://www.jotform.com/uploads/macarewecare/222927978372067/5728772027915027708/5728772027915027708_signature_28.png</t>
  </si>
  <si>
    <t>https://www.jotform.com/uploads/macarewecare/222927978372067/5728772027915027708/5728772027915027708_signature_31.png</t>
  </si>
  <si>
    <t>https://www.jotform.com/uploads/macarewecare/222927978372067/5728662029872337385/5728662029872337385_signature_28.png</t>
  </si>
  <si>
    <t>https://www.jotform.com/uploads/macarewecare/222927978372067/5728662029872337385/5728662029872337385_signature_31.png</t>
  </si>
  <si>
    <t>Philippine Red Cross Ormoc Chapter</t>
  </si>
  <si>
    <t>Ormoc, Leyte</t>
  </si>
  <si>
    <t>15H43</t>
  </si>
  <si>
    <t>Defective Line Sensor</t>
  </si>
  <si>
    <t>perform Diagnostics and Install Line Sensor</t>
  </si>
  <si>
    <t>Install Temporary Line Sensor</t>
  </si>
  <si>
    <t>Subject for Qoutation (out of warranty)</t>
  </si>
  <si>
    <t>https://www.jotform.com/uploads/macarewecare/222927978372067/5728257194225032436/5728257194225032436_signature_28.png</t>
  </si>
  <si>
    <t>Venus D. Coching</t>
  </si>
  <si>
    <t>https://www.jotform.com/uploads/macarewecare/222927978372067/5728257194225032436/5728257194225032436_signature_31.png</t>
  </si>
  <si>
    <t>Binacas Rd.</t>
  </si>
  <si>
    <t>Performed maintenance 
Cleaned cartridge bay, plunger rod, icore and filter
Run XpertCheck 
Generated reports</t>
  </si>
  <si>
    <t>All modules operational. All modules passed the XpertCheck.</t>
  </si>
  <si>
    <t>https://www.jotform.com/uploads/macarewecare/222927978372067/5728219063504367447/5728219063504367447_signature_28.png</t>
  </si>
  <si>
    <t>Lalaine.V.Batalla</t>
  </si>
  <si>
    <t>https://www.jotform.com/uploads/macarewecare/222927978372067/5728219063504367447/5728219063504367447_signature_31.png</t>
  </si>
  <si>
    <t xml:space="preserve">ASSAY: Xpert MTB/RIF Ultra, COUNT: 5369
ASSAY: Xpert HIV-1 Viral Load, COUNT: 40
</t>
  </si>
  <si>
    <t>D1 skipped in XPC Calibration (not detected)
D2 retry then service required</t>
  </si>
  <si>
    <t>XPC Calibration
Preventive Maintenance</t>
  </si>
  <si>
    <t>https://www.jotform.com/uploads/macarewecare/222927978372067/5728170163433200572/5728170163433200572_signature_28.png</t>
  </si>
  <si>
    <t>https://www.jotform.com/uploads/macarewecare/222927978372067/5728170163433200572/5728170163433200572_signature_31.png</t>
  </si>
  <si>
    <t>Mlang, North Cotabato</t>
  </si>
  <si>
    <t>Module 3 - H/W failed</t>
  </si>
  <si>
    <t>Replace defective module 3 SN: 640319 with new module SN:210102175
Genexpert repositioning due to high temperature</t>
  </si>
  <si>
    <t>Genexpert module 6 color SN:210102175</t>
  </si>
  <si>
    <t>https://www.jotform.com/uploads/macarewecare/222927978372067/5728168405181414978/5728168405181414978_signature_28.png</t>
  </si>
  <si>
    <t>Kathlyn mae y, lacabe</t>
  </si>
  <si>
    <t>https://www.jotform.com/uploads/macarewecare/222927978372067/5728168405181414978/5728168405181414978_signature_31.png</t>
  </si>
  <si>
    <t>MAINTENANCE
TROUBLESHOOTING
Xpertcheck</t>
  </si>
  <si>
    <t>Module A1 temperature error</t>
  </si>
  <si>
    <t>Performed xpertcheck on module A1 = Passed</t>
  </si>
  <si>
    <t>Module A1 for observation</t>
  </si>
  <si>
    <t>https://www.jotform.com/uploads/macarewecare/222927978372067/5728113760474955687/5728113760474955687_signature_28.png</t>
  </si>
  <si>
    <t>https://www.jotform.com/uploads/macarewecare/222927978372067/5728113760474955687/5728113760474955687_signature_31.png</t>
  </si>
  <si>
    <t>Perez Rd., Alabat, Quezon</t>
  </si>
  <si>
    <t xml:space="preserve">ASSAY: Xpert MTB/RIF Ultra, COUNT: 700
</t>
  </si>
  <si>
    <t>Module C4 stuck cartridge</t>
  </si>
  <si>
    <t>Performed PM
Removed stuck cartridge
Generated report</t>
  </si>
  <si>
    <t>https://www.jotform.com/uploads/macarewecare/222927978372067/5728102155899087248/5728102155899087248_signature_28.png</t>
  </si>
  <si>
    <t>https://www.jotform.com/uploads/macarewecare/222927978372067/5728102155899087248/5728102155899087248_signature_31.png</t>
  </si>
  <si>
    <t>https://www.jotform.com/uploads/macarewecare/222927978372067/5728072252517688654/5728072252517688654_signature_28.png</t>
  </si>
  <si>
    <t>https://www.jotform.com/uploads/macarewecare/222927978372067/5728072252517688654/5728072252517688654_signature_31.png</t>
  </si>
  <si>
    <t>Unit for PM.
For Xpertcheck of module A4.</t>
  </si>
  <si>
    <t>https://www.jotform.com/uploads/macarewecare/222927978372067/5728063694612244988/5728063694612244988_signature_28.png</t>
  </si>
  <si>
    <t>https://www.jotform.com/uploads/macarewecare/222927978372067/5728063694612244988/5728063694612244988_signature_31.png</t>
  </si>
  <si>
    <t>Jaro Iloilo City</t>
  </si>
  <si>
    <t xml:space="preserve">ASSAY: Xpert MTB/RIF Ultra, COUNT: 2219
</t>
  </si>
  <si>
    <t>Pulled out the old module for C4 with SN 696407. Save IQR file before and after replacement.</t>
  </si>
  <si>
    <t>Installed the new module for C4 with SN 210102140</t>
  </si>
  <si>
    <t>All modules are now functional.</t>
  </si>
  <si>
    <t>https://www.jotform.com/uploads/macarewecare/222927978372067/5728044572427437858/5728044572427437858_signature_28.png</t>
  </si>
  <si>
    <t>https://www.jotform.com/uploads/macarewecare/222927978372067/5728044572427437858/5728044572427437858_signature_31.png</t>
  </si>
  <si>
    <t>Dr. Paulino J. Garcia Memorial Research MC</t>
  </si>
  <si>
    <t>jaballakarla@gmail.com</t>
  </si>
  <si>
    <t xml:space="preserve">ASSAY: Xpert MTB/RIF, COUNT: 822
ASSAY: Xpert MTB/RIF Ultra, COUNT: 4508
ASSAY: Xpert HCV VL, COUNT: 3
ASSAY: Xpert HIV-1 Viral Load, COUNT: 251
</t>
  </si>
  <si>
    <t>GXXVI-D</t>
  </si>
  <si>
    <t>B3 for module replacement</t>
  </si>
  <si>
    <t>https://www.jotform.com/uploads/macarewecare/222927978372067/5728024823988304216/5728024823988304216_signature_28.png</t>
  </si>
  <si>
    <t>Karla Mae Jaballa</t>
  </si>
  <si>
    <t>https://www.jotform.com/uploads/macarewecare/222927978372067/5728024823988304216/5728024823988304216_signature_31.png</t>
  </si>
  <si>
    <t>Module 3 error 1002</t>
  </si>
  <si>
    <t>Module Replacement = (210034758 - 614353)</t>
  </si>
  <si>
    <t>https://www.jotform.com/uploads/macarewecare/222927978372067/5728022998223859527/5728022998223859527_signature_28.png</t>
  </si>
  <si>
    <t>https://www.jotform.com/uploads/macarewecare/222927978372067/5728022998223859527/5728022998223859527_signature_31.png</t>
  </si>
  <si>
    <t>Cagayan Valley Center for Health Development (DOH R02)</t>
  </si>
  <si>
    <t xml:space="preserve">ASSAY: Xpert MTB/RIF Ultra, COUNT: 1365
ASSAY: Xpert SARS-CoV-2, COUNT: 3170
</t>
  </si>
  <si>
    <t>Module Replacement = (616313 - 210102183)</t>
  </si>
  <si>
    <t>https://www.jotform.com/uploads/macarewecare/222927978372067/5727991161519783078/5727991161519783078_signature_28.png</t>
  </si>
  <si>
    <t>https://www.jotform.com/uploads/macarewecare/222927978372067/5727991161519783078/5727991161519783078_signature_31.png</t>
  </si>
  <si>
    <t>XpertChecl Kit</t>
  </si>
  <si>
    <t>DR 10677</t>
  </si>
  <si>
    <t>https://www.jotform.com/uploads/macarewecare/222927978372067/5727970755795705780/5727970755795705780_signature_28.png</t>
  </si>
  <si>
    <t>https://www.jotform.com/uploads/macarewecare/222927978372067/5727970755795705780/5727970755795705780_signature_31.png</t>
  </si>
  <si>
    <t>Software Upgrade</t>
  </si>
  <si>
    <t>Unit is due for Software Upgrade</t>
  </si>
  <si>
    <t>Upgrade Software from 4.8 to 6.5
Performed Self-test
Checked Functionality
Generate Reports</t>
  </si>
  <si>
    <t>https://www.jotform.com/uploads/macarewecare/222927978372067/5727970765794498716/5727970765794498716_signature_28.png</t>
  </si>
  <si>
    <t>https://www.jotform.com/uploads/macarewecare/222927978372067/5727970765794498716/5727970765794498716_signature_31.png</t>
  </si>
  <si>
    <t>Rodriguez Ave.</t>
  </si>
  <si>
    <t>For Installation.</t>
  </si>
  <si>
    <t>Installed the GeneXpert unit.</t>
  </si>
  <si>
    <t>Installed the GeneXpert unit. (Unit only)
Performed maintenance 
Functionality test
Generated reports</t>
  </si>
  <si>
    <t>Unit from West Rembo.</t>
  </si>
  <si>
    <t>https://www.jotform.com/uploads/macarewecare/222927978372067/5727366357128288446/5727366357128288446_signature_28.png</t>
  </si>
  <si>
    <t>https://www.jotform.com/uploads/macarewecare/222927978372067/5727366357128288446/5727366357128288446_signature_31.png</t>
  </si>
  <si>
    <t>Rodriguez Ave</t>
  </si>
  <si>
    <t xml:space="preserve">ASSAY: Xpert MTB/RIF Ultra, COUNT: 1695
</t>
  </si>
  <si>
    <t>Module A1 and A2 has errors 2014</t>
  </si>
  <si>
    <t>Run XpertCheck on modules A1 and A2</t>
  </si>
  <si>
    <t>Performed maintenance 
Run XpertCheck on modules A1 and A2
Generated reports</t>
  </si>
  <si>
    <t>Unit is operational. Module A1/210020089 and A2/862667 failed in XpertCheck, not operational.</t>
  </si>
  <si>
    <t>https://www.jotform.com/uploads/macarewecare/222927978372067/5727365257122897337/5727365257122897337_signature_28.png</t>
  </si>
  <si>
    <t>https://www.jotform.com/uploads/macarewecare/222927978372067/5727365257122897337/5727365257122897337_signature_31.png</t>
  </si>
  <si>
    <t>Angeles Ryral Health Unit 3</t>
  </si>
  <si>
    <t xml:space="preserve">ASSAY: Xpert MTB/RIF Ultra, COUNT: 2566
ASSAY: Xpert HIV-1 Viral Load, COUNT: 683
</t>
  </si>
  <si>
    <t>https://www.jotform.com/uploads/macarewecare/222927978372067/5727337717222908899/5727337717222908899_signature_28.png</t>
  </si>
  <si>
    <t>https://www.jotform.com/uploads/macarewecare/222927978372067/5727337717222908899/5727337717222908899_signature_31.png</t>
  </si>
  <si>
    <t>Purok 3, Gadgaron</t>
  </si>
  <si>
    <t>B1/210091134 &amp; B2/789045 for module replacement</t>
  </si>
  <si>
    <t>Module replaced: B1 - 210091134&gt;&gt;210101968, B2 - 789045&gt;&gt;210100204
Cleaned fan
Generate reports</t>
  </si>
  <si>
    <t>Replaced B1 &amp; B2 module
Performed Preventive Maintenance</t>
  </si>
  <si>
    <t>https://www.jotform.com/uploads/macarewecare/222927978372067/5727320995214053679/5727320995214053679_signature_28.png</t>
  </si>
  <si>
    <t>https://www.jotform.com/uploads/macarewecare/222927978372067/5727320995214053679/5727320995214053679_signature_31.png</t>
  </si>
  <si>
    <t>rheamarierodriguez.con@gmail.com</t>
  </si>
  <si>
    <t>Module 3 not detected, module 3 error 4008</t>
  </si>
  <si>
    <t>Reset Gateway board
Swap module 2 and 3
Test the Fuse 1 of module 3</t>
  </si>
  <si>
    <t>Module 3 for Replacement</t>
  </si>
  <si>
    <t>https://www.jotform.com/uploads/macarewecare/222927978372067/5727313412169297080/5727313412169297080_signature_28.png</t>
  </si>
  <si>
    <t>Rhea Marie Rodriguez</t>
  </si>
  <si>
    <t>https://www.jotform.com/uploads/macarewecare/222927978372067/5727313412169297080/5727313412169297080_signature_31.png</t>
  </si>
  <si>
    <t>Poblacion, Compostela Davao De Oro</t>
  </si>
  <si>
    <t xml:space="preserve">ASSAY: Xpert MTB/RIF, COUNT: 14
ASSAY: Xpert MTB/RIF Ultra, COUNT: 1212
</t>
  </si>
  <si>
    <t>Error at system unit, user is stucked at startup boot only
Error at UPS, 
Due for Preventive Maintenance</t>
  </si>
  <si>
    <t>Replaced the CMOS battery, Clean the ram slot
Clean Surface Area, Cartridge Bay, Plunger Rod, Fan Filters and Icore Lenses</t>
  </si>
  <si>
    <t>System unit troubleshooting
Perform Preventive Maintenance</t>
  </si>
  <si>
    <t>Error at System Unit still persist after how many retry to replaced new cmos battery.
UPS Battery is defective , GeneXpert System Immediately shutoff when at battery mode</t>
  </si>
  <si>
    <t>https://www.jotform.com/uploads/macarewecare/222927978372067/5727277801025952401/5727277801025952401_signature_28.png</t>
  </si>
  <si>
    <t>Niel Maquiling</t>
  </si>
  <si>
    <t>https://www.jotform.com/uploads/macarewecare/222927978372067/5727277801025952401/5727277801025952401_signature_31.png</t>
  </si>
  <si>
    <t>Celinejean16@gmail.com</t>
  </si>
  <si>
    <t xml:space="preserve">ASSAY: Xpert MTB/RIF Ultra, COUNT: 853
ASSAY: Xpert HIV-1 Viral Load, COUNT: 25
</t>
  </si>
  <si>
    <t>Genexpert CPU Problem</t>
  </si>
  <si>
    <t>Perform Genexpert machine CPU troubleshooting</t>
  </si>
  <si>
    <t>Check CPU power cable - functional
Replace CMOS battery 
Unplug Ram and move to other pin
CPU problem reported</t>
  </si>
  <si>
    <t>Genexpert CPU subject for replacement due to power supply problem</t>
  </si>
  <si>
    <t>Set-up and Network two Genexpert Unit to other Computer</t>
  </si>
  <si>
    <t>https://www.jotform.com/uploads/macarewecare/222927978372067/5727276067715898141/5727276067715898141_signature_28.png</t>
  </si>
  <si>
    <t>https://www.jotform.com/uploads/macarewecare/222927978372067/5727276067715898141/5727276067715898141_signature_31.png</t>
  </si>
  <si>
    <t>Brgy. 8, Catanauan, Quezon</t>
  </si>
  <si>
    <t>trining136@gmail.com</t>
  </si>
  <si>
    <t xml:space="preserve">ASSAY: Xpert MTB/RIF, COUNT: 87
ASSAY: Xpert MTB/RIF Ultra, COUNT: 956
</t>
  </si>
  <si>
    <t>Performed PM
Replaced module B3
Generated report</t>
  </si>
  <si>
    <t>Replaced B3
210068501 -&gt; 210102144</t>
  </si>
  <si>
    <t>DR 43712</t>
  </si>
  <si>
    <t>https://www.jotform.com/uploads/macarewecare/222927978372067/5727259790614136535/5727259790614136535_signature_28.png</t>
  </si>
  <si>
    <t>Trinity Carisse Puyal</t>
  </si>
  <si>
    <t>https://www.jotform.com/uploads/macarewecare/222927978372067/5727259790614136535/5727259790614136535_signature_31.png</t>
  </si>
  <si>
    <t>A1 for Re-xpertcheck</t>
  </si>
  <si>
    <t>Unit is operational except A1</t>
  </si>
  <si>
    <t>A1 failed calibration</t>
  </si>
  <si>
    <t>https://www.jotform.com/uploads/macarewecare/222927978372067/5727254069816703053/5727254069816703053_signature_28.png</t>
  </si>
  <si>
    <t>https://www.jotform.com/uploads/macarewecare/222927978372067/5727254069816703053/5727254069816703053_signature_31.png</t>
  </si>
  <si>
    <t>Old: B4/210068082
New: B4/210102067</t>
  </si>
  <si>
    <t>https://www.jotform.com/uploads/macarewecare/222927978372067/5727253927129892238/5727253927129892238_signature_28.png</t>
  </si>
  <si>
    <t>https://www.jotform.com/uploads/macarewecare/222927978372067/5727253927129892238/5727253927129892238_signature_31.png</t>
  </si>
  <si>
    <t>Performed maintenance 
Cleaned cartridge bay, icore, plunger rod.
Generated reports 
Checked module A2</t>
  </si>
  <si>
    <t>Unit is operational. Modules A1, B2, B3, B4 and C2 not operational, reported already. Module A2 not operational,  for reporting.</t>
  </si>
  <si>
    <t>https://www.jotform.com/uploads/macarewecare/222927978372067/5727249917127427045/5727249917127427045_signature_28.png</t>
  </si>
  <si>
    <t>Erika Mendoza, RMT</t>
  </si>
  <si>
    <t>https://www.jotform.com/uploads/macarewecare/222927978372067/5727249917127427045/5727249917127427045_signature_31.png</t>
  </si>
  <si>
    <t>Replaced module B1/210100887</t>
  </si>
  <si>
    <t>Unit is operational. Module B2 not operational, reported already.</t>
  </si>
  <si>
    <t>Old: B1: 210100887
New: B1/743374</t>
  </si>
  <si>
    <t>https://www.jotform.com/uploads/macarewecare/222927978372067/5727249897128599779/5727249897128599779_signature_28.png</t>
  </si>
  <si>
    <t>https://www.jotform.com/uploads/macarewecare/222927978372067/5727249897128599779/5727249897128599779_signature_31.png</t>
  </si>
  <si>
    <t>B3 for module replcement</t>
  </si>
  <si>
    <t>https://www.jotform.com/uploads/macarewecare/222927978372067/5727246449813202524/5727246449813202524_signature_28.png</t>
  </si>
  <si>
    <t>https://www.jotform.com/uploads/macarewecare/222927978372067/5727246449813202524/5727246449813202524_signature_31.png</t>
  </si>
  <si>
    <t xml:space="preserve">ASSAY: Xpert MTB/RIF Ultra, COUNT: 995
</t>
  </si>
  <si>
    <t>C2/633491 for module replacement</t>
  </si>
  <si>
    <t>Replaced module: C2 - 633491&gt;&gt;210102145
Cleaned cartridge bays, plunger rod, fan, icore
Generate reports</t>
  </si>
  <si>
    <t>Replaced C2 module
Performed Preventive Maintenance</t>
  </si>
  <si>
    <t>https://www.jotform.com/uploads/macarewecare/222927978372067/5727215269809046988/5727215269809046988_signature_28.png</t>
  </si>
  <si>
    <t>https://www.jotform.com/uploads/macarewecare/222927978372067/5727215269809046988/5727215269809046988_signature_31.png</t>
  </si>
  <si>
    <t>fiath.buban2124@gmail.com</t>
  </si>
  <si>
    <t xml:space="preserve">ASSAY: Xpert MTB/RIF Ultra, COUNT: 1900
</t>
  </si>
  <si>
    <t>B2/625608 for Module Replacement</t>
  </si>
  <si>
    <t>Module Replaced: B2 - 625608&gt;&gt;210102150
Cleaned Cartridge bays, plunger rod, fan, icore
Generate reports</t>
  </si>
  <si>
    <t>Replaced B2 Module</t>
  </si>
  <si>
    <t>https://www.jotform.com/uploads/macarewecare/222927978372067/5727211949807604804/5727211949807604804_signature_28.png</t>
  </si>
  <si>
    <t>Rechel B. Canomoy</t>
  </si>
  <si>
    <t>https://www.jotform.com/uploads/macarewecare/222927978372067/5727211949807604804/5727211949807604804_signature_31.png</t>
  </si>
  <si>
    <t>East Rd.</t>
  </si>
  <si>
    <t xml:space="preserve">ASSAY: Xpert MTB/RIF Ultra, COUNT: 1359
ASSAY: Xpert HIV-1 Viral Load, COUNT: 20
</t>
  </si>
  <si>
    <t>Performed maintenance 
Cleaned cartridge bay,  plunger rod, icore and filter 
Generated reports</t>
  </si>
  <si>
    <t>https://www.jotform.com/uploads/macarewecare/222927978372067/5726511493614934645/5726511493614934645_signature_28.png</t>
  </si>
  <si>
    <t>Mary Junette Fulgueras</t>
  </si>
  <si>
    <t>https://www.jotform.com/uploads/macarewecare/222927978372067/5726511493614934645/5726511493614934645_signature_31.png</t>
  </si>
  <si>
    <t>Camp Bagong Diwa</t>
  </si>
  <si>
    <t>Change module A2's lan cable</t>
  </si>
  <si>
    <t>Performed maintenance 
Checked module A2
Checked connections 
Swap module A2 to A1
Generated reports</t>
  </si>
  <si>
    <t>https://www.jotform.com/uploads/macarewecare/222927978372067/5726508703619711081/5726508703619711081_signature_28.png</t>
  </si>
  <si>
    <t>April Chakee Javier</t>
  </si>
  <si>
    <t>https://www.jotform.com/uploads/macarewecare/222927978372067/5726508703619711081/5726508703619711081_signature_31.png</t>
  </si>
  <si>
    <t>HV Dela Costa</t>
  </si>
  <si>
    <t xml:space="preserve">ASSAY: Xpert MTB/RIF Ultra, COUNT: 986
ASSAY: Others, COUNT: 142
</t>
  </si>
  <si>
    <t>Relocated the unit</t>
  </si>
  <si>
    <t>Relocated the GeneXpert unit
Performed maintenance 
Functionality test
Generated reports</t>
  </si>
  <si>
    <t>https://www.jotform.com/uploads/macarewecare/222927978372067/5726504163619872453/5726504163619872453_signature_28.png</t>
  </si>
  <si>
    <t>Joy Sabalboro</t>
  </si>
  <si>
    <t>https://www.jotform.com/uploads/macarewecare/222927978372067/5726504163619872453/5726504163619872453_signature_31.png</t>
  </si>
  <si>
    <t>West Rembo Health Center</t>
  </si>
  <si>
    <t>danise_er_19@yahoo.com</t>
  </si>
  <si>
    <t>Module A2 for XpertCheck</t>
  </si>
  <si>
    <t>Run XpertCheck on module A2</t>
  </si>
  <si>
    <t>Performed maintenance 
Run XpertCheck on module A2
Generated reports</t>
  </si>
  <si>
    <t>Unit is operational. Module A2 passed in XpertCheck.</t>
  </si>
  <si>
    <t>https://www.jotform.com/uploads/macarewecare/222927978372067/5726498953618377511/5726498953618377511_signature_28.png</t>
  </si>
  <si>
    <t>Danis Maebel Calimag</t>
  </si>
  <si>
    <t>https://www.jotform.com/uploads/macarewecare/222927978372067/5726498953618377511/5726498953618377511_signature_31.png</t>
  </si>
  <si>
    <t>CPU does not power on sometimes</t>
  </si>
  <si>
    <t>Checked CPU
Checked connections 
Checked UPS
Performed maintenance 
Generated reports</t>
  </si>
  <si>
    <t>https://www.jotform.com/uploads/macarewecare/222927978372067/5726495493616147610/5726495493616147610_signature_28.png</t>
  </si>
  <si>
    <t>https://www.jotform.com/uploads/macarewecare/222927978372067/5726495493616147610/5726495493616147610_signature_31.png</t>
  </si>
  <si>
    <t xml:space="preserve">ASSAY: Xpert MTB/RIF Ultra, COUNT: 986
ASSAY: Others, COUNT: 142
ASSAY: Xpert SARS-CoV-2, COUNT: 16
</t>
  </si>
  <si>
    <t>Relocated the GeneXpert unit
Performed maintenance 
Functionality test
Generate reports</t>
  </si>
  <si>
    <t>https://www.jotform.com/uploads/macarewecare/222927978372067/5726491043613778249/5726491043613778249_signature_28.png</t>
  </si>
  <si>
    <t>https://www.jotform.com/uploads/macarewecare/222927978372067/5726491043613778249/5726491043613778249_signature_31.png</t>
  </si>
  <si>
    <t>https://www.jotform.com/uploads/macarewecare/222927978372067/5726490283613812838/5726490283613812838_signature_28.png</t>
  </si>
  <si>
    <t>https://www.jotform.com/uploads/macarewecare/222927978372067/5726490283613812838/5726490283613812838_signature_31.png</t>
  </si>
  <si>
    <t xml:space="preserve">ASSAY: Xpert MTB/RIF Ultra, COUNT: 2122
</t>
  </si>
  <si>
    <t>For module C3 for replacement</t>
  </si>
  <si>
    <t>Replaced module C3</t>
  </si>
  <si>
    <t>Performed maintenance 
Replaced defective module
Generated reports</t>
  </si>
  <si>
    <t>Old: C3/801912
New: C3/210102242</t>
  </si>
  <si>
    <t>G 6265</t>
  </si>
  <si>
    <t>https://www.jotform.com/uploads/macarewecare/222927978372067/5726435253614733966/5726435253614733966_signature_28.png</t>
  </si>
  <si>
    <t>https://www.jotform.com/uploads/macarewecare/222927978372067/5726435253614733966/5726435253614733966_signature_31.png</t>
  </si>
  <si>
    <t xml:space="preserve">ASSAY: Xpert MTB/RIF Ultra, COUNT: 2102
ASSAY: Xpert HIV-1 Viral Load, COUNT: 501
</t>
  </si>
  <si>
    <t>Replace module 4 SN:684397 with new module SN: 210060050</t>
  </si>
  <si>
    <t>Genexpert module 6 color SN: 210060050</t>
  </si>
  <si>
    <t>https://www.jotform.com/uploads/macarewecare/222927978372067/5726345684311488500/5726345684311488500_signature_28.png</t>
  </si>
  <si>
    <t>ANA MARIE GRACE EGASAN</t>
  </si>
  <si>
    <t>https://www.jotform.com/uploads/macarewecare/222927978372067/5726345684311488500/5726345684311488500_signature_31.png</t>
  </si>
  <si>
    <t>Module 4 H/W failed  due to multiple temperature error</t>
  </si>
  <si>
    <t>Perform Xpertcheck at module 4 for troubleshooting 
Report module 4 problem</t>
  </si>
  <si>
    <t>https://www.jotform.com/uploads/macarewecare/222927978372067/5726345684317576232/5726345684317576232_signature_28.png</t>
  </si>
  <si>
    <t>Jenny A. Pingki an</t>
  </si>
  <si>
    <t>https://www.jotform.com/uploads/macarewecare/222927978372067/5726345684317576232/5726345684317576232_signature_31.png</t>
  </si>
  <si>
    <t>Del Pilar St., Silang, Cavite</t>
  </si>
  <si>
    <t>Performed Maintenance
Performed Self-test
Performed XpertCheck
Generate Reports</t>
  </si>
  <si>
    <t>DR 10675</t>
  </si>
  <si>
    <t>https://www.jotform.com/uploads/macarewecare/222927978372067/5726225603619013378/5726225603619013378_signature_28.png</t>
  </si>
  <si>
    <t>https://www.jotform.com/uploads/macarewecare/222927978372067/5726225603619013378/5726225603619013378_signature_31.png</t>
  </si>
  <si>
    <t>Loyola St, Carmona,Cavite</t>
  </si>
  <si>
    <t>Performed Maintenance
Performed Self-test
Performed XpertCheck
Checked UPS Function
Generate Reports</t>
  </si>
  <si>
    <t>UPS is Defective. All Modules are Operational.</t>
  </si>
  <si>
    <t>DR 10674</t>
  </si>
  <si>
    <t>https://www.jotform.com/uploads/macarewecare/222927978372067/5726225603619613240/5726225603619613240_signature_28.png</t>
  </si>
  <si>
    <t>https://www.jotform.com/uploads/macarewecare/222927978372067/5726225603619613240/5726225603619613240_signature_31.png</t>
  </si>
  <si>
    <t>ndpaguilar2014@gmail.com</t>
  </si>
  <si>
    <t xml:space="preserve">ASSAY: Xpert MTB/RIF Ultra, COUNT: 428
</t>
  </si>
  <si>
    <t>GX4 2 placer</t>
  </si>
  <si>
    <t>- Cleaned Cartridge Bays, Plunger Rods and I-CORE 
- Replaced Defective Module B2 784155 &gt;&gt;&gt; 210102173
- Generated Reports</t>
  </si>
  <si>
    <t>GeneXpert Module 210102173</t>
  </si>
  <si>
    <t>https://www.jotform.com/uploads/macarewecare/222927978372067/5725682258718083388/5725682258718083388_signature_28.png</t>
  </si>
  <si>
    <t>Vilma D. Pastor</t>
  </si>
  <si>
    <t>https://www.jotform.com/uploads/macarewecare/222927978372067/5725682258718083388/5725682258718083388_signature_31.png</t>
  </si>
  <si>
    <t>National kidney and transplant institute</t>
  </si>
  <si>
    <t xml:space="preserve">ASSAY: Xpert BCR-ABL Ultra, COUNT: 852
ASSAY: Others, COUNT: 23
ASSAY: Xpert HBV VL, COUNT: 577
ASSAY: Xpert HPV, COUNT: 113
ASSAY: Xpert MTB/RIF, COUNT: 1161
ASSAY: Xpert MTB/RIF Ultra, COUNT: 1209
ASSAY: Xpert SARS-CoV-2, COUNT: 14570
ASSAY: Xpert HCV VL, COUNT: 53
ASSAY: Others, COUNT: 9
</t>
  </si>
  <si>
    <t>A4 unable close the door and encounter 4017 temp error</t>
  </si>
  <si>
    <t>Checked door latch,
Performed self test multiple time but error 4017 still occur
Gathered reports</t>
  </si>
  <si>
    <t>14 module operational A1 reported,A3 for reporting</t>
  </si>
  <si>
    <t>https://www.jotform.com/uploads/macarewecare/222927978372067/5723875379833706499/5723875379833706499_signature_28.png</t>
  </si>
  <si>
    <t>Danielle Marie M. Cortes</t>
  </si>
  <si>
    <t>https://www.jotform.com/uploads/macarewecare/222927978372067/5723875379833706499/5723875379833706499_signature_31.png</t>
  </si>
  <si>
    <t xml:space="preserve">ASSAY: Xpert MTB/RIF Ultra, COUNT: 2982
ASSAY: Xpert HIV-1 Viral Load, COUNT: 149
</t>
  </si>
  <si>
    <t>Module C2 for re XpertCheck</t>
  </si>
  <si>
    <t>Performed XpertCheck on C2</t>
  </si>
  <si>
    <t>Unit is operational.
C2: service required</t>
  </si>
  <si>
    <t>https://www.jotform.com/uploads/macarewecare/222927978372067/5723852368705697584/5723852368705697584_signature_28.png</t>
  </si>
  <si>
    <t>https://www.jotform.com/uploads/macarewecare/222927978372067/5723852368705697584/5723852368705697584_signature_31.png</t>
  </si>
  <si>
    <t xml:space="preserve">ASSAY: Xpert MTB/RIF Ultra, COUNT: 2967
</t>
  </si>
  <si>
    <t>https://www.jotform.com/uploads/macarewecare/222927978372067/5723840247114224208/5723840247114224208_signature_28.png</t>
  </si>
  <si>
    <t>https://www.jotform.com/uploads/macarewecare/222927978372067/5723840247114224208/5723840247114224208_signature_31.png</t>
  </si>
  <si>
    <t>Tropical disease foundation</t>
  </si>
  <si>
    <t>Amorsolo st</t>
  </si>
  <si>
    <t xml:space="preserve">ASSAY: Xpert MTB/RIF, COUNT: 200
ASSAY: Xpert MTB/RIF Ultra, COUNT: 1466
</t>
  </si>
  <si>
    <t>Due for xpert check</t>
  </si>
  <si>
    <t>Cleaned unit
Cleaned filter,plunger rod ,cartridge bay,icore
Gathered reports 
Test run unit</t>
  </si>
  <si>
    <t>3 module operation b4 failed xpertcheck</t>
  </si>
  <si>
    <t>https://www.jotform.com/uploads/macarewecare/222927978372067/5723823499831500745/5723823499831500745_signature_28.png</t>
  </si>
  <si>
    <t>https://www.jotform.com/uploads/macarewecare/222927978372067/5723823499831500745/5723823499831500745_signature_31.png</t>
  </si>
  <si>
    <t>Installed unit,complete accessories</t>
  </si>
  <si>
    <t>https://www.jotform.com/uploads/macarewecare/222927978372067/5723819329834773146/5723819329834773146_signature_28.png</t>
  </si>
  <si>
    <t>https://www.jotform.com/uploads/macarewecare/222927978372067/5723819329834773146/5723819329834773146_signature_31.png</t>
  </si>
  <si>
    <t>J.P Rizal Rodriguez,Montalban Rizal</t>
  </si>
  <si>
    <t>cchlaboratory2018@yahoo.com</t>
  </si>
  <si>
    <t>For module replacement B1 863306 - 210102189</t>
  </si>
  <si>
    <t>Performed module replacement
Cleaned unit
Cleaned filter,plunger rod ,cartridge bay,icore
Gathered reports 
Test run unit</t>
  </si>
  <si>
    <t>G6327</t>
  </si>
  <si>
    <t>https://www.jotform.com/uploads/macarewecare/222927978372067/5723818669839741552/5723818669839741552_signature_28.png</t>
  </si>
  <si>
    <t>Mykaela Josepha De Leon</t>
  </si>
  <si>
    <t>https://www.jotform.com/uploads/macarewecare/222927978372067/5723818669839741552/5723818669839741552_signature_31.png</t>
  </si>
  <si>
    <t>Module 1 error 2037</t>
  </si>
  <si>
    <t>Performed Xpertcheck on module 1</t>
  </si>
  <si>
    <t>Xpertcheck Result = Passed</t>
  </si>
  <si>
    <t>https://www.jotform.com/uploads/macarewecare/222927978372067/5723781859319432631/5723781859319432631_signature_28.png</t>
  </si>
  <si>
    <t>https://www.jotform.com/uploads/macarewecare/222927978372067/5723781859319432631/5723781859319432631_signature_31.png</t>
  </si>
  <si>
    <t>Immunology/Serology Department</t>
  </si>
  <si>
    <t>hact.clmmrh@gmail.com</t>
  </si>
  <si>
    <t>New Genexpert 10c unit for installation.</t>
  </si>
  <si>
    <t>- Install new 10c unit and accessories (Desktop, LCD Monitor, AVR, UPS, Printer) - CPU SN CPH0723F43822
- System configuration
- Import Assay Definition Files (ADF)
- Generate Installation Qualification Report
- Orientation of end users on machine operation and maintenance.</t>
  </si>
  <si>
    <t>https://www.jotform.com/uploads/macarewecare/222927978372067/5723746554217963178/5723746554217963178_signature_28.png</t>
  </si>
  <si>
    <t>CHERRY ANNE IBAÑEZ</t>
  </si>
  <si>
    <t>https://www.jotform.com/uploads/macarewecare/222927978372067/5723746554217963178/5723746554217963178_signature_31.png</t>
  </si>
  <si>
    <t>East Service Rd</t>
  </si>
  <si>
    <t>https://www.jotform.com/uploads/macarewecare/222927978372067/5723690882616225863/5723690882616225863_signature_28.png</t>
  </si>
  <si>
    <t>https://www.jotform.com/uploads/macarewecare/222927978372067/5723690882616225863/5723690882616225863_signature_31.png</t>
  </si>
  <si>
    <t>Valladollid, Carcar City</t>
  </si>
  <si>
    <t xml:space="preserve">ASSAY: Xpert MTB/RIF Ultra, COUNT: 1644
</t>
  </si>
  <si>
    <t>All modules encountered Error 2008 as od Sept 2023 and 6 errors starting October 2023</t>
  </si>
  <si>
    <t>Performed maintenance, and reorient end user for specimen and reagent preparation
Check the cartridge before using</t>
  </si>
  <si>
    <t>Performed maintenance, valve cleaning plunger maintenance, Icore clean up</t>
  </si>
  <si>
    <t>https://www.jotform.com/uploads/macarewecare/222927978372067/5723666725961827739/5723666725961827739_signature_28.png</t>
  </si>
  <si>
    <t>https://www.jotform.com/uploads/macarewecare/222927978372067/5723666725961827739/5723666725961827739_signature_31.png</t>
  </si>
  <si>
    <t>SEBASTE RURAL HEALTH UNIT</t>
  </si>
  <si>
    <t>SEBASTE, ANTIQUE</t>
  </si>
  <si>
    <t>francisconaciongayo@gmail.com</t>
  </si>
  <si>
    <t>-PERFORM MODULE B3 REPLACEMENT:
DEF SN:688184
NEW MODULE SN:210100218</t>
  </si>
  <si>
    <t>FOR REQUEST OF GX FAN FILTER</t>
  </si>
  <si>
    <t>https://www.jotform.com/uploads/macarewecare/222927978372067/5723199906416271465/5723199906416271465_signature_28.png</t>
  </si>
  <si>
    <t>Francisco S. Naciongayo</t>
  </si>
  <si>
    <t>https://www.jotform.com/uploads/macarewecare/222927978372067/5723199906416271465/5723199906416271465_signature_31.png</t>
  </si>
  <si>
    <t xml:space="preserve">ASSAY: Xpert HPV, COUNT: 150
ASSAY: Xpert MTB/RIF Ultra, COUNT: 714
</t>
  </si>
  <si>
    <t>GX-IV-D_6C</t>
  </si>
  <si>
    <t>CPU replacement</t>
  </si>
  <si>
    <t>Performed maintenance 
Pull out backup laptop and defective CPU
Install new CPU
Generated reports</t>
  </si>
  <si>
    <t>Defective CPU: 2UA7021MQ1
New CPU: CPH0623F42285</t>
  </si>
  <si>
    <t>G 6329</t>
  </si>
  <si>
    <t>https://www.jotform.com/uploads/macarewecare/222927978372067/5722970505621250713/5722970505621250713_signature_28.png</t>
  </si>
  <si>
    <t>https://www.jotform.com/uploads/macarewecare/222927978372067/5722970505621250713/5722970505621250713_signature_31.png</t>
  </si>
  <si>
    <t>Detoxicare</t>
  </si>
  <si>
    <t>Installed unit, 
GeneXpert GX-IV
Dim: 28.2 cm. wide, 30.5 cm. high, 29.7 cm. deep
Weight: 11.4 kg.
Power Supply: Auto-ranging
Rated AC Voltage Range: 100-240V~, 50-60Hz.
Mains Supply Fluctuations: up to +-10% of the nominal voltage
Transient Over-Voltages: up to 2500V peak
Rated Current: 1.4A @100V
Fuse Rating: 250V~ T3A</t>
  </si>
  <si>
    <t>https://www.jotform.com/uploads/macarewecare/222927978372067/5715958641625990333/5715958641625990333_signature_28.png</t>
  </si>
  <si>
    <t>Imelda Habaluyas</t>
  </si>
  <si>
    <t>https://www.jotform.com/uploads/macarewecare/222927978372067/5715958641625990333/5715958641625990333_signature_31.png</t>
  </si>
  <si>
    <t>Bayan Luma, Imus, Cavite</t>
  </si>
  <si>
    <t>Performed Maintenance
Performed Selft-test
Performed XpertCheck
Generate Reports</t>
  </si>
  <si>
    <t>2 Modules are Newly Replaced,</t>
  </si>
  <si>
    <t>DR 10672</t>
  </si>
  <si>
    <t>https://www.jotform.com/uploads/macarewecare/222927978372067/5722938326224166845/5722938326224166845_signature_28.png</t>
  </si>
  <si>
    <t>https://www.jotform.com/uploads/macarewecare/222927978372067/5722938326224166845/5722938326224166845_signature_31.png</t>
  </si>
  <si>
    <t>Pedro Gil, Taft Ave, Manila</t>
  </si>
  <si>
    <t>amreyes8@up.edu.ph</t>
  </si>
  <si>
    <t>Unit is for Relocation</t>
  </si>
  <si>
    <t>Relocate GeneXpert System
Check Functionality
Performed Maintenance
Generate Reports</t>
  </si>
  <si>
    <t>2 are Operational, 2 Modules for Reporting</t>
  </si>
  <si>
    <t>https://www.jotform.com/uploads/macarewecare/222927978372067/5722938326225929631/5722938326225929631_signature_28.png</t>
  </si>
  <si>
    <t>https://www.jotform.com/uploads/macarewecare/222927978372067/5722938326225929631/5722938326225929631_signature_31.png</t>
  </si>
  <si>
    <t>Module B2 Hardware fail.</t>
  </si>
  <si>
    <t>Clean all modules</t>
  </si>
  <si>
    <t>Perform maintenance for all modules</t>
  </si>
  <si>
    <t>Module B2 with serail number 791790 hardware fail.</t>
  </si>
  <si>
    <t>https://www.jotform.com/uploads/macarewecare/222927978372067/5722918303917380460/5722918303917380460_signature_28.png</t>
  </si>
  <si>
    <t>Mariel Gracia</t>
  </si>
  <si>
    <t>https://www.jotform.com/uploads/macarewecare/222927978372067/5722918303917380460/5722918303917380460_signature_31.png</t>
  </si>
  <si>
    <t>Cagayan De Oro City</t>
  </si>
  <si>
    <t xml:space="preserve">ASSAY: Xpert HPV, COUNT: 744
ASSAY: Xpert MTB/RIF Ultra, COUNT: 7499
ASSAY: Xpert SARS-CoV-2, COUNT: 10304
ASSAY: Xpert HIV-1 Viral Load, COUNT: 477
</t>
  </si>
  <si>
    <t>Replacing module D3 with SN: 674972 to SN: 210102225
Preventive Maintenance</t>
  </si>
  <si>
    <t>https://www.jotform.com/uploads/macarewecare/222927978372067/5722901945806484507/5722901945806484507_signature_28.png</t>
  </si>
  <si>
    <t>Vidal G. Villas III</t>
  </si>
  <si>
    <t>https://www.jotform.com/uploads/macarewecare/222927978372067/5722901945806484507/5722901945806484507_signature_31.png</t>
  </si>
  <si>
    <t xml:space="preserve">ASSAY: Xpert MTB/RIF Ultra, COUNT: 2666
ASSAY: Xpert HIV-1 Viral Load, COUNT: 159
</t>
  </si>
  <si>
    <t>Manually removed stuck cartridge</t>
  </si>
  <si>
    <t>https://www.jotform.com/uploads/macarewecare/222927978372067/5722870752523998037/5722870752523998037_signature_28.png</t>
  </si>
  <si>
    <t>https://www.jotform.com/uploads/macarewecare/222927978372067/5722870752523998037/5722870752523998037_signature_31.png</t>
  </si>
  <si>
    <t>Sagay City, Negros Occidental</t>
  </si>
  <si>
    <t>Defective module 210091070/B1</t>
  </si>
  <si>
    <t>- Replaced module 210091070/B1 with new module SN 210100321
- Generate Pre- and Post-IQR</t>
  </si>
  <si>
    <t>- Module 4 encountering temperature-related errors - for report to Cepheid.
- Modules 1, 2, and 3 operational.</t>
  </si>
  <si>
    <t>https://www.jotform.com/uploads/macarewecare/222927978372067/5722858681025717041/5722858681025717041_signature_28.png</t>
  </si>
  <si>
    <t>DEBRA ABELLAR, RMT</t>
  </si>
  <si>
    <t>https://www.jotform.com/uploads/macarewecare/222927978372067/5722858681025717041/5722858681025717041_signature_31.png</t>
  </si>
  <si>
    <t>jazer.palasigue30@gmail.com</t>
  </si>
  <si>
    <t>https://www.jotform.com/uploads/macarewecare/222927978372067/5722836655521734871/5722836655521734871_signature_28.png</t>
  </si>
  <si>
    <t>https://www.jotform.com/uploads/macarewecare/222927978372067/5722836655521734871/5722836655521734871_signature_31.png</t>
  </si>
  <si>
    <t xml:space="preserve">ASSAY: , COUNT: 19
ASSAY: Xpert MTB/RIF Ultra, COUNT: 484
</t>
  </si>
  <si>
    <t>A3 temperature error</t>
  </si>
  <si>
    <t>Unit is operational
A3 Passed calibration, m9dupe under observation</t>
  </si>
  <si>
    <t>https://www.jotform.com/uploads/macarewecare/222927978372067/5722779311527142014/5722779311527142014_signature_28.png</t>
  </si>
  <si>
    <t>https://www.jotform.com/uploads/macarewecare/222927978372067/5722779311527142014/5722779311527142014_signature_31.png</t>
  </si>
  <si>
    <t>Error 2008 for all modules</t>
  </si>
  <si>
    <t>Performed maintenance, Archive test, generate Gxx files, IQR, Sys log, assay statistics
Orient enduser for specimen handling, proper Reagent time preparation</t>
  </si>
  <si>
    <t>Performed preventive maintenance, clean Plunger, Icore, and ultrasonic horn and valve
Clean filter, check voltage ups and AVR</t>
  </si>
  <si>
    <t>https://www.jotform.com/uploads/macarewecare/222927978372067/5722762562631944681/5722762562631944681_signature_28.png</t>
  </si>
  <si>
    <t>https://www.jotform.com/uploads/macarewecare/222927978372067/5722762562631944681/5722762562631944681_signature_31.png</t>
  </si>
  <si>
    <t>Amparo, Caloocan City</t>
  </si>
  <si>
    <t>Module B3 for replacement
Unit for calibration</t>
  </si>
  <si>
    <t>Replaced module B3
Performed XpertCheck</t>
  </si>
  <si>
    <t>Unit is operational.
B1: passed
B2: insufficient cartridge
B4: insufficient cartridge</t>
  </si>
  <si>
    <t>GeneXpert Module
SN: 210101927</t>
  </si>
  <si>
    <t>G 6332</t>
  </si>
  <si>
    <t>https://www.jotform.com/uploads/macarewecare/222927978372067/5722119404226673512/5722119404226673512_signature_28.png</t>
  </si>
  <si>
    <t>https://www.jotform.com/uploads/macarewecare/222927978372067/5722119404226673512/5722119404226673512_signature_31.png</t>
  </si>
  <si>
    <t>Midsalip, Zamboanga del Sur</t>
  </si>
  <si>
    <t>Replaced module 4 and module 1, 2 and 3 undergone Xpertcheck calibration all 3 modules passed</t>
  </si>
  <si>
    <t>Replaced module 769597 with Module 700515</t>
  </si>
  <si>
    <t>900-0491RS / XPERTCHECK-CE-5</t>
  </si>
  <si>
    <t>10533 / 10397</t>
  </si>
  <si>
    <t>https://www.jotform.com/uploads/macarewecare/222927978372067/5722108821814522756/5722108821814522756_signature_28.png</t>
  </si>
  <si>
    <t>Genaline A Rodriguez</t>
  </si>
  <si>
    <t>https://www.jotform.com/uploads/macarewecare/222927978372067/5722108821814522756/5722108821814522756_signature_31.png</t>
  </si>
  <si>
    <t xml:space="preserve">ASSAY: Xpert CT/NG, COUNT: 1
ASSAY: Xpert HPV, COUNT: 261
ASSAY: Xpert HCV VL, COUNT: 3
</t>
  </si>
  <si>
    <t>D1,D2 operational,D3,D4 disable failed xpertcheck</t>
  </si>
  <si>
    <t>https://www.jotform.com/uploads/macarewecare/222927978372067/5722103148845359376/5722103148845359376_signature_28.png</t>
  </si>
  <si>
    <t>Nicole Ty</t>
  </si>
  <si>
    <t>https://www.jotform.com/uploads/macarewecare/222927978372067/5722103148845359376/5722103148845359376_signature_31.png</t>
  </si>
  <si>
    <t>Performed Maintenance
Gathered Reports
Performef Functionality Test</t>
  </si>
  <si>
    <t>https://www.jotform.com/uploads/macarewecare/222927978372067/5722090045522661119/5722090045522661119_signature_28.png</t>
  </si>
  <si>
    <t>Rochell Ann Lontoc</t>
  </si>
  <si>
    <t>https://www.jotform.com/uploads/macarewecare/222927978372067/5722090045522661119/5722090045522661119_signature_31.png</t>
  </si>
  <si>
    <t xml:space="preserve">ASSAY: Xpert CT/NG, COUNT: 263
ASSAY: Xpert HBV VL, COUNT: 10
ASSAY: Xpert HPV, COUNT: 2
ASSAY: Xpert HPV, COUNT: 219
ASSAY: Xpert MTB/RIF Ultra, COUNT: 3091
ASSAY: Xpert HCV VL, COUNT: 5
</t>
  </si>
  <si>
    <t>https://www.jotform.com/uploads/macarewecare/222927978372067/5722085168843598294/5722085168843598294_signature_28.png</t>
  </si>
  <si>
    <t>https://www.jotform.com/uploads/macarewecare/222927978372067/5722085168843598294/5722085168843598294_signature_31.png</t>
  </si>
  <si>
    <t xml:space="preserve">ASSAY: Xpert MTB/RIF, COUNT: 50
ASSAY: Xpert MTB/RIF Ultra, COUNT: 1489
</t>
  </si>
  <si>
    <t>Reported Stuck Cartridge at Module B3</t>
  </si>
  <si>
    <t>Troubleshoot the Module 3 to remove the cartridge</t>
  </si>
  <si>
    <t>Stuck cartridge successfully removed</t>
  </si>
  <si>
    <t>https://www.jotform.com/uploads/macarewecare/222927978372067/5722075193227513593/5722075193227513593_signature_28.png</t>
  </si>
  <si>
    <t>Lea M. Buelis, RMT</t>
  </si>
  <si>
    <t>https://www.jotform.com/uploads/macarewecare/222927978372067/5722075193227513593/5722075193227513593_signature_31.png</t>
  </si>
  <si>
    <t>Poblacion, Medellin Cebu</t>
  </si>
  <si>
    <t>medellintdc@yahoo.com</t>
  </si>
  <si>
    <t>Error 1001 in Module 1 and Module 3</t>
  </si>
  <si>
    <t>Performed self test in Module 1 and 3
Conduct preventive maintenance</t>
  </si>
  <si>
    <t>Conduct preventive maintenance in Module 2 and Module 4,
Clean Filter, Icore, plunger and cartridge bay
Clean filter,  fan and casing</t>
  </si>
  <si>
    <t>All modules are available but only Module 2 and 4 are operating consistently.
Module 1 and 3 terminated during loading of cartridges, the medtech suspend the usage to avoid wastage of cartridge
Awaiting for module 1 and 3 for replacement</t>
  </si>
  <si>
    <t>https://www.jotform.com/uploads/macarewecare/222927978372067/5722049855329645163/5722049855329645163_signature_28.png</t>
  </si>
  <si>
    <t>Raul M. Galano, RMT</t>
  </si>
  <si>
    <t>https://www.jotform.com/uploads/macarewecare/222927978372067/5722049855329645163/5722049855329645163_signature_31.png</t>
  </si>
  <si>
    <t xml:space="preserve">ASSAY: Xpert MTB/RIF Ultra, COUNT: 1816
</t>
  </si>
  <si>
    <t>MODULE B2 ERROR 2032</t>
  </si>
  <si>
    <t>-PERFORM GX EQUIPMENT MAINTENANCE
-PERFORM ERROR 2032 ULTRASONIC HORN TROUBLESHOOTING PROCEDURE</t>
  </si>
  <si>
    <t>https://www.jotform.com/uploads/macarewecare/222927978372067/5722048520414037477/5722048520414037477_signature_28.png</t>
  </si>
  <si>
    <t>https://www.jotform.com/uploads/macarewecare/222927978372067/5722048520414037477/5722048520414037477_signature_31.png</t>
  </si>
  <si>
    <t>For roller replacement</t>
  </si>
  <si>
    <t>Replaced roller
Checked programs parameters.
Adjust line sensor value 3071
Performed functional test
Performed isolation running</t>
  </si>
  <si>
    <t>Urethane roller</t>
  </si>
  <si>
    <t>https://www.jotform.com/uploads/macarewecare/222927978372067/5722044208841227232/5722044208841227232_signature_28.png</t>
  </si>
  <si>
    <t>national children's hospital</t>
  </si>
  <si>
    <t>https://www.jotform.com/uploads/macarewecare/222927978372067/5722044208841227232/5722044208841227232_signature_31.png</t>
  </si>
  <si>
    <t>Xpertcheck Result = All Modules Passed</t>
  </si>
  <si>
    <t>https://www.jotform.com/uploads/macarewecare/222927978372067/5722028325528156882/5722028325528156882_signature_28.png</t>
  </si>
  <si>
    <t>Kimberly Gulapa</t>
  </si>
  <si>
    <t>https://www.jotform.com/uploads/macarewecare/222927978372067/5722028325528156882/5722028325528156882_signature_31.png</t>
  </si>
  <si>
    <t xml:space="preserve">ASSAY: Xpert MTB/RIF Ultra, COUNT: 2591
ASSAY: Xpert HIV-1 Viral Load, COUNT: 79
</t>
  </si>
  <si>
    <t>Module C2 hardware failed.</t>
  </si>
  <si>
    <t>-Replace defective module C2/644791 with new module SN: 210102201</t>
  </si>
  <si>
    <t>https://www.jotform.com/uploads/macarewecare/222927978372067/5721976188023822188/5721976188023822188_signature_28.png</t>
  </si>
  <si>
    <t>https://www.jotform.com/uploads/macarewecare/222927978372067/5721976188023822188/5721976188023822188_signature_31.png</t>
  </si>
  <si>
    <t>GXIV-4D R1</t>
  </si>
  <si>
    <t>Module D2 and D4 defective</t>
  </si>
  <si>
    <t>-Replace defective module D2/684440 with new module SN: 210102206
-Replace defective module D4/750600 with new module SN: 210102257</t>
  </si>
  <si>
    <t>https://www.jotform.com/uploads/macarewecare/222927978372067/5721973678025699585/5721973678025699585_signature_28.png</t>
  </si>
  <si>
    <t>https://www.jotform.com/uploads/macarewecare/222927978372067/5721973678025699585/5721973678025699585_signature_31.png</t>
  </si>
  <si>
    <t>sg93rmt@gmail.com</t>
  </si>
  <si>
    <t>https://www.jotform.com/uploads/macarewecare/222927978372067/5721948294428803969/5721948294428803969_signature_28.png</t>
  </si>
  <si>
    <t>Tessa Mae E. Saguindan</t>
  </si>
  <si>
    <t>https://www.jotform.com/uploads/macarewecare/222927978372067/5721948294428803969/5721948294428803969_signature_31.png</t>
  </si>
  <si>
    <t>Taft. Ave., Manila</t>
  </si>
  <si>
    <t>Unit for PM.
For relocation of Genexpert system because of renovation.</t>
  </si>
  <si>
    <t>Performed PM.
Performed installation to new location (Molecular Laboratory Office).
Generated reports.</t>
  </si>
  <si>
    <t>PM and relocation.</t>
  </si>
  <si>
    <t>Unit is operational. For reporting of modules A3, B1 and D2 with temperature errors. Modules A3, B1 and D2 are confirmed for replacement.</t>
  </si>
  <si>
    <t>https://www.jotform.com/uploads/macarewecare/222927978372067/5721923419463151788/5721923419463151788_signature_28.png</t>
  </si>
  <si>
    <t>https://www.jotform.com/uploads/macarewecare/222927978372067/5721923419463151788/5721923419463151788_signature_31.png</t>
  </si>
  <si>
    <t xml:space="preserve">ASSAY: Xpert MTB/RIF Ultra, COUNT: 903
ASSAY: Xpert HIV-1 Viral Load, COUNT: 19
</t>
  </si>
  <si>
    <t>A1 for module replacement
A3 for stuck cartridge removal</t>
  </si>
  <si>
    <t>Module replacement
Stuck cartridge removal</t>
  </si>
  <si>
    <t>Performed preventive maintenance
Removed stuck cartridge on A3
Performed moduoe replacement on A1
Gathered reports
Performed functionality test</t>
  </si>
  <si>
    <t>https://www.jotform.com/uploads/macarewecare/222927978372067/5721900647612414475/5721900647612414475_signature_28.png</t>
  </si>
  <si>
    <t>https://www.jotform.com/uploads/macarewecare/222927978372067/5721900647612414475/5721900647612414475_signature_31.png</t>
  </si>
  <si>
    <t>B Rodriguez St. Capitol, Cebu</t>
  </si>
  <si>
    <t>Bloodbank  Service Unit</t>
  </si>
  <si>
    <t>ivyzeabaid1994@gmail.com</t>
  </si>
  <si>
    <t>UPS encountered long beep sound drain battery</t>
  </si>
  <si>
    <t>Check ups performed line voltage checking
Transfer UPS to other user owned UPS unit</t>
  </si>
  <si>
    <t>Check Ups and test charge voltage</t>
  </si>
  <si>
    <t>MCS+ operational with their owned unit.</t>
  </si>
  <si>
    <t>https://www.jotform.com/uploads/macarewecare/222927978372067/5721861535328554924/5721861535328554924_signature_28.png</t>
  </si>
  <si>
    <t>IVY ZEA C. BAID</t>
  </si>
  <si>
    <t>https://www.jotform.com/uploads/macarewecare/222927978372067/5721861535328554924/5721861535328554924_signature_31.png</t>
  </si>
  <si>
    <t xml:space="preserve">ASSAY: Xpert MTB/RIF Ultra, COUNT: 2118
</t>
  </si>
  <si>
    <t>FOR MODULE C3 REPLACEMENT</t>
  </si>
  <si>
    <t>PERFORM MODULE C3 REPLACEMENT:
DEF SN: 677627
NEW MODULE SN: 210102111</t>
  </si>
  <si>
    <t>MODULE C4 PENDING</t>
  </si>
  <si>
    <t>https://www.jotform.com/uploads/macarewecare/222927978372067/5721310610411137351/5721310610411137351_signature_28.png</t>
  </si>
  <si>
    <t>VAN RYAN LUJAN</t>
  </si>
  <si>
    <t>https://www.jotform.com/uploads/macarewecare/222927978372067/5721310610411137351/5721310610411137351_signature_31.png</t>
  </si>
  <si>
    <t>PERFORM MODULE B1 REPLACEMENT :
DEF SN: 807206
NEW MODULE SN: 210101844</t>
  </si>
  <si>
    <t>https://www.jotform.com/uploads/macarewecare/222927978372067/5721308240419741244/5721308240419741244_signature_28.png</t>
  </si>
  <si>
    <t>https://www.jotform.com/uploads/macarewecare/222927978372067/5721308240419741244/5721308240419741244_signature_31.png</t>
  </si>
  <si>
    <t xml:space="preserve">ASSAY: Xpert MTB/RIF Ultra, COUNT: 236
</t>
  </si>
  <si>
    <t>Due for Calibration/ Xpertcheck.</t>
  </si>
  <si>
    <t>- Performed Xpertcheck on all 4 modules</t>
  </si>
  <si>
    <t>All 4 modules Passed Xpertcheck</t>
  </si>
  <si>
    <t>https://www.jotform.com/uploads/macarewecare/222927978372067/5721297536268943252/5721297536268943252_signature_28.png</t>
  </si>
  <si>
    <t>https://www.jotform.com/uploads/macarewecare/222927978372067/5721297536268943252/5721297536268943252_signature_31.png</t>
  </si>
  <si>
    <t>Department of Health Treatment and Rehabilitation Center</t>
  </si>
  <si>
    <t>Module C2/210100544 not detected</t>
  </si>
  <si>
    <t>Replaced lan cable of module C2</t>
  </si>
  <si>
    <t>Performed maintenance
Checked internal connection
Swap module C2 to module C1
Replaced lan cable of module C2</t>
  </si>
  <si>
    <t>https://www.jotform.com/uploads/macarewecare/222927978372067/5721289355217696397/5721289355217696397_signature_28.png</t>
  </si>
  <si>
    <t>hellen joy rivera</t>
  </si>
  <si>
    <t>https://www.jotform.com/uploads/macarewecare/222927978372067/5721289355217696397/5721289355217696397_signature_31.png</t>
  </si>
  <si>
    <t xml:space="preserve">ASSAY: Xpert MTB/RIF Ultra, COUNT: 1040
ASSAY: Others, COUNT: 152
ASSAY: Xpert SARS-CoV-2, COUNT: 13
</t>
  </si>
  <si>
    <t>GeneXpert unit does not power on</t>
  </si>
  <si>
    <t>Replaced power cord</t>
  </si>
  <si>
    <t>Checked UPS
Checked cable
Performed maintenance
Functionality test
Generated reports</t>
  </si>
  <si>
    <t>https://www.jotform.com/uploads/macarewecare/222927978372067/5721286125211900556/5721286125211900556_signature_28.png</t>
  </si>
  <si>
    <t>https://www.jotform.com/uploads/macarewecare/222927978372067/5721286125211900556/5721286125211900556_signature_31.png</t>
  </si>
  <si>
    <t>No display on monitor upon turning on CPU
Communication and booting errors of modules</t>
  </si>
  <si>
    <t>Reseating RAM on CPU
Replacing CMOS battery
Directly attach the lan cable from machine to cpu without a network.</t>
  </si>
  <si>
    <t>1 gx machine out of service. Only backup unit working. CPU not functional. Backup unit used (Laptop: ACER E5-471-32HE)</t>
  </si>
  <si>
    <t>Due to electricty fluctuation in the site, Highly recommend to have a stable electricity. UPS must be replaced due to lack of functionality. (Recommended UPS Brand: Powercom 1KVA UPS Raptor Series)</t>
  </si>
  <si>
    <t>https://www.jotform.com/uploads/macarewecare/222927978372067/5721284608025405175/5721284608025405175_signature_28.png</t>
  </si>
  <si>
    <t>https://www.jotform.com/uploads/macarewecare/222927978372067/5721284608025405175/5721284608025405175_signature_31.png</t>
  </si>
  <si>
    <t>ellainebiongan1203@gmail.com</t>
  </si>
  <si>
    <t>Module 4 for service Required</t>
  </si>
  <si>
    <t>Replace defective module 4 SN: 690460 with new module SN: 210102256</t>
  </si>
  <si>
    <t>Genexpert module 6 color SN:210102256</t>
  </si>
  <si>
    <t>https://www.jotform.com/uploads/macarewecare/222927978372067/5721272223125195188/5721272223125195188_signature_28.png</t>
  </si>
  <si>
    <t>Ellaine Grace Biongan</t>
  </si>
  <si>
    <t>https://www.jotform.com/uploads/macarewecare/222927978372067/5721272223125195188/5721272223125195188_signature_31.png</t>
  </si>
  <si>
    <t>President Ramon Magsasay Memorial Hospital</t>
  </si>
  <si>
    <t xml:space="preserve">ASSAY: Xpert SARS-CoV-2, COUNT: 3566
</t>
  </si>
  <si>
    <t>B3 for module replqcement</t>
  </si>
  <si>
    <t>Module replacemeny</t>
  </si>
  <si>
    <t>https://www.jotform.com/uploads/macarewecare/222927978372067/5721202237615764552/5721202237615764552_signature_28.png</t>
  </si>
  <si>
    <t>https://www.jotform.com/uploads/macarewecare/222927978372067/5721202237615764552/5721202237615764552_signature_31.png</t>
  </si>
  <si>
    <t xml:space="preserve">ASSAY: Xpert HBV VL, COUNT: 84
ASSAY: Xpert MTB/RIF Ultra, COUNT: 2481
ASSAY: Xpert HCV VL, COUNT: 80
ASSAY: Xpert HIV-1 Viral Load, COUNT: 224
</t>
  </si>
  <si>
    <t>https://www.jotform.com/uploads/macarewecare/222927978372067/5721199767619180247/5721199767619180247_signature_28.png</t>
  </si>
  <si>
    <t>https://www.jotform.com/uploads/macarewecare/222927978372067/5721199767619180247/5721199767619180247_signature_31.png</t>
  </si>
  <si>
    <t>Poblacion mahayag, Zamboanga del sur</t>
  </si>
  <si>
    <t>Module 3 and 4 error 4012 and 1002</t>
  </si>
  <si>
    <t>Module 2 passed while module 1, 3 and 4 failed</t>
  </si>
  <si>
    <t>Module 2 available</t>
  </si>
  <si>
    <t>https://www.jotform.com/uploads/macarewecare/222927978372067/5721179385312438733/5721179385312438733_signature_28.png</t>
  </si>
  <si>
    <t>Ricky Cavan</t>
  </si>
  <si>
    <t>https://www.jotform.com/uploads/macarewecare/222927978372067/5721179385312438733/5721179385312438733_signature_31.png</t>
  </si>
  <si>
    <t>Alang-alang Rural Health Unit</t>
  </si>
  <si>
    <t>Alang alang leyte</t>
  </si>
  <si>
    <t xml:space="preserve">ASSAY: Xpert MTB/RIF Ultra, COUNT: 71
ASSAY: Xpert MTB/RIF Ultra, COUNT: 308
</t>
  </si>
  <si>
    <t>- Performed Preventive maintenance 
- Troubleshoot UPS (battery defective)
- Checked voltage output (220)
- Generate reports</t>
  </si>
  <si>
    <t>UPS for replacement (Battery defective)</t>
  </si>
  <si>
    <t>https://www.jotform.com/uploads/macarewecare/222927978372067/5721177097218844313/5721177097218844313_signature_28.png</t>
  </si>
  <si>
    <t>https://www.jotform.com/uploads/macarewecare/222927978372067/5721177097218844313/5721177097218844313_signature_31.png</t>
  </si>
  <si>
    <t>Bagong Pag-Asa Health Cente4</t>
  </si>
  <si>
    <t>35 Rd., Bagong Pag-Asa, Quezon City</t>
  </si>
  <si>
    <t xml:space="preserve">ASSAY: Xpert MTB/RIF Ultra, COUNT: 162
</t>
  </si>
  <si>
    <t>Module A1 temp problem</t>
  </si>
  <si>
    <t>Performed PM
Re-XpertCheck Module A1
Module A1 failed re-xpertcheck
Module A1 for reporting
Generated report</t>
  </si>
  <si>
    <t>Re-XpertCheck A1</t>
  </si>
  <si>
    <t>Unit is operational. 
3 Modules working</t>
  </si>
  <si>
    <t>https://www.jotform.com/uploads/macarewecare/222927978372067/5721147606716149625/5721147606716149625_signature_28.png</t>
  </si>
  <si>
    <t>Dean Antonio B. DOMINGO</t>
  </si>
  <si>
    <t>https://www.jotform.com/uploads/macarewecare/222927978372067/5721147606716149625/5721147606716149625_signature_31.png</t>
  </si>
  <si>
    <t>Tabon 2, Kawit, Cavite</t>
  </si>
  <si>
    <t>3 modules are Operational, 1 for Reporting</t>
  </si>
  <si>
    <t>https://www.jotform.com/uploads/macarewecare/222927978372067/5721141852312806893/5721141852312806893_signature_28.png</t>
  </si>
  <si>
    <t>https://www.jotform.com/uploads/macarewecare/222927978372067/5721141852312806893/5721141852312806893_signature_31.png</t>
  </si>
  <si>
    <t>Performed Maintenance
Performed Self-Test
Performed XpertCheck
Generate Reports</t>
  </si>
  <si>
    <t>DR 10671</t>
  </si>
  <si>
    <t>https://www.jotform.com/uploads/macarewecare/222927978372067/5721141852317485657/5721141852317485657_signature_28.png</t>
  </si>
  <si>
    <t>https://www.jotform.com/uploads/macarewecare/222927978372067/5721141852317485657/5721141852317485657_signature_31.png</t>
  </si>
  <si>
    <t>Governor's Drive, Trece Martires</t>
  </si>
  <si>
    <t>lorocavivian@gmail.com</t>
  </si>
  <si>
    <t>Replaced Modules 2 and 3
Generate Reports
Performed Self-Test</t>
  </si>
  <si>
    <t>3 Modules are Operational. 1 for Reporting</t>
  </si>
  <si>
    <t>https://www.jotform.com/uploads/macarewecare/222927978372067/5721141802311366291/5721141802311366291_signature_28.png</t>
  </si>
  <si>
    <t>https://www.jotform.com/uploads/macarewecare/222927978372067/5721141802311366291/5721141802311366291_signature_31.png</t>
  </si>
  <si>
    <t>Las Piñas General Hospital and Satellite Trauma Center</t>
  </si>
  <si>
    <t>lpghstc.microbiology@gmail.com</t>
  </si>
  <si>
    <t>Performed Maintenance
Performed XpertCheck
Generate Reports
Performed Self-Test</t>
  </si>
  <si>
    <t>DR 10676</t>
  </si>
  <si>
    <t>https://www.jotform.com/uploads/macarewecare/222927978372067/5721141802313785199/5721141802313785199_signature_28.png</t>
  </si>
  <si>
    <t>Julie Jane Andal</t>
  </si>
  <si>
    <t>https://www.jotform.com/uploads/macarewecare/222927978372067/5721141802313785199/5721141802313785199_signature_31.png</t>
  </si>
  <si>
    <t>Performed Simulation Test
Cleaned Pumps and Valves
Checked and Cleaned Sensors
Checked Parameters</t>
  </si>
  <si>
    <t>https://www.jotform.com/uploads/macarewecare/222927978372067/5721141802316564761/5721141802316564761_signature_28.png</t>
  </si>
  <si>
    <t>https://www.jotform.com/uploads/macarewecare/222927978372067/5721141802316564761/5721141802316564761_signature_31.png</t>
  </si>
  <si>
    <t>Module 2 with Temperature Error
Unit is due for XpertCheck</t>
  </si>
  <si>
    <t>Replaced Module 2
Performed Maintenance
Performed XpertCheck
Performed Self-test
Generate Reports</t>
  </si>
  <si>
    <t>3 Modules for Reporting(Failed in XpertCheck)</t>
  </si>
  <si>
    <t>https://www.jotform.com/uploads/macarewecare/222927978372067/5721141802316970851/5721141802316970851_signature_28.png</t>
  </si>
  <si>
    <t>Jennalyn Soriano</t>
  </si>
  <si>
    <t>https://www.jotform.com/uploads/macarewecare/222927978372067/5721141802316970851/5721141802316970851_signature_31.png</t>
  </si>
  <si>
    <t>Municipal Compound, Tanza</t>
  </si>
  <si>
    <t>3 Modules are Operational. Module 1 for Reporting</t>
  </si>
  <si>
    <t>https://www.jotform.com/uploads/macarewecare/222927978372067/5721141792319365360/5721141792319365360_signature_28.png</t>
  </si>
  <si>
    <t>Mary Ann C. Gutierrez</t>
  </si>
  <si>
    <t>https://www.jotform.com/uploads/macarewecare/222927978372067/5721141792319365360/5721141792319365360_signature_31.png</t>
  </si>
  <si>
    <t>Poblacion, Dalaguete Cebu</t>
  </si>
  <si>
    <t xml:space="preserve">ASSAY: Xpert MTB/RIF Ultra, COUNT: 1490
</t>
  </si>
  <si>
    <t>Module 4 SN 210073850 encountered an Error of 2032 started July 12 up to August 22, 2023 until disabled by Medtech up to present</t>
  </si>
  <si>
    <t>Reset module and conduct preventive maintenance.</t>
  </si>
  <si>
    <t>Clean Up ultrasonic horn reset module, Clean up plunger, and Icore</t>
  </si>
  <si>
    <t>All modules are available except Module 4 during running Error 20232 will occured</t>
  </si>
  <si>
    <t>https://www.jotform.com/uploads/macarewecare/222927978372067/5721130344795887453/5721130344795887453_signature_28.png</t>
  </si>
  <si>
    <t>Allaiza Jane Rivera</t>
  </si>
  <si>
    <t>https://www.jotform.com/uploads/macarewecare/222927978372067/5721130344795887453/5721130344795887453_signature_31.png</t>
  </si>
  <si>
    <t>Jagobiao mandaue City</t>
  </si>
  <si>
    <t>Defective module 2 sn 620606</t>
  </si>
  <si>
    <t>Clean fan filter, New module 2 installed sn 210100224</t>
  </si>
  <si>
    <t>New module 2 installed sn 210100224</t>
  </si>
  <si>
    <t>Systems operational, module 4 defective</t>
  </si>
  <si>
    <t>https://www.jotform.com/uploads/macarewecare/222927978372067/5721130799314536072/5721130799314536072_signature_28.png</t>
  </si>
  <si>
    <t>Juanita V. Alimurong</t>
  </si>
  <si>
    <t>https://www.jotform.com/uploads/macarewecare/222927978372067/5721130799314536072/5721130799314536072_signature_31.png</t>
  </si>
  <si>
    <t>GUIMBAL RURAL HEALTH UNIT</t>
  </si>
  <si>
    <t>GUIMBAL, ILOILO</t>
  </si>
  <si>
    <t xml:space="preserve">ASSAY: Xpert MTB/RIF Ultra, COUNT: 1853
ASSAY: Xpert HIV-1 Viral Load, COUNT: 371
</t>
  </si>
  <si>
    <t>MODULE B3 REPLACEMENT</t>
  </si>
  <si>
    <t>PERFORM MODULE B3 REPLACEMENT:
DEF SN: 210068670
NEW MODULE SN: 210100427</t>
  </si>
  <si>
    <t>https://www.jotform.com/uploads/macarewecare/222927978372067/5721090059606572171/5721090059606572171_signature_28.png</t>
  </si>
  <si>
    <t>Jackie lou encanto</t>
  </si>
  <si>
    <t>https://www.jotform.com/uploads/macarewecare/222927978372067/5721090059606572171/5721090059606572171_signature_31.png</t>
  </si>
  <si>
    <t>Daisy St., Banlat, Tandang Sora , Quezon City</t>
  </si>
  <si>
    <t xml:space="preserve">ASSAY: Xpert MTB/RIF Ultra, COUNT: 1629
ASSAY: Xpert HPV, COUNT: 95
</t>
  </si>
  <si>
    <t>Replaced module A2
654654-&gt;210102176</t>
  </si>
  <si>
    <t>Unit is operarional
All modules working</t>
  </si>
  <si>
    <t>G6326</t>
  </si>
  <si>
    <t>https://www.jotform.com/uploads/macarewecare/222927978372067/5721090065183299973/5721090065183299973_signature_28.png</t>
  </si>
  <si>
    <t>Reyzel marie s. Dulay</t>
  </si>
  <si>
    <t>https://www.jotform.com/uploads/macarewecare/222927978372067/5721090065183299973/5721090065183299973_signature_31.png</t>
  </si>
  <si>
    <t>Bqrcode scanner for replacement</t>
  </si>
  <si>
    <t>Bqrcode scanner replacement</t>
  </si>
  <si>
    <t>Performed preventive maintenance
Performed barcode scanner
Gathered reports
Performed functionality test</t>
  </si>
  <si>
    <t>Barc9de scanner</t>
  </si>
  <si>
    <t>https://www.jotform.com/uploads/macarewecare/222927978372067/5721080727619796247/5721080727619796247_signature_28.png</t>
  </si>
  <si>
    <t>https://www.jotform.com/uploads/macarewecare/222927978372067/5721080727619796247/5721080727619796247_signature_31.png</t>
  </si>
  <si>
    <t xml:space="preserve">ASSAY: Xpert HIV-1 Viral Load, COUNT: 11
ASSAY: Xpert SARS-CoV-2, COUNT: 45
ASSAY: Xpert HBV VL, COUNT: 27
ASSAY: Xpert HCV VL, COUNT: 7
</t>
  </si>
  <si>
    <t>B1 for module replacement</t>
  </si>
  <si>
    <t>https://www.jotform.com/uploads/macarewecare/222927978372067/5721060707619547969/5721060707619547969_signature_28.png</t>
  </si>
  <si>
    <t>https://www.jotform.com/uploads/macarewecare/222927978372067/5721060707619547969/5721060707619547969_signature_31.png</t>
  </si>
  <si>
    <t>Talisay City, Negros Occidental</t>
  </si>
  <si>
    <t>hadmeoffguard@gmail.con</t>
  </si>
  <si>
    <t>Printer USB cable short for current printer location.</t>
  </si>
  <si>
    <t>4 modules operational, printer operational.</t>
  </si>
  <si>
    <t>https://www.jotform.com/uploads/macarewecare/222927978372067/5720558288111768604/5720558288111768604_signature_28.png</t>
  </si>
  <si>
    <t>https://www.jotform.com/uploads/macarewecare/222927978372067/5720558288111768604/5720558288111768604_signature_31.png</t>
  </si>
  <si>
    <t>J.P. Rizal St., Quezon City</t>
  </si>
  <si>
    <t>macnellmalapit@gmail.com</t>
  </si>
  <si>
    <t>19G059SPG</t>
  </si>
  <si>
    <t>Unit due for calibration and maintenance</t>
  </si>
  <si>
    <t>Performed Maintenance and Calibration
Checked programs parameters
Checked rollers ok
Checked and test centrifuge
Checked and adjust dpm and spm pressure to 300mmhg
Checked and  adjust line sensor
Checked and test pinch valve
Checked and test display and buttons
Performed functionality test</t>
  </si>
  <si>
    <t>https://www.jotform.com/uploads/macarewecare/222927978372067/5720424615788144331/5720424615788144331_signature_28.png</t>
  </si>
  <si>
    <t>macnell malapit</t>
  </si>
  <si>
    <t>https://www.jotform.com/uploads/macarewecare/222927978372067/5720424615788144331/5720424615788144331_signature_31.png</t>
  </si>
  <si>
    <t>Gorrodo Ave, Cebu City</t>
  </si>
  <si>
    <t>Gx42</t>
  </si>
  <si>
    <t>Perform xpertcheck</t>
  </si>
  <si>
    <t>Module 1,2,3 passed 4 fail.</t>
  </si>
  <si>
    <t>https://www.jotform.com/uploads/macarewecare/222927978372067/5720282563915517015/5720282563915517015_signature_28.png</t>
  </si>
  <si>
    <t>https://www.jotform.com/uploads/macarewecare/222927978372067/5720282563915517015/5720282563915517015_signature_31.png</t>
  </si>
  <si>
    <t>Talisay CIty Health Unit</t>
  </si>
  <si>
    <t>Talisay</t>
  </si>
  <si>
    <t>Tb Lan</t>
  </si>
  <si>
    <t>Error 2014 and 4009 Module 2</t>
  </si>
  <si>
    <t>Performed maintenance, valve, Icore and plunger</t>
  </si>
  <si>
    <t>Performed maintenance and reset module
Generate data Sys log, IQR, Gxx Files, Assay Statistics</t>
  </si>
  <si>
    <t>All modues are available but Module terminate during running</t>
  </si>
  <si>
    <t>https://www.jotform.com/uploads/macarewecare/222927978372067/5720200811465053571/5720200811465053571_signature_28.png</t>
  </si>
  <si>
    <t>Marydel C. Gella</t>
  </si>
  <si>
    <t>https://www.jotform.com/uploads/macarewecare/222927978372067/5720200811465053571/5720200811465053571_signature_31.png</t>
  </si>
  <si>
    <t xml:space="preserve">ASSAY: Xpert BCR-ABL Ultra, COUNT: 826
ASSAY: Others, COUNT: 23
ASSAY: Xpert HBV VL, COUNT: 564
ASSAY: Xpert HPV, COUNT: 111
ASSAY: Xpert MTB/RIF, COUNT: 1175
ASSAY: Xpert MTB/RIF Ultra, COUNT: 1157
ASSAY: Xpert SARS-CoV-2, COUNT: 14675
ASSAY: Xpert HCV VL, COUNT: 48
ASSAY: Others, COUNT: 9
</t>
  </si>
  <si>
    <t>A1 module unable to detect</t>
  </si>
  <si>
    <t>Checked unit
Checked i.o address ok
Checked and replaced cable
Swap location A1 to A2 but module still underected
Reset gateway board</t>
  </si>
  <si>
    <t>15 module operational A1 undetected</t>
  </si>
  <si>
    <t>https://www.jotform.com/uploads/macarewecare/222927978372067/5719572274212285812/5719572274212285812_signature_28.png</t>
  </si>
  <si>
    <t>https://www.jotform.com/uploads/macarewecare/222927978372067/5719572274212285812/5719572274212285812_signature_31.png</t>
  </si>
  <si>
    <t xml:space="preserve">ASSAY: Xpert BCR-ABL Ultra, COUNT: 821
ASSAY: Others, COUNT: 23
ASSAY: Xpert HBV VL, COUNT: 556
ASSAY: Xpert HPV, COUNT: 111
ASSAY: Xpert MTB/RIF, COUNT: 1175
ASSAY: Xpert MTB/RIF Ultra, COUNT: 1134
ASSAY: Xpert SARS-CoV-2, COUNT: 14672
ASSAY: Xpert HCV VL, COUNT: 47
ASSAY: Others, COUNT: 9
</t>
  </si>
  <si>
    <t>For module replacement b1 669719 - 700023</t>
  </si>
  <si>
    <t>Cleaned unit
Cleaned filter,plunger rod ,cartridge bay,icore
Gathered reports 
Test run unit
Performed module replacement</t>
  </si>
  <si>
    <t>https://www.jotform.com/uploads/macarewecare/222927978372067/5719571274214281297/5719571274214281297_signature_28.png</t>
  </si>
  <si>
    <t>https://www.jotform.com/uploads/macarewecare/222927978372067/5719571274214281297/5719571274214281297_signature_31.png</t>
  </si>
  <si>
    <t>Aurora Grand, 1005 Aurora Blvd, Brgy. Duyan-Duyan, Project 3, QC</t>
  </si>
  <si>
    <t>2UA70329DC</t>
  </si>
  <si>
    <t>Macalelon RHU CPU defective</t>
  </si>
  <si>
    <t>Checked CPU
Upgrade software to 6.5
Run Reliability Test</t>
  </si>
  <si>
    <t>Repair and tested CPU for replacement</t>
  </si>
  <si>
    <t>CPU working</t>
  </si>
  <si>
    <t>https://www.jotform.com/uploads/macarewecare/222927978372067/5717843973616083691/5717843973616083691_signature_28.png</t>
  </si>
  <si>
    <t>https://www.jotform.com/uploads/macarewecare/222927978372067/5717843973616083691/5717843973616083691_signature_31.png</t>
  </si>
  <si>
    <t>kccrisostomo@sehi.ph</t>
  </si>
  <si>
    <t xml:space="preserve">ASSAY: Xpert MTB/RIF Ultra, COUNT: 157
</t>
  </si>
  <si>
    <t>Module 2, 3, and 4- modules H/W failed, Subject for module replacement due to multiple errors</t>
  </si>
  <si>
    <t>Replace module 1 SN 210066469 with new module SN:210082723</t>
  </si>
  <si>
    <t>Genexpert module 10 color SN:210082723</t>
  </si>
  <si>
    <t>DR number: 10502</t>
  </si>
  <si>
    <t>https://www.jotform.com/uploads/macarewecare/222927978372067/5717809269651666145/5717809269651666145_signature_28.png</t>
  </si>
  <si>
    <t>https://www.jotform.com/uploads/macarewecare/222927978372067/5717809269651666145/5717809269651666145_signature_31.png</t>
  </si>
  <si>
    <t>Poblacion Poro Camotes</t>
  </si>
  <si>
    <t xml:space="preserve">ASSAY: Xpert MTB/RIF Ultra, COUNT: 374
</t>
  </si>
  <si>
    <t>Performed calibration, Maintenance, Generate data IQR, Sys log, Assay Stst, Gxx files</t>
  </si>
  <si>
    <t>Module 2 failed and Module 1 Passed.
Unitsnare operational</t>
  </si>
  <si>
    <t>https://www.jotform.com/uploads/macarewecare/222927978372067/5717808537321445885/5717808537321445885_signature_28.png</t>
  </si>
  <si>
    <t>Charmaine A. Apat, RMT</t>
  </si>
  <si>
    <t>https://www.jotform.com/uploads/macarewecare/222927978372067/5717808537321445885/5717808537321445885_signature_31.png</t>
  </si>
  <si>
    <t>St. Elizabeth Hospital Inc .</t>
  </si>
  <si>
    <t xml:space="preserve">ASSAY: Xpert MTB/RIF Ultra, COUNT: 83
</t>
  </si>
  <si>
    <t>Module 3 H/W failed due to multiple errors</t>
  </si>
  <si>
    <t>Module 3 subject for module replacement</t>
  </si>
  <si>
    <t>https://www.jotform.com/uploads/macarewecare/222927978372067/5717806609656343772/5717806609656343772_signature_28.png</t>
  </si>
  <si>
    <t>Norisa Mae A. Perea</t>
  </si>
  <si>
    <t>https://www.jotform.com/uploads/macarewecare/222927978372067/5717806609656343772/5717806609656343772_signature_31.png</t>
  </si>
  <si>
    <t>Rd. 10 West Crame</t>
  </si>
  <si>
    <t xml:space="preserve">ASSAY: Xpert MTB/RIF Ultra, COUNT: 221
</t>
  </si>
  <si>
    <t>Unit is operational. Module B3/682815 failed in XpertCheck.</t>
  </si>
  <si>
    <t>https://www.jotform.com/uploads/macarewecare/222927978372067/5717785595118939231/5717785595118939231_signature_28.png</t>
  </si>
  <si>
    <t>https://www.jotform.com/uploads/macarewecare/222927978372067/5717785595118939231/5717785595118939231_signature_31.png</t>
  </si>
  <si>
    <t>myraestose@gmail.com</t>
  </si>
  <si>
    <t xml:space="preserve">ASSAY: Xpert MTB/RIF, COUNT: 80
ASSAY: Xpert HPV, COUNT: 233
ASSAY: Xpert MTB/RIF Ultra, COUNT: 2894
ASSAY: Xpert HIV-1 Viral Load, COUNT: 81
</t>
  </si>
  <si>
    <t>FOR MODULE A1 CALIBRATION</t>
  </si>
  <si>
    <t>COLLECT IQR, SYSYEM LOG, AND ARCHIVE</t>
  </si>
  <si>
    <t>PERFORM MODULE A1 CALIBRATION, PASSED</t>
  </si>
  <si>
    <t>MODULE B2 PENDING</t>
  </si>
  <si>
    <t>https://www.jotform.com/uploads/macarewecare/222927978372067/5717762743821901033/5717762743821901033_signature_28.png</t>
  </si>
  <si>
    <t>https://www.jotform.com/uploads/macarewecare/222927978372067/5717762743821901033/5717762743821901033_signature_31.png</t>
  </si>
  <si>
    <t xml:space="preserve">ASSAY: Xpert MTB/RIF, COUNT: 96
ASSAY: Xpert HPV, COUNT: 232
ASSAY: Xpert MTB/RIF Ultra, COUNT: 2767
ASSAY: Xpert HIV-1 Viral Load, COUNT: 100
</t>
  </si>
  <si>
    <t>FOR MODULE A4 CALIBRATION</t>
  </si>
  <si>
    <t>PERFORM MODULE A4 CALIBRATION-PASSED</t>
  </si>
  <si>
    <t>https://www.jotform.com/uploads/macarewecare/222927978372067/5717761333828593752/5717761333828593752_signature_28.png</t>
  </si>
  <si>
    <t>https://www.jotform.com/uploads/macarewecare/222927978372067/5717761333828593752/5717761333828593752_signature_31.png</t>
  </si>
  <si>
    <t>Module for Monitoring</t>
  </si>
  <si>
    <t>https://www.jotform.com/uploads/macarewecare/222927978372067/5717752692214032840/5717752692214032840_signature_28.png</t>
  </si>
  <si>
    <t>https://www.jotform.com/uploads/macarewecare/222927978372067/5717752692214032840/5717752692214032840_signature_31.png</t>
  </si>
  <si>
    <t>San Jose Del Monte City Health Center VII</t>
  </si>
  <si>
    <t xml:space="preserve">ASSAY: Xpert MTB/RIF Ultra, COUNT: 3127
ASSAY: Xpert HIV-1 Viral Load, COUNT: 144
</t>
  </si>
  <si>
    <t>Unit is operational.
CPU under observation.</t>
  </si>
  <si>
    <t>https://www.jotform.com/uploads/macarewecare/222927978372067/5717731357611273406/5717731357611273406_signature_28.png</t>
  </si>
  <si>
    <t>https://www.jotform.com/uploads/macarewecare/222927978372067/5717731357611273406/5717731357611273406_signature_31.png</t>
  </si>
  <si>
    <t xml:space="preserve">ASSAY: Xpert MTB/RIF Ultra, COUNT: 2041
</t>
  </si>
  <si>
    <t>GeneXpert Module
SN: 210101970</t>
  </si>
  <si>
    <t>https://www.jotform.com/uploads/macarewecare/222927978372067/5717691847618397602/5717691847618397602_signature_28.png</t>
  </si>
  <si>
    <t>https://www.jotform.com/uploads/macarewecare/222927978372067/5717691847618397602/5717691847618397602_signature_31.png</t>
  </si>
  <si>
    <t>For monitor replacement. Module A4 has error 1001/1002/2014</t>
  </si>
  <si>
    <t>Replaced monitor
Run XpertCheck on module A4</t>
  </si>
  <si>
    <t>Performed maintenance
Replaced defective monitor
Run XpertCheck on module A4
Generated reports</t>
  </si>
  <si>
    <t>Unit is operational. Module A4/879974 passed in XpertCheck, under observation.</t>
  </si>
  <si>
    <t>Old monitor: CNK832243Z
New monitor: H22V5SG81A230601754</t>
  </si>
  <si>
    <t>DR# 10642</t>
  </si>
  <si>
    <t>https://www.jotform.com/uploads/macarewecare/222927978372067/5717665555116889073/5717665555116889073_signature_28.png</t>
  </si>
  <si>
    <t>JENICA ROSE A. ORTIZO</t>
  </si>
  <si>
    <t>https://www.jotform.com/uploads/macarewecare/222927978372067/5717665555116889073/5717665555116889073_signature_31.png</t>
  </si>
  <si>
    <t>- Cleaned Cartridge Bays, Plunger Rods and I-CORE 
- Replaced Defective Module 861757 &gt;&gt;&gt;210100433</t>
  </si>
  <si>
    <t>GeneXpert Module 210100433</t>
  </si>
  <si>
    <t>https://www.jotform.com/uploads/macarewecare/222927978372067/5717649620329788643/5717649620329788643_signature_28.png</t>
  </si>
  <si>
    <t>https://www.jotform.com/uploads/macarewecare/222927978372067/5717649620329788643/5717649620329788643_signature_31.png</t>
  </si>
  <si>
    <t>Amorsolo St.,Makati City</t>
  </si>
  <si>
    <t xml:space="preserve">ASSAY: Xpert BCR-ABL Ultra, COUNT: 113
ASSAY: Xpert C. difficile BT, COUNT: 9
ASSAY: Xpert CT/NG, COUNT: 526
ASSAY: Others, COUNT: 7
ASSAY: Xpert HBV VL, COUNT: 15
ASSAY: Xpert HPV, COUNT: 555
ASSAY: Xpert MTB/RIF Ultra, COUNT: 2057
ASSAY: Others, COUNT: 2
ASSAY: Others, COUNT: 9
ASSAY: Xpert HCV VL, COUNT: 49
ASSAY: Xpert HIV-1 Viral Load, COUNT: 1455
</t>
  </si>
  <si>
    <t>H/Wfailed  Module 2</t>
  </si>
  <si>
    <t>Checked unit
Checked filter ok
Checked room temp ok
Gathered reports
Disabled module 2</t>
  </si>
  <si>
    <t>Module 2 disabled</t>
  </si>
  <si>
    <t>For reporting module 2</t>
  </si>
  <si>
    <t>https://www.jotform.com/uploads/macarewecare/222927978372067/5717620494553605254/5717620494553605254_signature_28.png</t>
  </si>
  <si>
    <t>https://www.jotform.com/uploads/macarewecare/222927978372067/5717620494553605254/5717620494553605254_signature_31.png</t>
  </si>
  <si>
    <t>Dra. Elvira Lagrosa Health Center (Duay)</t>
  </si>
  <si>
    <t>Dolores Hidalgo St., Pasay</t>
  </si>
  <si>
    <t>Module 2 frequent invalid result
GX software slow</t>
  </si>
  <si>
    <t>Performed PM
Upgraded software version: 6.1 to 6.4
Troubleshoot module 2
Run reliability test twice: ok
Performed reagent run: ok
Tried running 2 samples: ok
Generated report</t>
  </si>
  <si>
    <t>Upgraded software version
Troubleshoot module 2</t>
  </si>
  <si>
    <t>Unit is operational
Module 2 for monitoring</t>
  </si>
  <si>
    <t>https://www.jotform.com/uploads/macarewecare/222927978372067/5716981265336259104/5716981265336259104_signature_28.png</t>
  </si>
  <si>
    <t>https://www.jotform.com/uploads/macarewecare/222927978372067/5716981265336259104/5716981265336259104_signature_31.png</t>
  </si>
  <si>
    <t>https://www.jotform.com/uploads/macarewecare/222927978372067/5716980195339086343/5716980195339086343_signature_28.png</t>
  </si>
  <si>
    <t>https://www.jotform.com/uploads/macarewecare/222927978372067/5716980195339086343/5716980195339086343_signature_31.png</t>
  </si>
  <si>
    <t xml:space="preserve">ASSAY: Xpert MTB/RIF Ultra, COUNT: 74
</t>
  </si>
  <si>
    <t>All modules are functional. Module B3 failed XPC.</t>
  </si>
  <si>
    <t>XpertCheck-CE-5</t>
  </si>
  <si>
    <t>https://www.jotform.com/uploads/macarewecare/222927978372067/5716960426618393010/5716960426618393010_signature_28.png</t>
  </si>
  <si>
    <t>Rhea April Jaleco</t>
  </si>
  <si>
    <t>https://www.jotform.com/uploads/macarewecare/222927978372067/5716960426618393010/5716960426618393010_signature_31.png</t>
  </si>
  <si>
    <t xml:space="preserve">ASSAY: Xpert MTB/RIF, COUNT: 119
ASSAY: Xpert MTB/RIF Ultra, COUNT: 4537
ASSAY: Xpert HIV-1 Viral Load, COUNT: 189
</t>
  </si>
  <si>
    <t>-MODULE D2 STUCK CARTRIDGE 
-MODULE D2 ERROR 2016 AND 4004</t>
  </si>
  <si>
    <t>MODULE D2 DISABLED</t>
  </si>
  <si>
    <t>https://www.jotform.com/uploads/macarewecare/222927978372067/5716932063385476670/5716932063385476670_signature_28.png</t>
  </si>
  <si>
    <t>https://www.jotform.com/uploads/macarewecare/222927978372067/5716932063385476670/5716932063385476670_signature_31.png</t>
  </si>
  <si>
    <t>rhodaruthdalugdog@yahoo.com.ph</t>
  </si>
  <si>
    <t xml:space="preserve">ASSAY: Xpert MTB/RIF, COUNT: 20
ASSAY: Xpert MTB/RIF Ultra, COUNT: 1336
</t>
  </si>
  <si>
    <t>Module B3 found service required thru XPC</t>
  </si>
  <si>
    <t>Xpertcheck, CE-IVD 5 Cartridges/Kit</t>
  </si>
  <si>
    <t>https://www.jotform.com/uploads/macarewecare/222927978372067/5716928436681072831/5716928436681072831_signature_28.png</t>
  </si>
  <si>
    <t>https://www.jotform.com/uploads/macarewecare/222927978372067/5716928436681072831/5716928436681072831_signature_31.png</t>
  </si>
  <si>
    <t>North Daang Hari</t>
  </si>
  <si>
    <t xml:space="preserve">ASSAY: Xpert MTB/RIF Ultra, COUNT: 2950
</t>
  </si>
  <si>
    <t>Module A1 has error 1002 module A2 has error 2120/2126</t>
  </si>
  <si>
    <t>Performed maintenance
Checked defective modules
Checked connections of module A2
Generated reports</t>
  </si>
  <si>
    <t>Module A1/661743 and A2/713660 not operational. Modules A4 and A5 operational.</t>
  </si>
  <si>
    <t>https://www.jotform.com/uploads/macarewecare/222927978372067/5716921681814594523/5716921681814594523_signature_28.png</t>
  </si>
  <si>
    <t>Charmaine D. Trinidad</t>
  </si>
  <si>
    <t>https://www.jotform.com/uploads/macarewecare/222927978372067/5716921681814594523/5716921681814594523_signature_31.png</t>
  </si>
  <si>
    <t>Candaba, Pampanga</t>
  </si>
  <si>
    <t xml:space="preserve">ASSAY: Xpert MTB/RIF Ultra, COUNT: 461
</t>
  </si>
  <si>
    <t>https://www.jotform.com/uploads/macarewecare/222927978372067/5716916018503406326/5716916018503406326_signature_28.png</t>
  </si>
  <si>
    <t>Rochelle Ann Lontoc</t>
  </si>
  <si>
    <t>https://www.jotform.com/uploads/macarewecare/222927978372067/5716916018503406326/5716916018503406326_signature_31.png</t>
  </si>
  <si>
    <t>Tungawan rural health unit</t>
  </si>
  <si>
    <t>Tungawan, Zamboanga Sibugay</t>
  </si>
  <si>
    <t>punkypink29@yahoo.com</t>
  </si>
  <si>
    <t>Module 1 and 2 undergone Xpertcheck calibration and Preventive Maintenence. All modules passed</t>
  </si>
  <si>
    <t>Module 1 and 2 undergone Xpertcheck calibration and Preventive Maintenence</t>
  </si>
  <si>
    <t>https://www.jotform.com/uploads/macarewecare/222927978372067/5716904799988166911/5716904799988166911_signature_28.png</t>
  </si>
  <si>
    <t>Love Faith Montilla</t>
  </si>
  <si>
    <t>https://www.jotform.com/uploads/macarewecare/222927978372067/5716904799988166911/5716904799988166911_signature_31.png</t>
  </si>
  <si>
    <t>-Replace defective module B3/914644 with new module SN: 210102196</t>
  </si>
  <si>
    <t>GeneXpert Module 6-colors</t>
  </si>
  <si>
    <t>https://www.jotform.com/uploads/macarewecare/222927978372067/5716888836775626087/5716888836775626087_signature_28.png</t>
  </si>
  <si>
    <t>https://www.jotform.com/uploads/macarewecare/222927978372067/5716888836775626087/5716888836775626087_signature_31.png</t>
  </si>
  <si>
    <t xml:space="preserve">ASSAY: Xpert MTB/RIF Ultra, COUNT: 674
ASSAY: Xpert HPV, COUNT: 482
</t>
  </si>
  <si>
    <t>Stuck cartridge on A2</t>
  </si>
  <si>
    <t>https://www.jotform.com/uploads/macarewecare/222927978372067/5716844244212946587/5716844244212946587_signature_28.png</t>
  </si>
  <si>
    <t>Jesusa Chua</t>
  </si>
  <si>
    <t>https://www.jotform.com/uploads/macarewecare/222927978372067/5716844244212946587/5716844244212946587_signature_31.png</t>
  </si>
  <si>
    <t>National Highway, Tayasan, Negros Oriental</t>
  </si>
  <si>
    <t xml:space="preserve">ASSAY: Xpert MTB/RIF Ultra, COUNT: 545
</t>
  </si>
  <si>
    <t>- Defective module 787973/B1.</t>
  </si>
  <si>
    <t>- Replaced module 787973/B1 with new module with SN 210101910
- Generate Pre- and Post- IQR
- Pullout defective module 787973/B1 for return to Cepheid</t>
  </si>
  <si>
    <t>All 2 modules are operational.</t>
  </si>
  <si>
    <t>https://www.jotform.com/uploads/macarewecare/222927978372067/5716740005963860208/5716740005963860208_signature_28.png</t>
  </si>
  <si>
    <t>https://www.jotform.com/uploads/macarewecare/222927978372067/5716740005963860208/5716740005963860208_signature_31.png</t>
  </si>
  <si>
    <t>mcesplago.pbsp@gmai.com</t>
  </si>
  <si>
    <t>-Module B2/210060753 defective</t>
  </si>
  <si>
    <t>- Module Replacement 
- Install new module in B2 w/ SN 210102177
- Performed Functionality test 
- Performed Preventive maintenance 
- Generate reports 
- Pullout defective module SN/210060753</t>
  </si>
  <si>
    <t>Genexpert Module 6 Color SN/210102177</t>
  </si>
  <si>
    <t>https://www.jotform.com/uploads/macarewecare/222927978372067/5716714503814585884/5716714503814585884_signature_28.png</t>
  </si>
  <si>
    <t>Arabelle Joy Ramos</t>
  </si>
  <si>
    <t>https://www.jotform.com/uploads/macarewecare/222927978372067/5716714503814585884/5716714503814585884_signature_31.png</t>
  </si>
  <si>
    <t>https://www.jotform.com/uploads/macarewecare/222927978372067/5716714123816132510/5716714123816132510_signature_28.png</t>
  </si>
  <si>
    <t>https://www.jotform.com/uploads/macarewecare/222927978372067/5716714123816132510/5716714123816132510_signature_31.png</t>
  </si>
  <si>
    <t xml:space="preserve">ASSAY: Xpert MTB/RIF, COUNT: 52
ASSAY: Xpert MTB/RIF Ultra, COUNT: 1212
</t>
  </si>
  <si>
    <t>Perfomed preventive maintenance
Replaced module A1
Generated report</t>
  </si>
  <si>
    <t>Replaced Module A1
882275 -&gt; 210102193</t>
  </si>
  <si>
    <t>GX Module6C</t>
  </si>
  <si>
    <t>G6652</t>
  </si>
  <si>
    <t>https://www.jotform.com/uploads/macarewecare/222927978372067/5716324567512632670/5716324567512632670_signature_28.png</t>
  </si>
  <si>
    <t>Peter Samonte</t>
  </si>
  <si>
    <t>https://www.jotform.com/uploads/macarewecare/222927978372067/5716324567512632670/5716324567512632670_signature_31.png</t>
  </si>
  <si>
    <t>T&amp;D Village, cor Col P Cruz, St, Taguig, 1637 Kalakhang Maynila</t>
  </si>
  <si>
    <t>dumawalgina20@yahoo.com</t>
  </si>
  <si>
    <t xml:space="preserve">ASSAY: Xpert MTB/RIF Ultra, COUNT: 3013
ASSAY: Xpert HIV-1 Viral Load, COUNT: 2
</t>
  </si>
  <si>
    <t>Performed maintenance
Relocated the GeneXpert to other room
Functionality test
Generated reports</t>
  </si>
  <si>
    <t>https://www.jotform.com/uploads/macarewecare/222927978372067/5716125899502035979/5716125899502035979_signature_28.png</t>
  </si>
  <si>
    <t>Gina B. Dumawal</t>
  </si>
  <si>
    <t>https://www.jotform.com/uploads/macarewecare/222927978372067/5716125899502035979/5716125899502035979_signature_31.png</t>
  </si>
  <si>
    <t xml:space="preserve">ASSAY: Xpert MTB/RIF Ultra, COUNT: 1940
ASSAY: Xpert SARS-CoV-2, COUNT: 63
ASSAY: Xpert HIV-1 Viral Load, COUNT: 249
</t>
  </si>
  <si>
    <t>https://www.jotform.com/uploads/macarewecare/222927978372067/5716085030327398617/5716085030327398617_signature_28.png</t>
  </si>
  <si>
    <t>Kristin Deinielle S. Banaag</t>
  </si>
  <si>
    <t>https://www.jotform.com/uploads/macarewecare/222927978372067/5716085030327398617/5716085030327398617_signature_31.png</t>
  </si>
  <si>
    <t xml:space="preserve">ASSAY: Xpert MTB/RIF Ultra, COUNT: 1505
ASSAY: Xpert SARS-CoV-2, COUNT: 1641
</t>
  </si>
  <si>
    <t>https://www.jotform.com/uploads/macarewecare/222927978372067/5716082820328512335/5716082820328512335_signature_28.png</t>
  </si>
  <si>
    <t>https://www.jotform.com/uploads/macarewecare/222927978372067/5716082820328512335/5716082820328512335_signature_31.png</t>
  </si>
  <si>
    <t>Module B1 recurring Error 2008</t>
  </si>
  <si>
    <t>Performed Troubleshooting and Test Instructions</t>
  </si>
  <si>
    <t>Module B1 for reporting</t>
  </si>
  <si>
    <t>https://www.jotform.com/uploads/macarewecare/222927978372067/5716077280328175333/5716077280328175333_signature_28.png</t>
  </si>
  <si>
    <t>https://www.jotform.com/uploads/macarewecare/222927978372067/5716077280328175333/5716077280328175333_signature_31.png</t>
  </si>
  <si>
    <t>Poblacion, Bayugan City</t>
  </si>
  <si>
    <t xml:space="preserve">ASSAY: Xpert MTB/RIF, COUNT: 1
ASSAY: Xpert MTB/RIF Ultra, COUNT: 2383
</t>
  </si>
  <si>
    <t>Module B3 cant be run through XPC</t>
  </si>
  <si>
    <t>3 modules working, 1 module for observation (B1), 1 module for replacement</t>
  </si>
  <si>
    <t>https://www.jotform.com/uploads/macarewecare/222927978372067/5716057496225825305/5716057496225825305_signature_28.png</t>
  </si>
  <si>
    <t>https://www.jotform.com/uploads/macarewecare/222927978372067/5716057496225825305/5716057496225825305_signature_31.png</t>
  </si>
  <si>
    <t xml:space="preserve">ASSAY: Xpert MTB/RIF Ultra, COUNT: 1454
</t>
  </si>
  <si>
    <t>Perform Calibration and Preventive Maintenance</t>
  </si>
  <si>
    <t>Module B1 for Service Required
Modules B2, B3 and B4 Passed ghe Calibration</t>
  </si>
  <si>
    <t>High Room Temperature, Enduser is advice to have better cooling to achieve the optimal room temperature for GeneXpert.</t>
  </si>
  <si>
    <t>Xpertcheck CE - 5</t>
  </si>
  <si>
    <t>DR 10442</t>
  </si>
  <si>
    <t>https://www.jotform.com/uploads/macarewecare/222927978372067/5716055219028042877/5716055219028042877_signature_28.png</t>
  </si>
  <si>
    <t>https://www.jotform.com/uploads/macarewecare/222927978372067/5716055219028042877/5716055219028042877_signature_31.png</t>
  </si>
  <si>
    <t xml:space="preserve">ASSAY: Xpert MTB/RIF Ultra, COUNT: 2509
</t>
  </si>
  <si>
    <t>Replaced A3, A4</t>
  </si>
  <si>
    <t>GeneXpert Module
SN: 210101792, 210102029</t>
  </si>
  <si>
    <t>https://www.jotform.com/uploads/macarewecare/222927978372067/5716035001627123407/5716035001627123407_signature_28.png</t>
  </si>
  <si>
    <t>https://www.jotform.com/uploads/macarewecare/222927978372067/5716035001627123407/5716035001627123407_signature_31.png</t>
  </si>
  <si>
    <t>Don Juan St., Legazpi City</t>
  </si>
  <si>
    <t>armenaemmanuel@gmail.com</t>
  </si>
  <si>
    <t xml:space="preserve">ASSAY: Xpert BCR-ABL Ultra, COUNT: 10
ASSAY: Xpert CT/NG, COUNT: 3
ASSAY: Xpert HIV-1 Viral Load, COUNT: 118
ASSAY: Xpert MTB/RIF Ultra, COUNT: 118
ASSAY: Others, COUNT: 14
</t>
  </si>
  <si>
    <t>Cleaned cartridge bays, plunger rod, icore, fan filter
Generate Reports</t>
  </si>
  <si>
    <t>https://www.jotform.com/uploads/macarewecare/222927978372067/5716026337813794060/5716026337813794060_signature_28.png</t>
  </si>
  <si>
    <t>Emmanuel M Armena</t>
  </si>
  <si>
    <t>https://www.jotform.com/uploads/macarewecare/222927978372067/5716026337813794060/5716026337813794060_signature_31.png</t>
  </si>
  <si>
    <t xml:space="preserve">ASSAY: Xpert MTB/RIF Ultra, COUNT: 790
</t>
  </si>
  <si>
    <t>Module B2 and Be has error 1001/1002</t>
  </si>
  <si>
    <t>Checked module B2 and B3</t>
  </si>
  <si>
    <t>Performed maintenance
Checked module B2 and B3
Generated reports</t>
  </si>
  <si>
    <t>Unit is operational. Module B2/861632 and B3/861628 not operational.</t>
  </si>
  <si>
    <t>https://www.jotform.com/uploads/macarewecare/222927978372067/5716015409503921356/5716015409503921356_signature_28.png</t>
  </si>
  <si>
    <t>https://www.jotform.com/uploads/macarewecare/222927978372067/5716015409503921356/5716015409503921356_signature_31.png</t>
  </si>
  <si>
    <t xml:space="preserve">ASSAY: Xpert MTB/RIF Ultra, COUNT: 711
ASSAY: Xpert HIV-1 Viral Load, COUNT: 3
</t>
  </si>
  <si>
    <t>GX-IV-D-6C (2 MODULES)</t>
  </si>
  <si>
    <t>https://www.jotform.com/uploads/macarewecare/222927978372067/5716014829508989977/5716014829508989977_signature_28.png</t>
  </si>
  <si>
    <t>https://www.jotform.com/uploads/macarewecare/222927978372067/5716014829508989977/5716014829508989977_signature_31.png</t>
  </si>
  <si>
    <t xml:space="preserve">ASSAY: Xpert MTB/RIF Ultra, COUNT: 2259
</t>
  </si>
  <si>
    <t>A2 for re-xpertcheck temperature error</t>
  </si>
  <si>
    <t>https://www.jotform.com/uploads/macarewecare/222927978372067/5716000441814837665/5716000441814837665_signature_28.png</t>
  </si>
  <si>
    <t>https://www.jotform.com/uploads/macarewecare/222927978372067/5716000441814837665/5716000441814837665_signature_31.png</t>
  </si>
  <si>
    <t>Sta Rosa Olango Island Lapulapu City</t>
  </si>
  <si>
    <t>Due for Maintenance, activate code,
Clean Icore, Valve, plunger</t>
  </si>
  <si>
    <t>Performed maintenance, activate code</t>
  </si>
  <si>
    <t>Performed maintenance, generate data, IQR and sys log</t>
  </si>
  <si>
    <t>https://www.jotform.com/uploads/macarewecare/222927978372067/5715980341218278235/5715980341218278235_signature_28.png</t>
  </si>
  <si>
    <t>Ariston Tumulak</t>
  </si>
  <si>
    <t>https://www.jotform.com/uploads/macarewecare/222927978372067/5715980341218278235/5715980341218278235_signature_31.png</t>
  </si>
  <si>
    <t>President Diosdado Macapagal District Hospital</t>
  </si>
  <si>
    <t>Tobias Fornier, Antique</t>
  </si>
  <si>
    <t>nerielserapion@gmail.com</t>
  </si>
  <si>
    <t xml:space="preserve">ASSAY: Xpert MTB/RIF Ultra, COUNT: 281
</t>
  </si>
  <si>
    <t>-Preventive Maintenance
-Archive tests since May 2023
-Install XpertCheck version 1.5a</t>
  </si>
  <si>
    <t>All two modules are functional.</t>
  </si>
  <si>
    <t>https://www.jotform.com/uploads/macarewecare/222927978372067/5715977450617292920/5715977450617292920_signature_28.png</t>
  </si>
  <si>
    <t>Neriel Serapion</t>
  </si>
  <si>
    <t>https://www.jotform.com/uploads/macarewecare/222927978372067/5715977450617292920/5715977450617292920_signature_31.png</t>
  </si>
  <si>
    <t>Calubian,  Leyte</t>
  </si>
  <si>
    <t>Module B1 and B4 for service required</t>
  </si>
  <si>
    <t>Xpertcheck Calibration</t>
  </si>
  <si>
    <t>https://www.jotform.com/uploads/macarewecare/222927978372067/5715966466716988094/5715966466716988094_signature_28.png</t>
  </si>
  <si>
    <t>https://www.jotform.com/uploads/macarewecare/222927978372067/5715966466716988094/5715966466716988094_signature_31.png</t>
  </si>
  <si>
    <t>San Remegio RHU</t>
  </si>
  <si>
    <t>San Remegio, Cebu City</t>
  </si>
  <si>
    <t>Defective module b3 sn 910902</t>
  </si>
  <si>
    <t>Install new module sn 210102232, clean fan filter</t>
  </si>
  <si>
    <t>Install new module sn 210102232</t>
  </si>
  <si>
    <t>System operational</t>
  </si>
  <si>
    <t>https://www.jotform.com/uploads/macarewecare/222927978372067/5715954165469646391/5715954165469646391_signature_28.png</t>
  </si>
  <si>
    <t>https://www.jotform.com/uploads/macarewecare/222927978372067/5715954165469646391/5715954165469646391_signature_31.png</t>
  </si>
  <si>
    <t>Old monitor: CNK83224MZ
New monitor: H22V5SG81A230601873</t>
  </si>
  <si>
    <t>DR# 10635</t>
  </si>
  <si>
    <t>https://www.jotform.com/uploads/macarewecare/222927978372067/5715928407995158543/5715928407995158543_signature_28.png</t>
  </si>
  <si>
    <t>Ghemyer Hope M. Jimenez</t>
  </si>
  <si>
    <t>https://www.jotform.com/uploads/macarewecare/222927978372067/5715928407995158543/5715928407995158543_signature_31.png</t>
  </si>
  <si>
    <t>Seminary Rd., Bahay Torro, EDSA, Quezon city</t>
  </si>
  <si>
    <t>MAINTENANCE
Gathered Data</t>
  </si>
  <si>
    <t xml:space="preserve">ASSAY: Xpert CT/NG, COUNT: 1
ASSAY: Xpert HIV-1 Viral Load, COUNT: 1
</t>
  </si>
  <si>
    <t>OS version and Hard drive details needed by city hall</t>
  </si>
  <si>
    <t>Performed PM
Gathered data
Generated report</t>
  </si>
  <si>
    <t>Gathered needed data</t>
  </si>
  <si>
    <t>https://www.jotform.com/uploads/macarewecare/222927978372067/5715892865121496359/5715892865121496359_signature_28.png</t>
  </si>
  <si>
    <t>Elena G. Ventura, RMT</t>
  </si>
  <si>
    <t>https://www.jotform.com/uploads/macarewecare/222927978372067/5715892865121496359/5715892865121496359_signature_31.png</t>
  </si>
  <si>
    <t xml:space="preserve">ASSAY: Xpert HPV, COUNT: 62
ASSAY: Xpert MTB/RIF Ultra, COUNT: 1728
</t>
  </si>
  <si>
    <t>GX module B2 (210102146) in replacement to defective B2 (634856).</t>
  </si>
  <si>
    <t>G6305</t>
  </si>
  <si>
    <t>https://www.jotform.com/uploads/macarewecare/222927978372067/5715887686814827134/5715887686814827134_signature_28.png</t>
  </si>
  <si>
    <t>https://www.jotform.com/uploads/macarewecare/222927978372067/5715887686814827134/5715887686814827134_signature_31.png</t>
  </si>
  <si>
    <t xml:space="preserve">ASSAY: Xpert MTB/RIF, COUNT: 346
ASSAY: Xpert MTB/RIF Ultra, COUNT: 964
ASSAY: Xpert HIV-1 Viral Load, COUNT: 167
</t>
  </si>
  <si>
    <t>GXIV-2</t>
  </si>
  <si>
    <t>https://www.jotform.com/uploads/macarewecare/222927978372067/5715842811818316332/5715842811818316332_signature_28.png</t>
  </si>
  <si>
    <t>https://www.jotform.com/uploads/macarewecare/222927978372067/5715842811818316332/5715842811818316332_signature_31.png</t>
  </si>
  <si>
    <t>https://www.jotform.com/uploads/macarewecare/222927978372067/5715834721816917071/5715834721816917071_signature_28.png</t>
  </si>
  <si>
    <t>https://www.jotform.com/uploads/macarewecare/222927978372067/5715834721816917071/5715834721816917071_signature_31.png</t>
  </si>
  <si>
    <t>Eastern Visayas Regional Medical</t>
  </si>
  <si>
    <t>Module B4 keep booting/reset</t>
  </si>
  <si>
    <t>https://www.jotform.com/uploads/macarewecare/222927978372067/5715809571316719760/5715809571316719760_signature_28.png</t>
  </si>
  <si>
    <t>SHIRLYN C.ZAMORAS</t>
  </si>
  <si>
    <t>https://www.jotform.com/uploads/macarewecare/222927978372067/5715809571316719760/5715809571316719760_signature_31.png</t>
  </si>
  <si>
    <t>East Rembo Health Center</t>
  </si>
  <si>
    <t>23rd Ave., Taguig, Metro Manila</t>
  </si>
  <si>
    <t>rtmendros@gmail.com</t>
  </si>
  <si>
    <t xml:space="preserve">ASSAY: Xpert MTB/RIF, COUNT: 420
ASSAY: Xpert MTB/RIF Ultra, COUNT: 1666
</t>
  </si>
  <si>
    <t>GX machine for packing</t>
  </si>
  <si>
    <t>Performed PM
Archived and purge all reports
Saved all files to USB
Packed GX and accessories
Generated report</t>
  </si>
  <si>
    <t>Packed GX machine and all its accessories</t>
  </si>
  <si>
    <t>https://www.jotform.com/uploads/macarewecare/222927978372067/5715436167518897523/5715436167518897523_signature_28.png</t>
  </si>
  <si>
    <t>Roxan T. Mendros</t>
  </si>
  <si>
    <t>https://www.jotform.com/uploads/macarewecare/222927978372067/5715436167518897523/5715436167518897523_signature_31.png</t>
  </si>
  <si>
    <t>jan.sky1623@gmail.com</t>
  </si>
  <si>
    <t xml:space="preserve">ASSAY: Xpert HBV VL, COUNT: 3
ASSAY: Xpert MTB/RIF Ultra, COUNT: 2525
ASSAY: Xpert HCV VL, COUNT: 2
ASSAY: Xpert HIV-1 Viral Load, COUNT: 21
</t>
  </si>
  <si>
    <t>Xpertcheck
Preventive maintenace</t>
  </si>
  <si>
    <t>Performed surface cleaning
Performed cleaning of cartridge bay,icore,plunger rod and filter
Performed calibration 
Generate reports
Archived test results
Performed functionality test</t>
  </si>
  <si>
    <t>Unit is opertional</t>
  </si>
  <si>
    <t>https://www.jotform.com/uploads/macarewecare/222927978372067/5715251044344093242/5715251044344093242_signature_28.png</t>
  </si>
  <si>
    <t>Janice Condes</t>
  </si>
  <si>
    <t>https://www.jotform.com/uploads/macarewecare/222927978372067/5715251044344093242/5715251044344093242_signature_31.png</t>
  </si>
  <si>
    <t>J.P. Rizal Ext., Makati, Metro Manila</t>
  </si>
  <si>
    <t xml:space="preserve">ASSAY: Xpert MTB/RIF Ultra, COUNT: 1179
</t>
  </si>
  <si>
    <t>Machine for pack up</t>
  </si>
  <si>
    <t>Performed PM
Archived and purged results
Saved all files to USB
Generated report</t>
  </si>
  <si>
    <t>Packed up GX and all accessories</t>
  </si>
  <si>
    <t>https://www.jotform.com/uploads/macarewecare/222927978372067/5715235457453668008/5715235457453668008_signature_28.png</t>
  </si>
  <si>
    <t>https://www.jotform.com/uploads/macarewecare/222927978372067/5715235457453668008/5715235457453668008_signature_31.png</t>
  </si>
  <si>
    <t>Municipality of Hinigaran</t>
  </si>
  <si>
    <t>Pulled out the old module for B3 with SN 609119. Save IQR file before and after replacement.</t>
  </si>
  <si>
    <t>Installed the new module for A3 with SN 210102147</t>
  </si>
  <si>
    <t>All modules are in good conditions.</t>
  </si>
  <si>
    <t>https://www.jotform.com/uploads/macarewecare/222927978372067/5715199209915496934/5715199209915496934_signature_28.png</t>
  </si>
  <si>
    <t>Mary Flor Feliprada</t>
  </si>
  <si>
    <t>https://www.jotform.com/uploads/macarewecare/222927978372067/5715199209915496934/5715199209915496934_signature_31.png</t>
  </si>
  <si>
    <t>https://www.jotform.com/uploads/macarewecare/222927978372067/5715182970391220254/5715182970391220254_signature_28.png</t>
  </si>
  <si>
    <t>Oscar Delano Salazar IV</t>
  </si>
  <si>
    <t>https://www.jotform.com/uploads/macarewecare/222927978372067/5715182970391220254/5715182970391220254_signature_31.png</t>
  </si>
  <si>
    <t>-Replace defective module B2/861117 with new module SN: 892457
-Replace defective module B4/861168 with new module SN: 790369</t>
  </si>
  <si>
    <t>GeneXper Module 6-Colors</t>
  </si>
  <si>
    <t>10542, 10543</t>
  </si>
  <si>
    <t>https://www.jotform.com/uploads/macarewecare/222927978372067/5715182970391752165/5715182970391752165_signature_28.png</t>
  </si>
  <si>
    <t>https://www.jotform.com/uploads/macarewecare/222927978372067/5715182970391752165/5715182970391752165_signature_31.png</t>
  </si>
  <si>
    <t>A2 for re-xpertcheck</t>
  </si>
  <si>
    <t>A2 failed xpertcheck</t>
  </si>
  <si>
    <t>https://www.jotform.com/uploads/macarewecare/222927978372067/5715174836425923821/5715174836425923821_signature_28.png</t>
  </si>
  <si>
    <t>https://www.jotform.com/uploads/macarewecare/222927978372067/5715174836425923821/5715174836425923821_signature_31.png</t>
  </si>
  <si>
    <t>Valladolid, Carcar Poblacion</t>
  </si>
  <si>
    <t>abellana.jilliannadine@gmail.com</t>
  </si>
  <si>
    <t>Error 2008 module 1 started on  8-04-2023</t>
  </si>
  <si>
    <t>Conduct preventive maintenance,  generate data,
Orient end user for proper sample processing</t>
  </si>
  <si>
    <t>Clean up plunger, Icore, Valve, conduct self test
Generate IQR, Sys log, Assay Statistics, Gxx files</t>
  </si>
  <si>
    <t>https://www.jotform.com/uploads/macarewecare/222927978372067/5715053480511245717/5715053480511245717_signature_28.png</t>
  </si>
  <si>
    <t>JILLIAN NADINE ABELLANA</t>
  </si>
  <si>
    <t>https://www.jotform.com/uploads/macarewecare/222927978372067/5715053480511245717/5715053480511245717_signature_31.png</t>
  </si>
  <si>
    <t>GXIV-D-10-C</t>
  </si>
  <si>
    <t>Modules 2 and 4 Failed in XpertCheck</t>
  </si>
  <si>
    <t>Replaced Modules 2 and 4
Generate Reports
Performed Self-Test</t>
  </si>
  <si>
    <t>DR 10679</t>
  </si>
  <si>
    <t>https://www.jotform.com/uploads/macarewecare/222927978372067/5715038903533716356/5715038903533716356_signature_28.png</t>
  </si>
  <si>
    <t>https://www.jotform.com/uploads/macarewecare/222927978372067/5715038903533716356/5715038903533716356_signature_31.png</t>
  </si>
  <si>
    <t>bogocholab@yahoo.com</t>
  </si>
  <si>
    <t>UPS installation</t>
  </si>
  <si>
    <t>Install UPS with new serial number 120423</t>
  </si>
  <si>
    <t>Install UPS</t>
  </si>
  <si>
    <t>All are functional</t>
  </si>
  <si>
    <t>https://www.jotform.com/uploads/macarewecare/222927978372067/5714335613911166628/5714335613911166628_signature_28.png</t>
  </si>
  <si>
    <t>Rege</t>
  </si>
  <si>
    <t>https://www.jotform.com/uploads/macarewecare/222927978372067/5714335613911166628/5714335613911166628_signature_31.png</t>
  </si>
  <si>
    <t xml:space="preserve">ASSAY: Xpert MTB/RIF Ultra, COUNT: 4441
ASSAY: Xpert SARS-CoV-2, COUNT: 3961
</t>
  </si>
  <si>
    <t>For module replacement B3 210070829 - 210102258</t>
  </si>
  <si>
    <t>Performed module replacement
Cleaned filter,cartridge bay,plunger rod,icore
Gathered reports
Test run unit</t>
  </si>
  <si>
    <t>9000491RS</t>
  </si>
  <si>
    <t>G6300</t>
  </si>
  <si>
    <t>https://www.jotform.com/uploads/macarewecare/222927978372067/5713548662609265535/5713548662609265535_signature_28.png</t>
  </si>
  <si>
    <t>https://www.jotform.com/uploads/macarewecare/222927978372067/5713548662609265535/5713548662609265535_signature_31.png</t>
  </si>
  <si>
    <t xml:space="preserve">ASSAY: Xpert BCR-ABL Ultra, COUNT: 804
ASSAY: Others, COUNT: 23
ASSAY: Xpert HBV VL, COUNT: 532
ASSAY: Xpert HPV, COUNT: 111
ASSAY: Xpert MTB/RIF, COUNT: 1175
ASSAY: Xpert MTB/RIF Ultra, COUNT: 1078
ASSAY: Xpert SARS-CoV-2, COUNT: 14655
ASSAY: Xpert HCV VL, COUNT: 47
</t>
  </si>
  <si>
    <t>For module replacement A1 210029613 - 620546 B2 700412 - 685498 B4 636241 - 686979 C2 210028938 - 801983</t>
  </si>
  <si>
    <t>Performed module replacement,
Cleaned filter,plunger,cartridge bay</t>
  </si>
  <si>
    <t>15 module operational B1 waiting for module arrival</t>
  </si>
  <si>
    <t>900 - 0491rs</t>
  </si>
  <si>
    <t>https://www.jotform.com/uploads/macarewecare/222927978372067/5713519482604397498/5713519482604397498_signature_28.png</t>
  </si>
  <si>
    <t>https://www.jotform.com/uploads/macarewecare/222927978372067/5713519482604397498/5713519482604397498_signature_31.png</t>
  </si>
  <si>
    <t>CPU for further troubleshooting</t>
  </si>
  <si>
    <t>https://www.jotform.com/uploads/macarewecare/222927978372067/5711971670117082523/5711971670117082523_signature_28.png</t>
  </si>
  <si>
    <t>Justine Joy Hernandez</t>
  </si>
  <si>
    <t>https://www.jotform.com/uploads/macarewecare/222927978372067/5711971670117082523/5711971670117082523_signature_31.png</t>
  </si>
  <si>
    <t>https://www.jotform.com/uploads/macarewecare/222927978372067/5711971260112957756/5711971260112957756_signature_28.png</t>
  </si>
  <si>
    <t>https://www.jotform.com/uploads/macarewecare/222927978372067/5711971260112957756/5711971260112957756_signature_31.png</t>
  </si>
  <si>
    <t>4 modules passed Xpertcheck</t>
  </si>
  <si>
    <t>https://www.jotform.com/uploads/macarewecare/222927978372067/5711611784612785299/5711611784612785299_signature_28.png</t>
  </si>
  <si>
    <t>Beulah V.Agravante</t>
  </si>
  <si>
    <t>https://www.jotform.com/uploads/macarewecare/222927978372067/5711611784612785299/5711611784612785299_signature_31.png</t>
  </si>
  <si>
    <t>Kawayan Rural Health Unit</t>
  </si>
  <si>
    <t>Kawayan, Biliran</t>
  </si>
  <si>
    <t>clytiebernadas@yahoo.com</t>
  </si>
  <si>
    <t>Xpertcheck Cartridge</t>
  </si>
  <si>
    <t>https://www.jotform.com/uploads/macarewecare/222927978372067/5711579137435742017/5711579137435742017_signature_28.png</t>
  </si>
  <si>
    <t>Clytie Bernadas</t>
  </si>
  <si>
    <t>https://www.jotform.com/uploads/macarewecare/222927978372067/5711579137435742017/5711579137435742017_signature_31.png</t>
  </si>
  <si>
    <t>Caibiran, Biliran</t>
  </si>
  <si>
    <t>PBSB</t>
  </si>
  <si>
    <t>https://www.jotform.com/uploads/macarewecare/222927978372067/5711578157435446533/5711578157435446533_signature_28.png</t>
  </si>
  <si>
    <t>Edna Letran</t>
  </si>
  <si>
    <t>https://www.jotform.com/uploads/macarewecare/222927978372067/5711578157435446533/5711578157435446533_signature_31.png</t>
  </si>
  <si>
    <t>https://www.jotform.com/uploads/macarewecare/222927978372067/5711577617436445015/5711577617436445015_signature_28.png</t>
  </si>
  <si>
    <t>https://www.jotform.com/uploads/macarewecare/222927978372067/5711577617436445015/5711577617436445015_signature_31.png</t>
  </si>
  <si>
    <t xml:space="preserve">ASSAY: Xpert MTB/RIF, COUNT: 97
ASSAY: Xpert MTB/RIF Ultra, COUNT: 1221
</t>
  </si>
  <si>
    <t>Module B1, B4 defective</t>
  </si>
  <si>
    <t>Unit is Operational (B1, B4 waiting for module replacement)</t>
  </si>
  <si>
    <t>https://www.jotform.com/uploads/macarewecare/222927978372067/5711574500899026151/5711574500899026151_signature_28.png</t>
  </si>
  <si>
    <t>Martee  Tingzon</t>
  </si>
  <si>
    <t>https://www.jotform.com/uploads/macarewecare/222927978372067/5711574500899026151/5711574500899026151_signature_31.png</t>
  </si>
  <si>
    <t>Dr. M. Icasiano Health Center</t>
  </si>
  <si>
    <t>1806 Pedro Gil St., Paco, Manila</t>
  </si>
  <si>
    <t xml:space="preserve">ASSAY: Others, COUNT: 4
</t>
  </si>
  <si>
    <t>CPU for replacment</t>
  </si>
  <si>
    <t>Performed PM
Archived reports
Installed new CPU
Setup configuration
Installed printer driver
Run sample
Generated report</t>
  </si>
  <si>
    <t>Replaced CPU
2UA8471W40 -&gt; CPH1119F03925</t>
  </si>
  <si>
    <t>Unit is operational
4 modules working</t>
  </si>
  <si>
    <t>DR 10665</t>
  </si>
  <si>
    <t>https://www.jotform.com/uploads/macarewecare/222927978372067/5710912792422885111/5710912792422885111_signature_28.png</t>
  </si>
  <si>
    <t>Lorraine Lucila L Fabros</t>
  </si>
  <si>
    <t>https://www.jotform.com/uploads/macarewecare/222927978372067/5710912792422885111/5710912792422885111_signature_31.png</t>
  </si>
  <si>
    <t>General Tinio, Nueva Ecija</t>
  </si>
  <si>
    <t>Gathered Gxx file</t>
  </si>
  <si>
    <t>Module 3 for observation</t>
  </si>
  <si>
    <t>https://www.jotform.com/uploads/macarewecare/222927978372067/5710902818128801896/5710902818128801896_signature_28.png</t>
  </si>
  <si>
    <t>Jadelyn Pajarillaga</t>
  </si>
  <si>
    <t>https://www.jotform.com/uploads/macarewecare/222927978372067/5710902818128801896/5710902818128801896_signature_31.png</t>
  </si>
  <si>
    <t>Bagong Silang Ph.2 Health Center</t>
  </si>
  <si>
    <t xml:space="preserve">ASSAY: Xpert MTB/RIF Ultra, COUNT: 987
</t>
  </si>
  <si>
    <t>Modules A1, A2, A3 for replacement</t>
  </si>
  <si>
    <t>Performed re XpertCheck on A1, A2, A3</t>
  </si>
  <si>
    <t>Unit is operational.
A1: passed
A2: passed
A3: service required</t>
  </si>
  <si>
    <t>https://www.jotform.com/uploads/macarewecare/222927978372067/5710864959151228876/5710864959151228876_signature_28.png</t>
  </si>
  <si>
    <t>https://www.jotform.com/uploads/macarewecare/222927978372067/5710864959151228876/5710864959151228876_signature_31.png</t>
  </si>
  <si>
    <t xml:space="preserve">ASSAY: Xpert MTB/RIF Ultra, COUNT: 623
</t>
  </si>
  <si>
    <t>CPU shutting down</t>
  </si>
  <si>
    <t>Performed maintenance
Checked connections
Checked UPS and backup
Generated reports</t>
  </si>
  <si>
    <t>https://www.jotform.com/uploads/macarewecare/222927978372067/5710849948121146551/5710849948121146551_signature_28.png</t>
  </si>
  <si>
    <t>Genma Ponce</t>
  </si>
  <si>
    <t>https://www.jotform.com/uploads/macarewecare/222927978372067/5710849948121146551/5710849948121146551_signature_31.png</t>
  </si>
  <si>
    <t>Module A4 - H/W Fail</t>
  </si>
  <si>
    <t>https://www.jotform.com/uploads/macarewecare/222927978372067/5710840756378842551/5710840756378842551_signature_28.png</t>
  </si>
  <si>
    <t>https://www.jotform.com/uploads/macarewecare/222927978372067/5710840756378842551/5710840756378842551_signature_31.png</t>
  </si>
  <si>
    <t xml:space="preserve">ASSAY: Xpert MTB/RIF, COUNT: 50
ASSAY: Xpert MTB/RIF Ultra, COUNT: 1417
</t>
  </si>
  <si>
    <t>Stuck Cartridge, and For Preventive Maintenance</t>
  </si>
  <si>
    <t>Removal the stuck cartridge, Clean Surface Area, Cartridge Bay bay, Fan Filters and Icore Lenses.
Generate IQR, Assay Stat, and System Log</t>
  </si>
  <si>
    <t>Module Troubleshooting and Perform Preventive Maintenance</t>
  </si>
  <si>
    <t>https://www.jotform.com/uploads/macarewecare/222927978372067/5710836536714351655/5710836536714351655_signature_28.png</t>
  </si>
  <si>
    <t>Lea Buelis, RMT</t>
  </si>
  <si>
    <t>https://www.jotform.com/uploads/macarewecare/222927978372067/5710836536714351655/5710836536714351655_signature_31.png</t>
  </si>
  <si>
    <t>Perform Genexpert machine annual Xpertcheck/Calibration</t>
  </si>
  <si>
    <t>All module passed the annual Calibration/Xpertcheck</t>
  </si>
  <si>
    <t>Xpertcheck CE-5 cartridge/kits</t>
  </si>
  <si>
    <t>DR no.: 10405</t>
  </si>
  <si>
    <t>https://www.jotform.com/uploads/macarewecare/222927978372067/5710813774917721012/5710813774917721012_signature_28.png</t>
  </si>
  <si>
    <t>Rolan Coloma</t>
  </si>
  <si>
    <t>https://www.jotform.com/uploads/macarewecare/222927978372067/5710813774917721012/5710813774917721012_signature_31.png</t>
  </si>
  <si>
    <t>Preventive Maintenance (optics cleaning, module bay cleaning, filter cleaning)</t>
  </si>
  <si>
    <t>- Install new UPS (model RPT-2000AP) and AVR (model ATR-5000 Pro)
- Functionality testing</t>
  </si>
  <si>
    <t>https://www.jotform.com/uploads/macarewecare/222927978372067/5710782537126229096/5710782537126229096_signature_28.png</t>
  </si>
  <si>
    <t>Hadney P. Besa</t>
  </si>
  <si>
    <t>https://www.jotform.com/uploads/macarewecare/222927978372067/5710782537126229096/5710782537126229096_signature_31.png</t>
  </si>
  <si>
    <t>Pio Valenzuela St.</t>
  </si>
  <si>
    <t>rhustacruz2@gmail.com</t>
  </si>
  <si>
    <t>Unit is operational. Module D2/722095 not operational, for reporting.</t>
  </si>
  <si>
    <t>Old monitor: CNK831071H
New monitor: H22V5SG81A230602173</t>
  </si>
  <si>
    <t>DR# 10641</t>
  </si>
  <si>
    <t>https://www.jotform.com/uploads/macarewecare/222927978372067/5710773798125898180/5710773798125898180_signature_28.png</t>
  </si>
  <si>
    <t>Evelyn T. RAMOS</t>
  </si>
  <si>
    <t>https://www.jotform.com/uploads/macarewecare/222927978372067/5710773798125898180/5710773798125898180_signature_31.png</t>
  </si>
  <si>
    <t>Caloocan City Quality Assurance RTDL</t>
  </si>
  <si>
    <t>crissyname@gmail.com</t>
  </si>
  <si>
    <t xml:space="preserve">ASSAY: Xpert MTB/RIF Ultra, COUNT: 3112
ASSAY: Xpert HIV-1 Viral Load, COUNT: 529
</t>
  </si>
  <si>
    <t>CPU problem for additional troubleshooting from cepheid</t>
  </si>
  <si>
    <t>Performed additional troubleshooting
Problem still persists
CPU for reporting
Generated report</t>
  </si>
  <si>
    <t>GX operational
CPU not working</t>
  </si>
  <si>
    <t>https://www.jotform.com/uploads/macarewecare/222927978372067/5710726262511009503/5710726262511009503_signature_28.png</t>
  </si>
  <si>
    <t>https://www.jotform.com/uploads/macarewecare/222927978372067/5710726262511009503/5710726262511009503_signature_31.png</t>
  </si>
  <si>
    <t xml:space="preserve">ASSAY: Xpert MTB/RIF Ultra, COUNT: 945
</t>
  </si>
  <si>
    <t>For reporting to Cepheid</t>
  </si>
  <si>
    <t>https://www.jotform.com/uploads/macarewecare/222927978372067/5710657906019332148/5710657906019332148_signature_28.png</t>
  </si>
  <si>
    <t>https://www.jotform.com/uploads/macarewecare/222927978372067/5710657906019332148/5710657906019332148_signature_31.png</t>
  </si>
  <si>
    <t>Lamion, datu halun sakilan Memorial hospital</t>
  </si>
  <si>
    <t>dhsmhmolecularlaboratory@gmail.com</t>
  </si>
  <si>
    <t>Module 1 hardware failed and disabled for xpertcheck calibration</t>
  </si>
  <si>
    <t>Module 2, 3 and 4 undergone Xpertcheck. While module 1 undergone documentation for its status.</t>
  </si>
  <si>
    <t>Troubleshoot module 1 for its disabled state during xpertcheck calibration</t>
  </si>
  <si>
    <t>Module1 hardware failed and unable to conduct xpertcheck in the said module.</t>
  </si>
  <si>
    <t>https://www.jotform.com/uploads/macarewecare/222927978372067/5710115295918914515/5710115295918914515_signature_28.png</t>
  </si>
  <si>
    <t>https://www.jotform.com/uploads/macarewecare/222927978372067/5710115295918914515/5710115295918914515_signature_31.png</t>
  </si>
  <si>
    <t>Module B3 found Service Required thru XPC Calibration</t>
  </si>
  <si>
    <t>Replacing Module B2 with SN: 800944 to SN: 731240
XpertCheck Calibration
Preventive Maintenance</t>
  </si>
  <si>
    <t>https://www.jotform.com/uploads/macarewecare/222927978372067/5710083040612135321/5710083040612135321_signature_28.png</t>
  </si>
  <si>
    <t>Nhilrose S. Bontor</t>
  </si>
  <si>
    <t>https://www.jotform.com/uploads/macarewecare/222927978372067/5710083040612135321/5710083040612135321_signature_31.png</t>
  </si>
  <si>
    <t>Daisy St., Cor Daffodil St., Banlat Road, Tandang Sora, Quezon City</t>
  </si>
  <si>
    <t>mfgadayarmt17@gmail.com</t>
  </si>
  <si>
    <t xml:space="preserve">ASSAY: Xpert HPV, COUNT: 95
ASSAY: Xpert MTB/RIF Ultra, COUNT: 1599
</t>
  </si>
  <si>
    <t>Module 2 Hardware Failed</t>
  </si>
  <si>
    <t>Performed PM
Checked Module 2
Error 1002 on Module 2
Module 2 for reporting
Disable module 2
Generated report</t>
  </si>
  <si>
    <t>Troubleshoot Module 2</t>
  </si>
  <si>
    <t>3 modules operational, 1 module for replacement</t>
  </si>
  <si>
    <t>https://www.jotform.com/uploads/macarewecare/222927978372067/5710060849919840520/5710060849919840520_signature_28.png</t>
  </si>
  <si>
    <t>https://www.jotform.com/uploads/macarewecare/222927978372067/5710060849919840520/5710060849919840520_signature_31.png</t>
  </si>
  <si>
    <t>Datu halun Sakilan Memorial Hospital</t>
  </si>
  <si>
    <t>Lamion, datu halun sakilan Memorial Hospital</t>
  </si>
  <si>
    <t>Module 1 undergone Xpertcheck calibration and it requires service.</t>
  </si>
  <si>
    <t>Module 1 undergone Xpertcheck calibration</t>
  </si>
  <si>
    <t>Module 1 , 2 and 3 are available</t>
  </si>
  <si>
    <t>Module 1 for replacement</t>
  </si>
  <si>
    <t>https://www.jotform.com/uploads/macarewecare/222927978372067/5710058707283248050/5710058707283248050_signature_28.png</t>
  </si>
  <si>
    <t>https://www.jotform.com/uploads/macarewecare/222927978372067/5710058707283248050/5710058707283248050_signature_31.png</t>
  </si>
  <si>
    <t>Lamion, Datu Halun Memorial hospital</t>
  </si>
  <si>
    <t>Replaced module 801136 and 802379 with Module 210100362 and 210100363 respectively.</t>
  </si>
  <si>
    <t>https://www.jotform.com/uploads/macarewecare/222927978372067/5710058697287433137/5710058697287433137_signature_28.png</t>
  </si>
  <si>
    <t>Warsash M. Hadjula</t>
  </si>
  <si>
    <t>https://www.jotform.com/uploads/macarewecare/222927978372067/5710058697287433137/5710058697287433137_signature_31.png</t>
  </si>
  <si>
    <t>Sixto Ave.</t>
  </si>
  <si>
    <t xml:space="preserve">ASSAY: Xpert MTB/RIF Ultra, COUNT: 1982
</t>
  </si>
  <si>
    <t>Performed maintenance
Replaced module B1
Generated reports</t>
  </si>
  <si>
    <t>Unit is operational. Module B4/210068082 not operational, for reporting.</t>
  </si>
  <si>
    <t>Old: B1/684120
New: B1/210101926</t>
  </si>
  <si>
    <t>G 6301</t>
  </si>
  <si>
    <t>https://www.jotform.com/uploads/macarewecare/222927978372067/5710041374414336979/5710041374414336979_signature_28.png</t>
  </si>
  <si>
    <t>https://www.jotform.com/uploads/macarewecare/222927978372067/5710041374414336979/5710041374414336979_signature_31.png</t>
  </si>
  <si>
    <t>Don Quijote St. Sampaloc</t>
  </si>
  <si>
    <t xml:space="preserve">ASSAY: Xpert MTB/RIF Ultra, COUNT: 1190
</t>
  </si>
  <si>
    <t>Unit for PM.
For module replacement of modules B1, B2 and B4.</t>
  </si>
  <si>
    <t>GX Module B1 (210101692), B2 (210059617) and B4 (210060024) in replacement to defectivr B1 (667470), B2 (629980) and B4 (699604).</t>
  </si>
  <si>
    <t>G6298</t>
  </si>
  <si>
    <t>https://www.jotform.com/uploads/macarewecare/222927978372067/5710034327212056907/5710034327212056907_signature_28.png</t>
  </si>
  <si>
    <t>Kristine Escarlan</t>
  </si>
  <si>
    <t>https://www.jotform.com/uploads/macarewecare/222927978372067/5710034327212056907/5710034327212056907_signature_31.png</t>
  </si>
  <si>
    <t>rheynava440@gmail.com</t>
  </si>
  <si>
    <t>Module B2 for additional troubleshooting</t>
  </si>
  <si>
    <t>https://www.jotform.com/uploads/macarewecare/222927978372067/5709987552221115111/5709987552221115111_signature_28.png</t>
  </si>
  <si>
    <t>Reynaldo a. Nava</t>
  </si>
  <si>
    <t>https://www.jotform.com/uploads/macarewecare/222927978372067/5709987552221115111/5709987552221115111_signature_31.png</t>
  </si>
  <si>
    <t>Domingo Santiago Health</t>
  </si>
  <si>
    <t>844 Domingo Santiago, 581, Manila, Metro Manila</t>
  </si>
  <si>
    <t xml:space="preserve">ASSAY: Xpert MTB/RIF Ultra, COUNT: 999
</t>
  </si>
  <si>
    <t>Module 4 hardware failed</t>
  </si>
  <si>
    <t>Perfomed PM
Performed rexpert check on module 4
Module 4 failed xpert check
Generated report</t>
  </si>
  <si>
    <t>Performed Rexpert check on module 4</t>
  </si>
  <si>
    <t>https://www.jotform.com/uploads/macarewecare/222927978372067/5709977066011894140/5709977066011894140_signature_28.png</t>
  </si>
  <si>
    <t>https://www.jotform.com/uploads/macarewecare/222927978372067/5709977066011894140/5709977066011894140_signature_31.png</t>
  </si>
  <si>
    <t>Macabog, West District,  Sorsogon City</t>
  </si>
  <si>
    <t>Performed XpertCheck
Cleaned cartridge bays, plunger rod, icore 
Generate reports</t>
  </si>
  <si>
    <t>XpertCheck Result: C2/633491 - Service Required</t>
  </si>
  <si>
    <t>https://www.jotform.com/uploads/macarewecare/222927978372067/5709966438917368219/5709966438917368219_signature_28.png</t>
  </si>
  <si>
    <t>https://www.jotform.com/uploads/macarewecare/222927978372067/5709966438917368219/5709966438917368219_signature_31.png</t>
  </si>
  <si>
    <t>Poblacion, Matanao Davao Del Sur</t>
  </si>
  <si>
    <t xml:space="preserve">ASSAY: Xpert MTB/RIF Ultra, COUNT: 478
ASSAY: Xpert MTB/RIF, COUNT: 11
</t>
  </si>
  <si>
    <t>For XpertCheck Calibration</t>
  </si>
  <si>
    <t>Run XpertCheck Calibration on Four Modules</t>
  </si>
  <si>
    <t>Perform XpertCheck Calibration</t>
  </si>
  <si>
    <t>Module B1 and B2 for Service Required
Module B3 and B4 passed the Calibration</t>
  </si>
  <si>
    <t>Modules B1 and B2 for under observation</t>
  </si>
  <si>
    <t>DR 10441</t>
  </si>
  <si>
    <t>https://www.jotform.com/uploads/macarewecare/222927978372067/5709960042413404330/5709960042413404330_signature_28.png</t>
  </si>
  <si>
    <t>https://www.jotform.com/uploads/macarewecare/222927978372067/5709960042413404330/5709960042413404330_signature_31.png</t>
  </si>
  <si>
    <t>Katuparan, Quezon City, Metro Manila</t>
  </si>
  <si>
    <t xml:space="preserve">ASSAY: Xpert HPV, COUNT: 426
ASSAY: Xpert MTB/RIF Ultra, COUNT: 2606
</t>
  </si>
  <si>
    <t>Module 2 frequent error 2014</t>
  </si>
  <si>
    <t>Performed PM
Performed rexpert check on module 2
Module 2 failed xpert check
Generated report</t>
  </si>
  <si>
    <t>Performed Rexpert check on module 2</t>
  </si>
  <si>
    <t>https://www.jotform.com/uploads/macarewecare/222927978372067/5709865756015871202/5709865756015871202_signature_28.png</t>
  </si>
  <si>
    <t>https://www.jotform.com/uploads/macarewecare/222927978372067/5709865756015871202/5709865756015871202_signature_31.png</t>
  </si>
  <si>
    <t>Q. Abeto St, Mandurriao, Iloilo City</t>
  </si>
  <si>
    <t xml:space="preserve">ASSAY: Xpert MTB/RIF Ultra, COUNT: 5231
</t>
  </si>
  <si>
    <t>Defective 723641/D2 due to temperature-related errors.</t>
  </si>
  <si>
    <t>- Performed Preventive Maintenace (optics cleaning, module bay cleaning, plunger rod maintenance, filters cleaning).
- Archive tests.</t>
  </si>
  <si>
    <t>- Replaced module 723641/D2 with new module with SN 210102239.
- Generated Pre- and Post -IQR.</t>
  </si>
  <si>
    <t>16 nodules operational</t>
  </si>
  <si>
    <t>https://www.jotform.com/uploads/macarewecare/222927978372067/5709815014669100831/5709815014669100831_signature_28.png</t>
  </si>
  <si>
    <t>https://www.jotform.com/uploads/macarewecare/222927978372067/5709815014669100831/5709815014669100831_signature_31.png</t>
  </si>
  <si>
    <t>Poblacion Antipas, North Cotabato</t>
  </si>
  <si>
    <t>rhuantipas@gmail.com</t>
  </si>
  <si>
    <t>DR 10450</t>
  </si>
  <si>
    <t>https://www.jotform.com/uploads/macarewecare/222927978372067/5709212340411295469/5709212340411295469_signature_28.png</t>
  </si>
  <si>
    <t>Alvin A. Codilla, RMT</t>
  </si>
  <si>
    <t>https://www.jotform.com/uploads/macarewecare/222927978372067/5709212340411295469/5709212340411295469_signature_31.png</t>
  </si>
  <si>
    <t>Purok 4, Poblacion, Rapu-Rapu</t>
  </si>
  <si>
    <t xml:space="preserve">ASSAY: Xpert MTB/RIF Ultra, COUNT: 388
</t>
  </si>
  <si>
    <t>For Callibration</t>
  </si>
  <si>
    <t>XpertCheck Result: B2/737128 - service required</t>
  </si>
  <si>
    <t>B2/73728 - Service Required</t>
  </si>
  <si>
    <t>https://www.jotform.com/uploads/macarewecare/222927978372067/5709203671419928226/5709203671419928226_signature_28.png</t>
  </si>
  <si>
    <t>https://www.jotform.com/uploads/macarewecare/222927978372067/5709203671419928226/5709203671419928226_signature_31.png</t>
  </si>
  <si>
    <t>Rizal, Santa Rosa, Nueva Ecija</t>
  </si>
  <si>
    <t>addc1995@gmail.com</t>
  </si>
  <si>
    <t>https://www.jotform.com/uploads/macarewecare/222927978372067/5709159114249157968/5709159114249157968_signature_28.png</t>
  </si>
  <si>
    <t>Angelo Espino</t>
  </si>
  <si>
    <t>https://www.jotform.com/uploads/macarewecare/222927978372067/5709159114249157968/5709159114249157968_signature_31.png</t>
  </si>
  <si>
    <t>HB Dela Costa, Makati</t>
  </si>
  <si>
    <t>Relocate GeneXpert System
Performed Maintenance
Generate Reports</t>
  </si>
  <si>
    <t>https://www.jotform.com/uploads/macarewecare/222927978372067/5709142421515814714/5709142421515814714_signature_28.png</t>
  </si>
  <si>
    <t>https://www.jotform.com/uploads/macarewecare/222927978372067/5709142421515814714/5709142421515814714_signature_31.png</t>
  </si>
  <si>
    <t>Dra. Elvira Lagrosa Health Center</t>
  </si>
  <si>
    <t>Dolores Hidalgo St., Pasay, Metro Manila</t>
  </si>
  <si>
    <t>Module 2 results always invalid</t>
  </si>
  <si>
    <t>Performed PM
Checked system log
Only 1 error recorded on module 2
Checked reports on samples run in module 2
Most of the results are invalid
End user waits 1hr then the result comes out as Invalid
Archived results for further inspection of technical specialist
UPS is still operational
Generated report</t>
  </si>
  <si>
    <t>Troubleshoot module 2
Checked UPS</t>
  </si>
  <si>
    <t>Unit is operational
Module 2 for checking by specualist</t>
  </si>
  <si>
    <t>https://www.jotform.com/uploads/macarewecare/222927978372067/5709136332341940046/5709136332341940046_signature_28.png</t>
  </si>
  <si>
    <t>https://www.jotform.com/uploads/macarewecare/222927978372067/5709136332341940046/5709136332341940046_signature_31.png</t>
  </si>
  <si>
    <t>Gomez St., Isabela, Negros Occidental</t>
  </si>
  <si>
    <t>Defective CPU - No Power</t>
  </si>
  <si>
    <t>- Checked line voltage at facility - 230 V
- Check continuity of CPU power cord - good
- Reset power supply connections to the motherboard
- Swapped power cords
- Checked power supply output
- Cleaned RAM pcb connectors</t>
  </si>
  <si>
    <t>CPU for replacement, for report to Cepheid</t>
  </si>
  <si>
    <t>https://www.jotform.com/uploads/macarewecare/222927978372067/5709130346914063388/5709130346914063388_signature_28.png</t>
  </si>
  <si>
    <t>https://www.jotform.com/uploads/macarewecare/222927978372067/5709130346914063388/5709130346914063388_signature_31.png</t>
  </si>
  <si>
    <t xml:space="preserve">ASSAY: Xpert MTB/RIF, COUNT: 1166
ASSAY: Xpert MTB/RIF Ultra, COUNT: 4124
ASSAY: Xpert HCV VL, COUNT: 3
ASSAY: Xpert HIV-1 Viral Load, COUNT: 238
</t>
  </si>
  <si>
    <t>Module B3 broken Module Hinge</t>
  </si>
  <si>
    <t>Disassemble Genexpert
Take Picture of broken module door hinge
Assemble Genexpert</t>
  </si>
  <si>
    <t>Module B3 broken Hinge</t>
  </si>
  <si>
    <t>https://www.jotform.com/uploads/macarewecare/222927978372067/5709115724202382334/5709115724202382334_signature_28.png</t>
  </si>
  <si>
    <t>https://www.jotform.com/uploads/macarewecare/222927978372067/5709115724202382334/5709115724202382334_signature_31.png</t>
  </si>
  <si>
    <t>Module B1 and B4 found service required thru XPC Calibration</t>
  </si>
  <si>
    <t>For Reporting to Cepheid</t>
  </si>
  <si>
    <t>https://www.jotform.com/uploads/macarewecare/222927978372067/5709107313953946279/5709107313953946279_signature_28.png</t>
  </si>
  <si>
    <t>https://www.jotform.com/uploads/macarewecare/222927978372067/5709107313953946279/5709107313953946279_signature_31.png</t>
  </si>
  <si>
    <t>Error 2008 recurring after new module installation</t>
  </si>
  <si>
    <t>https://www.jotform.com/uploads/macarewecare/222927978372067/5709085852227859062/5709085852227859062_signature_28.png</t>
  </si>
  <si>
    <t>https://www.jotform.com/uploads/macarewecare/222927978372067/5709085852227859062/5709085852227859062_signature_31.png</t>
  </si>
  <si>
    <t>Guiguinto Rural Health Unit II</t>
  </si>
  <si>
    <t>Unit is not operational.
Desktop is not powering on. (Reported)</t>
  </si>
  <si>
    <t>GeneXpert Monitor
SN: V5GAH812</t>
  </si>
  <si>
    <t>G 6281</t>
  </si>
  <si>
    <t>https://www.jotform.com/uploads/macarewecare/222927978372067/5709070900191602292/5709070900191602292_signature_28.png</t>
  </si>
  <si>
    <t>https://www.jotform.com/uploads/macarewecare/222927978372067/5709070900191602292/5709070900191602292_signature_31.png</t>
  </si>
  <si>
    <t>Module 2 for service Required</t>
  </si>
  <si>
    <t>Perform Genexpert machine annual Xpertcheck/ Calibration</t>
  </si>
  <si>
    <t>Module 1,3 and 4 passed the annual Xpertcheck/Calibration</t>
  </si>
  <si>
    <t>DR no.:10403</t>
  </si>
  <si>
    <t>https://www.jotform.com/uploads/macarewecare/222927978372067/5709023870125805292/5709023870125805292_signature_28.png</t>
  </si>
  <si>
    <t>https://www.jotform.com/uploads/macarewecare/222927978372067/5709023870125805292/5709023870125805292_signature_31.png</t>
  </si>
  <si>
    <t>INSTALLATION
MAINTENANCE
ON-SITE ASSISTANCE
Installation under shell foundation 10c unit</t>
  </si>
  <si>
    <t>Genexpert installation</t>
  </si>
  <si>
    <t>Installing genexpert machine</t>
  </si>
  <si>
    <t>No printer installed</t>
  </si>
  <si>
    <t>https://www.jotform.com/uploads/https:/www.jotform.com/uploads/macarewecare/222927978372067/5708987825612997959/5708987825612997959_signature_28.png</t>
  </si>
  <si>
    <t>https://www.jotform.com/uploads/https:/www.jotform.com/uploads/macarewecare/222927978372067/5708987825612997959/5708987825612997959_signature_31.png</t>
  </si>
  <si>
    <t>The unit was borrowed for training in quest hotel</t>
  </si>
  <si>
    <t>No Charger for Laptop, No UTP cable</t>
  </si>
  <si>
    <t>https://www.jotform.com/uploads/macarewecare/222927978372067/5708987825612997959/5708987825612997959_signature_28.png</t>
  </si>
  <si>
    <t>https://www.jotform.com/uploads/macarewecare/222927978372067/5708987825612997959/5708987825612997959_signature_31.png</t>
  </si>
  <si>
    <t>Aguilar St., Hinigaran, Negros Occidental</t>
  </si>
  <si>
    <t xml:space="preserve">ASSAY: Xpert MTB/RIF Ultra, COUNT: 905
</t>
  </si>
  <si>
    <t>Defective AVR and UPS</t>
  </si>
  <si>
    <t>- Checked line voltage at facility - 234 V
- Install new UPS (manufacturer Powercom, model RPT-2000AP, SN 40162162112)
- Install new AVR (manufacturer RegVolt , model ATVR-5000 Pro, SN 1707111105-00023 )
- Functionality testing of system with new AVR and UPS installed
- Replaced defective Keyboard and Mouse with new USB-connected Keyboard and mouse.</t>
  </si>
  <si>
    <t>https://www.jotform.com/uploads/macarewecare/222927978372067/5708930855819956265/5708930855819956265_signature_28.png</t>
  </si>
  <si>
    <t>MayFlor M. Feliprada</t>
  </si>
  <si>
    <t>https://www.jotform.com/uploads/macarewecare/222927978372067/5708930855819956265/5708930855819956265_signature_31.png</t>
  </si>
  <si>
    <t>Ligao</t>
  </si>
  <si>
    <t>bermundocristine@gmail.com</t>
  </si>
  <si>
    <t>CPU - hardrive not found</t>
  </si>
  <si>
    <t>Perform hardrive diagnostic 
Reset CPU</t>
  </si>
  <si>
    <t>https://www.jotform.com/uploads/macarewecare/222927978372067/5708921832911565067/5708921832911565067_signature_28.png</t>
  </si>
  <si>
    <t>Cristine Bermundo,RMT</t>
  </si>
  <si>
    <t>https://www.jotform.com/uploads/macarewecare/222927978372067/5708921832911565067/5708921832911565067_signature_31.png</t>
  </si>
  <si>
    <t>San isidro village, Virac</t>
  </si>
  <si>
    <t xml:space="preserve">ASSAY: Xpert MTB/RIF Ultra, COUNT: 1743
</t>
  </si>
  <si>
    <t>B4/863009 for Module Replacement</t>
  </si>
  <si>
    <t>Replaced Module: B4-863009&gt;&gt;785028
Re-XpertCheck Result: 
Cleaned cartridge bays, plunger rod, icore, fan
Generate reports</t>
  </si>
  <si>
    <t>Replaced B4/863009 Module
Performed Re-XpertCheck for B2/862611
Performed Preventive Maintenance</t>
  </si>
  <si>
    <t>Re-XpertCheck B2/862611 -</t>
  </si>
  <si>
    <t>https://www.jotform.com/uploads/macarewecare/222927978372067/5708918492914790979/5708918492914790979_signature_28.png</t>
  </si>
  <si>
    <t>https://www.jotform.com/uploads/macarewecare/222927978372067/5708918492914790979/5708918492914790979_signature_31.png</t>
  </si>
  <si>
    <t>De La Salle Health and Sciences Institute</t>
  </si>
  <si>
    <t>D. Mangubat Ave., Dasmariñas City</t>
  </si>
  <si>
    <t>Module C2 with Temperature Error</t>
  </si>
  <si>
    <t>Performed Maintenance
Replaced Module C2
Generate Reports</t>
  </si>
  <si>
    <t>C2: 880228 -&gt; 639226</t>
  </si>
  <si>
    <t>DR 10653</t>
  </si>
  <si>
    <t>https://www.jotform.com/uploads/macarewecare/222927978372067/5708349453619905015/5708349453619905015_signature_28.png</t>
  </si>
  <si>
    <t>https://www.jotform.com/uploads/macarewecare/222927978372067/5708349453619905015/5708349453619905015_signature_31.png</t>
  </si>
  <si>
    <t>Civic Dr., Filinvest</t>
  </si>
  <si>
    <t>Checked Parameters and Sensors Value
Checked A/D Values
Cleaned Rotors</t>
  </si>
  <si>
    <t>https://www.jotform.com/uploads/macarewecare/222927978372067/5708349383611705544/5708349383611705544_signature_28.png</t>
  </si>
  <si>
    <t>https://www.jotform.com/uploads/macarewecare/222927978372067/5708349383611705544/5708349383611705544_signature_31.png</t>
  </si>
  <si>
    <t>Performed Simulation
Checked Parameters and Sensors Value
Cleaned Rotors</t>
  </si>
  <si>
    <t>https://www.jotform.com/uploads/macarewecare/222927978372067/5708349383612231692/5708349383612231692_signature_28.png</t>
  </si>
  <si>
    <t>https://www.jotform.com/uploads/macarewecare/222927978372067/5708349383612231692/5708349383612231692_signature_31.png</t>
  </si>
  <si>
    <t>General Luna St., Intramuros</t>
  </si>
  <si>
    <t xml:space="preserve">ASSAY: Xpert SARS-CoV-2, COUNT: 697
</t>
  </si>
  <si>
    <t>Performed Maintenance
Performed Self-test
Checked Module D4
Performed Functionality Test
Generate Reports</t>
  </si>
  <si>
    <t>Module D4 with Temperature Related Errors</t>
  </si>
  <si>
    <t>https://www.jotform.com/uploads/macarewecare/222927978372067/5708349383615291645/5708349383615291645_signature_28.png</t>
  </si>
  <si>
    <t>https://www.jotform.com/uploads/macarewecare/222927978372067/5708349383615291645/5708349383615291645_signature_31.png</t>
  </si>
  <si>
    <t>Liwasan ng mga Bayani, Alabang</t>
  </si>
  <si>
    <t xml:space="preserve">ASSAY: Xpert MTB/RIF Ultra, COUNT: 1833
</t>
  </si>
  <si>
    <t>Modules 3 and 4 with Hardware Problems</t>
  </si>
  <si>
    <t>2 Modules are Operational, 2 are Defective</t>
  </si>
  <si>
    <t>Modules 3 and 4 Failed in XpertCheck</t>
  </si>
  <si>
    <t>https://www.jotform.com/uploads/macarewecare/222927978372067/5708349383615736027/5708349383615736027_signature_28.png</t>
  </si>
  <si>
    <t>https://www.jotform.com/uploads/macarewecare/222927978372067/5708349383615736027/5708349383615736027_signature_31.png</t>
  </si>
  <si>
    <t>General Luna St, Intramuros</t>
  </si>
  <si>
    <t xml:space="preserve">ASSAY: Xpert SARS-CoV-2, COUNT: 21
</t>
  </si>
  <si>
    <t>Performed Maintenance
Performed Self-test
Performed Functionality Test
Generate Reports</t>
  </si>
  <si>
    <t>https://www.jotform.com/uploads/macarewecare/222927978372067/5708349383616259345/5708349383616259345_signature_28.png</t>
  </si>
  <si>
    <t>https://www.jotform.com/uploads/macarewecare/222927978372067/5708349383616259345/5708349383616259345_signature_31.png</t>
  </si>
  <si>
    <t>Davao del Norte Provincial Hospital-Samal</t>
  </si>
  <si>
    <t>Module B1 not detected by Module</t>
  </si>
  <si>
    <t>Clean Surface Area, Cartridge Bay, Plunger Rod, Fan Filters and Icore Lenses
Troubleshoot the Module B1 by reseating the components, still error exist having infinite loop of the base.
Tried to switch places with other module, still error exist; also cannot be detected regardless where to swap the module.</t>
  </si>
  <si>
    <t>Module Troubleshooting</t>
  </si>
  <si>
    <t>Module B1 cannot be detected by the Gx Software.
Only three Modules are operational</t>
  </si>
  <si>
    <t>Errors and documentation sent to Cepheid for further assessment</t>
  </si>
  <si>
    <t>https://www.jotform.com/uploads/macarewecare/222927978372067/5708265028219461983/5708265028219461983_signature_28.png</t>
  </si>
  <si>
    <t>ALLEN GLENN B. SORIANO</t>
  </si>
  <si>
    <t>https://www.jotform.com/uploads/macarewecare/222927978372067/5708265028219461983/5708265028219461983_signature_31.png</t>
  </si>
  <si>
    <t>B4 was found service required thru XPC Calibration</t>
  </si>
  <si>
    <t>Replacing Module B2 with SN: 698547 to SN: 673655
Preventive Maintenance
XpertCheck Calibration</t>
  </si>
  <si>
    <t>https://www.jotform.com/uploads/macarewecare/222927978372067/5708246260175538971/5708246260175538971_signature_28.png</t>
  </si>
  <si>
    <t>https://www.jotform.com/uploads/macarewecare/222927978372067/5708246260175538971/5708246260175538971_signature_31.png</t>
  </si>
  <si>
    <t>Galo St., Bacolod City, Negros Occidental</t>
  </si>
  <si>
    <t xml:space="preserve">ASSAY: Xpert MTB/RIF Ultra, COUNT: 6657
</t>
  </si>
  <si>
    <t>- Module 700546/D2 HW fail with temperature-related errors.</t>
  </si>
  <si>
    <t>- Replaced 700546/D2 with new module with SN 210102239.
- Generate Pre- and Post- IQR</t>
  </si>
  <si>
    <t>- Module 640561/D1 waiting for allocated module.
- Modules D2, D3 and D4 operational.</t>
  </si>
  <si>
    <t>https://www.jotform.com/uploads/macarewecare/222927978372067/5708169445417755317/5708169445417755317_signature_28.png</t>
  </si>
  <si>
    <t>CYRIL CORDOVA</t>
  </si>
  <si>
    <t>https://www.jotform.com/uploads/macarewecare/222927978372067/5708169445417755317/5708169445417755317_signature_31.png</t>
  </si>
  <si>
    <t>Negros Oriental Provincial Hospital RTDL</t>
  </si>
  <si>
    <t>Dunamguety City</t>
  </si>
  <si>
    <t>Replace Module C3 with new serial number 210102245</t>
  </si>
  <si>
    <t>Replace Module C3 with serial number 648367</t>
  </si>
  <si>
    <t>https://www.jotform.com/uploads/macarewecare/222927978372067/5708126223916835010/5708126223916835010_signature_28.png</t>
  </si>
  <si>
    <t>https://www.jotform.com/uploads/macarewecare/222927978372067/5708126223916835010/5708126223916835010_signature_31.png</t>
  </si>
  <si>
    <t xml:space="preserve">ASSAY: Xpert MTB/RIF, COUNT: 54
ASSAY: Xpert MTB/RIF Ultra, COUNT: 2212
ASSAY: Xpert HIV-1 Viral Load, COUNT: 110
</t>
  </si>
  <si>
    <t>COLLECT IQR, ARCHIVE, AND SYSTEM LOG</t>
  </si>
  <si>
    <t>PERFORM MODULE B4 DEF SN:618997 REPLACEMENT WITH NEW SN:210102255</t>
  </si>
  <si>
    <t>https://www.jotform.com/uploads/macarewecare/222927978372067/5708108943913951435/5708108943913951435_signature_28.png</t>
  </si>
  <si>
    <t>https://www.jotform.com/uploads/macarewecare/222927978372067/5708108943913951435/5708108943913951435_signature_31.png</t>
  </si>
  <si>
    <t>Borrowed machine to quest hotel representation</t>
  </si>
  <si>
    <t>Re installaton of genexpert machine</t>
  </si>
  <si>
    <t>https://www.jotform.com/uploads/macarewecare/222927978372067/5708070418225901700/5708070418225901700_signature_28.png</t>
  </si>
  <si>
    <t>https://www.jotform.com/uploads/macarewecare/222927978372067/5708070418225901700/5708070418225901700_signature_31.png</t>
  </si>
  <si>
    <t xml:space="preserve">ASSAY: Xpert MTB/RIF Ultra, COUNT: 1085
ASSAY: Others, COUNT: 12
ASSAY: Xpert SARS-CoV-2, COUNT: 4082
</t>
  </si>
  <si>
    <t>Workstation unable to boot 3 short beep and 1 long beep</t>
  </si>
  <si>
    <t>Checked workstation
Cleaned terminal RAM
Cleaned unit
Cleaned filter,plunger rod ,cartridge bay,icore
Gathered reports 
Test run unit</t>
  </si>
  <si>
    <t>Workstation operational</t>
  </si>
  <si>
    <t>https://www.jotform.com/uploads/macarewecare/222927978372067/5706447232414410545/5706447232414410545_signature_28.png</t>
  </si>
  <si>
    <t>Ison San Jose</t>
  </si>
  <si>
    <t>https://www.jotform.com/uploads/macarewecare/222927978372067/5706447232414410545/5706447232414410545_signature_31.png</t>
  </si>
  <si>
    <t>M.Santos St.,Barangay San Roque ,Antipolo</t>
  </si>
  <si>
    <t>zeraus.tine@gmail.com</t>
  </si>
  <si>
    <t xml:space="preserve">ASSAY: Xpert CT/NG, COUNT: 80
ASSAY: Xpert MTB/RIF Ultra, COUNT: 8907
ASSAY: Xpert HIV-1 Viral Load, COUNT: 744
</t>
  </si>
  <si>
    <t>For module replacement and maintenance A3 885783 - 210102202</t>
  </si>
  <si>
    <t>Cleaned unit
Cleaned filter,plunger rod ,cartridge bay,icore
Gathered reports 
Performed module replacement
Test run unit</t>
  </si>
  <si>
    <t>A2 encounter 1002 and 4012</t>
  </si>
  <si>
    <t>G6278</t>
  </si>
  <si>
    <t>https://www.jotform.com/uploads/macarewecare/222927978372067/5706445532415969780/5706445532415969780_signature_28.png</t>
  </si>
  <si>
    <t>https://www.jotform.com/uploads/macarewecare/222927978372067/5706445532415969780/5706445532415969780_signature_31.png</t>
  </si>
  <si>
    <t>H.V Dela Costa,Makati</t>
  </si>
  <si>
    <t xml:space="preserve">ASSAY: Xpert MTB/RIF Ultra, COUNT: 992
ASSAY: Others, COUNT: 142
ASSAY: Xpert SARS-CoV-2, COUNT: 16
</t>
  </si>
  <si>
    <t>For Module Replacement D3 680216 - 631961</t>
  </si>
  <si>
    <t>Performed module replacement, Cleaned filter,plunger rod,cartridge bay
Gathered reports
Test run unit</t>
  </si>
  <si>
    <t>https://www.jotform.com/uploads/macarewecare/222927978372067/5706444412418078603/5706444412418078603_signature_28.png</t>
  </si>
  <si>
    <t>https://www.jotform.com/uploads/macarewecare/222927978372067/5706444412418078603/5706444412418078603_signature_31.png</t>
  </si>
  <si>
    <t>Replaced defective UPS
Performed maintenance
Generated reports</t>
  </si>
  <si>
    <t>Unit is operational. Module A4/719514 not operational, reported already.</t>
  </si>
  <si>
    <t>Monitor not powering on. Monitor SN: CNK831082Y</t>
  </si>
  <si>
    <t>UPS SN: AT1500211227ST0025</t>
  </si>
  <si>
    <t>DR# 10644</t>
  </si>
  <si>
    <t>https://www.jotform.com/uploads/macarewecare/222927978372067/5705730520526431714/5705730520526431714_signature_28.png</t>
  </si>
  <si>
    <t>https://www.jotform.com/uploads/macarewecare/222927978372067/5705730520526431714/5705730520526431714_signature_31.png</t>
  </si>
  <si>
    <t>Bagacay, Tacloban city</t>
  </si>
  <si>
    <t xml:space="preserve">ASSAY: Xpert MTB/RIF, COUNT: 500
ASSAY: Xpert MTB/RIF Ultra, COUNT: 4412
ASSAY: Xpert HIV-1 Viral Load, COUNT: 283
</t>
  </si>
  <si>
    <t>https://www.jotform.com/uploads/macarewecare/222927978372067/5705727438216420130/5705727438216420130_signature_28.png</t>
  </si>
  <si>
    <t>Shirlyn C. Zamoras</t>
  </si>
  <si>
    <t>https://www.jotform.com/uploads/macarewecare/222927978372067/5705727438216420130/5705727438216420130_signature_31.png</t>
  </si>
  <si>
    <t>Mabini St., Poblacion Tagum City</t>
  </si>
  <si>
    <t>tagumcho.mabini@gmail.com</t>
  </si>
  <si>
    <t xml:space="preserve">ASSAY: Xpert MTB/RIF Ultra, COUNT: 2693
</t>
  </si>
  <si>
    <t>Error occurred to B1 and B3</t>
  </si>
  <si>
    <t>Clean Surface Area, Cartridge Bay, Plunger Rod, Fan Filters and Icore Lenses.
Reposition the GeneXpert Setup to optimal area.
Generate IQR, Assay Stat, and System Log</t>
  </si>
  <si>
    <t>Performed Module Troubleshooting</t>
  </si>
  <si>
    <t>Module B1 for under observation
Module B3 report to Cepheid for further Assessment</t>
  </si>
  <si>
    <t>B3 currently disabled due to frequent H/W Failure also Enduser is advice to have supplementary cooling system in meet the optimal room temperature prescribed by GeneXpert</t>
  </si>
  <si>
    <t>https://www.jotform.com/uploads/macarewecare/222927978372067/5705689222012859590/5705689222012859590_signature_28.png</t>
  </si>
  <si>
    <t>Lorena penas</t>
  </si>
  <si>
    <t>https://www.jotform.com/uploads/macarewecare/222927978372067/5705689222012859590/5705689222012859590_signature_31.png</t>
  </si>
  <si>
    <t>MAINTENANCE
Gather data</t>
  </si>
  <si>
    <t>For unit checkbup and maintenance</t>
  </si>
  <si>
    <t>Performed unit maintenance</t>
  </si>
  <si>
    <t>Performed unit maintenance.</t>
  </si>
  <si>
    <t>All 4 modules operational (Availabe ststus)</t>
  </si>
  <si>
    <t>https://www.jotform.com/uploads/macarewecare/222927978372067/5705685080901984598/5705685080901984598_signature_28.png</t>
  </si>
  <si>
    <t>JOCELYN L. CALALIN</t>
  </si>
  <si>
    <t>https://www.jotform.com/uploads/macarewecare/222927978372067/5705685080901984598/5705685080901984598_signature_31.png</t>
  </si>
  <si>
    <t xml:space="preserve">ASSAY: Xpert MTB/RIF Ultra, COUNT: 1157
</t>
  </si>
  <si>
    <t>For check up and maintenance</t>
  </si>
  <si>
    <t>3 modules operational 1 disable status</t>
  </si>
  <si>
    <t>https://www.jotform.com/uploads/macarewecare/222927978372067/5705677330908359354/5705677330908359354_signature_28.png</t>
  </si>
  <si>
    <t>https://www.jotform.com/uploads/macarewecare/222927978372067/5705677330908359354/5705677330908359354_signature_31.png</t>
  </si>
  <si>
    <t>Rizal St., Brgy. Poblacion, Candelaria, Quezon City</t>
  </si>
  <si>
    <t xml:space="preserve">ASSAY: Xpert MTB/RIF, COUNT: 1
ASSAY: Xpert MTB/RIF Ultra, COUNT: 1659
</t>
  </si>
  <si>
    <t>Checked and cleaner cartridge bays, icore slot, plunger rod and filter
Troubleshoot monitor
Monitor black screen with white lines
Power chord ok, vga cable ok; problem persists
Monitor for reporting
Generated report</t>
  </si>
  <si>
    <t>Checked Monitor</t>
  </si>
  <si>
    <t>GX is operational
Uses back up monitor for tge meantime</t>
  </si>
  <si>
    <t>https://www.jotform.com/uploads/macarewecare/222927978372067/5705664091615493132/5705664091615493132_signature_28.png</t>
  </si>
  <si>
    <t>https://www.jotform.com/uploads/macarewecare/222927978372067/5705664091615493132/5705664091615493132_signature_31.png</t>
  </si>
  <si>
    <t>23rd Ave</t>
  </si>
  <si>
    <t>eastrembosatellitelaboratory@gmail.com</t>
  </si>
  <si>
    <t xml:space="preserve">ASSAY: Xpert MTB/RIF, COUNT: 468
ASSAY: Xpert MTB/RIF Ultra, COUNT: 1606
</t>
  </si>
  <si>
    <t>Old: B3/602562
New: B3/210102221</t>
  </si>
  <si>
    <t>G 6280</t>
  </si>
  <si>
    <t>https://www.jotform.com/uploads/macarewecare/222927978372067/5705647054826091767/5705647054826091767_signature_28.png</t>
  </si>
  <si>
    <t>Nesty Bañaga</t>
  </si>
  <si>
    <t>https://www.jotform.com/uploads/macarewecare/222927978372067/5705647054826091767/5705647054826091767_signature_31.png</t>
  </si>
  <si>
    <t xml:space="preserve">ASSAY: Xpert MTB/RIF Ultra, COUNT: 2539
ASSAY: Xpert HIV-1 Viral Load, COUNT: 141
</t>
  </si>
  <si>
    <t>Replaced A2</t>
  </si>
  <si>
    <t>GeneXpert Module
SN: 210102224</t>
  </si>
  <si>
    <t>https://www.jotform.com/uploads/macarewecare/222927978372067/5705628890125058418/5705628890125058418_signature_28.png</t>
  </si>
  <si>
    <t>https://www.jotform.com/uploads/macarewecare/222927978372067/5705628890125058418/5705628890125058418_signature_31.png</t>
  </si>
  <si>
    <t>Module 3 error 2005</t>
  </si>
  <si>
    <t>Enabled Module 3 for observation</t>
  </si>
  <si>
    <t>Performed Maintenance
Gathered Reports
Performed Module Replacement
Performed Functionality Test</t>
  </si>
  <si>
    <t>Module Replacement = 690618 - 210100889</t>
  </si>
  <si>
    <t>https://www.jotform.com/uploads/macarewecare/222927978372067/5705601053323204249/5705601053323204249_signature_28.png</t>
  </si>
  <si>
    <t>https://www.jotform.com/uploads/macarewecare/222927978372067/5705601053323204249/5705601053323204249_signature_31.png</t>
  </si>
  <si>
    <t>Ospital Ng Palawan</t>
  </si>
  <si>
    <t xml:space="preserve">ASSAY: Xpert MTB/RIF Ultra, COUNT: 2886
ASSAY: Xpert SARS-CoV-2, COUNT: 1602
ASSAY: Xpert HIV-1 Viral Load, COUNT: 174
</t>
  </si>
  <si>
    <t>For Module replacement.Modules C3 and C4</t>
  </si>
  <si>
    <t>Replaced module C3: 888456 and C4: 888295</t>
  </si>
  <si>
    <t>Performed maintenance..
Performed module replacement</t>
  </si>
  <si>
    <t>14 modules operational..2 modules disabled status due to Hardware issue..</t>
  </si>
  <si>
    <t>New modules C3: 210102265 and C4: 210102269</t>
  </si>
  <si>
    <t>Stated</t>
  </si>
  <si>
    <t>https://www.jotform.com/uploads/macarewecare/222927978372067/5705583460903892335/5705583460903892335_signature_28.png</t>
  </si>
  <si>
    <t>Arabia Abduljalil</t>
  </si>
  <si>
    <t>https://www.jotform.com/uploads/macarewecare/222927978372067/5705583460903892335/5705583460903892335_signature_31.png</t>
  </si>
  <si>
    <t>Isabela city, Basilan</t>
  </si>
  <si>
    <t xml:space="preserve">ASSAY: Xpert MTB/RIF Ultra, COUNT: 870
ASSAY: Xpert CT/NG, COUNT: 1
</t>
  </si>
  <si>
    <t>Replaced module 662307 with Module 210100722</t>
  </si>
  <si>
    <t>https://www.jotform.com/uploads/macarewecare/222927978372067/5705500676296381175/5705500676296381175_signature_28.png</t>
  </si>
  <si>
    <t>Reynante L Montaño</t>
  </si>
  <si>
    <t>https://www.jotform.com/uploads/macarewecare/222927978372067/5705500676296381175/5705500676296381175_signature_31.png</t>
  </si>
  <si>
    <t>Basilan General hospital</t>
  </si>
  <si>
    <t>Kilometre 2 Binaungan Isabela city, Basilan</t>
  </si>
  <si>
    <t>ell2080@yahoo.com</t>
  </si>
  <si>
    <t xml:space="preserve">ASSAY: Xpert MTB/RIF Ultra, COUNT: 359
</t>
  </si>
  <si>
    <t>Replaced module 694833 with Module 210100452</t>
  </si>
  <si>
    <t>https://www.jotform.com/uploads/macarewecare/222927978372067/5705053212402047447/5705053212402047447_signature_28.png</t>
  </si>
  <si>
    <t>Allene Ventura</t>
  </si>
  <si>
    <t>https://www.jotform.com/uploads/macarewecare/222927978372067/5705053212402047447/5705053212402047447_signature_31.png</t>
  </si>
  <si>
    <t>Stuck cartidge on A1</t>
  </si>
  <si>
    <t>https://www.jotform.com/uploads/macarewecare/222927978372067/5704893837227364908/5704893837227364908_signature_28.png</t>
  </si>
  <si>
    <t>https://www.jotform.com/uploads/macarewecare/222927978372067/5704893837227364908/5704893837227364908_signature_31.png</t>
  </si>
  <si>
    <t>Module 2 and 3 for service required</t>
  </si>
  <si>
    <t>Replace defective module 2 SN: 862856 with new module SN: 210074760
Replace defective module 3 SN: 862854 with new module SN: 664419</t>
  </si>
  <si>
    <t>Genexpert module 6 color SN:210074760 and SN:664419</t>
  </si>
  <si>
    <t>DR no.: 10541 and Dr no.:10535</t>
  </si>
  <si>
    <t>https://www.jotform.com/uploads/macarewecare/222927978372067/5704868701217120034/5704868701217120034_signature_28.png</t>
  </si>
  <si>
    <t>https://www.jotform.com/uploads/macarewecare/222927978372067/5704868701217120034/5704868701217120034_signature_31.png</t>
  </si>
  <si>
    <t>lilibethcacal123@gmail.com</t>
  </si>
  <si>
    <t xml:space="preserve">ASSAY: Xpert MTB/RIF, COUNT: 99
ASSAY: Xpert MTB/RIF Ultra, COUNT: 816
</t>
  </si>
  <si>
    <t>Replacing Module B4 with SN: 910241 to SN: 210101929</t>
  </si>
  <si>
    <t>https://www.jotform.com/uploads/macarewecare/222927978372067/5704860472021617430/5704860472021617430_signature_28.png</t>
  </si>
  <si>
    <t>Lilibeth Cacal</t>
  </si>
  <si>
    <t>https://www.jotform.com/uploads/macarewecare/222927978372067/5704860472021617430/5704860472021617430_signature_31.png</t>
  </si>
  <si>
    <t>JP Rizal St. Baras</t>
  </si>
  <si>
    <t>Performed maintenance
Cleaned cartridge bay, plunger rod, icore and filter
Replaced module B3
Generated reports</t>
  </si>
  <si>
    <t>Old: B3/696221
New: B3/210102200</t>
  </si>
  <si>
    <t>G 6277</t>
  </si>
  <si>
    <t>https://www.jotform.com/uploads/macarewecare/222927978372067/5704848555219258236/5704848555219258236_signature_28.png</t>
  </si>
  <si>
    <t>MICHELLE M. AVELA</t>
  </si>
  <si>
    <t>https://www.jotform.com/uploads/macarewecare/222927978372067/5704848555219258236/5704848555219258236_signature_31.png</t>
  </si>
  <si>
    <t>Sogod District Hospital</t>
  </si>
  <si>
    <t>Sogod Southern Leyte</t>
  </si>
  <si>
    <t>sogoddistricthospital@gmail.com</t>
  </si>
  <si>
    <t>https://www.jotform.com/uploads/macarewecare/222927978372067/5704834860515416393/5704834860515416393_signature_28.png</t>
  </si>
  <si>
    <t>Ruñitha Simeona G. Olais</t>
  </si>
  <si>
    <t>https://www.jotform.com/uploads/macarewecare/222927978372067/5704834860515416393/5704834860515416393_signature_31.png</t>
  </si>
  <si>
    <t>Recurring Error 2008</t>
  </si>
  <si>
    <t>- Cleaned Cartridge Bays, Plunger Rods and I-CORE 
- Relayed Cephid's instructions for sample prep
- Generated Reports</t>
  </si>
  <si>
    <t>https://www.jotform.com/uploads/macarewecare/222927978372067/5704776342224394223/5704776342224394223_signature_28.png</t>
  </si>
  <si>
    <t>https://www.jotform.com/uploads/macarewecare/222927978372067/5704776342224394223/5704776342224394223_signature_31.png</t>
  </si>
  <si>
    <t xml:space="preserve">ASSAY: Xpert SARS-CoV-2, COUNT: 5571
</t>
  </si>
  <si>
    <t>Various errors on GeneXpert</t>
  </si>
  <si>
    <t>- scanned system log and test reports (found 5007, 1012, 2008, 2125)
- performed self test on modules (good)
- performed reliabilty test on C1 to test if error 1012 persists (passed)
- checked and cleaned cartridge bay, plunger rod, filter
- generated reports</t>
  </si>
  <si>
    <t>Unit is operational.
5007 - sample related error
2008 - cartridge error
2125 - insufficient sample volume
1012 - cartridge / module error 
No hardware problems found.
GeneXpert is in good working environment.
All 4 modules are in good condition.</t>
  </si>
  <si>
    <t>https://www.jotform.com/uploads/macarewecare/222927978372067/5704776287226433846/5704776287226433846_signature_28.png</t>
  </si>
  <si>
    <t>https://www.jotform.com/uploads/macarewecare/222927978372067/5704776287226433846/5704776287226433846_signature_31.png</t>
  </si>
  <si>
    <t>https://www.jotform.com/uploads/macarewecare/222927978372067/5704768592223995405/5704768592223995405_signature_28.png</t>
  </si>
  <si>
    <t>https://www.jotform.com/uploads/macarewecare/222927978372067/5704768592223995405/5704768592223995405_signature_31.png</t>
  </si>
  <si>
    <t xml:space="preserve">ASSAY: Xpert MTB/RIF, COUNT: 229
ASSAY: Xpert MTB/RIF Ultra, COUNT: 815
</t>
  </si>
  <si>
    <t>New Module B1 all results Invalid. 
Module B3 for ReXpertCheck</t>
  </si>
  <si>
    <t>Performed Troubleshooting and ReXpertCheck</t>
  </si>
  <si>
    <t>Module B3 passed, for Monitoring</t>
  </si>
  <si>
    <t>https://www.jotform.com/uploads/macarewecare/222927978372067/5704766482225959195/5704766482225959195_signature_28.png</t>
  </si>
  <si>
    <t>https://www.jotform.com/uploads/macarewecare/222927978372067/5704766482225959195/5704766482225959195_signature_31.png</t>
  </si>
  <si>
    <t>https://www.jotform.com/uploads/macarewecare/222927978372067/5704765932229587969/5704765932229587969_signature_28.png</t>
  </si>
  <si>
    <t>https://www.jotform.com/uploads/macarewecare/222927978372067/5704765932229587969/5704765932229587969_signature_31.png</t>
  </si>
  <si>
    <t>CPU Red screen upon start up</t>
  </si>
  <si>
    <t>Unit is not operational,</t>
  </si>
  <si>
    <t>https://www.jotform.com/uploads/macarewecare/222927978372067/5704762292225884212/5704762292225884212_signature_28.png</t>
  </si>
  <si>
    <t>Justine Joy C. Hernandez</t>
  </si>
  <si>
    <t>https://www.jotform.com/uploads/macarewecare/222927978372067/5704762292225884212/5704762292225884212_signature_31.png</t>
  </si>
  <si>
    <t>Municipality of Cauayan</t>
  </si>
  <si>
    <t>djeatrmt@gmail.com</t>
  </si>
  <si>
    <t>Module B1 with SN 862002 with hardware failed.</t>
  </si>
  <si>
    <t>Generate files(IQR &amp; System Log). Condu t PM</t>
  </si>
  <si>
    <t>Install the new module for B1 with SN 862945.</t>
  </si>
  <si>
    <t>All modules are now in good running condition.</t>
  </si>
  <si>
    <t>https://www.jotform.com/uploads/macarewecare/222927978372067/5704732178425396152/5704732178425396152_signature_28.png</t>
  </si>
  <si>
    <t>https://www.jotform.com/uploads/macarewecare/222927978372067/5704732178425396152/5704732178425396152_signature_31.png</t>
  </si>
  <si>
    <t>https://www.jotform.com/uploads/macarewecare/222927978372067/5704731868423250710/5704731868423250710_signature_28.png</t>
  </si>
  <si>
    <t>https://www.jotform.com/uploads/macarewecare/222927978372067/5704731868423250710/5704731868423250710_signature_31.png</t>
  </si>
  <si>
    <t>Brgy. Pinagbayanan, Macalelon, Quezon</t>
  </si>
  <si>
    <t>yesha_7388@yahoo.com.ph</t>
  </si>
  <si>
    <t>Checked and cleaned cartridge bays, plunger rod, icore slot and filter
Performed XpertCheck
Modules for monitoring incase error occurs again
Generated report</t>
  </si>
  <si>
    <t>Performed XpertCheck
All modules passed</t>
  </si>
  <si>
    <t>Unit is operational
All modules passed xpertcheck</t>
  </si>
  <si>
    <t>DR 10656</t>
  </si>
  <si>
    <t>https://www.jotform.com/uploads/macarewecare/222927978372067/5704730616218944260/5704730616218944260_signature_28.png</t>
  </si>
  <si>
    <t>https://www.jotform.com/uploads/macarewecare/222927978372067/5704730616218944260/5704730616218944260_signature_31.png</t>
  </si>
  <si>
    <t>Pulupandan RHU</t>
  </si>
  <si>
    <t>Pulupandan, Negros Occ.</t>
  </si>
  <si>
    <t xml:space="preserve">ASSAY: Xpert MTB/RIF Ultra, COUNT: 381
</t>
  </si>
  <si>
    <t>Module B2 with SN 910236 already reported for module replacement.</t>
  </si>
  <si>
    <t>Conduct PM and generate files(IQR, System Log ang GXC File)</t>
  </si>
  <si>
    <t>Run Xpert check calibration for module B1, B3 and B4. Installed their newly purchased AVR with 3KVA capacity.</t>
  </si>
  <si>
    <t>Module B1 and B4 passed the calibration while module B3 with SN 910237 failed.</t>
  </si>
  <si>
    <t>https://www.jotform.com/uploads/macarewecare/222927978372067/5704725918427124405/5704725918427124405_signature_28.png</t>
  </si>
  <si>
    <t>Jackie Lou Orcajada</t>
  </si>
  <si>
    <t>https://www.jotform.com/uploads/macarewecare/222927978372067/5704725918427124405/5704725918427124405_signature_31.png</t>
  </si>
  <si>
    <t>Centro 2, Mallig, Isabela</t>
  </si>
  <si>
    <t>rhumallig@yahoo.com</t>
  </si>
  <si>
    <t xml:space="preserve">ASSAY: Xpert MTB/RIF Ultra, COUNT: 891
</t>
  </si>
  <si>
    <t>Installed Genexpert
Installed PC
Installed Printer
Installed UPS
Installed Monitor
Performed Maintenance
Gathered Reports
Performed Functionality Test</t>
  </si>
  <si>
    <t>https://www.jotform.com/uploads/macarewecare/222927978372067/5704705220913127620/5704705220913127620_signature_28.png</t>
  </si>
  <si>
    <t>Hanna Jane Respicio</t>
  </si>
  <si>
    <t>https://www.jotform.com/uploads/macarewecare/222927978372067/5704705220913127620/5704705220913127620_signature_31.png</t>
  </si>
  <si>
    <t>Poblacion,  Cawayan</t>
  </si>
  <si>
    <t xml:space="preserve">ASSAY: Xpert MTB/RIF, COUNT: 216
ASSAY: Xpert MTB/RIF Ultra, COUNT: 848
</t>
  </si>
  <si>
    <t>C1/807602 for Re-XpertCheck</t>
  </si>
  <si>
    <t>Re-XpertCheck Result: C1/807602 Passed
Generate Reports</t>
  </si>
  <si>
    <t>Performed Re-XpertCheck for C1</t>
  </si>
  <si>
    <t>https://www.jotform.com/uploads/macarewecare/222927978372067/5704617395455228531/5704617395455228531_signature_28.png</t>
  </si>
  <si>
    <t>https://www.jotform.com/uploads/macarewecare/222927978372067/5704617395455228531/5704617395455228531_signature_31.png</t>
  </si>
  <si>
    <t>C4/807594 for Module Replacement</t>
  </si>
  <si>
    <t>Replaced Module: C4-807594&gt;&gt;621794
Cleaned cartridge bays,  plunger rod,  icore, fan, fan filter 
Generate reports</t>
  </si>
  <si>
    <t>Replaced Module C4
Performed Preventive Maintenance</t>
  </si>
  <si>
    <t>https://www.jotform.com/uploads/macarewecare/222927978372067/5704607845451451798/5704607845451451798_signature_28.png</t>
  </si>
  <si>
    <t>https://www.jotform.com/uploads/macarewecare/222927978372067/5704607845451451798/5704607845451451798_signature_31.png</t>
  </si>
  <si>
    <t>Baga-uma</t>
  </si>
  <si>
    <t xml:space="preserve">ASSAY: Xpert MTB/RIF, COUNT: 197
ASSAY: Xpert MTB/RIF Ultra, COUNT: 1109
</t>
  </si>
  <si>
    <t>B2-681268 for Module Replacement</t>
  </si>
  <si>
    <t>Replaced Module: B2-681268&gt;&gt;879219
Cleaned cartridge bays, plunger rod, icore, fan, fan filter 
Generate reports</t>
  </si>
  <si>
    <t>Replaced B2 Module
Performed Preventive Maintenance</t>
  </si>
  <si>
    <t>https://www.jotform.com/uploads/macarewecare/222927978372067/5704599675451610217/5704599675451610217_signature_28.png</t>
  </si>
  <si>
    <t>https://www.jotform.com/uploads/macarewecare/222927978372067/5704599675451610217/5704599675451610217_signature_31.png</t>
  </si>
  <si>
    <t>St. Bernard Rural Health Unit</t>
  </si>
  <si>
    <t>St. Bernard Southern Leyte</t>
  </si>
  <si>
    <t>gmccap2@yahoo.com</t>
  </si>
  <si>
    <t>All module passed (C1, C2)</t>
  </si>
  <si>
    <t>https://www.jotform.com/uploads/macarewecare/222927978372067/5704094892011780087/5704094892011780087_signature_28.png</t>
  </si>
  <si>
    <t>Gary M. Capili</t>
  </si>
  <si>
    <t>https://www.jotform.com/uploads/macarewecare/222927978372067/5704094892011780087/5704094892011780087_signature_31.png</t>
  </si>
  <si>
    <t>Rodriguez Rhu</t>
  </si>
  <si>
    <t>J.P Rizal,Rodriguez,Montalban</t>
  </si>
  <si>
    <t xml:space="preserve">ASSAY: Xpert MTB/RIF Ultra, COUNT: 2528
ASSAY: Xpert HIV-1 Viral Load, COUNT: 36
</t>
  </si>
  <si>
    <t>https://www.jotform.com/uploads/macarewecare/222927978372067/5704006697815211282/5704006697815211282_signature_28.png</t>
  </si>
  <si>
    <t>https://www.jotform.com/uploads/macarewecare/222927978372067/5704006697815211282/5704006697815211282_signature_31.png</t>
  </si>
  <si>
    <t>Biopath Makati</t>
  </si>
  <si>
    <t>Medical Plaza Makati Amorsolo st,Makati City</t>
  </si>
  <si>
    <t>Laboratry</t>
  </si>
  <si>
    <t>laboratory@biopath.ph</t>
  </si>
  <si>
    <t>Due for maintenance, CPU unable to boot</t>
  </si>
  <si>
    <t>Performed Maintenance
Clleaned Filter,plunger rod,cartridge bay,icore,
Gathered reports</t>
  </si>
  <si>
    <t>Maintenance,and troubleshooting</t>
  </si>
  <si>
    <t>GX operational,CPU booting problem, Mafunction of ups switch</t>
  </si>
  <si>
    <t>https://www.jotform.com/uploads/macarewecare/222927978372067/5704005497819372402/5704005497819372402_signature_28.png</t>
  </si>
  <si>
    <t>Biopath Clinical Diagnostics, Inc.</t>
  </si>
  <si>
    <t>https://www.jotform.com/uploads/macarewecare/222927978372067/5704005497819372402/5704005497819372402_signature_31.png</t>
  </si>
  <si>
    <t>J.P Rizal, Rodriguez,Montalban</t>
  </si>
  <si>
    <t xml:space="preserve">ASSAY: Xpert MTB/RIF Ultra, COUNT: 2497
ASSAY: Xpert HIV-1 Viral Load, COUNT: 115
</t>
  </si>
  <si>
    <t>B1 encounter temp error.</t>
  </si>
  <si>
    <t>https://www.jotform.com/uploads/macarewecare/222927978372067/5704003077818016238/5704003077818016238_signature_28.png</t>
  </si>
  <si>
    <t>https://www.jotform.com/uploads/macarewecare/222927978372067/5704003077818016238/5704003077818016238_signature_31.png</t>
  </si>
  <si>
    <t>lermabpabillan@yahoo.com</t>
  </si>
  <si>
    <t>Replacing Module B3 with SN: 210067890 to SN: 210101815</t>
  </si>
  <si>
    <t>https://www.jotform.com/uploads/macarewecare/222927978372067/5703910015202898651/5703910015202898651_signature_28.png</t>
  </si>
  <si>
    <t>https://www.jotform.com/uploads/macarewecare/222927978372067/5703910015202898651/5703910015202898651_signature_31.png</t>
  </si>
  <si>
    <t>lorrainefabros@yahoo.com</t>
  </si>
  <si>
    <t xml:space="preserve">ASSAY: Xpert MTB/RIF Ultra, COUNT: 652
</t>
  </si>
  <si>
    <t>Performed PM
Replaced Monitor
Intermittent problem on CPU
CPU for reporting
Generated report</t>
  </si>
  <si>
    <t>Replaced Monitor: CNK8322465 -&gt; H22V5SG81A230602126
Troubleshoot CPU</t>
  </si>
  <si>
    <t>Monitor and GX working
CPU for replacement</t>
  </si>
  <si>
    <t>NVisi9n Monitor</t>
  </si>
  <si>
    <t>DR10646</t>
  </si>
  <si>
    <t>https://www.jotform.com/uploads/macarewecare/222927978372067/5703849989512146341/5703849989512146341_signature_28.png</t>
  </si>
  <si>
    <t>Maruja valdez</t>
  </si>
  <si>
    <t>https://www.jotform.com/uploads/macarewecare/222927978372067/5703849989512146341/5703849989512146341_signature_31.png</t>
  </si>
  <si>
    <t xml:space="preserve">ASSAY: Xpert HBV VL, COUNT: 203
ASSAY: Xpert HPV, COUNT: 23
ASSAY: Xpert MTB/RIF Ultra, COUNT: 2945
ASSAY: Xpert HIV-1 Viral Load, COUNT: 269
</t>
  </si>
  <si>
    <t>Replace defective module SN: 675715 with new module SN: 210101739</t>
  </si>
  <si>
    <t>Genexpert module 6 color SN: 210101739</t>
  </si>
  <si>
    <t>https://www.jotform.com/uploads/macarewecare/222927978372067/5703809232809996516/5703809232809996516_signature_28.png</t>
  </si>
  <si>
    <t>https://www.jotform.com/uploads/macarewecare/222927978372067/5703809232809996516/5703809232809996516_signature_31.png</t>
  </si>
  <si>
    <t>Performed Xpertcheck on Module 2</t>
  </si>
  <si>
    <t>Performed Maintenance
Gathered Reports
Performed Module Replacement (210000689 &amp; 861497 - 766317 &amp; 888009)
Performed Functionality Test</t>
  </si>
  <si>
    <t>Xpertcheck Result B2 = Service Required</t>
  </si>
  <si>
    <t>Genexpert Module &amp; Xpertcheck 2pc</t>
  </si>
  <si>
    <t>https://www.jotform.com/uploads/macarewecare/222927978372067/5703800744911307148/5703800744911307148_signature_28.png</t>
  </si>
  <si>
    <t>https://www.jotform.com/uploads/macarewecare/222927978372067/5703800744911307148/5703800744911307148_signature_31.png</t>
  </si>
  <si>
    <t>Bulanao, Tabuk City, Kalinga</t>
  </si>
  <si>
    <t>Module 2 error 2008</t>
  </si>
  <si>
    <t>Module 2 for Reporting</t>
  </si>
  <si>
    <t>https://www.jotform.com/uploads/macarewecare/222927978372067/5703789974919231459/5703789974919231459_signature_28.png</t>
  </si>
  <si>
    <t>https://www.jotform.com/uploads/macarewecare/222927978372067/5703789974919231459/5703789974919231459_signature_31.png</t>
  </si>
  <si>
    <t>City Hall Compound,  Brgy. Calipay, Masbate</t>
  </si>
  <si>
    <t>Module B2/730126, B3/662583, B4/635443 for replacement</t>
  </si>
  <si>
    <t>Replaced module: B2-730126&gt;&gt;210101870, B3-662583&gt;&gt;210101899, B4-635443&gt;&gt;210101900
Cleaned fan, fan filter B1 cartridge bays, plunger rod, Icore
Generate reports</t>
  </si>
  <si>
    <t>Replaced B2,B3, B4 modules
Performed Preventive Maintenance</t>
  </si>
  <si>
    <t>https://www.jotform.com/uploads/macarewecare/222927978372067/5703402900812739009/5703402900812739009_signature_28.png</t>
  </si>
  <si>
    <t>https://www.jotform.com/uploads/macarewecare/222927978372067/5703402900812739009/5703402900812739009_signature_31.png</t>
  </si>
  <si>
    <t>Pilar Rural Health Office</t>
  </si>
  <si>
    <t>B2/877102, B3/807693 for Module Replacement</t>
  </si>
  <si>
    <t>Replaced Module: B2/877102&gt;&gt;650253, B3/807693&gt;&gt;880428
Cleaned cartridge bays, plunger rod, icore, fan, fan filter 
Generate reports</t>
  </si>
  <si>
    <t>Replaced Module B2, B3</t>
  </si>
  <si>
    <t>https://www.jotform.com/uploads/macarewecare/222927978372067/5703402300816812817/5703402300816812817_signature_28.png</t>
  </si>
  <si>
    <t>https://www.jotform.com/uploads/macarewecare/222927978372067/5703402300816812817/5703402300816812817_signature_31.png</t>
  </si>
  <si>
    <t>Seminary Rd., Quezon City</t>
  </si>
  <si>
    <t>Printer not setup yet</t>
  </si>
  <si>
    <t>Performed PM
Download and Installed driver for printer
Print test page
Generated report</t>
  </si>
  <si>
    <t>Setup printer</t>
  </si>
  <si>
    <t>Unit is operational
Printer working</t>
  </si>
  <si>
    <t>https://www.jotform.com/uploads/macarewecare/222927978372067/5703113566917115324/5703113566917115324_signature_28.png</t>
  </si>
  <si>
    <t>Leagin palmejar</t>
  </si>
  <si>
    <t>https://www.jotform.com/uploads/macarewecare/222927978372067/5703113566917115324/5703113566917115324_signature_31.png</t>
  </si>
  <si>
    <t xml:space="preserve">ASSAY: Xpert MTB/RIF Ultra, COUNT: 1974
</t>
  </si>
  <si>
    <t>Module 3 and 4 undergone Xpertcheck calibration</t>
  </si>
  <si>
    <t>All modules are available  module 3 and 4 passes the calibration</t>
  </si>
  <si>
    <t>https://www.jotform.com/uploads/macarewecare/222927978372067/5703112076375195372/5703112076375195372_signature_28.png</t>
  </si>
  <si>
    <t>https://www.jotform.com/uploads/macarewecare/222927978372067/5703112076375195372/5703112076375195372_signature_31.png</t>
  </si>
  <si>
    <t>Sumulong Highway</t>
  </si>
  <si>
    <t xml:space="preserve">ASSAY: Xpert SARS-CoV-2, COUNT: 3632
</t>
  </si>
  <si>
    <t>Installed the GeneXpert unit</t>
  </si>
  <si>
    <t>Installed the GeneXpert unit
Performed maintenance
Cleaned cartridge bay, plunger rod, icore and filter
Generated reports</t>
  </si>
  <si>
    <t>Unit from NBP</t>
  </si>
  <si>
    <t>https://www.jotform.com/uploads/macarewecare/222927978372067/5703105377716239394/5703105377716239394_signature_28.png</t>
  </si>
  <si>
    <t>Vita Salen</t>
  </si>
  <si>
    <t>https://www.jotform.com/uploads/macarewecare/222927978372067/5703105377716239394/5703105377716239394_signature_31.png</t>
  </si>
  <si>
    <t>Angeles Pampanga</t>
  </si>
  <si>
    <t xml:space="preserve">ASSAY: Xpert MTB/RIF Ultra, COUNT: 2674
ASSAY: Xpert HIV-1 Viral Load, COUNT: 741
</t>
  </si>
  <si>
    <t>B2 for Re-xpertcheck</t>
  </si>
  <si>
    <t>B2 failed calibration</t>
  </si>
  <si>
    <t>https://www.jotform.com/uploads/macarewecare/222927978372067/5703076200894736599/5703076200894736599_signature_28.png</t>
  </si>
  <si>
    <t>https://www.jotform.com/uploads/macarewecare/222927978372067/5703076200894736599/5703076200894736599_signature_31.png</t>
  </si>
  <si>
    <t>Sangandaan, Caloocan</t>
  </si>
  <si>
    <t>CPU does not boot up</t>
  </si>
  <si>
    <t>Performed PM
Checked CPU
Documented CPU problem for reporting
Generated report</t>
  </si>
  <si>
    <t>Documented the problem for reporting</t>
  </si>
  <si>
    <t>https://www.jotform.com/uploads/macarewecare/222927978372067/5703008493903234087/5703008493903234087_signature_28.png</t>
  </si>
  <si>
    <t>Albert Igama</t>
  </si>
  <si>
    <t>https://www.jotform.com/uploads/macarewecare/222927978372067/5703008493903234087/5703008493903234087_signature_31.png</t>
  </si>
  <si>
    <t xml:space="preserve">ASSAY: Xpert MTB/RIF Ultra, COUNT: 2622
</t>
  </si>
  <si>
    <t>Printer not working as intended</t>
  </si>
  <si>
    <t>Performed Maintenance
Gathered Reports
Performed Module Replacement (210046343 - 210102203)
Performed Functionality Test</t>
  </si>
  <si>
    <t>Printer for Replacement</t>
  </si>
  <si>
    <t>https://www.jotform.com/uploads/macarewecare/222927978372067/5703000107123244605/5703000107123244605_signature_28.png</t>
  </si>
  <si>
    <t>RHEA MARIE S. RODRIGUEZ</t>
  </si>
  <si>
    <t>https://www.jotform.com/uploads/macarewecare/222927978372067/5703000107123244605/5703000107123244605_signature_31.png</t>
  </si>
  <si>
    <t>Candijay, bohol</t>
  </si>
  <si>
    <t>Defective module B4 860995</t>
  </si>
  <si>
    <t>New module installed B4 681484,</t>
  </si>
  <si>
    <t>New module installed B4 681484, clean fan and filter, get copy of IQR, system log and assay stats</t>
  </si>
  <si>
    <t>https://www.jotform.com/uploads/macarewecare/222927978372067/5702981973913349669/5702981973913349669_signature_28.png</t>
  </si>
  <si>
    <t>https://www.jotform.com/uploads/macarewecare/222927978372067/5702981973913349669/5702981973913349669_signature_31.png</t>
  </si>
  <si>
    <t>https://www.jotform.com/uploads/macarewecare/222927978372067/5702981753911256471/5702981753911256471_signature_28.png</t>
  </si>
  <si>
    <t>https://www.jotform.com/uploads/macarewecare/222927978372067/5702981753911256471/5702981753911256471_signature_31.png</t>
  </si>
  <si>
    <t>Rd 10, Bagong Pag-Asa, Quezon City</t>
  </si>
  <si>
    <t>erlindalorilla026@gmail.com</t>
  </si>
  <si>
    <t xml:space="preserve">ASSAY: Xpert HPV, COUNT: 174
ASSAY: Xpert MTB/RIF Ultra, COUNT: 1522
</t>
  </si>
  <si>
    <t>CPU Intermittent problem not booting up
Monitor for back up only</t>
  </si>
  <si>
    <t>Performed PM
Archived tests and saved all reports to new CPU
Replaced monitor and CPU
Generated report</t>
  </si>
  <si>
    <t>Replaced monitor and CPU
MONITOR: CNK83224Q2 -&gt; H22V5SG81A230603426
CPU: 2UA8471VRW -&gt; CPH1119F03692</t>
  </si>
  <si>
    <t>Unit it operational
All modules working</t>
  </si>
  <si>
    <t>GX Lenovo CPU and Nvision Monitor</t>
  </si>
  <si>
    <t>DR 10647, 10648</t>
  </si>
  <si>
    <t>https://www.jotform.com/uploads/macarewecare/222927978372067/5702960115024638901/5702960115024638901_signature_28.png</t>
  </si>
  <si>
    <t>Erlinda Lorilla</t>
  </si>
  <si>
    <t>https://www.jotform.com/uploads/macarewecare/222927978372067/5702960115024638901/5702960115024638901_signature_31.png</t>
  </si>
  <si>
    <t xml:space="preserve">ASSAY: Xpert MTB/RIF Ultra, COUNT: 420
</t>
  </si>
  <si>
    <t>Module Replacement (672411 - 210020302)</t>
  </si>
  <si>
    <t>https://www.jotform.com/uploads/macarewecare/222927978372067/5702912691131245012/5702912691131245012_signature_28.png</t>
  </si>
  <si>
    <t>https://www.jotform.com/uploads/macarewecare/222927978372067/5702912691131245012/5702912691131245012_signature_31.png</t>
  </si>
  <si>
    <t>E. Rodriguez Sr. Boulevard</t>
  </si>
  <si>
    <t>msmababa@dlsmc.ph</t>
  </si>
  <si>
    <t>Installed GeneXpert System
Checked Outlet Voltage, UPS Voltage Output.
Generate Reports</t>
  </si>
  <si>
    <t>SI 96262</t>
  </si>
  <si>
    <t>https://www.jotform.com/uploads/macarewecare/222927978372067/5702212663615069684/5702212663615069684_signature_28.png</t>
  </si>
  <si>
    <t>Marie Joy Mababa</t>
  </si>
  <si>
    <t>https://www.jotform.com/uploads/macarewecare/222927978372067/5702212663615069684/5702212663615069684_signature_31.png</t>
  </si>
  <si>
    <t>Unit is for GX Software Upgrade</t>
  </si>
  <si>
    <t>Performed Maintenance
Install Latest GX Software
Generate Reports</t>
  </si>
  <si>
    <t>15 Modules are Operational, 1 Module Reported</t>
  </si>
  <si>
    <t>https://www.jotform.com/uploads/macarewecare/222927978372067/5702212663617419631/5702212663617419631_signature_28.png</t>
  </si>
  <si>
    <t>Angelita Pabruada</t>
  </si>
  <si>
    <t>https://www.jotform.com/uploads/macarewecare/222927978372067/5702212663617419631/5702212663617419631_signature_31.png</t>
  </si>
  <si>
    <t>GXXVI-8-10C</t>
  </si>
  <si>
    <t>Install GeneXpert System
Generate Reports</t>
  </si>
  <si>
    <t>https://www.jotform.com/uploads/macarewecare/222927978372067/5702212663619585376/5702212663619585376_signature_28.png</t>
  </si>
  <si>
    <t>https://www.jotform.com/uploads/macarewecare/222927978372067/5702212663619585376/5702212663619585376_signature_31.png</t>
  </si>
  <si>
    <t>Module 1 and 3 error</t>
  </si>
  <si>
    <t>Peformed Xpertcheck on Module 1 and 3</t>
  </si>
  <si>
    <t>Performed Maintenance
Gathered Reports
Performed Module Replacement (862047 - 719422)
Performed Functionality Test</t>
  </si>
  <si>
    <t>Xpertcheck Result = (B1 &amp; B3 = Passed)</t>
  </si>
  <si>
    <t>https://www.jotform.com/uploads/macarewecare/222927978372067/5702201780242442118/5702201780242442118_signature_28.png</t>
  </si>
  <si>
    <t>https://www.jotform.com/uploads/macarewecare/222927978372067/5702201780242442118/5702201780242442118_signature_31.png</t>
  </si>
  <si>
    <t>Alcala Municipal Health Office</t>
  </si>
  <si>
    <t>Centro Norte, Alcala, Cagayan</t>
  </si>
  <si>
    <t>rhualcala@gmail.com</t>
  </si>
  <si>
    <t xml:space="preserve">ASSAY: Xpert MTB/RIF Ultra, COUNT: 323
</t>
  </si>
  <si>
    <t>Module Replacement = 210006638 - 692359</t>
  </si>
  <si>
    <t>https://www.jotform.com/uploads/macarewecare/222927978372067/5702103577025545664/5702103577025545664_signature_28.png</t>
  </si>
  <si>
    <t>Clarisa Pascual</t>
  </si>
  <si>
    <t>https://www.jotform.com/uploads/macarewecare/222927978372067/5702103577025545664/5702103577025545664_signature_31.png</t>
  </si>
  <si>
    <t xml:space="preserve">ASSAY: Xpert MTB/RIF Ultra, COUNT: 2618
ASSAY: Xpert SARS-CoV-2, COUNT: 6730
</t>
  </si>
  <si>
    <t>Booting issue</t>
  </si>
  <si>
    <t>Installed GX Software 6.4</t>
  </si>
  <si>
    <t>https://www.jotform.com/uploads/macarewecare/222927978372067/5702058955628122362/5702058955628122362_signature_28.png</t>
  </si>
  <si>
    <t>https://www.jotform.com/uploads/macarewecare/222927978372067/5702058955628122362/5702058955628122362_signature_31.png</t>
  </si>
  <si>
    <t>Module Replacement = 696059 - 210102238</t>
  </si>
  <si>
    <t>https://www.jotform.com/uploads/macarewecare/222927978372067/5702053175623711617/5702053175623711617_signature_28.png</t>
  </si>
  <si>
    <t>https://www.jotform.com/uploads/macarewecare/222927978372067/5702053175623711617/5702053175623711617_signature_31.png</t>
  </si>
  <si>
    <t>Performed maintenance
Replaced module C3
Generated reports</t>
  </si>
  <si>
    <t>https://www.jotform.com/uploads/macarewecare/222927978372067/5702020863614647586/5702020863614647586_signature_28.png</t>
  </si>
  <si>
    <t>Hellen joy Rivera</t>
  </si>
  <si>
    <t>https://www.jotform.com/uploads/macarewecare/222927978372067/5702020863614647586/5702020863614647586_signature_31.png</t>
  </si>
  <si>
    <t>https://www.jotform.com/uploads/macarewecare/222927978372067/5702020773612298998/5702020773612298998_signature_28.png</t>
  </si>
  <si>
    <t>https://www.jotform.com/uploads/macarewecare/222927978372067/5702020773612298998/5702020773612298998_signature_31.png</t>
  </si>
  <si>
    <t xml:space="preserve">ASSAY: Xpert MTB/RIF Ultra, COUNT: 4527
ASSAY: Xpert SARS-CoV-2, COUNT: 4316
</t>
  </si>
  <si>
    <t>For additional troubleshooting, gathered version of gateway board</t>
  </si>
  <si>
    <t>Performed troubleshooting
Get additional info of gateway board
Gathered reports 
Test run unit</t>
  </si>
  <si>
    <t>B3 reported, 15 modules operational</t>
  </si>
  <si>
    <t>https://www.jotform.com/uploads/macarewecare/222927978372067/5701999218021216679/5701999218021216679_signature_28.png</t>
  </si>
  <si>
    <t>https://www.jotform.com/uploads/macarewecare/222927978372067/5701999218021216679/5701999218021216679_signature_31.png</t>
  </si>
  <si>
    <t>Carigara District Hospital</t>
  </si>
  <si>
    <t>Carigara Leyte</t>
  </si>
  <si>
    <t>profetanaerlarhyn@yahoo.com.ph</t>
  </si>
  <si>
    <t>https://www.jotform.com/uploads/macarewecare/222927978372067/5701974536114705363/5701974536114705363_signature_28.png</t>
  </si>
  <si>
    <t>Erla Rhyn Profetana</t>
  </si>
  <si>
    <t>https://www.jotform.com/uploads/macarewecare/222927978372067/5701974536114705363/5701974536114705363_signature_31.png</t>
  </si>
  <si>
    <t xml:space="preserve">ASSAY: Xpert MTB/RIF Ultra, COUNT: 1709
</t>
  </si>
  <si>
    <t>B1/210015304, B3/861164 for Module Replacement</t>
  </si>
  <si>
    <t>Replaced Module: B1-210015304&gt;&gt;676102, B3-861164&gt;&gt;739734
Cleaned cartridge bays, plunger rod, icore, fan, fan filter 
Generate reports</t>
  </si>
  <si>
    <t>Replaced B1,B3 Modules
Performed Preventive Maintenance</t>
  </si>
  <si>
    <t>https://www.jotform.com/uploads/macarewecare/222927978372067/5701655659223005718/5701655659223005718_signature_28.png</t>
  </si>
  <si>
    <t>https://www.jotform.com/uploads/macarewecare/222927978372067/5701655659223005718/5701655659223005718_signature_31.png</t>
  </si>
  <si>
    <t>Lanao del Norte Provincial Hospital</t>
  </si>
  <si>
    <t>Sagadan, Baroy Lanao Del Norted</t>
  </si>
  <si>
    <t xml:space="preserve">ASSAY: Xpert MTB/RIF Ultra, COUNT: 1779
</t>
  </si>
  <si>
    <t>B1, B2, B3 Failed during calibration  only B4 passed the calibration</t>
  </si>
  <si>
    <t>Performed calibration of genexpert machine</t>
  </si>
  <si>
    <t>Performed calibration, conduct Preventive maintenance, clean Icore, clean valve and plunger</t>
  </si>
  <si>
    <t>https://www.jotform.com/uploads/macarewecare/222927978372067/5700376394111540043/5700376394111540043_signature_28.png</t>
  </si>
  <si>
    <t>Anna Marie Tubio</t>
  </si>
  <si>
    <t>https://www.jotform.com/uploads/macarewecare/222927978372067/5700376394111540043/5700376394111540043_signature_31.png</t>
  </si>
  <si>
    <t>Maayas-as St., San Naeciso, Quezon Province</t>
  </si>
  <si>
    <t>Module B1 hinge not going down motion</t>
  </si>
  <si>
    <t>Checked and cleaned cartridge bays, icore slot, plunger rod and filter
Troubleshoot Module 1 
Checked hinge up and down motions
Problem solved
Generated report</t>
  </si>
  <si>
    <t>Troubleshoot module B1</t>
  </si>
  <si>
    <t>https://www.jotform.com/uploads/macarewecare/222927978372067/5699879800615754512/5699879800615754512_signature_28.png</t>
  </si>
  <si>
    <t>Ma. Morena V. Dimaculangan</t>
  </si>
  <si>
    <t>https://www.jotform.com/uploads/macarewecare/222927978372067/5699879800615754512/5699879800615754512_signature_31.png</t>
  </si>
  <si>
    <t>UP Ayala Technohub, Commonwealth Avenue, Quezon City</t>
  </si>
  <si>
    <t>None, back-up unit for installation</t>
  </si>
  <si>
    <t>Installed back-up unit
Performed unit calibration</t>
  </si>
  <si>
    <t>Sepax 2 S-100</t>
  </si>
  <si>
    <t>https://www.jotform.com/uploads/macarewecare/222927978372067/5699735749419859331/5699735749419859331_signature_28.png</t>
  </si>
  <si>
    <t>https://www.jotform.com/uploads/macarewecare/222927978372067/5699735749419859331/5699735749419859331_signature_31.png</t>
  </si>
  <si>
    <t xml:space="preserve">ASSAY: Xpert MTB/RIF Ultra, COUNT: 2421
</t>
  </si>
  <si>
    <t>B2 SN 662968 encountered multiple error of 1002 and 4009</t>
  </si>
  <si>
    <t>Reset module 2 SN-662968 , clean up Icore, cartridge bay, valve and plunger</t>
  </si>
  <si>
    <t>All modules are operational except module 2.</t>
  </si>
  <si>
    <t>https://www.jotform.com/uploads/macarewecare/222927978372067/5699709054112046209/5699709054112046209_signature_28.png</t>
  </si>
  <si>
    <t>https://www.jotform.com/uploads/macarewecare/222927978372067/5699709054112046209/5699709054112046209_signature_31.png</t>
  </si>
  <si>
    <t>Ozamiz-Oroquieta National Highway 7200 Ozamis City Misamis Occidental ·</t>
  </si>
  <si>
    <t xml:space="preserve">ASSAY: Xpert MTB/RIF Ultra, COUNT: 217
ASSAY: Xpert SARS-CoV-2, COUNT: 5396
</t>
  </si>
  <si>
    <t>Module 3 encountered an error of 4019 thermistor and heater problem</t>
  </si>
  <si>
    <t>Reset module 3 SN- 784125 ,clean up Icore, cartridge bay, valve and plunger</t>
  </si>
  <si>
    <t>All modules are operational except module 3</t>
  </si>
  <si>
    <t>https://www.jotform.com/uploads/macarewecare/222927978372067/5699705094117425577/5699705094117425577_signature_28.png</t>
  </si>
  <si>
    <t>https://www.jotform.com/uploads/macarewecare/222927978372067/5699705094117425577/5699705094117425577_signature_31.png</t>
  </si>
  <si>
    <t xml:space="preserve">ASSAY: Xpert MTB/RIF, COUNT: 703
</t>
  </si>
  <si>
    <t>Due for Calibration and preventive maintenance</t>
  </si>
  <si>
    <t>Performed maintenance and calibration of GeneXpert machine</t>
  </si>
  <si>
    <t>Performed calibration in all modules , clean up Icore, cartridge bay, valve and plunger</t>
  </si>
  <si>
    <t>B1-Passed , B2-Retry and Failed Service Required, B3- Passed, B4-Passed</t>
  </si>
  <si>
    <t>https://www.jotform.com/uploads/macarewecare/222927978372067/5699699744111930840/5699699744111930840_signature_28.png</t>
  </si>
  <si>
    <t>https://www.jotform.com/uploads/macarewecare/222927978372067/5699699744111930840/5699699744111930840_signature_31.png</t>
  </si>
  <si>
    <t>B1 - Passed , B2 - Passed , B3 - Passed, B4 - Retry and Service Required</t>
  </si>
  <si>
    <t>https://www.jotform.com/uploads/macarewecare/222927978372067/5699695484119223604/5699695484119223604_signature_28.png</t>
  </si>
  <si>
    <t>https://www.jotform.com/uploads/macarewecare/222927978372067/5699695484119223604/5699695484119223604_signature_31.png</t>
  </si>
  <si>
    <t>Kauswagan Lanao del Norted</t>
  </si>
  <si>
    <t>Due for annual calibration</t>
  </si>
  <si>
    <t>All modules passed during the calibration</t>
  </si>
  <si>
    <t>https://www.jotform.com/uploads/macarewecare/222927978372067/5699692464119439593/5699692464119439593_signature_28.png</t>
  </si>
  <si>
    <t>https://www.jotform.com/uploads/macarewecare/222927978372067/5699692464119439593/5699692464119439593_signature_31.png</t>
  </si>
  <si>
    <t>Semenary Rd., Brgy Bahay Turo, QC</t>
  </si>
  <si>
    <t>Pathology</t>
  </si>
  <si>
    <t>ON-SITE ASSISTANCE
Unit relocation.</t>
  </si>
  <si>
    <t>None unit relocation</t>
  </si>
  <si>
    <t>Performed unit relocation</t>
  </si>
  <si>
    <t>Perforned unit relocation</t>
  </si>
  <si>
    <t>https://www.jotform.com/uploads/macarewecare/222927978372067/5699677206892136630/5699677206892136630_signature_28.png</t>
  </si>
  <si>
    <t>Milma Laxina</t>
  </si>
  <si>
    <t>https://www.jotform.com/uploads/macarewecare/222927978372067/5699677206892136630/5699677206892136630_signature_31.png</t>
  </si>
  <si>
    <t>arvingregorio71@yahoo.com</t>
  </si>
  <si>
    <t>Gentlemacs octo Dissociator</t>
  </si>
  <si>
    <t>Performed Maintenance
Cleaned unit
Checked and test lcd display
Checked program parameters
Cheked tube holder wear and tear
Cheked heater film
Perfomed functionality test
Checked temperature and calibration</t>
  </si>
  <si>
    <t>Preventive maintenance,Calibration</t>
  </si>
  <si>
    <t>https://www.jotform.com/uploads/macarewecare/222927978372067/5699656940425603760/5699656940425603760_signature_28.png</t>
  </si>
  <si>
    <t>Arvin Gregorio</t>
  </si>
  <si>
    <t>https://www.jotform.com/uploads/macarewecare/222927978372067/5699656940425603760/5699656940425603760_signature_31.png</t>
  </si>
  <si>
    <t>UP Manila, Pedri Gil, Ermita</t>
  </si>
  <si>
    <t xml:space="preserve">ASSAY: Xpert CT/NG, COUNT: 12
ASSAY: Xpert HBV VL, COUNT: 20
ASSAY: Xpert MTB/RIF Ultra, COUNT: 6
ASSAY: Others, COUNT: MTB-XDR - 1
ASSAY: Xpert HCV VL, COUNT: 16
ASSAY: Xpert HIV-1 Viral Load, COUNT: 151
</t>
  </si>
  <si>
    <t>GC16-10C</t>
  </si>
  <si>
    <t>Unit for PM.
For module replacement of module D2.</t>
  </si>
  <si>
    <t>Performed PM.
Performed module replacement on D2.
Generated reports.</t>
  </si>
  <si>
    <t>GX module D2 (210010323) in replacement to defective D2 (210070086).</t>
  </si>
  <si>
    <t>DR#10629</t>
  </si>
  <si>
    <t>https://www.jotform.com/uploads/macarewecare/222927978372067/5699655292841690157/5699655292841690157_signature_28.png</t>
  </si>
  <si>
    <t>https://www.jotform.com/uploads/macarewecare/222927978372067/5699655292841690157/5699655292841690157_signature_31.png</t>
  </si>
  <si>
    <t>jvdiaz.pbsp@gmail.com</t>
  </si>
  <si>
    <t xml:space="preserve">ASSAY: Xpert CT/NG, COUNT: 5
ASSAY: Xpert MTB/RIF Ultra, COUNT: 893
ASSAY: Xpert SARS-CoV-2, COUNT: 2426
ASSAY: Xpert HIV-1 Viral Load, COUNT: 30
</t>
  </si>
  <si>
    <t>Module D4 for replacement</t>
  </si>
  <si>
    <t>Replaced D4</t>
  </si>
  <si>
    <t>GeneXpert Module
SN: 210102195</t>
  </si>
  <si>
    <t>G 6263</t>
  </si>
  <si>
    <t>https://www.jotform.com/uploads/macarewecare/222927978372067/5699653663252057009/5699653663252057009_signature_28.png</t>
  </si>
  <si>
    <t>Jim Vianne Diaz</t>
  </si>
  <si>
    <t>https://www.jotform.com/uploads/macarewecare/222927978372067/5699653663252057009/5699653663252057009_signature_31.png</t>
  </si>
  <si>
    <t>https://www.jotform.com/uploads/macarewecare/222927978372067/5699619540654293764/5699619540654293764_signature_28.png</t>
  </si>
  <si>
    <t>https://www.jotform.com/uploads/macarewecare/222927978372067/5699619540654293764/5699619540654293764_signature_31.png</t>
  </si>
  <si>
    <t>B2/807309 for Module Replacement</t>
  </si>
  <si>
    <t>Replaced Module: B2 - 807309&gt;&gt;878474
Cleaned cartridge bays, plunger rod, fan filter, icore, fan
Generate reports</t>
  </si>
  <si>
    <t>Replaced B2 module
Performed Preventive Maintenance</t>
  </si>
  <si>
    <t>https://www.jotform.com/uploads/macarewecare/222927978372067/5699614821333598505/5699614821333598505_signature_28.png</t>
  </si>
  <si>
    <t>https://www.jotform.com/uploads/macarewecare/222927978372067/5699614821333598505/5699614821333598505_signature_31.png</t>
  </si>
  <si>
    <t>Rizal Street, Padada Davao del Sur</t>
  </si>
  <si>
    <t>rhupadada8007@gmail.com</t>
  </si>
  <si>
    <t>Run Calibration on four Modules</t>
  </si>
  <si>
    <t>Modules B2 B3 B4 passed the Calibration
Module B1 for service required</t>
  </si>
  <si>
    <t>DR 10443</t>
  </si>
  <si>
    <t>https://www.jotform.com/uploads/macarewecare/222927978372067/5699601318024525625/5699601318024525625_signature_28.png</t>
  </si>
  <si>
    <t>Jimmy Cabungcal</t>
  </si>
  <si>
    <t>https://www.jotform.com/uploads/macarewecare/222927978372067/5699601318024525625/5699601318024525625_signature_31.png</t>
  </si>
  <si>
    <t>Jose Panganiban Rural Health Unit I</t>
  </si>
  <si>
    <t>Jose Panganiban</t>
  </si>
  <si>
    <t>materesitapenas@gmail.com</t>
  </si>
  <si>
    <t xml:space="preserve">ASSAY: Xpert MTB/RIF Ultra, COUNT: 1674
</t>
  </si>
  <si>
    <t>Date and Time resetting</t>
  </si>
  <si>
    <t>Replaced Bios/CMOS Battery
Generate reports</t>
  </si>
  <si>
    <t>Replace Bios/CMOS Battery</t>
  </si>
  <si>
    <t>https://www.jotform.com/uploads/macarewecare/222927978372067/5699579451333278176/5699579451333278176_signature_28.png</t>
  </si>
  <si>
    <t>Ma.Teresita G, Peñas</t>
  </si>
  <si>
    <t>https://www.jotform.com/uploads/macarewecare/222927978372067/5699579451333278176/5699579451333278176_signature_31.png</t>
  </si>
  <si>
    <t xml:space="preserve">ASSAY: Xpert HPV, COUNT: 35
ASSAY: , COUNT: 1642
</t>
  </si>
  <si>
    <t>Unit for PM.
For troubleshooting of module A4.</t>
  </si>
  <si>
    <t>Performed PM.
Performed Xpertcheck on module A4.
Generated reports.</t>
  </si>
  <si>
    <t>Unit is operational. Module A4</t>
  </si>
  <si>
    <t>https://www.jotform.com/uploads/macarewecare/222927978372067/5699529341813158200/5699529341813158200_signature_28.png</t>
  </si>
  <si>
    <t>Noel C. Alejandrino</t>
  </si>
  <si>
    <t>https://www.jotform.com/uploads/macarewecare/222927978372067/5699529341813158200/5699529341813158200_signature_31.png</t>
  </si>
  <si>
    <t xml:space="preserve">ASSAY: Xpert HPV, COUNT: 35
ASSAY: Xpert MTB/RIF Ultra, COUNT: 1642
</t>
  </si>
  <si>
    <t>GeneXpert was not detected on software.
Unit for PM.</t>
  </si>
  <si>
    <t>Performed troubleshooting.
Installed new lan cable.
Performed PM. 
Generated reports.</t>
  </si>
  <si>
    <t>Used 1 spare lan cable</t>
  </si>
  <si>
    <t>https://www.jotform.com/uploads/macarewecare/222927978372067/5699528431816833982/5699528431816833982_signature_28.png</t>
  </si>
  <si>
    <t>https://www.jotform.com/uploads/macarewecare/222927978372067/5699528431816833982/5699528431816833982_signature_31.png</t>
  </si>
  <si>
    <t>Poblacion, Sta. Cruz Davao Del Sur</t>
  </si>
  <si>
    <t xml:space="preserve">ASSAY: Xpert MTB/RIF, COUNT: 32
ASSAY: Xpert MTB/RIF Ultra, COUNT: 565
</t>
  </si>
  <si>
    <t>Run XPC Calibration of Four Modules</t>
  </si>
  <si>
    <t>Perform XPC Calibration</t>
  </si>
  <si>
    <t>Modules B1 and B3 for service Required
Modules B2 and B4 passed the Calibration</t>
  </si>
  <si>
    <t>Modules b1 and b3 are for ubder observation</t>
  </si>
  <si>
    <t>DR 10447</t>
  </si>
  <si>
    <t>https://www.jotform.com/uploads/macarewecare/222927978372067/5699522497325918147/5699522497325918147_signature_28.png</t>
  </si>
  <si>
    <t>MAY ANN E CALAÑO</t>
  </si>
  <si>
    <t>https://www.jotform.com/uploads/macarewecare/222927978372067/5699522497325918147/5699522497325918147_signature_31.png</t>
  </si>
  <si>
    <t xml:space="preserve">ASSAY: Xpert MTB/RIF Ultra, COUNT: 863
ASSAY: Xpert HIV-1 Viral Load, COUNT: 19
</t>
  </si>
  <si>
    <t>A1 for additional troubleshooting</t>
  </si>
  <si>
    <t>Performed preventive maintenance
Performed Cepheid troubleshooting procedure
Archived test results
Gathered reports
Performed functionality test</t>
  </si>
  <si>
    <t>Unit us operational except A1</t>
  </si>
  <si>
    <t>https://www.jotform.com/uploads/macarewecare/222927978372067/5699495809426939205/5699495809426939205_signature_28.png</t>
  </si>
  <si>
    <t>Bkesilda G. Dueñas</t>
  </si>
  <si>
    <t>https://www.jotform.com/uploads/macarewecare/222927978372067/5699495809426939205/5699495809426939205_signature_31.png</t>
  </si>
  <si>
    <t xml:space="preserve">ASSAY: Xpert MTB/RIF Ultra, COUNT: 700
ASSAY: Xpert HIV-1 Viral Load, COUNT: 33
</t>
  </si>
  <si>
    <t>Replace defective module 4 SN:637815 with new module SN:210102259</t>
  </si>
  <si>
    <t>Genexpert module 6 color SN:210102259</t>
  </si>
  <si>
    <t>https://www.jotform.com/uploads/macarewecare/222927978372067/5699480301217623894/5699480301217623894_signature_28.png</t>
  </si>
  <si>
    <t>Renee Liz M. Rosa</t>
  </si>
  <si>
    <t>https://www.jotform.com/uploads/macarewecare/222927978372067/5699480301217623894/5699480301217623894_signature_31.png</t>
  </si>
  <si>
    <t>Tb -lab</t>
  </si>
  <si>
    <t xml:space="preserve">ASSAY: Xpert MTB/RIF Ultra, COUNT: 1362
</t>
  </si>
  <si>
    <t>Module 1, 2, 3 and 4 for service Required</t>
  </si>
  <si>
    <t>Replace defective module 1 SN: 862407 with new module SN: 693761
Replace defective module 4 SN: 861946 with new module SN: 913187</t>
  </si>
  <si>
    <t>DR no.: 10532 and 10544</t>
  </si>
  <si>
    <t>https://www.jotform.com/uploads/macarewecare/222927978372067/5699464971218286242/5699464971218286242_signature_28.png</t>
  </si>
  <si>
    <t>https://www.jotform.com/uploads/macarewecare/222927978372067/5699464971218286242/5699464971218286242_signature_31.png</t>
  </si>
  <si>
    <t xml:space="preserve">ASSAY: Xpert BCR-ABL Ultra, COUNT: 16
ASSAY: Xpert CT/NG, COUNT: 20
ASSAY: Xpert HBV VL, COUNT: 239
ASSAY: Xpert HPV, COUNT: 182
ASSAY: Xpert MTB/RIF Ultra, COUNT: 1770
ASSAY: Others, COUNT: 7
ASSAY: Xpert HCV VL, COUNT: 35
ASSAY: Xpert HIV-1 Viral Load, COUNT: 330
ASSAY: Xpert SARS-CoV-2, COUNT: 5
</t>
  </si>
  <si>
    <t>Relocate the GeneXpert unit</t>
  </si>
  <si>
    <t>Transferred the GeneXpert unit
Performed maintenance
Functionality test</t>
  </si>
  <si>
    <t>Unit is operational. Module D1/210082300 has error 2014 under observation.</t>
  </si>
  <si>
    <t>https://www.jotform.com/uploads/macarewecare/222927978372067/5699462229017455010/5699462229017455010_signature_28.png</t>
  </si>
  <si>
    <t>Xchosa Repatacodo</t>
  </si>
  <si>
    <t>https://www.jotform.com/uploads/macarewecare/222927978372067/5699462229017455010/5699462229017455010_signature_31.png</t>
  </si>
  <si>
    <t xml:space="preserve">ASSAY: Xpert HPV, COUNT: 37
ASSAY: Xpert MTB/RIF Ultra, COUNT: 2
ASSAY: Xpert SARS-CoV-2, COUNT: 4831
</t>
  </si>
  <si>
    <t>Modules 2 and 4 for Replacement</t>
  </si>
  <si>
    <t>2 and 4 Failed in XpertCheck</t>
  </si>
  <si>
    <t>https://www.jotform.com/uploads/macarewecare/222927978372067/5699399173611690414/5699399173611690414_signature_28.png</t>
  </si>
  <si>
    <t>CHRISTIANNE BERNADETTE BAUTISTA</t>
  </si>
  <si>
    <t>https://www.jotform.com/uploads/macarewecare/222927978372067/5699399173611690414/5699399173611690414_signature_31.png</t>
  </si>
  <si>
    <t>Bagong Brgy Health Center</t>
  </si>
  <si>
    <t>W. Zamora, Pandacan</t>
  </si>
  <si>
    <t>Performed Maintenance
Replaced Module 1
Generate Reports</t>
  </si>
  <si>
    <t>https://www.jotform.com/uploads/macarewecare/222927978372067/5699399173612949713/5699399173612949713_signature_28.png</t>
  </si>
  <si>
    <t>Maria Anthea S. Peneyra</t>
  </si>
  <si>
    <t>https://www.jotform.com/uploads/macarewecare/222927978372067/5699399173612949713/5699399173612949713_signature_31.png</t>
  </si>
  <si>
    <t xml:space="preserve">ASSAY: Xpert HPV, COUNT: 29
ASSAY: Xpert MTB/RIF Ultra, COUNT: 2565
ASSAY: Xpert HIV-1 Viral Load, COUNT: 122
</t>
  </si>
  <si>
    <t>863786-&gt;210102263</t>
  </si>
  <si>
    <t>https://www.jotform.com/uploads/macarewecare/222927978372067/5699399173618969395/5699399173618969395_signature_28.png</t>
  </si>
  <si>
    <t>https://www.jotform.com/uploads/macarewecare/222927978372067/5699399173618969395/5699399173618969395_signature_31.png</t>
  </si>
  <si>
    <t xml:space="preserve">ASSAY: Xpert MTB/RIF Ultra, COUNT: 1323
</t>
  </si>
  <si>
    <t>GX Software Lagging</t>
  </si>
  <si>
    <t>Clear RAM Usage
Purged GX Tests
Generate Reports</t>
  </si>
  <si>
    <t>Unit for Software Upgrade</t>
  </si>
  <si>
    <t>https://www.jotform.com/uploads/macarewecare/222927978372067/5699399173619107695/5699399173619107695_signature_28.png</t>
  </si>
  <si>
    <t>https://www.jotform.com/uploads/macarewecare/222927978372067/5699399173619107695/5699399173619107695_signature_31.png</t>
  </si>
  <si>
    <t>Dasmariñas Ciry Health Office II</t>
  </si>
  <si>
    <t>DBB-E, Dasmariñas City</t>
  </si>
  <si>
    <t>CPU Not Booting-Up</t>
  </si>
  <si>
    <t>Reset Connections
Cleaned RAM and SSD
Checked Voltage Outputs of AVR, Power Cables, UPS, Outlet</t>
  </si>
  <si>
    <t>CPU is Defective.</t>
  </si>
  <si>
    <t>CPH0520F08551</t>
  </si>
  <si>
    <t>https://www.jotform.com/uploads/macarewecare/222927978372067/5699399173619869849/5699399173619869849_signature_28.png</t>
  </si>
  <si>
    <t>https://www.jotform.com/uploads/macarewecare/222927978372067/5699399173619869849/5699399173619869849_signature_31.png</t>
  </si>
  <si>
    <t>Tinambac RHU</t>
  </si>
  <si>
    <t>Tinambac</t>
  </si>
  <si>
    <t xml:space="preserve">ASSAY: Xpert MTB/RIF Ultra, COUNT: 1036
</t>
  </si>
  <si>
    <t>B1/665879 for module replacement</t>
  </si>
  <si>
    <t>Replaced module: B1 - 665879&gt;&gt;210100891
Cleaned cartridge bays, plunger rod, fan, icore
Generate reports</t>
  </si>
  <si>
    <t>Unit is  operational</t>
  </si>
  <si>
    <t>https://www.jotform.com/uploads/macarewecare/222927978372067/5699061124224790952/5699061124224790952_signature_28.png</t>
  </si>
  <si>
    <t>https://www.jotform.com/uploads/macarewecare/222927978372067/5699061124224790952/5699061124224790952_signature_31.png</t>
  </si>
  <si>
    <t>Lagonoy RHU</t>
  </si>
  <si>
    <t>Lagonoy</t>
  </si>
  <si>
    <t>barbacenam128@gmail.com</t>
  </si>
  <si>
    <t>For installation of new UPS</t>
  </si>
  <si>
    <t>Check all port connections going to UPS
Generate reports</t>
  </si>
  <si>
    <t>https://www.jotform.com/uploads/macarewecare/222927978372067/5699057784227806053/5699057784227806053_signature_28.png</t>
  </si>
  <si>
    <t>Marietta Barbacena</t>
  </si>
  <si>
    <t>https://www.jotform.com/uploads/macarewecare/222927978372067/5699057784227806053/5699057784227806053_signature_31.png</t>
  </si>
  <si>
    <t>Tigaon MHO</t>
  </si>
  <si>
    <t>jingimperial248@gmail.com</t>
  </si>
  <si>
    <t>B2/862621 for Module Replacement</t>
  </si>
  <si>
    <t>Replaced Module: B2 - 862621&gt;&gt;653396
Cleaned cartridge bays, plunger rod, icore, fan and fan filter
Generate reports</t>
  </si>
  <si>
    <t>https://www.jotform.com/uploads/macarewecare/222927978372067/5699052234222166276/5699052234222166276_signature_28.png</t>
  </si>
  <si>
    <t>https://www.jotform.com/uploads/macarewecare/222927978372067/5699052234222166276/5699052234222166276_signature_31.png</t>
  </si>
  <si>
    <t xml:space="preserve">ASSAY: Xpert MTB/RIF, COUNT: 1349
ASSAY: Xpert MTB/RIF Ultra, COUNT: 3968
ASSAY: Xpert HCV VL, COUNT: 3
ASSAY: Xpert HIV-1 Viral Load, COUNT: 242
</t>
  </si>
  <si>
    <t>Broken Module B3</t>
  </si>
  <si>
    <t>Troubleshoot Module B3</t>
  </si>
  <si>
    <t>Broken Hinge</t>
  </si>
  <si>
    <t>https://www.jotform.com/uploads/macarewecare/222927978372067/5698859928704501342/5698859928704501342_signature_28.png</t>
  </si>
  <si>
    <t>https://www.jotform.com/uploads/macarewecare/222927978372067/5698859928704501342/5698859928704501342_signature_31.png</t>
  </si>
  <si>
    <t xml:space="preserve">ASSAY: Xpert HPV, COUNT: 744
ASSAY: Xpert MTB/RIF Ultra, COUNT: 7455
ASSAY: Xpert SARS-CoV-2, COUNT: 10693
ASSAY: Xpert HIV-1 Viral Load, COUNT: 621
</t>
  </si>
  <si>
    <t>D3 was found error</t>
  </si>
  <si>
    <t>Replacing Module B1 with SN: 685159 to SN: 210102207
Replacing Module B4 with SN: 677191 to SN: 210102261</t>
  </si>
  <si>
    <t>Only 1 module having H/W Failed</t>
  </si>
  <si>
    <t>Upcoming module for D3</t>
  </si>
  <si>
    <t>https://www.jotform.com/uploads/macarewecare/222927978372067/5698803508213961788/5698803508213961788_signature_28.png</t>
  </si>
  <si>
    <t>Alexandra O. Lomongo</t>
  </si>
  <si>
    <t>https://www.jotform.com/uploads/macarewecare/222927978372067/5698803508213961788/5698803508213961788_signature_31.png</t>
  </si>
  <si>
    <t>https://www.jotform.com/uploads/macarewecare/222927978372067/5698793012837645119/5698793012837645119_signature_28.png</t>
  </si>
  <si>
    <t>Catherine I Celestino</t>
  </si>
  <si>
    <t>https://www.jotform.com/uploads/macarewecare/222927978372067/5698793012837645119/5698793012837645119_signature_31.png</t>
  </si>
  <si>
    <t>Fuente Osmeña, Cebu City</t>
  </si>
  <si>
    <t xml:space="preserve">ASSAY: Xpert MTB/RIF, COUNT: 11
</t>
  </si>
  <si>
    <t>Pullout of loan Unit</t>
  </si>
  <si>
    <t>Pullout the following loan unit:
1. GenXpert Machine, SN 802314;
2. Barcode Scanner SN 1214400502325;
3. Acer Laptop with Charger, Model Aspire E14, SN NXGCUSP001624150A07600</t>
  </si>
  <si>
    <t>2 modules operational</t>
  </si>
  <si>
    <t>https://www.jotform.com/uploads/macarewecare/222927978372067/5698788928329372565/5698788928329372565_signature_28.png</t>
  </si>
  <si>
    <t>Reynaldo Manzanares, RMT</t>
  </si>
  <si>
    <t>https://www.jotform.com/uploads/macarewecare/222927978372067/5698788928329372565/5698788928329372565_signature_31.png</t>
  </si>
  <si>
    <t>Module 2 undetected</t>
  </si>
  <si>
    <t>Swapped module 2 to different slots of module to isolate the problem</t>
  </si>
  <si>
    <t>Preventive Maintenence, Xpertcheck calibration and troubleshooting</t>
  </si>
  <si>
    <t>Module 1 passed, module 3 service required, module 4 passed, module 2 still undetected</t>
  </si>
  <si>
    <t>https://www.jotform.com/uploads/macarewecare/222927978372067/5698778166124520274/5698778166124520274_signature_28.png</t>
  </si>
  <si>
    <t>Gina B. Borinaga</t>
  </si>
  <si>
    <t>https://www.jotform.com/uploads/macarewecare/222927978372067/5698778166124520274/5698778166124520274_signature_31.png</t>
  </si>
  <si>
    <t>New Unit Installation</t>
  </si>
  <si>
    <t>https://www.jotform.com/uploads/macarewecare/222927978372067/5698777478324130534/5698777478324130534_signature_28.png</t>
  </si>
  <si>
    <t>Reynaldo Manzanares</t>
  </si>
  <si>
    <t>https://www.jotform.com/uploads/macarewecare/222927978372067/5698777478324130534/5698777478324130534_signature_31.png</t>
  </si>
  <si>
    <t>Poblacion Tagum City</t>
  </si>
  <si>
    <t>Module B1 and B3 encounter temperature error after Calibration</t>
  </si>
  <si>
    <t>Gather data,  Generate IQR, Assay Stat and System Log</t>
  </si>
  <si>
    <t>https://www.jotform.com/uploads/macarewecare/222927978372067/5698749263325494995/5698749263325494995_signature_28.png</t>
  </si>
  <si>
    <t>Cristina Tiara F. Aguilar</t>
  </si>
  <si>
    <t>https://www.jotform.com/uploads/macarewecare/222927978372067/5698749263325494995/5698749263325494995_signature_31.png</t>
  </si>
  <si>
    <t>Module B3 already reported for replacement due to failed in Xpert check last Aug.8 and module B4 withe error 2014 &amp; hardware failed.</t>
  </si>
  <si>
    <t>Conduct PM &amp; Save generate files(IQR, System log and GXC File.</t>
  </si>
  <si>
    <t>Run Xpert check calibration for module B4 with SN 862207. Ang installed the new module for B1 with SN 749095.</t>
  </si>
  <si>
    <t>Module B4 require service due to failed in Xpert check.</t>
  </si>
  <si>
    <t>https://www.jotform.com/uploads/macarewecare/222927978372067/5698742588911155448/5698742588911155448_signature_28.png</t>
  </si>
  <si>
    <t>Glenly C. Casona</t>
  </si>
  <si>
    <t>https://www.jotform.com/uploads/macarewecare/222927978372067/5698742588911155448/5698742588911155448_signature_31.png</t>
  </si>
  <si>
    <t xml:space="preserve">ASSAY: Xpert BCR-ABL Ultra, COUNT: 752
ASSAY: Others, COUNT: 18
ASSAY: Xpert HBV VL, COUNT: 496
ASSAY: Xpert HPV, COUNT: 111
ASSAY: Xpert MTB/RIF, COUNT: 1206
ASSAY: Xpert MTB/RIF Ultra, COUNT: 965
ASSAY: Xpert SARS-CoV-2, COUNT: 15336
ASSAY: Xpert HCV VL, COUNT: 45
ASSAY: Others, COUNT: 9
</t>
  </si>
  <si>
    <t>cleaned unit,filter,plunger rod,cartridge bay,i core,gathered reports,performed visual check,test run unit, performed xpertcheck,performed archiving.</t>
  </si>
  <si>
    <t>A1, B1,B2,B4,C2, failed xpertcheck 9 module passed</t>
  </si>
  <si>
    <t>C3 and D3 skip xpertcheck new replaced module</t>
  </si>
  <si>
    <t>https://www.jotform.com/uploads/macarewecare/222927978372067/5698732200428573635/5698732200428573635_signature_28.png</t>
  </si>
  <si>
    <t>https://www.jotform.com/uploads/macarewecare/222927978372067/5698732200428573635/5698732200428573635_signature_31.png</t>
  </si>
  <si>
    <t>https://www.jotform.com/uploads/macarewecare/222927978372067/5698731860421802735/5698731860421802735_signature_28.png</t>
  </si>
  <si>
    <t>https://www.jotform.com/uploads/macarewecare/222927978372067/5698731860421802735/5698731860421802735_signature_31.png</t>
  </si>
  <si>
    <t>Northern Benguet District Hospital</t>
  </si>
  <si>
    <t>Buguias, Benguet</t>
  </si>
  <si>
    <t>kym20nbdh@gmail.com</t>
  </si>
  <si>
    <t>- Cleaned Cartridge Bays, Plunger Rods and I-CORE 
- Replaced Defective Module A3 686904 &gt;&gt;&gt; 210102244</t>
  </si>
  <si>
    <t>GeneXpert Module 210102244</t>
  </si>
  <si>
    <t>https://www.jotform.com/uploads/macarewecare/222927978372067/5698725317325727503/5698725317325727503_signature_28.png</t>
  </si>
  <si>
    <t>Kim Antonio</t>
  </si>
  <si>
    <t>https://www.jotform.com/uploads/macarewecare/222927978372067/5698725317325727503/5698725317325727503_signature_31.png</t>
  </si>
  <si>
    <t>https://www.jotform.com/uploads/macarewecare/222927978372067/5698724827327337861/5698724827327337861_signature_28.png</t>
  </si>
  <si>
    <t>https://www.jotform.com/uploads/macarewecare/222927978372067/5698724827327337861/5698724827327337861_signature_31.png</t>
  </si>
  <si>
    <t>Apokon Road, Tagum City, Davao del Norte</t>
  </si>
  <si>
    <t>RHIVDA Section</t>
  </si>
  <si>
    <t>GX-IV 10COLORS 4L</t>
  </si>
  <si>
    <t>Setup the GeneXpert System, import assay required and input user/admin details.
Refresher tips on enduser on basic troubleshooting Maintenance</t>
  </si>
  <si>
    <t>Perform GeneXpert Installation and Importing Assay of VL</t>
  </si>
  <si>
    <t>Successfully Installed and setup</t>
  </si>
  <si>
    <t>GeneXpert is from Shell Foundation</t>
  </si>
  <si>
    <t>https://www.jotform.com/uploads/macarewecare/222927978372067/5698720520324803298/5698720520324803298_signature_28.png</t>
  </si>
  <si>
    <t>https://www.jotform.com/uploads/macarewecare/222927978372067/5698720520324803298/5698720520324803298_signature_31.png</t>
  </si>
  <si>
    <t>New Calauag Government Complex, Calauag, Quezon Province</t>
  </si>
  <si>
    <t xml:space="preserve">ASSAY: Xpert MTB/RIF Ultra, COUNT: 802
</t>
  </si>
  <si>
    <t>Cleaned cartridge bays, icore slot, plunger rod and filter
Performed XpertCheck
Generated report
Perfor</t>
  </si>
  <si>
    <t>Performed XpertCheck 
A3: Sevice Required</t>
  </si>
  <si>
    <t>Unit is operational.
A3 failed XpertCheck</t>
  </si>
  <si>
    <t>https://www.jotform.com/uploads/macarewecare/222927978372067/5698681237308725050/5698681237308725050_signature_28.png</t>
  </si>
  <si>
    <t>jamila pedrezuela</t>
  </si>
  <si>
    <t>https://www.jotform.com/uploads/macarewecare/222927978372067/5698681237308725050/5698681237308725050_signature_31.png</t>
  </si>
  <si>
    <t xml:space="preserve">ASSAY: Xpert MTB/RIF Ultra, COUNT: 949
</t>
  </si>
  <si>
    <t>Due fo Module Replacement</t>
  </si>
  <si>
    <t>- Cleaned Cartridge Bays, Plunger Rods and I-CORE 
- Replaced Defective Module 686447 &gt;&gt;&gt;210101785
- Generated Reports</t>
  </si>
  <si>
    <t>GeneXpert Module 10101785</t>
  </si>
  <si>
    <t>https://www.jotform.com/uploads/macarewecare/222927978372067/5698667967327430166/5698667967327430166_signature_28.png</t>
  </si>
  <si>
    <t>https://www.jotform.com/uploads/macarewecare/222927978372067/5698667967327430166/5698667967327430166_signature_31.png</t>
  </si>
  <si>
    <t xml:space="preserve">ASSAY: Xpert HPV, COUNT: 3
ASSAY: Xpert MTB/RIF Ultra, COUNT: 834
</t>
  </si>
  <si>
    <t>For Module Replacement 
For Troubleshooting of module B2</t>
  </si>
  <si>
    <t>Module B2 Error after ReXpertCheck on 8-9-23, For reporting</t>
  </si>
  <si>
    <t>GeneXpert Module 678653</t>
  </si>
  <si>
    <t>DR 10570</t>
  </si>
  <si>
    <t>https://www.jotform.com/uploads/macarewecare/222927978372067/5698667837323233830/5698667837323233830_signature_28.png</t>
  </si>
  <si>
    <t>https://www.jotform.com/uploads/macarewecare/222927978372067/5698667837323233830/5698667837323233830_signature_31.png</t>
  </si>
  <si>
    <t xml:space="preserve">ASSAY: Xpert HPV, COUNT: 354
ASSAY: Xpert MTB/RIF Ultra, COUNT: 1699
</t>
  </si>
  <si>
    <t>https://www.jotform.com/uploads/macarewecare/222927978372067/5698667837324211284/5698667837324211284_signature_28.png</t>
  </si>
  <si>
    <t>https://www.jotform.com/uploads/macarewecare/222927978372067/5698667837324211284/5698667837324211284_signature_31.png</t>
  </si>
  <si>
    <t xml:space="preserve">ASSAY: Xpert HPV, COUNT: 685
ASSAY: Xpert MTB/RIF Ultra, COUNT: 1993
</t>
  </si>
  <si>
    <t>https://www.jotform.com/uploads/macarewecare/222927978372067/5698667717327498854/5698667717327498854_signature_28.png</t>
  </si>
  <si>
    <t>https://www.jotform.com/uploads/macarewecare/222927978372067/5698667717327498854/5698667717327498854_signature_31.png</t>
  </si>
  <si>
    <t xml:space="preserve">ASSAY: Xpert HPV, COUNT: 63
ASSAY: Xpert MTB/RIF Ultra, COUNT: 458
ASSAY: Others, COUNT: 13
</t>
  </si>
  <si>
    <t>For Troubleshooting of module B4</t>
  </si>
  <si>
    <t>https://www.jotform.com/uploads/macarewecare/222927978372067/5698667717325006629/5698667717325006629_signature_28.png</t>
  </si>
  <si>
    <t>https://www.jotform.com/uploads/macarewecare/222927978372067/5698667717325006629/5698667717325006629_signature_31.png</t>
  </si>
  <si>
    <t xml:space="preserve">ASSAY: Xpert MTB/RIF Ultra, COUNT: 925
ASSAY: Xpert HIV-1 Viral Load, COUNT: 84
</t>
  </si>
  <si>
    <t>Module A2 has error 4009</t>
  </si>
  <si>
    <t>Performed maintenance
Rin XpertCheck on module A2
Generated reports</t>
  </si>
  <si>
    <t>Unit is operational. Module A2/754519 passed in XpertCheck but under observation.</t>
  </si>
  <si>
    <t>https://www.jotform.com/uploads/macarewecare/222927978372067/5698648944328466405/5698648944328466405_signature_28.png</t>
  </si>
  <si>
    <t>https://www.jotform.com/uploads/macarewecare/222927978372067/5698648944328466405/5698648944328466405_signature_31.png</t>
  </si>
  <si>
    <t>Cong. Simeon Toribio memorial hospital</t>
  </si>
  <si>
    <t>Defective module 861074</t>
  </si>
  <si>
    <t>New module installed sn 786289</t>
  </si>
  <si>
    <t>https://www.jotform.com/uploads/macarewecare/222927978372067/5698648834165378611/5698648834165378611_signature_28.png</t>
  </si>
  <si>
    <t>Roy Autentico Cristal</t>
  </si>
  <si>
    <t>https://www.jotform.com/uploads/macarewecare/222927978372067/5698648834165378611/5698648834165378611_signature_31.png</t>
  </si>
  <si>
    <t>A4 HW Failed</t>
  </si>
  <si>
    <t>Unit is ooerational except A3 and A4</t>
  </si>
  <si>
    <t>https://www.jotform.com/uploads/macarewecare/222927978372067/5698625826124219907/5698625826124219907_signature_28.png</t>
  </si>
  <si>
    <t>Michaella David</t>
  </si>
  <si>
    <t>https://www.jotform.com/uploads/macarewecare/222927978372067/5698625826124219907/5698625826124219907_signature_31.png</t>
  </si>
  <si>
    <t>NAZARETH CAGAYAN DE ORO, MISAMIS ORIENTAL</t>
  </si>
  <si>
    <t>COLLECT IQR, SYSTEM LOG, AND CALIBRATION DATA</t>
  </si>
  <si>
    <t>XPERTCHECK KIT</t>
  </si>
  <si>
    <t>https://www.jotform.com/uploads/macarewecare/222927978372067/5698615270223219361/5698615270223219361_signature_28.png</t>
  </si>
  <si>
    <t>https://www.jotform.com/uploads/macarewecare/222927978372067/5698615270223219361/5698615270223219361_signature_31.png</t>
  </si>
  <si>
    <t xml:space="preserve">ASSAY: Xpert MTB/RIF, COUNT: 2
ASSAY: Xpert MTB/RIF Ultra, COUNT: 393
</t>
  </si>
  <si>
    <t>All Module passed</t>
  </si>
  <si>
    <t>https://www.jotform.com/uploads/macarewecare/222927978372067/5698615036425238060/5698615036425238060_signature_28.png</t>
  </si>
  <si>
    <t>Mary Ann Sodario</t>
  </si>
  <si>
    <t>https://www.jotform.com/uploads/macarewecare/222927978372067/5698615036425238060/5698615036425238060_signature_31.png</t>
  </si>
  <si>
    <t>All module passed for Calibration</t>
  </si>
  <si>
    <t>https://www.jotform.com/uploads/macarewecare/222927978372067/5698592976423176140/5698592976423176140_signature_28.png</t>
  </si>
  <si>
    <t>https://www.jotform.com/uploads/macarewecare/222927978372067/5698592976423176140/5698592976423176140_signature_31.png</t>
  </si>
  <si>
    <t>Barcod scanner not working</t>
  </si>
  <si>
    <t>Performe preventive maintenance
Troubleshoot barcode scanner
Gathered reports
Performed functionality test</t>
  </si>
  <si>
    <t>Unit is operational except barcode scanner</t>
  </si>
  <si>
    <t>Barcode scanner for replacement</t>
  </si>
  <si>
    <t>https://www.jotform.com/uploads/macarewecare/222927978372067/5698563966125992871/5698563966125992871_signature_28.png</t>
  </si>
  <si>
    <t>https://www.jotform.com/uploads/macarewecare/222927978372067/5698563966125992871/5698563966125992871_signature_31.png</t>
  </si>
  <si>
    <t>https://www.jotform.com/uploads/macarewecare/222927978372067/5698536006122507352/5698536006122507352_signature_28.png</t>
  </si>
  <si>
    <t>https://www.jotform.com/uploads/macarewecare/222927978372067/5698536006122507352/5698536006122507352_signature_31.png</t>
  </si>
  <si>
    <t>RURAL HEALTH UNIT MANOLO FORTICH</t>
  </si>
  <si>
    <t>MANOLO FORTICH, BUKIDNON</t>
  </si>
  <si>
    <t>mfrhutbdots@gmail.com</t>
  </si>
  <si>
    <t xml:space="preserve">ASSAY: Xpert MTB/RIF Ultra, COUNT: 4
</t>
  </si>
  <si>
    <t>FOR MODULE B4 CALIBRATION</t>
  </si>
  <si>
    <t>COLLEC IQR, SYSTEM LOG, AND CALIBRATION DATA</t>
  </si>
  <si>
    <t>PERFORM MODULE B4 CALIBRATION : PASSED</t>
  </si>
  <si>
    <t>https://www.jotform.com/uploads/macarewecare/222927978372067/5698019286221019992/5698019286221019992_signature_28.png</t>
  </si>
  <si>
    <t>Elaine Chung</t>
  </si>
  <si>
    <t>https://www.jotform.com/uploads/macarewecare/222927978372067/5698019286221019992/5698019286221019992_signature_31.png</t>
  </si>
  <si>
    <t>VALENCIA CITY HEALTH OFFICE</t>
  </si>
  <si>
    <t>VALENCIA CITY, BUKIDNON</t>
  </si>
  <si>
    <t xml:space="preserve">ASSAY: Xpert MTB/RIF Ultra, COUNT: 1836
</t>
  </si>
  <si>
    <t>https://www.jotform.com/uploads/macarewecare/222927978372067/5698011226222092442/5698011226222092442_signature_28.png</t>
  </si>
  <si>
    <t>JOEFELYN R. CALUYA</t>
  </si>
  <si>
    <t>https://www.jotform.com/uploads/macarewecare/222927978372067/5698011226222092442/5698011226222092442_signature_31.png</t>
  </si>
  <si>
    <t>Tomas Cabili, Iligan City, Lanao del Norte</t>
  </si>
  <si>
    <t xml:space="preserve">ASSAY: Xpert MTB/RIF Ultra, COUNT: 969
</t>
  </si>
  <si>
    <t>https://www.jotform.com/uploads/macarewecare/222927978372067/5697993983711748414/5697993983711748414_signature_28.png</t>
  </si>
  <si>
    <t>https://www.jotform.com/uploads/macarewecare/222927978372067/5697993983711748414/5697993983711748414_signature_31.png</t>
  </si>
  <si>
    <t>Upper Hinaplanon, Iligan City, Lanao Del Norte</t>
  </si>
  <si>
    <t>Module 2 SN# 807236 and Module 4 SN#  807440</t>
  </si>
  <si>
    <t>Performed maintenance and calibration of</t>
  </si>
  <si>
    <t>Only Module 1 and Module 3 passed the calibration</t>
  </si>
  <si>
    <t>https://www.jotform.com/uploads/macarewecare/222927978372067/5697990663713720434/5697990663713720434_signature_28.png</t>
  </si>
  <si>
    <t>https://www.jotform.com/uploads/macarewecare/222927978372067/5697990663713720434/5697990663713720434_signature_31.png</t>
  </si>
  <si>
    <t>Calauan Rural Health Unit</t>
  </si>
  <si>
    <t>Calauan</t>
  </si>
  <si>
    <t>jphilipsegui@yahoo.com</t>
  </si>
  <si>
    <t>Unit for PM.
For module replacement</t>
  </si>
  <si>
    <t>Gx module 671935 in replacement to defective 783229.</t>
  </si>
  <si>
    <t>DR#10564</t>
  </si>
  <si>
    <t>https://www.jotform.com/uploads/macarewecare/222927978372067/5697953843819632950/5697953843819632950_signature_28.png</t>
  </si>
  <si>
    <t>John philip velecina</t>
  </si>
  <si>
    <t>https://www.jotform.com/uploads/macarewecare/222927978372067/5697953843819632950/5697953843819632950_signature_31.png</t>
  </si>
  <si>
    <t xml:space="preserve">ASSAY: Xpert MTB/RIF Ultra, COUNT: 2600
ASSAY: Xpert HIV-1 Viral Load, COUNT: 144
</t>
  </si>
  <si>
    <t>Performed recommended troubleshooting steps from Cepheid</t>
  </si>
  <si>
    <t>Unit is operational.
A3 under observation.</t>
  </si>
  <si>
    <t>https://www.jotform.com/uploads/macarewecare/222927978372067/5697949402525865496/5697949402525865496_signature_28.png</t>
  </si>
  <si>
    <t>https://www.jotform.com/uploads/macarewecare/222927978372067/5697949402525865496/5697949402525865496_signature_31.png</t>
  </si>
  <si>
    <t>Tagkawayan, Quezon Province</t>
  </si>
  <si>
    <t>Modules B2 and B3 for replacement</t>
  </si>
  <si>
    <t>Performed PM
Replaced modules B2 and B3 
Generated report</t>
  </si>
  <si>
    <t>Replaced 2 modules
B2: 888663 -&gt; 863440
B3: 758385 -&gt; 678522</t>
  </si>
  <si>
    <t>2 GX Modules 6C</t>
  </si>
  <si>
    <t>DR 10553, 10556</t>
  </si>
  <si>
    <t>https://www.jotform.com/uploads/macarewecare/222927978372067/5697947980129428785/5697947980129428785_signature_28.png</t>
  </si>
  <si>
    <t>Rodelo Teopy</t>
  </si>
  <si>
    <t>https://www.jotform.com/uploads/macarewecare/222927978372067/5697947980129428785/5697947980129428785_signature_31.png</t>
  </si>
  <si>
    <t>Poblacion Panabo City</t>
  </si>
  <si>
    <t xml:space="preserve">ASSAY: Xpert MTB/RIF Ultra, COUNT: 2600
</t>
  </si>
  <si>
    <t>Due for Preventive Maintenance, Calibration
Error at Module B3</t>
  </si>
  <si>
    <t>Replaced the Defective Module SN 808195 with new Module SN: 719047
Clean Surface Area, Cartridge Bay, Plunger Rod, Fan Filters and Icore Lenses
Generate IQR, Assay Stat and System Log
Archived Data test results
Perform XPERTCHECK Calibration</t>
  </si>
  <si>
    <t>Perform Module Replacement, Preventive Maintenance, andXpertCheck Calibration</t>
  </si>
  <si>
    <t>Module B4 for service required
Module B4 for under observation</t>
  </si>
  <si>
    <t>XPERTCHECK CE 5, GeneXpert 900-0491rs</t>
  </si>
  <si>
    <t>DR 10444 and DR 10526</t>
  </si>
  <si>
    <t>https://www.jotform.com/uploads/macarewecare/222927978372067/5697924060327751845/5697924060327751845_signature_28.png</t>
  </si>
  <si>
    <t>https://www.jotform.com/uploads/macarewecare/222927978372067/5697924060327751845/5697924060327751845_signature_31.png</t>
  </si>
  <si>
    <t xml:space="preserve">ASSAY: Xpert MTB/RIF, COUNT: 150
ASSAY: Xpert MTB/RIF Ultra, COUNT: 1880
</t>
  </si>
  <si>
    <t>https://www.jotform.com/uploads/macarewecare/222927978372067/5697919286122642094/5697919286122642094_signature_28.png</t>
  </si>
  <si>
    <t>Haana C. Garados</t>
  </si>
  <si>
    <t>https://www.jotform.com/uploads/macarewecare/222927978372067/5697919286122642094/5697919286122642094_signature_31.png</t>
  </si>
  <si>
    <t>Centennial 2</t>
  </si>
  <si>
    <t>Performed maintenance
Replaced defective module
Generated reports</t>
  </si>
  <si>
    <t>Old: B2/758210
New: B2/724966</t>
  </si>
  <si>
    <t>DR# 10555</t>
  </si>
  <si>
    <t>https://www.jotform.com/uploads/macarewecare/222927978372067/5697907137112805805/5697907137112805805_signature_28.png</t>
  </si>
  <si>
    <t>https://www.jotform.com/uploads/macarewecare/222927978372067/5697907137112805805/5697907137112805805_signature_31.png</t>
  </si>
  <si>
    <t>Santa Barbara, Iloilo</t>
  </si>
  <si>
    <t>Module B4 with error 4009 and hardware failed.</t>
  </si>
  <si>
    <t>Conduct PM and generate files(IQR, System Log and GXC File)</t>
  </si>
  <si>
    <t>Run Xpert check for module B4 with SN 692166.</t>
  </si>
  <si>
    <t>Module B4 failed in Xpert check and module B1, B2 and B3 are in good condition.</t>
  </si>
  <si>
    <t>https://www.jotform.com/uploads/macarewecare/222927978372067/5697891201816897265/5697891201816897265_signature_28.png</t>
  </si>
  <si>
    <t>https://www.jotform.com/uploads/macarewecare/222927978372067/5697891201816897265/5697891201816897265_signature_31.png</t>
  </si>
  <si>
    <t>Santa Cruz Poblacion, San Luis, Pampanga</t>
  </si>
  <si>
    <t>Module Replacement = 784272 - 909584</t>
  </si>
  <si>
    <t>https://www.jotform.com/uploads/macarewecare/222927978372067/5697890275025159533/5697890275025159533_signature_28.png</t>
  </si>
  <si>
    <t>https://www.jotform.com/uploads/macarewecare/222927978372067/5697890275025159533/5697890275025159533_signature_31.png</t>
  </si>
  <si>
    <t>A. H. Lacson Health Center</t>
  </si>
  <si>
    <t>dinajaen1990@gmail.com</t>
  </si>
  <si>
    <t xml:space="preserve">ASSAY: Xpert MTB/RIF Ultra, COUNT: 3196
</t>
  </si>
  <si>
    <t>Modules B1, B2, B3, C1, C4 for replacement</t>
  </si>
  <si>
    <t>Unit is operational. All modules functional.</t>
  </si>
  <si>
    <t>GeneXpert Module
SN: 210102249, 210102246, 210102254, 210102087, 210102214</t>
  </si>
  <si>
    <t>G 6262</t>
  </si>
  <si>
    <t>https://www.jotform.com/uploads/macarewecare/222927978372067/5697885162525982086/5697885162525982086_signature_28.png</t>
  </si>
  <si>
    <t>https://www.jotform.com/uploads/macarewecare/222927978372067/5697885162525982086/5697885162525982086_signature_31.png</t>
  </si>
  <si>
    <t>Micriobiology</t>
  </si>
  <si>
    <t xml:space="preserve">ASSAY: Xpert MTB/RIF Ultra, COUNT: 1579
</t>
  </si>
  <si>
    <t>Module A1 defective. Module A4 frequent h/w fail.</t>
  </si>
  <si>
    <t>-Replace defective module A1/862882 with new module SN: 879218
-Run XpertCheck on module A4</t>
  </si>
  <si>
    <t>Module A4 passed XPC, for observation.</t>
  </si>
  <si>
    <t>https://www.jotform.com/uploads/macarewecare/222927978372067/5697882663229848620/5697882663229848620_signature_28.png</t>
  </si>
  <si>
    <t>https://www.jotform.com/uploads/macarewecare/222927978372067/5697882663229848620/5697882663229848620_signature_31.png</t>
  </si>
  <si>
    <t>Ynares Ave, Sta. Ana, Taytay</t>
  </si>
  <si>
    <t>Module B2/806712 for replacement</t>
  </si>
  <si>
    <t>Replaced defective module</t>
  </si>
  <si>
    <t>Old: B2/806712
New: B2/210100668</t>
  </si>
  <si>
    <t>G 6111</t>
  </si>
  <si>
    <t>https://www.jotform.com/uploads/macarewecare/222927978372067/5697873674018976503/5697873674018976503_signature_28.png</t>
  </si>
  <si>
    <t>Zenilynn r. Bobiles</t>
  </si>
  <si>
    <t>https://www.jotform.com/uploads/macarewecare/222927978372067/5697873674018976503/5697873674018976503_signature_31.png</t>
  </si>
  <si>
    <t>https://www.jotform.com/uploads/macarewecare/222927978372067/5697872224019616943/5697872224019616943_signature_28.png</t>
  </si>
  <si>
    <t>https://www.jotform.com/uploads/macarewecare/222927978372067/5697872224019616943/5697872224019616943_signature_31.png</t>
  </si>
  <si>
    <t xml:space="preserve">ASSAY: Xpert SARS-CoV-2, COUNT: 3507
</t>
  </si>
  <si>
    <t>Unit is fully operational, 3 modules passed B3 failed calibration for reporting</t>
  </si>
  <si>
    <t>B3 service required failed calibration, used 6 cartridges</t>
  </si>
  <si>
    <t>https://www.jotform.com/uploads/macarewecare/222927978372067/5697853006123163044/5697853006123163044_signature_28.png</t>
  </si>
  <si>
    <t>https://www.jotform.com/uploads/macarewecare/222927978372067/5697853006123163044/5697853006123163044_signature_31.png</t>
  </si>
  <si>
    <t>Poblacion, Kalilangan</t>
  </si>
  <si>
    <t xml:space="preserve">ASSAY: Xpert MTB/RIF Ultra, COUNT: 464
</t>
  </si>
  <si>
    <t>Module B3 found Service Required through XPC Calibration</t>
  </si>
  <si>
    <t>Replacing Module B1 with SN: 633020 to SN: 647747</t>
  </si>
  <si>
    <t>3 modules working, 1 module defective (for replacement)</t>
  </si>
  <si>
    <t>GeneXpert Module 6-color</t>
  </si>
  <si>
    <t>https://www.jotform.com/uploads/macarewecare/222927978372067/5697816244112087507/5697816244112087507_signature_28.png</t>
  </si>
  <si>
    <t>Aida M. Macarimbang</t>
  </si>
  <si>
    <t>https://www.jotform.com/uploads/macarewecare/222927978372067/5697816244112087507/5697816244112087507_signature_31.png</t>
  </si>
  <si>
    <t>Poblacion, Rosario</t>
  </si>
  <si>
    <t>jcinciong_james@gmail.com</t>
  </si>
  <si>
    <t>GX module A4 (674210) in replacement to defective A4 (761196).</t>
  </si>
  <si>
    <t>DR#10561</t>
  </si>
  <si>
    <t>https://www.jotform.com/uploads/macarewecare/222927978372067/5697810543599775041/5697810543599775041_signature_28.png</t>
  </si>
  <si>
    <t>James C. Inciong</t>
  </si>
  <si>
    <t>https://www.jotform.com/uploads/macarewecare/222927978372067/5697810543599775041/5697810543599775041_signature_31.png</t>
  </si>
  <si>
    <t>Module 2 H/W failed 
Module 2 service required
Module 3 service required</t>
  </si>
  <si>
    <t>Perform Genexpert machine annual Calibration/Xpertcheck</t>
  </si>
  <si>
    <t>Module 1 and 4 passed the annual Xpertcheck/Calibration</t>
  </si>
  <si>
    <t>DR no.: 10411</t>
  </si>
  <si>
    <t>https://www.jotform.com/uploads/macarewecare/222927978372067/5697804733005352906/5697804733005352906_signature_28.png</t>
  </si>
  <si>
    <t>https://www.jotform.com/uploads/macarewecare/222927978372067/5697804733005352906/5697804733005352906_signature_31.png</t>
  </si>
  <si>
    <t xml:space="preserve">ASSAY: Xpert MTB/RIF Ultra, COUNT: 4057
</t>
  </si>
  <si>
    <t>Old: B4/619237
New: B4/210102253</t>
  </si>
  <si>
    <t>G 6266</t>
  </si>
  <si>
    <t>https://www.jotform.com/uploads/macarewecare/222927978372067/5697777084016899014/5697777084016899014_signature_28.png</t>
  </si>
  <si>
    <t>https://www.jotform.com/uploads/macarewecare/222927978372067/5697777084016899014/5697777084016899014_signature_31.png</t>
  </si>
  <si>
    <t>Guimbal Rural Health Unit</t>
  </si>
  <si>
    <t>percival_girado@yahoo.com</t>
  </si>
  <si>
    <t xml:space="preserve">ASSAY: Xpert MTB/RIF Ultra, COUNT: 1803
ASSAY: Xpert HIV-1 Viral Load, COUNT: 371
</t>
  </si>
  <si>
    <t>Module B4 with SN 656706 that failed in Xpert check last July 2023</t>
  </si>
  <si>
    <t>Conduct PM and generate IQR files before and after replacement.</t>
  </si>
  <si>
    <t>Replacement of new module for B4 with SN 210100877.</t>
  </si>
  <si>
    <t>Module B3 has an error of harware failed error 4012.</t>
  </si>
  <si>
    <t>https://www.jotform.com/uploads/macarewecare/222927978372067/5697771769316128098/5697771769316128098_signature_28.png</t>
  </si>
  <si>
    <t>Percival Girado</t>
  </si>
  <si>
    <t>https://www.jotform.com/uploads/macarewecare/222927978372067/5697771769316128098/5697771769316128098_signature_31.png</t>
  </si>
  <si>
    <t>Stuck cartridge on module 1</t>
  </si>
  <si>
    <t>Performed preventive maintenance
Manually remove cartridge 
Gathered reports
Performed functionality test</t>
  </si>
  <si>
    <t>Broken cartridge valve</t>
  </si>
  <si>
    <t>https://www.jotform.com/uploads/macarewecare/222927978372067/5697696193113435960/5697696193113435960_signature_28.png</t>
  </si>
  <si>
    <t>https://www.jotform.com/uploads/macarewecare/222927978372067/5697696193113435960/5697696193113435960_signature_31.png</t>
  </si>
  <si>
    <t>Crossing, Real Calamba</t>
  </si>
  <si>
    <t>H/W Failure on module B2.
For replacement of AVR and UPS.</t>
  </si>
  <si>
    <t>Generating of iqr and system log for reporting.</t>
  </si>
  <si>
    <t>Unit is operational. Module B2 for replacement. For replacement of UPS (1kVA) and AVR (1kVA).</t>
  </si>
  <si>
    <t>https://www.jotform.com/uploads/macarewecare/222927978372067/5697176726282289278/5697176726282289278_signature_28.png</t>
  </si>
  <si>
    <t>Andea Gail</t>
  </si>
  <si>
    <t>https://www.jotform.com/uploads/macarewecare/222927978372067/5697176726282289278/5697176726282289278_signature_31.png</t>
  </si>
  <si>
    <t>Pasabolong Zamboanga City</t>
  </si>
  <si>
    <t xml:space="preserve">ASSAY: Xpert MTB/RIF Ultra, COUNT: 1933
</t>
  </si>
  <si>
    <t>Module 2 error 2014 and 1001</t>
  </si>
  <si>
    <t>Replaced module 620758</t>
  </si>
  <si>
    <t>900-0491R</t>
  </si>
  <si>
    <t>https://www.jotform.com/uploads/macarewecare/222927978372067/5697130048525512714/5697130048525512714_signature_28.png</t>
  </si>
  <si>
    <t>https://www.jotform.com/uploads/macarewecare/222927978372067/5697130048525512714/5697130048525512714_signature_31.png</t>
  </si>
  <si>
    <t xml:space="preserve">ASSAY: Xpert HPV, COUNT: 868
ASSAY: Xpert MTB/RIF Ultra, COUNT: 2277
</t>
  </si>
  <si>
    <t>Performed PM
Replaced Module D4
Generated report</t>
  </si>
  <si>
    <t>Replaced module D4
685505 -&gt; 210102209</t>
  </si>
  <si>
    <t>G 6257</t>
  </si>
  <si>
    <t>https://www.jotform.com/uploads/macarewecare/222927978372067/5697117729814524559/5697117729814524559_signature_28.png</t>
  </si>
  <si>
    <t>https://www.jotform.com/uploads/macarewecare/222927978372067/5697117729814524559/5697117729814524559_signature_31.png</t>
  </si>
  <si>
    <t>Bale Angeleño</t>
  </si>
  <si>
    <t>C. Surla St. Balibago Angeles City, Pampanga</t>
  </si>
  <si>
    <t>cistron0511@gmail.com</t>
  </si>
  <si>
    <t xml:space="preserve">ASSAY: Xpert HIV-1 Viral Load, COUNT: 0
</t>
  </si>
  <si>
    <t>Performed installation and setup of Genexpert machine
Gathered reports
Performed functionality test</t>
  </si>
  <si>
    <t>https://www.jotform.com/uploads/macarewecare/222927978372067/5697102437573937559/5697102437573937559_signature_28.png</t>
  </si>
  <si>
    <t>Paul Brian Simbulan</t>
  </si>
  <si>
    <t>https://www.jotform.com/uploads/macarewecare/222927978372067/5697102437573937559/5697102437573937559_signature_31.png</t>
  </si>
  <si>
    <t xml:space="preserve">ASSAY: Xpert MTB/RIF Ultra, COUNT: 1379
ASSAY: Xpert HIV-1 Viral Load, COUNT: 85
</t>
  </si>
  <si>
    <t>UPS back up mode for check up</t>
  </si>
  <si>
    <t>- checked UPS' parameters
(Line Voltage: 232V, Back-up Mode Voltage: 237V)
- checked and cleaned cartridge bay, plunger rod, filter 
- performed 5 min. battery back up mode (success)
- generated reports</t>
  </si>
  <si>
    <t>Checked UPS' back up mode</t>
  </si>
  <si>
    <t>Unit is operational. Under observation. Battery for request.</t>
  </si>
  <si>
    <t>https://www.jotform.com/uploads/macarewecare/222927978372067/5697047923319773969/5697047923319773969_signature_28.png</t>
  </si>
  <si>
    <t>https://www.jotform.com/uploads/macarewecare/222927978372067/5697047923319773969/5697047923319773969_signature_31.png</t>
  </si>
  <si>
    <t>Installed the GeneXpert System:
Printer
UPS
Desktop
Barcode scanner 
GeneXpert unit
Installed MTB assay
Functionality test</t>
  </si>
  <si>
    <t>https://www.jotform.com/uploads/macarewecare/222927978372067/5697041338015851218/5697041338015851218_signature_28.png</t>
  </si>
  <si>
    <t>https://www.jotform.com/uploads/macarewecare/222927978372067/5697041338015851218/5697041338015851218_signature_31.png</t>
  </si>
  <si>
    <t>Palayan City, Nueva Ecija</t>
  </si>
  <si>
    <t>https://www.jotform.com/uploads/macarewecare/222927978372067/5697037485027523899/5697037485027523899_signature_28.png</t>
  </si>
  <si>
    <t>https://www.jotform.com/uploads/macarewecare/222927978372067/5697037485027523899/5697037485027523899_signature_31.png</t>
  </si>
  <si>
    <t xml:space="preserve">ASSAY: Xpert MTB/RIF Ultra, COUNT: 1547
ASSAY: Xpert HIV-1 Viral Load, COUNT: 73
</t>
  </si>
  <si>
    <t>GeneXpert Module
SN: 632641</t>
  </si>
  <si>
    <t>https://www.jotform.com/uploads/macarewecare/222927978372067/5697027743316831922/5697027743316831922_signature_28.png</t>
  </si>
  <si>
    <t>Merlie De Los Reyes</t>
  </si>
  <si>
    <t>https://www.jotform.com/uploads/macarewecare/222927978372067/5697027743316831922/5697027743316831922_signature_31.png</t>
  </si>
  <si>
    <t>https://www.jotform.com/uploads/macarewecare/222927978372067/5697027443317974157/5697027443317974157_signature_28.png</t>
  </si>
  <si>
    <t>https://www.jotform.com/uploads/macarewecare/222927978372067/5697027443317974157/5697027443317974157_signature_31.png</t>
  </si>
  <si>
    <t>Fajardo St. Lourdes sur east, Angeles City</t>
  </si>
  <si>
    <t>femiepangilan@yahoo.com</t>
  </si>
  <si>
    <t xml:space="preserve">ASSAY: Xpert MTB/RIF Ultra, COUNT: 2627
ASSAY: Xpert HIV-1 Viral Load, COUNT: 715
</t>
  </si>
  <si>
    <t>Unit is fully operational except B2 for reporting</t>
  </si>
  <si>
    <t>https://www.jotform.com/uploads/macarewecare/222927978372067/5697024407222791281/5697024407222791281_signature_28.png</t>
  </si>
  <si>
    <t>https://www.jotform.com/uploads/macarewecare/222927978372067/5697024407222791281/5697024407222791281_signature_31.png</t>
  </si>
  <si>
    <t xml:space="preserve">ASSAY: Xpert MTB/RIF Ultra, COUNT: 1014
</t>
  </si>
  <si>
    <t>Module B3 for re XpertCheck</t>
  </si>
  <si>
    <t>- checked and cleaned cartridge bay, plunger rod, filter, icore slot 
- performed XpertCheck on B3 
- generated reports
-</t>
  </si>
  <si>
    <t>Performed XpertCheck on B3</t>
  </si>
  <si>
    <t>Unit is operational.
B3 passed XpertCheck</t>
  </si>
  <si>
    <t>https://www.jotform.com/uploads/macarewecare/222927978372067/5697023473318455774/5697023473318455774_signature_28.png</t>
  </si>
  <si>
    <t>https://www.jotform.com/uploads/macarewecare/222927978372067/5697023473318455774/5697023473318455774_signature_31.png</t>
  </si>
  <si>
    <t>844 Domingo Santiago St., Brgy. 571, Manila</t>
  </si>
  <si>
    <t>Module 2 door broken</t>
  </si>
  <si>
    <t>Performed PM
Replaced door of Module 2
Generated report</t>
  </si>
  <si>
    <t>Replaced module 2 door</t>
  </si>
  <si>
    <t>Unit is operational. 
3 modules working, 1 module hardware failed</t>
  </si>
  <si>
    <t>https://www.jotform.com/uploads/macarewecare/222927978372067/5697009469819955019/5697009469819955019_signature_28.png</t>
  </si>
  <si>
    <t>https://www.jotform.com/uploads/macarewecare/222927978372067/5697009469819955019/5697009469819955019_signature_31.png</t>
  </si>
  <si>
    <t>Philippine Red Cross -General Santos City &amp; Sarangani Province chapter</t>
  </si>
  <si>
    <t>prc_gensanbloodservices@yahoo.com.ph</t>
  </si>
  <si>
    <t>Pull out MCS+ and UPS
shipped back to Macare Q.C</t>
  </si>
  <si>
    <t>Successfuly pull out</t>
  </si>
  <si>
    <t>https://www.jotform.com/uploads/macarewecare/222927978372067/5696983394526211729/5696983394526211729_signature_28.png</t>
  </si>
  <si>
    <t>JESTRIL JINGCO</t>
  </si>
  <si>
    <t>https://www.jotform.com/uploads/macarewecare/222927978372067/5696983394526211729/5696983394526211729_signature_31.png</t>
  </si>
  <si>
    <t>Defective module B1 sn 730958</t>
  </si>
  <si>
    <t>New module installed B1 884653</t>
  </si>
  <si>
    <t>https://www.jotform.com/uploads/macarewecare/222927978372067/5696941704379897645/5696941704379897645_signature_28.png</t>
  </si>
  <si>
    <t>Rosalina A Ybañez</t>
  </si>
  <si>
    <t>https://www.jotform.com/uploads/macarewecare/222927978372067/5696941704379897645/5696941704379897645_signature_31.png</t>
  </si>
  <si>
    <t>Poblacion Central, General Tinio, Nueva Ecija</t>
  </si>
  <si>
    <t>Module Replacement = 757236 - 694981</t>
  </si>
  <si>
    <t>https://www.jotform.com/uploads/macarewecare/222927978372067/5696920406955806919/5696920406955806919_signature_28.png</t>
  </si>
  <si>
    <t>https://www.jotform.com/uploads/macarewecare/222927978372067/5696920406955806919/5696920406955806919_signature_31.png</t>
  </si>
  <si>
    <t xml:space="preserve">ASSAY: Xpert SARS-CoV-2, COUNT: 3605
ASSAY: Others, COUNT: 10
</t>
  </si>
  <si>
    <t>GX-XVI-D</t>
  </si>
  <si>
    <t>Modules A1, B2, B4 and C3 for replacement</t>
  </si>
  <si>
    <t>Performed maintenance
Replaced defective modules
Generated reports</t>
  </si>
  <si>
    <t>Old: A1/891760, B2/628603, B4/804084, C2/891680
New: A1/210101827, B2/210101813, B4/210102220, C2/210102270</t>
  </si>
  <si>
    <t>G 6256</t>
  </si>
  <si>
    <t>https://www.jotform.com/uploads/macarewecare/222927978372067/5696909815826080458/5696909815826080458_signature_28.png</t>
  </si>
  <si>
    <t>https://www.jotform.com/uploads/macarewecare/222927978372067/5696909815826080458/5696909815826080458_signature_31.png</t>
  </si>
  <si>
    <t>Balagtas St. Poblacion, Tagoloan</t>
  </si>
  <si>
    <t>Replacing Module B4 with SN: 863010 to SN: 802736
Preventive Maintenance
XpertCheck Calibration</t>
  </si>
  <si>
    <t>https://www.jotform.com/uploads/macarewecare/222927978372067/5696888942929137633/5696888942929137633_signature_28.png</t>
  </si>
  <si>
    <t>Glezeal G. Macalisang</t>
  </si>
  <si>
    <t>https://www.jotform.com/uploads/macarewecare/222927978372067/5696888942929137633/5696888942929137633_signature_31.png</t>
  </si>
  <si>
    <t xml:space="preserve">ASSAY: Xpert MTB/RIF Ultra, COUNT: 3152
</t>
  </si>
  <si>
    <t>PERFORM XPERTCHECK CALIBRATION:
-MODULE C1:PASSED
-MODULE C2:PASSED
-MODULE C3:PASSED</t>
  </si>
  <si>
    <t>https://www.jotform.com/uploads/macarewecare/222927978372067/5696864406225982684/5696864406225982684_signature_28.png</t>
  </si>
  <si>
    <t>CHARISSA B. GALACIO,RMT,MPH</t>
  </si>
  <si>
    <t>https://www.jotform.com/uploads/macarewecare/222927978372067/5696864406225982684/5696864406225982684_signature_31.png</t>
  </si>
  <si>
    <t>MODULE B2 AND MODULE B3 DISABLED</t>
  </si>
  <si>
    <t>https://www.jotform.com/uploads/macarewecare/222927978372067/5696861166226892603/5696861166226892603_signature_28.png</t>
  </si>
  <si>
    <t>https://www.jotform.com/uploads/macarewecare/222927978372067/5696861166226892603/5696861166226892603_signature_31.png</t>
  </si>
  <si>
    <t>B2/628901, B3/654462, B4/695599 for Module Replacement</t>
  </si>
  <si>
    <t>Replaced Module:
B2 - 698901&gt;&gt;210044677
B3 - 654462&gt;&gt;669045
B4 - 695599&gt;&gt;210040454
Performed Re-XpertCheck for B1/780882 - service required
Generate Reports</t>
  </si>
  <si>
    <t>Replaced B2,B3,B4 reported modules
Performed Re-XpertCheck for B1/780882</t>
  </si>
  <si>
    <t>B1/780882 - Service Required</t>
  </si>
  <si>
    <t>Module: 
210040454
669045
210044677</t>
  </si>
  <si>
    <t>DR 10580, 10581, 10598</t>
  </si>
  <si>
    <t>https://www.jotform.com/uploads/macarewecare/222927978372067/5696428685214178609/5696428685214178609_signature_28.png</t>
  </si>
  <si>
    <t>https://www.jotform.com/uploads/macarewecare/222927978372067/5696428685214178609/5696428685214178609_signature_31.png</t>
  </si>
  <si>
    <t>Port,Area Manila</t>
  </si>
  <si>
    <t>Encounter safety system error during start of procedure</t>
  </si>
  <si>
    <t>Performed troubleshooting
Replaced safety board but error still persist.
Swap CPU board, drive and motor board erros still persist.
Performed Calibration after performed the calibration error still persist.
Checked all connection.
Checked program parameters.
Cannot able to do functionality test because of error appear on the display safety system error.</t>
  </si>
  <si>
    <t>Unoperational for additional troubleshooting and repair</t>
  </si>
  <si>
    <t>With Ronnel Belizar</t>
  </si>
  <si>
    <t>86158-01</t>
  </si>
  <si>
    <t>https://www.jotform.com/uploads/macarewecare/222927978372067/5696264252631134755/5696264252631134755_signature_28.png</t>
  </si>
  <si>
    <t>https://www.jotform.com/uploads/macarewecare/222927978372067/5696264252631134755/5696264252631134755_signature_31.png</t>
  </si>
  <si>
    <t>Kalunasan, Cebu City</t>
  </si>
  <si>
    <t>janalbrienevendiola@gmail.com</t>
  </si>
  <si>
    <t xml:space="preserve">ASSAY: Xpert MTB/RIF Ultra, COUNT: 1917
</t>
  </si>
  <si>
    <t>B1-792113, B2-862144, B-668142 defective failed during calibration</t>
  </si>
  <si>
    <t>Replaced and conduct corrective maintenance in GeneXpert machine</t>
  </si>
  <si>
    <t>Replaced new module B1 210101936,B2 210102197,B4 210102208</t>
  </si>
  <si>
    <t>All module are operational.</t>
  </si>
  <si>
    <t>Replaced accompanied by : Engr. Jovy D. Noel</t>
  </si>
  <si>
    <t>https://www.jotform.com/uploads/macarewecare/222927978372067/5696246633918115511/5696246633918115511_signature_28.png</t>
  </si>
  <si>
    <t>Jan Albriene Vendiola</t>
  </si>
  <si>
    <t>https://www.jotform.com/uploads/macarewecare/222927978372067/5696246633918115511/5696246633918115511_signature_31.png</t>
  </si>
  <si>
    <t xml:space="preserve">ASSAY: Xpert MTB/RIF Ultra, COUNT: 2291
ASSAY: Xpert HIV-1 Viral Load, COUNT: 46
</t>
  </si>
  <si>
    <t>Modules 1 and 4 with Temperature Errors</t>
  </si>
  <si>
    <t>Performed Maintenance
Replaced Modules 1 and 4</t>
  </si>
  <si>
    <t>GX Module 6-Colors</t>
  </si>
  <si>
    <t>DR # 10594 &amp; 10588</t>
  </si>
  <si>
    <t>https://www.jotform.com/uploads/macarewecare/222927978372067/5696241953611071678/5696241953611071678_signature_28.png</t>
  </si>
  <si>
    <t>https://www.jotform.com/uploads/macarewecare/222927978372067/5696241953611071678/5696241953611071678_signature_31.png</t>
  </si>
  <si>
    <t>Hospital Rd., General Trias</t>
  </si>
  <si>
    <t xml:space="preserve">ASSAY: Xpert MTB/RIF Ultra, COUNT: 2285
ASSAY: Xpert HIV-1 Viral Load, COUNT: 214
</t>
  </si>
  <si>
    <t>746455 -&gt; 210101925</t>
  </si>
  <si>
    <t>G 6243</t>
  </si>
  <si>
    <t>https://www.jotform.com/uploads/macarewecare/222927978372067/5696241953614285540/5696241953614285540_signature_28.png</t>
  </si>
  <si>
    <t>Mack Alfred L. Chico, RMT</t>
  </si>
  <si>
    <t>https://www.jotform.com/uploads/macarewecare/222927978372067/5696241953614285540/5696241953614285540_signature_31.png</t>
  </si>
  <si>
    <t>Velarde Compound, Imus</t>
  </si>
  <si>
    <t xml:space="preserve">ASSAY: Xpert MTB/RIF Ultra, COUNT: 1316
ASSAY: Xpert HIV-1 Viral Load, COUNT: 288
</t>
  </si>
  <si>
    <t>3 Modules Failed in XpertCheck</t>
  </si>
  <si>
    <t>Performed Maintenance
Replaced Modules 1,2 and 4
Generate Reports</t>
  </si>
  <si>
    <t>G 6242</t>
  </si>
  <si>
    <t>https://www.jotform.com/uploads/macarewecare/222927978372067/5696241953616088890/5696241953616088890_signature_28.png</t>
  </si>
  <si>
    <t>https://www.jotform.com/uploads/macarewecare/222927978372067/5696241953616088890/5696241953616088890_signature_31.png</t>
  </si>
  <si>
    <t>Malinis Compound, Brgy. Molino 3, Bacoor, Cavite</t>
  </si>
  <si>
    <t>DR 10582</t>
  </si>
  <si>
    <t>https://www.jotform.com/uploads/macarewecare/222927978372067/5696241953617851922/5696241953617851922_signature_28.png</t>
  </si>
  <si>
    <t>https://www.jotform.com/uploads/macarewecare/222927978372067/5696241953617851922/5696241953617851922_signature_31.png</t>
  </si>
  <si>
    <t xml:space="preserve">ASSAY: Xpert MTB/RIF Ultra, COUNT: 1135
</t>
  </si>
  <si>
    <t>Performed Maintenance
Replaced Module 3
Generate Reports</t>
  </si>
  <si>
    <t>A3:730981-&gt; 710267</t>
  </si>
  <si>
    <t>Gx Module 6-C</t>
  </si>
  <si>
    <t>DR 10590</t>
  </si>
  <si>
    <t>https://www.jotform.com/uploads/macarewecare/222927978372067/5696241953617908397/5696241953617908397_signature_28.png</t>
  </si>
  <si>
    <t>https://www.jotform.com/uploads/macarewecare/222927978372067/5696241953617908397/5696241953617908397_signature_31.png</t>
  </si>
  <si>
    <t>TB-lab</t>
  </si>
  <si>
    <t xml:space="preserve">ASSAY: Xpert MTB/RIF Ultra, COUNT: 2169
</t>
  </si>
  <si>
    <t>Replace defective module 3 SN:210019125 with new module SN: 210101819</t>
  </si>
  <si>
    <t>Genexpert module 6 color SN:210101819</t>
  </si>
  <si>
    <t>https://www.jotform.com/uploads/macarewecare/222927978372067/5696158879919730771/5696158879919730771_signature_28.png</t>
  </si>
  <si>
    <t>https://www.jotform.com/uploads/macarewecare/222927978372067/5696158879919730771/5696158879919730771_signature_31.png</t>
  </si>
  <si>
    <t>CARMEN, CAGAYAN DE ORO CITY</t>
  </si>
  <si>
    <t xml:space="preserve">ASSAY: Xpert MTB/RIF Ultra, COUNT: 716
</t>
  </si>
  <si>
    <t>COLLECT IQR,SYSTEM LOG, AND CALIBRATION DATA</t>
  </si>
  <si>
    <t>PERFORM XPERTCHECK CALIBRATION:
CARMEN HC
MODULE 1-RETRY THEN SERVICE
MODULE 2-PASSED
MODULE 3-RETRY THEN SERVICE
MODULE 4-PASSED</t>
  </si>
  <si>
    <t>MODULE B4 DISABLED</t>
  </si>
  <si>
    <t>https://www.jotform.com/uploads/macarewecare/222927978372067/5696149726224550992/5696149726224550992_signature_28.png</t>
  </si>
  <si>
    <t>https://www.jotform.com/uploads/macarewecare/222927978372067/5696149726224550992/5696149726224550992_signature_31.png</t>
  </si>
  <si>
    <t>PERFORM XPERTCHECK CALIBRATION:
MODULE B1:FOR SERVICE
MODULE B2:PASSED
MODULE B3:PASSED
MODULE B4:PASSED</t>
  </si>
  <si>
    <t>XPERTCHECK CARTRIDGES KIT</t>
  </si>
  <si>
    <t>https://www.jotform.com/uploads/macarewecare/222927978372067/5696147256225996973/5696147256225996973_signature_28.png</t>
  </si>
  <si>
    <t>https://www.jotform.com/uploads/macarewecare/222927978372067/5696147256225996973/5696147256225996973_signature_31.png</t>
  </si>
  <si>
    <t>Module Replacement = 757999 - 629235</t>
  </si>
  <si>
    <t>https://www.jotform.com/uploads/macarewecare/222927978372067/5696146932395537971/5696146932395537971_signature_28.png</t>
  </si>
  <si>
    <t>https://www.jotform.com/uploads/macarewecare/222927978372067/5696146932395537971/5696146932395537971_signature_31.png</t>
  </si>
  <si>
    <t>LUGAIT RURAL HEALTH UNIT</t>
  </si>
  <si>
    <t>LUGAIT MISAMIS ORIENTAL</t>
  </si>
  <si>
    <t>-PERFORM MAINTENANCE AND CLEANING OF GX EQUIPMENT
-PERFORM MODULE B4 DEFECTIVE SN:862890 WITH NEW SN:647906
-PERFROM MODULE B1 AND B3 CALIBRATION:PASSED</t>
  </si>
  <si>
    <t>https://www.jotform.com/uploads/macarewecare/222927978372067/5696144126221053936/5696144126221053936_signature_28.png</t>
  </si>
  <si>
    <t>Rodelyn B. Limocon</t>
  </si>
  <si>
    <t>https://www.jotform.com/uploads/macarewecare/222927978372067/5696144126221053936/5696144126221053936_signature_31.png</t>
  </si>
  <si>
    <t>Porok rosas, Lake Sebu, South Cotabato</t>
  </si>
  <si>
    <t>All modules passed the annual Xpertcheck/Calibration</t>
  </si>
  <si>
    <t>DR no.: 10408</t>
  </si>
  <si>
    <t>https://www.jotform.com/uploads/macarewecare/222927978372067/5696054065971636723/5696054065971636723_signature_28.png</t>
  </si>
  <si>
    <t>https://www.jotform.com/uploads/macarewecare/222927978372067/5696054065971636723/5696054065971636723_signature_31.png</t>
  </si>
  <si>
    <t>East Avenue Q.C</t>
  </si>
  <si>
    <t>Gathered reports</t>
  </si>
  <si>
    <t xml:space="preserve">ASSAY: Xpert BCR-ABL Ultra, COUNT: 743
ASSAY: Others, COUNT: 18
ASSAY: Xpert HBV VL, COUNT: 484
ASSAY: Xpert HPV, COUNT: 111
ASSAY: Xpert MTB/RIF, COUNT: 1213
ASSAY: Xpert MTB/RIF Ultra, COUNT: 940
ASSAY: Xpert SARS-CoV-2, COUNT: 15747
ASSAY: Xpert HCV VL, COUNT: 45
ASSAY: Others, COUNT: 9
</t>
  </si>
  <si>
    <t>GXVI</t>
  </si>
  <si>
    <t>B1 module encounter continous temperature error  1002</t>
  </si>
  <si>
    <t>cleaned unit,filter,plunger rod,cartridge bay,i core,gathered reports,performed visual check,test run unit</t>
  </si>
  <si>
    <t>B1 disabled,  15 module operational</t>
  </si>
  <si>
    <t>https://www.jotform.com/uploads/macarewecare/222927978372067/5696034213619500851/5696034213619500851_signature_28.png</t>
  </si>
  <si>
    <t>https://www.jotform.com/uploads/macarewecare/222927978372067/5696034213619500851/5696034213619500851_signature_31.png</t>
  </si>
  <si>
    <t>5th Avenue</t>
  </si>
  <si>
    <t xml:space="preserve">ASSAY: Xpert BCR-ABL Ultra, COUNT: 154
ASSAY: Xpert CT/NG, COUNT: 1325
ASSAY: Xpert HBV VL, COUNT: 73
ASSAY: Xpert HPV, COUNT: 1045
ASSAY: Xpert MTB/RIF Ultra, COUNT: 2216
ASSAY: Xpert HCV VL, COUNT: 14
ASSAY: Xpert HIV-1 Viral Load, COUNT: 39
</t>
  </si>
  <si>
    <t>UPS has no backup power</t>
  </si>
  <si>
    <t>Checked UPS for backup power
Performed maintenance
Cleaned cartridge bay, plunger rod, icore and filter
Generated reports</t>
  </si>
  <si>
    <t>Unit is operational. Module C1/866691 has error 4009, not operational and recommend to replace. UPS has no backup power, recommend to replace.</t>
  </si>
  <si>
    <t>UPS SN: AT1000190402ST0056</t>
  </si>
  <si>
    <t>https://www.jotform.com/uploads/macarewecare/222927978372067/5695243473095498778/5695243473095498778_signature_28.png</t>
  </si>
  <si>
    <t>Jane Katherina Navora</t>
  </si>
  <si>
    <t>https://www.jotform.com/uploads/macarewecare/222927978372067/5695243473095498778/5695243473095498778_signature_31.png</t>
  </si>
  <si>
    <t>Module B2 Repeated booting</t>
  </si>
  <si>
    <t>Work with Engineer Mark Joseph Venzon; Module B2 for reporting</t>
  </si>
  <si>
    <t>https://www.jotform.com/uploads/macarewecare/222927978372067/5693728524018160812/5693728524018160812_signature_28.png</t>
  </si>
  <si>
    <t>https://www.jotform.com/uploads/macarewecare/222927978372067/5693728524018160812/5693728524018160812_signature_31.png</t>
  </si>
  <si>
    <t>Calasiao Rural Health Unit</t>
  </si>
  <si>
    <t>Calasiao, Pangasinan</t>
  </si>
  <si>
    <t>calasiaoclinicallab@gmail.com</t>
  </si>
  <si>
    <t xml:space="preserve">ASSAY: Xpert MTB/RIF, COUNT: 6
ASSAY: Xpert MTB/RIF Ultra, COUNT: 558
</t>
  </si>
  <si>
    <t>https://www.jotform.com/uploads/macarewecare/222927978372067/5693723874014680858/5693723874014680858_signature_28.png</t>
  </si>
  <si>
    <t>John John Bauzon</t>
  </si>
  <si>
    <t>https://www.jotform.com/uploads/macarewecare/222927978372067/5693723874014680858/5693723874014680858_signature_31.png</t>
  </si>
  <si>
    <t xml:space="preserve">ASSAY: Xpert MTB/RIF, COUNT: 32
ASSAY: Xpert MTB/RIF Ultra, COUNT: 2870
</t>
  </si>
  <si>
    <t>- Cleaned Cartridge Bays, Plunger Rods and I-CORE
- Replaced Defective Module 666118&gt;&gt;&gt;210102223
- Generated Reports</t>
  </si>
  <si>
    <t>GeneXpert Module 210102223</t>
  </si>
  <si>
    <t>https://www.jotform.com/uploads/macarewecare/222927978372067/5693720954019419952/5693720954019419952_signature_28.png</t>
  </si>
  <si>
    <t>Judy Ann F. Mabunga</t>
  </si>
  <si>
    <t>https://www.jotform.com/uploads/macarewecare/222927978372067/5693720954019419952/5693720954019419952_signature_31.png</t>
  </si>
  <si>
    <t>Umingam, Pangasinan</t>
  </si>
  <si>
    <t>uminganch@yahoo.com</t>
  </si>
  <si>
    <t xml:space="preserve">ASSAY: Xpert MTB/RIF, COUNT: 229
ASSAY: Xpert MTB/RIF Ultra, COUNT: 831
</t>
  </si>
  <si>
    <t>- Cleaned Cartridge Bays, Plunger Rods and I-CORE
- Replaced Defective Modules:
745274&gt;&gt;&gt;614912
862038&gt;&gt;&gt;724823
- Generated Reports</t>
  </si>
  <si>
    <t>Replaced Defective Modules</t>
  </si>
  <si>
    <t>Work with Engineer Mark Joseph Venzon</t>
  </si>
  <si>
    <t>GeneXpert Modules 614912, 724823</t>
  </si>
  <si>
    <t>DR 10559 10560</t>
  </si>
  <si>
    <t>https://www.jotform.com/uploads/macarewecare/222927978372067/5693720474012558220/5693720474012558220_signature_28.png</t>
  </si>
  <si>
    <t>Agnes S. Abalos</t>
  </si>
  <si>
    <t>https://www.jotform.com/uploads/macarewecare/222927978372067/5693720474012558220/5693720474012558220_signature_31.png</t>
  </si>
  <si>
    <t>https://www.jotform.com/uploads/macarewecare/222927978372067/5693719624014910173/5693719624014910173_signature_28.png</t>
  </si>
  <si>
    <t>https://www.jotform.com/uploads/macarewecare/222927978372067/5693719624014910173/5693719624014910173_signature_31.png</t>
  </si>
  <si>
    <t xml:space="preserve">ASSAY: Xpert MTB/RIF, COUNT: 154
ASSAY: Xpert MTB/RIF Ultra, COUNT: 639
</t>
  </si>
  <si>
    <t>- Cleaned Cartridge Bays, Plunger Rods and I-CORE 
- Replaced Defective Module 862035 &gt;&gt;&gt; 807925</t>
  </si>
  <si>
    <t>GeneXpert Module 807925</t>
  </si>
  <si>
    <t>DR 10569</t>
  </si>
  <si>
    <t>https://www.jotform.com/uploads/macarewecare/222927978372067/5693718564018310931/5693718564018310931_signature_28.png</t>
  </si>
  <si>
    <t>https://www.jotform.com/uploads/macarewecare/222927978372067/5693718564018310931/5693718564018310931_signature_31.png</t>
  </si>
  <si>
    <t>https://www.jotform.com/uploads/macarewecare/222927978372067/5693718564018677825/5693718564018677825_signature_28.png</t>
  </si>
  <si>
    <t>https://www.jotform.com/uploads/macarewecare/222927978372067/5693718564018677825/5693718564018677825_signature_31.png</t>
  </si>
  <si>
    <t>Defective module D1 sn 644949 and D2 710902</t>
  </si>
  <si>
    <t>New module installed D1 719233 and D2 686101 clean fan filter upgrade software version to 5.1</t>
  </si>
  <si>
    <t>New module installed D1 719233 and D2 686101.. upgrade software version to 5.1</t>
  </si>
  <si>
    <t>https://www.jotform.com/uploads/macarewecare/222927978372067/5693589483017360835/5693589483017360835_signature_28.png</t>
  </si>
  <si>
    <t>https://www.jotform.com/uploads/macarewecare/222927978372067/5693589483017360835/5693589483017360835_signature_31.png</t>
  </si>
  <si>
    <t>El Nido MHO</t>
  </si>
  <si>
    <t>El Nido, Palawan</t>
  </si>
  <si>
    <t>Laboratorh</t>
  </si>
  <si>
    <t>genesorianorodriguez@gmail.com</t>
  </si>
  <si>
    <t>GxIV</t>
  </si>
  <si>
    <t>For module replacement D1 and D3</t>
  </si>
  <si>
    <t>Performed module replacement.</t>
  </si>
  <si>
    <t>Defective mods D1: 690232  D3: 661836</t>
  </si>
  <si>
    <t>New modules 210100690  210100704</t>
  </si>
  <si>
    <t>https://www.jotform.com/uploads/macarewecare/222927978372067/5693584715119126512/5693584715119126512_signature_28.png</t>
  </si>
  <si>
    <t>Gene S. Rodriguez</t>
  </si>
  <si>
    <t>https://www.jotform.com/uploads/macarewecare/222927978372067/5693584715119126512/5693584715119126512_signature_31.png</t>
  </si>
  <si>
    <t>M. Garovilla St., Teresa</t>
  </si>
  <si>
    <t>https://www.jotform.com/uploads/macarewecare/222927978372067/5693578080329279953/5693578080329279953_signature_28.png</t>
  </si>
  <si>
    <t>Kamille Peñaranda</t>
  </si>
  <si>
    <t>https://www.jotform.com/uploads/macarewecare/222927978372067/5693578080329279953/5693578080329279953_signature_31.png</t>
  </si>
  <si>
    <t xml:space="preserve">ASSAY: Xpert MTB/RIF Ultra, COUNT: 2815
</t>
  </si>
  <si>
    <t>Clean Surface Area, Cartridge Bay, Plunger Rod, Fan Filters and Icore Lenses
Generate IQR, Assay Stat and System Log
Run XPC Calibration on four Modules</t>
  </si>
  <si>
    <t>Modules B1 and B3 are for observation</t>
  </si>
  <si>
    <t>DR 10448</t>
  </si>
  <si>
    <t>https://www.jotform.com/uploads/macarewecare/222927978372067/5693571596221977344/5693571596221977344_signature_28.png</t>
  </si>
  <si>
    <t>Jesusa Bayato, RMT</t>
  </si>
  <si>
    <t>https://www.jotform.com/uploads/macarewecare/222927978372067/5693571596221977344/5693571596221977344_signature_31.png</t>
  </si>
  <si>
    <t xml:space="preserve">ASSAY: Xpert MTB/RIF, COUNT: 1
ASSAY: Xpert MTB/RIF Ultra, COUNT: 339
</t>
  </si>
  <si>
    <t>A2 for module replacement</t>
  </si>
  <si>
    <t>Performed surface cleaning
Cleaning of plunger rod,icore,filter and cartridge bay
Performed module replacement
Archived test results
Gathered reports
Performed functionality test</t>
  </si>
  <si>
    <t>https://www.jotform.com/uploads/macarewecare/222927978372067/5693569190693336671/5693569190693336671_signature_28.png</t>
  </si>
  <si>
    <t>https://www.jotform.com/uploads/macarewecare/222927978372067/5693569190693336671/5693569190693336671_signature_31.png</t>
  </si>
  <si>
    <t>For module replacement B1 628733 - 210072949,B2 651690 - 210072950, B3 210073345, B4 210072884</t>
  </si>
  <si>
    <t>GX4 all module installed</t>
  </si>
  <si>
    <t>900- 0508</t>
  </si>
  <si>
    <t>https://www.jotform.com/uploads/macarewecare/222927978372067/5693533053614335188/5693533053614335188_signature_28.png</t>
  </si>
  <si>
    <t>https://www.jotform.com/uploads/macarewecare/222927978372067/5693533053614335188/5693533053614335188_signature_31.png</t>
  </si>
  <si>
    <t>For module replacement A1 724867 - 210072812, A2 611367 - 210072803, A3 725299 - 210072801, A4 724873 - 210072872</t>
  </si>
  <si>
    <t>GX4 installed all module</t>
  </si>
  <si>
    <t>https://www.jotform.com/uploads/macarewecare/222927978372067/5693529753616725172/5693529753616725172_signature_28.png</t>
  </si>
  <si>
    <t>https://www.jotform.com/uploads/macarewecare/222927978372067/5693529753616725172/5693529753616725172_signature_31.png</t>
  </si>
  <si>
    <t>Barangay daog, pagadian city</t>
  </si>
  <si>
    <t>Module 2 and 3 temperature error</t>
  </si>
  <si>
    <t>Preventive Maintenence and all 4 modules undergone Preventive Maintenence</t>
  </si>
  <si>
    <t>Module 1 ,2 and 4 passed while module 3 service required</t>
  </si>
  <si>
    <t>https://www.jotform.com/uploads/macarewecare/222927978372067/5693514509019986971/5693514509019986971_signature_28.png</t>
  </si>
  <si>
    <t>https://www.jotform.com/uploads/macarewecare/222927978372067/5693514509019986971/5693514509019986971_signature_31.png</t>
  </si>
  <si>
    <t>Burgos Street, Bacolod City</t>
  </si>
  <si>
    <t xml:space="preserve">ASSAY: Xpert MTB/RIF Ultra, COUNT: 6545
</t>
  </si>
  <si>
    <t>Module D1 with SN 640561 with error code 4017 due to Hardware failed.</t>
  </si>
  <si>
    <t>Perform Self Test for module D1 and PM.</t>
  </si>
  <si>
    <t>Perform Self test and generate files(IQR &amp; System Log)</t>
  </si>
  <si>
    <t>Module D2 already reported for module replacement. Module 3 and 4 are in good working condition.</t>
  </si>
  <si>
    <t>Request for additional UPS and AVR for 4 units of GeneXpert IV machine due to fluctuation of electricity in their area.</t>
  </si>
  <si>
    <t>https://www.jotform.com/uploads/macarewecare/222927978372067/5693472959869800886/5693472959869800886_signature_28.png</t>
  </si>
  <si>
    <t>https://www.jotform.com/uploads/macarewecare/222927978372067/5693472959869800886/5693472959869800886_signature_31.png</t>
  </si>
  <si>
    <t>https://www.jotform.com/uploads/macarewecare/222927978372067/5693472080324171047/5693472080324171047_signature_28.png</t>
  </si>
  <si>
    <t>https://www.jotform.com/uploads/macarewecare/222927978372067/5693472080324171047/5693472080324171047_signature_31.png</t>
  </si>
  <si>
    <t>Module B1 is Harware Failed but has already allocated new module.</t>
  </si>
  <si>
    <t>Conduct PM and Generate files(IQR  and GXC File)</t>
  </si>
  <si>
    <t>Run Xpert check calibration for module B2, B3 and B4</t>
  </si>
  <si>
    <t>Modules B2, B3 and B4 passed the Xpert Check.</t>
  </si>
  <si>
    <t>https://www.jotform.com/uploads/macarewecare/222927978372067/5693470789862295476/5693470789862295476_signature_28.png</t>
  </si>
  <si>
    <t>https://www.jotform.com/uploads/macarewecare/222927978372067/5693470789862295476/5693470789862295476_signature_31.png</t>
  </si>
  <si>
    <t>Claveria Unit</t>
  </si>
  <si>
    <t>Claveria, Burias Island</t>
  </si>
  <si>
    <t>XpertCheck Result - All Modules Passed
Cleaned cartridge bays, plunger rod, icore</t>
  </si>
  <si>
    <t>Unit is operational
All modules passed the Callibration</t>
  </si>
  <si>
    <t>https://www.jotform.com/uploads/macarewecare/222927978372067/5693420196805897208/5693420196805897208_signature_28.png</t>
  </si>
  <si>
    <t>Mary Grace R. Martinez</t>
  </si>
  <si>
    <t>https://www.jotform.com/uploads/macarewecare/222927978372067/5693420196805897208/5693420196805897208_signature_31.png</t>
  </si>
  <si>
    <t>Malilipot RHU</t>
  </si>
  <si>
    <t>rechelbiscocho80@gmail.com</t>
  </si>
  <si>
    <t>https://www.jotform.com/uploads/macarewecare/222927978372067/5693415976801095721/5693415976801095721_signature_28.png</t>
  </si>
  <si>
    <t>Rechel canomoy</t>
  </si>
  <si>
    <t>https://www.jotform.com/uploads/macarewecare/222927978372067/5693415976801095721/5693415976801095721_signature_31.png</t>
  </si>
  <si>
    <t>Taihi, Tabaco City</t>
  </si>
  <si>
    <t xml:space="preserve">ASSAY: Xpert MTB/RIF Ultra, COUNT: 3142
</t>
  </si>
  <si>
    <t>Monitor Replaced - V5GAH857
Cleaned cartridge bays, plunger rod, icore 
Generate reports</t>
  </si>
  <si>
    <t>Replacement of New Monitor
Performed Preventive Maintenance</t>
  </si>
  <si>
    <t>https://www.jotform.com/uploads/macarewecare/222927978372067/5693413456805218745/5693413456805218745_signature_28.png</t>
  </si>
  <si>
    <t>https://www.jotform.com/uploads/macarewecare/222927978372067/5693413456805218745/5693413456805218745_signature_31.png</t>
  </si>
  <si>
    <t>Santiago, Isabela</t>
  </si>
  <si>
    <t xml:space="preserve">ASSAY: Xpert MTB/RIF Ultra, COUNT: 3806
ASSAY: Xpert HIV-1 Viral Load, COUNT: 174
</t>
  </si>
  <si>
    <t>Performed Module Replacement on module 4</t>
  </si>
  <si>
    <t>Module Replacement = (862169 - 210100854)</t>
  </si>
  <si>
    <t>https://www.jotform.com/uploads/macarewecare/222927978372067/5693397847264634744/5693397847264634744_signature_28.png</t>
  </si>
  <si>
    <t>Cass Ramos</t>
  </si>
  <si>
    <t>https://www.jotform.com/uploads/macarewecare/222927978372067/5693397847264634744/5693397847264634744_signature_31.png</t>
  </si>
  <si>
    <t>Poblacion Medellin, Cebu</t>
  </si>
  <si>
    <t>Module 2 SN 862245 and Module 4 SN 633038 failed during calibration and error 1002</t>
  </si>
  <si>
    <t>Replaced with New module 2 Sn 883447 and Module 4 210009597</t>
  </si>
  <si>
    <t>All. Modules are available but due recurrent occurrence of Module 1 and module 3 error of 1002 awaiting the replacement hereafter.</t>
  </si>
  <si>
    <t>https://www.jotform.com/uploads/macarewecare/222927978372067/5693383816325230624/5693383816325230624_signature_28.png</t>
  </si>
  <si>
    <t>Raul Galano. RMT</t>
  </si>
  <si>
    <t>https://www.jotform.com/uploads/macarewecare/222927978372067/5693383816325230624/5693383816325230624_signature_31.png</t>
  </si>
  <si>
    <t>Laoang,  Northern Samar</t>
  </si>
  <si>
    <t>roseadarayan26@gmail.com</t>
  </si>
  <si>
    <t>https://www.jotform.com/uploads/macarewecare/222927978372067/5693377919419122857/5693377919419122857_signature_28.png</t>
  </si>
  <si>
    <t>Rosario B. Adarayan</t>
  </si>
  <si>
    <t>https://www.jotform.com/uploads/macarewecare/222927978372067/5693377919419122857/5693377919419122857_signature_31.png</t>
  </si>
  <si>
    <t>https://www.jotform.com/uploads/macarewecare/222927978372067/5693377929412032896/5693377929412032896_signature_28.png</t>
  </si>
  <si>
    <t>Ma.teresa E aliman</t>
  </si>
  <si>
    <t>https://www.jotform.com/uploads/macarewecare/222927978372067/5693377929412032896/5693377929412032896_signature_31.png</t>
  </si>
  <si>
    <t>lendmelad@yahoo.com</t>
  </si>
  <si>
    <t>Line sensor problem</t>
  </si>
  <si>
    <t>Replaced Line Sensor</t>
  </si>
  <si>
    <t>Performed Maintenance
Performed Calibration
Performed Functionality Test</t>
  </si>
  <si>
    <t>Line Sensor</t>
  </si>
  <si>
    <t>https://www.jotform.com/uploads/macarewecare/222927978372067/5692815532112203502/5692815532112203502_signature_28.png</t>
  </si>
  <si>
    <t>Lolenia Melad</t>
  </si>
  <si>
    <t>https://www.jotform.com/uploads/macarewecare/222927978372067/5692815532112203502/5692815532112203502_signature_31.png</t>
  </si>
  <si>
    <t>REPAIR
MAINTENANCE
Xpertcheck</t>
  </si>
  <si>
    <t>Performed Xpertcheck on module 3 = passed</t>
  </si>
  <si>
    <t>Performed Maintenance
Gathered Reports
Performed Module Replacement (757493 - 620570
Performed Functionality Test</t>
  </si>
  <si>
    <t>Performed on August 8, 2023</t>
  </si>
  <si>
    <t>Genexpert Module = 620570</t>
  </si>
  <si>
    <t>https://www.jotform.com/uploads/macarewecare/222927978372067/5692808572117703096/5692808572117703096_signature_28.png</t>
  </si>
  <si>
    <t>Olive A.Salvador</t>
  </si>
  <si>
    <t>https://www.jotform.com/uploads/macarewecare/222927978372067/5692808572117703096/5692808572117703096_signature_31.png</t>
  </si>
  <si>
    <t>nmbarbecho@up.edu.ph</t>
  </si>
  <si>
    <t>Primo Star HD</t>
  </si>
  <si>
    <t>Adjusted Kohler</t>
  </si>
  <si>
    <t>Light cleaning
Check up of unit</t>
  </si>
  <si>
    <t>Unit is operational. Both eyepieces have some mold</t>
  </si>
  <si>
    <t>https://www.jotform.com/uploads/macarewecare/222927978372067/5692777625129595745/5692777625129595745_signature_28.png</t>
  </si>
  <si>
    <t>Normandy Barbecho</t>
  </si>
  <si>
    <t>https://www.jotform.com/uploads/macarewecare/222927978372067/5692777625129595745/5692777625129595745_signature_31.png</t>
  </si>
  <si>
    <t>Does not power on</t>
  </si>
  <si>
    <t>Swapped power supply of working unit to isolate problem</t>
  </si>
  <si>
    <t>Light cleaning
Check-up of unit
Adjusted Kohler
Checked Power Supply output</t>
  </si>
  <si>
    <t>Unit is operational but need to replace power supply</t>
  </si>
  <si>
    <t>Eyepieces have slight mold</t>
  </si>
  <si>
    <t>https://www.jotform.com/uploads/macarewecare/222927978372067/5692777615124909370/5692777615124909370_signature_28.png</t>
  </si>
  <si>
    <t>https://www.jotform.com/uploads/macarewecare/222927978372067/5692777615124909370/5692777615124909370_signature_31.png</t>
  </si>
  <si>
    <t>https://www.jotform.com/uploads/macarewecare/222927978372067/5692777615126753972/5692777615126753972_signature_28.png</t>
  </si>
  <si>
    <t>https://www.jotform.com/uploads/macarewecare/222927978372067/5692777615126753972/5692777615126753972_signature_31.png</t>
  </si>
  <si>
    <t>Light Cleaning
Checking of unit</t>
  </si>
  <si>
    <t>Unit is Operational. Left eyepiece has mold.</t>
  </si>
  <si>
    <t>https://www.jotform.com/uploads/macarewecare/222927978372067/5692777625125979043/5692777625125979043_signature_28.png</t>
  </si>
  <si>
    <t>https://www.jotform.com/uploads/macarewecare/222927978372067/5692777625125979043/5692777625125979043_signature_31.png</t>
  </si>
  <si>
    <t>Poblacion Central Baganga</t>
  </si>
  <si>
    <t>Clean Surface Area, Cartridge Bay, Plunger Rod, Fan Filters and Icore Lenses
Generate IQR, Assay Stat and System Log
Perform XPERTCHECK Calibration</t>
  </si>
  <si>
    <t>Module B2 for Service Required
Modules B1 B3 and B4 Passed the Calibration</t>
  </si>
  <si>
    <t>DR 10428</t>
  </si>
  <si>
    <t>https://www.jotform.com/uploads/macarewecare/222927978372067/5692763137652641050/5692763137652641050_signature_28.png</t>
  </si>
  <si>
    <t>Liza N. Narciso RMT</t>
  </si>
  <si>
    <t>https://www.jotform.com/uploads/macarewecare/222927978372067/5692763137652641050/5692763137652641050_signature_31.png</t>
  </si>
  <si>
    <t>Metro Antipolo Hospital</t>
  </si>
  <si>
    <t>Marikina-Infanta Hwy, Antipolo</t>
  </si>
  <si>
    <t xml:space="preserve">ASSAY: Xpert CT/NG, COUNT: 2
ASSAY: Xpert MTB/RIF Ultra, COUNT: 102
ASSAY: Xpert HIV-1 Viral Load, COUNT: 2
</t>
  </si>
  <si>
    <t>https://www.jotform.com/uploads/macarewecare/222927978372067/5692754412332034534/5692754412332034534_signature_28.png</t>
  </si>
  <si>
    <t>https://www.jotform.com/uploads/macarewecare/222927978372067/5692754412332034534/5692754412332034534_signature_31.png</t>
  </si>
  <si>
    <t>Replaced A1</t>
  </si>
  <si>
    <t>GeneXpert Module
SN: 766558</t>
  </si>
  <si>
    <t>https://www.jotform.com/uploads/macarewecare/222927978372067/5692745834126651891/5692745834126651891_signature_28.png</t>
  </si>
  <si>
    <t>https://www.jotform.com/uploads/macarewecare/222927978372067/5692745834126651891/5692745834126651891_signature_31.png</t>
  </si>
  <si>
    <t>lysasome98@yahoo.com</t>
  </si>
  <si>
    <t>Unit is partially operational, A2 under observation</t>
  </si>
  <si>
    <t>https://www.jotform.com/uploads/macarewecare/222927978372067/5692706262434363754/5692706262434363754_signature_28.png</t>
  </si>
  <si>
    <t>Alyssa Jayne Antonio</t>
  </si>
  <si>
    <t>https://www.jotform.com/uploads/macarewecare/222927978372067/5692706262434363754/5692706262434363754_signature_31.png</t>
  </si>
  <si>
    <t>Module 2, 3 and 4 passed Module 1 service required</t>
  </si>
  <si>
    <t>https://www.jotform.com/uploads/macarewecare/222927978372067/5692689491125207173/5692689491125207173_signature_28.png</t>
  </si>
  <si>
    <t>Reyna Cres</t>
  </si>
  <si>
    <t>https://www.jotform.com/uploads/macarewecare/222927978372067/5692689491125207173/5692689491125207173_signature_31.png</t>
  </si>
  <si>
    <t>San Remigio Rhu</t>
  </si>
  <si>
    <t>Poblacion, San Remigio</t>
  </si>
  <si>
    <t>Perform calibration</t>
  </si>
  <si>
    <t>Module B1, B2, B4 passed for calibration module B3 fail for calibration</t>
  </si>
  <si>
    <t>https://www.jotform.com/uploads/macarewecare/222927978372067/5692673620224776846/5692673620224776846_signature_28.png</t>
  </si>
  <si>
    <t>Roday C. Camay</t>
  </si>
  <si>
    <t>https://www.jotform.com/uploads/macarewecare/222927978372067/5692673620224776846/5692673620224776846_signature_31.png</t>
  </si>
  <si>
    <t xml:space="preserve">ASSAY: Xpert MTB/RIF Ultra, COUNT: 1566
</t>
  </si>
  <si>
    <t>Module 2 and 4 waiting for replacement modules</t>
  </si>
  <si>
    <t>Module 1 and 3 passed the annual Calibration/Xpertcheck</t>
  </si>
  <si>
    <t>DR no.: 10416</t>
  </si>
  <si>
    <t>https://www.jotform.com/uploads/macarewecare/222927978372067/5692663211022204330/5692663211022204330_signature_28.png</t>
  </si>
  <si>
    <t>Emelyn Agustin Cadiz</t>
  </si>
  <si>
    <t>https://www.jotform.com/uploads/macarewecare/222927978372067/5692663211022204330/5692663211022204330_signature_31.png</t>
  </si>
  <si>
    <t>https://www.jotform.com/uploads/macarewecare/222927978372067/5692663181027877981/5692663181027877981_signature_28.png</t>
  </si>
  <si>
    <t>https://www.jotform.com/uploads/macarewecare/222927978372067/5692663181027877981/5692663181027877981_signature_31.png</t>
  </si>
  <si>
    <t>Bureau of Plant Industry Central Post Entry Quarantine Section</t>
  </si>
  <si>
    <t>BPI Compound Economic Garden, Brgy. Timugan, Los Baños, Laguna</t>
  </si>
  <si>
    <t>Entom Laboratory</t>
  </si>
  <si>
    <t>cpeqsprocurement.losbanos@gmail.com</t>
  </si>
  <si>
    <t>Installed and setup new Stemi 305 unit</t>
  </si>
  <si>
    <t>Stemi 305, Stand, Spotlight</t>
  </si>
  <si>
    <t>DR 10615, SI 96205</t>
  </si>
  <si>
    <t>https://www.jotform.com/uploads/macarewecare/222927978372067/5692652805121083161/5692652805121083161_signature_28.png</t>
  </si>
  <si>
    <t>VICKY S. MANAYON</t>
  </si>
  <si>
    <t>https://www.jotform.com/uploads/macarewecare/222927978372067/5692652805121083161/5692652805121083161_signature_31.png</t>
  </si>
  <si>
    <t>Spotlight not working</t>
  </si>
  <si>
    <t>Reset spotlight connections</t>
  </si>
  <si>
    <t>Unit is operational but spotlight works intermittently</t>
  </si>
  <si>
    <t>Spotlight needs to be replaced</t>
  </si>
  <si>
    <t>https://www.jotform.com/uploads/macarewecare/222927978372067/5692652805122557271/5692652805122557271_signature_28.png</t>
  </si>
  <si>
    <t>https://www.jotform.com/uploads/macarewecare/222927978372067/5692652805122557271/5692652805122557271_signature_31.png</t>
  </si>
  <si>
    <t>Plant Pathology Laboratory</t>
  </si>
  <si>
    <t>https://www.jotform.com/uploads/macarewecare/222927978372067/5692652805128459970/5692652805128459970_signature_28.png</t>
  </si>
  <si>
    <t>https://www.jotform.com/uploads/macarewecare/222927978372067/5692652805128459970/5692652805128459970_signature_31.png</t>
  </si>
  <si>
    <t>Tanauan City Health Office 1</t>
  </si>
  <si>
    <t>Tanauan, Batangas</t>
  </si>
  <si>
    <t>ramilomher27@gmail.com</t>
  </si>
  <si>
    <t xml:space="preserve">ASSAY: Xpert MTB/RIF Ultra, COUNT: 1793
</t>
  </si>
  <si>
    <t>Performed PM.
Performed module replacement.
Generated reports.
Troubleshoot module A3 due to H/W Failure after installation.</t>
  </si>
  <si>
    <t>Unit is operational. Module A3 (731300) out of box H/W Failure. For reporting of module A3.</t>
  </si>
  <si>
    <t>Gx module A3 (731300) in replacement to defective A3 (731305).</t>
  </si>
  <si>
    <t>DR#10557</t>
  </si>
  <si>
    <t>https://www.jotform.com/uploads/macarewecare/222927978372067/5692652449519174300/5692652449519174300_signature_28.png</t>
  </si>
  <si>
    <t>https://www.jotform.com/uploads/macarewecare/222927978372067/5692652449519174300/5692652449519174300_signature_31.png</t>
  </si>
  <si>
    <t xml:space="preserve">ASSAY: Xpert HPV, COUNT: 520
ASSAY: Xpert MTB/RIF Ultra, COUNT: 578
</t>
  </si>
  <si>
    <t>Modules A2, A4 for replacement</t>
  </si>
  <si>
    <t>Replaced A2, A4</t>
  </si>
  <si>
    <t>GeneXpert Module
SN: 699275, 621383</t>
  </si>
  <si>
    <t>10562, 10563</t>
  </si>
  <si>
    <t>https://www.jotform.com/uploads/macarewecare/222927978372067/5692649344129211601/5692649344129211601_signature_28.png</t>
  </si>
  <si>
    <t>https://www.jotform.com/uploads/macarewecare/222927978372067/5692649344129211601/5692649344129211601_signature_31.png</t>
  </si>
  <si>
    <t>Sara Rural Health Unit</t>
  </si>
  <si>
    <t>Sara, Iloilo</t>
  </si>
  <si>
    <t>candyparrenas@gmail.com</t>
  </si>
  <si>
    <t xml:space="preserve">ASSAY: Xpert MTB/RIF, COUNT: 31
ASSAY: Xpert MTB/RIF Ultra, COUNT: 229
</t>
  </si>
  <si>
    <t>Module B4 - XpertCheck Service Required</t>
  </si>
  <si>
    <t>-Replace defective module B4/653895 with new module SN: 210100890</t>
  </si>
  <si>
    <t>https://www.jotform.com/uploads/macarewecare/222927978372067/5692642366029106311/5692642366029106311_signature_28.png</t>
  </si>
  <si>
    <t>Ma. Candelaria V. Parreñas</t>
  </si>
  <si>
    <t>https://www.jotform.com/uploads/macarewecare/222927978372067/5692642366029106311/5692642366029106311_signature_31.png</t>
  </si>
  <si>
    <t xml:space="preserve">ASSAY: Xpert MTB/RIF Ultra, COUNT: 487
</t>
  </si>
  <si>
    <t>For maintenance
Error 2008 on module B1</t>
  </si>
  <si>
    <t>Unit is operational. Module B1/730608 operational but under observation.</t>
  </si>
  <si>
    <t>https://www.jotform.com/uploads/macarewecare/222927978372067/5692629502339756214/5692629502339756214_signature_28.png</t>
  </si>
  <si>
    <t>https://www.jotform.com/uploads/macarewecare/222927978372067/5692629502339756214/5692629502339756214_signature_31.png</t>
  </si>
  <si>
    <t>Davao Oriental Provincial Hospital - Cateel Zone</t>
  </si>
  <si>
    <t>Poblacion, Cateel Davao Oriental</t>
  </si>
  <si>
    <t>minozaeljohnmark@gmail.com</t>
  </si>
  <si>
    <t>Module B1 for replacement due XPC result is for service reuqired</t>
  </si>
  <si>
    <t>Replaced the Defective Module SN 661873 with new Module SN: 210100409</t>
  </si>
  <si>
    <t>https://www.jotform.com/uploads/macarewecare/222927978372067/5692611001263020440/5692611001263020440_signature_28.png</t>
  </si>
  <si>
    <t>ELJOHN MARK A. MIŇOZA</t>
  </si>
  <si>
    <t>https://www.jotform.com/uploads/macarewecare/222927978372067/5692611001263020440/5692611001263020440_signature_31.png</t>
  </si>
  <si>
    <t>https://www.jotform.com/uploads/macarewecare/222927978372067/5692602630811767036/5692602630811767036_signature_28.png</t>
  </si>
  <si>
    <t>https://www.jotform.com/uploads/macarewecare/222927978372067/5692602630811767036/5692602630811767036_signature_31.png</t>
  </si>
  <si>
    <t>Talisay, Batangas</t>
  </si>
  <si>
    <t>medcertrhutalisay@yahoo.com</t>
  </si>
  <si>
    <t>GX module A4 (706165) in replacement to defective A4 (792112).</t>
  </si>
  <si>
    <t>DR#10595</t>
  </si>
  <si>
    <t>https://www.jotform.com/uploads/macarewecare/222927978372067/5692598304235775161/5692598304235775161_signature_28.png</t>
  </si>
  <si>
    <t>Arien Joy Festijo</t>
  </si>
  <si>
    <t>https://www.jotform.com/uploads/macarewecare/222927978372067/5692598304235775161/5692598304235775161_signature_31.png</t>
  </si>
  <si>
    <t>Bulacan st, Payatas</t>
  </si>
  <si>
    <t xml:space="preserve">ASSAY: Xpert MTB/RIF Ultra, COUNT: 1632
</t>
  </si>
  <si>
    <t>For module replacement and maintenance</t>
  </si>
  <si>
    <t>cleaned unit,filter,plunger rod,cartridge bay,i core,gathered reports,performed visual check,test run unit, performed module replacement</t>
  </si>
  <si>
    <t>https://www.jotform.com/uploads/macarewecare/222927978372067/5692046552649122631/5692046552649122631_signature_28.png</t>
  </si>
  <si>
    <t>https://www.jotform.com/uploads/macarewecare/222927978372067/5692046552649122631/5692046552649122631_signature_31.png</t>
  </si>
  <si>
    <t>https://www.jotform.com/uploads/macarewecare/222927978372067/5692046012645478504/5692046012645478504_signature_28.png</t>
  </si>
  <si>
    <t>https://www.jotform.com/uploads/macarewecare/222927978372067/5692046012645478504/5692046012645478504_signature_31.png</t>
  </si>
  <si>
    <t>https://www.jotform.com/uploads/macarewecare/222927978372067/5692044892644192602/5692044892644192602_signature_28.png</t>
  </si>
  <si>
    <t>https://www.jotform.com/uploads/macarewecare/222927978372067/5692044892644192602/5692044892644192602_signature_31.png</t>
  </si>
  <si>
    <t xml:space="preserve">ASSAY: Xpert MTB/RIF, COUNT: 174
ASSAY: Xpert MTB/RIF Ultra, COUNT: 711
</t>
  </si>
  <si>
    <t>Clean Surface Area, Cartridge Bay, Plunger Rod, Fan Filters and Icore Lenses
Generate IQR, Assay Stat and System Log
Run XPC Calibration</t>
  </si>
  <si>
    <t>High Room Temperature</t>
  </si>
  <si>
    <t>DR 10440</t>
  </si>
  <si>
    <t>https://www.jotform.com/uploads/macarewecare/222927978372067/5691981666107148435/5691981666107148435_signature_28.png</t>
  </si>
  <si>
    <t>https://www.jotform.com/uploads/macarewecare/222927978372067/5691981666107148435/5691981666107148435_signature_31.png</t>
  </si>
  <si>
    <t xml:space="preserve">ASSAY: Xpert HBV VL, COUNT: 9
ASSAY: Xpert MTB/RIF Ultra, COUNT: 42
ASSAY: Xpert HIV-1 Viral Load, COUNT: 8
</t>
  </si>
  <si>
    <t>Module 3 for service Required</t>
  </si>
  <si>
    <t>Replace module SN:796163 with new module SN:210100875</t>
  </si>
  <si>
    <t>Genexpert module 6 color SN:210100875</t>
  </si>
  <si>
    <t>https://www.jotform.com/uploads/macarewecare/222927978372067/5691924809028943238/5691924809028943238_signature_28.png</t>
  </si>
  <si>
    <t>https://www.jotform.com/uploads/macarewecare/222927978372067/5691924809028943238/5691924809028943238_signature_31.png</t>
  </si>
  <si>
    <t xml:space="preserve">ASSAY: Xpert HIV-1 Viral Load, COUNT: 9
ASSAY: Xpert MTB/RIF Ultra, COUNT: 42
ASSAY: Xpert HBV VL, COUNT: 7
</t>
  </si>
  <si>
    <t>Module 3 for service Required 
Module 4 H/W failed</t>
  </si>
  <si>
    <t>Replace module 3 SN:653874 with new module SN:210100874
Report module 4 problem/error</t>
  </si>
  <si>
    <t>Genexpert module 6 color SN: 210100874</t>
  </si>
  <si>
    <t>https://www.jotform.com/uploads/macarewecare/222927978372067/5691924149023039836/5691924149023039836_signature_28.png</t>
  </si>
  <si>
    <t>https://www.jotform.com/uploads/macarewecare/222927978372067/5691924149023039836/5691924149023039836_signature_31.png</t>
  </si>
  <si>
    <t xml:space="preserve">ASSAY: Xpert CT/NG, COUNT: 27
ASSAY: Xpert HBV VL, COUNT: 2
ASSAY: Others, COUNT: 17
ASSAY: Xpert MTB/RIF Ultra, COUNT: 2410
ASSAY: Xpert SARS-CoV-2, COUNT: 8848
ASSAY: Xpert HIV-1 Viral Load, COUNT: 158
ASSAY: Others, COUNT: 9
</t>
  </si>
  <si>
    <t>Replaced modules A1, A2  A3</t>
  </si>
  <si>
    <t>GeneXpert Module
SN: 210101937, 210101939, 210101938</t>
  </si>
  <si>
    <t>https://www.jotform.com/uploads/macarewecare/222927978372067/5691892842429609983/5691892842429609983_signature_28.png</t>
  </si>
  <si>
    <t>https://www.jotform.com/uploads/macarewecare/222927978372067/5691892842429609983/5691892842429609983_signature_31.png</t>
  </si>
  <si>
    <t>For maintenance 
Module B1 has error 4012</t>
  </si>
  <si>
    <t>Performed maintenance
Cleaned cartridge bay, plunger rod, icore and filter
Generated reports.
Checked module B1</t>
  </si>
  <si>
    <t>Unit is operational. Module B1/684120 not operational.</t>
  </si>
  <si>
    <t>https://www.jotform.com/uploads/macarewecare/222927978372067/5691881348715814627/5691881348715814627_signature_28.png</t>
  </si>
  <si>
    <t>https://www.jotform.com/uploads/macarewecare/222927978372067/5691881348715814627/5691881348715814627_signature_31.png</t>
  </si>
  <si>
    <t>Victorias City</t>
  </si>
  <si>
    <t>Module B3 is Hardware failed with SN 210070812</t>
  </si>
  <si>
    <t>Save IQR file before and after replacement</t>
  </si>
  <si>
    <t>Replaced new module for B3 with SN 210100935</t>
  </si>
  <si>
    <t>All modules are now functional</t>
  </si>
  <si>
    <t>https://www.jotform.com/uploads/macarewecare/222927978372067/5691876504427959753/5691876504427959753_signature_28.png</t>
  </si>
  <si>
    <t>https://www.jotform.com/uploads/macarewecare/222927978372067/5691876504427959753/5691876504427959753_signature_31.png</t>
  </si>
  <si>
    <t xml:space="preserve">ASSAY: Xpert SARS-CoV-2, COUNT: 5633
</t>
  </si>
  <si>
    <t>Module 1,2 and 3 for service Required</t>
  </si>
  <si>
    <t>Replace module 1 SN:784179 with new module SN: 210100871
Replace module 2 SN:784177 with new module SN: 210100872
Replace module 3 SN:784088 with new module SN: 210100873</t>
  </si>
  <si>
    <t>Genxpert Module 6 color SN:210100871,
210100872, and 210100873</t>
  </si>
  <si>
    <t>https://www.jotform.com/uploads/macarewecare/222927978372067/5691857829026083691/5691857829026083691_signature_28.png</t>
  </si>
  <si>
    <t>https://www.jotform.com/uploads/macarewecare/222927978372067/5691857829026083691/5691857829026083691_signature_31.png</t>
  </si>
  <si>
    <t>Module C4 under observation due to temperature error</t>
  </si>
  <si>
    <t>Perform Genexpert machine Xpertcheck/Calibration</t>
  </si>
  <si>
    <t>Module 2 and 4 passed the annual Xpertcheck/Calibration</t>
  </si>
  <si>
    <t>DR no.:10406</t>
  </si>
  <si>
    <t>https://www.jotform.com/uploads/macarewecare/222927978372067/5691856449027522437/5691856449027522437_signature_28.png</t>
  </si>
  <si>
    <t>https://www.jotform.com/uploads/macarewecare/222927978372067/5691856449027522437/5691856449027522437_signature_31.png</t>
  </si>
  <si>
    <t>San Roque, Northern Samar</t>
  </si>
  <si>
    <t>Module C4 - service required</t>
  </si>
  <si>
    <t>https://www.jotform.com/uploads/macarewecare/222927978372067/5691842164119225749/5691842164119225749_signature_28.png</t>
  </si>
  <si>
    <t>Lynn Jarito</t>
  </si>
  <si>
    <t>https://www.jotform.com/uploads/macarewecare/222927978372067/5691842164119225749/5691842164119225749_signature_31.png</t>
  </si>
  <si>
    <t>Performed maintenance
Checked rotor pumps
Verified calibration parameters
Simulation run
Functionality test</t>
  </si>
  <si>
    <t>https://www.jotform.com/uploads/macarewecare/222927978372067/5691833048717839192/5691833048717839192_signature_28.png</t>
  </si>
  <si>
    <t>Maria Zoraida Caiña</t>
  </si>
  <si>
    <t>https://www.jotform.com/uploads/macarewecare/222927978372067/5691833048717839192/5691833048717839192_signature_31.png</t>
  </si>
  <si>
    <t>Tagbina Rural Health Unit</t>
  </si>
  <si>
    <t>Brgy. Poblacion, Tagbina</t>
  </si>
  <si>
    <t>ellalaguros@yahoo.com</t>
  </si>
  <si>
    <t xml:space="preserve">ASSAY: Xpert MTB/RIF Ultra, COUNT: 803
</t>
  </si>
  <si>
    <t>No problems found</t>
  </si>
  <si>
    <t>Replacing Module B2 with SN: 863430 to SN: 210100857</t>
  </si>
  <si>
    <t>https://www.jotform.com/uploads/macarewecare/222927978372067/5691795818612707500/5691795818612707500_signature_28.png</t>
  </si>
  <si>
    <t>Ellaquim L. Albarracin</t>
  </si>
  <si>
    <t>https://www.jotform.com/uploads/macarewecare/222927978372067/5691795818612707500/5691795818612707500_signature_31.png</t>
  </si>
  <si>
    <t>Varona St. Tondo</t>
  </si>
  <si>
    <t>Gx module B3 (676004) in replacement to defective B3 (876732).</t>
  </si>
  <si>
    <t>DR#10583</t>
  </si>
  <si>
    <t>https://www.jotform.com/uploads/macarewecare/222927978372067/5691777387912500132/5691777387912500132_signature_28.png</t>
  </si>
  <si>
    <t>https://www.jotform.com/uploads/macarewecare/222927978372067/5691777387912500132/5691777387912500132_signature_31.png</t>
  </si>
  <si>
    <t xml:space="preserve">ASSAY: Xpert MTB/RIF Ultra, COUNT: 853
</t>
  </si>
  <si>
    <t>Module 2 stuck cartridge 
Module 1 temperature error 
Request for Genexpert fan filter</t>
  </si>
  <si>
    <t>Fixed/repair module 2 stuck cartridge
Genexpert machine Cleaning
Troubleshoot module 1 problem 
Import HIV viral load Assay</t>
  </si>
  <si>
    <t>https://www.jotform.com/uploads/macarewecare/222927978372067/5691769033011109694/5691769033011109694_signature_28.png</t>
  </si>
  <si>
    <t>Albarah Meditar</t>
  </si>
  <si>
    <t>https://www.jotform.com/uploads/macarewecare/222927978372067/5691769033011109694/5691769033011109694_signature_31.png</t>
  </si>
  <si>
    <t>Module B2 and B4 passed XPC, used three XPCs.</t>
  </si>
  <si>
    <t>https://www.jotform.com/uploads/macarewecare/222927978372067/5691753357225765351/5691753357225765351_signature_28.png</t>
  </si>
  <si>
    <t>https://www.jotform.com/uploads/macarewecare/222927978372067/5691753357225765351/5691753357225765351_signature_31.png</t>
  </si>
  <si>
    <t xml:space="preserve">ASSAY: Xpert MTB/RIF, COUNT: 10
ASSAY: Xpert MTB/RIF Ultra, COUNT: 2233
ASSAY: Xpert HIV-1 Viral Load, COUNT: 30
</t>
  </si>
  <si>
    <t>Module B1/661952 defective</t>
  </si>
  <si>
    <t>- Install new module on B1 w/ SN: 210100895
- Performed Preventive maintenance 
- Performed Functionality test 
- Generate reports</t>
  </si>
  <si>
    <t>Genexpert Module 6 color SN 210100895</t>
  </si>
  <si>
    <t>https://www.jotform.com/uploads/macarewecare/222927978372067/5691742068857230662/5691742068857230662_signature_28.png</t>
  </si>
  <si>
    <t>https://www.jotform.com/uploads/macarewecare/222927978372067/5691742068857230662/5691742068857230662_signature_31.png</t>
  </si>
  <si>
    <t>Parola, Tondo</t>
  </si>
  <si>
    <t>GX module B4 (636390) in replacement to defective B4 (757238).</t>
  </si>
  <si>
    <t>DR#10587</t>
  </si>
  <si>
    <t>https://www.jotform.com/uploads/macarewecare/222927978372067/5691741518425579160/5691741518425579160_signature_28.png</t>
  </si>
  <si>
    <t>https://www.jotform.com/uploads/macarewecare/222927978372067/5691741518425579160/5691741518425579160_signature_31.png</t>
  </si>
  <si>
    <t>The medical City</t>
  </si>
  <si>
    <t xml:space="preserve">ASSAY: Xpert BCR-ABL Ultra, COUNT: 20
ASSAY: Others, COUNT: 27
ASSAY: Xpert CT/NG, COUNT: 18
ASSAY: Xpert HBV VL, COUNT: 264
ASSAY: Xpert HPV, COUNT: 182
ASSAY: Xpert MTB/RIF Ultra, COUNT: 1432
ASSAY: Others, COUNT: 28
ASSAY: Xpert SARS-CoV-2, COUNT: 7
ASSAY: Xpert HCV VL, COUNT: 34
ASSAY: Xpert HIV-1 Viral Load, COUNT: 316
</t>
  </si>
  <si>
    <t>GX-IV-L</t>
  </si>
  <si>
    <t>Module B4 has error 4012</t>
  </si>
  <si>
    <t>https://www.jotform.com/uploads/macarewecare/222927978372067/5691739168713164246/5691739168713164246_signature_28.png</t>
  </si>
  <si>
    <t>https://www.jotform.com/uploads/macarewecare/222927978372067/5691739168713164246/5691739168713164246_signature_31.png</t>
  </si>
  <si>
    <t>Tapayan, Sultan Mastura</t>
  </si>
  <si>
    <t>Genexpert machine Cleaning
Perform Genexpert machine Xpertcheck/Calibration</t>
  </si>
  <si>
    <t>All modules passed for annual Calibration</t>
  </si>
  <si>
    <t>DR no.: 10419</t>
  </si>
  <si>
    <t>https://www.jotform.com/uploads/macarewecare/222927978372067/5691711197325323785/5691711197325323785_signature_28.png</t>
  </si>
  <si>
    <t>https://www.jotform.com/uploads/macarewecare/222927978372067/5691711197325323785/5691711197325323785_signature_31.png</t>
  </si>
  <si>
    <t xml:space="preserve">ASSAY: Xpert MTB/RIF Ultra, COUNT: 1840
ASSAY: Xpert HIV-1 Viral Load, COUNT: 148
</t>
  </si>
  <si>
    <t>-Remove stuck cartridge on module B2/648722
-Replace defective module B4/805093 with new module SN: 210100878</t>
  </si>
  <si>
    <t>https://www.jotform.com/uploads/macarewecare/222927978372067/5691690728963363198/5691690728963363198_signature_28.png</t>
  </si>
  <si>
    <t>Ruby Camacho Lut</t>
  </si>
  <si>
    <t>https://www.jotform.com/uploads/macarewecare/222927978372067/5691690728963363198/5691690728963363198_signature_31.png</t>
  </si>
  <si>
    <t>H. Lopez Blvd. Tondo</t>
  </si>
  <si>
    <t>Covid laboratory</t>
  </si>
  <si>
    <t xml:space="preserve">ASSAY: Xpert CT/NG, COUNT: 10
ASSAY: Xpert HPV, COUNT: 210
ASSAY: Xpert MTB/RIF Ultra, COUNT: 1758
ASSAY: Xpert SARS-CoV-2, COUNT: 9966
ASSAY: Xpert HIV-1 Viral Load, COUNT: 7
</t>
  </si>
  <si>
    <t>Unit for PM.
For module replacement of modules A2, A4, B1 and C1</t>
  </si>
  <si>
    <t>GX modules A2 (210102219) A4 (210102199) B1 (210102262) and C1 (210102234) in replacement to defective A2 (210057331) A4 (220003328) B1 (802228) and C1 (210070820)</t>
  </si>
  <si>
    <t>G6240</t>
  </si>
  <si>
    <t>https://www.jotform.com/uploads/macarewecare/222927978372067/5691682609317005408/5691682609317005408_signature_28.png</t>
  </si>
  <si>
    <t>Vernelee panlaqui</t>
  </si>
  <si>
    <t>https://www.jotform.com/uploads/macarewecare/222927978372067/5691682609317005408/5691682609317005408_signature_31.png</t>
  </si>
  <si>
    <t xml:space="preserve">ASSAY: Xpert MTB/RIF Ultra, COUNT: 57
ASSAY: Xpert HIV-1 Viral Load, COUNT: 1397
</t>
  </si>
  <si>
    <t>Error Encounter on Module B2</t>
  </si>
  <si>
    <t>Clean Surface Area, Cartridge Bay, Plunger Rod, Fan Filters and Icore Lenses
Generate IQR, Assay Stat and System Log
Run XPC for error Verification</t>
  </si>
  <si>
    <t>Module 2 for service required
Data will be sent to Cepheid for further Assessment</t>
  </si>
  <si>
    <t>Module B2 SN 866069 temporarily disabled</t>
  </si>
  <si>
    <t>https://www.jotform.com/uploads/macarewecare/222927978372067/5691471370013725091/5691471370013725091_signature_28.png</t>
  </si>
  <si>
    <t>Ma. Flordeliza Go, RMT</t>
  </si>
  <si>
    <t>https://www.jotform.com/uploads/macarewecare/222927978372067/5691471370013725091/5691471370013725091_signature_31.png</t>
  </si>
  <si>
    <t>Roxas Memorial Provincial Hospital</t>
  </si>
  <si>
    <t>Brgy. Lanot, Roxas City, Capiz</t>
  </si>
  <si>
    <t>fanugon.grace@gmail.com</t>
  </si>
  <si>
    <t xml:space="preserve">ASSAY: Xpert MTB/RIF, COUNT: 1
ASSAY: Xpert MTB/RIF Ultra, COUNT: 546
ASSAY: Xpert HIV-1 Viral Load, COUNT: 12
</t>
  </si>
  <si>
    <t>All modules passed Xpert Check.</t>
  </si>
  <si>
    <t>https://www.jotform.com/uploads/macarewecare/222927978372067/5691082765316139978/5691082765316139978_signature_28.png</t>
  </si>
  <si>
    <t>Joyce B. Bercadez</t>
  </si>
  <si>
    <t>https://www.jotform.com/uploads/macarewecare/222927978372067/5691082765316139978/5691082765316139978_signature_31.png</t>
  </si>
  <si>
    <t>laboratory.lph@gmail.com</t>
  </si>
  <si>
    <t xml:space="preserve">ASSAY: Xpert MTB/RIF Ultra, COUNT: 2395
</t>
  </si>
  <si>
    <t>Module 4 stucked cartridge</t>
  </si>
  <si>
    <t>Removed stucked cartridge in module 4</t>
  </si>
  <si>
    <t>https://www.jotform.com/uploads/macarewecare/222927978372067/5691040211026937483/5691040211026937483_signature_28.png</t>
  </si>
  <si>
    <t>Irekatte L. Acierto</t>
  </si>
  <si>
    <t>https://www.jotform.com/uploads/macarewecare/222927978372067/5691040211026937483/5691040211026937483_signature_31.png</t>
  </si>
  <si>
    <t>Kapt. Pepe Subdivision, Cabanatuan City, Nueva Ecija</t>
  </si>
  <si>
    <t xml:space="preserve">ASSAY: Xpert MTB/RIF Ultra, COUNT: 2209
ASSAY: Xpert MTB/RIF, COUNT: 200
</t>
  </si>
  <si>
    <t>Performed Maintenance
Gathered Reports
Performed Module Replacement
Perfomred Functionality Test</t>
  </si>
  <si>
    <t>Module Replacement = 786121 - 862394</t>
  </si>
  <si>
    <t>Genexpert Module = 862394</t>
  </si>
  <si>
    <t>https://www.jotform.com/uploads/macarewecare/222927978372067/5691013140354528199/5691013140354528199_signature_28.png</t>
  </si>
  <si>
    <t>https://www.jotform.com/uploads/macarewecare/222927978372067/5691013140354528199/5691013140354528199_signature_31.png</t>
  </si>
  <si>
    <t>San Remihio Rural Health</t>
  </si>
  <si>
    <t>Poblacion , San Remigion</t>
  </si>
  <si>
    <t xml:space="preserve">ASSAY: Xpert MTB/RIF Ultra, COUNT: 46
</t>
  </si>
  <si>
    <t>Perform preventive maintenance for all module's</t>
  </si>
  <si>
    <t>https://www.jotform.com/uploads/macarewecare/222927978372067/5690945803919582014/5690945803919582014_signature_28.png</t>
  </si>
  <si>
    <t>Roda Cañete Camay</t>
  </si>
  <si>
    <t>https://www.jotform.com/uploads/macarewecare/222927978372067/5690945803919582014/5690945803919582014_signature_31.png</t>
  </si>
  <si>
    <t>vanessadelmonte401@gmail.com</t>
  </si>
  <si>
    <t>https://www.jotform.com/uploads/macarewecare/222927978372067/5690934181418950209/5690934181418950209_signature_28.png</t>
  </si>
  <si>
    <t>https://www.jotform.com/uploads/macarewecare/222927978372067/5690934181418950209/5690934181418950209_signature_31.png</t>
  </si>
  <si>
    <t xml:space="preserve">ASSAY: Xpert MTB/RIF, COUNT: 50
ASSAY: Xpert MTB/RIF Ultra, COUNT: 2300
</t>
  </si>
  <si>
    <t>Module C1, C2 and C4 were found service required thru XPC</t>
  </si>
  <si>
    <t>XPC Result for reporting to Cepheid</t>
  </si>
  <si>
    <t>Xpertcheck Calibration
Preventive Maintenance</t>
  </si>
  <si>
    <t>1 modules passed in XPC and 3 modules prior for replacement as for now modules can be used</t>
  </si>
  <si>
    <t>https://www.jotform.com/uploads/macarewecare/222927978372067/5690918322718825199/5690918322718825199_signature_28.png</t>
  </si>
  <si>
    <t>https://www.jotform.com/uploads/macarewecare/222927978372067/5690918322718825199/5690918322718825199_signature_31.png</t>
  </si>
  <si>
    <t>Paniqui Rural Health Unit</t>
  </si>
  <si>
    <t>Oaniqui Tarlac</t>
  </si>
  <si>
    <t>CPU ERROR (3F0)
Monitor dead pixel</t>
  </si>
  <si>
    <t>Troubleahooting</t>
  </si>
  <si>
    <t>Performed troubleshooting
Performed preventive maintenance
Performed functionality test</t>
  </si>
  <si>
    <t>Unit is not operational CPU for repalacement</t>
  </si>
  <si>
    <t>CPU error 3FO for replacement, monitor dead pixel</t>
  </si>
  <si>
    <t>https://www.jotform.com/uploads/macarewecare/222927978372067/5690860030222010850/5690860030222010850_signature_28.png</t>
  </si>
  <si>
    <t>https://www.jotform.com/uploads/macarewecare/222927978372067/5690860030222010850/5690860030222010850_signature_31.png</t>
  </si>
  <si>
    <t>INSTALLATION
ON-SITE ASSISTANCE
Installation from cebu cho to ctrl srp</t>
  </si>
  <si>
    <t>Transfer from Cebu CHO to CTRL SRP</t>
  </si>
  <si>
    <t>Installation of Genexpert to CTRL SRP</t>
  </si>
  <si>
    <t>https://www.jotform.com/uploads/macarewecare/222927978372067/5690839866026126057/5690839866026126057_signature_28.png</t>
  </si>
  <si>
    <t>https://www.jotform.com/uploads/macarewecare/222927978372067/5690839866026126057/5690839866026126057_signature_31.png</t>
  </si>
  <si>
    <t>ON-SITE ASSISTANCE
Pull out genexpert machine</t>
  </si>
  <si>
    <t>For Pull out genexpert machine</t>
  </si>
  <si>
    <t>Packing genexpert machine for pull out</t>
  </si>
  <si>
    <t>https://www.jotform.com/uploads/macarewecare/222927978372067/5690834366028016049/5690834366028016049_signature_28.png</t>
  </si>
  <si>
    <t>https://www.jotform.com/uploads/macarewecare/222927978372067/5690834366028016049/5690834366028016049_signature_31.png</t>
  </si>
  <si>
    <t>P. Tolentino St.</t>
  </si>
  <si>
    <t>Module A4/719564 has error 2014/4012</t>
  </si>
  <si>
    <t>Run XpertCheck on module A4.</t>
  </si>
  <si>
    <t>Performed maintenance
Run XpertCheck on module A4
Generated reports</t>
  </si>
  <si>
    <t>Unit is operational. Module A4 failed in XpertCheck. UPS not operational for replacement.</t>
  </si>
  <si>
    <t>UPS SN: AT1000180910ST429</t>
  </si>
  <si>
    <t>https://www.jotform.com/uploads/macarewecare/222927978372067/5690831443611418836/5690831443611418836_signature_28.png</t>
  </si>
  <si>
    <t>https://www.jotform.com/uploads/macarewecare/222927978372067/5690831443611418836/5690831443611418836_signature_31.png</t>
  </si>
  <si>
    <t xml:space="preserve">ASSAY: Xpert MTB/RIF, COUNT: 15
ASSAY: Xpert MTB/RIF Ultra, COUNT: 895
</t>
  </si>
  <si>
    <t>A1 and A2 for module replacement</t>
  </si>
  <si>
    <t>Performed surface cleaning
Cleaning of plunger rod,icore,filter and cartridge bay
Archived test results
Performed Module replacement
Gathered reports
Performed functionality test</t>
  </si>
  <si>
    <t>2 genexpert modukes</t>
  </si>
  <si>
    <t>10516 and 10517</t>
  </si>
  <si>
    <t>https://www.jotform.com/uploads/macarewecare/222927978372067/5690801060227180068/5690801060227180068_signature_28.png</t>
  </si>
  <si>
    <t>https://www.jotform.com/uploads/macarewecare/222927978372067/5690801060227180068/5690801060227180068_signature_31.png</t>
  </si>
  <si>
    <t xml:space="preserve">ASSAY: Xpert MTB/RIF Ultra, COUNT: 1223
</t>
  </si>
  <si>
    <t>A2:757048 temperature error
A4:757050 temperature error</t>
  </si>
  <si>
    <t>Unit is partially operational, A2 and A4 failed xpertcheck</t>
  </si>
  <si>
    <t>Used 2 xpertcheck kits</t>
  </si>
  <si>
    <t>https://www.jotform.com/uploads/macarewecare/222927978372067/5690383870323034413/5690383870323034413_signature_28.png</t>
  </si>
  <si>
    <t>Jolene Anthoinette Rodico</t>
  </si>
  <si>
    <t>https://www.jotform.com/uploads/macarewecare/222927978372067/5690383870323034413/5690383870323034413_signature_31.png</t>
  </si>
  <si>
    <t>Quezon ave., Quezon city</t>
  </si>
  <si>
    <t>rhonababilonia_19@yahoo.com</t>
  </si>
  <si>
    <t>cleaned unit, checked valve,rollers,line sensor,display panel,dpm,spm,cuff,checked program parameters,performed functionality test</t>
  </si>
  <si>
    <t>https://www.jotform.com/uploads/macarewecare/222927978372067/5689486294483500686/5689486294483500686_signature_28.png</t>
  </si>
  <si>
    <t>Janella madulid</t>
  </si>
  <si>
    <t>https://www.jotform.com/uploads/macarewecare/222927978372067/5689486294483500686/5689486294483500686_signature_31.png</t>
  </si>
  <si>
    <t>Quezon ave.,QC</t>
  </si>
  <si>
    <t>https://www.jotform.com/uploads/macarewecare/222927978372067/5689485384489626656/5689485384489626656_signature_28.png</t>
  </si>
  <si>
    <t>https://www.jotform.com/uploads/macarewecare/222927978372067/5689485384489626656/5689485384489626656_signature_31.png</t>
  </si>
  <si>
    <t>Quezon avenue Q.C</t>
  </si>
  <si>
    <t xml:space="preserve">ASSAY: Xpert MTB/RIF Ultra, COUNT: 4543
ASSAY: Xpert SARS-CoV-2, COUNT: 4520
</t>
  </si>
  <si>
    <t>B3 module encounter temp error</t>
  </si>
  <si>
    <t>Checked unit, gathered reports,test run unit</t>
  </si>
  <si>
    <t>15 modules operational and b3 disabled</t>
  </si>
  <si>
    <t>https://www.jotform.com/uploads/macarewecare/222927978372067/5689484394486564351/5689484394486564351_signature_28.png</t>
  </si>
  <si>
    <t>https://www.jotform.com/uploads/macarewecare/222927978372067/5689484394486564351/5689484394486564351_signature_31.png</t>
  </si>
  <si>
    <t>Makati Medical Center (medilinx)</t>
  </si>
  <si>
    <t xml:space="preserve">ASSAY: Xpert BCR-ABL Ultra, COUNT: 100
ASSAY: Xpert C. difficile BT, COUNT: 9
ASSAY: Xpert CT/NG, COUNT: 452
ASSAY: Others, COUNT: 7
ASSAY: Xpert HBV VL, COUNT: 15
ASSAY: Xpert HPV, COUNT: 484
ASSAY: Xpert BCR-ABL Ultra, COUNT: 1764
ASSAY: Others, COUNT: 2
ASSAY: Others, COUNT: 6
ASSAY: Xpert HCV VL, COUNT: 41
ASSAY: Xpert HIV-1 Viral Load, COUNT: 1280
</t>
  </si>
  <si>
    <t>Broken uniframe for module replacement  B3 210066486 - 210061783</t>
  </si>
  <si>
    <t>Performed Module replacement, cleaned unit,filter,plunger rod,cartridge bay,i core,gathered reports,performed visual check,test run unit</t>
  </si>
  <si>
    <t>900-0650 RS</t>
  </si>
  <si>
    <t>https://www.jotform.com/uploads/macarewecare/222927978372067/5689483654482144525/5689483654482144525_signature_28.png</t>
  </si>
  <si>
    <t>https://www.jotform.com/uploads/macarewecare/222927978372067/5689483654482144525/5689483654482144525_signature_31.png</t>
  </si>
  <si>
    <t>Casimiro Ynares Sr Memorial Hospital</t>
  </si>
  <si>
    <t>Becco St., Burgos Rodriguez</t>
  </si>
  <si>
    <t>mariannegervacio1@gmail.com</t>
  </si>
  <si>
    <t xml:space="preserve">ASSAY: Xpert MTB/RIF Ultra, COUNT: 443
</t>
  </si>
  <si>
    <t>https://www.jotform.com/uploads/macarewecare/222927978372067/5689482754487357847/5689482754487357847_signature_28.png</t>
  </si>
  <si>
    <t>Marianne Gervacio</t>
  </si>
  <si>
    <t>https://www.jotform.com/uploads/macarewecare/222927978372067/5689482754487357847/5689482754487357847_signature_31.png</t>
  </si>
  <si>
    <t>Poblacion Malapatan, Sarangani Province</t>
  </si>
  <si>
    <t>MAINTENANCE
Transfer Genexpert machine to new building/room</t>
  </si>
  <si>
    <t>Genexpert machine Re-installation</t>
  </si>
  <si>
    <t>Re-install and transfer of Genexpert machine to new building/room</t>
  </si>
  <si>
    <t>https://www.jotform.com/uploads/macarewecare/222927978372067/5688691856617342228/5688691856617342228_signature_28.png</t>
  </si>
  <si>
    <t>https://www.jotform.com/uploads/macarewecare/222927978372067/5688691856617342228/5688691856617342228_signature_31.png</t>
  </si>
  <si>
    <t>St.lukes Medical Center Global City</t>
  </si>
  <si>
    <t>Rizal drive,corner 5th and 32th Global City</t>
  </si>
  <si>
    <t xml:space="preserve">ASSAY: Xpert BCR-ABL Ultra, COUNT: 152
ASSAY: Xpert CT/NG, COUNT: 1349
ASSAY: Xpert HBV VL, COUNT: 73
ASSAY: Xpert HPV, COUNT: 1051
ASSAY: Xpert MTB/RIF Ultra, COUNT: 2235
ASSAY: Xpert HCV VL, COUNT: 13
ASSAY: Xpert HIV-1 Viral Load, COUNT: 39
</t>
  </si>
  <si>
    <t>For module replacement and maintenance C4 866803(def) - 210096427 (new)</t>
  </si>
  <si>
    <t>C1 hw failed,c2,c3,c4 operational</t>
  </si>
  <si>
    <t>https://www.jotform.com/uploads/macarewecare/222927978372067/5687668735914042953/5687668735914042953_signature_28.png</t>
  </si>
  <si>
    <t>JOSHUA AYA-AY</t>
  </si>
  <si>
    <t>https://www.jotform.com/uploads/macarewecare/222927978372067/5687668735914042953/5687668735914042953_signature_31.png</t>
  </si>
  <si>
    <t>L.Cortes St. Concepcion Tarlac</t>
  </si>
  <si>
    <t xml:space="preserve">ASSAY: Xpert MTB/RIF Ultra, COUNT: 1164
ASSAY: Xpert HIV-1 Viral Load, COUNT: 26
</t>
  </si>
  <si>
    <t>A1 error 5011</t>
  </si>
  <si>
    <t>Performed preventive maintennce
Installation of assay(CTNG)
Archived test result
Gathered reports
Performed functionality test
Jotform reporting training</t>
  </si>
  <si>
    <t>https://www.jotform.com/uploads/macarewecare/222927978372067/5687540983022860402/5687540983022860402_signature_28.png</t>
  </si>
  <si>
    <t>https://www.jotform.com/uploads/macarewecare/222927978372067/5687540983022860402/5687540983022860402_signature_31.png</t>
  </si>
  <si>
    <t>Poblacion Digos City</t>
  </si>
  <si>
    <t xml:space="preserve">ASSAY: Xpert MTB/RIF Ultra, COUNT: 334
ASSAY: Xpert MTB/RIF Ultra, COUNT: 2306
</t>
  </si>
  <si>
    <t>Replace the defective Module SN 672190 with new Module SN 210100861
Clean Surface Area, Cartridge Bay, Plunger Rod, Fan Filters and Icore Lenses
Generate IQR, Assay Stat and System Log</t>
  </si>
  <si>
    <t>https://www.jotform.com/uploads/macarewecare/222927978372067/5687498030012211803/5687498030012211803_signature_28.png</t>
  </si>
  <si>
    <t>https://www.jotform.com/uploads/macarewecare/222927978372067/5687498030012211803/5687498030012211803_signature_31.png</t>
  </si>
  <si>
    <t>SB Park, Tandang Sora, Quezon City</t>
  </si>
  <si>
    <t xml:space="preserve">ASSAY: Xpert HPV, COUNT: 492
ASSAY: Xpert MTB/RIF, COUNT: 50
ASSAY: Xpert MTB/RIF Ultra, COUNT: 2517
</t>
  </si>
  <si>
    <t>Module 2 error 2005 problem</t>
  </si>
  <si>
    <t>Performed PM
Checked module B2
B2 passed re-xpertcheck
Advised end user to still use module
Generated report.</t>
  </si>
  <si>
    <t>Troubleshoot module B2</t>
  </si>
  <si>
    <t>https://www.jotform.com/uploads/macarewecare/222927978372067/5687492806971751135/5687492806971751135_signature_28.png</t>
  </si>
  <si>
    <t>https://www.jotform.com/uploads/macarewecare/222927978372067/5687492806971751135/5687492806971751135_signature_31.png</t>
  </si>
  <si>
    <t>Bicol Regional General Hospital and Geriatric Medical Center</t>
  </si>
  <si>
    <t xml:space="preserve">ASSAY: Xpert MTB/RIF Ultra, COUNT: 1820
</t>
  </si>
  <si>
    <t>B4 613032 for module replacement</t>
  </si>
  <si>
    <t>Module replaced: B4 613032&gt;&gt;210100893</t>
  </si>
  <si>
    <t>https://www.jotform.com/uploads/macarewecare/222927978372067/5687485765427687312/5687485765427687312_signature_28.png</t>
  </si>
  <si>
    <t>https://www.jotform.com/uploads/macarewecare/222927978372067/5687485765427687312/5687485765427687312_signature_31.png</t>
  </si>
  <si>
    <t>dyanrespeto@gmail.com</t>
  </si>
  <si>
    <t xml:space="preserve">ASSAY: Xpert MTB/RIF Ultra, COUNT: 1577
</t>
  </si>
  <si>
    <t>CPU, UPS not working</t>
  </si>
  <si>
    <t>Check power cables, ports, UPS
Cleaned cartridge bays, plunger rod, icore 
Generate reports</t>
  </si>
  <si>
    <t>Unit is operational 
UPS bypass connection. To be reported by end-user to WHO</t>
  </si>
  <si>
    <t>https://www.jotform.com/uploads/macarewecare/222927978372067/5687483245426094566/5687483245426094566_signature_28.png</t>
  </si>
  <si>
    <t>DYAN P. RESPETO</t>
  </si>
  <si>
    <t>https://www.jotform.com/uploads/macarewecare/222927978372067/5687483245426094566/5687483245426094566_signature_31.png</t>
  </si>
  <si>
    <t>Brgy. White Sand, Dinagat, Dinagat Islands</t>
  </si>
  <si>
    <t xml:space="preserve">ASSAY: Xpert MTB/RIF, COUNT: 2
ASSAY: Xpert MTB/RIF Ultra, COUNT: 1145
</t>
  </si>
  <si>
    <t>Replacing Module B2 with SN: 609280 to SN: 210100425</t>
  </si>
  <si>
    <t>https://www.jotform.com/uploads/macarewecare/222927978372067/5687425983854554390/5687425983854554390_signature_28.png</t>
  </si>
  <si>
    <t>https://www.jotform.com/uploads/macarewecare/222927978372067/5687425983854554390/5687425983854554390_signature_31.png</t>
  </si>
  <si>
    <t>Sta. Lucia Ave, Sta. Lucia, Novaliches, Quezon City</t>
  </si>
  <si>
    <t xml:space="preserve">ASSAY: Xpert MTB/RIF Ultra, COUNT: 1429
</t>
  </si>
  <si>
    <t>Module A4 Hardware failed problem</t>
  </si>
  <si>
    <t>Performed PM
Checked module A4
Module A4 failed re-xpertcheck
Genereated report</t>
  </si>
  <si>
    <t>Troubleshoot Module A4</t>
  </si>
  <si>
    <t>Unit is operational.
Module A4 for reporting</t>
  </si>
  <si>
    <t>https://www.jotform.com/uploads/macarewecare/222927978372067/5687390026975354607/5687390026975354607_signature_28.png</t>
  </si>
  <si>
    <t>https://www.jotform.com/uploads/macarewecare/222927978372067/5687390026975354607/5687390026975354607_signature_31.png</t>
  </si>
  <si>
    <t>Brgy. Pinasling Geron Tarlac</t>
  </si>
  <si>
    <t xml:space="preserve">ASSAY: Xpert MTB/RIF, COUNT: 22
ASSAY: Xpert MTB/RIF Ultra, COUNT: 577
</t>
  </si>
  <si>
    <t>A1 for module replacement
A3 for re-xpertcheck</t>
  </si>
  <si>
    <t>Module replacement
Re-xpertcheck</t>
  </si>
  <si>
    <t>Performed surface cleaning
Cleaning of plunger rod,icore,filter and cartridge bay
Performed module replacement
Archived test results
Xpertcheck application update to 1.5a
Performed calibration
Gathered reports
Performed functionality test</t>
  </si>
  <si>
    <t>A3 passed calibration</t>
  </si>
  <si>
    <t>1 module
1 xpertcheck kit</t>
  </si>
  <si>
    <t>https://www.jotform.com/uploads/macarewecare/222927978372067/5687350343028861610/5687350343028861610_signature_28.png</t>
  </si>
  <si>
    <t>https://www.jotform.com/uploads/macarewecare/222927978372067/5687350343028861610/5687350343028861610_signature_31.png</t>
  </si>
  <si>
    <t>Magsingal District Hospital</t>
  </si>
  <si>
    <t>Magsingal, Ilocos Sur</t>
  </si>
  <si>
    <t>jeanbuena08@gmail.com</t>
  </si>
  <si>
    <t>https://www.jotform.com/uploads/macarewecare/222927978372067/5686946265241797860/5686946265241797860_signature_28.png</t>
  </si>
  <si>
    <t>Jean Michelle  Buena</t>
  </si>
  <si>
    <t>https://www.jotform.com/uploads/macarewecare/222927978372067/5686946265241797860/5686946265241797860_signature_31.png</t>
  </si>
  <si>
    <t>Stuck Cartridge</t>
  </si>
  <si>
    <t>Removed Stuck Cartridge</t>
  </si>
  <si>
    <t>Module A4 for reporting</t>
  </si>
  <si>
    <t>https://www.jotform.com/uploads/macarewecare/222927978372067/5686944265243585961/5686944265243585961_signature_28.png</t>
  </si>
  <si>
    <t>Lorna R Rabara</t>
  </si>
  <si>
    <t>https://www.jotform.com/uploads/macarewecare/222927978372067/5686944265243585961/5686944265243585961_signature_31.png</t>
  </si>
  <si>
    <t>For Monitor Replacement</t>
  </si>
  <si>
    <t>- Cleaned Cartridge Bays, Plunger Rods and I-CORE 
- Replaced Defective Monitor CNK9430C2G &gt;&gt;&gt;MMA1PSS00221507D963W01
- Generated Reports</t>
  </si>
  <si>
    <t>Monitor MMA1PSS00221507D963W01</t>
  </si>
  <si>
    <t>DR 10246</t>
  </si>
  <si>
    <t>https://www.jotform.com/uploads/macarewecare/222927978372067/5686943375246300458/5686943375246300458_signature_28.png</t>
  </si>
  <si>
    <t>https://www.jotform.com/uploads/macarewecare/222927978372067/5686943375246300458/5686943375246300458_signature_31.png</t>
  </si>
  <si>
    <t>- Cleaned Cartridge Bays, Plunger Rods and I-CORE 
- Replaced Defective Module B4 606461 &gt;&gt;&gt; 21010043</t>
  </si>
  <si>
    <t>Module 210100443</t>
  </si>
  <si>
    <t>https://www.jotform.com/uploads/macarewecare/222927978372067/5686941955247274954/5686941955247274954_signature_28.png</t>
  </si>
  <si>
    <t>https://www.jotform.com/uploads/macarewecare/222927978372067/5686941955247274954/5686941955247274954_signature_31.png</t>
  </si>
  <si>
    <t xml:space="preserve">ASSAY: Xpert MTB/RIF Ultra, COUNT: 969
ASSAY: Others, COUNT: 139
ASSAY: Xpert SARS-CoV-2, COUNT: 18
</t>
  </si>
  <si>
    <t>For transfer in another location</t>
  </si>
  <si>
    <t>Transfer and set up unit
Test run unit</t>
  </si>
  <si>
    <t>Transfer GX4 110002868, 805288</t>
  </si>
  <si>
    <t>https://www.jotform.com/uploads/macarewecare/222927978372067/5686775737286603560/5686775737286603560_signature_28.png</t>
  </si>
  <si>
    <t>https://www.jotform.com/uploads/macarewecare/222927978372067/5686775737286603560/5686775737286603560_signature_31.png</t>
  </si>
  <si>
    <t>Corner E. Quirino - Camus Street, Davao City</t>
  </si>
  <si>
    <t xml:space="preserve">ASSAY: Xpert MTB/RIF, COUNT: 135
ASSAY: Xpert MTB/RIF Ultra, COUNT: 648
</t>
  </si>
  <si>
    <t>Run XPC Calibration</t>
  </si>
  <si>
    <t>Module B2 for Service Required
3 Modules Passed the Calibration</t>
  </si>
  <si>
    <t>DR 10430</t>
  </si>
  <si>
    <t>https://www.jotform.com/uploads/macarewecare/222927978372067/5686751706324224321/5686751706324224321_signature_28.png</t>
  </si>
  <si>
    <t>Arleen P. Alconera, RMT</t>
  </si>
  <si>
    <t>https://www.jotform.com/uploads/macarewecare/222927978372067/5686751706324224321/5686751706324224321_signature_31.png</t>
  </si>
  <si>
    <t>Balamban Rural Health Unit I</t>
  </si>
  <si>
    <t>Balamban, Cebu</t>
  </si>
  <si>
    <t>https://www.jotform.com/uploads/macarewecare/222927978372067/5686742831229732674/5686742831229732674_signature_28.png</t>
  </si>
  <si>
    <t>https://www.jotform.com/uploads/macarewecare/222927978372067/5686742831229732674/5686742831229732674_signature_31.png</t>
  </si>
  <si>
    <t>https://www.jotform.com/uploads/macarewecare/222927978372067/5686742821223960483/5686742821223960483_signature_28.png</t>
  </si>
  <si>
    <t>https://www.jotform.com/uploads/macarewecare/222927978372067/5686742821223960483/5686742821223960483_signature_31.png</t>
  </si>
  <si>
    <t>Balanga, Bataan</t>
  </si>
  <si>
    <t>melodyjoy16@yahoo.com</t>
  </si>
  <si>
    <t xml:space="preserve">ASSAY: Xpert HBV VL, COUNT: 66
ASSAY: Xpert MTB/RIF Ultra, COUNT: 2489
ASSAY: Xpert HCV VL, COUNT: 77
ASSAY: Xpert HIV-1 Viral Load, COUNT: 214
</t>
  </si>
  <si>
    <t>Unit is operational except B3</t>
  </si>
  <si>
    <t>B3:686088  Failed xpertcheck</t>
  </si>
  <si>
    <t>https://www.jotform.com/uploads/macarewecare/222927978372067/5686713593592888244/5686713593592888244_signature_28.png</t>
  </si>
  <si>
    <t>Melody Joy C. Flores</t>
  </si>
  <si>
    <t>https://www.jotform.com/uploads/macarewecare/222927978372067/5686713593592888244/5686713593592888244_signature_31.png</t>
  </si>
  <si>
    <t>Commonwealth Supern Health Center</t>
  </si>
  <si>
    <t xml:space="preserve">ASSAY: Xpert HPV, COUNT: 426
ASSAY: Xpert MTB/RIF Ultra, COUNT: 2425
</t>
  </si>
  <si>
    <t>Performed PM
Replaced Module A3 and A4
Generated report</t>
  </si>
  <si>
    <t>Replaced module A3 and A4
A3: 625759 -&gt; 210060068
A4: 754439 -&gt; 798928</t>
  </si>
  <si>
    <t>Unit is operational.
Module A2 for troubleshooting</t>
  </si>
  <si>
    <t>GX modules 6c - 2pcs</t>
  </si>
  <si>
    <t>10548, 10549</t>
  </si>
  <si>
    <t>https://www.jotform.com/uploads/macarewecare/222927978372067/5686703032326275015/5686703032326275015_signature_28.png</t>
  </si>
  <si>
    <t>https://www.jotform.com/uploads/macarewecare/222927978372067/5686703032326275015/5686703032326275015_signature_31.png</t>
  </si>
  <si>
    <t>S.I.R Matina, Davao City</t>
  </si>
  <si>
    <t>Replaced the Defective Module SN 630927 with new Module SN 210100861</t>
  </si>
  <si>
    <t>https://www.jotform.com/uploads/macarewecare/222927978372067/5686695186321622557/5686695186321622557_signature_28.png</t>
  </si>
  <si>
    <t>Alfredo Santos Jr., RMT</t>
  </si>
  <si>
    <t>https://www.jotform.com/uploads/macarewecare/222927978372067/5686695186321622557/5686695186321622557_signature_31.png</t>
  </si>
  <si>
    <t>DR no.: 10414</t>
  </si>
  <si>
    <t>https://www.jotform.com/uploads/macarewecare/222927978372067/5686671025022344964/5686671025022344964_signature_28.png</t>
  </si>
  <si>
    <t>https://www.jotform.com/uploads/macarewecare/222927978372067/5686671025022344964/5686671025022344964_signature_31.png</t>
  </si>
  <si>
    <t>Brgy. Amas, Kidapawan City,  North Cotabato</t>
  </si>
  <si>
    <t xml:space="preserve">ASSAY: Xpert MTB/RIF Ultra, COUNT: 664
ASSAY: Xpert HIV-1 Viral Load, COUNT: 15
</t>
  </si>
  <si>
    <t>Module 4 H/W failed due to multiple temperature error 
Module 4 for Service Required</t>
  </si>
  <si>
    <t>Perform Genexpert machine Xpertcheck/Calibration 
Cleaning and reset all cables and gatewayboard 
Report module problem</t>
  </si>
  <si>
    <t>Module 1,2 and 3 passed the Xpertcheck/Calibration</t>
  </si>
  <si>
    <t>https://www.jotform.com/uploads/macarewecare/222927978372067/5686651185029718574/5686651185029718574_signature_28.png</t>
  </si>
  <si>
    <t>https://www.jotform.com/uploads/macarewecare/222927978372067/5686651185029718574/5686651185029718574_signature_31.png</t>
  </si>
  <si>
    <t xml:space="preserve">ASSAY: Xpert MTB/RIF Ultra, COUNT: 1388
ASSAY: Xpert HIV-1 Viral Load, COUNT: 139
</t>
  </si>
  <si>
    <t>PSU and Gateway Board for replacement</t>
  </si>
  <si>
    <t>Replaced parts</t>
  </si>
  <si>
    <t>Gateway Board
Power Supply Unit</t>
  </si>
  <si>
    <t>https://www.jotform.com/uploads/macarewecare/222927978372067/5686640847225259098/5686640847225259098_signature_28.png</t>
  </si>
  <si>
    <t>https://www.jotform.com/uploads/macarewecare/222927978372067/5686640847225259098/5686640847225259098_signature_31.png</t>
  </si>
  <si>
    <t>Cebu City, SRP</t>
  </si>
  <si>
    <t>TROUBLESHOOTING
ON-SITE ASSISTANCE
Installation From Cebu CHO to CTRL - SRP</t>
  </si>
  <si>
    <t>Transfer from Cebu CHO to CTRL-SRP.. Installation using with same CPU and Monitor of Gx 838882.. connected with router</t>
  </si>
  <si>
    <t>Transfer from Cebu CHO to CTRL-SRP.. Installation using with same CPU of Gx 838882.. connected with router</t>
  </si>
  <si>
    <t>Systems operational (router connected gx 838882 &amp; 808620)</t>
  </si>
  <si>
    <t>https://www.jotform.com/uploads/macarewecare/222927978372067/5686612005882477864/5686612005882477864_signature_28.png</t>
  </si>
  <si>
    <t>https://www.jotform.com/uploads/macarewecare/222927978372067/5686612005882477864/5686612005882477864_signature_31.png</t>
  </si>
  <si>
    <t xml:space="preserve">ASSAY: Xpert CT/NG, COUNT: 11
ASSAY: Xpert HPV, COUNT: 8
ASSAY: Xpert MTB/RIF Ultra, COUNT: 2979
ASSAY: Xpert HIV-1 Viral Load, COUNT: 55
ASSAY: Others, COUNT: 21
</t>
  </si>
  <si>
    <t>Unut is operational. 
All modules working</t>
  </si>
  <si>
    <t>All modules passed XpertCheck</t>
  </si>
  <si>
    <t>PL 9904</t>
  </si>
  <si>
    <t>https://www.jotform.com/uploads/macarewecare/222927978372067/5686610382329577244/5686610382329577244_signature_28.png</t>
  </si>
  <si>
    <t>https://www.jotform.com/uploads/macarewecare/222927978372067/5686610382329577244/5686610382329577244_signature_31.png</t>
  </si>
  <si>
    <t>Subic Rural Health Unit</t>
  </si>
  <si>
    <t>Manggahan, Subic, Zambales</t>
  </si>
  <si>
    <t>salonga.jrs97@gmail.com</t>
  </si>
  <si>
    <t xml:space="preserve">ASSAY: Xpert MTB/RIF, COUNT: 529
ASSAY: Xpert HIV-1 Viral Load, COUNT: 2348
ASSAY: Xpert HIV-1 Viral Load, COUNT: 68
</t>
  </si>
  <si>
    <t>Manually open module door</t>
  </si>
  <si>
    <t>https://www.jotform.com/uploads/macarewecare/222927978372067/5686593598011001427/5686593598011001427_signature_28.png</t>
  </si>
  <si>
    <t>Jessa Rowe Salonga</t>
  </si>
  <si>
    <t>https://www.jotform.com/uploads/macarewecare/222927978372067/5686593598011001427/5686593598011001427_signature_31.png</t>
  </si>
  <si>
    <t>Pampanga St. Gagalangin</t>
  </si>
  <si>
    <t>Unit for PM.
For Xpertcheck of modules B1 and B3.</t>
  </si>
  <si>
    <t>Performed PM.
Performed Xpertcheck of B1 and B3.
Generated reports.</t>
  </si>
  <si>
    <t>Unit is operational. Modules B1 (756758) and B3 (614658), service required.</t>
  </si>
  <si>
    <t>https://www.jotform.com/uploads/macarewecare/222927978372067/5686560365213927567/5686560365213927567_signature_28.png</t>
  </si>
  <si>
    <t>https://www.jotform.com/uploads/macarewecare/222927978372067/5686560365213927567/5686560365213927567_signature_31.png</t>
  </si>
  <si>
    <t>Module 4 and CPU for replacement
UPS not backing up</t>
  </si>
  <si>
    <t>Module and CPU replacement
Preventive maintenance</t>
  </si>
  <si>
    <t>Performed preventive maintenance
Performed CPU installation and setup
Performed module replacement
Gathered reports
Performed functionality test</t>
  </si>
  <si>
    <t>Genexpert module
CPU</t>
  </si>
  <si>
    <t>10521 and 10518</t>
  </si>
  <si>
    <t>https://www.jotform.com/uploads/macarewecare/222927978372067/5686506217313685056/5686506217313685056_signature_28.png</t>
  </si>
  <si>
    <t>https://www.jotform.com/uploads/macarewecare/222927978372067/5686506217313685056/5686506217313685056_signature_31.png</t>
  </si>
  <si>
    <t>Matalom leyte</t>
  </si>
  <si>
    <t xml:space="preserve">ASSAY: Xpert MTB/RIF, COUNT: 139
ASSAY: Xpert MTB/RIF Ultra, COUNT: 275
</t>
  </si>
  <si>
    <t>- Module B2/910532 defective (for replacement)</t>
  </si>
  <si>
    <t>- Replace module B2 w/ new SN: 210100730
- Performed Preventive maintenance 
- Performed Functionality test 
- Generate reports</t>
  </si>
  <si>
    <t>Unit is Operational (waiting for LCD monitor replacement)</t>
  </si>
  <si>
    <t>Genexpert Module 6 color SN: 210100730</t>
  </si>
  <si>
    <t>https://www.jotform.com/uploads/macarewecare/222927978372067/5686495939424804898/5686495939424804898_signature_28.png</t>
  </si>
  <si>
    <t>https://www.jotform.com/uploads/macarewecare/222927978372067/5686495939424804898/5686495939424804898_signature_31.png</t>
  </si>
  <si>
    <t>Clean Surface Area, Cartridge Bay, Plunger Rod, Fan Filters and Icore Lenses
Generate IQR, Assay Stat and System Log
Run XPC Calibration in four modules</t>
  </si>
  <si>
    <t>DR 10449</t>
  </si>
  <si>
    <t>https://www.jotform.com/uploads/macarewecare/222927978372067/5685913080311004428/5685913080311004428_signature_28.png</t>
  </si>
  <si>
    <t>https://www.jotform.com/uploads/macarewecare/222927978372067/5685913080311004428/5685913080311004428_signature_31.png</t>
  </si>
  <si>
    <t>TROUBLESHOOTING
ON-SITE ASSISTANCE
Transfer Genexpert Unit</t>
  </si>
  <si>
    <t>For Transfer to CTRL SRP</t>
  </si>
  <si>
    <t>Packaging genexpert unit ready for deliver to SRP CTRL</t>
  </si>
  <si>
    <t>https://www.jotform.com/uploads/macarewecare/222927978372067/5685904870311985323/5685904870311985323_signature_28.png</t>
  </si>
  <si>
    <t>https://www.jotform.com/uploads/macarewecare/222927978372067/5685904870311985323/5685904870311985323_signature_31.png</t>
  </si>
  <si>
    <t xml:space="preserve">ASSAY: Xpert MTB/RIF Ultra, COUNT: 2649
ASSAY: Xpert HIV-1 Viral Load, COUNT: 149
</t>
  </si>
  <si>
    <t>GeneXpert Module
SN: 210101730</t>
  </si>
  <si>
    <t>https://www.jotform.com/uploads/macarewecare/222927978372067/5685879729406712706/5685879729406712706_signature_28.png</t>
  </si>
  <si>
    <t>https://www.jotform.com/uploads/macarewecare/222927978372067/5685879729406712706/5685879729406712706_signature_31.png</t>
  </si>
  <si>
    <t>Jose B. Lingad Memorial Hospital</t>
  </si>
  <si>
    <t>valerioregine@yahoo.com</t>
  </si>
  <si>
    <t xml:space="preserve">ASSAY: Xpert HBV VL, COUNT: 3
ASSAY: Xpert MTB/RIF Ultra, COUNT: 2448
ASSAY: Xpert HCV VL, COUNT: 2
ASSAY: Xpert HIV-1 Viral Load, COUNT: 21
</t>
  </si>
  <si>
    <t>Monitor replacement</t>
  </si>
  <si>
    <t>Performed preventive maintenance
Performed monitor replacement
Archived test results
Gathered reports
Performed functionality test</t>
  </si>
  <si>
    <t>https://www.jotform.com/uploads/macarewecare/222927978372067/5685874649322088694/5685874649322088694_signature_28.png</t>
  </si>
  <si>
    <t>Regine V. Manalastas</t>
  </si>
  <si>
    <t>https://www.jotform.com/uploads/macarewecare/222927978372067/5685874649322088694/5685874649322088694_signature_31.png</t>
  </si>
  <si>
    <t xml:space="preserve">ASSAY: Xpert MTB/RIF Ultra, COUNT: 694
</t>
  </si>
  <si>
    <t>https://www.jotform.com/uploads/macarewecare/222927978372067/5685868522839839658/5685868522839839658_signature_28.png</t>
  </si>
  <si>
    <t>Ronalyn Roxas</t>
  </si>
  <si>
    <t>https://www.jotform.com/uploads/macarewecare/222927978372067/5685868522839839658/5685868522839839658_signature_31.png</t>
  </si>
  <si>
    <t xml:space="preserve">ASSAY: Xpert CT/NG, COUNT: 351
ASSAY: Xpert MTB/RIF Ultra, COUNT: 328
ASSAY: Xpert HIV-1 Viral Load, COUNT: 2133
</t>
  </si>
  <si>
    <t>Unit is operational.
C1: passed
C2: passed
C3: passed
C4: retry</t>
  </si>
  <si>
    <t>https://www.jotform.com/uploads/macarewecare/222927978372067/5685840759408311225/5685840759408311225_signature_28.png</t>
  </si>
  <si>
    <t>https://www.jotform.com/uploads/macarewecare/222927978372067/5685840759408311225/5685840759408311225_signature_31.png</t>
  </si>
  <si>
    <t>Modules B2, B3, B4 for replacement.</t>
  </si>
  <si>
    <t>GeneXpert Module
SN: 210101291, 210101170, 21011317</t>
  </si>
  <si>
    <t>https://www.jotform.com/uploads/macarewecare/222927978372067/5685839779404209128/5685839779404209128_signature_28.png</t>
  </si>
  <si>
    <t>https://www.jotform.com/uploads/macarewecare/222927978372067/5685839779404209128/5685839779404209128_signature_31.png</t>
  </si>
  <si>
    <t>Unit is operational.
A1: failed
A2: failed
A3: failed
A4: retry</t>
  </si>
  <si>
    <t>https://www.jotform.com/uploads/macarewecare/222927978372067/5685839169404416604/5685839169404416604_signature_28.png</t>
  </si>
  <si>
    <t>https://www.jotform.com/uploads/macarewecare/222927978372067/5685839169404416604/5685839169404416604_signature_31.png</t>
  </si>
  <si>
    <t>SAMBOAN RURAL HEALTH UNIT</t>
  </si>
  <si>
    <t>SAMBOAN CEBU</t>
  </si>
  <si>
    <t xml:space="preserve">ASSAY: Xpert MTB/RIF, COUNT: 86
ASSAY: Xpert MTB/RIF Ultra, COUNT: 200
</t>
  </si>
  <si>
    <t>https://www.jotform.com/uploads/macarewecare/222927978372067/5685833782132648950/5685833782132648950_signature_28.png</t>
  </si>
  <si>
    <t>Shene Anne Señagan</t>
  </si>
  <si>
    <t>https://www.jotform.com/uploads/macarewecare/222927978372067/5685833782132648950/5685833782132648950_signature_31.png</t>
  </si>
  <si>
    <t>B3 found Service Required thru XPC</t>
  </si>
  <si>
    <t>3 modules working
1 module for replacement (Service Required)</t>
  </si>
  <si>
    <t>https://www.jotform.com/uploads/macarewecare/222927978372067/5685803984225679212/5685803984225679212_signature_28.png</t>
  </si>
  <si>
    <t>https://www.jotform.com/uploads/macarewecare/222927978372067/5685803984225679212/5685803984225679212_signature_31.png</t>
  </si>
  <si>
    <t>8 Malac St., Masambong, Quezon City</t>
  </si>
  <si>
    <t xml:space="preserve">ASSAY: Xpert MTB/RIF Ultra, COUNT: 1296
</t>
  </si>
  <si>
    <t>Old monitor have 2 lines and screen is flickering</t>
  </si>
  <si>
    <t>Unit is operational. 
New monitor working.
All modules working</t>
  </si>
  <si>
    <t>GX Monitor Display</t>
  </si>
  <si>
    <t>G 6154</t>
  </si>
  <si>
    <t>https://www.jotform.com/uploads/macarewecare/222927978372067/5685802702326490057/5685802702326490057_signature_28.png</t>
  </si>
  <si>
    <t>Michelle D. Bonrostro</t>
  </si>
  <si>
    <t>https://www.jotform.com/uploads/macarewecare/222927978372067/5685802702326490057/5685802702326490057_signature_31.png</t>
  </si>
  <si>
    <t>Calinan, Davao City</t>
  </si>
  <si>
    <t>Infinite Windows Booting</t>
  </si>
  <si>
    <t>Reset ram, hard disk drive and replace cmos battery</t>
  </si>
  <si>
    <t>System Unit Troubleshooting</t>
  </si>
  <si>
    <t>Hard disk failure error (3F0)</t>
  </si>
  <si>
    <t>Unit is reported to Cepheid for further assessment</t>
  </si>
  <si>
    <t>https://www.jotform.com/uploads/macarewecare/222927978372067/5685733101317572810/5685733101317572810_signature_28.png</t>
  </si>
  <si>
    <t>MAIL FE GELACIO</t>
  </si>
  <si>
    <t>https://www.jotform.com/uploads/macarewecare/222927978372067/5685733101317572810/5685733101317572810_signature_31.png</t>
  </si>
  <si>
    <t>Quezon Institute Compound, E. Rodriguez Sr. Ave., Quezon City</t>
  </si>
  <si>
    <t xml:space="preserve">ASSAY: Xpert MTB/RIF, COUNT: 150
ASSAY: Xpert MTB/RIF Ultra, COUNT: 1084
</t>
  </si>
  <si>
    <t>Performed PM 
Replaced Module A4
Generated report</t>
  </si>
  <si>
    <t>Replaced Module A4 
621280 -&gt; 210100954</t>
  </si>
  <si>
    <t>GX module 6Colors</t>
  </si>
  <si>
    <t>G 6150</t>
  </si>
  <si>
    <t>https://www.jotform.com/uploads/macarewecare/222927978372067/5685732262325018139/5685732262325018139_signature_28.png</t>
  </si>
  <si>
    <t>sanny isorena</t>
  </si>
  <si>
    <t>https://www.jotform.com/uploads/macarewecare/222927978372067/5685732262325018139/5685732262325018139_signature_31.png</t>
  </si>
  <si>
    <t>Module 1 and 2 passed the Calibration</t>
  </si>
  <si>
    <t>DR no.: 10407</t>
  </si>
  <si>
    <t>https://www.jotform.com/uploads/macarewecare/222927978372067/5685134635518841642/5685134635518841642_signature_28.png</t>
  </si>
  <si>
    <t>https://www.jotform.com/uploads/macarewecare/222927978372067/5685134635518841642/5685134635518841642_signature_31.png</t>
  </si>
  <si>
    <t>Defective CPU of 80820 gx machine</t>
  </si>
  <si>
    <t>Switch hub connections 2 genexpert machine sn 838527 &amp; 808620</t>
  </si>
  <si>
    <t>https://www.jotform.com/uploads/macarewecare/222927978372067/5684971656715655276/5684971656715655276_signature_28.png</t>
  </si>
  <si>
    <t>https://www.jotform.com/uploads/macarewecare/222927978372067/5684971656715655276/5684971656715655276_signature_31.png</t>
  </si>
  <si>
    <t>Giporlos E. Samar</t>
  </si>
  <si>
    <t xml:space="preserve">ASSAY: Xpert MTB/RIF, COUNT: 21
ASSAY: Xpert MTB/RIF Ultra, COUNT: 532
</t>
  </si>
  <si>
    <t>Module B2/787878 defective (for replacement)</t>
  </si>
  <si>
    <t>- Module replacement 
- Install new module on B2 w/ SN 210100869
- Performed Preventive maintenance 
- Performed Functionality test 
- Generate reports</t>
  </si>
  <si>
    <t>Genexpert Module 6 color</t>
  </si>
  <si>
    <t>https://www.jotform.com/uploads/macarewecare/222927978372067/5684880922519242225/5684880922519242225_signature_28.png</t>
  </si>
  <si>
    <t>https://www.jotform.com/uploads/macarewecare/222927978372067/5684880922519242225/5684880922519242225_signature_31.png</t>
  </si>
  <si>
    <t>Printer ink cartridge</t>
  </si>
  <si>
    <t>Performed preventive maintenance
Clean ink cartridge
Gathered reports
Performed functionality test</t>
  </si>
  <si>
    <t>https://www.jotform.com/uploads/macarewecare/222927978372067/5684860283617280999/5684860283617280999_signature_28.png</t>
  </si>
  <si>
    <t>https://www.jotform.com/uploads/macarewecare/222927978372067/5684860283617280999/5684860283617280999_signature_31.png</t>
  </si>
  <si>
    <t>Caratagan, Pioduran</t>
  </si>
  <si>
    <t xml:space="preserve">ASSAY: Xpert MTB/RIF Ultra, COUNT: 591
</t>
  </si>
  <si>
    <t>GX For Callibration</t>
  </si>
  <si>
    <t>XpertCheck Result: all modules passed
Cleaned cartridge bays, plunger rod, fan filter, icore 
Generate reports</t>
  </si>
  <si>
    <t>https://www.jotform.com/uploads/macarewecare/222927978372067/5684835758423578643/5684835758423578643_signature_28.png</t>
  </si>
  <si>
    <t>https://www.jotform.com/uploads/macarewecare/222927978372067/5684835758423578643/5684835758423578643_signature_31.png</t>
  </si>
  <si>
    <t xml:space="preserve">ASSAY: Xpert CT/NG, COUNT: 1
ASSAY: Xpert HPV, COUNT: 1499
ASSAY: Xpert MTB/RIF Ultra, COUNT: 6495
ASSAY: Xpert SARS-CoV-2, COUNT: 2367
ASSAY: Xpert HIV-1 Viral Load, COUNT: 359
</t>
  </si>
  <si>
    <t>Cleaned cartridge bays, plunger rod, fan filter, icore 
Generate reports</t>
  </si>
  <si>
    <t>https://www.jotform.com/uploads/macarewecare/222927978372067/5684832058422325795/5684832058422325795_signature_28.png</t>
  </si>
  <si>
    <t>https://www.jotform.com/uploads/macarewecare/222927978372067/5684832058422325795/5684832058422325795_signature_31.png</t>
  </si>
  <si>
    <t>materesitapenas1@gmail.com</t>
  </si>
  <si>
    <t xml:space="preserve">ASSAY: Xpert MTB/RIF Ultra, COUNT: 1677
</t>
  </si>
  <si>
    <t>B3/784530 for Module Replacement</t>
  </si>
  <si>
    <t>Module replaced: B3 784530&gt;&gt;210100859
Cleaned cartridge bay, plunger rod, fan, fan filter, icore 
Generate reports</t>
  </si>
  <si>
    <t>Replaced B3 module
Performed Preventive Maintenance</t>
  </si>
  <si>
    <t>https://www.jotform.com/uploads/macarewecare/222927978372067/5684759098425378064/5684759098425378064_signature_28.png</t>
  </si>
  <si>
    <t>https://www.jotform.com/uploads/macarewecare/222927978372067/5684759098425378064/5684759098425378064_signature_31.png</t>
  </si>
  <si>
    <t>East avenue q.c</t>
  </si>
  <si>
    <t>As per end user they encounter perform self test error</t>
  </si>
  <si>
    <t>https://www.jotform.com/uploads/macarewecare/222927978372067/5684714642717864303/5684714642717864303_signature_28.png</t>
  </si>
  <si>
    <t>https://www.jotform.com/uploads/macarewecare/222927978372067/5684714642717864303/5684714642717864303_signature_31.png</t>
  </si>
  <si>
    <t>As per end user they encounter  DPM out of tolerance</t>
  </si>
  <si>
    <t>checked valve,rollers,line sensor,display panel,dpm,spm,cuff,checked program parameters,performed functionality test, adjust dpm and spm value</t>
  </si>
  <si>
    <t>https://www.jotform.com/uploads/macarewecare/222927978372067/5684714642719843149/5684714642719843149_signature_28.png</t>
  </si>
  <si>
    <t>https://www.jotform.com/uploads/macarewecare/222927978372067/5684714642719843149/5684714642719843149_signature_31.png</t>
  </si>
  <si>
    <t>Baguio General Hospital</t>
  </si>
  <si>
    <t>Governors pack rd., Baguio City</t>
  </si>
  <si>
    <t xml:space="preserve">ASSAY: Xpert HPV, COUNT: 338
ASSAY: Xpert MTB/RIF Ultra, COUNT: 1670
</t>
  </si>
  <si>
    <t>Performed xpertcheck
Cleaned unit
Cleaned filter,icore,plunger rod,cartridge bay
Gathered reports
Test run unit</t>
  </si>
  <si>
    <t>B1 and B2,B4 failed in xpertcheck</t>
  </si>
  <si>
    <t>https://www.jotform.com/uploads/macarewecare/222927978372067/5684256997222404686/5684256997222404686_signature_28.png</t>
  </si>
  <si>
    <t>https://www.jotform.com/uploads/macarewecare/222927978372067/5684256997222404686/5684256997222404686_signature_31.png</t>
  </si>
  <si>
    <t>South Road Property, Cebu City</t>
  </si>
  <si>
    <t xml:space="preserve">ASSAY: Xpert MTB/RIF Ultra, COUNT: 2390
</t>
  </si>
  <si>
    <t>Due for Calibration of the genexpert</t>
  </si>
  <si>
    <t>Conduct calibration for B1</t>
  </si>
  <si>
    <t>Performed calibration of the genxpert</t>
  </si>
  <si>
    <t>B1 Service Required and Module B2 encountered 4012 self test error</t>
  </si>
  <si>
    <t>https://www.jotform.com/uploads/macarewecare/222927978372067/5681659553916024168/5681659553916024168_signature_28.png</t>
  </si>
  <si>
    <t>https://www.jotform.com/uploads/macarewecare/222927978372067/5681659553916024168/5681659553916024168_signature_31.png</t>
  </si>
  <si>
    <t>MADRIDEJOS RURAL HEALTH UNIT</t>
  </si>
  <si>
    <t>MADRIDEJOS, BANTAYAN ISLAND CEBU</t>
  </si>
  <si>
    <t>SYTEM UNIT NO POWER</t>
  </si>
  <si>
    <t>PERFORM SYSTEM UNIT SN: CPH1119F04296 TROUBLESHOOTING:
- CHECK POWER SOURCE AND CABLE FUNCTIONALITY
- INSPECT COMPONENTS</t>
  </si>
  <si>
    <t>SYSTEM UNIT CONFIRMED DEFECTIVE</t>
  </si>
  <si>
    <t>https://www.jotform.com/uploads/macarewecare/222927978372067/5681651013119243099/5681651013119243099_signature_28.png</t>
  </si>
  <si>
    <t>Vilma Cabase</t>
  </si>
  <si>
    <t>https://www.jotform.com/uploads/macarewecare/222927978372067/5681651013119243099/5681651013119243099_signature_31.png</t>
  </si>
  <si>
    <t>Bocobo Street, Ermita, Manila</t>
  </si>
  <si>
    <t xml:space="preserve">ASSAY: Xpert CT/NG, COUNT: 4921
ASSAY: Xpert MTB/RIF, COUNT: 138
ASSAY: Xpert MTB/RIF Ultra, COUNT: 5134
</t>
  </si>
  <si>
    <t>Module A2 for Replacement</t>
  </si>
  <si>
    <t>Replaced module 616088 with 220001426</t>
  </si>
  <si>
    <t>Performed PM(cleaning of icores, plungers, filters, and cartrodge bays)
Generated reports
Archived Results
Performed module replacement
Performed functionality test</t>
  </si>
  <si>
    <t>Work with Sir Patrick and Rhea</t>
  </si>
  <si>
    <t>900-0491RS GeneXpert Module 6C 220001426</t>
  </si>
  <si>
    <t>DR 10501</t>
  </si>
  <si>
    <t>https://www.jotform.com/uploads/macarewecare/222927978372067/5681560736604997280/5681560736604997280_signature_28.png</t>
  </si>
  <si>
    <t>https://www.jotform.com/uploads/macarewecare/222927978372067/5681560736604997280/5681560736604997280_signature_31.png</t>
  </si>
  <si>
    <t>BINAOBAO BANTAYAN</t>
  </si>
  <si>
    <t xml:space="preserve">ASSAY: Xpert MTB/RIF, COUNT: 51
ASSAY: Xpert MTB/RIF Ultra, COUNT: 974
</t>
  </si>
  <si>
    <t>https://www.jotform.com/uploads/macarewecare/222927978372067/5681543709573392665/5681543709573392665_signature_28.png</t>
  </si>
  <si>
    <t>https://www.jotform.com/uploads/macarewecare/222927978372067/5681543709573392665/5681543709573392665_signature_31.png</t>
  </si>
  <si>
    <t>Installed Genexpert
Installed PC
Installed Printer
Installed Drivers
Performed Maintenance
Gathered Reports
Performed Functionality Test</t>
  </si>
  <si>
    <t>https://www.jotform.com/uploads/macarewecare/222927978372067/5681515843414754809/5681515843414754809_signature_28.png</t>
  </si>
  <si>
    <t>https://www.jotform.com/uploads/macarewecare/222927978372067/5681515843414754809/5681515843414754809_signature_31.png</t>
  </si>
  <si>
    <t>BRTTH Compound, Rizal St., Legazpi City</t>
  </si>
  <si>
    <t xml:space="preserve">ASSAY: Xpert HPV, COUNT: 6
ASSAY: Others, COUNT: 507
ASSAY: Xpert MTB/RIF Ultra, COUNT: 1463
ASSAY: Xpert HIV-1 Viral Load, COUNT: 197
</t>
  </si>
  <si>
    <t>B3/862525 for Module Replacement</t>
  </si>
  <si>
    <t>Replaced module: B3 862525&gt;&gt;210100862
Cleaned cartridge bays, plunger rod, fan, icore
Generate reports</t>
  </si>
  <si>
    <t>Replaced module B3
Performed Preventive Maintenance</t>
  </si>
  <si>
    <t>https://www.jotform.com/uploads/macarewecare/222927978372067/5681476970505818891/5681476970505818891_signature_28.png</t>
  </si>
  <si>
    <t>Richard B. Alzaga</t>
  </si>
  <si>
    <t>https://www.jotform.com/uploads/macarewecare/222927978372067/5681476970505818891/5681476970505818891_signature_31.png</t>
  </si>
  <si>
    <t>define.awkward90@gmail.com</t>
  </si>
  <si>
    <t>Xpertcheck CE-5 cartridge/Kit</t>
  </si>
  <si>
    <t>Dr no.: 10412</t>
  </si>
  <si>
    <t>https://www.jotform.com/uploads/macarewecare/222927978372067/5681469870423940491/5681469870423940491_signature_28.png</t>
  </si>
  <si>
    <t>Jethro Camaganacan</t>
  </si>
  <si>
    <t>https://www.jotform.com/uploads/macarewecare/222927978372067/5681469870423940491/5681469870423940491_signature_31.png</t>
  </si>
  <si>
    <t>Pettit barracks, Zamboanga City</t>
  </si>
  <si>
    <t>Module 1- Service required,  module 2 Module 3 - passed, module 4 - passed.</t>
  </si>
  <si>
    <t>Module 1, 2, 3 and 4 are available</t>
  </si>
  <si>
    <t>Module 3 keeps on giving error 4009 and 1001 but passed in xpertcheck calibration</t>
  </si>
  <si>
    <t>https://www.jotform.com/uploads/macarewecare/222927978372067/5681465050424389829/5681465050424389829_signature_28.png</t>
  </si>
  <si>
    <t>https://www.jotform.com/uploads/macarewecare/222927978372067/5681465050424389829/5681465050424389829_signature_31.png</t>
  </si>
  <si>
    <t>Module 1 and 4 -waiting for replacement module 
Module 2 service Required 
Module 3 multiple temperature error</t>
  </si>
  <si>
    <t>Xpertcheck/Calibration results module 2 service Required and module 3 passed</t>
  </si>
  <si>
    <t>DR no.: 10404</t>
  </si>
  <si>
    <t>https://www.jotform.com/uploads/macarewecare/222927978372067/5681453620424882805/5681453620424882805_signature_28.png</t>
  </si>
  <si>
    <t>Janice R  Camiña</t>
  </si>
  <si>
    <t>https://www.jotform.com/uploads/macarewecare/222927978372067/5681453620424882805/5681453620424882805_signature_31.png</t>
  </si>
  <si>
    <t>https://www.jotform.com/uploads/macarewecare/222927978372067/5681453390423981987/5681453390423981987_signature_28.png</t>
  </si>
  <si>
    <t>https://www.jotform.com/uploads/macarewecare/222927978372067/5681453390423981987/5681453390423981987_signature_31.png</t>
  </si>
  <si>
    <t xml:space="preserve">ASSAY: Xpert SARS-CoV-2, COUNT: 4
</t>
  </si>
  <si>
    <t>GX4 (10 c)</t>
  </si>
  <si>
    <t>For module replacement b2 220007130 - 210065580, printer unable to print black color clogged black cartridge</t>
  </si>
  <si>
    <t>Performed module replacement, gathered reports,checked and troubleshoot printer</t>
  </si>
  <si>
    <t>G6135</t>
  </si>
  <si>
    <t>https://www.jotform.com/uploads/macarewecare/222927978372067/5681406693701996436/5681406693701996436_signature_28.png</t>
  </si>
  <si>
    <t>Syxerlyne Dang-ay</t>
  </si>
  <si>
    <t>https://www.jotform.com/uploads/macarewecare/222927978372067/5681406693701996436/5681406693701996436_signature_31.png</t>
  </si>
  <si>
    <t>cudiaaurita@gmail.com</t>
  </si>
  <si>
    <t>https://www.jotform.com/uploads/macarewecare/222927978372067/5681393761016545163/5681393761016545163_signature_28.png</t>
  </si>
  <si>
    <t>Aurita Cudio</t>
  </si>
  <si>
    <t>https://www.jotform.com/uploads/macarewecare/222927978372067/5681393761016545163/5681393761016545163_signature_31.png</t>
  </si>
  <si>
    <t>Pablo N. Marquez Health &amp; Diagnostic Center</t>
  </si>
  <si>
    <t>Isok I, Marinduque</t>
  </si>
  <si>
    <t>Marinduque</t>
  </si>
  <si>
    <t>navarrolizabeth93@gmail.com</t>
  </si>
  <si>
    <t>Modules A1, A3 and A4 for replacement</t>
  </si>
  <si>
    <t>Performed PM
Replaced Modules
Generated Report</t>
  </si>
  <si>
    <t>Replaced A1, A3, A4
A1: 661909 -&gt; 210100863
A3: 661907 -&gt; 210100864
A4: 661906 -&gt; 210100865</t>
  </si>
  <si>
    <t>3 GX modules 6C</t>
  </si>
  <si>
    <t>DR 0042504</t>
  </si>
  <si>
    <t>https://www.jotform.com/uploads/macarewecare/222927978372067/5681383011819843788/5681383011819843788_signature_28.png</t>
  </si>
  <si>
    <t>Lizabeth L.Navarro</t>
  </si>
  <si>
    <t>https://www.jotform.com/uploads/macarewecare/222927978372067/5681383011819843788/5681383011819843788_signature_31.png</t>
  </si>
  <si>
    <t>TACLOBAN CITY HEALTH OFFICE</t>
  </si>
  <si>
    <t xml:space="preserve">ASSAY: Xpert MTB/RIF, COUNT: 97
ASSAY: Xpert MTB/RIF Ultra, COUNT: 1235
</t>
  </si>
  <si>
    <t>https://www.jotform.com/uploads/macarewecare/222927978372067/5681359499197924418/5681359499197924418_signature_28.png</t>
  </si>
  <si>
    <t>Gemma Malate</t>
  </si>
  <si>
    <t>https://www.jotform.com/uploads/macarewecare/222927978372067/5681359499197924418/5681359499197924418_signature_31.png</t>
  </si>
  <si>
    <t>Purok 7, San Miguel, Sto. Tomas</t>
  </si>
  <si>
    <t xml:space="preserve">ASSAY: Xpert MTB/RIF Ultra, COUNT: New Laptop
</t>
  </si>
  <si>
    <t>Unit for PM.
For module replacement of module B4.
For installation of backup laptop.</t>
  </si>
  <si>
    <t>Performed PM.
Performed installation of backup laptop.
Performed module replacement on B4.
Generated reports.</t>
  </si>
  <si>
    <t>GX module B4 (210100855) in replacment to defective B4 (805766).
Backup Laptop Lenovo Thinkpad (CPH1019F03472)</t>
  </si>
  <si>
    <t>G6132, G6129</t>
  </si>
  <si>
    <t>https://www.jotform.com/uploads/macarewecare/222927978372067/5681351131514844839/5681351131514844839_signature_28.png</t>
  </si>
  <si>
    <t>Victoria B. Menor</t>
  </si>
  <si>
    <t>https://www.jotform.com/uploads/macarewecare/222927978372067/5681351131514844839/5681351131514844839_signature_31.png</t>
  </si>
  <si>
    <t>Marinduque Provincial Hospital</t>
  </si>
  <si>
    <t>Santol, Boac, Marinduque</t>
  </si>
  <si>
    <t>anarvas73@gmail.com</t>
  </si>
  <si>
    <t xml:space="preserve">ASSAY: Xpert MTB/RIF Ultra, COUNT: 306
ASSAY: Xpert SARS-CoV-2, COUNT: 714
ASSAY: Xpert HIV-1 Viral Load, COUNT: 6
</t>
  </si>
  <si>
    <t>Performed PM
Replaced Module B2
Generated Report</t>
  </si>
  <si>
    <t>Replaced module B2
210091205 -&gt; 210100432</t>
  </si>
  <si>
    <t>Unit is operational. Both modules working</t>
  </si>
  <si>
    <t>Gx Module 6 colors</t>
  </si>
  <si>
    <t>DR 0042200</t>
  </si>
  <si>
    <t>https://www.jotform.com/uploads/macarewecare/222927978372067/5681319185327760411/5681319185327760411_signature_28.png</t>
  </si>
  <si>
    <t>Anthony Narvas</t>
  </si>
  <si>
    <t>https://www.jotform.com/uploads/macarewecare/222927978372067/5681319185327760411/5681319185327760411_signature_31.png</t>
  </si>
  <si>
    <t>https://www.jotform.com/uploads/macarewecare/222927978372067/5681305315249398847/5681305315249398847_signature_28.png</t>
  </si>
  <si>
    <t>https://www.jotform.com/uploads/macarewecare/222927978372067/5681305315249398847/5681305315249398847_signature_31.png</t>
  </si>
  <si>
    <t>karizzamilomyg@gmail.com</t>
  </si>
  <si>
    <t>No modules detected</t>
  </si>
  <si>
    <t>Reset IP address and Reconnect all LAN cables</t>
  </si>
  <si>
    <t>https://www.jotform.com/uploads/macarewecare/222927978372067/5681303435248957783/5681303435248957783_signature_28.png</t>
  </si>
  <si>
    <t>Karizza Cyriene Milo</t>
  </si>
  <si>
    <t>https://www.jotform.com/uploads/macarewecare/222927978372067/5681303435248957783/5681303435248957783_signature_31.png</t>
  </si>
  <si>
    <t>Due for Computer Replacement 
Due for Calibration</t>
  </si>
  <si>
    <t>- Replaced Defective Computer 2Ua7021 MPS &gt;&gt;&gt; MJ0H94BW
- Cleaned Cartridge Bays, Plunger Rods and I-CORE
- Performed XpertCheck 
- Generated Reports</t>
  </si>
  <si>
    <t>Replaced Defective Computer
Performed XpertCheck</t>
  </si>
  <si>
    <t>GeneXpert Computer MJ0H94BW</t>
  </si>
  <si>
    <t>https://www.jotform.com/uploads/macarewecare/222927978372067/5681298805244985181/5681298805244985181_signature_28.png</t>
  </si>
  <si>
    <t>https://www.jotform.com/uploads/macarewecare/222927978372067/5681298805244985181/5681298805244985181_signature_31.png</t>
  </si>
  <si>
    <t>Due for troubleshooting</t>
  </si>
  <si>
    <t>https://www.jotform.com/uploads/macarewecare/222927978372067/5681296835242042294/5681296835242042294_signature_28.png</t>
  </si>
  <si>
    <t>https://www.jotform.com/uploads/macarewecare/222927978372067/5681296835242042294/5681296835242042294_signature_31.png</t>
  </si>
  <si>
    <t xml:space="preserve">ASSAY: Xpert MTB/RIF, COUNT: 32
ASSAY: , COUNT: 2997
</t>
  </si>
  <si>
    <t>Module A2 failed; For reporting</t>
  </si>
  <si>
    <t>https://www.jotform.com/uploads/macarewecare/222927978372067/5681293585246982442/5681293585246982442_signature_28.png</t>
  </si>
  <si>
    <t>https://www.jotform.com/uploads/macarewecare/222927978372067/5681293585246982442/5681293585246982442_signature_31.png</t>
  </si>
  <si>
    <t>https://www.jotform.com/uploads/macarewecare/222927978372067/5681292625245577355/5681292625245577355_signature_28.png</t>
  </si>
  <si>
    <t>https://www.jotform.com/uploads/macarewecare/222927978372067/5681292625245577355/5681292625245577355_signature_31.png</t>
  </si>
  <si>
    <t xml:space="preserve">ASSAY: Xpert MTB/RIF, COUNT: 44
ASSAY: Xpert MTB/RIF Ultra, COUNT: 536
</t>
  </si>
  <si>
    <t>- Cleaned Cartridge Bays, Plunger Rods, I-CORE 
- Replaced Defective Module B4 786385 &gt;&gt;&gt; 210100866</t>
  </si>
  <si>
    <t>GeneXpert Module 210100866</t>
  </si>
  <si>
    <t>https://www.jotform.com/uploads/macarewecare/222927978372067/5681291515249193318/5681291515249193318_signature_28.png</t>
  </si>
  <si>
    <t>https://www.jotform.com/uploads/macarewecare/222927978372067/5681291515249193318/5681291515249193318_signature_31.png</t>
  </si>
  <si>
    <t>Module 1 for reporting</t>
  </si>
  <si>
    <t>https://www.jotform.com/uploads/macarewecare/222927978372067/5681290255242730738/5681290255242730738_signature_28.png</t>
  </si>
  <si>
    <t>https://www.jotform.com/uploads/macarewecare/222927978372067/5681290255242730738/5681290255242730738_signature_31.png</t>
  </si>
  <si>
    <t>Poblacion, Malungon,  Sarangani Province</t>
  </si>
  <si>
    <t xml:space="preserve">ASSAY: Xpert MTB/RIF Ultra, COUNT: 396
</t>
  </si>
  <si>
    <t>Module 2 and 3 h/w failed 
Module 4 service Required</t>
  </si>
  <si>
    <t>Xpertcheck result- Module 1 passed and module 4 service Required</t>
  </si>
  <si>
    <t>DR no.: 10410</t>
  </si>
  <si>
    <t>https://www.jotform.com/uploads/macarewecare/222927978372067/5680875158128953736/5680875158128953736_signature_28.png</t>
  </si>
  <si>
    <t>Lois Caitlin Villacarlos</t>
  </si>
  <si>
    <t>https://www.jotform.com/uploads/macarewecare/222927978372067/5680875158128953736/5680875158128953736_signature_31.png</t>
  </si>
  <si>
    <t>DR 10429</t>
  </si>
  <si>
    <t>https://www.jotform.com/uploads/macarewecare/222927978372067/5680824138905043637/5680824138905043637_signature_28.png</t>
  </si>
  <si>
    <t>Alyssa Thea Santos RMT</t>
  </si>
  <si>
    <t>https://www.jotform.com/uploads/macarewecare/222927978372067/5680824138905043637/5680824138905043637_signature_31.png</t>
  </si>
  <si>
    <t>Module Replacement = 714934 - 210100709</t>
  </si>
  <si>
    <t>Genexpert Module = 210100709</t>
  </si>
  <si>
    <t>https://www.jotform.com/uploads/macarewecare/222927978372067/5680695854024218382/5680695854024218382_signature_28.png</t>
  </si>
  <si>
    <t>Marlyn M. Urian</t>
  </si>
  <si>
    <t>https://www.jotform.com/uploads/macarewecare/222927978372067/5680695854024218382/5680695854024218382_signature_31.png</t>
  </si>
  <si>
    <t>Medellin Poblacion Cebu</t>
  </si>
  <si>
    <t>Due for Calibration Module B1 and B3</t>
  </si>
  <si>
    <t>Performed calibration for B1 an B3</t>
  </si>
  <si>
    <t>Performed calibration in B1 and B3</t>
  </si>
  <si>
    <t>B1 and B3 Failed during calibration, B2 and Waiting for Module replacement</t>
  </si>
  <si>
    <t>https://www.jotform.com/uploads/macarewecare/222927978372067/5680634076411327761/5680634076411327761_signature_28.png</t>
  </si>
  <si>
    <t>https://www.jotform.com/uploads/macarewecare/222927978372067/5680634076411327761/5680634076411327761_signature_31.png</t>
  </si>
  <si>
    <t xml:space="preserve">ASSAY: Xpert MTB/RIF Ultra, COUNT: 446
</t>
  </si>
  <si>
    <t>Module Replacement = 663001 - 210034408</t>
  </si>
  <si>
    <t>Genexpert Module = 210034408</t>
  </si>
  <si>
    <t>https://www.jotform.com/uploads/macarewecare/222927978372067/5680595673401691759/5680595673401691759_signature_28.png</t>
  </si>
  <si>
    <t>Rochel Ann Lontoc</t>
  </si>
  <si>
    <t>https://www.jotform.com/uploads/macarewecare/222927978372067/5680595673401691759/5680595673401691759_signature_31.png</t>
  </si>
  <si>
    <t xml:space="preserve">ASSAY: Xpert MTB/RIF Ultra, COUNT: 1880
</t>
  </si>
  <si>
    <t>Module B1, B2, B3, C1, C4 for troubleshooting</t>
  </si>
  <si>
    <t>Performed XpertCheck on modules</t>
  </si>
  <si>
    <t>Unitis operational.
ReXC results: all said modules failed.
For reporting.</t>
  </si>
  <si>
    <t>https://www.jotform.com/uploads/macarewecare/222927978372067/5680583945196463676/5680583945196463676_signature_28.png</t>
  </si>
  <si>
    <t>https://www.jotform.com/uploads/macarewecare/222927978372067/5680583945196463676/5680583945196463676_signature_31.png</t>
  </si>
  <si>
    <t xml:space="preserve">ASSAY: Xpert MTB/RIF Ultra, COUNT: 1499
ASSAY: Xpert SARS-CoV-2, COUNT: 1764
</t>
  </si>
  <si>
    <t>Preventive maintenance
Module replacement</t>
  </si>
  <si>
    <t>Work with Engr. Yasser Salih</t>
  </si>
  <si>
    <t>https://www.jotform.com/uploads/macarewecare/222927978372067/5680559230948649366/5680559230948649366_signature_28.png</t>
  </si>
  <si>
    <t>Kirstin Banaag</t>
  </si>
  <si>
    <t>https://www.jotform.com/uploads/macarewecare/222927978372067/5680559230948649366/5680559230948649366_signature_31.png</t>
  </si>
  <si>
    <t>DR no.: 1000410214</t>
  </si>
  <si>
    <t>https://www.jotform.com/uploads/macarewecare/222927978372067/5680496918122028664/5680496918122028664_signature_28.png</t>
  </si>
  <si>
    <t>https://www.jotform.com/uploads/macarewecare/222927978372067/5680496918122028664/5680496918122028664_signature_31.png</t>
  </si>
  <si>
    <t xml:space="preserve">ASSAY: Xpert MTB/RIF, COUNT: 93
ASSAY: Xpert MTB/RIF Ultra, COUNT: 511
</t>
  </si>
  <si>
    <t>- Due for calibration/ Xpertcheck.
- Module 1 with temperature -related errors.</t>
  </si>
  <si>
    <t>module 1 failed XPC, modules 2, 3 4 passed Xpertcheck.</t>
  </si>
  <si>
    <t>https://www.jotform.com/uploads/macarewecare/222927978372067/5680496372716694460/5680496372716694460_signature_28.png</t>
  </si>
  <si>
    <t>Honie Dy G. Macaday, RMT</t>
  </si>
  <si>
    <t>https://www.jotform.com/uploads/macarewecare/222927978372067/5680496372716694460/5680496372716694460_signature_31.png</t>
  </si>
  <si>
    <t xml:space="preserve">ASSAY: Xpert MTB/RIF Ultra, COUNT: 599
ASSAY: Xpert HIV-1 Viral Load, COUNT: 33
</t>
  </si>
  <si>
    <t>Module 1, 2 and 3 passed the Xpertcheck/Calibration</t>
  </si>
  <si>
    <t>https://www.jotform.com/uploads/macarewecare/222927978372067/5680495058128620149/5680495058128620149_signature_28.png</t>
  </si>
  <si>
    <t>https://www.jotform.com/uploads/macarewecare/222927978372067/5680495058128620149/5680495058128620149_signature_31.png</t>
  </si>
  <si>
    <t>Villareal Rural Health Unit</t>
  </si>
  <si>
    <t>Villareal samar</t>
  </si>
  <si>
    <t>lourdenmaynavallo@gmail.com</t>
  </si>
  <si>
    <t>https://www.jotform.com/uploads/macarewecare/222927978372067/5680485221145947777/5680485221145947777_signature_28.png</t>
  </si>
  <si>
    <t>Arman l navallo</t>
  </si>
  <si>
    <t>https://www.jotform.com/uploads/macarewecare/222927978372067/5680485221145947777/5680485221145947777_signature_31.png</t>
  </si>
  <si>
    <t xml:space="preserve">ASSAY: Xpert MTB/RIF Ultra, COUNT: 379
</t>
  </si>
  <si>
    <t>Xpertcheck CE-5 cartridge/ kit</t>
  </si>
  <si>
    <t>DR no.: 10409</t>
  </si>
  <si>
    <t>https://www.jotform.com/uploads/macarewecare/222927978372067/5680475028122540621/5680475028122540621_signature_28.png</t>
  </si>
  <si>
    <t>Ceres Mae Jimenez</t>
  </si>
  <si>
    <t>https://www.jotform.com/uploads/macarewecare/222927978372067/5680475028122540621/5680475028122540621_signature_31.png</t>
  </si>
  <si>
    <t>Masikap st,qc</t>
  </si>
  <si>
    <t xml:space="preserve">ASSAY: Xpert CT/NG, COUNT: 72
ASSAY: Xpert HBV VL, COUNT: 90
ASSAY: Xpert HCV VL, COUNT: 3
ASSAY: Xpert HIV-1 Viral Load, COUNT: 1
</t>
  </si>
  <si>
    <t>https://www.jotform.com/uploads/macarewecare/222927978372067/5680472857403540157/5680472857403540157_signature_28.png</t>
  </si>
  <si>
    <t>EDGINICA SHANNEN VALBUENA</t>
  </si>
  <si>
    <t>https://www.jotform.com/uploads/macarewecare/222927978372067/5680472857403540157/5680472857403540157_signature_31.png</t>
  </si>
  <si>
    <t>UPS Moduke B2 for troubleshooting</t>
  </si>
  <si>
    <t>Performed preventive maintenance
Performed cepheid troubkeshooting procedure
Archived test results
Gathered reports
Performed functionality test</t>
  </si>
  <si>
    <t>Unit is oartially operational</t>
  </si>
  <si>
    <t>https://www.jotform.com/uploads/macarewecare/222927978372067/5680456600943441616/5680456600943441616_signature_28.png</t>
  </si>
  <si>
    <t>https://www.jotform.com/uploads/macarewecare/222927978372067/5680456600943441616/5680456600943441616_signature_31.png</t>
  </si>
  <si>
    <t>gisellefipulab@gmail.com</t>
  </si>
  <si>
    <t>Module 1, 2, 3 and 4 undergone Xpertcheck calibration and Preventive Maintenence. 
Module 1 passed, module 2 passed, module 3 service required, module 4 passed</t>
  </si>
  <si>
    <t>Xpertcheck calibration and Preventive Maintenence</t>
  </si>
  <si>
    <t>Module 1, 2 and 4 are available, while module 3 is not in use.</t>
  </si>
  <si>
    <t>XPERTCHECK-CE-5, CE-IVD 5 cartridges/kit 1 ( 1000410214)</t>
  </si>
  <si>
    <t>https://www.jotform.com/uploads/macarewecare/222927978372067/5680450278125883721/5680450278125883721_signature_28.png</t>
  </si>
  <si>
    <t>Giselle Gipulan</t>
  </si>
  <si>
    <t>https://www.jotform.com/uploads/macarewecare/222927978372067/5680450278125883721/5680450278125883721_signature_31.png</t>
  </si>
  <si>
    <t>Poblacion South, Ramos, Tarlac</t>
  </si>
  <si>
    <t xml:space="preserve">ASSAY: Xpert MTB/RIF, COUNT: 55
ASSAY: Xpert MTB/RIF Ultra, COUNT: 388
</t>
  </si>
  <si>
    <t>UPS Replacement
Preventive maintenance</t>
  </si>
  <si>
    <t>Performed preventive maintenance
Performed UPS replacement
Archived test results
Gathered reports
Performed functionality test</t>
  </si>
  <si>
    <t>https://www.jotform.com/uploads/macarewecare/222927978372067/5680426535936784415/5680426535936784415_signature_28.png</t>
  </si>
  <si>
    <t>https://www.jotform.com/uploads/macarewecare/222927978372067/5680426535936784415/5680426535936784415_signature_31.png</t>
  </si>
  <si>
    <t>Brgy. 2, Camalig</t>
  </si>
  <si>
    <t>GX for Callibration</t>
  </si>
  <si>
    <t>XpertCheck Result: All modules passed
Cleaned cartridge bays, plunger rod, fan filter, icore 
Generate reports</t>
  </si>
  <si>
    <t>Unit is operational 
B1 -  Passed
B2 -Passed</t>
  </si>
  <si>
    <t>https://www.jotform.com/uploads/macarewecare/222927978372067/5680389853509898030/5680389853509898030_signature_28.png</t>
  </si>
  <si>
    <t>Leilani M Grageda</t>
  </si>
  <si>
    <t>https://www.jotform.com/uploads/macarewecare/222927978372067/5680389853509898030/5680389853509898030_signature_31.png</t>
  </si>
  <si>
    <t>Dumaguete City Negros Oriental</t>
  </si>
  <si>
    <t xml:space="preserve">ASSAY: Xpert MTB/RIF Ultra, COUNT: 2540
ASSAY: Xpert HIV-1 Viral Load, COUNT: 157
</t>
  </si>
  <si>
    <t>Due for Xpertcheck/Calibration</t>
  </si>
  <si>
    <t>Performed Xpertcheck on modules 2 and 4.</t>
  </si>
  <si>
    <t>4 modules operational, modules 2 and 4 passed Xpertcheck.  Already done XPC with modules 1 and 3.</t>
  </si>
  <si>
    <t>https://www.jotform.com/uploads/macarewecare/222927978372067/5680051930514163693/5680051930514163693_signature_28.png</t>
  </si>
  <si>
    <t>https://www.jotform.com/uploads/macarewecare/222927978372067/5680051930514163693/5680051930514163693_signature_31.png</t>
  </si>
  <si>
    <t>Defective module D2/757101</t>
  </si>
  <si>
    <t>Replaced module D2 with new module with SN 210100867.</t>
  </si>
  <si>
    <t>https://www.jotform.com/uploads/macarewecare/222927978372067/5680048130513104919/5680048130513104919_signature_28.png</t>
  </si>
  <si>
    <t>https://www.jotform.com/uploads/macarewecare/222927978372067/5680048130513104919/5680048130513104919_signature_31.png</t>
  </si>
  <si>
    <t>Replaced defective CPU with new CPU with SN CPH0622F37114.</t>
  </si>
  <si>
    <t>Unit Operational, 4 modules operational.</t>
  </si>
  <si>
    <t>https://www.jotform.com/uploads/macarewecare/222927978372067/5680044990514199756/5680044990514199756_signature_28.png</t>
  </si>
  <si>
    <t>https://www.jotform.com/uploads/macarewecare/222927978372067/5680044990514199756/5680044990514199756_signature_31.png</t>
  </si>
  <si>
    <t>National children's hospital</t>
  </si>
  <si>
    <t>For quotation of rollers need to be replace due to wear and tear</t>
  </si>
  <si>
    <t>https://www.jotform.com/uploads/macarewecare/222927978372067/5679989005616804287/5679989005616804287_signature_28.png</t>
  </si>
  <si>
    <t>https://www.jotform.com/uploads/macarewecare/222927978372067/5679989005616804287/5679989005616804287_signature_31.png</t>
  </si>
  <si>
    <t xml:space="preserve">ASSAY: Xpert MTB/RIF Ultra, COUNT: 1437
</t>
  </si>
  <si>
    <t>Due for Calibration and B1 encountered Hardware failure due to  error of 4017 during self test</t>
  </si>
  <si>
    <t>Performed calibration in genexpert machine</t>
  </si>
  <si>
    <t>Performed maintenance, clean Icore, cartridge bay, reset module and calibrate all modules</t>
  </si>
  <si>
    <t>B1 - Hardware failure and failed during calibration 
B2- Failed during calibration 
B3- Passed 
B4-Failed during  calibration</t>
  </si>
  <si>
    <t>https://www.jotform.com/uploads/macarewecare/222927978372067/5679973983919174002/5679973983919174002_signature_28.png</t>
  </si>
  <si>
    <t>https://www.jotform.com/uploads/macarewecare/222927978372067/5679973983919174002/5679973983919174002_signature_31.png</t>
  </si>
  <si>
    <t>District C (Mini Forest) Health Center</t>
  </si>
  <si>
    <t>Quezon Boulevard, Barangay 23-C, Davao City</t>
  </si>
  <si>
    <t xml:space="preserve">ASSAY: Xpert MTB/RIF, COUNT: 174
ASSAY: Xpert MTB/RIF Ultra, COUNT: 327
</t>
  </si>
  <si>
    <t>Run XpertCheck on Three Modules</t>
  </si>
  <si>
    <t>DR 10437</t>
  </si>
  <si>
    <t>https://www.jotform.com/uploads/macarewecare/222927978372067/5679860164819538903/5679860164819538903_signature_28.png</t>
  </si>
  <si>
    <t>Joy Nio RMT</t>
  </si>
  <si>
    <t>https://www.jotform.com/uploads/macarewecare/222927978372067/5679860164819538903/5679860164819538903_signature_31.png</t>
  </si>
  <si>
    <t>Department of Health Bicutan</t>
  </si>
  <si>
    <t>Relocated unit to nearby work desk</t>
  </si>
  <si>
    <t>https://www.jotform.com/uploads/macarewecare/222927978372067/5679840693619856904/5679840693619856904_signature_28.png</t>
  </si>
  <si>
    <t>Joanna Carlota Rufino</t>
  </si>
  <si>
    <t>https://www.jotform.com/uploads/macarewecare/222927978372067/5679840693619856904/5679840693619856904_signature_31.png</t>
  </si>
  <si>
    <t>Seminary Road, Edsa, Quezon City</t>
  </si>
  <si>
    <t>Unboxed GX machine and accessories
Setup GX machine and accessories 
Generated report</t>
  </si>
  <si>
    <t>GX machine, UPS, CPU, Barcode Scanner, Printer, Monitor</t>
  </si>
  <si>
    <t>DR 10487</t>
  </si>
  <si>
    <t>https://www.jotform.com/uploads/macarewecare/222927978372067/5679833207429190699/5679833207429190699_signature_28.png</t>
  </si>
  <si>
    <t>Milma B. Laxina</t>
  </si>
  <si>
    <t>https://www.jotform.com/uploads/macarewecare/222927978372067/5679833207429190699/5679833207429190699_signature_31.png</t>
  </si>
  <si>
    <t>Laboraory</t>
  </si>
  <si>
    <t xml:space="preserve">ASSAY: Xpert MTB/RIF Ultra, COUNT: 835
ASSAY: Xpert HIV-1 Viral Load, COUNT: 19
</t>
  </si>
  <si>
    <t>A1 error 1006,1001,4011,4017</t>
  </si>
  <si>
    <t>Performed preventive maintenance
Archived test results
Gathered reports
Performed functionality test</t>
  </si>
  <si>
    <t>A1 for reporting</t>
  </si>
  <si>
    <t>https://www.jotform.com/uploads/macarewecare/222927978372067/5679769139413058324/5679769139413058324_signature_28.png</t>
  </si>
  <si>
    <t>Blesilda G. Dueñas</t>
  </si>
  <si>
    <t>https://www.jotform.com/uploads/macarewecare/222927978372067/5679769139413058324/5679769139413058324_signature_31.png</t>
  </si>
  <si>
    <t xml:space="preserve">ASSAY: Xpert MTB/RIF Ultra, COUNT: 512
</t>
  </si>
  <si>
    <t>Performed Xpertcheck on Module 3</t>
  </si>
  <si>
    <t>https://www.jotform.com/uploads/macarewecare/222927978372067/5679758499326822101/5679758499326822101_signature_28.png</t>
  </si>
  <si>
    <t>Mary Ann D Carreon</t>
  </si>
  <si>
    <t>https://www.jotform.com/uploads/macarewecare/222927978372067/5679758499326822101/5679758499326822101_signature_31.png</t>
  </si>
  <si>
    <t>Reproductive Health and Wellness Center</t>
  </si>
  <si>
    <t xml:space="preserve">ASSAY: Xpert MTB/RIF Ultra, COUNT: 144
ASSAY: Xpert HIV-1 Viral Load, COUNT: 919
</t>
  </si>
  <si>
    <t>Due for Calibration
Module B2 encounter temperature related Error</t>
  </si>
  <si>
    <t>Perform XPC Calibration and Functionality Test for Module B2</t>
  </si>
  <si>
    <t>Troubleshoot Module B2</t>
  </si>
  <si>
    <t>DR 10445</t>
  </si>
  <si>
    <t>https://www.jotform.com/uploads/macarewecare/222927978372067/5679756841413713350/5679756841413713350_signature_28.png</t>
  </si>
  <si>
    <t>Ellaine Malano RMT</t>
  </si>
  <si>
    <t>https://www.jotform.com/uploads/macarewecare/222927978372067/5679756841413713350/5679756841413713350_signature_31.png</t>
  </si>
  <si>
    <t>Poblacion, Candijay</t>
  </si>
  <si>
    <t>senenmilo24@gmail.com</t>
  </si>
  <si>
    <t xml:space="preserve">ASSAY: Xpert MTB/RIF, COUNT: 265
ASSAY: Xpert MTB/RIF Ultra, COUNT: 489
</t>
  </si>
  <si>
    <t>B1 found Service Required
B4 reported through Jotform</t>
  </si>
  <si>
    <t>B4 reported through jotform</t>
  </si>
  <si>
    <t>3 modules working
1 module reported</t>
  </si>
  <si>
    <t>B1 for replacement due to XPC Result</t>
  </si>
  <si>
    <t>https://www.jotform.com/uploads/macarewecare/222927978372067/5679729745029305750/5679729745029305750_signature_28.png</t>
  </si>
  <si>
    <t>Lian Milo</t>
  </si>
  <si>
    <t>https://www.jotform.com/uploads/macarewecare/222927978372067/5679729745029305750/5679729745029305750_signature_31.png</t>
  </si>
  <si>
    <t xml:space="preserve">ASSAY: Xpert MTB/RIF Ultra, COUNT: 704
</t>
  </si>
  <si>
    <t>Xpertcheck CE-5 cartridge/kit 1000410214</t>
  </si>
  <si>
    <t>DR no. 10413</t>
  </si>
  <si>
    <t>https://www.jotform.com/uploads/macarewecare/222927978372067/5679727758125813910/5679727758125813910_signature_28.png</t>
  </si>
  <si>
    <t>https://www.jotform.com/uploads/macarewecare/222927978372067/5679727758125813910/5679727758125813910_signature_31.png</t>
  </si>
  <si>
    <t>Palo, campetic</t>
  </si>
  <si>
    <t xml:space="preserve">ASSAY: Xpert MTB/RIF, COUNT: 218
ASSAY: Xpert MTB/RIF Ultra, COUNT: 599
ASSAY: Xpert HPV, COUNT: 8
</t>
  </si>
  <si>
    <t>- CPU error (operating system not booting)
 SN / 2UA7021M0Z</t>
  </si>
  <si>
    <t>https://www.jotform.com/uploads/macarewecare/222927978372067/5679714940326620287/5679714940326620287_signature_28.png</t>
  </si>
  <si>
    <t>Ameryl Mostales</t>
  </si>
  <si>
    <t>https://www.jotform.com/uploads/macarewecare/222927978372067/5679714940326620287/5679714940326620287_signature_31.png</t>
  </si>
  <si>
    <t>Duedate for xpertcheck module A1 &amp; A3</t>
  </si>
  <si>
    <t>Xpertcheck calibration module A1 &amp; A3</t>
  </si>
  <si>
    <t>Module a1 &amp; a3 passed</t>
  </si>
  <si>
    <t>https://www.jotform.com/uploads/macarewecare/222927978372067/5679670621716799164/5679670621716799164_signature_28.png</t>
  </si>
  <si>
    <t>https://www.jotform.com/uploads/macarewecare/222927978372067/5679670621716799164/5679670621716799164_signature_31.png</t>
  </si>
  <si>
    <t>Gov. Celestino gallares memorial hospital</t>
  </si>
  <si>
    <t>Tagbilaran, bohol</t>
  </si>
  <si>
    <t>Defective module b3 sn 634295</t>
  </si>
  <si>
    <t>New module b3 installed sn 210100707</t>
  </si>
  <si>
    <t>https://www.jotform.com/uploads/macarewecare/222927978372067/5679667245224743380/5679667245224743380_signature_28.png</t>
  </si>
  <si>
    <t>https://www.jotform.com/uploads/macarewecare/222927978372067/5679667245224743380/5679667245224743380_signature_31.png</t>
  </si>
  <si>
    <t>Conduct PM and generate files.</t>
  </si>
  <si>
    <t>Run Xpert check calibration for module B2 and B4 only.</t>
  </si>
  <si>
    <t>Module B2 and B4 passed the calibration. All modules are in good conditions.</t>
  </si>
  <si>
    <t>https://www.jotform.com/uploads/macarewecare/222927978372067/5679666254308930189/5679666254308930189_signature_28.png</t>
  </si>
  <si>
    <t>https://www.jotform.com/uploads/macarewecare/222927978372067/5679666254308930189/5679666254308930189_signature_31.png</t>
  </si>
  <si>
    <t>Poblacion, Jagna</t>
  </si>
  <si>
    <t xml:space="preserve">ASSAY: Xpert MTB/RIF, COUNT: 230
ASSAY: Xpert MTB/RIF Ultra, COUNT: 557
</t>
  </si>
  <si>
    <t>B2 Found Service Required</t>
  </si>
  <si>
    <t>B2 - Service Required (For Replacement)</t>
  </si>
  <si>
    <t>https://www.jotform.com/uploads/macarewecare/222927978372067/5679649269412219806/5679649269412219806_signature_28.png</t>
  </si>
  <si>
    <t>Therese Arjelin C. Palima</t>
  </si>
  <si>
    <t>https://www.jotform.com/uploads/macarewecare/222927978372067/5679649269412219806/5679649269412219806_signature_31.png</t>
  </si>
  <si>
    <t>Caloocan City Quality Assurance Center RTDL</t>
  </si>
  <si>
    <t xml:space="preserve">ASSAY: Xpert MTB/RIF Ultra, COUNT: 180
ASSAY: Xpert HIV-1 Viral Load, COUNT: 41
</t>
  </si>
  <si>
    <t>CPU of GX with SN 814154 is for replacement</t>
  </si>
  <si>
    <t>Connected two GX in network switch
Setup printer
Generated report</t>
  </si>
  <si>
    <t>Temporarily connected 2 GX to 1 CPU using network switch</t>
  </si>
  <si>
    <t>https://www.jotform.com/uploads/macarewecare/222927978372067/5679649155758884088/5679649155758884088_signature_28.png</t>
  </si>
  <si>
    <t>https://www.jotform.com/uploads/macarewecare/222927978372067/5679649155758884088/5679649155758884088_signature_31.png</t>
  </si>
  <si>
    <t>Jose dalman rural health unit</t>
  </si>
  <si>
    <t>Jose dalman, Zamboanga del norte</t>
  </si>
  <si>
    <t>Replaced module 787266 with Module 210100394.  Module 2 undergone Xpertcheck calibration and passed</t>
  </si>
  <si>
    <t>Preventive maintenence, Module 1 Replacement and xpertcheck calibration</t>
  </si>
  <si>
    <t>https://www.jotform.com/uploads/macarewecare/222927978372067/5679638582326975536/5679638582326975536_signature_28.png</t>
  </si>
  <si>
    <t>Ma Cristina M. Alquiza</t>
  </si>
  <si>
    <t>https://www.jotform.com/uploads/macarewecare/222927978372067/5679638582326975536/5679638582326975536_signature_31.png</t>
  </si>
  <si>
    <t>All modules are functional. Module B4 for replacement.</t>
  </si>
  <si>
    <t>https://www.jotform.com/uploads/macarewecare/222927978372067/5679634588466534370/5679634588466534370_signature_28.png</t>
  </si>
  <si>
    <t>https://www.jotform.com/uploads/macarewecare/222927978372067/5679634588466534370/5679634588466534370_signature_31.png</t>
  </si>
  <si>
    <t>University of the Philipines - National Institutes of Health</t>
  </si>
  <si>
    <t>G/F National Institutes of Health Building, Pedro Gil Street, Ermita</t>
  </si>
  <si>
    <t xml:space="preserve">ASSAY: Xpert CT/NG, COUNT: 12
ASSAY: Xpert HBV VL, COUNT: 17
ASSAY: Xpert MTB/RIF Ultra, COUNT: 4
ASSAY: Xpert HCV VL, COUNT: 13
ASSAY: Xpert HIV-1 Viral Load, COUNT: 124
</t>
  </si>
  <si>
    <t>Unit for PM.
Module D2, H/W Failure.</t>
  </si>
  <si>
    <t>Performed PM.
Performed troubleshooting.
Performed selftest on D2.
Generated reports.</t>
  </si>
  <si>
    <t>Unit is operational. Module D2 still has H/W Failure and has an error of 4017. Module D2 (210070086) for reporting.</t>
  </si>
  <si>
    <t>https://www.jotform.com/uploads/macarewecare/222927978372067/5679634065416798144/5679634065416798144_signature_28.png</t>
  </si>
  <si>
    <t>https://www.jotform.com/uploads/macarewecare/222927978372067/5679634065416798144/5679634065416798144_signature_31.png</t>
  </si>
  <si>
    <t>Lenovo Desktop</t>
  </si>
  <si>
    <t>ThinkCentre M720s</t>
  </si>
  <si>
    <t>CPH0520F08201</t>
  </si>
  <si>
    <t>For repair</t>
  </si>
  <si>
    <t>Performed torubleshooting</t>
  </si>
  <si>
    <t>Unit is operational.
Unit is ready for dispatch.</t>
  </si>
  <si>
    <t>https://www.jotform.com/uploads/macarewecare/222927978372067/5679599223616958099/5679599223616958099_signature_28.png</t>
  </si>
  <si>
    <t>Patrick Los Banos</t>
  </si>
  <si>
    <t>https://www.jotform.com/uploads/macarewecare/222927978372067/5679599223616958099/5679599223616958099_signature_31.png</t>
  </si>
  <si>
    <t xml:space="preserve">ASSAY: Xpert MTB/RIF, COUNT: 162
ASSAY: Xpert MTB/RIF Ultra, COUNT: 747
</t>
  </si>
  <si>
    <t>- Perform Xpertcheck on 4 modules</t>
  </si>
  <si>
    <t>https://www.jotform.com/uploads/macarewecare/222927978372067/5679598889128958210/5679598889128958210_signature_28.png</t>
  </si>
  <si>
    <t>https://www.jotform.com/uploads/macarewecare/222927978372067/5679598889128958210/5679598889128958210_signature_31.png</t>
  </si>
  <si>
    <t>Ward 1, Pider Minglanilla Cebu</t>
  </si>
  <si>
    <t>Due for calibration of genexpert unit and B3 encountered a problem of 4017 during start up</t>
  </si>
  <si>
    <t>Conduct calibration for B1, B3 and B4</t>
  </si>
  <si>
    <t>B1 and B4 passed calibration and B3 failed during calibration for replacement</t>
  </si>
  <si>
    <t>https://www.jotform.com/uploads/macarewecare/222927978372067/5679597463915955208/5679597463915955208_signature_28.png</t>
  </si>
  <si>
    <t>https://www.jotform.com/uploads/macarewecare/222927978372067/5679597463915955208/5679597463915955208_signature_31.png</t>
  </si>
  <si>
    <t>CPH0420F08168</t>
  </si>
  <si>
    <t>Unit is operational.
Ready for dispatch.</t>
  </si>
  <si>
    <t>https://www.jotform.com/uploads/macarewecare/222927978372067/5679596693612030257/5679596693612030257_signature_28.png</t>
  </si>
  <si>
    <t>https://www.jotform.com/uploads/macarewecare/222927978372067/5679596693612030257/5679596693612030257_signature_31.png</t>
  </si>
  <si>
    <t>Quiricada St. Sta Cruz</t>
  </si>
  <si>
    <t xml:space="preserve">ASSAY: Xpert MTB/RIF Ultra, COUNT: 850
ASSAY: Xpert HIV-1 Viral Load, COUNT: 600
</t>
  </si>
  <si>
    <t>Unit for PM.
For module replacement of modules C1 and C4.</t>
  </si>
  <si>
    <t>Performed PM.
Performed module replacement on C1 and C4.
Generated reports.</t>
  </si>
  <si>
    <t>GX module. C1 (210100881) and C4 (210100884) in replacement to defective C1 (662707) and C4 (699744).</t>
  </si>
  <si>
    <t>https://www.jotform.com/uploads/macarewecare/222927978372067/5679587861122735011/5679587861122735011_signature_28.png</t>
  </si>
  <si>
    <t>https://www.jotform.com/uploads/macarewecare/222927978372067/5679587861122735011/5679587861122735011_signature_31.png</t>
  </si>
  <si>
    <t>AGUSAN DEL NORTE PROVINCIAL HEALTH OFFICE</t>
  </si>
  <si>
    <t>BUTUAN</t>
  </si>
  <si>
    <t xml:space="preserve">ASSAY: Xpert MTB/RIF, COUNT: 31
ASSAY: Xpert MTB/RIF Ultra, COUNT: 1710
</t>
  </si>
  <si>
    <t>-PERFORM GX EQUIPMENT PM AND CLEANING
-PERFORM MODULE A1 DEF SN : 210068636 REPLACEMENT WITH NEW SN: 210100555</t>
  </si>
  <si>
    <t>https://www.jotform.com/uploads/macarewecare/222927978372067/5679582895676833775/5679582895676833775_signature_28.png</t>
  </si>
  <si>
    <t>https://www.jotform.com/uploads/macarewecare/222927978372067/5679582895676833775/5679582895676833775_signature_31.png</t>
  </si>
  <si>
    <t>BISLIG DISTRICT HOSPITAL</t>
  </si>
  <si>
    <t>BISLIG SURIGAO DEL SUR</t>
  </si>
  <si>
    <t>bdhlaboratory2021@gmail.com</t>
  </si>
  <si>
    <t xml:space="preserve">ASSAY: Xpert MTB/RIF Ultra, COUNT: 2368
</t>
  </si>
  <si>
    <t>-PERFORM GX MAINTENANCE AND CLEANING
-PERFORM MODULE B4 REPLACEMENT DEF SN: 674605 WITH NEW SN: 210100329</t>
  </si>
  <si>
    <t>https://www.jotform.com/uploads/macarewecare/222927978372067/5679076585815829380/5679076585815829380_signature_28.png</t>
  </si>
  <si>
    <t>Georgina V. Novero</t>
  </si>
  <si>
    <t>https://www.jotform.com/uploads/macarewecare/222927978372067/5679076585815829380/5679076585815829380_signature_31.png</t>
  </si>
  <si>
    <t>Panganiban Drive, Naga City</t>
  </si>
  <si>
    <t xml:space="preserve">ASSAY: Xpert HPV, COUNT: 566
ASSAY: Xpert MTB/RIF Ultra, COUNT: 460
ASSAY: Xpert SARS-CoV-2, COUNT: 393
</t>
  </si>
  <si>
    <t>B3/210034756 for Module Replacement</t>
  </si>
  <si>
    <t>Replaced module: B3 210034756&gt;&gt;635083
Cleaned cartridge bays, plunger rod, fan, fan filter, icore 
Generate reports</t>
  </si>
  <si>
    <t>B3 module replaced
Performed Preventive Maintenance</t>
  </si>
  <si>
    <t>https://www.jotform.com/uploads/macarewecare/222927978372067/5679022242614776599/5679022242614776599_signature_28.png</t>
  </si>
  <si>
    <t>https://www.jotform.com/uploads/macarewecare/222927978372067/5679022242614776599/5679022242614776599_signature_31.png</t>
  </si>
  <si>
    <t>San Leonardo Rural Health Unit</t>
  </si>
  <si>
    <t>Diversion, San Leonardo, Nueva Ecija</t>
  </si>
  <si>
    <t>ligayadomingo20@gmail.com</t>
  </si>
  <si>
    <t xml:space="preserve">ASSAY: Xpert MTB/RIF Ultra, COUNT: 743
ASSAY: Xpert MTB/RIF, COUNT: 50
</t>
  </si>
  <si>
    <t>Computer not turning on
UPS not charging</t>
  </si>
  <si>
    <t>Troubleshoot the computer
Troubleshoot UPS
UPS not functioning</t>
  </si>
  <si>
    <t>https://www.jotform.com/uploads/macarewecare/222927978372067/5679013023611002195/5679013023611002195_signature_28.png</t>
  </si>
  <si>
    <t>https://www.jotform.com/uploads/macarewecare/222927978372067/5679013023611002195/5679013023611002195_signature_31.png</t>
  </si>
  <si>
    <t>https://www.jotform.com/uploads/macarewecare/222927978372067/5679013023613212785/5679013023613212785_signature_28.png</t>
  </si>
  <si>
    <t>https://www.jotform.com/uploads/macarewecare/222927978372067/5679013023613212785/5679013023613212785_signature_31.png</t>
  </si>
  <si>
    <t>https://www.jotform.com/uploads/macarewecare/222927978372067/5679013023613295574/5679013023613295574_signature_28.png</t>
  </si>
  <si>
    <t>https://www.jotform.com/uploads/macarewecare/222927978372067/5679013023613295574/5679013023613295574_signature_31.png</t>
  </si>
  <si>
    <t>https://www.jotform.com/uploads/macarewecare/222927978372067/5679013023616003440/5679013023616003440_signature_28.png</t>
  </si>
  <si>
    <t>https://www.jotform.com/uploads/macarewecare/222927978372067/5679013023616003440/5679013023616003440_signature_31.png</t>
  </si>
  <si>
    <t>B3 for re XpertCheck</t>
  </si>
  <si>
    <t>Unit is operational.
B3: passed</t>
  </si>
  <si>
    <t>https://www.jotform.com/uploads/macarewecare/222927978372067/5678890470113782703/5678890470113782703_signature_28.png</t>
  </si>
  <si>
    <t>https://www.jotform.com/uploads/macarewecare/222927978372067/5678890470113782703/5678890470113782703_signature_31.png</t>
  </si>
  <si>
    <t>Carmen, bohol</t>
  </si>
  <si>
    <t>Duedate for xpertcheck module b2 and b4</t>
  </si>
  <si>
    <t>Xpertcheck b2 and b4</t>
  </si>
  <si>
    <t>Module b2 service require and b4 passed</t>
  </si>
  <si>
    <t>https://www.jotform.com/uploads/macarewecare/222927978372067/5678863698027484979/5678863698027484979_signature_28.png</t>
  </si>
  <si>
    <t>https://www.jotform.com/uploads/macarewecare/222927978372067/5678863698027484979/5678863698027484979_signature_31.png</t>
  </si>
  <si>
    <t>Pulong Buli, Sto. Domingo, Nueva Ecija</t>
  </si>
  <si>
    <t xml:space="preserve">ASSAY: Xpert MTB/RIF, COUNT: 49
ASSAY: Xpert MTB/RIF Ultra, COUNT: 1037
</t>
  </si>
  <si>
    <t>Module 2 error 5007</t>
  </si>
  <si>
    <t>Xpertcheck Result = Service Required</t>
  </si>
  <si>
    <t>https://www.jotform.com/uploads/macarewecare/222927978372067/5678852157329491122/5678852157329491122_signature_28.png</t>
  </si>
  <si>
    <t>https://www.jotform.com/uploads/macarewecare/222927978372067/5678852157329491122/5678852157329491122_signature_31.png</t>
  </si>
  <si>
    <t>Pacheco St. Tondo</t>
  </si>
  <si>
    <t>Performed preventive maintenance.
Generated reports.</t>
  </si>
  <si>
    <t>https://www.jotform.com/uploads/macarewecare/222927978372067/5678848098916562183/5678848098916562183_signature_28.png</t>
  </si>
  <si>
    <t>https://www.jotform.com/uploads/macarewecare/222927978372067/5678848098916562183/5678848098916562183_signature_31.png</t>
  </si>
  <si>
    <t>carina_moncada@yahoo.com</t>
  </si>
  <si>
    <t xml:space="preserve">ASSAY: Xpert MTB/RIF Ultra, COUNT: 2107
ASSAY: Others, COUNT: XDR 436
</t>
  </si>
  <si>
    <t>Unit is operational. For request of Xpertcheck (Due Date: September 2023).</t>
  </si>
  <si>
    <t>https://www.jotform.com/uploads/macarewecare/222927978372067/5678844228918455780/5678844228918455780_signature_28.png</t>
  </si>
  <si>
    <t>https://www.jotform.com/uploads/macarewecare/222927978372067/5678844228918455780/5678844228918455780_signature_31.png</t>
  </si>
  <si>
    <t xml:space="preserve">ASSAY: Xpert MTB/RIF, COUNT: 385
ASSAY: Xpert MTB/RIF Ultra, COUNT: 968
</t>
  </si>
  <si>
    <t>Due for XPC.</t>
  </si>
  <si>
    <t>Module A1 and A3 - for replacement. Module A2 and A4 - passed XPC. Module A2, A3, and A4 are functional.</t>
  </si>
  <si>
    <t>https://www.jotform.com/uploads/macarewecare/222927978372067/5678838187429959256/5678838187429959256_signature_28.png</t>
  </si>
  <si>
    <t>Analiza Bianca Mercado</t>
  </si>
  <si>
    <t>https://www.jotform.com/uploads/macarewecare/222927978372067/5678838187429959256/5678838187429959256_signature_31.png</t>
  </si>
  <si>
    <t xml:space="preserve">ASSAY: Xpert MTB/RIF Ultra, COUNT: 156
ASSAY: Xpert HIV-1 Viral Load, COUNT: 41
</t>
  </si>
  <si>
    <t>CPU Real Time Clock Power Loss</t>
  </si>
  <si>
    <t>Checked CPU
Replaced BIOS battery; problem solved
Performed PM
Generated report</t>
  </si>
  <si>
    <t>Unit is operational. CPU working</t>
  </si>
  <si>
    <t>https://www.jotform.com/uploads/macarewecare/222927978372067/5678813505651300640/5678813505651300640_signature_28.png</t>
  </si>
  <si>
    <t>https://www.jotform.com/uploads/macarewecare/222927978372067/5678813505651300640/5678813505651300640_signature_31.png</t>
  </si>
  <si>
    <t>CPU does not boot up
Boot device not found</t>
  </si>
  <si>
    <t>Checked CPU
Changed BIOS Battery; problem persists
Updated date &amp; time; problem persists 
CPU for replacement
Performed PM
Generated report</t>
  </si>
  <si>
    <t>GX is operational
CPU for replacement</t>
  </si>
  <si>
    <t>https://www.jotform.com/uploads/macarewecare/222927978372067/5678804095651712662/5678804095651712662_signature_28.png</t>
  </si>
  <si>
    <t>https://www.jotform.com/uploads/macarewecare/222927978372067/5678804095651712662/5678804095651712662_signature_31.png</t>
  </si>
  <si>
    <t>Garcia memorial provincial hospital</t>
  </si>
  <si>
    <t>Talibon, bohol</t>
  </si>
  <si>
    <t>Duedate for xpertcheck module B4</t>
  </si>
  <si>
    <t>Xpertcheck calibration module B4</t>
  </si>
  <si>
    <t>Module 4 passed</t>
  </si>
  <si>
    <t>https://www.jotform.com/uploads/macarewecare/222927978372067/5678753773843462173/5678753773843462173_signature_28.png</t>
  </si>
  <si>
    <t>https://www.jotform.com/uploads/macarewecare/222927978372067/5678753773843462173/5678753773843462173_signature_31.png</t>
  </si>
  <si>
    <t>Mabinay Community Medicare Hospital</t>
  </si>
  <si>
    <t xml:space="preserve">ASSAY: Xpert MTB/RIF, COUNT: 108
ASSAY: Xpert MTB/RIF Ultra, COUNT: 562
</t>
  </si>
  <si>
    <t>Due for calibration/ Xpertcheck</t>
  </si>
  <si>
    <t>- Perform Xpertcheck on all 4 modules</t>
  </si>
  <si>
    <t>https://www.jotform.com/uploads/macarewecare/222927978372067/5678735290324876863/5678735290324876863_signature_28.png</t>
  </si>
  <si>
    <t>https://www.jotform.com/uploads/macarewecare/222927978372067/5678735290324876863/5678735290324876863_signature_31.png</t>
  </si>
  <si>
    <t>Balut, Tondo</t>
  </si>
  <si>
    <t xml:space="preserve">ASSAY: Xpert HPV, COUNT: 65
ASSAY: Xpert MTB/RIF Ultra, COUNT: 260
ASSAY: Xpert SARS-CoV-2, COUNT: 1377
ASSAY: Xpert HIV-1 Viral Load, COUNT: 5
</t>
  </si>
  <si>
    <t>https://www.jotform.com/uploads/macarewecare/222927978372067/5678690608918425374/5678690608918425374_signature_28.png</t>
  </si>
  <si>
    <t>Analyn N. Facto RMT</t>
  </si>
  <si>
    <t>https://www.jotform.com/uploads/macarewecare/222927978372067/5678690608918425374/5678690608918425374_signature_31.png</t>
  </si>
  <si>
    <t xml:space="preserve">ASSAY: Xpert CT/NG, COUNT: 9
ASSAY: Xpert HPV, COUNT: 210
ASSAY: Xpert MTB/RIF Ultra, COUNT: 1730
ASSAY: Xpert SARS-CoV-2, COUNT: 10378
ASSAY: Xpert HIV-1 Viral Load, COUNT: 7
</t>
  </si>
  <si>
    <t>Unit for PM.
For troubleshooting of disabled modules.</t>
  </si>
  <si>
    <t>Performed PM.
Performed troubleshooting of modules.
Generated reports.</t>
  </si>
  <si>
    <t>Unit is operational. For reporting of A1, A2, A4, B1, C1 and D2.</t>
  </si>
  <si>
    <t>https://www.jotform.com/uploads/macarewecare/222927978372067/5678689868917986259/5678689868917986259_signature_28.png</t>
  </si>
  <si>
    <t>https://www.jotform.com/uploads/macarewecare/222927978372067/5678689868917986259/5678689868917986259_signature_31.png</t>
  </si>
  <si>
    <t>DINAGAT DISTRICT HOSPITAL</t>
  </si>
  <si>
    <t>DINAGAT ISLAND</t>
  </si>
  <si>
    <t>ddhlaboratory30@gmail.com</t>
  </si>
  <si>
    <t xml:space="preserve">ASSAY: Xpert MTB/RIF, COUNT: 6
ASSAY: Xpert MTB/RIF Ultra, COUNT: 1164
</t>
  </si>
  <si>
    <t>PERFORM MODULE B3 AND B4 REPLACEMENT</t>
  </si>
  <si>
    <t>COLLECT IQR, SYSTEM LOG,AND ARCHIVE</t>
  </si>
  <si>
    <t>-PERFORM MODULE B3 DEF SN:662495 WITH NEW SN: 210100428 AND MODULE B4 DEF SN: 662496 WITH NEW SN: 210100429
-PERFORM PM AND GX CLEANING</t>
  </si>
  <si>
    <t>https://www.jotform.com/uploads/macarewecare/222927978372067/5678176870478101953/5678176870478101953_signature_28.png</t>
  </si>
  <si>
    <t>Idhona Nuevas-Tillo</t>
  </si>
  <si>
    <t>https://www.jotform.com/uploads/macarewecare/222927978372067/5678176870478101953/5678176870478101953_signature_31.png</t>
  </si>
  <si>
    <t xml:space="preserve">ASSAY: Xpert MTB/RIF, COUNT: 2
ASSAY: Xpert MTB/RIF Ultra, COUNT: 1000
</t>
  </si>
  <si>
    <t>Module B4 -retry then Xpertcheck service required; for replacement
Module B1, B2, and B3 - passed</t>
  </si>
  <si>
    <t>https://www.jotform.com/uploads/macarewecare/222927978372067/5678016072127819071/5678016072127819071_signature_28.png</t>
  </si>
  <si>
    <t>https://www.jotform.com/uploads/macarewecare/222927978372067/5678016072127819071/5678016072127819071_signature_31.png</t>
  </si>
  <si>
    <t>Due for xpertcheck calibration</t>
  </si>
  <si>
    <t>Xpertcheck calibration clean fan filter</t>
  </si>
  <si>
    <t>Xpertcheck calibration</t>
  </si>
  <si>
    <t>System operational all modules passed calibration</t>
  </si>
  <si>
    <t>https://www.jotform.com/uploads/macarewecare/222927978372067/5678007490169937766/5678007490169937766_signature_28.png</t>
  </si>
  <si>
    <t>https://www.jotform.com/uploads/macarewecare/222927978372067/5678007490169937766/5678007490169937766_signature_31.png</t>
  </si>
  <si>
    <t>Milagros RHU</t>
  </si>
  <si>
    <t>Baklay, Hills, Brgy. Bacolod, Milagros</t>
  </si>
  <si>
    <t xml:space="preserve">ASSAY: Xpert MTB/RIF, COUNT: 243
ASSAY: Xpert MTB/RIF Ultra, COUNT: 849
</t>
  </si>
  <si>
    <t>XpertCheck: 
Cleaned cartridge bays, plunger rod mfan filter, icore
Generate reports</t>
  </si>
  <si>
    <t>Unit is operational 
All modules passed</t>
  </si>
  <si>
    <t>https://www.jotform.com/uploads/macarewecare/222927978372067/5677934293019417544/5677934293019417544_signature_28.png</t>
  </si>
  <si>
    <t>Mary grace Mesa</t>
  </si>
  <si>
    <t>https://www.jotform.com/uploads/macarewecare/222927978372067/5677934293019417544/5677934293019417544_signature_31.png</t>
  </si>
  <si>
    <t>Ilihan Toledo City, Cebu</t>
  </si>
  <si>
    <t>Error 1001 and Error 4017 B1 several times daily Sn 667772</t>
  </si>
  <si>
    <t>Replaced new module
Generate data IQR, Sys log, and Gxx files</t>
  </si>
  <si>
    <t>Replaced B1 with new module B1 SN 210100860</t>
  </si>
  <si>
    <t>https://www.jotform.com/uploads/macarewecare/222927978372067/5677897626788645070/5677897626788645070_signature_28.png</t>
  </si>
  <si>
    <t>https://www.jotform.com/uploads/macarewecare/222927978372067/5677897626788645070/5677897626788645070_signature_31.png</t>
  </si>
  <si>
    <t>Tubigon Rural Health Unit</t>
  </si>
  <si>
    <t>Tubigon, Bohol</t>
  </si>
  <si>
    <t>zaecin@gmail.com</t>
  </si>
  <si>
    <t>Dedective module B1 sn 695935</t>
  </si>
  <si>
    <t>Install new module B1 sn 210100856</t>
  </si>
  <si>
    <t>https://www.jotform.com/uploads/macarewecare/222927978372067/5677890411661558981/5677890411661558981_signature_28.png</t>
  </si>
  <si>
    <t>Niceas Joseph Boligao</t>
  </si>
  <si>
    <t>https://www.jotform.com/uploads/macarewecare/222927978372067/5677890411661558981/5677890411661558981_signature_31.png</t>
  </si>
  <si>
    <t>Poblacion, Bogo City</t>
  </si>
  <si>
    <t>Calibration Fail Module D2, D4</t>
  </si>
  <si>
    <t>Replace module D2, D4 with new serial number 210100787,210100803.</t>
  </si>
  <si>
    <t>Replace module D2, D4</t>
  </si>
  <si>
    <t>https://www.jotform.com/uploads/macarewecare/222927978372067/5677867993911982954/5677867993911982954_signature_28.png</t>
  </si>
  <si>
    <t>Regie Dahili</t>
  </si>
  <si>
    <t>https://www.jotform.com/uploads/macarewecare/222927978372067/5677867993911982954/5677867993911982954_signature_31.png</t>
  </si>
  <si>
    <t>LA CARLOTA CITY HEALTH OFFICE</t>
  </si>
  <si>
    <t>La Carlota City, Negros Occidental</t>
  </si>
  <si>
    <t>tinbellotinbello@gmail.com</t>
  </si>
  <si>
    <t xml:space="preserve">ASSAY: Xpert MTB/RIF Ultra, COUNT: 1797
</t>
  </si>
  <si>
    <t>Modules A2/627187 and A4/692185 failed latest XPC.</t>
  </si>
  <si>
    <t>Preventive Maintenance. Optics cleaning, plunger rod maintenance, module bay cleaning, filter cleaning.</t>
  </si>
  <si>
    <t>Replaced modules A2 and A4 with new modules with SN 210100815 and 210100849, respectively.</t>
  </si>
  <si>
    <t>https://www.jotform.com/uploads/macarewecare/222927978372067/5677860502175490695/5677860502175490695_signature_28.png</t>
  </si>
  <si>
    <t>VALERIE CHRISTINE G. BELLO</t>
  </si>
  <si>
    <t>https://www.jotform.com/uploads/macarewecare/222927978372067/5677860502175490695/5677860502175490695_signature_31.png</t>
  </si>
  <si>
    <t>Amorsolo st makati city</t>
  </si>
  <si>
    <t xml:space="preserve">ASSAY: Xpert BCR-ABL Ultra, COUNT: 91
ASSAY: Xpert C. difficile BT, COUNT: 9
ASSAY: Xpert CT/NG, COUNT: 421
ASSAY: Others, COUNT: 7
ASSAY: Xpert HBV VL, COUNT: 15
ASSAY: Xpert HPV, COUNT: 457
ASSAY: Xpert MTB/RIF Ultra, COUNT: 1645
ASSAY: Others, COUNT: 2
ASSAY: Xpert HCV VL, COUNT: 34
ASSAY: Xpert HIV-1 Viral Load, COUNT: 1228
</t>
  </si>
  <si>
    <t>Broken door himge module 3</t>
  </si>
  <si>
    <t>Check module b3 , cleaned plunger,cartridge bay, gathered reports</t>
  </si>
  <si>
    <t>Troubleshooting and checked up</t>
  </si>
  <si>
    <t>B3 broken door hinge</t>
  </si>
  <si>
    <t>https://www.jotform.com/uploads/macarewecare/222927978372067/5677844883618740510/5677844883618740510_signature_28.png</t>
  </si>
  <si>
    <t>https://www.jotform.com/uploads/macarewecare/222927978372067/5677844883618740510/5677844883618740510_signature_31.png</t>
  </si>
  <si>
    <t>General Nakar MHO</t>
  </si>
  <si>
    <t>General Nakar,Quezon</t>
  </si>
  <si>
    <t>For module replacement module 2 807109 - 210101376</t>
  </si>
  <si>
    <t>https://www.jotform.com/uploads/macarewecare/222927978372067/5677843873614265628/5677843873614265628_signature_28.png</t>
  </si>
  <si>
    <t>LYDELYN B. COSTUMBRADO</t>
  </si>
  <si>
    <t>https://www.jotform.com/uploads/macarewecare/222927978372067/5677843873614265628/5677843873614265628_signature_31.png</t>
  </si>
  <si>
    <t>Cllaro M.Recto Memorial District Hospital</t>
  </si>
  <si>
    <t>Infanta, Quezon</t>
  </si>
  <si>
    <t>katelynaveryumerez@yahoo.com</t>
  </si>
  <si>
    <t>cleaned unit,filter,plunger rod,cartridge bay,i core,gathered reports,performed visual check,test run unit, performed Xpertcheck</t>
  </si>
  <si>
    <t>https://www.jotform.com/uploads/macarewecare/222927978372067/5677842983615227122/5677842983615227122_signature_28.png</t>
  </si>
  <si>
    <t>Lorelyn Umerez Miras</t>
  </si>
  <si>
    <t>https://www.jotform.com/uploads/macarewecare/222927978372067/5677842983615227122/5677842983615227122_signature_31.png</t>
  </si>
  <si>
    <t>Tropical Disease foundation inc</t>
  </si>
  <si>
    <t>Amorsolo st. Makati city</t>
  </si>
  <si>
    <t xml:space="preserve">ASSAY: Xpert MTB/RIF, COUNT: 32
ASSAY: Xpert MTB/RIF Ultra, COUNT: 35
ASSAY: Xpert HIV-1 Viral Load, COUNT: 959
</t>
  </si>
  <si>
    <t>cleaned unit,filter,plunger rod,cartridge bay,i core,gathered reports,performed visual check,test run unit, performed xpertcheck</t>
  </si>
  <si>
    <t>https://www.jotform.com/uploads/macarewecare/222927978372067/5677842383615327386/5677842383615327386_signature_28.png</t>
  </si>
  <si>
    <t>https://www.jotform.com/uploads/macarewecare/222927978372067/5677842383615327386/5677842383615327386_signature_31.png</t>
  </si>
  <si>
    <t>Lung center of the Philippines</t>
  </si>
  <si>
    <t>Quezon avenue</t>
  </si>
  <si>
    <t>lcp.mdctl2022@gmail.com</t>
  </si>
  <si>
    <t>2006- T - 1188</t>
  </si>
  <si>
    <t>Cleaned unit
Cleaned filter, and visual check 
Checked electrical and connection 
Checked program parameters
Performed functionality test</t>
  </si>
  <si>
    <t>Operationa.</t>
  </si>
  <si>
    <t>https://www.jotform.com/uploads/macarewecare/222927978372067/5677839253619292460/5677839253619292460_signature_28.png</t>
  </si>
  <si>
    <t>Jennifer p. Panuelos</t>
  </si>
  <si>
    <t>https://www.jotform.com/uploads/macarewecare/222927978372067/5677839253619292460/5677839253619292460_signature_31.png</t>
  </si>
  <si>
    <t>V.luna,QC</t>
  </si>
  <si>
    <t>Thermo Scientific</t>
  </si>
  <si>
    <t>dionesps@afrims.org</t>
  </si>
  <si>
    <t>Forma 700 series</t>
  </si>
  <si>
    <t>823102 - 1736</t>
  </si>
  <si>
    <t>Unable desire temp. -80</t>
  </si>
  <si>
    <t>Checked filter
Checked Condensing fan motor,door gasket
Checked program parameters
Test and observed unit</t>
  </si>
  <si>
    <t>For observation unit reach -70 deg. Set temp -80 deg.</t>
  </si>
  <si>
    <t>https://www.jotform.com/uploads/macarewecare/222927978372067/5677838333618450282/5677838333618450282_signature_28.png</t>
  </si>
  <si>
    <t>Paula corazon diones</t>
  </si>
  <si>
    <t>https://www.jotform.com/uploads/macarewecare/222927978372067/5677838333618450282/5677838333618450282_signature_31.png</t>
  </si>
  <si>
    <t xml:space="preserve">ASSAY: Xpert BCR-ABL Ultra, COUNT: 703
ASSAY: Others, COUNT: 13
ASSAY: Xpert HBV VL, COUNT: 444
ASSAY: Xpert HPV, COUNT: 111
ASSAY: Xpert MTB/RIF, COUNT: 1219
ASSAY: Xpert MTB/RIF Ultra, COUNT: 821
ASSAY: Xpert SARS-CoV-2, COUNT: 16376
ASSAY: Xpert HCV VL, COUNT: 40
ASSAY: Others, COUNT: 9
</t>
  </si>
  <si>
    <t>For module replacement and maintenance  C3 210028988 -796840 D3 800477 - 722098</t>
  </si>
  <si>
    <t>https://www.jotform.com/uploads/macarewecare/222927978372067/5677837683618609574/5677837683618609574_signature_28.png</t>
  </si>
  <si>
    <t>https://www.jotform.com/uploads/macarewecare/222927978372067/5677837683618609574/5677837683618609574_signature_31.png</t>
  </si>
  <si>
    <t xml:space="preserve">ASSAY: Xpert CT/NG, COUNT: 277
ASSAY: Xpert HPV, COUNT: 496
ASSAY: Xpert SARS-CoV-2, COUNT: 2979
ASSAY: Others, COUNT: 2
</t>
  </si>
  <si>
    <t>Due for maintenance and for module replacement B2 210069925 - 210076858</t>
  </si>
  <si>
    <t>cleaned unit,filter,plunger rod,cartridge bay,i core,gathered reports,performed visual check,test run unit,  performed module replacement</t>
  </si>
  <si>
    <t>Maintenance and Module replacement</t>
  </si>
  <si>
    <t>900-0650</t>
  </si>
  <si>
    <t>https://www.jotform.com/uploads/macarewecare/222927978372067/5677836043612385781/5677836043612385781_signature_28.png</t>
  </si>
  <si>
    <t>https://www.jotform.com/uploads/macarewecare/222927978372067/5677836043612385781/5677836043612385781_signature_31.png</t>
  </si>
  <si>
    <t>mvillan.pbsp@gmail.com</t>
  </si>
  <si>
    <t xml:space="preserve">ASSAY: Xpert MTB/RIF, COUNT: 55
ASSAY: Xpert MTB/RIF Ultra, COUNT: 3196
</t>
  </si>
  <si>
    <t>Conduct PM and generate files</t>
  </si>
  <si>
    <t>Run Xpert check calibration for 4 modules.</t>
  </si>
  <si>
    <t>https://www.jotform.com/uploads/macarewecare/222927978372067/5677339368611449527/5677339368611449527_signature_28.png</t>
  </si>
  <si>
    <t>Arna Villan</t>
  </si>
  <si>
    <t>https://www.jotform.com/uploads/macarewecare/222927978372067/5677339368611449527/5677339368611449527_signature_31.png</t>
  </si>
  <si>
    <t>Module B1 with SN 802411 failed in Xpert check.</t>
  </si>
  <si>
    <t>Modules B2, B3 &amp; B4 passed the calibration</t>
  </si>
  <si>
    <t>https://www.jotform.com/uploads/macarewecare/222927978372067/5677333508615849249/5677333508615849249_signature_28.png</t>
  </si>
  <si>
    <t>https://www.jotform.com/uploads/macarewecare/222927978372067/5677333508615849249/5677333508615849249_signature_31.png</t>
  </si>
  <si>
    <t>B Rodriguez St, Fuente Cebu</t>
  </si>
  <si>
    <t>Valve test Failure</t>
  </si>
  <si>
    <t>Replaced motor compressor</t>
  </si>
  <si>
    <t>Replaced air motor compressor</t>
  </si>
  <si>
    <t>Unit mcs+ operational</t>
  </si>
  <si>
    <t>https://www.jotform.com/uploads/macarewecare/222927978372067/5677089128013830101/5677089128013830101_signature_28.png</t>
  </si>
  <si>
    <t>Maria Catherine Milani Malusay</t>
  </si>
  <si>
    <t>https://www.jotform.com/uploads/macarewecare/222927978372067/5677089128013830101/5677089128013830101_signature_31.png</t>
  </si>
  <si>
    <t>San Isidro Talisay City, Cebu</t>
  </si>
  <si>
    <t>csmclaboratory@gmail.com</t>
  </si>
  <si>
    <t xml:space="preserve">ASSAY: Xpert MTB/RIF Ultra, COUNT: 653
ASSAY: Xpert HIV-1 Viral Load, COUNT: 32
</t>
  </si>
  <si>
    <t>Due for Calibratio</t>
  </si>
  <si>
    <t>Performed calibration in genexpert mschjnr</t>
  </si>
  <si>
    <t>All modules are operational and passed the calibration</t>
  </si>
  <si>
    <t>https://www.jotform.com/uploads/macarewecare/222927978372067/5676135652323653898/5676135652323653898_signature_28.png</t>
  </si>
  <si>
    <t>Gerald Solana, RMT</t>
  </si>
  <si>
    <t>https://www.jotform.com/uploads/macarewecare/222927978372067/5676135652323653898/5676135652323653898_signature_31.png</t>
  </si>
  <si>
    <t>Dr. Evangelista Street, Snta Catalina Rd. Zamboanga City</t>
  </si>
  <si>
    <t>jbcua.pbsp@gmail.com</t>
  </si>
  <si>
    <t xml:space="preserve">ASSAY: Xpert CT/NG, COUNT: 2
ASSAY: Xpert MTB/RIF Ultra, COUNT: 5070
ASSAY: Xpert SARS-CoV-2, COUNT: 13596
ASSAY: Xpert HIV-1 Viral Load, COUNT: 304
</t>
  </si>
  <si>
    <t>Hardware failed module A1 and D2</t>
  </si>
  <si>
    <t>Replaced Modules 210068683, 210068687, 210068682, 653849 and 210068699 with new Modules 210100699, 210100728, 210100740, 210101371 and 210101373 respectively.</t>
  </si>
  <si>
    <t>https://www.jotform.com/uploads/macarewecare/222927978372067/5675526408418882283/5675526408418882283_signature_28.png</t>
  </si>
  <si>
    <t>James peniel b. Cua</t>
  </si>
  <si>
    <t>https://www.jotform.com/uploads/macarewecare/222927978372067/5675526408418882283/5675526408418882283_signature_31.png</t>
  </si>
  <si>
    <t>Replaced Modules 210068683, 210068687, 210068682, 653849 and 210068699 with modules 210100699, 210100728, 210100740, 210101371 and 210101373 respectively.</t>
  </si>
  <si>
    <t>District 3, San Manuel, Isabela</t>
  </si>
  <si>
    <t>tonyantoniojr100@gmail.com</t>
  </si>
  <si>
    <t>Performed Maintenance
Gathered Reports 
Performed Module Replacement
Performed Functionality Test</t>
  </si>
  <si>
    <t>Module Replacement = 786817 - 210092911</t>
  </si>
  <si>
    <t>Genexpert Module = 210092911</t>
  </si>
  <si>
    <t>https://www.jotform.com/uploads/macarewecare/222927978372067/5675483510118263616/5675483510118263616_signature_28.png</t>
  </si>
  <si>
    <t>Tony Antonio Jr.</t>
  </si>
  <si>
    <t>https://www.jotform.com/uploads/macarewecare/222927978372067/5675483510118263616/5675483510118263616_signature_31.png</t>
  </si>
  <si>
    <t>Display panel buttons not working</t>
  </si>
  <si>
    <t>Unit is not operational.
Display panel ribbon for replacement.</t>
  </si>
  <si>
    <t>https://www.jotform.com/uploads/macarewecare/222927978372067/5675482372518331749/5675482372518331749_signature_28.png</t>
  </si>
  <si>
    <t>https://www.jotform.com/uploads/macarewecare/222927978372067/5675482372518331749/5675482372518331749_signature_31.png</t>
  </si>
  <si>
    <t>Q. Ave., Quezon City</t>
  </si>
  <si>
    <t>https://www.jotform.com/uploads/macarewecare/222927978372067/5675481352513395690/5675481352513395690_signature_28.png</t>
  </si>
  <si>
    <t>https://www.jotform.com/uploads/macarewecare/222927978372067/5675481352513395690/5675481352513395690_signature_31.png</t>
  </si>
  <si>
    <t>https://www.jotform.com/uploads/macarewecare/222927978372067/5675479652514466342/5675479652514466342_signature_28.png</t>
  </si>
  <si>
    <t>https://www.jotform.com/uploads/macarewecare/222927978372067/5675479652514466342/5675479652514466342_signature_31.png</t>
  </si>
  <si>
    <t>220 Malvar Road, San Miguel, Puerto Princesa, Palawan</t>
  </si>
  <si>
    <t xml:space="preserve">ASSAY: Xpert MTB/RIF, COUNT: 3016
ASSAY: Xpert SARS-CoV-2, COUNT: 1901
</t>
  </si>
  <si>
    <t>GX XVI 6C</t>
  </si>
  <si>
    <t>Performed PM
Performed XpertCheck
Module C3 and C4; Service Required
Generated report</t>
  </si>
  <si>
    <t>Unit is operational.
AC needs to be fixed as soon as possible to avoid further problems on other modules</t>
  </si>
  <si>
    <t>DR 37730</t>
  </si>
  <si>
    <t>https://www.jotform.com/uploads/macarewecare/222927978372067/5675450119921925686/5675450119921925686_signature_28.png</t>
  </si>
  <si>
    <t>https://www.jotform.com/uploads/macarewecare/222927978372067/5675450119921925686/5675450119921925686_signature_31.png</t>
  </si>
  <si>
    <t>National Rora, Mangan-vaca Subic Zambales</t>
  </si>
  <si>
    <t>sanchezmacristina313@gmail.com</t>
  </si>
  <si>
    <t xml:space="preserve">ASSAY: Xpert HIV-1 Viral Load, COUNT: 529
ASSAY: Xpert MTB/RIF Ultra, COUNT: 2349
ASSAY: Xpert HIV-1 Viral Load, COUNT: 68
</t>
  </si>
  <si>
    <t>Performed preventive maintenance
Performed module replacement
Archived test results
Gathered reports
Performed functionality test</t>
  </si>
  <si>
    <t>https://www.jotform.com/uploads/macarewecare/222927978372067/5675416052815868797/5675416052815868797_signature_28.png</t>
  </si>
  <si>
    <t>https://www.jotform.com/uploads/macarewecare/222927978372067/5675416052815868797/5675416052815868797_signature_31.png</t>
  </si>
  <si>
    <t>https://www.jotform.com/uploads/macarewecare/222927978372067/5675416022813328086/5675416022813328086_signature_28.png</t>
  </si>
  <si>
    <t>https://www.jotform.com/uploads/macarewecare/222927978372067/5675416022813328086/5675416022813328086_signature_31.png</t>
  </si>
  <si>
    <t>arleneo1970@gmail.com</t>
  </si>
  <si>
    <t xml:space="preserve">ASSAY: Xpert MTB/RIF, COUNT: 99
ASSAY: Xpert MTB/RIF Ultra, COUNT: 766
</t>
  </si>
  <si>
    <t>Module B4 found Retry in XPC</t>
  </si>
  <si>
    <t>https://www.jotform.com/uploads/macarewecare/222927978372067/5675408822214027169/5675408822214027169_signature_28.png</t>
  </si>
  <si>
    <t>Arlene Ocampo</t>
  </si>
  <si>
    <t>https://www.jotform.com/uploads/macarewecare/222927978372067/5675408822214027169/5675408822214027169_signature_31.png</t>
  </si>
  <si>
    <t>St.lukes Medical Center QC</t>
  </si>
  <si>
    <t xml:space="preserve">ASSAY: Xpert HPV, COUNT: 263
</t>
  </si>
  <si>
    <t>For module replacement defective D1 module 866693 (def) - 210072911 new module, D2 module 862368 (def) - 210096421 new module and for maintenance</t>
  </si>
  <si>
    <t>Performed module replacement and cleaned unit,filter,plunger rod,cartridge bay,i core,gathered reports,performed visual check,test run unit</t>
  </si>
  <si>
    <t>D1 and D2 module operational ready to use,D3 and D4 disabled</t>
  </si>
  <si>
    <t>https://www.jotform.com/uploads/macarewecare/222927978372067/5675354705327093582/5675354705327093582_signature_28.png</t>
  </si>
  <si>
    <t>https://www.jotform.com/uploads/macarewecare/222927978372067/5675354705327093582/5675354705327093582_signature_31.png</t>
  </si>
  <si>
    <t>https://www.jotform.com/uploads/macarewecare/222927978372067/5675354365324120522/5675354365324120522_signature_28.png</t>
  </si>
  <si>
    <t>https://www.jotform.com/uploads/macarewecare/222927978372067/5675354365324120522/5675354365324120522_signature_31.png</t>
  </si>
  <si>
    <t>- Cleaned Cartridge Bays, Plunger Rods and I-CORE 
- Replaced Defective Modules 
662554&gt;&gt;&gt;210093389
662555&gt;&gt;&gt;210092946
662553&gt;&gt;&gt;210092871
- Generated Reports</t>
  </si>
  <si>
    <t>GeneXpert Modules 210092871, 210092946, 210093389</t>
  </si>
  <si>
    <t>https://www.jotform.com/uploads/macarewecare/222927978372067/5674684009718593715/5674684009718593715_signature_28.png</t>
  </si>
  <si>
    <t>Valentina Bagano</t>
  </si>
  <si>
    <t>https://www.jotform.com/uploads/macarewecare/222927978372067/5674684009718593715/5674684009718593715_signature_31.png</t>
  </si>
  <si>
    <t>Baguio City, Benguet</t>
  </si>
  <si>
    <t>Due for Calibration 
Due for Troubleshooting</t>
  </si>
  <si>
    <t>- Cleaned Cartridge Bays, Plunger Rods, I-CORE 
- Replaced Defective module B4 807865&gt;&gt;&gt;210005712
- Performed ReXpertCheck 
- Generated Reports</t>
  </si>
  <si>
    <t>Performed Module Replacement 
Performed ReXpertCheck</t>
  </si>
  <si>
    <t>GeneXpert Module 210005712</t>
  </si>
  <si>
    <t>DR 10206</t>
  </si>
  <si>
    <t>https://www.jotform.com/uploads/macarewecare/222927978372067/5674674219716668709/5674674219716668709_signature_28.png</t>
  </si>
  <si>
    <t>https://www.jotform.com/uploads/macarewecare/222927978372067/5674674219716668709/5674674219716668709_signature_31.png</t>
  </si>
  <si>
    <t>Brooke's Point, Southern Palawan</t>
  </si>
  <si>
    <t>roderick.conte@gmail.com</t>
  </si>
  <si>
    <t>Module B2 for replacement
Unit for XpertCheck
Module B3 not detected</t>
  </si>
  <si>
    <t>Checked and tightened power cord and cables of B3; problem persists
Straightened bent power cable; problem fixed,module b3 detected
Replaced module B2 ( 761283 -&gt; 210100382 )
Performed XpertCheck on B1,B3 and B4
Generated report</t>
  </si>
  <si>
    <t>Troubleshoot Module B3 
Replaced Module B2
Performed XpertCheck on B1, B3 and B4</t>
  </si>
  <si>
    <t>GX module 6C &amp; XpertCheck kit</t>
  </si>
  <si>
    <t>DR#0042148, DR#0041936</t>
  </si>
  <si>
    <t>https://www.jotform.com/uploads/macarewecare/222927978372067/5674670008781919715/5674670008781919715_signature_28.png</t>
  </si>
  <si>
    <t>RODERICK D CONTE</t>
  </si>
  <si>
    <t>https://www.jotform.com/uploads/macarewecare/222927978372067/5674670008781919715/5674670008781919715_signature_31.png</t>
  </si>
  <si>
    <t>Naujan</t>
  </si>
  <si>
    <t>hmaryann524@gmail.com</t>
  </si>
  <si>
    <t>Modules B2 and B3 for replacement.</t>
  </si>
  <si>
    <t>Performed maintenance
Replaced defective modules
Generates reports</t>
  </si>
  <si>
    <t>Old: B2/807209, B3/807207
New: B2/677540, B3/ 676201</t>
  </si>
  <si>
    <t>DR# 10280</t>
  </si>
  <si>
    <t>https://www.jotform.com/uploads/macarewecare/222927978372067/5674653948884210945/5674653948884210945_signature_28.png</t>
  </si>
  <si>
    <t>Mary Ann Hernandez</t>
  </si>
  <si>
    <t>https://www.jotform.com/uploads/macarewecare/222927978372067/5674653948884210945/5674653948884210945_signature_31.png</t>
  </si>
  <si>
    <t>Badian Poblacio</t>
  </si>
  <si>
    <t>geecube23@gmail.com</t>
  </si>
  <si>
    <t>Module 4 encounter an error of 2008</t>
  </si>
  <si>
    <t>Orient end user to check sample during pipette</t>
  </si>
  <si>
    <t>Clean Up machine, generate data, gxx fis, assay statistics,  iQR, sys log</t>
  </si>
  <si>
    <t>All units encounter hot temp in the area.
Provide additional aircon in the room</t>
  </si>
  <si>
    <t>https://www.jotform.com/uploads/macarewecare/222927978372067/5674629395173124982/5674629395173124982_signature_28.png</t>
  </si>
  <si>
    <t>https://www.jotform.com/uploads/macarewecare/222927978372067/5674629395173124982/5674629395173124982_signature_31.png</t>
  </si>
  <si>
    <t>Evangelista Street, Snta Catalina Road, Zamboanga City</t>
  </si>
  <si>
    <t xml:space="preserve">ASSAY: Xpert HPV, COUNT: 93
ASSAY: Xpert MTB/RIF Ultra, COUNT: 285
ASSAY: Xpert SARS-CoV-2, COUNT: 1423
ASSAY: Xpert HIV-1 Viral Load, COUNT: 23
</t>
  </si>
  <si>
    <t>Replaced module 210002709 and 210002724 with modules 210031453 and 210032985 respectively</t>
  </si>
  <si>
    <t>https://www.jotform.com/uploads/macarewecare/222927978372067/5674604740511930393/5674604740511930393_signature_28.png</t>
  </si>
  <si>
    <t>https://www.jotform.com/uploads/macarewecare/222927978372067/5674604740511930393/5674604740511930393_signature_31.png</t>
  </si>
  <si>
    <t>Pinamalayan</t>
  </si>
  <si>
    <t>Module D1 for replacement module D3 for XpertCheck</t>
  </si>
  <si>
    <t>Replaced module D1
Run XpertCheck on module D3</t>
  </si>
  <si>
    <t>Performed maintenance
Replaced defective module
Run XpertCheck on module D3
Generated reports</t>
  </si>
  <si>
    <t>Unit is operational. Module D3 passed in XpertCheck</t>
  </si>
  <si>
    <t>Used 2 spare XpertCheck</t>
  </si>
  <si>
    <t>Old: D1/655304
New: D1/685066</t>
  </si>
  <si>
    <t>DR# 10282</t>
  </si>
  <si>
    <t>https://www.jotform.com/uploads/macarewecare/222927978372067/5674598020317405958/5674598020317405958_signature_28.png</t>
  </si>
  <si>
    <t>Dave Erwin M. Festin, RN, RMT</t>
  </si>
  <si>
    <t>https://www.jotform.com/uploads/macarewecare/222927978372067/5674598020317405958/5674598020317405958_signature_31.png</t>
  </si>
  <si>
    <t>Moalboal, Poblacion Cebu</t>
  </si>
  <si>
    <t xml:space="preserve">ASSAY: Xpert MTB/RIF Ultra, COUNT: 543
</t>
  </si>
  <si>
    <t>Troubleshoot and recommend the monitor for replacement</t>
  </si>
  <si>
    <t>Swap monitor of other unit and found out the problem exist in the other cpu unit..</t>
  </si>
  <si>
    <t>All modules are operational and only the monitor lcd problem still exist during 2 weeks of observation</t>
  </si>
  <si>
    <t>https://www.jotform.com/uploads/macarewecare/222927978372067/5674568657819815773/5674568657819815773_signature_28.png</t>
  </si>
  <si>
    <t>Ava A. Gako, RMT</t>
  </si>
  <si>
    <t>https://www.jotform.com/uploads/macarewecare/222927978372067/5674568657819815773/5674568657819815773_signature_31.png</t>
  </si>
  <si>
    <t>Purok 5, Brgy. Poblacion, Las Nieves</t>
  </si>
  <si>
    <t>Daisermt@yahoo.com</t>
  </si>
  <si>
    <t>4 Modules Stuck Cartridges</t>
  </si>
  <si>
    <t>Removing Stuck Cartridges</t>
  </si>
  <si>
    <t>https://www.jotform.com/uploads/macarewecare/222927978372067/5674541511813678623/5674541511813678623_signature_28.png</t>
  </si>
  <si>
    <t>https://www.jotform.com/uploads/macarewecare/222927978372067/5674541511813678623/5674541511813678623_signature_31.png</t>
  </si>
  <si>
    <t>lpvidal@yahoo.com.ph</t>
  </si>
  <si>
    <t>Lenovo ThinkCentre SN: CPH0622F37221</t>
  </si>
  <si>
    <t>https://www.jotform.com/uploads/macarewecare/222927978372067/5674529316489858060/5674529316489858060_signature_28.png</t>
  </si>
  <si>
    <t>Leo P. Vidal</t>
  </si>
  <si>
    <t>https://www.jotform.com/uploads/macarewecare/222927978372067/5674529316489858060/5674529316489858060_signature_31.png</t>
  </si>
  <si>
    <t>Purok Everlasting, Poblacion, Balud</t>
  </si>
  <si>
    <t>shao_shaol@yahoo.com</t>
  </si>
  <si>
    <t>B1/788613 for module replacement</t>
  </si>
  <si>
    <t>Replaced module: 788613&gt;&gt;210101750
Performed XpertCheck 
Cleaned cartridge bays, plunger rod, fan, fan filter, icore
Generate reports</t>
  </si>
  <si>
    <t>Replaced B1 module 
Performed XpertCheck 
Performed Preventive Maintenance</t>
  </si>
  <si>
    <t>Unit is operational 
B1/210101750 - new module
B2/789015 -</t>
  </si>
  <si>
    <t>https://www.jotform.com/uploads/macarewecare/222927978372067/5674505408224731112/5674505408224731112_signature_28.png</t>
  </si>
  <si>
    <t>https://www.jotform.com/uploads/macarewecare/222927978372067/5674505408224731112/5674505408224731112_signature_31.png</t>
  </si>
  <si>
    <t>San Mariano Rural Health Unit</t>
  </si>
  <si>
    <t>Sta. Filomena, San Mariano, Isabela</t>
  </si>
  <si>
    <t>jonalyndumlao78@gmail.com</t>
  </si>
  <si>
    <t>Module Replacement = 686199 - 210061010</t>
  </si>
  <si>
    <t>Genexpert Module = 210061010</t>
  </si>
  <si>
    <t>https://www.jotform.com/uploads/macarewecare/222927978372067/5674457582845909739/5674457582845909739_signature_28.png</t>
  </si>
  <si>
    <t>Jonalyn F. Dumlao</t>
  </si>
  <si>
    <t>https://www.jotform.com/uploads/macarewecare/222927978372067/5674457582845909739/5674457582845909739_signature_31.png</t>
  </si>
  <si>
    <t>https://www.jotform.com/uploads/macarewecare/222927978372067/5674457552841073527/5674457552841073527_signature_28.png</t>
  </si>
  <si>
    <t>https://www.jotform.com/uploads/macarewecare/222927978372067/5674457552841073527/5674457552841073527_signature_31.png</t>
  </si>
  <si>
    <t>lornsabaigar@gmaip.com</t>
  </si>
  <si>
    <t>https://www.jotform.com/uploads/macarewecare/222927978372067/5674438377425823643/5674438377425823643_signature_28.png</t>
  </si>
  <si>
    <t>https://www.jotform.com/uploads/macarewecare/222927978372067/5674438377425823643/5674438377425823643_signature_31.png</t>
  </si>
  <si>
    <t>CPU pulled-out</t>
  </si>
  <si>
    <t>CPU for troubleshooting
UPS not backing-up for more than 1 minute</t>
  </si>
  <si>
    <t>Cpu troubleshooting and pulled-out
UPS troubleshooting</t>
  </si>
  <si>
    <t>Unit is not operational, defective CPU and UPS</t>
  </si>
  <si>
    <t>https://www.jotform.com/uploads/macarewecare/222927978372067/5674430462835246058/5674430462835246058_signature_28.png</t>
  </si>
  <si>
    <t>https://www.jotform.com/uploads/macarewecare/222927978372067/5674430462835246058/5674430462835246058_signature_31.png</t>
  </si>
  <si>
    <t>https://www.jotform.com/uploads/macarewecare/222927978372067/5674430432833484824/5674430432833484824_signature_28.png</t>
  </si>
  <si>
    <t>https://www.jotform.com/uploads/macarewecare/222927978372067/5674430432833484824/5674430432833484824_signature_31.png</t>
  </si>
  <si>
    <t>Defective Module B1 644046</t>
  </si>
  <si>
    <t>Clean fan filter, New module installed B1 210100551</t>
  </si>
  <si>
    <t>New module installed B1 210100551</t>
  </si>
  <si>
    <t>https://www.jotform.com/uploads/macarewecare/222927978372067/5674425848724266510/5674425848724266510_signature_28.png</t>
  </si>
  <si>
    <t>https://www.jotform.com/uploads/macarewecare/222927978372067/5674425848724266510/5674425848724266510_signature_31.png</t>
  </si>
  <si>
    <t>Sablayan</t>
  </si>
  <si>
    <t>ssdhlaboratory@yahoo.com</t>
  </si>
  <si>
    <t xml:space="preserve">ASSAY: Xpert MTB/RIF Ultra, COUNT: 2303
</t>
  </si>
  <si>
    <t>Old: B2/693248
New: B2/210100332</t>
  </si>
  <si>
    <t>https://www.jotform.com/uploads/macarewecare/222927978372067/5674381556211558910/5674381556211558910_signature_28.png</t>
  </si>
  <si>
    <t>Anthony Castro</t>
  </si>
  <si>
    <t>https://www.jotform.com/uploads/macarewecare/222927978372067/5674381556211558910/5674381556211558910_signature_31.png</t>
  </si>
  <si>
    <t>https://www.jotform.com/uploads/macarewecare/222927978372067/5674381566214649563/5674381566214649563_signature_28.png</t>
  </si>
  <si>
    <t>https://www.jotform.com/uploads/macarewecare/222927978372067/5674381566214649563/5674381566214649563_signature_31.png</t>
  </si>
  <si>
    <t>Poblacion, Lambayong, Sultan Kudarat</t>
  </si>
  <si>
    <t>https://www.jotform.com/uploads/macarewecare/222927978372067/5674044019545635728/5674044019545635728_signature_28.png</t>
  </si>
  <si>
    <t>Jean K. Alonzo</t>
  </si>
  <si>
    <t>https://www.jotform.com/uploads/macarewecare/222927978372067/5674044019545635728/5674044019545635728_signature_31.png</t>
  </si>
  <si>
    <t>Brgy. Kalipay, PHO Rd., Masbate City</t>
  </si>
  <si>
    <t xml:space="preserve">ASSAY: Xpert MTB/RIF, COUNT: 32
ASSAY: Xpert MTB/RIF Ultra, COUNT: 532
</t>
  </si>
  <si>
    <t>XpertCheck Result: B2, B3, B4 Service Required 
Cleaned cartridge bays, plunger rod, fan filter, fan, icore
Generate reports</t>
  </si>
  <si>
    <t>Performed XpertCheck
Performed Preventive Maintenance</t>
  </si>
  <si>
    <t>Unit is Operational 
B1/687101 - Passed 
B2/730126 - Service Required 
B3/662583 - Service Required 
B4/635443 - Service Required</t>
  </si>
  <si>
    <t>https://www.jotform.com/uploads/macarewecare/222927978372067/5673977803423352401/5673977803423352401_signature_28.png</t>
  </si>
  <si>
    <t>https://www.jotform.com/uploads/macarewecare/222927978372067/5673977803423352401/5673977803423352401_signature_31.png</t>
  </si>
  <si>
    <t>Quezon st., Poblacion, Cataingan</t>
  </si>
  <si>
    <t xml:space="preserve">ASSAY: Xpert MTB/RIF, COUNT: 198
ASSAY: Xpert MTB/RIF Ultra, COUNT: 469
</t>
  </si>
  <si>
    <t>B2/806995 for module replacement</t>
  </si>
  <si>
    <t>Replaced module B2 806995&gt;&gt;210093390
Performed XpertCheck: all module passed
Cleaned cartridge bays, plunger rod, fan, fan filter, icore 
Generate reports</t>
  </si>
  <si>
    <t>Replaced B2 module 
Performed XpertCheck 
Performed Preventive Maintenance</t>
  </si>
  <si>
    <t>https://www.jotform.com/uploads/macarewecare/222927978372067/5673972043423237139/5673972043423237139_signature_28.png</t>
  </si>
  <si>
    <t>Rowena c alicante</t>
  </si>
  <si>
    <t>https://www.jotform.com/uploads/macarewecare/222927978372067/5673972043423237139/5673972043423237139_signature_31.png</t>
  </si>
  <si>
    <t>Sto Rosa Community Hospital</t>
  </si>
  <si>
    <t>Sto Rosa, Olango Island, Lapulapu City</t>
  </si>
  <si>
    <t>Clean Up Icore, cartridge bay and performed calibrate all modules</t>
  </si>
  <si>
    <t>All modules passed the calibration</t>
  </si>
  <si>
    <t>https://www.jotform.com/uploads/macarewecare/222927978372067/5673813633911338692/5673813633911338692_signature_28.png</t>
  </si>
  <si>
    <t>Arieston Tumulak</t>
  </si>
  <si>
    <t>https://www.jotform.com/uploads/macarewecare/222927978372067/5673813633911338692/5673813633911338692_signature_31.png</t>
  </si>
  <si>
    <t xml:space="preserve">ASSAY: Xpert MTB/RIF, COUNT: 912
ASSAY: Xpert MTB/RIF Ultra, COUNT: 2390
ASSAY: Xpert HIV-1 Viral Load, COUNT: 59
</t>
  </si>
  <si>
    <t>Module B3 and B4 - Xpertcheck service required</t>
  </si>
  <si>
    <t>-Replace defective module B3/654651 with new module SN: 210100530
-Replace defective module B4/698275 with new module SN: 210100543</t>
  </si>
  <si>
    <t>https://www.jotform.com/uploads/macarewecare/222927978372067/5673771650014469278/5673771650014469278_signature_28.png</t>
  </si>
  <si>
    <t>Raina Zerene P. Ablen</t>
  </si>
  <si>
    <t>https://www.jotform.com/uploads/macarewecare/222927978372067/5673771650014469278/5673771650014469278_signature_31.png</t>
  </si>
  <si>
    <t>Laptop CMOS battery for replacement</t>
  </si>
  <si>
    <t>https://www.jotform.com/uploads/macarewecare/222927978372067/5673769761317572470/5673769761317572470_signature_28.png</t>
  </si>
  <si>
    <t>https://www.jotform.com/uploads/macarewecare/222927978372067/5673769761317572470/5673769761317572470_signature_31.png</t>
  </si>
  <si>
    <t>Replaced module 862914 with Module 906356, module 2 passed, 3 service required and 4 passed, undergone Xpertcheck calibration</t>
  </si>
  <si>
    <t>Module Replacement, Preventive maintenence and xpertcheck calibration</t>
  </si>
  <si>
    <t>900-0491R genexpert module 6 - colors serial number 906356</t>
  </si>
  <si>
    <t>https://www.jotform.com/uploads/macarewecare/222927978372067/5673764819415937144/5673764819415937144_signature_28.png</t>
  </si>
  <si>
    <t>https://www.jotform.com/uploads/macarewecare/222927978372067/5673764819415937144/5673764819415937144_signature_31.png</t>
  </si>
  <si>
    <t>Poblacion, Balamban</t>
  </si>
  <si>
    <t>Perform Calibration for module B2, B3, B4</t>
  </si>
  <si>
    <t>All modules passed for calibration</t>
  </si>
  <si>
    <t>https://www.jotform.com/uploads/macarewecare/222927978372067/5673736630426666340/5673736630426666340_signature_28.png</t>
  </si>
  <si>
    <t>https://www.jotform.com/uploads/macarewecare/222927978372067/5673736630426666340/5673736630426666340_signature_31.png</t>
  </si>
  <si>
    <t>Due for calibration.</t>
  </si>
  <si>
    <t>Perform calibration for all module's</t>
  </si>
  <si>
    <t>https://www.jotform.com/uploads/macarewecare/222927978372067/5673725170426275542/5673725170426275542_signature_28.png</t>
  </si>
  <si>
    <t>https://www.jotform.com/uploads/macarewecare/222927978372067/5673725170426275542/5673725170426275542_signature_31.png</t>
  </si>
  <si>
    <t>Placer Rural Health Unit</t>
  </si>
  <si>
    <t>Poblacion,  placer</t>
  </si>
  <si>
    <t>rhuplacermasbatefiles@gmail.com</t>
  </si>
  <si>
    <t>Cleaned cartridge bays,plunger rod, fan filter
Generate reports</t>
  </si>
  <si>
    <t>https://www.jotform.com/uploads/macarewecare/222927978372067/5673715837506691955/5673715837506691955_signature_28.png</t>
  </si>
  <si>
    <t>Ma. Serecia B. Santor</t>
  </si>
  <si>
    <t>https://www.jotform.com/uploads/macarewecare/222927978372067/5673715837506691955/5673715837506691955_signature_31.png</t>
  </si>
  <si>
    <t>Jose R. Reyes Memorial Medical Center</t>
  </si>
  <si>
    <t xml:space="preserve">ASSAY: Xpert HPV, COUNT: 137
ASSAY: Xpert MTB/RIF Ultra, COUNT: 164
ASSAY: Xpert SARS-CoV-2, COUNT: 306
</t>
  </si>
  <si>
    <t>Module B4 door broken</t>
  </si>
  <si>
    <t>Checked Module B4
Replaced Module B4 door
Performed PM
Generated report</t>
  </si>
  <si>
    <t>Replaced Module B4 door</t>
  </si>
  <si>
    <t>Unit is operational. All Modules working</t>
  </si>
  <si>
    <t>https://www.jotform.com/uploads/macarewecare/222927978372067/5673703129712488290/5673703129712488290_signature_28.png</t>
  </si>
  <si>
    <t>https://www.jotform.com/uploads/macarewecare/222927978372067/5673703129712488290/5673703129712488290_signature_31.png</t>
  </si>
  <si>
    <t>Cavite City</t>
  </si>
  <si>
    <t xml:space="preserve">ASSAY: Xpert MTB/RIF Ultra, COUNT: N/A
</t>
  </si>
  <si>
    <t>Performed troubleshooting and repair.
Resets internal components.
Replaced CMOS battery.
Tested other display ports.
Cleaned RAM and tested other ram slots.
Generated reports.</t>
  </si>
  <si>
    <t>On-site troubleshooting and repair.</t>
  </si>
  <si>
    <t>Unit is operational. Workstation is still not powering On and is defective and subject for replacement.</t>
  </si>
  <si>
    <t>https://www.jotform.com/uploads/macarewecare/222927978372067/5673664776547818828/5673664776547818828_signature_28.png</t>
  </si>
  <si>
    <t>https://www.jotform.com/uploads/macarewecare/222927978372067/5673664776547818828/5673664776547818828_signature_31.png</t>
  </si>
  <si>
    <t>Malay Municipal Health Office</t>
  </si>
  <si>
    <t>rhedal30@yahoo.com</t>
  </si>
  <si>
    <t xml:space="preserve">ASSAY: Xpert MTB/RIF Ultra, COUNT: 692
</t>
  </si>
  <si>
    <t>Run Xpert check calibration for 4 modules..</t>
  </si>
  <si>
    <t>Run Xpert check calibration</t>
  </si>
  <si>
    <t>https://www.jotform.com/uploads/macarewecare/222927978372067/5673651893323221368/5673651893323221368_signature_28.png</t>
  </si>
  <si>
    <t>Redal D. Taytay</t>
  </si>
  <si>
    <t>https://www.jotform.com/uploads/macarewecare/222927978372067/5673651893323221368/5673651893323221368_signature_31.png</t>
  </si>
  <si>
    <t>https://www.jotform.com/uploads/macarewecare/222927978372067/5673651873325476309/5673651873325476309_signature_28.png</t>
  </si>
  <si>
    <t>https://www.jotform.com/uploads/macarewecare/222927978372067/5673651873325476309/5673651873325476309_signature_31.png</t>
  </si>
  <si>
    <t xml:space="preserve">ASSAY: Xpert MTB/RIF Ultra, COUNT: 177
</t>
  </si>
  <si>
    <t>Cleaned cartridge bays, plunger rod, fan filter, icore
Generate reports</t>
  </si>
  <si>
    <t>https://www.jotform.com/uploads/macarewecare/222927978372067/5673634864615003875/5673634864615003875_signature_28.png</t>
  </si>
  <si>
    <t>Rowena C. Alicante</t>
  </si>
  <si>
    <t>https://www.jotform.com/uploads/macarewecare/222927978372067/5673634864615003875/5673634864615003875_signature_31.png</t>
  </si>
  <si>
    <t>Brgy. Mabini, Cabadbaran City</t>
  </si>
  <si>
    <t xml:space="preserve">ASSAY: Xpert MTB/RIF, COUNT: 221
ASSAY: Xpert MTB/RIF Ultra, COUNT: 893
</t>
  </si>
  <si>
    <t>Replacing Module B2 with SN: 862860 to SN: 698222
Preventive Maintenance</t>
  </si>
  <si>
    <t>https://www.jotform.com/uploads/macarewecare/222927978372067/5673632525304649106/5673632525304649106_signature_28.png</t>
  </si>
  <si>
    <t>https://www.jotform.com/uploads/macarewecare/222927978372067/5673632525304649106/5673632525304649106_signature_31.png</t>
  </si>
  <si>
    <t>Braulio E. Dujali Rural Health Unit</t>
  </si>
  <si>
    <t>Poblacion, Braulio E. Dujali, Davao Del Norte</t>
  </si>
  <si>
    <t>sblacorda@yahoo.com</t>
  </si>
  <si>
    <t>Run XPC Calibration on Two Modules</t>
  </si>
  <si>
    <t>https://www.jotform.com/uploads/macarewecare/222927978372067/5673627793811708817/5673627793811708817_signature_28.png</t>
  </si>
  <si>
    <t>Sharon Rose B. Lacorda RMT</t>
  </si>
  <si>
    <t>https://www.jotform.com/uploads/macarewecare/222927978372067/5673627793811708817/5673627793811708817_signature_31.png</t>
  </si>
  <si>
    <t>damh_da@yahoo.com</t>
  </si>
  <si>
    <t>Module 3, HW Failure</t>
  </si>
  <si>
    <t>Performed Maintenance
Gathered Reports
Performed Calibration {Xpertcheck Result = (B2, B4 - Passed) &amp; (B1, B3 - Service Required)}
Performed Functionality Test</t>
  </si>
  <si>
    <t>Aircon Needs Replacement, 1.5hp - 2hp aircon</t>
  </si>
  <si>
    <t>https://www.jotform.com/uploads/macarewecare/222927978372067/5673616283014264109/5673616283014264109_signature_28.png</t>
  </si>
  <si>
    <t>STEPHEN VALOROZO</t>
  </si>
  <si>
    <t>https://www.jotform.com/uploads/macarewecare/222927978372067/5673616283014264109/5673616283014264109_signature_31.png</t>
  </si>
  <si>
    <t>Xpertcheck Result = (B2, B4 - Passed) &amp; (B1, B3 - Service Required)</t>
  </si>
  <si>
    <t>https://www.jotform.com/uploads/macarewecare/222927978372067/5673616263019700127/5673616263019700127_signature_28.png</t>
  </si>
  <si>
    <t>https://www.jotform.com/uploads/macarewecare/222927978372067/5673616263019700127/5673616263019700127_signature_31.png</t>
  </si>
  <si>
    <t>Pulang Lupa Dos, Las Pinas</t>
  </si>
  <si>
    <t>Performed PM.
Performed module replacement in B3.
Generated reports</t>
  </si>
  <si>
    <t>GX Module B3 (210100852) in replacement to defective B3 (807120).</t>
  </si>
  <si>
    <t>G6109</t>
  </si>
  <si>
    <t>https://www.jotform.com/uploads/macarewecare/222927978372067/5673613346547346913/5673613346547346913_signature_28.png</t>
  </si>
  <si>
    <t>https://www.jotform.com/uploads/macarewecare/222927978372067/5673613346547346913/5673613346547346913_signature_31.png</t>
  </si>
  <si>
    <t>Gandara samar</t>
  </si>
  <si>
    <t xml:space="preserve">ASSAY: Xpert MTB/RIF, COUNT: 50
ASSAY: Xpert MTB/RIF Ultra, COUNT: 797
</t>
  </si>
  <si>
    <t>Module B1 SN: 766195 Defective</t>
  </si>
  <si>
    <t>- Replaced module B1 w/ new SN: 760084
- Performed Preventive maintenance 
- Performed Functionality test 
- Generate reports</t>
  </si>
  <si>
    <t>1 Genexpert Module 6 Color SN: 760084</t>
  </si>
  <si>
    <t>https://www.jotform.com/uploads/macarewecare/222927978372067/5673607144021730744/5673607144021730744_signature_28.png</t>
  </si>
  <si>
    <t>https://www.jotform.com/uploads/macarewecare/222927978372067/5673607144021730744/5673607144021730744_signature_31.png</t>
  </si>
  <si>
    <t>Nabas Rural Health Unit</t>
  </si>
  <si>
    <t>Nabas, Aklan</t>
  </si>
  <si>
    <t>lambito.godelyn61@bmail.com</t>
  </si>
  <si>
    <t>Module B1 failed in last calibration</t>
  </si>
  <si>
    <t>Replaced the old module for B1 with SN 696206 to new module with SN 210100410</t>
  </si>
  <si>
    <t>https://www.jotform.com/uploads/macarewecare/222927978372067/5673580888015708211/5673580888015708211_signature_28.png</t>
  </si>
  <si>
    <t>Godelyn A Lambito</t>
  </si>
  <si>
    <t>https://www.jotform.com/uploads/macarewecare/222927978372067/5673580888015708211/5673580888015708211_signature_31.png</t>
  </si>
  <si>
    <t>Overseas Filipino Worker Hospital</t>
  </si>
  <si>
    <t>ON-SITE ASSISTANCE
Relocation and setup</t>
  </si>
  <si>
    <t>Relocate machine from Laboratory to 6TH Floor(training purposes)
Performed preventive maintenance
Gathered reports
Relocate from 6th floor to laboratory
Setup and installation of genexpert machine
Archived test results
Performed functionality test</t>
  </si>
  <si>
    <t>https://www.jotform.com/uploads/macarewecare/222927978372067/5672917936215942797/5672917936215942797_signature_28.png</t>
  </si>
  <si>
    <t>Jayanara Capulong</t>
  </si>
  <si>
    <t>https://www.jotform.com/uploads/macarewecare/222927978372067/5672917936215942797/5672917936215942797_signature_31.png</t>
  </si>
  <si>
    <t>https://www.jotform.com/uploads/macarewecare/222927978372067/5672917916218796655/5672917916218796655_signature_28.png</t>
  </si>
  <si>
    <t>https://www.jotform.com/uploads/macarewecare/222927978372067/5672917916218796655/5672917916218796655_signature_31.png</t>
  </si>
  <si>
    <t xml:space="preserve">ASSAY: Xpert MTB/RIF Ultra, COUNT: 2360
ASSAY: Xpert SARS-CoV-2, COUNT: 7155
</t>
  </si>
  <si>
    <t>Module A3 error</t>
  </si>
  <si>
    <t>Module Replacement = (638053 &amp; 888719 - 210100393 &amp; 210100208)</t>
  </si>
  <si>
    <t>Genexpert Module = (210100208 &amp; 210100393)</t>
  </si>
  <si>
    <t>https://www.jotform.com/uploads/macarewecare/222927978372067/5672898568221146551/5672898568221146551_signature_28.png</t>
  </si>
  <si>
    <t>https://www.jotform.com/uploads/macarewecare/222927978372067/5672898568221146551/5672898568221146551_signature_31.png</t>
  </si>
  <si>
    <t xml:space="preserve">ASSAY: Xpert MTB/RIF, COUNT: 119
ASSAY: Xpert MTB/RIF Ultra, COUNT: 3910
ASSAY: Xpert HIV-1 Viral Load, COUNT: 195
</t>
  </si>
  <si>
    <t>XPERTCHECK CE-IVD 5 CARTRIDGES/KIT</t>
  </si>
  <si>
    <t>https://www.jotform.com/uploads/macarewecare/222927978372067/5672897002192086832/5672897002192086832_signature_28.png</t>
  </si>
  <si>
    <t>https://www.jotform.com/uploads/macarewecare/222927978372067/5672897002192086832/5672897002192086832_signature_31.png</t>
  </si>
  <si>
    <t>https://www.jotform.com/uploads/macarewecare/222927978372067/5672894182191762730/5672894182191762730_signature_28.png</t>
  </si>
  <si>
    <t>https://www.jotform.com/uploads/macarewecare/222927978372067/5672894182191762730/5672894182191762730_signature_31.png</t>
  </si>
  <si>
    <t>Performed Maintenance
Installed Genexpert
Performed Functionality Test</t>
  </si>
  <si>
    <t>Unit is Operational, outlet no power because of renovation</t>
  </si>
  <si>
    <t>https://www.jotform.com/uploads/macarewecare/222927978372067/5672892968226191153/5672892968226191153_signature_28.png</t>
  </si>
  <si>
    <t>https://www.jotform.com/uploads/macarewecare/222927978372067/5672892968226191153/5672892968226191153_signature_31.png</t>
  </si>
  <si>
    <t>https://www.jotform.com/uploads/macarewecare/222927978372067/5672892438223731388/5672892438223731388_signature_28.png</t>
  </si>
  <si>
    <t>https://www.jotform.com/uploads/macarewecare/222927978372067/5672892438223731388/5672892438223731388_signature_31.png</t>
  </si>
  <si>
    <t xml:space="preserve">ASSAY: Xpert HPV, COUNT: 230
ASSAY: Xpert MTB/RIF, COUNT: 367
ASSAY: Xpert MTB/RIF Ultra, COUNT: 2299
ASSAY: Xpert HIV-1 Viral Load, COUNT: 59
</t>
  </si>
  <si>
    <t>https://www.jotform.com/uploads/macarewecare/222927978372067/5672892265654882802/5672892265654882802_signature_28.png</t>
  </si>
  <si>
    <t>https://www.jotform.com/uploads/macarewecare/222927978372067/5672892265654882802/5672892265654882802_signature_31.png</t>
  </si>
  <si>
    <t xml:space="preserve">ASSAY: Xpert HPV, COUNT: 229
ASSAY: Xpert MTB/RIF, COUNT: 339
ASSAY: Xpert MTB/RIF Ultra, COUNT: 2411
ASSAY: Xpert HIV-1 Viral Load, COUNT: 43
</t>
  </si>
  <si>
    <t>-Run XpertCheck calibration on module A1, A2, &amp; A4</t>
  </si>
  <si>
    <t>Module A2 xpertcheck service required, for replacement. Module A1 and A4 passed and are functional.</t>
  </si>
  <si>
    <t>https://www.jotform.com/uploads/macarewecare/222927978372067/5672889865656729840/5672889865656729840_signature_28.png</t>
  </si>
  <si>
    <t>https://www.jotform.com/uploads/macarewecare/222927978372067/5672889865656729840/5672889865656729840_signature_31.png</t>
  </si>
  <si>
    <t>Batasan Rd., Quezon City</t>
  </si>
  <si>
    <t xml:space="preserve">ASSAY: Xpert HPV, COUNT: 835
ASSAY: Xpert MTB/RIF Ultra, COUNT: 2178
</t>
  </si>
  <si>
    <t>Module 4 temp problem</t>
  </si>
  <si>
    <t>Performed preventive maintenance
Checked all modules
Module 4 for reporting
Generated report</t>
  </si>
  <si>
    <t>Performed PM
Gathered report</t>
  </si>
  <si>
    <t>Unit is operational. Only module 4 have temp problem</t>
  </si>
  <si>
    <t>https://www.jotform.com/uploads/macarewecare/222927978372067/5672886833184097281/5672886833184097281_signature_28.png</t>
  </si>
  <si>
    <t>https://www.jotform.com/uploads/macarewecare/222927978372067/5672886833184097281/5672886833184097281_signature_31.png</t>
  </si>
  <si>
    <t xml:space="preserve">ASSAY: Xpert CT/NG, COUNT: 27
ASSAY: Xpert HPV, COUNT: 17
ASSAY: Xpert MTB/RIF Ultra, COUNT: 2370
ASSAY: Others, COUNT: 8058
ASSAY: Xpert HIV-1 Viral Load, COUNT: 159
ASSAY: Others, COUNT: 9
</t>
  </si>
  <si>
    <t>Unit is operational.
A1: failed
A2: failed
A3: retry
A4: pass</t>
  </si>
  <si>
    <t>https://www.jotform.com/uploads/macarewecare/222927978372067/5672875951317794600/5672875951317794600_signature_28.png</t>
  </si>
  <si>
    <t>Vianne Diaz</t>
  </si>
  <si>
    <t>https://www.jotform.com/uploads/macarewecare/222927978372067/5672875951317794600/5672875951317794600_signature_31.png</t>
  </si>
  <si>
    <t>wvsumc.genex@gmail.com</t>
  </si>
  <si>
    <t xml:space="preserve">ASSAY: Xpert HPV, COUNT: 403
</t>
  </si>
  <si>
    <t>Run Xpert check calibration for 4 modules</t>
  </si>
  <si>
    <t>https://www.jotform.com/uploads/macarewecare/222927978372067/5672875676194990081/5672875676194990081_signature_28.png</t>
  </si>
  <si>
    <t>https://www.jotform.com/uploads/macarewecare/222927978372067/5672875676194990081/5672875676194990081_signature_31.png</t>
  </si>
  <si>
    <t xml:space="preserve">ASSAY: Xpert CT/NG, COUNT: 5
ASSAY: Xpert HBV VL, COUNT: 1
ASSAY: Xpert HPV, COUNT: 14
ASSAY: Xpert MTB/RIF Ultra, COUNT: 967
ASSAY: Xpert SARS-CoV-2, COUNT: 2803
ASSAY: Xpert HIV-1 Viral Load, COUNT: 59
</t>
  </si>
  <si>
    <t>Unit is operational
D1: retry
D2: passed
D3: passed
D4: failed</t>
  </si>
  <si>
    <t>https://www.jotform.com/uploads/macarewecare/222927978372067/5672874811319234761/5672874811319234761_signature_28.png</t>
  </si>
  <si>
    <t>https://www.jotform.com/uploads/macarewecare/222927978372067/5672874811319234761/5672874811319234761_signature_31.png</t>
  </si>
  <si>
    <t xml:space="preserve">ASSAY: Xpert MTB/RIF, COUNT: 11
ASSAY: Xpert MTB/RIF Ultra, COUNT: 493
</t>
  </si>
  <si>
    <t>https://www.jotform.com/uploads/macarewecare/222927978372067/5672844423117480345/5672844423117480345_signature_28.png</t>
  </si>
  <si>
    <t>Pamela Joyce P. Sustento RMT</t>
  </si>
  <si>
    <t>https://www.jotform.com/uploads/macarewecare/222927978372067/5672844423117480345/5672844423117480345_signature_31.png</t>
  </si>
  <si>
    <t>Sampaguita St. San Jose, Balanga City, Bataan</t>
  </si>
  <si>
    <t>B1 for module replacement
Date and time not synching
CPU hard booting up</t>
  </si>
  <si>
    <t>Module replacement
Troubleshooting</t>
  </si>
  <si>
    <t>Performed preventive maintenance
Troubleshoot CPU
Performed module replacement
Archived test results
Gathered reports
Performed functionality test</t>
  </si>
  <si>
    <t>CPU BIOS for replacement</t>
  </si>
  <si>
    <t>https://www.jotform.com/uploads/macarewecare/222927978372067/5672834153634358290/5672834153634358290_signature_28.png</t>
  </si>
  <si>
    <t>Melanie H. Alonzoy</t>
  </si>
  <si>
    <t>https://www.jotform.com/uploads/macarewecare/222927978372067/5672834153634358290/5672834153634358290_signature_31.png</t>
  </si>
  <si>
    <t>Democrito O. Plaza Memorial Hospital RTDL</t>
  </si>
  <si>
    <t>Brgy. Patin-ay, Properidad</t>
  </si>
  <si>
    <t xml:space="preserve">ASSAY: Xpert MTB/RIF Ultra, COUNT: 1419
</t>
  </si>
  <si>
    <t>Module B3 found E2014</t>
  </si>
  <si>
    <t>Replacing B1 with SN: 803321 with SN: 210100436
Replacing Module B2 with SN: 695878 to SN: 210100437
Installation of New Lenovo CPU with SN: CPH0522F37028 and peripherals.
Installation of drivers and assays.</t>
  </si>
  <si>
    <t>3 modules working, 1 module reported to jotform</t>
  </si>
  <si>
    <t>https://www.jotform.com/uploads/macarewecare/222927978372067/5672832376811538951/5672832376811538951_signature_28.png</t>
  </si>
  <si>
    <t>https://www.jotform.com/uploads/macarewecare/222927978372067/5672832376811538951/5672832376811538951_signature_31.png</t>
  </si>
  <si>
    <t>Valladollid Carcar City</t>
  </si>
  <si>
    <t>Conduct calibration</t>
  </si>
  <si>
    <t>Performed calibration for B1, B3 and B4</t>
  </si>
  <si>
    <t>All modules are operational and B1, B3, and B4 passed the calibration</t>
  </si>
  <si>
    <t>https://www.jotform.com/uploads/macarewecare/222927978372067/5672818013752136575/5672818013752136575_signature_28.png</t>
  </si>
  <si>
    <t>Lucille Mae  A. Potoy</t>
  </si>
  <si>
    <t>https://www.jotform.com/uploads/macarewecare/222927978372067/5672818013752136575/5672818013752136575_signature_31.png</t>
  </si>
  <si>
    <t>Camarin, Caloocan City</t>
  </si>
  <si>
    <t xml:space="preserve">ASSAY: Xpert MTB/RIF Ultra, COUNT: 1730
</t>
  </si>
  <si>
    <t>https://www.jotform.com/uploads/macarewecare/222927978372067/5672805011314067346/5672805011314067346_signature_28.png</t>
  </si>
  <si>
    <t>https://www.jotform.com/uploads/macarewecare/222927978372067/5672805011314067346/5672805011314067346_signature_31.png</t>
  </si>
  <si>
    <t>Running xpertcheck calibration for module D3 &amp; D4</t>
  </si>
  <si>
    <t>Module D3 service required, module D4 passed</t>
  </si>
  <si>
    <t>https://www.jotform.com/uploads/macarewecare/222927978372067/5672779163856076233/5672779163856076233_signature_28.png</t>
  </si>
  <si>
    <t>https://www.jotform.com/uploads/macarewecare/222927978372067/5672779163856076233/5672779163856076233_signature_31.png</t>
  </si>
  <si>
    <t>https://www.jotform.com/uploads/macarewecare/222927978372067/5672778936198672082/5672778936198672082_signature_28.png</t>
  </si>
  <si>
    <t>https://www.jotform.com/uploads/macarewecare/222927978372067/5672778936198672082/5672778936198672082_signature_31.png</t>
  </si>
  <si>
    <t>Don Jose S. Monfort Medical Center Ext. Hospital</t>
  </si>
  <si>
    <t>Barotac Nuevo</t>
  </si>
  <si>
    <t xml:space="preserve">ASSAY: Xpert MTB/RIF, COUNT: 4
ASSAY: Xpert MTB/RIF Ultra, COUNT: 635
</t>
  </si>
  <si>
    <t>Conduct PM and Generate files</t>
  </si>
  <si>
    <t>https://www.jotform.com/uploads/macarewecare/222927978372067/5672736646197552184/5672736646197552184_signature_28.png</t>
  </si>
  <si>
    <t>SHIRLEY MAE G. PECTO</t>
  </si>
  <si>
    <t>https://www.jotform.com/uploads/macarewecare/222927978372067/5672736646197552184/5672736646197552184_signature_31.png</t>
  </si>
  <si>
    <t>Catarman</t>
  </si>
  <si>
    <t xml:space="preserve">ASSAY: Xpert MTB/RIF, COUNT: 110
ASSAY: Xpert MTB/RIF Ultra, COUNT: 2194
ASSAY: Xpert HIV-1 Viral Load, COUNT: 30
</t>
  </si>
  <si>
    <t>Unit is Operational (Module B1 - service required)</t>
  </si>
  <si>
    <t>https://www.jotform.com/uploads/macarewecare/222927978372067/5672707848854469728/5672707848854469728_signature_28.png</t>
  </si>
  <si>
    <t>https://www.jotform.com/uploads/macarewecare/222927978372067/5672707848854469728/5672707848854469728_signature_31.png</t>
  </si>
  <si>
    <t xml:space="preserve">ASSAY: Xpert MTB/RIF, COUNT: 146
ASSAY: Xpert MTB/RIF Ultra, COUNT: 1563
</t>
  </si>
  <si>
    <t>-Module A3 passed XPC calibration
-Module A1 disabled; waiting for replacement
-Other modules are functional.</t>
  </si>
  <si>
    <t>https://www.jotform.com/uploads/macarewecare/222927978372067/5672688125651914264/5672688125651914264_signature_28.png</t>
  </si>
  <si>
    <t>https://www.jotform.com/uploads/macarewecare/222927978372067/5672688125651914264/5672688125651914264_signature_31.png</t>
  </si>
  <si>
    <t xml:space="preserve">ASSAY: Xpert MTB/RIF, COUNT: 259
ASSAY: Xpert MTB/RIF Ultra, COUNT: 2311
</t>
  </si>
  <si>
    <t>Module B1 already reported for replacement and waiting for allocation.</t>
  </si>
  <si>
    <t>Run Xpert check calibration for module B2, B3 and B4.</t>
  </si>
  <si>
    <t>Module B3 failed in calibration and module B2 &amp; B4 passed.</t>
  </si>
  <si>
    <t>https://www.jotform.com/uploads/macarewecare/222927978372067/5672059160528174953/5672059160528174953_signature_28.png</t>
  </si>
  <si>
    <t>Glenly Cansona</t>
  </si>
  <si>
    <t>https://www.jotform.com/uploads/macarewecare/222927978372067/5672059160528174953/5672059160528174953_signature_31.png</t>
  </si>
  <si>
    <t xml:space="preserve">ASSAY: Xpert BCR-ABL Ultra, COUNT: 690
ASSAY: Others, COUNT: 11
ASSAY: Xpert HBV VL, COUNT: 422
ASSAY: Xpert HPV, COUNT: 111
ASSAY: Xpert MTB/RIF, COUNT: 1230
ASSAY: Xpert MTB/RIF Ultra, COUNT: 753
ASSAY: Xpert SARS-CoV-2, COUNT: 16565
ASSAY: Xpert HCV VL, COUNT: 37
ASSAY: Others, COUNT: 9
</t>
  </si>
  <si>
    <t>B1 encounter loss communication error</t>
  </si>
  <si>
    <t>Replaced cable
Swap module location
Performed self test multiple times
Gathered reports
Test run unit</t>
  </si>
  <si>
    <t>B1 no error loss communication encounter during module swapping location</t>
  </si>
  <si>
    <t>https://www.jotform.com/uploads/macarewecare/222927978372067/5672041863615479849/5672041863615479849_signature_28.png</t>
  </si>
  <si>
    <t>https://www.jotform.com/uploads/macarewecare/222927978372067/5672041863615479849/5672041863615479849_signature_31.png</t>
  </si>
  <si>
    <t xml:space="preserve">ASSAY: Xpert MTB/RIF Ultra, COUNT: 444
ASSAY: Others, COUNT: 5
ASSAY: Xpert SARS-CoV-2, COUNT: 2487
</t>
  </si>
  <si>
    <t>For module replacement B2 210068732 - 210100435</t>
  </si>
  <si>
    <t>Cleaned unit
Cleaned filter,plunger rod ,cartridge bay,icore
Gathered reports
Test run unit</t>
  </si>
  <si>
    <t>G6011</t>
  </si>
  <si>
    <t>https://www.jotform.com/uploads/macarewecare/222927978372067/5672034763612357339/5672034763612357339_signature_28.png</t>
  </si>
  <si>
    <t>https://www.jotform.com/uploads/macarewecare/222927978372067/5672034763612357339/5672034763612357339_signature_31.png</t>
  </si>
  <si>
    <t>East Ave.QC</t>
  </si>
  <si>
    <t xml:space="preserve">ASSAY: Xpert MTB/RIF, COUNT: 140
ASSAY: Xpert MTB/RIF Ultra, COUNT: 3614
</t>
  </si>
  <si>
    <t>C2 and C3 encounter ng continous 5007 error</t>
  </si>
  <si>
    <t>Cleaned plunger rod
Cleaned icore,cartridge bay
Gathered reports</t>
  </si>
  <si>
    <t>C2 and C3 for observation</t>
  </si>
  <si>
    <t>https://www.jotform.com/uploads/macarewecare/222927978372067/5672031353618685143/5672031353618685143_signature_28.png</t>
  </si>
  <si>
    <t>https://www.jotform.com/uploads/macarewecare/222927978372067/5672031353618685143/5672031353618685143_signature_31.png</t>
  </si>
  <si>
    <t>Ortigas ave.Pasig City</t>
  </si>
  <si>
    <t xml:space="preserve">ASSAY: Xpert BCR-ABL Ultra, COUNT: 10
ASSAY: Xpert CT/NG, COUNT: 13
ASSAY: Xpert HBV VL, COUNT: 175
ASSAY: Xpert HPV, COUNT: 133
ASSAY: Xpert MTB/RIF Ultra, COUNT: 1284
ASSAY: Others, COUNT: 7
ASSAY: Xpert HCV VL, COUNT: 23
ASSAY: Xpert HIV-1 Viral Load, COUNT: 238
</t>
  </si>
  <si>
    <t>For transfer</t>
  </si>
  <si>
    <t>Transfer unit from another table, reinstall and set up unit</t>
  </si>
  <si>
    <t>Transfer unit</t>
  </si>
  <si>
    <t>https://www.jotform.com/uploads/macarewecare/222927978372067/5672029833612218458/5672029833612218458_signature_28.png</t>
  </si>
  <si>
    <t>https://www.jotform.com/uploads/macarewecare/222927978372067/5672029833612218458/5672029833612218458_signature_31.png</t>
  </si>
  <si>
    <t>P. Tuazon, Quezon City</t>
  </si>
  <si>
    <t>Blood Bano</t>
  </si>
  <si>
    <t>moncastillo11@gmail.com</t>
  </si>
  <si>
    <t>19G059</t>
  </si>
  <si>
    <t>Line Sensor Error</t>
  </si>
  <si>
    <t>- checked calibration parameters (passed)
- cleaned line sensor (value: 2900)
- performed functionality test</t>
  </si>
  <si>
    <t>Cleaned Line Sensor</t>
  </si>
  <si>
    <t>https://www.jotform.com/uploads/macarewecare/222927978372067/5671978816318645459/5671978816318645459_signature_28.png</t>
  </si>
  <si>
    <t>Raymond Castillo</t>
  </si>
  <si>
    <t>https://www.jotform.com/uploads/macarewecare/222927978372067/5671978816318645459/5671978816318645459_signature_31.png</t>
  </si>
  <si>
    <t>Binalbagan Rural Health Unit</t>
  </si>
  <si>
    <t xml:space="preserve">ASSAY: Xpert MTB/RIF, COUNT: 50
ASSAY: Xpert MTB/RIF Ultra, COUNT: 969
</t>
  </si>
  <si>
    <t>https://www.jotform.com/uploads/macarewecare/222927978372067/5671976778027948696/5671976778027948696_signature_28.png</t>
  </si>
  <si>
    <t>Mary Flor Egca</t>
  </si>
  <si>
    <t>https://www.jotform.com/uploads/macarewecare/222927978372067/5671976778027948696/5671976778027948696_signature_31.png</t>
  </si>
  <si>
    <t>Nagpayong, Pasig</t>
  </si>
  <si>
    <t>Unit is operational. Module B2 not operational reported already.</t>
  </si>
  <si>
    <t>Old: B3/786244, B4/758212
New: B3/210017770, B4/210019231</t>
  </si>
  <si>
    <t>DR# 10254, 10253</t>
  </si>
  <si>
    <t>https://www.jotform.com/uploads/macarewecare/222927978372067/5671966063612289278/5671966063612289278_signature_28.png</t>
  </si>
  <si>
    <t>Michelle D. De Guzman</t>
  </si>
  <si>
    <t>https://www.jotform.com/uploads/macarewecare/222927978372067/5671966063612289278/5671966063612289278_signature_31.png</t>
  </si>
  <si>
    <t>https://www.jotform.com/uploads/macarewecare/222927978372067/5671966043618222324/5671966043618222324_signature_28.png</t>
  </si>
  <si>
    <t>https://www.jotform.com/uploads/macarewecare/222927978372067/5671966043618222324/5671966043618222324_signature_31.png</t>
  </si>
  <si>
    <t>Brgy. Memije, Congressional Road, General Mariano Alvarez</t>
  </si>
  <si>
    <t xml:space="preserve">ASSAY: Xpert MTB/RIF Ultra, COUNT: 1735
</t>
  </si>
  <si>
    <t>Module 4 with Temperarure Errors</t>
  </si>
  <si>
    <t>https://www.jotform.com/uploads/macarewecare/222927978372067/5671959443617839097/5671959443617839097_signature_28.png</t>
  </si>
  <si>
    <t>Lorena L. Conti</t>
  </si>
  <si>
    <t>https://www.jotform.com/uploads/macarewecare/222927978372067/5671959443617839097/5671959443617839097_signature_31.png</t>
  </si>
  <si>
    <t>DBB-E, Dasmariñas</t>
  </si>
  <si>
    <t xml:space="preserve">ASSAY: Xpert MTB/RIF Ultra, COUNT: 2331
</t>
  </si>
  <si>
    <t>Module 3 with Tempetarure Error</t>
  </si>
  <si>
    <t>https://www.jotform.com/uploads/macarewecare/222927978372067/5671959373611413300/5671959373611413300_signature_28.png</t>
  </si>
  <si>
    <t>https://www.jotform.com/uploads/macarewecare/222927978372067/5671959373611413300/5671959373611413300_signature_31.png</t>
  </si>
  <si>
    <t>Hospital Rd, General Trias</t>
  </si>
  <si>
    <t xml:space="preserve">ASSAY: Xpert MTB/RIF Ultra, COUNT: 2122
ASSAY: Xpert HIV-1 Viral Load, COUNT: 211
</t>
  </si>
  <si>
    <t>Module 4 with Temperature Error
Module 1 with Temperature Error</t>
  </si>
  <si>
    <t>Mod 1 Not Available in XpertCheck, 3 Modules are Operational</t>
  </si>
  <si>
    <t>DR 10283</t>
  </si>
  <si>
    <t>https://www.jotform.com/uploads/macarewecare/222927978372067/5671959373612646756/5671959373612646756_signature_28.png</t>
  </si>
  <si>
    <t>Lorena R Montoya</t>
  </si>
  <si>
    <t>https://www.jotform.com/uploads/macarewecare/222927978372067/5671959373612646756/5671959373612646756_signature_31.png</t>
  </si>
  <si>
    <t>Hospital Road, General Trias</t>
  </si>
  <si>
    <t xml:space="preserve">ASSAY: Xpert MTB/RIF Ultra, COUNT: 2116
ASSAY: Xpert HIV-1 Viral Load, COUNT: 211
</t>
  </si>
  <si>
    <t>1 Failed, 3 Passed</t>
  </si>
  <si>
    <t>https://www.jotform.com/uploads/macarewecare/222927978372067/5671959373614897951/5671959373614897951_signature_28.png</t>
  </si>
  <si>
    <t>Lorena R. Montoya</t>
  </si>
  <si>
    <t>https://www.jotform.com/uploads/macarewecare/222927978372067/5671959373614897951/5671959373614897951_signature_31.png</t>
  </si>
  <si>
    <t>Scollt Torillo, Rosario</t>
  </si>
  <si>
    <t>rhu.rosario@yahoo.com</t>
  </si>
  <si>
    <t>Performed Maintenance
Replaced Modules 1 and 4
Generate Reportd</t>
  </si>
  <si>
    <t>DR's 10278,10250</t>
  </si>
  <si>
    <t>https://www.jotform.com/uploads/macarewecare/222927978372067/5671959373615983084/5671959373615983084_signature_28.png</t>
  </si>
  <si>
    <t>Jenilyn dela Cruz</t>
  </si>
  <si>
    <t>https://www.jotform.com/uploads/macarewecare/222927978372067/5671959373615983084/5671959373615983084_signature_31.png</t>
  </si>
  <si>
    <t>Tabon 2, Kawit</t>
  </si>
  <si>
    <t>mariellepanganiban1004@gmail.com</t>
  </si>
  <si>
    <t xml:space="preserve">ASSAY: Xpert MTB/RIF Ultra, COUNT: 1025
</t>
  </si>
  <si>
    <t>Performed Maintenance
Replaced Modules 3 and 4</t>
  </si>
  <si>
    <t>DR's 10285, 10288</t>
  </si>
  <si>
    <t>https://www.jotform.com/uploads/macarewecare/222927978372067/5671959373618469057/5671959373618469057_signature_28.png</t>
  </si>
  <si>
    <t>Marielle Panganiban</t>
  </si>
  <si>
    <t>https://www.jotform.com/uploads/macarewecare/222927978372067/5671959373618469057/5671959373618469057_signature_31.png</t>
  </si>
  <si>
    <t xml:space="preserve">ASSAY: Xpert MTB/RIF Ultra, COUNT: 774
</t>
  </si>
  <si>
    <t>Module 1, 3 and 4 temperature error</t>
  </si>
  <si>
    <t>Replaced module 807256 and Module 807261 with Module 883311 and 890829 respectively. Module 3 undergone Xpertcheck calibration and the result is service required, must be replaced.</t>
  </si>
  <si>
    <t>Module Replacement and Xpertcheck calibration</t>
  </si>
  <si>
    <t>Module 1, 2 and 4 are available, module 3 must be repaired.</t>
  </si>
  <si>
    <t>900-0491R Genexpert Module 6 color S.N (883311 / 890829)</t>
  </si>
  <si>
    <t>10223/ 10224</t>
  </si>
  <si>
    <t>https://www.jotform.com/uploads/macarewecare/222927978372067/5671955791315582823/5671955791315582823_signature_28.png</t>
  </si>
  <si>
    <t>https://www.jotform.com/uploads/macarewecare/222927978372067/5671955791315582823/5671955791315582823_signature_31.png</t>
  </si>
  <si>
    <t>Replaced module 695973 with Module 909139</t>
  </si>
  <si>
    <t>Module 1, 3 and 4 are available. Module 2 must be replaced</t>
  </si>
  <si>
    <t>Module 2 waiting for module Replacement</t>
  </si>
  <si>
    <t>900-0491R Genexpert Module 6 S.N. 909139</t>
  </si>
  <si>
    <t>https://www.jotform.com/uploads/macarewecare/222927978372067/5671950211311862502/5671950211311862502_signature_28.png</t>
  </si>
  <si>
    <t>Amie b. Ybio</t>
  </si>
  <si>
    <t>https://www.jotform.com/uploads/macarewecare/222927978372067/5671950211311862502/5671950211311862502_signature_31.png</t>
  </si>
  <si>
    <t>Conduct PM and generate files(IQR &amp; GXC File)</t>
  </si>
  <si>
    <t>Run Xpert check calibration for module B3 and B4 only.</t>
  </si>
  <si>
    <t>Module B3 and B4 passed the calibration</t>
  </si>
  <si>
    <t>https://www.jotform.com/uploads/macarewecare/222927978372067/5671909398025888886/5671909398025888886_signature_28.png</t>
  </si>
  <si>
    <t>Mae Ann Bonilla</t>
  </si>
  <si>
    <t>https://www.jotform.com/uploads/macarewecare/222927978372067/5671909398025888886/5671909398025888886_signature_31.png</t>
  </si>
  <si>
    <t>Lacson Street, Bacolod City</t>
  </si>
  <si>
    <t>Micro Dept.</t>
  </si>
  <si>
    <t xml:space="preserve">ASSAY: Xpert MTB/RIF Ultra, COUNT: 803
ASSAY: Xpert HIV-1 Viral Load, COUNT: 833
</t>
  </si>
  <si>
    <t>Module A3 with error 4009</t>
  </si>
  <si>
    <t>Conduct PM and save files</t>
  </si>
  <si>
    <t>Run Xpert check for 4 modules</t>
  </si>
  <si>
    <t>All modules passed the Xpert check calibration</t>
  </si>
  <si>
    <t>https://www.jotform.com/uploads/macarewecare/222927978372067/5671898258027877687/5671898258027877687_signature_28.png</t>
  </si>
  <si>
    <t>https://www.jotform.com/uploads/macarewecare/222927978372067/5671898258027877687/5671898258027877687_signature_31.png</t>
  </si>
  <si>
    <t>https://www.jotform.com/uploads/macarewecare/222927978372067/5671897938026619561/5671897938026619561_signature_28.png</t>
  </si>
  <si>
    <t>https://www.jotform.com/uploads/macarewecare/222927978372067/5671897938026619561/5671897938026619561_signature_31.png</t>
  </si>
  <si>
    <t>- Cleaned Cartridge Bays, Plunger Rods and I-CORE 
- Replaced Defective Module 628666 &gt;&gt;&gt; 210100327
- Generated Reports</t>
  </si>
  <si>
    <t>Performed Module Replacement and Maintenance</t>
  </si>
  <si>
    <t>GeneXpert Module 210100327</t>
  </si>
  <si>
    <t>https://www.jotform.com/uploads/macarewecare/222927978372067/5671096038424317508/5671096038424317508_signature_28.png</t>
  </si>
  <si>
    <t>https://www.jotform.com/uploads/macarewecare/222927978372067/5671096038424317508/5671096038424317508_signature_31.png</t>
  </si>
  <si>
    <t>DR 5340</t>
  </si>
  <si>
    <t>https://www.jotform.com/uploads/macarewecare/222927978372067/5671095098421137018/5671095098421137018_signature_28.png</t>
  </si>
  <si>
    <t>https://www.jotform.com/uploads/macarewecare/222927978372067/5671095098421137018/5671095098421137018_signature_31.png</t>
  </si>
  <si>
    <t>Borongan city</t>
  </si>
  <si>
    <t>Tb - dots</t>
  </si>
  <si>
    <t xml:space="preserve">ASSAY: Xpert MTB/RIF, COUNT: 82
ASSAY: Xpert MTB/RIF Ultra, COUNT: 1099
ASSAY: Xpert HIV-1 Viral Load, COUNT: 6
</t>
  </si>
  <si>
    <t>Module B2 received multiple temperature error</t>
  </si>
  <si>
    <t>Troubleshoot 
 - check the ambient temperature (above 30°C)
 - check the room air conditioning ( not working properly due to low voltage and current fluctuating)
 - Performed Preventive maintenance 
 - Generate reports</t>
  </si>
  <si>
    <t>https://www.jotform.com/uploads/macarewecare/222927978372067/5670909072815400524/5670909072815400524_signature_28.png</t>
  </si>
  <si>
    <t>Elvalyn Gracia G. Lomuntad</t>
  </si>
  <si>
    <t>https://www.jotform.com/uploads/macarewecare/222927978372067/5670909072815400524/5670909072815400524_signature_31.png</t>
  </si>
  <si>
    <t>Amorsolo st., Makati city</t>
  </si>
  <si>
    <t>john.manzano@sodexo.com</t>
  </si>
  <si>
    <t xml:space="preserve">ASSAY: Xpert BCR-ABL Ultra, COUNT: 89
ASSAY: Xpert C. difficile BT, COUNT: 9
ASSAY: Xpert CT/NG, COUNT: 416
ASSAY: Others, COUNT: 7
ASSAY: Xpert HBV VL, COUNT: 15
ASSAY: Xpert HPV, COUNT: 448
ASSAY: Xpert MTB/RIF Ultra, COUNT: 1616
ASSAY: Others, COUNT: 2
ASSAY: Xpert HCV VL, COUNT: 34
ASSAY: Xpert HIV-1 Viral Load, COUNT: 1215
</t>
  </si>
  <si>
    <t>Due for Maintenance, Broken door hinges of B3 module</t>
  </si>
  <si>
    <t>Cleaned unit,
Cleaned filter,plunger rod,icore,cartridge bay
Gathered reports
Checked b3 module door hinge</t>
  </si>
  <si>
    <t>B3 broken door hinge for repair</t>
  </si>
  <si>
    <t>https://www.jotform.com/uploads/macarewecare/222927978372067/5669458380019340411/5669458380019340411_signature_28.png</t>
  </si>
  <si>
    <t>https://www.jotform.com/uploads/macarewecare/222927978372067/5669458380019340411/5669458380019340411_signature_31.png</t>
  </si>
  <si>
    <t xml:space="preserve">ASSAY: Xpert MTB/RIF Ultra, COUNT: 1809
</t>
  </si>
  <si>
    <t>Unit is operational.
B1: failed
B2: passed
B3: failed
B4: failed</t>
  </si>
  <si>
    <t>https://www.jotform.com/uploads/macarewecare/222927978372067/5669449734259921554/5669449734259921554_signature_28.png</t>
  </si>
  <si>
    <t>https://www.jotform.com/uploads/macarewecare/222927978372067/5669449734259921554/5669449734259921554_signature_31.png</t>
  </si>
  <si>
    <t>Highway 59, Brgy. Ariman, Gubat</t>
  </si>
  <si>
    <t>catafescoto@yahoo.com</t>
  </si>
  <si>
    <t>Replaced module: 691584&gt;&gt;210100697
Cleaned cartridge bays, plunger rod, icore,fan, replace fan filter 
Generate reports</t>
  </si>
  <si>
    <t>B2 replaced module 
Performed Preventive Maintenance</t>
  </si>
  <si>
    <t>https://www.jotform.com/uploads/macarewecare/222927978372067/5669445339124951002/5669445339124951002_signature_28.png</t>
  </si>
  <si>
    <t>Catalina F.Escoto</t>
  </si>
  <si>
    <t>https://www.jotform.com/uploads/macarewecare/222927978372067/5669445339124951002/5669445339124951002_signature_31.png</t>
  </si>
  <si>
    <t>Pull Out GX Machine</t>
  </si>
  <si>
    <t xml:space="preserve">ASSAY: Xpert HBV VL, COUNT: 12
ASSAY: Xpert HPV, COUNT: 98
ASSAY: Xpert MTB/RIF Ultra, COUNT: 1021
ASSAY: Xpert HIV-1 Viral Load, COUNT: 22
ASSAY: Others, COUNT: 32
</t>
  </si>
  <si>
    <t>GX machine for pull out</t>
  </si>
  <si>
    <t>Archive Test
Generated report
Disassemble GX
Packed GX machine and laptop</t>
  </si>
  <si>
    <t>Pulled out GX machine</t>
  </si>
  <si>
    <t>Unit to be returned to office</t>
  </si>
  <si>
    <t>https://www.jotform.com/uploads/macarewecare/222927978372067/5669423961818663420/5669423961818663420_signature_28.png</t>
  </si>
  <si>
    <t>https://www.jotform.com/uploads/macarewecare/222927978372067/5669423961818663420/5669423961818663420_signature_31.png</t>
  </si>
  <si>
    <t>Casiguran Aurora</t>
  </si>
  <si>
    <t xml:space="preserve">ASSAY: Xpert MTB/RIF, COUNT: 233
ASSAY: Xpert MTB/RIF Ultra, COUNT: 536
</t>
  </si>
  <si>
    <t>A1,A2 AND A3 For re-calibration and troubleshooting</t>
  </si>
  <si>
    <t>Re-xpertcheck
Module inspection
Preventive maintenance</t>
  </si>
  <si>
    <t>Unit is fully operational, module A1, A2 and A3 passed calibration</t>
  </si>
  <si>
    <t>Used 5 xpertcheck kits, A1, A2 and A3 for observation</t>
  </si>
  <si>
    <t>https://www.jotform.com/uploads/macarewecare/222927978372067/5669404472899871075/5669404472899871075_signature_28.png</t>
  </si>
  <si>
    <t>Princess Alen</t>
  </si>
  <si>
    <t>https://www.jotform.com/uploads/macarewecare/222927978372067/5669404472899871075/5669404472899871075_signature_31.png</t>
  </si>
  <si>
    <t>DOH TRC</t>
  </si>
  <si>
    <t>Camp bagong diwa bicutan</t>
  </si>
  <si>
    <t xml:space="preserve">ASSAY: Xpert MTB/RIF Ultra, COUNT: 2115
</t>
  </si>
  <si>
    <t>For module replacement C2 609195 - 210100544 C4 666170 - 210100547</t>
  </si>
  <si>
    <t>Performed module replacement
Cleaned filter,plunger rod,cartridge bay,icore
Gathered reports
Performed troubleshooting C3 module</t>
  </si>
  <si>
    <t>C3 disabled</t>
  </si>
  <si>
    <t>G6016</t>
  </si>
  <si>
    <t>https://www.jotform.com/uploads/macarewecare/222927978372067/5669399540013506293/5669399540013506293_signature_28.png</t>
  </si>
  <si>
    <t>https://www.jotform.com/uploads/macarewecare/222927978372067/5669399540013506293/5669399540013506293_signature_31.png</t>
  </si>
  <si>
    <t xml:space="preserve">ASSAY: Xpert MTB/RIF Ultra, COUNT: 2435
</t>
  </si>
  <si>
    <t>GeneXpert monitor for replacement</t>
  </si>
  <si>
    <t>GeneXpert Monitor
SN: MMA1PSS00221507B763W01</t>
  </si>
  <si>
    <t>https://www.jotform.com/uploads/macarewecare/222927978372067/5669375884611126152/5669375884611126152_signature_28.png</t>
  </si>
  <si>
    <t>https://www.jotform.com/uploads/macarewecare/222927978372067/5669375884611126152/5669375884611126152_signature_31.png</t>
  </si>
  <si>
    <t>Saguiaran</t>
  </si>
  <si>
    <t>Kim Ryan Arrojado</t>
  </si>
  <si>
    <t>saharaalimaradial.muti@gmail.com</t>
  </si>
  <si>
    <t>GeneXpert</t>
  </si>
  <si>
    <t>Preventive maintenance 
Module replacement
Generate report files
Database back up</t>
  </si>
  <si>
    <t>https://www.jotform.com/uploads/macarewecare/222927978372067/5669353531021744066/5669353531021744066_signature_28.png</t>
  </si>
  <si>
    <t>Sahara Muti</t>
  </si>
  <si>
    <t>https://www.jotform.com/uploads/macarewecare/222927978372067/5669353531021744066/5669353531021744066_signature_31.png</t>
  </si>
  <si>
    <t>Tomas Cabili, Iligan City</t>
  </si>
  <si>
    <t>Preventive Maintenance
Module replacement 
Generate report files
Database back up</t>
  </si>
  <si>
    <t>https://www.jotform.com/uploads/macarewecare/222927978372067/5669351391021699985/5669351391021699985_signature_28.png</t>
  </si>
  <si>
    <t>Maria Cialo C Venezuela</t>
  </si>
  <si>
    <t>https://www.jotform.com/uploads/macarewecare/222927978372067/5669351391021699985/5669351391021699985_signature_31.png</t>
  </si>
  <si>
    <t>Sorsogon Medical Mission Group Hospital</t>
  </si>
  <si>
    <t>Pampang, West District, Sorsogon City</t>
  </si>
  <si>
    <t>RTDL Culture Lab</t>
  </si>
  <si>
    <t>lotino.ana@gmail.com</t>
  </si>
  <si>
    <t>B4 for module replacement</t>
  </si>
  <si>
    <t>Replaced module: 210068733&gt;&gt;210101745
Performed XpertCheck 
Cleaned cartridge bays, plunger rod, icores
Generate reports</t>
  </si>
  <si>
    <t>Replaced module B4
Performed XpertCheck 
Performed Preventive Maintenance</t>
  </si>
  <si>
    <t>Unit is operational
B1 - Passed 
B2 - Passed 
B3 - Passed 
B4 - New Module</t>
  </si>
  <si>
    <t>https://www.jotform.com/uploads/macarewecare/222927978372067/5669313062424565991/5669313062424565991_signature_28.png</t>
  </si>
  <si>
    <t>Ana Liza Lotino</t>
  </si>
  <si>
    <t>https://www.jotform.com/uploads/macarewecare/222927978372067/5669313062424565991/5669313062424565991_signature_31.png</t>
  </si>
  <si>
    <t xml:space="preserve">ASSAY: Xpert MTB/RIF Ultra, COUNT: 1807
</t>
  </si>
  <si>
    <t>B2/662117 for module replacement</t>
  </si>
  <si>
    <t>Replaced module: 662117&gt;&gt;210100434
Performed XpertCheck 
Cleaned cartridge bays, plunger rod, icore,fan,fan filter 
Generate reports</t>
  </si>
  <si>
    <t>Replaced module B2
Performed XpertCheck 
Performed preventive maintenance</t>
  </si>
  <si>
    <t>Unit is operational 
B1 - Passed
B2 - New Module
B3 - Passed
B4 - Service Required</t>
  </si>
  <si>
    <t>https://www.jotform.com/uploads/macarewecare/222927978372067/5669311732428770431/5669311732428770431_signature_28.png</t>
  </si>
  <si>
    <t>Jessie Lowell de Vera</t>
  </si>
  <si>
    <t>https://www.jotform.com/uploads/macarewecare/222927978372067/5669311732428770431/5669311732428770431_signature_31.png</t>
  </si>
  <si>
    <t>Narra Palawan</t>
  </si>
  <si>
    <t>Replaced module B3. SN: 661895</t>
  </si>
  <si>
    <t>Performed maintenance.
Replaced module B3</t>
  </si>
  <si>
    <t>New mod SN: 210092904</t>
  </si>
  <si>
    <t>https://www.jotform.com/uploads/macarewecare/222927978372067/5669290260412019717/5669290260412019717_signature_28.png</t>
  </si>
  <si>
    <t>ELIZABETH S. GAPULAO</t>
  </si>
  <si>
    <t>https://www.jotform.com/uploads/macarewecare/222927978372067/5669290260412019717/5669290260412019717_signature_31.png</t>
  </si>
  <si>
    <t>jennifer.pasaquian2485@gmail.com</t>
  </si>
  <si>
    <t>CPU for replacement. Module B1 and B4 encountering ultrasonic horn error.</t>
  </si>
  <si>
    <t>91337 Cepheid GX Global M70S Lenovo ThinkCentre</t>
  </si>
  <si>
    <t>https://www.jotform.com/uploads/macarewecare/222927978372067/5669162135572407770/5669162135572407770_signature_28.png</t>
  </si>
  <si>
    <t>Jennifer Contante</t>
  </si>
  <si>
    <t>https://www.jotform.com/uploads/macarewecare/222927978372067/5669162135572407770/5669162135572407770_signature_31.png</t>
  </si>
  <si>
    <t>J.P Laurel, Bajada, Davao City</t>
  </si>
  <si>
    <t xml:space="preserve">ASSAY: Xpert MTB/RIF, COUNT: 93
ASSAY: Xpert MTB/RIF Ultra, COUNT: 1610
ASSAY: Xpert HIV-1 Viral Load, COUNT: 584
</t>
  </si>
  <si>
    <t>Clean Surface Area, Cartridge Bays, Plunger Rod, Fan Filters and Icore Lenses
Generate IQR, Assay Stat, and System Log
Run Xpertcheck on Modules</t>
  </si>
  <si>
    <t>https://www.jotform.com/uploads/macarewecare/222927978372067/5668775855715178413/5668775855715178413_signature_28.png</t>
  </si>
  <si>
    <t>Flordeliza Go. RMT</t>
  </si>
  <si>
    <t>https://www.jotform.com/uploads/macarewecare/222927978372067/5668775855715178413/5668775855715178413_signature_31.png</t>
  </si>
  <si>
    <t>manz.franz@yahoo.com</t>
  </si>
  <si>
    <t xml:space="preserve">ASSAY: Xpert MTB/RIF Ultra, COUNT: 2187
</t>
  </si>
  <si>
    <t>Replace module 3 SN: 807311 with new module SN: 775505</t>
  </si>
  <si>
    <t>Genexpert module 6 color SN:775505</t>
  </si>
  <si>
    <t>Dr number: 10234</t>
  </si>
  <si>
    <t>https://www.jotform.com/uploads/macarewecare/222927978372067/5668724824126170861/5668724824126170861_signature_28.png</t>
  </si>
  <si>
    <t>https://www.jotform.com/uploads/macarewecare/222927978372067/5668724824126170861/5668724824126170861_signature_31.png</t>
  </si>
  <si>
    <t>F. Legazpi Extension, Maybunga</t>
  </si>
  <si>
    <t xml:space="preserve">ASSAY: Xpert MTB/RIF Ultra, COUNT: 3207
</t>
  </si>
  <si>
    <t>Gateway Board for upgrade</t>
  </si>
  <si>
    <t>Performed PM
Replaced Gateway board
Changed Gateway board serial number
Generated report</t>
  </si>
  <si>
    <t>Replaced gateway board with a new one</t>
  </si>
  <si>
    <t>Gateway Board Kit</t>
  </si>
  <si>
    <t>G 6099</t>
  </si>
  <si>
    <t>https://www.jotform.com/uploads/macarewecare/222927978372067/5668593970891046793/5668593970891046793_signature_28.png</t>
  </si>
  <si>
    <t>Vilma R. Umadhay</t>
  </si>
  <si>
    <t>https://www.jotform.com/uploads/macarewecare/222927978372067/5668593970891046793/5668593970891046793_signature_31.png</t>
  </si>
  <si>
    <t xml:space="preserve">ASSAY: Xpert MTB/RIF Ultra, COUNT: 645
</t>
  </si>
  <si>
    <t>GeneXpert Module
SN: 619121</t>
  </si>
  <si>
    <t>https://www.jotform.com/uploads/macarewecare/222927978372067/5668532399326182198/5668532399326182198_signature_28.png</t>
  </si>
  <si>
    <t>Ronel Julian</t>
  </si>
  <si>
    <t>https://www.jotform.com/uploads/macarewecare/222927978372067/5668532399326182198/5668532399326182198_signature_31.png</t>
  </si>
  <si>
    <t xml:space="preserve">ASSAY: Xpert MTB/RIF Ultra, COUNT: 1101
</t>
  </si>
  <si>
    <t>Replace module B4</t>
  </si>
  <si>
    <t>GeneXpert Module
SN: 210100379</t>
  </si>
  <si>
    <t>G 5896</t>
  </si>
  <si>
    <t>https://www.jotform.com/uploads/macarewecare/222927978372067/5668468199327880313/5668468199327880313_signature_28.png</t>
  </si>
  <si>
    <t>https://www.jotform.com/uploads/macarewecare/222927978372067/5668468199327880313/5668468199327880313_signature_31.png</t>
  </si>
  <si>
    <t>Tanauan Batangas</t>
  </si>
  <si>
    <t>Unit for PM.
For module replacement of modules A1 and A4.</t>
  </si>
  <si>
    <t>Performed PM.
Performed module replacement on A1 and A4.
Generated reports.</t>
  </si>
  <si>
    <t>GX module A1 (210012231) and A4 (210012390) in replacement to defective A1 (731303) and A4 (760160).</t>
  </si>
  <si>
    <t>DR#s 10249 &amp; 10251</t>
  </si>
  <si>
    <t>https://www.jotform.com/uploads/macarewecare/222927978372067/5668446171024125245/5668446171024125245_signature_28.png</t>
  </si>
  <si>
    <t>Maria Teresita Labsan</t>
  </si>
  <si>
    <t>https://www.jotform.com/uploads/macarewecare/222927978372067/5668446171024125245/5668446171024125245_signature_31.png</t>
  </si>
  <si>
    <t>Lapulapu City, Cebu</t>
  </si>
  <si>
    <t xml:space="preserve">ASSAY: Xpert MTB/RIF Ultra, COUNT: 2124
</t>
  </si>
  <si>
    <t>Error 2126 module is keep reseting unavailable, botting</t>
  </si>
  <si>
    <t>Reset module B1</t>
  </si>
  <si>
    <t>Reset module B1 and reset power supply and gateway board</t>
  </si>
  <si>
    <t>B1 is restored. All modules are available except B4 waiting for next module replacement</t>
  </si>
  <si>
    <t>https://www.jotform.com/uploads/macarewecare/222927978372067/5668443396421743214/5668443396421743214_signature_28.png</t>
  </si>
  <si>
    <t>https://www.jotform.com/uploads/macarewecare/222927978372067/5668443396421743214/5668443396421743214_signature_31.png</t>
  </si>
  <si>
    <t>Angeles Rural Health Unit VI</t>
  </si>
  <si>
    <t>EPZA Pulung Cacutod,Angeles City Pampanga</t>
  </si>
  <si>
    <t>rosieendozo@gmail.com</t>
  </si>
  <si>
    <t xml:space="preserve">ASSAY: Xpert MTB/RIF Ultra, COUNT: 819
</t>
  </si>
  <si>
    <t>4 xpertcheck kots</t>
  </si>
  <si>
    <t>https://www.jotform.com/uploads/macarewecare/222927978372067/5668425204615242019/5668425204615242019_signature_28.png</t>
  </si>
  <si>
    <t>Rosita C. Endozo</t>
  </si>
  <si>
    <t>https://www.jotform.com/uploads/macarewecare/222927978372067/5668425204615242019/5668425204615242019_signature_31.png</t>
  </si>
  <si>
    <t>PTSI Compound, E. Rodriguez Sr. Ave, Quezon City</t>
  </si>
  <si>
    <t>PTSICENLAB@gmail.com</t>
  </si>
  <si>
    <t xml:space="preserve">ASSAY: Xpert MTB/RIF, COUNT: 219
</t>
  </si>
  <si>
    <t>Performed PM
Perfomed XpertCheck
Generated Report</t>
  </si>
  <si>
    <t>Unit is operational
Module A4(621280) : Failed XpertCheck</t>
  </si>
  <si>
    <t>DR 41854</t>
  </si>
  <si>
    <t>https://www.jotform.com/uploads/macarewecare/222927978372067/5668398680213267745/5668398680213267745_signature_28.png</t>
  </si>
  <si>
    <t>https://www.jotform.com/uploads/macarewecare/222927978372067/5668398680213267745/5668398680213267745_signature_31.png</t>
  </si>
  <si>
    <t>Jagobiao mandaur city</t>
  </si>
  <si>
    <t>Module A3, Error 2126 module was reset</t>
  </si>
  <si>
    <t>Reseting ,cleaning and swapping UTP cable for module 3</t>
  </si>
  <si>
    <t>Systems operational, under obeservation</t>
  </si>
  <si>
    <t>https://www.jotform.com/uploads/macarewecare/222927978372067/5668365585115988720/5668365585115988720_signature_28.png</t>
  </si>
  <si>
    <t>https://www.jotform.com/uploads/macarewecare/222927978372067/5668365585115988720/5668365585115988720_signature_31.png</t>
  </si>
  <si>
    <t>Bauan Rural Health Unit II</t>
  </si>
  <si>
    <t>La Paz Ext. Road, Bauan</t>
  </si>
  <si>
    <t>rhubauan2@gmail.com</t>
  </si>
  <si>
    <t>GX module A1 (210037059) and A4 (210039499) in replacement to defective A1 (721909) and A4 (721920).</t>
  </si>
  <si>
    <t>DR#s 10256 &amp; 10257</t>
  </si>
  <si>
    <t>https://www.jotform.com/uploads/macarewecare/222927978372067/5668357896167546604/5668357896167546604_signature_28.png</t>
  </si>
  <si>
    <t>Jeanette C De Chavez</t>
  </si>
  <si>
    <t>https://www.jotform.com/uploads/macarewecare/222927978372067/5668357896167546604/5668357896167546604_signature_31.png</t>
  </si>
  <si>
    <t xml:space="preserve">ASSAY: Xpert SARS-CoV-2, COUNT: 16777
</t>
  </si>
  <si>
    <t>C3 for module replacement</t>
  </si>
  <si>
    <t>https://www.jotform.com/uploads/macarewecare/222927978372067/5667854727615605486/5667854727615605486_signature_28.png</t>
  </si>
  <si>
    <t>https://www.jotform.com/uploads/macarewecare/222927978372067/5667854727615605486/5667854727615605486_signature_31.png</t>
  </si>
  <si>
    <t>Pamplona RHU</t>
  </si>
  <si>
    <t>Zone-2, Tambo, Pamplona</t>
  </si>
  <si>
    <t>CPU Replaced: CPH0622F38599
Performed XpertCheck 
Cleaned cartridge bays, plunger rod, icore 
Generate Reports</t>
  </si>
  <si>
    <t>Replaced CPU 
PERFORMED XPERTCHECK 
PERFORMED PREVENTIVE MAINTENANCE</t>
  </si>
  <si>
    <t>Unit is Operational 
A1 - Service Required</t>
  </si>
  <si>
    <t>https://www.jotform.com/uploads/macarewecare/222927978372067/5667760798426440559/5667760798426440559_signature_28.png</t>
  </si>
  <si>
    <t>Francis Lozano</t>
  </si>
  <si>
    <t>https://www.jotform.com/uploads/macarewecare/222927978372067/5667760798426440559/5667760798426440559_signature_31.png</t>
  </si>
  <si>
    <t>Burgps St. Poblacion, Morong, Bataan</t>
  </si>
  <si>
    <t xml:space="preserve">ASSAY: Xpert MTB/RIF, COUNT: 43
ASSAY: Xpert MTB/RIF Ultra, COUNT: 383
</t>
  </si>
  <si>
    <t>A1 for module replacement</t>
  </si>
  <si>
    <t>https://www.jotform.com/uploads/macarewecare/222927978372067/5667710419747493949/5667710419747493949_signature_28.png</t>
  </si>
  <si>
    <t>https://www.jotform.com/uploads/macarewecare/222927978372067/5667710419747493949/5667710419747493949_signature_31.png</t>
  </si>
  <si>
    <t xml:space="preserve">ASSAY: Xpert CT/NG, COUNT: 313
ASSAY: Xpert MTB/RIF Ultra, COUNT: 296
ASSAY: Xpert HIV-1 Viral Load, COUNT: 1884
</t>
  </si>
  <si>
    <t>Unit is operational.
B1: passed
B2: insufficient cartridge
B3: failed
B4: insufficient cartridge</t>
  </si>
  <si>
    <t>https://www.jotform.com/uploads/macarewecare/222927978372067/5667704133518294174/5667704133518294174_signature_28.png</t>
  </si>
  <si>
    <t>https://www.jotform.com/uploads/macarewecare/222927978372067/5667704133518294174/5667704133518294174_signature_31.png</t>
  </si>
  <si>
    <t>Defective Module A1 210092143</t>
  </si>
  <si>
    <t>new module install A1 210100395 &amp; clean fan filter</t>
  </si>
  <si>
    <t>Install new module A1 210100395</t>
  </si>
  <si>
    <t>https://www.jotform.com/uploads/macarewecare/222927978372067/5667693040543371635/5667693040543371635_signature_28.png</t>
  </si>
  <si>
    <t>https://www.jotform.com/uploads/macarewecare/222927978372067/5667693040543371635/5667693040543371635_signature_31.png</t>
  </si>
  <si>
    <t xml:space="preserve">ASSAY: Xpert MTB/RIF Ultra, COUNT: 2519
ASSAY: Xpert HIV-1 Viral Load, COUNT: 60
</t>
  </si>
  <si>
    <t>Module C2 defective, gateway board for replacement due to ultrasonic horn error occuring in module C3.</t>
  </si>
  <si>
    <t>-Replace defective module C2/789684 with new module SN: 210100165
-Replace gateway board
-Configure gateway board serial number using DTerm</t>
  </si>
  <si>
    <t>1 unit 700-6140S Gateway Panel PCB Kit, 4 site; 
1 unit 900-0508 GeneXpert Module 6-Color</t>
  </si>
  <si>
    <t>https://www.jotform.com/uploads/macarewecare/222927978372067/5667687636714819131/5667687636714819131_signature_28.png</t>
  </si>
  <si>
    <t>https://www.jotform.com/uploads/macarewecare/222927978372067/5667687636714819131/5667687636714819131_signature_31.png</t>
  </si>
  <si>
    <t>https://www.jotform.com/uploads/macarewecare/222927978372067/5667687466716373920/5667687466716373920_signature_28.png</t>
  </si>
  <si>
    <t>https://www.jotform.com/uploads/macarewecare/222927978372067/5667687466716373920/5667687466716373920_signature_31.png</t>
  </si>
  <si>
    <t>Module B2 and B4 for replacement 
UPS for troubleshooting</t>
  </si>
  <si>
    <t>Performed preventive maintenance
Replaced modules B2 &amp; B4
Checked UPS cable: ok
Checked if UPS do back up: Does not back up
Generated report</t>
  </si>
  <si>
    <t>Replaced Modules
B2: 644514 -&gt; 210100506
B4: 604721 -&gt; 210100517
Troubleshoot UPS</t>
  </si>
  <si>
    <t>Unit is operational.
All modules working.
UPS does not back up, to be reported for replacement.</t>
  </si>
  <si>
    <t>G 6012</t>
  </si>
  <si>
    <t>https://www.jotform.com/uploads/macarewecare/222927978372067/5667637649696985141/5667637649696985141_signature_28.png</t>
  </si>
  <si>
    <t>https://www.jotform.com/uploads/macarewecare/222927978372067/5667637649696985141/5667637649696985141_signature_31.png</t>
  </si>
  <si>
    <t xml:space="preserve">ASSAY: Xpert MTB/RIF Ultra, COUNT: 2765
</t>
  </si>
  <si>
    <t>Clean Surface Area, Cartridge Bay, Plunger Rod, Fan Filters and Icore Lenses
Generate IQR, Assay Stat and System Log
Perform Functionality Test</t>
  </si>
  <si>
    <t>Module B3 for under observation</t>
  </si>
  <si>
    <t>https://www.jotform.com/uploads/macarewecare/222927978372067/5667635401127959532/5667635401127959532_signature_28.png</t>
  </si>
  <si>
    <t>Jesusa  Bayato</t>
  </si>
  <si>
    <t>https://www.jotform.com/uploads/macarewecare/222927978372067/5667635401127959532/5667635401127959532_signature_31.png</t>
  </si>
  <si>
    <t>Rodriguez St. Balut</t>
  </si>
  <si>
    <t>For onsite troubleshooting of Cepheid directions.</t>
  </si>
  <si>
    <t>Performed troubleshooting.
Verified installed applications.
Simulated slow response of the workstation.
Resets internal components including RAM.
Archieved test reports.
Generated reports.</t>
  </si>
  <si>
    <t>Unit is operational. Workstation is slow even after troubleshooting and clearing of datas.</t>
  </si>
  <si>
    <t>https://www.jotform.com/uploads/macarewecare/222927978372067/5667618882215083746/5667618882215083746_signature_28.png</t>
  </si>
  <si>
    <t>Marlinson Fernandez</t>
  </si>
  <si>
    <t>https://www.jotform.com/uploads/macarewecare/222927978372067/5667618882215083746/5667618882215083746_signature_31.png</t>
  </si>
  <si>
    <t>Tb - Lab</t>
  </si>
  <si>
    <t>Genexpert room Fluctuations of electrical/power Supply 
Module 2 multiple temperature error</t>
  </si>
  <si>
    <t>Replace module 4 SN: 807329 with new module SN: 685820</t>
  </si>
  <si>
    <t>Genexpert module 6 color SN:685820</t>
  </si>
  <si>
    <t>Dr no: 10233</t>
  </si>
  <si>
    <t>https://www.jotform.com/uploads/macarewecare/222927978372067/5667613001421684255/5667613001421684255_signature_28.png</t>
  </si>
  <si>
    <t>Rowen B. Salazar</t>
  </si>
  <si>
    <t>https://www.jotform.com/uploads/macarewecare/222927978372067/5667613001421684255/5667613001421684255_signature_31.png</t>
  </si>
  <si>
    <t>Graman Medical And Maternity Hospital Inc.</t>
  </si>
  <si>
    <t xml:space="preserve">ASSAY: Xpert HBV VL, COUNT: 5
ASSAY: Xpert MTB/RIF Ultra, COUNT: 238
ASSAY: Xpert HCV VL, COUNT: 2
ASSAY: Xpert HIV-1 Viral Load, COUNT: 7
</t>
  </si>
  <si>
    <t>- checked and cleaned cartridge bay, plunger rod, filter
- checked system logs for hardware errors (none)
- archived tests from Dec. 2022 to Jul. 2023
- generated IQR, System Log, Assay Statistic reports
- performed functionality test</t>
  </si>
  <si>
    <t>https://www.jotform.com/uploads/macarewecare/222927978372067/5667592543511941986/5667592543511941986_signature_28.png</t>
  </si>
  <si>
    <t>https://www.jotform.com/uploads/macarewecare/222927978372067/5667592543511941986/5667592543511941986_signature_31.png</t>
  </si>
  <si>
    <t xml:space="preserve">ASSAY: Xpert HBV VL, COUNT: 46
ASSAY: Xpert MTB/RIF, COUNT: 0
ASSAY: Xpert MTB/RIF Ultra, COUNT: 2443
ASSAY: Xpert HCV VL, COUNT: 72
ASSAY: Xpert HIV-1 Viral Load, COUNT: 191
</t>
  </si>
  <si>
    <t>Monitor for replacement
Defective monitor:307NDJXME852</t>
  </si>
  <si>
    <t>Monitor replacement
Preventive maintenance</t>
  </si>
  <si>
    <t>Unit is operational, UPS not backing up 
New Monitor SN:V5GAK167
Lenovo ThinkVision S22e-20</t>
  </si>
  <si>
    <t>https://www.jotform.com/uploads/macarewecare/222927978372067/5667581093713269620/5667581093713269620_signature_28.png</t>
  </si>
  <si>
    <t>https://www.jotform.com/uploads/macarewecare/222927978372067/5667581093713269620/5667581093713269620_signature_31.png</t>
  </si>
  <si>
    <t xml:space="preserve">ASSAY: Xpert MTB/RIF, COUNT: 49
ASSAY: Xpert MTB/RIF Ultra, COUNT: 704
</t>
  </si>
  <si>
    <t>- Replaced Module B1/787996 into 210100353
- Xpertcheck Calibration 
- Performed Preventive maintenance 
-Performed Functionality test 
- Generate reports</t>
  </si>
  <si>
    <t>1 - Genexpert Module 6 color SN/210100352
1 - Xpertcheck kit</t>
  </si>
  <si>
    <t>https://www.jotform.com/uploads/macarewecare/222927978372067/5667558866513380418/5667558866513380418_signature_28.png</t>
  </si>
  <si>
    <t>https://www.jotform.com/uploads/macarewecare/222927978372067/5667558866513380418/5667558866513380418_signature_31.png</t>
  </si>
  <si>
    <t>Devena Ave., Sailan, Abucay, Bataan</t>
  </si>
  <si>
    <t xml:space="preserve">ASSAY: Xpert MTB/RIF, COUNT: 39
ASSAY: Xpert MTB/RIF Ultra, COUNT: 441
</t>
  </si>
  <si>
    <t>2 genexpert modules</t>
  </si>
  <si>
    <t>10138 and 10140</t>
  </si>
  <si>
    <t>https://www.jotform.com/uploads/macarewecare/222927978372067/5667530942421310797/5667530942421310797_signature_28.png</t>
  </si>
  <si>
    <t>https://www.jotform.com/uploads/macarewecare/222927978372067/5667530942421310797/5667530942421310797_signature_31.png</t>
  </si>
  <si>
    <t>Blumentritt, Sta. Cruz</t>
  </si>
  <si>
    <t xml:space="preserve">ASSAY: Xpert BCR-ABL Ultra, COUNT: 21
ASSAY: Xpert CT/NG, COUNT: 38
ASSAY: Xpert HBV VL, COUNT: 86
ASSAY: Xpert HPV, COUNT: 1
ASSAY: Xpert HPV, COUNT: 36
ASSAY: Xpert MTB/RIF Ultra, COUNT: 1504
ASSAY: Xpert HCV VL, COUNT: 20
ASSAY: Xpert HIV-1 Viral Load, COUNT: 21
</t>
  </si>
  <si>
    <t>Errors on module B1.
Unit for Preventive maintenance.</t>
  </si>
  <si>
    <t>Performed preventive maintenance.
Generated reports.
Generated gxx files.</t>
  </si>
  <si>
    <t>Unit is operational. For monitoring of module B1.</t>
  </si>
  <si>
    <t>https://www.jotform.com/uploads/macarewecare/222927978372067/5667513062213594422/5667513062213594422_signature_28.png</t>
  </si>
  <si>
    <t>https://www.jotform.com/uploads/macarewecare/222927978372067/5667513062213594422/5667513062213594422_signature_31.png</t>
  </si>
  <si>
    <t>35 Road 9 cor. Road 10, Brgy. Bagong Pag-Qsa</t>
  </si>
  <si>
    <t xml:space="preserve">ASSAY: Xpert HPV, COUNT: 174
ASSAY: Xpert MTB/RIF Ultra, COUNT: 1554
</t>
  </si>
  <si>
    <t>Monitor Display defective</t>
  </si>
  <si>
    <t>Replaced Monitor 
Performed PM 
Generated report</t>
  </si>
  <si>
    <t>Replaced Monitor
CNK8322441 -&gt; CNK83224Q2</t>
  </si>
  <si>
    <t>Unit is operational. Monitor working.</t>
  </si>
  <si>
    <t>GX Monitor Display HP</t>
  </si>
  <si>
    <t>G 5971</t>
  </si>
  <si>
    <t>https://www.jotform.com/uploads/macarewecare/222927978372067/5667484847119056794/5667484847119056794_signature_28.png</t>
  </si>
  <si>
    <t>https://www.jotform.com/uploads/macarewecare/222927978372067/5667484847119056794/5667484847119056794_signature_31.png</t>
  </si>
  <si>
    <t>GeneXpert Module
SN: 697523</t>
  </si>
  <si>
    <t>https://www.jotform.com/uploads/macarewecare/222927978372067/5666867103511187385/5666867103511187385_signature_28.png</t>
  </si>
  <si>
    <t>Cecile Cruz</t>
  </si>
  <si>
    <t>https://www.jotform.com/uploads/macarewecare/222927978372067/5666867103511187385/5666867103511187385_signature_31.png</t>
  </si>
  <si>
    <t>rhumangatarem@yahoo.com</t>
  </si>
  <si>
    <t xml:space="preserve">ASSAY: Xpert MTB/RIF, COUNT: 5
ASSAY: Xpert MTB/RIF Ultra, COUNT: 680
</t>
  </si>
  <si>
    <t>- Cleaned Cartridge Bays, Plunger Rods and I-CORE 
- Replaced Defective module B3 685919 &gt;&gt;&gt; 210006666
- Generated Reports</t>
  </si>
  <si>
    <t>Module 210006666</t>
  </si>
  <si>
    <t>DR 10205</t>
  </si>
  <si>
    <t>https://www.jotform.com/uploads/macarewecare/222927978372067/5666855660217507354/5666855660217507354_signature_28.png</t>
  </si>
  <si>
    <t>Ken Lee Cesar D. Aquino</t>
  </si>
  <si>
    <t>https://www.jotform.com/uploads/macarewecare/222927978372067/5666855660217507354/5666855660217507354_signature_31.png</t>
  </si>
  <si>
    <t>Unit for PM.
For module replacement of module B3.
For Xpertcheck of module B1 and B4.</t>
  </si>
  <si>
    <t>Performed PM.
Performed module replacement on B3.
Performed Xpertcheck of B1 and B4.
Generated reports.</t>
  </si>
  <si>
    <t>Unit is operational. Module B4, service required.</t>
  </si>
  <si>
    <t>Used 2 spare Xpertcheck kit</t>
  </si>
  <si>
    <t>Gx module B3 (210100519) in replacement to defective B3 (641256).</t>
  </si>
  <si>
    <t>G6014</t>
  </si>
  <si>
    <t>https://www.jotform.com/uploads/macarewecare/222927978372067/5666844042217913603/5666844042217913603_signature_28.png</t>
  </si>
  <si>
    <t>https://www.jotform.com/uploads/macarewecare/222927978372067/5666844042217913603/5666844042217913603_signature_31.png</t>
  </si>
  <si>
    <t>Performed Maintenance
Gathered Reports
Performed Calibration
Installed Laptop
Performed Functionality Test</t>
  </si>
  <si>
    <t>Xpertcheck = All Modules Passed</t>
  </si>
  <si>
    <t>Genexpert Laptop - CPH1019F03275</t>
  </si>
  <si>
    <t>G 5917</t>
  </si>
  <si>
    <t>https://www.jotform.com/uploads/macarewecare/222927978372067/5666803142815294611/5666803142815294611_signature_28.png</t>
  </si>
  <si>
    <t>https://www.jotform.com/uploads/macarewecare/222927978372067/5666803142815294611/5666803142815294611_signature_31.png</t>
  </si>
  <si>
    <t>E. Rodriguez St., Tunasan, Muntinlupa</t>
  </si>
  <si>
    <t xml:space="preserve">ASSAY: Xpert MTB/RIF Ultra, COUNT: 1660
ASSAY: Xpert HIV-1 Viral Load, COUNT: 195
ASSAY: Xpert HPV, COUNT: 100
</t>
  </si>
  <si>
    <t>Performed PM
Replaced Module B3</t>
  </si>
  <si>
    <t>Replaced module B3
678800 -&gt; 210100380</t>
  </si>
  <si>
    <t>G 5895</t>
  </si>
  <si>
    <t>https://www.jotform.com/uploads/macarewecare/222927978372067/5666796824316642729/5666796824316642729_signature_28.png</t>
  </si>
  <si>
    <t>geraldine trazo-tan</t>
  </si>
  <si>
    <t>https://www.jotform.com/uploads/macarewecare/222927978372067/5666796824316642729/5666796824316642729_signature_31.png</t>
  </si>
  <si>
    <t xml:space="preserve">ASSAY: Xpert MTB/RIF Ultra, COUNT: 1419
ASSAY: Xpert HIV-1 Viral Load, COUNT: 85
</t>
  </si>
  <si>
    <t>Replaced A1, A4, Monitor</t>
  </si>
  <si>
    <t>GeneXpert Module
SN: 601011, 909140
GeneXpert Monitor
SN: MMA1PSS00221507F3E3W01</t>
  </si>
  <si>
    <t>10261, 10262, 10291</t>
  </si>
  <si>
    <t>https://www.jotform.com/uploads/macarewecare/222927978372067/5666781743512566439/5666781743512566439_signature_28.png</t>
  </si>
  <si>
    <t>https://www.jotform.com/uploads/macarewecare/222927978372067/5666781743512566439/5666781743512566439_signature_31.png</t>
  </si>
  <si>
    <t xml:space="preserve">ASSAY: Xpert MTB/RIF Ultra, COUNT: 67
ASSAY: Xpert HIV-1 Viral Load, COUNT: 618
</t>
  </si>
  <si>
    <t>Only Two Modulea are Operational</t>
  </si>
  <si>
    <t>Module B1 and B2 disabled due to H/W Failure, Data sent to Cepheid for further Assessment</t>
  </si>
  <si>
    <t>https://www.jotform.com/uploads/macarewecare/222927978372067/5666780469024624751/5666780469024624751_signature_28.png</t>
  </si>
  <si>
    <t>Macaturac, val</t>
  </si>
  <si>
    <t>https://www.jotform.com/uploads/macarewecare/222927978372067/5666780469024624751/5666780469024624751_signature_31.png</t>
  </si>
  <si>
    <t>Jacinto Street, Poblacion Davao City</t>
  </si>
  <si>
    <t xml:space="preserve">ASSAY: Xpert MTB/RIF Ultra, COUNT: 135
ASSAY: Xpert HIV-1 Viral Load, COUNT: 871
</t>
  </si>
  <si>
    <t>https://www.jotform.com/uploads/macarewecare/222927978372067/5666779909021051061/5666779909021051061_signature_28.png</t>
  </si>
  <si>
    <t>https://www.jotform.com/uploads/macarewecare/222927978372067/5666779909021051061/5666779909021051061_signature_31.png</t>
  </si>
  <si>
    <t>Bayambang,  Pangasinan</t>
  </si>
  <si>
    <t xml:space="preserve">ASSAY: Xpert MTB/RIF Ultra, COUNT: 1201
</t>
  </si>
  <si>
    <t>-Cleaned Cartridge Bays, Plunger Rods and I-CORE 
-Replaced Defective module 667602&gt;&gt;&gt;210100620
-Generated Reports</t>
  </si>
  <si>
    <t>GeneXpert Module 210100620</t>
  </si>
  <si>
    <t>https://www.jotform.com/uploads/macarewecare/222927978372067/5666775870214783970/5666775870214783970_signature_28.png</t>
  </si>
  <si>
    <t>https://www.jotform.com/uploads/macarewecare/222927978372067/5666775870214783970/5666775870214783970_signature_31.png</t>
  </si>
  <si>
    <t>https://www.jotform.com/uploads/macarewecare/222927978372067/5666775470216575529/5666775470216575529_signature_28.png</t>
  </si>
  <si>
    <t>https://www.jotform.com/uploads/macarewecare/222927978372067/5666775470216575529/5666775470216575529_signature_31.png</t>
  </si>
  <si>
    <t>-Cleaned Cartridge bays, Plunger Rods,and I-CORE 
-Replace defective module 792263 &gt;&gt;&gt; 645833
-Generated Reports</t>
  </si>
  <si>
    <t>GeneXpert Module 645833</t>
  </si>
  <si>
    <t>DR 10197</t>
  </si>
  <si>
    <t>https://www.jotform.com/uploads/macarewecare/222927978372067/5666774160216824322/5666774160216824322_signature_28.png</t>
  </si>
  <si>
    <t>Rudolph joseph guillen</t>
  </si>
  <si>
    <t>https://www.jotform.com/uploads/macarewecare/222927978372067/5666774160216824322/5666774160216824322_signature_31.png</t>
  </si>
  <si>
    <t xml:space="preserve">ASSAY: Xpert MTB/RIF, COUNT: 201
ASSAY: Xpert MTB/RIF Ultra, COUNT: 551
</t>
  </si>
  <si>
    <t>Module B3 for Module Replacement</t>
  </si>
  <si>
    <t>-Cleaned Cartridge bays, Plunger Rods and I-CORE 
-Performed Module Replacement on Module B3 SN 862036&gt;&gt;&gt; 620197
-Generated Reports</t>
  </si>
  <si>
    <t>Module 620197</t>
  </si>
  <si>
    <t>DR 10198</t>
  </si>
  <si>
    <t>https://www.jotform.com/uploads/macarewecare/222927978372067/5666760380216924163/5666760380216924163_signature_28.png</t>
  </si>
  <si>
    <t>Allan b. Vinluan</t>
  </si>
  <si>
    <t>https://www.jotform.com/uploads/macarewecare/222927978372067/5666760380216924163/5666760380216924163_signature_31.png</t>
  </si>
  <si>
    <t>https://www.jotform.com/uploads/macarewecare/222927978372067/5666760180219325645/5666760180219325645_signature_28.png</t>
  </si>
  <si>
    <t>https://www.jotform.com/uploads/macarewecare/222927978372067/5666760180219325645/5666760180219325645_signature_31.png</t>
  </si>
  <si>
    <t>https://www.jotform.com/uploads/macarewecare/222927978372067/5666759750214893373/5666759750214893373_signature_28.png</t>
  </si>
  <si>
    <t>https://www.jotform.com/uploads/macarewecare/222927978372067/5666759750214893373/5666759750214893373_signature_31.png</t>
  </si>
  <si>
    <t>https://www.jotform.com/uploads/macarewecare/222927978372067/5666756610212220609/5666756610212220609_signature_28.png</t>
  </si>
  <si>
    <t>https://www.jotform.com/uploads/macarewecare/222927978372067/5666756610212220609/5666756610212220609_signature_31.png</t>
  </si>
  <si>
    <t>gbmm@yahoo.com</t>
  </si>
  <si>
    <t xml:space="preserve">ASSAY: Xpert MTB/RIF, COUNT: 14
ASSAY: Xpert MTB/RIF Ultra, COUNT: 544
</t>
  </si>
  <si>
    <t>-Cleaned Cartridge Bays, Plunger Rods and I-CORE 
-Replaced Defective modules SN
861278&gt;&gt;&gt;&gt;210097620
680419&gt;&gt;&gt;&gt;210059512
-Generated Reports</t>
  </si>
  <si>
    <t>GeneXpert Modules 210097620 and 210059512</t>
  </si>
  <si>
    <t>DR 10196 DR 10194</t>
  </si>
  <si>
    <t>https://www.jotform.com/uploads/macarewecare/222927978372067/5666754910216482584/5666754910216482584_signature_28.png</t>
  </si>
  <si>
    <t>https://www.jotform.com/uploads/macarewecare/222927978372067/5666754910216482584/5666754910216482584_signature_31.png</t>
  </si>
  <si>
    <t>https://www.jotform.com/uploads/macarewecare/222927978372067/5666754510211726113/5666754510211726113_signature_28.png</t>
  </si>
  <si>
    <t>https://www.jotform.com/uploads/macarewecare/222927978372067/5666754510211726113/5666754510211726113_signature_31.png</t>
  </si>
  <si>
    <t>Basista Rural Health Unit</t>
  </si>
  <si>
    <t>Basista, Pangasinan</t>
  </si>
  <si>
    <t>coraflores14@gmail.com</t>
  </si>
  <si>
    <t xml:space="preserve">ASSAY: Xpert MTB/RIF, COUNT: 71
ASSAY: Xpert MTB/RIF Ultra, COUNT: 152
</t>
  </si>
  <si>
    <t>https://www.jotform.com/uploads/macarewecare/222927978372067/5666753310217603221/5666753310217603221_signature_28.png</t>
  </si>
  <si>
    <t>Cora S. Flores</t>
  </si>
  <si>
    <t>https://www.jotform.com/uploads/macarewecare/222927978372067/5666753310217603221/5666753310217603221_signature_31.png</t>
  </si>
  <si>
    <t>https://www.jotform.com/uploads/macarewecare/222927978372067/5666752840219978514/5666752840219978514_signature_28.png</t>
  </si>
  <si>
    <t>https://www.jotform.com/uploads/macarewecare/222927978372067/5666752840219978514/5666752840219978514_signature_31.png</t>
  </si>
  <si>
    <t xml:space="preserve">ASSAY: Xpert MTB/RIF, COUNT: 72
ASSAY: Xpert MTB/RIF Ultra, COUNT: 513
</t>
  </si>
  <si>
    <t>Module B4 failed for reporting</t>
  </si>
  <si>
    <t>https://www.jotform.com/uploads/macarewecare/222927978372067/5666751620216295442/5666751620216295442_signature_28.png</t>
  </si>
  <si>
    <t>https://www.jotform.com/uploads/macarewecare/222927978372067/5666751620216295442/5666751620216295442_signature_31.png</t>
  </si>
  <si>
    <t>https://www.jotform.com/uploads/macarewecare/222927978372067/5666751160217810801/5666751160217810801_signature_28.png</t>
  </si>
  <si>
    <t>https://www.jotform.com/uploads/macarewecare/222927978372067/5666751160217810801/5666751160217810801_signature_31.png</t>
  </si>
  <si>
    <t>Legazpi City Hall Compound,  Legazpi</t>
  </si>
  <si>
    <t xml:space="preserve">ASSAY: Xpert MTB/RIF Ultra, COUNT: 1095q
</t>
  </si>
  <si>
    <t>B1, B2 for module replacement</t>
  </si>
  <si>
    <t>Replaced module: 890880&gt;&gt;210101409, 907517&gt;&gt;210101426
Cleaned cartridge bays, plunger rod, icore,fan
Generated reports</t>
  </si>
  <si>
    <t>B1, B2 module replaced. Performed Preventive Maintenance</t>
  </si>
  <si>
    <t>https://www.jotform.com/uploads/macarewecare/222927978372067/5666749518681994609/5666749518681994609_signature_28.png</t>
  </si>
  <si>
    <t>https://www.jotform.com/uploads/macarewecare/222927978372067/5666749518681994609/5666749518681994609_signature_31.png</t>
  </si>
  <si>
    <t xml:space="preserve">ASSAY: Xpert MTB/RIF, COUNT: 51
ASSAY: Xpert MTB/RIF Ultra, COUNT: 1580
</t>
  </si>
  <si>
    <t>Perform Xpertcheck at module 2 and 4 for troubleshooting</t>
  </si>
  <si>
    <t>Perform Genexpert machine Preventive maintenance 
Installed new printer for Genexpert machine</t>
  </si>
  <si>
    <t>https://www.jotform.com/uploads/macarewecare/222927978372067/5666716119113228568/5666716119113228568_signature_28.png</t>
  </si>
  <si>
    <t>Emelyn Cadiz</t>
  </si>
  <si>
    <t>https://www.jotform.com/uploads/macarewecare/222927978372067/5666716119113228568/5666716119113228568_signature_31.png</t>
  </si>
  <si>
    <t xml:space="preserve">ASSAY: Xpert MTB/RIF, COUNT: 9
ASSAY: Xpert MTB/RIF Ultra, COUNT: 1569
ASSAY: Xpert HIV-1 Viral Load, COUNT: 47
</t>
  </si>
  <si>
    <t>Replacing Module B1 with SN: 860976 to SN:  210041238
Replacing Module B3 with SN: 790843 to SN: 905063
Replacing Module B4 with SN: 860982 to SN: 210041380
Preventive Maintenance</t>
  </si>
  <si>
    <t>All modules are working</t>
  </si>
  <si>
    <t>https://www.jotform.com/uploads/macarewecare/222927978372067/5666713409214168279/5666713409214168279_signature_28.png</t>
  </si>
  <si>
    <t>https://www.jotform.com/uploads/macarewecare/222927978372067/5666713409214168279/5666713409214168279_signature_31.png</t>
  </si>
  <si>
    <t>Tb- dots</t>
  </si>
  <si>
    <t xml:space="preserve">ASSAY: Xpert MTB/RIF, COUNT: 33
ASSAY: Xpert MTB/RIF Ultra, COUNT: 469
</t>
  </si>
  <si>
    <t>Unit is Operational 
- Module B2 for service required</t>
  </si>
  <si>
    <t>https://www.jotform.com/uploads/macarewecare/222927978372067/5666698533816462185/5666698533816462185_signature_28.png</t>
  </si>
  <si>
    <t>https://www.jotform.com/uploads/macarewecare/222927978372067/5666698533816462185/5666698533816462185_signature_31.png</t>
  </si>
  <si>
    <t>Sara RHU</t>
  </si>
  <si>
    <t xml:space="preserve">ASSAY: Xpert MTB/RIF, COUNT: 17
ASSAY: Xpert MTB/RIF Ultra, COUNT: 209
</t>
  </si>
  <si>
    <t>Module B4 with error code 2014 and it failed in the Xpert check.</t>
  </si>
  <si>
    <t>Run calibration for module B4 only and  conduct PM</t>
  </si>
  <si>
    <t>Run Xpert check for module B4 only</t>
  </si>
  <si>
    <t>Module B1, B2 and B3 are in good condition</t>
  </si>
  <si>
    <t>https://www.jotform.com/uploads/macarewecare/222927978372067/5666681686873528988/5666681686873528988_signature_28.png</t>
  </si>
  <si>
    <t>Ma. Candelaria Parreñas</t>
  </si>
  <si>
    <t>https://www.jotform.com/uploads/macarewecare/222927978372067/5666681686873528988/5666681686873528988_signature_31.png</t>
  </si>
  <si>
    <t>Rizal St., Legazpi</t>
  </si>
  <si>
    <t>For Preventive maintenence</t>
  </si>
  <si>
    <t>Cleaned cartridge bay, plunger rod, icore 
Generated reports</t>
  </si>
  <si>
    <t>https://www.jotform.com/uploads/macarewecare/222927978372067/5666672150502298959/5666672150502298959_signature_28.png</t>
  </si>
  <si>
    <t>https://www.jotform.com/uploads/macarewecare/222927978372067/5666672150502298959/5666672150502298959_signature_31.png</t>
  </si>
  <si>
    <t>B1, B2 for Module Replacement</t>
  </si>
  <si>
    <t>Replaced Modules: B1/784716&gt;&gt;210100698, B2/653834&gt;&gt;210100424
Cleaned cartridge bays,  plunger rod, icore
Generated reports</t>
  </si>
  <si>
    <t>Replaced Modules B1, B2
Performed Preventive Maintenance</t>
  </si>
  <si>
    <t>https://www.jotform.com/uploads/macarewecare/222927978372067/5666670960507144637/5666670960507144637_signature_28.png</t>
  </si>
  <si>
    <t>https://www.jotform.com/uploads/macarewecare/222927978372067/5666670960507144637/5666670960507144637_signature_31.png</t>
  </si>
  <si>
    <t xml:space="preserve">ASSAY: Xpert MTB/RIF, COUNT: 158
</t>
  </si>
  <si>
    <t>For Preventive maintenance</t>
  </si>
  <si>
    <t>https://www.jotform.com/uploads/macarewecare/222927978372067/5666668998686532494/5666668998686532494_signature_28.png</t>
  </si>
  <si>
    <t>https://www.jotform.com/uploads/macarewecare/222927978372067/5666668998686532494/5666668998686532494_signature_31.png</t>
  </si>
  <si>
    <t xml:space="preserve">ASSAY: Xpert SARS-CoV-2, COUNT: 4866
</t>
  </si>
  <si>
    <t>https://www.jotform.com/uploads/macarewecare/222927978372067/5666656699117052215/5666656699117052215_signature_28.png</t>
  </si>
  <si>
    <t>CRMC Molecular Lab</t>
  </si>
  <si>
    <t>https://www.jotform.com/uploads/macarewecare/222927978372067/5666656699117052215/5666656699117052215_signature_31.png</t>
  </si>
  <si>
    <t>Module 1, 2, and 3 for Service Required</t>
  </si>
  <si>
    <t>https://www.jotform.com/uploads/macarewecare/222927978372067/5666655579118079267/5666655579118079267_signature_28.png</t>
  </si>
  <si>
    <t>https://www.jotform.com/uploads/macarewecare/222927978372067/5666655579118079267/5666655579118079267_signature_31.png</t>
  </si>
  <si>
    <t xml:space="preserve">ASSAY: Xpert MTB/RIF, COUNT: 12
ASSAY: Xpert MTB/RIF Ultra, COUNT: 421
</t>
  </si>
  <si>
    <t>A2 for troubleshooting</t>
  </si>
  <si>
    <t>Performed preventive maintenance
Performed cepheid troubkeshooting procedures
Archived test results
Gathered reports
Performed functionality test</t>
  </si>
  <si>
    <t>A2 under observation</t>
  </si>
  <si>
    <t>https://www.jotform.com/uploads/macarewecare/222927978372067/5666647168374214941/5666647168374214941_signature_28.png</t>
  </si>
  <si>
    <t>https://www.jotform.com/uploads/macarewecare/222927978372067/5666647168374214941/5666647168374214941_signature_31.png</t>
  </si>
  <si>
    <t xml:space="preserve">ASSAY: Xpert MTB/RIF Ultra, COUNT: 5
ASSAY: Xpert HIV-1 Viral Load, COUNT: 12
ASSAY: Xpert HBV VL, COUNT: 40
</t>
  </si>
  <si>
    <t>https://www.jotform.com/uploads/macarewecare/222927978372067/5666046869114854806/5666046869114854806_signature_28.png</t>
  </si>
  <si>
    <t>https://www.jotform.com/uploads/macarewecare/222927978372067/5666046869114854806/5666046869114854806_signature_31.png</t>
  </si>
  <si>
    <t xml:space="preserve">ASSAY: Xpert HBV VL, COUNT: 5
ASSAY: Xpert MTB/RIF Ultra, COUNT: 40
ASSAY: Xpert HIV-1 Viral Load, COUNT: 12
</t>
  </si>
  <si>
    <t>https://www.jotform.com/uploads/macarewecare/222927978372067/5666045659112374428/5666045659112374428_signature_28.png</t>
  </si>
  <si>
    <t>https://www.jotform.com/uploads/macarewecare/222927978372067/5666045659112374428/5666045659112374428_signature_31.png</t>
  </si>
  <si>
    <t xml:space="preserve">ASSAY: Xpert HBV VL, COUNT: 161
ASSAY: Xpert MTB/RIF Ultra, COUNT: 2913
ASSAY: Xpert HIV-1 Viral Load, COUNT: 246
</t>
  </si>
  <si>
    <t>Gx-XXVI</t>
  </si>
  <si>
    <t>Report module B2 problem to Jotform reporting</t>
  </si>
  <si>
    <t>15 operational modules</t>
  </si>
  <si>
    <t>https://www.jotform.com/uploads/macarewecare/222927978372067/5666044619111230246/5666044619111230246_signature_28.png</t>
  </si>
  <si>
    <t>https://www.jotform.com/uploads/macarewecare/222927978372067/5666044619111230246/5666044619111230246_signature_31.png</t>
  </si>
  <si>
    <t>Module D4 multiple temperature error</t>
  </si>
  <si>
    <t>Report module 4 problem to Jotform reporting</t>
  </si>
  <si>
    <t>https://www.jotform.com/uploads/macarewecare/222927978372067/5665990909119958536/5665990909119958536_signature_28.png</t>
  </si>
  <si>
    <t>crmcmolecularlab</t>
  </si>
  <si>
    <t>https://www.jotform.com/uploads/macarewecare/222927978372067/5665990909119958536/5665990909119958536_signature_31.png</t>
  </si>
  <si>
    <t xml:space="preserve">ASSAY: Xpert MTB/RIF Ultra, COUNT: 3506
ASSAY: Xpert SARS-CoV-2, COUNT: 4
ASSAY: Xpert HIV-1 Viral Load, COUNT: 58
</t>
  </si>
  <si>
    <t>Unit is operational. Module B1/607982 service required.</t>
  </si>
  <si>
    <t>https://www.jotform.com/uploads/macarewecare/222927978372067/5665982103611050153/5665982103611050153_signature_28.png</t>
  </si>
  <si>
    <t>JUSTINE LORENZ V. FALZADO, RMT</t>
  </si>
  <si>
    <t>https://www.jotform.com/uploads/macarewecare/222927978372067/5665982103611050153/5665982103611050153_signature_31.png</t>
  </si>
  <si>
    <t>Module B3 for replacement. Module B2/687232 has error 4012</t>
  </si>
  <si>
    <t>Replaced defective module. Run XpertCheck on module B2</t>
  </si>
  <si>
    <t>Performed maintenance 
Replaced defective module 
Run XpertCheck on module B2
Generated reports</t>
  </si>
  <si>
    <t>Unit is operational. Module B2/687232 service required.</t>
  </si>
  <si>
    <t>Old: B3/730900
New: B3/805270</t>
  </si>
  <si>
    <t>DR# 10287</t>
  </si>
  <si>
    <t>https://www.jotform.com/uploads/macarewecare/222927978372067/5665982103611658472/5665982103611658472_signature_28.png</t>
  </si>
  <si>
    <t>Karren R. Olaya</t>
  </si>
  <si>
    <t>https://www.jotform.com/uploads/macarewecare/222927978372067/5665982103611658472/5665982103611658472_signature_31.png</t>
  </si>
  <si>
    <t xml:space="preserve">ASSAY: Xpert HPV, COUNT: 4
ASSAY: Xpert MTB/RIF Ultra, COUNT: 9
ASSAY: Xpert SARS-CoV-2, COUNT: 14128
ASSAY: Others, COUNT: 9
</t>
  </si>
  <si>
    <t>Modules A1, B3, B4, C2, D2 and D4 has errors.</t>
  </si>
  <si>
    <t>Checked modules.</t>
  </si>
  <si>
    <t>Performed maintenance 
Cleaned cartridge bay, plunger rod and icore
Checked modules 
Generated reports.</t>
  </si>
  <si>
    <t>Unit is operational. Modules A1/860941 and B4/860923 not operational but reported already. Module B3/702534, C2/668748,  D2/620837 and D4/661946 not operational, for reporting.</t>
  </si>
  <si>
    <t>https://www.jotform.com/uploads/macarewecare/222927978372067/5665982103612511503/5665982103612511503_signature_28.png</t>
  </si>
  <si>
    <t>https://www.jotform.com/uploads/macarewecare/222927978372067/5665982103612511503/5665982103612511503_signature_31.png</t>
  </si>
  <si>
    <t>Osmeña St, Binangonan</t>
  </si>
  <si>
    <t>yanamanawari@gmail.com</t>
  </si>
  <si>
    <t>Module B4/904767 for replacement</t>
  </si>
  <si>
    <t>Performed maintenance 
Replaced defective module 
Generated reports</t>
  </si>
  <si>
    <t>Old: B4/904767
New: B4/210100341</t>
  </si>
  <si>
    <t>G 5948</t>
  </si>
  <si>
    <t>https://www.jotform.com/uploads/macarewecare/222927978372067/5665982103615495818/5665982103615495818_signature_28.png</t>
  </si>
  <si>
    <t>Dhayanara H. Zapanta</t>
  </si>
  <si>
    <t>https://www.jotform.com/uploads/macarewecare/222927978372067/5665982103615495818/5665982103615495818_signature_31.png</t>
  </si>
  <si>
    <t>West Rembo, Makati</t>
  </si>
  <si>
    <t>mcabalosjr.pbsp@gmail.com</t>
  </si>
  <si>
    <t xml:space="preserve">ASSAY: Xpert MTB/RIF Ultra, COUNT: 1215
</t>
  </si>
  <si>
    <t>Module A4/757448 for replacement, Module A2/757446 error 1001</t>
  </si>
  <si>
    <t>Replaced defective module 
Run XpertCheck on module A2</t>
  </si>
  <si>
    <t>Performed maintenance 
Replaced module A4
Run XpertCheck on module A2
Generated reports</t>
  </si>
  <si>
    <t>Unit is operational. Module A2 passed Xpertcheck but under observation.</t>
  </si>
  <si>
    <t>Old: A4/757448
New: A4/210016336</t>
  </si>
  <si>
    <t>DR# 10252</t>
  </si>
  <si>
    <t>https://www.jotform.com/uploads/macarewecare/222927978372067/5665981973612836289/5665981973612836289_signature_28.png</t>
  </si>
  <si>
    <t>Jun Abalos</t>
  </si>
  <si>
    <t>https://www.jotform.com/uploads/macarewecare/222927978372067/5665981973612836289/5665981973612836289_signature_31.png</t>
  </si>
  <si>
    <t>Binangonan Rural Health Unit I</t>
  </si>
  <si>
    <t>Manila East Rd., Binangonan</t>
  </si>
  <si>
    <t>jen_cerezola@yahoo.com</t>
  </si>
  <si>
    <t>Performed maintenance 
Cleaned cartridge bay, plunger rod, icore and filter
Generated reports</t>
  </si>
  <si>
    <t>Module B2/807335 has error 5007 under observation</t>
  </si>
  <si>
    <t>https://www.jotform.com/uploads/macarewecare/222927978372067/5665981973616229418/5665981973616229418_signature_28.png</t>
  </si>
  <si>
    <t>Jennifer Cerezola</t>
  </si>
  <si>
    <t>https://www.jotform.com/uploads/macarewecare/222927978372067/5665981973616229418/5665981973616229418_signature_31.png</t>
  </si>
  <si>
    <t>Performed maintenance
Run XpertCheck 
Generated reports</t>
  </si>
  <si>
    <t>https://www.jotform.com/uploads/macarewecare/222927978372067/5665981973616438431/5665981973616438431_signature_28.png</t>
  </si>
  <si>
    <t>https://www.jotform.com/uploads/macarewecare/222927978372067/5665981973616438431/5665981973616438431_signature_31.png</t>
  </si>
  <si>
    <t>https://www.jotform.com/uploads/macarewecare/222927978372067/5665981973618274190/5665981973618274190_signature_28.png</t>
  </si>
  <si>
    <t>https://www.jotform.com/uploads/macarewecare/222927978372067/5665981973618274190/5665981973618274190_signature_31.png</t>
  </si>
  <si>
    <t>https://www.jotform.com/uploads/macarewecare/222927978372067/5665981329116105356/5665981329116105356_signature_28.png</t>
  </si>
  <si>
    <t>https://www.jotform.com/uploads/macarewecare/222927978372067/5665981329116105356/5665981329116105356_signature_31.png</t>
  </si>
  <si>
    <t>Module 1 and 3 H/W failed</t>
  </si>
  <si>
    <t>Replace module 1 SN:806117  with new module SN: 642942
Replace module 3 SN:674965 with new module SN: 643459</t>
  </si>
  <si>
    <t>DR no: 10231 and 10232</t>
  </si>
  <si>
    <t>https://www.jotform.com/uploads/macarewecare/222927978372067/5665979099118358463/5665979099118358463_signature_28.png</t>
  </si>
  <si>
    <t>Crmc molecular lab</t>
  </si>
  <si>
    <t>https://www.jotform.com/uploads/macarewecare/222927978372067/5665979099118358463/5665979099118358463_signature_31.png</t>
  </si>
  <si>
    <t>Madridejos RHU</t>
  </si>
  <si>
    <t>MAINTENANCE
ON-SITE ASSISTANCE
Site visit</t>
  </si>
  <si>
    <t>Site visit clean fan filter</t>
  </si>
  <si>
    <t>https://www.jotform.com/uploads/macarewecare/222927978372067/5665971583918677868/5665971583918677868_signature_28.png</t>
  </si>
  <si>
    <t>Vilma cabase</t>
  </si>
  <si>
    <t>https://www.jotform.com/uploads/macarewecare/222927978372067/5665971583918677868/5665971583918677868_signature_31.png</t>
  </si>
  <si>
    <t xml:space="preserve">ASSAY: Xpert MTB/RIF, COUNT: 388
ASSAY: Xpert MTB/RIF Ultra, COUNT: 2390
ASSAY: Xpert HIV-1 Viral Load, COUNT: 147
</t>
  </si>
  <si>
    <t>Defective module B1/806592.</t>
  </si>
  <si>
    <t>- Preventive Maintenance.
- Run XPC on module B3; B3 passed XPC Run.</t>
  </si>
  <si>
    <t>Replaced module B1 with new module SN 896104.</t>
  </si>
  <si>
    <t>modules 1, 2, 4 operational. module 3 for observation.</t>
  </si>
  <si>
    <t>https://www.jotform.com/uploads/macarewecare/222927978372067/5665967754914218073/5665967754914218073_signature_28.png</t>
  </si>
  <si>
    <t>https://www.jotform.com/uploads/macarewecare/222927978372067/5665967754914218073/5665967754914218073_signature_31.png</t>
  </si>
  <si>
    <t>Libacao RHU</t>
  </si>
  <si>
    <t xml:space="preserve">ASSAY: Xpert MTB/RIF, COUNT: 11
ASSAY: Xpert MTB/RIF Ultra, COUNT: 106
</t>
  </si>
  <si>
    <t>Module B1, B2 and B4 failed in calibration</t>
  </si>
  <si>
    <t>Replaced the old module for B1 SN 862287 to new module SN 616665 
Replaced the old module for B2 SN 862288 to new module 616415.
Replaced the old module for B4 SN 862322 to new module SN 611883.</t>
  </si>
  <si>
    <t>https://www.jotform.com/uploads/macarewecare/222927978372067/5665920169212298732/5665920169212298732_signature_28.png</t>
  </si>
  <si>
    <t>https://www.jotform.com/uploads/macarewecare/222927978372067/5665920169212298732/5665920169212298732_signature_31.png</t>
  </si>
  <si>
    <t>Zone-2, Binalay, Tinambac</t>
  </si>
  <si>
    <t>maelagarde27@yahoo.com</t>
  </si>
  <si>
    <t>Performed XpertCheck 
Cleaned Plunger rod, fan filter, cartridge bays, Icores</t>
  </si>
  <si>
    <t>Performed XpertCheck, Preventive Maintenance</t>
  </si>
  <si>
    <t>Unit is operational 
B1 - 
B2 - 
B3 - 
B4 -</t>
  </si>
  <si>
    <t>https://www.jotform.com/uploads/macarewecare/222927978372067/5665896291928230669/5665896291928230669_signature_28.png</t>
  </si>
  <si>
    <t>Mae Aguinillo</t>
  </si>
  <si>
    <t>https://www.jotform.com/uploads/macarewecare/222927978372067/5665896291928230669/5665896291928230669_signature_31.png</t>
  </si>
  <si>
    <t>RITM Compound, Filinvest</t>
  </si>
  <si>
    <t xml:space="preserve">ASSAY: Xpert MTB/RIF Ultra, COUNT: 1961
</t>
  </si>
  <si>
    <t>Modules 2 and 3 with Temperature Problem</t>
  </si>
  <si>
    <t>Performed Maintenance
Replaced Module 2 and 3
Generate Reports</t>
  </si>
  <si>
    <t>G 5894</t>
  </si>
  <si>
    <t>https://www.jotform.com/uploads/macarewecare/222927978372067/5665779003619750176/5665779003619750176_signature_28.png</t>
  </si>
  <si>
    <t>https://www.jotform.com/uploads/macarewecare/222927978372067/5665779003619750176/5665779003619750176_signature_31.png</t>
  </si>
  <si>
    <t>2205 Civic Drive, Filinvest</t>
  </si>
  <si>
    <t>GXIV-D-10 C</t>
  </si>
  <si>
    <t>Installed GeneXpert System
Performed Functionality Test
Generate Reports</t>
  </si>
  <si>
    <t>System is Operational</t>
  </si>
  <si>
    <t>SI 95990</t>
  </si>
  <si>
    <t>https://www.jotform.com/uploads/macarewecare/222927978372067/5665757943611876570/5665757943611876570_signature_28.png</t>
  </si>
  <si>
    <t>https://www.jotform.com/uploads/macarewecare/222927978372067/5665757943611876570/5665757943611876570_signature_31.png</t>
  </si>
  <si>
    <t>Plaridel Subd, Imus</t>
  </si>
  <si>
    <t>Module 1 with Temperature Problem
UPs is Defective</t>
  </si>
  <si>
    <t>Module Replacement
UPS Replacement</t>
  </si>
  <si>
    <t>Performed Maintenance
Replaced UPS
Replaced Module 1
Generate Reports</t>
  </si>
  <si>
    <t>DR 10199</t>
  </si>
  <si>
    <t>https://www.jotform.com/uploads/macarewecare/222927978372067/5665757943614267665/5665757943614267665_signature_28.png</t>
  </si>
  <si>
    <t>https://www.jotform.com/uploads/macarewecare/222927978372067/5665757943614267665/5665757943614267665_signature_31.png</t>
  </si>
  <si>
    <t>Noveleta Health Center</t>
  </si>
  <si>
    <t>Municipal Compound, Noveleta</t>
  </si>
  <si>
    <t>jacque_estinoso23@yahoo.com.ph</t>
  </si>
  <si>
    <t>GXIV-D-2</t>
  </si>
  <si>
    <t>Unit is Due for XpertCheck</t>
  </si>
  <si>
    <t>https://www.jotform.com/uploads/macarewecare/222927978372067/5665757943617292485/5665757943617292485_signature_28.png</t>
  </si>
  <si>
    <t>Jacqueline Q Estinoso</t>
  </si>
  <si>
    <t>https://www.jotform.com/uploads/macarewecare/222927978372067/5665757943617292485/5665757943617292485_signature_31.png</t>
  </si>
  <si>
    <t>M. Dela Cruz St, Cavite City</t>
  </si>
  <si>
    <t xml:space="preserve">ASSAY: Xpert MTB/RIF Ultra, COUNT: 1444
</t>
  </si>
  <si>
    <t>Module 2 Failed in XpertCheck
Unit is Due for XpertCheck</t>
  </si>
  <si>
    <t>Performed Maintenance
Replaced Module 2
Performed XpertCheck
Generate Reports</t>
  </si>
  <si>
    <t>730030-&gt;786729</t>
  </si>
  <si>
    <t>DR 10150</t>
  </si>
  <si>
    <t>https://www.jotform.com/uploads/macarewecare/222927978372067/5665757943617462949/5665757943617462949_signature_28.png</t>
  </si>
  <si>
    <t>https://www.jotform.com/uploads/macarewecare/222927978372067/5665757943617462949/5665757943617462949_signature_31.png</t>
  </si>
  <si>
    <t>2 Modules Failed in XpertCheck</t>
  </si>
  <si>
    <t>Performed Maintenance
Replaced Modules 2 and 3
Generate Reports</t>
  </si>
  <si>
    <t>DR 10148 &amp; 10149</t>
  </si>
  <si>
    <t>https://www.jotform.com/uploads/macarewecare/222927978372067/5665757943618641720/5665757943618641720_signature_28.png</t>
  </si>
  <si>
    <t>https://www.jotform.com/uploads/macarewecare/222927978372067/5665757943618641720/5665757943618641720_signature_31.png</t>
  </si>
  <si>
    <t>Blumentriitt st, Manila</t>
  </si>
  <si>
    <t>cchlaboratory2016@yahoo.com</t>
  </si>
  <si>
    <t>As per end user they encounter valve error</t>
  </si>
  <si>
    <t>Checked unit
Cheked pneumatic pump
Checked valve and performed valve diagnostics
Checked program parameters
Performed functional test and simulation running</t>
  </si>
  <si>
    <t>During testing and running no error encounter</t>
  </si>
  <si>
    <t>https://www.jotform.com/uploads/macarewecare/222927978372067/5665308570519367188/5665308570519367188_signature_28.png</t>
  </si>
  <si>
    <t>https://www.jotform.com/uploads/macarewecare/222927978372067/5665308570519367188/5665308570519367188_signature_31.png</t>
  </si>
  <si>
    <t xml:space="preserve">ASSAY: Xpert BCR-ABL Ultra, COUNT: 677
ASSAY: Others, COUNT: 10
ASSAY: Xpert HBV VL, COUNT: 407
ASSAY: Xpert HPV, COUNT: 111
ASSAY: Xpert MTB/RIF, COUNT: 1236
ASSAY: Xpert MTB/RIF Ultra, COUNT: 705
ASSAY: Xpert SARS-CoV-2, COUNT: 16910
ASSAY: Xpert HCV VL, COUNT: 34
ASSAY: Others, COUNT: 9
</t>
  </si>
  <si>
    <t>For module replacement and maintenance  D2 633953 - 692814</t>
  </si>
  <si>
    <t>C3 and D3 Ttemp error,B1 loss communication 13 module operational</t>
  </si>
  <si>
    <t>https://www.jotform.com/uploads/macarewecare/222927978372067/5665303680514413949/5665303680514413949_signature_28.png</t>
  </si>
  <si>
    <t>https://www.jotform.com/uploads/macarewecare/222927978372067/5665303680514413949/5665303680514413949_signature_31.png</t>
  </si>
  <si>
    <t>Bulacan st, Payatas QC</t>
  </si>
  <si>
    <t>For module replacement A2 758252 - 210026721</t>
  </si>
  <si>
    <t>A3 module reported already, A1,A2,A4 operational</t>
  </si>
  <si>
    <t>900-0491r</t>
  </si>
  <si>
    <t>https://www.jotform.com/uploads/macarewecare/222927978372067/5665302890517011004/5665302890517011004_signature_28.png</t>
  </si>
  <si>
    <t>Racquel M Rocero</t>
  </si>
  <si>
    <t>https://www.jotform.com/uploads/macarewecare/222927978372067/5665302890517011004/5665302890517011004_signature_31.png</t>
  </si>
  <si>
    <t xml:space="preserve">ASSAY: Xpert BCR-ABL Ultra, COUNT: 11
ASSAY: Xpert MTB/RIF Ultra, COUNT: 3034
ASSAY: Xpert SARS-CoV-2, COUNT: 7226
ASSAY: Others, COUNT: 18
</t>
  </si>
  <si>
    <t>For module replacement and maintenance B3 210069245 - 898183</t>
  </si>
  <si>
    <t>cleaned unit,filter,plunger rod,cartridge bay,i core,gathered reports,performed visual check,test run unit,performed module replacement</t>
  </si>
  <si>
    <t>900-065 rs</t>
  </si>
  <si>
    <t>https://www.jotform.com/uploads/macarewecare/222927978372067/5665301420515475657/5665301420515475657_signature_28.png</t>
  </si>
  <si>
    <t>https://www.jotform.com/uploads/macarewecare/222927978372067/5665301420515475657/5665301420515475657_signature_31.png</t>
  </si>
  <si>
    <t>Recommend for replacement of monitor
Ask end user to report in jotform for proper channel of request for replacement</t>
  </si>
  <si>
    <t>Troubleshoot monitor.
Transfer to othe cpu and the monitor problem still exist
Isolate problem</t>
  </si>
  <si>
    <t>All modules are operational only the LCD monitor are defective</t>
  </si>
  <si>
    <t>https://www.jotform.com/uploads/macarewecare/222927978372067/5663589013916737328/5663589013916737328_signature_28.png</t>
  </si>
  <si>
    <t>Ava Gako</t>
  </si>
  <si>
    <t>https://www.jotform.com/uploads/macarewecare/222927978372067/5663589013916737328/5663589013916737328_signature_31.png</t>
  </si>
  <si>
    <t>Pulilan Rural Health Unit I</t>
  </si>
  <si>
    <t>GeneXpert Monitor
SN: CNK83224Q9</t>
  </si>
  <si>
    <t>https://www.jotform.com/uploads/macarewecare/222927978372067/5663385978313143649/5663385978313143649_signature_28.png</t>
  </si>
  <si>
    <t>https://www.jotform.com/uploads/macarewecare/222927978372067/5663385978313143649/5663385978313143649_signature_31.png</t>
  </si>
  <si>
    <t>Mini Forest Health Center - District C</t>
  </si>
  <si>
    <t>Quezon Boulevard, Brgy. 23-C Davao City</t>
  </si>
  <si>
    <t xml:space="preserve">ASSAY: Xpert MTB/RIF, COUNT: 196
ASSAY: Xpert MTB/RIF Ultra, COUNT: 286
</t>
  </si>
  <si>
    <t>Module B4 encounter multiple temperature related error
Due for Maintenance</t>
  </si>
  <si>
    <t>Replaced the Defective Module SN: 861942 with new Module SN: 905958</t>
  </si>
  <si>
    <t>DR NO. 10221</t>
  </si>
  <si>
    <t>https://www.jotform.com/uploads/macarewecare/222927978372067/5663345238517223469/5663345238517223469_signature_28.png</t>
  </si>
  <si>
    <t>Joy N. Nio RMT</t>
  </si>
  <si>
    <t>https://www.jotform.com/uploads/macarewecare/222927978372067/5663345238517223469/5663345238517223469_signature_31.png</t>
  </si>
  <si>
    <t>https://www.jotform.com/uploads/macarewecare/222927978372067/5663345228518071331/5663345228518071331_signature_28.png</t>
  </si>
  <si>
    <t>https://www.jotform.com/uploads/macarewecare/222927978372067/5663345228518071331/5663345228518071331_signature_31.png</t>
  </si>
  <si>
    <t>Ignacio st. Poblacion West Sta. Ignacia Tarlac</t>
  </si>
  <si>
    <t xml:space="preserve">ASSAY: Xpert MTB/RIF, COUNT: 6
ASSAY: Xpert MTB/RIF Ultra, COUNT: 421
</t>
  </si>
  <si>
    <t>A4 for module replacement, UPS not Backing Up</t>
  </si>
  <si>
    <t>UPS for reporting</t>
  </si>
  <si>
    <t>https://www.jotform.com/uploads/macarewecare/222927978372067/5663330823515088487/5663330823515088487_signature_28.png</t>
  </si>
  <si>
    <t>https://www.jotform.com/uploads/macarewecare/222927978372067/5663330823515088487/5663330823515088487_signature_31.png</t>
  </si>
  <si>
    <t>BGH Compound, Baguio City, Benguet</t>
  </si>
  <si>
    <t xml:space="preserve">ASSAY: Xpert HPV, COUNT: 724
ASSAY: Xpert MTB/RIF Ultra, COUNT: 2120
</t>
  </si>
  <si>
    <t>Module Replacement - 786822 - 210068086</t>
  </si>
  <si>
    <t>Genexpert Module - 210068086</t>
  </si>
  <si>
    <t>https://www.jotform.com/uploads/macarewecare/222927978372067/5663301864642514343/5663301864642514343_signature_28.png</t>
  </si>
  <si>
    <t>Keith William Tagudar</t>
  </si>
  <si>
    <t>https://www.jotform.com/uploads/macarewecare/222927978372067/5663301864642514343/5663301864642514343_signature_31.png</t>
  </si>
  <si>
    <t xml:space="preserve">ASSAY: Xpert HPV, COUNT: 35
ASSAY: Xpert MTB/RIF Ultra, COUNT: 308
ASSAY: Others, COUNT: 7
</t>
  </si>
  <si>
    <t>https://www.jotform.com/uploads/macarewecare/222927978372067/5663293814647057804/5663293814647057804_signature_28.png</t>
  </si>
  <si>
    <t>https://www.jotform.com/uploads/macarewecare/222927978372067/5663293814647057804/5663293814647057804_signature_31.png</t>
  </si>
  <si>
    <t>La Castellaña RHU</t>
  </si>
  <si>
    <t>Municipality of La Castellaña</t>
  </si>
  <si>
    <t xml:space="preserve">ASSAY: Xpert MTB/RIF, COUNT: 13
ASSAY: Xpert MTB/RIF Ultra, COUNT: 818
</t>
  </si>
  <si>
    <t>Module B3 failed in the calibration</t>
  </si>
  <si>
    <t>Module B1, B2 and B4 are functional and passed the calibration</t>
  </si>
  <si>
    <t>https://www.jotform.com/uploads/macarewecare/222927978372067/5663276120768185294/5663276120768185294_signature_28.png</t>
  </si>
  <si>
    <t>https://www.jotform.com/uploads/macarewecare/222927978372067/5663276120768185294/5663276120768185294_signature_31.png</t>
  </si>
  <si>
    <t>Module A4 for replacement
UPS for troubleshooting</t>
  </si>
  <si>
    <t>- replaced A4
- checked and cleaned cartridge bay, plunger rod, filter 
- generated reports
- checked UPS' back up mode (not working)</t>
  </si>
  <si>
    <t>Unit is operational.
UPS is recommended for repair/replacement.</t>
  </si>
  <si>
    <t>GeneXpert Module
SN: 210058431</t>
  </si>
  <si>
    <t>https://www.jotform.com/uploads/macarewecare/222927978372067/5663267338313361540/5663267338313361540_signature_28.png</t>
  </si>
  <si>
    <t>https://www.jotform.com/uploads/macarewecare/222927978372067/5663267338313361540/5663267338313361540_signature_31.png</t>
  </si>
  <si>
    <t>Module B3 failed in calibration</t>
  </si>
  <si>
    <t>Module 1, 2 and 4 passed the calibration</t>
  </si>
  <si>
    <t>https://www.jotform.com/uploads/macarewecare/222927978372067/5663266730764723260/5663266730764723260_signature_28.png</t>
  </si>
  <si>
    <t>https://www.jotform.com/uploads/macarewecare/222927978372067/5663266730764723260/5663266730764723260_signature_31.png</t>
  </si>
  <si>
    <t>San Pablo St., Calabanga</t>
  </si>
  <si>
    <t xml:space="preserve">ASSAY: Xpert MTB/RIF Ultra, COUNT: 849
</t>
  </si>
  <si>
    <t>B1,B2 module report. For XpertCheck</t>
  </si>
  <si>
    <t>Performed XpertCheck:
Cleaned cartridge bays,  plunger rod, fan filter
Generate reports</t>
  </si>
  <si>
    <t>Unit is operational 
B1 - Passed
B2 - Service Required 
B3 - Service Required 
B4 - Passed</t>
  </si>
  <si>
    <t>https://www.jotform.com/uploads/macarewecare/222927978372067/5663250061423877326/5663250061423877326_signature_28.png</t>
  </si>
  <si>
    <t>https://www.jotform.com/uploads/macarewecare/222927978372067/5663250061423877326/5663250061423877326_signature_31.png</t>
  </si>
  <si>
    <t>Poblacion, Passi City</t>
  </si>
  <si>
    <t>Module B2-B3 with serial number 732595,656548</t>
  </si>
  <si>
    <t>Replace modules</t>
  </si>
  <si>
    <t>Replace module B2,B3 with new serial number 210100430,210100442</t>
  </si>
  <si>
    <t>https://www.jotform.com/uploads/macarewecare/222927978372067/5663225634478546669/5663225634478546669_signature_28.png</t>
  </si>
  <si>
    <t>https://www.jotform.com/uploads/macarewecare/222927978372067/5663225634478546669/5663225634478546669_signature_31.png</t>
  </si>
  <si>
    <t>Poblacion, Passi city</t>
  </si>
  <si>
    <t>Module A2 Hardware Fail serial number 761282</t>
  </si>
  <si>
    <t>Replace module A2</t>
  </si>
  <si>
    <t>Replace Module A2 with new serial number 210100416</t>
  </si>
  <si>
    <t>Module A1, 2,3 ok to use module A4 Hardware fail.</t>
  </si>
  <si>
    <t>https://www.jotform.com/uploads/macarewecare/222927978372067/5663218374477186516/5663218374477186516_signature_28.png</t>
  </si>
  <si>
    <t>https://www.jotform.com/uploads/macarewecare/222927978372067/5663218374477186516/5663218374477186516_signature_31.png</t>
  </si>
  <si>
    <t>GOVERNOR CELESTINO GALLARES MEMORIAL HOSPITAL</t>
  </si>
  <si>
    <t>TAGBILARAN BOHOL</t>
  </si>
  <si>
    <t xml:space="preserve">ASSAY: Xpert MTB/RIF, COUNT: 97
ASSAY: Xpert MTB/RIF Ultra, COUNT: 1987
ASSAY: Xpert HIV-1 Viral Load, COUNT: 82
</t>
  </si>
  <si>
    <t>FOR MODULE A2 AND MODULE A4 REPLACEMENT</t>
  </si>
  <si>
    <t>COLECT IQR , SYSTEM LOG, AND ARCHIVE</t>
  </si>
  <si>
    <t>PERFORM MODULE REPLACEMENT
A2 DEF SN : 634601 WITH NEW SN:894275
A4 DEF SN: 722094 WITH NEW SN:210019612</t>
  </si>
  <si>
    <t>GX MODULE 6-COLOR</t>
  </si>
  <si>
    <t>https://www.jotform.com/uploads/macarewecare/222927978372067/5663201517343356652/5663201517343356652_signature_28.png</t>
  </si>
  <si>
    <t>https://www.jotform.com/uploads/macarewecare/222927978372067/5663201517343356652/5663201517343356652_signature_31.png</t>
  </si>
  <si>
    <t xml:space="preserve">ASSAY: Xpert MTB/RIF, COUNT: 89
ASSAY: Xpert MTB/RIF Ultra, COUNT: 804
</t>
  </si>
  <si>
    <t>https://www.jotform.com/uploads/macarewecare/222927978372067/5663200808316267512/5663200808316267512_signature_28.png</t>
  </si>
  <si>
    <t>Alma G. Estayo</t>
  </si>
  <si>
    <t>https://www.jotform.com/uploads/macarewecare/222927978372067/5663200808316267512/5663200808316267512_signature_31.png</t>
  </si>
  <si>
    <t>Daisy St, Banlat, Quezon City</t>
  </si>
  <si>
    <t xml:space="preserve">ASSAY: Xpert HPV, COUNT: 95
ASSAY: Xpert MTB/RIF Ultra, COUNT: 1428
</t>
  </si>
  <si>
    <t>Checked UPS
Checked line cord; ok
UPS does not backup; for reporting
Performed PM
Generated report</t>
  </si>
  <si>
    <t>GX is operational. UPS for reporting.</t>
  </si>
  <si>
    <t>Report UPS</t>
  </si>
  <si>
    <t>https://www.jotform.com/uploads/macarewecare/222927978372067/5663179008222084978/5663179008222084978_signature_28.png</t>
  </si>
  <si>
    <t>Emma Ibarra</t>
  </si>
  <si>
    <t>https://www.jotform.com/uploads/macarewecare/222927978372067/5663179008222084978/5663179008222084978_signature_31.png</t>
  </si>
  <si>
    <t>Baao MHO</t>
  </si>
  <si>
    <t>Imperial st., Del Rosario,  Poblacion</t>
  </si>
  <si>
    <t>Checked power cord connections,  cleaned ram  and ram ports,</t>
  </si>
  <si>
    <t>Performed troubleshooting steps</t>
  </si>
  <si>
    <t>Non operational due to cpu not working</t>
  </si>
  <si>
    <t>https://www.jotform.com/uploads/macarewecare/222927978372067/5662536560523302085/5662536560523302085_signature_28.png</t>
  </si>
  <si>
    <t>Ignacio Benosa Britanico</t>
  </si>
  <si>
    <t>https://www.jotform.com/uploads/macarewecare/222927978372067/5662536560523302085/5662536560523302085_signature_31.png</t>
  </si>
  <si>
    <t>Zone-1, Libon</t>
  </si>
  <si>
    <t>B1,B4 for module Replacement</t>
  </si>
  <si>
    <t>Replaced module 640264&gt;&gt;210039783, 861019&gt;&gt;210026807
Cleaned cartridge bays, fan, plunger rods, replaced filter 
Generated reports</t>
  </si>
  <si>
    <t>Replaced module,  Performed Preventive maintenence</t>
  </si>
  <si>
    <t>10237, 10239</t>
  </si>
  <si>
    <t>https://www.jotform.com/uploads/macarewecare/222927978372067/5662535980528936573/5662535980528936573_signature_28.png</t>
  </si>
  <si>
    <t>Marilyn Razal</t>
  </si>
  <si>
    <t>https://www.jotform.com/uploads/macarewecare/222927978372067/5662535980528936573/5662535980528936573_signature_31.png</t>
  </si>
  <si>
    <t xml:space="preserve">ASSAY: Xpert MTB/RIF, COUNT: 166
ASSAY: Xpert MTB/RIF Ultra, COUNT: 566
</t>
  </si>
  <si>
    <t>Replaced the Defective Module SN:862214 with new Module SN:915997
Generate Pre and Post IQR</t>
  </si>
  <si>
    <t>DR NO. 10222</t>
  </si>
  <si>
    <t>https://www.jotform.com/uploads/macarewecare/222927978372067/5662474745012474040/5662474745012474040_signature_28.png</t>
  </si>
  <si>
    <t>https://www.jotform.com/uploads/macarewecare/222927978372067/5662474745012474040/5662474745012474040_signature_31.png</t>
  </si>
  <si>
    <t>https://www.jotform.com/uploads/macarewecare/222927978372067/5662474735012620347/5662474735012620347_signature_28.png</t>
  </si>
  <si>
    <t>https://www.jotform.com/uploads/macarewecare/222927978372067/5662474735012620347/5662474735012620347_signature_31.png</t>
  </si>
  <si>
    <t>Ilihan Toledo City</t>
  </si>
  <si>
    <t>Module 1 SN # 667772 error 1001 and 1002 started July 13, 2023</t>
  </si>
  <si>
    <t>Reset module and condduct preventive maintenance</t>
  </si>
  <si>
    <t>Reset Module B1, Clean plunger and Icore
Clean Filter, cartridge bay,</t>
  </si>
  <si>
    <t>All module are available but B1 encoutered run time termination error after 5 test</t>
  </si>
  <si>
    <t>https://www.jotform.com/uploads/macarewecare/222927978372067/5662469555113969983/5662469555113969983_signature_28.png</t>
  </si>
  <si>
    <t>https://www.jotform.com/uploads/macarewecare/222927978372067/5662469555113969983/5662469555113969983_signature_31.png</t>
  </si>
  <si>
    <t>GeneXpert Module
SN: 210050153</t>
  </si>
  <si>
    <t>https://www.jotform.com/uploads/macarewecare/222927978372067/5662466080402833251/5662466080402833251_signature_28.png</t>
  </si>
  <si>
    <t>https://www.jotform.com/uploads/macarewecare/222927978372067/5662466080402833251/5662466080402833251_signature_31.png</t>
  </si>
  <si>
    <t>Old Municipal Site, Calamba</t>
  </si>
  <si>
    <t>2052456@aup.edu.ph</t>
  </si>
  <si>
    <t>Performed PM.
Performed module replacement on B4.
Generated reports.</t>
  </si>
  <si>
    <t>GX module B4 (210043986) in replacement to defective B4 (807732).</t>
  </si>
  <si>
    <t>DR#10258</t>
  </si>
  <si>
    <t>https://www.jotform.com/uploads/macarewecare/222927978372067/5662433588215460086/5662433588215460086_signature_28.png</t>
  </si>
  <si>
    <t>Mary Jane Lourdes R. Gayadan</t>
  </si>
  <si>
    <t>https://www.jotform.com/uploads/macarewecare/222927978372067/5662433588215460086/5662433588215460086_signature_31.png</t>
  </si>
  <si>
    <t>Muzon, Bulacan</t>
  </si>
  <si>
    <t xml:space="preserve">ASSAY: Xpert MTB/RIF Ultra, COUNT: 2879
ASSAY: Xpert HIV-1 Viral Load, COUNT: 139
</t>
  </si>
  <si>
    <t>Replaced C3</t>
  </si>
  <si>
    <t>GeneXpert Module
SN: 210100319</t>
  </si>
  <si>
    <t>G 5897</t>
  </si>
  <si>
    <t>https://www.jotform.com/uploads/macarewecare/222927978372067/5662426316266240603/5662426316266240603_signature_28.png</t>
  </si>
  <si>
    <t>https://www.jotform.com/uploads/macarewecare/222927978372067/5662426316266240603/5662426316266240603_signature_31.png</t>
  </si>
  <si>
    <t>Brgy. Palihan, Hermosa, Bataan</t>
  </si>
  <si>
    <t xml:space="preserve">ASSAY: Xpert MTB/RIF, COUNT: 6
ASSAY: Xpert MTB/RIF Ultra, COUNT: 489
</t>
  </si>
  <si>
    <t>A2 Due for module replacement</t>
  </si>
  <si>
    <t>1 yenexpert module</t>
  </si>
  <si>
    <t>https://www.jotform.com/uploads/macarewecare/222927978372067/5662407004496229305/5662407004496229305_signature_28.png</t>
  </si>
  <si>
    <t>Mary Ann G. Patambang</t>
  </si>
  <si>
    <t>https://www.jotform.com/uploads/macarewecare/222927978372067/5662407004496229305/5662407004496229305_signature_31.png</t>
  </si>
  <si>
    <t xml:space="preserve">ASSAY: Xpert MTB/RIF, COUNT: 638
ASSAY: Xpert MTB/RIF Ultra, COUNT: 352
</t>
  </si>
  <si>
    <t>MODULE B1 REPLACEMENT</t>
  </si>
  <si>
    <t>PERFORM MODULE B1 REPLACEMENT DEF SN:861016 WITH NEW SN:210052368</t>
  </si>
  <si>
    <t>https://www.jotform.com/uploads/macarewecare/222927978372067/5662403159214712060/5662403159214712060_signature_28.png</t>
  </si>
  <si>
    <t>https://www.jotform.com/uploads/macarewecare/222927978372067/5662403159214712060/5662403159214712060_signature_31.png</t>
  </si>
  <si>
    <t>Bagumbayan Rural Health unit</t>
  </si>
  <si>
    <t>https://www.jotform.com/uploads/macarewecare/222927978372067/5662377274183775967/5662377274183775967_signature_28.png</t>
  </si>
  <si>
    <t>Ma. Rizal R. Dionela</t>
  </si>
  <si>
    <t>https://www.jotform.com/uploads/macarewecare/222927978372067/5662377274183775967/5662377274183775967_signature_31.png</t>
  </si>
  <si>
    <t>Cuenca LGU</t>
  </si>
  <si>
    <t>Performed PM.
Performed module replacement on A3.
Generated reports.</t>
  </si>
  <si>
    <t>GX module A3 (800812) in replacement to defective A3 (749944).</t>
  </si>
  <si>
    <t>https://www.jotform.com/uploads/macarewecare/222927978372067/5662366108215976992/5662366108215976992_signature_28.png</t>
  </si>
  <si>
    <t>https://www.jotform.com/uploads/macarewecare/222927978372067/5662366108215976992/5662366108215976992_signature_31.png</t>
  </si>
  <si>
    <t>San pablo rural health unit</t>
  </si>
  <si>
    <t>Poblacion san pablo, Zamboanga del sur</t>
  </si>
  <si>
    <t>deasis.alfanta@gmail.com</t>
  </si>
  <si>
    <t>Replaced module 787229 with Module 210092867</t>
  </si>
  <si>
    <t>Preventive Maintenence,  Module Replacement</t>
  </si>
  <si>
    <t>https://www.jotform.com/uploads/macarewecare/222927978372067/5662355045016102361/5662355045016102361_signature_28.png</t>
  </si>
  <si>
    <t>Elvie Alfanta</t>
  </si>
  <si>
    <t>https://www.jotform.com/uploads/macarewecare/222927978372067/5662355045016102361/5662355045016102361_signature_31.png</t>
  </si>
  <si>
    <t xml:space="preserve">ASSAY: Xpert MTB/RIF, COUNT: 16
ASSAY: Xpert MTB/RIF Ultra, COUNT: 352
</t>
  </si>
  <si>
    <t>https://www.jotform.com/uploads/macarewecare/222927978372067/5662337023315977259/5662337023315977259_signature_28.png</t>
  </si>
  <si>
    <t>https://www.jotform.com/uploads/macarewecare/222927978372067/5662337023315977259/5662337023315977259_signature_31.png</t>
  </si>
  <si>
    <t xml:space="preserve">ASSAY: Xpert MTB/RIF Ultra, COUNT: 882
</t>
  </si>
  <si>
    <t>Perform Xpertcheck.</t>
  </si>
  <si>
    <t>Perform Preventive maintenance for the machine and perform  xpertcheck for all module's.</t>
  </si>
  <si>
    <t>Module D2 and D4 fail for xpertcheck, Module D1 and D3 passed for xpertcheck.</t>
  </si>
  <si>
    <t>UPS not charging need to repair.</t>
  </si>
  <si>
    <t>https://www.jotform.com/uploads/macarewecare/222927978372067/5662289253916939959/5662289253916939959_signature_28.png</t>
  </si>
  <si>
    <t>Reggie Dahili</t>
  </si>
  <si>
    <t>https://www.jotform.com/uploads/macarewecare/222927978372067/5662289253916939959/5662289253916939959_signature_31.png</t>
  </si>
  <si>
    <t xml:space="preserve">ASSAY: Xpert MTB/RIF Ultra, COUNT: 1038
ASSAY: Xpert MTB/RIF, COUNT: 50
</t>
  </si>
  <si>
    <t>https://www.jotform.com/uploads/macarewecare/222927978372067/5661876916972833047/5661876916972833047_signature_28.png</t>
  </si>
  <si>
    <t>https://www.jotform.com/uploads/macarewecare/222927978372067/5661876916972833047/5661876916972833047_signature_31.png</t>
  </si>
  <si>
    <t>Iriga CHO</t>
  </si>
  <si>
    <t>lindareyesdelima1969@gmail.com</t>
  </si>
  <si>
    <t>B1,B4 For re-Xpertcheck</t>
  </si>
  <si>
    <t>Re-XpertCheck B1, &amp; B4
Generate reports</t>
  </si>
  <si>
    <t>Unit is operational
B1 - 
B2</t>
  </si>
  <si>
    <t>https://www.jotform.com/uploads/macarewecare/222927978372067/5661687743014435121/5661687743014435121_signature_28.png</t>
  </si>
  <si>
    <t>Erlinda R. De Lima</t>
  </si>
  <si>
    <t>https://www.jotform.com/uploads/macarewecare/222927978372067/5661687743014435121/5661687743014435121_signature_31.png</t>
  </si>
  <si>
    <t>UP Ayala Technohub, Commonwealth Avenue</t>
  </si>
  <si>
    <t>Unit intermittently powering off</t>
  </si>
  <si>
    <t>Unit is not operational; requires parts replacement</t>
  </si>
  <si>
    <t>Will coordinate with office for back-up unit availability</t>
  </si>
  <si>
    <t>https://www.jotform.com/uploads/macarewecare/222927978372067/5661665502129656061/5661665502129656061_signature_28.png</t>
  </si>
  <si>
    <t>https://www.jotform.com/uploads/macarewecare/222927978372067/5661665502129656061/5661665502129656061_signature_31.png</t>
  </si>
  <si>
    <t>Bantayan Island, Poblacion</t>
  </si>
  <si>
    <t>Laborattory</t>
  </si>
  <si>
    <t>Defective module B1 862414 and B4 862356</t>
  </si>
  <si>
    <t>Clean fan filter</t>
  </si>
  <si>
    <t>Install new modules B1 210093182 &amp; B4 210093185</t>
  </si>
  <si>
    <t>https://www.jotform.com/uploads/macarewecare/222927978372067/5661664298271523871/5661664298271523871_signature_28.png</t>
  </si>
  <si>
    <t>Roxanne M. Bausin</t>
  </si>
  <si>
    <t>https://www.jotform.com/uploads/macarewecare/222927978372067/5661664298271523871/5661664298271523871_signature_31.png</t>
  </si>
  <si>
    <t xml:space="preserve">ASSAY: Xpert MTB/RIF, COUNT: 20
ASSAY: Xpert MTB/RIF Ultra, COUNT: 468
</t>
  </si>
  <si>
    <t>Monitor sometimes turn off</t>
  </si>
  <si>
    <t>Troubleshoot Cables</t>
  </si>
  <si>
    <t>Performed Maintenance
Gathered Reports
Performed Module Replacement (757998 - 753257)
Performed Functionality Test</t>
  </si>
  <si>
    <t>Monitor for monitoring</t>
  </si>
  <si>
    <t>Genexpert Module 753257</t>
  </si>
  <si>
    <t>https://www.jotform.com/uploads/macarewecare/222927978372067/5661663788718136191/5661663788718136191_signature_28.png</t>
  </si>
  <si>
    <t>Jonabel Lumba</t>
  </si>
  <si>
    <t>https://www.jotform.com/uploads/macarewecare/222927978372067/5661663788718136191/5661663788718136191_signature_31.png</t>
  </si>
  <si>
    <t>Manalo St., San Juan</t>
  </si>
  <si>
    <t xml:space="preserve">ASSAY: Xpert CT/NG, COUNT: 14
ASSAY: Xpert MTB/RIF Ultra, COUNT: 1914
ASSAY: Xpert HIV-1 Viral Load, COUNT: 62
</t>
  </si>
  <si>
    <t>Performed PM.
Performed module replacement on module A2.
Generated reports</t>
  </si>
  <si>
    <t>GX module A2 (220001434) in replacement to defective A2 (604349).</t>
  </si>
  <si>
    <t>DR#10277</t>
  </si>
  <si>
    <t>https://www.jotform.com/uploads/macarewecare/222927978372067/5661648898217440782/5661648898217440782_signature_28.png</t>
  </si>
  <si>
    <t>https://www.jotform.com/uploads/macarewecare/222927978372067/5661648898217440782/5661648898217440782_signature_31.png</t>
  </si>
  <si>
    <t>Pili</t>
  </si>
  <si>
    <t xml:space="preserve">ASSAY: Xpert MTB/RIF, COUNT: 1274
</t>
  </si>
  <si>
    <t>B3 For module replacement</t>
  </si>
  <si>
    <t>Module replaced: B3 861110&gt;&gt;210029760
Cleaned Cartridge bays, plunger rod
Generate reports</t>
  </si>
  <si>
    <t>Performed module replacement, preventive maintenance</t>
  </si>
  <si>
    <t>https://www.jotform.com/uploads/macarewecare/222927978372067/5661603186014439686/5661603186014439686_signature_28.png</t>
  </si>
  <si>
    <t>https://www.jotform.com/uploads/macarewecare/222927978372067/5661603186014439686/5661603186014439686_signature_31.png</t>
  </si>
  <si>
    <t xml:space="preserve">ASSAY: Xpert MTB/RIF Ultra, COUNT: 2095
</t>
  </si>
  <si>
    <t>GeneXpert Module
SN: 210100320</t>
  </si>
  <si>
    <t>G 5898</t>
  </si>
  <si>
    <t>https://www.jotform.com/uploads/macarewecare/222927978372067/5661584706246568667/5661584706246568667_signature_28.png</t>
  </si>
  <si>
    <t>https://www.jotform.com/uploads/macarewecare/222927978372067/5661584706246568667/5661584706246568667_signature_31.png</t>
  </si>
  <si>
    <t>Sampaloc, Manila</t>
  </si>
  <si>
    <t>Replaced Module
A1: 6647645 -&gt; 660595</t>
  </si>
  <si>
    <t>GX module</t>
  </si>
  <si>
    <t>DR 10243</t>
  </si>
  <si>
    <t>https://www.jotform.com/uploads/macarewecare/222927978372067/5661584444916352681/5661584444916352681_signature_28.png</t>
  </si>
  <si>
    <t>https://www.jotform.com/uploads/macarewecare/222927978372067/5661584444916352681/5661584444916352681_signature_31.png</t>
  </si>
  <si>
    <t>TALIBON BOHOL</t>
  </si>
  <si>
    <t xml:space="preserve">ASSAY: Xpert MTB/RIF, COUNT: 100
ASSAY: Xpert MTB/RIF Ultra, COUNT: 842
</t>
  </si>
  <si>
    <t>FOR MODULE B2 AND B3 REPLACEMENT</t>
  </si>
  <si>
    <t>COLLECT IQR , SYSTEM LOG, AND ARCHIVE</t>
  </si>
  <si>
    <t>PERFORM MODULE B2 DEF SN:807020 WITH NEW SN:655947
MODULE B3 DEF SN:807025 NEW SN:653675</t>
  </si>
  <si>
    <t>https://www.jotform.com/uploads/macarewecare/222927978372067/5661580092783182226/5661580092783182226_signature_28.png</t>
  </si>
  <si>
    <t>https://www.jotform.com/uploads/macarewecare/222927978372067/5661580092783182226/5661580092783182226_signature_31.png</t>
  </si>
  <si>
    <t>Maysilo, Mandaluyong</t>
  </si>
  <si>
    <t xml:space="preserve">ASSAY: Xpert MTB/RIF Ultra, COUNT: 2507
ASSAY: Xpert HIV-1 Viral Load, COUNT: 153
</t>
  </si>
  <si>
    <t>Modules C1, C2, C4 for replacement</t>
  </si>
  <si>
    <t>Replaced C1, C2, C4</t>
  </si>
  <si>
    <t>GeneXpert Module
SN: 619782, 210041087, 617065</t>
  </si>
  <si>
    <t>https://www.jotform.com/uploads/macarewecare/222927978372067/5661542886244723453/5661542886244723453_signature_28.png</t>
  </si>
  <si>
    <t>Ann Patricia Abella</t>
  </si>
  <si>
    <t>https://www.jotform.com/uploads/macarewecare/222927978372067/5661542886244723453/5661542886244723453_signature_31.png</t>
  </si>
  <si>
    <t>https://www.jotform.com/uploads/macarewecare/222927978372067/5661542546242713519/5661542546242713519_signature_28.png</t>
  </si>
  <si>
    <t>https://www.jotform.com/uploads/macarewecare/222927978372067/5661542546242713519/5661542546242713519_signature_31.png</t>
  </si>
  <si>
    <t xml:space="preserve">ASSAY: Xpert MTB/RIF Ultra, COUNT: 1074
</t>
  </si>
  <si>
    <t>Module B1, B4 for replacement</t>
  </si>
  <si>
    <t>GeneXpert Module
SN: 220001462, 633420</t>
  </si>
  <si>
    <t>https://www.jotform.com/uploads/macarewecare/222927978372067/5661540566247225526/5661540566247225526_signature_28.png</t>
  </si>
  <si>
    <t>Pauline Mae Lopez</t>
  </si>
  <si>
    <t>https://www.jotform.com/uploads/macarewecare/222927978372067/5661540566247225526/5661540566247225526_signature_31.png</t>
  </si>
  <si>
    <t>https://www.jotform.com/uploads/macarewecare/222927978372067/5661540296247839793/5661540296247839793_signature_28.png</t>
  </si>
  <si>
    <t>https://www.jotform.com/uploads/macarewecare/222927978372067/5661540296247839793/5661540296247839793_signature_31.png</t>
  </si>
  <si>
    <t>Marilao Rural Health Unit I</t>
  </si>
  <si>
    <t xml:space="preserve">ASSAY: Xpert CT/NG, COUNT: 1
ASSAY: Xpert MTB/RIF Ultra, COUNT: 1537
ASSAY: Xpert HCV VL, COUNT: 3
ASSAY: Xpert HIV-1 Viral Load, COUNT: 236
</t>
  </si>
  <si>
    <t>Unit is operational.
UPS for replacement/repair.</t>
  </si>
  <si>
    <t>https://www.jotform.com/uploads/macarewecare/222927978372067/5661539406244308059/5661539406244308059_signature_28.png</t>
  </si>
  <si>
    <t>Jonathan Jenilo</t>
  </si>
  <si>
    <t>https://www.jotform.com/uploads/macarewecare/222927978372067/5661539406244308059/5661539406244308059_signature_31.png</t>
  </si>
  <si>
    <t>Marilao Rural Healt Unit I</t>
  </si>
  <si>
    <t xml:space="preserve">ASSAY: Xpert MTB/RIF Ultra, COUNT: 1660
ASSAY: Xpert HIV-1 Viral Load, COUNT: 82
</t>
  </si>
  <si>
    <t>Modules A1, A2 for replacement</t>
  </si>
  <si>
    <t>Replaced A1, A2</t>
  </si>
  <si>
    <t>GeneXpert Module
SN: 694358, 694368</t>
  </si>
  <si>
    <t>10266, 10267</t>
  </si>
  <si>
    <t>https://www.jotform.com/uploads/macarewecare/222927978372067/5661538436247979257/5661538436247979257_signature_28.png</t>
  </si>
  <si>
    <t>https://www.jotform.com/uploads/macarewecare/222927978372067/5661538436247979257/5661538436247979257_signature_31.png</t>
  </si>
  <si>
    <t>Esperanza Health Center</t>
  </si>
  <si>
    <t>jong.agdamag@gmail.com</t>
  </si>
  <si>
    <t>GXIV 6 Colors</t>
  </si>
  <si>
    <t>Performed PM
Replaced module A1 and A2
Generated report</t>
  </si>
  <si>
    <t>Replaced Modules
A1: 784638 -&gt; 641895
A2: 784635 -&gt; 642924</t>
  </si>
  <si>
    <t>GX Module - 6 colors - 2mod</t>
  </si>
  <si>
    <t>DR 10241, 10242</t>
  </si>
  <si>
    <t>https://www.jotform.com/uploads/macarewecare/222927978372067/5661528634918016650/5661528634918016650_signature_28.png</t>
  </si>
  <si>
    <t>Victor Agdamag Jr.</t>
  </si>
  <si>
    <t>https://www.jotform.com/uploads/macarewecare/222927978372067/5661528634918016650/5661528634918016650_signature_31.png</t>
  </si>
  <si>
    <t>Baybay city</t>
  </si>
  <si>
    <t xml:space="preserve">ASSAY: Xpert MTB/RIF, COUNT: 307
ASSAY: Xpert MTB/RIF Ultra, COUNT: 864
</t>
  </si>
  <si>
    <t>Mudule A3 H/W Failed</t>
  </si>
  <si>
    <t>Module A3 - Service required 
Module A1 - multiple temperature error</t>
  </si>
  <si>
    <t>Xpertcheck cartridge</t>
  </si>
  <si>
    <t>https://www.jotform.com/uploads/macarewecare/222927978372067/5661505205313815429/5661505205313815429_signature_28.png</t>
  </si>
  <si>
    <t>Safah Jean Ganieta</t>
  </si>
  <si>
    <t>https://www.jotform.com/uploads/macarewecare/222927978372067/5661505205313815429/5661505205313815429_signature_31.png</t>
  </si>
  <si>
    <t xml:space="preserve">ASSAY: Xpert MTB/RIF Ultra, COUNT: 3201
</t>
  </si>
  <si>
    <t>H/W Fail on Module B1/806412 and B4/805415</t>
  </si>
  <si>
    <t>Preventive Maintenance 
Module Replacement 
Generate Report files
Database Back up</t>
  </si>
  <si>
    <t>https://www.jotform.com/uploads/macarewecare/222927978372067/5661497481819119695/5661497481819119695_signature_28.png</t>
  </si>
  <si>
    <t>Piquero, Heide</t>
  </si>
  <si>
    <t>https://www.jotform.com/uploads/macarewecare/222927978372067/5661497481819119695/5661497481819119695_signature_31.png</t>
  </si>
  <si>
    <t>H/W Fail Module C4/681968</t>
  </si>
  <si>
    <t>Module Replacement
Preventive Maintenance 
Generate Report files 
Database Back up</t>
  </si>
  <si>
    <t>https://www.jotform.com/uploads/macarewecare/222927978372067/5661496891811670541/5661496891811670541_signature_28.png</t>
  </si>
  <si>
    <t>Piquero,Heide</t>
  </si>
  <si>
    <t>https://www.jotform.com/uploads/macarewecare/222927978372067/5661496891811670541/5661496891811670541_signature_31.png</t>
  </si>
  <si>
    <t>Quaezon Avenue,QC</t>
  </si>
  <si>
    <t xml:space="preserve">ASSAY: Xpert MTB/RIF Ultra, COUNT: 716
ASSAY: Xpert SARS-CoV-2, COUNT: 684
ASSAY: Xpert HIV-1 Viral Load, COUNT: 7
</t>
  </si>
  <si>
    <t>For maintenance d3 and d4 disabled encounter temp error</t>
  </si>
  <si>
    <t>Cleaned unit,Fliter,plunger rod,cartridge bay
Gathered reports</t>
  </si>
  <si>
    <t>D3 and D4 disabled</t>
  </si>
  <si>
    <t>https://www.jotform.com/uploads/macarewecare/222927978372067/5661388333619069732/5661388333619069732_signature_28.png</t>
  </si>
  <si>
    <t>https://www.jotform.com/uploads/macarewecare/222927978372067/5661388333619069732/5661388333619069732_signature_31.png</t>
  </si>
  <si>
    <t xml:space="preserve">ASSAY: Xpert MTB/RIF Ultra, COUNT: 458
ASSAY: Xpert SARS-CoV-2, COUNT: 1604
ASSAY: Xpert HIV-1 Viral Load, COUNT: 76
ASSAY: Others, COUNT: 1
ASSAY: Others, COUNT: 9
</t>
  </si>
  <si>
    <t>For maintenance and due fro xpertcheck, b4 disabled h/w failed</t>
  </si>
  <si>
    <t>Performed xpertcheck,
Cleaned unit,filter,cartridge bay,pluger rod.
Gathered reports
Test run unit</t>
  </si>
  <si>
    <t>Xpertcheck and Maintenance</t>
  </si>
  <si>
    <t>B1,B2,B3, passed xpertcheck, B4 Failed xpertcheck</t>
  </si>
  <si>
    <t>For module replacement B4 failed in xpertcheck</t>
  </si>
  <si>
    <t>https://www.jotform.com/uploads/macarewecare/222927978372067/5661386813616796344/5661386813616796344_signature_28.png</t>
  </si>
  <si>
    <t>https://www.jotform.com/uploads/macarewecare/222927978372067/5661386813616796344/5661386813616796344_signature_31.png</t>
  </si>
  <si>
    <t>Quezon Ave.,Q.C</t>
  </si>
  <si>
    <t xml:space="preserve">ASSAY: Xpert MTB/RIF Ultra, COUNT: 4049
ASSAY: Xpert SARS-CoV-2, COUNT: 4426
</t>
  </si>
  <si>
    <t>For Module replacement B1 628060 - 210100356 and B3 encounter loss communication error</t>
  </si>
  <si>
    <t>Performed module replacement
Cleaned unit,filter,plunger rod,cartridge bay
Gathered reports.
Replaced  cable for module b3
Test run unit.</t>
  </si>
  <si>
    <t>15 module operational b3 for observation</t>
  </si>
  <si>
    <t>G 5899</t>
  </si>
  <si>
    <t>https://www.jotform.com/uploads/macarewecare/222927978372067/5661385933617470089/5661385933617470089_signature_28.png</t>
  </si>
  <si>
    <t>https://www.jotform.com/uploads/macarewecare/222927978372067/5661385933617470089/5661385933617470089_signature_31.png</t>
  </si>
  <si>
    <t>Victory Avenue, Quezon City</t>
  </si>
  <si>
    <t xml:space="preserve">ASSAY: Xpert MTB/RIF, COUNT: 14
ASSAY: Xpert BCR-ABL Ultra, COUNT: 739
</t>
  </si>
  <si>
    <t>For module replacement  A1 754328 - 639129,A2 754332 - 640485, A3 754333 - 210001864</t>
  </si>
  <si>
    <t>Performed module replacement,cleaned unit,filter,plunger rod,cartridge bay,i core,gathered reports,performed visual check,test run unit</t>
  </si>
  <si>
    <t>https://www.jotform.com/uploads/macarewecare/222927978372067/5660819461904958569/5660819461904958569_signature_28.png</t>
  </si>
  <si>
    <t>JSmin A Magtalas</t>
  </si>
  <si>
    <t>https://www.jotform.com/uploads/macarewecare/222927978372067/5660819461904958569/5660819461904958569_signature_31.png</t>
  </si>
  <si>
    <t xml:space="preserve">ASSAY: Xpert HPV, COUNT: 26
ASSAY: Xpert MTB/RIF, COUNT: 140
ASSAY: Xpert MTB/RIF Ultra, COUNT: 3656
</t>
  </si>
  <si>
    <t>As per end user they encounter error 5007</t>
  </si>
  <si>
    <t>For observation c2 and c3</t>
  </si>
  <si>
    <t>https://www.jotform.com/uploads/macarewecare/222927978372067/5660818751903234751/5660818751903234751_signature_28.png</t>
  </si>
  <si>
    <t>https://www.jotform.com/uploads/macarewecare/222927978372067/5660818751903234751/5660818751903234751_signature_31.png</t>
  </si>
  <si>
    <t xml:space="preserve">ASSAY: Xpert CT/NG, COUNT: 139
ASSAY: Xpert HPV, COUNT: 540
ASSAY: Xpert SARS-CoV-2, COUNT: 2769
ASSAY: Others, COUNT: 2
</t>
  </si>
  <si>
    <t>B2 module encounter continous 2014 error</t>
  </si>
  <si>
    <t>B2 enable</t>
  </si>
  <si>
    <t>https://www.jotform.com/uploads/macarewecare/222927978372067/5660816261909050962/5660816261909050962_signature_28.png</t>
  </si>
  <si>
    <t>JEV RYAN BONIFACIO</t>
  </si>
  <si>
    <t>https://www.jotform.com/uploads/macarewecare/222927978372067/5660816261909050962/5660816261909050962_signature_31.png</t>
  </si>
  <si>
    <t>East avenue medical center</t>
  </si>
  <si>
    <t>GX4 10c</t>
  </si>
  <si>
    <t>Installation and set up</t>
  </si>
  <si>
    <t>https://www.jotform.com/uploads/macarewecare/222927978372067/5660815081907605386/5660815081907605386_signature_28.png</t>
  </si>
  <si>
    <t>https://www.jotform.com/uploads/macarewecare/222927978372067/5660815081907605386/5660815081907605386_signature_31.png</t>
  </si>
  <si>
    <t>Capoas, Masambong, Quezon City</t>
  </si>
  <si>
    <t>Performed PM
Replaced Module B2
Generated report</t>
  </si>
  <si>
    <t>Replaced module B2
814160 -&gt; 210068088</t>
  </si>
  <si>
    <t>GX Module 6 Colors</t>
  </si>
  <si>
    <t>G 5890</t>
  </si>
  <si>
    <t>https://www.jotform.com/uploads/macarewecare/222927978372067/5660786361426371725/5660786361426371725_signature_28.png</t>
  </si>
  <si>
    <t>https://www.jotform.com/uploads/macarewecare/222927978372067/5660786361426371725/5660786361426371725_signature_31.png</t>
  </si>
  <si>
    <t xml:space="preserve">ASSAY: Xpert MTB/RIF Ultra, COUNT: 857
ASSAY: Xpert HIV-1 Viral Load, COUNT: 19
</t>
  </si>
  <si>
    <t>Performed preventive maintenance
0erformed module replacement
Archived test results
Gathered reports
Performed functionality test</t>
  </si>
  <si>
    <t>https://www.jotform.com/uploads/macarewecare/222927978372067/5660785404643560810/5660785404643560810_signature_28.png</t>
  </si>
  <si>
    <t>Bkesilda Dueñas</t>
  </si>
  <si>
    <t>https://www.jotform.com/uploads/macarewecare/222927978372067/5660785404643560810/5660785404643560810_signature_31.png</t>
  </si>
  <si>
    <t>269 E. RODRIGUEZ SR. AVE., QUEZON CITY</t>
  </si>
  <si>
    <t>MOLECULAR</t>
  </si>
  <si>
    <t>https://www.jotform.com/uploads/macarewecare/222927978372067/5660769361337694770/5660769361337694770_signature_28.png</t>
  </si>
  <si>
    <t>https://www.jotform.com/uploads/macarewecare/222927978372067/5660769361337694770/5660769361337694770_signature_31.png</t>
  </si>
  <si>
    <t>https://www.jotform.com/uploads/macarewecare/222927978372067/5660766831337541257/5660766831337541257_signature_28.png</t>
  </si>
  <si>
    <t>https://www.jotform.com/uploads/macarewecare/222927978372067/5660766831337541257/5660766831337541257_signature_31.png</t>
  </si>
  <si>
    <t xml:space="preserve">ASSAY: Xpert MTB/RIF, COUNT: 16
ASSAY: Xpert MTB/RIF Ultra, COUNT: 419
</t>
  </si>
  <si>
    <t>Performed Maintenance
Gathered Reports
Performed Module Replacement
Installed HIV assay
Performed Functionality Test</t>
  </si>
  <si>
    <t>Module Replacement = 754110 - 210014943</t>
  </si>
  <si>
    <t>Genexpert Module = 210014943</t>
  </si>
  <si>
    <t>https://www.jotform.com/uploads/macarewecare/222927978372067/5660762257512787244/5660762257512787244_signature_28.png</t>
  </si>
  <si>
    <t>Joan Garcia</t>
  </si>
  <si>
    <t>https://www.jotform.com/uploads/macarewecare/222927978372067/5660762257512787244/5660762257512787244_signature_31.png</t>
  </si>
  <si>
    <t>MOLECULAT</t>
  </si>
  <si>
    <t>https://www.jotform.com/uploads/macarewecare/222927978372067/5660759091332096162/5660759091332096162_signature_28.png</t>
  </si>
  <si>
    <t>https://www.jotform.com/uploads/macarewecare/222927978372067/5660759091332096162/5660759091332096162_signature_31.png</t>
  </si>
  <si>
    <t>PERFORMED SURFACE CLEANING
VERIFIED SPEED AT 200RPM AND 3000RPM
PERFORMED FUNCTIONALITY TEST</t>
  </si>
  <si>
    <t>https://www.jotform.com/uploads/macarewecare/222927978372067/5660757451331809849/5660757451331809849_signature_28.png</t>
  </si>
  <si>
    <t>https://www.jotform.com/uploads/macarewecare/222927978372067/5660757451331809849/5660757451331809849_signature_31.png</t>
  </si>
  <si>
    <t>PERFORMED SURFACE CLEANING
VERIFIED SPEEDS AT 1000RPM AND 500RPM
PERFORMED FUNCTIONALITY TEST</t>
  </si>
  <si>
    <t>https://www.jotform.com/uploads/macarewecare/222927978372067/5660754631335940716/5660754631335940716_signature_28.png</t>
  </si>
  <si>
    <t>https://www.jotform.com/uploads/macarewecare/222927978372067/5660754631335940716/5660754631335940716_signature_31.png</t>
  </si>
  <si>
    <t xml:space="preserve">ASSAY: Xpert MTB/RIF Ultra, COUNT: 1123
</t>
  </si>
  <si>
    <t>GeneXpert Module
SN: 624180</t>
  </si>
  <si>
    <t>https://www.jotform.com/uploads/macarewecare/222927978372067/5660752656324678729/5660752656324678729_signature_28.png</t>
  </si>
  <si>
    <t>https://www.jotform.com/uploads/macarewecare/222927978372067/5660752656324678729/5660752656324678729_signature_31.png</t>
  </si>
  <si>
    <t>https://www.jotform.com/uploads/macarewecare/222927978372067/5660752191331997035/5660752191331997035_signature_28.png</t>
  </si>
  <si>
    <t>https://www.jotform.com/uploads/macarewecare/222927978372067/5660752191331997035/5660752191331997035_signature_31.png</t>
  </si>
  <si>
    <t>PERFORMED SURFACE CLEANING
VERIFIED SPEED AT 500RPM AND 12500RPM
PERFORMED FUNCTIONALITY TEST</t>
  </si>
  <si>
    <t>https://www.jotform.com/uploads/macarewecare/222927978372067/5660748801337775686/5660748801337775686_signature_28.png</t>
  </si>
  <si>
    <t>https://www.jotform.com/uploads/macarewecare/222927978372067/5660748801337775686/5660748801337775686_signature_31.png</t>
  </si>
  <si>
    <t xml:space="preserve">ASSAY: Xpert MTB/RIF Ultra, COUNT: 2430
</t>
  </si>
  <si>
    <t>Module B1 and B2 encounter multiple temperature errors
Due for Maintenance</t>
  </si>
  <si>
    <t>Clean Surface Area, Cartridge Bay, Plunger Rod, Fan Filters and Icore Lenses
Generate IQR, Assay Stat and System Log
Archived Data test results
Replaced the Defective Module SN : 808297 with new Module SN: 210057509
Replaced the Defective Module SN: 634050 with new Module SN: 635801</t>
  </si>
  <si>
    <t>Perfrom Preventive Maintenance and Module Replacement</t>
  </si>
  <si>
    <t>Only Three Modules are working</t>
  </si>
  <si>
    <t>https://www.jotform.com/uploads/macarewecare/222927978372067/5660746960217627200/5660746960217627200_signature_28.png</t>
  </si>
  <si>
    <t>https://www.jotform.com/uploads/macarewecare/222927978372067/5660746960217627200/5660746960217627200_signature_31.png</t>
  </si>
  <si>
    <t>PERFORMED SURFACE CLEANING
VERIFIED SPEEDS AT 500RPM AND 12500RPM</t>
  </si>
  <si>
    <t>https://www.jotform.com/uploads/macarewecare/222927978372067/5660745351338572665/5660745351338572665_signature_28.png</t>
  </si>
  <si>
    <t>https://www.jotform.com/uploads/macarewecare/222927978372067/5660745351338572665/5660745351338572665_signature_31.png</t>
  </si>
  <si>
    <t>https://www.jotform.com/uploads/macarewecare/222927978372067/5660743341335474851/5660743341335474851_signature_28.png</t>
  </si>
  <si>
    <t>https://www.jotform.com/uploads/macarewecare/222927978372067/5660743341335474851/5660743341335474851_signature_31.png</t>
  </si>
  <si>
    <t>PERFORMED MAINTENANCE
VERIFIED TEMPERATURES AT 55°C AND 60°C
VERIFIED SPEED AT 500RPM AND 2000RPM
PERFORMED FUNCTIONALITY TEST</t>
  </si>
  <si>
    <t>https://www.jotform.com/uploads/macarewecare/222927978372067/5660741441334401692/5660741441334401692_signature_28.png</t>
  </si>
  <si>
    <t>https://www.jotform.com/uploads/macarewecare/222927978372067/5660741441334401692/5660741441334401692_signature_31.png</t>
  </si>
  <si>
    <t>PERFORMED MAINTENANCE OF UNIT
CHECKED AND VERIFIED ALIGNMENTS
PERFORMED FUNCTIONALITY TEST</t>
  </si>
  <si>
    <t>https://www.jotform.com/uploads/macarewecare/222927978372067/5660739311338210330/5660739311338210330_signature_28.png</t>
  </si>
  <si>
    <t>https://www.jotform.com/uploads/macarewecare/222927978372067/5660739311338210330/5660739311338210330_signature_31.png</t>
  </si>
  <si>
    <t>PERFORMED MAINTENANCE OF UNIT
VERIFIED AND CHECKED ALIGNMENTS
PERFORMED FUNCTIONALITY TEST</t>
  </si>
  <si>
    <t>UNIT IS OPERATIONALITY</t>
  </si>
  <si>
    <t>https://www.jotform.com/uploads/macarewecare/222927978372067/5660737131336297033/5660737131336297033_signature_28.png</t>
  </si>
  <si>
    <t>https://www.jotform.com/uploads/macarewecare/222927978372067/5660737131336297033/5660737131336297033_signature_31.png</t>
  </si>
  <si>
    <t>PERFORMED SURFACE CLEANING
VERIFIED TEMPERATURE AT -20°C
PERFORMED FUNCTIONALITY TEST</t>
  </si>
  <si>
    <t>https://www.jotform.com/uploads/macarewecare/222927978372067/5660734851334040335/5660734851334040335_signature_28.png</t>
  </si>
  <si>
    <t>https://www.jotform.com/uploads/macarewecare/222927978372067/5660734851334040335/5660734851334040335_signature_31.png</t>
  </si>
  <si>
    <t>Pampanga St., Gagalangin</t>
  </si>
  <si>
    <t>For installation of new AVR.</t>
  </si>
  <si>
    <t>Performed installation of AVR.
Generated reports.
Pulled-out defective AVR.</t>
  </si>
  <si>
    <t>Stavol AVR-SVC-1 (SVC1K190320MX058) ins replacement to defective Stavol AVR-SVC-1 (SVC1K190320MX039).</t>
  </si>
  <si>
    <t>DR#10203</t>
  </si>
  <si>
    <t>https://www.jotform.com/uploads/macarewecare/222927978372067/5660733824886373624/5660733824886373624_signature_28.png</t>
  </si>
  <si>
    <t>Maria Suzette Melencio</t>
  </si>
  <si>
    <t>https://www.jotform.com/uploads/macarewecare/222927978372067/5660733824886373624/5660733824886373624_signature_31.png</t>
  </si>
  <si>
    <t xml:space="preserve">ASSAY: Xpert MTB/RIF Ultra, COUNT: 165
ASSAY: Xpert SARS-CoV-2, COUNT: 1530
</t>
  </si>
  <si>
    <t>All modules H/W failed due to multiple temperature error</t>
  </si>
  <si>
    <t>All modules subject for replacement</t>
  </si>
  <si>
    <t>https://www.jotform.com/uploads/macarewecare/222927978372067/5660733481871076744/5660733481871076744_signature_28.png</t>
  </si>
  <si>
    <t>Roselle Jave Dignadice</t>
  </si>
  <si>
    <t>https://www.jotform.com/uploads/macarewecare/222927978372067/5660733481871076744/5660733481871076744_signature_31.png</t>
  </si>
  <si>
    <t>PERFORMED SURFACE CLEANING
PERFORMED DEFROSTING
VERIFIED TEMPERATURE AT -80°C
PERFORMED FUNCTIONALITY TEST</t>
  </si>
  <si>
    <t>https://www.jotform.com/uploads/macarewecare/222927978372067/5660732961339067988/5660732961339067988_signature_28.png</t>
  </si>
  <si>
    <t>https://www.jotform.com/uploads/macarewecare/222927978372067/5660732961339067988/5660732961339067988_signature_31.png</t>
  </si>
  <si>
    <t xml:space="preserve">ASSAY: Xpert MTB/RIF Ultra, COUNT: 41
ASSAY: Xpert SARS-CoV-2, COUNT: 3393
</t>
  </si>
  <si>
    <t>Perform  Genexpert machine Preventive maintenance</t>
  </si>
  <si>
    <t>https://www.jotform.com/uploads/macarewecare/222927978372067/5660731311872512167/5660731311872512167_signature_28.png</t>
  </si>
  <si>
    <t>ROSELLE JAVE DIGNADICE</t>
  </si>
  <si>
    <t>https://www.jotform.com/uploads/macarewecare/222927978372067/5660731311872512167/5660731311872512167_signature_31.png</t>
  </si>
  <si>
    <t>Social Hygiene Clinic - General Santos City</t>
  </si>
  <si>
    <t>Brgy. Lagao, General Santos</t>
  </si>
  <si>
    <t xml:space="preserve">ASSAY: Xpert HIV-1 Viral Load, COUNT: 0
ASSAY: Xpert MTB/RIF Ultra, COUNT: 0
</t>
  </si>
  <si>
    <t>Genexpert machine Installation 
Installed Dell laptop SN: CPH0822F40058
Import HIV-Viral load 
Import MTB - Ultra</t>
  </si>
  <si>
    <t>https://www.jotform.com/uploads/macarewecare/222927978372067/5660731311872947617/5660731311872947617_signature_28.png</t>
  </si>
  <si>
    <t>https://www.jotform.com/uploads/macarewecare/222927978372067/5660731311872947617/5660731311872947617_signature_31.png</t>
  </si>
  <si>
    <t>PERFORMED MAINTENANCE
CHECKED AND VERIFIED ALIGNMENTS
PERFORMED WATER RUN
PERFORMED FUNCTIONALITY TEST</t>
  </si>
  <si>
    <t>https://www.jotform.com/uploads/macarewecare/222927978372067/5660731081332385349/5660731081332385349_signature_28.png</t>
  </si>
  <si>
    <t>https://www.jotform.com/uploads/macarewecare/222927978372067/5660731081332385349/5660731081332385349_signature_31.png</t>
  </si>
  <si>
    <t>PERFORMED SURFACE CLEANING
VERIFIED TEMPERATURES AT 8°C, 2°C, AND -20°C
PERFORMED FUNCTIONALITY TEST</t>
  </si>
  <si>
    <t>https://www.jotform.com/uploads/macarewecare/222927978372067/5660728731335115855/5660728731335115855_signature_28.png</t>
  </si>
  <si>
    <t>https://www.jotform.com/uploads/macarewecare/222927978372067/5660728731335115855/5660728731335115855_signature_31.png</t>
  </si>
  <si>
    <t>PERFORMED SURFACE CLEANING
VERIFIED TEMPERATURE AT 2°C AND 8°C
PERFORMED FUNCTIONALITY TEST</t>
  </si>
  <si>
    <t>https://www.jotform.com/uploads/macarewecare/222927978372067/5660726381331520368/5660726381331520368_signature_28.png</t>
  </si>
  <si>
    <t>https://www.jotform.com/uploads/macarewecare/222927978372067/5660726381331520368/5660726381331520368_signature_31.png</t>
  </si>
  <si>
    <t>BIOPATH CLINICAL DIAGNOSTICS -EROD</t>
  </si>
  <si>
    <t>https://www.jotform.com/uploads/macarewecare/222927978372067/5660723971336076203/5660723971336076203_signature_28.png</t>
  </si>
  <si>
    <t>https://www.jotform.com/uploads/macarewecare/222927978372067/5660723971336076203/5660723971336076203_signature_31.png</t>
  </si>
  <si>
    <t>macabeberhutmlrtdl@yahoo.com</t>
  </si>
  <si>
    <t>A1 and A3 due for module replacement</t>
  </si>
  <si>
    <t>Performed Preventive Maintenance
Performed module replacement
Archived test results
Gathered reports
Performed functionality test</t>
  </si>
  <si>
    <t>https://www.jotform.com/uploads/macarewecare/222927978372067/5660722594647873733/5660722594647873733_signature_28.png</t>
  </si>
  <si>
    <t>https://www.jotform.com/uploads/macarewecare/222927978372067/5660722594647873733/5660722594647873733_signature_31.png</t>
  </si>
  <si>
    <t>Asuncion St. Binondo</t>
  </si>
  <si>
    <t xml:space="preserve">ASSAY: Xpert MTB/RIF Ultra, COUNT: 1336
</t>
  </si>
  <si>
    <t>Performed PM.
Performed module replacement on A4.
Generated reports.</t>
  </si>
  <si>
    <t>GX module A4 (650710) in replacement to defective A4 (729715).</t>
  </si>
  <si>
    <t>DR#10200</t>
  </si>
  <si>
    <t>https://www.jotform.com/uploads/macarewecare/222927978372067/5660694704882096349/5660694704882096349_signature_28.png</t>
  </si>
  <si>
    <t>https://www.jotform.com/uploads/macarewecare/222927978372067/5660694704882096349/5660694704882096349_signature_31.png</t>
  </si>
  <si>
    <t>78-A Maria Clara St., Sta. Mesa Heights, Quezon City</t>
  </si>
  <si>
    <t xml:space="preserve">ASSAY: Xpert MTB/RIF Ultra, COUNT: 993
</t>
  </si>
  <si>
    <t>Replaced Module B2
618609 -&gt; 210068183</t>
  </si>
  <si>
    <t>GX Module 6 Color</t>
  </si>
  <si>
    <t>G 5891</t>
  </si>
  <si>
    <t>https://www.jotform.com/uploads/macarewecare/222927978372067/5660685601421775865/5660685601421775865_signature_28.png</t>
  </si>
  <si>
    <t>Stella Maree Bernardo</t>
  </si>
  <si>
    <t>https://www.jotform.com/uploads/macarewecare/222927978372067/5660685601421775865/5660685601421775865_signature_31.png</t>
  </si>
  <si>
    <t>PERFORMED SURFACE CLEANING
VERIFIED TEMPERATURE AT 56°C AND 60°C
PERFORMED FUNCTIONALITY TEST</t>
  </si>
  <si>
    <t>https://www.jotform.com/uploads/macarewecare/222927978372067/5660684281335948843/5660684281335948843_signature_28.png</t>
  </si>
  <si>
    <t>https://www.jotform.com/uploads/macarewecare/222927978372067/5660684281335948843/5660684281335948843_signature_31.png</t>
  </si>
  <si>
    <t>PERFORMED SURFACE CLEANING
VERIFIED TEMPERATURE AT 129°C
PERFORMED FUNTIONALITY TEST</t>
  </si>
  <si>
    <t>NONR</t>
  </si>
  <si>
    <t>https://www.jotform.com/uploads/macarewecare/222927978372067/5660682301338130382/5660682301338130382_signature_28.png</t>
  </si>
  <si>
    <t>https://www.jotform.com/uploads/macarewecare/222927978372067/5660682301338130382/5660682301338130382_signature_31.png</t>
  </si>
  <si>
    <t>Tacloban city</t>
  </si>
  <si>
    <t xml:space="preserve">ASSAY: Xpert MTB/RIF, COUNT: 174
ASSAY: Xpert MTB/RIF Ultra, COUNT: 1141
</t>
  </si>
  <si>
    <t>Module B1 H/W Failed</t>
  </si>
  <si>
    <t>Module B1 - Service required 
Module B4 - multiple temperature error
Module B2 and B3 are in good condition</t>
  </si>
  <si>
    <t>https://www.jotform.com/uploads/macarewecare/222927978372067/5660681299199797625/5660681299199797625_signature_28.png</t>
  </si>
  <si>
    <t>MARTEE TINGZON</t>
  </si>
  <si>
    <t>https://www.jotform.com/uploads/macarewecare/222927978372067/5660681299199797625/5660681299199797625_signature_31.png</t>
  </si>
  <si>
    <t>G14-15 GARDEN HEIGHTS CONDOMINIUM, 269 E. RODRIGUEZ SR. AVE., QUEZON CITY</t>
  </si>
  <si>
    <t>https://www.jotform.com/uploads/macarewecare/222927978372067/5660680401331349664/5660680401331349664_signature_28.png</t>
  </si>
  <si>
    <t>https://www.jotform.com/uploads/macarewecare/222927978372067/5660680401331349664/5660680401331349664_signature_31.png</t>
  </si>
  <si>
    <t xml:space="preserve">ASSAY: Xpert HPV, COUNT: 648
ASSAY: Xpert MTB/RIF, COUNT: 1
ASSAY: Xpert MTB/RIF Ultra, COUNT: 508
</t>
  </si>
  <si>
    <t>GeneXpert Module
SN: 210036556, 210029825</t>
  </si>
  <si>
    <t>10182, 10183</t>
  </si>
  <si>
    <t>https://www.jotform.com/uploads/macarewecare/222927978372067/5660675931346849095/5660675931346849095_signature_28.png</t>
  </si>
  <si>
    <t>https://www.jotform.com/uploads/macarewecare/222927978372067/5660675931346849095/5660675931346849095_signature_31.png</t>
  </si>
  <si>
    <t>BIOPATH CLINICAL DIAGNOSTICS - E. ROD</t>
  </si>
  <si>
    <t>PERFORMED SURFACE CLEANING
VERIFIED TEMPERATURE AT 134°C
PERFORMED FUNCTIONALITY TEST</t>
  </si>
  <si>
    <t>https://www.jotform.com/uploads/macarewecare/222927978372067/5660673551333739721/5660673551333739721_signature_28.png</t>
  </si>
  <si>
    <t>https://www.jotform.com/uploads/macarewecare/222927978372067/5660673551333739721/5660673551333739721_signature_31.png</t>
  </si>
  <si>
    <t>Error 2008 on all modules</t>
  </si>
  <si>
    <t>Performed surface cleaning
Cleaning of plunger rod,icore,filter and cartridge bay
Archived test results
Run reliability test
Gathered reports
Performed functionality test</t>
  </si>
  <si>
    <t>Cartridge related error/issue</t>
  </si>
  <si>
    <t>https://www.jotform.com/uploads/macarewecare/222927978372067/5660673234641353042/5660673234641353042_signature_28.png</t>
  </si>
  <si>
    <t>https://www.jotform.com/uploads/macarewecare/222927978372067/5660673234641353042/5660673234641353042_signature_31.png</t>
  </si>
  <si>
    <t>A1 for module replacement
A3 for re-xpertcheck error 1001</t>
  </si>
  <si>
    <t>Performed surface cleaning
Performed module replacement
Cleaning of plunger rod,icore,filter and cartridge bay
Archived test results
Performed calibration
Gathered reports
Performed functionality test</t>
  </si>
  <si>
    <t>Modules passed calibration A3 under observation</t>
  </si>
  <si>
    <t>1 genexpert module
1 xpertcheck kit</t>
  </si>
  <si>
    <t>https://www.jotform.com/uploads/macarewecare/222927978372067/5660633050487025787/5660633050487025787_signature_28.png</t>
  </si>
  <si>
    <t>Abigail Sula</t>
  </si>
  <si>
    <t>https://www.jotform.com/uploads/macarewecare/222927978372067/5660633050487025787/5660633050487025787_signature_31.png</t>
  </si>
  <si>
    <t>Dr. Wenceslao Dela Paz Health Center</t>
  </si>
  <si>
    <t>SB Park, Banlat, Quezon City</t>
  </si>
  <si>
    <t xml:space="preserve">ASSAY: Xpert HPV, COUNT: 492
ASSAY: Xpert MTB/RIF, COUNT: 50
ASSAY: Xpert MTB/RIF Ultra, COUNT: 2420
</t>
  </si>
  <si>
    <t>Module 4: Hardware Failed</t>
  </si>
  <si>
    <t>Performed PM
Xpertcheck Module 4
Passed XpertCheck
Continue using Module 4
Will return when more error occured
Generated Report</t>
  </si>
  <si>
    <t>Performed XpertCheck on Module 4</t>
  </si>
  <si>
    <t>Unit is operational. Module 4 passed XpertCheck</t>
  </si>
  <si>
    <t>https://www.jotform.com/uploads/macarewecare/222927978372067/5660615481423061949/5660615481423061949_signature_28.png</t>
  </si>
  <si>
    <t>https://www.jotform.com/uploads/macarewecare/222927978372067/5660615481423061949/5660615481423061949_signature_31.png</t>
  </si>
  <si>
    <t>Cadiz City, Negros Occ.</t>
  </si>
  <si>
    <t xml:space="preserve">ASSAY: Xpert MTB/RIF, COUNT: 9
ASSAY: Xpert MTB/RIF Ultra, COUNT: 1877
</t>
  </si>
  <si>
    <t>Defective module for B4 with SN 862382</t>
  </si>
  <si>
    <t>Installation of new module for B4 with SN 777925</t>
  </si>
  <si>
    <t>https://www.jotform.com/uploads/macarewecare/222927978372067/5659954876613006688/5659954876613006688_signature_28.png</t>
  </si>
  <si>
    <t>Sherlyn Bacomo</t>
  </si>
  <si>
    <t>https://www.jotform.com/uploads/macarewecare/222927978372067/5659954876613006688/5659954876613006688_signature_31.png</t>
  </si>
  <si>
    <t>West Poblacion, Science City of Muñoz, Nueva Ecija</t>
  </si>
  <si>
    <t xml:space="preserve">ASSAY: Xpert MTB/RIF, COUNT: 0
ASSAY: Xpert MTB/RIF Ultra, COUNT: 582
</t>
  </si>
  <si>
    <t>Performed Xpertcheck on A1 module (Xpertcheck Result = Passed)</t>
  </si>
  <si>
    <t>Module Replacement = (757027 &amp; 761310 - 210005055 &amp; 210001822)</t>
  </si>
  <si>
    <t>Xpertcheck &amp; Genexpert Module (210005055 &amp; 210001822)</t>
  </si>
  <si>
    <t>10136 &amp; 10135</t>
  </si>
  <si>
    <t>https://www.jotform.com/uploads/macarewecare/222927978372067/5659942123619784187/5659942123619784187_signature_28.png</t>
  </si>
  <si>
    <t>https://www.jotform.com/uploads/macarewecare/222927978372067/5659942123619784187/5659942123619784187_signature_31.png</t>
  </si>
  <si>
    <t>https://www.jotform.com/uploads/macarewecare/222927978372067/5659942043615676462/5659942043615676462_signature_28.png</t>
  </si>
  <si>
    <t>https://www.jotform.com/uploads/macarewecare/222927978372067/5659942043615676462/5659942043615676462_signature_31.png</t>
  </si>
  <si>
    <t xml:space="preserve">ASSAY: Xpert CT/NG, COUNT: 0
ASSAY: Xpert HPV, COUNT: 0
</t>
  </si>
  <si>
    <t>Performed Maintenance
Gathered Reports
Replaced Genexpert PC
Performed Functionality Test</t>
  </si>
  <si>
    <t>Genexpert PC - CPH0622F38701</t>
  </si>
  <si>
    <t>G 5826</t>
  </si>
  <si>
    <t>https://www.jotform.com/uploads/macarewecare/222927978372067/5659940833616723294/5659940833616723294_signature_28.png</t>
  </si>
  <si>
    <t>Ella Mae Dela Cruz</t>
  </si>
  <si>
    <t>https://www.jotform.com/uploads/macarewecare/222927978372067/5659940833616723294/5659940833616723294_signature_31.png</t>
  </si>
  <si>
    <t>Immunology</t>
  </si>
  <si>
    <t xml:space="preserve">ASSAY: Xpert HIV-1 Viral Load, COUNT: 200
ASSAY: Xpert HCV VL, COUNT: 5
ASSAY: Xpert HBV VL, COUNT: 24
</t>
  </si>
  <si>
    <t>Module Replacement = 684570 &amp; 684571 - 634842 &amp; 635243</t>
  </si>
  <si>
    <t>Genexpert Module = 635243 &amp; 634842</t>
  </si>
  <si>
    <t>10142 &amp; 10141</t>
  </si>
  <si>
    <t>https://www.jotform.com/uploads/macarewecare/222927978372067/5659940833619341744/5659940833619341744_signature_28.png</t>
  </si>
  <si>
    <t>Lerdie Boy Castro</t>
  </si>
  <si>
    <t>https://www.jotform.com/uploads/macarewecare/222927978372067/5659940833619341744/5659940833619341744_signature_31.png</t>
  </si>
  <si>
    <t>Module B1 Hardware Fail</t>
  </si>
  <si>
    <t>Replace Module B1</t>
  </si>
  <si>
    <t>Replace Module B1 With new Serial number 879690</t>
  </si>
  <si>
    <t>https://www.jotform.com/uploads/macarewecare/222927978372067/5659848253916277594/5659848253916277594_signature_28.png</t>
  </si>
  <si>
    <t>https://www.jotform.com/uploads/macarewecare/222927978372067/5659848253916277594/5659848253916277594_signature_31.png</t>
  </si>
  <si>
    <t xml:space="preserve">ASSAY: Xpert MTB/RIF Ultra, COUNT: 755
</t>
  </si>
  <si>
    <t>Install the new module for B1 with SN 682655</t>
  </si>
  <si>
    <t>Replacement of Old module for B1 with SN 862261</t>
  </si>
  <si>
    <t>All 4 modules are functional</t>
  </si>
  <si>
    <t>https://www.jotform.com/uploads/macarewecare/222927978372067/5659823675862891469/5659823675862891469_signature_28.png</t>
  </si>
  <si>
    <t>https://www.jotform.com/uploads/macarewecare/222927978372067/5659823675862891469/5659823675862891469_signature_31.png</t>
  </si>
  <si>
    <t>Pider 1, Minglanilla Cebu</t>
  </si>
  <si>
    <t xml:space="preserve">ASSAY: Xpert HPV, COUNT: 998
ASSAY: Xpert MTB/RIF, COUNT: 100
ASSAY: Xpert MTB/RIF Ultra, COUNT: 1423
</t>
  </si>
  <si>
    <t>Module 2 Sn 862343 encountered a run time error 1002 during running</t>
  </si>
  <si>
    <t>Replaced new module for B2</t>
  </si>
  <si>
    <t>Replaced new module Sn 863260</t>
  </si>
  <si>
    <t>https://www.jotform.com/uploads/macarewecare/222927978372067/5659819964216668610/5659819964216668610_signature_28.png</t>
  </si>
  <si>
    <t>https://www.jotform.com/uploads/macarewecare/222927978372067/5659819964216668610/5659819964216668610_signature_31.png</t>
  </si>
  <si>
    <t>Siliman University Medical Center</t>
  </si>
  <si>
    <t>Aldecoa Street Dumaguete City Negros Oriental</t>
  </si>
  <si>
    <t>ellisab.024@gmail.com</t>
  </si>
  <si>
    <t xml:space="preserve">ASSAY: Xpert BCR-ABL Ultra, COUNT: 4
</t>
  </si>
  <si>
    <t>Module Fail A3 with Serial number 210070889</t>
  </si>
  <si>
    <t>Install New Module</t>
  </si>
  <si>
    <t>Install new Module with new Serial number 787982</t>
  </si>
  <si>
    <t>Module A3 ok to use</t>
  </si>
  <si>
    <t>https://www.jotform.com/uploads/macarewecare/222927978372067/5659782163912274718/5659782163912274718_signature_28.png</t>
  </si>
  <si>
    <t>Basille Dipaling</t>
  </si>
  <si>
    <t>https://www.jotform.com/uploads/macarewecare/222927978372067/5659782163912274718/5659782163912274718_signature_31.png</t>
  </si>
  <si>
    <t>Brgy. Datu Saber</t>
  </si>
  <si>
    <t>Defective UPS low power output</t>
  </si>
  <si>
    <t>Replaced UPS SN/: 40208052003
Install additional AVR</t>
  </si>
  <si>
    <t>https://www.jotform.com/uploads/macarewecare/222927978372067/5659741680955592805/5659741680955592805_signature_28.png</t>
  </si>
  <si>
    <t>Raisah Ubarco</t>
  </si>
  <si>
    <t>https://www.jotform.com/uploads/macarewecare/222927978372067/5659741680955592805/5659741680955592805_signature_31.png</t>
  </si>
  <si>
    <t xml:space="preserve">ASSAY: Xpert MTB/RIF Ultra, COUNT: 1726
</t>
  </si>
  <si>
    <t>Multiple error on B1</t>
  </si>
  <si>
    <t>Clean Surface Area, Cartridge Bay, Plunger Rod, Fan Filters and Icore Lenses
Re arrange the GeneXpert Setup</t>
  </si>
  <si>
    <t>Module B1 under observation</t>
  </si>
  <si>
    <t>High temps due to UPS was beside the GeneXpert Machine, and also UPS unit is low battery level</t>
  </si>
  <si>
    <t>https://www.jotform.com/uploads/macarewecare/222927978372067/5659426909919646855/5659426909919646855_signature_28.png</t>
  </si>
  <si>
    <t>Alfredo H. Santos Jr. RMT</t>
  </si>
  <si>
    <t>https://www.jotform.com/uploads/macarewecare/222927978372067/5659426909919646855/5659426909919646855_signature_31.png</t>
  </si>
  <si>
    <t>Pasay City Social Hygiene Clinic</t>
  </si>
  <si>
    <t>Malibay Health Center, Pasay</t>
  </si>
  <si>
    <t>marsha_dedios@yahoo.com</t>
  </si>
  <si>
    <t>Setup GX machine and accessories
Generated report</t>
  </si>
  <si>
    <t>https://www.jotform.com/uploads/macarewecare/222927978372067/5657413691919277748/5657413691919277748_signature_28.png</t>
  </si>
  <si>
    <t>Marsha Catherine De Dios</t>
  </si>
  <si>
    <t>https://www.jotform.com/uploads/macarewecare/222927978372067/5657413691919277748/5657413691919277748_signature_31.png</t>
  </si>
  <si>
    <t>UPS and Module A4 for replacement</t>
  </si>
  <si>
    <t>Performed preventive maintenance
Performed UPS and Module replacement
Gathered reports
Performed functionality test</t>
  </si>
  <si>
    <t>1 genexpert module and 1 UPS</t>
  </si>
  <si>
    <t>10201 and 10202</t>
  </si>
  <si>
    <t>https://www.jotform.com/uploads/macarewecare/222927978372067/5657371826015657201/5657371826015657201_signature_28.png</t>
  </si>
  <si>
    <t>Hermes Frias</t>
  </si>
  <si>
    <t>https://www.jotform.com/uploads/macarewecare/222927978372067/5657371826015657201/5657371826015657201_signature_31.png</t>
  </si>
  <si>
    <t>San Andres, Manila</t>
  </si>
  <si>
    <t>moninabatil16.prime@gmail.com</t>
  </si>
  <si>
    <t xml:space="preserve">ASSAY: Xpert MTB/RIF Ultra, COUNT: 2241
</t>
  </si>
  <si>
    <t>GXIV6C</t>
  </si>
  <si>
    <t>Module A1, A2, and A4 for replacement</t>
  </si>
  <si>
    <t>Performed PM
Replaced 3 modules 
Grnerated report</t>
  </si>
  <si>
    <t>Replaced 3 modules
A1: 757666 -&gt; 722232
A2: 757667 -&gt; 725116
A4: 757669 -&gt; 730662</t>
  </si>
  <si>
    <t>3 GX Modules 6 colors</t>
  </si>
  <si>
    <t>DR 10184, 10185, and 10186</t>
  </si>
  <si>
    <t>https://www.jotform.com/uploads/macarewecare/222927978372067/5657338981918470485/5657338981918470485_signature_28.png</t>
  </si>
  <si>
    <t>monina batil</t>
  </si>
  <si>
    <t>https://www.jotform.com/uploads/macarewecare/222927978372067/5657338981918470485/5657338981918470485_signature_31.png</t>
  </si>
  <si>
    <t xml:space="preserve">ASSAY: Xpert HPV, COUNT: 230
ASSAY: Xpert MTB/RIF, COUNT: 702
ASSAY: Xpert MTB/RIF Ultra, COUNT: 2128
ASSAY: Xpert HIV-1 Viral Load, COUNT: 42
</t>
  </si>
  <si>
    <t>Module A3 defective</t>
  </si>
  <si>
    <t>-Replace defective module A3/676993 with new module SN: 880306</t>
  </si>
  <si>
    <t>1 GeneXpert Module 6-Color 900-0491R</t>
  </si>
  <si>
    <t>DR 10131</t>
  </si>
  <si>
    <t>https://www.jotform.com/uploads/macarewecare/222927978372067/5657327566453197985/5657327566453197985_signature_28.png</t>
  </si>
  <si>
    <t>James Ryan Galos</t>
  </si>
  <si>
    <t>https://www.jotform.com/uploads/macarewecare/222927978372067/5657327566453197985/5657327566453197985_signature_31.png</t>
  </si>
  <si>
    <t xml:space="preserve">ASSAY: Xpert HPV, COUNT: 228
ASSAY: Xpert MTB/RIF, COUNT: 672
ASSAY: Xpert MTB/RIF Ultra, COUNT: 2231
ASSAY: Xpert HIV-1 Viral Load, COUNT: 31
</t>
  </si>
  <si>
    <t>https://www.jotform.com/uploads/macarewecare/222927978372067/5657323326458663476/5657323326458663476_signature_28.png</t>
  </si>
  <si>
    <t>https://www.jotform.com/uploads/macarewecare/222927978372067/5657323326458663476/5657323326458663476_signature_31.png</t>
  </si>
  <si>
    <t>LAPU-LAPU CITY HEALTH OFFICE</t>
  </si>
  <si>
    <t>Lapu-lapu City, Cebu</t>
  </si>
  <si>
    <t xml:space="preserve">ASSAY: Xpert MTB/RIF, COUNT: 442
ASSAY: Xpert MTB/RIF Ultra, COUNT: 1901
</t>
  </si>
  <si>
    <t>FOR MODULE A1,A2, AND A3 REPLACEMENT</t>
  </si>
  <si>
    <t>A1 DEF SN: 656994 ; NEW SN: 894967
A2 DEF SN: 806133 ; NEW SN: 860337
A3 DEF SN: 664865 ; NEW SN: 861244</t>
  </si>
  <si>
    <t>https://www.jotform.com/uploads/macarewecare/222927978372067/5657315483916724379/5657315483916724379_signature_28.png</t>
  </si>
  <si>
    <t>https://www.jotform.com/uploads/macarewecare/222927978372067/5657315483916724379/5657315483916724379_signature_31.png</t>
  </si>
  <si>
    <t>LAPU-LAPU CITY</t>
  </si>
  <si>
    <t>PERFORM MODULE REPLACEMENT
A1 DEF SN: 656994 ; NEW SN: 894967
A2 DEF SN: 806133 ; NEW SN: 860337
A3 DEF SN: 664865 ; NEW SN: 861244</t>
  </si>
  <si>
    <t>GX MODULE 6</t>
  </si>
  <si>
    <t>https://www.jotform.com/uploads/macarewecare/222927978372067/5657307071324748592/5657307071324748592_signature_28.png</t>
  </si>
  <si>
    <t>https://www.jotform.com/uploads/macarewecare/222927978372067/5657307071324748592/5657307071324748592_signature_31.png</t>
  </si>
  <si>
    <t>Murcia Rural Health Unit</t>
  </si>
  <si>
    <t>Municipality of Murcia</t>
  </si>
  <si>
    <t>kambal.kapid@gmail.com</t>
  </si>
  <si>
    <t>Run Xpert check for 2 mofules</t>
  </si>
  <si>
    <t>Xpert check calibration</t>
  </si>
  <si>
    <t>The two modules passed the calibration</t>
  </si>
  <si>
    <t>https://www.jotform.com/uploads/macarewecare/222927978372067/5657304036714042259/5657304036714042259_signature_28.png</t>
  </si>
  <si>
    <t>Allan Benjamin</t>
  </si>
  <si>
    <t>https://www.jotform.com/uploads/macarewecare/222927978372067/5657304036714042259/5657304036714042259_signature_31.png</t>
  </si>
  <si>
    <t xml:space="preserve">ASSAY: Xpert MTB/RIF Ultra, COUNT: 1086
</t>
  </si>
  <si>
    <t>Unit is located temporarily at Calabash Health Center.</t>
  </si>
  <si>
    <t>https://www.jotform.com/uploads/macarewecare/222927978372067/5657282406714962711/5657282406714962711_signature_28.png</t>
  </si>
  <si>
    <t>https://www.jotform.com/uploads/macarewecare/222927978372067/5657282406714962711/5657282406714962711_signature_31.png</t>
  </si>
  <si>
    <t>Unit is operational. Modules B1, B2 and B4 are service required.</t>
  </si>
  <si>
    <t>https://www.jotform.com/uploads/macarewecare/222927978372067/5657281206717067753/5657281206717067753_signature_28.png</t>
  </si>
  <si>
    <t>Clarinda SharonP.Surell</t>
  </si>
  <si>
    <t>https://www.jotform.com/uploads/macarewecare/222927978372067/5657281206717067753/5657281206717067753_signature_31.png</t>
  </si>
  <si>
    <t>Sto. Domingo 2nd, Municipal Compound, Capas, Tarlac</t>
  </si>
  <si>
    <t xml:space="preserve">ASSAY: Xpert MTB/RIF Ultra, COUNT: 1621
</t>
  </si>
  <si>
    <t>Defective UPS and module A4, for replacemenet</t>
  </si>
  <si>
    <t>Performed Preventive maintenance
Performed module and UPS replacement 
Gathered reports
Performed functionality test</t>
  </si>
  <si>
    <t>1 genexpert module and UPS</t>
  </si>
  <si>
    <t>10204 &amp; 10202</t>
  </si>
  <si>
    <t>https://www.jotform.com/uploads/macarewecare/222927978372067/5657275931118770379/5657275931118770379_signature_28.png</t>
  </si>
  <si>
    <t>https://www.jotform.com/uploads/macarewecare/222927978372067/5657275931118770379/5657275931118770379_signature_31.png</t>
  </si>
  <si>
    <t>Pedro Gil St. Sta. Ana, Manila</t>
  </si>
  <si>
    <t xml:space="preserve">ASSAY: Xpert MTB/RIF Ultra, COUNT: 395
</t>
  </si>
  <si>
    <t>Performed PM 
Replaced B2 
Generated report</t>
  </si>
  <si>
    <t>Replaced B2
635445 -&gt; 210100154</t>
  </si>
  <si>
    <t>GX module 6 colors</t>
  </si>
  <si>
    <t>G 5825</t>
  </si>
  <si>
    <t>https://www.jotform.com/uploads/macarewecare/222927978372067/5657244801913086199/5657244801913086199_signature_28.png</t>
  </si>
  <si>
    <t>https://www.jotform.com/uploads/macarewecare/222927978372067/5657244801913086199/5657244801913086199_signature_31.png</t>
  </si>
  <si>
    <t>Pedro Gil St., Sta. Ana, Manila</t>
  </si>
  <si>
    <t>Modules A1, A3, A4 for replacement
Intermittent problem on CPU not booting up</t>
  </si>
  <si>
    <t>Checked CPU
Cleaned RAM again and switched position; problem solved
CPU problem intermittent
Performed PM
Replaced 3 modules 
Generated report</t>
  </si>
  <si>
    <t>Troubleshoot CPU
Replaced 3 modules
A1: 800869 -&gt; 710480
A3: 757054 -&gt; 711250
A4: 757055 -&gt; 714937</t>
  </si>
  <si>
    <t>GX is operational. All modules working
CPU for reporting</t>
  </si>
  <si>
    <t>3 GX modules 6 colors</t>
  </si>
  <si>
    <t>DR 10187, 10188, 10189</t>
  </si>
  <si>
    <t>https://www.jotform.com/uploads/macarewecare/222927978372067/5657233921911149883/5657233921911149883_signature_28.png</t>
  </si>
  <si>
    <t>https://www.jotform.com/uploads/macarewecare/222927978372067/5657233921911149883/5657233921911149883_signature_31.png</t>
  </si>
  <si>
    <t>Valladolid Carcar City Cebu</t>
  </si>
  <si>
    <t xml:space="preserve">ASSAY: Xpert MTB/RIF Ultra, COUNT: 1476
</t>
  </si>
  <si>
    <t>Gx</t>
  </si>
  <si>
    <t>B2 failed during calibration and due to error 1002 during operation</t>
  </si>
  <si>
    <t>Replaced new module
Instruct medtech to maintain room temperature during running</t>
  </si>
  <si>
    <t>Replaced new module with SN 861432</t>
  </si>
  <si>
    <t>https://www.jotform.com/uploads/macarewecare/222927978372067/5657216485273192061/5657216485273192061_signature_28.png</t>
  </si>
  <si>
    <t>https://www.jotform.com/uploads/macarewecare/222927978372067/5657216485273192061/5657216485273192061_signature_31.png</t>
  </si>
  <si>
    <t>https://www.jotform.com/uploads/macarewecare/222927978372067/5657210874423532068/5657210874423532068_signature_28.png</t>
  </si>
  <si>
    <t>https://www.jotform.com/uploads/macarewecare/222927978372067/5657210874423532068/5657210874423532068_signature_31.png</t>
  </si>
  <si>
    <t>Begy. Datu Saber, Marawi City</t>
  </si>
  <si>
    <t xml:space="preserve">ASSAY: Xpert SARS-CoV-2, COUNT: 7937
</t>
  </si>
  <si>
    <t>H/W Fail on Module B1 and B3</t>
  </si>
  <si>
    <t>Preventive Maintenance
Module replacement
Generate Report files 
Database back up</t>
  </si>
  <si>
    <t>https://www.jotform.com/uploads/macarewecare/222927978372067/5657210494424482645/5657210494424482645_signature_28.png</t>
  </si>
  <si>
    <t>https://www.jotform.com/uploads/macarewecare/222927978372067/5657210494424482645/5657210494424482645_signature_31.png</t>
  </si>
  <si>
    <t xml:space="preserve">ASSAY: Xpert HPV, COUNT: 25
ASSAY: Xpert MTB/RIF Ultra, COUNT: 1460
</t>
  </si>
  <si>
    <t>Unit for PM.
For module replacement of module A1 and A3.</t>
  </si>
  <si>
    <t>Performed PM.
Performed module replacement in A1 and A3.
Generated reports.</t>
  </si>
  <si>
    <t>Unit is operational. Facility has defective aircon.</t>
  </si>
  <si>
    <t>GX module A1 (743263) and A3 (210019525) in replacement to defective A1 (791798) and A3 (693447).</t>
  </si>
  <si>
    <t>DR#10169 and DR#10170</t>
  </si>
  <si>
    <t>https://www.jotform.com/uploads/macarewecare/222927978372067/5657207165919369196/5657207165919369196_signature_28.png</t>
  </si>
  <si>
    <t>https://www.jotform.com/uploads/macarewecare/222927978372067/5657207165919369196/5657207165919369196_signature_31.png</t>
  </si>
  <si>
    <t>https://www.jotform.com/uploads/macarewecare/222927978372067/5657180533123838807/5657180533123838807_signature_28.png</t>
  </si>
  <si>
    <t>https://www.jotform.com/uploads/macarewecare/222927978372067/5657180533123838807/5657180533123838807_signature_31.png</t>
  </si>
  <si>
    <t>Defective module a3 sn 640129</t>
  </si>
  <si>
    <t>Clean fan filter, New module install module a3 sn</t>
  </si>
  <si>
    <t>New module install module a3 sn</t>
  </si>
  <si>
    <t>https://www.jotform.com/uploads/macarewecare/222927978372067/5657141412166383842/5657141412166383842_signature_28.png</t>
  </si>
  <si>
    <t>https://www.jotform.com/uploads/macarewecare/222927978372067/5657141412166383842/5657141412166383842_signature_31.png</t>
  </si>
  <si>
    <t>Defective module C3 sn 665155</t>
  </si>
  <si>
    <t>Install module, clean fan filter</t>
  </si>
  <si>
    <t>New module installed C3 sn 210092890</t>
  </si>
  <si>
    <t>https://www.jotform.com/uploads/macarewecare/222927978372067/5657140232169352144/5657140232169352144_signature_28.png</t>
  </si>
  <si>
    <t>Cyril cordova</t>
  </si>
  <si>
    <t>https://www.jotform.com/uploads/macarewecare/222927978372067/5657140232169352144/5657140232169352144_signature_31.png</t>
  </si>
  <si>
    <t>Tacloban</t>
  </si>
  <si>
    <t xml:space="preserve">ASSAY: Xpert MTB/RIF, COUNT: 180
ASSAY: Xpert MTB/RIF Ultra, COUNT: 1133
</t>
  </si>
  <si>
    <t>Module B4 H/W Failed</t>
  </si>
  <si>
    <t>Unit is Operational (Module B4 for monitoring temperature error)</t>
  </si>
  <si>
    <t>https://www.jotform.com/uploads/macarewecare/222927978372067/5657129659191086187/5657129659191086187_signature_28.png</t>
  </si>
  <si>
    <t>https://www.jotform.com/uploads/macarewecare/222927978372067/5657129659191086187/5657129659191086187_signature_31.png</t>
  </si>
  <si>
    <t>H. Lopez Blvd. Balut</t>
  </si>
  <si>
    <t xml:space="preserve">ASSAY: Xpert HPV, COUNT: 100
ASSAY: Xpert MTB/RIF Ultra, COUNT: 244
ASSAY: Xpert SARS-CoV-2, COUNT: 1562
ASSAY: Xpert HIV-1 Viral Load, COUNT: 5
</t>
  </si>
  <si>
    <t>Unit for PM.
For module replacement of module A2 and A3.</t>
  </si>
  <si>
    <t>Performed PM.
Performed module replacement of A2 and A3.
Generated reports.</t>
  </si>
  <si>
    <t>GX module A2 (210058805) and A3 (210058675) in replacement to defective A2 (612830) and A3 (633967)</t>
  </si>
  <si>
    <t>DR#10166 and DR#10165</t>
  </si>
  <si>
    <t>https://www.jotform.com/uploads/macarewecare/222927978372067/5657106475918424181/5657106475918424181_signature_28.png</t>
  </si>
  <si>
    <t>https://www.jotform.com/uploads/macarewecare/222927978372067/5657106475918424181/5657106475918424181_signature_31.png</t>
  </si>
  <si>
    <t>JARO RURAL HEALTH UNIT</t>
  </si>
  <si>
    <t>mendoza.anikks@yahoo.com.ph</t>
  </si>
  <si>
    <t xml:space="preserve">ASSAY: Xpert MTB/RIF, COUNT: 7
ASSAY: Xpert MTB/RIF Ultra, COUNT: 639
</t>
  </si>
  <si>
    <t>https://www.jotform.com/uploads/macarewecare/222927978372067/5656719700512243551/5656719700512243551_signature_28.png</t>
  </si>
  <si>
    <t>Anikka Mendoza</t>
  </si>
  <si>
    <t>https://www.jotform.com/uploads/macarewecare/222927978372067/5656719700512243551/5656719700512243551_signature_31.png</t>
  </si>
  <si>
    <t xml:space="preserve">ASSAY: Xpert MTB/RIF, COUNT: 149
ASSAY: Xpert MTB/RIF Ultra, COUNT: 779
</t>
  </si>
  <si>
    <t>Due For Calibration</t>
  </si>
  <si>
    <t>https://www.jotform.com/uploads/macarewecare/222927978372067/5656704898402227830/5656704898402227830_signature_28.png</t>
  </si>
  <si>
    <t>https://www.jotform.com/uploads/macarewecare/222927978372067/5656704898402227830/5656704898402227830_signature_31.png</t>
  </si>
  <si>
    <t xml:space="preserve">ASSAY: Xpert MTB/RIF, COUNT: 87
ASSAY: Xpert MTB/RIF Ultra, COUNT: 1611
</t>
  </si>
  <si>
    <t>Module A1 found Service Required from XPC Calibration</t>
  </si>
  <si>
    <t>https://www.jotform.com/uploads/macarewecare/222927978372067/5656427637668399870/5656427637668399870_signature_28.png</t>
  </si>
  <si>
    <t>https://www.jotform.com/uploads/macarewecare/222927978372067/5656427637668399870/5656427637668399870_signature_31.png</t>
  </si>
  <si>
    <t>Poblacion, Malapatan, Sarangani Province</t>
  </si>
  <si>
    <t>rhumalapatan.12@gmail.com</t>
  </si>
  <si>
    <t>Fixed/repair module 1 stuck cartridge</t>
  </si>
  <si>
    <t>https://www.jotform.com/uploads/macarewecare/222927978372067/5656405239216201863/5656405239216201863_signature_28.png</t>
  </si>
  <si>
    <t>CERES MAE JIMENEZ</t>
  </si>
  <si>
    <t>https://www.jotform.com/uploads/macarewecare/222927978372067/5656405239216201863/5656405239216201863_signature_31.png</t>
  </si>
  <si>
    <t>Maharlika Hwy., Poblacion II, Basud</t>
  </si>
  <si>
    <t>RTDL LABORATORY</t>
  </si>
  <si>
    <t>Cleaned Cartridge bays, plunger rod, filter
Generate reports</t>
  </si>
  <si>
    <t>https://www.jotform.com/uploads/macarewecare/222927978372067/5656359544519323039/5656359544519323039_signature_28.png</t>
  </si>
  <si>
    <t>https://www.jotform.com/uploads/macarewecare/222927978372067/5656359544519323039/5656359544519323039_signature_31.png</t>
  </si>
  <si>
    <t>Carcar City City Health Office</t>
  </si>
  <si>
    <t xml:space="preserve">ASSAY: Xpert MTB/RIF Ultra, COUNT: 1590
</t>
  </si>
  <si>
    <t>Error 2037 B1 and B4
No air Filter damaged</t>
  </si>
  <si>
    <t>Performed maintenance particular in Icore and plunger
Need additional air filter</t>
  </si>
  <si>
    <t>Performed plunger maintenance, clean Icore, valve, cartridge bay</t>
  </si>
  <si>
    <t>All modules are operational except B2 waiting for replacement</t>
  </si>
  <si>
    <t>https://www.jotform.com/uploads/macarewecare/222927978372067/5656320820483211807/5656320820483211807_signature_28.png</t>
  </si>
  <si>
    <t>Lucille Mae Potoy</t>
  </si>
  <si>
    <t>https://www.jotform.com/uploads/macarewecare/222927978372067/5656320820483211807/5656320820483211807_signature_31.png</t>
  </si>
  <si>
    <t>F. O. Balsa St., Brgy. II, Poblacion</t>
  </si>
  <si>
    <t>686319/B3 for Re-XpertCheck</t>
  </si>
  <si>
    <t>Performed Re-XpertCheck: 686319/B3 - service required
Cleaned Cartridge bays, fan filter, plunger rod,</t>
  </si>
  <si>
    <t>Performed Re-XpertCheck, Preventive Maintenance</t>
  </si>
  <si>
    <t>Unit is operational
686319/B3 - service required</t>
  </si>
  <si>
    <t>https://www.jotform.com/uploads/macarewecare/222927978372067/5656293874512249602/5656293874512249602_signature_28.png</t>
  </si>
  <si>
    <t>Amabel Bardon</t>
  </si>
  <si>
    <t>https://www.jotform.com/uploads/macarewecare/222927978372067/5656293874512249602/5656293874512249602_signature_31.png</t>
  </si>
  <si>
    <t>CEBU</t>
  </si>
  <si>
    <t>litomanubag@gmail.com</t>
  </si>
  <si>
    <t xml:space="preserve">ASSAY: Xpert MTB/RIF, COUNT: 4
ASSAY: Xpert MTB/RIF Ultra, COUNT: 1033
ASSAY: Xpert HIV-1 Viral Load, COUNT: 2
</t>
  </si>
  <si>
    <t>COLLECT IQR,SYSTEM LOG,AND ARCHIVE</t>
  </si>
  <si>
    <t>PERFORM B1 DEF SN:861765 REPLACEMENT WITH NEW SN: 210100365</t>
  </si>
  <si>
    <t>https://www.jotform.com/uploads/macarewecare/222927978372067/5655646772516492955/5655646772516492955_signature_28.png</t>
  </si>
  <si>
    <t>JOSELITO MANUBAG</t>
  </si>
  <si>
    <t>https://www.jotform.com/uploads/macarewecare/222927978372067/5655646772516492955/5655646772516492955_signature_31.png</t>
  </si>
  <si>
    <t>Camarin, Caloocan</t>
  </si>
  <si>
    <t>GeneXpert Module
SN: 210100166</t>
  </si>
  <si>
    <t>https://www.jotform.com/uploads/macarewecare/222927978372067/5655603179112694860/5655603179112694860_signature_28.png</t>
  </si>
  <si>
    <t>https://www.jotform.com/uploads/macarewecare/222927978372067/5655603179112694860/5655603179112694860_signature_31.png</t>
  </si>
  <si>
    <t>Maharlika Hwy, Poblacion, Talisay</t>
  </si>
  <si>
    <t>Performed Xpertcheck
Cleaned Cartridge bays, plunger rod, icore
Generate Reports</t>
  </si>
  <si>
    <t>Performed Xpertcheck, Preventive Maintenance</t>
  </si>
  <si>
    <t>Unit is Operational
B1 - passed
B2 - passed</t>
  </si>
  <si>
    <t>https://www.jotform.com/uploads/macarewecare/222927978372067/5655601810412869605/5655601810412869605_signature_28.png</t>
  </si>
  <si>
    <t>Editha V. Savilla</t>
  </si>
  <si>
    <t>https://www.jotform.com/uploads/macarewecare/222927978372067/5655601810412869605/5655601810412869605_signature_31.png</t>
  </si>
  <si>
    <t>Performed PM
Replaced modules A1 and A3
Generated report</t>
  </si>
  <si>
    <t>Replaced modules A1 and A3
A1: 758240 -&gt; 210043899
A3: 758243 -&gt; 688716</t>
  </si>
  <si>
    <t>unit is operational. all modules working</t>
  </si>
  <si>
    <t>DR 10160 and 10159</t>
  </si>
  <si>
    <t>https://www.jotform.com/uploads/macarewecare/222927978372067/5655601763813809401/5655601763813809401_signature_28.png</t>
  </si>
  <si>
    <t>Josephine L.Dingle</t>
  </si>
  <si>
    <t>https://www.jotform.com/uploads/macarewecare/222927978372067/5655601763813809401/5655601763813809401_signature_31.png</t>
  </si>
  <si>
    <t>Saguin, City Of San Fernando, Pampanga</t>
  </si>
  <si>
    <t>None, For PM and calibration.</t>
  </si>
  <si>
    <t>Performed maintenance and calibration.
Replaced pump rotor rubber roller.</t>
  </si>
  <si>
    <t>Performed preventive maintenance and Calibration.</t>
  </si>
  <si>
    <t>Rotor rubber roller.</t>
  </si>
  <si>
    <t>DR num: 10103</t>
  </si>
  <si>
    <t>https://www.jotform.com/uploads/macarewecare/222927978372067/5655576786217833705/5655576786217833705_signature_28.png</t>
  </si>
  <si>
    <t>Rochelle Loren B. Guiao</t>
  </si>
  <si>
    <t>https://www.jotform.com/uploads/macarewecare/222927978372067/5655576786217833705/5655576786217833705_signature_31.png</t>
  </si>
  <si>
    <t>B1 SN:  716217 encountered a run timr error of 1002 several times and B4 2032 an improper tuning of ultrasonic horn</t>
  </si>
  <si>
    <t>Performed maintenance and replacement in B1 and B4 conduct self test
Run specimen in B1 and B4</t>
  </si>
  <si>
    <t>Replaced new module 210100651 and performed preventive maintnenance in B4 such as cleaning of Icore, Ultrasonic horn, plunger maintenance</t>
  </si>
  <si>
    <t>https://www.jotform.com/uploads/macarewecare/222927978372067/5655553743148065004/5655553743148065004_signature_28.png</t>
  </si>
  <si>
    <t>Alaizza Jane Rivera, RMT</t>
  </si>
  <si>
    <t>https://www.jotform.com/uploads/macarewecare/222927978372067/5655553743148065004/5655553743148065004_signature_31.png</t>
  </si>
  <si>
    <t>Jose Panganiban RHU</t>
  </si>
  <si>
    <t>Roy Padilla Blvd., South Poblacion, Jose Panganiban</t>
  </si>
  <si>
    <t xml:space="preserve">ASSAY: Xpert MTB/RIF Ultra, COUNT: 1671
</t>
  </si>
  <si>
    <t>Cleaned machine fan, fan filter, icore, plunger rod, cartridge bays 
Generate reports</t>
  </si>
  <si>
    <t>B3 - sufficient report collected. To be reported</t>
  </si>
  <si>
    <t>https://www.jotform.com/uploads/macarewecare/222927978372067/5655530411015589457/5655530411015589457_signature_28.png</t>
  </si>
  <si>
    <t>Ma. Teresita Peñas</t>
  </si>
  <si>
    <t>https://www.jotform.com/uploads/macarewecare/222927978372067/5655530411015589457/5655530411015589457_signature_31.png</t>
  </si>
  <si>
    <t>Gagalangin, Tondo</t>
  </si>
  <si>
    <t>malorinamanera@yahoo.com</t>
  </si>
  <si>
    <t>Performed PM.
Performed module replacement of module A1.</t>
  </si>
  <si>
    <t>GX module A1 (210012414) in replacement to defective A1 (638087).</t>
  </si>
  <si>
    <t>DR#10164</t>
  </si>
  <si>
    <t>https://www.jotform.com/uploads/macarewecare/222927978372067/5655521921527201260/5655521921527201260_signature_28.png</t>
  </si>
  <si>
    <t>Ma. Lorina Lontoc</t>
  </si>
  <si>
    <t>https://www.jotform.com/uploads/macarewecare/222927978372067/5655521921527201260/5655521921527201260_signature_31.png</t>
  </si>
  <si>
    <t>GeneXpert Module
SN: 210100169</t>
  </si>
  <si>
    <t>https://www.jotform.com/uploads/macarewecare/222927978372067/5655513925229502788/5655513925229502788_signature_28.png</t>
  </si>
  <si>
    <t>https://www.jotform.com/uploads/macarewecare/222927978372067/5655513925229502788/5655513925229502788_signature_31.png</t>
  </si>
  <si>
    <t>Poblacion Dalaguete, Cebu</t>
  </si>
  <si>
    <t>B1 SN# 716217 encountered run time  error of 1002 due to temperature problem and B4 Sn 210073850 improper tuning of ultrasonic horn error 2032</t>
  </si>
  <si>
    <t>Replaced new module of B1 and conduct corrective maintenance in B4
Conduct specimen run in B1 and B4</t>
  </si>
  <si>
    <t>Replacement of new module in B1 SN 210100651
Clean B4 the ultrasonic horn and restart module</t>
  </si>
  <si>
    <t>https://www.jotform.com/uploads/macarewecare/222927978372067/5655509443149892982/5655509443149892982_signature_28.png</t>
  </si>
  <si>
    <t>https://www.jotform.com/uploads/macarewecare/222927978372067/5655509443149892982/5655509443149892982_signature_31.png</t>
  </si>
  <si>
    <t xml:space="preserve">ASSAY: Xpert MTB/RIF Ultra, COUNT: 883
</t>
  </si>
  <si>
    <t>Unit for PM.
For module replacement of B1 and B2.</t>
  </si>
  <si>
    <t>Performed PM.
Performed module replacement of B1 and B2.</t>
  </si>
  <si>
    <t>GX module B1 (701803) and B2 (701926) in replacement to defective B1 (660338) and B2 (673276).</t>
  </si>
  <si>
    <t>DR#10167 and DR#10168</t>
  </si>
  <si>
    <t>https://www.jotform.com/uploads/macarewecare/222927978372067/5655485891526538167/5655485891526538167_signature_28.png</t>
  </si>
  <si>
    <t>https://www.jotform.com/uploads/macarewecare/222927978372067/5655485891526538167/5655485891526538167_signature_31.png</t>
  </si>
  <si>
    <t>Performed Self Test</t>
  </si>
  <si>
    <t>https://www.jotform.com/uploads/macarewecare/222927978372067/5655467341329069495/5655467341329069495_signature_28.png</t>
  </si>
  <si>
    <t>https://www.jotform.com/uploads/macarewecare/222927978372067/5655467341329069495/5655467341329069495_signature_31.png</t>
  </si>
  <si>
    <t>Arsenia J. Maximo Super Health Center</t>
  </si>
  <si>
    <t>Dona Isaura, Novaliches, Quezon City</t>
  </si>
  <si>
    <t>elyvette_macalalag@yahoo.com</t>
  </si>
  <si>
    <t xml:space="preserve">ASSAY: Xpert HPV, COUNT: 155
ASSAY: Xpert MTB/RIF, COUNT: 100
ASSAY: Xpert MTB/RIF Ultra, COUNT: 1105
ASSAY: Xpert HIV-1 Viral Load, COUNT: 254
</t>
  </si>
  <si>
    <t>PC's time reverts back to the turned off time</t>
  </si>
  <si>
    <t>Set windows time to automatic ;problem persists
Replaced CMOS battery; problem solved
Performed PM
Generated report</t>
  </si>
  <si>
    <t>Troubleshoot Windows Time and CMOS battery</t>
  </si>
  <si>
    <t>Unit is operational. Date and time displays current time</t>
  </si>
  <si>
    <t>https://www.jotform.com/uploads/macarewecare/222927978372067/5655433303815230496/5655433303815230496_signature_28.png</t>
  </si>
  <si>
    <t>Elyvette M. Basa</t>
  </si>
  <si>
    <t>https://www.jotform.com/uploads/macarewecare/222927978372067/5655433303815230496/5655433303815230496_signature_31.png</t>
  </si>
  <si>
    <t>Talubatib, Labo</t>
  </si>
  <si>
    <t>analyn.consuelo@yahoo.com</t>
  </si>
  <si>
    <t>B3 for Re-xpertcheck</t>
  </si>
  <si>
    <t>Performed Re-XpertCheck
Cleaned Cartridge bays, plunger rod, icore
Generate reports</t>
  </si>
  <si>
    <t>Unit is operational
Re-Xpertcheck B-3 passed
For observation</t>
  </si>
  <si>
    <t>https://www.jotform.com/uploads/macarewecare/222927978372067/5655430661016496469/5655430661016496469_signature_28.png</t>
  </si>
  <si>
    <t>https://www.jotform.com/uploads/macarewecare/222927978372067/5655430661016496469/5655430661016496469_signature_31.png</t>
  </si>
  <si>
    <t>Mayorgq leyte</t>
  </si>
  <si>
    <t>irrnepsia@yahoo.com</t>
  </si>
  <si>
    <t xml:space="preserve">ASSAY: Xpert MTB/RIF Ultra, COUNT: 729
</t>
  </si>
  <si>
    <t>https://www.jotform.com/uploads/macarewecare/222927978372067/5655370607113801554/5655370607113801554_signature_28.png</t>
  </si>
  <si>
    <t>Irene P. Sia</t>
  </si>
  <si>
    <t>https://www.jotform.com/uploads/macarewecare/222927978372067/5655370607113801554/5655370607113801554_signature_31.png</t>
  </si>
  <si>
    <t>Guitnang bayan 1, San Mateo,</t>
  </si>
  <si>
    <t>For xpertcheck and maintenance</t>
  </si>
  <si>
    <t>Cleaned unit.cleaned Filter,plunger rod,cartridge bay,icore,gathered reports,performed xpertcheck, test run unit</t>
  </si>
  <si>
    <t>https://www.jotform.com/uploads/macarewecare/222927978372067/5654855411902111228/5654855411902111228_signature_28.png</t>
  </si>
  <si>
    <t>https://www.jotform.com/uploads/macarewecare/222927978372067/5654855411902111228/5654855411902111228_signature_31.png</t>
  </si>
  <si>
    <t>150 Pajo, Project 2, Quezon City</t>
  </si>
  <si>
    <t xml:space="preserve">ASSAY: Xpert HPV, COUNT: 4
ASSAY: Xpert MTB/RIF Ultra, COUNT: 1073
ASSAY: Others, COUNT: 207
</t>
  </si>
  <si>
    <t>Performed PM
Replaced Module A1 &amp; A2
Generated report</t>
  </si>
  <si>
    <t>Replaced Module A1 and A2
A1: 757725 -&gt; 210093175
A2: 793284 -&gt; 210093174</t>
  </si>
  <si>
    <t>2 GX Modules 6 Colors</t>
  </si>
  <si>
    <t>DR 10157 &amp; 10158</t>
  </si>
  <si>
    <t>https://www.jotform.com/uploads/macarewecare/222927978372067/5654781416318785507/5654781416318785507_signature_28.png</t>
  </si>
  <si>
    <t>mary claire p baptista</t>
  </si>
  <si>
    <t>https://www.jotform.com/uploads/macarewecare/222927978372067/5654781416318785507/5654781416318785507_signature_31.png</t>
  </si>
  <si>
    <t xml:space="preserve">ASSAY: Xpert MTB/RIF Ultra, COUNT: 2412
</t>
  </si>
  <si>
    <t>A2 for replacement</t>
  </si>
  <si>
    <t>Unit is operational.
Monitor for request for replacement.</t>
  </si>
  <si>
    <t>GeneXpert Module
SN: 210045625</t>
  </si>
  <si>
    <t>https://www.jotform.com/uploads/macarewecare/222927978372067/5654770645227499431/5654770645227499431_signature_28.png</t>
  </si>
  <si>
    <t>Jenilyn Dueñas</t>
  </si>
  <si>
    <t>https://www.jotform.com/uploads/macarewecare/222927978372067/5654770645227499431/5654770645227499431_signature_31.png</t>
  </si>
  <si>
    <t>https://www.jotform.com/uploads/macarewecare/222927978372067/5654770465224200808/5654770465224200808_signature_28.png</t>
  </si>
  <si>
    <t>https://www.jotform.com/uploads/macarewecare/222927978372067/5654770465224200808/5654770465224200808_signature_31.png</t>
  </si>
  <si>
    <t>Sta Rosa Community Hospital</t>
  </si>
  <si>
    <t>Sta Rosa, Olango Island Lapulapu Cebu</t>
  </si>
  <si>
    <t>Performed maintenance
Clean Icore, plunger, and ultrasonic horn
Clean filter and cartridge bay</t>
  </si>
  <si>
    <t>https://www.jotform.com/uploads/macarewecare/222927978372067/5654757124714150474/5654757124714150474_signature_28.png</t>
  </si>
  <si>
    <t>Ariston Tumulak, Rmt</t>
  </si>
  <si>
    <t>https://www.jotform.com/uploads/macarewecare/222927978372067/5654757124714150474/5654757124714150474_signature_31.png</t>
  </si>
  <si>
    <t>Bukidnon Provincial Medical Center</t>
  </si>
  <si>
    <t>Malaybalay City</t>
  </si>
  <si>
    <t>Laborato</t>
  </si>
  <si>
    <t>bpmclab.malaybalay@gmail.com</t>
  </si>
  <si>
    <t xml:space="preserve">ASSAY: Xpert MTB/RIF Ultra, COUNT: 2024
ASSAY: Xpert HIV-1 Viral Load, COUNT: 19
</t>
  </si>
  <si>
    <t>Preventive Maintenance
Module Replacement
Generate Report files
Database back up</t>
  </si>
  <si>
    <t>https://www.jotform.com/uploads/macarewecare/222927978372067/5654739817221931434/5654739817221931434_signature_28.png</t>
  </si>
  <si>
    <t>Maureen Lopez</t>
  </si>
  <si>
    <t>https://www.jotform.com/uploads/macarewecare/222927978372067/5654739817221931434/5654739817221931434_signature_31.png</t>
  </si>
  <si>
    <t>Unit is operational. Module A1 (684560), service required. Modules A2, A3 and A4 passed.</t>
  </si>
  <si>
    <t>https://www.jotform.com/uploads/macarewecare/222927978372067/5654728621526130248/5654728621526130248_signature_28.png</t>
  </si>
  <si>
    <t>Wilma C. Patron</t>
  </si>
  <si>
    <t>https://www.jotform.com/uploads/macarewecare/222927978372067/5654728621526130248/5654728621526130248_signature_31.png</t>
  </si>
  <si>
    <t>Performed PM.
Performed module replacement of module B1.
Generated report.</t>
  </si>
  <si>
    <t>GX module B1 (210057495) in replacement to defective B1 (761593).</t>
  </si>
  <si>
    <t>DR#10143</t>
  </si>
  <si>
    <t>https://www.jotform.com/uploads/macarewecare/222927978372067/5654722391528284454/5654722391528284454_signature_28.png</t>
  </si>
  <si>
    <t>https://www.jotform.com/uploads/macarewecare/222927978372067/5654722391528284454/5654722391528284454_signature_31.png</t>
  </si>
  <si>
    <t>Gagalangin, Manila</t>
  </si>
  <si>
    <t xml:space="preserve">ASSAY: Xpert MTB/RIF Ultra, COUNT: 1376
</t>
  </si>
  <si>
    <t>Performed PM.
Performed module replacement of modules B2 and B4.
Generated reports.</t>
  </si>
  <si>
    <t>GX module B2 (210057654) and B4 (210044177) in replacement to defective B2 (756759) and B4 (756764).</t>
  </si>
  <si>
    <t>DR#10144 and DR#10147</t>
  </si>
  <si>
    <t>https://www.jotform.com/uploads/macarewecare/222927978372067/5654688251523600816/5654688251523600816_signature_28.png</t>
  </si>
  <si>
    <t>Monaliza T. Balcos</t>
  </si>
  <si>
    <t>https://www.jotform.com/uploads/macarewecare/222927978372067/5654688251523600816/5654688251523600816_signature_31.png</t>
  </si>
  <si>
    <t>San Fernando RHU</t>
  </si>
  <si>
    <t>Performed Xpertcheck:
Cleaned Cartridge bays, plunger rod, icore
Generate reports</t>
  </si>
  <si>
    <t>Unit is Operational
B1 - Service Required
B2 - Service Required
B3 - Service Required 
B4 - Passed</t>
  </si>
  <si>
    <t>https://www.jotform.com/uploads/macarewecare/222927978372067/5654688026418322175/5654688026418322175_signature_28.png</t>
  </si>
  <si>
    <t>https://www.jotform.com/uploads/macarewecare/222927978372067/5654688026418322175/5654688026418322175_signature_31.png</t>
  </si>
  <si>
    <t>Error 1001, 1002 and 4009</t>
  </si>
  <si>
    <t>Performed maintenance and calibration in Module 4</t>
  </si>
  <si>
    <t>Calibrate module 4
Performed clean up in Icore, Plunger, and filter</t>
  </si>
  <si>
    <t>All modules are available but due to frequent errors of all modules run time error of 1002.  All modules are inoperational.</t>
  </si>
  <si>
    <t>https://www.jotform.com/uploads/macarewecare/222927978372067/5654670572323504347/5654670572323504347_signature_28.png</t>
  </si>
  <si>
    <t>Maria Lucille P. Arong</t>
  </si>
  <si>
    <t>https://www.jotform.com/uploads/macarewecare/222927978372067/5654670572323504347/5654670572323504347_signature_31.png</t>
  </si>
  <si>
    <t>Passi City, Iloilo</t>
  </si>
  <si>
    <t>jaguilar.passi@gmail.com</t>
  </si>
  <si>
    <t xml:space="preserve">ASSAY: Xpert MTB/RIF Ultra, COUNT: 3575
ASSAY: Xpert HIV-1 Viral Load, COUNT: 302
</t>
  </si>
  <si>
    <t>-Replace defective module A3/663035 with new module SN: 210092868</t>
  </si>
  <si>
    <t>Module A2 pending for replacement. Other modules are functional.</t>
  </si>
  <si>
    <t>Module A4 under observation.</t>
  </si>
  <si>
    <t>https://www.jotform.com/uploads/macarewecare/222927978372067/5654635744225016119/5654635744225016119_signature_28.png</t>
  </si>
  <si>
    <t>https://www.jotform.com/uploads/macarewecare/222927978372067/5654635744225016119/5654635744225016119_signature_31.png</t>
  </si>
  <si>
    <t>AFPMC-AFRIMS</t>
  </si>
  <si>
    <t>V. Luna St., Quezon City</t>
  </si>
  <si>
    <t xml:space="preserve">ASSAY: Xpert CT/NG, COUNT: 4
ASSAY: Xpert HBV VL, COUNT: 66
ASSAY: Xpert MTB/RIF, COUNT: 86
ASSAY: Xpert MTB/RIF Ultra, COUNT: 534
ASSAY: Xpert SARS-CoV-2, COUNT: 2306
ASSAY: Xpert HCV VL, COUNT: 32
ASSAY: Xpert HIV-1 Viral Load, COUNT: 62
ASSAY: Others, COUNT: 30
</t>
  </si>
  <si>
    <t>Perfomed PM
Replaced module B3
Generated report</t>
  </si>
  <si>
    <t>Replaced module B3
899121 -&gt; 210022963</t>
  </si>
  <si>
    <t>G 5760</t>
  </si>
  <si>
    <t>https://www.jotform.com/uploads/macarewecare/222927978372067/5654612956325835459/5654612956325835459_signature_28.png</t>
  </si>
  <si>
    <t>Maria Theresa Vaderama</t>
  </si>
  <si>
    <t>https://www.jotform.com/uploads/macarewecare/222927978372067/5654612956325835459/5654612956325835459_signature_31.png</t>
  </si>
  <si>
    <t>Mindanao Central Sanitarium</t>
  </si>
  <si>
    <t xml:space="preserve">ASSAY: Xpert MTB/RIF Ultra, COUNT: 2045
</t>
  </si>
  <si>
    <t>UPS and System unit unable to start up</t>
  </si>
  <si>
    <t>For UPS checked the batteries voltage while the system unit reconnect all wires and memory</t>
  </si>
  <si>
    <t>System unit problem solved while the ups, batteries must be replaced and see if the problem persist.</t>
  </si>
  <si>
    <t>UPS pulled out for battery replacement.</t>
  </si>
  <si>
    <t>https://www.jotform.com/uploads/macarewecare/222927978372067/5654601731911828431/5654601731911828431_signature_28.png</t>
  </si>
  <si>
    <t>https://www.jotform.com/uploads/macarewecare/222927978372067/5654601731911828431/5654601731911828431_signature_31.png</t>
  </si>
  <si>
    <t>MINDANAO CENTRAL SANITARIUM</t>
  </si>
  <si>
    <t>System unit and ups unable to start</t>
  </si>
  <si>
    <t>Checked ups batteries and reconnect/ connect all available cables and memory inside the system unit.</t>
  </si>
  <si>
    <t>System unit was able to start already and functional. While UPS batteries must be replaced to see if the problem persist</t>
  </si>
  <si>
    <t>https://www.jotform.com/uploads/macarewecare/222927978372067/5654587301915936830/5654587301915936830_signature_28.png</t>
  </si>
  <si>
    <t>https://www.jotform.com/uploads/macarewecare/222927978372067/5654587301915936830/5654587301915936830_signature_31.png</t>
  </si>
  <si>
    <t>TRANSFER</t>
  </si>
  <si>
    <t xml:space="preserve">ASSAY: Xpert MTB/RIF Ultra, COUNT: 470
ASSAY: Xpert HCV VL, COUNT: 23
ASSAY: Xpert HBV VL, COUNT: 33
ASSAY: Xpert CT/NG, COUNT: 18
ASSAY: Xpert BCR-ABL Ultra, COUNT: 19
</t>
  </si>
  <si>
    <t>FOR TRANSFER OF GX EQUIPMENT AND GX WORKSTATION FROM MOLECULAR LAB TO TB DOTS</t>
  </si>
  <si>
    <t>PERFORM TRANSFER OF GENEXPERT EQUIPMENT, COMPUTER AND PERIPHERALS, MONITOR, UPS, AND AVR.</t>
  </si>
  <si>
    <t>https://www.jotform.com/uploads/macarewecare/222927978372067/5654572333013049146/5654572333013049146_signature_28.png</t>
  </si>
  <si>
    <t>Xavier C. Corraje</t>
  </si>
  <si>
    <t>https://www.jotform.com/uploads/macarewecare/222927978372067/5654572333013049146/5654572333013049146_signature_31.png</t>
  </si>
  <si>
    <t xml:space="preserve">ASSAY: Xpert MTB/RIF Ultra, COUNT: 1538
ASSAY: Xpert HPV, COUNT: 87
ASSAY: Xpert MTB/RIF Ultra, COUNT: 1538
ASSAY: Others, COUNT: 79
</t>
  </si>
  <si>
    <t>Intermittent CPU problem not booting up</t>
  </si>
  <si>
    <t>Checked CPU
Cleaned RAM pins
Performed PM
Generated report</t>
  </si>
  <si>
    <t>Unit is working temporarily. CPU for reporting</t>
  </si>
  <si>
    <t>https://www.jotform.com/uploads/macarewecare/222927978372067/5654555053118914473/5654555053118914473_signature_28.png</t>
  </si>
  <si>
    <t>https://www.jotform.com/uploads/macarewecare/222927978372067/5654555053118914473/5654555053118914473_signature_31.png</t>
  </si>
  <si>
    <t>Bulakan Rural Health Unit II</t>
  </si>
  <si>
    <t xml:space="preserve">ASSAY: Xpert MTB/RIF Ultra, COUNT: 897
ASSAY: Xpert HIV-1 Viral Load, COUNT: 65
</t>
  </si>
  <si>
    <t>Unit is operational.
Pulled out defective monitor.
A2 and A3 requires service, for reporting.</t>
  </si>
  <si>
    <t>GeneXpert Monitor
SN: MMA1PSS002215079933W01</t>
  </si>
  <si>
    <t>https://www.jotform.com/uploads/macarewecare/222927978372067/5654550500294220378/5654550500294220378_signature_28.png</t>
  </si>
  <si>
    <t>https://www.jotform.com/uploads/macarewecare/222927978372067/5654550500294220378/5654550500294220378_signature_31.png</t>
  </si>
  <si>
    <t>Malakas St.,Quezon city</t>
  </si>
  <si>
    <t>lambert.cordero@redcross.org.ph</t>
  </si>
  <si>
    <t>MCS  +</t>
  </si>
  <si>
    <t>For replacement of UPS  defective s.n 20051871211 - AT1200210729ST0246</t>
  </si>
  <si>
    <t>Replaced and installed UPS, performed functionality</t>
  </si>
  <si>
    <t>Delivery and Installation</t>
  </si>
  <si>
    <t>Accupower UPS 1.2KVA</t>
  </si>
  <si>
    <t>https://www.jotform.com/uploads/macarewecare/222927978372067/5654474320175619366/5654474320175619366_signature_28.png</t>
  </si>
  <si>
    <t>Lambert Cordero</t>
  </si>
  <si>
    <t>https://www.jotform.com/uploads/macarewecare/222927978372067/5654474320175619366/5654474320175619366_signature_31.png</t>
  </si>
  <si>
    <t>Bulacan st.,Quezon city</t>
  </si>
  <si>
    <t xml:space="preserve">ASSAY: Xpert MTB/RIF Ultra, COUNT: 1470
</t>
  </si>
  <si>
    <t>Module A3 758253 encounter continous temp. Error 2014,1001,1002</t>
  </si>
  <si>
    <t>Performed rexpertcheck cleaned unit,filter,plunger rod,cartridge bay,i core,gathered reports,performed visual check,test run unit</t>
  </si>
  <si>
    <t>Rexpertcheck and maintenance</t>
  </si>
  <si>
    <t>A2 reported already, A1,A4 operational,A3 failed in xpertcheck</t>
  </si>
  <si>
    <t>https://www.jotform.com/uploads/macarewecare/222927978372067/5654473380177346456/5654473380177346456_signature_28.png</t>
  </si>
  <si>
    <t>Racquel  M. Rocero</t>
  </si>
  <si>
    <t>https://www.jotform.com/uploads/macarewecare/222927978372067/5654473380177346456/5654473380177346456_signature_31.png</t>
  </si>
  <si>
    <t>Purok-2, Tuburan, Ligao City, Albay</t>
  </si>
  <si>
    <t xml:space="preserve">ASSAY: Xpert MTB/RIF, COUNT: 0
ASSAY: Xpert MTB/RIF Ultra, COUNT: 1816
</t>
  </si>
  <si>
    <t>Replaced Module: B1-890331&gt;&gt;210092884, B2-210068727&gt;&gt;210087159, B4-693979&gt;&gt;210092937
Cleaned Cartridge bays, plunger rod, icore
Generated reports</t>
  </si>
  <si>
    <t>For module replacement, preventive maintenance</t>
  </si>
  <si>
    <t>3module, PL-011826, PL-011688</t>
  </si>
  <si>
    <t>https://www.jotform.com/uploads/macarewecare/222927978372067/5653935778813668060/5653935778813668060_signature_28.png</t>
  </si>
  <si>
    <t>SALVADOR LYNDON P. REMPILLO</t>
  </si>
  <si>
    <t>https://www.jotform.com/uploads/macarewecare/222927978372067/5653935778813668060/5653935778813668060_signature_31.png</t>
  </si>
  <si>
    <t>For maintenance. Monitor frequent shutting down.</t>
  </si>
  <si>
    <t>Performed maintenance 
Cleaned cartridge bay,  plunger rod,  icore, filter
Run XpertCheck 
Generated reports 
Checked monitor</t>
  </si>
  <si>
    <t>DR# 10079</t>
  </si>
  <si>
    <t>https://www.jotform.com/uploads/macarewecare/222927978372067/5653849563612135063/5653849563612135063_signature_28.png</t>
  </si>
  <si>
    <t>Eduardo O. Sepe V, RMT</t>
  </si>
  <si>
    <t>https://www.jotform.com/uploads/macarewecare/222927978372067/5653849563612135063/5653849563612135063_signature_31.png</t>
  </si>
  <si>
    <t xml:space="preserve">ASSAY: Xpert MTB/RIF Ultra, COUNT: 1919
</t>
  </si>
  <si>
    <t>Performed maintenance 
Run XpertCheck</t>
  </si>
  <si>
    <t>Performed maintenance 
Cleaned cartridge bay, plunger rod, icore.
Run XpertCheck 
Generated reports</t>
  </si>
  <si>
    <t>Module C3/801912 not operational. Modules C1, C2 and C4 operational.</t>
  </si>
  <si>
    <t>Module C2/609195 and module C4/666170 service required. Module C3/ cannot calibrate.</t>
  </si>
  <si>
    <t>https://www.jotform.com/uploads/macarewecare/222927978372067/5653849563616561713/5653849563616561713_signature_28.png</t>
  </si>
  <si>
    <t>https://www.jotform.com/uploads/macarewecare/222927978372067/5653849563616561713/5653849563616561713_signature_31.png</t>
  </si>
  <si>
    <t>rowenatec@gmail.com</t>
  </si>
  <si>
    <t xml:space="preserve">ASSAY: Xpert MTB/RIF Ultra, COUNT: 803
ASSAY: Xpert HIV-1 Viral Load, COUNT: 67
</t>
  </si>
  <si>
    <t>For maintenance 
Module B1/807117 error 1002
Module B2/714059 continuous booting</t>
  </si>
  <si>
    <t>Performed maintenance 
Checked modules</t>
  </si>
  <si>
    <t>Performed maintenance 
Cleaned cartridge bay,  plunger rod, icore and filter
Checked modules
Generated reports</t>
  </si>
  <si>
    <t>Modules B1/807117 and B2/714059 not operational, for reporting. Modules B3 ans B4 operational.</t>
  </si>
  <si>
    <t>https://www.jotform.com/uploads/macarewecare/222927978372067/5653849473611669535/5653849473611669535_signature_28.png</t>
  </si>
  <si>
    <t>Rowena Laxamana</t>
  </si>
  <si>
    <t>https://www.jotform.com/uploads/macarewecare/222927978372067/5653849473611669535/5653849473611669535_signature_31.png</t>
  </si>
  <si>
    <t>Performed maintenance 
Cleaned cartridge bay,  plunger rod, icore and filter
Run XpertCheck 
Generated reports</t>
  </si>
  <si>
    <t>Module B1/682692 service required module B3/696028 has error 1002. Modules B2 and B4 operational.</t>
  </si>
  <si>
    <t>https://www.jotform.com/uploads/macarewecare/222927978372067/5653849473616545163/5653849473616545163_signature_28.png</t>
  </si>
  <si>
    <t>https://www.jotform.com/uploads/macarewecare/222927978372067/5653849473616545163/5653849473616545163_signature_31.png</t>
  </si>
  <si>
    <t xml:space="preserve">ASSAY: Xpert BCR-ABL Ultra, COUNT: 9
ASSAY: Xpert CT/NG, COUNT: 3
ASSAY: Others, COUNT: 1
ASSAY: Xpert HBV VL, COUNT: 24
ASSAY: Xpert HPV, COUNT: 52
ASSAY: Xpert MTB/RIF, COUNT: 144
ASSAY: Xpert MTB/RIF Ultra, COUNT: 200
ASSAY: Xpert HCV VL, COUNT: 10
ASSAY: Xpert HIV-1 Viral Load, COUNT: 65
</t>
  </si>
  <si>
    <t>For maintenance.</t>
  </si>
  <si>
    <t>Performed maintenance 
Cleaned cartridge bay, plunger rod, icore and filter.
Generated reports.</t>
  </si>
  <si>
    <t>Unit is operational. Module B4/210071314 has error 4012.</t>
  </si>
  <si>
    <t>https://www.jotform.com/uploads/macarewecare/222927978372067/5653849473616827491/5653849473616827491_signature_28.png</t>
  </si>
  <si>
    <t>https://www.jotform.com/uploads/macarewecare/222927978372067/5653849473616827491/5653849473616827491_signature_31.png</t>
  </si>
  <si>
    <t xml:space="preserve">ASSAY: Xpert MTB/RIF Ultra, COUNT: 921
ASSAY: Xpert HIV-1 Viral Load, COUNT: 73
</t>
  </si>
  <si>
    <t>Performed maintenance 
Cleaned cartridge bay, plunger rod, icore and filter
Generated reports.</t>
  </si>
  <si>
    <t>https://www.jotform.com/uploads/macarewecare/222927978372067/5653849473617668797/5653849473617668797_signature_28.png</t>
  </si>
  <si>
    <t>https://www.jotform.com/uploads/macarewecare/222927978372067/5653849473617668797/5653849473617668797_signature_31.png</t>
  </si>
  <si>
    <t xml:space="preserve">ASSAY: Xpert BCR-ABL Ultra, COUNT: 9
ASSAY: Xpert CT/NG, COUNT: 7
ASSAY: Xpert HBV VL, COUNT: 131
ASSAY: Xpert HPV, COUNT: 108
ASSAY: Xpert MTB/RIF Ultra, COUNT: 1015
ASSAY: Others, COUNT: 7
ASSAY: Xpert HCV VL, COUNT: 22
ASSAY: Xpert HIV-1 Viral Load, COUNT: 198
ASSAY: Xpert SARS-CoV-2, COUNT: 5
</t>
  </si>
  <si>
    <t>Performed maintenance 
Cleaned cartridge bay, plunger rod, icore and filter
Generated reports. 
LIS Setup</t>
  </si>
  <si>
    <t>https://www.jotform.com/uploads/macarewecare/222927978372067/5653849473617833295/5653849473617833295_signature_28.png</t>
  </si>
  <si>
    <t>https://www.jotform.com/uploads/macarewecare/222927978372067/5653849473617833295/5653849473617833295_signature_31.png</t>
  </si>
  <si>
    <t xml:space="preserve">ASSAY: Xpert MTB/RIF Ultra, COUNT: 1899
ASSAY: Xpert HIV-1 Viral Load, COUNT: 1117
</t>
  </si>
  <si>
    <t>Replaced Module 1
Performed Maintenance
Generate Reports</t>
  </si>
  <si>
    <t>778497-&gt; 210092899</t>
  </si>
  <si>
    <t>G5726</t>
  </si>
  <si>
    <t>https://www.jotform.com/uploads/macarewecare/222927978372067/5653740073617543530/5653740073617543530_signature_28.png</t>
  </si>
  <si>
    <t>https://www.jotform.com/uploads/macarewecare/222927978372067/5653740073617543530/5653740073617543530_signature_31.png</t>
  </si>
  <si>
    <t>https://www.jotform.com/uploads/macarewecare/222927978372067/5653739543611149447/5653739543611149447_signature_28.png</t>
  </si>
  <si>
    <t>https://www.jotform.com/uploads/macarewecare/222927978372067/5653739543611149447/5653739543611149447_signature_31.png</t>
  </si>
  <si>
    <t>AMOSUP Seamens Hospital</t>
  </si>
  <si>
    <t xml:space="preserve">ASSAY: Xpert SARS-CoV-2, COUNT: 96
</t>
  </si>
  <si>
    <t>DR 10099</t>
  </si>
  <si>
    <t>https://www.jotform.com/uploads/macarewecare/222927978372067/5653738453614609237/5653738453614609237_signature_28.png</t>
  </si>
  <si>
    <t>Camelle Marquina</t>
  </si>
  <si>
    <t>https://www.jotform.com/uploads/macarewecare/222927978372067/5653738453614609237/5653738453614609237_signature_31.png</t>
  </si>
  <si>
    <t>https://www.jotform.com/uploads/macarewecare/222927978372067/5653737783611270432/5653737783611270432_signature_28.png</t>
  </si>
  <si>
    <t>https://www.jotform.com/uploads/macarewecare/222927978372067/5653737783611270432/5653737783611270432_signature_31.png</t>
  </si>
  <si>
    <t xml:space="preserve">ASSAY: Xpert SARS-CoV-2, COUNT: 945
</t>
  </si>
  <si>
    <t>Performed Maintenance
Performed XpertCheck
Performed Self-Test
Generate Reports</t>
  </si>
  <si>
    <t>1 Module is Defective, 15 Modules are Operational</t>
  </si>
  <si>
    <t>D1 Failed</t>
  </si>
  <si>
    <t>https://www.jotform.com/uploads/macarewecare/222927978372067/5653737223616833804/5653737223616833804_signature_28.png</t>
  </si>
  <si>
    <t>https://www.jotform.com/uploads/macarewecare/222927978372067/5653737223616833804/5653737223616833804_signature_31.png</t>
  </si>
  <si>
    <t>https://www.jotform.com/uploads/macarewecare/222927978372067/5653736953611608974/5653736953611608974_signature_28.png</t>
  </si>
  <si>
    <t>https://www.jotform.com/uploads/macarewecare/222927978372067/5653736953611608974/5653736953611608974_signature_31.png</t>
  </si>
  <si>
    <t>Balasan Rural Health Unit</t>
  </si>
  <si>
    <t>Balasan, Iloilo</t>
  </si>
  <si>
    <t>charliemagnedk2@gmail.com</t>
  </si>
  <si>
    <t>Module B2 is defective</t>
  </si>
  <si>
    <t>-Replace defective module B2/713796 with new module SN: 210092885</t>
  </si>
  <si>
    <t>https://www.jotform.com/uploads/macarewecare/222927978372067/5653724279402750309/5653724279402750309_signature_28.png</t>
  </si>
  <si>
    <t>Charlie Magne Dequito</t>
  </si>
  <si>
    <t>https://www.jotform.com/uploads/macarewecare/222927978372067/5653724279402750309/5653724279402750309_signature_31.png</t>
  </si>
  <si>
    <t>National Tuberculosis for Reference Laboratory</t>
  </si>
  <si>
    <t>Filinvest</t>
  </si>
  <si>
    <t>richarddelossantos10@gmail.com</t>
  </si>
  <si>
    <t>Modules have High Temperature and Temperature Error</t>
  </si>
  <si>
    <t>Troubeshoot</t>
  </si>
  <si>
    <t>Checked Fan if Working
Checked Ambient Temperature
Generate Reports</t>
  </si>
  <si>
    <t>Fan is Not Working.</t>
  </si>
  <si>
    <t>https://www.jotform.com/uploads/macarewecare/222927978372067/5653673873611198157/5653673873611198157_signature_28.png</t>
  </si>
  <si>
    <t>Richard Delos Santos</t>
  </si>
  <si>
    <t>https://www.jotform.com/uploads/macarewecare/222927978372067/5653673873611198157/5653673873611198157_signature_31.png</t>
  </si>
  <si>
    <t>Checked Outlet Voltage
Checked Voltage Output of the UPS
Checked if Back-Up Function is Operational
Generate Reports</t>
  </si>
  <si>
    <t>Defective UPS.</t>
  </si>
  <si>
    <t>https://www.jotform.com/uploads/macarewecare/222927978372067/5653673873612524216/5653673873612524216_signature_28.png</t>
  </si>
  <si>
    <t>https://www.jotform.com/uploads/macarewecare/222927978372067/5653673873612524216/5653673873612524216_signature_31.png</t>
  </si>
  <si>
    <t>Error 1001, 2014 module 1 &amp; due date for xpertcheck</t>
  </si>
  <si>
    <t>Running xpertcheck, clean fan filter</t>
  </si>
  <si>
    <t>https://www.jotform.com/uploads/macarewecare/222927978372067/5653662767378145190/5653662767378145190_signature_28.png</t>
  </si>
  <si>
    <t>Nicanor Enriquez Jr</t>
  </si>
  <si>
    <t>https://www.jotform.com/uploads/macarewecare/222927978372067/5653662767378145190/5653662767378145190_signature_31.png</t>
  </si>
  <si>
    <t>Brgy. Calumpang,  General Santos</t>
  </si>
  <si>
    <t xml:space="preserve">ASSAY: Xpert MTB/RIF Ultra, COUNT: 1436
</t>
  </si>
  <si>
    <t>Module 1 H/W failed due multiple temperature error</t>
  </si>
  <si>
    <t>Perform Xpertcheck at module 1 for troubleshooting</t>
  </si>
  <si>
    <t>Module 1 passed the Xpertcheck</t>
  </si>
  <si>
    <t>https://www.jotform.com/uploads/macarewecare/222927978372067/5653308374429362921/5653308374429362921_signature_28.png</t>
  </si>
  <si>
    <t>https://www.jotform.com/uploads/macarewecare/222927978372067/5653308374429362921/5653308374429362921_signature_31.png</t>
  </si>
  <si>
    <t>Davao Oriental Provincial Hospital -  Cateel</t>
  </si>
  <si>
    <t>National Highway, Cateel Davao Oriental</t>
  </si>
  <si>
    <t>mykadoysabas8@gmail.com</t>
  </si>
  <si>
    <t xml:space="preserve">ASSAY: Xpert MTB/RIF, COUNT: 20
ASSAY: Xpert MTB/RIF Ultra, COUNT: 648
</t>
  </si>
  <si>
    <t>Module B1 for service Required
B2, B3 and B4 Passed the Calibration</t>
  </si>
  <si>
    <t>https://www.jotform.com/uploads/macarewecare/222927978372067/5653243395619403117/5653243395619403117_signature_28.png</t>
  </si>
  <si>
    <t>Carol Myka L. Doysabas</t>
  </si>
  <si>
    <t>https://www.jotform.com/uploads/macarewecare/222927978372067/5653243395619403117/5653243395619403117_signature_31.png</t>
  </si>
  <si>
    <t>Tiago St., Sta. Cruz, Manila</t>
  </si>
  <si>
    <t>Module B2 for replacement
Unit for XpertCheck</t>
  </si>
  <si>
    <t>Performed PM
Replaced module B2
Performed XpertCheck
Generated report</t>
  </si>
  <si>
    <t>Replaced B2: 210008903 -&gt; 210092905
Performed XpertCheck on B1, B3, and B4</t>
  </si>
  <si>
    <t>Unit is operational
B1: Passed
B2: New module
B3: Service Required 
B4: Service Required</t>
  </si>
  <si>
    <t>XpertChecknkit</t>
  </si>
  <si>
    <t>https://www.jotform.com/uploads/macarewecare/222927978372067/5651255842749267334/5651255842749267334_signature_28.png</t>
  </si>
  <si>
    <t>Majoy abenales</t>
  </si>
  <si>
    <t>https://www.jotform.com/uploads/macarewecare/222927978372067/5651255842749267334/5651255842749267334_signature_31.png</t>
  </si>
  <si>
    <t>Badian RHU</t>
  </si>
  <si>
    <t>Badian, Cebu</t>
  </si>
  <si>
    <t xml:space="preserve">ASSAY: Xpert MTB/RIF Ultra, COUNT: 674
</t>
  </si>
  <si>
    <t>Module 3 SN 662527 and Module 4 SN 662525</t>
  </si>
  <si>
    <t>Replaced defective modules with new module
Generate data such as Gxx files, IQR, Sys log, Assay statistics
Clean filter and icore, plunger</t>
  </si>
  <si>
    <t>Replaced new module 3 witj SN 210093414 and module 4 with SN 210093378</t>
  </si>
  <si>
    <t>All modules are operational but recommended to install aircon in the aircon for genxepert alone as soon as possible due high temperature</t>
  </si>
  <si>
    <t>https://www.jotform.com/uploads/macarewecare/222927978372067/5651214810424893401/5651214810424893401_signature_28.png</t>
  </si>
  <si>
    <t>https://www.jotform.com/uploads/macarewecare/222927978372067/5651214810424893401/5651214810424893401_signature_31.png</t>
  </si>
  <si>
    <t>Cleaned Cartridge bays, plunger rod, icore
Generate Reports</t>
  </si>
  <si>
    <t>https://www.jotform.com/uploads/macarewecare/222927978372067/5651211997603615732/5651211997603615732_signature_28.png</t>
  </si>
  <si>
    <t>https://www.jotform.com/uploads/macarewecare/222927978372067/5651211997603615732/5651211997603615732_signature_31.png</t>
  </si>
  <si>
    <t>maritesjudar@gmail.com</t>
  </si>
  <si>
    <t xml:space="preserve">ASSAY: Xpert MTB/RIF Ultra, COUNT: 1242
</t>
  </si>
  <si>
    <t>Performed Xpertcheck
Cleaned Cartridge bays, plunger rod, icore
Generate report</t>
  </si>
  <si>
    <t>Unit is operational
B1 - Passed
B2 - Service Required
B3 - Passed
B4 - Passed</t>
  </si>
  <si>
    <t>https://www.jotform.com/uploads/macarewecare/222927978372067/5651209687606780607/5651209687606780607_signature_28.png</t>
  </si>
  <si>
    <t>https://www.jotform.com/uploads/macarewecare/222927978372067/5651209687606780607/5651209687606780607_signature_31.png</t>
  </si>
  <si>
    <t>Talavera Rural Health Unit II</t>
  </si>
  <si>
    <t>San Ricardo, Talavera, Nueva Ecija</t>
  </si>
  <si>
    <t>nelzon1966@gmail.com</t>
  </si>
  <si>
    <t>UPS not Working</t>
  </si>
  <si>
    <t>UPS for Replacement due to no Backup</t>
  </si>
  <si>
    <t>Genexpert Module = 210092906 &amp; 210092910</t>
  </si>
  <si>
    <t>https://www.jotform.com/uploads/macarewecare/222927978372067/5651181113992045889/5651181113992045889_signature_28.png</t>
  </si>
  <si>
    <t>Nelson Santiago</t>
  </si>
  <si>
    <t>https://www.jotform.com/uploads/macarewecare/222927978372067/5651181113992045889/5651181113992045889_signature_31.png</t>
  </si>
  <si>
    <t>efrenotariojr@gmail.com</t>
  </si>
  <si>
    <t xml:space="preserve">ASSAY: Xpert MTB/RIF Ultra, COUNT: 1547
ASSAY: Xpert SARS-CoV-2, COUNT: 2839
</t>
  </si>
  <si>
    <t>Module B1 
High Temperature</t>
  </si>
  <si>
    <t>- Let GX temperature drop to 30° C
- Replace all filters 
- Generated Reports</t>
  </si>
  <si>
    <t>Room Temperature too high for GeneXpert</t>
  </si>
  <si>
    <t>https://www.jotform.com/uploads/macarewecare/222927978372067/5651178118917966904/5651178118917966904_signature_28.png</t>
  </si>
  <si>
    <t>https://www.jotform.com/uploads/macarewecare/222927978372067/5651178118917966904/5651178118917966904_signature_31.png</t>
  </si>
  <si>
    <t xml:space="preserve">ASSAY: Xpert MTB/RIF, COUNT: 0
ASSAY: Xpert MTB/RIF Ultra, COUNT: 928
</t>
  </si>
  <si>
    <t>Performed UPS troubleshooting
Gathered reports
Performed functionality test</t>
  </si>
  <si>
    <t>Unit is operational except UPS not backing up</t>
  </si>
  <si>
    <t>UPS for reporting, for replacement</t>
  </si>
  <si>
    <t>https://www.jotform.com/uploads/macarewecare/222927978372067/5651148272511724171/5651148272511724171_signature_28.png</t>
  </si>
  <si>
    <t>https://www.jotform.com/uploads/macarewecare/222927978372067/5651148272511724171/5651148272511724171_signature_31.png</t>
  </si>
  <si>
    <t>A. Bonifacio St. Brgy. Ibaba Bagac, Bataan</t>
  </si>
  <si>
    <t xml:space="preserve">ASSAY: Xpert MTB/RIF, COUNT: 33
ASSAY: Xpert MTB/RIF Ultra, COUNT: 374
</t>
  </si>
  <si>
    <t>https://www.jotform.com/uploads/macarewecare/222927978372067/5651075382514403379/5651075382514403379_signature_28.png</t>
  </si>
  <si>
    <t>https://www.jotform.com/uploads/macarewecare/222927978372067/5651075382514403379/5651075382514403379_signature_31.png</t>
  </si>
  <si>
    <t xml:space="preserve">ASSAY: Xpert MTB/RIF Ultra, COUNT: 1745
</t>
  </si>
  <si>
    <t>Performed Xpertcheck
Cleaned Cartridge Bays, Plunger Rod, Icore
Generate Reports</t>
  </si>
  <si>
    <t>Unit is operational
B1 - service required
B2 - Passed
B3 - module unavailable
B4 - Passed</t>
  </si>
  <si>
    <t>https://www.jotform.com/uploads/macarewecare/222927978372067/5651009160983339466/5651009160983339466_signature_28.png</t>
  </si>
  <si>
    <t>https://www.jotform.com/uploads/macarewecare/222927978372067/5651009160983339466/5651009160983339466_signature_31.png</t>
  </si>
  <si>
    <t xml:space="preserve">ASSAY: Xpert MTB/RIF Ultra, COUNT: 2787
</t>
  </si>
  <si>
    <t>Module C2 for replacement</t>
  </si>
  <si>
    <t>Replaced C2</t>
  </si>
  <si>
    <t>GeneXpert Module
SN: 210092873</t>
  </si>
  <si>
    <t>https://www.jotform.com/uploads/macarewecare/222927978372067/5650465731011895016/5650465731011895016_signature_28.png</t>
  </si>
  <si>
    <t>https://www.jotform.com/uploads/macarewecare/222927978372067/5650465731011895016/5650465731011895016_signature_31.png</t>
  </si>
  <si>
    <t>Cristino M. Paragas Memorial Hospital</t>
  </si>
  <si>
    <t>fatimaabegailabdurahman@gmail.com</t>
  </si>
  <si>
    <t>All 4 modules undergone Xpertcheck Calibration</t>
  </si>
  <si>
    <t>All modules passed and available</t>
  </si>
  <si>
    <t>https://www.jotform.com/uploads/macarewecare/222927978372067/5650456299102443295/5650456299102443295_signature_28.png</t>
  </si>
  <si>
    <t>Fatima Abegail Abdurahman</t>
  </si>
  <si>
    <t>https://www.jotform.com/uploads/macarewecare/222927978372067/5650456299102443295/5650456299102443295_signature_31.png</t>
  </si>
  <si>
    <t>CPU not booting up
"OSD Lockout" stays on the monitor ; OK button broken</t>
  </si>
  <si>
    <t>Tightened power cable of CPU; problem persists
Test HDD; still works
Replaced RAM; problem solved; CPU boots up
Tightened monitor cables; problem persists
Changed VGA cable; problem persists
Generated report</t>
  </si>
  <si>
    <t>Troubleshoot CPU
Troubleshoot monitor</t>
  </si>
  <si>
    <t>https://www.jotform.com/uploads/macarewecare/222927978372067/5650414754814618650/5650414754814618650_signature_28.png</t>
  </si>
  <si>
    <t>https://www.jotform.com/uploads/macarewecare/222927978372067/5650414754814618650/5650414754814618650_signature_31.png</t>
  </si>
  <si>
    <t xml:space="preserve">ASSAY: Xpert MTB/RIF Ultra, COUNT: 1604
</t>
  </si>
  <si>
    <t>Calibrating Module B2
Preventive Maintenance</t>
  </si>
  <si>
    <t>3 modules working
1 module found service required (for replacement)</t>
  </si>
  <si>
    <t>https://www.jotform.com/uploads/macarewecare/222927978372067/5650385149025094153/5650385149025094153_signature_28.png</t>
  </si>
  <si>
    <t>https://www.jotform.com/uploads/macarewecare/222927978372067/5650385149025094153/5650385149025094153_signature_31.png</t>
  </si>
  <si>
    <t>Dalaguete RHU</t>
  </si>
  <si>
    <t>Tb Lab</t>
  </si>
  <si>
    <t xml:space="preserve">ASSAY: Xpert MTB/RIF Ultra, COUNT: 1039
</t>
  </si>
  <si>
    <t>B2 SN 884841  Hardware failure due to temperature related problem</t>
  </si>
  <si>
    <t>Replaced new module SN 210092896</t>
  </si>
  <si>
    <t>All units modules are available except module 4 encounter an error of 2032 ultrasonic horn improper tuning</t>
  </si>
  <si>
    <t>https://www.jotform.com/uploads/macarewecare/222927978372067/5650377455515933017/5650377455515933017_signature_28.png</t>
  </si>
  <si>
    <t>Allaiza Jane Rivera, RMT</t>
  </si>
  <si>
    <t>https://www.jotform.com/uploads/macarewecare/222927978372067/5650377455515933017/5650377455515933017_signature_31.png</t>
  </si>
  <si>
    <t>Urdaneta,  Pangasinan</t>
  </si>
  <si>
    <t xml:space="preserve">ASSAY: Xpert MTB/RIF, COUNT: 35
ASSAY: , COUNT: 2259
</t>
  </si>
  <si>
    <t>All modules pass</t>
  </si>
  <si>
    <t>https://www.jotform.com/uploads/macarewecare/222927978372067/5650364898911405556/5650364898911405556_signature_28.png</t>
  </si>
  <si>
    <t>https://www.jotform.com/uploads/macarewecare/222927978372067/5650364898911405556/5650364898911405556_signature_31.png</t>
  </si>
  <si>
    <t xml:space="preserve">ASSAY: Xpert MTB/RIF Ultra, COUNT: 184
</t>
  </si>
  <si>
    <t>https://www.jotform.com/uploads/macarewecare/222927978372067/5650363438919538903/5650363438919538903_signature_28.png</t>
  </si>
  <si>
    <t>ANNABELLE CATBAGAN</t>
  </si>
  <si>
    <t>https://www.jotform.com/uploads/macarewecare/222927978372067/5650363438919538903/5650363438919538903_signature_31.png</t>
  </si>
  <si>
    <t>Basista RHU</t>
  </si>
  <si>
    <t xml:space="preserve">ASSAY: Xpert MTB/RIF, COUNT: 99
ASSAY: Xpert MTB/RIF Ultra, COUNT: 141
</t>
  </si>
  <si>
    <t>https://www.jotform.com/uploads/macarewecare/222927978372067/5650361688916926156/5650361688916926156_signature_28.png</t>
  </si>
  <si>
    <t>Cora s. Flores</t>
  </si>
  <si>
    <t>https://www.jotform.com/uploads/macarewecare/222927978372067/5650361688916926156/5650361688916926156_signature_31.png</t>
  </si>
  <si>
    <t xml:space="preserve">ASSAY: Xpert MTB/RIF, COUNT: 11
ASSAY: Xpert BCR-ABL Ultra, COUNT: 460
</t>
  </si>
  <si>
    <t>Monitor for reporting</t>
  </si>
  <si>
    <t>DR 5344</t>
  </si>
  <si>
    <t>https://www.jotform.com/uploads/macarewecare/222927978372067/5650358578912165396/5650358578912165396_signature_28.png</t>
  </si>
  <si>
    <t>https://www.jotform.com/uploads/macarewecare/222927978372067/5650358578912165396/5650358578912165396_signature_31.png</t>
  </si>
  <si>
    <t>Modules B2 and B3 failed XpertCheck for reporting</t>
  </si>
  <si>
    <t>DR 5342</t>
  </si>
  <si>
    <t>https://www.jotform.com/uploads/macarewecare/222927978372067/5650358578914592833/5650358578914592833_signature_28.png</t>
  </si>
  <si>
    <t>https://www.jotform.com/uploads/macarewecare/222927978372067/5650358578914592833/5650358578914592833_signature_31.png</t>
  </si>
  <si>
    <t>Bacarra RHU</t>
  </si>
  <si>
    <t xml:space="preserve">ASSAY: Xpert MTB/RIF Ultra, COUNT: 36
</t>
  </si>
  <si>
    <t>https://www.jotform.com/uploads/macarewecare/222927978372067/5650357868914781891/5650357868914781891_signature_28.png</t>
  </si>
  <si>
    <t>https://www.jotform.com/uploads/macarewecare/222927978372067/5650357868914781891/5650357868914781891_signature_31.png</t>
  </si>
  <si>
    <t xml:space="preserve">ASSAY: Xpert HPV, COUNT: 392
ASSAY: Xpert MTB/RIF Ultra, COUNT: 822
ASSAY: Xpert SARS-CoV-2, COUNT: 2992
ASSAY: Xpert HIV-1 Viral Load, COUNT: 12
</t>
  </si>
  <si>
    <t>Module A2 and A3 failed XpertCheck for reporting</t>
  </si>
  <si>
    <t>DR 5339</t>
  </si>
  <si>
    <t>https://www.jotform.com/uploads/macarewecare/222927978372067/5650357868915296235/5650357868915296235_signature_28.png</t>
  </si>
  <si>
    <t>https://www.jotform.com/uploads/macarewecare/222927978372067/5650357868915296235/5650357868915296235_signature_31.png</t>
  </si>
  <si>
    <t xml:space="preserve">ASSAY: Xpert HPV, COUNT: 200
ASSAY: Xpert MTB/RIF Ultra, COUNT: 512
ASSAY: Xpert SARS-CoV-2, COUNT: 2396
</t>
  </si>
  <si>
    <t>For Troubleshooting, Prone to Lost Communication 
For Preventive Maintenance</t>
  </si>
  <si>
    <t>https://www.jotform.com/uploads/macarewecare/222927978372067/5650357868915982229/5650357868915982229_signature_28.png</t>
  </si>
  <si>
    <t>ALLAN FELLIZAR</t>
  </si>
  <si>
    <t>https://www.jotform.com/uploads/macarewecare/222927978372067/5650357868915982229/5650357868915982229_signature_31.png</t>
  </si>
  <si>
    <t xml:space="preserve">ASSAY: Xpert MTB/RIF Ultra, COUNT: 509
</t>
  </si>
  <si>
    <t>DR 5343</t>
  </si>
  <si>
    <t>https://www.jotform.com/uploads/macarewecare/222927978372067/5650357868916125173/5650357868916125173_signature_28.png</t>
  </si>
  <si>
    <t>Aileen Sambrana</t>
  </si>
  <si>
    <t>https://www.jotform.com/uploads/macarewecare/222927978372067/5650357868916125173/5650357868916125173_signature_31.png</t>
  </si>
  <si>
    <t xml:space="preserve">ASSAY: Xpert MTB/RIF, COUNT: 389
</t>
  </si>
  <si>
    <t>DR 541</t>
  </si>
  <si>
    <t>https://www.jotform.com/uploads/macarewecare/222927978372067/5650357868919043820/5650357868919043820_signature_28.png</t>
  </si>
  <si>
    <t>https://www.jotform.com/uploads/macarewecare/222927978372067/5650357868919043820/5650357868919043820_signature_31.png</t>
  </si>
  <si>
    <t>San Isidro, Pili, Camarines Sur</t>
  </si>
  <si>
    <t>Performed Xpertcheck
Cleaned Cartridge bays, plunger rod, icore
Generate reports</t>
  </si>
  <si>
    <t>Unit is operational
B1-passed
B2-passed
B3-service required (already reported)
B4-passed</t>
  </si>
  <si>
    <t>https://www.jotform.com/uploads/macarewecare/222927978372067/5650343766028029655/5650343766028029655_signature_28.png</t>
  </si>
  <si>
    <t>https://www.jotform.com/uploads/macarewecare/222927978372067/5650343766028029655/5650343766028029655_signature_31.png</t>
  </si>
  <si>
    <t>Dr. Elvira Lagrosa Health Center</t>
  </si>
  <si>
    <t>R. Layug St., Brgy. 3, Pasay</t>
  </si>
  <si>
    <t>Module 4 Insufficient kit last week
New xpertchrck kit arrived
Module 4 for xpertcheck</t>
  </si>
  <si>
    <t>Performed PM
Performed Xpertcheck on module 4
Module 4 (604721) failed xpertcheck
Generated report</t>
  </si>
  <si>
    <t>Performed XpertCheck on module 4</t>
  </si>
  <si>
    <t>Unut is operational</t>
  </si>
  <si>
    <t>DR #0041849</t>
  </si>
  <si>
    <t>https://www.jotform.com/uploads/macarewecare/222927978372067/5650301220518694456/5650301220518694456_signature_28.png</t>
  </si>
  <si>
    <t>https://www.jotform.com/uploads/macarewecare/222927978372067/5650301220518694456/5650301220518694456_signature_31.png</t>
  </si>
  <si>
    <t>FAMILY PLANNING ORGANIZATION OF THE PHILIPPINES - ILOILO CITY</t>
  </si>
  <si>
    <t>RIZAL ST. ILOILO CITY</t>
  </si>
  <si>
    <t>curdi1444@gmail.com</t>
  </si>
  <si>
    <t>PERFORM NEW GENEXPERT INSTALLATION
MERGE GX SN 120000143 AND 838869 USING NETWORK SWITH</t>
  </si>
  <si>
    <t>https://www.jotform.com/uploads/macarewecare/222927978372067/5650248331127903738/5650248331127903738_signature_28.png</t>
  </si>
  <si>
    <t>Yasmin P. Sabando</t>
  </si>
  <si>
    <t>https://www.jotform.com/uploads/macarewecare/222927978372067/5650248331127903738/5650248331127903738_signature_31.png</t>
  </si>
  <si>
    <t>Giporlos</t>
  </si>
  <si>
    <t xml:space="preserve">ASSAY: Xpert MTB/RIF, COUNT: 57
ASSAY: Xpert MTB/RIF Ultra, COUNT: 433
</t>
  </si>
  <si>
    <t>https://www.jotform.com/uploads/macarewecare/222927978372067/5650219675317832189/5650219675317832189_signature_28.png</t>
  </si>
  <si>
    <t>https://www.jotform.com/uploads/macarewecare/222927978372067/5650219675317832189/5650219675317832189_signature_31.png</t>
  </si>
  <si>
    <t>Poblacion 7, San Jose</t>
  </si>
  <si>
    <t>naty_garcia1962@yahoo.com</t>
  </si>
  <si>
    <t xml:space="preserve">ASSAY: Xpert MTB/RIF Ultra, COUNT: 1051
</t>
  </si>
  <si>
    <t>GX Module B4 (210092869) in replacement to defectivr B4 (807350).</t>
  </si>
  <si>
    <t>https://www.jotform.com/uploads/macarewecare/222927978372067/5650204331466523253/5650204331466523253_signature_28.png</t>
  </si>
  <si>
    <t>Natividad Garcia</t>
  </si>
  <si>
    <t>https://www.jotform.com/uploads/macarewecare/222927978372067/5650204331466523253/5650204331466523253_signature_31.png</t>
  </si>
  <si>
    <t>Dr. Evangelista Street, Zamboanga City</t>
  </si>
  <si>
    <t xml:space="preserve">ASSAY: Xpert CT/NG, COUNT: 2
ASSAY: Xpert HPV, COUNT: 1212
ASSAY: Xpert MTB/RIF Ultra, COUNT: 4968
ASSAY: Xpert SARS-CoV-2, COUNT: 14831
ASSAY: Xpert HIV-1 Viral Load, COUNT: 305
</t>
  </si>
  <si>
    <t>Replaced module 210068702 with Module 210092892. And Preventive Maintenence</t>
  </si>
  <si>
    <t>Some modules are for replacement and some are available.</t>
  </si>
  <si>
    <t>https://www.jotform.com/uploads/macarewecare/222927978372067/5649603620275774221/5649603620275774221_signature_28.png</t>
  </si>
  <si>
    <t>Aira Faith S. Runas</t>
  </si>
  <si>
    <t>https://www.jotform.com/uploads/macarewecare/222927978372067/5649603620275774221/5649603620275774221_signature_31.png</t>
  </si>
  <si>
    <t xml:space="preserve">ASSAY: Xpert MTB/RIF, COUNT: 4
ASSAY: Xpert MTB/RIF Ultra, COUNT: 976
ASSAY: Xpert HIV-1 Viral Load, COUNT: 2
</t>
  </si>
  <si>
    <t>Defective module 4 sn 210068078</t>
  </si>
  <si>
    <t>New module 4 installed sn 210085582</t>
  </si>
  <si>
    <t>https://www.jotform.com/uploads/macarewecare/222927978372067/5649580838151308022/5649580838151308022_signature_28.png</t>
  </si>
  <si>
    <t>Laurean Jo Cabase</t>
  </si>
  <si>
    <t>https://www.jotform.com/uploads/macarewecare/222927978372067/5649580838151308022/5649580838151308022_signature_31.png</t>
  </si>
  <si>
    <t xml:space="preserve">ASSAY: Xpert CT/NG, COUNT: 4696
ASSAY: Xpert MTB/RIF, COUNT: 317
ASSAY: Xpert MTB/RIF Ultra, COUNT: 5262
</t>
  </si>
  <si>
    <t>Software stuck on waste container emptying screen</t>
  </si>
  <si>
    <t>https://www.jotform.com/uploads/macarewecare/222927978372067/5649573866877623790/5649573866877623790_signature_28.png</t>
  </si>
  <si>
    <t>https://www.jotform.com/uploads/macarewecare/222927978372067/5649573866877623790/5649573866877623790_signature_31.png</t>
  </si>
  <si>
    <t>Carcar CHO</t>
  </si>
  <si>
    <t>Valladolid, Carcar City, Cebu</t>
  </si>
  <si>
    <t>Error 2037 cartridge integrity test failed in B4</t>
  </si>
  <si>
    <t>Instruct medtech to check the cartridge before loading specimen
Follow instruction for specimen handling
And preparation</t>
  </si>
  <si>
    <t>Clean Icore, Plunger maintenance and clean cartridge bay
Clean filter
Generate IQR, Sys log, Gxx files and Assay Stats</t>
  </si>
  <si>
    <t>B1, B3, and B4 are operational except B2 due to frequent 1002 errors</t>
  </si>
  <si>
    <t>https://www.jotform.com/uploads/macarewecare/222927978372067/5649566316429787436/5649566316429787436_signature_28.png</t>
  </si>
  <si>
    <t>https://www.jotform.com/uploads/macarewecare/222927978372067/5649566316429787436/5649566316429787436_signature_31.png</t>
  </si>
  <si>
    <t>Dr. Sixto Antonio Ave., Rosario, Pasig</t>
  </si>
  <si>
    <t xml:space="preserve">ASSAY: Xpert MTB/RIF Ultra, COUNT: 1934
</t>
  </si>
  <si>
    <t>GeneXpert to transfer to better room</t>
  </si>
  <si>
    <t>Moved and setup GX and all accessories to new room
Performed PM
Generated report</t>
  </si>
  <si>
    <t>Transferred GX to new room</t>
  </si>
  <si>
    <t>https://www.jotform.com/uploads/macarewecare/222927978372067/5649536693613890306/5649536693613890306_signature_28.png</t>
  </si>
  <si>
    <t>https://www.jotform.com/uploads/macarewecare/222927978372067/5649536693613890306/5649536693613890306_signature_31.png</t>
  </si>
  <si>
    <t xml:space="preserve">ASSAY: Xpert MTB/RIF Ultra, COUNT: 989
</t>
  </si>
  <si>
    <t>Performed Maintenance
Gathered Reports
Installed HIV assay
Performed Functionality Test</t>
  </si>
  <si>
    <t>https://www.jotform.com/uploads/macarewecare/222927978372067/5649512775417019565/5649512775417019565_signature_28.png</t>
  </si>
  <si>
    <t>https://www.jotform.com/uploads/macarewecare/222927978372067/5649512775417019565/5649512775417019565_signature_31.png</t>
  </si>
  <si>
    <t xml:space="preserve">ASSAY: Xpert MTB/RIF, COUNT: 9
ASSAY: Xpert MTB/RIF Ultra, COUNT: 1398
</t>
  </si>
  <si>
    <t>Module A2 frequent termination error.</t>
  </si>
  <si>
    <t>Waiting for module A1 allocation. All three other modules are operational.</t>
  </si>
  <si>
    <t>Module A2 for observation.</t>
  </si>
  <si>
    <t>https://www.jotform.com/uploads/macarewecare/222927978372067/5649491089615585339/5649491089615585339_signature_28.png</t>
  </si>
  <si>
    <t>https://www.jotform.com/uploads/macarewecare/222927978372067/5649491089615585339/5649491089615585339_signature_31.png</t>
  </si>
  <si>
    <t>Unit for PM.
AVR malfunctioning.</t>
  </si>
  <si>
    <t>Performed PM.
Performed troubleshooting of AVR.
Generated reports.
Generated photo and video of AVR malfunctioning.</t>
  </si>
  <si>
    <t>Unit is operational. AVR is defective and for replacement.</t>
  </si>
  <si>
    <t>https://www.jotform.com/uploads/macarewecare/222927978372067/5649474966626866507/5649474966626866507_signature_28.png</t>
  </si>
  <si>
    <t>Monaliza Taruc</t>
  </si>
  <si>
    <t>https://www.jotform.com/uploads/macarewecare/222927978372067/5649474966626866507/5649474966626866507_signature_31.png</t>
  </si>
  <si>
    <t>Corner E. Quirino, Camus Street Davao city</t>
  </si>
  <si>
    <t xml:space="preserve">ASSAY: Xpert MTB/RIF Ultra, COUNT: 191
ASSAY: Xpert MTB/RIF Ultra, COUNT: 520
</t>
  </si>
  <si>
    <t>Modules B2 and B4 reported Module Error</t>
  </si>
  <si>
    <t>Clean Optics</t>
  </si>
  <si>
    <t>Troubleshoot the Modules</t>
  </si>
  <si>
    <t>Modules reported is under observation.</t>
  </si>
  <si>
    <t>Errors Encounter during Running are Code 5007</t>
  </si>
  <si>
    <t>https://www.jotform.com/uploads/macarewecare/222927978372067/5649467896223484582/5649467896223484582_signature_28.png</t>
  </si>
  <si>
    <t>https://www.jotform.com/uploads/macarewecare/222927978372067/5649467896223484582/5649467896223484582_signature_31.png</t>
  </si>
  <si>
    <t>Lapulapu cho</t>
  </si>
  <si>
    <t>Error 1002 and 4009 SN # 753535</t>
  </si>
  <si>
    <t>Reset module 4</t>
  </si>
  <si>
    <t>Reset module 4
Generate IQR, Sys log and assay stat</t>
  </si>
  <si>
    <t>All modules are available but due to frequent Error 1002 and 4009</t>
  </si>
  <si>
    <t>https://www.jotform.com/uploads/macarewecare/222927978372067/5649463632672094729/5649463632672094729_signature_28.png</t>
  </si>
  <si>
    <t>https://www.jotform.com/uploads/macarewecare/222927978372067/5649463632672094729/5649463632672094729_signature_31.png</t>
  </si>
  <si>
    <t>Talisay CHU</t>
  </si>
  <si>
    <t>Cansojong Talisay</t>
  </si>
  <si>
    <t>Error 2014 in B2</t>
  </si>
  <si>
    <t>Clean filter, checking ambient temp in the area, schedule reset after running all specimen</t>
  </si>
  <si>
    <t>Generate IQR, Sys log, IQR</t>
  </si>
  <si>
    <t>Only 3 modules are running due terminnation error of module 2</t>
  </si>
  <si>
    <t>https://www.jotform.com/uploads/macarewecare/222927978372067/5649369386817613056/5649369386817613056_signature_28.png</t>
  </si>
  <si>
    <t>https://www.jotform.com/uploads/macarewecare/222927978372067/5649369386817613056/5649369386817613056_signature_31.png</t>
  </si>
  <si>
    <t>loleniamelad@ymail.com</t>
  </si>
  <si>
    <t>ISH0336</t>
  </si>
  <si>
    <t>Replaced Rollers on red
Adjust the line sensor but not working
Clean the machine</t>
  </si>
  <si>
    <t>Line sensor for Replacement due to low output</t>
  </si>
  <si>
    <t>Rollers 2pcs</t>
  </si>
  <si>
    <t>https://www.jotform.com/uploads/macarewecare/222927978372067/5502686552261284914/5502686552261284914_signature_28.png</t>
  </si>
  <si>
    <t>Lolenia D. Melaf</t>
  </si>
  <si>
    <t>https://www.jotform.com/uploads/macarewecare/222927978372067/5502686552261284914/5502686552261284914_signature_31.png</t>
  </si>
  <si>
    <t>BALASAN RURAL HEALTH UNIT</t>
  </si>
  <si>
    <t>BALASAN ILOILO</t>
  </si>
  <si>
    <t>COLLECT IQR , STYSTEM LOG AND ASSAY STAT</t>
  </si>
  <si>
    <t>STUCK CARTRIDGE ISSUE RESOLVED
MOUDLE B2 H/W FAIL</t>
  </si>
  <si>
    <t>https://www.jotform.com/uploads/macarewecare/222927978372067/5649357936423722852/5649357936423722852_signature_28.png</t>
  </si>
  <si>
    <t>https://www.jotform.com/uploads/macarewecare/222927978372067/5649357936423722852/5649357936423722852_signature_31.png</t>
  </si>
  <si>
    <t>Oras E. Samar</t>
  </si>
  <si>
    <t xml:space="preserve">ASSAY: Xpert MTB/RIF, COUNT: 45
ASSAY: Xpert MTB/RIF Ultra, COUNT: 792
</t>
  </si>
  <si>
    <t>https://www.jotform.com/uploads/macarewecare/222927978372067/5649325679718184491/5649325679718184491_signature_28.png</t>
  </si>
  <si>
    <t>Priscilla R. Espeso</t>
  </si>
  <si>
    <t>https://www.jotform.com/uploads/macarewecare/222927978372067/5649325679718184491/5649325679718184491_signature_31.png</t>
  </si>
  <si>
    <t>Vitali lying-in Centre</t>
  </si>
  <si>
    <t>Vitali Zamboanga City</t>
  </si>
  <si>
    <t>Xpertcheck calibration for all 4 modules and conducted preventive Maintenence</t>
  </si>
  <si>
    <t>All modules are available. All modules passed the xpertcheck calibration.</t>
  </si>
  <si>
    <t>https://www.jotform.com/uploads/macarewecare/222927978372067/5649148188316861995/5649148188316861995_signature_28.png</t>
  </si>
  <si>
    <t>https://www.jotform.com/uploads/macarewecare/222927978372067/5649148188316861995/5649148188316861995_signature_31.png</t>
  </si>
  <si>
    <t>https://www.jotform.com/uploads/macarewecare/222927978372067/5649148118311062160/5649148118311062160_signature_28.png</t>
  </si>
  <si>
    <t>https://www.jotform.com/uploads/macarewecare/222927978372067/5649148118311062160/5649148118311062160_signature_31.png</t>
  </si>
  <si>
    <t>Arsenia Maximo Super Health Center</t>
  </si>
  <si>
    <t>Quirino Hi-way, Novaliches, Quezon City</t>
  </si>
  <si>
    <t xml:space="preserve">ASSAY: Xpert HPV, COUNT: 155
ASSAY: Xpert MTB/RIF, COUNT: 100
ASSAY: Xpert MTB/RIF Ultra, COUNT: 1093
ASSAY: Xpert HIV-1 Viral Load, COUNT: 246
</t>
  </si>
  <si>
    <t>DR #0041843</t>
  </si>
  <si>
    <t>https://www.jotform.com/uploads/macarewecare/222927978372067/5648674939479151602/5648674939479151602_signature_28.png</t>
  </si>
  <si>
    <t>Elyvette Basa</t>
  </si>
  <si>
    <t>https://www.jotform.com/uploads/macarewecare/222927978372067/5648674939479151602/5648674939479151602_signature_31.png</t>
  </si>
  <si>
    <t>Toledo CHO</t>
  </si>
  <si>
    <t>Due for Maintenance,</t>
  </si>
  <si>
    <t>Performed maintenance, Back up database
Clean Icore, Clean filter, plunger maintenance
Generate IQR, Sys log, Gxx files and Assay Stat</t>
  </si>
  <si>
    <t>https://www.jotform.com/uploads/macarewecare/222927978372067/5648671086326304864/5648671086326304864_signature_28.png</t>
  </si>
  <si>
    <t>Lorie Mae C. Diapen, RMT</t>
  </si>
  <si>
    <t>https://www.jotform.com/uploads/macarewecare/222927978372067/5648671086326304864/5648671086326304864_signature_31.png</t>
  </si>
  <si>
    <t xml:space="preserve">ASSAY: Xpert MTB/RIF, COUNT: 26
ASSAY: Xpert MTB/RIF Ultra, COUNT: 398
</t>
  </si>
  <si>
    <t>https://www.jotform.com/uploads/macarewecare/222927978372067/5648666228118744696/5648666228118744696_signature_28.png</t>
  </si>
  <si>
    <t>https://www.jotform.com/uploads/macarewecare/222927978372067/5648666228118744696/5648666228118744696_signature_31.png</t>
  </si>
  <si>
    <t>Rodriguez St. Tondo</t>
  </si>
  <si>
    <t xml:space="preserve">ASSAY: Xpert MTB/RIF Ultra, COUNT: 1293
</t>
  </si>
  <si>
    <t>CPU slow response and slow to archive.</t>
  </si>
  <si>
    <t>Performed troubleshooting of CPU.
Resetted ram, hdd and internal connections.
Generated reports, photo and video.</t>
  </si>
  <si>
    <t>Unit is operational. CPU is slow and recommended for replacement.</t>
  </si>
  <si>
    <t>HP Z220SFF (sn: 2UA3520VNV)</t>
  </si>
  <si>
    <t>https://www.jotform.com/uploads/macarewecare/222927978372067/5648634955429326313/5648634955429326313_signature_28.png</t>
  </si>
  <si>
    <t>https://www.jotform.com/uploads/macarewecare/222927978372067/5648634955429326313/5648634955429326313_signature_31.png</t>
  </si>
  <si>
    <t>Sta Cruz, Davao Del Sur</t>
  </si>
  <si>
    <t>https://www.jotform.com/uploads/macarewecare/222927978372067/5648627546225672337/5648627546225672337_signature_28.png</t>
  </si>
  <si>
    <t>https://www.jotform.com/uploads/macarewecare/222927978372067/5648627546225672337/5648627546225672337_signature_31.png</t>
  </si>
  <si>
    <t>SULAT RURAL HEALTH UNIT</t>
  </si>
  <si>
    <t>SULAT</t>
  </si>
  <si>
    <t xml:space="preserve">ASSAY: Xpert MTB/RIF, COUNT: 85
ASSAY: Xpert MTB/RIF Ultra, COUNT: 650
</t>
  </si>
  <si>
    <t>Module B2 - stuck Cartridge 
Module B1 - received multiple temperature error</t>
  </si>
  <si>
    <t>Unit is Operational ( module B1 waiting for module replacement)</t>
  </si>
  <si>
    <t>https://www.jotform.com/uploads/macarewecare/222927978372067/5648626026518424689/5648626026518424689_signature_28.png</t>
  </si>
  <si>
    <t>https://www.jotform.com/uploads/macarewecare/222927978372067/5648626026518424689/5648626026518424689_signature_31.png</t>
  </si>
  <si>
    <t xml:space="preserve">ASSAY: Xpert BCR-ABL Ultra, COUNT: 24
ASSAY: Xpert HPV, COUNT: 1
ASSAY: Others, COUNT: 40
ASSAY: Xpert MTB/RIF Ultra, COUNT: 4977
</t>
  </si>
  <si>
    <t>GX IV 6 Colors</t>
  </si>
  <si>
    <t>2 Mod
Modules A1 and A3 for replacement</t>
  </si>
  <si>
    <t>Replaced Modules A1 and A3
A1: 677953 -&gt; 633074
A3: 671739 -&gt; 904172</t>
  </si>
  <si>
    <t>https://www.jotform.com/uploads/macarewecare/222927978372067/5648528682116641280/5648528682116641280_signature_28.png</t>
  </si>
  <si>
    <t>https://www.jotform.com/uploads/macarewecare/222927978372067/5648528682116641280/5648528682116641280_signature_31.png</t>
  </si>
  <si>
    <t>Caloocan Health Center</t>
  </si>
  <si>
    <t>CPU 2 for troubleshooting</t>
  </si>
  <si>
    <t>Tightened CPU parts connections
CPU working properly
Separated 2 GX
Removed network switch
Setup PC 1 and PC 2
Module B1 ERROR 2126; Tightened connections
Generated report</t>
  </si>
  <si>
    <t>Troubleshoot CPU2</t>
  </si>
  <si>
    <t>https://www.jotform.com/uploads/macarewecare/222927978372067/5648509812112295476/5648509812112295476_signature_28.png</t>
  </si>
  <si>
    <t>ALBERT IGAMA</t>
  </si>
  <si>
    <t>https://www.jotform.com/uploads/macarewecare/222927978372067/5648509812112295476/5648509812112295476_signature_31.png</t>
  </si>
  <si>
    <t>Tabaco CHU</t>
  </si>
  <si>
    <t>Tabaco City</t>
  </si>
  <si>
    <t>For module replacement, D2</t>
  </si>
  <si>
    <t>Replaced Module: 617185&gt;&gt;210089677
Clean cartridge bays, plunger rod, fan filter</t>
  </si>
  <si>
    <t>Module Replacement, Preventive Maintenance</t>
  </si>
  <si>
    <t>Module 210089677</t>
  </si>
  <si>
    <t>PL-011626</t>
  </si>
  <si>
    <t>https://www.jotform.com/uploads/macarewecare/222927978372067/5647873436816576511/5647873436816576511_signature_28.png</t>
  </si>
  <si>
    <t>https://www.jotform.com/uploads/macarewecare/222927978372067/5647873436816576511/5647873436816576511_signature_31.png</t>
  </si>
  <si>
    <t xml:space="preserve">ASSAY: Xpert MTB/RIF, COUNT: 47
ASSAY: Xpert MTB/RIF Ultra, COUNT: 356
</t>
  </si>
  <si>
    <t>Due for re-xpertcheck</t>
  </si>
  <si>
    <t>Performed surface cleaning
Cleaning of plunger rod,icore,filter and cartridge bay
Archived test results
Performed calibration
Gathered reports
Performed functionality test</t>
  </si>
  <si>
    <t>Unit is operation except module A3</t>
  </si>
  <si>
    <t>A3 failed xpertcheck for reporting, used 1 calibration kit</t>
  </si>
  <si>
    <t>https://www.jotform.com/uploads/macarewecare/222927978372067/5647774167129105738/5647774167129105738_signature_28.png</t>
  </si>
  <si>
    <t>https://www.jotform.com/uploads/macarewecare/222927978372067/5647774167129105738/5647774167129105738_signature_31.png</t>
  </si>
  <si>
    <t>hazelmilan@gmail.com</t>
  </si>
  <si>
    <t xml:space="preserve">ASSAY: Xpert MTB/RIF Ultra, COUNT: 2422
ASSAY: Xpert HIV-1 Viral Load, COUNT: 46
</t>
  </si>
  <si>
    <t>Stuck Cartridge in Module 4</t>
  </si>
  <si>
    <t>Self-Test</t>
  </si>
  <si>
    <t>Removed Stuck Cartridge
Performed Maintenance
Generate Reports</t>
  </si>
  <si>
    <t>1 Modules is Operational, 3 Modules are Defective</t>
  </si>
  <si>
    <t>https://www.jotform.com/uploads/macarewecare/222927978372067/5647769203616385095/5647769203616385095_signature_28.png</t>
  </si>
  <si>
    <t>https://www.jotform.com/uploads/macarewecare/222927978372067/5647769203616385095/5647769203616385095_signature_31.png</t>
  </si>
  <si>
    <t>Amadeo Rural Health Unit</t>
  </si>
  <si>
    <t>Pangil Road, Amadeo</t>
  </si>
  <si>
    <t>ginabautista789@gmail.com</t>
  </si>
  <si>
    <t xml:space="preserve">ASSAY: Xpert MTB/RIF Ultra, COUNT: 876
ASSAY: Xpert HIV-1 Viral Load, COUNT: 76
</t>
  </si>
  <si>
    <t>All Modules are Operational and Passed the XpertCheck</t>
  </si>
  <si>
    <t>https://www.jotform.com/uploads/macarewecare/222927978372067/5647769203618359023/5647769203618359023_signature_28.png</t>
  </si>
  <si>
    <t>Gina Bautista</t>
  </si>
  <si>
    <t>https://www.jotform.com/uploads/macarewecare/222927978372067/5647769203618359023/5647769203618359023_signature_31.png</t>
  </si>
  <si>
    <t>RAKKK Prophet Medical Center</t>
  </si>
  <si>
    <t>Maharlika Highway, Gumaca</t>
  </si>
  <si>
    <t xml:space="preserve">ASSAY: Xpert MTB/RIF Ultra, COUNT: 248
ASSAY: Xpert SARS-CoV-2, COUNT: 493
</t>
  </si>
  <si>
    <t>https://www.jotform.com/uploads/macarewecare/222927978372067/5647769203619624591/5647769203619624591_signature_28.png</t>
  </si>
  <si>
    <t>Katrina Rose F. Aureaca</t>
  </si>
  <si>
    <t>https://www.jotform.com/uploads/macarewecare/222927978372067/5647769203619624591/5647769203619624591_signature_31.png</t>
  </si>
  <si>
    <t>Bataan Genaeral Hospital and Medical Center</t>
  </si>
  <si>
    <t>Genexpert machine relocation</t>
  </si>
  <si>
    <t xml:space="preserve">ASSAY: Xpert HBV VL, COUNT: 19
ASSAY: Xpert HCV VL, COUNT: 7
ASSAY: Xpert HIV-1 Viral Load, COUNT: 39
</t>
  </si>
  <si>
    <t>Machine relocation
Installation and setup</t>
  </si>
  <si>
    <t>Performed machine relocation from RHIVDA to PCR Laboratory
Performed machine setup
Performed preventive maintenance
Gathered reports
Performed functionality test</t>
  </si>
  <si>
    <t>https://www.jotform.com/uploads/macarewecare/222927978372067/5647764597125602748/5647764597125602748_signature_28.png</t>
  </si>
  <si>
    <t>https://www.jotform.com/uploads/macarewecare/222927978372067/5647764597125602748/5647764597125602748_signature_31.png</t>
  </si>
  <si>
    <t>josephlorenzomercado@yahoo.com</t>
  </si>
  <si>
    <t>Error 2008 and 5007 occured rarely</t>
  </si>
  <si>
    <t>Errors  mostly are sample related problems.</t>
  </si>
  <si>
    <t>Check ups and CPU, printer
Check genxpert machine, bar code scanner,
Clean Icore, plunger, and filter
Generate database, gxx files, IQR and assay Stats</t>
  </si>
  <si>
    <t>https://www.jotform.com/uploads/macarewecare/222927978372067/5647686267031267611/5647686267031267611_signature_28.png</t>
  </si>
  <si>
    <t>Josehp Lorenzo V. Mercado</t>
  </si>
  <si>
    <t>https://www.jotform.com/uploads/macarewecare/222927978372067/5647686267031267611/5647686267031267611_signature_31.png</t>
  </si>
  <si>
    <t xml:space="preserve">ASSAY: Xpert MTB/RIF Ultra, COUNT: 873
ASSAY: Xpert HIV-1 Viral Load, COUNT: 149
</t>
  </si>
  <si>
    <t>Replace module 4 SN: 806718 with new module SN: 210092886</t>
  </si>
  <si>
    <t>Genexpert module 6 color  SN: 210092886</t>
  </si>
  <si>
    <t>https://www.jotform.com/uploads/macarewecare/222927978372067/5647622267379133009/5647622267379133009_signature_28.png</t>
  </si>
  <si>
    <t>https://www.jotform.com/uploads/macarewecare/222927978372067/5647622267379133009/5647622267379133009_signature_31.png</t>
  </si>
  <si>
    <t xml:space="preserve">ASSAY: Xpert HPV, COUNT: 230
ASSAY: Xpert MTB/RIF, COUNT: 554
ASSAY: Xpert MTB/RIF Ultra, COUNT: 2002
ASSAY: Xpert HIV-1 Viral Load, COUNT: 31
</t>
  </si>
  <si>
    <t>Modules can't be detected</t>
  </si>
  <si>
    <t>https://www.jotform.com/uploads/macarewecare/222927978372067/5647575875819240849/5647575875819240849_signature_28.png</t>
  </si>
  <si>
    <t>https://www.jotform.com/uploads/macarewecare/222927978372067/5647575875819240849/5647575875819240849_signature_31.png</t>
  </si>
  <si>
    <t>MRB Compound,Pilor Drive, QC</t>
  </si>
  <si>
    <t xml:space="preserve">ASSAY: Xpert MTB/RIF, COUNT: 119
ASSAY: Xpert MTB/RIF Ultra, COUNT: 1024
</t>
  </si>
  <si>
    <t>For relocation and installation,unit from holy spirit health center to be transfer to NGC super health center</t>
  </si>
  <si>
    <t>cleaned unit,filter,plunger rod,cartridge bay,i core,gathered reports,performed visual check,test run unit, transfer and installed unit</t>
  </si>
  <si>
    <t>Installation and maintenance</t>
  </si>
  <si>
    <t>Complete accessories</t>
  </si>
  <si>
    <t>https://www.jotform.com/uploads/macarewecare/222927978372067/5646049358911538856/5646049358911538856_signature_28.png</t>
  </si>
  <si>
    <t>https://www.jotform.com/uploads/macarewecare/222927978372067/5646049358911538856/5646049358911538856_signature_31.png</t>
  </si>
  <si>
    <t>Bulacan st., Payatas</t>
  </si>
  <si>
    <t>A3 intermittent temp.error, A4 intermittent loss communication</t>
  </si>
  <si>
    <t>cleaned unit,filter,plunger rod,cartridge bay,i core,gathered reports,performed visual check,test run unit, replaced cable</t>
  </si>
  <si>
    <t>For rexpertcheck A3 module,A4 operational</t>
  </si>
  <si>
    <t>A2 reported already</t>
  </si>
  <si>
    <t>https://www.jotform.com/uploads/macarewecare/222927978372067/5646048518919721693/5646048518919721693_signature_28.png</t>
  </si>
  <si>
    <t>https://www.jotform.com/uploads/macarewecare/222927978372067/5646048518919721693/5646048518919721693_signature_31.png</t>
  </si>
  <si>
    <t xml:space="preserve">ASSAY: Xpert BCR-ABL Ultra, COUNT: 596
ASSAY: Others, COUNT: 7
ASSAY: Xpert HBV VL, COUNT: 350
ASSAY: Xpert HPV, COUNT: 111
ASSAY: Xpert MTB/RIF, COUNT: 1237
ASSAY: Xpert MTB/RIF Ultra, COUNT: 575
ASSAY: Xpert SARS-CoV-2, COUNT: 17466
ASSAY: Xpert HCV VL, COUNT: 26
ASSAY: Others, COUNT: 9
</t>
  </si>
  <si>
    <t>For module replacement and maintenance  A3 210028986 - 655287 C1 210028937 -210036872, C4 210028989 - 890075</t>
  </si>
  <si>
    <t>13 modules operational</t>
  </si>
  <si>
    <t>D2 and D3 disabled</t>
  </si>
  <si>
    <t>https://www.jotform.com/uploads/macarewecare/222927978372067/5646047638911197784/5646047638911197784_signature_28.png</t>
  </si>
  <si>
    <t>https://www.jotform.com/uploads/macarewecare/222927978372067/5646047638911197784/5646047638911197784_signature_31.png</t>
  </si>
  <si>
    <t>Quezon avenue q.c</t>
  </si>
  <si>
    <t xml:space="preserve">ASSAY: Xpert MTB/RIF Ultra, COUNT: 3800
ASSAY: Xpert SARS-CoV-2, COUNT: 4299
</t>
  </si>
  <si>
    <t>For module replacement and maintenance C1 753022 - 210092918 D4 870126 - 210093415</t>
  </si>
  <si>
    <t>leaned unit,filter,plunger rod,cartridge bay,i core,gathered reports,performed visual check,test run unit, performed module replacement</t>
  </si>
  <si>
    <t>B1,b3 disabled</t>
  </si>
  <si>
    <t>G5724</t>
  </si>
  <si>
    <t>https://www.jotform.com/uploads/macarewecare/222927978372067/5646047048912407140/5646047048912407140_signature_28.png</t>
  </si>
  <si>
    <t>https://www.jotform.com/uploads/macarewecare/222927978372067/5646047048912407140/5646047048912407140_signature_31.png</t>
  </si>
  <si>
    <t>Davao del Norte Provincial Hospital Kapalong Zone</t>
  </si>
  <si>
    <t>National Highway, Kapalong Davao del Norte</t>
  </si>
  <si>
    <t xml:space="preserve">ASSAY: Xpert MTB/RIF Ultra, COUNT: 3884
</t>
  </si>
  <si>
    <t>Module C3 encounter hardware failure</t>
  </si>
  <si>
    <t>Replaced the defective Module C3 SN:686037 with new Module SN: 210062831
Clean Surface area, Cartridge Bay, Plunger Rod and Icore Lenses
Generate IQR, Assay Stat and System Log</t>
  </si>
  <si>
    <t>https://www.jotform.com/uploads/macarewecare/222927978372067/5645391255207122801/5645391255207122801_signature_28.png</t>
  </si>
  <si>
    <t>Leona S. Olila</t>
  </si>
  <si>
    <t>https://www.jotform.com/uploads/macarewecare/222927978372067/5645391255207122801/5645391255207122801_signature_31.png</t>
  </si>
  <si>
    <t>Module D2 hardware failure</t>
  </si>
  <si>
    <t>Replaced the Defective Module SN: 783912 with new Module SN: 210092888</t>
  </si>
  <si>
    <t>https://www.jotform.com/uploads/macarewecare/222927978372067/5645390095208537237/5645390095208537237_signature_28.png</t>
  </si>
  <si>
    <t>https://www.jotform.com/uploads/macarewecare/222927978372067/5645390095208537237/5645390095208537237_signature_31.png</t>
  </si>
  <si>
    <t>Module B1 h/w failure</t>
  </si>
  <si>
    <t>Replace the defective Module B1 SN: 893800 with new Module SN : 210093394</t>
  </si>
  <si>
    <t>All Module are Operational</t>
  </si>
  <si>
    <t>https://www.jotform.com/uploads/macarewecare/222927978372067/5645389735207916422/5645389735207916422_signature_28.png</t>
  </si>
  <si>
    <t>https://www.jotform.com/uploads/macarewecare/222927978372067/5645389735207916422/5645389735207916422_signature_31.png</t>
  </si>
  <si>
    <t>Minglanilla RHU</t>
  </si>
  <si>
    <t>Poblacion Ward 1, Tiber Minglanilla Cebu</t>
  </si>
  <si>
    <t xml:space="preserve">ASSAY: Xpert MTB/RIF Ultra, COUNT: 1410
ASSAY: Xpert HPV, COUNT: 908
</t>
  </si>
  <si>
    <t>Error 2008 in Module 3 and Module 4</t>
  </si>
  <si>
    <t>Instruct medtech to review the samples before loading into the cartridge.</t>
  </si>
  <si>
    <t>Performed clean up in plunger, Icore and Filter</t>
  </si>
  <si>
    <t>All 3 modules are used due to frequent error of 1002 in Module 2.</t>
  </si>
  <si>
    <t>https://www.jotform.com/uploads/macarewecare/222927978372067/5645279404218626273/5645279404218626273_signature_28.png</t>
  </si>
  <si>
    <t>https://www.jotform.com/uploads/macarewecare/222927978372067/5645279404218626273/5645279404218626273_signature_31.png</t>
  </si>
  <si>
    <t>rizzabrazil13@gmail.com</t>
  </si>
  <si>
    <t xml:space="preserve">ASSAY: Xpert HPV, COUNT: 585
ASSAY: Xpert MTB/RIF Ultra, COUNT: 2273
</t>
  </si>
  <si>
    <t>DR #10060</t>
  </si>
  <si>
    <t>https://www.jotform.com/uploads/macarewecare/222927978372067/5645238521969905194/5645238521969905194_signature_28.png</t>
  </si>
  <si>
    <t>Rizza B. Clemente</t>
  </si>
  <si>
    <t>https://www.jotform.com/uploads/macarewecare/222927978372067/5645238521969905194/5645238521969905194_signature_31.png</t>
  </si>
  <si>
    <t>Genexpert Application not opening
Genexpert undetected
Slow CPU booting up
Failed to connect to a windows service</t>
  </si>
  <si>
    <t>Troubleshoot network connection
Reset hard drive and RAM
Checked network services</t>
  </si>
  <si>
    <t>Unit is not fully operational, Genexpert Application not booting up</t>
  </si>
  <si>
    <t>https://www.jotform.com/uploads/macarewecare/222927978372067/5645196554426428121/5645196554426428121_signature_28.png</t>
  </si>
  <si>
    <t>https://www.jotform.com/uploads/macarewecare/222927978372067/5645196554426428121/5645196554426428121_signature_31.png</t>
  </si>
  <si>
    <t>Libod, Pandan</t>
  </si>
  <si>
    <t>Performed XpertCheck
Cleaned Cartridge bays, plunger rod, icore</t>
  </si>
  <si>
    <t>PL-010410</t>
  </si>
  <si>
    <t>https://www.jotform.com/uploads/macarewecare/222927978372067/5645189903417077463/5645189903417077463_signature_28.png</t>
  </si>
  <si>
    <t>Mary Joan I Namata</t>
  </si>
  <si>
    <t>https://www.jotform.com/uploads/macarewecare/222927978372067/5645189903417077463/5645189903417077463_signature_31.png</t>
  </si>
  <si>
    <t>Calamba</t>
  </si>
  <si>
    <t>Performed PM.
Performed module replacement of B3.
Generated reports.</t>
  </si>
  <si>
    <t>GX module B3 (210092908) in replacement to defective B3 (684562).</t>
  </si>
  <si>
    <t>https://www.jotform.com/uploads/macarewecare/222927978372067/5645182983562947996/5645182983562947996_signature_28.png</t>
  </si>
  <si>
    <t>https://www.jotform.com/uploads/macarewecare/222927978372067/5645182983562947996/5645182983562947996_signature_31.png</t>
  </si>
  <si>
    <t>Sta. Rosa</t>
  </si>
  <si>
    <t>https://www.jotform.com/uploads/macarewecare/222927978372067/5645116193565773254/5645116193565773254_signature_28.png</t>
  </si>
  <si>
    <t>https://www.jotform.com/uploads/macarewecare/222927978372067/5645116193565773254/5645116193565773254_signature_31.png</t>
  </si>
  <si>
    <t>Unit for preventive maintenance.
For troubleshooting of modules.</t>
  </si>
  <si>
    <t>Unit is operational. Disabled module C3 (temperature error).</t>
  </si>
  <si>
    <t>https://www.jotform.com/uploads/macarewecare/222927978372067/5645114433568845508/5645114433568845508_signature_28.png</t>
  </si>
  <si>
    <t>https://www.jotform.com/uploads/macarewecare/222927978372067/5645114433568845508/5645114433568845508_signature_31.png</t>
  </si>
  <si>
    <t xml:space="preserve">ASSAY: Xpert HIV-1 Viral Load, COUNT: 105
ASSAY: Xpert MTB/RIF Ultra, COUNT: 389
ASSAY: Xpert HBV VL, COUNT: 39
</t>
  </si>
  <si>
    <t>https://www.jotform.com/uploads/macarewecare/222927978372067/5645113231318720063/5645113231318720063_signature_28.png</t>
  </si>
  <si>
    <t>Fitz Gerald Manuzon</t>
  </si>
  <si>
    <t>https://www.jotform.com/uploads/macarewecare/222927978372067/5645113231318720063/5645113231318720063_signature_31.png</t>
  </si>
  <si>
    <t>Sta. Rosa City</t>
  </si>
  <si>
    <t>csrlcho1covidlab@gmail.com</t>
  </si>
  <si>
    <t xml:space="preserve">ASSAY: Xpert CT/NG, COUNT: 5
ASSAY: Xpert MTB/RIF Ultra, COUNT: 11
ASSAY: Xpert SARS-CoV-2, COUNT: 789
ASSAY: Xpert HIV-1 Viral Load, COUNT: 3
</t>
  </si>
  <si>
    <t>Performed preventive maintenance.
Performed troubleshooting of modules with errors.
Generated reports.</t>
  </si>
  <si>
    <t>Unit is operational. Disabled module B4 (temperature errors). Subject for replacement. Re-enabled other modules that are not hardware related errors.</t>
  </si>
  <si>
    <t>https://www.jotform.com/uploads/macarewecare/222927978372067/5645101813563613436/5645101813563613436_signature_28.png</t>
  </si>
  <si>
    <t>https://www.jotform.com/uploads/macarewecare/222927978372067/5645101813563613436/5645101813563613436_signature_31.png</t>
  </si>
  <si>
    <t xml:space="preserve">ASSAY: Xpert MTB/RIF Ultra, COUNT: 47
ASSAY: Xpert SARS-CoV-2, COUNT: 4851
ASSAY: Xpert HIV-1 Viral Load, COUNT: 20
</t>
  </si>
  <si>
    <t>Performed preventive maintenance.
Performed troubleshooting of modules with errors.
Generated report.</t>
  </si>
  <si>
    <t>Unit is operational. Disabled module B4, C2, D1, D2 and D4 (temperature errors). Subject for replacement. Re-enabled other modules that are not hardware related errors.</t>
  </si>
  <si>
    <t>https://www.jotform.com/uploads/macarewecare/222927978372067/5645101813566769951/5645101813566769951_signature_28.png</t>
  </si>
  <si>
    <t>https://www.jotform.com/uploads/macarewecare/222927978372067/5645101813566769951/5645101813566769951_signature_31.png</t>
  </si>
  <si>
    <t>Bagong Silang, Caloocan City</t>
  </si>
  <si>
    <t xml:space="preserve">ASSAY: Xpert MTB/RIF Ultra, COUNT: 859
</t>
  </si>
  <si>
    <t>GeneXpert Monitor
SN: MMA1PSS002215078AB3W01</t>
  </si>
  <si>
    <t>https://www.jotform.com/uploads/macarewecare/222927978372067/5645090058649092160/5645090058649092160_signature_28.png</t>
  </si>
  <si>
    <t>https://www.jotform.com/uploads/macarewecare/222927978372067/5645090058649092160/5645090058649092160_signature_31.png</t>
  </si>
  <si>
    <t>Baras Medicare Community Hospital</t>
  </si>
  <si>
    <t>Bagong Sirang, Catanduanes</t>
  </si>
  <si>
    <t>malustesoreromt@gmail.com</t>
  </si>
  <si>
    <t xml:space="preserve">ASSAY: Xpert MTB/RIF, COUNT: 26
ASSAY: Xpert MTB/RIF Ultra, COUNT: 463
</t>
  </si>
  <si>
    <t>Cleaned Cartridge Bays, plunger rod, icore
Generated reports</t>
  </si>
  <si>
    <t>https://www.jotform.com/uploads/macarewecare/222927978372067/5644383587898302553/5644383587898302553_signature_28.png</t>
  </si>
  <si>
    <t>Teresita Vergara</t>
  </si>
  <si>
    <t>https://www.jotform.com/uploads/macarewecare/222927978372067/5644383587898302553/5644383587898302553_signature_31.png</t>
  </si>
  <si>
    <t xml:space="preserve">ASSAY: Xpert MTB/RIF Ultra, COUNT: 2143
</t>
  </si>
  <si>
    <t>Performed Xpertcheck
Cleaned Cartridge Bays, Plunger rod, Icore
Generate Reports</t>
  </si>
  <si>
    <t>Unit is Operational
B1(616796)-Passed
B2(862611)-Passed
B3(736617)-Passed
B4(863009)-Service Required</t>
  </si>
  <si>
    <t>Xpertcheck: B4(863009)-Service Required</t>
  </si>
  <si>
    <t>https://www.jotform.com/uploads/macarewecare/222927978372067/5644306847893229173/5644306847893229173_signature_28.png</t>
  </si>
  <si>
    <t>https://www.jotform.com/uploads/macarewecare/222927978372067/5644306847893229173/5644306847893229173_signature_31.png</t>
  </si>
  <si>
    <t>Carcar Cho</t>
  </si>
  <si>
    <t>Valladolid, Carcar City Cebu</t>
  </si>
  <si>
    <t xml:space="preserve">ASSAY: Xpert MTB/RIF Ultra, COUNT: 1370
</t>
  </si>
  <si>
    <t>Error 2008 in Module 3 and 4 during running</t>
  </si>
  <si>
    <t>Instruct medtech to dilute the sampe before loading the samples to cartridge.</t>
  </si>
  <si>
    <t>Performed troubleshooting in Module 3 and 4.
Clean Icore, plunger and cartrdge bay
Clean filter and replaced with new filter</t>
  </si>
  <si>
    <t>Only 3 modules are available due to module 2 having frequent error of 1002 during running.</t>
  </si>
  <si>
    <t>https://www.jotform.com/uploads/macarewecare/222927978372067/5644299929773481544/5644299929773481544_signature_28.png</t>
  </si>
  <si>
    <t>https://www.jotform.com/uploads/macarewecare/222927978372067/5644299929773481544/5644299929773481544_signature_31.png</t>
  </si>
  <si>
    <t>Performed PM.
Verified calibration parameters.
Performed simulation running.
Generated report.</t>
  </si>
  <si>
    <t>https://www.jotform.com/uploads/macarewecare/222927978372067/5644269084912680281/5644269084912680281_signature_28.png</t>
  </si>
  <si>
    <t>https://www.jotform.com/uploads/macarewecare/222927978372067/5644269084912680281/5644269084912680281_signature_31.png</t>
  </si>
  <si>
    <t>https://www.jotform.com/uploads/macarewecare/222927978372067/5644269044918456062/5644269044918456062_signature_28.png</t>
  </si>
  <si>
    <t>https://www.jotform.com/uploads/macarewecare/222927978372067/5644269044918456062/5644269044918456062_signature_31.png</t>
  </si>
  <si>
    <t>HINIGARAN RURAL HEALTH UNIT</t>
  </si>
  <si>
    <t>Tab Laboratory</t>
  </si>
  <si>
    <t xml:space="preserve">ASSAY: Xpert MTB/RIF, COUNT: 64
ASSAY: Xpert MTB/RIF Ultra, COUNT: 868
</t>
  </si>
  <si>
    <t>No UPS and AVR; Processing problems during power interruptions and fluctuations.</t>
  </si>
  <si>
    <t>-4 modules operational;
- needs UPS and AVR. Defective UPS., at least 2KVA capacity of both UPS and AVR.
- reported earlier by previous Gx medtech.</t>
  </si>
  <si>
    <t>- Needs AVR and UPS due to frequent power fluctuations in the facility;</t>
  </si>
  <si>
    <t>https://www.jotform.com/uploads/macarewecare/222927978372067/5644256435141751271/5644256435141751271_signature_28.png</t>
  </si>
  <si>
    <t>May Flor M. Feliprada</t>
  </si>
  <si>
    <t>https://www.jotform.com/uploads/macarewecare/222927978372067/5644256435141751271/5644256435141751271_signature_31.png</t>
  </si>
  <si>
    <t>Brgy. San Miguel, Tarlac City</t>
  </si>
  <si>
    <t xml:space="preserve">ASSAY: Xpert MTB/RIF, COUNT: 41
ASSAY: Xpert MTB/RIF Ultra, COUNT: 448
</t>
  </si>
  <si>
    <t>GXIV-F</t>
  </si>
  <si>
    <t>https://www.jotform.com/uploads/macarewecare/222927978372067/5644243200222815994/5644243200222815994_signature_28.png</t>
  </si>
  <si>
    <t>Daisy Coles</t>
  </si>
  <si>
    <t>https://www.jotform.com/uploads/macarewecare/222927978372067/5644243200222815994/5644243200222815994_signature_31.png</t>
  </si>
  <si>
    <t>https://www.jotform.com/uploads/macarewecare/222927978372067/5644243150227342849/5644243150227342849_signature_28.png</t>
  </si>
  <si>
    <t>https://www.jotform.com/uploads/macarewecare/222927978372067/5644243150227342849/5644243150227342849_signature_31.png</t>
  </si>
  <si>
    <t xml:space="preserve">ASSAY: Xpert SARS-CoV-2, COUNT: 543
</t>
  </si>
  <si>
    <t>https://www.jotform.com/uploads/macarewecare/222927978372067/5644226424918976058/5644226424918976058_signature_28.png</t>
  </si>
  <si>
    <t>Genesis Gabine Viole Tolentino</t>
  </si>
  <si>
    <t>https://www.jotform.com/uploads/macarewecare/222927978372067/5644226424918976058/5644226424918976058_signature_31.png</t>
  </si>
  <si>
    <t>UP Ayala Technohub, Commonwealth Ave., Quezon City</t>
  </si>
  <si>
    <t>Smartmax AS-310</t>
  </si>
  <si>
    <t>Defective smartmax cover inside assembly</t>
  </si>
  <si>
    <t>Replqved defective part
Performed functionality test
Performed unit calibration</t>
  </si>
  <si>
    <t>Replaced defective part
Performed unit calibration</t>
  </si>
  <si>
    <t>https://www.jotform.com/uploads/macarewecare/222927978372067/5644223532195072730/5644223532195072730_signature_28.png</t>
  </si>
  <si>
    <t>https://www.jotform.com/uploads/macarewecare/222927978372067/5644223532195072730/5644223532195072730_signature_31.png</t>
  </si>
  <si>
    <t>Dr. Lagrosa Health Center</t>
  </si>
  <si>
    <t>Layug St., Brgy 3, Pasaya City</t>
  </si>
  <si>
    <t xml:space="preserve">ASSAY: Xpert MTB/RIF Ultra, COUNT: 2293
</t>
  </si>
  <si>
    <t>Checked &amp; cleaned cartridge bays, plunger rod, icore slot &amp; replaced filter
Performed unit calibration
B2/644514 - Failed
B4/604721 - Insufficient kit
Generated report</t>
  </si>
  <si>
    <t>Performed PM
Performed XpertCheck</t>
  </si>
  <si>
    <t>https://www.jotform.com/uploads/macarewecare/222927978372067/5644223532198250730/5644223532198250730_signature_28.png</t>
  </si>
  <si>
    <t>https://www.jotform.com/uploads/macarewecare/222927978372067/5644223532198250730/5644223532198250730_signature_31.png</t>
  </si>
  <si>
    <t xml:space="preserve">ASSAY: Xpert MTB/RIF, COUNT: 118
ASSAY: Xpert MTB/RIF Ultra, COUNT: 707
</t>
  </si>
  <si>
    <t>Preventive maintenance 
- Performed Functionality test 
- Generate reports</t>
  </si>
  <si>
    <t>Unit is Operational (module B1 disabled- for module replacement)</t>
  </si>
  <si>
    <t>https://www.jotform.com/uploads/macarewecare/222927978372067/5644212843015686905/5644212843015686905_signature_28.png</t>
  </si>
  <si>
    <t>https://www.jotform.com/uploads/macarewecare/222927978372067/5644212843015686905/5644212843015686905_signature_31.png</t>
  </si>
  <si>
    <t xml:space="preserve">ASSAY: Xpert MTB/RIF, COUNT: 413
ASSAY: Xpert MTB/RIF Ultra, COUNT: 2406
</t>
  </si>
  <si>
    <t>https://www.jotform.com/uploads/macarewecare/222927978372067/5644062369028412038/5644062369028412038_signature_28.png</t>
  </si>
  <si>
    <t>https://www.jotform.com/uploads/macarewecare/222927978372067/5644062369028412038/5644062369028412038_signature_31.png</t>
  </si>
  <si>
    <t>Tb- Lab</t>
  </si>
  <si>
    <t>charmfrias1270@gmail.com</t>
  </si>
  <si>
    <t xml:space="preserve">ASSAY: Xpert MTB/RIF Ultra, COUNT: 2985
</t>
  </si>
  <si>
    <t>Fixed/Report module 1 stuck cartridge</t>
  </si>
  <si>
    <t>https://www.jotform.com/uploads/macarewecare/222927978372067/5644062369029635869/5644062369029635869_signature_28.png</t>
  </si>
  <si>
    <t>Charma Grace E. Frias</t>
  </si>
  <si>
    <t>https://www.jotform.com/uploads/macarewecare/222927978372067/5644062369029635869/5644062369029635869_signature_31.png</t>
  </si>
  <si>
    <t>Cordlife Medical Philippines Inc</t>
  </si>
  <si>
    <t>UP Ayala Technohub, Commonwealth Ave, Quezon City</t>
  </si>
  <si>
    <t>None, for Preventive Maintenance</t>
  </si>
  <si>
    <t>Performed Preventive Maintenance
Performed functionality test</t>
  </si>
  <si>
    <t>https://www.jotform.com/uploads/macarewecare/222927978372067/5643603090311295686/5643603090311295686_signature_28.png</t>
  </si>
  <si>
    <t>https://www.jotform.com/uploads/macarewecare/222927978372067/5643603090311295686/5643603090311295686_signature_31.png</t>
  </si>
  <si>
    <t>liloanmholab@gmail.com</t>
  </si>
  <si>
    <t xml:space="preserve">ASSAY: Xpert MTB/RIF, COUNT: 115
ASSAY: Xpert MTB/RIF Ultra, COUNT: 551
</t>
  </si>
  <si>
    <t>Clean fan filter/plunger rod maintenance</t>
  </si>
  <si>
    <t>https://www.jotform.com/uploads/macarewecare/222927978372067/5643550585419948612/5643550585419948612_signature_28.png</t>
  </si>
  <si>
    <t>Annabelle V. Buot</t>
  </si>
  <si>
    <t>https://www.jotform.com/uploads/macarewecare/222927978372067/5643550585419948612/5643550585419948612_signature_31.png</t>
  </si>
  <si>
    <t>Dalaguete Rhu</t>
  </si>
  <si>
    <t>Dalaguete, Cebu</t>
  </si>
  <si>
    <t>Module 3 and 4 Run time error 1002</t>
  </si>
  <si>
    <t>Replaced new module 3 and 4</t>
  </si>
  <si>
    <t>Module replacement of New module 3 SN 210060575 and New module 4 SN 210073850
Generate data IQR, Sys log, Assay Statistics and Gxx files</t>
  </si>
  <si>
    <t>Only 3 modules are available, module 1 is excluded due to run time error</t>
  </si>
  <si>
    <t>https://www.jotform.com/uploads/macarewecare/222927978372067/5643480298616645552/5643480298616645552_signature_28.png</t>
  </si>
  <si>
    <t>Alyzza Jane Rivera, RMT</t>
  </si>
  <si>
    <t>https://www.jotform.com/uploads/macarewecare/222927978372067/5643480298616645552/5643480298616645552_signature_31.png</t>
  </si>
  <si>
    <t>LORENZO D. ZAYCO DISTRICT HOSPITAL</t>
  </si>
  <si>
    <t>National Highway, Kabankalan City, Negros Occidental</t>
  </si>
  <si>
    <t xml:space="preserve">ASSAY: Xpert MTB/RIF Ultra, COUNT: 1782
</t>
  </si>
  <si>
    <t>Defective modules A1/682751 and A3/666201.</t>
  </si>
  <si>
    <t>- Replaced modules A1 and A3 with new modules SN A1/210092460 and A3/210092893.</t>
  </si>
  <si>
    <t>https://www.jotform.com/uploads/macarewecare/222927978372067/5643470077024125113/5643470077024125113_signature_28.png</t>
  </si>
  <si>
    <t>BEULAH AGRAVANTE</t>
  </si>
  <si>
    <t>https://www.jotform.com/uploads/macarewecare/222927978372067/5643470077024125113/5643470077024125113_signature_31.png</t>
  </si>
  <si>
    <t>Module B1-B3 are functional. Module B4 for reporting and further troubleshooting by Cepheid. CPU is operational.</t>
  </si>
  <si>
    <t>https://www.jotform.com/uploads/macarewecare/222927978372067/5643457514228402149/5643457514228402149_signature_28.png</t>
  </si>
  <si>
    <t>https://www.jotform.com/uploads/macarewecare/222927978372067/5643457514228402149/5643457514228402149_signature_31.png</t>
  </si>
  <si>
    <t>Unit not Working</t>
  </si>
  <si>
    <t>https://www.jotform.com/uploads/macarewecare/222927978372067/5643442994028849219/5643442994028849219_signature_28.png</t>
  </si>
  <si>
    <t>https://www.jotform.com/uploads/macarewecare/222927978372067/5643442994028849219/5643442994028849219_signature_31.png</t>
  </si>
  <si>
    <t>https://www.jotform.com/uploads/macarewecare/222927978372067/5643441264022339573/5643441264022339573_signature_28.png</t>
  </si>
  <si>
    <t>https://www.jotform.com/uploads/macarewecare/222927978372067/5643441264022339573/5643441264022339573_signature_31.png</t>
  </si>
  <si>
    <t>vanessadelmonte@gmail.com</t>
  </si>
  <si>
    <t xml:space="preserve">ASSAY: Xpert MTB/RIF, COUNT: 49
ASSAY: Xpert MTB/RIF Ultra, COUNT: 578
</t>
  </si>
  <si>
    <t>https://www.jotform.com/uploads/macarewecare/222927978372067/5643439695415656196/5643439695415656196_signature_28.png</t>
  </si>
  <si>
    <t>Vanessa mabag</t>
  </si>
  <si>
    <t>https://www.jotform.com/uploads/macarewecare/222927978372067/5643439695415656196/5643439695415656196_signature_31.png</t>
  </si>
  <si>
    <t>Poblacion, Tagbina</t>
  </si>
  <si>
    <t xml:space="preserve">ASSAY: Xpert MTB/RIF, COUNT: 41
ASSAY: Xpert MTB/RIF Ultra, COUNT: 713
</t>
  </si>
  <si>
    <t>Replacing Module B1 with SN: 861257 to SN: 210092772</t>
  </si>
  <si>
    <t>All 4 modules are working</t>
  </si>
  <si>
    <t>https://www.jotform.com/uploads/macarewecare/222927978372067/5643436925915265438/5643436925915265438_signature_28.png</t>
  </si>
  <si>
    <t>https://www.jotform.com/uploads/macarewecare/222927978372067/5643436925915265438/5643436925915265438_signature_31.png</t>
  </si>
  <si>
    <t>Blumentritt St., Sta. Cruz Manila</t>
  </si>
  <si>
    <t xml:space="preserve">ASSAY: Xpert BCR-ABL Ultra, COUNT: 21
ASSAY: Xpert CT/NG, COUNT: 37
ASSAY: Others, COUNT: HBV 83
ASSAY: Xpert HPV, COUNT: 33
ASSAY: Xpert MTB/RIF Ultra, COUNT: 1481
ASSAY: Xpert HCV VL, COUNT: 15
ASSAY: Xpert HIV-1 Viral Load, COUNT: 20
</t>
  </si>
  <si>
    <t>Unit for PM.
For module replacement of Module B4.</t>
  </si>
  <si>
    <t>GX module B4 (682515) in replacement to defective B4 (651975).</t>
  </si>
  <si>
    <t>DR 10072</t>
  </si>
  <si>
    <t>https://www.jotform.com/uploads/macarewecare/222927978372067/5643399604913764230/5643399604913764230_signature_28.png</t>
  </si>
  <si>
    <t>https://www.jotform.com/uploads/macarewecare/222927978372067/5643399604913764230/5643399604913764230_signature_31.png</t>
  </si>
  <si>
    <t xml:space="preserve">ASSAY: Xpert HIV-1 Viral Load, COUNT: 193
</t>
  </si>
  <si>
    <t>Cleaned Cartridge bays, Plunger Rods, and I-CORE 
Generated Reports</t>
  </si>
  <si>
    <t>Performed PREVENTIVE MAINTENANCE</t>
  </si>
  <si>
    <t>https://www.jotform.com/uploads/macarewecare/222927978372067/5643269420518181402/5643269420518181402_signature_28.png</t>
  </si>
  <si>
    <t>HAZEL GWYNETH BALBA</t>
  </si>
  <si>
    <t>https://www.jotform.com/uploads/macarewecare/222927978372067/5643269420518181402/5643269420518181402_signature_31.png</t>
  </si>
  <si>
    <t xml:space="preserve">ASSAY: Xpert HPV, COUNT: 756
</t>
  </si>
  <si>
    <t>GX 4 6C</t>
  </si>
  <si>
    <t>Module B2</t>
  </si>
  <si>
    <t>Cleaned Cartridge Bays, Plunger Rods and I-CORE 
Performed ReXpertCheck 
Generated Reports</t>
  </si>
  <si>
    <t>Module B2 failed. For reporting</t>
  </si>
  <si>
    <t>https://www.jotform.com/uploads/macarewecare/222927978372067/5643267560517917679/5643267560517917679_signature_28.png</t>
  </si>
  <si>
    <t>https://www.jotform.com/uploads/macarewecare/222927978372067/5643267560517917679/5643267560517917679_signature_31.png</t>
  </si>
  <si>
    <t>Cleaned Cartridge bays, Plunger Rods and I-CORE 
Generated Reports</t>
  </si>
  <si>
    <t>https://www.jotform.com/uploads/macarewecare/222927978372067/5643265850513319659/5643265850513319659_signature_28.png</t>
  </si>
  <si>
    <t>April Joy Gundran</t>
  </si>
  <si>
    <t>https://www.jotform.com/uploads/macarewecare/222927978372067/5643265850513319659/5643265850513319659_signature_31.png</t>
  </si>
  <si>
    <t>https://www.jotform.com/uploads/macarewecare/222927978372067/5643264070516232900/5643264070516232900_signature_28.png</t>
  </si>
  <si>
    <t>https://www.jotform.com/uploads/macarewecare/222927978372067/5643264070516232900/5643264070516232900_signature_31.png</t>
  </si>
  <si>
    <t xml:space="preserve">ASSAY: Xpert HPV, COUNT: 386
ASSAY: Xpert MTB/RIF Ultra, COUNT: 1592
</t>
  </si>
  <si>
    <t>-Cleaned Cartridge bays, I-CORE and Plunger Rods 
-Replaced filter
-Replaced Module B3 875228 &gt;&gt;&gt; 210059820</t>
  </si>
  <si>
    <t>Module 21005982</t>
  </si>
  <si>
    <t>https://www.jotform.com/uploads/macarewecare/222927978372067/5643262290512408829/5643262290512408829_signature_28.png</t>
  </si>
  <si>
    <t>https://www.jotform.com/uploads/macarewecare/222927978372067/5643262290512408829/5643262290512408829_signature_31.png</t>
  </si>
  <si>
    <t xml:space="preserve">ASSAY: Xpert HPV, COUNT: 3
ASSAY: Xpert MTB/RIF Ultra, COUNT: 993
</t>
  </si>
  <si>
    <t>Perform XpertCheck</t>
  </si>
  <si>
    <t>3 passed 1 fail, Module B4 for reporting, B1 error after XpertCheck for reporting</t>
  </si>
  <si>
    <t>DR 5335</t>
  </si>
  <si>
    <t>https://www.jotform.com/uploads/macarewecare/222927978372067/5643261120512471035/5643261120512471035_signature_28.png</t>
  </si>
  <si>
    <t>Sherry anne marrero</t>
  </si>
  <si>
    <t>https://www.jotform.com/uploads/macarewecare/222927978372067/5643261120512471035/5643261120512471035_signature_31.png</t>
  </si>
  <si>
    <t xml:space="preserve">ASSAY: Xpert MTB/RIF Ultra, COUNT: 1540
ASSAY: Xpert SARS-CoV-2, COUNT: 3222
</t>
  </si>
  <si>
    <t>Module B1 error prone</t>
  </si>
  <si>
    <t>Performed reliability test
Generated Reports</t>
  </si>
  <si>
    <t>https://www.jotform.com/uploads/macarewecare/222927978372067/5643259910514045080/5643259910514045080_signature_28.png</t>
  </si>
  <si>
    <t>Romar M Tamayo</t>
  </si>
  <si>
    <t>https://www.jotform.com/uploads/macarewecare/222927978372067/5643259910514045080/5643259910514045080_signature_31.png</t>
  </si>
  <si>
    <t>San Jose, Antique</t>
  </si>
  <si>
    <t xml:space="preserve">ASSAY: Xpert MTB/RIF, COUNT: 102
ASSAY: Xpert MTB/RIF Ultra, COUNT: 1370
ASSAY: Xpert HIV-1 Viral Load, COUNT: 25
</t>
  </si>
  <si>
    <t>Module C1 defective
Module C2- reported temp error</t>
  </si>
  <si>
    <t>-Replace defective module C1/723403 with new module SN: 210067892</t>
  </si>
  <si>
    <t>Module C3 disabled - ultrasonic horn error; Module C2 - xpertcheck service required; Module C1 and C4 - functional.</t>
  </si>
  <si>
    <t>GeneXpert Module 6 colors</t>
  </si>
  <si>
    <t>https://www.jotform.com/uploads/macarewecare/222927978372067/5642954249713736287/5642954249713736287_signature_28.png</t>
  </si>
  <si>
    <t>Oscar Delano Salazar</t>
  </si>
  <si>
    <t>https://www.jotform.com/uploads/macarewecare/222927978372067/5642954249713736287/5642954249713736287_signature_31.png</t>
  </si>
  <si>
    <t xml:space="preserve">ASSAY: Xpert MTB/RIF, COUNT: 102
ASSAY: Xpert MTB/RIF Ultra, COUNT: 1369
ASSAY: Xpert HIV-1 Viral Load, COUNT: 25
</t>
  </si>
  <si>
    <t>Module B2 and B4 - h/w failed</t>
  </si>
  <si>
    <t>Module B1 and B3 are functional. Module B2 and B4 waiting for allocation - xpertcheck service required.</t>
  </si>
  <si>
    <t>2 xpc cartridge used.</t>
  </si>
  <si>
    <t>https://www.jotform.com/uploads/macarewecare/222927978372067/5642954249712914150/5642954249712914150_signature_28.png</t>
  </si>
  <si>
    <t>https://www.jotform.com/uploads/macarewecare/222927978372067/5642954249712914150/5642954249712914150_signature_31.png</t>
  </si>
  <si>
    <t>Sumilang, Pasig</t>
  </si>
  <si>
    <t>myrlising@gmail.com</t>
  </si>
  <si>
    <t xml:space="preserve">ASSAY: Xpert HPV, COUNT: 150
ASSAY: Xpert MTB/RIF Ultra, COUNT: 287
</t>
  </si>
  <si>
    <t>Asked assistance in retrieving file from the hard drive of reported cpu</t>
  </si>
  <si>
    <t>troubleshoot hard drive</t>
  </si>
  <si>
    <t>https://www.jotform.com/uploads/macarewecare/222927978372067/5642705959613344220/5642705959613344220_signature_28.png</t>
  </si>
  <si>
    <t>Myrna P. Lising</t>
  </si>
  <si>
    <t>https://www.jotform.com/uploads/macarewecare/222927978372067/5642705959613344220/5642705959613344220_signature_31.png</t>
  </si>
  <si>
    <t>J Bocobo St, Manila</t>
  </si>
  <si>
    <t>Installed unit and workstation
Performed functionality test
Generated reports</t>
  </si>
  <si>
    <t>Installed unit and workstation</t>
  </si>
  <si>
    <t>Room intake and AC temporarily not functioning, recommended to be operational before start of processing samples</t>
  </si>
  <si>
    <t>https://www.jotform.com/uploads/macarewecare/222927978372067/5642661425691259117/5642661425691259117_signature_28.png</t>
  </si>
  <si>
    <t>https://www.jotform.com/uploads/macarewecare/222927978372067/5642661425691259117/5642661425691259117_signature_31.png</t>
  </si>
  <si>
    <t xml:space="preserve">ASSAY: Xpert CT/NG, COUNT: 2
ASSAY: Xpert MTB/RIF Ultra, COUNT: 796
ASSAY: Xpert HIV-1 Viral Load, COUNT: 178
</t>
  </si>
  <si>
    <t>Module B4 (784627)  for replacement.</t>
  </si>
  <si>
    <t>GeneXpert Module
SN: 210091145</t>
  </si>
  <si>
    <t>https://www.jotform.com/uploads/macarewecare/222927978372067/5642586400711227224/5642586400711227224_signature_28.png</t>
  </si>
  <si>
    <t>https://www.jotform.com/uploads/macarewecare/222927978372067/5642586400711227224/5642586400711227224_signature_31.png</t>
  </si>
  <si>
    <t>Local and National Government Complex, Brgy., Calongay, Pilar, Sorsogon</t>
  </si>
  <si>
    <t>mariarramae@gmail.com</t>
  </si>
  <si>
    <t xml:space="preserve">ASSAY: Xpert MTB/RIF Ultra, COUNT: 1542
</t>
  </si>
  <si>
    <t>Performed XpertCheck 
Cleaned Cartridge bays, plunger rod, fan filter 
Generated reports</t>
  </si>
  <si>
    <t>https://www.jotform.com/uploads/macarewecare/222927978372067/5642577589111970320/5642577589111970320_signature_28.png</t>
  </si>
  <si>
    <t>Arra A. Ramos</t>
  </si>
  <si>
    <t>https://www.jotform.com/uploads/macarewecare/222927978372067/5642577589111970320/5642577589111970320_signature_31.png</t>
  </si>
  <si>
    <t xml:space="preserve">ASSAY: Xpert MTB/RIF, COUNT: 78
ASSAY: Xpert MTB/RIF Ultra, COUNT: 457
</t>
  </si>
  <si>
    <t>Module A3 for re-xpertcheck</t>
  </si>
  <si>
    <t>Unit is operational except A1, A3 passed calibration</t>
  </si>
  <si>
    <t>Used 1 xpertcheck kit, under observation</t>
  </si>
  <si>
    <t>https://www.jotform.com/uploads/macarewecare/222927978372067/5642530138018132716/5642530138018132716_signature_28.png</t>
  </si>
  <si>
    <t>Ana Marie Nool</t>
  </si>
  <si>
    <t>https://www.jotform.com/uploads/macarewecare/222927978372067/5642530138018132716/5642530138018132716_signature_31.png</t>
  </si>
  <si>
    <t>Mandaue CHO</t>
  </si>
  <si>
    <t xml:space="preserve">ASSAY: Xpert MTB/RIF Ultra, COUNT: 3287
</t>
  </si>
  <si>
    <t>Error 4009 Hardware Failure in Module 4 Sn 861023</t>
  </si>
  <si>
    <t>Clean Filter, adjust aircon temp</t>
  </si>
  <si>
    <t>Generate data, IQR, Sys log and Assay statistics, gxx files</t>
  </si>
  <si>
    <t>C4, B1, B2 are unusable due to temperature related problem</t>
  </si>
  <si>
    <t>https://www.jotform.com/uploads/macarewecare/222927978372067/5642510817616190632/5642510817616190632_signature_28.png</t>
  </si>
  <si>
    <t>Elma G. Bragat, RMT</t>
  </si>
  <si>
    <t>https://www.jotform.com/uploads/macarewecare/222927978372067/5642510817616190632/5642510817616190632_signature_31.png</t>
  </si>
  <si>
    <t xml:space="preserve">ASSAY: Xpert MTB/RIF, COUNT: 71
ASSAY: Xpert MTB/RIF Ultra, COUNT: 334
</t>
  </si>
  <si>
    <t>UPS not backing up for more than 1 minute</t>
  </si>
  <si>
    <t>UPS Troubleshooting
Preventive maintenance</t>
  </si>
  <si>
    <t>Performed surface cleaning
Cleaning of plunger rod,icore,filter and cartridge bay
Archived test results
Performed UPS troubleshooting
Gathered reports
Performed functionality test</t>
  </si>
  <si>
    <t>Units is operational except for module 2 and UPS</t>
  </si>
  <si>
    <t>UPS Battery for replacement</t>
  </si>
  <si>
    <t>https://www.jotform.com/uploads/macarewecare/222927978372067/5642494128016868898/5642494128016868898_signature_28.png</t>
  </si>
  <si>
    <t>https://www.jotform.com/uploads/macarewecare/222927978372067/5642494128016868898/5642494128016868898_signature_31.png</t>
  </si>
  <si>
    <t>Brgy. 40, Cagayan de Oro City</t>
  </si>
  <si>
    <t>hbpiquero.pbsp@gmail.com</t>
  </si>
  <si>
    <t xml:space="preserve">ASSAY: Xpert MTB/RIF Ultra, COUNT: 3226
</t>
  </si>
  <si>
    <t>Preventive Maintenance
Generate Report files
Database back up</t>
  </si>
  <si>
    <t>B1/806412- Error 4009 , B2/731414-H/W Fail, B4/806415-H/W Failand B3/806414 some results are Indeterminate</t>
  </si>
  <si>
    <t>https://www.jotform.com/uploads/macarewecare/222927978372067/5642479388022270442/5642479388022270442_signature_28.png</t>
  </si>
  <si>
    <t>https://www.jotform.com/uploads/macarewecare/222927978372067/5642479388022270442/5642479388022270442_signature_31.png</t>
  </si>
  <si>
    <t>https://www.jotform.com/uploads/macarewecare/222927978372067/5641798293615987831/5641798293615987831_signature_28.png</t>
  </si>
  <si>
    <t>https://www.jotform.com/uploads/macarewecare/222927978372067/5641798293615987831/5641798293615987831_signature_31.png</t>
  </si>
  <si>
    <t>https://www.jotform.com/uploads/macarewecare/222927978372067/5641798223611987926/5641798223611987926_signature_28.png</t>
  </si>
  <si>
    <t>https://www.jotform.com/uploads/macarewecare/222927978372067/5641798223611987926/5641798223611987926_signature_31.png</t>
  </si>
  <si>
    <t>Poblacion, Sagay City</t>
  </si>
  <si>
    <t xml:space="preserve">ASSAY: Xpert MTB/RIF Ultra, COUNT: 134
</t>
  </si>
  <si>
    <t>Module B2 error code 2014 with serial number 691053</t>
  </si>
  <si>
    <t>Replace Module B2 with new serial number 210092919</t>
  </si>
  <si>
    <t>Replace Module B2</t>
  </si>
  <si>
    <t>https://www.jotform.com/uploads/macarewecare/222927978372067/5641767583914961327/5641767583914961327_signature_28.png</t>
  </si>
  <si>
    <t>Debra Maraveles</t>
  </si>
  <si>
    <t>https://www.jotform.com/uploads/macarewecare/222927978372067/5641767583914961327/5641767583914961327_signature_31.png</t>
  </si>
  <si>
    <t>East ave. Qc</t>
  </si>
  <si>
    <t>For delivery</t>
  </si>
  <si>
    <t>Performed installation,and calibration
Checked all parameters
Test run unit</t>
  </si>
  <si>
    <t>https://www.jotform.com/uploads/macarewecare/222927978372067/5641747153614663453/5641747153614663453_signature_28.png</t>
  </si>
  <si>
    <t>Amelia L. Bautista</t>
  </si>
  <si>
    <t>https://www.jotform.com/uploads/macarewecare/222927978372067/5641747153614663453/5641747153614663453_signature_31.png</t>
  </si>
  <si>
    <t>Calapan</t>
  </si>
  <si>
    <t xml:space="preserve">ASSAY: Xpert MTB/RIF Ultra, COUNT: 2379
ASSAY: Xpert SARS-CoV-2, COUNT: 2314
ASSAY: Xpert HIV-1 Viral Load, COUNT: 44
</t>
  </si>
  <si>
    <t>Module C3 with Temperarure Error
Stuck Cartridge in A3</t>
  </si>
  <si>
    <t>Module Replacement
Self-Test</t>
  </si>
  <si>
    <t>Performed Maintenance
Performed Self-Test and Removed Stuck Cartridge
Replaced Module C3
Generate Reports</t>
  </si>
  <si>
    <t>C3: 883404-&gt; 210091311</t>
  </si>
  <si>
    <t>https://www.jotform.com/uploads/macarewecare/222927978372067/5641721293613208833/5641721293613208833_signature_28.png</t>
  </si>
  <si>
    <t>Maria Theresa Yaco</t>
  </si>
  <si>
    <t>https://www.jotform.com/uploads/macarewecare/222927978372067/5641721293613208833/5641721293613208833_signature_31.png</t>
  </si>
  <si>
    <t>Brgy. Memije, General Mariano Alvarez</t>
  </si>
  <si>
    <t>GXIV -D</t>
  </si>
  <si>
    <t>Module 2 with Temperature Errors</t>
  </si>
  <si>
    <t>Performed Maintenance
Replaced Module 2
Generate Reports
Performed Functionality Test</t>
  </si>
  <si>
    <t>G 5700</t>
  </si>
  <si>
    <t>https://www.jotform.com/uploads/macarewecare/222927978372067/5641721293617838506/5641721293617838506_signature_28.png</t>
  </si>
  <si>
    <t>https://www.jotform.com/uploads/macarewecare/222927978372067/5641721293617838506/5641721293617838506_signature_31.png</t>
  </si>
  <si>
    <t>Balasan Municipal Health Office</t>
  </si>
  <si>
    <t>Module B1 Stuck Cartridge</t>
  </si>
  <si>
    <t>Module B2 waiting for allocation. Three other modules are functional.</t>
  </si>
  <si>
    <t>https://www.jotform.com/uploads/macarewecare/222927978372067/5641717522694032855/5641717522694032855_signature_28.png</t>
  </si>
  <si>
    <t>https://www.jotform.com/uploads/macarewecare/222927978372067/5641717522694032855/5641717522694032855_signature_31.png</t>
  </si>
  <si>
    <t>Libmanan, Camarines Sur</t>
  </si>
  <si>
    <t>Replaced module: 677428&gt;&gt;210092909
Cleaned cartridge bays, plunger rod
Generated reports</t>
  </si>
  <si>
    <t>Performed module replacement, preventive maintenence</t>
  </si>
  <si>
    <t>Module 210092909</t>
  </si>
  <si>
    <t>PL-011613</t>
  </si>
  <si>
    <t>https://www.jotform.com/uploads/macarewecare/222927978372067/5641645670328997146/5641645670328997146_signature_28.png</t>
  </si>
  <si>
    <t>https://www.jotform.com/uploads/macarewecare/222927978372067/5641645670328997146/5641645670328997146_signature_31.png</t>
  </si>
  <si>
    <t>San Francisco RHU</t>
  </si>
  <si>
    <t>San Francisco Camotes, Cebu</t>
  </si>
  <si>
    <t>Gx2</t>
  </si>
  <si>
    <t>Due for prevebntive maintenance</t>
  </si>
  <si>
    <t>Performed machine check up
Check ups, monitor, bar code scanner cpu
Generate datta, IQR, sys log and assay statistics
Back up database and archieve test results.
Clean plunger, Icore and clean filter</t>
  </si>
  <si>
    <t>The machines are operational</t>
  </si>
  <si>
    <t>https://www.jotform.com/uploads/macarewecare/222927978372067/5641635813913650219/5641635813913650219_signature_28.png</t>
  </si>
  <si>
    <t>Josiecorra Albaraccin</t>
  </si>
  <si>
    <t>https://www.jotform.com/uploads/macarewecare/222927978372067/5641635813913650219/5641635813913650219_signature_31.png</t>
  </si>
  <si>
    <t>https://www.jotform.com/uploads/macarewecare/222927978372067/5641635603912536136/5641635603912536136_signature_28.png</t>
  </si>
  <si>
    <t>https://www.jotform.com/uploads/macarewecare/222927978372067/5641635603912536136/5641635603912536136_signature_31.png</t>
  </si>
  <si>
    <t xml:space="preserve">ASSAY: Xpert BCR-ABL Ultra, COUNT: 489
</t>
  </si>
  <si>
    <t>https://www.jotform.com/uploads/macarewecare/222927978372067/5641634733918827272/5641634733918827272_signature_28.png</t>
  </si>
  <si>
    <t>https://www.jotform.com/uploads/macarewecare/222927978372067/5641634733918827272/5641634733918827272_signature_31.png</t>
  </si>
  <si>
    <t>Malungon, Sarangani Province</t>
  </si>
  <si>
    <t xml:space="preserve">ASSAY: Xpert MTB/RIF Ultra, COUNT: 226
</t>
  </si>
  <si>
    <t>Module 2 for Service Required 
Module 3 h/w failed due to multiple temperature error</t>
  </si>
  <si>
    <t>Perform Xpertcheck at module 3 for troubleshooting</t>
  </si>
  <si>
    <t>Module 3 the Xpertcheck</t>
  </si>
  <si>
    <t>https://www.jotform.com/uploads/macarewecare/222927978372067/5640293115811184553/5640293115811184553_signature_28.png</t>
  </si>
  <si>
    <t>https://www.jotform.com/uploads/macarewecare/222927978372067/5640293115811184553/5640293115811184553_signature_31.png</t>
  </si>
  <si>
    <t xml:space="preserve">ASSAY: Xpert MTB/RIF, COUNT: 40
ASSAY: Xpert MTB/RIF Ultra, COUNT: 1707
</t>
  </si>
  <si>
    <t>https://www.jotform.com/uploads/macarewecare/222927978372067/5640293115813957506/5640293115813957506_signature_28.png</t>
  </si>
  <si>
    <t>https://www.jotform.com/uploads/macarewecare/222927978372067/5640293115813957506/5640293115813957506_signature_31.png</t>
  </si>
  <si>
    <t>University of Santo tomas hospital</t>
  </si>
  <si>
    <t>España, Manila</t>
  </si>
  <si>
    <t>As per end user they encounter unusual sound coming from centrifuge</t>
  </si>
  <si>
    <t>cleaned unit, checked valve,rollers,line sensor,display panel,dpm,spm,cuff,cleaned centrifuge,performed functionality test.remove debris in centrifuge</t>
  </si>
  <si>
    <t>https://www.jotform.com/uploads/macarewecare/222927978372067/5640085603812890140/5640085603812890140_signature_28.png</t>
  </si>
  <si>
    <t>Mylene Balb0a</t>
  </si>
  <si>
    <t>https://www.jotform.com/uploads/macarewecare/222927978372067/5640085603812890140/5640085603812890140_signature_31.png</t>
  </si>
  <si>
    <t>Stuck Cartridge, For Preventive Maintenance and XpertCheck Calibration</t>
  </si>
  <si>
    <t>Tuning the module cartridge bay for enable to remove the stuck cartridge
Clean Surface Area, Cartridge Bay, Plunger Rod, Fan Filters and Icore Lenses
Generate IQR, Assay Stat and System Log
Archived Data test results
Perform Xpertcheck Calibration</t>
  </si>
  <si>
    <t>Trouble the Modulea that encounter stuck cartridge, perform Preventive Maintenance and XpertCheck Calibration</t>
  </si>
  <si>
    <t>Successfully removed the stucked cartridges and all Modules Passed the Calibration</t>
  </si>
  <si>
    <t>High Room Temp</t>
  </si>
  <si>
    <t>https://www.jotform.com/uploads/macarewecare/222927978372067/5639324661818155617/5639324661818155617_signature_28.png</t>
  </si>
  <si>
    <t>Ofelia Mendiola RMT</t>
  </si>
  <si>
    <t>https://www.jotform.com/uploads/macarewecare/222927978372067/5639324661818155617/5639324661818155617_signature_31.png</t>
  </si>
  <si>
    <t xml:space="preserve">ASSAY: Xpert MTB/RIF Ultra, COUNT: 942
</t>
  </si>
  <si>
    <t>Modules A2 (629504), A3 (662463) for replacement</t>
  </si>
  <si>
    <t>GeneXpert Module
SN: 210060794, 210092891</t>
  </si>
  <si>
    <t>https://www.jotform.com/uploads/macarewecare/222927978372067/5639223665313166904/5639223665313166904_signature_28.png</t>
  </si>
  <si>
    <t>https://www.jotform.com/uploads/macarewecare/222927978372067/5639223665313166904/5639223665313166904_signature_31.png</t>
  </si>
  <si>
    <t>Pedro Gil, Sta. Ana</t>
  </si>
  <si>
    <t xml:space="preserve">ASSAY: Xpert MTB/RIF Ultra, COUNT: 313
</t>
  </si>
  <si>
    <t>Unit is operational
B1: New
B2: Failed
B3: New
B4: Passed</t>
  </si>
  <si>
    <t>https://www.jotform.com/uploads/macarewecare/222927978372067/5639180007424925740/5639180007424925740_signature_28.png</t>
  </si>
  <si>
    <t>Lorraine Lucila L  Fabros</t>
  </si>
  <si>
    <t>https://www.jotform.com/uploads/macarewecare/222927978372067/5639180007424925740/5639180007424925740_signature_31.png</t>
  </si>
  <si>
    <t xml:space="preserve">ASSAY: Xpert MTB/RIF Ultra, COUNT: 1278
</t>
  </si>
  <si>
    <t>For Re-XpertCheck</t>
  </si>
  <si>
    <t>Performed re-XpertCheck 
Cleaned cartridge bays, plunger rod
Generated reports</t>
  </si>
  <si>
    <t>B2 re-XpertCheck  for retry suggested</t>
  </si>
  <si>
    <t>https://www.jotform.com/uploads/macarewecare/222927978372067/5639176160611471755/5639176160611471755_signature_28.png</t>
  </si>
  <si>
    <t>https://www.jotform.com/uploads/macarewecare/222927978372067/5639176160611471755/5639176160611471755_signature_31.png</t>
  </si>
  <si>
    <t xml:space="preserve">ASSAY: Xpert HPV, COUNT: 228
ASSAY: Xpert MTB/RIF, COUNT: 562
ASSAY: Xpert MTB/RIF Ultra, COUNT: 2002
ASSAY: Xpert HIV-1 Viral Load, COUNT: 26
</t>
  </si>
  <si>
    <t>All four modules are functional.</t>
  </si>
  <si>
    <t>https://www.jotform.com/uploads/macarewecare/222927978372067/5639162140324053043/5639162140324053043_signature_28.png</t>
  </si>
  <si>
    <t>Myra Riccil Estose,Rmt</t>
  </si>
  <si>
    <t>https://www.jotform.com/uploads/macarewecare/222927978372067/5639162140324053043/5639162140324053043_signature_31.png</t>
  </si>
  <si>
    <t>TALISAY CITY HEALTH UNIT</t>
  </si>
  <si>
    <t>CANSOJONG TALISAY CITY</t>
  </si>
  <si>
    <t xml:space="preserve">ASSAY: Xpert MTB/RIF Ultra, COUNT: 1344
ASSAY: Xpert HIV-1 Viral Load, COUNT: 54
</t>
  </si>
  <si>
    <t>FOR MODULE B3 AND MODULE B4 REPLACEMENT</t>
  </si>
  <si>
    <t>-PERFORM MODULE B3 DEF SN: 210019110 REPLACEMENT WITH NEW SN: 210092127
-PERFORM MODULE B4 DEF SN: 210018733
WITH NEW SN: 210092942
-PERFORM GX EQUIPMENT CLEANING</t>
  </si>
  <si>
    <t>Module B2 FOR OBSERVATION</t>
  </si>
  <si>
    <t>https://www.jotform.com/uploads/macarewecare/222927978372067/5639161136937039762/5639161136937039762_signature_28.png</t>
  </si>
  <si>
    <t>Marydel Gella</t>
  </si>
  <si>
    <t>https://www.jotform.com/uploads/macarewecare/222927978372067/5639161136937039762/5639161136937039762_signature_31.png</t>
  </si>
  <si>
    <t xml:space="preserve">ASSAY: Xpert HPV, COUNT: 230
ASSAY: Xpert MTB/RIF, COUNT: 601
ASSAY: Xpert MTB/RIF Ultra, COUNT: 1946
ASSAY: Xpert HIV-1 Viral Load, COUNT: 27
</t>
  </si>
  <si>
    <t>All modules are functional (w/ service module A3)</t>
  </si>
  <si>
    <t>Waiting for module A3 allocation.</t>
  </si>
  <si>
    <t>https://www.jotform.com/uploads/macarewecare/222927978372067/5639161100327420394/5639161100327420394_signature_28.png</t>
  </si>
  <si>
    <t>Myra Riccil Estose, Rmt</t>
  </si>
  <si>
    <t>https://www.jotform.com/uploads/macarewecare/222927978372067/5639161100327420394/5639161100327420394_signature_31.png</t>
  </si>
  <si>
    <t xml:space="preserve">ASSAY: Others, COUNT: 93
ASSAY: Xpert MTB/RIF Ultra, COUNT: 356
ASSAY: Others, COUNT: 329
ASSAY: Xpert SARS-CoV-2, COUNT: 2462
ASSAY: Xpert HIV-1 Viral Load, COUNT: 28
</t>
  </si>
  <si>
    <t>All 4 modules undergone Xpertcheck. While module 1 and 2 service required , module 3 and 4 passed.</t>
  </si>
  <si>
    <t>All modules can be used</t>
  </si>
  <si>
    <t>https://www.jotform.com/uploads/macarewecare/222927978372067/5639088115917690386/5639088115917690386_signature_28.png</t>
  </si>
  <si>
    <t>https://www.jotform.com/uploads/macarewecare/222927978372067/5639088115917690386/5639088115917690386_signature_31.png</t>
  </si>
  <si>
    <t>Dr. Evangelists Street, Zamboanga City</t>
  </si>
  <si>
    <t xml:space="preserve">ASSAY: Xpert CT/NG, COUNT: 2
ASSAY: Others, COUNT: 1211
ASSAY: Xpert MTB/RIF Ultra, COUNT: 4944
ASSAY: Xpert SARS-CoV-2, COUNT: 15477
ASSAY: Xpert HIV-1 Viral Load, COUNT: 303
</t>
  </si>
  <si>
    <t>Module A1, A2 and C3 h/w failed</t>
  </si>
  <si>
    <t>All 16 modules undergone Xpertcheck calibration and Preventive Maintenence.</t>
  </si>
  <si>
    <t>https://www.jotform.com/uploads/macarewecare/222927978372067/5639088115918624962/5639088115918624962_signature_28.png</t>
  </si>
  <si>
    <t>https://www.jotform.com/uploads/macarewecare/222927978372067/5639088115918624962/5639088115918624962_signature_31.png</t>
  </si>
  <si>
    <t>627 San Andres St., Malate</t>
  </si>
  <si>
    <t>-Performed PM
-Module 1, 2 and 4 already for replacement
-Assisted end user in using jotform
-Generated report</t>
  </si>
  <si>
    <t>Checked module 2
Jotform assistance</t>
  </si>
  <si>
    <t>Unit is operational but only module 3 works perfectly.</t>
  </si>
  <si>
    <t>https://www.jotform.com/uploads/macarewecare/222927978372067/5639065307019822308/5639065307019822308_signature_28.png</t>
  </si>
  <si>
    <t>https://www.jotform.com/uploads/macarewecare/222927978372067/5639065307019822308/5639065307019822308_signature_31.png</t>
  </si>
  <si>
    <t>Oroquieta City</t>
  </si>
  <si>
    <t>Laboratot</t>
  </si>
  <si>
    <t xml:space="preserve">ASSAY: Xpert MTB/RIF Ultra, COUNT: 1458
</t>
  </si>
  <si>
    <t>Module A3/653705 and A4/695639 fail the calibration</t>
  </si>
  <si>
    <t>Replaced Module new module A3/210067861 A4/210059819</t>
  </si>
  <si>
    <t>Preventive Maintenance
Module replacement
Generate report files
Database back up</t>
  </si>
  <si>
    <t>https://www.jotform.com/uploads/macarewecare/222927978372067/5639004737187939812/5639004737187939812_signature_28.png</t>
  </si>
  <si>
    <t>Mary Auxilium Omandam</t>
  </si>
  <si>
    <t>https://www.jotform.com/uploads/macarewecare/222927978372067/5639004737187939812/5639004737187939812_signature_31.png</t>
  </si>
  <si>
    <t>https://www.jotform.com/uploads/macarewecare/222927978372067/5639004162212842816/5639004162212842816_signature_28.png</t>
  </si>
  <si>
    <t>https://www.jotform.com/uploads/macarewecare/222927978372067/5639004162212842816/5639004162212842816_signature_31.png</t>
  </si>
  <si>
    <t>Kalinga Health Hub Marikina</t>
  </si>
  <si>
    <t xml:space="preserve">ASSAY: Xpert MTB/RIF Ultra, COUNT: 235
</t>
  </si>
  <si>
    <t>For maintenance/check-up</t>
  </si>
  <si>
    <t>Performed maintenance
Cleaned cartridge bay, plunger rod, icore and filter
Functionality test
Generated reports</t>
  </si>
  <si>
    <t>All modules operational and ready to use.</t>
  </si>
  <si>
    <t>https://www.jotform.com/uploads/macarewecare/222927978372067/5638990490937368484/5638990490937368484_signature_28.png</t>
  </si>
  <si>
    <t>Jasmin Catral RN</t>
  </si>
  <si>
    <t>https://www.jotform.com/uploads/macarewecare/222927978372067/5638990490937368484/5638990490937368484_signature_31.png</t>
  </si>
  <si>
    <t>Poblacion Pilar Camotes</t>
  </si>
  <si>
    <t>steveyong3384@gmail.com</t>
  </si>
  <si>
    <t>Performed preventive maintenance, and Instruct medtech to maintain ambient temperature 23 to 28 Celcius</t>
  </si>
  <si>
    <t>Performed maintenance, clean Icore, Plunger, and cartridge bay
Generate data IQR, Sys log, and Gxx files
Check ups and Avr</t>
  </si>
  <si>
    <t>https://www.jotform.com/uploads/macarewecare/222927978372067/5638985241389776984/5638985241389776984_signature_28.png</t>
  </si>
  <si>
    <t>Steve Cureg, RMT</t>
  </si>
  <si>
    <t>https://www.jotform.com/uploads/macarewecare/222927978372067/5638985241389776984/5638985241389776984_signature_31.png</t>
  </si>
  <si>
    <t>North Avenue, Quezon City</t>
  </si>
  <si>
    <t>Laboratory - Bacteriology</t>
  </si>
  <si>
    <t xml:space="preserve">ASSAY: Xpert MTB/RIF, COUNT: 142
ASSAY: Xpert MTB/RIF Ultra, COUNT: 1044
</t>
  </si>
  <si>
    <t>Unable to transmit results to LIS</t>
  </si>
  <si>
    <t>Performed software upgrade from GX Dx v5.1 to 6.4</t>
  </si>
  <si>
    <t>Troubleshooting of unit
Testing using service laptop with GX Dx v6.4
Performed functionality tests</t>
  </si>
  <si>
    <t>For USB to Lan and LIS configuration</t>
  </si>
  <si>
    <t>https://www.jotform.com/uploads/macarewecare/222927978372067/5638976534814620576/5638976534814620576_signature_28.png</t>
  </si>
  <si>
    <t>https://www.jotform.com/uploads/macarewecare/222927978372067/5638976534814620576/5638976534814620576_signature_31.png</t>
  </si>
  <si>
    <t xml:space="preserve">ASSAY: Xpert BCR-ABL Ultra, COUNT: 11
ASSAY: Xpert MTB/RIF Ultra, COUNT: 2970
ASSAY: Xpert SARS-CoV-2, COUNT: 7703
ASSAY: Others, COUNT: 18
</t>
  </si>
  <si>
    <t>GXXVI (10c)</t>
  </si>
  <si>
    <t>For module replacement A1 210069229 - 887323, B4 210069244 - 210062093</t>
  </si>
  <si>
    <t>cleaned unit,filter,plunger rod,cartridge bay,i core,gathered reports,performed visual check,test run unit. Performed module replacement</t>
  </si>
  <si>
    <t>https://www.jotform.com/uploads/macarewecare/222927978372067/5638509376266965207/5638509376266965207_signature_28.png</t>
  </si>
  <si>
    <t>https://www.jotform.com/uploads/macarewecare/222927978372067/5638509376266965207/5638509376266965207_signature_31.png</t>
  </si>
  <si>
    <t xml:space="preserve">ASSAY: Xpert CT/NG, COUNT: 1
ASSAY: Xpert HBV VL, COUNT: 6
ASSAY: Xpert HPV, COUNT: 1
ASSAY: Xpert MTB/RIF Ultra, COUNT: 1816
ASSAY: Xpert HIV-1 Viral Load, COUNT: 54
</t>
  </si>
  <si>
    <t>Module 3 and 4 error, Module 3 stuck cartridge</t>
  </si>
  <si>
    <t>Performed Xpertcheck on B3 and B4 module</t>
  </si>
  <si>
    <t>Performed Maintenance
Gathered Reports
Reset Gateway Board
Performed Functionality Test</t>
  </si>
  <si>
    <t>Xpertcheck Result = B3, B4 - Passed</t>
  </si>
  <si>
    <t>https://www.jotform.com/uploads/macarewecare/222927978372067/5638405021991966542/5638405021991966542_signature_28.png</t>
  </si>
  <si>
    <t>Maricris N Villanueva</t>
  </si>
  <si>
    <t>https://www.jotform.com/uploads/macarewecare/222927978372067/5638405021991966542/5638405021991966542_signature_31.png</t>
  </si>
  <si>
    <t>Concepcion,  Naga City</t>
  </si>
  <si>
    <t xml:space="preserve">ASSAY: Xpert HPV, COUNT: 1575
ASSAY: Xpert MTB/RIF Ultra, COUNT: 6280
ASSAY: Xpert SARS-CoV-2, COUNT: 3094
ASSAY: Xpert HIV-1 Viral Load, COUNT: 326
</t>
  </si>
  <si>
    <t>D2,D3,D4 for module replacement</t>
  </si>
  <si>
    <t>Replaced module: D2 886348&gt;&gt;210092932, D3 886347&gt;&gt;210092889, D4 878345&gt;&gt;210092875 
Cleaned cartridge bays, plunger rods
Generated reports</t>
  </si>
  <si>
    <t>Performed module replacement &amp; preventive maintenence</t>
  </si>
  <si>
    <t>Unit is operational
D2 886348&gt;&gt;210092932
D3 886347&gt;&gt;210092889
D4 878345&gt;&gt;210092875</t>
  </si>
  <si>
    <t>Module: 210092932, 210092889, 210092875</t>
  </si>
  <si>
    <t>PL-011612</t>
  </si>
  <si>
    <t>https://www.jotform.com/uploads/macarewecare/222927978372067/5638404156718425458/5638404156718425458_signature_28.png</t>
  </si>
  <si>
    <t>Angelika Mae P. Bichara</t>
  </si>
  <si>
    <t>https://www.jotform.com/uploads/macarewecare/222927978372067/5638404156718425458/5638404156718425458_signature_31.png</t>
  </si>
  <si>
    <t>Brgy. Banlat, Quezon City</t>
  </si>
  <si>
    <t xml:space="preserve">ASSAY: Xpert HPV, COUNT: 95
ASSAY: Xpert MTB/RIF Ultra, COUNT: 1440
</t>
  </si>
  <si>
    <t>Module A1 not detected</t>
  </si>
  <si>
    <t>-Performed PM
-Reset GX; problem persists
-Switch lan cables of A1 and A2 and tighten gateway; problem solved
-Generated report</t>
  </si>
  <si>
    <t>Troubleshoot module 1</t>
  </si>
  <si>
    <t>https://www.jotform.com/uploads/macarewecare/222927978372067/5638400342297302692/5638400342297302692_signature_28.png</t>
  </si>
  <si>
    <t>Reyzel marie S. Dulay</t>
  </si>
  <si>
    <t>https://www.jotform.com/uploads/macarewecare/222927978372067/5638400342297302692/5638400342297302692_signature_31.png</t>
  </si>
  <si>
    <t xml:space="preserve">ASSAY: Xpert HPV, COUNT: 913
ASSAY: Xpert MTB/RIF Ultra, COUNT: 315
ASSAY: Xpert SARS-CoV-2, COUNT: 515
</t>
  </si>
  <si>
    <t>For re-XpertCheck</t>
  </si>
  <si>
    <t>Performed re-XpertCheck
Cleaned plunger rod and cartridge bays 
Generated reports</t>
  </si>
  <si>
    <t>Performed re-XpertCheck, Preventive Maintenance</t>
  </si>
  <si>
    <t>Unit is operational 
B3 failed re-XpertCheck</t>
  </si>
  <si>
    <t>B3 failed on re-XpertCheck</t>
  </si>
  <si>
    <t>https://www.jotform.com/uploads/macarewecare/222927978372067/5638392996714960978/5638392996714960978_signature_28.png</t>
  </si>
  <si>
    <t>MARIANNE BOJADOR</t>
  </si>
  <si>
    <t>https://www.jotform.com/uploads/macarewecare/222927978372067/5638392996714960978/5638392996714960978_signature_31.png</t>
  </si>
  <si>
    <t>N.S. Amroanto St., Quezon City</t>
  </si>
  <si>
    <t xml:space="preserve">ASSAY: Xpert MTB/RIF Ultra, COUNT: 23
ASSAY: Xpert HPV, COUNT: 1
ASSAY: Xpert HPV, COUNT: 40
ASSAY: Xpert MTB/RIF Ultra, COUNT: 4899
</t>
  </si>
  <si>
    <t>Unit is operational.
A1: Failed
A2: New
A3: Waiting for Replacement
A4: Passed</t>
  </si>
  <si>
    <t>PL 010369</t>
  </si>
  <si>
    <t>https://www.jotform.com/uploads/macarewecare/222927978372067/5638319719411880156/5638319719411880156_signature_28.png</t>
  </si>
  <si>
    <t>https://www.jotform.com/uploads/macarewecare/222927978372067/5638319719411880156/5638319719411880156_signature_31.png</t>
  </si>
  <si>
    <t>692 San Andres Street, Malate, Manila</t>
  </si>
  <si>
    <t>laurie_asis@yahoo.com</t>
  </si>
  <si>
    <t>Cleaning of Eyepieces and surfaces
Installed purchased Axiocam 208
Testing of Axiocam 208 with the router
Performed functionality testing</t>
  </si>
  <si>
    <t>Left gooseneck light is loose</t>
  </si>
  <si>
    <t>Axiocam 208 SN:5321004523</t>
  </si>
  <si>
    <t>SI 95796 and DR 10044</t>
  </si>
  <si>
    <t>https://www.jotform.com/uploads/macarewecare/222927978372067/5638295586918847057/5638295586918847057_signature_28.png</t>
  </si>
  <si>
    <t>Laurie Salumbides</t>
  </si>
  <si>
    <t>https://www.jotform.com/uploads/macarewecare/222927978372067/5638295586918847057/5638295586918847057_signature_31.png</t>
  </si>
  <si>
    <t>Installed Blue Filter</t>
  </si>
  <si>
    <t>Cleaning of Eyepieces, Objectives, and Surfaces
Performed Preventive Maintenance
Tested Axiocam 208 Color with the Router
Installed new power adapter
Performed functionality tests</t>
  </si>
  <si>
    <t>Missing one rubber stand underneath the base</t>
  </si>
  <si>
    <t>Blue Filter from PN: 415500-1804-000
Power Adapter PN: 000000-0670-104</t>
  </si>
  <si>
    <t>https://www.jotform.com/uploads/macarewecare/222927978372067/5638293366913685874/5638293366913685874_signature_28.png</t>
  </si>
  <si>
    <t>https://www.jotform.com/uploads/macarewecare/222927978372067/5638293366913685874/5638293366913685874_signature_31.png</t>
  </si>
  <si>
    <t>Poblacion, Kasibu, Nueva Vizcaya</t>
  </si>
  <si>
    <t>Performed Maintenance
Gathered Reports
Performed Calibration
Archived Results
Performed Functionality Test</t>
  </si>
  <si>
    <t>https://www.jotform.com/uploads/macarewecare/222927978372067/5638258661484717506/5638258661484717506_signature_28.png</t>
  </si>
  <si>
    <t>Irene Dario</t>
  </si>
  <si>
    <t>https://www.jotform.com/uploads/macarewecare/222927978372067/5638258661484717506/5638258661484717506_signature_31.png</t>
  </si>
  <si>
    <t>78-A Maria Clara St., Sta. Mesa Heights</t>
  </si>
  <si>
    <t xml:space="preserve">ASSAY: Xpert MTB/RIF Ultra, COUNT: 799
</t>
  </si>
  <si>
    <t>Module B1 for replacement
Modules B2, B3, B4 for XpertCheck</t>
  </si>
  <si>
    <t>-Checked and cleaned cartridge bays, plunger rod, Icore slots and filter
-Replaced module 1 (724964 -&gt; 210092883)
-Performed XpertCheck on Modules B2, B3,B4)
-Generated report</t>
  </si>
  <si>
    <t>Replaced Module B1
Performed XpertCheck</t>
  </si>
  <si>
    <t>Unit is operational.
B1: Newly Replaced
B2: Failed 
B3: Passed
B4: Passed</t>
  </si>
  <si>
    <t>G 5706</t>
  </si>
  <si>
    <t>https://www.jotform.com/uploads/macarewecare/222927978372067/5638239389414318140/5638239389414318140_signature_28.png</t>
  </si>
  <si>
    <t>CLAIRE MARIE B. LANCETA</t>
  </si>
  <si>
    <t>https://www.jotform.com/uploads/macarewecare/222927978372067/5638239389414318140/5638239389414318140_signature_31.png</t>
  </si>
  <si>
    <t>Poro Rhu</t>
  </si>
  <si>
    <t>Poblacion Poro, Camotes</t>
  </si>
  <si>
    <t>1. UPS low output voltage 181 to 191  Vac
2. Module 2 SN # 808037 Error 4012 last March 2023 and Error 1001 run time error last May 2023, May 2023
 Module 3 encounter error 2008</t>
  </si>
  <si>
    <t>Observed UPS 24 hours charging, direct avr to power outlet.
Instruct end-user to observed the samples quality to avoid viscous samples</t>
  </si>
  <si>
    <t>Performed troubleshooting of UPS low output voltage 181 Vac
Clean Icore, plunger maintenance, clean filter and cartridge bay
Generate data IQR, Sys log and Assay, archive and back up database</t>
  </si>
  <si>
    <t>All modules are operational but no ups attched to the unit.</t>
  </si>
  <si>
    <t>https://www.jotform.com/uploads/macarewecare/222927978372067/5638211548107375255/5638211548107375255_signature_28.png</t>
  </si>
  <si>
    <t>https://www.jotform.com/uploads/macarewecare/222927978372067/5638211548107375255/5638211548107375255_signature_31.png</t>
  </si>
  <si>
    <t>Tuban St., Sablayan</t>
  </si>
  <si>
    <t>anthonycastrormt@yahoo.com</t>
  </si>
  <si>
    <t>Performed PM.
Performed module replacement on B3.
Generated reports.</t>
  </si>
  <si>
    <t>Gx module B3 (210091102) in replacement to defective B3 (652387)</t>
  </si>
  <si>
    <t>https://www.jotform.com/uploads/macarewecare/222927978372067/5638195550521337920/5638195550521337920_signature_28.png</t>
  </si>
  <si>
    <t>Anthony D. Castro</t>
  </si>
  <si>
    <t>https://www.jotform.com/uploads/macarewecare/222927978372067/5638195550521337920/5638195550521337920_signature_31.png</t>
  </si>
  <si>
    <t>Adettlourodriguez@yahoo.com.ph</t>
  </si>
  <si>
    <t xml:space="preserve">ASSAY: Xpert MTB/RIF Ultra, COUNT: 434
</t>
  </si>
  <si>
    <t>Module A4 for check up (temp. Errors)</t>
  </si>
  <si>
    <t>Unit is operational.
A4 for reporting.</t>
  </si>
  <si>
    <t>https://www.jotform.com/uploads/macarewecare/222927978372067/5638194763229874970/5638194763229874970_signature_28.png</t>
  </si>
  <si>
    <t>Adett Lou Rodriguez</t>
  </si>
  <si>
    <t>https://www.jotform.com/uploads/macarewecare/222927978372067/5638194763229874970/5638194763229874970_signature_31.png</t>
  </si>
  <si>
    <t>Santa Ignacia Rural Health Unit</t>
  </si>
  <si>
    <t>Santa Ignacia Tarlac</t>
  </si>
  <si>
    <t xml:space="preserve">ASSAY: Xpert MTB/RIF, COUNT: 33
ASSAY: Xpert MTB/RIF Ultra, COUNT: 373
</t>
  </si>
  <si>
    <t>A2 error 2035</t>
  </si>
  <si>
    <t>Unit is operational except A4, A2 passed calibration</t>
  </si>
  <si>
    <t>Used 1 xpertcheck kits</t>
  </si>
  <si>
    <t>https://www.jotform.com/uploads/macarewecare/222927978372067/5638180335011175743/5638180335011175743_signature_28.png</t>
  </si>
  <si>
    <t>https://www.jotform.com/uploads/macarewecare/222927978372067/5638180335011175743/5638180335011175743_signature_31.png</t>
  </si>
  <si>
    <t>adh.leyte@yahoo.com</t>
  </si>
  <si>
    <t xml:space="preserve">ASSAY: Xpert MTB/RIF, COUNT: 357
ASSAY: Xpert MTB/RIF Ultra, COUNT: 137
</t>
  </si>
  <si>
    <t>unit for Calibration</t>
  </si>
  <si>
    <t>https://www.jotform.com/uploads/macarewecare/222927978372067/5638161204494384282/5638161204494384282_signature_28.png</t>
  </si>
  <si>
    <t>Maryln C. Redoblado</t>
  </si>
  <si>
    <t>https://www.jotform.com/uploads/macarewecare/222927978372067/5638161204494384282/5638161204494384282_signature_31.png</t>
  </si>
  <si>
    <t>Petit Baracks, Zamboanga City, Zamboanga del sur</t>
  </si>
  <si>
    <t>Ups pulled out for replacement</t>
  </si>
  <si>
    <t>Ups malfunction</t>
  </si>
  <si>
    <t>Replaced battery but still problem occurs. Ups pulled out for replacement</t>
  </si>
  <si>
    <t>Ups is broken and must be replaced</t>
  </si>
  <si>
    <t>For replacement, Serial Number of UPS JB0320055820 model Back-UPS RS 1500 brand is APC</t>
  </si>
  <si>
    <t>https://www.jotform.com/uploads/macarewecare/222927978372067/5638151995917786037/5638151995917786037_signature_28.png</t>
  </si>
  <si>
    <t>https://www.jotform.com/uploads/macarewecare/222927978372067/5638151995917786037/5638151995917786037_signature_31.png</t>
  </si>
  <si>
    <t>Eversly child sanitarium</t>
  </si>
  <si>
    <t xml:space="preserve">ASSAY: Xpert MTB/RIF, COUNT: 267
ASSAY: Xpert MTB/RIF Ultra, COUNT: 2813
</t>
  </si>
  <si>
    <t>Module a3 640129, temperature error 1002</t>
  </si>
  <si>
    <t>Clean fan filter, soft copy of IQR and system log</t>
  </si>
  <si>
    <t>Module a3 temperature error</t>
  </si>
  <si>
    <t>https://www.jotform.com/uploads/macarewecare/222927978372067/5638125495668501829/5638125495668501829_signature_28.png</t>
  </si>
  <si>
    <t>Juanita v. Almurung</t>
  </si>
  <si>
    <t>https://www.jotform.com/uploads/macarewecare/222927978372067/5638125495668501829/5638125495668501829_signature_31.png</t>
  </si>
  <si>
    <t>Bicol SLSNRL</t>
  </si>
  <si>
    <t xml:space="preserve">ASSAY: Xpert HPV, COUNT: 585
ASSAY: Xpert MTB/RIF Ultra, COUNT: 2052
ASSAY: Xpert HIV-1 Viral Load, COUNT: 186
</t>
  </si>
  <si>
    <t>For replacement of gateway board</t>
  </si>
  <si>
    <t>Replaced gateway board. 807579&gt;&gt;751351
Retained 807579 SN
Cleaned plunger rod, cartridge bays
Generated reporteds</t>
  </si>
  <si>
    <t>Performed gateway board replacement,  preventive maintenance</t>
  </si>
  <si>
    <t>751351 Gateway Board SN</t>
  </si>
  <si>
    <t>PL-011515</t>
  </si>
  <si>
    <t>https://www.jotform.com/uploads/macarewecare/222927978372067/5638124571411269252/5638124571411269252_signature_28.png</t>
  </si>
  <si>
    <t>https://www.jotform.com/uploads/macarewecare/222927978372067/5638124571411269252/5638124571411269252_signature_31.png</t>
  </si>
  <si>
    <t xml:space="preserve">ASSAY: Xpert HPV, COUNT: 756
ASSAY: Xpert MTB/RIF Ultra, COUNT: 2156
</t>
  </si>
  <si>
    <t>https://www.jotform.com/uploads/macarewecare/222927978372067/5638120753819767588/5638120753819767588_signature_28.png</t>
  </si>
  <si>
    <t>https://www.jotform.com/uploads/macarewecare/222927978372067/5638120753819767588/5638120753819767588_signature_31.png</t>
  </si>
  <si>
    <t>Module 2 and 4 for xpertcheck</t>
  </si>
  <si>
    <t>Performed Xpertcheck on Module 2 and 4</t>
  </si>
  <si>
    <t>Xpertcheck Result = B2 - Passed &amp; B1 - Service Required</t>
  </si>
  <si>
    <t>https://www.jotform.com/uploads/macarewecare/222927978372067/5637381489125019528/5637381489125019528_signature_28.png</t>
  </si>
  <si>
    <t>https://www.jotform.com/uploads/macarewecare/222927978372067/5637381489125019528/5637381489125019528_signature_31.png</t>
  </si>
  <si>
    <t>Genexpert CPU/Computer problem</t>
  </si>
  <si>
    <t>Replace defective CPU SN: *CPH1119F04268* with new CPU SN:*CPH0622F38156*
Import MTB-rif ultra</t>
  </si>
  <si>
    <t>https://www.jotform.com/uploads/macarewecare/222927978372067/5636898700314821099/5636898700314821099_signature_28.png</t>
  </si>
  <si>
    <t>Joan A. Sangines</t>
  </si>
  <si>
    <t>https://www.jotform.com/uploads/macarewecare/222927978372067/5636898700314821099/5636898700314821099_signature_31.png</t>
  </si>
  <si>
    <t>https://www.jotform.com/uploads/macarewecare/222927978372067/5636898560318504524/5636898560318504524_signature_28.png</t>
  </si>
  <si>
    <t>https://www.jotform.com/uploads/macarewecare/222927978372067/5636898560318504524/5636898560318504524_signature_31.png</t>
  </si>
  <si>
    <t>https://www.jotform.com/uploads/macarewecare/222927978372067/5636898370313087259/5636898370313087259_signature_28.png</t>
  </si>
  <si>
    <t>https://www.jotform.com/uploads/macarewecare/222927978372067/5636898370313087259/5636898370313087259_signature_31.png</t>
  </si>
  <si>
    <t>Medellin RHU</t>
  </si>
  <si>
    <t>Module 2 Sn 862245 encounter run time error 1002 several times and Module 4 Sn 633038 encounter error 1002 and 4009 multiple times.</t>
  </si>
  <si>
    <t>Performed calibration in Module 2 and Module 4
Conduct PMS in genxpert machine
Module 2 and 4 required for module replacement</t>
  </si>
  <si>
    <t>Performed calibration in Module 2 and 4
Install expertcheck ver 1.5a
Clean Icore, plunger and filter
Generate data IQR, sys log, Assay Stats</t>
  </si>
  <si>
    <t>Only 1 and module 3 are available due to run time error of Module 2 and 4</t>
  </si>
  <si>
    <t>https://www.jotform.com/uploads/macarewecare/222927978372067/5636622307113938229/5636622307113938229_signature_28.png</t>
  </si>
  <si>
    <t>Raul M.. Galano</t>
  </si>
  <si>
    <t>https://www.jotform.com/uploads/macarewecare/222927978372067/5636622307113938229/5636622307113938229_signature_31.png</t>
  </si>
  <si>
    <t>Some modules experiencing error</t>
  </si>
  <si>
    <t>-Checked and cleaned cartridge bays, plunger rod, icore slot and filter
-Checked system log
-Module 4 experienced error 2005 twice this week already
-Will ask update if same error happens by friday
-Generate report</t>
  </si>
  <si>
    <t>Checked the status of modules</t>
  </si>
  <si>
    <t>https://www.jotform.com/uploads/macarewecare/222927978372067/5636617533121077675/5636617533121077675_signature_28.png</t>
  </si>
  <si>
    <t>https://www.jotform.com/uploads/macarewecare/222927978372067/5636617533121077675/5636617533121077675_signature_31.png</t>
  </si>
  <si>
    <t>Xpertcheck for module 3</t>
  </si>
  <si>
    <t>https://www.jotform.com/uploads/macarewecare/222927978372067/5636608971125995974/5636608971125995974_signature_28.png</t>
  </si>
  <si>
    <t>https://www.jotform.com/uploads/macarewecare/222927978372067/5636608971125995974/5636608971125995974_signature_31.png</t>
  </si>
  <si>
    <t>Defective module B1 &amp; B4</t>
  </si>
  <si>
    <t>Self test B1 &amp; B4,</t>
  </si>
  <si>
    <t>Gathering data system log, IQR</t>
  </si>
  <si>
    <t>https://www.jotform.com/uploads/macarewecare/222927978372067/5636593715812952035/5636593715812952035_signature_28.png</t>
  </si>
  <si>
    <t>https://www.jotform.com/uploads/macarewecare/222927978372067/5636593715812952035/5636593715812952035_signature_31.png</t>
  </si>
  <si>
    <t>Defective CPU Board</t>
  </si>
  <si>
    <t>Performed repair
Delivered and replaced cpu board
Check and adjust Calibration ,Centrifuge,DPM,SPM,Weigher,Line sensor,Checked parameters.
Test run unit</t>
  </si>
  <si>
    <t>https://www.jotform.com/uploads/macarewecare/222927978372067/5636570209227965048/5636570209227965048_signature_28.png</t>
  </si>
  <si>
    <t>https://www.jotform.com/uploads/macarewecare/222927978372067/5636570209227965048/5636570209227965048_signature_31.png</t>
  </si>
  <si>
    <t xml:space="preserve">ASSAY: Xpert MTB/RIF, COUNT: 75
ASSAY: Xpert MTB/RIF Ultra, COUNT: 402
</t>
  </si>
  <si>
    <t>A2 Temperature error</t>
  </si>
  <si>
    <t>Unit is operational except A1 and A3</t>
  </si>
  <si>
    <t>Used 1 xpertcheck kit, A2 failed calibration for reporting</t>
  </si>
  <si>
    <t>https://www.jotform.com/uploads/macarewecare/222927978372067/5636563150691453724/5636563150691453724_signature_28.png</t>
  </si>
  <si>
    <t>Mylene M. Forbes</t>
  </si>
  <si>
    <t>https://www.jotform.com/uploads/macarewecare/222927978372067/5636563150691453724/5636563150691453724_signature_31.png</t>
  </si>
  <si>
    <t xml:space="preserve">ASSAY: Xpert HPV, COUNT: 87
ASSAY: Xpert MTB/RIF Ultra, COUNT: 1520
</t>
  </si>
  <si>
    <t>-Checked CPU
-Replaced HDD; problem persist
-Replaced RAM; problem solved
-Checked and cleaned cartridge bays, plunger rod, icore slot and filter
-reversed cable connection; problem persists
-Generated report</t>
  </si>
  <si>
    <t>https://www.jotform.com/uploads/macarewecare/222927978372067/5636559793127436603/5636559793127436603_signature_28.png</t>
  </si>
  <si>
    <t>ERLINDA LORILLA</t>
  </si>
  <si>
    <t>https://www.jotform.com/uploads/macarewecare/222927978372067/5636559793127436603/5636559793127436603_signature_31.png</t>
  </si>
  <si>
    <t>White line in monitor</t>
  </si>
  <si>
    <t>-Checked and cleaned cartridge bays, plunger rod, icore slot and filter
-Troubleshoot monitor
-reversed VGA cable connection; problem persist
-replaced VGA; problem solved
-Generated report</t>
  </si>
  <si>
    <t>Troubleshoot monitor</t>
  </si>
  <si>
    <t>Unit is operational. Module 2 under monitoring</t>
  </si>
  <si>
    <t>https://www.jotform.com/uploads/macarewecare/222927978372067/5636557973121107676/5636557973121107676_signature_28.png</t>
  </si>
  <si>
    <t>https://www.jotform.com/uploads/macarewecare/222927978372067/5636557973121107676/5636557973121107676_signature_31.png</t>
  </si>
  <si>
    <t xml:space="preserve">ASSAY: Xpert MTB/RIF Ultra, COUNT: 2475
ASSAY: Xpert HIV-1 Viral Load, COUNT: 130
</t>
  </si>
  <si>
    <t>https://www.jotform.com/uploads/macarewecare/222927978372067/5636556378511061123/5636556378511061123_signature_28.png</t>
  </si>
  <si>
    <t>https://www.jotform.com/uploads/macarewecare/222927978372067/5636556378511061123/5636556378511061123_signature_31.png</t>
  </si>
  <si>
    <t xml:space="preserve">ASSAY: Xpert MTB/RIF Ultra, COUNT: 2794
ASSAY: Xpert HIV-1 Viral Load, COUNT: 149
</t>
  </si>
  <si>
    <t>Module A3 stuck cartridge</t>
  </si>
  <si>
    <t>Unit is operational except A3.
Module stuck on booting.
Unable to generate IQR.
Module A3 (698345) for reporting.</t>
  </si>
  <si>
    <t>https://www.jotform.com/uploads/macarewecare/222927978372067/5636554188519818065/5636554188519818065_signature_28.png</t>
  </si>
  <si>
    <t>https://www.jotform.com/uploads/macarewecare/222927978372067/5636554188519818065/5636554188519818065_signature_31.png</t>
  </si>
  <si>
    <t>Bataan General Hospital</t>
  </si>
  <si>
    <t xml:space="preserve">ASSAY: Xpert SARS-CoV-2, COUNT: 13510
</t>
  </si>
  <si>
    <t>829390/834433</t>
  </si>
  <si>
    <t>B1 error 4009,1002
B2 error 4009
B3 error  4009
D3 error 1001,1002
UPS Battery error ( not charging, drained battery)</t>
  </si>
  <si>
    <t>Performed surface cleaning
Cleaning of plunger rod,icore,filter and cartridge bay
Archived test results
Gathered reports
Performed functionality test</t>
  </si>
  <si>
    <t>Unit is operational excep B1,B2,B3, D3 and UPS</t>
  </si>
  <si>
    <t>https://www.jotform.com/uploads/macarewecare/222927978372067/5636552230697892364/5636552230697892364_signature_28.png</t>
  </si>
  <si>
    <t>Honey Eichel M. Caringal</t>
  </si>
  <si>
    <t>https://www.jotform.com/uploads/macarewecare/222927978372067/5636552230697892364/5636552230697892364_signature_31.png</t>
  </si>
  <si>
    <t xml:space="preserve">ASSAY: Xpert MTB/RIF, COUNT: 240
ASSAY: Xpert MTB/RIF Ultra, COUNT: 1065
</t>
  </si>
  <si>
    <t>Defective LCD monitor (SN: CNK9430B0R)</t>
  </si>
  <si>
    <t>LCD monitor (Model: AOC sn/ROXNB1A004636)</t>
  </si>
  <si>
    <t>https://www.jotform.com/uploads/macarewecare/222927978372067/5636532874119506607/5636532874119506607_signature_28.png</t>
  </si>
  <si>
    <t>Gemma malate</t>
  </si>
  <si>
    <t>https://www.jotform.com/uploads/macarewecare/222927978372067/5636532874119506607/5636532874119506607_signature_31.png</t>
  </si>
  <si>
    <t>-Checked and cleaned cartridge bays, plunger rod, icore slot and filter
-Replaced module B3 and B4
-Checked module 2 system log, error 4009
-Helped move GX machine to bigger room
-Generated report</t>
  </si>
  <si>
    <t>Replaced Module B3 and B4
B3: 690602 -&gt; 210059649
B4: 690604 -&gt; 210063218</t>
  </si>
  <si>
    <t>G 5697</t>
  </si>
  <si>
    <t>https://www.jotform.com/uploads/macarewecare/222927978372067/5636466796612954240/5636466796612954240_signature_28.png</t>
  </si>
  <si>
    <t>https://www.jotform.com/uploads/macarewecare/222927978372067/5636466796612954240/5636466796612954240_signature_31.png</t>
  </si>
  <si>
    <t>Davao del Norte Provincial Hospital-Igacos Samal</t>
  </si>
  <si>
    <t>Datu Taganiog St.,Brgy. Peñaplata  Island Garden City of Samal</t>
  </si>
  <si>
    <t>labddnhigacoszone@gmail.com</t>
  </si>
  <si>
    <t>https://www.jotform.com/uploads/macarewecare/222927978372067/5636462516227957865/5636462516227957865_signature_28.png</t>
  </si>
  <si>
    <t>Janice Fe Pastor</t>
  </si>
  <si>
    <t>https://www.jotform.com/uploads/macarewecare/222927978372067/5636462516227957865/5636462516227957865_signature_31.png</t>
  </si>
  <si>
    <t>Purok 3, Poblacion, Lianga</t>
  </si>
  <si>
    <t xml:space="preserve">ASSAY: Xpert MTB/RIF, COUNT: 59
ASSAY: Xpert MTB/RIF Ultra, COUNT: 511
</t>
  </si>
  <si>
    <t>Replacing Module B1 with SN: 669053 to SN: 210068498</t>
  </si>
  <si>
    <t>https://www.jotform.com/uploads/macarewecare/222927978372067/5636460964813497012/5636460964813497012_signature_28.png</t>
  </si>
  <si>
    <t>https://www.jotform.com/uploads/macarewecare/222927978372067/5636460964813497012/5636460964813497012_signature_31.png</t>
  </si>
  <si>
    <t>Ignacio B Jorado, Lasam, Cagayan</t>
  </si>
  <si>
    <t xml:space="preserve">ASSAY: Xpert MTB/RIF, COUNT: 51
ASSAY: Xpert MTB/RIF Ultra, COUNT: 311
</t>
  </si>
  <si>
    <t>Module 4 Error 4012</t>
  </si>
  <si>
    <t>Xpertcheck Result = B1, B2, B3 - Passed &amp; B4 - Service Required</t>
  </si>
  <si>
    <t>https://www.jotform.com/uploads/macarewecare/222927978372067/5636460427184502586/5636460427184502586_signature_28.png</t>
  </si>
  <si>
    <t>https://www.jotform.com/uploads/macarewecare/222927978372067/5636460427184502586/5636460427184502586_signature_31.png</t>
  </si>
  <si>
    <t>Durian St. Malabon</t>
  </si>
  <si>
    <t xml:space="preserve">ASSAY: Xpert MTB/RIF Ultra, COUNT: 2029
</t>
  </si>
  <si>
    <t>Unit for PM.
For module replacement of B2.</t>
  </si>
  <si>
    <t>Performed PM.
Performed module replacment on B2.
Generated reports.</t>
  </si>
  <si>
    <t>PM and module replacment.</t>
  </si>
  <si>
    <t>Unit is operational. For repirting of modules B1 and B4.</t>
  </si>
  <si>
    <t>Gx module B2 (210059647) in replacement to defective B2 (672907).</t>
  </si>
  <si>
    <t>G5698</t>
  </si>
  <si>
    <t>https://www.jotform.com/uploads/macarewecare/222927978372067/5636454897214036606/5636454897214036606_signature_28.png</t>
  </si>
  <si>
    <t>Ailyn M.Santos</t>
  </si>
  <si>
    <t>https://www.jotform.com/uploads/macarewecare/222927978372067/5636454897214036606/5636454897214036606_signature_31.png</t>
  </si>
  <si>
    <t xml:space="preserve">ASSAY: Xpert MTB/RIF, COUNT: 7
ASSAY: Xpert MTB/RIF Ultra, COUNT: 922
</t>
  </si>
  <si>
    <t>B1 stuck cartridge</t>
  </si>
  <si>
    <t>Preventive maintenance
Cartridge removal</t>
  </si>
  <si>
    <t>Performed surface cleaning
Cleaning of plunger rod,icore,filter and cartridge bay
Archived test results
Removed stuck cartridge
Gathered reports
Performed functionality test</t>
  </si>
  <si>
    <t>https://www.jotform.com/uploads/macarewecare/222927978372067/5636442173697859374/5636442173697859374_signature_28.png</t>
  </si>
  <si>
    <t>https://www.jotform.com/uploads/macarewecare/222927978372067/5636442173697859374/5636442173697859374_signature_31.png</t>
  </si>
  <si>
    <t xml:space="preserve">ASSAY: Xpert MTB/RIF Ultra, COUNT: 1111
ASSAY: Xpert SARS-CoV-2, COUNT: 2576
</t>
  </si>
  <si>
    <t>https://www.jotform.com/uploads/macarewecare/222927978372067/5635822339312472908/5635822339312472908_signature_28.png</t>
  </si>
  <si>
    <t>Mikeala Anne C. Torio</t>
  </si>
  <si>
    <t>https://www.jotform.com/uploads/macarewecare/222927978372067/5635822339312472908/5635822339312472908_signature_31.png</t>
  </si>
  <si>
    <t>Genexpert IV 10c</t>
  </si>
  <si>
    <t>Performed Maintenance
Gathered Reports
Installed Drivers
Installed Barcode Scanner
Installed Genexpert
Installed PC
Installed Printer
Performed Functionality Test</t>
  </si>
  <si>
    <t>https://www.jotform.com/uploads/macarewecare/222927978372067/5635819939314848721/5635819939314848721_signature_28.png</t>
  </si>
  <si>
    <t>https://www.jotform.com/uploads/macarewecare/222927978372067/5635819939314848721/5635819939314848721_signature_31.png</t>
  </si>
  <si>
    <t>Carig Norte, Tuguegarao City Cagayan</t>
  </si>
  <si>
    <t>Module Replacement = 665783 &amp; 628109 - 210063032 &amp; 210063113</t>
  </si>
  <si>
    <t>Genexpert Module = 210063032 &amp; 210063113</t>
  </si>
  <si>
    <t>https://www.jotform.com/uploads/macarewecare/222927978372067/5635817049318468707/5635817049318468707_signature_28.png</t>
  </si>
  <si>
    <t>https://www.jotform.com/uploads/macarewecare/222927978372067/5635817049318468707/5635817049318468707_signature_31.png</t>
  </si>
  <si>
    <t>Cagayan Valley Center for Health Development(DOH R02)</t>
  </si>
  <si>
    <t>REPAIR
MAINTENANCE
Replaced Module Door</t>
  </si>
  <si>
    <t xml:space="preserve">ASSAY: Xpert MTB/RIF Ultra, COUNT: 2217
ASSAY: Xpert SARS-CoV-2, COUNT: 6457
</t>
  </si>
  <si>
    <t>Module D3 Hardware Failure, D2 Module Door</t>
  </si>
  <si>
    <t>Replaced Module Door of D2 from Defective Module</t>
  </si>
  <si>
    <t>Module Replacement = 888973 - 210061145</t>
  </si>
  <si>
    <t>Genexpert Module - 210061145</t>
  </si>
  <si>
    <t>https://www.jotform.com/uploads/macarewecare/222927978372067/5635811389315954518/5635811389315954518_signature_28.png</t>
  </si>
  <si>
    <t>Mikeala Anne  Torio</t>
  </si>
  <si>
    <t>https://www.jotform.com/uploads/macarewecare/222927978372067/5635811389315954518/5635811389315954518_signature_31.png</t>
  </si>
  <si>
    <t>Nqbua Rural Health Unit</t>
  </si>
  <si>
    <t>Zone 1, San Roque, Poblacion, Nabua, Camarines Sur</t>
  </si>
  <si>
    <t xml:space="preserve">ASSAY: Xpert MTB/RIF, COUNT: 0
ASSAY: Xpert MTB/RIF Ultra, COUNT: 1050
</t>
  </si>
  <si>
    <t>CPU delayed powered on</t>
  </si>
  <si>
    <t>Cleaned ram, checked power cord, checked connections 
Cleaned cartridge bays, plunger rod, fan filter
Collected reports</t>
  </si>
  <si>
    <t>Troubleshooting CPU, Performed Preventive maintenance</t>
  </si>
  <si>
    <t>CPU For replacement</t>
  </si>
  <si>
    <t>https://www.jotform.com/uploads/macarewecare/222927978372067/5635789821987953942/5635789821987953942_signature_28.png</t>
  </si>
  <si>
    <t>https://www.jotform.com/uploads/macarewecare/222927978372067/5635789821987953942/5635789821987953942_signature_31.png</t>
  </si>
  <si>
    <t>Department of Health - Northern Mindanao TB Reference Laboratory</t>
  </si>
  <si>
    <t>JB Serina St., Barangay Carmen, Cagayan de Oro City</t>
  </si>
  <si>
    <t>rfreneefleur184@gmail.com</t>
  </si>
  <si>
    <t>GeneXpert Machine Installation</t>
  </si>
  <si>
    <t>https://www.jotform.com/uploads/macarewecare/222927978372067/5635717800954290945/5635717800954290945_signature_28.png</t>
  </si>
  <si>
    <t>Renee Fleur Clutario</t>
  </si>
  <si>
    <t>https://www.jotform.com/uploads/macarewecare/222927978372067/5635717800954290945/5635717800954290945_signature_31.png</t>
  </si>
  <si>
    <t>Centro Norte</t>
  </si>
  <si>
    <t>Xpertcheck Result = B1, B3, B4 - Passed &amp; B2 - Service Required</t>
  </si>
  <si>
    <t>https://www.jotform.com/uploads/macarewecare/222927978372067/5635694889319020900/5635694889319020900_signature_28.png</t>
  </si>
  <si>
    <t>https://www.jotform.com/uploads/macarewecare/222927978372067/5635694889319020900/5635694889319020900_signature_31.png</t>
  </si>
  <si>
    <t xml:space="preserve">ASSAY: Xpert MTB/RIF Ultra, COUNT: 2441
ASSAY: Xpert HIV-1 Viral Load, COUNT: 46
</t>
  </si>
  <si>
    <t>Modules 1 and 4 with Temperature and Valve Error</t>
  </si>
  <si>
    <t>Performed Maintenance
Performed XpertCheck on Modules 1 and 4
Performed Self-Test and Functionality Test
Generate Reports</t>
  </si>
  <si>
    <t>2 Modules are Operational, 2 Modules for Replacement</t>
  </si>
  <si>
    <t>https://www.jotform.com/uploads/macarewecare/222927978372067/5635684183614843390/5635684183614843390_signature_28.png</t>
  </si>
  <si>
    <t>https://www.jotform.com/uploads/macarewecare/222927978372067/5635684183614843390/5635684183614843390_signature_31.png</t>
  </si>
  <si>
    <t>Zamora, Pandacan</t>
  </si>
  <si>
    <t>Performed Maintenance
Perform XpertCheck in Module 1
Generate Reports</t>
  </si>
  <si>
    <t>https://www.jotform.com/uploads/macarewecare/222927978372067/5635684063611897215/5635684063611897215_signature_28.png</t>
  </si>
  <si>
    <t>Maria Anthea S Peneyra</t>
  </si>
  <si>
    <t>https://www.jotform.com/uploads/macarewecare/222927978372067/5635684063611897215/5635684063611897215_signature_31.png</t>
  </si>
  <si>
    <t xml:space="preserve">ASSAY: Xpert HPV, COUNT: 26
ASSAY: Xpert MTB/RIF Ultra, COUNT: 1
ASSAY: Xpert SARS-CoV-2, COUNT: 3303
</t>
  </si>
  <si>
    <t>Modules 1 and 3 have Temperature Related Errors</t>
  </si>
  <si>
    <t>Replaced Modules 1 and 3
Performed Maintenance
Performed Self-Test and Functionality
Generate Reports</t>
  </si>
  <si>
    <t>210078318-&gt; 210010209, 210078487-&gt; 210031286</t>
  </si>
  <si>
    <t>GX Module Kit 10-C</t>
  </si>
  <si>
    <t>DR 10030</t>
  </si>
  <si>
    <t>https://www.jotform.com/uploads/macarewecare/222927978372067/5635684063612188961/5635684063612188961_signature_28.png</t>
  </si>
  <si>
    <t>https://www.jotform.com/uploads/macarewecare/222927978372067/5635684063612188961/5635684063612188961_signature_31.png</t>
  </si>
  <si>
    <t>Bayan Luma, Imus</t>
  </si>
  <si>
    <t xml:space="preserve">ASSAY: Xpert MTB/RIF Ultra, COUNT: 1163
</t>
  </si>
  <si>
    <t>Modules 3 with 5000 Series Error</t>
  </si>
  <si>
    <t>Performed Maintenance
Performed XpertCheck on Module 3
Generate Reports
Performed Functionality Test</t>
  </si>
  <si>
    <t>2 Modules are Operational, 2 for Replacement</t>
  </si>
  <si>
    <t>https://www.jotform.com/uploads/macarewecare/222927978372067/5635684063612724426/5635684063612724426_signature_28.png</t>
  </si>
  <si>
    <t>Amielynn B Mangulabnan</t>
  </si>
  <si>
    <t>https://www.jotform.com/uploads/macarewecare/222927978372067/5635684063612724426/5635684063612724426_signature_31.png</t>
  </si>
  <si>
    <t>Molino, Bacoor</t>
  </si>
  <si>
    <t xml:space="preserve">ASSAY: Xpert MTB/RIF Ultra, COUNT: 1228
ASSAY: Xpert HIV-1 Viral Load, COUNT: 12
</t>
  </si>
  <si>
    <t>UPS has No Backup Function</t>
  </si>
  <si>
    <t>Battery Replacement</t>
  </si>
  <si>
    <t>Replaced UPS Battery
Replaced BIOS Battery
Performed Maintenance
Generate Reports</t>
  </si>
  <si>
    <t>https://www.jotform.com/uploads/macarewecare/222927978372067/5635684063614159978/5635684063614159978_signature_28.png</t>
  </si>
  <si>
    <t>https://www.jotform.com/uploads/macarewecare/222927978372067/5635684063614159978/5635684063614159978_signature_31.png</t>
  </si>
  <si>
    <t xml:space="preserve">ASSAY: Xpert CT/NG, COUNT: 1
ASSAY: Xpert HPV, COUNT: 2
ASSAY: Xpert SARS-CoV-2, COUNT: 5414
ASSAY: Others, COUNT: 10
</t>
  </si>
  <si>
    <t>XpertCheck
Maintenance</t>
  </si>
  <si>
    <t>Performed Maintenance
Performed XpertCheck on Reported Error
Generate Reports</t>
  </si>
  <si>
    <t>Used Spare Cartridge</t>
  </si>
  <si>
    <t>https://www.jotform.com/uploads/macarewecare/222927978372067/5635684063616609613/5635684063616609613_signature_28.png</t>
  </si>
  <si>
    <t>https://www.jotform.com/uploads/macarewecare/222927978372067/5635684063616609613/5635684063616609613_signature_31.png</t>
  </si>
  <si>
    <t>Imerial St., Del Rosario,  Baao, Camarines Sur</t>
  </si>
  <si>
    <t>briciarandy@gmail.com</t>
  </si>
  <si>
    <t xml:space="preserve">ASSAY: Xpert MTB/RIF, COUNT: 0
ASSAY: Xpert MTB/RIF Ultra, COUNT: 1516
</t>
  </si>
  <si>
    <t>Performed XpertCheck 
Cleaned cartridge bays, plunger rod, fan filter
Generated reports</t>
  </si>
  <si>
    <t>Performed XpertCheck &amp; Preventive Maintenance</t>
  </si>
  <si>
    <t>All passed for XpertCheck</t>
  </si>
  <si>
    <t>PL-010397</t>
  </si>
  <si>
    <t>https://www.jotform.com/uploads/macarewecare/222927978372067/5635672841985507736/5635672841985507736_signature_28.png</t>
  </si>
  <si>
    <t>Randy Bricia</t>
  </si>
  <si>
    <t>https://www.jotform.com/uploads/macarewecare/222927978372067/5635672841985507736/5635672841985507736_signature_31.png</t>
  </si>
  <si>
    <t>Poblacion Jose Dalman, Zamboanga del norte</t>
  </si>
  <si>
    <t>Module 787281 replaced with Module 606719</t>
  </si>
  <si>
    <t>https://www.jotform.com/uploads/macarewecare/222927978372067/5635622738411108819/5635622738411108819_signature_28.png</t>
  </si>
  <si>
    <t>https://www.jotform.com/uploads/macarewecare/222927978372067/5635622738411108819/5635622738411108819_signature_31.png</t>
  </si>
  <si>
    <t>Valladolid Carcar Cebu</t>
  </si>
  <si>
    <t xml:space="preserve">ASSAY: Xpert MTB/RIF Ultra, COUNT: 1314
</t>
  </si>
  <si>
    <t>Error 2008 in B3 and Error 5006 in B4</t>
  </si>
  <si>
    <t>Clean Icore, Plunger and clean filter
Instruct medtech to add extra time for viscous sputum</t>
  </si>
  <si>
    <t>Performed troubleshooting and analysis</t>
  </si>
  <si>
    <t>Only B1, B3, and B4 are used due to recurrent Run time error for module 2</t>
  </si>
  <si>
    <t>https://www.jotform.com/uploads/macarewecare/222927978372067/5635608353455175825/5635608353455175825_signature_28.png</t>
  </si>
  <si>
    <t>https://www.jotform.com/uploads/macarewecare/222927978372067/5635608353455175825/5635608353455175825_signature_31.png</t>
  </si>
  <si>
    <t>Burgos St. Umingan, Pangasinan</t>
  </si>
  <si>
    <t xml:space="preserve">ASSAY: Xpert MTB/RIF, COUNT: 349
ASSAY: Xpert MTB/RIF Ultra, COUNT: 921
</t>
  </si>
  <si>
    <t>Module B3</t>
  </si>
  <si>
    <t>Perform ReXpertCheck and Maintenance</t>
  </si>
  <si>
    <t>Passed ReXpertCheck. Module B3 for Monitoring</t>
  </si>
  <si>
    <t>https://www.jotform.com/uploads/macarewecare/222927978372067/5634886957464539861/5634886957464539861_signature_28.png</t>
  </si>
  <si>
    <t>https://www.jotform.com/uploads/macarewecare/222927978372067/5634886957464539861/5634886957464539861_signature_31.png</t>
  </si>
  <si>
    <t>https://www.jotform.com/uploads/macarewecare/222927978372067/5634886597464304498/5634886597464304498_signature_28.png</t>
  </si>
  <si>
    <t>https://www.jotform.com/uploads/macarewecare/222927978372067/5634886597464304498/5634886597464304498_signature_31.png</t>
  </si>
  <si>
    <t>Rosales RHU</t>
  </si>
  <si>
    <t>Rosales</t>
  </si>
  <si>
    <t xml:space="preserve">ASSAY: Xpert MTB/RIF, COUNT: 247
ASSAY: Xpert MTB/RIF Ultra, COUNT: 446
</t>
  </si>
  <si>
    <t>Module B2 for troubleshooting</t>
  </si>
  <si>
    <t>For ReXpertCheck</t>
  </si>
  <si>
    <t>Module B2 passed ReXpertCheck. For Monitoring</t>
  </si>
  <si>
    <t>https://www.jotform.com/uploads/macarewecare/222927978372067/5634885417461943102/5634885417461943102_signature_28.png</t>
  </si>
  <si>
    <t>Allan Vinlluan</t>
  </si>
  <si>
    <t>https://www.jotform.com/uploads/macarewecare/222927978372067/5634885417461943102/5634885417461943102_signature_31.png</t>
  </si>
  <si>
    <t>https://www.jotform.com/uploads/macarewecare/222927978372067/5634884997466707617/5634884997466707617_signature_28.png</t>
  </si>
  <si>
    <t>https://www.jotform.com/uploads/macarewecare/222927978372067/5634884997466707617/5634884997466707617_signature_31.png</t>
  </si>
  <si>
    <t xml:space="preserve">ASSAY: Xpert MTB/RIF Ultra, COUNT: 1529
ASSAY: Xpert SARS-CoV-2, COUNT: 3406
</t>
  </si>
  <si>
    <t>Module B1 for Troubleshooting</t>
  </si>
  <si>
    <t>Performed Reliability test on module B1</t>
  </si>
  <si>
    <t>https://www.jotform.com/uploads/macarewecare/222927978372067/5634876697463011352/5634876697463011352_signature_28.png</t>
  </si>
  <si>
    <t>https://www.jotform.com/uploads/macarewecare/222927978372067/5634876697463011352/5634876697463011352_signature_31.png</t>
  </si>
  <si>
    <t>St.lukes medical center QC</t>
  </si>
  <si>
    <t xml:space="preserve">ASSAY: Xpert CT/NG, COUNT: 260
ASSAY: Xpert HBV VL, COUNT: 10
ASSAY: Xpert HPV, COUNT: 1
ASSAY: Xpert HPV, COUNT: 171
ASSAY: Xpert MTB/RIF Ultra, COUNT: 2934
ASSAY: Xpert HCV VL, COUNT: 5
</t>
  </si>
  <si>
    <t>Due for maintenance  and module 4 210072753 encounter continous loss communication error</t>
  </si>
  <si>
    <t>cleaned unit,filter,plunger rod,cartridge bay,i core,gathered reports,performed visual check,test run unit.
Checked and reset gateway board
Replace all cable 
Checked powersupply voltage
Swap module position module 4 and module 3
Performed reliability</t>
  </si>
  <si>
    <t>Maintenance and Troubleshooting</t>
  </si>
  <si>
    <t>Swa0 module location module 4 and module 3</t>
  </si>
  <si>
    <t>https://www.jotform.com/uploads/macarewecare/222927978372067/5634188370028944903/5634188370028944903_signature_28.png</t>
  </si>
  <si>
    <t>https://www.jotform.com/uploads/macarewecare/222927978372067/5634188370028944903/5634188370028944903_signature_31.png</t>
  </si>
  <si>
    <t xml:space="preserve">ASSAY: Xpert HPV, COUNT: 150
ASSAY: Xpert MTB/RIF Ultra, COUNT: 240
</t>
  </si>
  <si>
    <t>Installed bak up laptop temporarily 
Troubleshoot printer</t>
  </si>
  <si>
    <t>Lenovo Thinkpad CPH1019F03493</t>
  </si>
  <si>
    <t>G 5692</t>
  </si>
  <si>
    <t>https://www.jotform.com/uploads/macarewecare/222927978372067/5633162835381529850/5633162835381529850_signature_28.png</t>
  </si>
  <si>
    <t>Maria Corazon obnamia</t>
  </si>
  <si>
    <t>https://www.jotform.com/uploads/macarewecare/222927978372067/5633162835381529850/5633162835381529850_signature_31.png</t>
  </si>
  <si>
    <t>Module 4, HW Failure
UPS not Working</t>
  </si>
  <si>
    <t>Performed Maintenance
Gathered Reports
Performed Calibration (B2, B3 = Passed &amp; B1 = Service Required)
Performed Functionality Test</t>
  </si>
  <si>
    <t>https://www.jotform.com/uploads/macarewecare/222927978372067/5633156623614600946/5633156623614600946_signature_28.png</t>
  </si>
  <si>
    <t>https://www.jotform.com/uploads/macarewecare/222927978372067/5633156623614600946/5633156623614600946_signature_31.png</t>
  </si>
  <si>
    <t xml:space="preserve">ASSAY: Xpert MTB/RIF, COUNT: 200
ASSAY: Xpert MTB/RIF Ultra, COUNT: 2371
</t>
  </si>
  <si>
    <t>https://www.jotform.com/uploads/macarewecare/222927978372067/5633156623615903250/5633156623615903250_signature_28.png</t>
  </si>
  <si>
    <t>Lea Samson</t>
  </si>
  <si>
    <t>https://www.jotform.com/uploads/macarewecare/222927978372067/5633156623615903250/5633156623615903250_signature_31.png</t>
  </si>
  <si>
    <t>Dr. Emigdio C. Cruz Sr Memorial Hospital</t>
  </si>
  <si>
    <t>San Agustin, Arayat, Pampanga</t>
  </si>
  <si>
    <t>leilani101683@yahoo.com</t>
  </si>
  <si>
    <t>Xpertcheck 5pc</t>
  </si>
  <si>
    <t>https://www.jotform.com/uploads/macarewecare/222927978372067/5633156623616703056/5633156623616703056_signature_28.png</t>
  </si>
  <si>
    <t>Leilani Marie Apostol</t>
  </si>
  <si>
    <t>https://www.jotform.com/uploads/macarewecare/222927978372067/5633156623616703056/5633156623616703056_signature_31.png</t>
  </si>
  <si>
    <t>Poblacion Escalante City, Negros Occidental</t>
  </si>
  <si>
    <t>Due for Calibration and Maintenance
Ambient Temperature in the area too high 35 degrees.</t>
  </si>
  <si>
    <t>Performed maintenance and clean up
Instruct enduser to provide aircon
ASAP ( as soon as possible) to prevent overheating of all modules during operation</t>
  </si>
  <si>
    <t>Performed maintenance, clean Icore and plunger, clean filter
Check ups voltage input and output</t>
  </si>
  <si>
    <t>All modules are beyond 30 degrees celcius
Recommended for additional aircon due to high temp in the module</t>
  </si>
  <si>
    <t>https://www.jotform.com/uploads/macarewecare/222927978372067/5633107031413222166/5633107031413222166_signature_28.png</t>
  </si>
  <si>
    <t>https://www.jotform.com/uploads/macarewecare/222927978372067/5633107031413222166/5633107031413222166_signature_31.png</t>
  </si>
  <si>
    <t xml:space="preserve">ASSAY: Xpert MTB/RIF Ultra, COUNT: 2302
</t>
  </si>
  <si>
    <t>For Preventive Maintenance
Barcode Reader error</t>
  </si>
  <si>
    <t>Clean Surface Area, Cartridge Bay, Plunger Rod, Fan Filters and Icore Lenses
Generate IQR, Assay Stat and System Log
Archived Data test results
Reset the Barcode Reader Connection and try to change the port</t>
  </si>
  <si>
    <t>Perform Preventive Maintenance
Troubleshoot the barcode reader</t>
  </si>
  <si>
    <t>Unit has only 1 Module operational
Barcode Reader error is fixed</t>
  </si>
  <si>
    <t>https://www.jotform.com/uploads/macarewecare/222927978372067/5633087408113504872/5633087408113504872_signature_28.png</t>
  </si>
  <si>
    <t>Nadine Gemma Eustaquio RMT</t>
  </si>
  <si>
    <t>https://www.jotform.com/uploads/macarewecare/222927978372067/5633087408113504872/5633087408113504872_signature_31.png</t>
  </si>
  <si>
    <t xml:space="preserve">ASSAY: Xpert MTB/RIF Ultra, COUNT: 2262
</t>
  </si>
  <si>
    <t>For Calibration and Preventive</t>
  </si>
  <si>
    <t>Module A1 retry and for service required
Module A2 for service required
Modules A3 and A4 retry and skipped</t>
  </si>
  <si>
    <t>Data will be sent to Cepheid to further Assessment</t>
  </si>
  <si>
    <t>https://www.jotform.com/uploads/macarewecare/222927978372067/5633087008116351701/5633087008116351701_signature_28.png</t>
  </si>
  <si>
    <t>CRIZZ VALEREY B. BAUTISTA</t>
  </si>
  <si>
    <t>https://www.jotform.com/uploads/macarewecare/222927978372067/5633087008116351701/5633087008116351701_signature_31.png</t>
  </si>
  <si>
    <t>Kolambugan</t>
  </si>
  <si>
    <t>System Unit Booting issue</t>
  </si>
  <si>
    <t>Replaced CMOS battery
Adjust Booting options</t>
  </si>
  <si>
    <t>Operatiknal</t>
  </si>
  <si>
    <t>https://www.jotform.com/uploads/macarewecare/222927978372067/5633067827402376305/5633067827402376305_signature_28.png</t>
  </si>
  <si>
    <t>https://www.jotform.com/uploads/macarewecare/222927978372067/5633067827402376305/5633067827402376305_signature_31.png</t>
  </si>
  <si>
    <t>BAYAWAN CITY HEALTH OFFICE</t>
  </si>
  <si>
    <t>T. Diao St., Bayawan City, Negros Occidental</t>
  </si>
  <si>
    <t>nymphar07@gmail.com</t>
  </si>
  <si>
    <t xml:space="preserve">ASSAY: Xpert MTB/RIF, COUNT: 469
ASSAY: Xpert MTB/RIF Ultra, COUNT: 1629
</t>
  </si>
  <si>
    <t>Defective module 619532/B3</t>
  </si>
  <si>
    <t>- Replaced module B3 with new SN 210068643
- Generate Pre and Post IQR
- Replaced printer toner</t>
  </si>
  <si>
    <t>https://www.jotform.com/uploads/macarewecare/222927978372067/5633049956444399084/5633049956444399084_signature_28.png</t>
  </si>
  <si>
    <t>NYMPHA RIDAD</t>
  </si>
  <si>
    <t>https://www.jotform.com/uploads/macarewecare/222927978372067/5633049956444399084/5633049956444399084_signature_31.png</t>
  </si>
  <si>
    <t>Central Luzon Doctors Hospital</t>
  </si>
  <si>
    <t xml:space="preserve">ASSAY: Xpert MTB/RIF, COUNT: 29
ASSAY: Xpert MTB/RIF Ultra, COUNT: 107
ASSAY: Xpert SARS-CoV-2, COUNT: 2747
</t>
  </si>
  <si>
    <t>B4 under observation</t>
  </si>
  <si>
    <t>https://www.jotform.com/uploads/macarewecare/222927978372067/5633034583231701576/5633034583231701576_signature_28.png</t>
  </si>
  <si>
    <t>https://www.jotform.com/uploads/macarewecare/222927978372067/5633034583231701576/5633034583231701576_signature_31.png</t>
  </si>
  <si>
    <t xml:space="preserve">ASSAY: Xpert MTB/RIF, COUNT: 7
ASSAY: Xpert SARS-CoV-2, COUNT: 336
</t>
  </si>
  <si>
    <t>https://www.jotform.com/uploads/macarewecare/222927978372067/5633034583233331165/5633034583233331165_signature_28.png</t>
  </si>
  <si>
    <t>https://www.jotform.com/uploads/macarewecare/222927978372067/5633034583233331165/5633034583233331165_signature_31.png</t>
  </si>
  <si>
    <t>Gerona Rural Health Umit</t>
  </si>
  <si>
    <t xml:space="preserve">ASSAY: Xpert MTB/RIF, COUNT: 87
ASSAY: Xpert MTB/RIF Ultra, COUNT: 436
</t>
  </si>
  <si>
    <t>A1 error 4004</t>
  </si>
  <si>
    <t>Check valve position
Performed self test
Performed valbe adjustment
Gathered reports
Performed functionality test</t>
  </si>
  <si>
    <t>Unit is operationap except A1 and A3</t>
  </si>
  <si>
    <t>https://www.jotform.com/uploads/macarewecare/222927978372067/5633034583236402928/5633034583236402928_signature_28.png</t>
  </si>
  <si>
    <t>https://www.jotform.com/uploads/macarewecare/222927978372067/5633034583236402928/5633034583236402928_signature_31.png</t>
  </si>
  <si>
    <t xml:space="preserve">ASSAY: Xpert CT/NG, COUNT: 90
ASSAY: Xpert HBV VL, COUNT: 55
ASSAY: Xpert HPV, COUNT: 1
ASSAY: Xpert MTB/RIF, COUNT: 20
ASSAY: Xpert MTB/RIF Ultra, COUNT: 1013
ASSAY: Xpert HIV-1 Viral Load, COUNT: 78
ASSAY: Others, COUNT: 9
</t>
  </si>
  <si>
    <t>All Modilules Passed</t>
  </si>
  <si>
    <t>https://www.jotform.com/uploads/macarewecare/222927978372067/5633022657118608565/5633022657118608565_signature_28.png</t>
  </si>
  <si>
    <t>Dyan Valois</t>
  </si>
  <si>
    <t>https://www.jotform.com/uploads/macarewecare/222927978372067/5633022657118608565/5633022657118608565_signature_31.png</t>
  </si>
  <si>
    <t>Mojon St. Malolos</t>
  </si>
  <si>
    <t>bmcmolecularlab@yahoo.com</t>
  </si>
  <si>
    <t xml:space="preserve">ASSAY: Xpert SARS-CoV-2, COUNT: 3576
</t>
  </si>
  <si>
    <t>Unit for PM.
For module replacement of module C4.</t>
  </si>
  <si>
    <t>Performed PM.
Performed module replacement on C4.
Generated reports.</t>
  </si>
  <si>
    <t>GX Module C4 (210091108) in replacement to defective C4 (784871).</t>
  </si>
  <si>
    <t>https://www.jotform.com/uploads/macarewecare/222927978372067/5632971509071788925/5632971509071788925_signature_28.png</t>
  </si>
  <si>
    <t>Roxan Resare</t>
  </si>
  <si>
    <t>https://www.jotform.com/uploads/macarewecare/222927978372067/5632971509071788925/5632971509071788925_signature_31.png</t>
  </si>
  <si>
    <t>Sagay, Negros Occidental</t>
  </si>
  <si>
    <t>Module 1 Hardware Failure</t>
  </si>
  <si>
    <t>Replaced new module
Generate data IQR, Sys log and Gxx files
Recommended enduser to maintain the ambient temperature in the area</t>
  </si>
  <si>
    <t>Replaced module 1 with new module SN 210091070</t>
  </si>
  <si>
    <t>The units are operational.</t>
  </si>
  <si>
    <t>https://www.jotform.com/uploads/macarewecare/222927978372067/5632965009118863363/5632965009118863363_signature_28.png</t>
  </si>
  <si>
    <t>Debora Abellar, RMT</t>
  </si>
  <si>
    <t>https://www.jotform.com/uploads/macarewecare/222927978372067/5632965009118863363/5632965009118863363_signature_31.png</t>
  </si>
  <si>
    <t>Talisay City Negros Occidental</t>
  </si>
  <si>
    <t>UPS discharged automatically  Liebert GXT MTS. UPS Battery defective.</t>
  </si>
  <si>
    <t>Troubleshoot ups</t>
  </si>
  <si>
    <t>Performed troubleshooting check input voltage 230 and output voltge zero volts</t>
  </si>
  <si>
    <t>The UPS cannot be charge. 
The machine is operational</t>
  </si>
  <si>
    <t>https://www.jotform.com/uploads/macarewecare/222927978372067/5632945673342704141/5632945673342704141_signature_28.png</t>
  </si>
  <si>
    <t>https://www.jotform.com/uploads/macarewecare/222927978372067/5632945673342704141/5632945673342704141_signature_31.png</t>
  </si>
  <si>
    <t>East Ave., Quezon City</t>
  </si>
  <si>
    <t>Valve out of position</t>
  </si>
  <si>
    <t>Checked valve functionality..</t>
  </si>
  <si>
    <t>Checked pinch valve connections..
Performed valve toggle functionality..
Run simulatoin test..</t>
  </si>
  <si>
    <t>https://www.jotform.com/uploads/macarewecare/222927978372067/5632620738118704371/5632620738118704371_signature_28.png</t>
  </si>
  <si>
    <t>https://www.jotform.com/uploads/macarewecare/222927978372067/5632620738118704371/5632620738118704371_signature_31.png</t>
  </si>
  <si>
    <t>Rodriguez rhu</t>
  </si>
  <si>
    <t>J.P Rizal st,Montalban</t>
  </si>
  <si>
    <t xml:space="preserve">ASSAY: Xpert MTB/RIF Ultra, COUNT: 2485
ASSAY: Xpert HIV-1 Viral Load, COUNT: 95
</t>
  </si>
  <si>
    <t>B2 encountered 2008 error</t>
  </si>
  <si>
    <t>B2 encounter 2008 error, B1,B2,B4 operati9nal</t>
  </si>
  <si>
    <t>https://www.jotform.com/uploads/macarewecare/222927978372067/5632512378923138557/5632512378923138557_signature_28.png</t>
  </si>
  <si>
    <t>https://www.jotform.com/uploads/macarewecare/222927978372067/5632512378923138557/5632512378923138557_signature_31.png</t>
  </si>
  <si>
    <t xml:space="preserve">ASSAY: Xpert BCR-ABL Ultra, COUNT: 10
ASSAY: Xpert MTB/RIF Ultra, COUNT: 2983
ASSAY: Xpert SARS-CoV-2, COUNT: 7856
ASSAY: Others, COUNT: 18
</t>
  </si>
  <si>
    <t>GXXVI 10c</t>
  </si>
  <si>
    <t>For module replacement D3 210069281 - 210025172</t>
  </si>
  <si>
    <t>A1,b4 reported, 14 modules operational</t>
  </si>
  <si>
    <t>https://www.jotform.com/uploads/macarewecare/222927978372067/5632512378923659533/5632512378923659533_signature_28.png</t>
  </si>
  <si>
    <t>https://www.jotform.com/uploads/macarewecare/222927978372067/5632512378923659533/5632512378923659533_signature_31.png</t>
  </si>
  <si>
    <t>J.P Rizal, Montalban</t>
  </si>
  <si>
    <t xml:space="preserve">ASSAY: Xpert MTB/RIF Ultra, COUNT: 2249
ASSAY: Xpert HIV-1 Viral Load, COUNT: 25
</t>
  </si>
  <si>
    <t>UPS unable to backup power supply</t>
  </si>
  <si>
    <t>Checked ups</t>
  </si>
  <si>
    <t>Unit operational, ups unable backup power supply</t>
  </si>
  <si>
    <t>https://www.jotform.com/uploads/macarewecare/222927978372067/5632512378924191149/5632512378924191149_signature_28.png</t>
  </si>
  <si>
    <t>https://www.jotform.com/uploads/macarewecare/222927978372067/5632512378924191149/5632512378924191149_signature_31.png</t>
  </si>
  <si>
    <t>Josefine Belmonte Duran Memorial District Hospital</t>
  </si>
  <si>
    <t>Purok 2, Tuburan, Ligao City, Albay</t>
  </si>
  <si>
    <t>johnrayds.22@gmail.com</t>
  </si>
  <si>
    <t>Performed xpertcheck
Cleaned cartridge bays, plunger rods, fan filter
Generated reports</t>
  </si>
  <si>
    <t>Performed XpertCheck, Preventive Maintenence</t>
  </si>
  <si>
    <t>Unit is operational
B1(890331) -service required
B2(210068727)-service required
B4(693979)-service required</t>
  </si>
  <si>
    <t>Xpertcheck B1(890331) -service required B2(210068727)-service required B4(693979)-service required</t>
  </si>
  <si>
    <t>https://www.jotform.com/uploads/macarewecare/222927978372067/5632325990323877876/5632325990323877876_signature_28.png</t>
  </si>
  <si>
    <t>JOHNRAY DE LOS SANTOS</t>
  </si>
  <si>
    <t>https://www.jotform.com/uploads/macarewecare/222927978372067/5632325990323877876/5632325990323877876_signature_31.png</t>
  </si>
  <si>
    <t>Pedro Gil, Manila</t>
  </si>
  <si>
    <t xml:space="preserve">ASSAY: Xpert MTB/RIF, COUNT: 0
ASSAY: Xpert MTB/RIF Ultra, COUNT: 1301
</t>
  </si>
  <si>
    <t>-Checked and cleaned cartridge bays, icore slot, plunger tod and filter
-CPU not booting up
-Replaced HDD; problem persists
-Replaced RAM; problem solved
-Generated report</t>
  </si>
  <si>
    <t>https://www.jotform.com/uploads/macarewecare/222927978372067/5632298430513462213/5632298430513462213_signature_28.png</t>
  </si>
  <si>
    <t>Agnes G. Ranches</t>
  </si>
  <si>
    <t>https://www.jotform.com/uploads/macarewecare/222927978372067/5632298430513462213/5632298430513462213_signature_31.png</t>
  </si>
  <si>
    <t>Cawayan, Masbate</t>
  </si>
  <si>
    <t>rhucawayan@gmail.com</t>
  </si>
  <si>
    <t xml:space="preserve">ASSAY: Xpert MTB/RIF, COUNT: 216
ASSAY: Xpert MTB/RIF Ultra, COUNT: 1179
</t>
  </si>
  <si>
    <t>Module C3(663614) for replacement.
Unit for calibration.</t>
  </si>
  <si>
    <t>Unit is operational.
C1: 
C2: 
C4:</t>
  </si>
  <si>
    <t>GeneXpert Module
SN: 784120
XpertCheck Kit</t>
  </si>
  <si>
    <t>https://www.jotform.com/uploads/macarewecare/222927978372067/5632253993912047447/5632253993912047447_signature_28.png</t>
  </si>
  <si>
    <t>Celedonio Manuel Condor</t>
  </si>
  <si>
    <t>https://www.jotform.com/uploads/macarewecare/222927978372067/5632253993912047447/5632253993912047447_signature_31.png</t>
  </si>
  <si>
    <t>Lambunao Rural Health Unit</t>
  </si>
  <si>
    <t>Lambunao, Iloilo</t>
  </si>
  <si>
    <t>gailsantocildes@gmail.com</t>
  </si>
  <si>
    <t>Module B2 Stuck Cartridge/Broken Door</t>
  </si>
  <si>
    <t>https://www.jotform.com/uploads/macarewecare/222927978372067/5632164746257380869/5632164746257380869_signature_28.png</t>
  </si>
  <si>
    <t>Novie Gail Pardilla</t>
  </si>
  <si>
    <t>https://www.jotform.com/uploads/macarewecare/222927978372067/5632164746257380869/5632164746257380869_signature_31.png</t>
  </si>
  <si>
    <t>Petit Baracks, Zamboanga City</t>
  </si>
  <si>
    <t>Cuff motor malfunction</t>
  </si>
  <si>
    <t>Replaced cuff motor</t>
  </si>
  <si>
    <t>Functional and ready to use</t>
  </si>
  <si>
    <t>https://www.jotform.com/uploads/macarewecare/222927978372067/5632160750419360219/5632160750419360219_signature_28.png</t>
  </si>
  <si>
    <t>https://www.jotform.com/uploads/macarewecare/222927978372067/5632160750419360219/5632160750419360219_signature_31.png</t>
  </si>
  <si>
    <t>Palo leyte</t>
  </si>
  <si>
    <t>alramos.pbsp@gmail.com</t>
  </si>
  <si>
    <t xml:space="preserve">ASSAY: Xpert MTB/RIF, COUNT: 108
ASSAY: Xpert MTB/RIF Ultra, COUNT: 1255
</t>
  </si>
  <si>
    <t>for Module replacement (B1,B2,B3)</t>
  </si>
  <si>
    <t>-Module replacement 
 * B1/ 608682 into 210063219
 * B2/ 652378 into 210060753
 * B3/ 665794 into 210068543
-Performed Functionality test
-Preventive maintenance 
-Generate reports 
-Pullout defective modules</t>
  </si>
  <si>
    <t>https://www.jotform.com/uploads/macarewecare/222927978372067/5632154603919751406/5632154603919751406_signature_28.png</t>
  </si>
  <si>
    <t>Arabelle Joy L. Ramos</t>
  </si>
  <si>
    <t>https://www.jotform.com/uploads/macarewecare/222927978372067/5632154603919751406/5632154603919751406_signature_31.png</t>
  </si>
  <si>
    <t xml:space="preserve">ASSAY: Xpert MTB/RIF Ultra, COUNT: 5279
</t>
  </si>
  <si>
    <t>Defective Module 677816/E1.</t>
  </si>
  <si>
    <t>- Replaced module E1 with new module SN 210068557.
- Generate and saved IQR and System Log.</t>
  </si>
  <si>
    <t>- Module 666155/C3 with temperature-related errors.
- 15 modules operational, 1 module for report to Cepheid.</t>
  </si>
  <si>
    <t>https://www.jotform.com/uploads/macarewecare/222927978372067/5632150094119759347/5632150094119759347_signature_28.png</t>
  </si>
  <si>
    <t>https://www.jotform.com/uploads/macarewecare/222927978372067/5632150094119759347/5632150094119759347_signature_31.png</t>
  </si>
  <si>
    <t>Cataingan, Masbate</t>
  </si>
  <si>
    <t>Modules B3(679862) and B4(662447) for replacement.
Unit for calibration.</t>
  </si>
  <si>
    <t>Unit is operational.
B1: passed
B2: passed</t>
  </si>
  <si>
    <t>GeneXpert Module
SN: 765744, 775243</t>
  </si>
  <si>
    <t>https://www.jotform.com/uploads/macarewecare/222927978372067/5632129822905170237/5632129822905170237_signature_28.png</t>
  </si>
  <si>
    <t>https://www.jotform.com/uploads/macarewecare/222927978372067/5632129822905170237/5632129822905170237_signature_31.png</t>
  </si>
  <si>
    <t>dbbalane.pbsp@gmail.com</t>
  </si>
  <si>
    <t xml:space="preserve">ASSAY: Others, COUNT: 79
</t>
  </si>
  <si>
    <t>For preventive maintenence</t>
  </si>
  <si>
    <t>Cleaned cartridge bays, plunger rod,fan filter
Generated reports</t>
  </si>
  <si>
    <t>https://www.jotform.com/uploads/macarewecare/222927978372067/5632124007717037675/5632124007717037675_signature_28.png</t>
  </si>
  <si>
    <t>Darryl Balane</t>
  </si>
  <si>
    <t>https://www.jotform.com/uploads/macarewecare/222927978372067/5632124007717037675/5632124007717037675_signature_31.png</t>
  </si>
  <si>
    <t>Bicol South Luzon Sub National Reference</t>
  </si>
  <si>
    <t xml:space="preserve">ASSAY: Xpert HPV, COUNT: 6
ASSAY: Others, COUNT: 337
ASSAY: Xpert MTB/RIF Ultra, COUNT: 1094
ASSAY: Xpert HIV-1 Viral Load, COUNT: 149
</t>
  </si>
  <si>
    <t>Cleaned cartridge bays, fan filter, plunger rod
Generated reports</t>
  </si>
  <si>
    <t>https://www.jotform.com/uploads/macarewecare/222927978372067/5632116907716933944/5632116907716933944_signature_28.png</t>
  </si>
  <si>
    <t>https://www.jotform.com/uploads/macarewecare/222927978372067/5632116907716933944/5632116907716933944_signature_31.png</t>
  </si>
  <si>
    <t>Bicol South Luzon Sun National Reference Laboratory</t>
  </si>
  <si>
    <t>ddbalane.pbsp@gmail.com</t>
  </si>
  <si>
    <t xml:space="preserve">ASSAY: Xpert HPV, COUNT: 603
ASSAY: Xpert MTB/RIF Ultra, COUNT: 2086
ASSAY: Xpert HIV-1 Viral Load, COUNT: 181
</t>
  </si>
  <si>
    <t>Cleaned cartridge bays, plunger rod,  fan filter 
Generated reports</t>
  </si>
  <si>
    <t>784716(D1) &amp; 653834(D2) temperature error code: 1002, 4009</t>
  </si>
  <si>
    <t>https://www.jotform.com/uploads/macarewecare/222927978372067/5632113537711792267/5632113537711792267_signature_28.png</t>
  </si>
  <si>
    <t>https://www.jotform.com/uploads/macarewecare/222927978372067/5632113537711792267/5632113537711792267_signature_31.png</t>
  </si>
  <si>
    <t>Katuparan, Quezon City</t>
  </si>
  <si>
    <t xml:space="preserve">ASSAY: Xpert HPV, COUNT: 586
ASSAY: Xpert MTB/RIF Ultra, COUNT: 2262
</t>
  </si>
  <si>
    <t>Module A3 = Hardware Failed
Module A4 = Temp problem
Monitor flickers</t>
  </si>
  <si>
    <t>Re-XpertCheck module A3 and A4
Troubleshoot monitor</t>
  </si>
  <si>
    <t>Unit is operational but A3 and A4 failed XpertCheck and monitor flickers</t>
  </si>
  <si>
    <t>https://www.jotform.com/uploads/macarewecare/222927978372067/5632099220684580240/5632099220684580240_signature_28.png</t>
  </si>
  <si>
    <t>BLUE ROB PACURE</t>
  </si>
  <si>
    <t>https://www.jotform.com/uploads/macarewecare/222927978372067/5632099220684580240/5632099220684580240_signature_31.png</t>
  </si>
  <si>
    <t>Brgy. Colo Dinalupihan Bataan</t>
  </si>
  <si>
    <t>dereggyjuswa@gmail.com</t>
  </si>
  <si>
    <t xml:space="preserve">ASSAY: Xpert MTB/RIF, COUNT: 132
ASSAY: Xpert MTB/RIF Ultra, COUNT: 1673
ASSAY: Xpert HIV-1 Viral Load, COUNT: 57
</t>
  </si>
  <si>
    <t>A2 and A3 for module replacement</t>
  </si>
  <si>
    <t>Performed surface cleaning
Cleaning of plunger rod,icore,filter and cartridge bay
Archived test results
Performed module replacement
Gathered reports
Performed functionality test</t>
  </si>
  <si>
    <t>https://www.jotform.com/uploads/macarewecare/222927978372067/5632067348616399060/5632067348616399060_signature_28.png</t>
  </si>
  <si>
    <t>Joshua Deregla</t>
  </si>
  <si>
    <t>https://www.jotform.com/uploads/macarewecare/222927978372067/5632067348616399060/5632067348616399060_signature_31.png</t>
  </si>
  <si>
    <t xml:space="preserve">ASSAY: Xpert MTB/RIF Ultra, COUNT: 823
</t>
  </si>
  <si>
    <t>Gx-IV ( 2 modules )</t>
  </si>
  <si>
    <t>Genexpert CPU problem</t>
  </si>
  <si>
    <t>Cancelled CPU replacement due to HDMI to VGA cable Requirements for new CPU</t>
  </si>
  <si>
    <t>2 operational modules and Genexpert CPU subject for replacement</t>
  </si>
  <si>
    <t>Reschedule CPU replacement and need to buy HDMI to VGA Cable for installation</t>
  </si>
  <si>
    <t>https://www.jotform.com/uploads/macarewecare/222927978372067/5631646915017806320/5631646915017806320_signature_28.png</t>
  </si>
  <si>
    <t>https://www.jotform.com/uploads/macarewecare/222927978372067/5631646915017806320/5631646915017806320_signature_31.png</t>
  </si>
  <si>
    <t xml:space="preserve">ASSAY: Xpert MTB/RIF, COUNT: 295
ASSAY: Xpert MTB/RIF Ultra, COUNT: 367
</t>
  </si>
  <si>
    <t>Performed Xpertcheck on Module A1 &amp; A2</t>
  </si>
  <si>
    <t>https://www.jotform.com/uploads/macarewecare/222927978372067/5631529961802336659/5631529961802336659_signature_28.png</t>
  </si>
  <si>
    <t>Princess Aguilar</t>
  </si>
  <si>
    <t>https://www.jotform.com/uploads/macarewecare/222927978372067/5631529961802336659/5631529961802336659_signature_31.png</t>
  </si>
  <si>
    <t>Santolan, Pasig City</t>
  </si>
  <si>
    <t xml:space="preserve">ASSAY: Xpert MTB/RIF, COUNT: 20
ASSAY: Xpert MTB/RIF Ultra, COUNT: 3995
</t>
  </si>
  <si>
    <t>Module B2 hardware failed</t>
  </si>
  <si>
    <t>-Checked and cleaned cartridge bays, icore slot, plunger rod an filter
-Replaced gateway board
-Module B2 hardware problem has been solved
-Replaced the serial of the gateway board to 883898
-Assigned instrument letter to B
-Performed self-test 
-Generated report</t>
  </si>
  <si>
    <t>Returned to troubleshoot problem on Module B2</t>
  </si>
  <si>
    <t>Unit is operational. All modules working properly</t>
  </si>
  <si>
    <t>https://www.jotform.com/uploads/macarewecare/222927978372067/5631407160686443687/5631407160686443687_signature_28.png</t>
  </si>
  <si>
    <t>https://www.jotform.com/uploads/macarewecare/222927978372067/5631407160686443687/5631407160686443687_signature_31.png</t>
  </si>
  <si>
    <t>TUBIGON RURAL HEALTH UNIT</t>
  </si>
  <si>
    <t>TUBIGON BOHOL</t>
  </si>
  <si>
    <t xml:space="preserve">ASSAY: Xpert MTB/RIF, COUNT: 825
ASSAY: Xpert MTB/RIF Ultra, COUNT: 978
</t>
  </si>
  <si>
    <t>MODULE B1 TEMPERATURE ERROR</t>
  </si>
  <si>
    <t>PERFORM MODULE B1 CALIBRATION, PASSED</t>
  </si>
  <si>
    <t>https://www.jotform.com/uploads/macarewecare/222927978372067/5631407015913250792/5631407015913250792_signature_28.png</t>
  </si>
  <si>
    <t>Joseph Ray Tan</t>
  </si>
  <si>
    <t>https://www.jotform.com/uploads/macarewecare/222927978372067/5631407015913250792/5631407015913250792_signature_31.png</t>
  </si>
  <si>
    <t xml:space="preserve">ASSAY: Xpert MTB/RIF Ultra, COUNT: 967
</t>
  </si>
  <si>
    <t>Error in Calibration results for Module 4</t>
  </si>
  <si>
    <t>Delete Cepheid folder and programmed data in
Reinstall expertcheck and run Expertcheck in module 4</t>
  </si>
  <si>
    <t>Performed calibration in module 4</t>
  </si>
  <si>
    <t>Only 1 modules is used by enduser to avoid cartridge wastage</t>
  </si>
  <si>
    <t>https://www.jotform.com/uploads/macarewecare/222927978372067/5631352000227909327/5631352000227909327_signature_28.png</t>
  </si>
  <si>
    <t>Alaizza Rivera, Rmt</t>
  </si>
  <si>
    <t>https://www.jotform.com/uploads/macarewecare/222927978372067/5631352000227909327/5631352000227909327_signature_31.png</t>
  </si>
  <si>
    <t>Iloilo City, Iloilo</t>
  </si>
  <si>
    <t>Module B1 &amp; B4 - XpertCheck Service Required</t>
  </si>
  <si>
    <t>-Replace defective module B2/618510 with new module SN: 210068567
-Replace defective module B4/210019708 with new module SN: 210068572</t>
  </si>
  <si>
    <t>2 units GeneXpert Module 6-Colors</t>
  </si>
  <si>
    <t>https://www.jotform.com/uploads/macarewecare/222927978372067/5631322220519089507/5631322220519089507_signature_28.png</t>
  </si>
  <si>
    <t>https://www.jotform.com/uploads/macarewecare/222927978372067/5631322220519089507/5631322220519089507_signature_31.png</t>
  </si>
  <si>
    <t>Returned today to continue troubleshooting</t>
  </si>
  <si>
    <t>Unit is operational. 
Temporary fix only, will wait for the new cpu to arrive</t>
  </si>
  <si>
    <t>https://www.jotform.com/uploads/macarewecare/222927978372067/5631303818517485993/5631303818517485993_signature_28.png</t>
  </si>
  <si>
    <t>maria corazon obnamia</t>
  </si>
  <si>
    <t>https://www.jotform.com/uploads/macarewecare/222927978372067/5631303818517485993/5631303818517485993_signature_31.png</t>
  </si>
  <si>
    <t>DON EMILIO DEL VALLE MEMORIAL HOSPITAL</t>
  </si>
  <si>
    <t>BOOD, UBAY, BOHOL</t>
  </si>
  <si>
    <t>dedvmhlaboratory@gmail.com</t>
  </si>
  <si>
    <t xml:space="preserve">ASSAY: Xpert MTB/RIF, COUNT: 858
ASSAY: Xpert MTB/RIF Ultra, COUNT: 1751
</t>
  </si>
  <si>
    <t>https://www.jotform.com/uploads/macarewecare/222927978372067/5631247130827766889/5631247130827766889_signature_28.png</t>
  </si>
  <si>
    <t>JAN ARKID A. DIACOR</t>
  </si>
  <si>
    <t>https://www.jotform.com/uploads/macarewecare/222927978372067/5631247130827766889/5631247130827766889_signature_31.png</t>
  </si>
  <si>
    <t xml:space="preserve">ASSAY: Xpert MTB/RIF, COUNT: 40
ASSAY: Xpert MTB/RIF Ultra, COUNT: 1696
</t>
  </si>
  <si>
    <t>E4009 and E2014 in modules</t>
  </si>
  <si>
    <t>- Cleabed Gx filter.
- Adjust ACU settings to affect lower temp at Genexpert modules.
- Run dummy test
-</t>
  </si>
  <si>
    <t>- Checked room temperature - room temp around 22 C
- Checked Genexpert IQR for temperature readings - temp at Gx at around 32 C on all modules
- Checked ACU airflow to Gx machine, adjusted louvers, checked dilter, adjusted fan speed</t>
  </si>
  <si>
    <t>Module A1 HW failed duribn dummy test- for replacement.
Module A3 - completed specimen run without errors vut with intermittent temp-related errors in Sytem Log - recommended for replacement.
- 3 modules usable as of today</t>
  </si>
  <si>
    <t>A1 and A3 for replacement, reported thru Jotform by the end user</t>
  </si>
  <si>
    <t>https://www.jotform.com/uploads/macarewecare/222927978372067/5631231977463218594/5631231977463218594_signature_28.png</t>
  </si>
  <si>
    <t>https://www.jotform.com/uploads/macarewecare/222927978372067/5631231977463218594/5631231977463218594_signature_31.png</t>
  </si>
  <si>
    <t>Anahawan S. leyte</t>
  </si>
  <si>
    <t xml:space="preserve">ASSAY: Xpert MTB/RIF, COUNT: 212
ASSAY: Xpert MTB/RIF Ultra, COUNT: 372
</t>
  </si>
  <si>
    <t>https://www.jotform.com/uploads/macarewecare/222927978372067/5631226971476530987/5631226971476530987_signature_28.png</t>
  </si>
  <si>
    <t>https://www.jotform.com/uploads/macarewecare/222927978372067/5631226971476530987/5631226971476530987_signature_31.png</t>
  </si>
  <si>
    <t xml:space="preserve">ASSAY: Xpert MTB/RIF, COUNT: 197
ASSAY: Xpert MTB/RIF Ultra, COUNT: 1017
</t>
  </si>
  <si>
    <t>Unit is operational.
B1: passed
B2: failed
B3: passed</t>
  </si>
  <si>
    <t>GeneXpert Module
SN: 668421
XpertCheck Kit</t>
  </si>
  <si>
    <t>10025 &amp; 10017</t>
  </si>
  <si>
    <t>https://www.jotform.com/uploads/macarewecare/222927978372067/5631220685429520696/5631220685429520696_signature_28.png</t>
  </si>
  <si>
    <t>Rhena Luz</t>
  </si>
  <si>
    <t>https://www.jotform.com/uploads/macarewecare/222927978372067/5631220685429520696/5631220685429520696_signature_31.png</t>
  </si>
  <si>
    <t xml:space="preserve">ASSAY: Xpert MTB/RIF, COUNT: 153
ASSAY: Xpert MTB/RIF Ultra, COUNT: 761
</t>
  </si>
  <si>
    <t>FOR MODULE B1 CALIBRATION</t>
  </si>
  <si>
    <t>-PERFORM EQUIPMENT MAINTENANCE
-PERFORM MODULE B1 SN:730958 CALIBRATION, SERVICE REQUIRED</t>
  </si>
  <si>
    <t>EQUIPMENT OPERATIONAL, MODULE B1,B2, AND B3 DISABLED DUE TO MULTIPLE ERRORS</t>
  </si>
  <si>
    <t>https://www.jotform.com/uploads/macarewecare/222927978372067/5630608169741856627/5630608169741856627_signature_28.png</t>
  </si>
  <si>
    <t>Rosalina Ybanez</t>
  </si>
  <si>
    <t>https://www.jotform.com/uploads/macarewecare/222927978372067/5630608169741856627/5630608169741856627_signature_31.png</t>
  </si>
  <si>
    <t>-Replaced CMOS battery
-Updated date &amp; time
-Troubleshoot in BIOS 
-Still not booting up, "Start PXE over IPV4" and "BootDevice not found" appears on screen
-Tried troubleshooting in BIOS menu still the problem persists
-Did preventive maintenance on GX
-will return tomorrow for further troubleshooting</t>
  </si>
  <si>
    <t>GX machine is working but the PC is not booting up</t>
  </si>
  <si>
    <t>https://www.jotform.com/uploads/macarewecare/222927978372067/5630583443331558981/5630583443331558981_signature_28.png</t>
  </si>
  <si>
    <t>Maria Corazon D. Obnamia</t>
  </si>
  <si>
    <t>https://www.jotform.com/uploads/macarewecare/222927978372067/5630583443331558981/5630583443331558981_signature_31.png</t>
  </si>
  <si>
    <t>Moalboal RHU</t>
  </si>
  <si>
    <t>Poblacion Moalboal, Cebu</t>
  </si>
  <si>
    <t>culturahoneylournrmt@gmail.com</t>
  </si>
  <si>
    <t>Transfer monitor to other cpu and removed ground..
Clean Icore, filter and cartrdge bay</t>
  </si>
  <si>
    <t>Performed troubleshooting of the Monitor
Generate data IQR, Sys log and Gxx files</t>
  </si>
  <si>
    <t>All modules are operational and monitor are operational</t>
  </si>
  <si>
    <t>https://www.jotform.com/uploads/macarewecare/222927978372067/5630579150214793706/5630579150214793706_signature_28.png</t>
  </si>
  <si>
    <t>Honeylou C. Cultura, RMT</t>
  </si>
  <si>
    <t>https://www.jotform.com/uploads/macarewecare/222927978372067/5630579150214793706/5630579150214793706_signature_31.png</t>
  </si>
  <si>
    <t xml:space="preserve">ASSAY: Xpert MTB/RIF Ultra, COUNT: 640
</t>
  </si>
  <si>
    <t>For calibration and Maintenance</t>
  </si>
  <si>
    <t>Performed calibration and maintenance
Advice medtech to install airconditioning unit intended for genxepert
Calibration results are the ff:
B1 - Retry and Passed
B2 - Passed
B3 - Retry and Failed
B4 - Retry and Failed</t>
  </si>
  <si>
    <t>Performed calibration and Conduct preventive maintenance
Generate data IQR and Sys Log, back up database</t>
  </si>
  <si>
    <t>All modules are operation</t>
  </si>
  <si>
    <t>https://www.jotform.com/uploads/macarewecare/222927978372067/5630541909187711680/5630541909187711680_signature_28.png</t>
  </si>
  <si>
    <t>Avenizer P. Absin</t>
  </si>
  <si>
    <t>https://www.jotform.com/uploads/macarewecare/222927978372067/5630541909187711680/5630541909187711680_signature_31.png</t>
  </si>
  <si>
    <t>PULUPANDAN RURAL HEALTH UNIT</t>
  </si>
  <si>
    <t xml:space="preserve">ASSAY: Xpert MTB/RIF, COUNT: 92
ASSAY: Xpert MTB/RIF Ultra, COUNT: 320
</t>
  </si>
  <si>
    <t>UPS Problem. Smoke was observed coming out from the UPS unit.</t>
  </si>
  <si>
    <t>- Checked UPS power cord for any sign of burns.
- Checked UPS input for shorts - none detected.
- Opened UPS unit and checked for burnt components - none observed.
- Checked individual output of each of the 6 12-V batteries - all batteries around 12 Vdc output.
- Checked output of Charging circuit - output 88 Vdc.
- Power ON the UPS unit, tried to configure back to Online mode. However, UPS mode can only be selected to Bypass Mode.</t>
  </si>
  <si>
    <t>Possible defective UPS control board. UPS non-functional.  GeneXpert machine, CPU, LCD monitor and printer are functional.</t>
  </si>
  <si>
    <t>For request of backup UPS - at least 2 KVA or above.  Also recommending installation of AVR (at least 2 KVA, Servo-type).Temporarily, GeneXpert mahcine, CPU, monitor and printer are connected directly to line voltage.  Possible problem if fluctuations or blackout occur during specimen runs.</t>
  </si>
  <si>
    <t>https://www.jotform.com/uploads/macarewecare/222927978372067/5630517432123155282/5630517432123155282_signature_28.png</t>
  </si>
  <si>
    <t>Jackie Lou O. Orcajada</t>
  </si>
  <si>
    <t>https://www.jotform.com/uploads/macarewecare/222927978372067/5630517432123155282/5630517432123155282_signature_31.png</t>
  </si>
  <si>
    <t>GeneXpert Gx 4 Installation</t>
  </si>
  <si>
    <t>Install GeneXpert Machine only.</t>
  </si>
  <si>
    <t>GeneXpert Machine ok to use.</t>
  </si>
  <si>
    <t>https://www.jotform.com/uploads/macarewecare/222927978372067/5630512765412665668/5630512765412665668_signature_28.png</t>
  </si>
  <si>
    <t>https://www.jotform.com/uploads/macarewecare/222927978372067/5630512765412665668/5630512765412665668_signature_31.png</t>
  </si>
  <si>
    <t>Additional troubleshooting from Cepheid</t>
  </si>
  <si>
    <t>Performed various tests and troubleshooting</t>
  </si>
  <si>
    <t>Unit is not operational.
GX system for follow up report.
Room temperature exceeds 30 deg. Celsius threshold (avg. module temp. 35 deg).
Advised end user to request for repair/maintenance of aircon to prevent module temp. errors on other GX unit.</t>
  </si>
  <si>
    <t>https://www.jotform.com/uploads/macarewecare/222927978372067/5630505055359100489/5630505055359100489_signature_28.png</t>
  </si>
  <si>
    <t>https://www.jotform.com/uploads/macarewecare/222927978372067/5630505055359100489/5630505055359100489_signature_31.png</t>
  </si>
  <si>
    <t>Corner E. Quirino, Camus St. Davao City</t>
  </si>
  <si>
    <t xml:space="preserve">ASSAY: Xpert MTB/RIF, COUNT: 222
ASSAY: Xpert MTB/RIF Ultra, COUNT: 472
</t>
  </si>
  <si>
    <t>Unit has 3 Functional Modules</t>
  </si>
  <si>
    <t>https://www.jotform.com/uploads/macarewecare/222927978372067/5630489378423241312/5630489378423241312_signature_28.png</t>
  </si>
  <si>
    <t>GAELMARE M. RELLITA</t>
  </si>
  <si>
    <t>https://www.jotform.com/uploads/macarewecare/222927978372067/5630489378423241312/5630489378423241312_signature_31.png</t>
  </si>
  <si>
    <t>Unit for PM.
For Xpertcheck of Module A4.</t>
  </si>
  <si>
    <t>Unit is operational. Module A4 passed.</t>
  </si>
  <si>
    <t>Used 1 spare Xpertcheck.</t>
  </si>
  <si>
    <t>https://www.jotform.com/uploads/macarewecare/222927978372067/5630432558717587003/5630432558717587003_signature_28.png</t>
  </si>
  <si>
    <t>https://www.jotform.com/uploads/macarewecare/222927978372067/5630432558717587003/5630432558717587003_signature_31.png</t>
  </si>
  <si>
    <t>M. Eusebio, Pasig, Metro Manila</t>
  </si>
  <si>
    <t>maniquizederlina@yahoo.com</t>
  </si>
  <si>
    <t>Replaced Defective Modules
B1: 210091374 -&gt; 210059582
B4: 612401 -&gt; 210063233</t>
  </si>
  <si>
    <t>https://www.jotform.com/uploads/macarewecare/222927978372067/5630427704426034581/5630427704426034581_signature_28.png</t>
  </si>
  <si>
    <t>Ederlina Maniquiz Sagales</t>
  </si>
  <si>
    <t>https://www.jotform.com/uploads/macarewecare/222927978372067/5630427704426034581/5630427704426034581_signature_31.png</t>
  </si>
  <si>
    <t xml:space="preserve">ASSAY: Xpert MTB/RIF Ultra, COUNT: 1914
</t>
  </si>
  <si>
    <t>4 Operational modules</t>
  </si>
  <si>
    <t>Xpertcheck -CE-5</t>
  </si>
  <si>
    <t>Lot# 1000410214</t>
  </si>
  <si>
    <t>https://www.jotform.com/uploads/macarewecare/222927978372067/5630419821015314258/5630419821015314258_signature_28.png</t>
  </si>
  <si>
    <t>https://www.jotform.com/uploads/macarewecare/222927978372067/5630419821015314258/5630419821015314258_signature_31.png</t>
  </si>
  <si>
    <t>Hospital Road, Brgy., Pinagtipunan, General Trias</t>
  </si>
  <si>
    <t>Social Hygiene</t>
  </si>
  <si>
    <t>sittieasyahpangandaman@gmail.com</t>
  </si>
  <si>
    <t>GXIV -D-10C</t>
  </si>
  <si>
    <t>Installed GeneXpert System
Generate Report</t>
  </si>
  <si>
    <t>https://www.jotform.com/uploads/macarewecare/222927978372067/5630330253614244414/5630330253614244414_signature_28.png</t>
  </si>
  <si>
    <t>Sittie Asyah Pangandaman</t>
  </si>
  <si>
    <t>https://www.jotform.com/uploads/macarewecare/222927978372067/5630330253614244414/5630330253614244414_signature_31.png</t>
  </si>
  <si>
    <t>Bohol Provincial Health Office</t>
  </si>
  <si>
    <t>Dao, Tagbilaran City, Bohol</t>
  </si>
  <si>
    <t>aries2cris@yahoo.com</t>
  </si>
  <si>
    <t>Defective modules 1,3 &amp; 4</t>
  </si>
  <si>
    <t>Clean fan filter/ replace modules</t>
  </si>
  <si>
    <t>New module installed in b1, b3 &amp; b4</t>
  </si>
  <si>
    <t>https://www.jotform.com/uploads/macarewecare/222927978372067/5630321231422051088/5630321231422051088_signature_28.png</t>
  </si>
  <si>
    <t>Ma Crisanta T. Estomago</t>
  </si>
  <si>
    <t>https://www.jotform.com/uploads/macarewecare/222927978372067/5630321231422051088/5630321231422051088_signature_31.png</t>
  </si>
  <si>
    <t>Stucked cartridge in Module 2 due to Error 1018</t>
  </si>
  <si>
    <t>Removed stucked cartridge in Module 2 and calibrate Module 3 and 4 failed during calibration
Module 1 and 2 Passed
Module 3 and 4 Failed</t>
  </si>
  <si>
    <t>Removed strucked cartridge and Calibrate Genexpert machine</t>
  </si>
  <si>
    <t>All modules are available but only module 1 and 2 are used by the enduser due to frequent errors Module 2 and 3.
Module 1 and 2 - Passed
Module 3 and 4 - Failed</t>
  </si>
  <si>
    <t>https://www.jotform.com/uploads/macarewecare/222927978372067/5629573043416688099/5629573043416688099_signature_28.png</t>
  </si>
  <si>
    <t>Alaizza Rivera, RMT</t>
  </si>
  <si>
    <t>https://www.jotform.com/uploads/macarewecare/222927978372067/5629573043416688099/5629573043416688099_signature_31.png</t>
  </si>
  <si>
    <t>https://www.jotform.com/uploads/macarewecare/222927978372067/5629560933611131716/5629560933611131716_signature_28.png</t>
  </si>
  <si>
    <t>https://www.jotform.com/uploads/macarewecare/222927978372067/5629560933611131716/5629560933611131716_signature_31.png</t>
  </si>
  <si>
    <t>O20168</t>
  </si>
  <si>
    <t>cleaned unit, checked valve,rollers,line sensor,display panel,dpm,spm,cuff,performed calibration,performed functionality, replaced rollers,checked parameters, checked pressure</t>
  </si>
  <si>
    <t>https://www.jotform.com/uploads/macarewecare/222927978372067/5629440593619871720/5629440593619871720_signature_28.png</t>
  </si>
  <si>
    <t>https://www.jotform.com/uploads/macarewecare/222927978372067/5629440593619871720/5629440593619871720_signature_31.png</t>
  </si>
  <si>
    <t>01M201</t>
  </si>
  <si>
    <t>https://www.jotform.com/uploads/macarewecare/222927978372067/5629439713619620548/5629439713619620548_signature_28.png</t>
  </si>
  <si>
    <t>JERIC BALUYOT</t>
  </si>
  <si>
    <t>https://www.jotform.com/uploads/macarewecare/222927978372067/5629439713619620548/5629439713619620548_signature_31.png</t>
  </si>
  <si>
    <t>Philippine Red Cross qc chapter</t>
  </si>
  <si>
    <t>Malakas st., Quezon city</t>
  </si>
  <si>
    <t>Due for maintenance , UPS Unable to back up defective battery</t>
  </si>
  <si>
    <t>Machine operational,</t>
  </si>
  <si>
    <t>https://www.jotform.com/uploads/macarewecare/222927978372067/5629438883618092890/5629438883618092890_signature_28.png</t>
  </si>
  <si>
    <t>https://www.jotform.com/uploads/macarewecare/222927978372067/5629438883618092890/5629438883618092890_signature_31.png</t>
  </si>
  <si>
    <t>Malfunction of display panel button and unable to press</t>
  </si>
  <si>
    <t>Performed troubleshooting 
Performed reset of CPU board
Check cable and ribbon 
Swapping of display board assembly 
Cheked cable connection</t>
  </si>
  <si>
    <t>Unit unoperational due to malfunction of display panel button</t>
  </si>
  <si>
    <t>For replacement of display board assembly</t>
  </si>
  <si>
    <t>https://www.jotform.com/uploads/macarewecare/222927978372067/5629438343615985365/5629438343615985365_signature_28.png</t>
  </si>
  <si>
    <t>https://www.jotform.com/uploads/macarewecare/222927978372067/5629438343615985365/5629438343615985365_signature_31.png</t>
  </si>
  <si>
    <t xml:space="preserve">ASSAY: Xpert MTB/RIF, COUNT: 18
ASSAY: Xpert MTB/RIF Ultra, COUNT: 839
ASSAY: Xpert HIV-1 Viral Load, COUNT: 131
</t>
  </si>
  <si>
    <t>Perform Genexpert machine Preventive maintenance 
Perform Genexpert machine Xpertcheck / Calibration</t>
  </si>
  <si>
    <t>All module passed the Calibration</t>
  </si>
  <si>
    <t>Xpertcheck CE -5</t>
  </si>
  <si>
    <t>https://www.jotform.com/uploads/macarewecare/222927978372067/5628970988652868756/5628970988652868756_signature_28.png</t>
  </si>
  <si>
    <t>https://www.jotform.com/uploads/macarewecare/222927978372067/5628970988652868756/5628970988652868756_signature_31.png</t>
  </si>
  <si>
    <t xml:space="preserve">ASSAY: Xpert MTB/RIF, COUNT: 16
ASSAY: Xpert MTB/RIF Ultra, COUNT: 1488
ASSAY: Xpert SARS-CoV-2, COUNT: 3569
</t>
  </si>
  <si>
    <t>Gx 16</t>
  </si>
  <si>
    <t>Module B1</t>
  </si>
  <si>
    <t>Collect System Log Report and Troubleshooting</t>
  </si>
  <si>
    <t>Module B1 was disabled upon booting. No Errors Logged</t>
  </si>
  <si>
    <t>https://www.jotform.com/uploads/macarewecare/222927978372067/5627280897122925494/5627280897122925494_signature_28.png</t>
  </si>
  <si>
    <t>Efren notario jr</t>
  </si>
  <si>
    <t>https://www.jotform.com/uploads/macarewecare/222927978372067/5627280897122925494/5627280897122925494_signature_31.png</t>
  </si>
  <si>
    <t>https://www.jotform.com/uploads/macarewecare/222927978372067/5627280627129045492/5627280627129045492_signature_28.png</t>
  </si>
  <si>
    <t>https://www.jotform.com/uploads/macarewecare/222927978372067/5627280627129045492/5627280627129045492_signature_31.png</t>
  </si>
  <si>
    <t>C.P. Garcia Ave., UP Diliman, Quezon City</t>
  </si>
  <si>
    <t>vgggrds.laboratory@gmail.com</t>
  </si>
  <si>
    <t>Cleaning of eyepiece, camera lens, lens, and body
Cleaning, checking, and alignment of mechanical parts
Functionality Testing of Power Supply
Functionality Testing of the Camera with the software
Functionality Testing of the System</t>
  </si>
  <si>
    <t>Unit is operational. Defective Workstation, recommended to be replaced.</t>
  </si>
  <si>
    <t>There is a prism for the camera, a small knob below the camera. Controls the blocking of the right eyepiece and camera.</t>
  </si>
  <si>
    <t>https://www.jotform.com/uploads/macarewecare/222927978372067/5627095586712322524/5627095586712322524_signature_28.png</t>
  </si>
  <si>
    <t>DOST-PHIVOLCS VGGGRDS PETROGRAPHY AND PETROLOGY LABORATORY</t>
  </si>
  <si>
    <t>https://www.jotform.com/uploads/macarewecare/222927978372067/5627095586712322524/5627095586712322524_signature_31.png</t>
  </si>
  <si>
    <t xml:space="preserve">ASSAY: Xpert MTB/RIF, COUNT: 0
ASSAY: Xpert MTB/RIF Ultra, COUNT: 3138
</t>
  </si>
  <si>
    <t>XpertCheck
Cleaned fan filter, cartridge bays, plunger ror
Generated reports</t>
  </si>
  <si>
    <t>Unit is operational
All passed</t>
  </si>
  <si>
    <t>https://www.jotform.com/uploads/macarewecare/222927978372067/5627085741185943215/5627085741185943215_signature_28.png</t>
  </si>
  <si>
    <t>https://www.jotform.com/uploads/macarewecare/222927978372067/5627085741185943215/5627085741185943215_signature_31.png</t>
  </si>
  <si>
    <t>atumbaga1079@gmail.com</t>
  </si>
  <si>
    <t xml:space="preserve">ASSAY: Xpert CT/NG, COUNT: 1
ASSAY: Xpert MTB/RIF, COUNT: 6
ASSAY: Xpert MTB/RIF Ultra, COUNT: 31
ASSAY: Others, COUNT: 2
ASSAY: Xpert SARS-CoV-2, COUNT: 190
ASSAY: Xpert HIV-1 Viral Load, COUNT: 25
</t>
  </si>
  <si>
    <t>Unit for maintenance and calibration</t>
  </si>
  <si>
    <t>https://www.jotform.com/uploads/macarewecare/222927978372067/5627079302112283262/5627079302112283262_signature_28.png</t>
  </si>
  <si>
    <t>Teodoro, Karl-Wynne M.</t>
  </si>
  <si>
    <t>https://www.jotform.com/uploads/macarewecare/222927978372067/5627079302112283262/5627079302112283262_signature_31.png</t>
  </si>
  <si>
    <t xml:space="preserve">ASSAY: Xpert MTB/RIF, COUNT: 93
ASSAY: Xpert MTB/RIF Ultra, COUNT: 1464
ASSAY: Xpert HIV-1 Viral Load, COUNT: 498
</t>
  </si>
  <si>
    <t>Replace the defective Module B1 SN: 671900 with new Module SN: 210068532
Clean Surface Area, Cartridge Bay, Plunger Rod, Fan Filters and Icore Lenses</t>
  </si>
  <si>
    <t>All Modulea are Operational</t>
  </si>
  <si>
    <t>https://www.jotform.com/uploads/macarewecare/222927978372067/5627041966916599751/5627041966916599751_signature_28.png</t>
  </si>
  <si>
    <t>Christelle Sienes RMT</t>
  </si>
  <si>
    <t>https://www.jotform.com/uploads/macarewecare/222927978372067/5627041966916599751/5627041966916599751_signature_31.png</t>
  </si>
  <si>
    <t>Poblacion Barili, Cebu</t>
  </si>
  <si>
    <t>barilirhumain@gmail.com</t>
  </si>
  <si>
    <t>Module 3 SN 786755  Hardware failure Error 1001 and Module 4 SN 662771 Error 2014 and Error 1001</t>
  </si>
  <si>
    <t>Replaced new module 4 SN # 210068556</t>
  </si>
  <si>
    <t>Replaced Module 4 Sn # 662771</t>
  </si>
  <si>
    <t>Only 3 modules are operational, Module 3 Hardware Failed</t>
  </si>
  <si>
    <t>https://www.jotform.com/uploads/macarewecare/222927978372067/5627027251338304245/5627027251338304245_signature_28.png</t>
  </si>
  <si>
    <t>Mary Joy B. Bajarias</t>
  </si>
  <si>
    <t>https://www.jotform.com/uploads/macarewecare/222927978372067/5627027251338304245/5627027251338304245_signature_31.png</t>
  </si>
  <si>
    <t>San Pedro</t>
  </si>
  <si>
    <t xml:space="preserve">ASSAY: Xpert HPV, COUNT: 259
ASSAY: Xpert MTB/RIF Ultra, COUNT: 1548
</t>
  </si>
  <si>
    <t>Performed PM.
Performed Xpertcheck on module A3.
Generated reports.</t>
  </si>
  <si>
    <t>https://www.jotform.com/uploads/macarewecare/222927978372067/5627025154951755582/5627025154951755582_signature_28.png</t>
  </si>
  <si>
    <t>https://www.jotform.com/uploads/macarewecare/222927978372067/5627025154951755582/5627025154951755582_signature_31.png</t>
  </si>
  <si>
    <t xml:space="preserve">ASSAY: Others, COUNT: 10
ASSAY: Xpert CT/NG, COUNT: 92
ASSAY: Xpert HBV VL, COUNT: 55
ASSAY: Xpert HPV, COUNT: 1
ASSAY: Xpert MTB/RIF, COUNT: 33
ASSAY: Xpert MTB/RIF Ultra, COUNT: 986
ASSAY: Xpert HIV-1 Viral Load, COUNT: 78
</t>
  </si>
  <si>
    <t>Module B3 Temp Problem</t>
  </si>
  <si>
    <t>-Checked and cleaned cartridge bays, plunger rod, icore slot and filter
-Checked system log
-B3 have many error 1002
-Disabled Module B3
-Module B3 for replacement
-Generated report</t>
  </si>
  <si>
    <t>Checked system logs and PM</t>
  </si>
  <si>
    <t>https://www.jotform.com/uploads/macarewecare/222927978372067/5626981248222651272/5626981248222651272_signature_28.png</t>
  </si>
  <si>
    <t>DK Valois</t>
  </si>
  <si>
    <t>https://www.jotform.com/uploads/macarewecare/222927978372067/5626981248222651272/5626981248222651272_signature_31.png</t>
  </si>
  <si>
    <t>Sta Rosa City Health Office 2</t>
  </si>
  <si>
    <t>Kabesang Moldes St. Sta. Rosa</t>
  </si>
  <si>
    <t>Performed PM.
Performed Xpertcheck on module A3.
Generated reports</t>
  </si>
  <si>
    <t>https://www.jotform.com/uploads/macarewecare/222927978372067/5626980914952664288/5626980914952664288_signature_28.png</t>
  </si>
  <si>
    <t>https://www.jotform.com/uploads/macarewecare/222927978372067/5626980914952664288/5626980914952664288_signature_31.png</t>
  </si>
  <si>
    <t>Toledo Cho</t>
  </si>
  <si>
    <t>Due for Maintenance  and clean filter, clean plunger</t>
  </si>
  <si>
    <t>Peformed maintenance and clean, back up data</t>
  </si>
  <si>
    <t>Conduct maintenance, replaced filter, clean Plunger, Icore,
Back up database, generate IQR, sys log, assay statistics, gxx results</t>
  </si>
  <si>
    <t>All modules are oprational</t>
  </si>
  <si>
    <t>https://www.jotform.com/uploads/macarewecare/222927978372067/5626926863926616372/5626926863926616372_signature_28.png</t>
  </si>
  <si>
    <t>Lorie Mae Diapen, RMT</t>
  </si>
  <si>
    <t>https://www.jotform.com/uploads/macarewecare/222927978372067/5626926863926616372/5626926863926616372_signature_31.png</t>
  </si>
  <si>
    <t>Los Banos,Laguna</t>
  </si>
  <si>
    <t>rmbtaguic@gmail.com</t>
  </si>
  <si>
    <t>Performed repair and troubleshooting.
Generated reports.</t>
  </si>
  <si>
    <t>Repair and troubleshooting</t>
  </si>
  <si>
    <t>Unit is operational. Endorsed additional Lan cable for backup.</t>
  </si>
  <si>
    <t>https://www.jotform.com/uploads/macarewecare/222927978372067/5626912474954569029/5626912474954569029_signature_28.png</t>
  </si>
  <si>
    <t>https://www.jotform.com/uploads/macarewecare/222927978372067/5626912474954569029/5626912474954569029_signature_31.png</t>
  </si>
  <si>
    <t>Poblacion,Tuburan,Cebu</t>
  </si>
  <si>
    <t>Pull out GeneXpert Machine system.</t>
  </si>
  <si>
    <t>GeneXpert system transfer to Balamban Rural Health Unit</t>
  </si>
  <si>
    <t>Pull out GeneXpert Machine S/N.838564, Cpu S/N.MJ0C9VF6, Voltage Regulator S/N.20PX100104(SVC), UPS S/N.AT1000190402ST0391, LCD S/N.CNK9430322</t>
  </si>
  <si>
    <t>https://www.jotform.com/uploads/macarewecare/222927978372067/5626906725417449868/5626906725417449868_signature_28.png</t>
  </si>
  <si>
    <t>Mariel R. Gracia</t>
  </si>
  <si>
    <t>https://www.jotform.com/uploads/macarewecare/222927978372067/5626906725417449868/5626906725417449868_signature_31.png</t>
  </si>
  <si>
    <t xml:space="preserve">ASSAY: Xpert MTB/RIF, COUNT: 94
ASSAY: Xpert MTB/RIF Ultra, COUNT: 423
</t>
  </si>
  <si>
    <t>Error 4004, 2016
For re-xpertcheck</t>
  </si>
  <si>
    <t>Troubleshooting
Re-xpertcheck</t>
  </si>
  <si>
    <t>https://www.jotform.com/uploads/macarewecare/222927978372067/5626904694871366850/5626904694871366850_signature_28.png</t>
  </si>
  <si>
    <t>https://www.jotform.com/uploads/macarewecare/222927978372067/5626904694871366850/5626904694871366850_signature_31.png</t>
  </si>
  <si>
    <t>Module B3 with serial number 807124 Invalid resolt 2x</t>
  </si>
  <si>
    <t>Perform XPert Check for Module B3</t>
  </si>
  <si>
    <t>Perform Xpertcheck for Module B3</t>
  </si>
  <si>
    <t>Module B3 Pass for Calibration Ok to use.</t>
  </si>
  <si>
    <t>https://www.jotform.com/uploads/macarewecare/222927978372067/5626896615414014096/5626896615414014096_signature_28.png</t>
  </si>
  <si>
    <t>https://www.jotform.com/uploads/macarewecare/222927978372067/5626896615414014096/5626896615414014096_signature_31.png</t>
  </si>
  <si>
    <t xml:space="preserve">ASSAY: Xpert HPV, COUNT: 492
ASSAY: Xpert MTB/RIF, COUNT: 50
ASSAY: Xpert MTB/RIF Ultra, COUNT: 2253
</t>
  </si>
  <si>
    <t>Health Center for renovation</t>
  </si>
  <si>
    <t>Packed all equipment and transferred to another location</t>
  </si>
  <si>
    <t>https://www.jotform.com/uploads/macarewecare/222927978372067/5626365693688962381/5626365693688962381_signature_28.png</t>
  </si>
  <si>
    <t>https://www.jotform.com/uploads/macarewecare/222927978372067/5626365693688962381/5626365693688962381_signature_31.png</t>
  </si>
  <si>
    <t xml:space="preserve">ASSAY: Xpert MTB/RIF, COUNT: 48
ASSAY: Xpert MTB/RIF Ultra, COUNT: 323
</t>
  </si>
  <si>
    <t>CPU Error 3F0</t>
  </si>
  <si>
    <t>Performed hardware reset
Checked Hard drive and run harddrive test
Perdormed surface cleaning
Gathered reports
Performed functionality test</t>
  </si>
  <si>
    <t>https://www.jotform.com/uploads/macarewecare/222927978372067/5626270344281991838/5626270344281991838_signature_28.png</t>
  </si>
  <si>
    <t>https://www.jotform.com/uploads/macarewecare/222927978372067/5626270344281991838/5626270344281991838_signature_31.png</t>
  </si>
  <si>
    <t>Poblacion, San Luis, Pampanga</t>
  </si>
  <si>
    <t xml:space="preserve">ASSAY: Xpert MTB/RIF, COUNT: 8
ASSAY: Xpert MTB/RIF Ultra, COUNT: 265
</t>
  </si>
  <si>
    <t>Performed Maintenance
Gathered Reports
Archived Results (1 Year)
Performed Functionality Test</t>
  </si>
  <si>
    <t>https://www.jotform.com/uploads/macarewecare/222927978372067/5626242563616391264/5626242563616391264_signature_28.png</t>
  </si>
  <si>
    <t>https://www.jotform.com/uploads/macarewecare/222927978372067/5626242563616391264/5626242563616391264_signature_31.png</t>
  </si>
  <si>
    <t xml:space="preserve">ASSAY: Xpert MTB/RIF, COUNT: 20
ASSAY: Xpert MTB/RIF Ultra, COUNT: 3973
</t>
  </si>
  <si>
    <t>Stuck Cartridge - Module B2</t>
  </si>
  <si>
    <t>-Perfomer prevenetive maintenance
-Removed stuck cartridge
-Hardware Failed module b2 fue to error 4008
-Will comeback tomorrow to test the supply voltage
-generated reports</t>
  </si>
  <si>
    <t>unit is operational. B2 disabled temporarily</t>
  </si>
  <si>
    <t>https://www.jotform.com/uploads/macarewecare/222927978372067/5626165229463252689/5626165229463252689_signature_28.png</t>
  </si>
  <si>
    <t>https://www.jotform.com/uploads/macarewecare/222927978372067/5626165229463252689/5626165229463252689_signature_31.png</t>
  </si>
  <si>
    <t>Cansojong, Talisay City</t>
  </si>
  <si>
    <t>Error 2014 in Module 4 SN 210018733 and module 3 210019110 due 5011 cartridge wasted</t>
  </si>
  <si>
    <t>Performed calibration and generate data</t>
  </si>
  <si>
    <t>Performed Expert Check calibration</t>
  </si>
  <si>
    <t>Only 2 modules are available</t>
  </si>
  <si>
    <t>https://www.jotform.com/uploads/macarewecare/222927978372067/5626147194421097325/5626147194421097325_signature_28.png</t>
  </si>
  <si>
    <t>https://www.jotform.com/uploads/macarewecare/222927978372067/5626147194421097325/5626147194421097325_signature_31.png</t>
  </si>
  <si>
    <t xml:space="preserve">ASSAY: Xpert MTB/RIF, COUNT: 650
ASSAY: Xpert MTB/RIF Ultra, COUNT: 1625
</t>
  </si>
  <si>
    <t>-PERFORM MODULE B3 DEF SN: 724674 REPLACEMENT WITH NEW SN: 210060756</t>
  </si>
  <si>
    <t>MODULE B4 FOR OBSERVATION</t>
  </si>
  <si>
    <t>https://www.jotform.com/uploads/macarewecare/222927978372067/5626135542326440204/5626135542326440204_signature_28.png</t>
  </si>
  <si>
    <t>https://www.jotform.com/uploads/macarewecare/222927978372067/5626135542326440204/5626135542326440204_signature_31.png</t>
  </si>
  <si>
    <t>SRP Cebu City</t>
  </si>
  <si>
    <t>For monitoring after installation</t>
  </si>
  <si>
    <t>Performed check up</t>
  </si>
  <si>
    <t>Performed machine check up and power check</t>
  </si>
  <si>
    <t>Units are operational, but the site dont have enough exhaust pressure. For the meantime, CTRL paused its laboratory opration while awaiting the materials for renovation of negative pressure machine.</t>
  </si>
  <si>
    <t>https://www.jotform.com/uploads/macarewecare/222927978372067/5626134164429064064/5626134164429064064_signature_28.png</t>
  </si>
  <si>
    <t>Allan Mantiquilla, RMT</t>
  </si>
  <si>
    <t>https://www.jotform.com/uploads/macarewecare/222927978372067/5626134164429064064/5626134164429064064_signature_31.png</t>
  </si>
  <si>
    <t>nathanycarmel@gmai.com</t>
  </si>
  <si>
    <t>Unit is Operational (Air Conditioning is not working properly- room temperature above 30°C)</t>
  </si>
  <si>
    <t>https://www.jotform.com/uploads/macarewecare/222927978372067/5626105824293202782/5626105824293202782_signature_28.png</t>
  </si>
  <si>
    <t>https://www.jotform.com/uploads/macarewecare/222927978372067/5626105824293202782/5626105824293202782_signature_31.png</t>
  </si>
  <si>
    <t>https://www.jotform.com/uploads/macarewecare/222927978372067/5626105614298608858/5626105614298608858_signature_28.png</t>
  </si>
  <si>
    <t>https://www.jotform.com/uploads/macarewecare/222927978372067/5626105614298608858/5626105614298608858_signature_31.png</t>
  </si>
  <si>
    <t>Presentacion RHU</t>
  </si>
  <si>
    <t>Brgy. Pili, Presentacion, Camarines Sur</t>
  </si>
  <si>
    <t>dianacorreisrael@gmail.com</t>
  </si>
  <si>
    <t>Replaced Module: 643064&gt;&gt;210059921
Cleaned fan, fan filter, plunger rod, cartridge bays
Generated reports</t>
  </si>
  <si>
    <t>Replaced Defective Module, Performed Preventive Maintenance</t>
  </si>
  <si>
    <t>https://www.jotform.com/uploads/macarewecare/222927978372067/5626096231015785545/5626096231015785545_signature_28.png</t>
  </si>
  <si>
    <t>Diana israel</t>
  </si>
  <si>
    <t>https://www.jotform.com/uploads/macarewecare/222927978372067/5626096231015785545/5626096231015785545_signature_31.png</t>
  </si>
  <si>
    <t xml:space="preserve">ASSAY: Xpert MTB/RIF Ultra, COUNT: 824
</t>
  </si>
  <si>
    <t>Unit for PM.
For Re-Xpertcheck of moeule B4.</t>
  </si>
  <si>
    <t>Performed PM.
Performed Re-Xpertcheck on module B4.
Generated reports.</t>
  </si>
  <si>
    <t>PM and Re-Xpertcheck.</t>
  </si>
  <si>
    <t>Used 1 spare Xpertcheck</t>
  </si>
  <si>
    <t>https://www.jotform.com/uploads/macarewecare/222927978372067/5626095102442159823/5626095102442159823_signature_28.png</t>
  </si>
  <si>
    <t>https://www.jotform.com/uploads/macarewecare/222927978372067/5626095102442159823/5626095102442159823_signature_31.png</t>
  </si>
  <si>
    <t xml:space="preserve">ASSAY: Xpert MTB/RIF, COUNT: 19
ASSAY: Xpert MTB/RIF Ultra, COUNT: 1111
ASSAY: Xpert HIV-1 Viral Load, COUNT: 19
</t>
  </si>
  <si>
    <t>Module C2 not detected</t>
  </si>
  <si>
    <t>Performed surface cleaning
Performed preventive maintenance
Reset Gateway board
Gathered reports
Performed functionality test</t>
  </si>
  <si>
    <t>https://www.jotform.com/uploads/macarewecare/222927978372067/5626070984289998356/5626070984289998356_signature_28.png</t>
  </si>
  <si>
    <t>https://www.jotform.com/uploads/macarewecare/222927978372067/5626070984289998356/5626070984289998356_signature_31.png</t>
  </si>
  <si>
    <t>https://www.jotform.com/uploads/macarewecare/222927978372067/5626070744283150908/5626070744283150908_signature_28.png</t>
  </si>
  <si>
    <t>https://www.jotform.com/uploads/macarewecare/222927978372067/5626070744283150908/5626070744283150908_signature_31.png</t>
  </si>
  <si>
    <t>Libmanan RHU II</t>
  </si>
  <si>
    <t>For Module Replacement,  For XpertCheck</t>
  </si>
  <si>
    <t>Replaced Module B4(705303&gt;&gt;736878) B1(616978&gt;&gt;744281)
Performed XpertCheck 
Cleaned cartridge bays,plunger rod, fan,replaced fan filter
Generated reports</t>
  </si>
  <si>
    <t>Replace Module
Performed XpertCheck 
Performed Preventive Maintenance</t>
  </si>
  <si>
    <t>Unit is operational
B3 failed</t>
  </si>
  <si>
    <t>B2 677428 failed xpertcheck</t>
  </si>
  <si>
    <t>Module
744281
736878
XpertCheck kit</t>
  </si>
  <si>
    <t>Delivery report 0040635, 0040661</t>
  </si>
  <si>
    <t>https://www.jotform.com/uploads/macarewecare/222927978372067/5625534381127997559/5625534381127997559_signature_28.png</t>
  </si>
  <si>
    <t>https://www.jotform.com/uploads/macarewecare/222927978372067/5625534381127997559/5625534381127997559_signature_31.png</t>
  </si>
  <si>
    <t>https://www.jotform.com/uploads/macarewecare/222927978372067/5625534011122172709/5625534011122172709_signature_28.png</t>
  </si>
  <si>
    <t>https://www.jotform.com/uploads/macarewecare/222927978372067/5625534011122172709/5625534011122172709_signature_31.png</t>
  </si>
  <si>
    <t>Fuente Osmena, Cebu City</t>
  </si>
  <si>
    <t>Due for calibration and preventive maintenanance</t>
  </si>
  <si>
    <t>Performed calibration and Preventive maintenance</t>
  </si>
  <si>
    <t>Mcs+ is operational</t>
  </si>
  <si>
    <t>https://www.jotform.com/uploads/macarewecare/222927978372067/5625463736517422006/5625463736517422006_signature_28.png</t>
  </si>
  <si>
    <t>https://www.jotform.com/uploads/macarewecare/222927978372067/5625463736517422006/5625463736517422006_signature_31.png</t>
  </si>
  <si>
    <t>Fuente Osmena Cebu City</t>
  </si>
  <si>
    <t>Calibrate and Performed maintenance</t>
  </si>
  <si>
    <t>MCS+ is operational</t>
  </si>
  <si>
    <t>https://www.jotform.com/uploads/macarewecare/222927978372067/5625461046512744059/5625461046512744059_signature_28.png</t>
  </si>
  <si>
    <t>Dave Gabini, Biomedical Supervisor</t>
  </si>
  <si>
    <t>https://www.jotform.com/uploads/macarewecare/222927978372067/5625461046512744059/5625461046512744059_signature_31.png</t>
  </si>
  <si>
    <t>Capitol Hills, Telaje, Tandag City</t>
  </si>
  <si>
    <t xml:space="preserve">ASSAY: Xpert MTB/RIF Ultra, COUNT: 4849
ASSAY: Xpert HIV-1 Viral Load, COUNT: 26
</t>
  </si>
  <si>
    <t>3 modules found service required from the last XPC</t>
  </si>
  <si>
    <t>Reported to Cepheid all service required modules</t>
  </si>
  <si>
    <t>Installation of new back-up Cepheid GX-4 Machine with SN: 805279</t>
  </si>
  <si>
    <t>6 modules working</t>
  </si>
  <si>
    <t>https://www.jotform.com/uploads/macarewecare/222927978372067/5625428433113128333/5625428433113128333_signature_28.png</t>
  </si>
  <si>
    <t>Alberto Plaza</t>
  </si>
  <si>
    <t>https://www.jotform.com/uploads/macarewecare/222927978372067/5625428433113128333/5625428433113128333_signature_31.png</t>
  </si>
  <si>
    <t>Capoas, Quezon City</t>
  </si>
  <si>
    <t>cocristy987@gmail.com</t>
  </si>
  <si>
    <t>Horizontal line in monitor</t>
  </si>
  <si>
    <t>Monitor is  operational but with horizontal line</t>
  </si>
  <si>
    <t>https://www.jotform.com/uploads/macarewecare/222927978372067/5625388121394934767/5625388121394934767_signature_28.png</t>
  </si>
  <si>
    <t>cristy cortezano</t>
  </si>
  <si>
    <t>https://www.jotform.com/uploads/macarewecare/222927978372067/5625388121394934767/5625388121394934767_signature_31.png</t>
  </si>
  <si>
    <t>Talisay City proper</t>
  </si>
  <si>
    <t>Printer Problem</t>
  </si>
  <si>
    <t>Printer software installation completed</t>
  </si>
  <si>
    <t>https://www.jotform.com/uploads/macarewecare/222927978372067/5625368960499406457/5625368960499406457_signature_28.png</t>
  </si>
  <si>
    <t>https://www.jotform.com/uploads/macarewecare/222927978372067/5625368960499406457/5625368960499406457_signature_31.png</t>
  </si>
  <si>
    <t>Laborarory</t>
  </si>
  <si>
    <t xml:space="preserve">ASSAY: Xpert MTB/RIF, COUNT: 26
ASSAY: Xpert MTB/RIF Ultra, COUNT: 514
</t>
  </si>
  <si>
    <t>https://www.jotform.com/uploads/macarewecare/222927978372067/5625335294744416177/5625335294744416177_signature_28.png</t>
  </si>
  <si>
    <t>https://www.jotform.com/uploads/macarewecare/222927978372067/5625335294744416177/5625335294744416177_signature_31.png</t>
  </si>
  <si>
    <t xml:space="preserve">ASSAY: Xpert MTB/RIF, COUNT: 73
ASSAY: Xpert MTB/RIF Ultra, COUNT: 407
</t>
  </si>
  <si>
    <t>Performed Maintenance 
Gathered Reports
Performed Xpertcheck on A4 Module
Performed Functionality Test</t>
  </si>
  <si>
    <t>https://www.jotform.com/uploads/macarewecare/222927978372067/5625335294749793375/5625335294749793375_signature_28.png</t>
  </si>
  <si>
    <t>https://www.jotform.com/uploads/macarewecare/222927978372067/5625335294749793375/5625335294749793375_signature_31.png</t>
  </si>
  <si>
    <t>https://www.jotform.com/uploads/macarewecare/222927978372067/5625335304742138339/5625335304742138339_signature_28.png</t>
  </si>
  <si>
    <t>Al-JANE MAGPAYO</t>
  </si>
  <si>
    <t>https://www.jotform.com/uploads/macarewecare/222927978372067/5625335304742138339/5625335304742138339_signature_31.png</t>
  </si>
  <si>
    <t>rhusulat@gmail.com</t>
  </si>
  <si>
    <t xml:space="preserve">ASSAY: Xpert MTB/RIF, COUNT: 152
ASSAY: Xpert MTB/RIF Ultra, COUNT: 647
</t>
  </si>
  <si>
    <t>GXIV- 2D</t>
  </si>
  <si>
    <t>Defective Module B2/787997 for replacement</t>
  </si>
  <si>
    <t>-Install new module on B2 sn: 210067846
- Performed Preventive maintenance 
- Generate reports</t>
  </si>
  <si>
    <t>Room air conditioning is not working properly</t>
  </si>
  <si>
    <t>Genexpert Module 6 color sn: 210067846</t>
  </si>
  <si>
    <t>https://www.jotform.com/uploads/macarewecare/222927978372067/5625295303612189488/5625295303612189488_signature_28.png</t>
  </si>
  <si>
    <t>Edel Abogaa</t>
  </si>
  <si>
    <t>https://www.jotform.com/uploads/macarewecare/222927978372067/5625295303612189488/5625295303612189488_signature_31.png</t>
  </si>
  <si>
    <t>Kalinga Health Hub - Mandaluyong</t>
  </si>
  <si>
    <t>shad.famisaran@innovationsch.org</t>
  </si>
  <si>
    <t xml:space="preserve">ASSAY: Xpert MTB/RIF, COUNT: 44
ASSAY: Xpert MTB/RIF Ultra, COUNT: 611
</t>
  </si>
  <si>
    <t>Module B4 (210035637) for replacement</t>
  </si>
  <si>
    <t>GeneXpert Module
SN: 729705</t>
  </si>
  <si>
    <t>https://www.jotform.com/uploads/macarewecare/222927978372067/5625280233612957201/5625280233612957201_signature_28.png</t>
  </si>
  <si>
    <t>https://www.jotform.com/uploads/macarewecare/222927978372067/5625280233612957201/5625280233612957201_signature_31.png</t>
  </si>
  <si>
    <t>torrecampoalma8@gmail.com</t>
  </si>
  <si>
    <t>Module 2 H/W failed due to multiple temperature error</t>
  </si>
  <si>
    <t>Replace module 2 SN:792515 with new module SN:210059883</t>
  </si>
  <si>
    <t>Genexpert module 6 color SN: 210059883</t>
  </si>
  <si>
    <t>https://www.jotform.com/uploads/macarewecare/222927978372067/5625234590427591234/5625234590427591234_signature_28.png</t>
  </si>
  <si>
    <t>Alma Torrecampo</t>
  </si>
  <si>
    <t>https://www.jotform.com/uploads/macarewecare/222927978372067/5625234590427591234/5625234590427591234_signature_31.png</t>
  </si>
  <si>
    <t>Module 1 with Temperature Error
UPS Problem</t>
  </si>
  <si>
    <t>Performed Maintenance
Performed XpertCheck on Module 1
UPS Functionality Test 
Generate Reports</t>
  </si>
  <si>
    <t>UPS has Defective Battery, 3 Modules are Operational, 1 Defective</t>
  </si>
  <si>
    <t>B1: Failed</t>
  </si>
  <si>
    <t>https://www.jotform.com/uploads/macarewecare/222927978372067/5625195033611619770/5625195033611619770_signature_28.png</t>
  </si>
  <si>
    <t>https://www.jotform.com/uploads/macarewecare/222927978372067/5625195033611619770/5625195033611619770_signature_31.png</t>
  </si>
  <si>
    <t>Brgy. Luciano, Trece Martires</t>
  </si>
  <si>
    <t>https://www.jotform.com/uploads/macarewecare/222927978372067/5625195033615963547/5625195033615963547_signature_28.png</t>
  </si>
  <si>
    <t>https://www.jotform.com/uploads/macarewecare/222927978372067/5625195033615963547/5625195033615963547_signature_31.png</t>
  </si>
  <si>
    <t>Pettit baracks, Zamboanga ci6</t>
  </si>
  <si>
    <t>Cuff motor malfunction and ups malfunction</t>
  </si>
  <si>
    <t>Undergone troubleshooting using UPP Technician Configuration and Diagnostic card. Regarding ups all batteries have been checked and all passed still ups gives overload output.</t>
  </si>
  <si>
    <t>Ups not working and cuff motor malfunction needs to be replaced</t>
  </si>
  <si>
    <t>https://www.jotform.com/uploads/macarewecare/222927978372067/5624468805414256123/5624468805414256123_signature_28.png</t>
  </si>
  <si>
    <t>https://www.jotform.com/uploads/macarewecare/222927978372067/5624468805414256123/5624468805414256123_signature_31.png</t>
  </si>
  <si>
    <t xml:space="preserve">ASSAY: Xpert MTB/RIF, COUNT: 99
ASSAY: Xpert MTB/RIF Ultra, COUNT: 1378
</t>
  </si>
  <si>
    <t>Module 4 H/W failed due to multiple temperature error</t>
  </si>
  <si>
    <t>Perform Xpertcheck at module 4 for troubleshooting</t>
  </si>
  <si>
    <t>https://www.jotform.com/uploads/macarewecare/222927978372067/5624281017811584966/5624281017811584966_signature_28.png</t>
  </si>
  <si>
    <t>https://www.jotform.com/uploads/macarewecare/222927978372067/5624281017811584966/5624281017811584966_signature_31.png</t>
  </si>
  <si>
    <t xml:space="preserve">ASSAY: Xpert MTB/RIF Ultra, COUNT: 1345
</t>
  </si>
  <si>
    <t>GeneXper</t>
  </si>
  <si>
    <t>Module A1/662352 Service Required after calibration</t>
  </si>
  <si>
    <t>Replaced module new module A1/210091310</t>
  </si>
  <si>
    <t>Preventive Maintenance
Module Replacement
Xpertcheck calibration
Generate Report Files</t>
  </si>
  <si>
    <t>A3/653705 and A4/695639 Service Required during calibration</t>
  </si>
  <si>
    <t>https://www.jotform.com/uploads/macarewecare/222927978372067/5624275022227100655/5624275022227100655_signature_28.png</t>
  </si>
  <si>
    <t>https://www.jotform.com/uploads/macarewecare/222927978372067/5624275022227100655/5624275022227100655_signature_31.png</t>
  </si>
  <si>
    <t>Poblacion Malungon, Sarangani Province</t>
  </si>
  <si>
    <t>Perform Genexpert machine Preventive maintenance 
Perform Xpertcheck at module 2 for troubleshooting</t>
  </si>
  <si>
    <t>https://www.jotform.com/uploads/macarewecare/222927978372067/5623851421411484625/5623851421411484625_signature_28.png</t>
  </si>
  <si>
    <t>https://www.jotform.com/uploads/macarewecare/222927978372067/5623851421411484625/5623851421411484625_signature_31.png</t>
  </si>
  <si>
    <t>Quezon avenue, Quezon City</t>
  </si>
  <si>
    <t xml:space="preserve">ASSAY: Xpert MTB/RIF, COUNT: 303
ASSAY: Xpert MTB/RIF Ultra, COUNT: 1180
ASSAY: Xpert SARS-CoV-2, COUNT: 1263
ASSAY: Xpert HIV-1 Viral Load, COUNT: 16
</t>
  </si>
  <si>
    <t>Due for maintenance, d4 disable loss communication,d3 disable temp error</t>
  </si>
  <si>
    <t>D1,d2 operational, d3 and d4 disable</t>
  </si>
  <si>
    <t>Last xpert check 6.30.2021</t>
  </si>
  <si>
    <t>https://www.jotform.com/uploads/macarewecare/222927978372067/5623792108111496053/5623792108111496053_signature_28.png</t>
  </si>
  <si>
    <t>https://www.jotform.com/uploads/macarewecare/222927978372067/5623792108111496053/5623792108111496053_signature_31.png</t>
  </si>
  <si>
    <t xml:space="preserve">ASSAY: Xpert MTB/RIF Ultra, COUNT: 3391
ASSAY: Xpert SARS-CoV-2, COUNT: 3881
</t>
  </si>
  <si>
    <t>Due for maintenance b1,b3,c1,d4 disable</t>
  </si>
  <si>
    <t>12 module operational, 4 module disable</t>
  </si>
  <si>
    <t>https://www.jotform.com/uploads/macarewecare/222927978372067/5623791528113636287/5623791528113636287_signature_28.png</t>
  </si>
  <si>
    <t>https://www.jotform.com/uploads/macarewecare/222927978372067/5623791528113636287/5623791528113636287_signature_31.png</t>
  </si>
  <si>
    <t>https://www.jotform.com/uploads/macarewecare/222927978372067/5623789878114857534/5623789878114857534_signature_28.png</t>
  </si>
  <si>
    <t>https://www.jotform.com/uploads/macarewecare/222927978372067/5623789878114857534/5623789878114857534_signature_31.png</t>
  </si>
  <si>
    <t>Quezon ave,Quezon city</t>
  </si>
  <si>
    <t xml:space="preserve">ASSAY: Xpert MTB/RIF, COUNT: 40
ASSAY: , COUNT: 426
ASSAY: Xpert SARS-CoV-2, COUNT: 1346
ASSAY: Xpert HIV-1 Viral Load, COUNT: 65
ASSAY: Others, COUNT: 9
ASSAY: Others, COUNT: 1
</t>
  </si>
  <si>
    <t>Due for maintenance, b4 hw failed,</t>
  </si>
  <si>
    <t>B4 disabled, 3 module operational</t>
  </si>
  <si>
    <t>Last xpertcheck july 2022</t>
  </si>
  <si>
    <t>https://www.jotform.com/uploads/macarewecare/222927978372067/5623788628115357493/5623788628115357493_signature_28.png</t>
  </si>
  <si>
    <t>https://www.jotform.com/uploads/macarewecare/222927978372067/5623788628115357493/5623788628115357493_signature_31.png</t>
  </si>
  <si>
    <t>https://www.jotform.com/uploads/macarewecare/222927978372067/5623787948118602038/5623787948118602038_signature_28.png</t>
  </si>
  <si>
    <t>https://www.jotform.com/uploads/macarewecare/222927978372067/5623787948118602038/5623787948118602038_signature_31.png</t>
  </si>
  <si>
    <t>Koica</t>
  </si>
  <si>
    <t>https://www.jotform.com/uploads/macarewecare/222927978372067/5623787288111287597/5623787288111287597_signature_28.png</t>
  </si>
  <si>
    <t>https://www.jotform.com/uploads/macarewecare/222927978372067/5623787288111287597/5623787288111287597_signature_31.png</t>
  </si>
  <si>
    <t>https://www.jotform.com/uploads/macarewecare/222927978372067/5623786788112053147/5623786788112053147_signature_28.png</t>
  </si>
  <si>
    <t>https://www.jotform.com/uploads/macarewecare/222927978372067/5623786788112053147/5623786788112053147_signature_31.png</t>
  </si>
  <si>
    <t xml:space="preserve">ASSAY: Xpert MTB/RIF Ultra, COUNT: 66
</t>
  </si>
  <si>
    <t>https://www.jotform.com/uploads/macarewecare/222927978372067/5623786388112099704/5623786388112099704_signature_28.png</t>
  </si>
  <si>
    <t>https://www.jotform.com/uploads/macarewecare/222927978372067/5623786388112099704/5623786388112099704_signature_31.png</t>
  </si>
  <si>
    <t>San fernando,Pampanga</t>
  </si>
  <si>
    <t>Malfunction of laptop display</t>
  </si>
  <si>
    <t>Delivered and installation laptop
Upload ADF files
Set up laptop
Test run unit</t>
  </si>
  <si>
    <t>Laptop</t>
  </si>
  <si>
    <t>https://www.jotform.com/uploads/macarewecare/222927978372067/5623786388113652819/5623786388113652819_signature_28.png</t>
  </si>
  <si>
    <t>https://www.jotform.com/uploads/macarewecare/222927978372067/5623786388113652819/5623786388113652819_signature_31.png</t>
  </si>
  <si>
    <t xml:space="preserve">ASSAY: Xpert MTB/RIF, COUNT: 11
ASSAY: Xpert MTB/RIF Ultra, COUNT: 308
ASSAY: Others, COUNT: 4
ASSAY: Xpert SARS-CoV-2, COUNT: 2212
</t>
  </si>
  <si>
    <t>For module replacement B1 603916 - 210063239</t>
  </si>
  <si>
    <t>Performed module, replacement, cleaned unit,filter,plunger rod,cartridge bay,i core,gathered reports,performed visual check,test run unit</t>
  </si>
  <si>
    <t>https://www.jotform.com/uploads/macarewecare/222927978372067/5623786388115525450/5623786388115525450_signature_28.png</t>
  </si>
  <si>
    <t>https://www.jotform.com/uploads/macarewecare/222927978372067/5623786388115525450/5623786388115525450_signature_31.png</t>
  </si>
  <si>
    <t>Module 4 error 2032</t>
  </si>
  <si>
    <t>Module 4 undergone Xpertcheck calibration, results is Service required.</t>
  </si>
  <si>
    <t>Preventive Maintenence and Module 4 undergone Xpertcheck calibration</t>
  </si>
  <si>
    <t>Module 1, 2 and 3 are available.</t>
  </si>
  <si>
    <t>https://www.jotform.com/uploads/macarewecare/222927978372067/5621037310317585263/5621037310317585263_signature_28.png</t>
  </si>
  <si>
    <t>https://www.jotform.com/uploads/macarewecare/222927978372067/5621037310317585263/5621037310317585263_signature_31.png</t>
  </si>
  <si>
    <t xml:space="preserve">ASSAY: Xpert MTB/RIF Ultra, COUNT: 2019
</t>
  </si>
  <si>
    <t>Module 2 undergone Xpertcheck calibration and the result is Service required.</t>
  </si>
  <si>
    <t>Preventive Maintenence and Module 2 undergone Xpertcheck calibration</t>
  </si>
  <si>
    <t>Module 3 and 4 are available</t>
  </si>
  <si>
    <t>https://www.jotform.com/uploads/macarewecare/222927978372067/5621037310319773636/5621037310319773636_signature_28.png</t>
  </si>
  <si>
    <t>Amie b ybio</t>
  </si>
  <si>
    <t>https://www.jotform.com/uploads/macarewecare/222927978372067/5621037310319773636/5621037310319773636_signature_31.png</t>
  </si>
  <si>
    <t>Samboan RHU</t>
  </si>
  <si>
    <t>Poblacion, Samboan RHU</t>
  </si>
  <si>
    <t>Tb Labodatory</t>
  </si>
  <si>
    <t>B1 862517 encouner Error 4012 during Selft test on April 5, 23.</t>
  </si>
  <si>
    <t>Advice medtech to maintain the ambient temperature between 21 to 28 degrees Celcius</t>
  </si>
  <si>
    <t>Perfomed maintenance, clean Filter, clean Icore and plunger
Generate data IQR, Sys log and Assay stat, Gxx files,
Back up database</t>
  </si>
  <si>
    <t>All modules are operational and annual calibration was  due on May 31, 2023</t>
  </si>
  <si>
    <t>https://www.jotform.com/uploads/macarewecare/222927978372067/5621016732636581567/5621016732636581567_signature_28.png</t>
  </si>
  <si>
    <t>https://www.jotform.com/uploads/macarewecare/222927978372067/5621016732636581567/5621016732636581567_signature_31.png</t>
  </si>
  <si>
    <t>Taguig</t>
  </si>
  <si>
    <t xml:space="preserve">ASSAY: Xpert MTB/RIF Ultra, COUNT: 2688
ASSAY: Xpert HIV-1 Viral Load, COUNT: 2
</t>
  </si>
  <si>
    <t>Module B4 (743460) for replacement</t>
  </si>
  <si>
    <t>GeneXpert Module
SN: 210059802</t>
  </si>
  <si>
    <t>https://www.jotform.com/uploads/macarewecare/222927978372067/5620998619223900851/5620998619223900851_signature_28.png</t>
  </si>
  <si>
    <t>https://www.jotform.com/uploads/macarewecare/222927978372067/5620998619223900851/5620998619223900851_signature_31.png</t>
  </si>
  <si>
    <t xml:space="preserve">ASSAY: Xpert MTB/RIF, COUNT: 178
ASSAY: Xpert MTB/RIF Ultra, COUNT: 725
</t>
  </si>
  <si>
    <t>A1 and A2 temperature error
For Preventive maintenance</t>
  </si>
  <si>
    <t>Unit is operational except for modules A1,A2 and A3</t>
  </si>
  <si>
    <t>A1 and A2 for reporting</t>
  </si>
  <si>
    <t>https://www.jotform.com/uploads/macarewecare/222927978372067/5620895547649111566/5620895547649111566_signature_28.png</t>
  </si>
  <si>
    <t>https://www.jotform.com/uploads/macarewecare/222927978372067/5620895547649111566/5620895547649111566_signature_31.png</t>
  </si>
  <si>
    <t>Los Banos</t>
  </si>
  <si>
    <t>Performed PM.
Performed module replacement of module B1.
Generated reports.</t>
  </si>
  <si>
    <t>Gx module B1 (210091372) in replacement to defective B1 (664587).</t>
  </si>
  <si>
    <t>https://www.jotform.com/uploads/macarewecare/222927978372067/5620881913422403274/5620881913422403274_signature_28.png</t>
  </si>
  <si>
    <t>Maria Josalee Cabrera</t>
  </si>
  <si>
    <t>https://www.jotform.com/uploads/macarewecare/222927978372067/5620881913422403274/5620881913422403274_signature_31.png</t>
  </si>
  <si>
    <t>Leon Guinto Blvd., Atimonan</t>
  </si>
  <si>
    <t xml:space="preserve">ASSAY: Xpert MTB/RIF Ultra, COUNT: 354
</t>
  </si>
  <si>
    <t>Unit is operational. All modules passed</t>
  </si>
  <si>
    <t>https://www.jotform.com/uploads/macarewecare/222927978372067/5620873224523326986/5620873224523326986_signature_28.png</t>
  </si>
  <si>
    <t>Marife M.Villamiel</t>
  </si>
  <si>
    <t>https://www.jotform.com/uploads/macarewecare/222927978372067/5620873224523326986/5620873224523326986_signature_31.png</t>
  </si>
  <si>
    <t xml:space="preserve">ASSAY: Xpert MTB/RIF, COUNT: 14
ASSAY: Xpert MTB/RIF Ultra, COUNT: 747
</t>
  </si>
  <si>
    <t>Temperature error 1001 on module A4:758602</t>
  </si>
  <si>
    <t>Performed surface cleaning
Cleaning of plunger rod,icore,filter and cartridge bay
Archived test reaults
Performed calibration
Gathered reports
Performed functionality test</t>
  </si>
  <si>
    <t>https://www.jotform.com/uploads/macarewecare/222927978372067/5620846084511441852/5620846084511441852_signature_28.png</t>
  </si>
  <si>
    <t>https://www.jotform.com/uploads/macarewecare/222927978372067/5620846084511441852/5620846084511441852_signature_31.png</t>
  </si>
  <si>
    <t>Poblacion Dalaguete</t>
  </si>
  <si>
    <t>Tb Laboratoy</t>
  </si>
  <si>
    <t>Module 1 Sn 716217 Run time error 1002 and Module B4  SN 714498 error run time error 1002 and 4009  temperatire Verification error</t>
  </si>
  <si>
    <t>Adjust aircon setting, performed plunger maintenance</t>
  </si>
  <si>
    <t>Reset module, Performed self test, genearate data, sys log, IQR and Gxx files</t>
  </si>
  <si>
    <t>Only 1 module is used by the end user due to this run time error of Module 1, 3 and 4</t>
  </si>
  <si>
    <t>https://www.jotform.com/uploads/macarewecare/222927978372067/5620203383181975324/5620203383181975324_signature_28.png</t>
  </si>
  <si>
    <t>Allyza Valdez</t>
  </si>
  <si>
    <t>https://www.jotform.com/uploads/macarewecare/222927978372067/5620203383181975324/5620203383181975324_signature_31.png</t>
  </si>
  <si>
    <t>Alabat, Quezon</t>
  </si>
  <si>
    <t>troubleshooting stuck cartridge</t>
  </si>
  <si>
    <t>unit is operational. disadbled C4</t>
  </si>
  <si>
    <t>https://www.jotform.com/uploads/macarewecare/222927978372067/5620191144129634350/5620191144129634350_signature_28.png</t>
  </si>
  <si>
    <t>https://www.jotform.com/uploads/macarewecare/222927978372067/5620191144129634350/5620191144129634350_signature_31.png</t>
  </si>
  <si>
    <t>Poblacion, Tampakan South Cotabato</t>
  </si>
  <si>
    <t>https://www.jotform.com/uploads/macarewecare/222927978372067/5620173952375073653/5620173952375073653_signature_28.png</t>
  </si>
  <si>
    <t>Jovi G. GELIO</t>
  </si>
  <si>
    <t>https://www.jotform.com/uploads/macarewecare/222927978372067/5620173952375073653/5620173952375073653_signature_31.png</t>
  </si>
  <si>
    <t>Philippine Red Cross - General Santos City Blood Center</t>
  </si>
  <si>
    <t>j_fuscablo@yahoo.com</t>
  </si>
  <si>
    <t>Perform MCS+ Preventive maintenance
Perform MCS+ Calibration
Perform cycle test</t>
  </si>
  <si>
    <t>https://www.jotform.com/uploads/macarewecare/222927978372067/5620173952377247859/5620173952377247859_signature_28.png</t>
  </si>
  <si>
    <t>Johnny Fuscablo,RMT</t>
  </si>
  <si>
    <t>https://www.jotform.com/uploads/macarewecare/222927978372067/5620173952377247859/5620173952377247859_signature_31.png</t>
  </si>
  <si>
    <t xml:space="preserve">ASSAY: Xpert HPV, COUNT: 737
ASSAY: Xpert MTB/RIF Ultra, COUNT: 7078
ASSAY: Xpert SARS-CoV-2, COUNT: 11171
ASSAY: Xpert HIV-1 Viral Load, COUNT: 546
</t>
  </si>
  <si>
    <t>Service Required modules A1/713054, A3/625215, and C3/686629</t>
  </si>
  <si>
    <t>Replaced module new module SN: A1/210067859, A3/210059879 and C3/210063174</t>
  </si>
  <si>
    <t>Preventive maintenance 
Module Replacement
Generate report files
Database backup</t>
  </si>
  <si>
    <t>https://www.jotform.com/uploads/macarewecare/222927978372067/5620167759641913309/5620167759641913309_signature_28.png</t>
  </si>
  <si>
    <t>NMMC</t>
  </si>
  <si>
    <t>https://www.jotform.com/uploads/macarewecare/222927978372067/5620167759641913309/5620167759641913309_signature_31.png</t>
  </si>
  <si>
    <t>Gagalangin Manila</t>
  </si>
  <si>
    <t xml:space="preserve">ASSAY: Xpert MTB/RIF Ultra, COUNT: 1852
</t>
  </si>
  <si>
    <t>Unit for PM.
For removal of stucked cartridge.</t>
  </si>
  <si>
    <t>Performed PM.
Performed removal of stucked cartridge.
Generated reports</t>
  </si>
  <si>
    <t>https://www.jotform.com/uploads/macarewecare/222927978372067/5620118359489816399/5620118359489816399_signature_28.png</t>
  </si>
  <si>
    <t>https://www.jotform.com/uploads/macarewecare/222927978372067/5620118359489816399/5620118359489816399_signature_31.png</t>
  </si>
  <si>
    <t>Cansojong Poblacion Talisay City</t>
  </si>
  <si>
    <t>Error 5011 Module 3 recurring error and Hardware failure on B4 210018733 due to Error 2014 Temperature offshot</t>
  </si>
  <si>
    <t>Observed module 4 within the week</t>
  </si>
  <si>
    <t>Performed self test, clean Icore, clean
Restart module</t>
  </si>
  <si>
    <t>Only 2 modules are operational</t>
  </si>
  <si>
    <t>https://www.jotform.com/uploads/macarewecare/222927978372067/5620044248262546072/5620044248262546072_signature_28.png</t>
  </si>
  <si>
    <t>https://www.jotform.com/uploads/macarewecare/222927978372067/5620044248262546072/5620044248262546072_signature_31.png</t>
  </si>
  <si>
    <t>Municipal Compound Mariveles, Bataan</t>
  </si>
  <si>
    <t>rhu1lab@gmail.com</t>
  </si>
  <si>
    <t xml:space="preserve">ASSAY: Xpert MTB/RIF Ultra, COUNT: 1072
</t>
  </si>
  <si>
    <t>Due for calibration
Error 2034
Laptop BIOS defective( start up date error)
Slow PC
Unlicensed Operating system</t>
  </si>
  <si>
    <t>Xpertcheck, troubleshooting and Preventive maintenance</t>
  </si>
  <si>
    <t>Performed surface cleaning
Cleaning of plunger rod,icore,filter and cartridge bay
Archived test results
Xpertcheck application update to 1.5a
Reset Gateway Board
Performed calibration
Gathered reports
Performed functionality test</t>
  </si>
  <si>
    <t>Unit is operational, all modules passed calibration</t>
  </si>
  <si>
    <t>For PC replacement, used 4 xpertcheck kits</t>
  </si>
  <si>
    <t>https://www.jotform.com/uploads/macarewecare/222927978372067/5620099804716103511/5620099804716103511_signature_28.png</t>
  </si>
  <si>
    <t>Jossa Mae Monroe</t>
  </si>
  <si>
    <t>https://www.jotform.com/uploads/macarewecare/222927978372067/5620099804716103511/5620099804716103511_signature_31.png</t>
  </si>
  <si>
    <t>Pontevedra RHU</t>
  </si>
  <si>
    <t>Conduct PM and saves files(GXX File, IQR, System Log &amp; Archive)</t>
  </si>
  <si>
    <t>Run Xpert check calibration for module 2 only with SN 862258</t>
  </si>
  <si>
    <t>Module 1 already reported for replacement. Module 3 &amp; 4 are in good condition</t>
  </si>
  <si>
    <t>https://www.jotform.com/uploads/macarewecare/222927978372067/5620073794546463490/5620073794546463490_signature_28.png</t>
  </si>
  <si>
    <t>https://www.jotform.com/uploads/macarewecare/222927978372067/5620073794546463490/5620073794546463490_signature_31.png</t>
  </si>
  <si>
    <t>Bgry. 93 Bagacay, Tacloban City</t>
  </si>
  <si>
    <t>Installation for GXIV 10C
Setup all devices 
CPU - SN: CPH0722F39014
LCD Monitor - SN: V5GAH854
UPS - SN: 40208632105</t>
  </si>
  <si>
    <t>GXIV 10C, CPU, lcd monitor, Ups,</t>
  </si>
  <si>
    <t>https://www.jotform.com/uploads/macarewecare/222927978372067/5620051175422774266/5620051175422774266_signature_28.png</t>
  </si>
  <si>
    <t>Ma Merlina Vistal</t>
  </si>
  <si>
    <t>https://www.jotform.com/uploads/macarewecare/222927978372067/5620051175422774266/5620051175422774266_signature_31.png</t>
  </si>
  <si>
    <t>Medellin Rhu</t>
  </si>
  <si>
    <t>Due for Maintenance
Module 2 Sn 862245 and Module 4 Sn 633038 run time error 1002</t>
  </si>
  <si>
    <t>Performed maintenance and generate datA,</t>
  </si>
  <si>
    <t>Perfomed maintenance, Clean filter, clean Icore,  clean plunger and clean cartridge bay</t>
  </si>
  <si>
    <t>O
nly 2 units are available due to run time error of modue 2 and 4</t>
  </si>
  <si>
    <t>https://www.jotform.com/uploads/macarewecare/222927978372067/5619371018816272901/5619371018816272901_signature_28.png</t>
  </si>
  <si>
    <t>Raul Galano, Rmt</t>
  </si>
  <si>
    <t>https://www.jotform.com/uploads/macarewecare/222927978372067/5619371018816272901/5619371018816272901_signature_31.png</t>
  </si>
  <si>
    <t xml:space="preserve">ASSAY: Xpert HPV, COUNT: 508
ASSAY: Xpert MTB/RIF, COUNT: 0
ASSAY: Xpert MTB/RIF Ultra, COUNT: 2498
ASSAY: Xpert HIV-1 Viral Load, COUNT: 130
</t>
  </si>
  <si>
    <t>Module 4 recurring error</t>
  </si>
  <si>
    <t>Replaced module D4: 677265 -&gt; 210059928</t>
  </si>
  <si>
    <t>Unit is operational. UPS not giving back up</t>
  </si>
  <si>
    <t>DR# 0040973</t>
  </si>
  <si>
    <t>https://www.jotform.com/uploads/macarewecare/222927978372067/5619318977914598057/5619318977914598057_signature_28.png</t>
  </si>
  <si>
    <t>https://www.jotform.com/uploads/macarewecare/222927978372067/5619318977914598057/5619318977914598057_signature_31.png</t>
  </si>
  <si>
    <t>Poblacion Barili,Cebu</t>
  </si>
  <si>
    <t>B1,B2 modules are functional ok to use.
B3,B4 modules not ok to use.</t>
  </si>
  <si>
    <t>https://www.jotform.com/uploads/macarewecare/222927978372067/5619299614673742199/5619299614673742199_signature_28.png</t>
  </si>
  <si>
    <t>Grace D. Cui</t>
  </si>
  <si>
    <t>https://www.jotform.com/uploads/macarewecare/222927978372067/5619299614673742199/5619299614673742199_signature_31.png</t>
  </si>
  <si>
    <t>rhia.aragon@gmail.com</t>
  </si>
  <si>
    <t xml:space="preserve">ASSAY: Xpert MTB/RIF Ultra, COUNT: 1986
</t>
  </si>
  <si>
    <t>Module A2 (643729) for replacement</t>
  </si>
  <si>
    <t>GeneXpert Modules
SN: 210059813</t>
  </si>
  <si>
    <t>https://www.jotform.com/uploads/macarewecare/222927978372067/5619296602324890731/5619296602324890731_signature_28.png</t>
  </si>
  <si>
    <t>Rhia Aragon</t>
  </si>
  <si>
    <t>https://www.jotform.com/uploads/macarewecare/222927978372067/5619296602324890731/5619296602324890731_signature_31.png</t>
  </si>
  <si>
    <t>DOH Compound JP Laurel Bajada Davao City</t>
  </si>
  <si>
    <t>GX IV 4D 10C</t>
  </si>
  <si>
    <t>Replaced the Defective Module SN 210011400 with new Module SN 210010841</t>
  </si>
  <si>
    <t>High Room Temperature, User is advise to adhere the recommended room temperature before operating the GeneXpert System</t>
  </si>
  <si>
    <t>https://www.jotform.com/uploads/macarewecare/222927978372067/5619283001714363575/5619283001714363575_signature_28.png</t>
  </si>
  <si>
    <t>IRENE M. ABEJUELA</t>
  </si>
  <si>
    <t>https://www.jotform.com/uploads/macarewecare/222927978372067/5619283001714363575/5619283001714363575_signature_31.png</t>
  </si>
  <si>
    <t>https://www.jotform.com/uploads/macarewecare/222927978372067/5619276758228909534/5619276758228909534_signature_28.png</t>
  </si>
  <si>
    <t>https://www.jotform.com/uploads/macarewecare/222927978372067/5619276758228909534/5619276758228909534_signature_31.png</t>
  </si>
  <si>
    <t xml:space="preserve">ASSAY: Xpert MTB/RIF, COUNT: 179
ASSAY: Xpert MTB/RIF Ultra, COUNT: 1221
</t>
  </si>
  <si>
    <t>Waiting for module B1 allocation. All other modules are operational.</t>
  </si>
  <si>
    <t>https://www.jotform.com/uploads/macarewecare/222927978372067/5619251517714095984/5619251517714095984_signature_28.png</t>
  </si>
  <si>
    <t>Fatimah B. Maraviles</t>
  </si>
  <si>
    <t>https://www.jotform.com/uploads/macarewecare/222927978372067/5619251517714095984/5619251517714095984_signature_31.png</t>
  </si>
  <si>
    <t xml:space="preserve">ASSAY: Xpert MTB/RIF, COUNT: 17
ASSAY: Xpert MTB/RIF Ultra, COUNT: 743
</t>
  </si>
  <si>
    <t>Genexpert maintenance
-Performed surface cleaning
-Performed cleaning of cartridge bay,icore,plunger rod and filter
-Generate reports
-Archived test results
-Performed functionality test</t>
  </si>
  <si>
    <t>https://www.jotform.com/uploads/macarewecare/222927978372067/5619248231028256233/5619248231028256233_signature_28.png</t>
  </si>
  <si>
    <t>https://www.jotform.com/uploads/macarewecare/222927978372067/5619248231028256233/5619248231028256233_signature_31.png</t>
  </si>
  <si>
    <t>Dagupan CHO</t>
  </si>
  <si>
    <t>Herero-Perez</t>
  </si>
  <si>
    <t xml:space="preserve">ASSAY: Xpert MTB/RIF, COUNT: 85
ASSAY: Xpert MTB/RIF Ultra, COUNT: 1236
</t>
  </si>
  <si>
    <t>https://www.jotform.com/uploads/macarewecare/222927978372067/5619198427126732311/5619198427126732311_signature_28.png</t>
  </si>
  <si>
    <t>https://www.jotform.com/uploads/macarewecare/222927978372067/5619198427126732311/5619198427126732311_signature_31.png</t>
  </si>
  <si>
    <t>https://www.jotform.com/uploads/macarewecare/222927978372067/5619198177124250827/5619198177124250827_signature_28.png</t>
  </si>
  <si>
    <t>https://www.jotform.com/uploads/macarewecare/222927978372067/5619198177124250827/5619198177124250827_signature_31.png</t>
  </si>
  <si>
    <t xml:space="preserve">ASSAY: Xpert MTB/RIF, COUNT: 52
ASSAY: Xpert MTB/RIF Ultra, COUNT: 1457
ASSAY: Xpert SARS-CoV-2, COUNT: 3775
</t>
  </si>
  <si>
    <t>Troubleshoot module B1 and other modules</t>
  </si>
  <si>
    <t>https://www.jotform.com/uploads/macarewecare/222927978372067/5619179327125751179/5619179327125751179_signature_28.png</t>
  </si>
  <si>
    <t>Romar Tamayo</t>
  </si>
  <si>
    <t>https://www.jotform.com/uploads/macarewecare/222927978372067/5619179327125751179/5619179327125751179_signature_31.png</t>
  </si>
  <si>
    <t>https://www.jotform.com/uploads/macarewecare/222927978372067/5619179047128051687/5619179047128051687_signature_28.png</t>
  </si>
  <si>
    <t>https://www.jotform.com/uploads/macarewecare/222927978372067/5619179047128051687/5619179047128051687_signature_31.png</t>
  </si>
  <si>
    <t>Concepcion Pequeñe, Naga City</t>
  </si>
  <si>
    <t xml:space="preserve">ASSAY: Xpert HPV, COUNT: 1066
ASSAY: Xpert MTB/RIF Ultra, COUNT: 182
ASSAY: Xpert SARS-CoV-2, COUNT: 469
</t>
  </si>
  <si>
    <t>Cleaned Cartridge Bays,plunger rod, filter
Generated reports</t>
  </si>
  <si>
    <t>B3 with temperature error codes, for reporting</t>
  </si>
  <si>
    <t>https://www.jotform.com/uploads/macarewecare/222927978372067/5619152571819881708/5619152571819881708_signature_28.png</t>
  </si>
  <si>
    <t>Patricia Loise C. BACHILLER</t>
  </si>
  <si>
    <t>https://www.jotform.com/uploads/macarewecare/222927978372067/5619152571819881708/5619152571819881708_signature_31.png</t>
  </si>
  <si>
    <t xml:space="preserve">ASSAY: Xpert HPV, COUNT: 1570
ASSAY: Xpert MTB/RIF, COUNT: 0
ASSAY: Xpert MTB/RIF Ultra, COUNT: 6338
ASSAY: Xpert SARS-CoV-2, COUNT: 3149
ASSAY: Xpert HIV-1 Viral Load, COUNT: 306
</t>
  </si>
  <si>
    <t>XpertCheck
Cleaned Cartridge Bays, Plunger Rod, Fan filter
Generated Report</t>
  </si>
  <si>
    <t>Unit is operational
D2 failed
D3 failed 
D4 failed</t>
  </si>
  <si>
    <t>High temperature statuses of modules as shown in IQR</t>
  </si>
  <si>
    <t>PL 010400</t>
  </si>
  <si>
    <t>https://www.jotform.com/uploads/macarewecare/222927978372067/5619150731811012998/5619150731811012998_signature_28.png</t>
  </si>
  <si>
    <t>Patricia  Loise C. Bachiller</t>
  </si>
  <si>
    <t>https://www.jotform.com/uploads/macarewecare/222927978372067/5619150731811012998/5619150731811012998_signature_31.png</t>
  </si>
  <si>
    <t>Poblacion, Aloguinsan, Cebu</t>
  </si>
  <si>
    <t>Perform Xpertcheck and Preventive Maintenance.</t>
  </si>
  <si>
    <t>All modules pass for Xpertcheck.</t>
  </si>
  <si>
    <t>https://www.jotform.com/uploads/macarewecare/222927978372067/5619145697274739759/5619145697274739759_signature_28.png</t>
  </si>
  <si>
    <t>Jennifer L. Sayson</t>
  </si>
  <si>
    <t>https://www.jotform.com/uploads/macarewecare/222927978372067/5619145697274739759/5619145697274739759_signature_31.png</t>
  </si>
  <si>
    <t>Brgy. Magallanes Tayug, Pangasinan</t>
  </si>
  <si>
    <t>Due for Module Replacement and Maintenance</t>
  </si>
  <si>
    <t>-Cleaned Cartridge bays, Plunger Rods, I-CORE 
-Replaced defective module B3 864409 &gt;&gt;&gt; 210059893
-Generated Reports</t>
  </si>
  <si>
    <t>GeneXpert Module 210059893</t>
  </si>
  <si>
    <t>DR No. 0040967</t>
  </si>
  <si>
    <t>https://www.jotform.com/uploads/macarewecare/222927978372067/5618576577127032214/5618576577127032214_signature_28.png</t>
  </si>
  <si>
    <t>Fergyl Escano</t>
  </si>
  <si>
    <t>https://www.jotform.com/uploads/macarewecare/222927978372067/5618576577127032214/5618576577127032214_signature_31.png</t>
  </si>
  <si>
    <t>Rosales Pangasinan</t>
  </si>
  <si>
    <t xml:space="preserve">ASSAY: Xpert MTB/RIF, COUNT: 266
ASSAY: Xpert MTB/RIF Ultra, COUNT: 400
</t>
  </si>
  <si>
    <t>For troubleshooting of module B2</t>
  </si>
  <si>
    <t>Cleaned Cartridge Bays, I-CORE, Plunger Rods 
Generated reports</t>
  </si>
  <si>
    <t>https://www.jotform.com/uploads/macarewecare/222927978372067/5618547997122885457/5618547997122885457_signature_28.png</t>
  </si>
  <si>
    <t>Allan B.Vinluan</t>
  </si>
  <si>
    <t>https://www.jotform.com/uploads/macarewecare/222927978372067/5618547997122885457/5618547997122885457_signature_31.png</t>
  </si>
  <si>
    <t>Caloocan, Metro Manila</t>
  </si>
  <si>
    <t xml:space="preserve">ASSAY: Xpert MTB/RIF Ultra, COUNT: 3119
ASSAY: Xpert HIV-1 Viral Load, COUNT: 492
</t>
  </si>
  <si>
    <t>Replaced A4: 695309 -&gt; 210059851</t>
  </si>
  <si>
    <t>https://www.jotform.com/uploads/macarewecare/222927978372067/5618511569128808103/5618511569128808103_signature_28.png</t>
  </si>
  <si>
    <t>https://www.jotform.com/uploads/macarewecare/222927978372067/5618511569128808103/5618511569128808103_signature_31.png</t>
  </si>
  <si>
    <t>Replaced Module B3: 690081 -&gt; 210063155</t>
  </si>
  <si>
    <t>https://www.jotform.com/uploads/macarewecare/222927978372067/5618509779127189434/5618509779127189434_signature_28.png</t>
  </si>
  <si>
    <t>Maricris C. Name</t>
  </si>
  <si>
    <t>https://www.jotform.com/uploads/macarewecare/222927978372067/5618509779127189434/5618509779127189434_signature_31.png</t>
  </si>
  <si>
    <t>Sta. Cruz Sur, Iriga, Camarines Sur</t>
  </si>
  <si>
    <t>kerov_xxx@yahoo.com</t>
  </si>
  <si>
    <t>Performed XpertCheck
cleaned cartridge bays,plunger rod, filter
Generated reports</t>
  </si>
  <si>
    <t>xpertcheck &amp; preventive maintenence</t>
  </si>
  <si>
    <t>Unit is operational 
B1 - passed
B2 - failed
B3 - failed
B4 - passed</t>
  </si>
  <si>
    <t>All 4modules with temperature error codes</t>
  </si>
  <si>
    <t>https://www.jotform.com/uploads/macarewecare/222927978372067/5618450315719839658/5618450315719839658_signature_28.png</t>
  </si>
  <si>
    <t>KEROV N. CORTAN</t>
  </si>
  <si>
    <t>https://www.jotform.com/uploads/macarewecare/222927978372067/5618450315719839658/5618450315719839658_signature_31.png</t>
  </si>
  <si>
    <t>Kapalong, Davao del Norte</t>
  </si>
  <si>
    <t>Run XPC on the four Modules
Generate IQR, Assay Stat and System Log</t>
  </si>
  <si>
    <t>Module 3 for service required, other Modules Passed the Calibration</t>
  </si>
  <si>
    <t>https://www.jotform.com/uploads/macarewecare/222927978372067/5618448693298234591/5618448693298234591_signature_28.png</t>
  </si>
  <si>
    <t>LEONA S. OLILA</t>
  </si>
  <si>
    <t>https://www.jotform.com/uploads/macarewecare/222927978372067/5618448693298234591/5618448693298234591_signature_31.png</t>
  </si>
  <si>
    <t xml:space="preserve">ASSAY: Xpert MTB/RIF, COUNT: 7
ASSAY: Xpert MTB/RIF Ultra, COUNT: 1447
</t>
  </si>
  <si>
    <t>Module B1 (694240) for replacement</t>
  </si>
  <si>
    <t>GeneXpert Module
SN: 210059825</t>
  </si>
  <si>
    <t>https://www.jotform.com/uploads/macarewecare/222927978372067/5618404962617613095/5618404962617613095_signature_28.png</t>
  </si>
  <si>
    <t>Jas Soriano</t>
  </si>
  <si>
    <t>https://www.jotform.com/uploads/macarewecare/222927978372067/5618404962617613095/5618404962617613095_signature_31.png</t>
  </si>
  <si>
    <t>Sta Rosa, Olango Island Lapulapu City</t>
  </si>
  <si>
    <t>Due for Monthly Maintenance</t>
  </si>
  <si>
    <t>Performed maintenance, generate data, Sys Log, Assay Statistics</t>
  </si>
  <si>
    <t>Performed maintenance, clean Filter, clean Icore, clean plunger</t>
  </si>
  <si>
    <t>https://www.jotform.com/uploads/macarewecare/222927978372067/5618401252781100999/5618401252781100999_signature_28.png</t>
  </si>
  <si>
    <t>Aries Tumulak, RMT</t>
  </si>
  <si>
    <t>https://www.jotform.com/uploads/macarewecare/222927978372067/5618401252781100999/5618401252781100999_signature_31.png</t>
  </si>
  <si>
    <t xml:space="preserve">ASSAY: Xpert MTB/RIF, COUNT: 143
ASSAY: Xpert MTB/RIF Ultra, COUNT: 1419
</t>
  </si>
  <si>
    <t>CPU not booting up.</t>
  </si>
  <si>
    <t>CPU already reported to Cepheid. Waiting for replacement parts.</t>
  </si>
  <si>
    <t>Replacing Module D3 with SN : 610085 to SN: 210067890</t>
  </si>
  <si>
    <t>All modules are working and operational
Temporary Laptop was used.</t>
  </si>
  <si>
    <t>https://www.jotform.com/uploads/macarewecare/222927978372067/5618373137285612492/5618373137285612492_signature_28.png</t>
  </si>
  <si>
    <t>https://www.jotform.com/uploads/macarewecare/222927978372067/5618373137285612492/5618373137285612492_signature_31.png</t>
  </si>
  <si>
    <t>Evangelista Ave., Pasig, Metro Manila</t>
  </si>
  <si>
    <t xml:space="preserve">ASSAY: Xpert MTB/RIF, COUNT: 20
ASSAY: Xpert MTB/RIF Ultra, COUNT: 3968
</t>
  </si>
  <si>
    <t>GX IV - 6C</t>
  </si>
  <si>
    <t>-Checked and cleaned cartridge bays, icore slot, plunger rod and filter
-Replaced module 2
-Generated reports</t>
  </si>
  <si>
    <t>Replaced Module 2 - 890193 -&gt; 210059845</t>
  </si>
  <si>
    <t>https://www.jotform.com/uploads/macarewecare/222927978372067/5618371093419728226/5618371093419728226_signature_28.png</t>
  </si>
  <si>
    <t>https://www.jotform.com/uploads/macarewecare/222927978372067/5618371093419728226/5618371093419728226_signature_31.png</t>
  </si>
  <si>
    <t>Cebu City Health Center</t>
  </si>
  <si>
    <t>REPAIR
CALIBRATION
ON-SITE ASSISTANCE</t>
  </si>
  <si>
    <t>005 real time clock power loss</t>
  </si>
  <si>
    <t>Replace new battery</t>
  </si>
  <si>
    <t>Replace new battery adust systems settings</t>
  </si>
  <si>
    <t>https://www.jotform.com/uploads/macarewecare/222927978372067/5618339454894385860/5618339454894385860_signature_28.png</t>
  </si>
  <si>
    <t>https://www.jotform.com/uploads/macarewecare/222927978372067/5618339454894385860/5618339454894385860_signature_31.png</t>
  </si>
  <si>
    <t xml:space="preserve">ASSAY: Xpert HIV-1 Viral Load, COUNT: 507
</t>
  </si>
  <si>
    <t>https://www.jotform.com/uploads/macarewecare/222927978372067/5618334234521658464/5618334234521658464_signature_28.png</t>
  </si>
  <si>
    <t>https://www.jotform.com/uploads/macarewecare/222927978372067/5618334234521658464/5618334234521658464_signature_31.png</t>
  </si>
  <si>
    <t>Biopath Clinical Diagnostic Afrims</t>
  </si>
  <si>
    <t>Cap Building, Cebu City</t>
  </si>
  <si>
    <t>mry_kee@yahop.com</t>
  </si>
  <si>
    <t>Magcore Plus</t>
  </si>
  <si>
    <t>P26R021920135</t>
  </si>
  <si>
    <t>Motor X axis problem</t>
  </si>
  <si>
    <t>Clean up slide guide of the motor</t>
  </si>
  <si>
    <t>Repair motor</t>
  </si>
  <si>
    <t>https://www.jotform.com/uploads/macarewecare/222927978372067/5618279994519696811/5618279994519696811_signature_28.png</t>
  </si>
  <si>
    <t>Mary Joy Kee,</t>
  </si>
  <si>
    <t>https://www.jotform.com/uploads/macarewecare/222927978372067/5618279994519696811/5618279994519696811_signature_31.png</t>
  </si>
  <si>
    <t>Love YourSelf Cebu</t>
  </si>
  <si>
    <t>6 Avelino Morales St, Cebu City, 6000 Cebu</t>
  </si>
  <si>
    <t>rmission@loveyourself.ph</t>
  </si>
  <si>
    <t xml:space="preserve">ASSAY: Xpert HIV-1 Viral Load, COUNT: 78
</t>
  </si>
  <si>
    <t>https://www.jotform.com/uploads/macarewecare/222927978372067/5617446095838926942/5617446095838926942_signature_28.png</t>
  </si>
  <si>
    <t>RALPH PEARVIN G. MISSION, RMT</t>
  </si>
  <si>
    <t>https://www.jotform.com/uploads/macarewecare/222927978372067/5617446095838926942/5617446095838926942_signature_31.png</t>
  </si>
  <si>
    <t>Module B4 error code 5007 3x,2008</t>
  </si>
  <si>
    <t>Calibrate Module B4</t>
  </si>
  <si>
    <t>Module B4 Pass for calibration</t>
  </si>
  <si>
    <t>https://www.jotform.com/uploads/macarewecare/222927978372067/5617407025834747740/5617407025834747740_signature_28.png</t>
  </si>
  <si>
    <t>https://www.jotform.com/uploads/macarewecare/222927978372067/5617407025834747740/5617407025834747740_signature_31.png</t>
  </si>
  <si>
    <t>Romblon Provincial Hospital</t>
  </si>
  <si>
    <t>M.L. Quezon St, Odiongan</t>
  </si>
  <si>
    <t>mjfaderogaya.rmt@gmail.com</t>
  </si>
  <si>
    <t xml:space="preserve">ASSAY: Xpert MTB/RIF Ultra, COUNT: 623
ASSAY: Xpert HIV-1 Viral Load, COUNT: 3
</t>
  </si>
  <si>
    <t>626529 -&gt; 210091141</t>
  </si>
  <si>
    <t>https://www.jotform.com/uploads/macarewecare/222927978372067/5617361773618836663/5617361773618836663_signature_28.png</t>
  </si>
  <si>
    <t>Mary Jane S. Faderogaya</t>
  </si>
  <si>
    <t>https://www.jotform.com/uploads/macarewecare/222927978372067/5617361773618836663/5617361773618836663_signature_31.png</t>
  </si>
  <si>
    <t xml:space="preserve">ASSAY: Xpert MTB/RIF Ultra, COUNT: 718
ASSAY: Xpert HIV-1 Viral Load, COUNT: 8
</t>
  </si>
  <si>
    <t>All Modules are Oprational</t>
  </si>
  <si>
    <t>https://www.jotform.com/uploads/macarewecare/222927978372067/5617361773619341411/5617361773619341411_signature_28.png</t>
  </si>
  <si>
    <t>Mary Jane Faderogaya</t>
  </si>
  <si>
    <t>https://www.jotform.com/uploads/macarewecare/222927978372067/5617361773619341411/5617361773619341411_signature_31.png</t>
  </si>
  <si>
    <t xml:space="preserve">ASSAY: Xpert MTB/RIF Ultra, COUNT: 168
ASSAY: Xpert SARS-CoV-2, COUNT: 151
</t>
  </si>
  <si>
    <t>Module Failed in XpertCheck</t>
  </si>
  <si>
    <t>Performed Maintenance
Replaced 1 Module
Generate Reports</t>
  </si>
  <si>
    <t>784829 -&gt; 210092154</t>
  </si>
  <si>
    <t>https://www.jotform.com/uploads/macarewecare/222927978372067/5617361663613456712/5617361663613456712_signature_28.png</t>
  </si>
  <si>
    <t>KATRINA ROSE F. AUREADA</t>
  </si>
  <si>
    <t>https://www.jotform.com/uploads/macarewecare/222927978372067/5617361663613456712/5617361663613456712_signature_31.png</t>
  </si>
  <si>
    <t>Dasmariñas (Paliparan) City Chealth Office IV</t>
  </si>
  <si>
    <t>Phase III, Paliparan</t>
  </si>
  <si>
    <t xml:space="preserve">ASSAY: Xpert MTB/RIF Ultra, COUNT: 1871
ASSAY: Xpert HIV-1 Viral Load, COUNT: 75
ASSAY: Xpert HPV, COUNT: 42
</t>
  </si>
  <si>
    <t>Performed Maintenance
Replaced Module 2
Generate Reports</t>
  </si>
  <si>
    <t>210068735-&gt; 210091142</t>
  </si>
  <si>
    <t>Gx Module Kit</t>
  </si>
  <si>
    <t>G 5574</t>
  </si>
  <si>
    <t>https://www.jotform.com/uploads/macarewecare/222927978372067/5617361663618966921/5617361663618966921_signature_28.png</t>
  </si>
  <si>
    <t>https://www.jotform.com/uploads/macarewecare/222927978372067/5617361663618966921/5617361663618966921_signature_31.png</t>
  </si>
  <si>
    <t>National Road, Putatan</t>
  </si>
  <si>
    <t xml:space="preserve">ASSAY: Xpert HPV, COUNT: 84
ASSAY: Xpert MTB/RIF Ultra, COUNT: 1350
ASSAY: Xpert HIV-1 Viral Load, COUNT: 81
</t>
  </si>
  <si>
    <t>Replaced Module 1
Gemerate Reports
Performed Functionality Test</t>
  </si>
  <si>
    <t>https://www.jotform.com/uploads/macarewecare/222927978372067/5617361653613952376/5617361653613952376_signature_28.png</t>
  </si>
  <si>
    <t>https://www.jotform.com/uploads/macarewecare/222927978372067/5617361653613952376/5617361653613952376_signature_31.png</t>
  </si>
  <si>
    <t xml:space="preserve">ASSAY: Xpert MTB/RIF Ultra, COUNT: 211
ASSAY: Xpert SARS-CoV-2, COUNT: 562
</t>
  </si>
  <si>
    <t>1 Module Failed in XpertCheck</t>
  </si>
  <si>
    <t>863445-&gt; 210092155</t>
  </si>
  <si>
    <t>https://www.jotform.com/uploads/macarewecare/222927978372067/5617361663619142216/5617361663619142216_signature_28.png</t>
  </si>
  <si>
    <t>https://www.jotform.com/uploads/macarewecare/222927978372067/5617361663619142216/5617361663619142216_signature_31.png</t>
  </si>
  <si>
    <t>MAINTENANCE
Install Network Switch</t>
  </si>
  <si>
    <t>lore_montoya1169@gmail.com</t>
  </si>
  <si>
    <t xml:space="preserve">ASSAY: Xpert HIV-1 Viral Load, COUNT: 198
ASSAY: Xpert MTB/RIF Ultra, COUNT: 1728
</t>
  </si>
  <si>
    <t>For Installation of Network Switch</t>
  </si>
  <si>
    <t>Performed Maintenance
Install Switch betweeon PBSP and DOH units</t>
  </si>
  <si>
    <t>https://www.jotform.com/uploads/macarewecare/222927978372067/5617361663619806634/5617361663619806634_signature_28.png</t>
  </si>
  <si>
    <t>https://www.jotform.com/uploads/macarewecare/222927978372067/5617361663619806634/5617361663619806634_signature_31.png</t>
  </si>
  <si>
    <t>Unit is operational. Module B3 (876732), service required.</t>
  </si>
  <si>
    <t>3 spare Xpertcheck</t>
  </si>
  <si>
    <t>https://www.jotform.com/uploads/macarewecare/222927978372067/5617338702144904026/5617338702144904026_signature_28.png</t>
  </si>
  <si>
    <t>https://www.jotform.com/uploads/macarewecare/222927978372067/5617338702144904026/5617338702144904026_signature_31.png</t>
  </si>
  <si>
    <t>https://www.jotform.com/uploads/macarewecare/222927978372067/5617338662148748580/5617338662148748580_signature_28.png</t>
  </si>
  <si>
    <t>https://www.jotform.com/uploads/macarewecare/222927978372067/5617338662148748580/5617338662148748580_signature_31.png</t>
  </si>
  <si>
    <t>Quezon ave.,Quezon city</t>
  </si>
  <si>
    <t>Cleaned unit, Checked rollers,dpm,spm,line sensor,valve,centrifuge,cuff,
Checked parameters,
Performed functionality test</t>
  </si>
  <si>
    <t>https://www.jotform.com/uploads/macarewecare/222927978372067/5617329103611774607/5617329103611774607_signature_28.png</t>
  </si>
  <si>
    <t>Kettle Unlayao</t>
  </si>
  <si>
    <t>https://www.jotform.com/uploads/macarewecare/222927978372067/5617329103611774607/5617329103611774607_signature_31.png</t>
  </si>
  <si>
    <t>https://www.jotform.com/uploads/macarewecare/222927978372067/5617328963619116365/5617328963619116365_signature_28.png</t>
  </si>
  <si>
    <t>https://www.jotform.com/uploads/macarewecare/222927978372067/5617328963619116365/5617328963619116365_signature_31.png</t>
  </si>
  <si>
    <t>Performed maintenance
Cleaned unit
Checked rollers,spm,dpm,line sensor,centrifuge,valve,cuff,
Perfomed functionality test</t>
  </si>
  <si>
    <t>https://www.jotform.com/uploads/macarewecare/222927978372067/5617327833611497039/5617327833611497039_signature_28.png</t>
  </si>
  <si>
    <t>https://www.jotform.com/uploads/macarewecare/222927978372067/5617327833611497039/5617327833611497039_signature_31.png</t>
  </si>
  <si>
    <t>https://www.jotform.com/uploads/macarewecare/222927978372067/5617327763614726753/5617327763614726753_signature_28.png</t>
  </si>
  <si>
    <t>https://www.jotform.com/uploads/macarewecare/222927978372067/5617327763614726753/5617327763614726753_signature_31.png</t>
  </si>
  <si>
    <t>https://www.jotform.com/uploads/macarewecare/222927978372067/5616555698489657294/5616555698489657294_signature_28.png</t>
  </si>
  <si>
    <t>https://www.jotform.com/uploads/macarewecare/222927978372067/5616555698489657294/5616555698489657294_signature_31.png</t>
  </si>
  <si>
    <t>Rizal ave.,Manila</t>
  </si>
  <si>
    <t>For replacement of workstation to laptop</t>
  </si>
  <si>
    <t>Delivered and replaced workstation</t>
  </si>
  <si>
    <t>Workstation replacement</t>
  </si>
  <si>
    <t>https://www.jotform.com/uploads/macarewecare/222927978372067/5616506492713620363/5616506492713620363_signature_28.png</t>
  </si>
  <si>
    <t>https://www.jotform.com/uploads/macarewecare/222927978372067/5616506492713620363/5616506492713620363_signature_31.png</t>
  </si>
  <si>
    <t>Bulingit San Carlos City Pangasinan</t>
  </si>
  <si>
    <t>sweetsellveras08@gmail.com</t>
  </si>
  <si>
    <t xml:space="preserve">ASSAY: Xpert MTB/RIF, COUNT: 145
ASSAY: Xpert MTB/RIF Ultra, COUNT: 3047
</t>
  </si>
  <si>
    <t>-Replaced Module 730175 &gt;&gt;&gt; 210067929 and Filter
-Cleaned Cartridge Bays, Plunger Rods, I-CORE
-Generated Reports</t>
  </si>
  <si>
    <t>GeneXpert Module SN 210067929</t>
  </si>
  <si>
    <t>G 5614</t>
  </si>
  <si>
    <t>https://www.jotform.com/uploads/macarewecare/222927978372067/5615057840336062013/5615057840336062013_signature_28.png</t>
  </si>
  <si>
    <t>https://www.jotform.com/uploads/macarewecare/222927978372067/5615057840336062013/5615057840336062013_signature_31.png</t>
  </si>
  <si>
    <t>https://www.jotform.com/uploads/macarewecare/222927978372067/5615057550335247445/5615057550335247445_signature_28.png</t>
  </si>
  <si>
    <t>https://www.jotform.com/uploads/macarewecare/222927978372067/5615057550335247445/5615057550335247445_signature_31.png</t>
  </si>
  <si>
    <t xml:space="preserve">ASSAY: Xpert HPV, COUNT: 586
ASSAY: Xpert MTB/RIF Ultra, COUNT: 2129
</t>
  </si>
  <si>
    <t>Module 3 - frequent error
Monitor flickering</t>
  </si>
  <si>
    <t>-Checked and cleaned cartridge bays, plunger rod, icore slot and filter
-checked monitor cables
-checked module 3 system log
-generated reports</t>
  </si>
  <si>
    <t>Unit is operational
Monitor (CNK832248W) flickers
Module 3 under monitoring</t>
  </si>
  <si>
    <t>https://www.jotform.com/uploads/macarewecare/222927978372067/5614994723453331516/5614994723453331516_signature_28.png</t>
  </si>
  <si>
    <t>https://www.jotform.com/uploads/macarewecare/222927978372067/5614994723453331516/5614994723453331516_signature_31.png</t>
  </si>
  <si>
    <t xml:space="preserve">ASSAY: Xpert MTB/RIF, COUNT: 71
ASSAY: Xpert MTB/RIF Ultra, COUNT: 1440
ASSAY: Xpert SARS-CoV-2, COUNT: 3870
</t>
  </si>
  <si>
    <t>Performed preventive maintenance  and Troubleshooting</t>
  </si>
  <si>
    <t>https://www.jotform.com/uploads/macarewecare/222927978372067/5614985720334714304/5614985720334714304_signature_28.png</t>
  </si>
  <si>
    <t>https://www.jotform.com/uploads/macarewecare/222927978372067/5614985720334714304/5614985720334714304_signature_31.png</t>
  </si>
  <si>
    <t>Bolinao Pqngasinan</t>
  </si>
  <si>
    <t xml:space="preserve">ASSAY: Xpert MTB/RIF, COUNT: 0
ASSAY: Xpert MTB/RIF Ultra, COUNT: 0
</t>
  </si>
  <si>
    <t>Performed CPU Replacement
Gathered reports
Performed functionality test</t>
  </si>
  <si>
    <t>Used backup CPU SN:2UA5201PHX</t>
  </si>
  <si>
    <t>https://www.jotform.com/uploads/macarewecare/222927978372067/5614979613638660674/5614979613638660674_signature_28.png</t>
  </si>
  <si>
    <t>https://www.jotform.com/uploads/macarewecare/222927978372067/5614979613638660674/5614979613638660674_signature_31.png</t>
  </si>
  <si>
    <t xml:space="preserve">ASSAY: Xpert MTB/RIF, COUNT: 58
ASSAY: Xpert MTB/RIF Ultra, COUNT: 1701
ASSAY: Xpert SARS-CoV-2, COUNT: 72
ASSAY: Xpert HIV-1 Viral Load, COUNT: 220
</t>
  </si>
  <si>
    <t>https://www.jotform.com/uploads/macarewecare/222927978372067/5614979140338141166/5614979140338141166_signature_28.png</t>
  </si>
  <si>
    <t>https://www.jotform.com/uploads/macarewecare/222927978372067/5614979140338141166/5614979140338141166_signature_31.png</t>
  </si>
  <si>
    <t>Tabaco, Albay</t>
  </si>
  <si>
    <t>Monitor not working</t>
  </si>
  <si>
    <t>Checked monitor
Cleaned fan filter, fan, plunger rod, cartridge bays 
Generated report</t>
  </si>
  <si>
    <t>Performed troubleshooting and preventive maintenance</t>
  </si>
  <si>
    <t>Unit is operational
D2 &amp; D3 disabled
Monitor not working</t>
  </si>
  <si>
    <t>Monitor for replacement.  D2(617185) temperature error code and D3(600725) temperature error code. For replacement.</t>
  </si>
  <si>
    <t>https://www.jotform.com/uploads/macarewecare/222927978372067/5614961601717637031/5614961601717637031_signature_28.png</t>
  </si>
  <si>
    <t>https://www.jotform.com/uploads/macarewecare/222927978372067/5614961601717637031/5614961601717637031_signature_31.png</t>
  </si>
  <si>
    <t>Palaris St., San Carlos City, Pangasinan</t>
  </si>
  <si>
    <t xml:space="preserve">ASSAY: Xpert MTB/RIF, COUNT: 70
ASSAY: Xpert MTB/RIF Ultra, COUNT: 468
</t>
  </si>
  <si>
    <t>Modules B1 and B2 already Reported</t>
  </si>
  <si>
    <t>https://www.jotform.com/uploads/macarewecare/222927978372067/5614955001529145455/5614955001529145455_signature_28.png</t>
  </si>
  <si>
    <t>https://www.jotform.com/uploads/macarewecare/222927978372067/5614955001529145455/5614955001529145455_signature_31.png</t>
  </si>
  <si>
    <t xml:space="preserve">ASSAY: Xpert MTB/RIF, COUNT: 594
</t>
  </si>
  <si>
    <t>Module 4 SN 679876 Error 4008</t>
  </si>
  <si>
    <t>Replaced new module and generate data</t>
  </si>
  <si>
    <t>Replaced new module SN 210059887</t>
  </si>
  <si>
    <t>https://www.jotform.com/uploads/macarewecare/222927978372067/5614934663122962462/5614934663122962462_signature_28.png</t>
  </si>
  <si>
    <t>Rezel Marie Lagos, RMT</t>
  </si>
  <si>
    <t>https://www.jotform.com/uploads/macarewecare/222927978372067/5614934663122962462/5614934663122962462_signature_31.png</t>
  </si>
  <si>
    <t>Surallah</t>
  </si>
  <si>
    <t>Gx-IV (10-C)</t>
  </si>
  <si>
    <t>Install Genexpert machine SN: 120000172 (10-C)
Install Genexpert CPU
Install Genexpert monitor
Install Genexpert UPS
Install Genexpert wireless mouse w/ mouse pad and Keyboard 
Install Genexpert Printer Epson M1100
Install/import assay MTB-XDR
Install/import assay MTB-ULTRA</t>
  </si>
  <si>
    <t>Genexpert machine SN: 120000172 (10-C) installation</t>
  </si>
  <si>
    <t>https://www.jotform.com/uploads/macarewecare/222927978372067/5614890556318492549/5614890556318492549_signature_28.png</t>
  </si>
  <si>
    <t>JOHNELLA MARIS R. BAUTISTA</t>
  </si>
  <si>
    <t>https://www.jotform.com/uploads/macarewecare/222927978372067/5614890556318492549/5614890556318492549_signature_31.png</t>
  </si>
  <si>
    <t>Brgy. 5, Malilipot, Albay</t>
  </si>
  <si>
    <t xml:space="preserve">ASSAY: Xpert MTB/RIF, COUNT: 0
ASSAY: Xpert MTB/RIF Ultra, COUNT: 2197
</t>
  </si>
  <si>
    <t>Replaced module:B4 655206&gt;&gt;713836
Cleaned fan,fan filter,cartridge bays,Icores, plunger rod</t>
  </si>
  <si>
    <t>Replaced defective module and preventive maintenance</t>
  </si>
  <si>
    <t>Module 713836</t>
  </si>
  <si>
    <t>https://www.jotform.com/uploads/macarewecare/222927978372067/5614882948826747101/5614882948826747101_signature_28.png</t>
  </si>
  <si>
    <t>Fatima Ana C. Buban</t>
  </si>
  <si>
    <t>https://www.jotform.com/uploads/macarewecare/222927978372067/5614882948826747101/5614882948826747101_signature_31.png</t>
  </si>
  <si>
    <t>Weatern Pangasinan District Hospital</t>
  </si>
  <si>
    <t xml:space="preserve">ASSAY: Xpert MTB/RIF, COUNT: 272
ASSAY: Xpert MTB/RIF Ultra, COUNT: 1460
</t>
  </si>
  <si>
    <t>Used 4 kits</t>
  </si>
  <si>
    <t>https://www.jotform.com/uploads/macarewecare/222927978372067/5614880307172707052/5614880307172707052_signature_28.png</t>
  </si>
  <si>
    <t>Gemarie Rabadon</t>
  </si>
  <si>
    <t>https://www.jotform.com/uploads/macarewecare/222927978372067/5614880307172707052/5614880307172707052_signature_31.png</t>
  </si>
  <si>
    <t xml:space="preserve">ASSAY: Xpert MTB/RIF Ultra, COUNT: 2885
ASSAY: Xpert HIV-1 Viral Load, COUNT: 120
</t>
  </si>
  <si>
    <t>Printer for installation</t>
  </si>
  <si>
    <t>Installed printer</t>
  </si>
  <si>
    <t>Unit is operational.
Advised end user to avoid using after market gx fan filter.</t>
  </si>
  <si>
    <t>https://www.jotform.com/uploads/macarewecare/222927978372067/5614855765428341032/5614855765428341032_signature_28.png</t>
  </si>
  <si>
    <t>https://www.jotform.com/uploads/macarewecare/222927978372067/5614855765428341032/5614855765428341032_signature_31.png</t>
  </si>
  <si>
    <t>Brgy. Cantahay, Guiuan E. Samar</t>
  </si>
  <si>
    <t>dagantejas@yahoo.com</t>
  </si>
  <si>
    <t xml:space="preserve">ASSAY: Xpert MTB/RIF, COUNT: 174
ASSAY: Xpert MTB/RIF Ultra, COUNT: 722
ASSAY: Xpert HIV-1 Viral Load, COUNT: 8
</t>
  </si>
  <si>
    <t>https://www.jotform.com/uploads/macarewecare/222927978372067/5614777101399338579/5614777101399338579_signature_28.png</t>
  </si>
  <si>
    <t>Jasmin Joy D. Navidad</t>
  </si>
  <si>
    <t>https://www.jotform.com/uploads/macarewecare/222927978372067/5614777101399338579/5614777101399338579_signature_31.png</t>
  </si>
  <si>
    <t>Bang-Bang St., Roxas City</t>
  </si>
  <si>
    <t>rudy_camacho@ymail.com</t>
  </si>
  <si>
    <t xml:space="preserve">ASSAY: Xpert MTB/RIF, COUNT: 47
ASSAY: Xpert MTB/RIF Ultra, COUNT: 2080
ASSAY: Xpert HIV-1 Viral Load, COUNT: 89
</t>
  </si>
  <si>
    <t>Module B3 with SN 687242 need service</t>
  </si>
  <si>
    <t>Replacement of new module for B3 with SN 210091312</t>
  </si>
  <si>
    <t>https://www.jotform.com/uploads/macarewecare/222927978372067/5614132504124607671/5614132504124607671_signature_28.png</t>
  </si>
  <si>
    <t>Ruby Camacho</t>
  </si>
  <si>
    <t>https://www.jotform.com/uploads/macarewecare/222927978372067/5614132504124607671/5614132504124607671_signature_31.png</t>
  </si>
  <si>
    <t>ybiuamie@gmail.com</t>
  </si>
  <si>
    <t xml:space="preserve">ASSAY: Xpert MTB/RIF Ultra, COUNT: 1936
</t>
  </si>
  <si>
    <t>Module 1 and 2 temp error 4012 and 2014</t>
  </si>
  <si>
    <t>Preventive Maintenence, data gathering, site inspection</t>
  </si>
  <si>
    <t>Module 3 and 4 are available. Module 1 and 2 unavailable due to excessive errors</t>
  </si>
  <si>
    <t>Module 1 and 2 already undergone Xpertcheck calibration last May 18, 2023 . Module 1 is waiting for replacement while 2 passed the calibration.</t>
  </si>
  <si>
    <t>https://www.jotform.com/uploads/macarewecare/222927978372067/5614103560466777706/5614103560466777706_signature_28.png</t>
  </si>
  <si>
    <t>https://www.jotform.com/uploads/macarewecare/222927978372067/5614103560466777706/5614103560466777706_signature_31.png</t>
  </si>
  <si>
    <t>Sultan kudarat Provincial Hospital</t>
  </si>
  <si>
    <t>Isulan, Sultan kudarat</t>
  </si>
  <si>
    <t xml:space="preserve">ASSAY: Xpert MTB/RIF Ultra, COUNT: 2931
</t>
  </si>
  <si>
    <t>Replace module 3 SN:688969 with new module SN: 210091313
Perform Genexpert machine Preventive maintenance</t>
  </si>
  <si>
    <t>Genexpert module 6 color SN:210091313</t>
  </si>
  <si>
    <t>https://www.jotform.com/uploads/macarewecare/222927978372067/5614098056118804139/5614098056118804139_signature_28.png</t>
  </si>
  <si>
    <t>https://www.jotform.com/uploads/macarewecare/222927978372067/5614098056118804139/5614098056118804139_signature_31.png</t>
  </si>
  <si>
    <t>Poblacion, Sto. Domimgo, Nueva Ecija</t>
  </si>
  <si>
    <t xml:space="preserve">ASSAY: Xpert MTB/RIF, COUNT: 49
ASSAY: Xpert MTB/RIF Ultra, COUNT: 980
</t>
  </si>
  <si>
    <t>Module 2 HW Failure</t>
  </si>
  <si>
    <t>Performed Xpertcheck on module 2</t>
  </si>
  <si>
    <t>Unit is Operational, Module 2 for Monitoring</t>
  </si>
  <si>
    <t>https://www.jotform.com/uploads/macarewecare/222927978372067/5614096942529031537/5614096942529031537_signature_28.png</t>
  </si>
  <si>
    <t>https://www.jotform.com/uploads/macarewecare/222927978372067/5614096942529031537/5614096942529031537_signature_31.png</t>
  </si>
  <si>
    <t xml:space="preserve">ASSAY: Xpert MTB/RIF Ultra, COUNT: 2449
</t>
  </si>
  <si>
    <t>Module Replacement = 647183 - 210091324</t>
  </si>
  <si>
    <t>Genexpert Module = 210091324</t>
  </si>
  <si>
    <t>https://www.jotform.com/uploads/macarewecare/222927978372067/5614095352523715575/5614095352523715575_signature_28.png</t>
  </si>
  <si>
    <t>https://www.jotform.com/uploads/macarewecare/222927978372067/5614095352523715575/5614095352523715575_signature_31.png</t>
  </si>
  <si>
    <t>Bolanao, Tabuk City Kalinga</t>
  </si>
  <si>
    <t>https://www.jotform.com/uploads/macarewecare/222927978372067/5614095352525471133/5614095352525471133_signature_28.png</t>
  </si>
  <si>
    <t>Micah Janelle B. Tuguinay</t>
  </si>
  <si>
    <t>https://www.jotform.com/uploads/macarewecare/222927978372067/5614095352525471133/5614095352525471133_signature_31.png</t>
  </si>
  <si>
    <t>tuguinaymicahjanelle@gmail.com</t>
  </si>
  <si>
    <t>Module Replacement = 794446 &amp; 613842 - 210091167 &amp; 210091169</t>
  </si>
  <si>
    <t>Genexpert Module =210091167 &amp; 210091169</t>
  </si>
  <si>
    <t>https://www.jotform.com/uploads/macarewecare/222927978372067/5614095352527974187/5614095352527974187_signature_28.png</t>
  </si>
  <si>
    <t>Micah Janelle Tuguinay</t>
  </si>
  <si>
    <t>https://www.jotform.com/uploads/macarewecare/222927978372067/5614095352527974187/5614095352527974187_signature_31.png</t>
  </si>
  <si>
    <t>ba.gomez007@gmail.com</t>
  </si>
  <si>
    <t>ISHO336</t>
  </si>
  <si>
    <t>Clean the MCS+
Replaced Rollers</t>
  </si>
  <si>
    <t>2pc Rollers</t>
  </si>
  <si>
    <t>https://www.jotform.com/uploads/macarewecare/222927978372067/5614095352528696082/5614095352528696082_signature_28.png</t>
  </si>
  <si>
    <t>Benj Angelo M. Gomez</t>
  </si>
  <si>
    <t>https://www.jotform.com/uploads/macarewecare/222927978372067/5614095352528696082/5614095352528696082_signature_31.png</t>
  </si>
  <si>
    <t>Installation and setup of GeneXpert 
Setup GeneXpert Users
Import MTB XDR assay
Installed Printer
Gathered reports
Performed functionality test</t>
  </si>
  <si>
    <t>GeneXpert Machine Set</t>
  </si>
  <si>
    <t>https://www.jotform.com/uploads/macarewecare/222927978372067/5614076762021747265/5614076762021747265_signature_28.png</t>
  </si>
  <si>
    <t>https://www.jotform.com/uploads/macarewecare/222927978372067/5614076762021747265/5614076762021747265_signature_31.png</t>
  </si>
  <si>
    <t xml:space="preserve">ASSAY: Xpert MTB/RIF Ultra, COUNT: 2432
</t>
  </si>
  <si>
    <t>Unit is operational.
A4 passed re XpertCheck.
A4 under observation.</t>
  </si>
  <si>
    <t>https://www.jotform.com/uploads/macarewecare/222927978372067/5614072015429119256/5614072015429119256_signature_28.png</t>
  </si>
  <si>
    <t>https://www.jotform.com/uploads/macarewecare/222927978372067/5614072015429119256/5614072015429119256_signature_31.png</t>
  </si>
  <si>
    <t xml:space="preserve">ASSAY: Xpert MTB/RIF Ultra, COUNT: 856
</t>
  </si>
  <si>
    <t>Unit is operational
B1 &amp; B2 Passed
B3 &amp; B4 Failed</t>
  </si>
  <si>
    <t>https://www.jotform.com/uploads/macarewecare/222927978372067/5614064482026354426/5614064482026354426_signature_28.png</t>
  </si>
  <si>
    <t>https://www.jotform.com/uploads/macarewecare/222927978372067/5614064482026354426/5614064482026354426_signature_31.png</t>
  </si>
  <si>
    <t>-Replace defective module C1/805098 with new module SN: 210091373</t>
  </si>
  <si>
    <t>-Module Replacement
-XpertCheck Calibration on module C2, C3, &amp; C4
-Preventive Maintenance</t>
  </si>
  <si>
    <t>All four modules are functional. Module C2, C3, &amp; C4 passed XPC.</t>
  </si>
  <si>
    <t>GeneXpert Module 6-colors, XpertCheck-CE-5</t>
  </si>
  <si>
    <t>https://www.jotform.com/uploads/macarewecare/222927978372067/5614024024327161551/5614024024327161551_signature_28.png</t>
  </si>
  <si>
    <t>https://www.jotform.com/uploads/macarewecare/222927978372067/5614024024327161551/5614024024327161551_signature_31.png</t>
  </si>
  <si>
    <t>Module B1 &amp; B3 passed XPC; Module B2 &amp; B4 - retry then service required.</t>
  </si>
  <si>
    <t>https://www.jotform.com/uploads/macarewecare/222927978372067/5614023214326446025/5614023214326446025_signature_28.png</t>
  </si>
  <si>
    <t>https://www.jotform.com/uploads/macarewecare/222927978372067/5614023214326446025/5614023214326446025_signature_31.png</t>
  </si>
  <si>
    <t>SRP near DPWH, cebu city</t>
  </si>
  <si>
    <t>https://www.jotform.com/uploads/macarewecare/222927978372067/5614002180127880555/5614002180127880555_signature_28.png</t>
  </si>
  <si>
    <t>ALLAN S. MANTIQUILLA</t>
  </si>
  <si>
    <t>https://www.jotform.com/uploads/macarewecare/222927978372067/5614002180127880555/5614002180127880555_signature_31.png</t>
  </si>
  <si>
    <t>Brgy. Aquino, Bulan, Sorsogon</t>
  </si>
  <si>
    <t xml:space="preserve">ASSAY: Xpert MTB/RIF, COUNT: 0
ASSAY: Xpert MTB/RIF Ultra, COUNT: 2724
</t>
  </si>
  <si>
    <t>Cleaned cartridge bays, plunger rod, fan and fan filter
Generated reports</t>
  </si>
  <si>
    <t>Perfo,and preventive maintenance</t>
  </si>
  <si>
    <t>https://www.jotform.com/uploads/macarewecare/222927978372067/5613915719713430412/5613915719713430412_signature_28.png</t>
  </si>
  <si>
    <t>https://www.jotform.com/uploads/macarewecare/222927978372067/5613915719713430412/5613915719713430412_signature_31.png</t>
  </si>
  <si>
    <t>Brgy. Carmen Cagayan de Oro City</t>
  </si>
  <si>
    <t>https://www.jotform.com/uploads/macarewecare/222927978372067/5613912580019301131/5613912580019301131_signature_28.png</t>
  </si>
  <si>
    <t>Muriel melchor</t>
  </si>
  <si>
    <t>https://www.jotform.com/uploads/macarewecare/222927978372067/5613912580019301131/5613912580019301131_signature_31.png</t>
  </si>
  <si>
    <t>Brgy. Datu Saber, Marawi City</t>
  </si>
  <si>
    <t>mohhannifa@gmail.com</t>
  </si>
  <si>
    <t xml:space="preserve">ASSAY: Xpert SARS-CoV-2, COUNT: 8378
</t>
  </si>
  <si>
    <t>H/W Fail on module B2/806377 and B4/693683</t>
  </si>
  <si>
    <t>Replaced module new module B2/210091158 and B4/210092141</t>
  </si>
  <si>
    <t>Preventive maintenance
Module Replacement
Generate report files
Database back up</t>
  </si>
  <si>
    <t>https://www.jotform.com/uploads/macarewecare/222927978372067/5613901048905194019/5613901048905194019_signature_28.png</t>
  </si>
  <si>
    <t>Moh Hannif Abdussalam</t>
  </si>
  <si>
    <t>https://www.jotform.com/uploads/macarewecare/222927978372067/5613901048905194019/5613901048905194019_signature_31.png</t>
  </si>
  <si>
    <t>Philippine Fiber Industry Development Authority</t>
  </si>
  <si>
    <t>Visayas Ave, Diliman, Quezon City</t>
  </si>
  <si>
    <t>mksapida@philfida.da.gov.ph</t>
  </si>
  <si>
    <t>For Preventive Maintenance cleaning</t>
  </si>
  <si>
    <t>https://www.jotform.com/uploads/macarewecare/222927978372067/5613275469699689287/5613275469699689287_signature_28.png</t>
  </si>
  <si>
    <t>Mark Kevin C. Sapida</t>
  </si>
  <si>
    <t>https://www.jotform.com/uploads/macarewecare/222927978372067/5613275469699689287/5613275469699689287_signature_31.png</t>
  </si>
  <si>
    <t>Visayas Ave., Diliman, Quezon City</t>
  </si>
  <si>
    <t>For Preventive Maintenance Cleaning</t>
  </si>
  <si>
    <t>https://www.jotform.com/uploads/macarewecare/222927978372067/5613269019321597303/5613269019321597303_signature_28.png</t>
  </si>
  <si>
    <t>https://www.jotform.com/uploads/macarewecare/222927978372067/5613269019321597303/5613269019321597303_signature_31.png</t>
  </si>
  <si>
    <t>Tiber 1, Minglanilla City</t>
  </si>
  <si>
    <t xml:space="preserve">ASSAY: Xpert MTB/RIF, COUNT: 851
</t>
  </si>
  <si>
    <t>Error 2008 Module and Error 2037</t>
  </si>
  <si>
    <t>Performed self test and performed maintenance, generate IQR, sys log and Assay stats</t>
  </si>
  <si>
    <t>Only 3 modules, except module 2 waiting for replacement.</t>
  </si>
  <si>
    <t>https://www.jotform.com/uploads/macarewecare/222927978372067/5613235854214942599/5613235854214942599_signature_28.png</t>
  </si>
  <si>
    <t>https://www.jotform.com/uploads/macarewecare/222927978372067/5613235854214942599/5613235854214942599_signature_31.png</t>
  </si>
  <si>
    <t>North Poblacion, Juban, Sorsogon</t>
  </si>
  <si>
    <t xml:space="preserve">ASSAY: Xpert MTB/RIF, COUNT: 0
ASSAY: Xpert MTB/RIF Ultra, COUNT: 783
</t>
  </si>
  <si>
    <t>Replaced module: 789101&gt;&gt;210091002
Cleaned cartridge bays, plunger rods, fan
Replace fan filter
Generated reports</t>
  </si>
  <si>
    <t>Replaced Module, Preventive Maintenance</t>
  </si>
  <si>
    <t>https://www.jotform.com/uploads/macarewecare/222927978372067/5613225303804068337/5613225303804068337_signature_28.png</t>
  </si>
  <si>
    <t>https://www.jotform.com/uploads/macarewecare/222927978372067/5613225303804068337/5613225303804068337_signature_31.png</t>
  </si>
  <si>
    <t>Sasa District Health Center</t>
  </si>
  <si>
    <t>Sasa, Davao city</t>
  </si>
  <si>
    <t>decebendavid@gmail.com</t>
  </si>
  <si>
    <t>For Preventive maintenance
User always encounter auto mail popuplogin in windows</t>
  </si>
  <si>
    <t>Clean Surface Area, Cartridge Bays, Plunger Rod and Fan Filters
Uninstall Windows Mail,check the keyboard for ghost touching
Remove the keycap to avoid ghost touching</t>
  </si>
  <si>
    <t>Perform Preventive Maintenance, Windows Troubleshooting</t>
  </si>
  <si>
    <t>All Modules are operational
Windows System Desktop under observation if ghosting still occurs</t>
  </si>
  <si>
    <t>Removed keycap turnover to enduser</t>
  </si>
  <si>
    <t>https://www.jotform.com/uploads/macarewecare/222927978372067/5613221308116070539/5613221308116070539_signature_28.png</t>
  </si>
  <si>
    <t>Deceben V. David</t>
  </si>
  <si>
    <t>https://www.jotform.com/uploads/macarewecare/222927978372067/5613221308116070539/5613221308116070539_signature_31.png</t>
  </si>
  <si>
    <t>https://www.jotform.com/uploads/macarewecare/222927978372067/5613221038117189660/5613221038117189660_signature_28.png</t>
  </si>
  <si>
    <t>https://www.jotform.com/uploads/macarewecare/222927978372067/5613221038117189660/5613221038117189660_signature_31.png</t>
  </si>
  <si>
    <t>BGH Compound Baguio City</t>
  </si>
  <si>
    <t xml:space="preserve">ASSAY: Xpert HIV-1 Viral Load, COUNT: 148
</t>
  </si>
  <si>
    <t>For xpertcheck calibration</t>
  </si>
  <si>
    <t>3 modules operational..1 module disable status..</t>
  </si>
  <si>
    <t>3 modules PASSED..1 module FAILED</t>
  </si>
  <si>
    <t>SI 95549 DR5245</t>
  </si>
  <si>
    <t>https://www.jotform.com/uploads/macarewecare/222927978372067/5613208618836411798/5613208618836411798_signature_28.png</t>
  </si>
  <si>
    <t>Balba, Hazel Gwyneth T.</t>
  </si>
  <si>
    <t>https://www.jotform.com/uploads/macarewecare/222927978372067/5613208618836411798/5613208618836411798_signature_31.png</t>
  </si>
  <si>
    <t>Gx4 10C</t>
  </si>
  <si>
    <t>For unit installation</t>
  </si>
  <si>
    <t>Performed unit installation</t>
  </si>
  <si>
    <t>https://www.jotform.com/uploads/macarewecare/222927978372067/5613208548832587434/5613208548832587434_signature_28.png</t>
  </si>
  <si>
    <t>https://www.jotform.com/uploads/macarewecare/222927978372067/5613208548832587434/5613208548832587434_signature_31.png</t>
  </si>
  <si>
    <t xml:space="preserve">ASSAY: Xpert MTB/RIF, COUNT: 114
ASSAY: Xpert MTB/RIF Ultra, COUNT: 404
</t>
  </si>
  <si>
    <t>A1: 757222, error 4004</t>
  </si>
  <si>
    <t>Performed preventibe maintenance
Troubleshoot module A1 valve position
Performed valve alignment
Checked module board and valve connection
Performed functionality test</t>
  </si>
  <si>
    <t>Unit is operational except modules A1 and A3</t>
  </si>
  <si>
    <t>A1 for reporting, valve error</t>
  </si>
  <si>
    <t>https://www.jotform.com/uploads/macarewecare/222927978372067/5613196901689941169/5613196901689941169_signature_28.png</t>
  </si>
  <si>
    <t>https://www.jotform.com/uploads/macarewecare/222927978372067/5613196901689941169/5613196901689941169_signature_31.png</t>
  </si>
  <si>
    <t xml:space="preserve">ASSAY: Xpert MTB/RIF, COUNT: 453
</t>
  </si>
  <si>
    <t>Due for Maintenance and Runtime error 1002, air filter damage</t>
  </si>
  <si>
    <t>Performed maintenance, clean filter, Install assay HIV VL</t>
  </si>
  <si>
    <t>Performed maintenance, generate data IQR, Sys log, assay stat</t>
  </si>
  <si>
    <t>All modules are operational, new avr installed</t>
  </si>
  <si>
    <t>https://www.jotform.com/uploads/macarewecare/222927978372067/5613187046029271271/5613187046029271271_signature_28.png</t>
  </si>
  <si>
    <t>Lucille A. Potoy</t>
  </si>
  <si>
    <t>https://www.jotform.com/uploads/macarewecare/222927978372067/5613187046029271271/5613187046029271271_signature_31.png</t>
  </si>
  <si>
    <t>Poblacion West, Sciene City of Muñoz, Nueva Ecija</t>
  </si>
  <si>
    <t>N/a, Valve at the center position</t>
  </si>
  <si>
    <t>Module 1 for monitoring</t>
  </si>
  <si>
    <t>https://www.jotform.com/uploads/macarewecare/222927978372067/5613139594619326191/5613139594619326191_signature_28.png</t>
  </si>
  <si>
    <t>https://www.jotform.com/uploads/macarewecare/222927978372067/5613139594619326191/5613139594619326191_signature_31.png</t>
  </si>
  <si>
    <t>San Jose Rural Health Office</t>
  </si>
  <si>
    <t>Unit is operational. Module A1 (731600), service required.</t>
  </si>
  <si>
    <t>DR 9483</t>
  </si>
  <si>
    <t>https://www.jotform.com/uploads/macarewecare/222927978372067/5613100837968600077/5613100837968600077_signature_28.png</t>
  </si>
  <si>
    <t>https://www.jotform.com/uploads/macarewecare/222927978372067/5613100837968600077/5613100837968600077_signature_31.png</t>
  </si>
  <si>
    <t>https://www.jotform.com/uploads/macarewecare/222927978372067/5613100797966199441/5613100797966199441_signature_28.png</t>
  </si>
  <si>
    <t>https://www.jotform.com/uploads/macarewecare/222927978372067/5613100797966199441/5613100797966199441_signature_31.png</t>
  </si>
  <si>
    <t xml:space="preserve">ASSAY: Xpert HPV, COUNT: 2
ASSAY: Xpert SARS-CoV-2, COUNT: 5156
ASSAY: Others, COUNT: SarsCov2 Flu RSV plus 10
</t>
  </si>
  <si>
    <t>Performed preventive maintenance.
Performed Xpertcheck.
Generated reports.</t>
  </si>
  <si>
    <t>Unit is operational. Module A3 (789441), Service required.</t>
  </si>
  <si>
    <t>DR 5281</t>
  </si>
  <si>
    <t>https://www.jotform.com/uploads/macarewecare/222927978372067/5613098597966814103/5613098597966814103_signature_28.png</t>
  </si>
  <si>
    <t>https://www.jotform.com/uploads/macarewecare/222927978372067/5613098597966814103/5613098597966814103_signature_31.png</t>
  </si>
  <si>
    <t>Purok-3, Gadgaron, Matnog, Sorsogon</t>
  </si>
  <si>
    <t>mernadithg@gmail.com</t>
  </si>
  <si>
    <t xml:space="preserve">ASSAY: Xpert MTB/RIF, COUNT: 0
ASSAY: Xpert MTB/RIF Ultra, COUNT: 798
</t>
  </si>
  <si>
    <t>For Module replacement</t>
  </si>
  <si>
    <t>Replaced module: 789043&gt;&gt;210091134
Cleaned cartridge bays, plunger rod, fan filter 
Generated reports</t>
  </si>
  <si>
    <t>https://www.jotform.com/uploads/macarewecare/222927978372067/5613086673808967798/5613086673808967798_signature_28.png</t>
  </si>
  <si>
    <t>Mernadith A. Garcera,RMT</t>
  </si>
  <si>
    <t>https://www.jotform.com/uploads/macarewecare/222927978372067/5613086673808967798/5613086673808967798_signature_31.png</t>
  </si>
  <si>
    <t>La Trinidad, Brnguet</t>
  </si>
  <si>
    <t>Module B1 for module replacement SN: 766856</t>
  </si>
  <si>
    <t>Performed module replacement
Performed maintenance</t>
  </si>
  <si>
    <t>Module replacement on B1</t>
  </si>
  <si>
    <t>New mod SN: 210091156</t>
  </si>
  <si>
    <t>New mod 210091156</t>
  </si>
  <si>
    <t>Monarch/PBSP</t>
  </si>
  <si>
    <t>https://www.jotform.com/uploads/macarewecare/222927978372067/5613027764812152475/5613027764812152475_signature_28.png</t>
  </si>
  <si>
    <t>TILLBER T. BANIAGA JR.</t>
  </si>
  <si>
    <t>https://www.jotform.com/uploads/macarewecare/222927978372067/5613027764812152475/5613027764812152475_signature_31.png</t>
  </si>
  <si>
    <t>https://www.jotform.com/uploads/macarewecare/222927978372067/5613027384812302243/5613027384812302243_signature_28.png</t>
  </si>
  <si>
    <t>https://www.jotform.com/uploads/macarewecare/222927978372067/5613027384812302243/5613027384812302243_signature_31.png</t>
  </si>
  <si>
    <t>Module d2 encounter error, data will be sent to Cepheid for further Assessment</t>
  </si>
  <si>
    <t>https://www.jotform.com/uploads/macarewecare/222927978372067/5612555253315260736/5612555253315260736_signature_28.png</t>
  </si>
  <si>
    <t>https://www.jotform.com/uploads/macarewecare/222927978372067/5612555253315260736/5612555253315260736_signature_31.png</t>
  </si>
  <si>
    <t>Replaced the Defective Module SN :795584 with new Module SN 2100911500
Replaced the Defective Module SN: 866583 with new Module SN: 210091151
Replaced the Defective Module SN: 711301 with new Module SN 210091152
Replaced the Defective Module SN: 866396 with new Module SN: 210091153
Replaced the Defective Module SN: 866442 with new Module SN:210091154
Replaced the Defective Module SN: 657188 with new Module SN: 210091155
Clean Surface Area, Cartridge Bay, Plunger Rod, Fan Filters and Icore Lenses
Generate IQR, Assay Stat and System Log
Archived Data test results</t>
  </si>
  <si>
    <t>https://www.jotform.com/uploads/macarewecare/222927978372067/5612554793318408507/5612554793318408507_signature_28.png</t>
  </si>
  <si>
    <t>https://www.jotform.com/uploads/macarewecare/222927978372067/5612554793318408507/5612554793318408507_signature_31.png</t>
  </si>
  <si>
    <t>OPD OB Department</t>
  </si>
  <si>
    <t>benedict.alconera@drmc.doh.gov.ph</t>
  </si>
  <si>
    <t>MGC-200 Cryotherapy</t>
  </si>
  <si>
    <t>Attempt Preventive Maintenance</t>
  </si>
  <si>
    <t>Attempt to Perform Preventive Maintenance</t>
  </si>
  <si>
    <t>Unit was unable to test the functionality due to previously reported misplace / missing Colposcope and Cryotherapy parts ; Laptop with its Software and Nitrogen Oxide tank</t>
  </si>
  <si>
    <t>https://www.jotform.com/uploads/macarewecare/222927978372067/5612554013314899523/5612554013314899523_signature_28.png</t>
  </si>
  <si>
    <t>Benedict John M. Alconera</t>
  </si>
  <si>
    <t>https://www.jotform.com/uploads/macarewecare/222927978372067/5612554013314899523/5612554013314899523_signature_31.png</t>
  </si>
  <si>
    <t>OPD OB</t>
  </si>
  <si>
    <t>Digital Colposcope - AL 106</t>
  </si>
  <si>
    <t>111AEQ0004</t>
  </si>
  <si>
    <t>Attempt to Perfrom Preventive Maintenance</t>
  </si>
  <si>
    <t>Attempt Perfrom Preventive Maintenance</t>
  </si>
  <si>
    <t>Unit was unable to test its functionality due to missing/lost parts of the Colposcope and Cryotherapy Gun System. The missing parts are the Laptop with Colposcope Software and the Nitrogen Oxide Gas Tank</t>
  </si>
  <si>
    <t>https://www.jotform.com/uploads/macarewecare/222927978372067/5612553323312698835/5612553323312698835_signature_28.png</t>
  </si>
  <si>
    <t>https://www.jotform.com/uploads/macarewecare/222927978372067/5612553323312698835/5612553323312698835_signature_31.png</t>
  </si>
  <si>
    <t>Macabog, Sorsogon City</t>
  </si>
  <si>
    <t>Gateway replacement</t>
  </si>
  <si>
    <t>Replaced gateway, reset serial number to old serial number(835213)
Cleaned cartridge bays, plunger rod, fan filter
Generated reports</t>
  </si>
  <si>
    <t>Performed Preventive Maintenance. Replace gateway</t>
  </si>
  <si>
    <t>Gateway 755474</t>
  </si>
  <si>
    <t>PL-010497</t>
  </si>
  <si>
    <t>https://www.jotform.com/uploads/macarewecare/222927978372067/5612528082153475873/5612528082153475873_signature_28.png</t>
  </si>
  <si>
    <t>https://www.jotform.com/uploads/macarewecare/222927978372067/5612528082153475873/5612528082153475873_signature_31.png</t>
  </si>
  <si>
    <t>Madrid</t>
  </si>
  <si>
    <t xml:space="preserve">ASSAY: Xpert MTB/RIF, COUNT: 87
ASSAY: Xpert MTB/RIF Ultra, COUNT: 768
</t>
  </si>
  <si>
    <t>Temperature-related error found at Module B2 (E4017)</t>
  </si>
  <si>
    <t>Troubleshooting and XPC at module B2
Preventive Maintenance</t>
  </si>
  <si>
    <t>3 modules working, 1 module for replacement (Service Required)</t>
  </si>
  <si>
    <t>https://www.jotform.com/uploads/macarewecare/222927978372067/5612457682913865609/5612457682913865609_signature_28.png</t>
  </si>
  <si>
    <t>https://www.jotform.com/uploads/macarewecare/222927978372067/5612457682913865609/5612457682913865609_signature_31.png</t>
  </si>
  <si>
    <t xml:space="preserve">ASSAY: Xpert MTB/RIF Ultra, COUNT: 3002
ASSAY: Xpert HIV-1 Viral Load, COUNT: 301
ASSAY: Xpert SARS-CoV-2, COUNT: 7945
</t>
  </si>
  <si>
    <t>https://www.jotform.com/uploads/macarewecare/222927978372067/5612431240224749666/5612431240224749666_signature_28.png</t>
  </si>
  <si>
    <t>https://www.jotform.com/uploads/macarewecare/222927978372067/5612431240224749666/5612431240224749666_signature_31.png</t>
  </si>
  <si>
    <t xml:space="preserve">ASSAY: Xpert MTB/RIF Ultra, COUNT: 3002
ASSAY: Xpert SARS-CoV-2, COUNT: 7945
ASSAY: Xpert HIV-1 Viral Load, COUNT: 301
</t>
  </si>
  <si>
    <t>Module 1 Multiple temperature error</t>
  </si>
  <si>
    <t>https://www.jotform.com/uploads/macarewecare/222927978372067/5612430180222752225/5612430180222752225_signature_28.png</t>
  </si>
  <si>
    <t>https://www.jotform.com/uploads/macarewecare/222927978372067/5612430180222752225/5612430180222752225_signature_31.png</t>
  </si>
  <si>
    <t xml:space="preserve">ASSAY: Xpert HPV, COUNT: 560
ASSAY: Xpert SARS-CoV-2, COUNT: 2088
ASSAY: Xpert SARS-CoV-2, COUNT: 2
</t>
  </si>
  <si>
    <t>GX4- 10C</t>
  </si>
  <si>
    <t>XpertCheck and Maintenance</t>
  </si>
  <si>
    <t>Unit is operational
All modules passed XpertCheck</t>
  </si>
  <si>
    <t>Work With Noel Floresca</t>
  </si>
  <si>
    <t>G5564</t>
  </si>
  <si>
    <t>https://www.jotform.com/uploads/macarewecare/222927978372067/5606935970415750657/5606935970415750657_signature_28.png</t>
  </si>
  <si>
    <t>https://www.jotform.com/uploads/macarewecare/222927978372067/5606935970415750657/5606935970415750657_signature_31.png</t>
  </si>
  <si>
    <t xml:space="preserve">ASSAY: Xpert BCR-ABL Ultra, COUNT: 40
ASSAY: Xpert CT/NG, COUNT: 384
ASSAY: Xpert HPV, COUNT: 415
ASSAY: Xpert MTB/RIF, COUNT: 60
ASSAY: Xpert MTB/RIF Ultra, COUNT: 1228
ASSAY: Xpert HCV VL, COUNT: 37
ASSAY: Xpert HIV-1 Viral Load, COUNT: 1141
</t>
  </si>
  <si>
    <t>Unit Is Operational 
All modules passed XpertCheck</t>
  </si>
  <si>
    <t>https://www.jotform.com/uploads/macarewecare/222927978372067/5612399403617849805/5612399403617849805_signature_28.png</t>
  </si>
  <si>
    <t>https://www.jotform.com/uploads/macarewecare/222927978372067/5612399403617849805/5612399403617849805_signature_31.png</t>
  </si>
  <si>
    <t xml:space="preserve">ASSAY: Xpert MTB/RIF, COUNT: 23
ASSAY: Xpert MTB/RIF Ultra, COUNT: 135
</t>
  </si>
  <si>
    <t>https://www.jotform.com/uploads/macarewecare/222927978372067/5612397512301225045/5612397512301225045_signature_28.png</t>
  </si>
  <si>
    <t>https://www.jotform.com/uploads/macarewecare/222927978372067/5612397512301225045/5612397512301225045_signature_31.png</t>
  </si>
  <si>
    <t>Module B1,B2,B3- service required results on calibration</t>
  </si>
  <si>
    <t>https://www.jotform.com/uploads/macarewecare/222927978372067/5612340480375268200/5612340480375268200_signature_28.png</t>
  </si>
  <si>
    <t>https://www.jotform.com/uploads/macarewecare/222927978372067/5612340480375268200/5612340480375268200_signature_31.png</t>
  </si>
  <si>
    <t>Various temperature and ultrasonic horn error on modules A1 (757678), A2 (759993), A3 (786592)</t>
  </si>
  <si>
    <t>Performed re XpertCheck</t>
  </si>
  <si>
    <t>Unit is operational.
All modules passed re XpertCheck.
All modules are functional.</t>
  </si>
  <si>
    <t>https://www.jotform.com/uploads/macarewecare/222927978372067/5612330923525592044/5612330923525592044_signature_28.png</t>
  </si>
  <si>
    <t>https://www.jotform.com/uploads/macarewecare/222927978372067/5612330923525592044/5612330923525592044_signature_31.png</t>
  </si>
  <si>
    <t xml:space="preserve">ASSAY: Xpert MTB/RIF Ultra, COUNT: 813
</t>
  </si>
  <si>
    <t>- Monitor problem (SN: CNK83224PZ)
- A1 (784136) for re XpertCheck</t>
  </si>
  <si>
    <t>Performed troubleshooting on GeneXpert System</t>
  </si>
  <si>
    <t>Unit is operational.
Monitor is for reporting.
Module A1 is for reporting.</t>
  </si>
  <si>
    <t>https://www.jotform.com/uploads/macarewecare/222927978372067/5612324733529192195/5612324733529192195_signature_28.png</t>
  </si>
  <si>
    <t>https://www.jotform.com/uploads/macarewecare/222927978372067/5612324733529192195/5612324733529192195_signature_31.png</t>
  </si>
  <si>
    <t xml:space="preserve">ASSAY: Xpert MTB/RIF Ultra, COUNT: 1714
</t>
  </si>
  <si>
    <t>Module B1 (863470) for replacement</t>
  </si>
  <si>
    <t>GeneXpert Module
SN: 210091375</t>
  </si>
  <si>
    <t>https://www.jotform.com/uploads/macarewecare/222927978372067/5612303023527508791/5612303023527508791_signature_28.png</t>
  </si>
  <si>
    <t>Irene Alcaide</t>
  </si>
  <si>
    <t>https://www.jotform.com/uploads/macarewecare/222927978372067/5612303023527508791/5612303023527508791_signature_31.png</t>
  </si>
  <si>
    <t>Tibag Tarlac City</t>
  </si>
  <si>
    <t xml:space="preserve">ASSAY: Xpert MTB/RIF, COUNT: 81
ASSAY: Xpert MTB/RIF Ultra, COUNT: 547
ASSAY: Xpert HIV-1 Viral Load, COUNT: 0
</t>
  </si>
  <si>
    <t>Troubleshoot CPU
Reset wire connections and Ram
Gathered reports
Performed functionality test</t>
  </si>
  <si>
    <t>https://www.jotform.com/uploads/macarewecare/222927978372067/5612256793529978681/5612256793529978681_signature_28.png</t>
  </si>
  <si>
    <t>https://www.jotform.com/uploads/macarewecare/222927978372067/5612256793529978681/5612256793529978681_signature_31.png</t>
  </si>
  <si>
    <t>https://www.jotform.com/uploads/macarewecare/222927978372067/5612246550322221794/5612246550322221794_signature_28.png</t>
  </si>
  <si>
    <t>https://www.jotform.com/uploads/macarewecare/222927978372067/5612246550322221794/5612246550322221794_signature_31.png</t>
  </si>
  <si>
    <t>Baras RHU</t>
  </si>
  <si>
    <t>Baras rizal</t>
  </si>
  <si>
    <t xml:space="preserve">ASSAY: Xpert MTB/RIF Ultra, COUNT: 685
</t>
  </si>
  <si>
    <t>For module replacement and maintenance  B2 696133 - 210091157</t>
  </si>
  <si>
    <t>https://www.jotform.com/uploads/macarewecare/222927978372067/5611774238911277465/5611774238911277465_signature_28.png</t>
  </si>
  <si>
    <t>https://www.jotform.com/uploads/macarewecare/222927978372067/5611774238911277465/5611774238911277465_signature_31.png</t>
  </si>
  <si>
    <t>roselynmaganomilan@gmail.com</t>
  </si>
  <si>
    <t xml:space="preserve">ASSAY: Xpert MTB/RIF, COUNT: 582
ASSAY: Xpert MTB/RIF Ultra, COUNT: 1126
</t>
  </si>
  <si>
    <t>D1 for module replacement</t>
  </si>
  <si>
    <t>Troubleshooting
Module replacement</t>
  </si>
  <si>
    <t>Performed surface cleaning
Performed preventive maintenance
Performed module replacement
Troubleshoot UPS
Gathered reports
Performed functionality test</t>
  </si>
  <si>
    <t>Ups not charging for reporting</t>
  </si>
  <si>
    <t>https://www.jotform.com/uploads/macarewecare/222927978372067/5611425821987339415/5611425821987339415_signature_28.png</t>
  </si>
  <si>
    <t>https://www.jotform.com/uploads/macarewecare/222927978372067/5611425821987339415/5611425821987339415_signature_31.png</t>
  </si>
  <si>
    <t>Dinalupihan Rural Health Unit 2</t>
  </si>
  <si>
    <t>Brgy Colo, Dinalupihan Bataan</t>
  </si>
  <si>
    <t xml:space="preserve">ASSAY: Xpert MTB/RIF, COUNT: 236
ASSAY: Xpert MTB/RIF Ultra, COUNT: 1555
ASSAY: Xpert HIV-1 Viral Load, COUNT: 33
</t>
  </si>
  <si>
    <t>Unit is operational except modules B2 and B3</t>
  </si>
  <si>
    <t>B2 and B3 for reporting, failed xpertcheck</t>
  </si>
  <si>
    <t>6 xpertcheck kits</t>
  </si>
  <si>
    <t>https://www.jotform.com/uploads/macarewecare/222927978372067/5611372428025038293/5611372428025038293_signature_28.png</t>
  </si>
  <si>
    <t>https://www.jotform.com/uploads/macarewecare/222927978372067/5611372428025038293/5611372428025038293_signature_31.png</t>
  </si>
  <si>
    <t xml:space="preserve">ASSAY: Xpert MTB/RIF, COUNT: 12
ASSAY: Xpert MTB/RIF Ultra, COUNT: 529
</t>
  </si>
  <si>
    <t>Due for ReXpertCheck and Maintenance</t>
  </si>
  <si>
    <t>Performed maintenance and ReXpertCheck</t>
  </si>
  <si>
    <t>https://www.jotform.com/uploads/macarewecare/222927978372067/5611262080635733154/5611262080635733154_signature_28.png</t>
  </si>
  <si>
    <t>https://www.jotform.com/uploads/macarewecare/222927978372067/5611262080635733154/5611262080635733154_signature_31.png</t>
  </si>
  <si>
    <t xml:space="preserve">ASSAY: Xpert MTB/RIF, COUNT: 303
ASSAY: Xpert MTB/RIF Ultra, COUNT: 423
</t>
  </si>
  <si>
    <t>Fixed/repair module 4 stuck cartridge 
Perform Genexpert machine Xpertcheck/Calibration 
Perform Genexpert machine Preventive maintenance</t>
  </si>
  <si>
    <t>Lot: 1000378669</t>
  </si>
  <si>
    <t>https://www.jotform.com/uploads/macarewecare/222927978372067/5611155724269949286/5611155724269949286_signature_28.png</t>
  </si>
  <si>
    <t>https://www.jotform.com/uploads/macarewecare/222927978372067/5611155724269949286/5611155724269949286_signature_31.png</t>
  </si>
  <si>
    <t xml:space="preserve">ASSAY: Xpert HIV-1 Viral Load, COUNT: 0
ASSAY: Xpert MTB/RIF Ultra, COUNT: 0
ASSAY: Xpert HPV, COUNT: 0
ASSAY: Xpert CT/NG, COUNT: 0
ASSAY: Xpert HCV VL, COUNT: 0
ASSAY: Xpert HBV VL, COUNT: 0
</t>
  </si>
  <si>
    <t>Machine setup and installation</t>
  </si>
  <si>
    <t>Machine installation and setup
Gathered reports
Performed functionality test</t>
  </si>
  <si>
    <t>https://www.jotform.com/uploads/macarewecare/222927978372067/5610680264329997443/5610680264329997443_signature_28.png</t>
  </si>
  <si>
    <t>https://www.jotform.com/uploads/macarewecare/222927978372067/5610680264329997443/5610680264329997443_signature_31.png</t>
  </si>
  <si>
    <t>https://www.jotform.com/uploads/macarewecare/222927978372067/5610680054321988312/5610680054321988312_signature_28.png</t>
  </si>
  <si>
    <t>https://www.jotform.com/uploads/macarewecare/222927978372067/5610680054321988312/5610680054321988312_signature_31.png</t>
  </si>
  <si>
    <t>Philippine blood center</t>
  </si>
  <si>
    <t>Quezon avenue., Quezon city</t>
  </si>
  <si>
    <t>cleaned unit, checked valve,rollers,line sensor,display panel,dpm,spm,cuff,performed calibration,performed functionality test</t>
  </si>
  <si>
    <t>Work with yasser</t>
  </si>
  <si>
    <t>https://www.jotform.com/uploads/macarewecare/222927978372067/5609107597404372754/5609107597404372754_signature_28.png</t>
  </si>
  <si>
    <t>https://www.jotform.com/uploads/macarewecare/222927978372067/5609107597404372754/5609107597404372754_signature_31.png</t>
  </si>
  <si>
    <t>https://www.jotform.com/uploads/macarewecare/222927978372067/5609106947407783795/5609106947407783795_signature_28.png</t>
  </si>
  <si>
    <t>https://www.jotform.com/uploads/macarewecare/222927978372067/5609106947407783795/5609106947407783795_signature_31.png</t>
  </si>
  <si>
    <t>Quezon avenue.,Quezon city</t>
  </si>
  <si>
    <t>15030G</t>
  </si>
  <si>
    <t>https://www.jotform.com/uploads/macarewecare/222927978372067/5609106297401581839/5609106297401581839_signature_28.png</t>
  </si>
  <si>
    <t>https://www.jotform.com/uploads/macarewecare/222927978372067/5609106297401581839/5609106297401581839_signature_31.png</t>
  </si>
  <si>
    <t>Polillo RHU</t>
  </si>
  <si>
    <t>San jose st.,Quezon</t>
  </si>
  <si>
    <t>villaverde.thea@gmail.com</t>
  </si>
  <si>
    <t xml:space="preserve">ASSAY: Xpert MTB/RIF, COUNT: 10
ASSAY: Xpert MTB/RIF Ultra, COUNT: 666
</t>
  </si>
  <si>
    <t>Performed module replacement, cleaned unit,filter,plunger rod,cartridge bay,i core,gathered reports,performed visual check,test run unit</t>
  </si>
  <si>
    <t>https://www.jotform.com/uploads/macarewecare/222927978372067/5609105177405748504/5609105177405748504_signature_28.png</t>
  </si>
  <si>
    <t>Thea Villaverde</t>
  </si>
  <si>
    <t>https://www.jotform.com/uploads/macarewecare/222927978372067/5609105177405748504/5609105177405748504_signature_31.png</t>
  </si>
  <si>
    <t>https://www.jotform.com/uploads/macarewecare/222927978372067/5609104507406532026/5609104507406532026_signature_28.png</t>
  </si>
  <si>
    <t>https://www.jotform.com/uploads/macarewecare/222927978372067/5609104507406532026/5609104507406532026_signature_31.png</t>
  </si>
  <si>
    <t>Alabang Zapote rd.,Pamplona, Las Piñas City</t>
  </si>
  <si>
    <t>cleaned unit, checked valve,rollers,adjust line sensor value ,checked display panel,dpm,spm,cuff,performed calibration,performed functionality, replaced rollers,checked program parameters, checked and adjust pressure to 300mmhg</t>
  </si>
  <si>
    <t>Calibration and Maintenance</t>
  </si>
  <si>
    <t>Work with Yasser Salih</t>
  </si>
  <si>
    <t>https://www.jotform.com/uploads/macarewecare/222927978372067/5609103827408335628/5609103827408335628_signature_28.png</t>
  </si>
  <si>
    <t>Therese Omega</t>
  </si>
  <si>
    <t>https://www.jotform.com/uploads/macarewecare/222927978372067/5609103827408335628/5609103827408335628_signature_31.png</t>
  </si>
  <si>
    <t xml:space="preserve">ASSAY: Xpert MTB/RIF Ultra, COUNT: 53
</t>
  </si>
  <si>
    <t>System unit keep on restarting</t>
  </si>
  <si>
    <t>Replaced System unit</t>
  </si>
  <si>
    <t>Installed System unit with serial number CPH0622F37113</t>
  </si>
  <si>
    <t>https://www.jotform.com/uploads/macarewecare/222927978372067/5609006674029630655/5609006674029630655_signature_28.png</t>
  </si>
  <si>
    <t>Fatima Abegail F. Abdurahman</t>
  </si>
  <si>
    <t>https://www.jotform.com/uploads/macarewecare/222927978372067/5609006674029630655/5609006674029630655_signature_31.png</t>
  </si>
  <si>
    <t>https://www.jotform.com/uploads/macarewecare/222927978372067/5609006544024586531/5609006544024586531_signature_28.png</t>
  </si>
  <si>
    <t>https://www.jotform.com/uploads/macarewecare/222927978372067/5609006544024586531/5609006544024586531_signature_31.png</t>
  </si>
  <si>
    <t>cindy.carpo06@gmail.com</t>
  </si>
  <si>
    <t xml:space="preserve">ASSAY: Xpert MTB/RIF Ultra, COUNT: 1461
</t>
  </si>
  <si>
    <t>UPS not powering on (SN: 40223411704)</t>
  </si>
  <si>
    <t>- powered on UPS (UPS' switch is hard to press)
* back up mode: 150V
* output: 230V
- generated reports
- checked and cleaned cartridge bay, plunger rod, filter</t>
  </si>
  <si>
    <t>Checked UPS' functionality</t>
  </si>
  <si>
    <t>Unit is operational.
UPS seems operational but difficult to power on.
UPS' switch is recommended for repair/replacement.
B3 for reporting (temp. Errors found).</t>
  </si>
  <si>
    <t>https://www.jotform.com/uploads/macarewecare/222927978372067/5608985719429311166/5608985719429311166_signature_28.png</t>
  </si>
  <si>
    <t>Cindy Carpo</t>
  </si>
  <si>
    <t>https://www.jotform.com/uploads/macarewecare/222927978372067/5608985719429311166/5608985719429311166_signature_31.png</t>
  </si>
  <si>
    <t>Installed System unit</t>
  </si>
  <si>
    <t>https://www.jotform.com/uploads/macarewecare/222927978372067/5608887754028660301/5608887754028660301_signature_28.png</t>
  </si>
  <si>
    <t>https://www.jotform.com/uploads/macarewecare/222927978372067/5608887754028660301/5608887754028660301_signature_31.png</t>
  </si>
  <si>
    <t>Module B2 Encounter Error</t>
  </si>
  <si>
    <t>Clean Surface Area, Cartridge Bay, Plunger Rod, Fan Filters and Icore Lenses
Generate IQR, Assay Stat and System Log
Perform Functionality Test
Run XPC for error verification</t>
  </si>
  <si>
    <t>Perform Module Troubleshooting and Preventive maintenance</t>
  </si>
  <si>
    <t>Module B2 (SN:676723) for service required</t>
  </si>
  <si>
    <t>https://www.jotform.com/uploads/macarewecare/222927978372067/5608876296667504249/5608876296667504249_signature_28.png</t>
  </si>
  <si>
    <t>Elaind malano</t>
  </si>
  <si>
    <t>https://www.jotform.com/uploads/macarewecare/222927978372067/5608876296667504249/5608876296667504249_signature_31.png</t>
  </si>
  <si>
    <t>ust_imp@yahoo.com</t>
  </si>
  <si>
    <t xml:space="preserve">ASSAY: Xpert MTB/RIF Ultra, COUNT: 798
</t>
  </si>
  <si>
    <t>Errors on module 2 and3</t>
  </si>
  <si>
    <t>Replaced Module 2 and 3
Cleaned Filter
Cleaned bay
Plunger Rod Maintenance
Generated Reports</t>
  </si>
  <si>
    <t>Performed Module Replacement
Performed Preventive Maintenance</t>
  </si>
  <si>
    <t>21004322 &gt; 682156; 21000477 &gt; 715805</t>
  </si>
  <si>
    <t>900-GX</t>
  </si>
  <si>
    <t>https://www.jotform.com/uploads/macarewecare/222927978372067/5608863644819322936/5608863644819322936_signature_28.png</t>
  </si>
  <si>
    <t>Lourdes fajardo</t>
  </si>
  <si>
    <t>https://www.jotform.com/uploads/macarewecare/222927978372067/5608863644819322936/5608863644819322936_signature_31.png</t>
  </si>
  <si>
    <t>https://www.jotform.com/uploads/macarewecare/222927978372067/5608859305804878742/5608859305804878742_signature_28.png</t>
  </si>
  <si>
    <t>https://www.jotform.com/uploads/macarewecare/222927978372067/5608859305804878742/5608859305804878742_signature_31.png</t>
  </si>
  <si>
    <t xml:space="preserve">ASSAY: Xpert CT/NG, COUNT: 192
ASSAY: Xpert MTB/RIF Ultra, COUNT: 253
ASSAY: Xpert HIV-1 Viral Load, COUNT: 1372
</t>
  </si>
  <si>
    <t>Troubleshooting of modules</t>
  </si>
  <si>
    <t>Checked System Log</t>
  </si>
  <si>
    <t>Unit is operational.
A1: temperature errors found
B3: assay specific error</t>
  </si>
  <si>
    <t>https://www.jotform.com/uploads/macarewecare/222927978372067/5608851519427081675/5608851519427081675_signature_28.png</t>
  </si>
  <si>
    <t>https://www.jotform.com/uploads/macarewecare/222927978372067/5608851519427081675/5608851519427081675_signature_31.png</t>
  </si>
  <si>
    <t xml:space="preserve">ASSAY: Xpert MTB/RIF, COUNT: 56
ASSAY: Xpert MTB/RIF Ultra, COUNT: 1053
ASSAY: Xpert HIV-1 Viral Load, COUNT: 19
</t>
  </si>
  <si>
    <t>Gateway board for replacement</t>
  </si>
  <si>
    <t>Performed surface cleaning
Performed preventive maintenance
Performed gateway board replacement
Gathered reports
Performed functionality test</t>
  </si>
  <si>
    <t>https://www.jotform.com/uploads/macarewecare/222927978372067/5608843413017425072/5608843413017425072_signature_28.png</t>
  </si>
  <si>
    <t>Rhesa Bucu</t>
  </si>
  <si>
    <t>https://www.jotform.com/uploads/macarewecare/222927978372067/5608843413017425072/5608843413017425072_signature_31.png</t>
  </si>
  <si>
    <t>Torrijos Rural Health Unit</t>
  </si>
  <si>
    <t>Torrijos, Marinduque</t>
  </si>
  <si>
    <t>jm.constantino20@gmail.com</t>
  </si>
  <si>
    <t xml:space="preserve">ASSAY: Xpert MTB/RIF, COUNT: 52
ASSAY: Xpert MTB/RIF Ultra, COUNT: 239
</t>
  </si>
  <si>
    <t>Checked and cleaned cartridge bays, plunger rod, icore slot, and filters</t>
  </si>
  <si>
    <t>performed preventive maintenance</t>
  </si>
  <si>
    <t>Ubit is operational. 4 modules working properly</t>
  </si>
  <si>
    <t>https://www.jotform.com/uploads/macarewecare/222927978372067/5608834860819990861/5608834860819990861_signature_28.png</t>
  </si>
  <si>
    <t>JOANNA MAY CONSTANTINO</t>
  </si>
  <si>
    <t>https://www.jotform.com/uploads/macarewecare/222927978372067/5608834860819990861/5608834860819990861_signature_31.png</t>
  </si>
  <si>
    <t xml:space="preserve">ASSAY: Xpert SARS-CoV-2, COUNT: 4215
</t>
  </si>
  <si>
    <t>Replacing Module A3 with SN: 210068313 to SN: 210091161
Replacing Module A4 with SN: 210070803 to SN: 210091164</t>
  </si>
  <si>
    <t>https://www.jotform.com/uploads/macarewecare/222927978372067/5608829639424319190/5608829639424319190_signature_28.png</t>
  </si>
  <si>
    <t>Maria Kycel Dela Torre</t>
  </si>
  <si>
    <t>https://www.jotform.com/uploads/macarewecare/222927978372067/5608829639424319190/5608829639424319190_signature_31.png</t>
  </si>
  <si>
    <t>University of Santo Tomas</t>
  </si>
  <si>
    <t xml:space="preserve">ASSAY: Xpert MTB/RIF Ultra, COUNT: 720
</t>
  </si>
  <si>
    <t>Unit due for Xpertcheck</t>
  </si>
  <si>
    <t>Performed Xpertcheck and Preventive Maintenance</t>
  </si>
  <si>
    <t>Performed Maintenance
Cleaned filter
Cleaned Icore
Cleaned Cartridge Bay
Plunger Maintenance
Gathered Reports</t>
  </si>
  <si>
    <t>Unit is Operational.
All Modules Passed.</t>
  </si>
  <si>
    <t>https://www.jotform.com/uploads/macarewecare/222927978372067/5608814824814542702/5608814824814542702_signature_28.png</t>
  </si>
  <si>
    <t>Sherleen calaunan</t>
  </si>
  <si>
    <t>https://www.jotform.com/uploads/macarewecare/222927978372067/5608814824814542702/5608814824814542702_signature_31.png</t>
  </si>
  <si>
    <t>Dapa, Surigao del Norte</t>
  </si>
  <si>
    <t>neilvpcongreso17@gmail.com</t>
  </si>
  <si>
    <t xml:space="preserve">ASSAY: Xpert MTB/RIF, COUNT: 56
ASSAY: Xpert MTB/RIF Ultra, COUNT: 1285
ASSAY: Xpert SARS-CoV-2, COUNT: 1798
</t>
  </si>
  <si>
    <t>Module B1 and B2 not operational.</t>
  </si>
  <si>
    <t>Performed Preventive Maintenanace
Cleaned Cartridge Bay
Cleaned Icore
Cleaned Filter
Gathered Reports
Performed Functionality Test</t>
  </si>
  <si>
    <t>Performed Module Replacement on B1 and B2</t>
  </si>
  <si>
    <t>UNIT IS OPERATIONAL 4 MODULES WORKING</t>
  </si>
  <si>
    <t>B1 665231 - 679741 B2 777837 - 729817</t>
  </si>
  <si>
    <t>9840, 9842</t>
  </si>
  <si>
    <t>https://www.jotform.com/uploads/macarewecare/222927978372067/5608814824815898317/5608814824815898317_signature_28.png</t>
  </si>
  <si>
    <t>Neil vesper P. Congreso</t>
  </si>
  <si>
    <t>https://www.jotform.com/uploads/macarewecare/222927978372067/5608814824815898317/5608814824815898317_signature_31.png</t>
  </si>
  <si>
    <t>batmc.tbculturelab@gmail.comm</t>
  </si>
  <si>
    <t>Performed PM.
Performed installation of new CPU.
Generated reports.</t>
  </si>
  <si>
    <t>Preventive maintenance and installation.</t>
  </si>
  <si>
    <t>Lenovo Thinkcentre CPU (CPH0622F38432) in replacement to defective HP Z240 SFF CPU (2UA703297X).</t>
  </si>
  <si>
    <t>G5597</t>
  </si>
  <si>
    <t>https://www.jotform.com/uploads/macarewecare/222927978372067/5608796036268139173/5608796036268139173_signature_28.png</t>
  </si>
  <si>
    <t>Marienan Marasigan</t>
  </si>
  <si>
    <t>https://www.jotform.com/uploads/macarewecare/222927978372067/5608796036268139173/5608796036268139173_signature_31.png</t>
  </si>
  <si>
    <t>Bolina Rural Health Unit</t>
  </si>
  <si>
    <t xml:space="preserve">ASSAY: Xpert MTB/RIF, COUNT: 55
ASSAY: Xpert MTB/RIF Ultra, COUNT: 360
</t>
  </si>
  <si>
    <t>https://www.jotform.com/uploads/macarewecare/222927978372067/5608783993012687684/5608783993012687684_signature_28.png</t>
  </si>
  <si>
    <t>https://www.jotform.com/uploads/macarewecare/222927978372067/5608783993012687684/5608783993012687684_signature_31.png</t>
  </si>
  <si>
    <t>Genexpert machine installation</t>
  </si>
  <si>
    <t>Installation and setup of Genexpert machine
Gathered reports
Performed functionality test</t>
  </si>
  <si>
    <t>https://www.jotform.com/uploads/macarewecare/222927978372067/5608784003013547911/5608784003013547911_signature_28.png</t>
  </si>
  <si>
    <t>Camille Cariaga</t>
  </si>
  <si>
    <t>https://www.jotform.com/uploads/macarewecare/222927978372067/5608784003013547911/5608784003013547911_signature_31.png</t>
  </si>
  <si>
    <t>B2 for further troubleshooting</t>
  </si>
  <si>
    <t>Performed troubleshooting steps from Cepheid</t>
  </si>
  <si>
    <t>Unit is operational.
B2 is under observation.
B4 is also under observation.</t>
  </si>
  <si>
    <t>https://www.jotform.com/uploads/macarewecare/222927978372067/5608751279423473097/5608751279423473097_signature_28.png</t>
  </si>
  <si>
    <t>Marilyn Laureño Damayo</t>
  </si>
  <si>
    <t>https://www.jotform.com/uploads/macarewecare/222927978372067/5608751279423473097/5608751279423473097_signature_31.png</t>
  </si>
  <si>
    <t>COVID Laboratory</t>
  </si>
  <si>
    <t xml:space="preserve">ASSAY: Xpert HPV, COUNT: 214
ASSAY: Xpert MTB/RIF Ultra, COUNT: 106
ASSAY: Xpert SARS-CoV-2, COUNT: 312
</t>
  </si>
  <si>
    <t>G 5565</t>
  </si>
  <si>
    <t>https://www.jotform.com/uploads/macarewecare/222927978372067/5608749109422768479/5608749109422768479_signature_28.png</t>
  </si>
  <si>
    <t>https://www.jotform.com/uploads/macarewecare/222927978372067/5608749109422768479/5608749109422768479_signature_31.png</t>
  </si>
  <si>
    <t>https://www.jotform.com/uploads/macarewecare/222927978372067/5608748829429163466/5608748829429163466_signature_28.png</t>
  </si>
  <si>
    <t>https://www.jotform.com/uploads/macarewecare/222927978372067/5608748829429163466/5608748829429163466_signature_31.png</t>
  </si>
  <si>
    <t>- tested UPS's output
- tested back up mode
- generated reports</t>
  </si>
  <si>
    <t>Unit is operational.
Unit is directly plugged on outlet.
UPS is not powering on.
UPS for reporting.</t>
  </si>
  <si>
    <t>https://www.jotform.com/uploads/macarewecare/222927978372067/5608748119426572858/5608748119426572858_signature_28.png</t>
  </si>
  <si>
    <t>https://www.jotform.com/uploads/macarewecare/222927978372067/5608748119426572858/5608748119426572858_signature_31.png</t>
  </si>
  <si>
    <t>Power supply error on all modules (4008)</t>
  </si>
  <si>
    <t>- checked power input on power cord (227 V)
- checked power input on transformer (225 V)
- checked fuse if busted (fuse is ok)
- checked DC Output (0 V)
*busted capacitor</t>
  </si>
  <si>
    <t>Checked power supply</t>
  </si>
  <si>
    <t>Unit is not operational.
PSU for reporting.</t>
  </si>
  <si>
    <t>https://www.jotform.com/uploads/macarewecare/222927978372067/5608741339421872490/5608741339421872490_signature_28.png</t>
  </si>
  <si>
    <t>Cecilia Guardiano</t>
  </si>
  <si>
    <t>https://www.jotform.com/uploads/macarewecare/222927978372067/5608741339421872490/5608741339421872490_signature_31.png</t>
  </si>
  <si>
    <t>cesguardiano@gmail.com</t>
  </si>
  <si>
    <t>https://www.jotform.com/uploads/macarewecare/222927978372067/5608741049429719233/5608741049429719233_signature_28.png</t>
  </si>
  <si>
    <t>https://www.jotform.com/uploads/macarewecare/222927978372067/5608741049429719233/5608741049429719233_signature_31.png</t>
  </si>
  <si>
    <t>Binangonan, Rizal</t>
  </si>
  <si>
    <t>Modules B1 (807322), B3 (662510), C3 (784721) for replacement</t>
  </si>
  <si>
    <t>Replaced B1, B3, C3</t>
  </si>
  <si>
    <t>GeneXpert Module
SN: 210091186, 210091187, 210091188</t>
  </si>
  <si>
    <t>G 5600</t>
  </si>
  <si>
    <t>https://www.jotform.com/uploads/macarewecare/222927978372067/5608739889425181375/5608739889425181375_signature_28.png</t>
  </si>
  <si>
    <t>https://www.jotform.com/uploads/macarewecare/222927978372067/5608739889425181375/5608739889425181375_signature_31.png</t>
  </si>
  <si>
    <t>https://www.jotform.com/uploads/macarewecare/222927978372067/5608739639429814312/5608739639429814312_signature_28.png</t>
  </si>
  <si>
    <t>https://www.jotform.com/uploads/macarewecare/222927978372067/5608739639429814312/5608739639429814312_signature_31.png</t>
  </si>
  <si>
    <t xml:space="preserve">ASSAY: Xpert MTB/RIF, COUNT: 828
</t>
  </si>
  <si>
    <t>Temperature related problem Error 1002</t>
  </si>
  <si>
    <t>Performed maintenance, generate data
Install intenet set up, install chrome</t>
  </si>
  <si>
    <t>Performed maintenance, generate IQR, Sys Log,  Gxx files and Assay statistics
Install internet in the cpu unit</t>
  </si>
  <si>
    <t>All modules  are operationals</t>
  </si>
  <si>
    <t>https://www.jotform.com/uploads/macarewecare/222927978372067/5608730841967586876/5608730841967586876_signature_28.png</t>
  </si>
  <si>
    <t>https://www.jotform.com/uploads/macarewecare/222927978372067/5608730841967586876/5608730841967586876_signature_31.png</t>
  </si>
  <si>
    <t xml:space="preserve">ASSAY: Xpert MTB/RIF, COUNT: 307
ASSAY: Xpert MTB/RIF Ultra, COUNT: 981
</t>
  </si>
  <si>
    <t>PC monitor problem SN: CNK9430B0R</t>
  </si>
  <si>
    <t>PC monitor defective - Dead pixels on Liquid Crystal Display (LCD)</t>
  </si>
  <si>
    <t>https://www.jotform.com/uploads/macarewecare/222927978372067/5608710630016630611/5608710630016630611_signature_28.png</t>
  </si>
  <si>
    <t>https://www.jotform.com/uploads/macarewecare/222927978372067/5608710630016630611/5608710630016630611_signature_31.png</t>
  </si>
  <si>
    <t>aliceuytan@yahoo.com</t>
  </si>
  <si>
    <t xml:space="preserve">ASSAY: Xpert MTB/RIF, COUNT: 322
ASSAY: Xpert MTB/RIF Ultra, COUNT: 707
</t>
  </si>
  <si>
    <t>Unit for Preventive maintenance</t>
  </si>
  <si>
    <t>https://www.jotform.com/uploads/macarewecare/222927978372067/5608700740011162202/5608700740011162202_signature_28.png</t>
  </si>
  <si>
    <t>Alice tan</t>
  </si>
  <si>
    <t>https://www.jotform.com/uploads/macarewecare/222927978372067/5608700740011162202/5608700740011162202_signature_31.png</t>
  </si>
  <si>
    <t>https://www.jotform.com/uploads/macarewecare/222927978372067/5608700470012171505/5608700470012171505_signature_28.png</t>
  </si>
  <si>
    <t>https://www.jotform.com/uploads/macarewecare/222927978372067/5608700470012171505/5608700470012171505_signature_31.png</t>
  </si>
  <si>
    <t>vfmorales1970@gmail.com</t>
  </si>
  <si>
    <t xml:space="preserve">ASSAY: Xpert MTB/RIF, COUNT: 145
ASSAY: Xpert MTB/RIF Ultra, COUNT: 583
</t>
  </si>
  <si>
    <t>https://www.jotform.com/uploads/macarewecare/222927978372067/5608699280015281380/5608699280015281380_signature_28.png</t>
  </si>
  <si>
    <t>Vivian Morales</t>
  </si>
  <si>
    <t>https://www.jotform.com/uploads/macarewecare/222927978372067/5608699280015281380/5608699280015281380_signature_31.png</t>
  </si>
  <si>
    <t>https://www.jotform.com/uploads/macarewecare/222927978372067/5608698910019565527/5608698910019565527_signature_28.png</t>
  </si>
  <si>
    <t>https://www.jotform.com/uploads/macarewecare/222927978372067/5608698910019565527/5608698910019565527_signature_31.png</t>
  </si>
  <si>
    <t>leslieleones36@gmail.com</t>
  </si>
  <si>
    <t xml:space="preserve">ASSAY: Xpert MTB/RIF, COUNT: 836
ASSAY: Xpert MTB/RIF Ultra, COUNT: 1301
</t>
  </si>
  <si>
    <t>Defective LCD monitor SN: 509NTKFGR189</t>
  </si>
  <si>
    <t>LCD monitor (ThinkVision sn: V5GTL380)</t>
  </si>
  <si>
    <t>https://www.jotform.com/uploads/macarewecare/222927978372067/5608698510012111364/5608698510012111364_signature_28.png</t>
  </si>
  <si>
    <t>Leslie daryl leones</t>
  </si>
  <si>
    <t>https://www.jotform.com/uploads/macarewecare/222927978372067/5608698510012111364/5608698510012111364_signature_31.png</t>
  </si>
  <si>
    <t>https://www.jotform.com/uploads/macarewecare/222927978372067/5608698260019667181/5608698260019667181_signature_28.png</t>
  </si>
  <si>
    <t>https://www.jotform.com/uploads/macarewecare/222927978372067/5608698260019667181/5608698260019667181_signature_31.png</t>
  </si>
  <si>
    <t>Boac, Marinduque</t>
  </si>
  <si>
    <t xml:space="preserve">ASSAY: Xpert MTB/RIF, COUNT: 13
ASSAY: Xpert MTB/RIF Ultra, COUNT: 305
ASSAY: Xpert SARS-CoV-2, COUNT: 1181
ASSAY: Xpert HIV-1 Viral Load, COUNT: 7
</t>
  </si>
  <si>
    <t>Checked and cleaned cartridge bays, plunger rod, icore slot and replaced filter
Generated report</t>
  </si>
  <si>
    <t>Perforemed preventive maintenance</t>
  </si>
  <si>
    <t>2 unit still operational. 2 units empty</t>
  </si>
  <si>
    <t>https://www.jotform.com/uploads/macarewecare/222927978372067/5608242652418657866/5608242652418657866_signature_28.png</t>
  </si>
  <si>
    <t>Michael Lamac</t>
  </si>
  <si>
    <t>https://www.jotform.com/uploads/macarewecare/222927978372067/5608242652418657866/5608242652418657866_signature_31.png</t>
  </si>
  <si>
    <t xml:space="preserve">ASSAY: Xpert MTB/RIF Ultra, COUNT: 198
ASSAY: Xpert SARS-CoV-2, COUNT: 1250
ASSAY: Xpert HIV-1 Viral Load, COUNT: 2
</t>
  </si>
  <si>
    <t>2 Modules for replacement</t>
  </si>
  <si>
    <t>-Checkedncartridge bays, plunger rod, icore slot and replaced filters
-Replaced B1: 787972 -&gt; 647486
-Replaced B2: 787987 -&gt;210091205
-Generated reports</t>
  </si>
  <si>
    <t>Replaced Modules B1 &amp;B2</t>
  </si>
  <si>
    <t>2 modules operational. 2 modules empty</t>
  </si>
  <si>
    <t>https://www.jotform.com/uploads/macarewecare/222927978372067/5608242212416545442/5608242212416545442_signature_28.png</t>
  </si>
  <si>
    <t>https://www.jotform.com/uploads/macarewecare/222927978372067/5608242212416545442/5608242212416545442_signature_31.png</t>
  </si>
  <si>
    <t>Maybunga, Pasig City</t>
  </si>
  <si>
    <t xml:space="preserve">ASSAY: Xpert MTB/RIF, COUNT: 92
ASSAY: Xpert MTB/RIF Ultra, COUNT: 3022
</t>
  </si>
  <si>
    <t>B1 &amp; B4 module troubleshooting</t>
  </si>
  <si>
    <t>Checked gateway connections, module connections &amp; tested GX power supply &amp; UPS voltage 
Cleaned cartridge bays, plunger rod, filter
Generated reports</t>
  </si>
  <si>
    <t>Performed preventive maintenence &amp; troubleshooting steps</t>
  </si>
  <si>
    <t>Unit is operational
B1 &amp; B4 are disabled</t>
  </si>
  <si>
    <t>https://www.jotform.com/uploads/macarewecare/222927978372067/5608137077122704841/5608137077122704841_signature_28.png</t>
  </si>
  <si>
    <t>https://www.jotform.com/uploads/macarewecare/222927978372067/5608137077122704841/5608137077122704841_signature_31.png</t>
  </si>
  <si>
    <t>GOV. CELESTINO GALLARES MEMORIAL HOSPITA</t>
  </si>
  <si>
    <t xml:space="preserve">ASSAY: Xpert MTB/RIF, COUNT: 309
ASSAY: Xpert MTB/RIF Ultra, COUNT: 1761
ASSAY: Xpert HIV-1 Viral Load, COUNT: 87
</t>
  </si>
  <si>
    <t>MODULE B3 TEMP ERROR 1002</t>
  </si>
  <si>
    <t>PERFORM XPC-MODULE B3 PASSED</t>
  </si>
  <si>
    <t>FOR OBSERVATION AND REPORTING</t>
  </si>
  <si>
    <t>https://www.jotform.com/uploads/macarewecare/222927978372067/5608125006322813846/5608125006322813846_signature_28.png</t>
  </si>
  <si>
    <t>https://www.jotform.com/uploads/macarewecare/222927978372067/5608125006322813846/5608125006322813846_signature_31.png</t>
  </si>
  <si>
    <t>https://www.jotform.com/uploads/macarewecare/222927978372067/5608100127223241255/5608100127223241255_signature_28.png</t>
  </si>
  <si>
    <t>https://www.jotform.com/uploads/macarewecare/222927978372067/5608100127223241255/5608100127223241255_signature_31.png</t>
  </si>
  <si>
    <t>limsiacoroselyn@yahoo.com</t>
  </si>
  <si>
    <t xml:space="preserve">ASSAY: Xpert MTB/RIF, COUNT: 205
ASSAY: Xpert MTB/RIF Ultra, COUNT: 1098
</t>
  </si>
  <si>
    <t>Module B1 with error code 1002</t>
  </si>
  <si>
    <t>Conduct Preventive Maintenance</t>
  </si>
  <si>
    <t>Run Xpert check calibration for module B1 with SN 862117</t>
  </si>
  <si>
    <t>Module B2, B3 &amp; B4 are functional</t>
  </si>
  <si>
    <t>https://www.jotform.com/uploads/macarewecare/222927978372067/5608089337328756957/5608089337328756957_signature_28.png</t>
  </si>
  <si>
    <t>Roselyn Rufon</t>
  </si>
  <si>
    <t>https://www.jotform.com/uploads/macarewecare/222927978372067/5608089337328756957/5608089337328756957_signature_31.png</t>
  </si>
  <si>
    <t>BOHOL PROVINCIAL HEALTH OFFICE</t>
  </si>
  <si>
    <t>TAGBILARAN</t>
  </si>
  <si>
    <t xml:space="preserve">ASSAY: Xpert MTB/RIF, COUNT: 953
ASSAY: Xpert MTB/RIF Ultra, COUNT: 809
</t>
  </si>
  <si>
    <t>COLLECT IQR,SYSTEM LOG,ARCHIVE,AND CALIBRATION DATA</t>
  </si>
  <si>
    <t>PERFORM GX MAINTENANCE AND CLEANING
PERFORM XPC: B1,B3,AND B4 FOR SERVICE
B2-PASSED</t>
  </si>
  <si>
    <t>EQUIPMENT OPERATIONAL, B4 IS DISABLED</t>
  </si>
  <si>
    <t>https://www.jotform.com/uploads/macarewecare/222927978372067/5608085055118677014/5608085055118677014_signature_28.png</t>
  </si>
  <si>
    <t>Ma.Crisanta T.Estomago</t>
  </si>
  <si>
    <t>https://www.jotform.com/uploads/macarewecare/222927978372067/5608085055118677014/5608085055118677014_signature_31.png</t>
  </si>
  <si>
    <t>Taytay Rural Health Unit</t>
  </si>
  <si>
    <t xml:space="preserve">ASSAY: Xpert MTB/RIF Ultra, COUNT: 265
</t>
  </si>
  <si>
    <t>Monitor
SN: V5GAC610</t>
  </si>
  <si>
    <t>https://www.jotform.com/uploads/macarewecare/222927978372067/5608062077227793060/5608062077227793060_signature_28.png</t>
  </si>
  <si>
    <t>Dino Dannelli De Los Santos</t>
  </si>
  <si>
    <t>https://www.jotform.com/uploads/macarewecare/222927978372067/5608062077227793060/5608062077227793060_signature_31.png</t>
  </si>
  <si>
    <t>Clean all modules in side and out side of the machine.</t>
  </si>
  <si>
    <t>All modules are clean and functional.</t>
  </si>
  <si>
    <t>https://www.jotform.com/uploads/macarewecare/222927978372067/5608046785413699888/5608046785413699888_signature_28.png</t>
  </si>
  <si>
    <t>https://www.jotform.com/uploads/macarewecare/222927978372067/5608046785413699888/5608046785413699888_signature_31.png</t>
  </si>
  <si>
    <t>Escalante City , Negros Occidental</t>
  </si>
  <si>
    <t xml:space="preserve">ASSAY: Xpert MTB/RIF, COUNT: 278
</t>
  </si>
  <si>
    <t>No reported problems</t>
  </si>
  <si>
    <t>Conduct Maintenance , perfomed plunger clean up and clean filter, instruct the medtech never performed test if temperature exceeds 35 degrees C 
Provide additional ventilation like electric fan if no additional aircon is provided</t>
  </si>
  <si>
    <t>Performed Maintenance , clean filter , generate data IQR , sys log, assay stat, plunger maintenance, check ambient temperature</t>
  </si>
  <si>
    <t>Units are operational but need additional aircon</t>
  </si>
  <si>
    <t>https://www.jotform.com/uploads/macarewecare/222927978372067/5608024976918096901/5608024976918096901_signature_28.png</t>
  </si>
  <si>
    <t>https://www.jotform.com/uploads/macarewecare/222927978372067/5608024976918096901/5608024976918096901_signature_31.png</t>
  </si>
  <si>
    <t>Sagay City , Negros Occidental</t>
  </si>
  <si>
    <t xml:space="preserve">ASSAY: Xpert MTB/RIF, COUNT: 231
</t>
  </si>
  <si>
    <t>Error 4012 during start up of the genexpert machine  806305</t>
  </si>
  <si>
    <t>Performed maintenance, clean filter, clean plunger and adjust airconditioning</t>
  </si>
  <si>
    <t>Performed self test , Get IQR , generate data 3 months ,  sys log , assay statistics</t>
  </si>
  <si>
    <t>Module encounter module failure during start up SN # 806305 , after the reset and restart the module 806305 turn into normal condition</t>
  </si>
  <si>
    <t>https://www.jotform.com/uploads/macarewecare/222927978372067/5608019656914289506/5608019656914289506_signature_28.png</t>
  </si>
  <si>
    <t>Debra M. Abellar</t>
  </si>
  <si>
    <t>https://www.jotform.com/uploads/macarewecare/222927978372067/5608019656914289506/5608019656914289506_signature_31.png</t>
  </si>
  <si>
    <t>Module B3 for service required</t>
  </si>
  <si>
    <t>Only 1 Module is operational</t>
  </si>
  <si>
    <t>https://www.jotform.com/uploads/macarewecare/222927978372067/5608008591187022087/5608008591187022087_signature_28.png</t>
  </si>
  <si>
    <t>https://www.jotform.com/uploads/macarewecare/222927978372067/5608008591187022087/5608008591187022087_signature_31.png</t>
  </si>
  <si>
    <t>Performed preventive maintenance.
Verified calibration parameters.
Performed simulation running.</t>
  </si>
  <si>
    <t>https://www.jotform.com/uploads/macarewecare/222927978372067/5607995710263746577/5607995710263746577_signature_28.png</t>
  </si>
  <si>
    <t>https://www.jotform.com/uploads/macarewecare/222927978372067/5607995710263746577/5607995710263746577_signature_31.png</t>
  </si>
  <si>
    <t>ma.lorinamanera@yahoo.com</t>
  </si>
  <si>
    <t>Performed Preventive Maintenance.
Generated reports.</t>
  </si>
  <si>
    <t>https://www.jotform.com/uploads/macarewecare/222927978372067/5607969020269524119/5607969020269524119_signature_28.png</t>
  </si>
  <si>
    <t>https://www.jotform.com/uploads/macarewecare/222927978372067/5607969020269524119/5607969020269524119_signature_31.png</t>
  </si>
  <si>
    <t>https://www.jotform.com/uploads/macarewecare/222927978372067/5607968980267049104/5607968980267049104_signature_28.png</t>
  </si>
  <si>
    <t>https://www.jotform.com/uploads/macarewecare/222927978372067/5607968980267049104/5607968980267049104_signature_31.png</t>
  </si>
  <si>
    <t>Baan KM 5, Butuan City</t>
  </si>
  <si>
    <t xml:space="preserve">ASSAY: Xpert MTB/RIF Ultra, COUNT: 1149
ASSAY: Xpert SARS-CoV-2, COUNT: 864
ASSAY: Xpert HIV-1 Viral Load, COUNT: 82
</t>
  </si>
  <si>
    <t>Replacing Module B3 with SN: 719843 to SN: 210092142</t>
  </si>
  <si>
    <t>https://www.jotform.com/uploads/macarewecare/222927978372067/5607961516518459013/5607961516518459013_signature_28.png</t>
  </si>
  <si>
    <t>https://www.jotform.com/uploads/macarewecare/222927978372067/5607961516518459013/5607961516518459013_signature_31.png</t>
  </si>
  <si>
    <t xml:space="preserve">ASSAY: Xpert MTB/RIF, COUNT: 475
ASSAY: Xpert MTB/RIF Ultra, COUNT: 281
</t>
  </si>
  <si>
    <t>MODULE B4 TEMPERATURE ERROR</t>
  </si>
  <si>
    <t>MODULE B3&amp;B4 DISABLED</t>
  </si>
  <si>
    <t>https://www.jotform.com/uploads/macarewecare/222927978372067/5607934179019658989/5607934179019658989_signature_28.png</t>
  </si>
  <si>
    <t>Lian Rose Milo</t>
  </si>
  <si>
    <t>https://www.jotform.com/uploads/macarewecare/222927978372067/5607934179019658989/5607934179019658989_signature_31.png</t>
  </si>
  <si>
    <t>Silay, negros occidental</t>
  </si>
  <si>
    <t>feljplz@yahoo.com</t>
  </si>
  <si>
    <t xml:space="preserve">ASSAY: Xpert MTB/RIF, COUNT: 127
ASSAY: Xpert MTB/RIF Ultra, COUNT: 2678
</t>
  </si>
  <si>
    <t>Defective module 4 sn791669</t>
  </si>
  <si>
    <t>Clean fan filter, New module 4 installed sn210091149</t>
  </si>
  <si>
    <t>New module 4 installed sn210091149</t>
  </si>
  <si>
    <t>https://www.jotform.com/uploads/macarewecare/222927978372067/5607886990328167721/5607886990328167721_signature_28.png</t>
  </si>
  <si>
    <t>Feljelyn P. Bela-ong</t>
  </si>
  <si>
    <t>https://www.jotform.com/uploads/macarewecare/222927978372067/5607886990328167721/5607886990328167721_signature_31.png</t>
  </si>
  <si>
    <t>Due for  CPU Replacement and Maintenance</t>
  </si>
  <si>
    <t>Replaced Cpu
Cleaned Cartridge bays, Filter, Plunger Rods and I-CORE
Generated reports</t>
  </si>
  <si>
    <t>Replaced CPU and Performed Maintenance</t>
  </si>
  <si>
    <t>Modules B1 and B4 for reporting</t>
  </si>
  <si>
    <t>https://www.jotform.com/uploads/macarewecare/222927978372067/5607857732115911075/5607857732115911075_signature_28.png</t>
  </si>
  <si>
    <t>https://www.jotform.com/uploads/macarewecare/222927978372067/5607857732115911075/5607857732115911075_signature_31.png</t>
  </si>
  <si>
    <t xml:space="preserve">ASSAY: Xpert MTB/RIF, COUNT: 50
ASSAY: Xpert MTB/RIF Ultra, COUNT: 1678
ASSAY: Xpert HIV-1 Viral Load, COUNT: 110
</t>
  </si>
  <si>
    <t>-Cleaned Cartridge Bays, Plunger Rods and I-CORE
-Replaced Module 806897 &gt;&gt;&gt;210091236 and Module 806898&gt;&gt;&gt; 210091268
-Generated Reports</t>
  </si>
  <si>
    <t>Performed module replacement and Maintenance</t>
  </si>
  <si>
    <t>Work with Noel Floresca</t>
  </si>
  <si>
    <t>GeneXpert Modules SN: 210091236 and 210091268</t>
  </si>
  <si>
    <t>G 5598</t>
  </si>
  <si>
    <t>https://www.jotform.com/uploads/macarewecare/222927978372067/5607854802115257093/5607854802115257093_signature_28.png</t>
  </si>
  <si>
    <t>https://www.jotform.com/uploads/macarewecare/222927978372067/5607854802115257093/5607854802115257093_signature_31.png</t>
  </si>
  <si>
    <t xml:space="preserve">ASSAY: Xpert MTB/RIF, COUNT: 79
ASSAY: Xpert MTB/RIF Ultra, COUNT: 429
</t>
  </si>
  <si>
    <t>https://www.jotform.com/uploads/macarewecare/222927978372067/5607286081111604322/5607286081111604322_signature_28.png</t>
  </si>
  <si>
    <t>https://www.jotform.com/uploads/macarewecare/222927978372067/5607286081111604322/5607286081111604322_signature_31.png</t>
  </si>
  <si>
    <t xml:space="preserve">ASSAY: Xpert MTB/RIF, COUNT: 931
ASSAY: Xpert MTB/RIF Ultra, COUNT: 874
</t>
  </si>
  <si>
    <t>https://www.jotform.com/uploads/macarewecare/222927978372067/5607212485917983094/5607212485917983094_signature_28.png</t>
  </si>
  <si>
    <t>https://www.jotform.com/uploads/macarewecare/222927978372067/5607212485917983094/5607212485917983094_signature_31.png</t>
  </si>
  <si>
    <t>University of The East Ramon Magsaysay Memorial Hospital</t>
  </si>
  <si>
    <t>uerm.laboratory@gmail.com</t>
  </si>
  <si>
    <t xml:space="preserve">ASSAY: Xpert C. difficile BT, COUNT: 44
ASSAY: Xpert CT/NG, COUNT: 60
ASSAY: Xpert MTB/RIF, COUNT: 345
ASSAY: Xpert MTB/RIF Ultra, COUNT: 256
ASSAY: Others, COUNT: 1
</t>
  </si>
  <si>
    <t>4plex assay definition file for importing</t>
  </si>
  <si>
    <t>- imported assays (Xpert Xpress_SARS-CoV-2_Flu_RSV_5.gxa and Xpress SARS-CoV-2_Flu_RSV plus_1.gxa)
- checked and cleaned cartridge bay, plunger rod, filter, icore slot
- generated reports</t>
  </si>
  <si>
    <t>https://www.jotform.com/uploads/macarewecare/222927978372067/5607209155555144602/5607209155555144602_signature_28.png</t>
  </si>
  <si>
    <t>Gilbert R. Claveria</t>
  </si>
  <si>
    <t>https://www.jotform.com/uploads/macarewecare/222927978372067/5607209155555144602/5607209155555144602_signature_31.png</t>
  </si>
  <si>
    <t>CONG. SIMEON TORIBIO MEMORIAL HOSPITAL</t>
  </si>
  <si>
    <t>TB DOTS LABORATORY</t>
  </si>
  <si>
    <t xml:space="preserve">ASSAY: Xpert MTB/RIF, COUNT: 798
ASSAY: Xpert MTB/RIF Ultra, COUNT: 167
</t>
  </si>
  <si>
    <t>MODULE B1 TEMP ERROR 1002 and 4012, MODULE B2 ERROR 4011 and 2034,
MODULE B3 ERROR 1002 and 4017</t>
  </si>
  <si>
    <t>https://www.jotform.com/uploads/macarewecare/222927978372067/5607200645214174789/5607200645214174789_signature_28.png</t>
  </si>
  <si>
    <t>https://www.jotform.com/uploads/macarewecare/222927978372067/5607200645214174789/5607200645214174789_signature_31.png</t>
  </si>
  <si>
    <t>https://www.jotform.com/uploads/macarewecare/222927978372067/5607195695214017797/5607195695214017797_signature_28.png</t>
  </si>
  <si>
    <t>https://www.jotform.com/uploads/macarewecare/222927978372067/5607195695214017797/5607195695214017797_signature_31.png</t>
  </si>
  <si>
    <t>Braulio E. Dujali, Davao Del Norte</t>
  </si>
  <si>
    <t>Replaced the Defective Module B2 SN: 788796 with new Module SN : 210091166
Generate IQR, Assay Stat and System Log</t>
  </si>
  <si>
    <t>https://www.jotform.com/uploads/macarewecare/222927978372067/5607158764457710588/5607158764457710588_signature_28.png</t>
  </si>
  <si>
    <t>SHARON ROSE B. LACORDA</t>
  </si>
  <si>
    <t>https://www.jotform.com/uploads/macarewecare/222927978372067/5607158764457710588/5607158764457710588_signature_31.png</t>
  </si>
  <si>
    <t>T. Diao St., Bayawan City, Negros Oriental</t>
  </si>
  <si>
    <t xml:space="preserve">ASSAY: Xpert MTB/RIF, COUNT: 620
ASSAY: Xpert MTB/RIF Ultra, COUNT: 1083
</t>
  </si>
  <si>
    <t>Modules B2/701412  and B4/662360  resulted in Requiring Service during last Xpertcheck.</t>
  </si>
  <si>
    <t>Preventive Maintenance, Plunger rod maintenance, filter cleaning, module bay cleaning, archive tests.</t>
  </si>
  <si>
    <t>Replaced module B2 and B4 with new modules with SN 210091172 and 210091185 respectively.</t>
  </si>
  <si>
    <t>Module B3 with HW Fail; for report to Cepheid.  Modules B1, B2 and B4 operational.</t>
  </si>
  <si>
    <t>https://www.jotform.com/uploads/macarewecare/222927978372067/5607147149615928297/5607147149615928297_signature_28.png</t>
  </si>
  <si>
    <t>Nympha Ridad</t>
  </si>
  <si>
    <t>https://www.jotform.com/uploads/macarewecare/222927978372067/5607147149615928297/5607147149615928297_signature_31.png</t>
  </si>
  <si>
    <t>Bad-as, Placer</t>
  </si>
  <si>
    <t xml:space="preserve">ASSAY: Xpert MTB/RIF, COUNT: 98
ASSAY: Xpert MTB/RIF Ultra, COUNT: 1372
</t>
  </si>
  <si>
    <t>Replacing Module B1 with SN: 805830 to SN:  210091072
Replacing Module B4 with SN: 688216 to SN: 210091081</t>
  </si>
  <si>
    <t>https://www.jotform.com/uploads/macarewecare/222927978372067/5607147018856111004/5607147018856111004_signature_28.png</t>
  </si>
  <si>
    <t>https://www.jotform.com/uploads/macarewecare/222927978372067/5607147018856111004/5607147018856111004_signature_31.png</t>
  </si>
  <si>
    <t>Poblacion, Piat, Cagayan</t>
  </si>
  <si>
    <t xml:space="preserve">ASSAY: Xpert MTB/RIF, COUNT: 76
ASSAY: Xpert MTB/RIF Ultra, COUNT: 195
</t>
  </si>
  <si>
    <t>Performed Maintenance
Gathered Reports
Performed Calibratiom
Performed Functionality Test</t>
  </si>
  <si>
    <t>https://www.jotform.com/uploads/macarewecare/222927978372067/5607136704411005127/5607136704411005127_signature_28.png</t>
  </si>
  <si>
    <t>Marie A. Salas</t>
  </si>
  <si>
    <t>https://www.jotform.com/uploads/macarewecare/222927978372067/5607136704411005127/5607136704411005127_signature_31.png</t>
  </si>
  <si>
    <t xml:space="preserve">ASSAY: Xpert MTB/RIF, COUNT: 48
ASSAY: Xpert MTB/RIF Ultra, COUNT: 252
</t>
  </si>
  <si>
    <t>Module Replacement = 787869 - 210091136</t>
  </si>
  <si>
    <t>Genexpert Module = 210091136</t>
  </si>
  <si>
    <t>https://www.jotform.com/uploads/macarewecare/222927978372067/5607136704414556128/5607136704414556128_signature_28.png</t>
  </si>
  <si>
    <t>https://www.jotform.com/uploads/macarewecare/222927978372067/5607136704414556128/5607136704414556128_signature_31.png</t>
  </si>
  <si>
    <t>https://www.jotform.com/uploads/macarewecare/222927978372067/5607136704415021706/5607136704415021706_signature_28.png</t>
  </si>
  <si>
    <t>MARK G.TALAY</t>
  </si>
  <si>
    <t>https://www.jotform.com/uploads/macarewecare/222927978372067/5607136704415021706/5607136704415021706_signature_31.png</t>
  </si>
  <si>
    <t>Lubao Rural Health Unit 3</t>
  </si>
  <si>
    <t>Sitio Barin, San Isidro Lubao Pampanga</t>
  </si>
  <si>
    <t xml:space="preserve">ASSAY: Xpert MTB/RIF, COUNT: 42
ASSAY: Xpert MTB/RIF Ultra, COUNT: 833
</t>
  </si>
  <si>
    <t>Module replacemwnt
Preventive maintenance</t>
  </si>
  <si>
    <t>Performed surface cleaning
Performed preventive maintenance
Performed module replacement
Gathered reports
Performed functionality test</t>
  </si>
  <si>
    <t>https://www.jotform.com/uploads/macarewecare/222927978372067/5606997028729148313/5606997028729148313_signature_28.png</t>
  </si>
  <si>
    <t>https://www.jotform.com/uploads/macarewecare/222927978372067/5606997028729148313/5606997028729148313_signature_31.png</t>
  </si>
  <si>
    <t xml:space="preserve">ASSAY: Xpert HPV, COUNT: 65
ASSAY: Xpert MTB/RIF, COUNT: 181
ASSAY: Xpert MTB/RIF Ultra, COUNT: 3774
</t>
  </si>
  <si>
    <t>https://www.jotform.com/uploads/macarewecare/222927978372067/5606935970418947124/5606935970418947124_signature_28.png</t>
  </si>
  <si>
    <t>https://www.jotform.com/uploads/macarewecare/222927978372067/5606935970418947124/5606935970418947124_signature_31.png</t>
  </si>
  <si>
    <t>Error ultrasonic horn failure and gateway board damage</t>
  </si>
  <si>
    <t>Replaced gateway board</t>
  </si>
  <si>
    <t>The units are now operational. All modules are operational</t>
  </si>
  <si>
    <t>https://www.jotform.com/uploads/macarewecare/222927978372067/5606479781189761175/5606479781189761175_signature_28.png</t>
  </si>
  <si>
    <t>Zherlyn Bacumo</t>
  </si>
  <si>
    <t>https://www.jotform.com/uploads/macarewecare/222927978372067/5606479781189761175/5606479781189761175_signature_31.png</t>
  </si>
  <si>
    <t xml:space="preserve">ASSAY: Xpert MTB/RIF, COUNT: 93
ASSAY: Xpert MTB/RIF Ultra, COUNT: 2010
</t>
  </si>
  <si>
    <t>Module B4 - Error 2008 H/W fail</t>
  </si>
  <si>
    <t>Module B3 pending for replacement. Module B1, B2, B4 are operational.</t>
  </si>
  <si>
    <t>https://www.jotform.com/uploads/macarewecare/222927978372067/5606414490117435310/5606414490117435310_signature_28.png</t>
  </si>
  <si>
    <t>Ruby C. Lut</t>
  </si>
  <si>
    <t>https://www.jotform.com/uploads/macarewecare/222927978372067/5606414490117435310/5606414490117435310_signature_31.png</t>
  </si>
  <si>
    <t>Dr. Cornelio T. Martinez Sr. Memorial Hospital</t>
  </si>
  <si>
    <t xml:space="preserve">ASSAY: Xpert MTB/RIF, COUNT: 112
ASSAY: Xpert MTB/RIF Ultra, COUNT: 365
</t>
  </si>
  <si>
    <t>Perform Genexpert machine Xpertcheck/ Calibration 
Perform Genexpert machine Preventive maintenance</t>
  </si>
  <si>
    <t>Lot no: 1000330696</t>
  </si>
  <si>
    <t>https://www.jotform.com/uploads/macarewecare/222927978372067/5606376629302058864/5606376629302058864_signature_28.png</t>
  </si>
  <si>
    <t>Madelene R. Martinez</t>
  </si>
  <si>
    <t>https://www.jotform.com/uploads/macarewecare/222927978372067/5606376629302058864/5606376629302058864_signature_31.png</t>
  </si>
  <si>
    <t>cadornaangelica0314@gmail.com</t>
  </si>
  <si>
    <t xml:space="preserve">ASSAY: Xpert MTB/RIF, COUNT: 216
ASSAY: Xpert MTB/RIF Ultra, COUNT: 1022
</t>
  </si>
  <si>
    <t>Module 3 and 4 for Service Required 
Genexpert machine modules temperature not within the acceptable range of 15-30°C</t>
  </si>
  <si>
    <t>Replace module 3 SN: 662097 with new module SN: 210092161
Replace module 3 SN: 662098 with new module SN: 210085010
Perform Genexpert machine Preventive maintenance</t>
  </si>
  <si>
    <t>Genexpert machine need to install air-conditioning unit for required temperature of all module</t>
  </si>
  <si>
    <t>https://www.jotform.com/uploads/macarewecare/222927978372067/5606376629302274185/5606376629302274185_signature_28.png</t>
  </si>
  <si>
    <t>Angelica cadorna</t>
  </si>
  <si>
    <t>https://www.jotform.com/uploads/macarewecare/222927978372067/5606376629302274185/5606376629302274185_signature_31.png</t>
  </si>
  <si>
    <t>Danao city, cebu</t>
  </si>
  <si>
    <t>faiha2@gmail.com</t>
  </si>
  <si>
    <t>Dedective module b3 sn</t>
  </si>
  <si>
    <t>New module b3 installed sn210091171, clean gan filter</t>
  </si>
  <si>
    <t>New module b3 installed sn210091171</t>
  </si>
  <si>
    <t>https://www.jotform.com/uploads/macarewecare/222927978372067/5606370555914384302/5606370555914384302_signature_28.png</t>
  </si>
  <si>
    <t>Janice Ferrariz</t>
  </si>
  <si>
    <t>https://www.jotform.com/uploads/macarewecare/222927978372067/5606370555914384302/5606370555914384302_signature_31.png</t>
  </si>
  <si>
    <t>Module B2 for module replacement</t>
  </si>
  <si>
    <t>Replaced the Defective Module B2 SN:603064 with new Module SN: 210091170</t>
  </si>
  <si>
    <t>3 modules are operational</t>
  </si>
  <si>
    <t>Module B1 encounter multiple error, data sent to Cepheid for further Assessment</t>
  </si>
  <si>
    <t>https://www.jotform.com/uploads/macarewecare/222927978372067/5606341287808814625/5606341287808814625_signature_28.png</t>
  </si>
  <si>
    <t>https://www.jotform.com/uploads/macarewecare/222927978372067/5606341287808814625/5606341287808814625_signature_31.png</t>
  </si>
  <si>
    <t xml:space="preserve">ASSAY: Xpert MTB/RIF, COUNT: 36
ASSAY: Xpert MTB/RIF Ultra, COUNT: 1459
</t>
  </si>
  <si>
    <t>Module B1 &amp; B4 - Xpert Check service required</t>
  </si>
  <si>
    <t>-Replace defective module B1/695246 with new module SN: 210088787
-Replace defective module B4/670432 with new module SN: 210089518</t>
  </si>
  <si>
    <t>https://www.jotform.com/uploads/macarewecare/222927978372067/5606310296117441422/5606310296117441422_signature_28.png</t>
  </si>
  <si>
    <t>https://www.jotform.com/uploads/macarewecare/222927978372067/5606310296117441422/5606310296117441422_signature_31.png</t>
  </si>
  <si>
    <t xml:space="preserve">ASSAY: Xpert MTB/RIF, COUNT: 640
ASSAY: Xpert MTB/RIF Ultra, COUNT: 1744
ASSAY: Xpert HIV-1 Viral Load, COUNT: 29
</t>
  </si>
  <si>
    <t>https://www.jotform.com/uploads/macarewecare/222927978372067/5606296408856176772/5606296408856176772_signature_28.png</t>
  </si>
  <si>
    <t>https://www.jotform.com/uploads/macarewecare/222927978372067/5606296408856176772/5606296408856176772_signature_31.png</t>
  </si>
  <si>
    <t>University of The Philippines - National Institutes of Health</t>
  </si>
  <si>
    <t>Pedro Gil St. Ermita, Manila</t>
  </si>
  <si>
    <t>https://www.jotform.com/uploads/macarewecare/222927978372067/5606219913122714853/5606219913122714853_signature_28.png</t>
  </si>
  <si>
    <t>Vivienne Luzentales</t>
  </si>
  <si>
    <t>https://www.jotform.com/uploads/macarewecare/222927978372067/5606219913122714853/5606219913122714853_signature_31.png</t>
  </si>
  <si>
    <t>Rizal Ave., Sta. Cruz Manila</t>
  </si>
  <si>
    <t xml:space="preserve">ASSAY: Xpert HPV, COUNT: 1069
ASSAY: Xpert SARS-CoV-2, COUNT: 4573
</t>
  </si>
  <si>
    <t>Xpertcheck 5 box</t>
  </si>
  <si>
    <t>G5565 and G5593</t>
  </si>
  <si>
    <t>https://www.jotform.com/uploads/macarewecare/222927978372067/5606143943416915513/5606143943416915513_signature_28.png</t>
  </si>
  <si>
    <t>https://www.jotform.com/uploads/macarewecare/222927978372067/5606143943416915513/5606143943416915513_signature_31.png</t>
  </si>
  <si>
    <t>J.P.Laurel St., Nasugbu</t>
  </si>
  <si>
    <t>Module 1 with Lost Communication Error</t>
  </si>
  <si>
    <t>Gateway Replacement</t>
  </si>
  <si>
    <t>Performed Maintenance
Replaced Gateway Board
Archived Tests
Generate Reports</t>
  </si>
  <si>
    <t>Gateway Board</t>
  </si>
  <si>
    <t>G 5567</t>
  </si>
  <si>
    <t>https://www.jotform.com/uploads/macarewecare/222927978372067/5606122670412993606/5606122670412993606_signature_28.png</t>
  </si>
  <si>
    <t>Lucena i. Vicente</t>
  </si>
  <si>
    <t>https://www.jotform.com/uploads/macarewecare/222927978372067/5606122670412993606/5606122670412993606_signature_31.png</t>
  </si>
  <si>
    <t xml:space="preserve">ASSAY: Xpert MTB/RIF Ultra, COUNT: 1523
</t>
  </si>
  <si>
    <t>606336-&gt; 210091143</t>
  </si>
  <si>
    <t>https://www.jotform.com/uploads/macarewecare/222927978372067/5606122670418833030/5606122670418833030_signature_28.png</t>
  </si>
  <si>
    <t>https://www.jotform.com/uploads/macarewecare/222927978372067/5606122670418833030/5606122670418833030_signature_31.png</t>
  </si>
  <si>
    <t>CPU with Hard Drive Problem</t>
  </si>
  <si>
    <t>CPu Replacement</t>
  </si>
  <si>
    <t>Replaced CPU
Pulled-out Back-up Laptop
Generate Reports</t>
  </si>
  <si>
    <t>G 5576</t>
  </si>
  <si>
    <t>https://www.jotform.com/uploads/macarewecare/222927978372067/5606122680415794637/5606122680415794637_signature_28.png</t>
  </si>
  <si>
    <t>https://www.jotform.com/uploads/macarewecare/222927978372067/5606122680415794637/5606122680415794637_signature_31.png</t>
  </si>
  <si>
    <t>Prial Road, General Trias</t>
  </si>
  <si>
    <t>MAINTENANCE
Installation of Network Switch</t>
  </si>
  <si>
    <t xml:space="preserve">ASSAY: Xpert MTB/RIF Ultra, COUNT: 1694
ASSAY: Xpert HIV-1 Viral Load, COUNT: 194
</t>
  </si>
  <si>
    <t>Performed Maintenance
Generate Reports</t>
  </si>
  <si>
    <t>Wrong Network Switch</t>
  </si>
  <si>
    <t>https://www.jotform.com/uploads/macarewecare/222927978372067/5606122680417714877/5606122680417714877_signature_28.png</t>
  </si>
  <si>
    <t>https://www.jotform.com/uploads/macarewecare/222927978372067/5606122680417714877/5606122680417714877_signature_31.png</t>
  </si>
  <si>
    <t>Carmona</t>
  </si>
  <si>
    <t xml:space="preserve">ASSAY: Xpert MTB/RIF Ultra, COUNT: 1116
</t>
  </si>
  <si>
    <t>Module 2 with syringe problem</t>
  </si>
  <si>
    <t>Performed Maintenance
Performed XpertCheck on reported Module
Performed Self-Test
Generate Reports</t>
  </si>
  <si>
    <t>Used Spare Kit, A2 for Observatiom</t>
  </si>
  <si>
    <t>https://www.jotform.com/uploads/macarewecare/222927978372067/5606122230416304111/5606122230416304111_signature_28.png</t>
  </si>
  <si>
    <t>https://www.jotform.com/uploads/macarewecare/222927978372067/5606122230416304111/5606122230416304111_signature_31.png</t>
  </si>
  <si>
    <t>Quiricada St., Sta.Cruz</t>
  </si>
  <si>
    <t>Unit is due for Installatiom</t>
  </si>
  <si>
    <t>Installed GeneXpert Machine
Generate IQR</t>
  </si>
  <si>
    <t>With Yasser Salih</t>
  </si>
  <si>
    <t>https://www.jotform.com/uploads/macarewecare/222927978372067/5606122230417104614/5606122230417104614_signature_28.png</t>
  </si>
  <si>
    <t>MELANIE PEREZ</t>
  </si>
  <si>
    <t>https://www.jotform.com/uploads/macarewecare/222927978372067/5606122230417104614/5606122230417104614_signature_31.png</t>
  </si>
  <si>
    <t>Scout Torillo, Rosario</t>
  </si>
  <si>
    <t>1 Module is Operational, 2 Modules for Replacement, 1 Module Not Detected in XpertCheck</t>
  </si>
  <si>
    <t>Module 3 Passed, Module 2 Not Detected</t>
  </si>
  <si>
    <t>https://www.jotform.com/uploads/macarewecare/222927978372067/5606122240416467337/5606122240416467337_signature_28.png</t>
  </si>
  <si>
    <t>https://www.jotform.com/uploads/macarewecare/222927978372067/5606122240416467337/5606122240416467337_signature_31.png</t>
  </si>
  <si>
    <t xml:space="preserve">ASSAY: Xpert MTB/RIF Ultra, COUNT: 525
</t>
  </si>
  <si>
    <t>807003-&gt; 677119</t>
  </si>
  <si>
    <t>https://www.jotform.com/uploads/macarewecare/222927978372067/5606122240416879116/5606122240416879116_signature_28.png</t>
  </si>
  <si>
    <t>Robert torres</t>
  </si>
  <si>
    <t>https://www.jotform.com/uploads/macarewecare/222927978372067/5606122240416879116/5606122240416879116_signature_31.png</t>
  </si>
  <si>
    <t>Monitor for Replacement
Module 4 with Temperature Errors</t>
  </si>
  <si>
    <t>Module Replacement
Monitor Replacement</t>
  </si>
  <si>
    <t>Performed Maintenance
Replaced Module 4
Replaced Monitor
Generate Reports</t>
  </si>
  <si>
    <t>2 Modules are Defective, 2 Modules are Operational</t>
  </si>
  <si>
    <t>619639 -&gt; 891932</t>
  </si>
  <si>
    <t>https://www.jotform.com/uploads/macarewecare/222927978372067/5606122240418092890/5606122240418092890_signature_28.png</t>
  </si>
  <si>
    <t>https://www.jotform.com/uploads/macarewecare/222927978372067/5606122240418092890/5606122240418092890_signature_31.png</t>
  </si>
  <si>
    <t>D. Fandiño St. Alaminos</t>
  </si>
  <si>
    <t xml:space="preserve">ASSAY: Xpert MTB/RIF Ultra, COUNT: 260
</t>
  </si>
  <si>
    <t>Performed PM.
Performed module replacement on B2.</t>
  </si>
  <si>
    <t>GX Module B2 (210089549) in replacement to defective B2 (861446).</t>
  </si>
  <si>
    <t>Monarch DR 0040814</t>
  </si>
  <si>
    <t>https://www.jotform.com/uploads/macarewecare/222927978372067/5606071849488525074/5606071849488525074_signature_28.png</t>
  </si>
  <si>
    <t>https://www.jotform.com/uploads/macarewecare/222927978372067/5606071849488525074/5606071849488525074_signature_31.png</t>
  </si>
  <si>
    <t>Tayamaan, Mamburao</t>
  </si>
  <si>
    <t>jaysonlopez12@gmail.com</t>
  </si>
  <si>
    <t xml:space="preserve">ASSAY: Xpert MTB/RIF Ultra, COUNT: 328
ASSAY: Xpert SARS-CoV-2, COUNT: 4
ASSAY: Xpert HIV-1 Viral Load, COUNT: 18
</t>
  </si>
  <si>
    <t>Unit for PM.
For module replacement of modules B1 and B3.</t>
  </si>
  <si>
    <t>Performed PM.
Performed module replacement on B1 and B3.
Generated reports.</t>
  </si>
  <si>
    <t>GX module B1 (626470) and B3 (647203) in replacement to defective B1 (685248) and B3 (662114).</t>
  </si>
  <si>
    <t>https://www.jotform.com/uploads/macarewecare/222927978372067/5606071559488774762/5606071559488774762_signature_28.png</t>
  </si>
  <si>
    <t>Jayson Lopez</t>
  </si>
  <si>
    <t>https://www.jotform.com/uploads/macarewecare/222927978372067/5606071559488774762/5606071559488774762_signature_31.png</t>
  </si>
  <si>
    <t>https://www.jotform.com/uploads/macarewecare/222927978372067/5606071539483943612/5606071539483943612_signature_28.png</t>
  </si>
  <si>
    <t>https://www.jotform.com/uploads/macarewecare/222927978372067/5606071539483943612/5606071539483943612_signature_31.png</t>
  </si>
  <si>
    <t>East avenue.,Quezon city</t>
  </si>
  <si>
    <t xml:space="preserve">ASSAY: Xpert MTB/RIF, COUNT: 9
ASSAY: Xpert MTB/RIF Ultra, COUNT: 1219
ASSAY: Others, COUNT: 16
ASSAY: Xpert SARS-CoV-2, COUNT: 10728
</t>
  </si>
  <si>
    <t>For maintenance c1 error 4011,C3 error 4009,C4 error 1002,D2 error 4017. disabled</t>
  </si>
  <si>
    <t>4 modules disable,  12 modules available</t>
  </si>
  <si>
    <t>https://www.jotform.com/uploads/macarewecare/222927978372067/5605672717407161555/5605672717407161555_signature_28.png</t>
  </si>
  <si>
    <t>https://www.jotform.com/uploads/macarewecare/222927978372067/5605672717407161555/5605672717407161555_signature_31.png</t>
  </si>
  <si>
    <t>East avenue, Quezon city</t>
  </si>
  <si>
    <t xml:space="preserve">ASSAY: Xpert MTB/RIF, COUNT: 11
ASSAY: Xpert MTB/RIF Ultra, COUNT: 241
ASSAY: Others, COUNT: 5
ASSAY: Xpert SARS-CoV-2, COUNT: 1755
</t>
  </si>
  <si>
    <t>B1 unable to detect</t>
  </si>
  <si>
    <t>cleaned unit,filter,plunger rod,cartridge bay,i core,gathered reports,performed visual check,test run unit, performed  troubleshooting</t>
  </si>
  <si>
    <t>B1 unable to use 3 modules available</t>
  </si>
  <si>
    <t>https://www.jotform.com/uploads/macarewecare/222927978372067/5605670677405654780/5605670677405654780_signature_28.png</t>
  </si>
  <si>
    <t>https://www.jotform.com/uploads/macarewecare/222927978372067/5605670677405654780/5605670677405654780_signature_31.png</t>
  </si>
  <si>
    <t>East avenue, Quezon City</t>
  </si>
  <si>
    <t xml:space="preserve">ASSAY: Xpert MTB/RIF Ultra, COUNT: 241
ASSAY: Xpert MTB/RIF, COUNT: 11
ASSAY: Others, COUNT: 5
ASSAY: Xpert SARS-CoV-2, COUNT: 1755
</t>
  </si>
  <si>
    <t>C4 disabled encounter temp error</t>
  </si>
  <si>
    <t>C4 d8sabled, 3 modules available</t>
  </si>
  <si>
    <t>https://www.jotform.com/uploads/macarewecare/222927978372067/5605670127404893036/5605670127404893036_signature_28.png</t>
  </si>
  <si>
    <t>https://www.jotform.com/uploads/macarewecare/222927978372067/5605670127404893036/5605670127404893036_signature_31.png</t>
  </si>
  <si>
    <t>https://www.jotform.com/uploads/macarewecare/222927978372067/5605669607402718965/5605669607402718965_signature_28.png</t>
  </si>
  <si>
    <t>https://www.jotform.com/uploads/macarewecare/222927978372067/5605669607402718965/5605669607402718965_signature_31.png</t>
  </si>
  <si>
    <t>Victory ave.Quezon CIty</t>
  </si>
  <si>
    <t xml:space="preserve">ASSAY: Xpert MTB/RIF, COUNT: 127
ASSAY: Xpert MTB/RIF Ultra, COUNT: 608
</t>
  </si>
  <si>
    <t>A1 encounter ng continous 5007 error</t>
  </si>
  <si>
    <t>A4 only available,2 module disabled, 1 module not in use due to continous error 5007</t>
  </si>
  <si>
    <t>https://www.jotform.com/uploads/macarewecare/222927978372067/5605668887407956614/5605668887407956614_signature_28.png</t>
  </si>
  <si>
    <t>Jasmin Magtalas</t>
  </si>
  <si>
    <t>https://www.jotform.com/uploads/macarewecare/222927978372067/5605668887407956614/5605668887407956614_signature_31.png</t>
  </si>
  <si>
    <t>Sunflower st.,Modesta VIl.age , San Mateo</t>
  </si>
  <si>
    <t xml:space="preserve">ASSAY: Xpert MTB/RIF Ultra, COUNT: 436
</t>
  </si>
  <si>
    <t>For module replacement B4 807010 - 210091113</t>
  </si>
  <si>
    <t>G5584</t>
  </si>
  <si>
    <t>https://www.jotform.com/uploads/macarewecare/222927978372067/5605667597402441472/5605667597402441472_signature_28.png</t>
  </si>
  <si>
    <t>Monina Rica Macahis- De Guzman</t>
  </si>
  <si>
    <t>https://www.jotform.com/uploads/macarewecare/222927978372067/5605667597402441472/5605667597402441472_signature_31.png</t>
  </si>
  <si>
    <t>Bugallion Proper, Ramon, Isabela</t>
  </si>
  <si>
    <t xml:space="preserve">ASSAY: Xpert MTB/RIF, COUNT: 82
ASSAY: Xpert MTB/RIF Ultra, COUNT: 1096
</t>
  </si>
  <si>
    <t>Performed Xpertcheck = All Modules Passed</t>
  </si>
  <si>
    <t>Air-Conditioner Broken, Unit is not Operational</t>
  </si>
  <si>
    <t>Do not use until Air-Conditioner is fixed</t>
  </si>
  <si>
    <t>https://www.jotform.com/uploads/macarewecare/222927978372067/5605624316914219707/5605624316914219707_signature_28.png</t>
  </si>
  <si>
    <t>https://www.jotform.com/uploads/macarewecare/222927978372067/5605624316914219707/5605624316914219707_signature_31.png</t>
  </si>
  <si>
    <t>https://www.jotform.com/uploads/macarewecare/222927978372067/5605624196913799802/5605624196913799802_signature_28.png</t>
  </si>
  <si>
    <t>https://www.jotform.com/uploads/macarewecare/222927978372067/5605624196913799802/5605624196913799802_signature_31.png</t>
  </si>
  <si>
    <t>https://www.jotform.com/uploads/macarewecare/222927978372067/5605623936912716825/5605623936912716825_signature_28.png</t>
  </si>
  <si>
    <t>https://www.jotform.com/uploads/macarewecare/222927978372067/5605623936912716825/5605623936912716825_signature_31.png</t>
  </si>
  <si>
    <t xml:space="preserve">ASSAY: Xpert MTB/RIF, COUNT: 60
ASSAY: Xpert MTB/RIF Ultra, COUNT: 590
</t>
  </si>
  <si>
    <t>https://www.jotform.com/uploads/macarewecare/222927978372067/5605622826915009977/5605622826915009977_signature_28.png</t>
  </si>
  <si>
    <t>https://www.jotform.com/uploads/macarewecare/222927978372067/5605622826915009977/5605622826915009977_signature_31.png</t>
  </si>
  <si>
    <t>https://www.jotform.com/uploads/macarewecare/222927978372067/5605622406919222647/5605622406919222647_signature_28.png</t>
  </si>
  <si>
    <t>https://www.jotform.com/uploads/macarewecare/222927978372067/5605622406919222647/5605622406919222647_signature_31.png</t>
  </si>
  <si>
    <t>Gapan Rural Health Unit</t>
  </si>
  <si>
    <t>daisymaygarcia14@gmail.com</t>
  </si>
  <si>
    <t>Troubleshoot printer
Installed Driver</t>
  </si>
  <si>
    <t>Printer defective</t>
  </si>
  <si>
    <t>Genexpert Module - 210091148</t>
  </si>
  <si>
    <t>https://www.jotform.com/uploads/macarewecare/222927978372067/5605481916923821921/5605481916923821921_signature_28.png</t>
  </si>
  <si>
    <t>Daisy May Garcia</t>
  </si>
  <si>
    <t>https://www.jotform.com/uploads/macarewecare/222927978372067/5605481916923821921/5605481916923821921_signature_31.png</t>
  </si>
  <si>
    <t xml:space="preserve">ASSAY: Xpert HPV, COUNT: 690
ASSAY: Xpert MTB/RIF Ultra, COUNT: 7071
ASSAY: Xpert SARS-CoV-2, COUNT: 11576
ASSAY: Xpert HIV-1 Viral Load, COUNT: 525
</t>
  </si>
  <si>
    <t>Preventive Maintenance
Xpertcheck Calibration
Generate report files
Database back up</t>
  </si>
  <si>
    <t>Module A1/A3/C3 requiring service and has a high temperature log, all other modules pass the calibration</t>
  </si>
  <si>
    <t>https://www.jotform.com/uploads/macarewecare/222927978372067/5605453013223879134/5605453013223879134_signature_28.png</t>
  </si>
  <si>
    <t>https://www.jotform.com/uploads/macarewecare/222927978372067/5605453013223879134/5605453013223879134_signature_31.png</t>
  </si>
  <si>
    <t>Metro Antipolo Hospital and Medical Center Inc.</t>
  </si>
  <si>
    <t>1348 Marcos Highway, Brgy. Mayamot, Antipolo City</t>
  </si>
  <si>
    <t xml:space="preserve">ASSAY: Xpert MTB/RIF Ultra, COUNT: 44
</t>
  </si>
  <si>
    <t>https://www.jotform.com/uploads/macarewecare/222927978372067/5605446560415907982/5605446560415907982_signature_28.png</t>
  </si>
  <si>
    <t>https://www.jotform.com/uploads/macarewecare/222927978372067/5605446560415907982/5605446560415907982_signature_31.png</t>
  </si>
  <si>
    <t xml:space="preserve">ASSAY: Xpert MTB/RIF, COUNT: 91
ASSAY: Xpert MTB/RIF Ultra, COUNT: 823
</t>
  </si>
  <si>
    <t>Unit is operational.
A1: passed
A2: service required 
A3: retry
A4: passed</t>
  </si>
  <si>
    <t>https://www.jotform.com/uploads/macarewecare/222927978372067/5605446560417777597/5605446560417777597_signature_28.png</t>
  </si>
  <si>
    <t>https://www.jotform.com/uploads/macarewecare/222927978372067/5605446560417777597/5605446560417777597_signature_31.png</t>
  </si>
  <si>
    <t xml:space="preserve">ASSAY: Xpert MTB/RIF Ultra, COUNT: 1890
</t>
  </si>
  <si>
    <t>Module A4 (757623) for replacement</t>
  </si>
  <si>
    <t>Unit is operational.
A4: 757623 -&gt; 210091100</t>
  </si>
  <si>
    <t>GeneXpert Module 6C SN:210091100</t>
  </si>
  <si>
    <t>G5582</t>
  </si>
  <si>
    <t>https://www.jotform.com/uploads/macarewecare/222927978372067/5603121653311363408/5603121653311363408_signature_28.png</t>
  </si>
  <si>
    <t>Marie linnet Abril</t>
  </si>
  <si>
    <t>https://www.jotform.com/uploads/macarewecare/222927978372067/5603121653311363408/5603121653311363408_signature_31.png</t>
  </si>
  <si>
    <t>https://www.jotform.com/uploads/macarewecare/222927978372067/5602877720328305031/5602877720328305031_signature_28.png</t>
  </si>
  <si>
    <t>https://www.jotform.com/uploads/macarewecare/222927978372067/5602877720328305031/5602877720328305031_signature_31.png</t>
  </si>
  <si>
    <t>Tupi</t>
  </si>
  <si>
    <t xml:space="preserve">ASSAY: Xpert MTB/RIF Ultra, COUNT: 701
</t>
  </si>
  <si>
    <t>Replace module 2 SN:788668 with new module SN:210091139
Perform Genexpert machine Preventive maintenance</t>
  </si>
  <si>
    <t>https://www.jotform.com/uploads/macarewecare/222927978372067/5602876800322821916/5602876800322821916_signature_28.png</t>
  </si>
  <si>
    <t>https://www.jotform.com/uploads/macarewecare/222927978372067/5602876800322821916/5602876800322821916_signature_31.png</t>
  </si>
  <si>
    <t>Brgy. Inangayan, Sta. Barbara</t>
  </si>
  <si>
    <t xml:space="preserve">ASSAY: Xpert MTB/RIF, COUNT: 79
ASSAY: Xpert MTB/RIF Ultra, COUNT: 215
</t>
  </si>
  <si>
    <t>Error 2124 &amp; 2008</t>
  </si>
  <si>
    <t>Conduct Preventive Maintenance and saves files(IQR, System Log, Assay Stats &amp; GXC File)</t>
  </si>
  <si>
    <t>https://www.jotform.com/uploads/macarewecare/222927978372067/5602871544115929349/5602871544115929349_signature_28.png</t>
  </si>
  <si>
    <t>https://www.jotform.com/uploads/macarewecare/222927978372067/5602871544115929349/5602871544115929349_signature_31.png</t>
  </si>
  <si>
    <t>arpson@ddh.com.ph</t>
  </si>
  <si>
    <t>Module A3 and A4 replacement</t>
  </si>
  <si>
    <t>Replace Module A3 SN: 866248 with new Module SN: 210092430
Replaced the Defective Module A4 SN: 210009883 With new Module SN : 210092567</t>
  </si>
  <si>
    <t>Sales Invoice #95540</t>
  </si>
  <si>
    <t>https://www.jotform.com/uploads/macarewecare/222927978372067/5602870687919742159/5602870687919742159_signature_28.png</t>
  </si>
  <si>
    <t>Nicole Andre Benedict A. Romarate</t>
  </si>
  <si>
    <t>https://www.jotform.com/uploads/macarewecare/222927978372067/5602870687919742159/5602870687919742159_signature_31.png</t>
  </si>
  <si>
    <t xml:space="preserve">ASSAY: Xpert MTB/RIF Ultra, COUNT: 1152
ASSAY: Xpert MTB/RIF, COUNT: 85
</t>
  </si>
  <si>
    <t>https://www.jotform.com/uploads/macarewecare/222927978372067/5602795357122073659/5602795357122073659_signature_28.png</t>
  </si>
  <si>
    <t>https://www.jotform.com/uploads/macarewecare/222927978372067/5602795357122073659/5602795357122073659_signature_31.png</t>
  </si>
  <si>
    <t>Talakag</t>
  </si>
  <si>
    <t xml:space="preserve">ASSAY: Xpert MTB/RIF Ultra, COUNT: 207
</t>
  </si>
  <si>
    <t>Preventive Maintenance
Generate report files
Database back up</t>
  </si>
  <si>
    <t>https://www.jotform.com/uploads/macarewecare/222927978372067/5602745819819168369/5602745819819168369_signature_28.png</t>
  </si>
  <si>
    <t>Khiza tinoy</t>
  </si>
  <si>
    <t>https://www.jotform.com/uploads/macarewecare/222927978372067/5602745819819168369/5602745819819168369_signature_31.png</t>
  </si>
  <si>
    <t>L. Cortez st. Concepcion, Tarlac</t>
  </si>
  <si>
    <t xml:space="preserve">ASSAY: Xpert MTB/RIF, COUNT: 87
ASSAY: Xpert MTB/RIF Ultra, COUNT: 1025
ASSAY: Xpert HIV-1 Viral Load, COUNT: 19
</t>
  </si>
  <si>
    <t>B2: 654652 for module replacement</t>
  </si>
  <si>
    <t>https://www.jotform.com/uploads/macarewecare/222927978372067/5602719879181508255/5602719879181508255_signature_28.png</t>
  </si>
  <si>
    <t>https://www.jotform.com/uploads/macarewecare/222927978372067/5602719879181508255/5602719879181508255_signature_31.png</t>
  </si>
  <si>
    <t>https://www.jotform.com/uploads/macarewecare/222927978372067/5602719659184685865/5602719659184685865_signature_28.png</t>
  </si>
  <si>
    <t>https://www.jotform.com/uploads/macarewecare/222927978372067/5602719659184685865/5602719659184685865_signature_31.png</t>
  </si>
  <si>
    <t xml:space="preserve">ASSAY: Xpert MTB/RIF, COUNT: 82
ASSAY: Xpert MTB/RIF Ultra, COUNT: 167
</t>
  </si>
  <si>
    <t>All modules passed Xpertcheck and is operational.</t>
  </si>
  <si>
    <t>3 extra XPC collected from site.</t>
  </si>
  <si>
    <t>https://www.jotform.com/uploads/macarewecare/222927978372067/5602684353226389360/5602684353226389360_signature_28.png</t>
  </si>
  <si>
    <t>https://www.jotform.com/uploads/macarewecare/222927978372067/5602684353226389360/5602684353226389360_signature_31.png</t>
  </si>
  <si>
    <t>East ave,Quezon city</t>
  </si>
  <si>
    <t xml:space="preserve">ASSAY: Xpert BCR-ABL Ultra, COUNT: 441
ASSAY: Others, COUNT: 9
ASSAY: Xpert HBV VL, COUNT: 234
ASSAY: Xpert HPV, COUNT: 111
ASSAY: Xpert MTB/RIF, COUNT: 1243
ASSAY: Xpert MTB/RIF Ultra, COUNT: 285
ASSAY: Xpert SARS-CoV-2, COUNT: 18697
ASSAY: Xpert HCV VL, COUNT: 23
ASSAY: Xpert SARS-CoV-2, COUNT: 9
</t>
  </si>
  <si>
    <t>C1 for troubleshooting loss communication</t>
  </si>
  <si>
    <t>Performed troubleshooting, checked power output,checked gatewaycleaned unit,filter,plunger rod,cartridge bay,i core,gathered reports,performed visual check,test run unit</t>
  </si>
  <si>
    <t>13 modules operational,  2 module reported, 1 module for reporting</t>
  </si>
  <si>
    <t>Workwith Yasser Salih</t>
  </si>
  <si>
    <t>https://www.jotform.com/uploads/macarewecare/222927978372067/5602173138791097504/5602173138791097504_signature_28.png</t>
  </si>
  <si>
    <t>https://www.jotform.com/uploads/macarewecare/222927978372067/5602173138791097504/5602173138791097504_signature_31.png</t>
  </si>
  <si>
    <t>Quezon ave, Quezon city</t>
  </si>
  <si>
    <t>For module replacement b2 645843 - 714190 b3 625055 - 714957</t>
  </si>
  <si>
    <t>Operational all module functioning</t>
  </si>
  <si>
    <t>G5585</t>
  </si>
  <si>
    <t>https://www.jotform.com/uploads/macarewecare/222927978372067/5602173138796569945/5602173138796569945_signature_28.png</t>
  </si>
  <si>
    <t>Katherine Tabano</t>
  </si>
  <si>
    <t>https://www.jotform.com/uploads/macarewecare/222927978372067/5602173138796569945/5602173138796569945_signature_31.png</t>
  </si>
  <si>
    <t>Talahib, Calbayog City</t>
  </si>
  <si>
    <t>mardelen_l@yahoo.com</t>
  </si>
  <si>
    <t xml:space="preserve">ASSAY: Xpert MTB/RIF, COUNT: 465
ASSAY: Xpert MTB/RIF Ultra, COUNT: 821
</t>
  </si>
  <si>
    <t>XpertCheck Cartridges</t>
  </si>
  <si>
    <t>https://www.jotform.com/uploads/https:/www.jotform.com/uploads/macarewecare/222927978372067/5602143804121416046/5602143804121416046_signature_28.png</t>
  </si>
  <si>
    <t>Vina Baile</t>
  </si>
  <si>
    <t>https://www.jotform.com/uploads/https:/www.jotform.com/uploads/macarewecare/222927978372067/5602143804121416046/5602143804121416046_signature_31.png</t>
  </si>
  <si>
    <t>Talking, Calbayog City</t>
  </si>
  <si>
    <t>https://www.jotform.com/uploads/macarewecare/222927978372067/5602143804121416046/5602143804121416046_signature_28.png</t>
  </si>
  <si>
    <t>https://www.jotform.com/uploads/macarewecare/222927978372067/5602143804121416046/5602143804121416046_signature_31.png</t>
  </si>
  <si>
    <t>Collect Diagnostic Data</t>
  </si>
  <si>
    <t>Perfrom Preventive Maintenance and Calibration, and Perfrom Cycle Tests</t>
  </si>
  <si>
    <t>https://www.jotform.com/uploads/macarewecare/222927978372067/5602104485193023320/5602104485193023320_signature_28.png</t>
  </si>
  <si>
    <t>https://www.jotform.com/uploads/macarewecare/222927978372067/5602104485193023320/5602104485193023320_signature_31.png</t>
  </si>
  <si>
    <t>https://www.jotform.com/uploads/macarewecare/222927978372067/5602104445197812207/5602104445197812207_signature_28.png</t>
  </si>
  <si>
    <t>https://www.jotform.com/uploads/macarewecare/222927978372067/5602104445197812207/5602104445197812207_signature_31.png</t>
  </si>
  <si>
    <t>Domalandan Lingayen Pangasinan</t>
  </si>
  <si>
    <t xml:space="preserve">ASSAY: Xpert MTB/RIF, COUNT: 147
ASSAY: Xpert MTB/RIF Ultra, COUNT: 875
</t>
  </si>
  <si>
    <t>https://www.jotform.com/uploads/macarewecare/222927978372067/5602078959188798578/5602078959188798578_signature_28.png</t>
  </si>
  <si>
    <t>Melanie Sison</t>
  </si>
  <si>
    <t>https://www.jotform.com/uploads/macarewecare/222927978372067/5602078959188798578/5602078959188798578_signature_31.png</t>
  </si>
  <si>
    <t>Patnanungan Rural Health Unit</t>
  </si>
  <si>
    <t>Patnanungan, Quezon Province</t>
  </si>
  <si>
    <t>navagemuelcarlp17@gmail.com</t>
  </si>
  <si>
    <t xml:space="preserve">ASSAY: Xpert MTB/RIF, COUNT: 34
ASSAY: Xpert MTB/RIF Ultra, COUNT: 186
</t>
  </si>
  <si>
    <t>Unit is operational.
Desktop under observation.</t>
  </si>
  <si>
    <t>Barcode Scanner
SN: 22236010556963</t>
  </si>
  <si>
    <t>https://www.jotform.com/uploads/macarewecare/222927978372067/5602012475419115250/5602012475419115250_signature_28.png</t>
  </si>
  <si>
    <t>Gemuel Carl P. Nava</t>
  </si>
  <si>
    <t>https://www.jotform.com/uploads/macarewecare/222927978372067/5602012475419115250/5602012475419115250_signature_31.png</t>
  </si>
  <si>
    <t>Pagsanjan Rural Helath Unit</t>
  </si>
  <si>
    <t xml:space="preserve">ASSAY: Xpert MTB/RIF, COUNT: 0
ASSAY: Xpert MTB/RIF Ultra, COUNT: 0
ASSAY: Xpert HIV-1 Viral Load, COUNT: 8
</t>
  </si>
  <si>
    <t>CPU failed to boot up instantly</t>
  </si>
  <si>
    <t>replaced cpu, mouse &amp; keyboard
new SN: CPH0622F38169</t>
  </si>
  <si>
    <t>Lenovo configured CPU, Windows 10</t>
  </si>
  <si>
    <t>G5577</t>
  </si>
  <si>
    <t>https://www.jotform.com/uploads/macarewecare/222927978372067/5602007993707308303/5602007993707308303_signature_28.png</t>
  </si>
  <si>
    <t>https://www.jotform.com/uploads/macarewecare/222927978372067/5602007993707308303/5602007993707308303_signature_31.png</t>
  </si>
  <si>
    <t>Pasabolong,  Zamboanga City</t>
  </si>
  <si>
    <t>Module 1 and 2 temperature error</t>
  </si>
  <si>
    <t>Module 1 and 2 undergone Xpertcheck</t>
  </si>
  <si>
    <t>Preventive Maintenence, module 1 and 2 undergone Xpertcheck.</t>
  </si>
  <si>
    <t>https://www.jotform.com/uploads/macarewecare/222927978372067/5601997630214587958/5601997630214587958_signature_28.png</t>
  </si>
  <si>
    <t>https://www.jotform.com/uploads/macarewecare/222927978372067/5601997630214587958/5601997630214587958_signature_31.png</t>
  </si>
  <si>
    <t>Tacurong City</t>
  </si>
  <si>
    <t>Module 2 H/W failed
Module 3 H/W failed</t>
  </si>
  <si>
    <t>Replace module 3 SN: 893610 with new module SN: 210091132
Perform Genexpert machine Preventive maintenance</t>
  </si>
  <si>
    <t>900-0508RS</t>
  </si>
  <si>
    <t>https://www.jotform.com/uploads/macarewecare/222927978372067/5601949403429148806/5601949403429148806_signature_28.png</t>
  </si>
  <si>
    <t>https://www.jotform.com/uploads/macarewecare/222927978372067/5601949403429148806/5601949403429148806_signature_31.png</t>
  </si>
  <si>
    <t xml:space="preserve">ASSAY: Xpert MTB/RIF, COUNT: 270
ASSAY: Xpert MTB/RIF Ultra, COUNT: 970
</t>
  </si>
  <si>
    <t>Module B1 error code 4012 &amp; module B2 error  code 1002</t>
  </si>
  <si>
    <t>Conduct preventive maintenance and save files (IQR, System Log, Assay Stats &amp; GXC File)</t>
  </si>
  <si>
    <t>Run Xpert check for module B1 &amp; B2.</t>
  </si>
  <si>
    <t>Module B1 w/ SN no. 862002 failed in Xpert check. Module B2 w/ SN no. 862003 passed in Xpert check</t>
  </si>
  <si>
    <t>https://www.jotform.com/uploads/macarewecare/222927978372067/5601915443593018538/5601915443593018538_signature_28.png</t>
  </si>
  <si>
    <t>Jose Ali C. Reyes, RMT</t>
  </si>
  <si>
    <t>https://www.jotform.com/uploads/macarewecare/222927978372067/5601915443593018538/5601915443593018538_signature_31.png</t>
  </si>
  <si>
    <t xml:space="preserve">ASSAY: Xpert MTB/RIF, COUNT: 489
ASSAY: Xpert MTB/RIF Ultra, COUNT: 854
ASSAY: Xpert HIV-1 Viral Load, COUNT: 10
</t>
  </si>
  <si>
    <t>-Install new LCD ThinkVision S22e-20 Flat Panel Monitor with SN: V5GTL350</t>
  </si>
  <si>
    <t>Lenovo ThinkVision S22e-20 Flat Panel Monitor</t>
  </si>
  <si>
    <t>800-0600</t>
  </si>
  <si>
    <t>https://www.jotform.com/uploads/macarewecare/222927978372067/5601905903716722248/5601905903716722248_signature_28.png</t>
  </si>
  <si>
    <t>https://www.jotform.com/uploads/macarewecare/222927978372067/5601905903716722248/5601905903716722248_signature_31.png</t>
  </si>
  <si>
    <t>Tagoloan</t>
  </si>
  <si>
    <t>dianekate22@gmail.com</t>
  </si>
  <si>
    <t>https://www.jotform.com/uploads/macarewecare/222927978372067/5601892508323211571/5601892508323211571_signature_28.png</t>
  </si>
  <si>
    <t>Kate Diane Liquit</t>
  </si>
  <si>
    <t>https://www.jotform.com/uploads/macarewecare/222927978372067/5601892508323211571/5601892508323211571_signature_31.png</t>
  </si>
  <si>
    <t>Siquijor IPHO</t>
  </si>
  <si>
    <t>Caipilan Siquijor</t>
  </si>
  <si>
    <t xml:space="preserve">ASSAY: Xpert HIV-1 Viral Load, COUNT: 1198
</t>
  </si>
  <si>
    <t>Stucked up cartridge in Module 667651</t>
  </si>
  <si>
    <t>Removed stucked cartridge</t>
  </si>
  <si>
    <t>Pull out stucked cartridge  Module 1 SN 667651</t>
  </si>
  <si>
    <t>https://www.jotform.com/uploads/macarewecare/222927978372067/5601858182616983353/5601858182616983353_signature_28.png</t>
  </si>
  <si>
    <t>Glinnie Ricamor</t>
  </si>
  <si>
    <t>https://www.jotform.com/uploads/macarewecare/222927978372067/5601858182616983353/5601858182616983353_signature_31.png</t>
  </si>
  <si>
    <t xml:space="preserve">ASSAY: Xpert MTB/RIF, COUNT: 203
ASSAY: Xpert MTB/RIF Ultra, COUNT: 3404
ASSAY: Xpert HIV-1 Viral Load, COUNT: 101
</t>
  </si>
  <si>
    <t>Module A4 Booting Problem</t>
  </si>
  <si>
    <t>Troubleshoot the module A4
Plug and unplug the module wire
Release wire from tie</t>
  </si>
  <si>
    <t>https://www.jotform.com/uploads/macarewecare/222927978372067/5601232519977880313/5601232519977880313_signature_28.png</t>
  </si>
  <si>
    <t>https://www.jotform.com/uploads/macarewecare/222927978372067/5601232519977880313/5601232519977880313_signature_31.png</t>
  </si>
  <si>
    <t>AFPC - AFRIMS</t>
  </si>
  <si>
    <t xml:space="preserve">ASSAY: Xpert MTB/RIF, COUNT: 0
ASSAY: Xpert SARS-CoV-2, COUNT: 5082
</t>
  </si>
  <si>
    <t>-checked and cleaned cartridge bays, plunger rod, icore slot
-replaced filter
-checked B3 system log
-error 4012 in B3 for 3 days
-generate reports</t>
  </si>
  <si>
    <t>https://www.jotform.com/uploads/macarewecare/222927978372067/5601199157222668983/5601199157222668983_signature_28.png</t>
  </si>
  <si>
    <t>https://www.jotform.com/uploads/macarewecare/222927978372067/5601199157222668983/5601199157222668983_signature_31.png</t>
  </si>
  <si>
    <t>CULMEN</t>
  </si>
  <si>
    <t xml:space="preserve">ASSAY: Xpert HBV VL, COUNT: 48
ASSAY: Xpert MTB/RIF, COUNT: 175
ASSAY: Xpert MTB/RIF Ultra, COUNT: 377
ASSAY: Xpert SARS-CoV-2, COUNT: 2319
ASSAY: Xpert HCV VL, COUNT: 36
ASSAY: Xpert HIV-1 Viral Load, COUNT: 51
ASSAY: Others, COUNT: 18
</t>
  </si>
  <si>
    <t>Module B2 (898809) for replacement</t>
  </si>
  <si>
    <t>Replaced B2 from SN 898809 to 911309</t>
  </si>
  <si>
    <t>unit is operational.</t>
  </si>
  <si>
    <t>GeneXpert module
SN: 911309</t>
  </si>
  <si>
    <t>G 5569</t>
  </si>
  <si>
    <t>https://www.jotform.com/uploads/macarewecare/222927978372067/5601189007223687004/5601189007223687004_signature_28.png</t>
  </si>
  <si>
    <t>https://www.jotform.com/uploads/macarewecare/222927978372067/5601189007223687004/5601189007223687004_signature_31.png</t>
  </si>
  <si>
    <t xml:space="preserve">ASSAY: Xpert MTB/RIF Ultra, COUNT: 1760
ASSAY: Xpert HIV-1 Viral Load, COUNT: 62
</t>
  </si>
  <si>
    <t>Module B2 (666021) for replacement</t>
  </si>
  <si>
    <t>GeneXpert Module
SN: 210091288</t>
  </si>
  <si>
    <t>https://www.jotform.com/uploads/macarewecare/222927978372067/5601176836614786088/5601176836614786088_signature_28.png</t>
  </si>
  <si>
    <t>https://www.jotform.com/uploads/macarewecare/222927978372067/5601176836614786088/5601176836614786088_signature_31.png</t>
  </si>
  <si>
    <t xml:space="preserve">ASSAY: Xpert MTB/RIF, COUNT: 615
</t>
  </si>
  <si>
    <t>Stucked up cartridge and Error 4008</t>
  </si>
  <si>
    <t>Remove cartridge</t>
  </si>
  <si>
    <t>Remove cartridge, Get IQR and Sys log</t>
  </si>
  <si>
    <t>Module 4 is Hardware fail</t>
  </si>
  <si>
    <t>https://www.jotform.com/uploads/macarewecare/222927978372067/5601172876126306532/5601172876126306532_signature_28.png</t>
  </si>
  <si>
    <t>https://www.jotform.com/uploads/macarewecare/222927978372067/5601172876126306532/5601172876126306532_signature_31.png</t>
  </si>
  <si>
    <t>CEBU DOCTOR’S UNIVERSITY HOSPITAL</t>
  </si>
  <si>
    <t>katrinamariebalcera@yahoo.com</t>
  </si>
  <si>
    <t xml:space="preserve">ASSAY: Xpert BCR-ABL Ultra, COUNT: 10
ASSAY: Others, COUNT: CT - 2 ; 
ASSAY: Xpert CT/NG, COUNT: 8
ASSAY: Xpert HBV VL, COUNT: 19
ASSAY: Xpert MTB/RIF Ultra, COUNT: 305
ASSAY: Others, COUNT: NG - 1
ASSAY: Xpert HCV VL, COUNT: 12
</t>
  </si>
  <si>
    <t>https://www.jotform.com/uploads/macarewecare/222927978372067/5601164909531187040/5601164909531187040_signature_28.png</t>
  </si>
  <si>
    <t>Katrina Marie R. Balcera</t>
  </si>
  <si>
    <t>https://www.jotform.com/uploads/macarewecare/222927978372067/5601164909531187040/5601164909531187040_signature_31.png</t>
  </si>
  <si>
    <t xml:space="preserve">ASSAY: Xpert MTB/RIF, COUNT: 1232
ASSAY: Xpert MTB/RIF Ultra, COUNT: 1582
ASSAY: Xpert HIV-1 Viral Load, COUNT: 59
</t>
  </si>
  <si>
    <t>-Replace defective module B2/892169 with new module SN: 210089520</t>
  </si>
  <si>
    <t>900-GX GeneXpert Module 6</t>
  </si>
  <si>
    <t>https://www.jotform.com/uploads/macarewecare/222927978372067/5601146873497704912/5601146873497704912_signature_28.png</t>
  </si>
  <si>
    <t>https://www.jotform.com/uploads/macarewecare/222927978372067/5601146873497704912/5601146873497704912_signature_31.png</t>
  </si>
  <si>
    <t>F. Legazpi Extension, Maybunga, Pasig</t>
  </si>
  <si>
    <t>H/W Failed for B1, stuck cartridge</t>
  </si>
  <si>
    <t>Plunger rod adjustment for stuck cartridge
Performed self test &amp; reliability test
Generated report
Checked cable connections inside the machine
Generates reports</t>
  </si>
  <si>
    <t>Performed self test</t>
  </si>
  <si>
    <t>B1 210091374 H/W failed</t>
  </si>
  <si>
    <t>https://www.jotform.com/uploads/macarewecare/222927978372067/5601135774731867659/5601135774731867659_signature_28.png</t>
  </si>
  <si>
    <t>Ederlina Sagales</t>
  </si>
  <si>
    <t>https://www.jotform.com/uploads/macarewecare/222927978372067/5601135774731867659/5601135774731867659_signature_31.png</t>
  </si>
  <si>
    <t>DOH Compound, JP Laurel Avenue, Davao City</t>
  </si>
  <si>
    <t>Module B3 encounter error</t>
  </si>
  <si>
    <t>Clean Surface Area, Cartridge Bay, Plunger Rod, Fan Filters and Icore Lenses
Generate IQR, Assay Stat and System Log
Archived Data test results
Perform functionality test of the Module B3</t>
  </si>
  <si>
    <t>Perfrom Preventive Maintenance and troubleshooting</t>
  </si>
  <si>
    <t>Module B3 encounter multiple Temperature error, data willbe sent to Cepheid for further Assessment</t>
  </si>
  <si>
    <t>Module B3 is Disabled, modules only available for testing</t>
  </si>
  <si>
    <t>https://www.jotform.com/uploads/macarewecare/222927978372067/5601106059435628039/5601106059435628039_signature_28.png</t>
  </si>
  <si>
    <t>Joseph Mark Anque</t>
  </si>
  <si>
    <t>https://www.jotform.com/uploads/macarewecare/222927978372067/5601106059435628039/5601106059435628039_signature_31.png</t>
  </si>
  <si>
    <t>Doña Remedios Trinidad Rural Health Unit</t>
  </si>
  <si>
    <t>DRT, Bulacan</t>
  </si>
  <si>
    <t>Unit is operational.
Laptop is for reporting.
Laptop and defective monitor for pull-out.</t>
  </si>
  <si>
    <t>Lenovo Monitor
SN: V5GTL340</t>
  </si>
  <si>
    <t>https://www.jotform.com/uploads/macarewecare/222927978372067/5601102177851360408/5601102177851360408_signature_28.png</t>
  </si>
  <si>
    <t>Cecilia Angeles</t>
  </si>
  <si>
    <t>https://www.jotform.com/uploads/macarewecare/222927978372067/5601102177851360408/5601102177851360408_signature_31.png</t>
  </si>
  <si>
    <t xml:space="preserve">ASSAY: Xpert MTB/RIF, COUNT: 253
ASSAY: Xpert MTB/RIF Ultra, COUNT: 2923
</t>
  </si>
  <si>
    <t>A3:666225 for module replacement</t>
  </si>
  <si>
    <t>https://www.jotform.com/uploads/macarewecare/222927978372067/5601087581349900435/5601087581349900435_signature_28.png</t>
  </si>
  <si>
    <t>https://www.jotform.com/uploads/macarewecare/222927978372067/5601087581349900435/5601087581349900435_signature_31.png</t>
  </si>
  <si>
    <t>Victoria Rural health Unit</t>
  </si>
  <si>
    <t xml:space="preserve">ASSAY: Xpert MTB/RIF, COUNT: 223
ASSAY: Xpert MTB/RIF Ultra, COUNT: 686
</t>
  </si>
  <si>
    <t>A1 and A2 for Re-Xpertcheck temperature error</t>
  </si>
  <si>
    <t>Re-Xpertcheck
Preventive maintenance</t>
  </si>
  <si>
    <t>Under observation. Used 2 xpertcheck kits</t>
  </si>
  <si>
    <t>https://www.jotform.com/uploads/macarewecare/222927978372067/5601083651348189545/5601083651348189545_signature_28.png</t>
  </si>
  <si>
    <t>https://www.jotform.com/uploads/macarewecare/222927978372067/5601083651348189545/5601083651348189545_signature_31.png</t>
  </si>
  <si>
    <t>Brgy.7, Calamba</t>
  </si>
  <si>
    <t xml:space="preserve">ASSAY: Xpert MTB/RIF Ultra, COUNT: 1973
</t>
  </si>
  <si>
    <t>Performed PM.
Performed module replacement on B1.
Generated reports.</t>
  </si>
  <si>
    <t>GX Module B1 (210090905) in replacement to defective B1 (624926).</t>
  </si>
  <si>
    <t>G 5573</t>
  </si>
  <si>
    <t>https://www.jotform.com/uploads/macarewecare/222927978372067/5601067280525412929/5601067280525412929_signature_28.png</t>
  </si>
  <si>
    <t>https://www.jotform.com/uploads/macarewecare/222927978372067/5601067280525412929/5601067280525412929_signature_31.png</t>
  </si>
  <si>
    <t xml:space="preserve">ASSAY: Xpert MTB/RIF, COUNT: 512
ASSAY: Xpert MTB/RIF Ultra, COUNT: 512
</t>
  </si>
  <si>
    <t>https://www.jotform.com/uploads/macarewecare/222927978372067/5601044557912896027/5601044557912896027_signature_28.png</t>
  </si>
  <si>
    <t>sarah jean r gabieta</t>
  </si>
  <si>
    <t>https://www.jotform.com/uploads/macarewecare/222927978372067/5601044557912896027/5601044557912896027_signature_31.png</t>
  </si>
  <si>
    <t>428 F. Manalo St., San Juan City, NCR</t>
  </si>
  <si>
    <t xml:space="preserve">ASSAY: Xpert MTB/RIF, COUNT: 286
ASSAY: Xpert MTB/RIF Ultra, COUNT: 1645
ASSAY: Xpert HIV-1 Viral Load, COUNT: 73
</t>
  </si>
  <si>
    <t>For Module Replacement 
Stuck Cartridge</t>
  </si>
  <si>
    <t>-Removed stuck Cartridge in module A1
-Performed module replacement for A1 630159 &gt;&gt;&gt; 210091071
- Cleaned Cartridge Bays, Plunger rods and I-core
- Replaced dirty filter with new filter
- Generated reports</t>
  </si>
  <si>
    <t>Monitor shuts down randomly</t>
  </si>
  <si>
    <t>GeneXpert Module 6-COLOR SN: 210091071</t>
  </si>
  <si>
    <t>G 5583</t>
  </si>
  <si>
    <t>https://www.jotform.com/uploads/macarewecare/222927978372067/5601038128812494707/5601038128812494707_signature_28.png</t>
  </si>
  <si>
    <t>https://www.jotform.com/uploads/macarewecare/222927978372067/5601038128812494707/5601038128812494707_signature_31.png</t>
  </si>
  <si>
    <t>Tandang Sora, Quezon City</t>
  </si>
  <si>
    <t>ibarra.emma1227@gmail.com</t>
  </si>
  <si>
    <t xml:space="preserve">ASSAY: Xpert HPV, COUNT: 95
ASSAY: Xpert MTB/RIF, COUNT: 142
ASSAY: Xpert MTB/RIF Ultra, COUNT: 1363
</t>
  </si>
  <si>
    <t>Unit is operational
A1 - passed
A2 - passed march 2023
A3 - newly replaced
A4 - passed</t>
  </si>
  <si>
    <t>G 5579</t>
  </si>
  <si>
    <t>https://www.jotform.com/uploads/macarewecare/222927978372067/5601010513817956174/5601010513817956174_signature_28.png</t>
  </si>
  <si>
    <t>https://www.jotform.com/uploads/macarewecare/222927978372067/5601010513817956174/5601010513817956174_signature_31.png</t>
  </si>
  <si>
    <t>https://www.jotform.com/uploads/macarewecare/222927978372067/5600992900523897892/5600992900523897892_signature_28.png</t>
  </si>
  <si>
    <t>https://www.jotform.com/uploads/macarewecare/222927978372067/5600992900523897892/5600992900523897892_signature_31.png</t>
  </si>
  <si>
    <t>Palimbang</t>
  </si>
  <si>
    <t>tina_villegas2319@yahoo.com</t>
  </si>
  <si>
    <t xml:space="preserve">ASSAY: Xpert MTB/RIF Ultra, COUNT: 108
ASSAY: Xpert MTB/RIF, COUNT: 187
</t>
  </si>
  <si>
    <t>Module 2 H/W Failed</t>
  </si>
  <si>
    <t>Replace module 2 SN:910142 with new module SN:682714
Perform Genexpert machine Preventive maintenance</t>
  </si>
  <si>
    <t>https://www.jotform.com/uploads/macarewecare/222927978372067/5600893709313598989/5600893709313598989_signature_28.png</t>
  </si>
  <si>
    <t>Cristina E. Villegas</t>
  </si>
  <si>
    <t>https://www.jotform.com/uploads/macarewecare/222927978372067/5600893709313598989/5600893709313598989_signature_31.png</t>
  </si>
  <si>
    <t>Magallanes Tayug Pangasinan</t>
  </si>
  <si>
    <t>Due for calibration
B3 temperature error</t>
  </si>
  <si>
    <t>All modules passed, B3 for reporting</t>
  </si>
  <si>
    <t>https://www.jotform.com/uploads/macarewecare/222927978372067/5600370169185951004/5600370169185951004_signature_28.png</t>
  </si>
  <si>
    <t>https://www.jotform.com/uploads/macarewecare/222927978372067/5600370169185951004/5600370169185951004_signature_31.png</t>
  </si>
  <si>
    <t xml:space="preserve">ASSAY: Xpert MTB/RIF, COUNT: 0
ASSAY: Xpert MTB/RIF Ultra, COUNT: 1274
</t>
  </si>
  <si>
    <t>Module 4 door problem
Module 1 error 1002</t>
  </si>
  <si>
    <t>Recorded Video of problem</t>
  </si>
  <si>
    <t>Module Replacement = 693422 - 677543</t>
  </si>
  <si>
    <t>Genexpert Module = 677453</t>
  </si>
  <si>
    <t>https://www.jotform.com/uploads/macarewecare/222927978372067/5600343938514817728/5600343938514817728_signature_28.png</t>
  </si>
  <si>
    <t>https://www.jotform.com/uploads/macarewecare/222927978372067/5600343938514817728/5600343938514817728_signature_31.png</t>
  </si>
  <si>
    <t xml:space="preserve">ASSAY: Xpert MTB/RIF Ultra, COUNT: 1344
</t>
  </si>
  <si>
    <t>Module 2, 3, 4 errors</t>
  </si>
  <si>
    <t>Xpertcheck Result = B1, B2, B4 - Passed = B3 - Service Required</t>
  </si>
  <si>
    <t>https://www.jotform.com/uploads/macarewecare/222927978372067/5600343948516678080/5600343948516678080_signature_28.png</t>
  </si>
  <si>
    <t>https://www.jotform.com/uploads/macarewecare/222927978372067/5600343948516678080/5600343948516678080_signature_31.png</t>
  </si>
  <si>
    <t>Munoz City Health Office</t>
  </si>
  <si>
    <t>Poblacion West, Science City of Munoz, Nueva Ecija</t>
  </si>
  <si>
    <t xml:space="preserve">ASSAY: Xpert MTB/RIF, COUNT: 61
ASSAY: Xpert MTB/RIF Ultra, COUNT: 612
</t>
  </si>
  <si>
    <t>Module 1 error 5002</t>
  </si>
  <si>
    <t>Performed Xpertcheck on module A1</t>
  </si>
  <si>
    <t>Performed Maintenance
Gathered Reports
Performed Xpertcheck on Module A1 
Enabled Module A1
Performed Functionality Test</t>
  </si>
  <si>
    <t>Xpertcheck result = Passed</t>
  </si>
  <si>
    <t>https://www.jotform.com/uploads/macarewecare/222927978372067/5600343948519516793/5600343948519516793_signature_28.png</t>
  </si>
  <si>
    <t>https://www.jotform.com/uploads/macarewecare/222927978372067/5600343948519516793/5600343948519516793_signature_31.png</t>
  </si>
  <si>
    <t>Pasig City Health Office</t>
  </si>
  <si>
    <t xml:space="preserve">ASSAY: Xpert MTB/RIF, COUNT: 151
ASSAY: Xpert MTB/RIF Ultra, COUNT: 2979
</t>
  </si>
  <si>
    <t>Module Replacement(644019&gt;&gt;210091374)
Cleaned module bay, plunger rod, filter
Generated reports</t>
  </si>
  <si>
    <t>GeneXpert module 210091374</t>
  </si>
  <si>
    <t>G 5566</t>
  </si>
  <si>
    <t>https://www.jotform.com/uploads/macarewecare/222927978372067/5600339204028153037/5600339204028153037_signature_28.png</t>
  </si>
  <si>
    <t>Chermarie Cabang</t>
  </si>
  <si>
    <t>https://www.jotform.com/uploads/macarewecare/222927978372067/5600339204028153037/5600339204028153037_signature_31.png</t>
  </si>
  <si>
    <t>Module 1 h/w failed</t>
  </si>
  <si>
    <t>Preventive Maintenence and Module 1 undergone Xpertcheck calibration. Result is module 2 service required</t>
  </si>
  <si>
    <t>All 3 modules are available</t>
  </si>
  <si>
    <t>https://www.jotform.com/uploads/macarewecare/222927978372067/5600296458116988974/5600296458116988974_signature_28.png</t>
  </si>
  <si>
    <t>https://www.jotform.com/uploads/macarewecare/222927978372067/5600296458116988974/5600296458116988974_signature_31.png</t>
  </si>
  <si>
    <t>Poblacion, Padada, Davao Del Sur</t>
  </si>
  <si>
    <t>torresrmt2016@gmail.com</t>
  </si>
  <si>
    <t>https://www.jotform.com/uploads/macarewecare/222927978372067/5600275786913537546/5600275786913537546_signature_28.png</t>
  </si>
  <si>
    <t>TORRES, MARL DAVE DWIGHT T.</t>
  </si>
  <si>
    <t>https://www.jotform.com/uploads/macarewecare/222927978372067/5600275786913537546/5600275786913537546_signature_31.png</t>
  </si>
  <si>
    <t xml:space="preserve">ASSAY: Xpert MTB/RIF, COUNT: 120
ASSAY: Xpert MTB/RIF Ultra, COUNT: 1947
</t>
  </si>
  <si>
    <t>Module A2 (634968) for replacement</t>
  </si>
  <si>
    <t>GeneXpert Module
SN: 210091321</t>
  </si>
  <si>
    <t>https://www.jotform.com/uploads/macarewecare/222927978372067/5600273152135549901/5600273152135549901_signature_28.png</t>
  </si>
  <si>
    <t>https://www.jotform.com/uploads/macarewecare/222927978372067/5600273152135549901/5600273152135549901_signature_31.png</t>
  </si>
  <si>
    <t>lab.rhu1marilao@gmail.com</t>
  </si>
  <si>
    <t xml:space="preserve">ASSAY: Xpert MTB/RIF, COUNT: 108
ASSAY: Xpert MTB/RIF Ultra, COUNT: 1898
ASSAY: Xpert HIV-1 Viral Load, COUNT: 73
</t>
  </si>
  <si>
    <t>Temperature error on A3 (644075)</t>
  </si>
  <si>
    <t>Performed XpertCheck on A3</t>
  </si>
  <si>
    <t>Unit is operational.
A3: passed
A3 is under observation.</t>
  </si>
  <si>
    <t>https://www.jotform.com/uploads/macarewecare/222927978372067/5600196353418321188/5600196353418321188_signature_28.png</t>
  </si>
  <si>
    <t>https://www.jotform.com/uploads/macarewecare/222927978372067/5600196353418321188/5600196353418321188_signature_31.png</t>
  </si>
  <si>
    <t xml:space="preserve">ASSAY: Xpert BCR-ABL Ultra, COUNT: 13
ASSAY: Xpert CT/NG, COUNT: 35
ASSAY: Xpert HBV VL, COUNT: 57
ASSAY: Xpert HPV, COUNT: 1
ASSAY: Xpert HPV, COUNT: 29
ASSAY: Xpert MTB/RIF Ultra, COUNT: 1318
ASSAY: Xpert HCV VL, COUNT: 12
ASSAY: Xpert HIV-1 Viral Load, COUNT: 19
</t>
  </si>
  <si>
    <t>Unit for Preventive Maintenance.
For checking of modules B4.</t>
  </si>
  <si>
    <t>Performed Preventive Maintenance.
Checked module B4.
Generated reports.</t>
  </si>
  <si>
    <t>Unit is operational. Module B4 load error probably due to uprised valve. 3 modules operational.</t>
  </si>
  <si>
    <t>https://www.jotform.com/uploads/macarewecare/222927978372067/5600178560529960502/5600178560529960502_signature_28.png</t>
  </si>
  <si>
    <t>https://www.jotform.com/uploads/macarewecare/222927978372067/5600178560529960502/5600178560529960502_signature_31.png</t>
  </si>
  <si>
    <t>Cebu City, Maboll</t>
  </si>
  <si>
    <t xml:space="preserve">ASSAY: Xpert HIV-1 Viral Load, COUNT: 491
</t>
  </si>
  <si>
    <t>Defective Module B2 SN 631758</t>
  </si>
  <si>
    <t>Replaced New Module SN 210092152</t>
  </si>
  <si>
    <t>All Modules  are opertional</t>
  </si>
  <si>
    <t>https://www.jotform.com/uploads/macarewecare/222927978372067/5599533866917310750/5599533866917310750_signature_28.png</t>
  </si>
  <si>
    <t>Laureen Cabase</t>
  </si>
  <si>
    <t>https://www.jotform.com/uploads/macarewecare/222927978372067/5599533866917310750/5599533866917310750_signature_31.png</t>
  </si>
  <si>
    <t xml:space="preserve">ASSAY: Xpert MTB/RIF, COUNT: 933
ASSAY: Xpert MTB/RIF Ultra, COUNT: 479
ASSAY: Xpert SARS-CoV-2, COUNT: 16
</t>
  </si>
  <si>
    <t>Defective modules 1 sn 730761 &amp; 2 sn698742</t>
  </si>
  <si>
    <t>New modules installed module 1 sn210092143 &amp;  2 sn210092147</t>
  </si>
  <si>
    <t>https://www.jotform.com/uploads/macarewecare/222927978372067/5599423220653491366/5599423220653491366_signature_28.png</t>
  </si>
  <si>
    <t>https://www.jotform.com/uploads/macarewecare/222927978372067/5599423220653491366/5599423220653491366_signature_31.png</t>
  </si>
  <si>
    <t>Gilbert O. Teodoro Memorial Hospital</t>
  </si>
  <si>
    <t>Malacam0a Camiling, Tarlac</t>
  </si>
  <si>
    <t xml:space="preserve">ASSAY: Xpert MTB/RIF, COUNT: 110
ASSAY: Xpert MTB/RIF Ultra, COUNT: 571
</t>
  </si>
  <si>
    <t>Performed surface cleaning
Cleaning of plunger rod,icore,filter and cartridge bay
Archived test results
Xpertcheck application update to 1.5a
Performed calibration
Gathered reports
HIV VL assay installation
Performed functionality test</t>
  </si>
  <si>
    <t>4 xoertcheck kit</t>
  </si>
  <si>
    <t>https://www.jotform.com/uploads/macarewecare/222927978372067/5599264135512007292/5599264135512007292_signature_28.png</t>
  </si>
  <si>
    <t>https://www.jotform.com/uploads/macarewecare/222927978372067/5599264135512007292/5599264135512007292_signature_31.png</t>
  </si>
  <si>
    <t>Rizal st, Brgy zone 3 murcia</t>
  </si>
  <si>
    <t>Defective module 2 sn 787916</t>
  </si>
  <si>
    <t>New module installed, clean fan filter and fan</t>
  </si>
  <si>
    <t>New module installed 2 sn 713807</t>
  </si>
  <si>
    <t>https://www.jotform.com/uploads/macarewecare/222927978372067/5599251636915313507/5599251636915313507_signature_28.png</t>
  </si>
  <si>
    <t>Allan M.Benjamin</t>
  </si>
  <si>
    <t>https://www.jotform.com/uploads/macarewecare/222927978372067/5599251636915313507/5599251636915313507_signature_31.png</t>
  </si>
  <si>
    <t>E.rodriguez sr. Ave, Quezon city</t>
  </si>
  <si>
    <t xml:space="preserve">ASSAY: Xpert BCR-ABL Ultra, COUNT: 7
ASSAY: Xpert MTB/RIF, COUNT: 16
ASSAY: Xpert MTB/RIF Ultra, COUNT: 2734
ASSAY: Xpert SARS-CoV-2, COUNT: 7545
ASSAY: Xpert SARS-CoV-2, COUNT: 18
</t>
  </si>
  <si>
    <t>A1 , B4 failed xpertcheck</t>
  </si>
  <si>
    <t>https://www.jotform.com/uploads/macarewecare/222927978372067/5599218160411608951/5599218160411608951_signature_28.png</t>
  </si>
  <si>
    <t>https://www.jotform.com/uploads/macarewecare/222927978372067/5599218160411608951/5599218160411608951_signature_31.png</t>
  </si>
  <si>
    <t>Philippine Red Cross (Port area)</t>
  </si>
  <si>
    <t>Bonifacio drive,Port area,Manila</t>
  </si>
  <si>
    <t>02AO87</t>
  </si>
  <si>
    <t>As per end user they encounter error system problem</t>
  </si>
  <si>
    <t>Performed troubleshooting,reset cpu boardchecked valve,rollers,line sensor,display panel,dpm,spm,cuff,performed calibration,performed functionality, replaced rollers,checked parameters, checked pressure,test run unit</t>
  </si>
  <si>
    <t>Troubleshooting and Calibration</t>
  </si>
  <si>
    <t>https://www.jotform.com/uploads/macarewecare/222927978372067/5599217530416920564/5599217530416920564_signature_28.png</t>
  </si>
  <si>
    <t>Dolly Bañares</t>
  </si>
  <si>
    <t>https://www.jotform.com/uploads/macarewecare/222927978372067/5599217530416920564/5599217530416920564_signature_31.png</t>
  </si>
  <si>
    <t>Bonifacio drive, Port area. Manila</t>
  </si>
  <si>
    <t>For maintenance and calibration checking</t>
  </si>
  <si>
    <t>https://www.jotform.com/uploads/macarewecare/222927978372067/5599216140412771126/5599216140412771126_signature_28.png</t>
  </si>
  <si>
    <t>https://www.jotform.com/uploads/macarewecare/222927978372067/5599216140412771126/5599216140412771126_signature_31.png</t>
  </si>
  <si>
    <t xml:space="preserve">ASSAY: Xpert SARS-CoV-2, COUNT: 7376
</t>
  </si>
  <si>
    <t>Module B1 C4 and D1 multiple temperature error 
Module A3, C2 and D4 waiting for replacement module</t>
  </si>
  <si>
    <t>Perform Xpertcheck at module B1, C4, and D1 for troubleshooting 
Perform Genexpert machine Preventive maintenance</t>
  </si>
  <si>
    <t>Perform Xpertcheck at module B1, C4, and D1 
Perform Genexpert machine Preventive maintenance</t>
  </si>
  <si>
    <t>Module B1,C4 and D1 Passed the calibration 
15 operational modules</t>
  </si>
  <si>
    <t>Module A3, C2, and D4 waiting for replacement module</t>
  </si>
  <si>
    <t>https://www.jotform.com/uploads/macarewecare/222927978372067/5599213666902436023/5599213666902436023_signature_28.png</t>
  </si>
  <si>
    <t>Noel Fuscablo</t>
  </si>
  <si>
    <t>https://www.jotform.com/uploads/macarewecare/222927978372067/5599213666902436023/5599213666902436023_signature_31.png</t>
  </si>
  <si>
    <t xml:space="preserve">ASSAY: Xpert HPV, COUNT: 180
ASSAY: Xpert MTB/RIF Ultra, COUNT: 2100
ASSAY: Xpert SARS-CoV-2, COUNT: 1997
ASSAY: Xpert HIV-1 Viral Load, COUNT: 602
</t>
  </si>
  <si>
    <t>Unit for PM.
For module replacement of modules A3, B4 and D4.</t>
  </si>
  <si>
    <t>Performed PM.
Performed module replacement on A3, B4 and D4.
Generated reports.</t>
  </si>
  <si>
    <t>Gx module A3 (680897), B4 (682115) and D4 (680439) in replacement to defective A3 (892245) B4 (892247) and D4 (892447).</t>
  </si>
  <si>
    <t>https://www.jotform.com/uploads/macarewecare/222927978372067/5599209510416189565/5599209510416189565_signature_28.png</t>
  </si>
  <si>
    <t>Patricia Louisse Baltazar</t>
  </si>
  <si>
    <t>https://www.jotform.com/uploads/macarewecare/222927978372067/5599209510416189565/5599209510416189565_signature_31.png</t>
  </si>
  <si>
    <t>https://www.jotform.com/uploads/macarewecare/222927978372067/5599209470418061183/5599209470418061183_signature_28.png</t>
  </si>
  <si>
    <t>https://www.jotform.com/uploads/macarewecare/222927978372067/5599209470418061183/5599209470418061183_signature_31.png</t>
  </si>
  <si>
    <t xml:space="preserve">ASSAY: Xpert HPV, COUNT: 3
ASSAY: Xpert MTB/RIF Ultra, COUNT: 3
ASSAY: Xpert HIV-1 Viral Load, COUNT: 3
</t>
  </si>
  <si>
    <t>Gx module B2 (677854) in replacement to defective B2 (784301)</t>
  </si>
  <si>
    <t>https://www.jotform.com/uploads/macarewecare/222927978372067/5599209100414422997/5599209100414422997_signature_28.png</t>
  </si>
  <si>
    <t>https://www.jotform.com/uploads/macarewecare/222927978372067/5599209100414422997/5599209100414422997_signature_31.png</t>
  </si>
  <si>
    <t>https://www.jotform.com/uploads/macarewecare/222927978372067/5599209070415264240/5599209070415264240_signature_28.png</t>
  </si>
  <si>
    <t>https://www.jotform.com/uploads/macarewecare/222927978372067/5599209070415264240/5599209070415264240_signature_31.png</t>
  </si>
  <si>
    <t>Albela St. Calauan</t>
  </si>
  <si>
    <t>mesucalauan@gmail.com</t>
  </si>
  <si>
    <t xml:space="preserve">ASSAY: Xpert MTB/RIF Ultra, COUNT: 490
</t>
  </si>
  <si>
    <t>Unit for PM.
Unit for Xpertcheck.
For installation of new UPS.</t>
  </si>
  <si>
    <t>Performed installation of UPS.
Performed PM.
Performed Xpertcheck.
Generated reports.</t>
  </si>
  <si>
    <t>PM, Xpertcheck and installation of UPS.</t>
  </si>
  <si>
    <t>Unit is operational. Module A3 (783229), service required.</t>
  </si>
  <si>
    <t>Xpertcheck.
Accupower UPS (AT1000211227ST0130) in replacement to defective UPS (AT1000180910ST0078)</t>
  </si>
  <si>
    <t>Xpertcheck DR 9612, UPS DR 9979</t>
  </si>
  <si>
    <t>https://www.jotform.com/uploads/macarewecare/222927978372067/5599208580419358821/5599208580419358821_signature_28.png</t>
  </si>
  <si>
    <t>Sharina jean yu</t>
  </si>
  <si>
    <t>https://www.jotform.com/uploads/macarewecare/222927978372067/5599208580419358821/5599208580419358821_signature_31.png</t>
  </si>
  <si>
    <t>https://www.jotform.com/uploads/macarewecare/222927978372067/5599208560413589551/5599208560413589551_signature_28.png</t>
  </si>
  <si>
    <t>https://www.jotform.com/uploads/macarewecare/222927978372067/5599208560413589551/5599208560413589551_signature_31.png</t>
  </si>
  <si>
    <t>Quezon Boulevard, Barangay 23-C Davao City</t>
  </si>
  <si>
    <t>Error at Module B4</t>
  </si>
  <si>
    <t>Run XpertCheck Calibration for Verificationol of Error</t>
  </si>
  <si>
    <t>Module B4 for service required</t>
  </si>
  <si>
    <t>https://www.jotform.com/uploads/macarewecare/222927978372067/5598789024276678756/5598789024276678756_signature_28.png</t>
  </si>
  <si>
    <t>https://www.jotform.com/uploads/macarewecare/222927978372067/5598789024276678756/5598789024276678756_signature_31.png</t>
  </si>
  <si>
    <t>https://www.jotform.com/uploads/macarewecare/222927978372067/5598788984271462452/5598788984271462452_signature_28.png</t>
  </si>
  <si>
    <t>https://www.jotform.com/uploads/macarewecare/222927978372067/5598788984271462452/5598788984271462452_signature_31.png</t>
  </si>
  <si>
    <t>PM, Xpertcheck and installatiom of UPS.</t>
  </si>
  <si>
    <t>https://www.jotform.com/uploads/macarewecare/222927978372067/5596832609682738335/5596832609682738335_signature_28.png</t>
  </si>
  <si>
    <t>https://www.jotform.com/uploads/macarewecare/222927978372067/5596832609682738335/5596832609682738335_signature_31.png</t>
  </si>
  <si>
    <t>Brgy. Poblacion II, Nagcarlan</t>
  </si>
  <si>
    <t>Performed PM.
Performed Xpertcheck.</t>
  </si>
  <si>
    <t>DR 9611</t>
  </si>
  <si>
    <t>https://www.jotform.com/uploads/macarewecare/222927978372067/5596787740113345105/5596787740113345105_signature_28.png</t>
  </si>
  <si>
    <t>Jojo B Ramos</t>
  </si>
  <si>
    <t>https://www.jotform.com/uploads/macarewecare/222927978372067/5596787740113345105/5596787740113345105_signature_31.png</t>
  </si>
  <si>
    <t>Lawaan, Dapitan city</t>
  </si>
  <si>
    <t>Module 2 error 1002</t>
  </si>
  <si>
    <t>Undergone Xpertcheck, All modules passed/ Preventive Maintenence</t>
  </si>
  <si>
    <t>Undergone Xpertcheck/ Preventive Maintenence</t>
  </si>
  <si>
    <t>https://www.jotform.com/uploads/macarewecare/222927978372067/5596734894367170038/5596734894367170038_signature_28.png</t>
  </si>
  <si>
    <t>https://www.jotform.com/uploads/macarewecare/222927978372067/5596734894367170038/5596734894367170038_signature_31.png</t>
  </si>
  <si>
    <t>Isulan</t>
  </si>
  <si>
    <t xml:space="preserve">ASSAY: Xpert MTB/RIF Ultra, COUNT: 2997
</t>
  </si>
  <si>
    <t>Module 3 multiple temperature error</t>
  </si>
  <si>
    <t>Troubleshoot module 3 due to multiple temperature error
Use or run dummy cartridge for troubleshooting 
Reported problem to jotform</t>
  </si>
  <si>
    <t>Troubleshooting result for Module 3 Error 5017</t>
  </si>
  <si>
    <t>https://www.jotform.com/uploads/macarewecare/222927978372067/5596722822582064253/5596722822582064253_signature_28.png</t>
  </si>
  <si>
    <t>Charma Grace Frias</t>
  </si>
  <si>
    <t>https://www.jotform.com/uploads/macarewecare/222927978372067/5596722822582064253/5596722822582064253_signature_31.png</t>
  </si>
  <si>
    <t>Sumulong Hi-way, Sto. Niño, Marikina</t>
  </si>
  <si>
    <t>rheddtimoteo27@gmail.com</t>
  </si>
  <si>
    <t xml:space="preserve">ASSAY: Xpert MTB/RIF, COUNT: 271
ASSAY: Xpert MTB/RIF Ultra, COUNT: 2697
</t>
  </si>
  <si>
    <t>Unit is operational. 1 new, 3 passed</t>
  </si>
  <si>
    <t>DR#40734 PL-011238</t>
  </si>
  <si>
    <t>https://www.jotform.com/uploads/macarewecare/222927978372067/5596687619018674429/5596687619018674429_signature_28.png</t>
  </si>
  <si>
    <t>Christine Rose Timoteo</t>
  </si>
  <si>
    <t>https://www.jotform.com/uploads/macarewecare/222927978372067/5596687619018674429/5596687619018674429_signature_31.png</t>
  </si>
  <si>
    <t>Zamboanga del norte Medical Centre</t>
  </si>
  <si>
    <t>Sicayag dipolog city, Zamboanga del norte</t>
  </si>
  <si>
    <t>thelmamorgia@yahoo.com</t>
  </si>
  <si>
    <t>Module 4 error 4017</t>
  </si>
  <si>
    <t>Replaced module 731313 with Module 658574</t>
  </si>
  <si>
    <t>https://www.jotform.com/uploads/macarewecare/222927978372067/5596672309536474855/5596672309536474855_signature_28.png</t>
  </si>
  <si>
    <t>Thelma Wabe</t>
  </si>
  <si>
    <t>https://www.jotform.com/uploads/macarewecare/222927978372067/5596672309536474855/5596672309536474855_signature_31.png</t>
  </si>
  <si>
    <t>The Black Nazarene Hospital Inc.</t>
  </si>
  <si>
    <t>Brgy 2. San Nicolas Ilocos Norte</t>
  </si>
  <si>
    <t xml:space="preserve">ASSAY: Xpert MTB/RIF Ultra, COUNT: 19
</t>
  </si>
  <si>
    <t>B1:789943
B4: 790381 for moduke replacement</t>
  </si>
  <si>
    <t>https://www.jotform.com/uploads/macarewecare/222927978372067/5595994211944978710/5595994211944978710_signature_28.png</t>
  </si>
  <si>
    <t>Joanna Marie Salud</t>
  </si>
  <si>
    <t>https://www.jotform.com/uploads/macarewecare/222927978372067/5595994211944978710/5595994211944978710_signature_31.png</t>
  </si>
  <si>
    <t>Bantay Municipal Health office</t>
  </si>
  <si>
    <t>Zone 5 Bantay Ilocos Sur</t>
  </si>
  <si>
    <t xml:space="preserve">ASSAY: Xpert MTB/RIF Ultra, COUNT: 61Lorna 
</t>
  </si>
  <si>
    <t>Date and time not updating automatically</t>
  </si>
  <si>
    <t>Repair/troubleshooting
Oreventive maintenance</t>
  </si>
  <si>
    <t>Performed preventive maintenance
Replaced BIOS battery
Update date and time
Gathered reports
Performed functionality test</t>
  </si>
  <si>
    <t>https://www.jotform.com/uploads/macarewecare/222927978372067/5595987141941903736/5595987141941903736_signature_28.png</t>
  </si>
  <si>
    <t>https://www.jotform.com/uploads/macarewecare/222927978372067/5595987141941903736/5595987141941903736_signature_31.png</t>
  </si>
  <si>
    <t>F. Alarcon St., Valenzuela</t>
  </si>
  <si>
    <t xml:space="preserve">ASSAY: Xpert MTB/RIF, COUNT: 505
ASSAY: Xpert HIV-1 Viral Load, COUNT: 46
</t>
  </si>
  <si>
    <t>Module A3 (688222) for replacement</t>
  </si>
  <si>
    <t>- replaced A3
- generated reports
- modules A1, A2, A3, A4 generated power supply error 4008
- reset gateway board and other cables
- swapped new module position A3 with A1
- performed self test on A1, A2, A3, A4 (problem persist)</t>
  </si>
  <si>
    <t>Unit is not operational.
Needs further troubleshooting.
For reporting.</t>
  </si>
  <si>
    <t>GeneXpert Module
SN: 677431</t>
  </si>
  <si>
    <t>https://www.jotform.com/uploads/macarewecare/222927978372067/5595986800014076721/5595986800014076721_signature_28.png</t>
  </si>
  <si>
    <t>https://www.jotform.com/uploads/macarewecare/222927978372067/5595986800014076721/5595986800014076721_signature_31.png</t>
  </si>
  <si>
    <t xml:space="preserve">ASSAY: Xpert MTB/RIF, COUNT: 13
ASSAY: Xpert MTB/RIF Ultra, COUNT: 1617
</t>
  </si>
  <si>
    <t>Room AC is not functional, ambient temp is greater than 30C and module temp is ranging 34-37C</t>
  </si>
  <si>
    <t>https://www.jotform.com/uploads/macarewecare/222927978372067/5595966452814439642/5595966452814439642_signature_28.png</t>
  </si>
  <si>
    <t>https://www.jotform.com/uploads/macarewecare/222927978372067/5595966452814439642/5595966452814439642_signature_31.png</t>
  </si>
  <si>
    <t>PHILIPPINE RED CROSS-ILOILO CITY CHAPTER</t>
  </si>
  <si>
    <t>BONIFACIO DRIVE,ILOILO CITY</t>
  </si>
  <si>
    <t>BLOOD CENTER</t>
  </si>
  <si>
    <t>SELF TEST PROBLEM ERROR 479-WEIGHER TEST FAILED</t>
  </si>
  <si>
    <t>-PERFORM INITIAL TROUBLESHOOTING
-PERFORM WEIGHER REPLACEMENT USING SERVICE PART
-DEFECTIVE WEIGHER SN:929984</t>
  </si>
  <si>
    <t>EQUIPMENT IS OPERATIONAL AFTER WEIGHER LOAD CELL REPLACEMENT</t>
  </si>
  <si>
    <t>https://www.jotform.com/uploads/macarewecare/222927978372067/5595954576327116320/5595954576327116320_signature_28.png</t>
  </si>
  <si>
    <t>https://www.jotform.com/uploads/macarewecare/222927978372067/5595954576327116320/5595954576327116320_signature_31.png</t>
  </si>
  <si>
    <t>https://www.jotform.com/uploads/macarewecare/222927978372067/5595936219015460791/5595936219015460791_signature_28.png</t>
  </si>
  <si>
    <t>https://www.jotform.com/uploads/macarewecare/222927978372067/5595936219015460791/5595936219015460791_signature_31.png</t>
  </si>
  <si>
    <t>Pandayan, Meycauayan</t>
  </si>
  <si>
    <t xml:space="preserve">ASSAY: Xpert MTB/RIF, COUNT: 70
ASSAY: Xpert MTB/RIF Ultra, COUNT: 1272
ASSAY: Xpert HIV-1 Viral Load, COUNT: 46
</t>
  </si>
  <si>
    <t>Unit is operational.
A1: passed
A4: failed
A1 under observation.</t>
  </si>
  <si>
    <t>https://www.jotform.com/uploads/macarewecare/222927978372067/5595925330019624653/5595925330019624653_signature_28.png</t>
  </si>
  <si>
    <t>https://www.jotform.com/uploads/macarewecare/222927978372067/5595925330019624653/5595925330019624653_signature_31.png</t>
  </si>
  <si>
    <t>rowenasinomandigesmael@gmail.com</t>
  </si>
  <si>
    <t xml:space="preserve">ASSAY: Xpert MTB/RIF, COUNT: 301
ASSAY: Xpert MTB/RIF Ultra, COUNT: 846
</t>
  </si>
  <si>
    <t>Module 3 and 4 for Service Required</t>
  </si>
  <si>
    <t>Replace module 3 SN: 694735 with new module SN: 791953
Replace module 4 SN: 694870 with new module SN: 803313
Perform Genexpert machine Preventive maintenance</t>
  </si>
  <si>
    <t>Genexpert module 6 color 
SN:791953
SN:803313</t>
  </si>
  <si>
    <t>https://www.jotform.com/uploads/macarewecare/222927978372067/5595895078415662182/5595895078415662182_signature_28.png</t>
  </si>
  <si>
    <t>Rowena Esmael</t>
  </si>
  <si>
    <t>https://www.jotform.com/uploads/macarewecare/222927978372067/5595895078415662182/5595895078415662182_signature_31.png</t>
  </si>
  <si>
    <t>Module 3 subject for Module replacement</t>
  </si>
  <si>
    <t>Perform Genexpert machine Preventive maintenance 
Perform Genexpert Xpertcheck/Calibration
Report module 2 problem due to temperature error</t>
  </si>
  <si>
    <t>Module 1,2 and 4 passed the Calibration</t>
  </si>
  <si>
    <t>Xpertcheck -Ce-5</t>
  </si>
  <si>
    <t>https://www.jotform.com/uploads/macarewecare/222927978372067/5595895088412789347/5595895088412789347_signature_28.png</t>
  </si>
  <si>
    <t>John Lorenz Perez</t>
  </si>
  <si>
    <t>https://www.jotform.com/uploads/macarewecare/222927978372067/5595895088412789347/5595895088412789347_signature_31.png</t>
  </si>
  <si>
    <t xml:space="preserve">ASSAY: Xpert MTB/RIF, COUNT: 192
ASSAY: Xpert MTB/RIF Ultra, COUNT: 2244
</t>
  </si>
  <si>
    <t>Module C3 encountered E2032</t>
  </si>
  <si>
    <t>All modules are available. Module C3 to be reported and observed.</t>
  </si>
  <si>
    <t>https://www.jotform.com/uploads/macarewecare/222927978372067/5595870837672853922/5595870837672853922_signature_28.png</t>
  </si>
  <si>
    <t>https://www.jotform.com/uploads/macarewecare/222927978372067/5595870837672853922/5595870837672853922_signature_31.png</t>
  </si>
  <si>
    <t>San Joaquin Rural Health Unit</t>
  </si>
  <si>
    <t>San Joaquin, Iloilo</t>
  </si>
  <si>
    <t>rhusjlab@gmail.com</t>
  </si>
  <si>
    <t xml:space="preserve">ASSAY: Xpert MTB/RIF, COUNT: 95
ASSAY: Xpert MTB/RIF Ultra, COUNT: 250
</t>
  </si>
  <si>
    <t>Collected one box XPC</t>
  </si>
  <si>
    <t>https://www.jotform.com/uploads/macarewecare/222927978372067/5595870837679734170/5595870837679734170_signature_28.png</t>
  </si>
  <si>
    <t>Romelita Sevillo</t>
  </si>
  <si>
    <t>https://www.jotform.com/uploads/macarewecare/222927978372067/5595870837679734170/5595870837679734170_signature_31.png</t>
  </si>
  <si>
    <t>zel091177@gmail.com</t>
  </si>
  <si>
    <t xml:space="preserve">ASSAY: Xpert MTB/RIF, COUNT: 0
ASSAY: Xpert MTB/RIF Ultra, COUNT: 2769
ASSAY: Xpert HIV-1 Viral Load, COUNT: 2
</t>
  </si>
  <si>
    <t>Replaced module: 864132&gt;&gt;891216 and 766239&gt;&gt;664140
Cleaned module cartridge bay, fan filter, plunger rod
Generated reports</t>
  </si>
  <si>
    <t>G 5556</t>
  </si>
  <si>
    <t>https://www.jotform.com/uploads/macarewecare/222927978372067/5595868559989665299/5595868559989665299_signature_28.png</t>
  </si>
  <si>
    <t>Liezl dela cruz</t>
  </si>
  <si>
    <t>https://www.jotform.com/uploads/macarewecare/222927978372067/5595868559989665299/5595868559989665299_signature_31.png</t>
  </si>
  <si>
    <t>4009 and 1002</t>
  </si>
  <si>
    <t>Conduct maintanenance, clean Icore, clean plunger
Get gxx files, IQR and Sys log
Back up database</t>
  </si>
  <si>
    <t>https://www.jotform.com/uploads/macarewecare/222927978372067/5595838483422769797/5595838483422769797_signature_28.png</t>
  </si>
  <si>
    <t>Sarah Jean R. Gabieta, RMT</t>
  </si>
  <si>
    <t>https://www.jotform.com/uploads/macarewecare/222927978372067/5595838483422769797/5595838483422769797_signature_31.png</t>
  </si>
  <si>
    <t xml:space="preserve">ASSAY: Xpert MTB/RIF, COUNT: 304
ASSAY: Xpert MTB/RIF Ultra, COUNT: 338
</t>
  </si>
  <si>
    <t>https://www.jotform.com/uploads/macarewecare/222927978372067/5595834757264399084/5595834757264399084_signature_28.png</t>
  </si>
  <si>
    <t>https://www.jotform.com/uploads/macarewecare/222927978372067/5595834757264399084/5595834757264399084_signature_31.png</t>
  </si>
  <si>
    <t xml:space="preserve">ASSAY: Xpert MTB/RIF, COUNT: 137
ASSAY: Xpert MTB/RIF Ultra, COUNT: 1818
ASSAY: Xpert HIV-1 Viral Load, COUNT: 47
</t>
  </si>
  <si>
    <t>Module B1 and B4 reported
Module B3 for XPC error checking</t>
  </si>
  <si>
    <t>XPC Calibration at Module B3</t>
  </si>
  <si>
    <t>Only 1 module working
3 modules are prior for replacements</t>
  </si>
  <si>
    <t>https://www.jotform.com/uploads/macarewecare/222927978372067/5595824433903302538/5595824433903302538_signature_28.png</t>
  </si>
  <si>
    <t>https://www.jotform.com/uploads/macarewecare/222927978372067/5595824433903302538/5595824433903302538_signature_31.png</t>
  </si>
  <si>
    <t>FAMILY PLANNING ORGANIZATION OF THE PHILIPPINES-ILOILO</t>
  </si>
  <si>
    <t>fpopiloilo.lab@gmail.com</t>
  </si>
  <si>
    <t xml:space="preserve">ASSAY: Xpert MTB/RIF, COUNT: 0
ASSAY: Xpert MTB/RIF Ultra, COUNT: 0
ASSAY: Xpert HIV-1 Viral Load, COUNT: 0
</t>
  </si>
  <si>
    <t>FOR INSTALLATION</t>
  </si>
  <si>
    <t>COLLECT IQR, ALL MODULES AVAILABLE</t>
  </si>
  <si>
    <t>PERFORM GENEXPERT INSTALLATION</t>
  </si>
  <si>
    <t>https://www.jotform.com/uploads/macarewecare/222927978372067/5595815768839653992/5595815768839653992_signature_28.png</t>
  </si>
  <si>
    <t>FPOP ILOILO</t>
  </si>
  <si>
    <t>https://www.jotform.com/uploads/macarewecare/222927978372067/5595815768839653992/5595815768839653992_signature_31.png</t>
  </si>
  <si>
    <t>Taft Ave., Ermita</t>
  </si>
  <si>
    <t>mmcajucom@up.edu.ph</t>
  </si>
  <si>
    <t xml:space="preserve">ASSAY: Xpert MTB/RIF, COUNT: 143
ASSAY: Xpert MTB/RIF Ultra, COUNT: 103
ASSAY: Xpert HIV-1 Viral Load, COUNT: 242
</t>
  </si>
  <si>
    <t>Performed PM.
Generated reports.</t>
  </si>
  <si>
    <t>https://www.jotform.com/uploads/macarewecare/222927978372067/5595167450161969143/5595167450161969143_signature_28.png</t>
  </si>
  <si>
    <t>MARC AGNEW M. CAJUCOM</t>
  </si>
  <si>
    <t>https://www.jotform.com/uploads/macarewecare/222927978372067/5595167450161969143/5595167450161969143_signature_31.png</t>
  </si>
  <si>
    <t>Performed PM.
Performed module replacement on B4.
Generated reports</t>
  </si>
  <si>
    <t>GX Module B4 (604800) in replacement to defective B4 (806707).</t>
  </si>
  <si>
    <t>https://www.jotform.com/uploads/macarewecare/222927978372067/5595167450169640392/5595167450169640392_signature_28.png</t>
  </si>
  <si>
    <t>https://www.jotform.com/uploads/macarewecare/222927978372067/5595167450169640392/5595167450169640392_signature_31.png</t>
  </si>
  <si>
    <t>Sampaguita St. San Jose Balanga,Bataan</t>
  </si>
  <si>
    <t xml:space="preserve">ASSAY: Xpert MTB/RIF, COUNT: 160
ASSAY: Xpert MTB/RIF Ultra, COUNT: 605
</t>
  </si>
  <si>
    <t>https://www.jotform.com/uploads/macarewecare/222927978372067/5595146239184586586/5595146239184586586_signature_28.png</t>
  </si>
  <si>
    <t>https://www.jotform.com/uploads/macarewecare/222927978372067/5595146239184586586/5595146239184586586_signature_31.png</t>
  </si>
  <si>
    <t>Lqboratory</t>
  </si>
  <si>
    <t xml:space="preserve">ASSAY: Xpert MTB/RIF, COUNT: N/a
</t>
  </si>
  <si>
    <t>Cpu not booting up</t>
  </si>
  <si>
    <t>UPS and CPU not operational for reporting</t>
  </si>
  <si>
    <t>Possible error defective power supply</t>
  </si>
  <si>
    <t>https://www.jotform.com/uploads/macarewecare/222927978372067/5595146239185254170/5595146239185254170_signature_28.png</t>
  </si>
  <si>
    <t>https://www.jotform.com/uploads/macarewecare/222927978372067/5595146239185254170/5595146239185254170_signature_31.png</t>
  </si>
  <si>
    <t>Agno Rural Health Office</t>
  </si>
  <si>
    <t>Poblacion West Agno Pangasinan</t>
  </si>
  <si>
    <t xml:space="preserve">ASSAY: Xpert MTB/RIF, COUNT: 37
ASSAY: Xpert MTB/RIF Ultra, COUNT: 145
</t>
  </si>
  <si>
    <t>https://www.jotform.com/uploads/macarewecare/222927978372067/5595146249186740984/5595146249186740984_signature_28.png</t>
  </si>
  <si>
    <t>Maria Cris Rena H. Arenas</t>
  </si>
  <si>
    <t>https://www.jotform.com/uploads/macarewecare/222927978372067/5595146249186740984/5595146249186740984_signature_31.png</t>
  </si>
  <si>
    <t xml:space="preserve">ASSAY: Xpert BCR-ABL Ultra, COUNT: 6
ASSAY: Xpert HBV VL, COUNT: 62
ASSAY: Xpert HPV, COUNT: 41
ASSAY: Xpert MTB/RIF Ultra, COUNT: 73
ASSAY: Xpert HCV VL, COUNT: 78
</t>
  </si>
  <si>
    <t>Duedate Xpertcheck Calibration</t>
  </si>
  <si>
    <t>Cleaning fan filter, XpertCheck calibration</t>
  </si>
  <si>
    <t>https://www.jotform.com/uploads/macarewecare/222927978372067/5595125915651028362/5595125915651028362_signature_28.png</t>
  </si>
  <si>
    <t>Liza Mae Paltriguera</t>
  </si>
  <si>
    <t>https://www.jotform.com/uploads/macarewecare/222927978372067/5595125915651028362/5595125915651028362_signature_31.png</t>
  </si>
  <si>
    <t>Hilongos, Poblacion Leyte</t>
  </si>
  <si>
    <t xml:space="preserve">ASSAY: Xpert MTB/RIF, COUNT: 166
</t>
  </si>
  <si>
    <t>Module 1 Serial Number 806782 Error 4009</t>
  </si>
  <si>
    <t>Install new module in Module 1</t>
  </si>
  <si>
    <t>Replaced module 1 with new module 860586</t>
  </si>
  <si>
    <t>https://www.jotform.com/uploads/macarewecare/222927978372067/5595122972718572881/5595122972718572881_signature_28.png</t>
  </si>
  <si>
    <t>LEONIDES VILLAFLOR</t>
  </si>
  <si>
    <t>https://www.jotform.com/uploads/macarewecare/222927978372067/5595122972718572881/5595122972718572881_signature_31.png</t>
  </si>
  <si>
    <t>ejmagante.medilinx@outlook.com</t>
  </si>
  <si>
    <t xml:space="preserve">ASSAY: Xpert BCR-ABL Ultra, COUNT: 49
ASSAY: Xpert C. difficile BT, COUNT: 9
ASSAY: Xpert CT/NG, COUNT: 239
ASSAY: Others, COUNT: 7
ASSAY: Xpert HBV VL, COUNT: 15
ASSAY: Others, COUNT: 248
ASSAY: Xpert MTB/RIF Ultra, COUNT: 961
ASSAY: Xpert HCV VL, COUNT: 2
</t>
  </si>
  <si>
    <t>Unit for maintenance.</t>
  </si>
  <si>
    <t>https://www.jotform.com/uploads/macarewecare/222927978372067/5595081803228534441/5595081803228534441_signature_28.png</t>
  </si>
  <si>
    <t>Ej Magante</t>
  </si>
  <si>
    <t>https://www.jotform.com/uploads/macarewecare/222927978372067/5595081803228534441/5595081803228534441_signature_31.png</t>
  </si>
  <si>
    <t>Department of Health, Regional Office II</t>
  </si>
  <si>
    <t>Maharlika Highway, Carig Norte, Tuguegarao City, Cagayan</t>
  </si>
  <si>
    <t xml:space="preserve">ASSAY: Xpert MTB/RIF, COUNT: 80
ASSAY: Xpert MTB/RIF Ultra, COUNT: 898
ASSAY: Xpert SARS-CoV-2, COUNT: 1715
</t>
  </si>
  <si>
    <t>Module C1 and C2 Hardware Failure</t>
  </si>
  <si>
    <t>Gathered System Log and IQR</t>
  </si>
  <si>
    <t>Module C1 and C2 for Reporting</t>
  </si>
  <si>
    <t>https://www.jotform.com/uploads/macarewecare/222927978372067/5595068015418830759/5595068015418830759_signature_28.png</t>
  </si>
  <si>
    <t>Mika Caliguiran</t>
  </si>
  <si>
    <t>https://www.jotform.com/uploads/macarewecare/222927978372067/5595068015418830759/5595068015418830759_signature_31.png</t>
  </si>
  <si>
    <t>Module Replacement = 805485 - 673003</t>
  </si>
  <si>
    <t>Genexpert Module 673003</t>
  </si>
  <si>
    <t>https://www.jotform.com/uploads/macarewecare/222927978372067/5595064555414990767/5595064555414990767_signature_28.png</t>
  </si>
  <si>
    <t>https://www.jotform.com/uploads/macarewecare/222927978372067/5595064555414990767/5595064555414990767_signature_31.png</t>
  </si>
  <si>
    <t xml:space="preserve">ASSAY: Xpert MTB/RIF, COUNT: 203
ASSAY: Xpert MTB/RIF, COUNT: 1989
ASSAY: Xpert SARS-CoV-2, COUNT: 4428
</t>
  </si>
  <si>
    <t>Module D3 Stuck Door</t>
  </si>
  <si>
    <t>Manual Opened the module door</t>
  </si>
  <si>
    <t>Unit is Operational, Module D2 Broken Module Door</t>
  </si>
  <si>
    <t>Module Replacement = 888630 &amp; 888734 - 662108 &amp; 667599</t>
  </si>
  <si>
    <t>Genexpert Module = 662108 &amp; 667599</t>
  </si>
  <si>
    <t>https://www.jotform.com/uploads/macarewecare/222927978372067/5595061085419177285/5595061085419177285_signature_28.png</t>
  </si>
  <si>
    <t>https://www.jotform.com/uploads/macarewecare/222927978372067/5595061085419177285/5595061085419177285_signature_31.png</t>
  </si>
  <si>
    <t xml:space="preserve">ASSAY: Xpert MTB/RIF, COUNT: 124
ASSAY: Xpert MTB/RIF Ultra, COUNT: 453
</t>
  </si>
  <si>
    <t>https://www.jotform.com/uploads/macarewecare/222927978372067/5595017370426595498/5595017370426595498_signature_28.png</t>
  </si>
  <si>
    <t>https://www.jotform.com/uploads/macarewecare/222927978372067/5595017370426595498/5595017370426595498_signature_31.png</t>
  </si>
  <si>
    <t xml:space="preserve">ASSAY: Xpert MTB/RIF, COUNT: 124
ASSAY: Xpert MTB/RIF Ultra, COUNT: 1412
</t>
  </si>
  <si>
    <t>-PERFORM MODULE B2 DEF SN 635442 REPLACEMENT WITH NEW SN 713796
-PERFORM PREVENTIVE MAINTENANCE</t>
  </si>
  <si>
    <t>https://www.jotform.com/uploads/macarewecare/222927978372067/5594988793312292583/5594988793312292583_signature_28.png</t>
  </si>
  <si>
    <t>Charlie Magne C. Dequito</t>
  </si>
  <si>
    <t>https://www.jotform.com/uploads/macarewecare/222927978372067/5594988793312292583/5594988793312292583_signature_31.png</t>
  </si>
  <si>
    <t>Defective module 4 sn 660932</t>
  </si>
  <si>
    <t>New module installed sn 688723</t>
  </si>
  <si>
    <t>https://www.jotform.com/uploads/macarewecare/222927978372067/5594981569116558480/5594981569116558480_signature_28.png</t>
  </si>
  <si>
    <t>https://www.jotform.com/uploads/macarewecare/222927978372067/5594981569116558480/5594981569116558480_signature_31.png</t>
  </si>
  <si>
    <t>Brgu. Malamig, Mandaluyong</t>
  </si>
  <si>
    <t xml:space="preserve">ASSAY: Xpert MTB/RIF, COUNT: 44
ASSAY: Xpert MTB/RIF Ultra, COUNT: 596
</t>
  </si>
  <si>
    <t>Need for calibration</t>
  </si>
  <si>
    <t>Checked and cleaned cartridge bay, plunger rod, filter
Performed xpertcheck
Generated reports</t>
  </si>
  <si>
    <t>Unit is operational
B1 - passed
B2 - passed
B3 - passed
B4 - failed</t>
  </si>
  <si>
    <t>https://www.jotform.com/uploads/macarewecare/222927978372067/5594976239019789921/5594976239019789921_signature_28.png</t>
  </si>
  <si>
    <t>https://www.jotform.com/uploads/macarewecare/222927978372067/5594976239019789921/5594976239019789921_signature_31.png</t>
  </si>
  <si>
    <t>Kalinga Helath Hub Marikina</t>
  </si>
  <si>
    <t>J.P. Rizal St., Marikina</t>
  </si>
  <si>
    <t>Module 2 and 4 defective</t>
  </si>
  <si>
    <t>Module replacement B2 and B4
B2: 220000754 -&gt; 897578
B4: 210035674 -&gt; 210026764</t>
  </si>
  <si>
    <t>Performed maintenance
Replaced module 2 and 4
Generate reports</t>
  </si>
  <si>
    <t>Unit is operational, 2 modules newly replaced</t>
  </si>
  <si>
    <t>https://www.jotform.com/uploads/macarewecare/222927978372067/5594976119011160661/5594976119011160661_signature_28.png</t>
  </si>
  <si>
    <t>https://www.jotform.com/uploads/macarewecare/222927978372067/5594976119011160661/5594976119011160661_signature_31.png</t>
  </si>
  <si>
    <t>Brgy. Malamig, Mandaluyong</t>
  </si>
  <si>
    <t xml:space="preserve">ASSAY: Xpert MTB/RIF, COUNT: 53
ASSAY: Xpert MTB/RIF Ultra, COUNT: 655
</t>
  </si>
  <si>
    <t>https://www.jotform.com/uploads/macarewecare/222927978372067/5594975953229837594/5594975953229837594_signature_28.png</t>
  </si>
  <si>
    <t>https://www.jotform.com/uploads/macarewecare/222927978372067/5594975953229837594/5594975953229837594_signature_31.png</t>
  </si>
  <si>
    <t xml:space="preserve">ASSAY: Xpert HPV, COUNT: 479
ASSAY: Xpert SARS-CoV-2, COUNT: 14229
ASSAY: Others, COUNT: SARS-CoV-2_Flu_RSV plus = 10
</t>
  </si>
  <si>
    <t>Unit is operational. Generated reports for modules C1, C2, C4 and D4 with temperature errors. Modules C1, C2, C4 and D4 are confirmed for replacement.</t>
  </si>
  <si>
    <t>https://www.jotform.com/uploads/macarewecare/222927978372067/5594972130164863720/5594972130164863720_signature_28.png</t>
  </si>
  <si>
    <t>Joanne Chua</t>
  </si>
  <si>
    <t>https://www.jotform.com/uploads/macarewecare/222927978372067/5594972130164863720/5594972130164863720_signature_31.png</t>
  </si>
  <si>
    <t xml:space="preserve">ASSAY: Xpert HPV, COUNT: 248
ASSAY: Xpert SARS-CoV-2, COUNT: 4186
</t>
  </si>
  <si>
    <t>Performe preventive maintenance.
Generated reports</t>
  </si>
  <si>
    <t>https://www.jotform.com/uploads/macarewecare/222927978372067/5594971730161869432/5594971730161869432_signature_28.png</t>
  </si>
  <si>
    <t>https://www.jotform.com/uploads/macarewecare/222927978372067/5594971730161869432/5594971730161869432_signature_31.png</t>
  </si>
  <si>
    <t xml:space="preserve">ASSAY: Xpert MTB/RIF, COUNT: 343
ASSAY: Xpert MTB/RIF Ultra, COUNT: 918
</t>
  </si>
  <si>
    <t>Module B4 (temperature error)</t>
  </si>
  <si>
    <t>https://www.jotform.com/uploads/macarewecare/222927978372067/5594923847515932569/5594923847515932569_signature_28.png</t>
  </si>
  <si>
    <t>https://www.jotform.com/uploads/macarewecare/222927978372067/5594923847515932569/5594923847515932569_signature_31.png</t>
  </si>
  <si>
    <t xml:space="preserve">ASSAY: Xpert HPV, COUNT: 131
ASSAY: Xpert MTB/RIF Ultra, COUNT: 241
ASSAY: Xpert SARS-CoV-2, COUNT: 1922
ASSAY: Xpert HIV-1 Viral Load, COUNT: 4
</t>
  </si>
  <si>
    <t>https://www.jotform.com/uploads/macarewecare/222927978372067/5594880580168723854/5594880580168723854_signature_28.png</t>
  </si>
  <si>
    <t>Vernelee Panlaqui</t>
  </si>
  <si>
    <t>https://www.jotform.com/uploads/macarewecare/222927978372067/5594880580168723854/5594880580168723854_signature_31.png</t>
  </si>
  <si>
    <t>https://www.jotform.com/uploads/macarewecare/222927978372067/5594880590162621990/5594880590162621990_signature_28.png</t>
  </si>
  <si>
    <t>https://www.jotform.com/uploads/macarewecare/222927978372067/5594880590162621990/5594880590162621990_signature_31.png</t>
  </si>
  <si>
    <t xml:space="preserve">ASSAY: Xpert HPV, COUNT: 366
ASSAY: Xpert MTB/RIF, COUNT: 459
ASSAY: Xpert MTB/RIF Ultra, COUNT: 1312
ASSAY: Xpert SARS-CoV-2, COUNT: 10882
ASSAY: Xpert HIV-1 Viral Load, COUNT: 6
</t>
  </si>
  <si>
    <t>Unit for PM.
For installation of new lan cable.</t>
  </si>
  <si>
    <t>Performed PM.
Performed lan cable installation.
Generated reports.</t>
  </si>
  <si>
    <t>https://www.jotform.com/uploads/macarewecare/222927978372067/5594880590165683541/5594880590165683541_signature_28.png</t>
  </si>
  <si>
    <t>https://www.jotform.com/uploads/macarewecare/222927978372067/5594880590165683541/5594880590165683541_signature_31.png</t>
  </si>
  <si>
    <t>Sebaste Rural Health Unit</t>
  </si>
  <si>
    <t>Sebaste, Antique</t>
  </si>
  <si>
    <t xml:space="preserve">ASSAY: Xpert MTB/RIF, COUNT: 303
ASSAY: Xpert MTB/RIF Ultra, COUNT: 1812
</t>
  </si>
  <si>
    <t>Module B2, B3, and B4 - XPC service required</t>
  </si>
  <si>
    <t>-Replace defective module B2/673580 with new module SN: 684390
-Replace defective module B3/629736 with new module SN: 688184
-Replace defective module B4/666125 with new module SN: 690576</t>
  </si>
  <si>
    <t>900-GX GeneXpert Module 6, 3 units</t>
  </si>
  <si>
    <t>https://www.jotform.com/uploads/macarewecare/222927978372067/5594276779123397053/5594276779123397053_signature_28.png</t>
  </si>
  <si>
    <t>FRANCISCO S. NACIONGAYO</t>
  </si>
  <si>
    <t>https://www.jotform.com/uploads/macarewecare/222927978372067/5594276779123397053/5594276779123397053_signature_31.png</t>
  </si>
  <si>
    <t>Mabini st. Smart, Gonzaga, Cagayan</t>
  </si>
  <si>
    <t>shellyvee1993@gmail.com</t>
  </si>
  <si>
    <t xml:space="preserve">ASSAY: Xpert MTB/RIF, COUNT: 96
ASSAY: Xpert MTB/RIF Ultra, COUNT: 657
</t>
  </si>
  <si>
    <t>Xpertcheck Result = B1, B2, B3 - Passed = B4 - Service Required</t>
  </si>
  <si>
    <t>https://www.jotform.com/uploads/macarewecare/222927978372067/5594274741024197380/5594274741024197380_signature_28.png</t>
  </si>
  <si>
    <t>SHELLY VEE MAOANA G. GONZALES</t>
  </si>
  <si>
    <t>https://www.jotform.com/uploads/macarewecare/222927978372067/5594274741024197380/5594274741024197380_signature_31.png</t>
  </si>
  <si>
    <t xml:space="preserve">ASSAY: Xpert BCR-ABL Ultra, COUNT: 2399
</t>
  </si>
  <si>
    <t>Module Replacement = 681803 - 691108</t>
  </si>
  <si>
    <t>Genexpert Module - 691108</t>
  </si>
  <si>
    <t>https://www.jotform.com/uploads/macarewecare/222927978372067/5594274741026986724/5594274741026986724_signature_28.png</t>
  </si>
  <si>
    <t>https://www.jotform.com/uploads/macarewecare/222927978372067/5594274741026986724/5594274741026986724_signature_31.png</t>
  </si>
  <si>
    <t>Poblacion Nabunturan, Davao De Oro</t>
  </si>
  <si>
    <t>danneth_pcanastra@yahoomail.com</t>
  </si>
  <si>
    <t>Replace the defective Module B3 SN: 910202 with new Module SN 684339
Generate IQR, Assay Stat and System Log</t>
  </si>
  <si>
    <t>https://www.jotform.com/uploads/macarewecare/222927978372067/5594247769963179635/5594247769963179635_signature_28.png</t>
  </si>
  <si>
    <t>DANNETH P. CANASTRA</t>
  </si>
  <si>
    <t>https://www.jotform.com/uploads/macarewecare/222927978372067/5594247769963179635/5594247769963179635_signature_31.png</t>
  </si>
  <si>
    <t>Mayor Hilarion A. Ramiro Sr. Medica Center</t>
  </si>
  <si>
    <t xml:space="preserve">ASSAY: Xpert SARS-CoV-2, COUNT: 5692
</t>
  </si>
  <si>
    <t>Failed the xpertcheck calibration module B2/784112</t>
  </si>
  <si>
    <t>Replace module new module SN/720964</t>
  </si>
  <si>
    <t>https://www.jotform.com/uploads/macarewecare/222927978372067/5594232695919906189/5594232695919906189_signature_28.png</t>
  </si>
  <si>
    <t>GRETCHEN LANAS</t>
  </si>
  <si>
    <t>https://www.jotform.com/uploads/macarewecare/222927978372067/5594232695919906189/5594232695919906189_signature_31.png</t>
  </si>
  <si>
    <t>Don Emilio Valle Memorial Hospital</t>
  </si>
  <si>
    <t xml:space="preserve">ASSAY: Xpert MTB/RIF, COUNT: 567
</t>
  </si>
  <si>
    <t>Operational and  4 modules available</t>
  </si>
  <si>
    <t>Module</t>
  </si>
  <si>
    <t>https://www.jotform.com/uploads/macarewecare/222927978372067/5594214596915351753/5594214596915351753_signature_28.png</t>
  </si>
  <si>
    <t>Sharmaine Pagolong</t>
  </si>
  <si>
    <t>https://www.jotform.com/uploads/macarewecare/222927978372067/5594214596915351753/5594214596915351753_signature_31.png</t>
  </si>
  <si>
    <t>Rizal St. Brgy, Washington, Surigao City</t>
  </si>
  <si>
    <t xml:space="preserve">ASSAY: Xpert MTB/RIF, COUNT: 4
ASSAY: Xpert MTB/RIF Ultra, COUNT: 4351
ASSAY: Xpert HIV-1 Viral Load, COUNT: 40
</t>
  </si>
  <si>
    <t>Replacing Module C1 with SN: 642566 to SN: 713394</t>
  </si>
  <si>
    <t>https://www.jotform.com/uploads/macarewecare/222927978372067/5594212490273647650/5594212490273647650_signature_28.png</t>
  </si>
  <si>
    <t>https://www.jotform.com/uploads/macarewecare/222927978372067/5594212490273647650/5594212490273647650_signature_31.png</t>
  </si>
  <si>
    <t>Sagonsongan Rural Health Unit</t>
  </si>
  <si>
    <t>Sagonsongan, Marawi City</t>
  </si>
  <si>
    <t>Failed module 3 SN/869703</t>
  </si>
  <si>
    <t>Replaced Module</t>
  </si>
  <si>
    <t>Preventive Maintenance
Module Replacement
Generate report files
Data base back up</t>
  </si>
  <si>
    <t>https://www.jotform.com/uploads/macarewecare/222927978372067/5594179294614871234/5594179294614871234_signature_28.png</t>
  </si>
  <si>
    <t>Inshira Macabando</t>
  </si>
  <si>
    <t>https://www.jotform.com/uploads/macarewecare/222927978372067/5594179294614871234/5594179294614871234_signature_31.png</t>
  </si>
  <si>
    <t xml:space="preserve">ASSAY: Xpert HPV, COUNT: 6
ASSAY: Xpert MTB/RIF, COUNT: 82
ASSAY: Xpert MTB/RIF Ultra, COUNT: 594
ASSAY: Xpert HIV-1 Viral Load, COUNT: 37
</t>
  </si>
  <si>
    <t>Module D2 (863200) for replacement</t>
  </si>
  <si>
    <t>Replaced D2</t>
  </si>
  <si>
    <t>GeneXpert Module
SN: 838872</t>
  </si>
  <si>
    <t>https://www.jotform.com/uploads/macarewecare/222927978372067/5594162622112071087/5594162622112071087_signature_28.png</t>
  </si>
  <si>
    <t>https://www.jotform.com/uploads/macarewecare/222927978372067/5594162622112071087/5594162622112071087_signature_31.png</t>
  </si>
  <si>
    <t>sniperdxcero@gmail.com</t>
  </si>
  <si>
    <t>Performed calibration 
Checked rotor pumps
Checked calibration parameters
Simulation run</t>
  </si>
  <si>
    <t>https://www.jotform.com/uploads/macarewecare/222927978372067/5594152637815048151/5594152637815048151_signature_28.png</t>
  </si>
  <si>
    <t>https://www.jotform.com/uploads/macarewecare/222927978372067/5594152637815048151/5594152637815048151_signature_31.png</t>
  </si>
  <si>
    <t>https://www.jotform.com/uploads/macarewecare/222927978372067/5594152467814817236/5594152467814817236_signature_28.png</t>
  </si>
  <si>
    <t>https://www.jotform.com/uploads/macarewecare/222927978372067/5594152467814817236/5594152467814817236_signature_31.png</t>
  </si>
  <si>
    <t>Performed maintenance 
Cleaned cartridge bay, icore, plunger rod, filter 
Generated reports</t>
  </si>
  <si>
    <t>Unit is operational. UPS has no backup. Recommend to replace.</t>
  </si>
  <si>
    <t>https://www.jotform.com/uploads/macarewecare/222927978372067/5594144967815676861/5594144967815676861_signature_28.png</t>
  </si>
  <si>
    <t>https://www.jotform.com/uploads/macarewecare/222927978372067/5594144967815676861/5594144967815676861_signature_31.png</t>
  </si>
  <si>
    <t xml:space="preserve">ASSAY: Xpert BCR-ABL Ultra, COUNT: 153
ASSAY: Xpert CT/NG, COUNT: 1278
ASSAY: Others, COUNT: 11
ASSAY: Xpert HBV VL, COUNT: 77
ASSAY: Xpert HPV, COUNT: 909
ASSAY: Xpert MTB/RIF Ultra, COUNT: 1958
ASSAY: Xpert HCV VL, COUNT: 10
ASSAY: Xpert HIV-1 Viral Load, COUNT: 20
</t>
  </si>
  <si>
    <t>https://www.jotform.com/uploads/macarewecare/222927978372067/5594144967816327772/5594144967816327772_signature_28.png</t>
  </si>
  <si>
    <t>https://www.jotform.com/uploads/macarewecare/222927978372067/5594144967816327772/5594144967816327772_signature_31.png</t>
  </si>
  <si>
    <t xml:space="preserve">ASSAY: Xpert MTB/RIF Ultra, COUNT: 142
ASSAY: Xpert HIV-1 Viral Load, COUNT: 4
</t>
  </si>
  <si>
    <t>For setup</t>
  </si>
  <si>
    <t>Setup GeneXpert system</t>
  </si>
  <si>
    <t>Setup GeneXpert system 
Performed maintenance 
Generated reports</t>
  </si>
  <si>
    <t>https://www.jotform.com/uploads/macarewecare/222927978372067/5594143217815619631/5594143217815619631_signature_28.png</t>
  </si>
  <si>
    <t>https://www.jotform.com/uploads/macarewecare/222927978372067/5594143217815619631/5594143217815619631_signature_31.png</t>
  </si>
  <si>
    <t xml:space="preserve">ASSAY: Xpert MTB/RIF Ultra, COUNT: 4
ASSAY: Xpert SARS-CoV-2, COUNT: 15438
ASSAY: Others, COUNT: 9
</t>
  </si>
  <si>
    <t>Unit is operational. Modules A1/860941 and B4/860923 not operational, reported already.</t>
  </si>
  <si>
    <t>https://www.jotform.com/uploads/macarewecare/222927978372067/5594143217811027381/5594143217811027381_signature_28.png</t>
  </si>
  <si>
    <t>https://www.jotform.com/uploads/macarewecare/222927978372067/5594143217811027381/5594143217811027381_signature_31.png</t>
  </si>
  <si>
    <t xml:space="preserve">ASSAY: Xpert MTB/RIF Ultra, COUNT: 3206
ASSAY: Xpert SARS-CoV-2, COUNT: 8
ASSAY: Xpert HIV-1 Viral Load, COUNT: 37
</t>
  </si>
  <si>
    <t>Performed maintenance 
Cleaned cartridge bay, icore, plunger, filter 
Generated reports</t>
  </si>
  <si>
    <t>https://www.jotform.com/uploads/macarewecare/222927978372067/5594143217814502264/5594143217814502264_signature_28.png</t>
  </si>
  <si>
    <t>https://www.jotform.com/uploads/macarewecare/222927978372067/5594143217814502264/5594143217814502264_signature_31.png</t>
  </si>
  <si>
    <t>Shove Avenue</t>
  </si>
  <si>
    <t xml:space="preserve">ASSAY: Xpert MTB/RIF, COUNT: 213
ASSAY: Xpert MTB/RIF Ultra, COUNT: 1403
ASSAY: Xpert HIV-1 Viral Load, COUNT: 137
</t>
  </si>
  <si>
    <t>Performed maintenance 
Cleaned cartridge bay, plunger rod, icore
Generated reports</t>
  </si>
  <si>
    <t>Unit is operational. Modules D2 and D3 not operational. Reported already.</t>
  </si>
  <si>
    <t>https://www.jotform.com/uploads/macarewecare/222927978372067/5594143217818545954/5594143217818545954_signature_28.png</t>
  </si>
  <si>
    <t>https://www.jotform.com/uploads/macarewecare/222927978372067/5594143217818545954/5594143217818545954_signature_31.png</t>
  </si>
  <si>
    <t>Lapulapu CHO</t>
  </si>
  <si>
    <t>Pajo Lapulapu City</t>
  </si>
  <si>
    <t>Error 1001, 2014 in Module 1 SN: 656994</t>
  </si>
  <si>
    <t>Peformed calibration</t>
  </si>
  <si>
    <t>Conduct calibration for Module 1</t>
  </si>
  <si>
    <t>Modules are available but error occured in Module 1-3. Only module 4 is error free.</t>
  </si>
  <si>
    <t>https://www.jotform.com/uploads/macarewecare/222927978372067/5594112478427935174/5594112478427935174_signature_28.png</t>
  </si>
  <si>
    <t>https://www.jotform.com/uploads/macarewecare/222927978372067/5594112478427935174/5594112478427935174_signature_31.png</t>
  </si>
  <si>
    <t xml:space="preserve">ASSAY: Xpert MTB/RIF, COUNT: 699
ASSAY: Xpert MTB/RIF Ultra, COUNT: 1515
ASSAY: Xpert HIV-1 Viral Load, COUNT: 101
</t>
  </si>
  <si>
    <t>Module B1 lost communication 2120 with SN 806592</t>
  </si>
  <si>
    <t>Conduct PM and save files( IQR, System Log, GXC File and Assay Stat)</t>
  </si>
  <si>
    <t>Module B2, B3 &amp; B4 are in good condition</t>
  </si>
  <si>
    <t>https://www.jotform.com/uploads/macarewecare/222927978372067/5593435540945309904/5593435540945309904_signature_28.png</t>
  </si>
  <si>
    <t>Rezel Lagos</t>
  </si>
  <si>
    <t>https://www.jotform.com/uploads/macarewecare/222927978372067/5593435540945309904/5593435540945309904_signature_31.png</t>
  </si>
  <si>
    <t>Asian hospital and medical center</t>
  </si>
  <si>
    <t>Civic drive, Alabang Muntinlupa</t>
  </si>
  <si>
    <t>jmebres@asianhospital.com</t>
  </si>
  <si>
    <t>For Maintenance and Calibration</t>
  </si>
  <si>
    <t>https://www.jotform.com/uploads/macarewecare/222927978372067/5593425968798237528/5593425968798237528_signature_28.png</t>
  </si>
  <si>
    <t>https://www.jotform.com/uploads/macarewecare/222927978372067/5593425968798237528/5593425968798237528_signature_31.png</t>
  </si>
  <si>
    <t>https://www.jotform.com/uploads/macarewecare/222927978372067/5593425668793431028/5593425668793431028_signature_28.png</t>
  </si>
  <si>
    <t>https://www.jotform.com/uploads/macarewecare/222927978372067/5593425668793431028/5593425668793431028_signature_31.png</t>
  </si>
  <si>
    <t>Civic dr.,Alabang muntinlupa</t>
  </si>
  <si>
    <t>1OB129</t>
  </si>
  <si>
    <t>https://www.jotform.com/uploads/macarewecare/222927978372067/5593425078798022903/5593425078798022903_signature_28.png</t>
  </si>
  <si>
    <t>https://www.jotform.com/uploads/macarewecare/222927978372067/5593425078798022903/5593425078798022903_signature_31.png</t>
  </si>
  <si>
    <t>https://www.jotform.com/uploads/macarewecare/222927978372067/5593424878793785108/5593424878793785108_signature_28.png</t>
  </si>
  <si>
    <t>https://www.jotform.com/uploads/macarewecare/222927978372067/5593424878793785108/5593424878793785108_signature_31.png</t>
  </si>
  <si>
    <t xml:space="preserve">ASSAY: Xpert MTB/RIF, COUNT: 349
ASSAY: Xpert MTB/RIF Ultra, COUNT: 1081
</t>
  </si>
  <si>
    <t>Module B1 hardware failed</t>
  </si>
  <si>
    <t>Module B2, B3, B4 - operational; Module B1 - under observation (frequent temp error)</t>
  </si>
  <si>
    <t>Module B1 encountering frequent temp error, for observation.</t>
  </si>
  <si>
    <t>1 XPC cartridge</t>
  </si>
  <si>
    <t>https://www.jotform.com/uploads/macarewecare/222927978372067/5593347534716420130/5593347534716420130_signature_28.png</t>
  </si>
  <si>
    <t>https://www.jotform.com/uploads/macarewecare/222927978372067/5593347534716420130/5593347534716420130_signature_31.png</t>
  </si>
  <si>
    <t xml:space="preserve">ASSAY: Xpert SARS-CoV-2, COUNT: 4572
</t>
  </si>
  <si>
    <t>Replacing defective monitor HP ProDisplay 19A to Provision Monitor
Preventive Maintenance
XpertCheck of all modules</t>
  </si>
  <si>
    <t>2 modules passed XPC
2 module service required (for replacement)</t>
  </si>
  <si>
    <t>https://www.jotform.com/uploads/macarewecare/222927978372067/5593329887581455230/5593329887581455230_signature_28.png</t>
  </si>
  <si>
    <t>Jubily Dyanne A. Yap</t>
  </si>
  <si>
    <t>https://www.jotform.com/uploads/macarewecare/222927978372067/5593329887581455230/5593329887581455230_signature_31.png</t>
  </si>
  <si>
    <t xml:space="preserve">ASSAY: Xpert MTB/RIF, COUNT: 64
ASSAY: Xpert MTB/RIF Ultra, COUNT: 521
</t>
  </si>
  <si>
    <t>Unit is operational.
B1: passed
B2: passed 
B3: passed 
B4: passed</t>
  </si>
  <si>
    <t>https://www.jotform.com/uploads/https:/www.jotform.com/uploads/macarewecare/222927978372067/5593320630416340929/5593320630416340929_signature_28.png</t>
  </si>
  <si>
    <t>https://www.jotform.com/uploads/https:/www.jotform.com/uploads/macarewecare/222927978372067/5593320630416340929/5593320630416340929_signature_31.png</t>
  </si>
  <si>
    <t>Norzagaray Rural Health Unit I</t>
  </si>
  <si>
    <t>rowenacruz@gmail.com</t>
  </si>
  <si>
    <t xml:space="preserve">ASSAY: Xpert MTB/RIF, COUNT: 77
ASSAY: Xpert MTB/RIF Ultra, COUNT: 849
</t>
  </si>
  <si>
    <t>Module B2 (807097) for replacement.</t>
  </si>
  <si>
    <t>GeneXpert Module
SN: 790979</t>
  </si>
  <si>
    <t>https://www.jotform.com/uploads/macarewecare/222927978372067/5593320600419707417/5593320600419707417_signature_28.png</t>
  </si>
  <si>
    <t>https://www.jotform.com/uploads/macarewecare/222927978372067/5593320600419707417/5593320600419707417_signature_31.png</t>
  </si>
  <si>
    <t>Temperature error on module B4/793555</t>
  </si>
  <si>
    <t>Preventive Maintenance 
Xpertcheck Calibration</t>
  </si>
  <si>
    <t>https://www.jotform.com/uploads/macarewecare/222927978372067/5593182709429971343/5593182709429971343_signature_28.png</t>
  </si>
  <si>
    <t>https://www.jotform.com/uploads/macarewecare/222927978372067/5593182709429971343/5593182709429971343_signature_31.png</t>
  </si>
  <si>
    <t>All modules pass for Calibration</t>
  </si>
  <si>
    <t>https://www.jotform.com/uploads/macarewecare/222927978372067/5593181956916053272/5593181956916053272_signature_28.png</t>
  </si>
  <si>
    <t>https://www.jotform.com/uploads/macarewecare/222927978372067/5593181956916053272/5593181956916053272_signature_31.png</t>
  </si>
  <si>
    <t>Brgy Gumamela, Balayan</t>
  </si>
  <si>
    <t>joanmanguerra@yahoo.com</t>
  </si>
  <si>
    <t>Replaced Module 3
Performed Maintenance
Generate Reports</t>
  </si>
  <si>
    <t>861231-&gt; 717833</t>
  </si>
  <si>
    <t>G 5528</t>
  </si>
  <si>
    <t>https://www.jotform.com/uploads/macarewecare/222927978372067/5593167980413293441/5593167980413293441_signature_28.png</t>
  </si>
  <si>
    <t>Joan Manguerra</t>
  </si>
  <si>
    <t>https://www.jotform.com/uploads/macarewecare/222927978372067/5593167980413293441/5593167980413293441_signature_31.png</t>
  </si>
  <si>
    <t>Lemery Rural Health Unit</t>
  </si>
  <si>
    <t>Illustre Ave., Lemery</t>
  </si>
  <si>
    <t>maritonie1912@gmail.com</t>
  </si>
  <si>
    <t>2 Modules have Temperature Error</t>
  </si>
  <si>
    <t>Replaced 2 Modules
Performed Maintenance
Generate Reports</t>
  </si>
  <si>
    <t>807150, 807147 -&gt; 636198, 640299</t>
  </si>
  <si>
    <t>G 5529</t>
  </si>
  <si>
    <t>https://www.jotform.com/uploads/macarewecare/222927978372067/5593167980414024858/5593167980414024858_signature_28.png</t>
  </si>
  <si>
    <t>Maritonie Gardiola</t>
  </si>
  <si>
    <t>https://www.jotform.com/uploads/macarewecare/222927978372067/5593167980414024858/5593167980414024858_signature_31.png</t>
  </si>
  <si>
    <t>Brgy. Sta. Cruz I, Dasmariñas</t>
  </si>
  <si>
    <t>Performed XpertCheck
Performed Maintenance 
Generate Reports</t>
  </si>
  <si>
    <t>2 Modules are Newly Replaced, 1 Module Reported, 1 Passed</t>
  </si>
  <si>
    <t>https://www.jotform.com/uploads/macarewecare/222927978372067/5593167980415273473/5593167980415273473_signature_28.png</t>
  </si>
  <si>
    <t>https://www.jotform.com/uploads/macarewecare/222927978372067/5593167980415273473/5593167980415273473_signature_31.png</t>
  </si>
  <si>
    <t>Stuck cartridge module 3
Communication error module 1 and 3</t>
  </si>
  <si>
    <t>Installed new CPU
Valve drive adjustment
Gateway board reset to fix communication error</t>
  </si>
  <si>
    <t>New CPU installation
Pull out stuck cartridge
Reset gateway board
Generate report files
Database back up</t>
  </si>
  <si>
    <t>https://www.jotform.com/uploads/macarewecare/222927978372067/5591631019421159234/5591631019421159234_signature_28.png</t>
  </si>
  <si>
    <t>Raisah Barco</t>
  </si>
  <si>
    <t>https://www.jotform.com/uploads/macarewecare/222927978372067/5591631019421159234/5591631019421159234_signature_31.png</t>
  </si>
  <si>
    <t>Dolores San Fernando City, Pampamga</t>
  </si>
  <si>
    <t>CPU not booting.No power</t>
  </si>
  <si>
    <t>Checked CPU connections and performed booting..</t>
  </si>
  <si>
    <t>Checked connections..
Power on several times</t>
  </si>
  <si>
    <t>CPU not functional.</t>
  </si>
  <si>
    <t>https://www.jotform.com/uploads/macarewecare/222927978372067/5591566837582374576/5591566837582374576_signature_28.png</t>
  </si>
  <si>
    <t>https://www.jotform.com/uploads/macarewecare/222927978372067/5591566837582374576/5591566837582374576_signature_31.png</t>
  </si>
  <si>
    <t>Our Lady Of Mount Carmel Medical Center</t>
  </si>
  <si>
    <t>Noisy Centrifuge rotation..</t>
  </si>
  <si>
    <t>Removed bowl debris.</t>
  </si>
  <si>
    <t>Checked centrifuge assembly.
Removed bowl debris.
Run functionality.
Run actual UPP procedure.</t>
  </si>
  <si>
    <t>https://www.jotform.com/uploads/macarewecare/222927978372067/5591480813144666876/5591480813144666876_signature_28.png</t>
  </si>
  <si>
    <t>Rochelle Loren Guiao</t>
  </si>
  <si>
    <t>https://www.jotform.com/uploads/macarewecare/222927978372067/5591480813144666876/5591480813144666876_signature_31.png</t>
  </si>
  <si>
    <t>https://www.jotform.com/uploads/macarewecare/222927978372067/5591480713145507818/5591480713145507818_signature_28.png</t>
  </si>
  <si>
    <t>https://www.jotform.com/uploads/macarewecare/222927978372067/5591480713145507818/5591480713145507818_signature_31.png</t>
  </si>
  <si>
    <t xml:space="preserve">ASSAY: Xpert MTB/RIF, COUNT: 1579
ASSAY: Xpert MTB/RIF Ultra, COUNT: 3869
ASSAY: Xpert HIV-1 Viral Load, COUNT: 179
</t>
  </si>
  <si>
    <t>- Module replacement B2/642453 into SN:730362
- Performed preventive maintenance
- Performed functionality test
- Generate Reports</t>
  </si>
  <si>
    <t>https://www.jotform.com/uploads/macarewecare/222927978372067/5591465806421779055/5591465806421779055_signature_28.png</t>
  </si>
  <si>
    <t>https://www.jotform.com/uploads/macarewecare/222927978372067/5591465806421779055/5591465806421779055_signature_31.png</t>
  </si>
  <si>
    <t>https://www.jotform.com/uploads/macarewecare/222927978372067/5591061485127732237/5591061485127732237_signature_28.png</t>
  </si>
  <si>
    <t>https://www.jotform.com/uploads/macarewecare/222927978372067/5591061485127732237/5591061485127732237_signature_31.png</t>
  </si>
  <si>
    <t>https://www.jotform.com/uploads/macarewecare/222927978372067/5591060935126387962/5591060935126387962_signature_28.png</t>
  </si>
  <si>
    <t>https://www.jotform.com/uploads/macarewecare/222927978372067/5591060935126387962/5591060935126387962_signature_31.png</t>
  </si>
  <si>
    <t xml:space="preserve">ASSAY: Xpert MTB/RIF, COUNT: 0
ASSAY: Xpert MTB/RIF Ultra, COUNT: 3027
ASSAY: Xpert HIV-1 Viral Load, COUNT: 401
</t>
  </si>
  <si>
    <t>Unit is operational. Module b3 failed XpertCheck</t>
  </si>
  <si>
    <t>DR# 40738 PL-011242</t>
  </si>
  <si>
    <t>https://www.jotform.com/uploads/macarewecare/222927978372067/5590888040558772013/5590888040558772013_signature_28.png</t>
  </si>
  <si>
    <t>https://www.jotform.com/uploads/macarewecare/222927978372067/5590888040558772013/5590888040558772013_signature_31.png</t>
  </si>
  <si>
    <t xml:space="preserve">ASSAY: Xpert MTB/RIF, COUNT: 5
ASSAY: Xpert MTB/RIF Ultra, COUNT: 3027
ASSAY: Xpert HIV-1 Viral Load, COUNT: 401
</t>
  </si>
  <si>
    <t>Run xpertcheck</t>
  </si>
  <si>
    <t>Unit is operational. A4 failed XpertCheck</t>
  </si>
  <si>
    <t>DR# 40730 PL-011234</t>
  </si>
  <si>
    <t>https://www.jotform.com/uploads/macarewecare/222927978372067/5590882820559782583/5590882820559782583_signature_28.png</t>
  </si>
  <si>
    <t>https://www.jotform.com/uploads/macarewecare/222927978372067/5590882820559782583/5590882820559782583_signature_31.png</t>
  </si>
  <si>
    <t>ON-SITE ASSISTANCE
Installation</t>
  </si>
  <si>
    <t>cabello_clarissa@yahoo.con</t>
  </si>
  <si>
    <t>Transfered in Cebu CHO</t>
  </si>
  <si>
    <t>Re-installation genexpert machine to Cebu CHO</t>
  </si>
  <si>
    <t>https://www.jotform.com/uploads/macarewecare/222927978372067/5590817866212574217/5590817866212574217_signature_28.png</t>
  </si>
  <si>
    <t>Clarissa Cabello</t>
  </si>
  <si>
    <t>https://www.jotform.com/uploads/macarewecare/222927978372067/5590817866212574217/5590817866212574217_signature_31.png</t>
  </si>
  <si>
    <t>Poblacion B, Rosario</t>
  </si>
  <si>
    <t>Unit is operational. Module B4 (761196) , service required.</t>
  </si>
  <si>
    <t>DR 9482</t>
  </si>
  <si>
    <t>https://www.jotform.com/uploads/macarewecare/222927978372067/5590811092029734255/5590811092029734255_signature_28.png</t>
  </si>
  <si>
    <t>https://www.jotform.com/uploads/macarewecare/222927978372067/5590811092029734255/5590811092029734255_signature_31.png</t>
  </si>
  <si>
    <t>San Manuel Pangasinan</t>
  </si>
  <si>
    <t xml:space="preserve">ASSAY: Xpert MTB/RIF, COUNT: 76
ASSAY: Xpert MTB/RIF Ultra, COUNT: 384
</t>
  </si>
  <si>
    <t>Unit is operational exceot B4:862532</t>
  </si>
  <si>
    <t>3 modules passed calibration, B4 for reporting</t>
  </si>
  <si>
    <t>https://www.jotform.com/uploads/macarewecare/222927978372067/5590808561519752556/5590808561519752556_signature_28.png</t>
  </si>
  <si>
    <t>https://www.jotform.com/uploads/macarewecare/222927978372067/5590808561519752556/5590808561519752556_signature_31.png</t>
  </si>
  <si>
    <t>Julian Felipe St., Brgy 8, Caloocan City</t>
  </si>
  <si>
    <t xml:space="preserve">ASSAY: Xpert MTB/RIF, COUNT: 0
ASSAY: Xpert MTB/RIF Ultra, COUNT: 1342
</t>
  </si>
  <si>
    <t>Module 4 defective</t>
  </si>
  <si>
    <t>Module 4 replacement from 863606 to 210046118</t>
  </si>
  <si>
    <t>Performed maintenance
Cleaned cartridge bays, plunger rod, icores, replaced filter
Generate reports</t>
  </si>
  <si>
    <t>Unit is operational
1 newly replaced</t>
  </si>
  <si>
    <t>B4: 863606 to 210046118</t>
  </si>
  <si>
    <t>G 5538</t>
  </si>
  <si>
    <t>https://www.jotform.com/uploads/macarewecare/222927978372067/5590773820559689287/5590773820559689287_signature_28.png</t>
  </si>
  <si>
    <t>https://www.jotform.com/uploads/macarewecare/222927978372067/5590773820559689287/5590773820559689287_signature_31.png</t>
  </si>
  <si>
    <t>Morada St. Lipa</t>
  </si>
  <si>
    <t xml:space="preserve">ASSAY: Xpert MTB/RIF Ultra, COUNT: 1028
ASSAY: Xpert HIV-1 Viral Load, COUNT: 30
</t>
  </si>
  <si>
    <t>Performed PM.
Performed module replacement on B3.</t>
  </si>
  <si>
    <t>Gx module B3 (210041477) in replacement to defective B3 (621002).</t>
  </si>
  <si>
    <t>https://www.jotform.com/uploads/macarewecare/222927978372067/5590752807822112008/5590752807822112008_signature_28.png</t>
  </si>
  <si>
    <t>https://www.jotform.com/uploads/macarewecare/222927978372067/5590752807822112008/5590752807822112008_signature_31.png</t>
  </si>
  <si>
    <t>https://www.jotform.com/uploads/macarewecare/222927978372067/5590752577823419296/5590752577823419296_signature_28.png</t>
  </si>
  <si>
    <t>https://www.jotform.com/uploads/macarewecare/222927978372067/5590752577823419296/5590752577823419296_signature_31.png</t>
  </si>
  <si>
    <t>Unit for PM.
For module replacement of modules C2, C3 and C4.</t>
  </si>
  <si>
    <t>Performed PM.
Performed module replacement of modules C2, C3 and C4.
Generated reports.</t>
  </si>
  <si>
    <t>Gx module C2 (600607), C3 (608356) and C4 (625061) in replacement to defective C2 (667796), C3 (667798) and C4 (667799).</t>
  </si>
  <si>
    <t>https://www.jotform.com/uploads/macarewecare/222927978372067/5590751807829386391/5590751807829386391_signature_28.png</t>
  </si>
  <si>
    <t>Myla M. Olayao</t>
  </si>
  <si>
    <t>https://www.jotform.com/uploads/macarewecare/222927978372067/5590751807829386391/5590751807829386391_signature_31.png</t>
  </si>
  <si>
    <t>Powersupply is faulty</t>
  </si>
  <si>
    <t>Replace the powersupply of the GeneXpert XVI, checking the connection and continuity of circuit
Return the Service Module SN: 870474
Perform XpertCheck Calibration of the 16 Modules</t>
  </si>
  <si>
    <t>Replacement of Powersupply</t>
  </si>
  <si>
    <t>Modules A4, B2, B3, C1, C2, D4 for service required</t>
  </si>
  <si>
    <t>Data will be sent to Cepheid</t>
  </si>
  <si>
    <t>https://www.jotform.com/uploads/macarewecare/222927978372067/5590735423311397592/5590735423311397592_signature_28.png</t>
  </si>
  <si>
    <t>https://www.jotform.com/uploads/macarewecare/222927978372067/5590735423311397592/5590735423311397592_signature_31.png</t>
  </si>
  <si>
    <t>https://www.jotform.com/uploads/macarewecare/222927978372067/5590735383311769523/5590735383311769523_signature_28.png</t>
  </si>
  <si>
    <t>https://www.jotform.com/uploads/macarewecare/222927978372067/5590735383311769523/5590735383311769523_signature_31.png</t>
  </si>
  <si>
    <t>Sisin Rural Health Unit</t>
  </si>
  <si>
    <t>Poblacion Central Sison Pangasinan</t>
  </si>
  <si>
    <t xml:space="preserve">ASSAY: Xpert MTB/RIF, COUNT: 80
ASSAY: Xpert MTB/RIF Ultra, COUNT: 286
</t>
  </si>
  <si>
    <t>B2:784440 for module replacement</t>
  </si>
  <si>
    <t>https://www.jotform.com/uploads/macarewecare/222927978372067/5590721601512697322/5590721601512697322_signature_28.png</t>
  </si>
  <si>
    <t>https://www.jotform.com/uploads/macarewecare/222927978372067/5590721601512697322/5590721601512697322_signature_31.png</t>
  </si>
  <si>
    <t>Capaoay Poblacion San Jacinto Pangasinan</t>
  </si>
  <si>
    <t xml:space="preserve">ASSAY: Xpert MTB/RIF, COUNT: 82
ASSAY: Xpert MTB/RIF Ultra, COUNT: 269
</t>
  </si>
  <si>
    <t>https://www.jotform.com/uploads/macarewecare/222927978372067/5590714811511597295/5590714811511597295_signature_28.png</t>
  </si>
  <si>
    <t>Alexander F. Indong</t>
  </si>
  <si>
    <t>https://www.jotform.com/uploads/macarewecare/222927978372067/5590714811511597295/5590714811511597295_signature_31.png</t>
  </si>
  <si>
    <t>Bobonot Dasol Pangasinan</t>
  </si>
  <si>
    <t>pamelajeanbejar@yahoo.com</t>
  </si>
  <si>
    <t xml:space="preserve">ASSAY: Xpert MTB/RIF, COUNT: 104
ASSAY: Xpert MTB/RIF Ultra, COUNT: 453
</t>
  </si>
  <si>
    <t>https://www.jotform.com/uploads/macarewecare/222927978372067/5590714811518980755/5590714811518980755_signature_28.png</t>
  </si>
  <si>
    <t>Pamela Jean B. Reyes</t>
  </si>
  <si>
    <t>https://www.jotform.com/uploads/macarewecare/222927978372067/5590714811518980755/5590714811518980755_signature_31.png</t>
  </si>
  <si>
    <t xml:space="preserve">ASSAY: Xpert MTB/RIF, COUNT: 761
ASSAY: , COUNT: 2099
ASSAY: Xpert HIV-1 Viral Load, COUNT: 46
</t>
  </si>
  <si>
    <t>B1 for module replacement, due for calibration</t>
  </si>
  <si>
    <t>Calibration
Module replacement
Preventive maintenance</t>
  </si>
  <si>
    <t>Performed preventive maintenance
Xpertcheck application update to 1.5a
Performed calibration
Performed module replacement
Gathered reports
Performed functionality test</t>
  </si>
  <si>
    <t>1 Genexpert Module, 3 xpertcheck kits</t>
  </si>
  <si>
    <t>0040627 and 0040651</t>
  </si>
  <si>
    <t>https://www.jotform.com/uploads/macarewecare/222927978372067/5590714821513788296/5590714821513788296_signature_28.png</t>
  </si>
  <si>
    <t>Ma. Cristina Sanchez</t>
  </si>
  <si>
    <t>https://www.jotform.com/uploads/macarewecare/222927978372067/5590714821513788296/5590714821513788296_signature_31.png</t>
  </si>
  <si>
    <t>Dr. Garcia St Cor Lopez Jaena Brgy Sumilang Pasig City</t>
  </si>
  <si>
    <t xml:space="preserve">ASSAY: Xpert MTB/RIF Ultra, COUNT: 1271
</t>
  </si>
  <si>
    <t>-performerd module replacement for Module B2 676490 &gt;&gt;&gt; 896529 and Module B3 696434 &gt;&gt;&gt; 902304
-Cleaned Cartridge Bays, Plunger Rods, Filter and I-CORE
-Generated Reports</t>
  </si>
  <si>
    <t>-GeneXpert Module 6-color SN: 896529
-GeneXpert Module 6-color SN: 902304</t>
  </si>
  <si>
    <t>G 5534</t>
  </si>
  <si>
    <t>https://www.jotform.com/uploads/macarewecare/222927978372067/5590706520419662904/5590706520419662904_signature_28.png</t>
  </si>
  <si>
    <t>https://www.jotform.com/uploads/macarewecare/222927978372067/5590706520419662904/5590706520419662904_signature_31.png</t>
  </si>
  <si>
    <t>https://www.jotform.com/uploads/macarewecare/222927978372067/5590706350417813126/5590706350417813126_signature_28.png</t>
  </si>
  <si>
    <t>https://www.jotform.com/uploads/macarewecare/222927978372067/5590706350417813126/5590706350417813126_signature_31.png</t>
  </si>
  <si>
    <t>Quezon District, Mabini st, Cabanatuan City, Nueva Ecija</t>
  </si>
  <si>
    <t xml:space="preserve">ASSAY: Xpert MTB/RIF, COUNT: 1742
ASSAY: Xpert MTB/RIF Ultra, COUNT: 3057
ASSAY: Xpert HCV VL, COUNT: 1
ASSAY: Xpert HIV-1 Viral Load, COUNT: 205
</t>
  </si>
  <si>
    <t>Module 1 Lost Communication error</t>
  </si>
  <si>
    <t>Troubleshoot the Lan Cable</t>
  </si>
  <si>
    <t>Module Replacement = 892012 - 780938</t>
  </si>
  <si>
    <t>Genexpert Module = 780938</t>
  </si>
  <si>
    <t>https://www.jotform.com/uploads/macarewecare/222927978372067/5590698922972379346/5590698922972379346_signature_28.png</t>
  </si>
  <si>
    <t>https://www.jotform.com/uploads/macarewecare/222927978372067/5590698922972379346/5590698922972379346_signature_31.png</t>
  </si>
  <si>
    <t>Guimba, Nueva Ecija</t>
  </si>
  <si>
    <t xml:space="preserve">ASSAY: Xpert MTB/RIF, COUNT: 58
ASSAY: Xpert MTB/RIF Ultra, COUNT: 961
ASSAY: Xpert HIV-1 Viral Load, COUNT: 1
</t>
  </si>
  <si>
    <t>Performed Maintenanc3
Gathered Reports
Performed Module Replacement
Performed Functionality Test</t>
  </si>
  <si>
    <t>Module Replacement = 633463 - 758156</t>
  </si>
  <si>
    <t>Genexpert Module = 758156</t>
  </si>
  <si>
    <t>https://www.jotform.com/uploads/macarewecare/222927978372067/5590698922977926153/5590698922977926153_signature_28.png</t>
  </si>
  <si>
    <t>Andrelyn Marquez</t>
  </si>
  <si>
    <t>https://www.jotform.com/uploads/macarewecare/222927978372067/5590698922977926153/5590698922977926153_signature_31.png</t>
  </si>
  <si>
    <t>Performed maintenance
Replaced module 1 from 724845 to 868124
Replaced module 3 from 658655 to 885647
Generate Reports</t>
  </si>
  <si>
    <t>Unit is operational
2 nrwly replaced</t>
  </si>
  <si>
    <t>B1: 724845 to 868124 B3: 658655 to 885647</t>
  </si>
  <si>
    <t>GX Module 6C - 2mod</t>
  </si>
  <si>
    <t>G 5533</t>
  </si>
  <si>
    <t>https://www.jotform.com/uploads/macarewecare/222927978372067/5590680610556146660/5590680610556146660_signature_28.png</t>
  </si>
  <si>
    <t>Lorraine L Fabros</t>
  </si>
  <si>
    <t>https://www.jotform.com/uploads/macarewecare/222927978372067/5590680610556146660/5590680610556146660_signature_31.png</t>
  </si>
  <si>
    <t>https://www.jotform.com/uploads/macarewecare/222927978372067/5590678417822095985/5590678417822095985_signature_28.png</t>
  </si>
  <si>
    <t>https://www.jotform.com/uploads/macarewecare/222927978372067/5590678417822095985/5590678417822095985_signature_31.png</t>
  </si>
  <si>
    <t xml:space="preserve">ASSAY: Xpert HPV, COUNT: 3
ASSAY: Xpert MTB/RIF Ultra, COUNT: 6
ASSAY: Xpert HIV-1 Viral Load, COUNT: 3
</t>
  </si>
  <si>
    <t>Unit for PM.
For module replacement of modules A2 and A3.</t>
  </si>
  <si>
    <t>Performed PM.
Performed module replacement on modules A2 and A3.
Generated reports.</t>
  </si>
  <si>
    <t>Gx module A2 (685157) and A3 (686792) in replacement to defective A2 (613959) and A3 (602011).</t>
  </si>
  <si>
    <t>https://www.jotform.com/uploads/macarewecare/222927978372067/5590677947825969801/5590677947825969801_signature_28.png</t>
  </si>
  <si>
    <t>https://www.jotform.com/uploads/macarewecare/222927978372067/5590677947825969801/5590677947825969801_signature_31.png</t>
  </si>
  <si>
    <t xml:space="preserve">ASSAY: Xpert MTB/RIF, COUNT: 942
ASSAY: Xpert MTB/RIF Ultra, COUNT: 1181
</t>
  </si>
  <si>
    <t>- Module Replacement C3/804720 into 714095
- Performed Xpertcheck on Module C1 and C4
- Performed preventive medicine
- Performed functionality test
- Generate Reports</t>
  </si>
  <si>
    <t>GeneXpert Module 6 Color and Xpertcheck kit</t>
  </si>
  <si>
    <t>https://www.jotform.com/uploads/macarewecare/222927978372067/5590606179468609885/5590606179468609885_signature_28.png</t>
  </si>
  <si>
    <t>Leslie Daryl Leones</t>
  </si>
  <si>
    <t>https://www.jotform.com/uploads/macarewecare/222927978372067/5590606179468609885/5590606179468609885_signature_31.png</t>
  </si>
  <si>
    <t xml:space="preserve">ASSAY: Xpert MTB/RIF, COUNT: 23
ASSAY: Xpert MTB/RIF Ultra, COUNT: 1885
</t>
  </si>
  <si>
    <t>For module replacement and preventive maintenance</t>
  </si>
  <si>
    <t>Performed module replacement(638232&gt;&gt;684120)
Cleaned cartridge bays, plunger rod
Collected report</t>
  </si>
  <si>
    <t>Gene Xpert module 684120</t>
  </si>
  <si>
    <t>G 5535</t>
  </si>
  <si>
    <t>https://www.jotform.com/uploads/macarewecare/222927978372067/5590605229618897402/5590605229618897402_signature_28.png</t>
  </si>
  <si>
    <t>https://www.jotform.com/uploads/macarewecare/222927978372067/5590605229618897402/5590605229618897402_signature_31.png</t>
  </si>
  <si>
    <t>E. Rodriguez Avenue, Quezon City</t>
  </si>
  <si>
    <t xml:space="preserve">ASSAY: Xpert BCR-ABL Ultra, COUNT: 7
ASSAY: Xpert MTB/RIF, COUNT: 16
ASSAY: Xpert MTB/RIF Ultra, COUNT: 2659
ASSAY: Xpert SARS-CoV-2, COUNT: 7371
ASSAY: Xpert SARS-CoV-2, COUNT: 18
</t>
  </si>
  <si>
    <t>For preventive maintenanace</t>
  </si>
  <si>
    <t>Cleaned cartridge bays, plunger rod, icore and filters
Generate report</t>
  </si>
  <si>
    <t>https://www.jotform.com/uploads/macarewecare/222927978372067/5590566790555803559/5590566790555803559_signature_28.png</t>
  </si>
  <si>
    <t>https://www.jotform.com/uploads/macarewecare/222927978372067/5590566790555803559/5590566790555803559_signature_31.png</t>
  </si>
  <si>
    <t>National.kidney and transplant institute</t>
  </si>
  <si>
    <t xml:space="preserve">ASSAY: Xpert BCR-ABL Ultra, COUNT: 386
ASSAY: Others, COUNT: 8
ASSAY: Xpert HBV VL, COUNT: 195
ASSAY: Xpert HPV, COUNT: 111
ASSAY: Xpert MTB/RIF, COUNT: 1243
ASSAY: Xpert MTB/RIF Ultra, COUNT: 201
ASSAY: Xpert SARS-CoV-2, COUNT: 18920
ASSAY: Xpert HCV VL, COUNT: 21
ASSAY: Xpert SARS-CoV-2, COUNT: 9
</t>
  </si>
  <si>
    <t>Disable A3,C4,temp error,loss comm.C1</t>
  </si>
  <si>
    <t>A3,C4,C1 disable</t>
  </si>
  <si>
    <t>https://www.jotform.com/uploads/macarewecare/222927978372067/5589958909106548833/5589958909106548833_signature_28.png</t>
  </si>
  <si>
    <t>https://www.jotform.com/uploads/macarewecare/222927978372067/5589958909106548833/5589958909106548833_signature_31.png</t>
  </si>
  <si>
    <t xml:space="preserve">ASSAY: Xpert MTB/RIF, COUNT: 121
ASSAY: Xpert MTB/RIF Ultra, COUNT: 1797
</t>
  </si>
  <si>
    <t>Unit is operational.
A1: passed
A2: failed
A3: passed
A4: passed</t>
  </si>
  <si>
    <t>https://www.jotform.com/uploads/macarewecare/222927978372067/5589950504293120706/5589950504293120706_signature_28.png</t>
  </si>
  <si>
    <t>https://www.jotform.com/uploads/macarewecare/222927978372067/5589950504293120706/5589950504293120706_signature_31.png</t>
  </si>
  <si>
    <t>ON-SITE ASSISTANCE
Packing of genexpert unit</t>
  </si>
  <si>
    <t>Need to transfer to Cebu CHO</t>
  </si>
  <si>
    <t>Packing of genexpert unit</t>
  </si>
  <si>
    <t>https://www.jotform.com/uploads/macarewecare/222927978372067/5589920017113588984/5589920017113588984_signature_28.png</t>
  </si>
  <si>
    <t>https://www.jotform.com/uploads/macarewecare/222927978372067/5589920017113588984/5589920017113588984_signature_31.png</t>
  </si>
  <si>
    <t xml:space="preserve">ASSAY: Xpert MTB/RIF, COUNT: 218
ASSAY: Xpert MTB/RIF Ultra, COUNT: 2060
ASSAY: Xpert HIV-1 Viral Load, COUNT: 1083
</t>
  </si>
  <si>
    <t>-Performed module replacement 606103 &gt;&gt;718638
-Cleaned cartridge bays and Plunger rods
-Generated reports</t>
  </si>
  <si>
    <t>Work with Carlos Origenes and Dan Bodino</t>
  </si>
  <si>
    <t>GeneXpert Module SN 718638</t>
  </si>
  <si>
    <t>G 5536</t>
  </si>
  <si>
    <t>https://www.jotform.com/uploads/macarewecare/222927978372067/5589915270413192250/5589915270413192250_signature_28.png</t>
  </si>
  <si>
    <t>https://www.jotform.com/uploads/macarewecare/222927978372067/5589915270413192250/5589915270413192250_signature_31.png</t>
  </si>
  <si>
    <t>Toledo cho</t>
  </si>
  <si>
    <t xml:space="preserve">ASSAY: Xpert MTB/RIF, COUNT: 790
</t>
  </si>
  <si>
    <t>Module B2 Serial Number 691154 failed during calibration</t>
  </si>
  <si>
    <t>Replaced module B2 with new module 791542</t>
  </si>
  <si>
    <t>Replacement of defective module B2</t>
  </si>
  <si>
    <t>https://www.jotform.com/uploads/macarewecare/222927978372067/5589895943916168887/5589895943916168887_signature_28.png</t>
  </si>
  <si>
    <t>Lore Mae C. Diapen</t>
  </si>
  <si>
    <t>https://www.jotform.com/uploads/macarewecare/222927978372067/5589895943916168887/5589895943916168887_signature_31.png</t>
  </si>
  <si>
    <t xml:space="preserve">ASSAY: Xpert MTB/RIF, COUNT: 299
ASSAY: Xpert MTB/RIF Ultra, COUNT: 3186
ASSAY: Xpert HIV-1 Viral Load, COUNT: 81
</t>
  </si>
  <si>
    <t>Due to calibration schedule</t>
  </si>
  <si>
    <t>Conduct PM and save files(IQR, System Log, Assay Stat and GXC file)</t>
  </si>
  <si>
    <t>Run Xpert check calibration for module D1, D3 and D4</t>
  </si>
  <si>
    <t>Modules D1, D3 &amp; D4 passed the calibration</t>
  </si>
  <si>
    <t>https://www.jotform.com/uploads/macarewecare/222927978372067/5589895930317960672/5589895930317960672_signature_28.png</t>
  </si>
  <si>
    <t>Marniel C. Reyes</t>
  </si>
  <si>
    <t>https://www.jotform.com/uploads/macarewecare/222927978372067/5589895930317960672/5589895930317960672_signature_31.png</t>
  </si>
  <si>
    <t>Brgy. 4, San Francisco</t>
  </si>
  <si>
    <t xml:space="preserve">ASSAY: Xpert MTB/RIF, COUNT: 121
ASSAY: Xpert MTB/RIF Ultra, COUNT: 786
</t>
  </si>
  <si>
    <t>Replacing Module B2 with SN: 677485 to SN: 696050</t>
  </si>
  <si>
    <t>https://www.jotform.com/uploads/macarewecare/222927978372067/5589889874415882984/5589889874415882984_signature_28.png</t>
  </si>
  <si>
    <t>Ma. Angelica O. Periabras</t>
  </si>
  <si>
    <t>https://www.jotform.com/uploads/macarewecare/222927978372067/5589889874415882984/5589889874415882984_signature_31.png</t>
  </si>
  <si>
    <t>E.rodriguez ave,Quezon city</t>
  </si>
  <si>
    <t xml:space="preserve">ASSAY: Xpert MTB/RIF, COUNT: 131
ASSAY: Xpert MTB/RIF Ultra, COUNT: 174
ASSAY: Xpert SARS-CoV-2, COUNT: 1050
</t>
  </si>
  <si>
    <t>Cleaned unit,filter,icore,cartridge bay,plunger rod,back up gxx,gathered reports</t>
  </si>
  <si>
    <t>https://www.jotform.com/uploads/macarewecare/222927978372067/5589883299105378179/5589883299105378179_signature_28.png</t>
  </si>
  <si>
    <t>https://www.jotform.com/uploads/macarewecare/222927978372067/5589883299105378179/5589883299105378179_signature_31.png</t>
  </si>
  <si>
    <t xml:space="preserve">ASSAY: Xpert MTB/RIF, COUNT: 719
ASSAY: Xpert MTB/RIF Ultra, COUNT: 1612
ASSAY: Xpert HIV-1 Viral Load, COUNT: 29
</t>
  </si>
  <si>
    <t>Module B4 for Replacement</t>
  </si>
  <si>
    <t>-Module replacement B4/676759 into 657532
- Performed Xpertcheck Calibration
-Performed preventive maintenance
- Generate Reports</t>
  </si>
  <si>
    <t>Unit is Operational ( Module B1 for monitoring temperature error)</t>
  </si>
  <si>
    <t>GeneXpert Module 6 Color, Xpertcheck kit</t>
  </si>
  <si>
    <t>https://www.jotform.com/uploads/macarewecare/222927978372067/5589809308856554074/5589809308856554074_signature_28.png</t>
  </si>
  <si>
    <t>https://www.jotform.com/uploads/macarewecare/222927978372067/5589809308856554074/5589809308856554074_signature_31.png</t>
  </si>
  <si>
    <t>National childrens hospital</t>
  </si>
  <si>
    <t>E.rodriguez,Quezon city</t>
  </si>
  <si>
    <t>Cleaned unit, Checked roller, checked centrifuge,checked dpm,spm,cuff,checked parameters,performed functionality test,test run unit</t>
  </si>
  <si>
    <t>https://www.jotform.com/uploads/macarewecare/222927978372067/5589804157111875494/5589804157111875494_signature_28.png</t>
  </si>
  <si>
    <t>https://www.jotform.com/uploads/macarewecare/222927978372067/5589804157111875494/5589804157111875494_signature_31.png</t>
  </si>
  <si>
    <t>GX-4 R1</t>
  </si>
  <si>
    <t>Performed module replacement(641703&gt;&gt;674311)
 cleaned cartridge bay, plunger rod. 
Collected reports</t>
  </si>
  <si>
    <t>Worked with sir Carlos</t>
  </si>
  <si>
    <t>Gene xpert module 674311</t>
  </si>
  <si>
    <t>https://www.jotform.com/uploads/macarewecare/222927978372067/5589758343823563858/5589758343823563858_signature_28.png</t>
  </si>
  <si>
    <t>https://www.jotform.com/uploads/macarewecare/222927978372067/5589758343823563858/5589758343823563858_signature_31.png</t>
  </si>
  <si>
    <t>Molave Rural health unit</t>
  </si>
  <si>
    <t>Module 1, 2, 3 and 4 error 1002, 1001, 4008 and</t>
  </si>
  <si>
    <t>Preventive Maintenence.
Module 1 and 4 service required
Module 2 passed
Module 3 retry</t>
  </si>
  <si>
    <t>All modules undergone Xpertcheck and Preventive Maintenence</t>
  </si>
  <si>
    <t>Module 2, 3 and 4 are available, module 1 h/w failed</t>
  </si>
  <si>
    <t>https://www.jotform.com/uploads/macarewecare/222927978372067/5589729315564500696/5589729315564500696_signature_28.png</t>
  </si>
  <si>
    <t>https://www.jotform.com/uploads/macarewecare/222927978372067/5589729315564500696/5589729315564500696_signature_31.png</t>
  </si>
  <si>
    <t>Packing of genexpert machine</t>
  </si>
  <si>
    <t>https://www.jotform.com/uploads/macarewecare/222927978372067/5589128009156822298/5589128009156822298_signature_28.png</t>
  </si>
  <si>
    <t>https://www.jotform.com/uploads/macarewecare/222927978372067/5589128009156822298/5589128009156822298_signature_31.png</t>
  </si>
  <si>
    <t xml:space="preserve">ASSAY: Xpert MTB/RIF, COUNT: 15
ASSAY: Xpert MTB/RIF Ultra, COUNT: 1200
</t>
  </si>
  <si>
    <t>Performed PM.
Performef module replacement on module B4.
Generated reports.</t>
  </si>
  <si>
    <t>Gx module B4 (632590) in replacement to defective B4 (619323)</t>
  </si>
  <si>
    <t>https://www.jotform.com/uploads/macarewecare/222927978372067/5589029147826588092/5589029147826588092_signature_28.png</t>
  </si>
  <si>
    <t>https://www.jotform.com/uploads/macarewecare/222927978372067/5589029147826588092/5589029147826588092_signature_31.png</t>
  </si>
  <si>
    <t>National Highway, Brgy. Patin-ay, Prosperidad</t>
  </si>
  <si>
    <t xml:space="preserve">ASSAY: Xpert MTB/RIF, COUNT: 341
ASSAY: Xpert MTB/RIF Ultra, COUNT: 3017
</t>
  </si>
  <si>
    <t>Intermittent Errors occurs at Module C3</t>
  </si>
  <si>
    <t>Cleaning and Reseating RAM slots
Changing CMOS battery for Real Time Clock</t>
  </si>
  <si>
    <t>Replacing Module C1 with SN: 885698 to SN: 803321
Troubleshooting of CPU Desktop</t>
  </si>
  <si>
    <t>3 modules working and 1 module under observation.
CPU is functional (to be observed when power surges occurs)</t>
  </si>
  <si>
    <t>https://www.jotform.com/uploads/macarewecare/222927978372067/5589025446419139679/5589025446419139679_signature_28.png</t>
  </si>
  <si>
    <t>https://www.jotform.com/uploads/macarewecare/222927978372067/5589025446419139679/5589025446419139679_signature_31.png</t>
  </si>
  <si>
    <t>https://www.jotform.com/uploads/macarewecare/222927978372067/5589024346417904766/5589024346417904766_signature_28.png</t>
  </si>
  <si>
    <t>https://www.jotform.com/uploads/macarewecare/222927978372067/5589024346417904766/5589024346417904766_signature_31.png</t>
  </si>
  <si>
    <t>Unit for PM.
For re-Xpertcheck of module B4.</t>
  </si>
  <si>
    <t>Performed PM.
Performed re-Xpertcheck on module B4.
Generated reports.</t>
  </si>
  <si>
    <t>PM and re-Xpertcheck.</t>
  </si>
  <si>
    <t>Unit is operational. Module B4 passed re-Xpertcheck.</t>
  </si>
  <si>
    <t>Used 2 spare xpertcheck.</t>
  </si>
  <si>
    <t>https://www.jotform.com/uploads/macarewecare/222927978372067/5588989117828085122/5588989117828085122_signature_28.png</t>
  </si>
  <si>
    <t>https://www.jotform.com/uploads/macarewecare/222927978372067/5588989117828085122/5588989117828085122_signature_31.png</t>
  </si>
  <si>
    <t xml:space="preserve">ASSAY: Others, COUNT: 687
ASSAY: Xpert MTB/RIF, COUNT: 10
ASSAY: Xpert MTB/RIF Ultra, COUNT: 536
</t>
  </si>
  <si>
    <t>Temp. errors on Modules A2 and A4</t>
  </si>
  <si>
    <t>Performed XpertCheck to further diagnose</t>
  </si>
  <si>
    <t>Unit is operational.
B2: failed
B4: failed</t>
  </si>
  <si>
    <t>https://www.jotform.com/uploads/macarewecare/222927978372067/5588980277616011900/5588980277616011900_signature_28.png</t>
  </si>
  <si>
    <t>Myrna De Lara</t>
  </si>
  <si>
    <t>https://www.jotform.com/uploads/macarewecare/222927978372067/5588980277616011900/5588980277616011900_signature_31.png</t>
  </si>
  <si>
    <t>For xpert check &amp; maintenance</t>
  </si>
  <si>
    <t>Cleaned cartridge bay, plunger rod, icore
Checked cpu, monitor, barcode scanner
performed xpert check
Collected reports</t>
  </si>
  <si>
    <t>Performed xpert check &amp; preventive maintenance</t>
  </si>
  <si>
    <t>Xpert check kit</t>
  </si>
  <si>
    <t>https://www.jotform.com/uploads/macarewecare/222927978372067/5588955040415025983/5588955040415025983_signature_28.png</t>
  </si>
  <si>
    <t>https://www.jotform.com/uploads/macarewecare/222927978372067/5588955040415025983/5588955040415025983_signature_31.png</t>
  </si>
  <si>
    <t>3 Modules are Operational, 1 For Replacement</t>
  </si>
  <si>
    <t>807005, 807006 -&gt; 714809, 717149</t>
  </si>
  <si>
    <t>G 5527</t>
  </si>
  <si>
    <t>https://www.jotform.com/uploads/macarewecare/222927978372067/5588918922018512521/5588918922018512521_signature_28.png</t>
  </si>
  <si>
    <t>https://www.jotform.com/uploads/macarewecare/222927978372067/5588918922018512521/5588918922018512521_signature_31.png</t>
  </si>
  <si>
    <t>1005 Aurora Blvd, Project 3, Quezon City, 1102</t>
  </si>
  <si>
    <t>GX - IV</t>
  </si>
  <si>
    <t>For XpertCheck &amp; Maintenance</t>
  </si>
  <si>
    <t>Run Xpertcheck</t>
  </si>
  <si>
    <t>Performed maintenance
Run xpertcheck
Generated reports</t>
  </si>
  <si>
    <t>Unit is operational.
All modules passed xpertcheck</t>
  </si>
  <si>
    <t>https://www.jotform.com/uploads/macarewecare/222927978372067/5588868130414496849/5588868130414496849_signature_28.png</t>
  </si>
  <si>
    <t>https://www.jotform.com/uploads/macarewecare/222927978372067/5588868130414496849/5588868130414496849_signature_31.png</t>
  </si>
  <si>
    <t>For Xpert Check and Maintenance</t>
  </si>
  <si>
    <t>Xpert Check and Maintenance</t>
  </si>
  <si>
    <t>All modules passed Xpert Check</t>
  </si>
  <si>
    <t>https://www.jotform.com/uploads/macarewecare/222927978372067/5588866080417513561/5588866080417513561_signature_28.png</t>
  </si>
  <si>
    <t>Noel floresca</t>
  </si>
  <si>
    <t>https://www.jotform.com/uploads/macarewecare/222927978372067/5588866080417513561/5588866080417513561_signature_31.png</t>
  </si>
  <si>
    <t>Quezon ave qc</t>
  </si>
  <si>
    <t xml:space="preserve">ASSAY: Xpert MTB/RIF Ultra, COUNT: 1681
</t>
  </si>
  <si>
    <t>Performed xpertcheck and cleaned unit,filter,plunger rod,cartridge bay,i core,gathered reports,performed visual check,test run unit</t>
  </si>
  <si>
    <t>Moduleb1,b4 passed xpertcheck</t>
  </si>
  <si>
    <t>B2 and b3 reported already</t>
  </si>
  <si>
    <t>https://www.jotform.com/uploads/macarewecare/222927978372067/5588416175128473456/5588416175128473456_signature_28.png</t>
  </si>
  <si>
    <t>Mark Joseph Cordova</t>
  </si>
  <si>
    <t>https://www.jotform.com/uploads/macarewecare/222927978372067/5588416175128473456/5588416175128473456_signature_31.png</t>
  </si>
  <si>
    <t>Datu halun, bonggao Tawi - Tawi.</t>
  </si>
  <si>
    <t>alnijarelias@gmail.com</t>
  </si>
  <si>
    <t xml:space="preserve">ASSAY: Xpert MTB/RIF, COUNT: 14
</t>
  </si>
  <si>
    <t>Replaced module 731450 with Module 892988</t>
  </si>
  <si>
    <t>https://www.jotform.com/uploads/macarewecare/222927978372067/5588214973519631569/5588214973519631569_signature_28.png</t>
  </si>
  <si>
    <t>Alnijar s. Elias</t>
  </si>
  <si>
    <t>https://www.jotform.com/uploads/macarewecare/222927978372067/5588214973519631569/5588214973519631569_signature_31.png</t>
  </si>
  <si>
    <t>Module B1 encounter temperature related error</t>
  </si>
  <si>
    <t>Run XPC  on Module B1</t>
  </si>
  <si>
    <t>Module B1 SN:862214 for service required
Reports sent to Cepheid for further Assessment</t>
  </si>
  <si>
    <t>Module B1 temporarily disabled</t>
  </si>
  <si>
    <t>https://www.jotform.com/uploads/macarewecare/222927978372067/5588175676321805343/5588175676321805343_signature_28.png</t>
  </si>
  <si>
    <t>https://www.jotform.com/uploads/macarewecare/222927978372067/5588175676321805343/5588175676321805343_signature_31.png</t>
  </si>
  <si>
    <t>Perform XPC at Module B1</t>
  </si>
  <si>
    <t>Module B1 SN:862214 For Service Required</t>
  </si>
  <si>
    <t>Module B1 temporarily disable</t>
  </si>
  <si>
    <t>https://www.jotform.com/uploads/macarewecare/222927978372067/5588173246322536136/5588173246322536136_signature_28.png</t>
  </si>
  <si>
    <t>https://www.jotform.com/uploads/macarewecare/222927978372067/5588173246322536136/5588173246322536136_signature_31.png</t>
  </si>
  <si>
    <t>Conduct and perform calibration of Genxpert 838508 Module Serial number 629957</t>
  </si>
  <si>
    <t>Module 1 passed, modulse 3 and 4 are operational. B2 is no longer used waiting for module replacement.</t>
  </si>
  <si>
    <t>https://www.jotform.com/uploads/macarewecare/222927978372067/5588165836913222559/5588165836913222559_signature_28.png</t>
  </si>
  <si>
    <t>Elma Bragat Gonzales</t>
  </si>
  <si>
    <t>https://www.jotform.com/uploads/macarewecare/222927978372067/5588165836913222559/5588165836913222559_signature_31.png</t>
  </si>
  <si>
    <t xml:space="preserve">ASSAY: Xpert MTB/RIF Ultra, COUNT: 2352
</t>
  </si>
  <si>
    <t>Desktop is not booting up properly.</t>
  </si>
  <si>
    <t>Unit is operational.
Desktop is under observation.
Found temp. error on A4.
Advised end user to monitor A4.</t>
  </si>
  <si>
    <t>https://www.jotform.com/uploads/macarewecare/222927978372067/5588090842576231145/5588090842576231145_signature_28.png</t>
  </si>
  <si>
    <t>https://www.jotform.com/uploads/macarewecare/222927978372067/5588090842576231145/5588090842576231145_signature_31.png</t>
  </si>
  <si>
    <t>Medical Center Manila Inc.</t>
  </si>
  <si>
    <t>850 UN Ave., Paco, Manila</t>
  </si>
  <si>
    <t>pathology.laboratories@manilamed.com.ph</t>
  </si>
  <si>
    <t xml:space="preserve">ASSAY: Xpert MTB/RIF, COUNT: 10
ASSAY: Xpert MTB/RIF Ultra, COUNT: 881
</t>
  </si>
  <si>
    <t>B4 Failed Xpertcheck due for module replacement</t>
  </si>
  <si>
    <t>Performed module replacement on B4 old module: 791638 new: 916540
Cleaned cartridge bays, icore, plunger rod maintenance, filter
Generated reports
Performed self-test
Advised end-user about ambient temp of laboratory</t>
  </si>
  <si>
    <t>Gene xpert module 6C</t>
  </si>
  <si>
    <t>https://www.jotform.com/uploads/macarewecare/222927978372067/5588007540417651410/5588007540417651410_signature_28.png</t>
  </si>
  <si>
    <t>https://www.jotform.com/uploads/macarewecare/222927978372067/5588007540417651410/5588007540417651410_signature_31.png</t>
  </si>
  <si>
    <t>https://www.jotform.com/uploads/macarewecare/222927978372067/5588007470418993758/5588007470418993758_signature_28.png</t>
  </si>
  <si>
    <t>https://www.jotform.com/uploads/macarewecare/222927978372067/5588007470418993758/5588007470418993758_signature_31.png</t>
  </si>
  <si>
    <t>Alabang-Zapote Road</t>
  </si>
  <si>
    <t>Monitor with Lines in Display</t>
  </si>
  <si>
    <t>Replaced Monitor 
Performed Maintenance
Generate Reports</t>
  </si>
  <si>
    <t>CNK83107VS-&gt;MMA1PSS00221507C8C3W01</t>
  </si>
  <si>
    <t>FC-E-Monitor</t>
  </si>
  <si>
    <t>https://www.jotform.com/uploads/macarewecare/222927978372067/5587971420414819207/5587971420414819207_signature_28.png</t>
  </si>
  <si>
    <t>https://www.jotform.com/uploads/macarewecare/222927978372067/5587971420414819207/5587971420414819207_signature_31.png</t>
  </si>
  <si>
    <t>Brgy. Liwanag, Odiongan, Romblon</t>
  </si>
  <si>
    <t>Modules 2 and 4 H/W Failed
Unit is due for XpertCheck</t>
  </si>
  <si>
    <t>Replaced Modules 2 and 4
Performed Maintenance
Performed XpertCheck
Generate Reports</t>
  </si>
  <si>
    <t>2 Modules are Newly Replaced, 1 Module Passed, 1 Module Failed</t>
  </si>
  <si>
    <t>210014984, 661376 -&gt; 651738, 653984</t>
  </si>
  <si>
    <t>https://www.jotform.com/uploads/macarewecare/222927978372067/5587971430411166146/5587971430411166146_signature_28.png</t>
  </si>
  <si>
    <t>Fivi F. Manliguez</t>
  </si>
  <si>
    <t>https://www.jotform.com/uploads/macarewecare/222927978372067/5587971430411166146/5587971430411166146_signature_31.png</t>
  </si>
  <si>
    <t>Trece-Indang Rd., Trece Martires</t>
  </si>
  <si>
    <t xml:space="preserve">ASSAY: Xpert MTB/RIF Ultra, COUNT: 1723
ASSAY: Xpert HIV-1 Viral Load, COUNT: 103
</t>
  </si>
  <si>
    <t>Performed XpertCheck
Performed Maintenance
Generate Reports</t>
  </si>
  <si>
    <t>Xpertcheck: 1 and 2 Passed, 3 and 4 Newly Replaced</t>
  </si>
  <si>
    <t>https://www.jotform.com/uploads/macarewecare/222927978372067/5587971430416936123/5587971430416936123_signature_28.png</t>
  </si>
  <si>
    <t>https://www.jotform.com/uploads/macarewecare/222927978372067/5587971430416936123/5587971430416936123_signature_31.png</t>
  </si>
  <si>
    <t>Origami Ave., Paris City</t>
  </si>
  <si>
    <t xml:space="preserve">ASSAY: Xpert BCR-ABL Ultra, COUNT: 1
ASSAY: Xpert CT/NG, COUNT: 1
ASSAY: Xpert HBV VL, COUNT: 29
ASSAY: Xpert HPV, COUNT: 37
ASSAY: Xpert MTB/RIF Ultra, COUNT: 296
ASSAY: Others, COUNT: 2
ASSAY: Xpert HCV VL, COUNT: 5
ASSAY: Xpert HIV-1 Viral Load, COUNT: 40
</t>
  </si>
  <si>
    <t>GX16 10C</t>
  </si>
  <si>
    <t>For module replacement B3 210082269 - 210022184</t>
  </si>
  <si>
    <t>cleaned unit, cartridge bay, plunger rod, filter, icore. Gathered reports, performed visual check, test run unit. Replaced module</t>
  </si>
  <si>
    <t>G-5516</t>
  </si>
  <si>
    <t>https://www.jotform.com/uploads/macarewecare/222927978372067/5587960750411807509/5587960750411807509_signature_28.png</t>
  </si>
  <si>
    <t>Xchosa Kay Repatacodo</t>
  </si>
  <si>
    <t>https://www.jotform.com/uploads/macarewecare/222927978372067/5587960750411807509/5587960750411807509_signature_31.png</t>
  </si>
  <si>
    <t>Hilongos leyte</t>
  </si>
  <si>
    <t xml:space="preserve">ASSAY: Xpert MTB/RIF, COUNT: 207
ASSAY: Xpert MTB/RIF Ultra, COUNT: 694
</t>
  </si>
  <si>
    <t>Unit is Operational (Module B1 disabled - waiting for module replacement)</t>
  </si>
  <si>
    <t>https://www.jotform.com/uploads/macarewecare/222927978372067/5586607481322385927/5586607481322385927_signature_28.png</t>
  </si>
  <si>
    <t>https://www.jotform.com/uploads/macarewecare/222927978372067/5586607481322385927/5586607481322385927_signature_31.png</t>
  </si>
  <si>
    <t>https://www.jotform.com/uploads/macarewecare/222927978372067/5586607251322742890/5586607251322742890_signature_28.png</t>
  </si>
  <si>
    <t>https://www.jotform.com/uploads/macarewecare/222927978372067/5586607251322742890/5586607251322742890_signature_31.png</t>
  </si>
  <si>
    <t>Salcedo St. Makati City</t>
  </si>
  <si>
    <t>Laboratory (Medi Linx)</t>
  </si>
  <si>
    <t>reymirsanapo.medilinx@outlook.com</t>
  </si>
  <si>
    <t xml:space="preserve">ASSAY: Xpert BCR-ABL Ultra, COUNT: 43
ASSAY: Xpert C. difficile BT, COUNT: 9
ASSAY: Xpert CT/NG, COUNT: 227
ASSAY: Others, COUNT: GBS G3 7
ASSAY: Xpert HBV VL, COUNT: 15
ASSAY: Xpert HPV, COUNT: 218
ASSAY: Xpert MTB/RIF Ultra, COUNT: 897
ASSAY: Xpert CT/NG, COUNT: NG 2
ASSAY: Xpert HCV VL, COUNT: 19
ASSAY: Xpert HIV-1 Viral Load, COUNT: 571
</t>
  </si>
  <si>
    <t>Unit for PM.
For troubleshooting of Loss Communication problem.</t>
  </si>
  <si>
    <t>Performed PM.
Performed troutbleshooting.
Replaced all module Lan cables.
Checked ultrasonic horns on all modules and gateway board.
Generated reports.</t>
  </si>
  <si>
    <t>PM and troubleshooting.</t>
  </si>
  <si>
    <t>https://www.jotform.com/uploads/macarewecare/222927978372067/5586350434811766334/5586350434811766334_signature_28.png</t>
  </si>
  <si>
    <t>Reymir Sanapo</t>
  </si>
  <si>
    <t>https://www.jotform.com/uploads/macarewecare/222927978372067/5586350434811766334/5586350434811766334_signature_31.png</t>
  </si>
  <si>
    <t>Sta Cruz</t>
  </si>
  <si>
    <t xml:space="preserve">ASSAY: Xpert HPV, COUNT: 14
ASSAY: Xpert MTB/RIF, COUNT: 78
ASSAY: Xpert MTB/RIF Ultra, COUNT: 841
</t>
  </si>
  <si>
    <t>Gx module B2 (629868) and B4 (631438) in replacement to defective B2 (693886) and B4 (634018).</t>
  </si>
  <si>
    <t>G 5514</t>
  </si>
  <si>
    <t>https://www.jotform.com/uploads/macarewecare/222927978372067/5586350444811096690/5586350444811096690_signature_28.png</t>
  </si>
  <si>
    <t>https://www.jotform.com/uploads/macarewecare/222927978372067/5586350444811096690/5586350444811096690_signature_31.png</t>
  </si>
  <si>
    <t>Lake Sebu</t>
  </si>
  <si>
    <t xml:space="preserve">ASSAY: Xpert MTB/RIF, COUNT: 149
ASSAY: Xpert MTB/RIF Ultra, COUNT: 352
</t>
  </si>
  <si>
    <t>https://www.jotform.com/uploads/macarewecare/222927978372067/5585894441411577358/5585894441411577358_signature_28.png</t>
  </si>
  <si>
    <t>https://www.jotform.com/uploads/macarewecare/222927978372067/5585894441411577358/5585894441411577358_signature_31.png</t>
  </si>
  <si>
    <t>J Bocobo Street Manila</t>
  </si>
  <si>
    <t xml:space="preserve">ASSAY: Xpert CT/NG, COUNT: 4707
ASSAY: Xpert MTB/RIF, COUNT: 520
ASSAY: Xpert MTB/RIF Ultra, COUNT: 4659
</t>
  </si>
  <si>
    <t>Replace module C1 (877673) with module (677392)</t>
  </si>
  <si>
    <t>Replace module C1 
Performed maintenance Cleaning</t>
  </si>
  <si>
    <t>Modules A2 and F2 for reporting, Work with Patrik Los Banos, Gian Paolo Magnaye and Cienne Valerio</t>
  </si>
  <si>
    <t>GeneXpert Module 6-color SN: 677392</t>
  </si>
  <si>
    <t>DR 9927</t>
  </si>
  <si>
    <t>https://www.jotform.com/uploads/macarewecare/222927978372067/5584853044114538247/5584853044114538247_signature_28.png</t>
  </si>
  <si>
    <t>Maria Teresita D. Baclig</t>
  </si>
  <si>
    <t>https://www.jotform.com/uploads/macarewecare/222927978372067/5584853044114538247/5584853044114538247_signature_31.png</t>
  </si>
  <si>
    <t>Dolores, City of San Fernando Pampanga</t>
  </si>
  <si>
    <t xml:space="preserve">ASSAY: Xpert HIV-1 Viral Load, COUNT: 24
ASSAY: Xpert HBV VL, COUNT: 5
</t>
  </si>
  <si>
    <t>Cannot Start Test HCV Viral Load</t>
  </si>
  <si>
    <t>Update HCV Viral Load Assay</t>
  </si>
  <si>
    <t>Performed Maintenance
Gathered Reports
Replaced UPS
Replaced Barcode Scanner
Performed Functionality Test</t>
  </si>
  <si>
    <t>Barcode Scanner, UPS</t>
  </si>
  <si>
    <t>9959, 9916</t>
  </si>
  <si>
    <t>https://www.jotform.com/uploads/macarewecare/222927978372067/5584850226777749716/5584850226777749716_signature_28.png</t>
  </si>
  <si>
    <t>https://www.jotform.com/uploads/macarewecare/222927978372067/5584850226777749716/5584850226777749716_signature_31.png</t>
  </si>
  <si>
    <t>https://www.jotform.com/uploads/macarewecare/222927978372067/5584803195517585659/5584803195517585659_signature_28.png</t>
  </si>
  <si>
    <t>https://www.jotform.com/uploads/macarewecare/222927978372067/5584803195517585659/5584803195517585659_signature_31.png</t>
  </si>
  <si>
    <t xml:space="preserve">ASSAY: Xpert MTB/RIF Ultra, COUNT: 3099
</t>
  </si>
  <si>
    <t>Error 1001 on Module B1/806412</t>
  </si>
  <si>
    <t>Preventive Maintenance 
Xpertcheck Calibration
Generate report files
Database back up</t>
  </si>
  <si>
    <t>https://www.jotform.com/uploads/macarewecare/222927978372067/5584775340271719886/5584775340271719886_signature_28.png</t>
  </si>
  <si>
    <t>https://www.jotform.com/uploads/macarewecare/222927978372067/5584775340271719886/5584775340271719886_signature_31.png</t>
  </si>
  <si>
    <t xml:space="preserve">ASSAY: Xpert HPV, COUNT: 197
ASSAY: Xpert MTB/RIF Ultra, COUNT: 1392
ASSAY: Xpert MTB/RIF, COUNT: 965
</t>
  </si>
  <si>
    <t>Module A3 - frequent temp error</t>
  </si>
  <si>
    <t>Module A3 - Xpertcheck service required, for replacement. All other three modules are operational.</t>
  </si>
  <si>
    <t>2 XPC cartridge used.</t>
  </si>
  <si>
    <t>https://www.jotform.com/uploads/macarewecare/222927978372067/5584733435411761047/5584733435411761047_signature_28.png</t>
  </si>
  <si>
    <t>https://www.jotform.com/uploads/macarewecare/222927978372067/5584733435411761047/5584733435411761047_signature_31.png</t>
  </si>
  <si>
    <t>Poblacion, Monkayo Davao De Oro</t>
  </si>
  <si>
    <t>Stuck cartridge and for Preventive Maintenance</t>
  </si>
  <si>
    <t>Troubleshoot the module that has stuck cartridge in it
Clean Surface Area, Cartridge Bay, Plunger Rod, Fan Filters and Icore Lenses
Generate IQR, Assay Stat and System Log
Archived Data test results</t>
  </si>
  <si>
    <t>https://www.jotform.com/uploads/macarewecare/222927978372067/5584700290886710832/5584700290886710832_signature_28.png</t>
  </si>
  <si>
    <t>Karen S Anuta</t>
  </si>
  <si>
    <t>https://www.jotform.com/uploads/macarewecare/222927978372067/5584700290886710832/5584700290886710832_signature_31.png</t>
  </si>
  <si>
    <t>carlos.Ieniel.origenes@gmaiI.com</t>
  </si>
  <si>
    <t>1 KVA</t>
  </si>
  <si>
    <t>AT1000181128ST0032</t>
  </si>
  <si>
    <t>-Won't power on
-Won't backup</t>
  </si>
  <si>
    <t>Removed one good battery and removed one bad battery</t>
  </si>
  <si>
    <t>https://www.jotform.com/uploads/macarewecare/222927978372067/5584611820415173767/5584611820415173767_signature_28.png</t>
  </si>
  <si>
    <t>https://www.jotform.com/uploads/macarewecare/222927978372067/5584611820415173767/5584611820415173767_signature_31.png</t>
  </si>
  <si>
    <t>1KVA</t>
  </si>
  <si>
    <t>AT1000181128ST0100</t>
  </si>
  <si>
    <t>Won't power on, Won't backup</t>
  </si>
  <si>
    <t>Checked fuse, batteries and motherboard</t>
  </si>
  <si>
    <t>https://www.jotform.com/uploads/macarewecare/222927978372067/5584610660419367874/5584610660419367874_signature_28.png</t>
  </si>
  <si>
    <t>https://www.jotform.com/uploads/macarewecare/222927978372067/5584610660419367874/5584610660419367874_signature_31.png</t>
  </si>
  <si>
    <t>AT1000180910ST0226</t>
  </si>
  <si>
    <t>Won't power on
Won't Back up</t>
  </si>
  <si>
    <t>Removed working batteries</t>
  </si>
  <si>
    <t>https://www.jotform.com/uploads/macarewecare/222927978372067/5584602240418432425/5584602240418432425_signature_28.png</t>
  </si>
  <si>
    <t>https://www.jotform.com/uploads/macarewecare/222927978372067/5584602240418432425/5584602240418432425_signature_31.png</t>
  </si>
  <si>
    <t>Poblacion Mangaldan,Pangasinan</t>
  </si>
  <si>
    <t xml:space="preserve">ASSAY: Xpert MTB/RIF, COUNT: 87
ASSAY: Xpert MTB/RIF Ultra, COUNT: 414
</t>
  </si>
  <si>
    <t>https://www.jotform.com/uploads/macarewecare/222927978372067/5584051269411883962/5584051269411883962_signature_28.png</t>
  </si>
  <si>
    <t>https://www.jotform.com/uploads/macarewecare/222927978372067/5584051269411883962/5584051269411883962_signature_31.png</t>
  </si>
  <si>
    <t>Sta. Barbara Rural health Unit</t>
  </si>
  <si>
    <t>Poblacion Sta. Barbara, Pangasinan</t>
  </si>
  <si>
    <t xml:space="preserve">ASSAY: Xpert MTB/RIF, COUNT: 191
ASSAY: Xpert MTB/RIF Ultra, COUNT: 198
</t>
  </si>
  <si>
    <t>https://www.jotform.com/uploads/macarewecare/222927978372067/5584051269418987548/5584051269418987548_signature_28.png</t>
  </si>
  <si>
    <t>Diane Joy Q. Ruiz</t>
  </si>
  <si>
    <t>https://www.jotform.com/uploads/macarewecare/222927978372067/5584051269418987548/5584051269418987548_signature_31.png</t>
  </si>
  <si>
    <t>https://www.jotform.com/uploads/macarewecare/222927978372067/5584036699413111585/5584036699413111585_signature_28.png</t>
  </si>
  <si>
    <t>https://www.jotform.com/uploads/macarewecare/222927978372067/5584036699413111585/5584036699413111585_signature_31.png</t>
  </si>
  <si>
    <t>https://www.jotform.com/uploads/macarewecare/222927978372067/5584036699415882463/5584036699415882463_signature_28.png</t>
  </si>
  <si>
    <t>https://www.jotform.com/uploads/macarewecare/222927978372067/5584036699415882463/5584036699415882463_signature_31.png</t>
  </si>
  <si>
    <t xml:space="preserve">ASSAY: Xpert MTB/RIF Ultra, COUNT: 71
ASSAY: Xpert MTB/RIF Ultra, COUNT: 690
</t>
  </si>
  <si>
    <t>Module 3 Error</t>
  </si>
  <si>
    <t>Performed Xpertcheck in Module 3</t>
  </si>
  <si>
    <t>https://www.jotform.com/uploads/macarewecare/222927978372067/5583933958425744680/5583933958425744680_signature_28.png</t>
  </si>
  <si>
    <t>https://www.jotform.com/uploads/macarewecare/222927978372067/5583933958425744680/5583933958425744680_signature_31.png</t>
  </si>
  <si>
    <t>Poblacion Samboan Cebu</t>
  </si>
  <si>
    <t xml:space="preserve">ASSAY: Xpert MTB/RIF, COUNT: 199
</t>
  </si>
  <si>
    <t>Performed maintenance clean Icore, clean filter and plunger clean up</t>
  </si>
  <si>
    <t>https://www.jotform.com/uploads/macarewecare/222927978372067/5583910607713576321/5583910607713576321_signature_28.png</t>
  </si>
  <si>
    <t>Shene Ann A. Senagan</t>
  </si>
  <si>
    <t>https://www.jotform.com/uploads/macarewecare/222927978372067/5583910607713576321/5583910607713576321_signature_31.png</t>
  </si>
  <si>
    <t>Module A1 - frequent temp error</t>
  </si>
  <si>
    <t>Module A1 is disabled. Module A2, A3, &amp; A4 are operational.</t>
  </si>
  <si>
    <t>Module A1 for further observation.</t>
  </si>
  <si>
    <t>https://www.jotform.com/uploads/macarewecare/222927978372067/5583832548587982379/5583832548587982379_signature_28.png</t>
  </si>
  <si>
    <t>https://www.jotform.com/uploads/macarewecare/222927978372067/5583832548587982379/5583832548587982379_signature_31.png</t>
  </si>
  <si>
    <t>East ave qc</t>
  </si>
  <si>
    <t xml:space="preserve">ASSAY: Xpert BCR-ABL Ultra, COUNT: 880
ASSAY: Xpert CT/NG, COUNT: 1
ASSAY: Others, COUNT: 51
ASSAY: Xpert HBV VL, COUNT: 442
ASSAY: Xpert HPV, COUNT: 19
ASSAY: Xpert MTB/RIF, COUNT: 540
ASSAY: Xpert SARS-CoV-2, COUNT: 450
ASSAY: Xpert HCV VL, COUNT: 74
</t>
  </si>
  <si>
    <t>B1 862548  and B4 862557 encounter continous temperature error 1001,1002</t>
  </si>
  <si>
    <t>Checked b1 and b4 module,cleaned unit,filter,plunger rod,cartridge bay,i core,gathered reports,performed visual check,test run unit</t>
  </si>
  <si>
    <t>For replacement b1 862548 and b4 862557 due to continous temperature error encountered</t>
  </si>
  <si>
    <t>https://www.jotform.com/uploads/macarewecare/222927978372067/5583793337253442452/5583793337253442452_signature_28.png</t>
  </si>
  <si>
    <t>https://www.jotform.com/uploads/macarewecare/222927978372067/5583793337253442452/5583793337253442452_signature_31.png</t>
  </si>
  <si>
    <t>D.santiago health center</t>
  </si>
  <si>
    <t>D.santiago st</t>
  </si>
  <si>
    <t xml:space="preserve">ASSAY: Xpert MTB/RIF, COUNT: 65
ASSAY: Xpert MTB/RIF Ultra, COUNT: 1057
</t>
  </si>
  <si>
    <t>Ups unable to backup defective battery</t>
  </si>
  <si>
    <t>Delivered and installed 2 pcs battery,test run unit</t>
  </si>
  <si>
    <t>https://www.jotform.com/uploads/macarewecare/222927978372067/5583790107254877356/5583790107254877356_signature_28.png</t>
  </si>
  <si>
    <t>https://www.jotform.com/uploads/macarewecare/222927978372067/5583790107254877356/5583790107254877356_signature_31.png</t>
  </si>
  <si>
    <t>Module A4 with SN No. 791669 and error code 2126</t>
  </si>
  <si>
    <t>Conduct PM and save files for IQR, System Log and GXC File</t>
  </si>
  <si>
    <t>Run Xpert check calibration for module A4 only.</t>
  </si>
  <si>
    <t>Module A1, A2 and A3 is in good conditions.</t>
  </si>
  <si>
    <t>https://www.jotform.com/uploads/macarewecare/222927978372067/5583748913114474084/5583748913114474084_signature_28.png</t>
  </si>
  <si>
    <t>Ms. Arna Villan</t>
  </si>
  <si>
    <t>https://www.jotform.com/uploads/macarewecare/222927978372067/5583748913114474084/5583748913114474084_signature_31.png</t>
  </si>
  <si>
    <t>Salvacion Oppus - Yniguez Memorial Provincial Hospital</t>
  </si>
  <si>
    <t>Maasin City</t>
  </si>
  <si>
    <t>loreensalva@gmail.com</t>
  </si>
  <si>
    <t xml:space="preserve">ASSAY: Xpert MTB/RIF, COUNT: 682
ASSAY: Xpert MTB/RIF Ultra, COUNT: 882
</t>
  </si>
  <si>
    <t>- Module B1 error (1002)</t>
  </si>
  <si>
    <t>Module B2 and B3 passed, Module B1 and B4 service required</t>
  </si>
  <si>
    <t>Xpertcheck Cartridges</t>
  </si>
  <si>
    <t>https://www.jotform.com/uploads/macarewecare/222927978372067/5583665395117485163/5583665395117485163_signature_28.png</t>
  </si>
  <si>
    <t>Agnes Jill M Obligado</t>
  </si>
  <si>
    <t>https://www.jotform.com/uploads/macarewecare/222927978372067/5583665395117485163/5583665395117485163_signature_31.png</t>
  </si>
  <si>
    <t>Burgos St. Poblacion west Umingan Pangasinan</t>
  </si>
  <si>
    <t xml:space="preserve">ASSAY: Xpert MTB/RIF, COUNT: 632
ASSAY: Xpert MTB/RIF Ultra, COUNT: 824
</t>
  </si>
  <si>
    <t>Unit is operational except B1 and B4, failed xpertcheck</t>
  </si>
  <si>
    <t>https://www.jotform.com/uploads/macarewecare/222927978372067/5583545409413434354/5583545409413434354_signature_28.png</t>
  </si>
  <si>
    <t>https://www.jotform.com/uploads/macarewecare/222927978372067/5583545409413434354/5583545409413434354_signature_31.png</t>
  </si>
  <si>
    <t>Bayambang Pangasinan</t>
  </si>
  <si>
    <t xml:space="preserve">ASSAY: Xpert MTB/RIF, COUNT: 1
ASSAY: Xpert MTB/RIF Ultra, COUNT: 898
</t>
  </si>
  <si>
    <t>Gateway board replacement</t>
  </si>
  <si>
    <t>Gateway board replacement
Preventive maintenance</t>
  </si>
  <si>
    <t>Performed surface cleaning
Performed preventive maintenance
Performed gateway board replacement
Performed Serial number configuration
Gathered reports
Performed functionality test</t>
  </si>
  <si>
    <t>1 Gateway board</t>
  </si>
  <si>
    <t>https://www.jotform.com/uploads/macarewecare/222927978372067/5583544019417651023/5583544019417651023_signature_28.png</t>
  </si>
  <si>
    <t>https://www.jotform.com/uploads/macarewecare/222927978372067/5583544019417651023/5583544019417651023_signature_31.png</t>
  </si>
  <si>
    <t>SQL not Detected</t>
  </si>
  <si>
    <t>Reinstalled Genexpert Application
Troubleshoot the scanner
Calibrate the barcode scannner</t>
  </si>
  <si>
    <t>Disable built in keyboard
Installed HCV
Installed HBV
Installed HIV
Performed Maintenance
Gathered Reports
Performed Functionality Test</t>
  </si>
  <si>
    <t>Barcode scanner not functioning, for Replacement</t>
  </si>
  <si>
    <t>https://www.jotform.com/uploads/macarewecare/222927978372067/5583003980512564288/5583003980512564288_signature_28.png</t>
  </si>
  <si>
    <t>https://www.jotform.com/uploads/macarewecare/222927978372067/5583003980512564288/5583003980512564288_signature_31.png</t>
  </si>
  <si>
    <t>Philippine Red-Cross zamboanga chapter</t>
  </si>
  <si>
    <t>Petit barracks zamboanga city</t>
  </si>
  <si>
    <t>Mcs +</t>
  </si>
  <si>
    <t>PM with gian carlo aizon</t>
  </si>
  <si>
    <t>https://www.jotform.com/uploads/macarewecare/222927978372067/5582993197995025994/5582993197995025994_signature_28.png</t>
  </si>
  <si>
    <t>Maria Sandra Anitan</t>
  </si>
  <si>
    <t>https://www.jotform.com/uploads/macarewecare/222927978372067/5582993197995025994/5582993197995025994_signature_31.png</t>
  </si>
  <si>
    <t>Nabas Aklan</t>
  </si>
  <si>
    <t>lambito.godelyn61@gmail.com</t>
  </si>
  <si>
    <t>INSTALL NEW SYSTEM UNIT</t>
  </si>
  <si>
    <t>https://www.jotform.com/uploads/macarewecare/222927978372067/5582960961625277524/5582960961625277524_signature_28.png</t>
  </si>
  <si>
    <t>https://www.jotform.com/uploads/macarewecare/222927978372067/5582960961625277524/5582960961625277524_signature_31.png</t>
  </si>
  <si>
    <t>Ward 1, Pider, Minglanilla Cebu</t>
  </si>
  <si>
    <t xml:space="preserve">ASSAY: Xpert MTB/RIF, COUNT: 694
</t>
  </si>
  <si>
    <t>Error 4009</t>
  </si>
  <si>
    <t>Clean Icore, Plunger and clean filter
Restart module
Performed calibration of module 2 due to error Error 4009</t>
  </si>
  <si>
    <t>Perfomed calibration of Module 2 Serial number 862343</t>
  </si>
  <si>
    <t>All modules are operational except module 2</t>
  </si>
  <si>
    <t>https://www.jotform.com/uploads/macarewecare/222927978372067/5582847494214569122/5582847494214569122_signature_28.png</t>
  </si>
  <si>
    <t>Brenda  Gonzaga Paredes</t>
  </si>
  <si>
    <t>https://www.jotform.com/uploads/macarewecare/222927978372067/5582847494214569122/5582847494214569122_signature_31.png</t>
  </si>
  <si>
    <t>KALIBO AKLAN</t>
  </si>
  <si>
    <t>MICROBIOLOGY LABORATORY</t>
  </si>
  <si>
    <t xml:space="preserve">ASSAY: Xpert MTB/RIF, COUNT: 361
ASSAY: Xpert MTB/RIF Ultra, COUNT: 3186
ASSAY: Xpert HIV-1 Viral Load, COUNT: 81
</t>
  </si>
  <si>
    <t>FOR GATEWAY BOARD REPLACEMENT</t>
  </si>
  <si>
    <t>MODULE D1 FOR OBSERVATION AFTER GATEWAY BOARD REPLACEMENT</t>
  </si>
  <si>
    <t>https://www.jotform.com/uploads/macarewecare/222927978372067/5582845907332797135/5582845907332797135_signature_28.png</t>
  </si>
  <si>
    <t>https://www.jotform.com/uploads/macarewecare/222927978372067/5582845907332797135/5582845907332797135_signature_31.png</t>
  </si>
  <si>
    <t xml:space="preserve">ASSAY: Xpert SARS-CoV-2, COUNT: 5411
ASSAY: Xpert HIV-1 Viral Load, COUNT: 2
</t>
  </si>
  <si>
    <t>Perform Genexpert machine Preventive maintenance
Replace module 2 SN:636313 with new module SN: 867625</t>
  </si>
  <si>
    <t>Genexpert module 6 colors</t>
  </si>
  <si>
    <t>https://www.jotform.com/uploads/macarewecare/222927978372067/5582215182323066038/5582215182323066038_signature_28.png</t>
  </si>
  <si>
    <t>Velche B. Tindoc</t>
  </si>
  <si>
    <t>https://www.jotform.com/uploads/macarewecare/222927978372067/5582215182323066038/5582215182323066038_signature_31.png</t>
  </si>
  <si>
    <t>https://www.jotform.com/uploads/macarewecare/222927978372067/5582215152329441032/5582215152329441032_signature_28.png</t>
  </si>
  <si>
    <t>https://www.jotform.com/uploads/macarewecare/222927978372067/5582215152329441032/5582215152329441032_signature_31.png</t>
  </si>
  <si>
    <t>Perform Genexpert machine Preventive maintenance
Replace module 4 SN:640800 with new module SN: 805746</t>
  </si>
  <si>
    <t>https://www.jotform.com/uploads/macarewecare/222927978372067/5582214362321008512/5582214362321008512_signature_28.png</t>
  </si>
  <si>
    <t>https://www.jotform.com/uploads/macarewecare/222927978372067/5582214362321008512/5582214362321008512_signature_31.png</t>
  </si>
  <si>
    <t>https://www.jotform.com/uploads/macarewecare/222927978372067/5582214272324348200/5582214272324348200_signature_28.png</t>
  </si>
  <si>
    <t>https://www.jotform.com/uploads/macarewecare/222927978372067/5582214272324348200/5582214272324348200_signature_31.png</t>
  </si>
  <si>
    <t>https://www.jotform.com/uploads/macarewecare/222927978372067/5582214242326509063/5582214242326509063_signature_28.png</t>
  </si>
  <si>
    <t>https://www.jotform.com/uploads/macarewecare/222927978372067/5582214242326509063/5582214242326509063_signature_31.png</t>
  </si>
  <si>
    <t xml:space="preserve">ASSAY: Xpert MTB/RIF, COUNT: 136
ASSAY: Xpert MTB/RIF Ultra, COUNT: 778
</t>
  </si>
  <si>
    <t>Cannot perform Test</t>
  </si>
  <si>
    <t>Troubleshoot the Ethernet cable
Configure the IP Address</t>
  </si>
  <si>
    <t>Performed Maintenance
Gathered Reports
Installed Printer Drivers
Performed Functionality Test</t>
  </si>
  <si>
    <t>https://www.jotform.com/uploads/macarewecare/222927978372067/5582208022991745611/5582208022991745611_signature_28.png</t>
  </si>
  <si>
    <t>https://www.jotform.com/uploads/macarewecare/222927978372067/5582208022991745611/5582208022991745611_signature_31.png</t>
  </si>
  <si>
    <t>Genexpert Iv</t>
  </si>
  <si>
    <t>Performed Xpertcheck on B4 module</t>
  </si>
  <si>
    <t>Installed Genexpert 
Installed the Computer
Performed Maintenance
Gathered Reports
Performed Calibration
Performed Functionality Test</t>
  </si>
  <si>
    <t>Xpertchech Result - B1, B2, B3 = Passed, B4 = Service Required</t>
  </si>
  <si>
    <t>https://www.jotform.com/uploads/macarewecare/222927978372067/5582208022995837188/5582208022995837188_signature_28.png</t>
  </si>
  <si>
    <t>Emma Gutierrez</t>
  </si>
  <si>
    <t>https://www.jotform.com/uploads/macarewecare/222927978372067/5582208022995837188/5582208022995837188_signature_31.png</t>
  </si>
  <si>
    <t>Markina City Health Office</t>
  </si>
  <si>
    <t xml:space="preserve">ASSAY: Xpert MTB/RIF, COUNT: 286
ASSAY: Xpert MTB/RIF Ultra, COUNT: 1165
ASSAY: Xpert HIV-1 Viral Load, COUNT: 109
</t>
  </si>
  <si>
    <t>Performed maintenance: Cleaned plunger rod, icore lens, cartridge bays.
Generated reports.</t>
  </si>
  <si>
    <t>https://www.jotform.com/uploads/macarewecare/222927978372067/5582165664612348404/5582165664612348404_signature_28.png</t>
  </si>
  <si>
    <t>https://www.jotform.com/uploads/macarewecare/222927978372067/5582165664612348404/5582165664612348404_signature_31.png</t>
  </si>
  <si>
    <t xml:space="preserve">ASSAY: Xpert MTB/RIF, COUNT: 417
ASSAY: Xpert MTB/RIF Ultra, COUNT: 1934
ASSAY: Xpert SARS-CoV-2, COUNT: 4644
ASSAY: Xpert HIV-1 Viral Load, COUNT: 2
</t>
  </si>
  <si>
    <t>https://www.jotform.com/uploads/macarewecare/222927978372067/5582141433757483180/5582141433757483180_signature_28.png</t>
  </si>
  <si>
    <t>https://www.jotform.com/uploads/macarewecare/222927978372067/5582141433757483180/5582141433757483180_signature_31.png</t>
  </si>
  <si>
    <t>KM 5. Baan, Butuan City</t>
  </si>
  <si>
    <t xml:space="preserve">ASSAY: Xpert MTB/RIF Ultra, COUNT: 1027
ASSAY: Xpert SARS-CoV-2, COUNT: 1208
ASSAY: Xpert HIV-1 Viral Load, COUNT: 72
</t>
  </si>
  <si>
    <t>Module B3 found service required from XPC</t>
  </si>
  <si>
    <t>XPC calibration and Preventive Maintenance</t>
  </si>
  <si>
    <t>3 modules working, 1 modules service required (intermittent errors, use when needed)</t>
  </si>
  <si>
    <t>https://www.jotform.com/uploads/macarewecare/222927978372067/5582002054262187967/5582002054262187967_signature_28.png</t>
  </si>
  <si>
    <t>https://www.jotform.com/uploads/macarewecare/222927978372067/5582002054262187967/5582002054262187967_signature_31.png</t>
  </si>
  <si>
    <t>Rizal Ave. Sta Cruz Manilla</t>
  </si>
  <si>
    <t xml:space="preserve">ASSAY: Xpert HPV, COUNT: 1069
ASSAY: Xpert SARS-CoV-2, COUNT: 4152
</t>
  </si>
  <si>
    <t>Unit for PM.
For module replacement of module C3</t>
  </si>
  <si>
    <t>Performed PM
Performed module replacement
Generated reports</t>
  </si>
  <si>
    <t>Work with Shed Daroya</t>
  </si>
  <si>
    <t>Gx modue C3(210007212) in replacement to defective module C3(210069240)</t>
  </si>
  <si>
    <t>DR 9923</t>
  </si>
  <si>
    <t>https://www.jotform.com/uploads/macarewecare/222927978372067/5581989432867981478/5581989432867981478_signature_28.png</t>
  </si>
  <si>
    <t>NELSON MARK SALVADOR</t>
  </si>
  <si>
    <t>https://www.jotform.com/uploads/macarewecare/222927978372067/5581989432867981478/5581989432867981478_signature_31.png</t>
  </si>
  <si>
    <t>Carcar Cityhealth Office</t>
  </si>
  <si>
    <t>chaska.lp14@gmail.co</t>
  </si>
  <si>
    <t xml:space="preserve">ASSAY: Xpert MTB/RIF, COUNT: 492
</t>
  </si>
  <si>
    <t>Error 1001</t>
  </si>
  <si>
    <t>Conduct and performed calibration</t>
  </si>
  <si>
    <t>Conduct Calibration of Module 2 Serial 802769
Clean Filter, Icore and plunger
Get data gxx files, IQR, Sys log and Assag Statistics</t>
  </si>
  <si>
    <t>Module 2 Serial Number 838283 failed during caibration.
The other modules are operational</t>
  </si>
  <si>
    <t>https://www.jotform.com/uploads/macarewecare/222927978372067/5581985172779568761/5581985172779568761_signature_28.png</t>
  </si>
  <si>
    <t>https://www.jotform.com/uploads/macarewecare/222927978372067/5581985172779568761/5581985172779568761_signature_31.png</t>
  </si>
  <si>
    <t>E. RODRIGUEZ HEALTH CENTER</t>
  </si>
  <si>
    <t xml:space="preserve">ASSAY: Xpert MTB/RIF Ultra, COUNT: 998
ASSAY: Xpert HPV, COUNT: 211
</t>
  </si>
  <si>
    <t>Module 1, 2, 3 Faulty</t>
  </si>
  <si>
    <t>Replaced module 757727 with 632957</t>
  </si>
  <si>
    <t>Performed preventive maintenance
Generate Reports
Replaced module 3
Cleaning cartridge bays, icores, pluungers and filters
Performed functionality test</t>
  </si>
  <si>
    <t>Unit is operational with 2 out of 4 modules</t>
  </si>
  <si>
    <t>Genexpert moduke 6C 632957</t>
  </si>
  <si>
    <t>DR# 9922</t>
  </si>
  <si>
    <t>https://www.jotform.com/uploads/macarewecare/222927978372067/5581960300414394718/5581960300414394718_signature_28.png</t>
  </si>
  <si>
    <t>Mary claire baptista</t>
  </si>
  <si>
    <t>https://www.jotform.com/uploads/macarewecare/222927978372067/5581960300414394718/5581960300414394718_signature_31.png</t>
  </si>
  <si>
    <t>M.Santos,Antipolo city</t>
  </si>
  <si>
    <t xml:space="preserve">ASSAY: Xpert MTB/RIF Ultra, COUNT: 8642
ASSAY: Xpert HIV-1 Viral Load, COUNT: 638
</t>
  </si>
  <si>
    <t>For module replacement and maintenance B4 886430 - 881319</t>
  </si>
  <si>
    <t>G5452</t>
  </si>
  <si>
    <t>https://www.jotform.com/uploads/macarewecare/222927978372067/5581482743471001312/5581482743471001312_signature_28.png</t>
  </si>
  <si>
    <t>https://www.jotform.com/uploads/macarewecare/222927978372067/5581482743471001312/5581482743471001312_signature_31.png</t>
  </si>
  <si>
    <t>Kadalagahan st,taytay rizal</t>
  </si>
  <si>
    <t>For module replacement b2 639463 - 893033</t>
  </si>
  <si>
    <t>G5453</t>
  </si>
  <si>
    <t>https://www.jotform.com/uploads/macarewecare/222927978372067/5581482743476969318/5581482743476969318_signature_28.png</t>
  </si>
  <si>
    <t>Dino Delos Santos</t>
  </si>
  <si>
    <t>https://www.jotform.com/uploads/macarewecare/222927978372067/5581482743476969318/5581482743476969318_signature_31.png</t>
  </si>
  <si>
    <t>Poblacion District, Coron, Palawan</t>
  </si>
  <si>
    <t>mecaarmateo04@gmail.com</t>
  </si>
  <si>
    <t>Replace the defective Module B4 SN:662451 with new module SN:656889
Clean Surface Area, Cartridge Bay, Plunger Rod, Fan Filters and Icore Lenses
Generate IQR, Assay Stat and System Log
Archived Data test results</t>
  </si>
  <si>
    <t>https://www.jotform.com/uploads/macarewecare/222927978372067/5581332237223448912/5581332237223448912_signature_28.png</t>
  </si>
  <si>
    <t>Marie Eloise Armateo</t>
  </si>
  <si>
    <t>https://www.jotform.com/uploads/macarewecare/222927978372067/5581332237223448912/5581332237223448912_signature_31.png</t>
  </si>
  <si>
    <t>Unit for Xpertcheck.</t>
  </si>
  <si>
    <t>Unit is operational.
B1: failed
B2: passed
B3: passed
B4: failed</t>
  </si>
  <si>
    <t>https://www.jotform.com/uploads/macarewecare/222927978372067/5581241560412470784/5581241560412470784_signature_28.png</t>
  </si>
  <si>
    <t>https://www.jotform.com/uploads/macarewecare/222927978372067/5581241560412470784/5581241560412470784_signature_31.png</t>
  </si>
  <si>
    <t xml:space="preserve">ASSAY: Xpert HPV, COUNT: 702
ASSAY: Xpert MTB/RIF, COUNT: 555
ASSAY: Xpert MTB/RIF Ultra, COUNT: 978
ASSAY: Others, COUNT: 623
ASSAY: Xpert SARS-CoV-2, COUNT: 322
</t>
  </si>
  <si>
    <t>Module B4 (210002727) for replacement</t>
  </si>
  <si>
    <t>GeneXpert Module 
SN: 210002902</t>
  </si>
  <si>
    <t>https://www.jotform.com/uploads/macarewecare/222927978372067/5581241560414710245/5581241560414710245_signature_28.png</t>
  </si>
  <si>
    <t>Jennylen Torres</t>
  </si>
  <si>
    <t>https://www.jotform.com/uploads/macarewecare/222927978372067/5581241560414710245/5581241560414710245_signature_31.png</t>
  </si>
  <si>
    <t xml:space="preserve">ASSAY: Xpert MTB/RIF, COUNT: 168
ASSAY: Xpert MTB/RIF Ultra, COUNT: 1462
</t>
  </si>
  <si>
    <t>Modules A1 (647587), A2 (682801), A4 (784357) for replacement</t>
  </si>
  <si>
    <t>GeneXpert Module 
SN: 678987, 690638, 693507</t>
  </si>
  <si>
    <t>https://www.jotform.com/uploads/macarewecare/222927978372067/5581241560414266613/5581241560414266613_signature_28.png</t>
  </si>
  <si>
    <t>https://www.jotform.com/uploads/macarewecare/222927978372067/5581241560414266613/5581241560414266613_signature_31.png</t>
  </si>
  <si>
    <t>isphgsstc@gmail.com</t>
  </si>
  <si>
    <t xml:space="preserve">ASSAY: Xpert MTB/RIF, COUNT: 132
ASSAY: Xpert MTB/RIF Ultra, COUNT: 978
</t>
  </si>
  <si>
    <t>Module D4 (793228) for replacement</t>
  </si>
  <si>
    <t>Unit is operational.
D1: passed
D2: passed
D3: passed</t>
  </si>
  <si>
    <t>GeneXpert Module
SN: 865209</t>
  </si>
  <si>
    <t>https://www.jotform.com/uploads/macarewecare/222927978372067/5581241560416024168/5581241560416024168_signature_28.png</t>
  </si>
  <si>
    <t>Rachelle Ramos</t>
  </si>
  <si>
    <t>https://www.jotform.com/uploads/macarewecare/222927978372067/5581241560416024168/5581241560416024168_signature_31.png</t>
  </si>
  <si>
    <t xml:space="preserve">ASSAY: Xpert HBV VL, COUNT: 21
ASSAY: Xpert HPV, COUNT: 303
ASSAY: Xpert MTB/RIF Ultra, COUNT: 993
ASSAY: Xpert SARS-CoV-2, COUNT: 171
ASSAY: Xpert HIV-1 Viral Load, COUNT: 174
</t>
  </si>
  <si>
    <t>Module B4 (611737) for replacement</t>
  </si>
  <si>
    <t>GeneXpert Module
SN: 677556</t>
  </si>
  <si>
    <t>https://www.jotform.com/uploads/macarewecare/222927978372067/5581241560419667702/5581241560419667702_signature_28.png</t>
  </si>
  <si>
    <t>https://www.jotform.com/uploads/macarewecare/222927978372067/5581241560419667702/5581241560419667702_signature_31.png</t>
  </si>
  <si>
    <t>Puerto Prinsesa</t>
  </si>
  <si>
    <t>Jblim.pbsp@gmail.com</t>
  </si>
  <si>
    <t xml:space="preserve">ASSAY: Xpert MTB/RIF, COUNT: 26
ASSAY: Xpert MTB/RIF Ultra, COUNT: 370
ASSAY: Xpert SARS-CoV-2, COUNT: 126
ASSAY: Xpert HIV-1 Viral Load, COUNT: 162
</t>
  </si>
  <si>
    <t>Gx DX software wont open due to an error with the SQL server service manager that has stopped</t>
  </si>
  <si>
    <t>Back up corrupted files on the MSSQL folder then replaced with the same file (.mdf and .ldf) from the "Template Data" folder and Restart SQL server
Reinstall GxDX v4.8 32bit software on the laptop</t>
  </si>
  <si>
    <t>Troubleshoot
Generate reporting files
Database back up</t>
  </si>
  <si>
    <t>https://www.jotform.com/uploads/macarewecare/222927978372067/5581165059118095441/5581165059118095441_signature_28.png</t>
  </si>
  <si>
    <t>Jill Diala Lim</t>
  </si>
  <si>
    <t>https://www.jotform.com/uploads/macarewecare/222927978372067/5581165059118095441/5581165059118095441_signature_31.png</t>
  </si>
  <si>
    <t>Osmeña st. Mangatarem Pangasinan</t>
  </si>
  <si>
    <t>rhumangatarem.lab@gmail.com</t>
  </si>
  <si>
    <t xml:space="preserve">ASSAY: Xpert MTB/RIF, COUNT: 132
ASSAY: Xpert MTB/RIF Ultra, COUNT: 530
</t>
  </si>
  <si>
    <t>https://www.jotform.com/uploads/macarewecare/222927978372067/5581104179658278715/5581104179658278715_signature_28.png</t>
  </si>
  <si>
    <t>Keziah T. Fabros</t>
  </si>
  <si>
    <t>https://www.jotform.com/uploads/macarewecare/222927978372067/5581104179658278715/5581104179658278715_signature_31.png</t>
  </si>
  <si>
    <t>https://www.jotform.com/uploads/macarewecare/222927978372067/5581064039315859362/5581064039315859362_signature_28.png</t>
  </si>
  <si>
    <t>https://www.jotform.com/uploads/macarewecare/222927978372067/5581064039315859362/5581064039315859362_signature_31.png</t>
  </si>
  <si>
    <t>Gumaca</t>
  </si>
  <si>
    <t>gdhpathology@yahoo.com</t>
  </si>
  <si>
    <t>Performed maintenance 
Cleaned cartridge bay, icore, plunger rod, filter.</t>
  </si>
  <si>
    <t>https://www.jotform.com/uploads/macarewecare/222927978372067/5581063520414981650/5581063520414981650_signature_28.png</t>
  </si>
  <si>
    <t>Josephine Nada</t>
  </si>
  <si>
    <t>https://www.jotform.com/uploads/macarewecare/222927978372067/5581063520414981650/5581063520414981650_signature_31.png</t>
  </si>
  <si>
    <t>Rakk Prophet Medical Center</t>
  </si>
  <si>
    <t>CPU unable to power on.</t>
  </si>
  <si>
    <t>Checked CPU connections</t>
  </si>
  <si>
    <t>Checked CPU internal connections 
Connect the GeneXpert unit to network switch</t>
  </si>
  <si>
    <t>Unit is operational. Currently connected to network switch. CPU not operational.</t>
  </si>
  <si>
    <t>https://www.jotform.com/uploads/macarewecare/222927978372067/5581063520412682122/5581063520412682122_signature_28.png</t>
  </si>
  <si>
    <t>https://www.jotform.com/uploads/macarewecare/222927978372067/5581063520412682122/5581063520412682122_signature_31.png</t>
  </si>
  <si>
    <t>Rakk Prophet Medical Center Inc.</t>
  </si>
  <si>
    <t xml:space="preserve">ASSAY: Xpert MTB/RIF, COUNT: 8
ASSAY: Xpert MTB/RIF Ultra, COUNT: 179
ASSAY: Xpert SARS-CoV-2, COUNT: 161
</t>
  </si>
  <si>
    <t>Performed maintenance 
Run XpertCheck
Generated reports</t>
  </si>
  <si>
    <t>Unit is operational. Module B1/784829 service required</t>
  </si>
  <si>
    <t>https://www.jotform.com/uploads/macarewecare/222927978372067/5581063520412739248/5581063520412739248_signature_28.png</t>
  </si>
  <si>
    <t>https://www.jotform.com/uploads/macarewecare/222927978372067/5581063520412739248/5581063520412739248_signature_31.png</t>
  </si>
  <si>
    <t>Candelaria Municipal hall Compound</t>
  </si>
  <si>
    <t>https://www.jotform.com/uploads/macarewecare/222927978372067/5581063370411752422/5581063370411752422_signature_28.png</t>
  </si>
  <si>
    <t>https://www.jotform.com/uploads/macarewecare/222927978372067/5581063370411752422/5581063370411752422_signature_31.png</t>
  </si>
  <si>
    <t xml:space="preserve">ASSAY: Xpert MTB/RIF, COUNT: 135
ASSAY: Xpert MTB/RIF Ultra, COUNT: 1139
</t>
  </si>
  <si>
    <t>Module B2/807309 service required</t>
  </si>
  <si>
    <t>DR# 9882</t>
  </si>
  <si>
    <t>https://www.jotform.com/uploads/macarewecare/222927978372067/5581063370413437095/5581063370413437095_signature_28.png</t>
  </si>
  <si>
    <t>https://www.jotform.com/uploads/macarewecare/222927978372067/5581063370413437095/5581063370413437095_signature_31.png</t>
  </si>
  <si>
    <t>Lopez</t>
  </si>
  <si>
    <t>sgdegala@gmail.com</t>
  </si>
  <si>
    <t>Module C3 and C4 for module replacement.</t>
  </si>
  <si>
    <t>Old: C3/666758, C4/690591
New: C3/688921, C4/862408</t>
  </si>
  <si>
    <t>DR# 9884</t>
  </si>
  <si>
    <t>https://www.jotform.com/uploads/macarewecare/222927978372067/5581063370415456759/5581063370415456759_signature_28.png</t>
  </si>
  <si>
    <t>Shekinah Glare Degala</t>
  </si>
  <si>
    <t>https://www.jotform.com/uploads/macarewecare/222927978372067/5581063370415456759/5581063370415456759_signature_31.png</t>
  </si>
  <si>
    <t xml:space="preserve">ASSAY: Xpert MTB/RIF, COUNT: 100
ASSAY: Xpert MTB/RIF Ultra, COUNT: 793
</t>
  </si>
  <si>
    <t>DR# 9880</t>
  </si>
  <si>
    <t>https://www.jotform.com/uploads/macarewecare/222927978372067/5581063370417779360/5581063370417779360_signature_28.png</t>
  </si>
  <si>
    <t>https://www.jotform.com/uploads/macarewecare/222927978372067/5581063370417779360/5581063370417779360_signature_31.png</t>
  </si>
  <si>
    <t xml:space="preserve">ASSAY: Xpert MTB/RIF, COUNT: 12
ASSAY: Xpert MTB/RIF Ultra, COUNT: 193
ASSAY: Xpert SARS-CoV-2, COUNT: 601
</t>
  </si>
  <si>
    <t>Unit is operational. Module B3 service required.</t>
  </si>
  <si>
    <t>https://www.jotform.com/uploads/macarewecare/222927978372067/5581063370418735867/5581063370418735867_signature_28.png</t>
  </si>
  <si>
    <t>https://www.jotform.com/uploads/macarewecare/222927978372067/5581063370418735867/5581063370418735867_signature_31.png</t>
  </si>
  <si>
    <t>National Kidney Transplant Institute</t>
  </si>
  <si>
    <t xml:space="preserve">ASSAY: Xpert BCR-ABL Ultra, COUNT: 346
ASSAY: Others, COUNT: 7
ASSAY: Xpert HBV VL, COUNT: 162
ASSAY: Others, COUNT: 111
ASSAY: Xpert MTB/RIF, COUNT: 1252
ASSAY: Xpert MTB/RIF Ultra, COUNT: 105
ASSAY: Xpert SARS-CoV-2, COUNT: 19272
ASSAY: Xpert HCV VL, COUNT: 19
ASSAY: Others, COUNT: 9
</t>
  </si>
  <si>
    <t>Modules A2(210028754), D1(210028990), D4(210028994) for replacement</t>
  </si>
  <si>
    <t>GeneXpert Module
SN: 633806, 674723, 677552</t>
  </si>
  <si>
    <t>9907, 9906</t>
  </si>
  <si>
    <t>https://www.jotform.com/uploads/macarewecare/222927978372067/5581044880415409550/5581044880415409550_signature_28.png</t>
  </si>
  <si>
    <t>Odessa Barreto</t>
  </si>
  <si>
    <t>https://www.jotform.com/uploads/macarewecare/222927978372067/5581044880415409550/5581044880415409550_signature_31.png</t>
  </si>
  <si>
    <t>Alabat District Hospital</t>
  </si>
  <si>
    <t>National Rd., Alabat</t>
  </si>
  <si>
    <t xml:space="preserve">ASSAY: Xpert MTB/RIF Ultra, COUNT: 583
</t>
  </si>
  <si>
    <t>C2: 754442 -&gt; 716709</t>
  </si>
  <si>
    <t>https://www.jotform.com/uploads/macarewecare/222927978372067/5581023040411417475/5581023040411417475_signature_28.png</t>
  </si>
  <si>
    <t>https://www.jotform.com/uploads/macarewecare/222927978372067/5581023040411417475/5581023040411417475_signature_31.png</t>
  </si>
  <si>
    <t>Brgy. Poblacion, San Francisco</t>
  </si>
  <si>
    <t>2 Modulea Failed in XpertCheck</t>
  </si>
  <si>
    <t>Replaced Modules 1 and 4
Performed Maintenance
Generate Reports</t>
  </si>
  <si>
    <t>757169, 757209 -&gt; 643530, 635021</t>
  </si>
  <si>
    <t>https://www.jotform.com/uploads/macarewecare/222927978372067/5581023040419524119/5581023040419524119_signature_28.png</t>
  </si>
  <si>
    <t>https://www.jotform.com/uploads/macarewecare/222927978372067/5581023040419524119/5581023040419524119_signature_31.png</t>
  </si>
  <si>
    <t>Lucena</t>
  </si>
  <si>
    <t>joannpalermo13@yahoo.com</t>
  </si>
  <si>
    <t xml:space="preserve">ASSAY: Xpert HPV, COUNT: 438
ASSAY: Xpert MTB/RIF Ultra, COUNT: 2485
ASSAY: Xpert HIV-1 Viral Load, COUNT: 109
</t>
  </si>
  <si>
    <t>Old: D1/766357
New: D1/210003676</t>
  </si>
  <si>
    <t>https://www.jotform.com/uploads/macarewecare/222927978372067/5581021170414272388/5581021170414272388_signature_28.png</t>
  </si>
  <si>
    <t>https://www.jotform.com/uploads/macarewecare/222927978372067/5581021170414272388/5581021170414272388_signature_31.png</t>
  </si>
  <si>
    <t>Brgy., Poblacion, Tagkawayan</t>
  </si>
  <si>
    <t>REPAIR
MAINTENANCE
ReXpertCheck</t>
  </si>
  <si>
    <t>Module 4 Has Temperature Errors
Modules 2 and 3 with Temperature Errors</t>
  </si>
  <si>
    <t>Replaced Module 4
Performed Maintenance
XpertCheck Modules 2 and 3
Generate Reports</t>
  </si>
  <si>
    <t>XpertCheck: B2-Passed, B3-Failed</t>
  </si>
  <si>
    <t>https://www.jotform.com/uploads/macarewecare/222927978372067/5581021170415523839/5581021170415523839_signature_28.png</t>
  </si>
  <si>
    <t>Rodelo v. Teopy</t>
  </si>
  <si>
    <t>https://www.jotform.com/uploads/macarewecare/222927978372067/5581021170415523839/5581021170415523839_signature_31.png</t>
  </si>
  <si>
    <t>Quezon Ave., Lucena</t>
  </si>
  <si>
    <t xml:space="preserve">ASSAY: Xpert MTB/RIF Ultra, COUNT: 2394
ASSAY: Xpert HPV, COUNT: 403
ASSAY: Xpert HIV-1 Viral Load, COUNT: 81
</t>
  </si>
  <si>
    <t>Module 1 has Temperature Error</t>
  </si>
  <si>
    <t>Performed Maintenamce
Replaced Module 1
Generate Reports</t>
  </si>
  <si>
    <t>638879-&gt;621976</t>
  </si>
  <si>
    <t>https://www.jotform.com/uploads/macarewecare/222927978372067/5581021170415532589/5581021170415532589_signature_28.png</t>
  </si>
  <si>
    <t>JO-ANN YAMBALLA</t>
  </si>
  <si>
    <t>https://www.jotform.com/uploads/macarewecare/222927978372067/5581021170415532589/5581021170415532589_signature_31.png</t>
  </si>
  <si>
    <t>Gomez St., Sariaya</t>
  </si>
  <si>
    <t>rhu_sariaya@yahoo.com</t>
  </si>
  <si>
    <t xml:space="preserve">ASSAY: Xpert MTB/RIF Ultra, COUNT: 1894
</t>
  </si>
  <si>
    <t>Replaced Module 4
Performed Maintenance
Generate Reports</t>
  </si>
  <si>
    <t>A4: 733097 -&gt; 757623</t>
  </si>
  <si>
    <t>https://www.jotform.com/uploads/macarewecare/222927978372067/5581021170417759165/5581021170417759165_signature_28.png</t>
  </si>
  <si>
    <t>Nerissa asamli</t>
  </si>
  <si>
    <t>https://www.jotform.com/uploads/macarewecare/222927978372067/5581021170417759165/5581021170417759165_signature_31.png</t>
  </si>
  <si>
    <t>San Jose Street, San Narciso</t>
  </si>
  <si>
    <t>All Modules are Operational. Keyboard is Not Fully Functional</t>
  </si>
  <si>
    <t>B3:806998 -&gt; 655327</t>
  </si>
  <si>
    <t>https://www.jotform.com/uploads/macarewecare/222927978372067/5581021170418399870/5581021170418399870_signature_28.png</t>
  </si>
  <si>
    <t>MA. MORENA V. DIMACULANGAN</t>
  </si>
  <si>
    <t>https://www.jotform.com/uploads/macarewecare/222927978372067/5581021170418399870/5581021170418399870_signature_31.png</t>
  </si>
  <si>
    <t>Poblacion Uno., Victoria</t>
  </si>
  <si>
    <t>lractrebor24@gmail.com</t>
  </si>
  <si>
    <t xml:space="preserve">ASSAY: Xpert MTB/RIF, COUNT: 105
ASSAY: Xpert MTB/RIF Ultra, COUNT: 675
</t>
  </si>
  <si>
    <t>GXIV- 2 placer</t>
  </si>
  <si>
    <t>Performed PM.
Performed module replacement on B2.
Generated reports.</t>
  </si>
  <si>
    <t>Gx module B2 (657364) im replacement to defective B2 (788665).</t>
  </si>
  <si>
    <t>https://www.jotform.com/uploads/macarewecare/222927978372067/5579442735426555533/5579442735426555533_signature_28.png</t>
  </si>
  <si>
    <t>CARL ROBERT RACELIS</t>
  </si>
  <si>
    <t>https://www.jotform.com/uploads/macarewecare/222927978372067/5579442735426555533/5579442735426555533_signature_31.png</t>
  </si>
  <si>
    <t>Brgy. Aplaya, Lapu Lapu St., Bongabong</t>
  </si>
  <si>
    <t xml:space="preserve">ASSAY: Xpert MTB/RIF, COUNT: 21
ASSAY: Xpert MTB/RIF Ultra, COUNT: 282
</t>
  </si>
  <si>
    <t>PM and module replacement,</t>
  </si>
  <si>
    <t>Gx module A1 (697878) and A4 (745368) in replacement to defective A1 (786829) and A4 (786837).</t>
  </si>
  <si>
    <t>https://www.jotform.com/uploads/macarewecare/222927978372067/5579442735428936565/5579442735428936565_signature_28.png</t>
  </si>
  <si>
    <t>https://www.jotform.com/uploads/macarewecare/222927978372067/5579442735428936565/5579442735428936565_signature_31.png</t>
  </si>
  <si>
    <t>Poblacion, Bulalacao</t>
  </si>
  <si>
    <t>For module replacement of module B2.
Unit for PM.</t>
  </si>
  <si>
    <t>Performed module replacement on B2.
Generated reports.</t>
  </si>
  <si>
    <t>Gx module B2 (753679) im replacement to defective B2 (788911).</t>
  </si>
  <si>
    <t>https://www.jotform.com/uploads/macarewecare/222927978372067/5579442735429736382/5579442735429736382_signature_28.png</t>
  </si>
  <si>
    <t>Marilyn C.Contreras</t>
  </si>
  <si>
    <t>https://www.jotform.com/uploads/macarewecare/222927978372067/5579442735429736382/5579442735429736382_signature_31.png</t>
  </si>
  <si>
    <t xml:space="preserve">ASSAY: Xpert MTB/RIF, COUNT: 124
ASSAY: Xpert MTB/RIF Ultra, COUNT: 959
ASSAY: Xpert HIV-1 Viral Load, COUNT: 16
</t>
  </si>
  <si>
    <t>B1:789715 for replacement</t>
  </si>
  <si>
    <t>Performed surface cleaning
Performed preventive maintenance 
Performed module replacement
Gathered reports
Performed functionality test</t>
  </si>
  <si>
    <t>Unit is operational except B2</t>
  </si>
  <si>
    <t>https://www.jotform.com/uploads/macarewecare/222927978372067/5577899499412502946/5577899499412502946_signature_28.png</t>
  </si>
  <si>
    <t>Kristina Cassandra Santos</t>
  </si>
  <si>
    <t>https://www.jotform.com/uploads/macarewecare/222927978372067/5577899499412502946/5577899499412502946_signature_31.png</t>
  </si>
  <si>
    <t>Senator Ninoy Aquino Rural Health Unit</t>
  </si>
  <si>
    <t>Kulaman, Senator Ninoy Aquino</t>
  </si>
  <si>
    <t>benjieramos1975@gmail.com.com</t>
  </si>
  <si>
    <t xml:space="preserve">ASSAY: Xpert MTB/RIF, COUNT: 97
ASSAY: Xpert MTB/RIF Ultra, COUNT: 371
</t>
  </si>
  <si>
    <t>Perform Genexpert machine Preventive maintenance 
Replace module 4 SN:806700 with new module SN: 632395</t>
  </si>
  <si>
    <t>Genexpert module 6 color SN: 632395</t>
  </si>
  <si>
    <t>https://www.jotform.com/uploads/macarewecare/222927978372067/5577876349324556514/5577876349324556514_signature_28.png</t>
  </si>
  <si>
    <t>Biengie Ramos</t>
  </si>
  <si>
    <t>https://www.jotform.com/uploads/macarewecare/222927978372067/5577876349324556514/5577876349324556514_signature_31.png</t>
  </si>
  <si>
    <t>Due date for xpertcheck</t>
  </si>
  <si>
    <t>Xpertcheck all modules</t>
  </si>
  <si>
    <t>Module 2 service require, 1,3,4passed</t>
  </si>
  <si>
    <t>https://www.jotform.com/uploads/macarewecare/222927978372067/5577832221226034581/5577832221226034581_signature_28.png</t>
  </si>
  <si>
    <t>https://www.jotform.com/uploads/macarewecare/222927978372067/5577832221226034581/5577832221226034581_signature_31.png</t>
  </si>
  <si>
    <t>Banlat, Quezon City</t>
  </si>
  <si>
    <t>lorinemendiola@yahoo.com</t>
  </si>
  <si>
    <t xml:space="preserve">ASSAY: Xpert HPV, COUNT: 96
ASSAY: Xpert MTB/RIF, COUNT: 176
ASSAY: Xpert MTB/RIF Ultra, COUNT: 1383
</t>
  </si>
  <si>
    <t>Module A3 (624630) for replacement</t>
  </si>
  <si>
    <t>GeneXpert Module
SN: 664557</t>
  </si>
  <si>
    <t>G 5469</t>
  </si>
  <si>
    <t>https://www.jotform.com/uploads/macarewecare/222927978372067/5577828396927646880/5577828396927646880_signature_28.png</t>
  </si>
  <si>
    <t>Lorine Mendiola</t>
  </si>
  <si>
    <t>https://www.jotform.com/uploads/macarewecare/222927978372067/5577828396927646880/5577828396927646880_signature_31.png</t>
  </si>
  <si>
    <t xml:space="preserve">ASSAY: Xpert HPV, COUNT: 203
ASSAY: Xpert MTB/RIF, COUNT: 891
ASSAY: Xpert MTB/RIF Ultra, COUNT: 1403
</t>
  </si>
  <si>
    <t>All four modules are operational.</t>
  </si>
  <si>
    <t>https://www.jotform.com/uploads/macarewecare/222927978372067/5577795227511667329/5577795227511667329_signature_28.png</t>
  </si>
  <si>
    <t>https://www.jotform.com/uploads/macarewecare/222927978372067/5577795227511667329/5577795227511667329_signature_31.png</t>
  </si>
  <si>
    <t>vsmmcdeptpatho.microbioloy@gmail.com</t>
  </si>
  <si>
    <t xml:space="preserve">ASSAY: Xpert HPV, COUNT: 195
ASSAY: Xpert MTB/RIF, COUNT: 1015
ASSAY: Xpert MTB/RIF Ultra, COUNT: 1334
</t>
  </si>
  <si>
    <t>All four modules are functional (w/ service module A3)</t>
  </si>
  <si>
    <t>Original module A3 for XPC verification</t>
  </si>
  <si>
    <t>https://www.jotform.com/uploads/macarewecare/222927978372067/5577795227514247272/5577795227514247272_signature_28.png</t>
  </si>
  <si>
    <t>https://www.jotform.com/uploads/macarewecare/222927978372067/5577795227514247272/5577795227514247272_signature_31.png</t>
  </si>
  <si>
    <t>https://www.jotform.com/uploads/macarewecare/222927978372067/5577794827512991415/5577794827512991415_signature_28.png</t>
  </si>
  <si>
    <t>https://www.jotform.com/uploads/macarewecare/222927978372067/5577794827512991415/5577794827512991415_signature_31.png</t>
  </si>
  <si>
    <t>https://www.jotform.com/uploads/macarewecare/222927978372067/5577794827515316532/5577794827515316532_signature_28.png</t>
  </si>
  <si>
    <t>https://www.jotform.com/uploads/macarewecare/222927978372067/5577794827515316532/5577794827515316532_signature_31.png</t>
  </si>
  <si>
    <t>Daram Samar</t>
  </si>
  <si>
    <t>riobarras27@gmail.com</t>
  </si>
  <si>
    <t xml:space="preserve">ASSAY: Xpert MTB/RIF, COUNT: 164
ASSAY: Xpert MTB/RIF Ultra, COUNT: 302
</t>
  </si>
  <si>
    <t>- Module Replacement
   B1/861539 into 722433
- Performed functionality test
- Performed preventive maintenance
- Generate Reports</t>
  </si>
  <si>
    <t>Unit is Operational (Room air condition not working)</t>
  </si>
  <si>
    <t>https://www.jotform.com/uploads/macarewecare/222927978372067/5577785806379157786/5577785806379157786_signature_28.png</t>
  </si>
  <si>
    <t>Rioreta Barras</t>
  </si>
  <si>
    <t>https://www.jotform.com/uploads/macarewecare/222927978372067/5577785806379157786/5577785806379157786_signature_31.png</t>
  </si>
  <si>
    <t>Clean Surface Area, Cartridge Bay, Fan Filters, Plunger Rod, and Icore Lenses
Generate IQR, Assay Stat and System Log</t>
  </si>
  <si>
    <t>https://www.jotform.com/uploads/macarewecare/222927978372067/5577761531418337900/5577761531418337900_signature_28.png</t>
  </si>
  <si>
    <t>https://www.jotform.com/uploads/macarewecare/222927978372067/5577761531418337900/5577761531418337900_signature_31.png</t>
  </si>
  <si>
    <t>Ace Medical Center Bohol</t>
  </si>
  <si>
    <t>Mansasa, Tagbilaran Bohol</t>
  </si>
  <si>
    <t xml:space="preserve">ASSAY: Xpert MTB/RIF Ultra, COUNT: 80
</t>
  </si>
  <si>
    <t>Clean Filter, clean ICore and plunger
Get IQR, Gxx files, sys log and assay Stat</t>
  </si>
  <si>
    <t>https://www.jotform.com/uploads/macarewecare/222927978372067/5577755021304567227/5577755021304567227_signature_28.png</t>
  </si>
  <si>
    <t>https://www.jotform.com/uploads/macarewecare/222927978372067/5577755021304567227/5577755021304567227_signature_31.png</t>
  </si>
  <si>
    <t>https://www.jotform.com/uploads/macarewecare/222927978372067/5577727427028045522/5577727427028045522_signature_28.png</t>
  </si>
  <si>
    <t>https://www.jotform.com/uploads/macarewecare/222927978372067/5577727427028045522/5577727427028045522_signature_31.png</t>
  </si>
  <si>
    <t xml:space="preserve">ASSAY: Xpert MTB/RIF, COUNT: 8
ASSAY: Xpert MTB/RIF Ultra, COUNT: 1837
</t>
  </si>
  <si>
    <t>Module 2 and 3 H/w failed due to multiple temperature errors</t>
  </si>
  <si>
    <t>Perform Genexpert machine Preventive maintenance 
Report Genexpert module problems to jotform reporting</t>
  </si>
  <si>
    <t>Module Problem reported to Jotform</t>
  </si>
  <si>
    <t>https://www.jotform.com/uploads/macarewecare/222927978372067/5577654877421079278/5577654877421079278_signature_28.png</t>
  </si>
  <si>
    <t>Mary June Grace Palabrica-Villacruz</t>
  </si>
  <si>
    <t>https://www.jotform.com/uploads/macarewecare/222927978372067/5577654877421079278/5577654877421079278_signature_31.png</t>
  </si>
  <si>
    <t xml:space="preserve">ASSAY: Xpert MTB/RIF, COUNT: 473
ASSAY: Xpert MTB/RIF Ultra, COUNT: 1200
</t>
  </si>
  <si>
    <t>Module 4 H/w failed due to multiple temperature error</t>
  </si>
  <si>
    <t>Perform Genexpert machine Preventive maintenance 
Perform Xpertcheck at module 4 for troubleshooting</t>
  </si>
  <si>
    <t>Module 4 Passed for Xpertcheck</t>
  </si>
  <si>
    <t>https://www.jotform.com/uploads/macarewecare/222927978372067/5577654877422802206/5577654877422802206_signature_28.png</t>
  </si>
  <si>
    <t>https://www.jotform.com/uploads/macarewecare/222927978372067/5577654877422802206/5577654877422802206_signature_31.png</t>
  </si>
  <si>
    <t>https://www.jotform.com/uploads/macarewecare/222927978372067/5577654067423646959/5577654067423646959_signature_28.png</t>
  </si>
  <si>
    <t>https://www.jotform.com/uploads/macarewecare/222927978372067/5577654067423646959/5577654067423646959_signature_31.png</t>
  </si>
  <si>
    <t>https://www.jotform.com/uploads/macarewecare/222927978372067/5577654067427092528/5577654067427092528_signature_28.png</t>
  </si>
  <si>
    <t>https://www.jotform.com/uploads/macarewecare/222927978372067/5577654067427092528/5577654067427092528_signature_31.png</t>
  </si>
  <si>
    <t>titusianno@gmail.com</t>
  </si>
  <si>
    <t>Due for xpercheck calibration module 2 and 4</t>
  </si>
  <si>
    <t>Xpertcheck calibration for module 2&amp;4</t>
  </si>
  <si>
    <t>https://www.jotform.com/uploads/macarewecare/222927978372067/5577029350432842816/5577029350432842816_signature_28.png</t>
  </si>
  <si>
    <t>TITUS IAN VALERIO</t>
  </si>
  <si>
    <t>https://www.jotform.com/uploads/macarewecare/222927978372067/5577029350432842816/5577029350432842816_signature_31.png</t>
  </si>
  <si>
    <t>Bolingit San Carlos City, Pangasinan</t>
  </si>
  <si>
    <t xml:space="preserve">ASSAY: Xpert MTB/RIF, COUNT: 433
ASSAY: Xpert MTB/RIF Ultra, COUNT: 2676
</t>
  </si>
  <si>
    <t>Xpertcheck calibration
Preventive maintenance</t>
  </si>
  <si>
    <t>Unit is operational except</t>
  </si>
  <si>
    <t>5 xpertcheck kits</t>
  </si>
  <si>
    <t>https://www.jotform.com/uploads/macarewecare/222927978372067/5576979302214002976/5576979302214002976_signature_28.png</t>
  </si>
  <si>
    <t>https://www.jotform.com/uploads/macarewecare/222927978372067/5576979302214002976/5576979302214002976_signature_31.png</t>
  </si>
  <si>
    <t>Boni. Mandaluyong</t>
  </si>
  <si>
    <t>Perform maintenance</t>
  </si>
  <si>
    <t>With Ronnel Belizar and Gian Paolo Magnaye</t>
  </si>
  <si>
    <t>https://www.jotform.com/uploads/macarewecare/222927978372067/5576978865423875465/5576978865423875465_signature_28.png</t>
  </si>
  <si>
    <t>https://www.jotform.com/uploads/macarewecare/222927978372067/5576978865423875465/5576978865423875465_signature_31.png</t>
  </si>
  <si>
    <t>Unit for Maintenance</t>
  </si>
  <si>
    <t>With Ronnel Belizar and Yasser Salih</t>
  </si>
  <si>
    <t>https://www.jotform.com/uploads/macarewecare/222927978372067/5576978770917436781/5576978770917436781_signature_28.png</t>
  </si>
  <si>
    <t>https://www.jotform.com/uploads/macarewecare/222927978372067/5576978770917436781/5576978770917436781_signature_31.png</t>
  </si>
  <si>
    <t>9002 Research Drive, Filinvest Corporate City, Alabang Muntinlupa City, Metro Manila</t>
  </si>
  <si>
    <t>arglaboratory@gmail.com</t>
  </si>
  <si>
    <t>GX4 10-C</t>
  </si>
  <si>
    <t>Performed Unit installation</t>
  </si>
  <si>
    <t>https://www.jotform.com/uploads/macarewecare/222927978372067/5576953481617985429/5576953481617985429_signature_28.png</t>
  </si>
  <si>
    <t>Marianne Co</t>
  </si>
  <si>
    <t>https://www.jotform.com/uploads/macarewecare/222927978372067/5576953481617985429/5576953481617985429_signature_31.png</t>
  </si>
  <si>
    <t>https://www.jotform.com/uploads/macarewecare/222927978372067/5576953211618280549/5576953211618280549_signature_28.png</t>
  </si>
  <si>
    <t>https://www.jotform.com/uploads/macarewecare/222927978372067/5576953211618280549/5576953211618280549_signature_31.png</t>
  </si>
  <si>
    <t>9002 Research Drive, Filinvest Corporate City, Alabang, Muntinlupa City, Metro Manila</t>
  </si>
  <si>
    <t>Unit Installation</t>
  </si>
  <si>
    <t>Performed Unit Installation</t>
  </si>
  <si>
    <t>https://www.jotform.com/uploads/macarewecare/222927978372067/5576951761619101958/5576951761619101958_signature_28.png</t>
  </si>
  <si>
    <t>https://www.jotform.com/uploads/macarewecare/222927978372067/5576951761619101958/5576951761619101958_signature_31.png</t>
  </si>
  <si>
    <t>talaverahope@gmail.com</t>
  </si>
  <si>
    <t xml:space="preserve">ASSAY: Xpert HBV VL, COUNT: 7
ASSAY: Xpert MTB/RIF Ultra, COUNT: 246
ASSAY: Xpert HIV-1 Viral Load, COUNT: 65
</t>
  </si>
  <si>
    <t>For Monitoring</t>
  </si>
  <si>
    <t>https://www.jotform.com/uploads/macarewecare/222927978372067/5576926004211940639/5576926004211940639_signature_28.png</t>
  </si>
  <si>
    <t>Fitz Manuzon</t>
  </si>
  <si>
    <t>https://www.jotform.com/uploads/macarewecare/222927978372067/5576926004211940639/5576926004211940639_signature_31.png</t>
  </si>
  <si>
    <t>Corner E. Quirino, Camus Street, Davao City</t>
  </si>
  <si>
    <t>Clean Surface Area, Cartridge Bay, Fan Filters, Plunger Rod and Icore Lenses
Generate IQR, Assay Stat and System Log
Archived Data test results</t>
  </si>
  <si>
    <t>Module B1 encounter temperature, data will be sent to Cepheid for further assessment</t>
  </si>
  <si>
    <t>https://www.jotform.com/uploads/macarewecare/222927978372067/5576906973427751860/5576906973427751860_signature_28.png</t>
  </si>
  <si>
    <t>Arleen Alconera</t>
  </si>
  <si>
    <t>https://www.jotform.com/uploads/macarewecare/222927978372067/5576906973427751860/5576906973427751860_signature_31.png</t>
  </si>
  <si>
    <t>Palaris st. san Carlos City Pangasinan</t>
  </si>
  <si>
    <t>Unit is operational except B1 and B2</t>
  </si>
  <si>
    <t>https://www.jotform.com/uploads/macarewecare/222927978372067/5576904050423610947/5576904050423610947_signature_28.png</t>
  </si>
  <si>
    <t>https://www.jotform.com/uploads/macarewecare/222927978372067/5576904050423610947/5576904050423610947_signature_31.png</t>
  </si>
  <si>
    <t>https://www.jotform.com/uploads/macarewecare/222927978372067/5576899633423846577/5576899633423846577_signature_28.png</t>
  </si>
  <si>
    <t>Valencio B. Macatutac Jr.</t>
  </si>
  <si>
    <t>https://www.jotform.com/uploads/macarewecare/222927978372067/5576899633423846577/5576899633423846577_signature_31.png</t>
  </si>
  <si>
    <t>TB HIV</t>
  </si>
  <si>
    <t>Only Three Modules are functional</t>
  </si>
  <si>
    <t>https://www.jotform.com/uploads/macarewecare/222927978372067/5576899633423746347/5576899633423746347_signature_28.png</t>
  </si>
  <si>
    <t>https://www.jotform.com/uploads/macarewecare/222927978372067/5576899633423746347/5576899633423746347_signature_31.png</t>
  </si>
  <si>
    <t>Brgy. Poblacion, Magsaysay</t>
  </si>
  <si>
    <t>Module 1 and 4 for error checking</t>
  </si>
  <si>
    <t>XpertCheck Calibration of all Modules
Quarterly Preventive Maintenance
Data Collection and Site Visit</t>
  </si>
  <si>
    <t>3 modules passed in XPC, 1 module for replacement (Service Required)</t>
  </si>
  <si>
    <t>https://www.jotform.com/uploads/macarewecare/222927978372067/5576889123516176134/5576889123516176134_signature_28.png</t>
  </si>
  <si>
    <t>https://www.jotform.com/uploads/macarewecare/222927978372067/5576889123516176134/5576889123516176134_signature_31.png</t>
  </si>
  <si>
    <t>DR. VICTORIA R. POTENCIANO MEDICAL CENTER</t>
  </si>
  <si>
    <t>163 EDSA Mandaluyong City</t>
  </si>
  <si>
    <t>lab@vrp.com.ph</t>
  </si>
  <si>
    <t xml:space="preserve">ASSAY: Xpert MTB/RIF, COUNT: 239
ASSAY: Xpert MTB/RIF Ultra, COUNT: 205
</t>
  </si>
  <si>
    <t>Modules B2 (696025) and B3 (791611) for replacement</t>
  </si>
  <si>
    <t>Module replacement of B2 and B3</t>
  </si>
  <si>
    <t>Genexpert modules SN 607775, SN 210057342</t>
  </si>
  <si>
    <t>https://www.jotform.com/uploads/macarewecare/222927978372067/5576881835424096292/5576881835424096292_signature_28.png</t>
  </si>
  <si>
    <t>Charissa Torres</t>
  </si>
  <si>
    <t>https://www.jotform.com/uploads/macarewecare/222927978372067/5576881835424096292/5576881835424096292_signature_31.png</t>
  </si>
  <si>
    <t>alcaideirene07@gmail.com</t>
  </si>
  <si>
    <t xml:space="preserve">ASSAY: Xpert MTB/RIF Ultra, COUNT: 1583
</t>
  </si>
  <si>
    <t>Unit is operational.
B1: failed
B2: passed
B3: passed
B4: passed</t>
  </si>
  <si>
    <t>https://www.jotform.com/uploads/macarewecare/222927978372067/5576880404519121115/5576880404519121115_signature_28.png</t>
  </si>
  <si>
    <t>Airene Alcaide</t>
  </si>
  <si>
    <t>https://www.jotform.com/uploads/macarewecare/222927978372067/5576880404519121115/5576880404519121115_signature_31.png</t>
  </si>
  <si>
    <t>jblim.pbsp@gmail.com</t>
  </si>
  <si>
    <t xml:space="preserve">ASSAY: Xpert MTB/RIF, COUNT: 241
ASSAY: Xpert MTB/RIF Ultra, COUNT: 2642
ASSAY: Xpert SARS-CoV-2, COUNT: 2695
ASSAY: Xpert HIV-1 Viral Load, COUNT: 66
</t>
  </si>
  <si>
    <t>Defective module A1/693393 A4/885696 B2/888430</t>
  </si>
  <si>
    <t>Replaced module 
New module: A1/ 210045619
A4/210046004
B2/210045893</t>
  </si>
  <si>
    <t>Module Replacement
Preventive Maintenance
Generate reporting files
Database back up</t>
  </si>
  <si>
    <t>https://www.jotform.com/uploads/macarewecare/222927978372067/5576774381509862161/5576774381509862161_signature_28.png</t>
  </si>
  <si>
    <t>https://www.jotform.com/uploads/macarewecare/222927978372067/5576774381509862161/5576774381509862161_signature_31.png</t>
  </si>
  <si>
    <t>B1 Module with serial number 806851 Hardware Fail.</t>
  </si>
  <si>
    <t>Perform XpertCheck Module B1</t>
  </si>
  <si>
    <t>Module B1 Pass for Calibration.</t>
  </si>
  <si>
    <t>https://www.jotform.com/uploads/macarewecare/222927978372067/5576773185415139197/5576773185415139197_signature_28.png</t>
  </si>
  <si>
    <t>https://www.jotform.com/uploads/macarewecare/222927978372067/5576773185415139197/5576773185415139197_signature_31.png</t>
  </si>
  <si>
    <t xml:space="preserve">ASSAY: Xpert MTB/RIF, COUNT: 115
ASSAY: Xpert BCR-ABL Ultra, COUNT: 348
</t>
  </si>
  <si>
    <t>Module A4 error</t>
  </si>
  <si>
    <t>https://www.jotform.com/uploads/macarewecare/222927978372067/5576190472026456047/5576190472026456047_signature_28.png</t>
  </si>
  <si>
    <t>Von Romeo Pacheco</t>
  </si>
  <si>
    <t>https://www.jotform.com/uploads/macarewecare/222927978372067/5576190472026456047/5576190472026456047_signature_31.png</t>
  </si>
  <si>
    <t xml:space="preserve">ASSAY: Xpert HBV VL, COUNT: 79
ASSAY: Xpert HCV VL, COUNT: 27
ASSAY: Xpert HIV-1 Viral Load, COUNT: 1169
</t>
  </si>
  <si>
    <t>Genexpert not seen on Application
UPS not working</t>
  </si>
  <si>
    <t>Troubleshoot the Etherenet Cable
Replaced the Ethernet Cable
Troubleshoot the UPS</t>
  </si>
  <si>
    <t>UPS Battery for Replacement</t>
  </si>
  <si>
    <t>Ethernet Cable</t>
  </si>
  <si>
    <t>https://www.jotform.com/uploads/macarewecare/222927978372067/5576190482023051231/5576190482023051231_signature_28.png</t>
  </si>
  <si>
    <t>https://www.jotform.com/uploads/macarewecare/222927978372067/5576190482023051231/5576190482023051231_signature_31.png</t>
  </si>
  <si>
    <t>Pulung Bulig, Sto Domingo, Nueva Ecija</t>
  </si>
  <si>
    <t xml:space="preserve">ASSAY: Xpert MTB/RIF, COUNT: 
ASSAY: Xpert MTB/RIF Ultra, COUNT: 
</t>
  </si>
  <si>
    <t>Module 3 for monitoring</t>
  </si>
  <si>
    <t>https://www.jotform.com/uploads/macarewecare/222927978372067/5576190482026087170/5576190482026087170_signature_28.png</t>
  </si>
  <si>
    <t>Ma. Czarina Anne F. Panahon</t>
  </si>
  <si>
    <t>https://www.jotform.com/uploads/macarewecare/222927978372067/5576190482026087170/5576190482026087170_signature_31.png</t>
  </si>
  <si>
    <t xml:space="preserve">ASSAY: Xpert MTB/RIF, COUNT: 824
ASSAY: Xpert MTB/RIF Ultra, COUNT: 1610
</t>
  </si>
  <si>
    <t>MODULE A2 &amp; A3 FOR XPERTCHECK</t>
  </si>
  <si>
    <t>COLLECT IQR AND XPERTCHECK DATA</t>
  </si>
  <si>
    <t>-PERFORM CALIBRATION:
A2 SN 806133 - RETRY THEN FOR SERVICE
A3 SN 664865 - FOR SERVICE</t>
  </si>
  <si>
    <t>EQUIPMENT OPERATIONAL, MODULE A2 AND A3 DISABLED</t>
  </si>
  <si>
    <t>https://www.jotform.com/uploads/macarewecare/222927978372067/5576109529427691741/5576109529427691741_signature_28.png</t>
  </si>
  <si>
    <t>https://www.jotform.com/uploads/macarewecare/222927978372067/5576109529427691741/5576109529427691741_signature_31.png</t>
  </si>
  <si>
    <t>Rizal St. West Bajac-bajac Olongapo City, Zambales</t>
  </si>
  <si>
    <t xml:space="preserve">ASSAY: Xpert MTB/RIF, COUNT: 570
ASSAY: Xpert MTB/RIF Ultra, COUNT: 1170
ASSAY: Xpert HIV-1 Viral Load, COUNT: 112
</t>
  </si>
  <si>
    <t>C1:787163 for Module replacement</t>
  </si>
  <si>
    <t>https://www.jotform.com/uploads/macarewecare/222927978372067/5576048249246831511/5576048249246831511_signature_28.png</t>
  </si>
  <si>
    <t>https://www.jotform.com/uploads/macarewecare/222927978372067/5576048249246831511/5576048249246831511_signature_31.png</t>
  </si>
  <si>
    <t xml:space="preserve">ASSAY: Xpert MTB/RIF, COUNT: 105
ASSAY: Xpert MTB/RIF Ultra, COUNT: 1537
</t>
  </si>
  <si>
    <t>Replacing Module B2 with SN: 862237 to SN: 609246</t>
  </si>
  <si>
    <t>All modules passed and functional</t>
  </si>
  <si>
    <t>https://www.jotform.com/uploads/macarewecare/222927978372067/5576006463911496481/5576006463911496481_signature_28.png</t>
  </si>
  <si>
    <t>https://www.jotform.com/uploads/macarewecare/222927978372067/5576006463911496481/5576006463911496481_signature_31.png</t>
  </si>
  <si>
    <t>Velez General Hospital</t>
  </si>
  <si>
    <t>Ramos St,. Cebu City</t>
  </si>
  <si>
    <t>emaglaoy@velezhospital.com</t>
  </si>
  <si>
    <t>Install the machines</t>
  </si>
  <si>
    <t>Install genexpert machines, cpu and monitor, bar code scanner</t>
  </si>
  <si>
    <t>Installation of genexpert machine, Cpu and monitor bar code scanner</t>
  </si>
  <si>
    <t>Machines are operational</t>
  </si>
  <si>
    <t>Install the machines with Engr Raymond Laurito</t>
  </si>
  <si>
    <t>Cpu Serial numberCPH0822F40946</t>
  </si>
  <si>
    <t>DR 9871</t>
  </si>
  <si>
    <t>https://www.jotform.com/uploads/macarewecare/222927978372067/5575974177223619166/5575974177223619166_signature_28.png</t>
  </si>
  <si>
    <t>Elaine Maglaoy</t>
  </si>
  <si>
    <t>https://www.jotform.com/uploads/macarewecare/222927978372067/5575974177223619166/5575974177223619166_signature_31.png</t>
  </si>
  <si>
    <t>https://www.jotform.com/uploads/macarewecare/222927978372067/5575956837841834254/5575956837841834254_signature_28.png</t>
  </si>
  <si>
    <t>https://www.jotform.com/uploads/macarewecare/222927978372067/5575956837841834254/5575956837841834254_signature_31.png</t>
  </si>
  <si>
    <t>Pawing, Palo Leyte</t>
  </si>
  <si>
    <t>kareenchavero@gmail.com</t>
  </si>
  <si>
    <t xml:space="preserve">ASSAY: Xpert MTB/RIF, COUNT: 402
ASSAY: Xpert MTB/RIF Ultra, COUNT: 251
</t>
  </si>
  <si>
    <t>- CPU error Booting SN: 2AU7021M0Z</t>
  </si>
  <si>
    <t>3V lithium battery (CR2032)</t>
  </si>
  <si>
    <t>https://www.jotform.com/uploads/macarewecare/222927978372067/5575935803228920113/5575935803228920113_signature_28.png</t>
  </si>
  <si>
    <t>Kareen T. Chavero</t>
  </si>
  <si>
    <t>https://www.jotform.com/uploads/macarewecare/222927978372067/5575935803228920113/5575935803228920113_signature_31.png</t>
  </si>
  <si>
    <t>https://www.jotform.com/uploads/macarewecare/222927978372067/5575934495125111080/5575934495125111080_signature_28.png</t>
  </si>
  <si>
    <t>https://www.jotform.com/uploads/macarewecare/222927978372067/5575934495125111080/5575934495125111080_signature_31.png</t>
  </si>
  <si>
    <t>https://www.jotform.com/uploads/macarewecare/222927978372067/5575926736719374922/5575926736719374922_signature_28.png</t>
  </si>
  <si>
    <t>https://www.jotform.com/uploads/macarewecare/222927978372067/5575926736719374922/5575926736719374922_signature_31.png</t>
  </si>
  <si>
    <t>https://www.jotform.com/uploads/macarewecare/222927978372067/5575926476717403179/5575926476717403179_signature_28.png</t>
  </si>
  <si>
    <t>https://www.jotform.com/uploads/macarewecare/222927978372067/5575926476717403179/5575926476717403179_signature_31.png</t>
  </si>
  <si>
    <t>Isabela City Health Office</t>
  </si>
  <si>
    <t>East Terminal sunrise isabela city basilan</t>
  </si>
  <si>
    <t>Module 676313 replaced with Module 905109</t>
  </si>
  <si>
    <t>All modules are available, UPS must be replaced immediately.</t>
  </si>
  <si>
    <t>UPS must be replaced immediately.</t>
  </si>
  <si>
    <t>https://www.jotform.com/uploads/macarewecare/222927978372067/5575923364421039435/5575923364421039435_signature_28.png</t>
  </si>
  <si>
    <t>Reynante L. Montaño</t>
  </si>
  <si>
    <t>https://www.jotform.com/uploads/macarewecare/222927978372067/5575923364421039435/5575923364421039435_signature_31.png</t>
  </si>
  <si>
    <t>Module B2,B4</t>
  </si>
  <si>
    <t>Replace new module.</t>
  </si>
  <si>
    <t>Replace new module with serial number B2-688622, B4-690680.</t>
  </si>
  <si>
    <t>https://www.jotform.com/uploads/macarewecare/222927978372067/5575892417227664058/5575892417227664058_signature_28.png</t>
  </si>
  <si>
    <t>Rezelmarie Lagos</t>
  </si>
  <si>
    <t>https://www.jotform.com/uploads/macarewecare/222927978372067/5575892417227664058/5575892417227664058_signature_31.png</t>
  </si>
  <si>
    <t>Brgy. Odiong, Roxas</t>
  </si>
  <si>
    <t xml:space="preserve">ASSAY: Xpert MTB/RIF, COUNT: 119
ASSAY: Xpert MTB/RIF Ultra, COUNT: 1960
</t>
  </si>
  <si>
    <t>For module replacement of module B1.</t>
  </si>
  <si>
    <t>Performed module replacement on B1.
Generated reports.</t>
  </si>
  <si>
    <t>Module replacement.</t>
  </si>
  <si>
    <t>Gx module B1 (614394) in replacement to defective B1(708246)</t>
  </si>
  <si>
    <t>https://www.jotform.com/uploads/macarewecare/222927978372067/5575891718117256420/5575891718117256420_signature_28.png</t>
  </si>
  <si>
    <t>https://www.jotform.com/uploads/macarewecare/222927978372067/5575891718117256420/5575891718117256420_signature_31.png</t>
  </si>
  <si>
    <t xml:space="preserve">ASSAY: Xpert MTB/RIF, COUNT: 9
ASSAY: Xpert MTB/RIF Ultra, COUNT: 169
</t>
  </si>
  <si>
    <t>Perform Genexpert machine Preventive maintenance 
Replace module 3 SN: 861214 with new module SN: 912975</t>
  </si>
  <si>
    <t>Genexpert module 6 color SN: 912975</t>
  </si>
  <si>
    <t>DR number: 9847</t>
  </si>
  <si>
    <t>https://www.jotform.com/uploads/macarewecare/222927978372067/5575482923166982043/5575482923166982043_signature_28.png</t>
  </si>
  <si>
    <t>https://www.jotform.com/uploads/macarewecare/222927978372067/5575482923166982043/5575482923166982043_signature_31.png</t>
  </si>
  <si>
    <t>Does not back up</t>
  </si>
  <si>
    <t>Tested voltage ouput in line mode and back up mode
Surface cleaning</t>
  </si>
  <si>
    <t>For the commissioning</t>
  </si>
  <si>
    <t>Burnt Board</t>
  </si>
  <si>
    <t>https://www.jotform.com/uploads/macarewecare/222927978372067/5575273630416068863/5575273630416068863_signature_28.png</t>
  </si>
  <si>
    <t>https://www.jotform.com/uploads/macarewecare/222927978372067/5575273630416068863/5575273630416068863_signature_31.png</t>
  </si>
  <si>
    <t>Does not backup</t>
  </si>
  <si>
    <t>Replace Batteries</t>
  </si>
  <si>
    <t>Tested voltage output in line mode and back up mode
Surface cleaning</t>
  </si>
  <si>
    <t>2 batteries</t>
  </si>
  <si>
    <t>https://www.jotform.com/uploads/macarewecare/222927978372067/5575273600411279080/5575273600411279080_signature_28.png</t>
  </si>
  <si>
    <t>https://www.jotform.com/uploads/macarewecare/222927978372067/5575273600411279080/5575273600411279080_signature_31.png</t>
  </si>
  <si>
    <t>Aurora Grand, Queen City</t>
  </si>
  <si>
    <t>Tested voltage output in line mode and backup mode,surface cleaning</t>
  </si>
  <si>
    <t>https://www.jotform.com/uploads/macarewecare/222927978372067/5575273530412444464/5575273530412444464_signature_28.png</t>
  </si>
  <si>
    <t>https://www.jotform.com/uploads/macarewecare/222927978372067/5575273530412444464/5575273530412444464_signature_31.png</t>
  </si>
  <si>
    <t>Archive test results
Cleaned cartridge bays, icores, plungers, and filter
Generate IQR, Assay Stats, and System Logs
Perform functionality test</t>
  </si>
  <si>
    <t>Gateway board SN6140S22040325</t>
  </si>
  <si>
    <t>G5450</t>
  </si>
  <si>
    <t>https://www.jotform.com/uploads/macarewecare/222927978372067/5575253050416283789/5575253050416283789_signature_28.png</t>
  </si>
  <si>
    <t>https://www.jotform.com/uploads/macarewecare/222927978372067/5575253050416283789/5575253050416283789_signature_31.png</t>
  </si>
  <si>
    <t xml:space="preserve">ASSAY: Xpert MTB/RIF, COUNT: 73
ASSAY: Xpert MTB/RIF Ultra, COUNT: 861
</t>
  </si>
  <si>
    <t>Perform Genexpert machine Preventive maintenance 
Replace module 3 SN:862139 with new Module SN:714753
Replace module 4 SN:862137 with new Module SN:620030</t>
  </si>
  <si>
    <t>Genexpert module 6 Color</t>
  </si>
  <si>
    <t>DR number: 9791 and 9792</t>
  </si>
  <si>
    <t>https://www.jotform.com/uploads/macarewecare/222927978372067/5575238319378482077/5575238319378482077_signature_28.png</t>
  </si>
  <si>
    <t>https://www.jotform.com/uploads/macarewecare/222927978372067/5575238319378482077/5575238319378482077_signature_31.png</t>
  </si>
  <si>
    <t>Disassembling of GeneXpert for Pull out</t>
  </si>
  <si>
    <t>Disassembled Unit</t>
  </si>
  <si>
    <t>https://www.jotform.com/uploads/macarewecare/222927978372067/5575187011524041011/5575187011524041011_signature_28.png</t>
  </si>
  <si>
    <t>https://www.jotform.com/uploads/macarewecare/222927978372067/5575187011524041011/5575187011524041011_signature_31.png</t>
  </si>
  <si>
    <t xml:space="preserve">ASSAY: Xpert MTB/RIF, COUNT: 379
ASSAY: Xpert MTB/RIF Ultra, COUNT: 790
</t>
  </si>
  <si>
    <t>Module B4 (Error 1002)</t>
  </si>
  <si>
    <t>Unit is Operational (Module B4 observe for module error)</t>
  </si>
  <si>
    <t>https://www.jotform.com/uploads/macarewecare/222927978372067/5575158475119157635/5575158475119157635_signature_28.png</t>
  </si>
  <si>
    <t>Martee H. Tingzon</t>
  </si>
  <si>
    <t>https://www.jotform.com/uploads/macarewecare/222927978372067/5575158475119157635/5575158475119157635_signature_31.png</t>
  </si>
  <si>
    <t xml:space="preserve">ASSAY: Xpert MTB/RIF, COUNT: 29
</t>
  </si>
  <si>
    <t>Module B3 - XpertCheck service required</t>
  </si>
  <si>
    <t>-Replace defective module B3/863021 with new module SN: 914644</t>
  </si>
  <si>
    <t>https://www.jotform.com/uploads/macarewecare/222927978372067/5575157249825899773/5575157249825899773_signature_28.png</t>
  </si>
  <si>
    <t>Raymund A. Salapio</t>
  </si>
  <si>
    <t>https://www.jotform.com/uploads/macarewecare/222927978372067/5575157249825899773/5575157249825899773_signature_31.png</t>
  </si>
  <si>
    <t>Uninstallation of GeneXpert</t>
  </si>
  <si>
    <t xml:space="preserve">ASSAY: Xpert MTB/RIF, COUNT: 432
ASSAY: Xpert MTB/RIF Ultra, COUNT: 1884
ASSAY: Xpert SARS-CoV-2, COUNT: 4728
ASSAY: Xpert HIV-1 Viral Load, COUNT: 2
</t>
  </si>
  <si>
    <t>Packing of unit for transfer to be picked up by PBSP</t>
  </si>
  <si>
    <t>https://www.jotform.com/uploads/macarewecare/222927978372067/5575106211529998419/5575106211529998419_signature_28.png</t>
  </si>
  <si>
    <t>https://www.jotform.com/uploads/macarewecare/222927978372067/5575106211529998419/5575106211529998419_signature_31.png</t>
  </si>
  <si>
    <t>H.V. Dela Costa</t>
  </si>
  <si>
    <t>Performed maintenance 
Cleaned eyepiece, objectives and microscope body
Check focus</t>
  </si>
  <si>
    <t>https://www.jotform.com/uploads/macarewecare/222927978372067/5575035810015247183/5575035810015247183_signature_28.png</t>
  </si>
  <si>
    <t>Joy B. Sabalboro</t>
  </si>
  <si>
    <t>https://www.jotform.com/uploads/macarewecare/222927978372067/5575035810015247183/5575035810015247183_signature_31.png</t>
  </si>
  <si>
    <t>jasmin.catral@innovationsch.com</t>
  </si>
  <si>
    <t>Unit is operational. Module 2 and 4 service required</t>
  </si>
  <si>
    <t>DR# 9718</t>
  </si>
  <si>
    <t>https://www.jotform.com/uploads/macarewecare/222927978372067/5575035810015498206/5575035810015498206_signature_28.png</t>
  </si>
  <si>
    <t>Jasmin catral</t>
  </si>
  <si>
    <t>https://www.jotform.com/uploads/macarewecare/222927978372067/5575035810015498206/5575035810015498206_signature_31.png</t>
  </si>
  <si>
    <t xml:space="preserve">ASSAY: Xpert MTB/RIF, COUNT: 101
ASSAY: Xpert MTB/RIF Ultra, COUNT: 484
</t>
  </si>
  <si>
    <t>Module B3/730900 has error 4015</t>
  </si>
  <si>
    <t>Run XpertCheck on module B3</t>
  </si>
  <si>
    <t>Performed maintenance 
Run XpertCheck on module B3
Generated reports</t>
  </si>
  <si>
    <t>Unit is operational. Module B3/730900 failed in XpertCheck.</t>
  </si>
  <si>
    <t>https://www.jotform.com/uploads/macarewecare/222927978372067/5575035810016469519/5575035810016469519_signature_28.png</t>
  </si>
  <si>
    <t>Karren Abegail R. Olaya</t>
  </si>
  <si>
    <t>https://www.jotform.com/uploads/macarewecare/222927978372067/5575035810016469519/5575035810016469519_signature_31.png</t>
  </si>
  <si>
    <t>JP Rizal, West Rembo</t>
  </si>
  <si>
    <t xml:space="preserve">ASSAY: Xpert MTB/RIF, COUNT: 247
ASSAY: Xpert MTB/RIF Ultra, COUNT: 910
</t>
  </si>
  <si>
    <t>Module B3 for replacement 
For XpertCheck</t>
  </si>
  <si>
    <t>Replaced defective module 
Run XpertCheck</t>
  </si>
  <si>
    <t>Performed maintenance 
Replaced defective module 
Run XpertCheck 
Generated reports</t>
  </si>
  <si>
    <t>Old: B3/7457447
New: B3/685568
XpertCheck kot</t>
  </si>
  <si>
    <t>DR# 9794/9513</t>
  </si>
  <si>
    <t>https://www.jotform.com/uploads/macarewecare/222927978372067/5575035810018289269/5575035810018289269_signature_28.png</t>
  </si>
  <si>
    <t>Danis Maebel V. Calimag</t>
  </si>
  <si>
    <t>https://www.jotform.com/uploads/macarewecare/222927978372067/5575035810018289269/5575035810018289269_signature_31.png</t>
  </si>
  <si>
    <t>Tanay</t>
  </si>
  <si>
    <t xml:space="preserve">ASSAY: Xpert MTB/RIF, COUNT: 2
ASSAY: Xpert MTB/RIF Ultra, COUNT: 144
</t>
  </si>
  <si>
    <t>Old: A1/757276, A4/758194
New: A1/730925, A4/860127</t>
  </si>
  <si>
    <t>DR# 9809</t>
  </si>
  <si>
    <t>https://www.jotform.com/uploads/macarewecare/222927978372067/5575035810019398625/5575035810019398625_signature_28.png</t>
  </si>
  <si>
    <t>Anne Catherine Alpha</t>
  </si>
  <si>
    <t>https://www.jotform.com/uploads/macarewecare/222927978372067/5575035810019398625/5575035810019398625_signature_31.png</t>
  </si>
  <si>
    <t>Brgy Memije, General Mariano Alvarez</t>
  </si>
  <si>
    <t xml:space="preserve">ASSAY: Xpert MTB/RIF Ultra, COUNT: 1365
</t>
  </si>
  <si>
    <t>3 Modules are Operational, 1 Module Reported</t>
  </si>
  <si>
    <t>XpertCheck: 2 modules passed</t>
  </si>
  <si>
    <t>https://www.jotform.com/uploads/macarewecare/222927978372067/5575026241616418260/5575026241616418260_signature_28.png</t>
  </si>
  <si>
    <t>https://www.jotform.com/uploads/macarewecare/222927978372067/5575026241616418260/5575026241616418260_signature_31.png</t>
  </si>
  <si>
    <t>PCAV</t>
  </si>
  <si>
    <t>TROUBLESHOOTING
Inspection</t>
  </si>
  <si>
    <t>RHEA</t>
  </si>
  <si>
    <t>PerezRoehl1968@gmail.com</t>
  </si>
  <si>
    <t>Compact</t>
  </si>
  <si>
    <t>C-0321</t>
  </si>
  <si>
    <t>Unit has Problem in Screen</t>
  </si>
  <si>
    <t>Reset LCD and Cable Connections
Checked Functionality
Used Old LCD to Isolate Problem</t>
  </si>
  <si>
    <t>New LCD has No Touch Response. Backlight Output Only.</t>
  </si>
  <si>
    <t>Used Old Screen for the Machine to Use Temporarily</t>
  </si>
  <si>
    <t>https://www.jotform.com/uploads/macarewecare/222927978372067/5575026241619305474/5575026241619305474_signature_28.png</t>
  </si>
  <si>
    <t>Roehl eric perez</t>
  </si>
  <si>
    <t>https://www.jotform.com/uploads/macarewecare/222927978372067/5575026241619305474/5575026241619305474_signature_31.png</t>
  </si>
  <si>
    <t>Civic Drive, Filinvest</t>
  </si>
  <si>
    <t>Inspection and Assessment</t>
  </si>
  <si>
    <t>1F116</t>
  </si>
  <si>
    <t>Unit has Pump Rotor Roller Problem</t>
  </si>
  <si>
    <t>Cleaning</t>
  </si>
  <si>
    <t>Checked and Cleaned Pump Rotor Rollers
Cleaned Valves
Checked Functionality</t>
  </si>
  <si>
    <t>Pump Rotor Roller for Replacement. For Quotation of Part Replacement.</t>
  </si>
  <si>
    <t>Pump Rotor Rollers are Worn-out</t>
  </si>
  <si>
    <t>https://www.jotform.com/uploads/macarewecare/222927978372067/5575026251612935600/5575026251612935600_signature_28.png</t>
  </si>
  <si>
    <t>https://www.jotform.com/uploads/macarewecare/222927978372067/5575026251612935600/5575026251612935600_signature_31.png</t>
  </si>
  <si>
    <t>Checked Pump Rotor Rollers
Checked Machine Parameters
Cleaned Pumps and Valves
Performed Functionality Test</t>
  </si>
  <si>
    <t>Pump Rotor Rollers for Replacement. For Quotation of Replacement Parts</t>
  </si>
  <si>
    <t>https://www.jotform.com/uploads/macarewecare/222927978372067/5575026251614722643/5575026251614722643_signature_28.png</t>
  </si>
  <si>
    <t>https://www.jotform.com/uploads/macarewecare/222927978372067/5575026251614722643/5575026251614722643_signature_31.png</t>
  </si>
  <si>
    <t>Panapaan Health Center</t>
  </si>
  <si>
    <t>Floraville Subd., Panapaan, Bacoor</t>
  </si>
  <si>
    <t>cecille_tobias@yahoo.com</t>
  </si>
  <si>
    <t xml:space="preserve">ASSAY: Xpert MTB/RIF Ultra, COUNT: 2245
ASSAY: Xpert HIV-1 Viral Load, COUNT: 230
</t>
  </si>
  <si>
    <t>Modules 3 and 4 with Temperature Errors</t>
  </si>
  <si>
    <t>Performed Maintenance
Replaced 2 Modules
Generate Reports</t>
  </si>
  <si>
    <t>807917, 657198 -&gt; 876167, 877122</t>
  </si>
  <si>
    <t>GeneXpert Module Kit 6- Colors</t>
  </si>
  <si>
    <t>G 5428</t>
  </si>
  <si>
    <t>https://www.jotform.com/uploads/macarewecare/222927978372067/5575025011614553822/5575025011614553822_signature_28.png</t>
  </si>
  <si>
    <t>https://www.jotform.com/uploads/macarewecare/222927978372067/5575025011614553822/5575025011614553822_signature_31.png</t>
  </si>
  <si>
    <t>https://www.jotform.com/uploads/macarewecare/222927978372067/5575025011619961962/5575025011619961962_signature_28.png</t>
  </si>
  <si>
    <t>https://www.jotform.com/uploads/macarewecare/222927978372067/5575025011619961962/5575025011619961962_signature_31.png</t>
  </si>
  <si>
    <t>Magdiwang Hwhy, Kawit</t>
  </si>
  <si>
    <t>alambraaljhon0@gmail.com</t>
  </si>
  <si>
    <t>Module 3 and 4 with Temperature Errors</t>
  </si>
  <si>
    <t>Performed Maintenance
Performed XpertCheck in Modules 3 and 4
Generate Reports</t>
  </si>
  <si>
    <t>2 Modules are Operational, 2 Module are Defective</t>
  </si>
  <si>
    <t>Used Spare Kits. 3 and 4 Failed</t>
  </si>
  <si>
    <t>https://www.jotform.com/uploads/macarewecare/222927978372067/5575025021614275728/5575025021614275728_signature_28.png</t>
  </si>
  <si>
    <t>Aljhon G, Alambra</t>
  </si>
  <si>
    <t>https://www.jotform.com/uploads/macarewecare/222927978372067/5575025021614275728/5575025021614275728_signature_31.png</t>
  </si>
  <si>
    <t>Bulihan Rural Health Unit</t>
  </si>
  <si>
    <t>AFP Housing, Bulihan, Silang</t>
  </si>
  <si>
    <t>alei22775@yahoo.com</t>
  </si>
  <si>
    <t>Performed Maintenance
Performed Module Replacement
Generate Reports</t>
  </si>
  <si>
    <t>B3: 861472 -&gt; 730137</t>
  </si>
  <si>
    <t>https://www.jotform.com/uploads/macarewecare/222927978372067/5575025021617293334/5575025021617293334_signature_28.png</t>
  </si>
  <si>
    <t>Alejandra Alegre</t>
  </si>
  <si>
    <t>https://www.jotform.com/uploads/macarewecare/222927978372067/5575025021617293334/5575025021617293334_signature_31.png</t>
  </si>
  <si>
    <t>Dela Cruz St, Cavite City</t>
  </si>
  <si>
    <t>roblesjm1230@gmail.com</t>
  </si>
  <si>
    <t>Performed Maintenance
Performed ReXpertCheck on Module 2
Generate Reports</t>
  </si>
  <si>
    <t>Used Spare Kit</t>
  </si>
  <si>
    <t>https://www.jotform.com/uploads/macarewecare/222927978372067/5575025021617690053/5575025021617690053_signature_28.png</t>
  </si>
  <si>
    <t>JAN MARIE KIRSTEN ROBLES</t>
  </si>
  <si>
    <t>https://www.jotform.com/uploads/macarewecare/222927978372067/5575025021617690053/5575025021617690053_signature_31.png</t>
  </si>
  <si>
    <t>St.lukes medical center qc</t>
  </si>
  <si>
    <t xml:space="preserve">ASSAY: Xpert CT/NG, COUNT: 250
ASSAY: Others, COUNT: 3
ASSAY: Xpert HPV, COUNT: 1
ASSAY: Xpert HPV, COUNT: 71
ASSAY: Xpert MTB/RIF Ultra, COUNT: 2981
</t>
  </si>
  <si>
    <t>As per end user they encounter error h/w failed in C1,dusty filter</t>
  </si>
  <si>
    <t>cleaned unit,filter,plunger rod,cartridge bay,i core,gathered reports,performed visual check,test run unit, performed restart 9f workstation</t>
  </si>
  <si>
    <t>https://www.jotform.com/uploads/macarewecare/222927978372067/5573748400719081949/5573748400719081949_signature_28.png</t>
  </si>
  <si>
    <t>Phillip Jordan M. Salvador RMT</t>
  </si>
  <si>
    <t>https://www.jotform.com/uploads/macarewecare/222927978372067/5573748400719081949/5573748400719081949_signature_31.png</t>
  </si>
  <si>
    <t>Chinese general hospital</t>
  </si>
  <si>
    <t>Blumentritt road sta cruz,manila</t>
  </si>
  <si>
    <t>As per end user they encounter error in initialization red valve error</t>
  </si>
  <si>
    <t>Performed self test,checked cpu board ,pneumatic pump,checked valve,rollers,line sensor,display panel,dpm,spm,cuff,performed calibration,performed functionality test,performed isolation running</t>
  </si>
  <si>
    <t>https://www.jotform.com/uploads/macarewecare/222927978372067/5573733970717709515/5573733970717709515_signature_28.png</t>
  </si>
  <si>
    <t>Matt Castro</t>
  </si>
  <si>
    <t>https://www.jotform.com/uploads/macarewecare/222927978372067/5573733970717709515/5573733970717709515_signature_31.png</t>
  </si>
  <si>
    <t>https://www.jotform.com/uploads/macarewecare/222927978372067/5573342640016354065/5573342640016354065_signature_28.png</t>
  </si>
  <si>
    <t>https://www.jotform.com/uploads/macarewecare/222927978372067/5573342640016354065/5573342640016354065_signature_31.png</t>
  </si>
  <si>
    <t>Genexpert not seen on Application</t>
  </si>
  <si>
    <t>Troubleshoot the Etherenet Cable
Replaced the Ethernet Cable</t>
  </si>
  <si>
    <t>https://www.jotform.com/uploads/macarewecare/222927978372067/5572836538407593902/5572836538407593902_signature_28.png</t>
  </si>
  <si>
    <t>https://www.jotform.com/uploads/macarewecare/222927978372067/5572836538407593902/5572836538407593902_signature_31.png</t>
  </si>
  <si>
    <t>https://www.jotform.com/uploads/macarewecare/222927978372067/5572836538408863721/5572836538408863721_signature_28.png</t>
  </si>
  <si>
    <t>https://www.jotform.com/uploads/macarewecare/222927978372067/5572836538408863721/5572836538408863721_signature_31.png</t>
  </si>
  <si>
    <t>https://www.jotform.com/uploads/macarewecare/222927978372067/5572827468402041910/5572827468402041910_signature_28.png</t>
  </si>
  <si>
    <t>https://www.jotform.com/uploads/macarewecare/222927978372067/5572827468402041910/5572827468402041910_signature_31.png</t>
  </si>
  <si>
    <t>https://www.jotform.com/uploads/macarewecare/222927978372067/5572827468409499740/5572827468409499740_signature_28.png</t>
  </si>
  <si>
    <t>https://www.jotform.com/uploads/macarewecare/222927978372067/5572827468409499740/5572827468409499740_signature_31.png</t>
  </si>
  <si>
    <t>Dao, Tagbilaran</t>
  </si>
  <si>
    <t>elyngdumaran@gmail.com</t>
  </si>
  <si>
    <t xml:space="preserve">ASSAY: Xpert MTB/RIF, COUNT: 1129
ASSAY: Xpert MTB/RIF Ultra, COUNT: 655
</t>
  </si>
  <si>
    <t>Detected computer virus</t>
  </si>
  <si>
    <t>Run kapersky anti virus</t>
  </si>
  <si>
    <t>https://www.jotform.com/uploads/macarewecare/222927978372067/5572709814416827010/5572709814416827010_signature_28.png</t>
  </si>
  <si>
    <t>Elyn G. Dumaran</t>
  </si>
  <si>
    <t>https://www.jotform.com/uploads/macarewecare/222927978372067/5572709814416827010/5572709814416827010_signature_31.png</t>
  </si>
  <si>
    <t xml:space="preserve">ASSAY: Xpert MTB/RIF, COUNT: 163
ASSAY: Xpert MTB/RIF Ultra, COUNT: 530
ASSAY: Xpert HIV-1 Viral Load, COUNT: 53
</t>
  </si>
  <si>
    <t>Error 3005</t>
  </si>
  <si>
    <t>Resolved Error 3005
Perform Genexpert Xpertcheck at module 2,3, and 4
Perform Genexpert machine Preventive maintenance</t>
  </si>
  <si>
    <t>Module 2,3, and 4 Passed for Xpertcheck/Calibration</t>
  </si>
  <si>
    <t>Lot no. 1000410214</t>
  </si>
  <si>
    <t>https://www.jotform.com/uploads/macarewecare/222927978372067/5572610541812427679/5572610541812427679_signature_28.png</t>
  </si>
  <si>
    <t>https://www.jotform.com/uploads/macarewecare/222927978372067/5572610541812427679/5572610541812427679_signature_31.png</t>
  </si>
  <si>
    <t xml:space="preserve">ASSAY: Xpert MTB/RIF, COUNT: 440
</t>
  </si>
  <si>
    <t>Due for monthly maintenance</t>
  </si>
  <si>
    <t>Performed preventive maintenance the genexpert machine</t>
  </si>
  <si>
    <t>Clean machine, fan filter, Icore and cartridge bay
Gather data IQR, Sys log, Gxx files and Assay stats
Performed self test, plunger maintenance test
Test the output voltage of the Avr and Ups
Backup the database</t>
  </si>
  <si>
    <t>https://www.jotform.com/uploads/macarewecare/222927978372067/5572603059554268665/5572603059554268665_signature_28.png</t>
  </si>
  <si>
    <t>https://www.jotform.com/uploads/macarewecare/222927978372067/5572603059554268665/5572603059554268665_signature_31.png</t>
  </si>
  <si>
    <t>Tanauan Rural Health Unit</t>
  </si>
  <si>
    <t>Mayapis, Brgy. 3, Tanauan</t>
  </si>
  <si>
    <t>Unit for PM.
For module replacement of module A2.
For troubleshooting of module A3 (H/W failure).</t>
  </si>
  <si>
    <t>Performed PM.
Performed module replacement on A2.
Performed troubleshooting on A3.
Generated reports.</t>
  </si>
  <si>
    <t>PM, module replacement, troubleshooting.</t>
  </si>
  <si>
    <t>Unit is operational. Unable to Xpertcheck module A3 (731305) with H/W failure. Xpertcheck software shows unable to Xpertcheck even after reseting gateway board and connections. Module A3 for reporting</t>
  </si>
  <si>
    <t>Gx module A2 (639512) in replacement to defective A2 (793145).</t>
  </si>
  <si>
    <t>DR 9802</t>
  </si>
  <si>
    <t>https://www.jotform.com/uploads/macarewecare/222927978372067/5572561737489212122/5572561737489212122_signature_28.png</t>
  </si>
  <si>
    <t>Edita Ramilo</t>
  </si>
  <si>
    <t>https://www.jotform.com/uploads/macarewecare/222927978372067/5572561737489212122/5572561737489212122_signature_31.png</t>
  </si>
  <si>
    <t>SIPALAY CITY HEALTH OFFICE</t>
  </si>
  <si>
    <t>Sipalay City, Negros Occidental</t>
  </si>
  <si>
    <t>olivesabrine27@gmail.com</t>
  </si>
  <si>
    <t xml:space="preserve">ASSAY: Xpert MTB/RIF, COUNT: 363
ASSAY: Xpert MTB/RIF Ultra, COUNT: 859
</t>
  </si>
  <si>
    <t>Defective module B3/714096.</t>
  </si>
  <si>
    <t>Preventive Maintenance - module bay cleaning, optic slots cleaning, filter cleaning, plunger rod maintenance, archive tests.</t>
  </si>
  <si>
    <t>Replaced module B3 with new SN 629047.</t>
  </si>
  <si>
    <t>https://www.jotform.com/uploads/macarewecare/222927978372067/5572523302526047617/5572523302526047617_signature_28.png</t>
  </si>
  <si>
    <t>oliva decena</t>
  </si>
  <si>
    <t>https://www.jotform.com/uploads/macarewecare/222927978372067/5572523302526047617/5572523302526047617_signature_31.png</t>
  </si>
  <si>
    <t>dulzna@gmail.com</t>
  </si>
  <si>
    <t xml:space="preserve">ASSAY: Xpert MTB/RIF, COUNT: 191
ASSAY: Xpert MTB/RIF Ultra, COUNT: 481
ASSAY: Xpert HIV-1 Viral Load, COUNT: 15
</t>
  </si>
  <si>
    <t>Module 4 for Service Required 
Module 3 H/W failed due to multiple temperature error</t>
  </si>
  <si>
    <t>Perform Genexpert machine Preventive maintenance 
Replace module 4 SN: 903024 with new module SN: 617089
Perform Xpertcheck at module 3 for troubleshooting</t>
  </si>
  <si>
    <t>Module 3 passed the Module Xpertcheck</t>
  </si>
  <si>
    <t>Genexpert module 6 color SN:617089</t>
  </si>
  <si>
    <t>DR number: 9822</t>
  </si>
  <si>
    <t>https://www.jotform.com/uploads/macarewecare/222927978372067/5572504181812173000/5572504181812173000_signature_28.png</t>
  </si>
  <si>
    <t>Dulce Aurora Ariston</t>
  </si>
  <si>
    <t>https://www.jotform.com/uploads/macarewecare/222927978372067/5572504181812173000/5572504181812173000_signature_31.png</t>
  </si>
  <si>
    <t>President Roxas Rural Health Unit</t>
  </si>
  <si>
    <t>President Roxas, Capiz</t>
  </si>
  <si>
    <t>mlaadelacruz@gmail.com</t>
  </si>
  <si>
    <t xml:space="preserve">ASSAY: Xpert MTB/RIF, COUNT: 195
ASSAY: Xpert MTB/RIF Ultra, COUNT: 726
</t>
  </si>
  <si>
    <t>CPU error - IPv4 PXE</t>
  </si>
  <si>
    <t>CPU and all modules are operational.</t>
  </si>
  <si>
    <t>https://www.jotform.com/uploads/macarewecare/222927978372067/5572488721224207976/5572488721224207976_signature_28.png</t>
  </si>
  <si>
    <t>Ma Louella Ann dela Cruz</t>
  </si>
  <si>
    <t>https://www.jotform.com/uploads/macarewecare/222927978372067/5572488721224207976/5572488721224207976_signature_31.png</t>
  </si>
  <si>
    <t>SAN JOSE RURAL HEALTH UNIT - RTDL SITE</t>
  </si>
  <si>
    <t>TRADE TOWN DALIPE, SAN JOSE</t>
  </si>
  <si>
    <t xml:space="preserve">ASSAY: Xpert MTB/RIF, COUNT: 395
ASSAY: Xpert MTB/RIF Ultra, COUNT: 2211
ASSAY: Xpert HIV-1 Viral Load, COUNT: 43
</t>
  </si>
  <si>
    <t>FOR MODULE B1 AND B2 REPLACEMENT</t>
  </si>
  <si>
    <t>-PERFORM MODULE B1 DEFECTIVE SN:86116 REPLACEMENT WITH NEW SN:776202 AND MODULE B3 DEFECTIVE SN:861118 REPLACEMENT WITH NEW SN:717580
-PERFORM PREVENTIVE MAINTENANCE</t>
  </si>
  <si>
    <t>MODULE B4 H/W FAIL</t>
  </si>
  <si>
    <t>https://www.jotform.com/uploads/macarewecare/222927978372067/5572485881718621297/5572485881718621297_signature_28.png</t>
  </si>
  <si>
    <t>https://www.jotform.com/uploads/macarewecare/222927978372067/5572485881718621297/5572485881718621297_signature_31.png</t>
  </si>
  <si>
    <t>MODULE C3 SN 886646 ERROR 2032</t>
  </si>
  <si>
    <t>-PERFORM GX EQUIPMENT CLEANING AND MAINTENANCE
-PERFORM MODULE C3 ERROR 2032 TROUBLESHOOTING AND INSPECT WIRES</t>
  </si>
  <si>
    <t>MODULE C3 FOR OBSERVATION</t>
  </si>
  <si>
    <t>https://www.jotform.com/uploads/macarewecare/222927978372067/5572485891713687934/5572485891713687934_signature_28.png</t>
  </si>
  <si>
    <t>https://www.jotform.com/uploads/macarewecare/222927978372067/5572485891713687934/5572485891713687934_signature_31.png</t>
  </si>
  <si>
    <t>Poblacion 5, Talisay</t>
  </si>
  <si>
    <t>Performed PM.
Performed module replacement on A2.
Generated reports</t>
  </si>
  <si>
    <t>Gx module A2 (694110) in replacement to defective A2 (721636).</t>
  </si>
  <si>
    <t>DR 9805</t>
  </si>
  <si>
    <t>https://www.jotform.com/uploads/macarewecare/222927978372067/5572477072528895684/5572477072528895684_signature_28.png</t>
  </si>
  <si>
    <t>https://www.jotform.com/uploads/macarewecare/222927978372067/5572477072528895684/5572477072528895684_signature_31.png</t>
  </si>
  <si>
    <t>Eastern Visayas Medical Regional Center</t>
  </si>
  <si>
    <t xml:space="preserve">ASSAY: Xpert MTB/RIF, COUNT: 1860
ASSAY: Xpert MTB/RIF Ultra, COUNT: 3499
ASSAY: Xpert HIV-1 Viral Load, COUNT: 158
</t>
  </si>
  <si>
    <t>https://www.jotform.com/uploads/macarewecare/222927978372067/5572476514361261078/5572476514361261078_signature_28.png</t>
  </si>
  <si>
    <t>ma. merlina a. vistal</t>
  </si>
  <si>
    <t>https://www.jotform.com/uploads/macarewecare/222927978372067/5572476514361261078/5572476514361261078_signature_31.png</t>
  </si>
  <si>
    <t>https://www.jotform.com/uploads/macarewecare/222927978372067/5572432904615231872/5572432904615231872_signature_28.png</t>
  </si>
  <si>
    <t>https://www.jotform.com/uploads/macarewecare/222927978372067/5572432904615231872/5572432904615231872_signature_31.png</t>
  </si>
  <si>
    <t>Quezon avenue qc</t>
  </si>
  <si>
    <t>Koica laboratory</t>
  </si>
  <si>
    <t>ccsinaguinan.pbsp@gmail.com</t>
  </si>
  <si>
    <t>GX4 r1</t>
  </si>
  <si>
    <t>For laptop replacement  CNU412BVFK - CPH1221F30044 DELL5420</t>
  </si>
  <si>
    <t>Installed laptop, upload ADF files,gathered reports</t>
  </si>
  <si>
    <t>Laptop installation</t>
  </si>
  <si>
    <t>https://www.jotform.com/uploads/macarewecare/222927978372067/5572409461218221988/5572409461218221988_signature_28.png</t>
  </si>
  <si>
    <t>Cecilia Sinaguinan</t>
  </si>
  <si>
    <t>https://www.jotform.com/uploads/macarewecare/222927978372067/5572409461218221988/5572409461218221988_signature_31.png</t>
  </si>
  <si>
    <t>Cong. Simeon Toribio Memorial Hospital</t>
  </si>
  <si>
    <t xml:space="preserve">ASSAY: Xpert MTB/RIF, COUNT: 901
ASSAY: Xpert MTB/RIF Ultra, COUNT: 79
</t>
  </si>
  <si>
    <t>Defective module sn861075</t>
  </si>
  <si>
    <t>New module installed sn676721</t>
  </si>
  <si>
    <t>Replace module, clean fan filter</t>
  </si>
  <si>
    <t>https://www.jotform.com/uploads/macarewecare/222927978372067/5572011553518829357/5572011553518829357_signature_28.png</t>
  </si>
  <si>
    <t>https://www.jotform.com/uploads/macarewecare/222927978372067/5572011553518829357/5572011553518829357_signature_31.png</t>
  </si>
  <si>
    <t xml:space="preserve">ASSAY: Xpert MTB/RIF, COUNT: 128
ASSAY: Xpert MTB/RIF Ultra, COUNT: 817
</t>
  </si>
  <si>
    <t>Performed Maintenance
Gathered Reports
Performed Module Replacement = 784354 - 694493
Performed Functionality Test</t>
  </si>
  <si>
    <t>Genexpert Module - 694493</t>
  </si>
  <si>
    <t>https://www.jotform.com/uploads/macarewecare/222927978372067/5571935052024024618/5571935052024024618_signature_28.png</t>
  </si>
  <si>
    <t>https://www.jotform.com/uploads/macarewecare/222927978372067/5571935052024024618/5571935052024024618_signature_31.png</t>
  </si>
  <si>
    <t>https://www.jotform.com/uploads/macarewecare/222927978372067/5571934992023000740/5571934992023000740_signature_28.png</t>
  </si>
  <si>
    <t>https://www.jotform.com/uploads/macarewecare/222927978372067/5571934992023000740/5571934992023000740_signature_31.png</t>
  </si>
  <si>
    <t xml:space="preserve">ASSAY: Xpert MTB/RIF, COUNT: 231
ASSAY: Xpert MTB/RIF Ultra, COUNT: 1386
</t>
  </si>
  <si>
    <t>Module B1 - hardware failure</t>
  </si>
  <si>
    <t>-Replace defective module B1/669140 with new module SN: 711361</t>
  </si>
  <si>
    <t>All modules are operational, module B2 for module replacement.</t>
  </si>
  <si>
    <t>Module B2 - failed XPC; Module B3 &amp; B4 - passed; pulled out one extra XPC</t>
  </si>
  <si>
    <t>900-0491RS GeneXpert Module 6 Color</t>
  </si>
  <si>
    <t>https://www.jotform.com/uploads/macarewecare/222927978372067/5571857171918515230/5571857171918515230_signature_28.png</t>
  </si>
  <si>
    <t>https://www.jotform.com/uploads/macarewecare/222927978372067/5571857171918515230/5571857171918515230_signature_31.png</t>
  </si>
  <si>
    <t xml:space="preserve">ASSAY: Xpert HPV, COUNT: 103
ASSAY: Xpert MTB/RIF Ultra, COUNT: 931
ASSAY: Xpert SARS-CoV-2, COUNT: 196
</t>
  </si>
  <si>
    <t>Preventeive maintenance 
Calibration</t>
  </si>
  <si>
    <t>Performed surface cleaning
Performed preventive maintenance
Xpertcheck applivcation update
Performed calibration
Gathered reports
Performed functionality test</t>
  </si>
  <si>
    <t>Error 2034 encountered during calibration</t>
  </si>
  <si>
    <t>https://www.jotform.com/uploads/macarewecare/222927978372067/5571849052691184595/5571849052691184595_signature_28.png</t>
  </si>
  <si>
    <t>Angelica Conos</t>
  </si>
  <si>
    <t>https://www.jotform.com/uploads/macarewecare/222927978372067/5571849052691184595/5571849052691184595_signature_31.png</t>
  </si>
  <si>
    <t>https://www.jotform.com/uploads/macarewecare/222927978372067/5571831344316414317/5571831344316414317_signature_28.png</t>
  </si>
  <si>
    <t>https://www.jotform.com/uploads/macarewecare/222927978372067/5571831344316414317/5571831344316414317_signature_31.png</t>
  </si>
  <si>
    <t>M. Eusebio</t>
  </si>
  <si>
    <t xml:space="preserve">ASSAY: Xpert MTB/RIF, COUNT: 363
ASSAY: Xpert MTB/RIF Ultra, COUNT: 2683
</t>
  </si>
  <si>
    <t>All modules operational. Module B1/644019 service required</t>
  </si>
  <si>
    <t>https://www.jotform.com/uploads/macarewecare/222927978372067/5571830454312206394/5571830454312206394_signature_28.png</t>
  </si>
  <si>
    <t>https://www.jotform.com/uploads/macarewecare/222927978372067/5571830454312206394/5571830454312206394_signature_31.png</t>
  </si>
  <si>
    <t xml:space="preserve">ASSAY: Xpert MTB/RIF Ultra, COUNT: 579
ASSAY: Others, COUNT: 73
ASSAY: Xpert SARS-CoV-2, COUNT: 34
</t>
  </si>
  <si>
    <t>Modules B2 and B4 for replacement</t>
  </si>
  <si>
    <t>Old: B2/210024923, B4/210024322
New: B2/210017005, B4/210021760</t>
  </si>
  <si>
    <t>https://www.jotform.com/uploads/macarewecare/222927978372067/5571830454312536901/5571830454312536901_signature_28.png</t>
  </si>
  <si>
    <t>https://www.jotform.com/uploads/macarewecare/222927978372067/5571830454312536901/5571830454312536901_signature_31.png</t>
  </si>
  <si>
    <t>https://www.jotform.com/uploads/macarewecare/222927978372067/5571830454314585675/5571830454314585675_signature_28.png</t>
  </si>
  <si>
    <t>https://www.jotform.com/uploads/macarewecare/222927978372067/5571830454314585675/5571830454314585675_signature_31.png</t>
  </si>
  <si>
    <t>Jacob St., Nagpayong</t>
  </si>
  <si>
    <t xml:space="preserve">ASSAY: Xpert MTB/RIF, COUNT: 176
ASSAY: Xpert MTB/RIF Ultra, COUNT: 544
</t>
  </si>
  <si>
    <t>Performed maintenance 
Replaced UPS 
Run XpertCheck on module B2
Generated reports</t>
  </si>
  <si>
    <t>Unit is operational. Modules B2, B3 and B4 not operational. Reported already.</t>
  </si>
  <si>
    <t>DR# 9599</t>
  </si>
  <si>
    <t>https://www.jotform.com/uploads/macarewecare/222927978372067/5571830454315115770/5571830454315115770_signature_28.png</t>
  </si>
  <si>
    <t>https://www.jotform.com/uploads/macarewecare/222927978372067/5571830454315115770/5571830454315115770_signature_31.png</t>
  </si>
  <si>
    <t>H.V Dela Costa</t>
  </si>
  <si>
    <t>Performed maintenance 
Cleaned cartridge bay, plunger rod, icore 
Generated reports</t>
  </si>
  <si>
    <t>https://www.jotform.com/uploads/macarewecare/222927978372067/5571830464316374052/5571830464316374052_signature_28.png</t>
  </si>
  <si>
    <t>https://www.jotform.com/uploads/macarewecare/222927978372067/5571830464316374052/5571830464316374052_signature_31.png</t>
  </si>
  <si>
    <t xml:space="preserve">ASSAY: Xpert SARS-CoV-2, COUNT: 1746
</t>
  </si>
  <si>
    <t>Stuck cartridge on D3</t>
  </si>
  <si>
    <t>Performed maintenance
Performed surface cleaning
Remove stuck cartridge
Gathered reports
Performed functionality test</t>
  </si>
  <si>
    <t>https://www.jotform.com/uploads/macarewecare/222927978372067/5571821242695894161/5571821242695894161_signature_28.png</t>
  </si>
  <si>
    <t>John Nathaniel C. Sallao</t>
  </si>
  <si>
    <t>https://www.jotform.com/uploads/macarewecare/222927978372067/5571821242695894161/5571821242695894161_signature_31.png</t>
  </si>
  <si>
    <t>Sta Rosa District Hospital</t>
  </si>
  <si>
    <t>Sta Rosa Olango Lapulapu city</t>
  </si>
  <si>
    <t xml:space="preserve">ASSAY: Xpert MTB/RIF, COUNT: 30
</t>
  </si>
  <si>
    <t>Due for Monthly calibration</t>
  </si>
  <si>
    <t>Conduct preventive maintenance</t>
  </si>
  <si>
    <t>Clean filter, clean Icore, and cartridge bay, check ups voltage</t>
  </si>
  <si>
    <t>https://www.jotform.com/uploads/macarewecare/222927978372067/5571815037221819276/5571815037221819276_signature_28.png</t>
  </si>
  <si>
    <t>https://www.jotform.com/uploads/macarewecare/222927978372067/5571815037221819276/5571815037221819276_signature_31.png</t>
  </si>
  <si>
    <t>Poblacion South polanco, Zamboanga del Norte</t>
  </si>
  <si>
    <t>Replaced Module 862313 with Module 647451</t>
  </si>
  <si>
    <t>All Modules are available</t>
  </si>
  <si>
    <t>https://www.jotform.com/uploads/macarewecare/222927978372067/5571788183521672579/5571788183521672579_signature_28.png</t>
  </si>
  <si>
    <t>Gergean Lura</t>
  </si>
  <si>
    <t>https://www.jotform.com/uploads/macarewecare/222927978372067/5571788183521672579/5571788183521672579_signature_31.png</t>
  </si>
  <si>
    <t>Unit for PM.
For re-Xpertcheck of module B1.</t>
  </si>
  <si>
    <t>Performed PM.
Performed re-Xpertcheck on module B1.
Generated reports.</t>
  </si>
  <si>
    <t>Unit is operational. Module B1 (624926), service required.</t>
  </si>
  <si>
    <t>G 5429</t>
  </si>
  <si>
    <t>https://www.jotform.com/uploads/macarewecare/222927978372067/5571780795017058409/5571780795017058409_signature_28.png</t>
  </si>
  <si>
    <t>https://www.jotform.com/uploads/macarewecare/222927978372067/5571780795017058409/5571780795017058409_signature_31.png</t>
  </si>
  <si>
    <t>Poblacion Ipil, Zamboanga Sibugay</t>
  </si>
  <si>
    <t xml:space="preserve">ASSAY: Xpert MTB/RIF Ultra, COUNT: 1553
</t>
  </si>
  <si>
    <t>Module Replacement and Preventive maintenence</t>
  </si>
  <si>
    <t>https://www.jotform.com/uploads/macarewecare/222927978372067/5571758522525970939/5571758522525970939_signature_28.png</t>
  </si>
  <si>
    <t>https://www.jotform.com/uploads/macarewecare/222927978372067/5571758522525970939/5571758522525970939_signature_31.png</t>
  </si>
  <si>
    <t>Malungon</t>
  </si>
  <si>
    <t>Perform Genexpert machine Preventive maintenance
Perform Xpertcheck at module 2 for troubleshooting</t>
  </si>
  <si>
    <t>Module 2 passed for Xpertcheck/calibration</t>
  </si>
  <si>
    <t>https://www.jotform.com/uploads/macarewecare/222927978372067/5571750335003751256/5571750335003751256_signature_28.png</t>
  </si>
  <si>
    <t>https://www.jotform.com/uploads/macarewecare/222927978372067/5571750335003751256/5571750335003751256_signature_31.png</t>
  </si>
  <si>
    <t>https://www.jotform.com/uploads/macarewecare/222927978372067/5571750265002002514/5571750265002002514_signature_28.png</t>
  </si>
  <si>
    <t>https://www.jotform.com/uploads/macarewecare/222927978372067/5571750265002002514/5571750265002002514_signature_31.png</t>
  </si>
  <si>
    <t>Ajuy Rural Health Unit</t>
  </si>
  <si>
    <t>jaaziahjesse@gmail.com</t>
  </si>
  <si>
    <t xml:space="preserve">ASSAY: Xpert MTB/RIF Ultra, COUNT: 24
</t>
  </si>
  <si>
    <t>Module B1 &amp; B3 - hardware failure</t>
  </si>
  <si>
    <t>-Replace defective module B1/695903 with new module SN: 718278
-Replace defective module B3/695905 with new module SN: 793567</t>
  </si>
  <si>
    <t>Module B2 &amp; B4 passed Xpertcheck calibration. Pulled out 2 extra XPC</t>
  </si>
  <si>
    <t>2 900-0491RS GeneXpert Module 6</t>
  </si>
  <si>
    <t>https://www.jotform.com/uploads/macarewecare/222927978372067/5571715516617794656/5571715516617794656_signature_28.png</t>
  </si>
  <si>
    <t>Razhel Anne Libo-on</t>
  </si>
  <si>
    <t>https://www.jotform.com/uploads/macarewecare/222927978372067/5571715516617794656/5571715516617794656_signature_31.png</t>
  </si>
  <si>
    <t>Catbalogan City</t>
  </si>
  <si>
    <t xml:space="preserve">ASSAY: Xpert MTB/RIF, COUNT: 1047
ASSAY: Xpert MTB/RIF Ultra, COUNT: 1036
</t>
  </si>
  <si>
    <t>-Replace defective module C2/ 695897 into 676713
- Performed functionality test
-Performed preventive maintenance
- Generate reports</t>
  </si>
  <si>
    <t>Unit is Operational (Module C3 H/W Failed)</t>
  </si>
  <si>
    <t>https://www.jotform.com/uploads/macarewecare/222927978372067/5571708041711597033/5571708041711597033_signature_28.png</t>
  </si>
  <si>
    <t>leslie daryl leones</t>
  </si>
  <si>
    <t>https://www.jotform.com/uploads/macarewecare/222927978372067/5571708041711597033/5571708041711597033_signature_31.png</t>
  </si>
  <si>
    <t xml:space="preserve">ASSAY: Xpert MTB/RIF, COUNT: 162
ASSAY: Xpert MTB/RIF Ultra, COUNT: 1323
</t>
  </si>
  <si>
    <t>Replacing Module B2 with SN: 806518 to SN: 698547</t>
  </si>
  <si>
    <t>All modules are passed and functional</t>
  </si>
  <si>
    <t>GenXpert Module 6-Color</t>
  </si>
  <si>
    <t>https://www.jotform.com/uploads/macarewecare/222927978372067/5571694579127651362/5571694579127651362_signature_28.png</t>
  </si>
  <si>
    <t>https://www.jotform.com/uploads/macarewecare/222927978372067/5571694579127651362/5571694579127651362_signature_31.png</t>
  </si>
  <si>
    <t>Morada Ave. Lipa</t>
  </si>
  <si>
    <t>Unit for PM.
For module replacement of module C1.</t>
  </si>
  <si>
    <t>Performed PM.
Performed module replacement on C1.</t>
  </si>
  <si>
    <t>Gx module C1 (693460) in replacement to defective C1 (667760).</t>
  </si>
  <si>
    <t>G 5430</t>
  </si>
  <si>
    <t>https://www.jotform.com/uploads/macarewecare/222927978372067/5571690331111463655/5571690331111463655_signature_28.png</t>
  </si>
  <si>
    <t>https://www.jotform.com/uploads/macarewecare/222927978372067/5571690331111463655/5571690331111463655_signature_31.png</t>
  </si>
  <si>
    <t>SEBASTE ANTIQUE</t>
  </si>
  <si>
    <t xml:space="preserve">ASSAY: Xpert MTB/RIF, COUNT: 203
ASSAY: Xpert MTB/RIF Ultra, COUNT: 1812
</t>
  </si>
  <si>
    <t>EQUIPMENT IS OPERATIONAL, MODULE B3 DISABLED</t>
  </si>
  <si>
    <t>https://www.jotform.com/uploads/macarewecare/222927978372067/5571690334529862669/5571690334529862669_signature_28.png</t>
  </si>
  <si>
    <t>https://www.jotform.com/uploads/macarewecare/222927978372067/5571690334529862669/5571690334529862669_signature_31.png</t>
  </si>
  <si>
    <t>Tondo foreshore</t>
  </si>
  <si>
    <t>Pacheco st, tondo manila</t>
  </si>
  <si>
    <t>Installed and set up unit, gathered reports, test run unit</t>
  </si>
  <si>
    <t>https://www.jotform.com/uploads/macarewecare/222927978372067/5571680015314868564/5571680015314868564_signature_28.png</t>
  </si>
  <si>
    <t>Dennis B. Aguilon</t>
  </si>
  <si>
    <t>https://www.jotform.com/uploads/macarewecare/222927978372067/5571680015314868564/5571680015314868564_signature_31.png</t>
  </si>
  <si>
    <t xml:space="preserve">ASSAY: Xpert MTB/RIF, COUNT: 153
ASSAY: Xpert MTB/RIF Ultra, COUNT: 1361
</t>
  </si>
  <si>
    <t>Defective module for B1/862379, B2/862380 and B3/862381</t>
  </si>
  <si>
    <t>New Modules for B1/760112, B2/606933 and B3/715690</t>
  </si>
  <si>
    <t>Module B4 for replacement due failed in Xpert Check</t>
  </si>
  <si>
    <t>https://www.jotform.com/uploads/macarewecare/222927978372067/5571657537971299346/5571657537971299346_signature_28.png</t>
  </si>
  <si>
    <t>https://www.jotform.com/uploads/macarewecare/222927978372067/5571657537971299346/5571657537971299346_signature_31.png</t>
  </si>
  <si>
    <t>Poblacion 2, Cuenca</t>
  </si>
  <si>
    <t>LIGAYAMIJARES50@gmail.com</t>
  </si>
  <si>
    <t>Unit for PM.
Unit for Xpertcheck.
For module replacement of module A1.</t>
  </si>
  <si>
    <t>Performed PM.
Performed module replacement on module A1.
Performed Xpertcheck.
Generate reports.</t>
  </si>
  <si>
    <t>PM, Xpertcheck, module replacement.</t>
  </si>
  <si>
    <t>Unit is operational.
Module A3, service required.</t>
  </si>
  <si>
    <t>Gx module A1 (750974) in replacement to defective A1 (731311).
Xpertcheck.</t>
  </si>
  <si>
    <t>Gx module DR 9808, Xpertcheck DR 9485</t>
  </si>
  <si>
    <t>https://www.jotform.com/uploads/macarewecare/222927978372067/5571626611112953102/5571626611112953102_signature_28.png</t>
  </si>
  <si>
    <t>https://www.jotform.com/uploads/macarewecare/222927978372067/5571626611112953102/5571626611112953102_signature_31.png</t>
  </si>
  <si>
    <t>Dimasalang Health Center (Lanuza Health Center)</t>
  </si>
  <si>
    <t xml:space="preserve">ASSAY: Xpert HPV, COUNT: 10
ASSAY: Xpert MTB/RIF, COUNT: 21
ASSAY: Xpert MTB/RIF Ultra, COUNT: 1341
</t>
  </si>
  <si>
    <t>Gx module B1 (874866) in replacement to defective B1 (630369)</t>
  </si>
  <si>
    <t>G 5431</t>
  </si>
  <si>
    <t>https://www.jotform.com/uploads/macarewecare/222927978372067/5571610818413235457/5571610818413235457_signature_28.png</t>
  </si>
  <si>
    <t>Eva Marie Jone</t>
  </si>
  <si>
    <t>https://www.jotform.com/uploads/macarewecare/222927978372067/5571610818413235457/5571610818413235457_signature_31.png</t>
  </si>
  <si>
    <t>Calbayog City</t>
  </si>
  <si>
    <t>maganteelena@gmail.com</t>
  </si>
  <si>
    <t xml:space="preserve">ASSAY: Xpert MTB/RIF, COUNT: 562
ASSAY: Xpert MTB/RIF Ultra, COUNT: 679
</t>
  </si>
  <si>
    <t>- Replace defective Module B4/721870 - SN: 725420
- Performed preventive maintenance 
-Performed functionality test
- Generate Reports</t>
  </si>
  <si>
    <t>https://www.jotform.com/uploads/macarewecare/222927978372067/5571602945643841009/5571602945643841009_signature_28.png</t>
  </si>
  <si>
    <t>Elena M. Villa</t>
  </si>
  <si>
    <t>https://www.jotform.com/uploads/macarewecare/222927978372067/5571602945643841009/5571602945643841009_signature_31.png</t>
  </si>
  <si>
    <t>Gandara RHU</t>
  </si>
  <si>
    <t xml:space="preserve">ASSAY: Xpert MTB/RIF, COUNT: 269
ASSAY: Xpert MTB/RIF Ultra, COUNT: 511
</t>
  </si>
  <si>
    <t>-Replace defective module B3/754026 into 617444
-Run XPC on module B1
-Performed preventive maintenance
-Performed functionality test
- Generate Reports</t>
  </si>
  <si>
    <t>Module B1 service required on XPC</t>
  </si>
  <si>
    <t>- GeneXpert Module 6 Color
- 1 XPC cartridge</t>
  </si>
  <si>
    <t>https://www.jotform.com/uploads/macarewecare/222927978372067/5571602945645582858/5571602945645582858_signature_28.png</t>
  </si>
  <si>
    <t>Ma.teresa E.Aliman</t>
  </si>
  <si>
    <t>https://www.jotform.com/uploads/macarewecare/222927978372067/5571602945645582858/5571602945645582858_signature_31.png</t>
  </si>
  <si>
    <t>Mayor Hilarion A. Ramiro Sr. Medical Center</t>
  </si>
  <si>
    <t xml:space="preserve">ASSAY: Xpert MTB/RIF Ultra, COUNT: 1136
ASSAY: Xpert HIV-1 Viral Load, COUNT: 34
</t>
  </si>
  <si>
    <t>Module B4/618492 failed during calibration</t>
  </si>
  <si>
    <t>Replace module defective B4/618492
New Module replacement SN/617234</t>
  </si>
  <si>
    <t>Module Replacement
Generate reporting files
Database back up</t>
  </si>
  <si>
    <t>https://www.jotform.com/uploads/macarewecare/222927978372067/5571594307648829285/5571594307648829285_signature_28.png</t>
  </si>
  <si>
    <t>Felipe D Saren Jr - RMT</t>
  </si>
  <si>
    <t>https://www.jotform.com/uploads/macarewecare/222927978372067/5571594307648829285/5571594307648829285_signature_31.png</t>
  </si>
  <si>
    <t xml:space="preserve">ASSAY: Xpert SARS-CoV-2, COUNT: 5638
</t>
  </si>
  <si>
    <t>Xpertcheck calibration
Generate Reporting files
Database back up</t>
  </si>
  <si>
    <t>B1: Passed , B2:Retry then Fail  , B3/B4 : Retry calibration</t>
  </si>
  <si>
    <t>https://www.jotform.com/uploads/macarewecare/222927978372067/5571593557648124137/5571593557648124137_signature_28.png</t>
  </si>
  <si>
    <t>https://www.jotform.com/uploads/macarewecare/222927978372067/5571593557648124137/5571593557648124137_signature_31.png</t>
  </si>
  <si>
    <t>https://www.jotform.com/uploads/macarewecare/222927978372067/5571577275716592201/5571577275716592201_signature_28.png</t>
  </si>
  <si>
    <t>https://www.jotform.com/uploads/macarewecare/222927978372067/5571577275716592201/5571577275716592201_signature_31.png</t>
  </si>
  <si>
    <t>Unit for Pm.
For module replacement of module B2.</t>
  </si>
  <si>
    <t>Unit is operational. Unable to replace module B3 due to mistaken allocation.</t>
  </si>
  <si>
    <t>Gx module B2 (678381) in replacement to defective B2 (709892).</t>
  </si>
  <si>
    <t>DR 9799</t>
  </si>
  <si>
    <t>https://www.jotform.com/uploads/macarewecare/222927978372067/5571553680706750052/5571553680706750052_signature_28.png</t>
  </si>
  <si>
    <t>https://www.jotform.com/uploads/macarewecare/222927978372067/5571553680706750052/5571553680706750052_signature_31.png</t>
  </si>
  <si>
    <t>Poblacion Pudyol Apayao</t>
  </si>
  <si>
    <t xml:space="preserve">ASSAY: Xpert MTB/RIF, COUNT: 19
ASSAY: Xpert MTB/RIF Ultra, COUNT: 2300
</t>
  </si>
  <si>
    <t>A1 and A3 for module replacement, UPS not functional</t>
  </si>
  <si>
    <t>Preventive maintenance
Calibration
Module replacement</t>
  </si>
  <si>
    <t>Performed surface cleaning
Performed preventive maintenance
Performed module replacement
Performed calibration
Gathered reports
Performed functionality test</t>
  </si>
  <si>
    <t>Unit is operational except A2 and A4. UPS for request</t>
  </si>
  <si>
    <t>A2 failed calibration</t>
  </si>
  <si>
    <t>2 genexpert module, 1 xpertcheck kit</t>
  </si>
  <si>
    <t>https://www.jotform.com/uploads/macarewecare/222927978372067/5571313799416075454/5571313799416075454_signature_28.png</t>
  </si>
  <si>
    <t>Daisy Lynn Lacar</t>
  </si>
  <si>
    <t>https://www.jotform.com/uploads/macarewecare/222927978372067/5571313799416075454/5571313799416075454_signature_31.png</t>
  </si>
  <si>
    <t>Carcar RTDL</t>
  </si>
  <si>
    <t xml:space="preserve">ASSAY: Xpert MTB/RIF, COUNT: 668
</t>
  </si>
  <si>
    <t>Module 2 Serial Number 802769, Error 1001</t>
  </si>
  <si>
    <t>Adjust temperature of the aircon, clean filter and reset module 2</t>
  </si>
  <si>
    <t>Clean Filter, Reset module, Get data IQR and Sys log, Gxx files</t>
  </si>
  <si>
    <t>All modules are available however during few more test error 1001 occured</t>
  </si>
  <si>
    <t>https://www.jotform.com/uploads/macarewecare/222927978372067/5571007357222373705/5571007357222373705_signature_28.png</t>
  </si>
  <si>
    <t>https://www.jotform.com/uploads/macarewecare/222927978372067/5571007357222373705/5571007357222373705_signature_31.png</t>
  </si>
  <si>
    <t xml:space="preserve">ASSAY: Xpert MTB/RIF, COUNT: 82
ASSAY: Xpert MTB/RIF Ultra, COUNT: 431
</t>
  </si>
  <si>
    <t>Module Replacement = 758257 &amp; 758259 - 639028 &amp; 908350</t>
  </si>
  <si>
    <t>Genexpert Module - 639028 &amp; 908350</t>
  </si>
  <si>
    <t>9769 &amp; 9770</t>
  </si>
  <si>
    <t>https://www.jotform.com/uploads/macarewecare/222927978372067/5570975645212231692/5570975645212231692_signature_28.png</t>
  </si>
  <si>
    <t>https://www.jotform.com/uploads/macarewecare/222927978372067/5570975645212231692/5570975645212231692_signature_31.png</t>
  </si>
  <si>
    <t>San Nicolas 1, Magalang, Pampanga</t>
  </si>
  <si>
    <t xml:space="preserve">ASSAY: Xpert MTB/RIF, COUNT: 145
ASSAY: Xpert MTB/RIF Ultra, COUNT: 440
</t>
  </si>
  <si>
    <t>Module 2 stuck cartridge
UPS not working</t>
  </si>
  <si>
    <t>Open Module door manually</t>
  </si>
  <si>
    <t>Performed Maintenance
Gathered Reports
Performed Troubleshooting
Performed Functionality Test</t>
  </si>
  <si>
    <t>https://www.jotform.com/uploads/macarewecare/222927978372067/5570975645213713891/5570975645213713891_signature_28.png</t>
  </si>
  <si>
    <t>Beverly Rose D. Lozano</t>
  </si>
  <si>
    <t>https://www.jotform.com/uploads/macarewecare/222927978372067/5570975645213713891/5570975645213713891_signature_31.png</t>
  </si>
  <si>
    <t>Jereza St., La Carlota City, Negros Occidental</t>
  </si>
  <si>
    <t>shane.gipanago@gmail.com</t>
  </si>
  <si>
    <t xml:space="preserve">ASSAY: Xpert MTB/RIF, COUNT: 278
ASSAY: Xpert MTB/RIF Ultra, COUNT: 1506
</t>
  </si>
  <si>
    <t>Defective module 690194/A1</t>
  </si>
  <si>
    <t>- Replaced module 690194/A1 with new module SN 678090</t>
  </si>
  <si>
    <t>https://www.jotform.com/uploads/macarewecare/222927978372067/5570871114717882457/5570871114717882457_signature_28.png</t>
  </si>
  <si>
    <t>shane m. gipanago</t>
  </si>
  <si>
    <t>https://www.jotform.com/uploads/macarewecare/222927978372067/5570871114717882457/5570871114717882457_signature_31.png</t>
  </si>
  <si>
    <t>bdhclinlab@gmail.com</t>
  </si>
  <si>
    <t xml:space="preserve">ASSAY: Xpert MTB/RIF, COUNT: 802
ASSAY: Xpert MTB/RIF Ultra, COUNT: 4066
</t>
  </si>
  <si>
    <t>Replacing Module A2 with SN: 769073 to SN: 725400</t>
  </si>
  <si>
    <t>https://www.jotform.com/uploads/macarewecare/222927978372067/5570849436916048802/5570849436916048802_signature_28.png</t>
  </si>
  <si>
    <t>Rosephine Toyong</t>
  </si>
  <si>
    <t>https://www.jotform.com/uploads/macarewecare/222927978372067/5570849436916048802/5570849436916048802_signature_31.png</t>
  </si>
  <si>
    <t xml:space="preserve">ASSAY: Xpert MTB/RIF, COUNT: 793
ASSAY: Xpert MTB/RIF Ultra, COUNT: 1495
ASSAY: Xpert HIV-1 Viral Load, COUNT: 29
</t>
  </si>
  <si>
    <t>Stuck cartridge on module B3 (SN:730410)</t>
  </si>
  <si>
    <t>Module B4 disabled (multiple temperature error)</t>
  </si>
  <si>
    <t>https://www.jotform.com/uploads/macarewecare/222927978372067/5570780028853545303/5570780028853545303_signature_28.png</t>
  </si>
  <si>
    <t>Dinah Ada</t>
  </si>
  <si>
    <t>https://www.jotform.com/uploads/macarewecare/222927978372067/5570780028853545303/5570780028853545303_signature_31.png</t>
  </si>
  <si>
    <t>CALUYA MUNICIPAL HEALTH OFFICE</t>
  </si>
  <si>
    <t>CALUYA, ANTIQUE</t>
  </si>
  <si>
    <t>pcb1.caluya@yahoo.com</t>
  </si>
  <si>
    <t xml:space="preserve">ASSAY: Xpert MTB/RIF, COUNT: N/A
</t>
  </si>
  <si>
    <t>https://www.jotform.com/uploads/macarewecare/222927978372067/5570776341019489034/5570776341019489034_signature_28.png</t>
  </si>
  <si>
    <t>Mary Grace P. Francisco,RMT</t>
  </si>
  <si>
    <t>https://www.jotform.com/uploads/macarewecare/222927978372067/5570776341019489034/5570776341019489034_signature_31.png</t>
  </si>
  <si>
    <t>Potohan, Tubigon</t>
  </si>
  <si>
    <t>Defective module 4 sn695938</t>
  </si>
  <si>
    <t>New module 4 sn913043</t>
  </si>
  <si>
    <t>https://www.jotform.com/uploads/macarewecare/222927978372067/5570743275511702296/5570743275511702296_signature_28.png</t>
  </si>
  <si>
    <t>https://www.jotform.com/uploads/macarewecare/222927978372067/5570743275511702296/5570743275511702296_signature_31.png</t>
  </si>
  <si>
    <t>For checking of MCS+ due to manifold issue with Sir Hawie.</t>
  </si>
  <si>
    <t>Performed troubleshooting of MCS+.
Checked manifold sensor using manifold from new kits and service manifold.
Tried diagnostic and UPP protocol cards for isolation of problem.</t>
  </si>
  <si>
    <t>Unit is operational. Manifold sensor is operational. Kit issue with specific lot numbers.</t>
  </si>
  <si>
    <t>https://www.jotform.com/uploads/macarewecare/222927978372067/5570738711113443577/5570738711113443577_signature_28.png</t>
  </si>
  <si>
    <t>https://www.jotform.com/uploads/macarewecare/222927978372067/5570738711113443577/5570738711113443577_signature_31.png</t>
  </si>
  <si>
    <t>https://www.jotform.com/uploads/macarewecare/222927978372067/5570738711119610673/5570738711119610673_signature_28.png</t>
  </si>
  <si>
    <t>https://www.jotform.com/uploads/macarewecare/222927978372067/5570738711119610673/5570738711119610673_signature_31.png</t>
  </si>
  <si>
    <t xml:space="preserve">ASSAY: Xpert MTB/RIF, COUNT: 456
ASSAY: Xpert MTB/RIF Ultra, COUNT: 1052
</t>
  </si>
  <si>
    <t>Module A2 &amp; A4 - hardware failure</t>
  </si>
  <si>
    <t>-Replace defective module A2/752968 with new module SN: 638250
-Replace defective module A4/862900 with new module SN: 802146</t>
  </si>
  <si>
    <t>Module A1 disabled- frequent temp error; Module A2, A3, A4 are operational.</t>
  </si>
  <si>
    <t>Module A1 for XPC verification</t>
  </si>
  <si>
    <t>2 - 900-0491RS GeneXpert Module 6-Color</t>
  </si>
  <si>
    <t>9832/9838</t>
  </si>
  <si>
    <t>https://www.jotform.com/uploads/macarewecare/222927978372067/5570730273911987211/5570730273911987211_signature_28.png</t>
  </si>
  <si>
    <t>https://www.jotform.com/uploads/macarewecare/222927978372067/5570730273911987211/5570730273911987211_signature_31.png</t>
  </si>
  <si>
    <t xml:space="preserve">ASSAY: Xpert MTB/RIF, COUNT: 267
ASSAY: Xpert MTB/RIF Ultra, COUNT: 2076
</t>
  </si>
  <si>
    <t>Perform Genexpert machine Preventive maintenance 
Replace module 4 SN:697836 with new module SN:901953
Perform Xpertcheck at module 3 for troubleshooting</t>
  </si>
  <si>
    <t>DR no. 9823</t>
  </si>
  <si>
    <t>https://www.jotform.com/uploads/macarewecare/222927978372067/5570725849965324298/5570725849965324298_signature_28.png</t>
  </si>
  <si>
    <t>TESSA MAE E. SAGUINDAN</t>
  </si>
  <si>
    <t>https://www.jotform.com/uploads/macarewecare/222927978372067/5570725849965324298/5570725849965324298_signature_31.png</t>
  </si>
  <si>
    <t xml:space="preserve">ASSAY: Xpert MTB/RIF, COUNT: 157
ASSAY: Xpert MTB/RIF Ultra, COUNT: 545
</t>
  </si>
  <si>
    <t>Replaced module 1 SN: 807148 with new module SN: 688478
Perform Genexpert machine preventive maintenance</t>
  </si>
  <si>
    <t>DR number: 9783</t>
  </si>
  <si>
    <t>https://www.jotform.com/uploads/macarewecare/222927978372067/5570725849965456476/5570725849965456476_signature_28.png</t>
  </si>
  <si>
    <t>https://www.jotform.com/uploads/macarewecare/222927978372067/5570725849965456476/5570725849965456476_signature_31.png</t>
  </si>
  <si>
    <t>No display defective cpu board</t>
  </si>
  <si>
    <t>Performed troubleshooting, delivered and installed for stand by cpu board ,checked valve,rollers,line sensor,display panel,dpm,spm,cuff,performed calibration,performed functionality test</t>
  </si>
  <si>
    <t>Returned defective cpu board for safe keeping</t>
  </si>
  <si>
    <t>CPU Board assembly</t>
  </si>
  <si>
    <t>https://www.jotform.com/uploads/macarewecare/222927978372067/5570187778321891357/5570187778321891357_signature_28.png</t>
  </si>
  <si>
    <t>Ryan Baldelobar</t>
  </si>
  <si>
    <t>https://www.jotform.com/uploads/macarewecare/222927978372067/5570187778321891357/5570187778321891357_signature_31.png</t>
  </si>
  <si>
    <t>https://www.jotform.com/uploads/macarewecare/222927978372067/5570181648324337665/5570181648324337665_signature_28.png</t>
  </si>
  <si>
    <t>https://www.jotform.com/uploads/macarewecare/222927978372067/5570181648324337665/5570181648324337665_signature_31.png</t>
  </si>
  <si>
    <t xml:space="preserve">ASSAY: Xpert MTB/RIF, COUNT: 80
ASSAY: Xpert MTB/RIF Ultra, COUNT: 371
ASSAY: Xpert HIV-1 Viral Load, COUNT: 31
</t>
  </si>
  <si>
    <t>Module B3 (686201) for replacement</t>
  </si>
  <si>
    <t>GeneXpert Module 
SN: 210071169</t>
  </si>
  <si>
    <t>https://www.jotform.com/uploads/macarewecare/222927978372067/5570100991212802333/5570100991212802333_signature_28.png</t>
  </si>
  <si>
    <t>Hannah Reyes</t>
  </si>
  <si>
    <t>https://www.jotform.com/uploads/macarewecare/222927978372067/5570100991212802333/5570100991212802333_signature_31.png</t>
  </si>
  <si>
    <t xml:space="preserve">ASSAY: Xpert MTB/RIF, COUNT: 898
ASSAY: Xpert MTB/RIF Ultra, COUNT: 708
ASSAY: Xpert SARS-CoV-2, COUNT: 18
</t>
  </si>
  <si>
    <t>Defective module 4 sn769730</t>
  </si>
  <si>
    <t>New module 4 installed sn714503</t>
  </si>
  <si>
    <t>Replace new module, clean fan filter</t>
  </si>
  <si>
    <t>https://www.jotform.com/uploads/macarewecare/222927978372067/5570075262319036319/5570075262319036319_signature_28.png</t>
  </si>
  <si>
    <t>https://www.jotform.com/uploads/macarewecare/222927978372067/5570075262319036319/5570075262319036319_signature_31.png</t>
  </si>
  <si>
    <t xml:space="preserve">ASSAY: Xpert HPV, COUNT: 195
ASSAY: Xpert MTB/RIF, COUNT: 1061
ASSAY: Xpert MTB/RIF Ultra, COUNT: 1295
</t>
  </si>
  <si>
    <t>Module A3 - h/w fail</t>
  </si>
  <si>
    <t>Replace module A3 temporarily with service module SN: 708880</t>
  </si>
  <si>
    <t>Replace module A3/676993 temporarily with service module SN: 708880</t>
  </si>
  <si>
    <t>Service module SN. 708880 installed and defective module pulled out. For Xpertcheck verification upon calibration.</t>
  </si>
  <si>
    <t>https://www.jotform.com/uploads/macarewecare/222927978372067/5570072369526896893/5570072369526896893_signature_28.png</t>
  </si>
  <si>
    <t>https://www.jotform.com/uploads/macarewecare/222927978372067/5570072369526896893/5570072369526896893_signature_31.png</t>
  </si>
  <si>
    <t xml:space="preserve">ASSAY: Xpert HPV, COUNT: 203
ASSAY: Xpert MTB/RIF, COUNT: 926
ASSAY: Xpert MTB/RIF Ultra, COUNT: 1364
</t>
  </si>
  <si>
    <t>Module A3/721922 - defective</t>
  </si>
  <si>
    <t>Replace defective module A3/721922 with new module SN: 711106</t>
  </si>
  <si>
    <t>900-0491RS GeneXpert Module 6-Color SN. 711106</t>
  </si>
  <si>
    <t>https://www.jotform.com/uploads/macarewecare/222927978372067/5570072369527408904/5570072369527408904_signature_28.png</t>
  </si>
  <si>
    <t>https://www.jotform.com/uploads/macarewecare/222927978372067/5570072369527408904/5570072369527408904_signature_31.png</t>
  </si>
  <si>
    <t>Pasabolong, Zamboanga City, Zamboanga del sur</t>
  </si>
  <si>
    <t xml:space="preserve">ASSAY: Xpert MTB/RIF Ultra, COUNT: 1895
</t>
  </si>
  <si>
    <t>Module 1 and 2 error 4012 and 2014</t>
  </si>
  <si>
    <t>Preventive Maintenence, Checked for new errors and room temperature</t>
  </si>
  <si>
    <t>Module 3 and 4 available. Module 1 and 2 must undergone Xpertcheck</t>
  </si>
  <si>
    <t>Module 1 and 2 have already been reported multiple times.</t>
  </si>
  <si>
    <t>https://www.jotform.com/uploads/macarewecare/222927978372067/5570066793845860434/5570066793845860434_signature_28.png</t>
  </si>
  <si>
    <t>https://www.jotform.com/uploads/macarewecare/222927978372067/5570066793845860434/5570066793845860434_signature_31.png</t>
  </si>
  <si>
    <t>Calatagan Rural Health Unit</t>
  </si>
  <si>
    <t>Ayala St., Calatagan</t>
  </si>
  <si>
    <t>1001melani@gmail.com</t>
  </si>
  <si>
    <t>https://www.jotform.com/uploads/macarewecare/222927978372067/5570057721217485997/5570057721217485997_signature_28.png</t>
  </si>
  <si>
    <t>Melani Buenaventura</t>
  </si>
  <si>
    <t>https://www.jotform.com/uploads/macarewecare/222927978372067/5570057721217485997/5570057721217485997_signature_31.png</t>
  </si>
  <si>
    <t>Bislig District Hospital</t>
  </si>
  <si>
    <t>Poblacion, Bislig City</t>
  </si>
  <si>
    <t>gvnovero@yahoo.com</t>
  </si>
  <si>
    <t xml:space="preserve">ASSAY: Xpert MTB/RIF Ultra, COUNT: 1399
</t>
  </si>
  <si>
    <t>Replacing Module B1 with SN: 750170 to SN: 662236
Replacing Module B4 with SN: 902726 to SN: 674605</t>
  </si>
  <si>
    <t>https://www.jotform.com/uploads/macarewecare/222927978372067/5570044507328345671/5570044507328345671_signature_28.png</t>
  </si>
  <si>
    <t>Georgina Novero</t>
  </si>
  <si>
    <t>https://www.jotform.com/uploads/macarewecare/222927978372067/5570044507328345671/5570044507328345671_signature_31.png</t>
  </si>
  <si>
    <t>maryjoycarton1031@gmail.com</t>
  </si>
  <si>
    <t xml:space="preserve">ASSAY: Xpert MTB/RIF, COUNT: 232
ASSAY: Xpert MTB/RIF Ultra, COUNT: 771
</t>
  </si>
  <si>
    <t>Defective modules 633207/A2 and 686121/A3</t>
  </si>
  <si>
    <t>- Replaced module 633207/A2 with new module SN 220004692.
- Replaced module 686121/A3 with new module SN 609119</t>
  </si>
  <si>
    <t>https://www.jotform.com/uploads/macarewecare/222927978372067/5570019002619105207/5570019002619105207_signature_28.png</t>
  </si>
  <si>
    <t>mary joy carton</t>
  </si>
  <si>
    <t>https://www.jotform.com/uploads/macarewecare/222927978372067/5570019002619105207/5570019002619105207_signature_31.png</t>
  </si>
  <si>
    <t>H/W Fail on module B3/676363</t>
  </si>
  <si>
    <t>Module replacement 
New module SN/688652</t>
  </si>
  <si>
    <t>https://www.jotform.com/uploads/macarewecare/222927978372067/5569980230162115176/5569980230162115176_signature_28.png</t>
  </si>
  <si>
    <t>https://www.jotform.com/uploads/macarewecare/222927978372067/5569980230162115176/5569980230162115176_signature_31.png</t>
  </si>
  <si>
    <t>Saturno st. Brgy 1, Maria Aurora, Aurora</t>
  </si>
  <si>
    <t xml:space="preserve">ASSAY: Xpert MTB/RIF, COUNT: 578
ASSAY: Xpert MTB/RIF Ultra, COUNT: 2170
ASSAY: Xpert HIV-1 Viral Load, COUNT: 10
</t>
  </si>
  <si>
    <t>Module Replacement = 601597 - 628831</t>
  </si>
  <si>
    <t>Genexpert Module = 628831</t>
  </si>
  <si>
    <t>https://www.jotform.com/uploads/macarewecare/222927978372067/5569967475211800761/5569967475211800761_signature_28.png</t>
  </si>
  <si>
    <t>Mary Grace Pajarit</t>
  </si>
  <si>
    <t>https://www.jotform.com/uploads/macarewecare/222927978372067/5569967475211800761/5569967475211800761_signature_31.png</t>
  </si>
  <si>
    <t>Reset machine</t>
  </si>
  <si>
    <t>Get Data, IQR and Sys log, Gxx files
Clean filter, and ICore, clean bay</t>
  </si>
  <si>
    <t>https://www.jotform.com/uploads/macarewecare/222927978372067/5569950684219928261/5569950684219928261_signature_28.png</t>
  </si>
  <si>
    <t>Brenda Gonzaga Paredes</t>
  </si>
  <si>
    <t>https://www.jotform.com/uploads/macarewecare/222927978372067/5569950684219928261/5569950684219928261_signature_31.png</t>
  </si>
  <si>
    <t>https://www.jotform.com/uploads/macarewecare/222927978372067/5569950214216311850/5569950214216311850_signature_28.png</t>
  </si>
  <si>
    <t>https://www.jotform.com/uploads/macarewecare/222927978372067/5569950214216311850/5569950214216311850_signature_31.png</t>
  </si>
  <si>
    <t xml:space="preserve">ASSAY: Xpert MTB/RIF Ultra, COUNT: 56
ASSAY: Xpert MTB/RIF, COUNT: 106
</t>
  </si>
  <si>
    <t>Module B2 With Serial Number 699653 Hardware Fail</t>
  </si>
  <si>
    <t>Replace Module B2 with new serial number 791790</t>
  </si>
  <si>
    <t>Replace Module</t>
  </si>
  <si>
    <t>https://www.jotform.com/uploads/macarewecare/222927978372067/5569891457226802624/5569891457226802624_signature_28.png</t>
  </si>
  <si>
    <t>https://www.jotform.com/uploads/macarewecare/222927978372067/5569891457226802624/5569891457226802624_signature_31.png</t>
  </si>
  <si>
    <t>Pelaez St. San Dionisio</t>
  </si>
  <si>
    <t xml:space="preserve">ASSAY: Xpert HPV, COUNT: 41
ASSAY: Xpert MTB/RIF, COUNT: 290
ASSAY: Xpert MTB/RIF Ultra, COUNT: 1209
</t>
  </si>
  <si>
    <t>DR# 9496</t>
  </si>
  <si>
    <t>https://www.jotform.com/uploads/macarewecare/222927978372067/5569817491214200521/5569817491214200521_signature_28.png</t>
  </si>
  <si>
    <t>https://www.jotform.com/uploads/macarewecare/222927978372067/5569817491214200521/5569817491214200521_signature_31.png</t>
  </si>
  <si>
    <t>Dr. A Santos Ave</t>
  </si>
  <si>
    <t xml:space="preserve">ASSAY: Xpert MTB/RIF, COUNT: 50
ASSAY: Xpert MTB/RIF Ultra, COUNT: 1564
ASSAY: Xpert HIV-1 Viral Load, COUNT: 84
</t>
  </si>
  <si>
    <t>Modules B1 and B2 for replacement. Module B3 and B4 for XpertCheck</t>
  </si>
  <si>
    <t>Replaced defective modules, run XpertCheck.</t>
  </si>
  <si>
    <t>Performed maintenance 
Replaced defective modules 
Run XpertCheck 
Generated reports</t>
  </si>
  <si>
    <t>Module B3/806897, B4/806898 failed in XpertCheck.</t>
  </si>
  <si>
    <t>Old: B1/806894, B2/806895
New: B1/784193, B2/788537</t>
  </si>
  <si>
    <t>https://www.jotform.com/uploads/macarewecare/222927978372067/5569817491218600406/5569817491218600406_signature_28.png</t>
  </si>
  <si>
    <t>Amelia  G.Herminado</t>
  </si>
  <si>
    <t>https://www.jotform.com/uploads/macarewecare/222927978372067/5569817491218600406/5569817491218600406_signature_31.png</t>
  </si>
  <si>
    <t>F. Manalo St., Brgy. Batis</t>
  </si>
  <si>
    <t xml:space="preserve">ASSAY: Xpert MTB/RIF, COUNT: 565
ASSAY: Xpert MTB/RIF Ultra, COUNT: 1451
ASSAY: Xpert HIV-1 Viral Load, COUNT: 58
</t>
  </si>
  <si>
    <t>Module A1 and A3 for replacement.</t>
  </si>
  <si>
    <t>Performed maintenance 
Replaced defective modules 
Generated reports</t>
  </si>
  <si>
    <t>Old: A1/754112, A3/677100
New: A1/630159, A2/613865</t>
  </si>
  <si>
    <t>DR# 9807</t>
  </si>
  <si>
    <t>https://www.jotform.com/uploads/macarewecare/222927978372067/5569817491219653225/5569817491219653225_signature_28.png</t>
  </si>
  <si>
    <t>https://www.jotform.com/uploads/macarewecare/222927978372067/5569817491219653225/5569817491219653225_signature_31.png</t>
  </si>
  <si>
    <t xml:space="preserve">ASSAY: Xpert HBV VL, COUNT: 6
ASSAY: Xpert HPV, COUNT: 16
ASSAY: Xpert MTB/RIF, COUNT: 50
ASSAY: Xpert MTB/RIF Ultra, COUNT: 805
ASSAY: Others, COUNT: 9
</t>
  </si>
  <si>
    <t>https://www.jotform.com/uploads/macarewecare/222927978372067/5569817491219816868/5569817491219816868_signature_28.png</t>
  </si>
  <si>
    <t>Velasco-Gatchalian, Ellaine Marie</t>
  </si>
  <si>
    <t>https://www.jotform.com/uploads/macarewecare/222927978372067/5569817491219816868/5569817491219816868_signature_31.png</t>
  </si>
  <si>
    <t>Pili rhu</t>
  </si>
  <si>
    <t>Pili Camarines sur</t>
  </si>
  <si>
    <t xml:space="preserve">ASSAY: Xpert MTB/RIF, COUNT: 70
ASSAY: Xpert MTB/RIF Ultra, COUNT: 1113
</t>
  </si>
  <si>
    <t>For module replacement and maintenance B2 682797 - 220005368 B4 861254 - 662296</t>
  </si>
  <si>
    <t>Performed module replacement cleaned unit,filter,plunger rod,cartridge bay,i core,gathered reports,performed visual check,test run unit</t>
  </si>
  <si>
    <t>Operational b1,b2,b4</t>
  </si>
  <si>
    <t>900 0491 rs</t>
  </si>
  <si>
    <t>https://www.jotform.com/uploads/macarewecare/222927978372067/5569437608322497057/5569437608322497057_signature_28.png</t>
  </si>
  <si>
    <t>https://www.jotform.com/uploads/macarewecare/222927978372067/5569437608322497057/5569437608322497057_signature_31.png</t>
  </si>
  <si>
    <t>San jose RHU</t>
  </si>
  <si>
    <t>San jose Camarines sur</t>
  </si>
  <si>
    <t xml:space="preserve">ASSAY: Xpert MTB/RIF, COUNT: 52
ASSAY: Xpert MTB/RIF Ultra, COUNT: 1893
</t>
  </si>
  <si>
    <t>For module replacement B2 714964 - 607968</t>
  </si>
  <si>
    <t>Module hw failed unable to performed re xpertcheck</t>
  </si>
  <si>
    <t>https://www.jotform.com/uploads/macarewecare/222927978372067/5569436258321833513/5569436258321833513_signature_28.png</t>
  </si>
  <si>
    <t>https://www.jotform.com/uploads/macarewecare/222927978372067/5569436258321833513/5569436258321833513_signature_31.png</t>
  </si>
  <si>
    <t>Tropical disease foundation inc</t>
  </si>
  <si>
    <t>rrjflores@tdf.org.ph</t>
  </si>
  <si>
    <t xml:space="preserve">ASSAY: Xpert MTB/RIF, COUNT: 470
ASSAY: Xpert MTB/RIF Ultra, COUNT: 1130
ASSAY: Xpert HIV-1 Viral Load, COUNT: 2
</t>
  </si>
  <si>
    <t>https://www.jotform.com/uploads/macarewecare/222927978372067/5569434398329100529/5569434398329100529_signature_28.png</t>
  </si>
  <si>
    <t>Rupert Flores</t>
  </si>
  <si>
    <t>https://www.jotform.com/uploads/macarewecare/222927978372067/5569434398329100529/5569434398329100529_signature_31.png</t>
  </si>
  <si>
    <t>Doña marta health center</t>
  </si>
  <si>
    <t>Revilla st.,Pasay city</t>
  </si>
  <si>
    <t xml:space="preserve">ASSAY: Xpert MTB/RIF, COUNT: 100
ASSAY: Xpert MTB/RIF Ultra, COUNT: 754
</t>
  </si>
  <si>
    <t>For module replacement A2 699271 - 694702</t>
  </si>
  <si>
    <t>For Module replacement and maintenance</t>
  </si>
  <si>
    <t>900 - 0491 rs</t>
  </si>
  <si>
    <t>https://www.jotform.com/uploads/macarewecare/222927978372067/5569428368325368787/5569428368325368787_signature_28.png</t>
  </si>
  <si>
    <t>Cerissa Lyn Sabado</t>
  </si>
  <si>
    <t>https://www.jotform.com/uploads/macarewecare/222927978372067/5569428368325368787/5569428368325368787_signature_31.png</t>
  </si>
  <si>
    <t>Amorsolo st.,Makati city</t>
  </si>
  <si>
    <t>For maintenance and xpertcheck</t>
  </si>
  <si>
    <t>https://www.jotform.com/uploads/macarewecare/222927978372067/5569429128329580237/5569429128329580237_signature_28.png</t>
  </si>
  <si>
    <t>https://www.jotform.com/uploads/macarewecare/222927978372067/5569429128329580237/5569429128329580237_signature_31.png</t>
  </si>
  <si>
    <t>Best diagnostic corporation</t>
  </si>
  <si>
    <t>Masikap st, Quezon city</t>
  </si>
  <si>
    <t>purchasing.bestdiagnostic@gmail.com</t>
  </si>
  <si>
    <t xml:space="preserve">ASSAY: Xpert HBV VL, COUNT: 53
ASSAY: Xpert HCV VL, COUNT: 3
</t>
  </si>
  <si>
    <t>For module replacement B1 220001787 - 210072548</t>
  </si>
  <si>
    <t>https://www.jotform.com/uploads/macarewecare/222927978372067/5569426618329550964/5569426618329550964_signature_28.png</t>
  </si>
  <si>
    <t>Bonafe,clariza</t>
  </si>
  <si>
    <t>https://www.jotform.com/uploads/macarewecare/222927978372067/5569426618329550964/5569426618329550964_signature_31.png</t>
  </si>
  <si>
    <t>Domingo santiago health center</t>
  </si>
  <si>
    <t>D.santiago st sampaloc manila</t>
  </si>
  <si>
    <t xml:space="preserve">ASSAY: Xpert MTB/RIF, COUNT: 140
ASSAY: Xpert MTB/RIF Ultra, COUNT: 989
</t>
  </si>
  <si>
    <t>Module replacement and maintenance ,ups unable to back defective battery</t>
  </si>
  <si>
    <t>Module replacement and cleaned unit,filter,plunger rod,cartridge bay,i core,gathered reports,performed visual check,test run unit</t>
  </si>
  <si>
    <t>A1 disabled reported,A2, A3, A4 operational</t>
  </si>
  <si>
    <t>For replacement of ups battery</t>
  </si>
  <si>
    <t>https://www.jotform.com/uploads/macarewecare/222927978372067/5569425008321484083/5569425008321484083_signature_28.png</t>
  </si>
  <si>
    <t>https://www.jotform.com/uploads/macarewecare/222927978372067/5569425008321484083/5569425008321484083_signature_31.png</t>
  </si>
  <si>
    <t>Victory ave. Quezon city</t>
  </si>
  <si>
    <t xml:space="preserve">ASSAY: Xpert MTB/RIF, COUNT: 160
ASSAY: Xpert MTB/RIF Ultra, COUNT: 498
</t>
  </si>
  <si>
    <t>For module replacement A4 754334 - 210062953</t>
  </si>
  <si>
    <t>A1 and A4 operational, A2 and A3 reported</t>
  </si>
  <si>
    <t>https://www.jotform.com/uploads/macarewecare/222927978372067/5569423828324564765/5569423828324564765_signature_28.png</t>
  </si>
  <si>
    <t>Jasmin A. magtalas</t>
  </si>
  <si>
    <t>https://www.jotform.com/uploads/macarewecare/222927978372067/5569423828324564765/5569423828324564765_signature_31.png</t>
  </si>
  <si>
    <t>Bagomg pag asa health center</t>
  </si>
  <si>
    <t>35 rd. 9 cor. Road 10 brgy bagong pag asa, quezon city</t>
  </si>
  <si>
    <t>sisonborjalnora@gmail.com</t>
  </si>
  <si>
    <t>For module replacement  A2 754335 - 914754</t>
  </si>
  <si>
    <t>900-0491 rs</t>
  </si>
  <si>
    <t>https://www.jotform.com/uploads/macarewecare/222927978372067/5569421698328679196/5569421698328679196_signature_28.png</t>
  </si>
  <si>
    <t>Nora B. Sison</t>
  </si>
  <si>
    <t>https://www.jotform.com/uploads/macarewecare/222927978372067/5569421698328679196/5569421698328679196_signature_31.png</t>
  </si>
  <si>
    <t>Dahlia ave, Quezon city</t>
  </si>
  <si>
    <t>kahlilsilvestre92@gmail.com</t>
  </si>
  <si>
    <t xml:space="preserve">ASSAY: Xpert HPV, COUNT: 28
ASSAY: Xpert MTB/RIF Ultra, COUNT: 334
</t>
  </si>
  <si>
    <t>https://www.jotform.com/uploads/macarewecare/222927978372067/5569420198325194198/5569420198325194198_signature_28.png</t>
  </si>
  <si>
    <t>Rienalyn Taripe</t>
  </si>
  <si>
    <t>https://www.jotform.com/uploads/macarewecare/222927978372067/5569420198325194198/5569420198325194198_signature_31.png</t>
  </si>
  <si>
    <t>Josefina belmonte duran memorial district hospital</t>
  </si>
  <si>
    <t>Purok 2 tuburan ligao city albay</t>
  </si>
  <si>
    <t xml:space="preserve">ASSAY: Xpert MTB/RIF, COUNT: 252
ASSAY: Xpert MTB/RIF Ultra, COUNT: 1877
</t>
  </si>
  <si>
    <t>For module replacement B3 210068728 - 210058809</t>
  </si>
  <si>
    <t>B2,b4 disable b1,b3 operational</t>
  </si>
  <si>
    <t>9000491 rs</t>
  </si>
  <si>
    <t>https://www.jotform.com/uploads/macarewecare/222927978372067/5569418918327702070/5569418918327702070_signature_28.png</t>
  </si>
  <si>
    <t>https://www.jotform.com/uploads/macarewecare/222927978372067/5569418918327702070/5569418918327702070_signature_31.png</t>
  </si>
  <si>
    <t>BSLSNRL</t>
  </si>
  <si>
    <t>Rizal st,legaspi city</t>
  </si>
  <si>
    <t xml:space="preserve">ASSAY: Xpert HPV, COUNT: 716
ASSAY: Xpert MTB/RIF, COUNT: 179
ASSAY: Xpert MTB/RIF Ultra, COUNT: 2042
ASSAY: Xpert HIV-1 Viral Load, COUNT: 163
</t>
  </si>
  <si>
    <t>For module replacement  b3 686316 - 629180</t>
  </si>
  <si>
    <t>9000491 rd</t>
  </si>
  <si>
    <t>https://www.jotform.com/uploads/macarewecare/222927978372067/5569417748325420849/5569417748325420849_signature_28.png</t>
  </si>
  <si>
    <t>https://www.jotform.com/uploads/macarewecare/222927978372067/5569417748325420849/5569417748325420849_signature_31.png</t>
  </si>
  <si>
    <t>Baao RHU</t>
  </si>
  <si>
    <t>Baao Camarines sur</t>
  </si>
  <si>
    <t>baaomho@gmail.com</t>
  </si>
  <si>
    <t>For module replacement and maintenance B2 757187 - 210005380 B3 667607 - 210008802 B4 646599 - 210009609</t>
  </si>
  <si>
    <t>https://www.jotform.com/uploads/macarewecare/222927978372067/5566631648012304989/5566631648012304989_signature_28.png</t>
  </si>
  <si>
    <t>RHU BAAO</t>
  </si>
  <si>
    <t>https://www.jotform.com/uploads/macarewecare/222927978372067/5566631648012304989/5566631648012304989_signature_31.png</t>
  </si>
  <si>
    <t>https://www.jotform.com/uploads/macarewecare/222927978372067/5566631088015391711/5566631088015391711_signature_28.png</t>
  </si>
  <si>
    <t>https://www.jotform.com/uploads/macarewecare/222927978372067/5566631088015391711/5566631088015391711_signature_31.png</t>
  </si>
  <si>
    <t>United Blvd., Sta Rosa</t>
  </si>
  <si>
    <t xml:space="preserve">ASSAY: Xpert HBV VL, COUNT: 7
ASSAY: Xpert HPV, COUNT: 6
ASSAY: Xpert MTB/RIF, COUNT: 39
ASSAY: Xpert MTB/RIF Ultra, COUNT: 149
ASSAY: Xpert HIV-1 Viral Load, COUNT: 9
</t>
  </si>
  <si>
    <t>Unit for scheduled Preventive Maintenance.</t>
  </si>
  <si>
    <t>https://www.jotform.com/uploads/macarewecare/222927978372067/5566462953014978367/5566462953014978367_signature_28.png</t>
  </si>
  <si>
    <t>Ella Asa</t>
  </si>
  <si>
    <t>https://www.jotform.com/uploads/macarewecare/222927978372067/5566462953014978367/5566462953014978367_signature_31.png</t>
  </si>
  <si>
    <t xml:space="preserve">ASSAY: Xpert MTB/RIF Ultra, COUNT: 2693
ASSAY: Xpert HIV-1 Viral Load, COUNT: 43
</t>
  </si>
  <si>
    <t>H/W Fail on Module C2/769626</t>
  </si>
  <si>
    <t>Replaced module
New module SN/644791</t>
  </si>
  <si>
    <t>https://www.jotform.com/uploads/macarewecare/222927978372067/5565677650818681111/5565677650818681111_signature_28.png</t>
  </si>
  <si>
    <t>Erma Jessica M.  Dayola</t>
  </si>
  <si>
    <t>https://www.jotform.com/uploads/macarewecare/222927978372067/5565677650818681111/5565677650818681111_signature_31.png</t>
  </si>
  <si>
    <t>Escalanate City Health Office</t>
  </si>
  <si>
    <t>Escalante, Negros Occidental</t>
  </si>
  <si>
    <t>sheila.negrido@yahoo.co</t>
  </si>
  <si>
    <t xml:space="preserve">ASSAY: Xpert MTB/RIF, COUNT: 446
</t>
  </si>
  <si>
    <t>Module SN 707593 - Error 4009
Module Sn 862542 - Error 4012</t>
  </si>
  <si>
    <t>Module replacement with the following  new modules:
Module 1 SN # - 624898
Module 3 SN #-  710947</t>
  </si>
  <si>
    <t>https://www.jotform.com/uploads/macarewecare/222927978372067/5564915847222400757/5564915847222400757_signature_28.png</t>
  </si>
  <si>
    <t>https://www.jotform.com/uploads/macarewecare/222927978372067/5564915847222400757/5564915847222400757_signature_31.png</t>
  </si>
  <si>
    <t xml:space="preserve">ASSAY: Xpert BCR-ABL Ultra, COUNT: 10
ASSAY: Xpert CT/NG, COUNT: 27
ASSAY: Xpert HBV VL, COUNT: 50
ASSAY: Xpert HPV, COUNT: 27
ASSAY: Xpert MTB/RIF Ultra, COUNT: 1271
ASSAY: Xpert HCV VL, COUNT: 11
ASSAY: Xpert HIV-1 Viral Load, COUNT: 17
</t>
  </si>
  <si>
    <t>Unit for PM.
For activation of calibration.</t>
  </si>
  <si>
    <t>Performed PM.
Performed activation of calibration.
Generated reports.</t>
  </si>
  <si>
    <t>PM and activation.</t>
  </si>
  <si>
    <t>https://www.jotform.com/uploads/macarewecare/222927978372067/5564810960748928504/5564810960748928504_signature_28.png</t>
  </si>
  <si>
    <t>https://www.jotform.com/uploads/macarewecare/222927978372067/5564810960748928504/5564810960748928504_signature_31.png</t>
  </si>
  <si>
    <t>chezcairo@yahoo.com</t>
  </si>
  <si>
    <t xml:space="preserve">ASSAY: Xpert MTB/RIF, COUNT: 633
ASSAY: Xpert MTB/RIF Ultra, COUNT: 186
</t>
  </si>
  <si>
    <t>- Replace defective module A1/775309 , new module SN: 765577
- Performed functionality test
- Generate Reports</t>
  </si>
  <si>
    <t>https://www.jotform.com/uploads/macarewecare/222927978372067/5564784016822166171/5564784016822166171_signature_28.png</t>
  </si>
  <si>
    <t>charisse ragrag</t>
  </si>
  <si>
    <t>https://www.jotform.com/uploads/macarewecare/222927978372067/5564784016822166171/5564784016822166171_signature_31.png</t>
  </si>
  <si>
    <t xml:space="preserve">ASSAY: Xpert MTB/RIF, COUNT: NA
</t>
  </si>
  <si>
    <t>Unit for installation (from Sta. Ana Hospital)</t>
  </si>
  <si>
    <t>https://www.jotform.com/uploads/macarewecare/222927978372067/5564771804469892790/5564771804469892790_signature_28.png</t>
  </si>
  <si>
    <t>https://www.jotform.com/uploads/macarewecare/222927978372067/5564771804469892790/5564771804469892790_signature_31.png</t>
  </si>
  <si>
    <t xml:space="preserve">ASSAY: Xpert MTB/RIF, COUNT: 241
ASSAY: Xpert MTB/RIF Ultra, COUNT: 1704
</t>
  </si>
  <si>
    <t>Unit for calibration.</t>
  </si>
  <si>
    <t>https://www.jotform.com/uploads/macarewecare/222927978372067/5564770794467074514/5564770794467074514_signature_28.png</t>
  </si>
  <si>
    <t>https://www.jotform.com/uploads/macarewecare/222927978372067/5564770794467074514/5564770794467074514_signature_31.png</t>
  </si>
  <si>
    <t>Unit transfer</t>
  </si>
  <si>
    <t xml:space="preserve">ASSAY: Xpert MTB/RIF, COUNT: 466
ASSAY: Xpert MTB/RIF Ultra, COUNT: 1800
ASSAY: Xpert SARS-CoV-2, COUNT: 4968
ASSAY: Xpert HIV-1 Viral Load, COUNT: 2
</t>
  </si>
  <si>
    <t>Unit for transfer to A.H. Lacson Health Center</t>
  </si>
  <si>
    <t>- disassembled unit
* GeneXpert GX XVI with LAN cable and power cord
* HP Monitor w/ power cord &amp; VGA cable (CNK94302FS)
* Lenovo Desktop w/ power cord, wireless keyboard and mouse (CPH0520F08995)
* barcode scanner w/ USB to LAN cable and stand (20052010551944)
- 1 KVA UPS (AT1000190402ST0019)
* HP printer w/ power cord and USB cable (VNC7703219)
* ethernet adapter
- unit picked up by PBSP</t>
  </si>
  <si>
    <t>Disassembled system ready for PBSP pick up</t>
  </si>
  <si>
    <t>Unit is operational. Ready for transfer.</t>
  </si>
  <si>
    <t>https://www.jotform.com/uploads/macarewecare/222927978372067/5564729224467383523/5564729224467383523_signature_28.png</t>
  </si>
  <si>
    <t>Allan Tumbaga</t>
  </si>
  <si>
    <t>https://www.jotform.com/uploads/macarewecare/222927978372067/5564729224467383523/5564729224467383523_signature_31.png</t>
  </si>
  <si>
    <t>Poblacion Dos, Bansalan Davao Del Sur</t>
  </si>
  <si>
    <t>Replaced the Defective Module B1 SN: 807129 with new Module SN: 768092</t>
  </si>
  <si>
    <t>https://www.jotform.com/uploads/macarewecare/222927978372067/5564725853417059500/5564725853417059500_signature_28.png</t>
  </si>
  <si>
    <t>Ellen Nebrada Mayor RMT</t>
  </si>
  <si>
    <t>https://www.jotform.com/uploads/macarewecare/222927978372067/5564725853417059500/5564725853417059500_signature_31.png</t>
  </si>
  <si>
    <t>https://www.jotform.com/uploads/macarewecare/222927978372067/5564708024462725828/5564708024462725828_signature_28.png</t>
  </si>
  <si>
    <t>https://www.jotform.com/uploads/macarewecare/222927978372067/5564708024462725828/5564708024462725828_signature_31.png</t>
  </si>
  <si>
    <t>Palompon RHU</t>
  </si>
  <si>
    <t xml:space="preserve">ASSAY: Xpert MTB/RIF, COUNT: 274
ASSAY: Xpert MTB/RIF Ultra, COUNT: 580
</t>
  </si>
  <si>
    <t>https://www.jotform.com/uploads/macarewecare/222927978372067/5564687228112637052/5564687228112637052_signature_28.png</t>
  </si>
  <si>
    <t>https://www.jotform.com/uploads/macarewecare/222927978372067/5564687228112637052/5564687228112637052_signature_31.png</t>
  </si>
  <si>
    <t>Caint City Health Office</t>
  </si>
  <si>
    <t>Cainta</t>
  </si>
  <si>
    <t>rowenatec@yahoo.com</t>
  </si>
  <si>
    <t xml:space="preserve">ASSAY: Xpert MTB/RIF, COUNT: 22
ASSAY: Xpert MTB/RIF Ultra, COUNT: 705
ASSAY: Xpert HIV-1 Viral Load, COUNT: 46
</t>
  </si>
  <si>
    <t>Performed Cepheid troubleshooting for module B2</t>
  </si>
  <si>
    <t>Performed maintenance 
Troubleshoot module A2
Generated reports</t>
  </si>
  <si>
    <t>Unit is operational. Module B2/714059 not operational.</t>
  </si>
  <si>
    <t>https://www.jotform.com/uploads/macarewecare/222927978372067/5564679451102159342/5564679451102159342_signature_28.png</t>
  </si>
  <si>
    <t>https://www.jotform.com/uploads/macarewecare/222927978372067/5564679451102159342/5564679451102159342_signature_31.png</t>
  </si>
  <si>
    <t xml:space="preserve">ASSAY: Xpert MTB/RIF, COUNT: 18
ASSAY: Xpert MTB/RIF Ultra, COUNT: 825
</t>
  </si>
  <si>
    <t>Module A2 for module replacement</t>
  </si>
  <si>
    <t>Unit is operational. Module A4/719514 not operational,  for reporting.</t>
  </si>
  <si>
    <t>Old: A2/686363
New: A2/784784</t>
  </si>
  <si>
    <t>DR# 9728</t>
  </si>
  <si>
    <t>https://www.jotform.com/uploads/macarewecare/222927978372067/5564679451102961503/5564679451102961503_signature_28.png</t>
  </si>
  <si>
    <t>https://www.jotform.com/uploads/macarewecare/222927978372067/5564679451102961503/5564679451102961503_signature_31.png</t>
  </si>
  <si>
    <t xml:space="preserve">ASSAY: Xpert MTB/RIF, COUNT: 250
ASSAY: Xpert MTB/RIF Ultra, COUNT: 1667
</t>
  </si>
  <si>
    <t>Module C3/801912 error 4008</t>
  </si>
  <si>
    <t>Performed maintenance 
Replaced gateway board
Generated reports</t>
  </si>
  <si>
    <t>Unit is operational. Module C3/801912 still not operational.</t>
  </si>
  <si>
    <t>Gateway board</t>
  </si>
  <si>
    <t>https://www.jotform.com/uploads/macarewecare/222927978372067/5564679451107568160/5564679451107568160_signature_28.png</t>
  </si>
  <si>
    <t>https://www.jotform.com/uploads/macarewecare/222927978372067/5564679451107568160/5564679451107568160_signature_31.png</t>
  </si>
  <si>
    <t>Caintq</t>
  </si>
  <si>
    <t xml:space="preserve">ASSAY: Xpert MTB/RIF, COUNT: 23
ASSAY: Xpert MTB/RIF Ultra, COUNT: 711
ASSAY: Xpert HIV-1 Viral Load, COUNT: 52
</t>
  </si>
  <si>
    <t>Old: A3/754520
New:A3/679622</t>
  </si>
  <si>
    <t>DR# 9803</t>
  </si>
  <si>
    <t>https://www.jotform.com/uploads/macarewecare/222927978372067/5564679451108991116/5564679451108991116_signature_28.png</t>
  </si>
  <si>
    <t>https://www.jotform.com/uploads/macarewecare/222927978372067/5564679451108991116/5564679451108991116_signature_31.png</t>
  </si>
  <si>
    <t>Transferred the GX XVI to other room
Performed maintenance
Generated reports</t>
  </si>
  <si>
    <t>https://www.jotform.com/uploads/macarewecare/222927978372067/5564679451109313449/5564679451109313449_signature_28.png</t>
  </si>
  <si>
    <t>Julie Rose Boyles</t>
  </si>
  <si>
    <t>https://www.jotform.com/uploads/macarewecare/222927978372067/5564679451109313449/5564679451109313449_signature_31.png</t>
  </si>
  <si>
    <t xml:space="preserve">ASSAY: Xpert MTB/RIF, COUNT: 276
ASSAY: Xpert MTB/RIF Ultra, COUNT: 3551
</t>
  </si>
  <si>
    <t>Unit is operational. Module B3/882702 not operational, reported already.</t>
  </si>
  <si>
    <t>UPS shutting down. Recommend to replace.</t>
  </si>
  <si>
    <t>Old: B4/738573 
New: B4/619237</t>
  </si>
  <si>
    <t>https://www.jotform.com/uploads/https:/www.jotform.com/uploads/macarewecare/222927978372067/5564678471107276205/5564678471107276205_signature_28.png</t>
  </si>
  <si>
    <t>https://www.jotform.com/uploads/https:/www.jotform.com/uploads/macarewecare/222927978372067/5564678471107276205/5564678471107276205_signature_31.png</t>
  </si>
  <si>
    <t xml:space="preserve">ASSAY: Xpert HBV VL, COUNT: 12
ASSAY: Xpert HPV, COUNT: 14
ASSAY: Xpert MTB/RIF Ultra, COUNT: 91
ASSAY: Xpert CT/NG, COUNT: 2
ASSAY: Xpert HIV-1 Viral Load, COUNT: 10
</t>
  </si>
  <si>
    <t>Module B3/210082269 has errors 4017 and 4009</t>
  </si>
  <si>
    <t>Performed maintenance 
Checked module B3
Generated reports 
Disabled Module B3</t>
  </si>
  <si>
    <t>Unit is operational. Moduke B3/210082269 not operational, for reporting.</t>
  </si>
  <si>
    <t>https://www.jotform.com/uploads/macarewecare/222927978372067/5564678471108918637/5564678471108918637_signature_28.png</t>
  </si>
  <si>
    <t>PAOLO CRISPIN</t>
  </si>
  <si>
    <t>https://www.jotform.com/uploads/macarewecare/222927978372067/5564678471108918637/5564678471108918637_signature_31.png</t>
  </si>
  <si>
    <t xml:space="preserve">ASSAY: Xpert MTB/RIF Ultra, COUNT: 1708
</t>
  </si>
  <si>
    <t>Old: A3/731867
New: A3/784192</t>
  </si>
  <si>
    <t>https://www.jotform.com/uploads/macarewecare/222927978372067/5564678471101701576/5564678471101701576_signature_28.png</t>
  </si>
  <si>
    <t>https://www.jotform.com/uploads/macarewecare/222927978372067/5564678471101701576/5564678471101701576_signature_31.png</t>
  </si>
  <si>
    <t>Dr. Garcia St, Sumilang</t>
  </si>
  <si>
    <t>maricor.obnamia@gmail.com</t>
  </si>
  <si>
    <t xml:space="preserve">ASSAY: Xpert MTB/RIF Ultra, COUNT: 1341
</t>
  </si>
  <si>
    <t>Module B1 for replacement.</t>
  </si>
  <si>
    <t>Old: B1/601852
New: B1/637354</t>
  </si>
  <si>
    <t>https://www.jotform.com/uploads/macarewecare/222927978372067/5564678471106866294/5564678471106866294_signature_28.png</t>
  </si>
  <si>
    <t>https://www.jotform.com/uploads/macarewecare/222927978372067/5564678471106866294/5564678471106866294_signature_31.png</t>
  </si>
  <si>
    <t>Pulled out the GeneXpert system</t>
  </si>
  <si>
    <t>Pulled out the GeneXpert unit, laptop and barcode scanner</t>
  </si>
  <si>
    <t>https://www.jotform.com/uploads/macarewecare/222927978372067/5564678471108288157/5564678471108288157_signature_28.png</t>
  </si>
  <si>
    <t>https://www.jotform.com/uploads/macarewecare/222927978372067/5564678471108288157/5564678471108288157_signature_31.png</t>
  </si>
  <si>
    <t>- Replace defective modules B2/675662, B3/861170 - new Module SN: B2/617811, B3/210005379
- Performed preventive maintenance
- Performed functionality test
- Generate Reports</t>
  </si>
  <si>
    <t>All modules are in good condition</t>
  </si>
  <si>
    <t>2 - GeneXpert Module 6 Color</t>
  </si>
  <si>
    <t>https://www.jotform.com/uploads/macarewecare/222927978372067/5564658130814924518/5564658130814924518_signature_28.png</t>
  </si>
  <si>
    <t>https://www.jotform.com/uploads/macarewecare/222927978372067/5564658130814924518/5564658130814924518_signature_31.png</t>
  </si>
  <si>
    <t>K-3rd St. Kamuning, Quezon City</t>
  </si>
  <si>
    <t>Modules A3(658318), A4(675322) for replacement.</t>
  </si>
  <si>
    <t>GeneXpert Module
SN: 662287, 661626</t>
  </si>
  <si>
    <t>https://www.jotform.com/uploads/macarewecare/222927978372067/5564648904463934267/5564648904463934267_signature_28.png</t>
  </si>
  <si>
    <t>https://www.jotform.com/uploads/macarewecare/222927978372067/5564648904463934267/5564648904463934267_signature_31.png</t>
  </si>
  <si>
    <t xml:space="preserve">ASSAY: Xpert HIV-1 Viral Load, COUNT: 1180
ASSAY: Xpert HCV VL, COUNT: 26
ASSAY: Xpert HBV VL, COUNT: 78
</t>
  </si>
  <si>
    <t>Module A2 (684507) for replacement</t>
  </si>
  <si>
    <t>GeneXpert Module
SN: 889844</t>
  </si>
  <si>
    <t>https://www.jotform.com/uploads/macarewecare/222927978372067/5564011882227822220/5564011882227822220_signature_28.png</t>
  </si>
  <si>
    <t>https://www.jotform.com/uploads/macarewecare/222927978372067/5564011882227822220/5564011882227822220_signature_31.png</t>
  </si>
  <si>
    <t xml:space="preserve">ASSAY: Xpert MTB/RIF, COUNT: 1000
ASSAY: Xpert MTB/RIF Ultra, COUNT: 2200
ASSAY: Xpert HIV-1 Viral Load, COUNT: 135
</t>
  </si>
  <si>
    <t>-PERFORM MODULE B3 DEFECTIVE SN: 862394 REPLACEMENT WITH NEW SN: 695932
-PERFORM PM AND CLEANING</t>
  </si>
  <si>
    <t>https://www.jotform.com/uploads/macarewecare/222927978372067/5564011739223054433/5564011739223054433_signature_28.png</t>
  </si>
  <si>
    <t>https://www.jotform.com/uploads/macarewecare/222927978372067/5564011739223054433/5564011739223054433_signature_31.png</t>
  </si>
  <si>
    <t>MONITOR REPLACEMENT</t>
  </si>
  <si>
    <t>https://www.jotform.com/uploads/macarewecare/222927978372067/5564011739221917776/5564011739221917776_signature_28.png</t>
  </si>
  <si>
    <t>https://www.jotform.com/uploads/macarewecare/222927978372067/5564011739221917776/5564011739221917776_signature_31.png</t>
  </si>
  <si>
    <t>MODULE C2 AND C3 REPLACEMENT</t>
  </si>
  <si>
    <t>-PERFORM MODULE C2 DEF SN: 862256 REPLACMENT WITH NEW SN: 685729
-PERFORM MODULE C3 DEF SN: 862392 REPLACMENT WITH NEW SN: 210015791
-PERFORM PM AND CLEANING</t>
  </si>
  <si>
    <t>MODULE C4 DISABLED</t>
  </si>
  <si>
    <t>9836, 9837</t>
  </si>
  <si>
    <t>https://www.jotform.com/uploads/macarewecare/222927978372067/5564011739229697826/5564011739229697826_signature_28.png</t>
  </si>
  <si>
    <t>https://www.jotform.com/uploads/macarewecare/222927978372067/5564011739229697826/5564011739229697826_signature_31.png</t>
  </si>
  <si>
    <t>Sta. Lucia St. South Poblacion Masinloc, Zambales</t>
  </si>
  <si>
    <t xml:space="preserve">ASSAY: Xpert MTB/RIF, COUNT: 255
ASSAY: Xpert MTB/RIF Ultra, COUNT: 1738
</t>
  </si>
  <si>
    <t>A3:754353 for replacement
Due for calibration</t>
  </si>
  <si>
    <t>Performed surface cleaning
Performed module replacement
Archived test results
Performed preventive maintenance
Performed calibration
Gathered reports
Performed functionality test
Installtion of HIV assay</t>
  </si>
  <si>
    <t>1 genexpert module, 3 xpertcheck kits</t>
  </si>
  <si>
    <t>9764 and 9561</t>
  </si>
  <si>
    <t>https://www.jotform.com/uploads/macarewecare/222927978372067/5564009039414144675/5564009039414144675_signature_28.png</t>
  </si>
  <si>
    <t>https://www.jotform.com/uploads/macarewecare/222927978372067/5564009039414144675/5564009039414144675_signature_31.png</t>
  </si>
  <si>
    <t>Lanuza, Sta Cruz</t>
  </si>
  <si>
    <t xml:space="preserve">ASSAY: Xpert HPV, COUNT: 10
ASSAY: Xpert MTB/RIF, COUNT: 44
ASSAY: Xpert MTB/RIF Ultra, COUNT: 1341
</t>
  </si>
  <si>
    <t>Performed PM.
Performed Xpertcheck.
Generated reports</t>
  </si>
  <si>
    <t>Unit is operational. Module B1 (630369) , service required.</t>
  </si>
  <si>
    <t>https://www.jotform.com/uploads/macarewecare/222927978372067/5563986320742286775/5563986320742286775_signature_28.png</t>
  </si>
  <si>
    <t>https://www.jotform.com/uploads/macarewecare/222927978372067/5563986320742286775/5563986320742286775_signature_31.png</t>
  </si>
  <si>
    <t>Dimasalang, Sta. Cruz</t>
  </si>
  <si>
    <t xml:space="preserve">ASSAY: Xpert HIV-1 Viral Load, COUNT: 14
ASSAY: Xpert MTB/RIF, COUNT: 177
ASSAY: Xpert MTB/RIF Ultra, COUNT: 814
</t>
  </si>
  <si>
    <t>Unit is operational. Module B2 (693886) and B4 (634018) , service required.</t>
  </si>
  <si>
    <t>https://www.jotform.com/uploads/macarewecare/222927978372067/5563986320749559679/5563986320749559679_signature_28.png</t>
  </si>
  <si>
    <t>Maria joy cleofas . Abenales</t>
  </si>
  <si>
    <t>https://www.jotform.com/uploads/macarewecare/222927978372067/5563986320749559679/5563986320749559679_signature_31.png</t>
  </si>
  <si>
    <t>Rubber rollers for replacement</t>
  </si>
  <si>
    <t>Replace AC, blood, and transfer pumps with new rubber rollers (6 pcs)</t>
  </si>
  <si>
    <t>Pull-out old AC, blood, and transfer pumps</t>
  </si>
  <si>
    <t>https://www.jotform.com/uploads/macarewecare/222927978372067/5563981095311465882/5563981095311465882_signature_28.png</t>
  </si>
  <si>
    <t>https://www.jotform.com/uploads/macarewecare/222927978372067/5563981095311465882/5563981095311465882_signature_31.png</t>
  </si>
  <si>
    <t>https://www.jotform.com/uploads/macarewecare/222927978372067/5563980925313403662/5563980925313403662_signature_28.png</t>
  </si>
  <si>
    <t>https://www.jotform.com/uploads/macarewecare/222927978372067/5563980925313403662/5563980925313403662_signature_31.png</t>
  </si>
  <si>
    <t>Presentacion ,Camarines sur</t>
  </si>
  <si>
    <t xml:space="preserve">ASSAY: Xpert MTB/RIF Ultra, COUNT: 509
ASSAY: Xpert MTB/RIF, COUNT: 71
</t>
  </si>
  <si>
    <t>For module replacement B1 693691 - 643064 B2 643219 - 699326</t>
  </si>
  <si>
    <t>Performed module replacement Cleaned unit,filter,plunger rod,cartridge bay,i core,gathered reports,performed visual check,test run unit</t>
  </si>
  <si>
    <t>https://www.jotform.com/uploads/macarewecare/222927978372067/5563974297122498035/5563974297122498035_signature_28.png</t>
  </si>
  <si>
    <t>Julieta Tabo</t>
  </si>
  <si>
    <t>https://www.jotform.com/uploads/macarewecare/222927978372067/5563974297122498035/5563974297122498035_signature_31.png</t>
  </si>
  <si>
    <t>Bernadette  Bautista  medical clinic</t>
  </si>
  <si>
    <t>7 Bf road,Quezon city</t>
  </si>
  <si>
    <t>cleaned unit,filter,plunger rod,cartridge bay,i core,gathered reports,performed visual check,test run unit and performed xpertcheck</t>
  </si>
  <si>
    <t>All module passed xpertcheck</t>
  </si>
  <si>
    <t>https://www.jotform.com/uploads/macarewecare/222927978372067/5563974307125742951/5563974307125742951_signature_28.png</t>
  </si>
  <si>
    <t>Richard eclevia</t>
  </si>
  <si>
    <t>https://www.jotform.com/uploads/macarewecare/222927978372067/5563974307125742951/5563974307125742951_signature_31.png</t>
  </si>
  <si>
    <t>https://www.jotform.com/uploads/macarewecare/222927978372067/5563974237125278187/5563974237125278187_signature_28.png</t>
  </si>
  <si>
    <t>https://www.jotform.com/uploads/macarewecare/222927978372067/5563974237125278187/5563974237125278187_signature_31.png</t>
  </si>
  <si>
    <t>https://www.jotform.com/uploads/macarewecare/222927978372067/5563974237129360035/5563974237129360035_signature_28.png</t>
  </si>
  <si>
    <t>https://www.jotform.com/uploads/macarewecare/222927978372067/5563974237129360035/5563974237129360035_signature_31.png</t>
  </si>
  <si>
    <t>https://www.jotform.com/uploads/macarewecare/222927978372067/5563974177121781581/5563974177121781581_signature_28.png</t>
  </si>
  <si>
    <t>https://www.jotform.com/uploads/macarewecare/222927978372067/5563974177121781581/5563974177121781581_signature_31.png</t>
  </si>
  <si>
    <t>https://www.jotform.com/uploads/macarewecare/222927978372067/5563974177128162152/5563974177128162152_signature_28.png</t>
  </si>
  <si>
    <t>https://www.jotform.com/uploads/macarewecare/222927978372067/5563974177128162152/5563974177128162152_signature_31.png</t>
  </si>
  <si>
    <t>Quezon Blvd, Kidapawan City</t>
  </si>
  <si>
    <t xml:space="preserve">ASSAY: Xpert MTB/RIF, COUNT: 319
ASSAY: Xpert MTB/RIF Ultra, COUNT: 2043
</t>
  </si>
  <si>
    <t>Stuck Cartridge and For Preventive Maintenance</t>
  </si>
  <si>
    <t>Aligned the valve position of the Module B1 to prevent further stuck cartridge issue, Clean fan filters, Cartridge Bay, Plunger Rod, Icore Lenses,
Generate IQR, Assay Stat and System Log</t>
  </si>
  <si>
    <t>Check the valve position of the module and perform preventive maintenance</t>
  </si>
  <si>
    <t>Module B3 and B4 disabled due to H/W</t>
  </si>
  <si>
    <t>https://www.jotform.com/uploads/macarewecare/222927978372067/5563962625222783697/5563962625222783697_signature_28.png</t>
  </si>
  <si>
    <t>https://www.jotform.com/uploads/macarewecare/222927978372067/5563962625222783697/5563962625222783697_signature_31.png</t>
  </si>
  <si>
    <t>Lugait</t>
  </si>
  <si>
    <t>Error 4012 on module B2/691477</t>
  </si>
  <si>
    <t>Replaced module
new module SN/690358</t>
  </si>
  <si>
    <t>Module Replacement
Preventive Maintenance
Generate report data files
Database back up</t>
  </si>
  <si>
    <t>GeneXpert Module 6 color SN/690358</t>
  </si>
  <si>
    <t>https://www.jotform.com/uploads/macarewecare/222927978372067/5563885567211201241/5563885567211201241_signature_28.png</t>
  </si>
  <si>
    <t>https://www.jotform.com/uploads/macarewecare/222927978372067/5563885567211201241/5563885567211201241_signature_31.png</t>
  </si>
  <si>
    <t xml:space="preserve">ASSAY: Xpert MTB/RIF, COUNT: 190
ASSAY: Xpert MTB/RIF Ultra, COUNT: 728
</t>
  </si>
  <si>
    <t>Performed Maintenance
Gathered Reports
Performed Calibration
Performed Functionality Test
Archive Test Result 2021-2022</t>
  </si>
  <si>
    <t>Xpertcheck 8pc</t>
  </si>
  <si>
    <t>https://www.jotform.com/uploads/macarewecare/222927978372067/5563869865911542109/5563869865911542109_signature_28.png</t>
  </si>
  <si>
    <t>Ligaya Domimgo</t>
  </si>
  <si>
    <t>https://www.jotform.com/uploads/macarewecare/222927978372067/5563869865911542109/5563869865911542109_signature_31.png</t>
  </si>
  <si>
    <t>San Antonio Rural Health Unit</t>
  </si>
  <si>
    <t>Brgy. Rizal San Antonio, Zambales</t>
  </si>
  <si>
    <t>markanthonyyambao@yahoo.com</t>
  </si>
  <si>
    <t xml:space="preserve">ASSAY: Xpert MTB/RIF, COUNT: 448
ASSAY: Xpert MTB/RIF Ultra, COUNT: 1165
</t>
  </si>
  <si>
    <t>4 Xpertcheck Kits</t>
  </si>
  <si>
    <t>https://www.jotform.com/uploads/macarewecare/222927978372067/5563858931224076300/5563858931224076300_signature_28.png</t>
  </si>
  <si>
    <t>Mark Anthony S. Yambao</t>
  </si>
  <si>
    <t>https://www.jotform.com/uploads/macarewecare/222927978372067/5563858931224076300/5563858931224076300_signature_31.png</t>
  </si>
  <si>
    <t>Parang Rural Health Unit</t>
  </si>
  <si>
    <t>Parang, Maguindanao</t>
  </si>
  <si>
    <t>jiina26untal@gmail.com</t>
  </si>
  <si>
    <t xml:space="preserve">ASSAY: Xpert MTB/RIF, COUNT: 63
ASSAY: Xpert MTB/RIF Ultra, COUNT: 479
</t>
  </si>
  <si>
    <t>Perform Genexpert machine Preventive maintenance
Replace module 2 SN: 866870 with new module SN: 714948</t>
  </si>
  <si>
    <t>https://www.jotform.com/uploads/macarewecare/222927978372067/5563834533773085484/5563834533773085484_signature_28.png</t>
  </si>
  <si>
    <t>Johara Untal</t>
  </si>
  <si>
    <t>https://www.jotform.com/uploads/macarewecare/222927978372067/5563834533773085484/5563834533773085484_signature_31.png</t>
  </si>
  <si>
    <t xml:space="preserve">ASSAY: Xpert MTB/RIF, COUNT: 1280
ASSAY: Xpert MTB/RIF Ultra, COUNT: 3216
ASSAY: Xpert SARS-CoV-2, COUNT: 99
ASSAY: Xpert HIV-1 Viral Load, COUNT: 126
</t>
  </si>
  <si>
    <t>New module installed in module 3 sn 616725and 4 sn220004971</t>
  </si>
  <si>
    <t>https://www.jotform.com/uploads/macarewecare/222927978372067/5563811132311397452/5563811132311397452_signature_28.png</t>
  </si>
  <si>
    <t>https://www.jotform.com/uploads/macarewecare/222927978372067/5563811132311397452/5563811132311397452_signature_31.png</t>
  </si>
  <si>
    <t>Hilongos Leyte</t>
  </si>
  <si>
    <t xml:space="preserve">ASSAY: Xpert MTB/RIF, COUNT: 262
ASSAY: Xpert MTB/RIF Ultra, COUNT: 624
</t>
  </si>
  <si>
    <t>- Replace module B2 (806815) - new module SN: 210073300
- Run Xpertcheck on B1
-Performed preventive maintenance
- Generate Reports</t>
  </si>
  <si>
    <t>- GeneXpert Module 6 Color
- 1 xpc cartridge</t>
  </si>
  <si>
    <t>https://www.jotform.com/uploads/macarewecare/222927978372067/5563791383413838771/5563791383413838771_signature_28.png</t>
  </si>
  <si>
    <t>https://www.jotform.com/uploads/macarewecare/222927978372067/5563791383413838771/5563791383413838771_signature_31.png</t>
  </si>
  <si>
    <t>D1 for re-calibration
Error 5006
Not genarating calibration info and failed module report
D2 unavailable for calibration</t>
  </si>
  <si>
    <t>Troubleshooting
Calibration
Preventive maintenance</t>
  </si>
  <si>
    <t>Performed preventive maintenance
Archived test results
Performed calibration
Gathered reports
Performed functionality test</t>
  </si>
  <si>
    <t>Unit is operational except D1</t>
  </si>
  <si>
    <t>https://www.jotform.com/uploads/macarewecare/222927978372067/5563772181225920475/5563772181225920475_signature_28.png</t>
  </si>
  <si>
    <t>https://www.jotform.com/uploads/macarewecare/222927978372067/5563772181225920475/5563772181225920475_signature_31.png</t>
  </si>
  <si>
    <t xml:space="preserve">ASSAY: Xpert SARS-CoV-2, COUNT: 5788
ASSAY: Xpert HIV-1 Viral Load, COUNT: 2
</t>
  </si>
  <si>
    <t>Perform Genexpert machine Preventive maintenance
Replace module 1 SN:66088 with new module SN: 733420</t>
  </si>
  <si>
    <t>https://www.jotform.com/uploads/macarewecare/222927978372067/5563140147712312005/5563140147712312005_signature_28.png</t>
  </si>
  <si>
    <t>https://www.jotform.com/uploads/macarewecare/222927978372067/5563140147712312005/5563140147712312005_signature_31.png</t>
  </si>
  <si>
    <t xml:space="preserve">ASSAY: Xpert MTB/RIF, COUNT: 93
ASSAY: Xpert MTB/RIF Ultra, COUNT: 1246
</t>
  </si>
  <si>
    <t>Module B1 (769519) for replacement</t>
  </si>
  <si>
    <t>GeneXpert Module
SN: 769519</t>
  </si>
  <si>
    <t>https://www.jotform.com/uploads/macarewecare/222927978372067/5563136231215837821/5563136231215837821_signature_28.png</t>
  </si>
  <si>
    <t>https://www.jotform.com/uploads/macarewecare/222927978372067/5563136231215837821/5563136231215837821_signature_31.png</t>
  </si>
  <si>
    <t>San Lorenzo Ruiz Women's Hospital</t>
  </si>
  <si>
    <t>regielyncamu@yahoo.com</t>
  </si>
  <si>
    <t xml:space="preserve">ASSAY: Xpert MTB/RIF, COUNT: 229
ASSAY: Xpert MTB/RIF Ultra, COUNT: 688
</t>
  </si>
  <si>
    <t>Module B1 (607475) for replacement</t>
  </si>
  <si>
    <t>GeneXpert Module
SN: 662289</t>
  </si>
  <si>
    <t>NQ</t>
  </si>
  <si>
    <t>https://www.jotform.com/uploads/macarewecare/222927978372067/5563132911215781489/5563132911215781489_signature_28.png</t>
  </si>
  <si>
    <t>Regielyn Camu</t>
  </si>
  <si>
    <t>https://www.jotform.com/uploads/macarewecare/222927978372067/5563132911215781489/5563132911215781489_signature_31.png</t>
  </si>
  <si>
    <t xml:space="preserve">ASSAY: Xpert MTB/RIF, COUNT: 36
ASSAY: Xpert MTB/RIF Ultra, COUNT: 2644
ASSAY: Xpert HIV-1 Viral Load, COUNT: 124
</t>
  </si>
  <si>
    <t>Module A1 (601438) for replacement</t>
  </si>
  <si>
    <t>GeneXpert Module
SN: 661307</t>
  </si>
  <si>
    <t>https://www.jotform.com/uploads/macarewecare/222927978372067/5563132911217228679/5563132911217228679_signature_28.png</t>
  </si>
  <si>
    <t>https://www.jotform.com/uploads/macarewecare/222927978372067/5563132911217228679/5563132911217228679_signature_31.png</t>
  </si>
  <si>
    <t xml:space="preserve">ASSAY: Xpert MTB/RIF, COUNT: 38
ASSAY: Xpert MTB/RIF Ultra, COUNT: 1312
</t>
  </si>
  <si>
    <t>Module A3 (653357) for replacement.</t>
  </si>
  <si>
    <t>GeneXpert Module
SN: 738260</t>
  </si>
  <si>
    <t>https://www.jotform.com/uploads/macarewecare/222927978372067/5563132911219932187/5563132911219932187_signature_28.png</t>
  </si>
  <si>
    <t>https://www.jotform.com/uploads/macarewecare/222927978372067/5563132911219932187/5563132911219932187_signature_31.png</t>
  </si>
  <si>
    <t>itee@loveyourself.ph</t>
  </si>
  <si>
    <t xml:space="preserve">ASSAY: Xpert CT/NG, COUNT: 154
ASSAY: Xpert MTB/RIF Ultra, COUNT: 198
ASSAY: Xpert HIV-1 Viral Load, COUNT: 1254
</t>
  </si>
  <si>
    <t>Module B1 (667732) for replacement.</t>
  </si>
  <si>
    <t>GeneXpert Module
SN: 635671</t>
  </si>
  <si>
    <t>https://www.jotform.com/uploads/macarewecare/222927978372067/5563132911215800058/5563132911215800058_signature_28.png</t>
  </si>
  <si>
    <t>https://www.jotform.com/uploads/macarewecare/222927978372067/5563132911215800058/5563132911215800058_signature_31.png</t>
  </si>
  <si>
    <t xml:space="preserve">ASSAY: Xpert MTB/RIF, COUNT: 281
ASSAY: Xpert MTB/RIF Ultra, COUNT: 1628
</t>
  </si>
  <si>
    <t>Modules A3 (643151), A4 (681297) for replacement</t>
  </si>
  <si>
    <t>https://www.jotform.com/uploads/macarewecare/222927978372067/5563132911219088362/5563132911219088362_signature_28.png</t>
  </si>
  <si>
    <t>https://www.jotform.com/uploads/macarewecare/222927978372067/5563132911219088362/5563132911219088362_signature_31.png</t>
  </si>
  <si>
    <t>Decena Ave. Salian Abucay, Bataan</t>
  </si>
  <si>
    <t xml:space="preserve">ASSAY: Xpert MTB/RIF, COUNT: 169
ASSAY: Xpert MTB/RIF Ultra, COUNT: 295
</t>
  </si>
  <si>
    <t>A4 for moduke replacement</t>
  </si>
  <si>
    <t>Performed preventive maintenance
Performed surface cleaning
Performed module replacement
Gathered reports
Performed functionality test</t>
  </si>
  <si>
    <t>https://www.jotform.com/uploads/macarewecare/222927978372067/5563108658228534200/5563108658228534200_signature_28.png</t>
  </si>
  <si>
    <t>https://www.jotform.com/uploads/macarewecare/222927978372067/5563108658228534200/5563108658228534200_signature_31.png</t>
  </si>
  <si>
    <t>Samal Rural Health Unit</t>
  </si>
  <si>
    <t>A. Bonifacio St. East Daan Bago Samal, Bataan</t>
  </si>
  <si>
    <t xml:space="preserve">ASSAY: Xpert MTB/RIF, COUNT: 204
ASSAY: Xpert MTB/RIF Ultra, COUNT: 438
</t>
  </si>
  <si>
    <t>A1:757531 for module replacement</t>
  </si>
  <si>
    <t>Performed surface cleaning
Performed oreventive maintenance
Performed module replacement
Gathered reports
Performed functionality test</t>
  </si>
  <si>
    <t>https://www.jotform.com/uploads/macarewecare/222927978372067/5563053608222708441/5563053608222708441_signature_28.png</t>
  </si>
  <si>
    <t>Maria Victoria P. Banzuela</t>
  </si>
  <si>
    <t>https://www.jotform.com/uploads/macarewecare/222927978372067/5563053608222708441/5563053608222708441_signature_31.png</t>
  </si>
  <si>
    <t>District 1, Cuyapo, Nueva Ecija</t>
  </si>
  <si>
    <t>shane.verlaine@gmail.com</t>
  </si>
  <si>
    <t xml:space="preserve">ASSAY: Xpert MTB/RIF, COUNT: 390
ASSAY: Xpert MTB/RIF Ultra, COUNT: 824
</t>
  </si>
  <si>
    <t>Module 2 and 4 Temperature error</t>
  </si>
  <si>
    <t>Xpertcheck Result - All modules Passed</t>
  </si>
  <si>
    <t>https://www.jotform.com/uploads/macarewecare/222927978372067/5563026785913244711/5563026785913244711_signature_28.png</t>
  </si>
  <si>
    <t>VERLAINE ASCENCION NERVI A. VERUECO</t>
  </si>
  <si>
    <t>https://www.jotform.com/uploads/macarewecare/222927978372067/5563026785913244711/5563026785913244711_signature_31.png</t>
  </si>
  <si>
    <t>Poblacion Parian, Mexico, Pampanga</t>
  </si>
  <si>
    <t>Module 3 Error 1002</t>
  </si>
  <si>
    <t>Performed Xpertcheck on module 3 and 4</t>
  </si>
  <si>
    <t>Performed Maintenance
Gathered Reports
Performed Module Replacement (802416 - 661387)
Performed Functionality Test</t>
  </si>
  <si>
    <t>Xpertcheck result - A3 Failed &amp; A4 - Passed</t>
  </si>
  <si>
    <t>Xpertcheck 4pc &amp; Genexpert Module (661387)</t>
  </si>
  <si>
    <t>https://www.jotform.com/uploads/macarewecare/222927978372067/5563026795914431349/5563026795914431349_signature_28.png</t>
  </si>
  <si>
    <t>https://www.jotform.com/uploads/macarewecare/222927978372067/5563026795914431349/5563026795914431349_signature_31.png</t>
  </si>
  <si>
    <t>Poblacion Norte, Rizal, Nueva Ecija</t>
  </si>
  <si>
    <t xml:space="preserve">ASSAY: Xpert MTB/RIF, COUNT: 60
ASSAY: Xpert MTB/RIF Ultra, COUNT: 412
</t>
  </si>
  <si>
    <t>https://www.jotform.com/uploads/macarewecare/222927978372067/5563026775913790344/5563026775913790344_signature_28.png</t>
  </si>
  <si>
    <t>https://www.jotform.com/uploads/macarewecare/222927978372067/5563026775913790344/5563026775913790344_signature_31.png</t>
  </si>
  <si>
    <t>Brgy. Curva Bongabon, Nueva Ecija</t>
  </si>
  <si>
    <t xml:space="preserve">ASSAY: Xpert MTB/RIF, COUNT: 129
ASSAY: Xpert MTB/RIF Ultra, COUNT: 250
</t>
  </si>
  <si>
    <t>Performed Maintenance
Gathered Reports
Performed Module Replacement (721744 - 758096) &amp; (754108 - 692115)
Performed Functionality Test</t>
  </si>
  <si>
    <t>Genexpert Modules (768096 &amp; 692115)</t>
  </si>
  <si>
    <t>9748 &amp; 9749</t>
  </si>
  <si>
    <t>https://www.jotform.com/uploads/macarewecare/222927978372067/5563026785915624147/5563026785915624147_signature_28.png</t>
  </si>
  <si>
    <t>https://www.jotform.com/uploads/macarewecare/222927978372067/5563026785915624147/5563026785915624147_signature_31.png</t>
  </si>
  <si>
    <t xml:space="preserve">ASSAY: Xpert MTB/RIF Ultra, COUNT: 1961
ASSAY: Xpert MTB/RIF, COUNT: 765
</t>
  </si>
  <si>
    <t>Performed Maintenance
Gathered Reports
Performed Module Replacement (784673 - 636666)
Disabled Module A1
Performed Functionality Test</t>
  </si>
  <si>
    <t>Genexpert Module - 636666</t>
  </si>
  <si>
    <t>https://www.jotform.com/uploads/macarewecare/222927978372067/5563026785916668608/5563026785916668608_signature_28.png</t>
  </si>
  <si>
    <t>Lea Veronica Samsom</t>
  </si>
  <si>
    <t>https://www.jotform.com/uploads/macarewecare/222927978372067/5563026785916668608/5563026785916668608_signature_31.png</t>
  </si>
  <si>
    <t xml:space="preserve">ASSAY: Xpert MTB/RIF, COUNT: 737
ASSAY: Xpert MTB/RIF Ultra, COUNT: 710
ASSAY: Xpert HIV-1 Viral Load, COUNT: 10
</t>
  </si>
  <si>
    <t>Replace defective module B1/736722 with new module SN: 220003268</t>
  </si>
  <si>
    <t>Waiting for monitor allocation.</t>
  </si>
  <si>
    <t>900 GX - 6 color module</t>
  </si>
  <si>
    <t>https://www.jotform.com/uploads/macarewecare/222927978372067/5563025992762358504/5563025992762358504_signature_28.png</t>
  </si>
  <si>
    <t>https://www.jotform.com/uploads/macarewecare/222927978372067/5563025992762358504/5563025992762358504_signature_31.png</t>
  </si>
  <si>
    <t xml:space="preserve">ASSAY: Xpert MTB/RIF Ultra, COUNT: 194
</t>
  </si>
  <si>
    <t>Module B1 and B2 Failed during calibration</t>
  </si>
  <si>
    <t>Preventive Maintenance
Module Replacement 
Generate report data files
Database back up</t>
  </si>
  <si>
    <t>GeneXpert Module 6-color SN/632850
GeneXpert Module 6-color SN/673860</t>
  </si>
  <si>
    <t>https://www.jotform.com/uploads/macarewecare/222927978372067/5562960283618493545/5562960283618493545_signature_28.png</t>
  </si>
  <si>
    <t>Khiza Tinoy</t>
  </si>
  <si>
    <t>https://www.jotform.com/uploads/macarewecare/222927978372067/5562960283618493545/5562960283618493545_signature_31.png</t>
  </si>
  <si>
    <t>Nasugbu-Ternate Highway, Nasugbu</t>
  </si>
  <si>
    <t>Cepheid Troubleshooting</t>
  </si>
  <si>
    <t>Performed Maintenance
Troubleshoot Problem
Gather Additional Data for Follow-up Reporting
Generate Reports</t>
  </si>
  <si>
    <t>https://www.jotform.com/uploads/macarewecare/222927978372067/5562919301212122236/5562919301212122236_signature_28.png</t>
  </si>
  <si>
    <t>https://www.jotform.com/uploads/macarewecare/222927978372067/5562919301212122236/5562919301212122236_signature_31.png</t>
  </si>
  <si>
    <t>D. Mangubat, Dasmariñas</t>
  </si>
  <si>
    <t xml:space="preserve">ASSAY: Xpert HPV, COUNT: 29
ASSAY: Xpert HIV-1 Viral Load, COUNT: 83
ASSAY: Xpert MTB/RIF Ultra, COUNT: 2153
</t>
  </si>
  <si>
    <t>Replaced Module 4
Performed Maintenance
Performed Self-Test
Generate Reports</t>
  </si>
  <si>
    <t>B4: 699489 -&gt; 210036657</t>
  </si>
  <si>
    <t>https://www.jotform.com/uploads/macarewecare/222927978372067/5562919301219142491/5562919301219142491_signature_28.png</t>
  </si>
  <si>
    <t>Donie P.Canteras</t>
  </si>
  <si>
    <t>https://www.jotform.com/uploads/macarewecare/222927978372067/5562919301219142491/5562919301219142491_signature_31.png</t>
  </si>
  <si>
    <t>Alabang-Zapote Rd., Alabang</t>
  </si>
  <si>
    <t xml:space="preserve">ASSAY: Xpert HPV, COUNT: 67
ASSAY: Xpert MTB/RIF Ultra, COUNT: 1313
</t>
  </si>
  <si>
    <t>A4: 893809-&gt; 210015908</t>
  </si>
  <si>
    <t>https://www.jotform.com/uploads/macarewecare/222927978372067/5562919201212635987/5562919201212635987_signature_28.png</t>
  </si>
  <si>
    <t>Catherine R. Carasig</t>
  </si>
  <si>
    <t>https://www.jotform.com/uploads/macarewecare/222927978372067/5562919201212635987/5562919201212635987_signature_31.png</t>
  </si>
  <si>
    <t>San Andres St., Manila</t>
  </si>
  <si>
    <t xml:space="preserve">ASSAY: Xpert MTB/RIF Ultra, COUNT: 2235
</t>
  </si>
  <si>
    <t>Module 3 with Plunger Problem
Unit is due for XpertCheck</t>
  </si>
  <si>
    <t>Performed Maintenance
Replaced Module 3
Performed XpertCheck
Generate Reports</t>
  </si>
  <si>
    <t>3 Modules Failed in XpertCheck, 1 Newly Replaced</t>
  </si>
  <si>
    <t>B3: 757668-&gt;694064</t>
  </si>
  <si>
    <t>https://www.jotform.com/uploads/macarewecare/222927978372067/5562919201212785580/5562919201212785580_signature_28.png</t>
  </si>
  <si>
    <t>Monina B. Batil</t>
  </si>
  <si>
    <t>https://www.jotform.com/uploads/macarewecare/222927978372067/5562919201212785580/5562919201212785580_signature_31.png</t>
  </si>
  <si>
    <t>Pedro Gil St., Manila</t>
  </si>
  <si>
    <t xml:space="preserve">ASSAY: Xpert MTB/RIF Ultra, COUNT: 1306
</t>
  </si>
  <si>
    <t>Module 2 has temperature errors
Unit is due for XpertCheck</t>
  </si>
  <si>
    <t>Replaced Module 2
Performed Maintenance
Performed XpertCheck
Generate Reports</t>
  </si>
  <si>
    <t>A2: 757053-&gt; 210045104</t>
  </si>
  <si>
    <t>https://www.jotform.com/uploads/macarewecare/222927978372067/5562919201215670939/5562919201215670939_signature_28.png</t>
  </si>
  <si>
    <t>Fabros,Lorraine Lucila L.</t>
  </si>
  <si>
    <t>https://www.jotform.com/uploads/macarewecare/222927978372067/5562919201215670939/5562919201215670939_signature_31.png</t>
  </si>
  <si>
    <t>Ilustre Ave., Lemery</t>
  </si>
  <si>
    <t>Module 2 with Temperature Errors
Unit is due for XpertCheck</t>
  </si>
  <si>
    <t>2 Modules are operational, 2 Modules Reported</t>
  </si>
  <si>
    <t>A2: 675429 -&gt; 677307</t>
  </si>
  <si>
    <t>https://www.jotform.com/uploads/macarewecare/222927978372067/5562919201216522816/5562919201216522816_signature_28.png</t>
  </si>
  <si>
    <t>Maritonie Gadiola</t>
  </si>
  <si>
    <t>https://www.jotform.com/uploads/macarewecare/222927978372067/5562919201216522816/5562919201216522816_signature_31.png</t>
  </si>
  <si>
    <t>W. Zamora St., Manila</t>
  </si>
  <si>
    <t>Module Replacement in Module 4
Performed Maintenance
Generate Reports</t>
  </si>
  <si>
    <t>2 Modules are Operational, 2 Modules Reported</t>
  </si>
  <si>
    <t>A4: 757241 -&gt; 637824</t>
  </si>
  <si>
    <t>https://www.jotform.com/uploads/macarewecare/222927978372067/5562919201218963422/5562919201218963422_signature_28.png</t>
  </si>
  <si>
    <t>https://www.jotform.com/uploads/macarewecare/222927978372067/5562919201218963422/5562919201218963422_signature_31.png</t>
  </si>
  <si>
    <t xml:space="preserve">ASSAY: Xpert MTB/RIF, COUNT: 97
ASSAY: Xpert MTB/RIF Ultra, COUNT: 209
</t>
  </si>
  <si>
    <t>https://www.jotform.com/uploads/macarewecare/222927978372067/5562511980825294611/5562511980825294611_signature_28.png</t>
  </si>
  <si>
    <t>Mary Ann Sudaro</t>
  </si>
  <si>
    <t>https://www.jotform.com/uploads/macarewecare/222927978372067/5562511980825294611/5562511980825294611_signature_31.png</t>
  </si>
  <si>
    <t>https://www.jotform.com/uploads/macarewecare/222927978372067/5561874462223700423/5561874462223700423_signature_28.png</t>
  </si>
  <si>
    <t>https://www.jotform.com/uploads/macarewecare/222927978372067/5561874462223700423/5561874462223700423_signature_31.png</t>
  </si>
  <si>
    <t>https://www.jotform.com/uploads/macarewecare/222927978372067/5561874462226910609/5561874462226910609_signature_28.png</t>
  </si>
  <si>
    <t>https://www.jotform.com/uploads/macarewecare/222927978372067/5561874462226910609/5561874462226910609_signature_31.png</t>
  </si>
  <si>
    <t>https://www.jotform.com/uploads/macarewecare/222927978372067/5561874462227067552/5561874462227067552_signature_28.png</t>
  </si>
  <si>
    <t>https://www.jotform.com/uploads/macarewecare/222927978372067/5561874462227067552/5561874462227067552_signature_31.png</t>
  </si>
  <si>
    <t>https://www.jotform.com/uploads/macarewecare/222927978372067/5561874462229724222/5561874462229724222_signature_28.png</t>
  </si>
  <si>
    <t>https://www.jotform.com/uploads/macarewecare/222927978372067/5561874462229724222/5561874462229724222_signature_31.png</t>
  </si>
  <si>
    <t>https://www.jotform.com/uploads/macarewecare/222927978372067/5561874462229789458/5561874462229789458_signature_28.png</t>
  </si>
  <si>
    <t>https://www.jotform.com/uploads/macarewecare/222927978372067/5561874462229789458/5561874462229789458_signature_31.png</t>
  </si>
  <si>
    <t>Poblacion Malungon</t>
  </si>
  <si>
    <t>GX-4D</t>
  </si>
  <si>
    <t>System Unit is defective</t>
  </si>
  <si>
    <t>Replace the old system unit SN: CPH0320F05932 with new System Unit SN: CPH0320F05906
Adjust the Avr Power output</t>
  </si>
  <si>
    <t>Replaced the System Unit</t>
  </si>
  <si>
    <t>Genexpert System unit is operational, Module B2 encounter multiple temperature error, data will be sent to cepheid for further assessment</t>
  </si>
  <si>
    <t>Unstable voltage</t>
  </si>
  <si>
    <t>https://www.jotform.com/uploads/macarewecare/222927978372067/5561263117018331018/5561263117018331018_signature_28.png</t>
  </si>
  <si>
    <t>https://www.jotform.com/uploads/macarewecare/222927978372067/5561263117018331018/5561263117018331018_signature_31.png</t>
  </si>
  <si>
    <t>https://www.jotform.com/uploads/macarewecare/222927978372067/5561262757012037661/5561262757012037661_signature_28.png</t>
  </si>
  <si>
    <t>https://www.jotform.com/uploads/macarewecare/222927978372067/5561262757012037661/5561262757012037661_signature_31.png</t>
  </si>
  <si>
    <t>Poblacion Ramos, Tarlac</t>
  </si>
  <si>
    <t xml:space="preserve">ASSAY: Xpert MTB/RIF, COUNT: 121
ASSAY: Xpert MTB/RIF Ultra, COUNT: 250
</t>
  </si>
  <si>
    <t>UPS for troubleshooting
For Re-Xpertcheck</t>
  </si>
  <si>
    <t>Preventive maintenace
Calibration
Troubleshooting</t>
  </si>
  <si>
    <t>Performed UPS Troubleshooting
Performed surface cleaning
Cleaning of plunger rod,icore,filter and cartridge bay
Archived test results
Xpertcheck application update to 1.5a
Performed calibration
Gathered reports
Performed functionality test</t>
  </si>
  <si>
    <t>Used 4 xpertcheck kits, UPS for observation</t>
  </si>
  <si>
    <t>https://www.jotform.com/uploads/macarewecare/222927978372067/5560577864614477178/5560577864614477178_signature_28.png</t>
  </si>
  <si>
    <t>https://www.jotform.com/uploads/macarewecare/222927978372067/5560577864614477178/5560577864614477178_signature_31.png</t>
  </si>
  <si>
    <t>CPU installation</t>
  </si>
  <si>
    <t>Setup CPU</t>
  </si>
  <si>
    <t>Performed CPU installation</t>
  </si>
  <si>
    <t>CPU S/N: CPH0322F32901</t>
  </si>
  <si>
    <t>https://www.jotform.com/uploads/macarewecare/222927978372067/5560430524816111139/5560430524816111139_signature_28.png</t>
  </si>
  <si>
    <t>https://www.jotform.com/uploads/macarewecare/222927978372067/5560430524816111139/5560430524816111139_signature_31.png</t>
  </si>
  <si>
    <t>S. Curato St. Brgy. 5, Cabadbaran City</t>
  </si>
  <si>
    <t xml:space="preserve">ASSAY: Xpert MTB/RIF, COUNT: 441
ASSAY: Xpert MTB/RIF Ultra, COUNT: 381
</t>
  </si>
  <si>
    <t>1 module found service required from XPC</t>
  </si>
  <si>
    <t>https://www.jotform.com/uploads/macarewecare/222927978372067/5560417654028483159/5560417654028483159_signature_28.png</t>
  </si>
  <si>
    <t>https://www.jotform.com/uploads/macarewecare/222927978372067/5560417654028483159/5560417654028483159_signature_31.png</t>
  </si>
  <si>
    <t xml:space="preserve">ASSAY: Xpert MTB/RIF, COUNT: 169
ASSAY: Xpert MTB/RIF Ultra, COUNT: 1271
</t>
  </si>
  <si>
    <t>Module 3 for service required</t>
  </si>
  <si>
    <t>Perform Genexpert machine Preventive maintenance
Replace module 3 SN: 696322 with new module SN: 614553</t>
  </si>
  <si>
    <t>https://www.jotform.com/uploads/macarewecare/222927978372067/5560402352323468165/5560402352323468165_signature_28.png</t>
  </si>
  <si>
    <t>Johnella Maris Bautista, RMT</t>
  </si>
  <si>
    <t>https://www.jotform.com/uploads/macarewecare/222927978372067/5560402352323468165/5560402352323468165_signature_31.png</t>
  </si>
  <si>
    <t>San Pedro Rural Health Unit 2 (Langgam Health Center)</t>
  </si>
  <si>
    <t>Brgy. Langgam, San Pedro</t>
  </si>
  <si>
    <t xml:space="preserve">ASSAY: Xpert HPV, COUNT: 1028
ASSAY: Xpert MTB/RIF Ultra, COUNT: 992
ASSAY: Xpert HIV-1 Viral Load, COUNT: 127
</t>
  </si>
  <si>
    <t>Unit for PM.
For module replacement of modules A3 and A4.</t>
  </si>
  <si>
    <t>Performed PM.
Performed module replacement on modules A3 and A4.
Generated reports.</t>
  </si>
  <si>
    <t>Gx module A3 (601706) and A4 (883941) in replacement to defective A3 (783485) and A4 (610367).</t>
  </si>
  <si>
    <t>DR 9806</t>
  </si>
  <si>
    <t>https://www.jotform.com/uploads/macarewecare/222927978372067/5560361978623098478/5560361978623098478_signature_28.png</t>
  </si>
  <si>
    <t>Ma. Celenita Mahalin</t>
  </si>
  <si>
    <t>https://www.jotform.com/uploads/macarewecare/222927978372067/5560361978623098478/5560361978623098478_signature_31.png</t>
  </si>
  <si>
    <t>Baguo City</t>
  </si>
  <si>
    <t xml:space="preserve">ASSAY: Xpert HPV, COUNT: 353
ASSAY: Xpert MTB/RIF, COUNT: 192
ASSAY: Xpert MTB/RIF Ultra, COUNT: 1330
</t>
  </si>
  <si>
    <t>Module B2 for replacement.
For maintenance</t>
  </si>
  <si>
    <t>Replaced module B2: 602852</t>
  </si>
  <si>
    <t>Performed maintenance and module replacement.</t>
  </si>
  <si>
    <t>New mod 657183</t>
  </si>
  <si>
    <t>https://www.jotform.com/uploads/macarewecare/222927978372067/5560332261527084105/5560332261527084105_signature_28.png</t>
  </si>
  <si>
    <t>https://www.jotform.com/uploads/macarewecare/222927978372067/5560332261527084105/5560332261527084105_signature_31.png</t>
  </si>
  <si>
    <t>Gagalangin</t>
  </si>
  <si>
    <t>Performed PM.
Performed module replacement on modules A2 and A3.</t>
  </si>
  <si>
    <t>Gx module A2 (210071179) and A3 (616329) in replacement to defective A2 (678005) and A3 (702275).</t>
  </si>
  <si>
    <t>DR 9810</t>
  </si>
  <si>
    <t>https://www.jotform.com/uploads/macarewecare/222927978372067/5560313868625629902/5560313868625629902_signature_28.png</t>
  </si>
  <si>
    <t>L0ntoc ma. Lorina M.</t>
  </si>
  <si>
    <t>https://www.jotform.com/uploads/macarewecare/222927978372067/5560313868625629902/5560313868625629902_signature_31.png</t>
  </si>
  <si>
    <t>Gx module B3 (614658) in replacement to defective B3 (756760).</t>
  </si>
  <si>
    <t>DR 9798</t>
  </si>
  <si>
    <t>https://www.jotform.com/uploads/macarewecare/222927978372067/5560313868627415470/5560313868627415470_signature_28.png</t>
  </si>
  <si>
    <t>ABDOn, EvELyn</t>
  </si>
  <si>
    <t>https://www.jotform.com/uploads/macarewecare/222927978372067/5560313868627415470/5560313868627415470_signature_31.png</t>
  </si>
  <si>
    <t>Purok Avocado, Don Jose, Dinas Zamboanga del sur</t>
  </si>
  <si>
    <t>System Unit unable to start up</t>
  </si>
  <si>
    <t>Replaced System unit, Undergone Preventive Maintenence</t>
  </si>
  <si>
    <t>Available and working</t>
  </si>
  <si>
    <t>https://www.jotform.com/uploads/macarewecare/222927978372067/5559724309121059145/5559724309121059145_signature_28.png</t>
  </si>
  <si>
    <t>REYNA CRES B. LAZAGA</t>
  </si>
  <si>
    <t>https://www.jotform.com/uploads/macarewecare/222927978372067/5559724309121059145/5559724309121059145_signature_31.png</t>
  </si>
  <si>
    <t>Zamboanga del sur Medical Center</t>
  </si>
  <si>
    <t>Dao, Pagadian City, Zamboanga drl Sur</t>
  </si>
  <si>
    <t xml:space="preserve">ASSAY: Xpert MTB/RIF Ultra, COUNT: 1115
ASSAY: Xpert HIV-1 Viral Load, COUNT: 49
</t>
  </si>
  <si>
    <t>Underground Preventive Maintenence</t>
  </si>
  <si>
    <t>Preventive Maintenence, checked if any heat source is near. Checked room temperature and module temperatures.</t>
  </si>
  <si>
    <t>Module 1, 2 and 4 available</t>
  </si>
  <si>
    <t>https://www.jotform.com/uploads/macarewecare/222927978372067/5559724309126697874/5559724309126697874_signature_28.png</t>
  </si>
  <si>
    <t>https://www.jotform.com/uploads/macarewecare/222927978372067/5559724309126697874/5559724309126697874_signature_31.png</t>
  </si>
  <si>
    <t xml:space="preserve">ASSAY: Xpert MTB/RIF, COUNT: 98
ASSAY: Xpert MTB/RIF Ultra, COUNT: 874
</t>
  </si>
  <si>
    <t>2 genexpert module</t>
  </si>
  <si>
    <t>9744 and 9760</t>
  </si>
  <si>
    <t>https://www.jotform.com/uploads/macarewecare/222927978372067/5559673022518413508/5559673022518413508_signature_28.png</t>
  </si>
  <si>
    <t>Salva Sese</t>
  </si>
  <si>
    <t>https://www.jotform.com/uploads/macarewecare/222927978372067/5559673022518413508/5559673022518413508_signature_31.png</t>
  </si>
  <si>
    <t>https://www.jotform.com/uploads/macarewecare/222927978372067/5559672932514213201/5559672932514213201_signature_28.png</t>
  </si>
  <si>
    <t>https://www.jotform.com/uploads/macarewecare/222927978372067/5559672932514213201/5559672932514213201_signature_31.png</t>
  </si>
  <si>
    <t xml:space="preserve">ASSAY: Xpert MTB/RIF, COUNT: 958
ASSAY: Xpert MTB/RIF Ultra, COUNT: 670
ASSAY: Xpert SARS-CoV-2, COUNT: 19
</t>
  </si>
  <si>
    <t>Due date for Preventive Maintenance</t>
  </si>
  <si>
    <t>Copy data of IQR, system log, assay statistics</t>
  </si>
  <si>
    <t>Only 2 modules functional</t>
  </si>
  <si>
    <t>https://www.jotform.com/uploads/macarewecare/222927978372067/5559664014222018391/5559664014222018391_signature_28.png</t>
  </si>
  <si>
    <t>https://www.jotform.com/uploads/macarewecare/222927978372067/5559664014222018391/5559664014222018391_signature_31.png</t>
  </si>
  <si>
    <t xml:space="preserve">ASSAY: Xpert MTB/RIF, COUNT: 487
ASSAY: Xpert MTB/RIF Ultra, COUNT: 2806
ASSAY: Xpert HIV-1 Viral Load, COUNT: 20
</t>
  </si>
  <si>
    <t>Error 4004 found at Module B1
CPU doesn't booting up.
Stuck Cartridge at Module B1</t>
  </si>
  <si>
    <t>Removing Stuck Cartridge
Installation of Laptop (Acer E5-471) as temporary.
Reporting of defective module and CPU</t>
  </si>
  <si>
    <t>1 module disabled and reported
3 modules working</t>
  </si>
  <si>
    <t>https://www.jotform.com/uploads/macarewecare/222927978372067/5559662624421380451/5559662624421380451_signature_28.png</t>
  </si>
  <si>
    <t>https://www.jotform.com/uploads/macarewecare/222927978372067/5559662624421380451/5559662624421380451_signature_31.png</t>
  </si>
  <si>
    <t>Escalante City Heath Office</t>
  </si>
  <si>
    <t>Escalante, Poblacion Negros Occidental</t>
  </si>
  <si>
    <t>Module 1 and 3 temp error</t>
  </si>
  <si>
    <t>Conduct preventive maintenance, Clean Icore, clean Plunger and clean filter</t>
  </si>
  <si>
    <t>All modules are operational but the area need to be added for additional aircon unit or upgrade for Higher Power aircon</t>
  </si>
  <si>
    <t>https://www.jotform.com/uploads/macarewecare/222927978372067/5559658329318185057/5559658329318185057_signature_28.png</t>
  </si>
  <si>
    <t>https://www.jotform.com/uploads/macarewecare/222927978372067/5559658329318185057/5559658329318185057_signature_31.png</t>
  </si>
  <si>
    <t xml:space="preserve">ASSAY: Xpert MTB/RIF, COUNT: 138
ASSAY: Xpert MTB/RIF Ultra, COUNT: 590
ASSAY: Xpert HIV-1 Viral Load, COUNT: 10
</t>
  </si>
  <si>
    <t>A3 and A4 for module replacement</t>
  </si>
  <si>
    <t>9772 and 9758</t>
  </si>
  <si>
    <t>https://www.jotform.com/uploads/macarewecare/222927978372067/5559655442514918914/5559655442514918914_signature_28.png</t>
  </si>
  <si>
    <t>https://www.jotform.com/uploads/macarewecare/222927978372067/5559655442514918914/5559655442514918914_signature_31.png</t>
  </si>
  <si>
    <t xml:space="preserve">ASSAY: Xpert MTB/RIF Ultra, COUNT: 1549
ASSAY: Xpert MTB/RIF, COUNT: 884
</t>
  </si>
  <si>
    <t>MODULE A2 AND A3 TEMP ERRORS</t>
  </si>
  <si>
    <t>https://www.jotform.com/uploads/macarewecare/222927978372067/5559648956513308428/5559648956513308428_signature_28.png</t>
  </si>
  <si>
    <t>https://www.jotform.com/uploads/macarewecare/222927978372067/5559648956513308428/5559648956513308428_signature_31.png</t>
  </si>
  <si>
    <t>Dona Remedios Rural Health Unit</t>
  </si>
  <si>
    <t>Brgy. Pulong Sampaloc, Dona Remedios Trinidad, Bulacan</t>
  </si>
  <si>
    <t>Back up laptop installation</t>
  </si>
  <si>
    <t>Back up laptop ibstallation due to monitor display issue</t>
  </si>
  <si>
    <t>Laptop instsllation and setup</t>
  </si>
  <si>
    <t>Performed back up laptop installation</t>
  </si>
  <si>
    <t>TOS number: G 5421</t>
  </si>
  <si>
    <t>https://www.jotform.com/uploads/macarewecare/222927978372067/5559648621212960112/5559648621212960112_signature_28.png</t>
  </si>
  <si>
    <t>CECILIA ANGELES</t>
  </si>
  <si>
    <t>https://www.jotform.com/uploads/macarewecare/222927978372067/5559648621212960112/5559648621212960112_signature_31.png</t>
  </si>
  <si>
    <t xml:space="preserve">ASSAY: Xpert MTB/RIF, COUNT: 100
ASSAY: Xpert MTB/RIF Ultra, COUNT: 2849
</t>
  </si>
  <si>
    <t>Perform Genexpert machine Preventive maintenance
Replace module 4 SN: 731302 with new module SN: 210019503</t>
  </si>
  <si>
    <t>https://www.jotform.com/uploads/macarewecare/222927978372067/5559648242714269664/5559648242714269664_signature_28.png</t>
  </si>
  <si>
    <t>https://www.jotform.com/uploads/macarewecare/222927978372067/5559648242714269664/5559648242714269664_signature_31.png</t>
  </si>
  <si>
    <t>Poblacion Compostela, Davao de Oro</t>
  </si>
  <si>
    <t>REPAIR
CALIBRATION
TROUBLESHOOTING</t>
  </si>
  <si>
    <t xml:space="preserve">ASSAY: Xpert MTB/RIF, COUNT: 110
ASSAY: Xpert MTB/RIF Ultra, COUNT: 990
</t>
  </si>
  <si>
    <t>Module B3 for Replacement
Due for Calibration
Printer always encounter paperjamming issues</t>
  </si>
  <si>
    <t>Replaced defective Module B3 with SN: 693105 with New Module SN: 714940
Generate IQR, Assay Stat and System Log
Run XpertCheck on modules B1, B2 and B4 only
Reset Printer Cartridge Connections to see any obstacle or debris that can cause paperjamming issue</t>
  </si>
  <si>
    <t>Module Replacement
Perform XpertCheck Calibration
Troubleshoot Printer</t>
  </si>
  <si>
    <t>Modules B1, B2 and B4 passed the calibration
Printer still having paper jamming issue even no malfunctions seen in the cartridges</t>
  </si>
  <si>
    <t>Module B1 for under observation, encountered temp related error, data will be sent to Cepheid for further assestment</t>
  </si>
  <si>
    <t>https://www.jotform.com/uploads/macarewecare/222927978372067/5559628917793597738/5559628917793597738_signature_28.png</t>
  </si>
  <si>
    <t>Niel C. Maquiling</t>
  </si>
  <si>
    <t>https://www.jotform.com/uploads/macarewecare/222927978372067/5559628917793597738/5559628917793597738_signature_31.png</t>
  </si>
  <si>
    <t>M. Naval St.</t>
  </si>
  <si>
    <t>angelicagionson@gmail.com</t>
  </si>
  <si>
    <t xml:space="preserve">ASSAY: Xpert HPV, COUNT: 22
ASSAY: Xpert MTB/RIF Ultra, COUNT: 915
</t>
  </si>
  <si>
    <t>Gx module B4 (634856) in replacement to defective B4 (661957).</t>
  </si>
  <si>
    <t>https://www.jotform.com/uploads/macarewecare/222927978372067/5559613640017735143/5559613640017735143_signature_28.png</t>
  </si>
  <si>
    <t>Angelica gionson</t>
  </si>
  <si>
    <t>https://www.jotform.com/uploads/macarewecare/222927978372067/5559613640017735143/5559613640017735143_signature_31.png</t>
  </si>
  <si>
    <t>https://www.jotform.com/uploads/macarewecare/222927978372067/5559604074417966040/5559604074417966040_signature_28.png</t>
  </si>
  <si>
    <t>https://www.jotform.com/uploads/macarewecare/222927978372067/5559604074417966040/5559604074417966040_signature_31.png</t>
  </si>
  <si>
    <t>Gil Puyat St. Sto. Niño Guagua, Pampanga</t>
  </si>
  <si>
    <t xml:space="preserve">ASSAY: Xpert MTB/RIF, COUNT: 154
ASSAY: Xpert MTB/RIF Ultra, COUNT: 1135
</t>
  </si>
  <si>
    <t>https://www.jotform.com/uploads/macarewecare/222927978372067/5559600872514703169/5559600872514703169_signature_28.png</t>
  </si>
  <si>
    <t>https://www.jotform.com/uploads/macarewecare/222927978372067/5559600872514703169/5559600872514703169_signature_31.png</t>
  </si>
  <si>
    <t>SOC400</t>
  </si>
  <si>
    <t>CPHO320F05909</t>
  </si>
  <si>
    <t>System unit unable to start</t>
  </si>
  <si>
    <t>System Unit replacement</t>
  </si>
  <si>
    <t>https://www.jotform.com/uploads/macarewecare/222927978372067/5559597164417956844/5559597164417956844_signature_28.png</t>
  </si>
  <si>
    <t>https://www.jotform.com/uploads/macarewecare/222927978372067/5559597164417956844/5559597164417956844_signature_31.png</t>
  </si>
  <si>
    <t xml:space="preserve">ASSAY: Xpert MTB/RIF, COUNT: 467
ASSAY: Xpert MTB/RIF Ultra, COUNT: 857
</t>
  </si>
  <si>
    <t>Module B1 with frequently error code 1002</t>
  </si>
  <si>
    <t>Conduct PM and run Xpert check</t>
  </si>
  <si>
    <t>Run Xpert check for module B1</t>
  </si>
  <si>
    <t>Module B1 passed the calibration</t>
  </si>
  <si>
    <t>https://www.jotform.com/uploads/macarewecare/222927978372067/5559569065474135410/5559569065474135410_signature_28.png</t>
  </si>
  <si>
    <t>Michelle Gregorio</t>
  </si>
  <si>
    <t>https://www.jotform.com/uploads/macarewecare/222927978372067/5559569065474135410/5559569065474135410_signature_31.png</t>
  </si>
  <si>
    <t>https://www.jotform.com/uploads/macarewecare/222927978372067/5559491368397533061/5559491368397533061_signature_28.png</t>
  </si>
  <si>
    <t>https://www.jotform.com/uploads/macarewecare/222927978372067/5559491368397533061/5559491368397533061_signature_31.png</t>
  </si>
  <si>
    <t>Cadiz, Poblacion Negros Occidental</t>
  </si>
  <si>
    <t>dazakellyjean@gmail.com</t>
  </si>
  <si>
    <t>Error 4017 Thermistor Verification problem</t>
  </si>
  <si>
    <t>Replaced new module in B3 serial number 618705</t>
  </si>
  <si>
    <t>Module replacement in Module 3 Serial Number 683828
Get data results of 3 months, Generate IQR, System log, Assay statistics
Clean Icore, clean valve, clean plunger</t>
  </si>
  <si>
    <t>Machines operational</t>
  </si>
  <si>
    <t>https://www.jotform.com/uploads/macarewecare/222927978372067/5559458967018862424/5559458967018862424_signature_28.png</t>
  </si>
  <si>
    <t>Jelly Jean Daza</t>
  </si>
  <si>
    <t>https://www.jotform.com/uploads/macarewecare/222927978372067/5559458967018862424/5559458967018862424_signature_31.png</t>
  </si>
  <si>
    <t>maryjune1977@yahoo.com</t>
  </si>
  <si>
    <t>All modules functional</t>
  </si>
  <si>
    <t>Module B2 fail for Xpertcheck</t>
  </si>
  <si>
    <t>https://www.jotform.com/uploads/macarewecare/222927978372067/5558921198422489935/5558921198422489935_signature_28.png</t>
  </si>
  <si>
    <t>https://www.jotform.com/uploads/macarewecare/222927978372067/5558921198422489935/5558921198422489935_signature_31.png</t>
  </si>
  <si>
    <t>MCS + Haemonitics</t>
  </si>
  <si>
    <t>2D167</t>
  </si>
  <si>
    <t>Due date for Calibration</t>
  </si>
  <si>
    <t>Calibration/Maintenance</t>
  </si>
  <si>
    <t>https://www.jotform.com/uploads/macarewecare/222927978372067/5558830508292036615/5558830508292036615_signature_28.png</t>
  </si>
  <si>
    <t>https://www.jotform.com/uploads/macarewecare/222927978372067/5558830508292036615/5558830508292036615_signature_31.png</t>
  </si>
  <si>
    <t>https://www.jotform.com/uploads/macarewecare/222927978372067/5558830011799804592/5558830011799804592_signature_28.png</t>
  </si>
  <si>
    <t>https://www.jotform.com/uploads/macarewecare/222927978372067/5558830011799804592/5558830011799804592_signature_31.png</t>
  </si>
  <si>
    <t>Unit for PM.
For module replacement of module B1.
For re-Xpertcheck of module B4.</t>
  </si>
  <si>
    <t>Performed PM.
Performed module replacement on B1.
Performed Xpertcheck on B4.
Generated reports.</t>
  </si>
  <si>
    <t>Unit is operational. Module B4 (61932), service required.</t>
  </si>
  <si>
    <t>Gx module B1 (761520) in replacement to defective B1 (649046).
Xpertcheck Kit.</t>
  </si>
  <si>
    <t>https://www.jotform.com/uploads/macarewecare/222927978372067/5558825109514382091/5558825109514382091_signature_28.png</t>
  </si>
  <si>
    <t>https://www.jotform.com/uploads/macarewecare/222927978372067/5558825109514382091/5558825109514382091_signature_31.png</t>
  </si>
  <si>
    <t>Poblacion Porac Pampanga</t>
  </si>
  <si>
    <t xml:space="preserve">ASSAY: Xpert MTB/RIF, COUNT: 206
ASSAY: Xpert MTB/RIF Ultra, COUNT: 577
</t>
  </si>
  <si>
    <t>C3 and C4 for module replacement</t>
  </si>
  <si>
    <t>2 Genexpert modules</t>
  </si>
  <si>
    <t>9745 and 9753</t>
  </si>
  <si>
    <t>https://www.jotform.com/uploads/macarewecare/222927978372067/5558729878912055967/5558729878912055967_signature_28.png</t>
  </si>
  <si>
    <t>https://www.jotform.com/uploads/macarewecare/222927978372067/5558729878912055967/5558729878912055967_signature_31.png</t>
  </si>
  <si>
    <t xml:space="preserve">ASSAY: Xpert MTB/RIF Ultra, COUNT: 4142
</t>
  </si>
  <si>
    <t>Save file GXC File, IQR, System Log and Assay Stat</t>
  </si>
  <si>
    <t>https://www.jotform.com/uploads/macarewecare/222927978372067/5558664539215372983/5558664539215372983_signature_28.png</t>
  </si>
  <si>
    <t>https://www.jotform.com/uploads/macarewecare/222927978372067/5558664539215372983/5558664539215372983_signature_31.png</t>
  </si>
  <si>
    <t>Module E4 required service</t>
  </si>
  <si>
    <t>Save file for GXC file, IQR, SYSTEM LOG &amp; Assay Stats for reporting.</t>
  </si>
  <si>
    <t>Module E1, E2 and E3 passed the calibration</t>
  </si>
  <si>
    <t>https://www.jotform.com/uploads/macarewecare/222927978372067/5558660959213661649/5558660959213661649_signature_28.png</t>
  </si>
  <si>
    <t>https://www.jotform.com/uploads/macarewecare/222927978372067/5558660959213661649/5558660959213661649_signature_31.png</t>
  </si>
  <si>
    <t>https://www.jotform.com/uploads/macarewecare/222927978372067/5558660279212718618/5558660279212718618_signature_28.png</t>
  </si>
  <si>
    <t>https://www.jotform.com/uploads/macarewecare/222927978372067/5558660279212718618/5558660279212718618_signature_31.png</t>
  </si>
  <si>
    <t xml:space="preserve">ASSAY: Xpert MTB/RIF, COUNT: 421
ASSAY: Xpert MTB/RIF Ultra, COUNT: 711
</t>
  </si>
  <si>
    <t>Module 3 and 4 for service required</t>
  </si>
  <si>
    <t>Perform Genexpert machine Preventive maintenance
Perform Genexpert machine Calibration/Xpertcheck</t>
  </si>
  <si>
    <t>https://www.jotform.com/uploads/macarewecare/222927978372067/5558653025721868695/5558653025721868695_signature_28.png</t>
  </si>
  <si>
    <t>Jose Francis Recinto</t>
  </si>
  <si>
    <t>https://www.jotform.com/uploads/macarewecare/222927978372067/5558653025721868695/5558653025721868695_signature_31.png</t>
  </si>
  <si>
    <t>H. Lopez Blvd.</t>
  </si>
  <si>
    <t>Covid Lab</t>
  </si>
  <si>
    <t xml:space="preserve">ASSAY: Xpert HPV, COUNT: 472
ASSAY: Xpert MTB/RIF Ultra, COUNT: 1192
ASSAY: Xpert SARS-CoV-2, COUNT: 11044
</t>
  </si>
  <si>
    <t>Unit for PM.
For module replacement of B4.</t>
  </si>
  <si>
    <t>Unit is operational. For reporting of module A1.</t>
  </si>
  <si>
    <t>Gx module B4 (210071372) in replacement to defective B4 (642801).</t>
  </si>
  <si>
    <t>https://www.jotform.com/uploads/macarewecare/222927978372067/5558626306214291819/5558626306214291819_signature_28.png</t>
  </si>
  <si>
    <t>cynthia fuertes,rmt</t>
  </si>
  <si>
    <t>https://www.jotform.com/uploads/macarewecare/222927978372067/5558626306214291819/5558626306214291819_signature_31.png</t>
  </si>
  <si>
    <t xml:space="preserve">ASSAY: Xpert HPV, COUNT: 150
ASSAY: Xpert MTB/RIF Ultra, COUNT: 250
ASSAY: Xpert SARS-CoV-2, COUNT: 2022
</t>
  </si>
  <si>
    <t>Unit for PM.
Foe module replacement of module A4.</t>
  </si>
  <si>
    <t>Gx module A4 (688318) in replacement to defective A4 (634910).</t>
  </si>
  <si>
    <t>DR 9800</t>
  </si>
  <si>
    <t>https://www.jotform.com/uploads/macarewecare/222927978372067/5558625726213585464/5558625726213585464_signature_28.png</t>
  </si>
  <si>
    <t>Cynthia Fuertes ,Rmt</t>
  </si>
  <si>
    <t>https://www.jotform.com/uploads/macarewecare/222927978372067/5558625726213585464/5558625726213585464_signature_31.png</t>
  </si>
  <si>
    <t>Davao del Sur Provincial Hospital - Digos</t>
  </si>
  <si>
    <t>Poblacion Digos, Davao del Sur</t>
  </si>
  <si>
    <t>shammy0308@gmail.com</t>
  </si>
  <si>
    <t>Module A2, A3 and A4 for Replacement</t>
  </si>
  <si>
    <t>Replaced Defective Module A2 SN: 687556 with new module SN:672190
Replaced the Defective Module A3 SN: 689053 with new Module SN: 672526
Replaced the Defective Module A4 SN: 766131 with new Module SN: 676407</t>
  </si>
  <si>
    <t>https://www.jotform.com/uploads/macarewecare/222927978372067/5558591047912130785/5558591047912130785_signature_28.png</t>
  </si>
  <si>
    <t>Sharmella Joy Doguiles Pinote</t>
  </si>
  <si>
    <t>https://www.jotform.com/uploads/macarewecare/222927978372067/5558591047912130785/5558591047912130785_signature_31.png</t>
  </si>
  <si>
    <t>https://www.jotform.com/uploads/macarewecare/222927978372067/5558590877911236303/5558590877911236303_signature_28.png</t>
  </si>
  <si>
    <t>https://www.jotform.com/uploads/macarewecare/222927978372067/5558590877911236303/5558590877911236303_signature_31.png</t>
  </si>
  <si>
    <t>Guiuan, Eastern Samar</t>
  </si>
  <si>
    <t>emileramirez161821@gmail.com</t>
  </si>
  <si>
    <t xml:space="preserve">ASSAY: Xpert MTB/RIF, COUNT: 285
ASSAY: Xpert MTB/RIF Ultra, COUNT: 614
ASSAY: Xpert HIV-1 Viral Load, COUNT: 7
</t>
  </si>
  <si>
    <t>https://www.jotform.com/uploads/macarewecare/222927978372067/5558411096722154739/5558411096722154739_signature_28.png</t>
  </si>
  <si>
    <t>EMILIANA B. RAMIREZ</t>
  </si>
  <si>
    <t>https://www.jotform.com/uploads/macarewecare/222927978372067/5558411096722154739/5558411096722154739_signature_31.png</t>
  </si>
  <si>
    <t xml:space="preserve">ASSAY: Xpert MTB/RIF, COUNT: 252
ASSAY: Xpert MTB/RIF Ultra, COUNT: 1415
</t>
  </si>
  <si>
    <t>Unit is operational.
B1: failed
B2: failed
B3: passed
B4: passed</t>
  </si>
  <si>
    <t>https://www.jotform.com/uploads/macarewecare/222927978372067/5558016432227168909/5558016432227168909_signature_28.png</t>
  </si>
  <si>
    <t>https://www.jotform.com/uploads/macarewecare/222927978372067/5558016432227168909/5558016432227168909_signature_31.png</t>
  </si>
  <si>
    <t>San Jose Del Monte City Health Center</t>
  </si>
  <si>
    <t>theadelrosario@gmail.com</t>
  </si>
  <si>
    <t xml:space="preserve">ASSAY: Xpert MTB/RIF Ultra, COUNT: 858
ASSAY: Xpert HIV-1 Viral Load, COUNT: 6
</t>
  </si>
  <si>
    <t>Unit is operational.
B1: passed
B2: failed
B3: insufficient kit
B4: insufficient kit</t>
  </si>
  <si>
    <t>https://www.jotform.com/uploads/macarewecare/222927978372067/5558016432225130220/5558016432225130220_signature_28.png</t>
  </si>
  <si>
    <t>https://www.jotform.com/uploads/macarewecare/222927978372067/5558016432225130220/5558016432225130220_signature_31.png</t>
  </si>
  <si>
    <t xml:space="preserve">ASSAY: Xpert MTB/RIF, COUNT: 1025
ASSAY: Xpert MTB/RIF Ultra, COUNT: 904
ASSAY: Xpert HIV-1 Viral Load, COUNT: 15
</t>
  </si>
  <si>
    <t>Unit is operational.
C1: passed
C2: insufficient cartridge 
C3: passed
C4: passed</t>
  </si>
  <si>
    <t>https://www.jotform.com/uploads/macarewecare/222927978372067/5558016432227418348/5558016432227418348_signature_28.png</t>
  </si>
  <si>
    <t>https://www.jotform.com/uploads/macarewecare/222927978372067/5558016432227418348/5558016432227418348_signature_31.png</t>
  </si>
  <si>
    <t xml:space="preserve">ASSAY: Xpert MTB/RIF, COUNT: 1069
ASSAY: Xpert MTB/RIF Ultra, COUNT: 2080
ASSAY: Xpert HIV-1 Viral Load, COUNT: 134
</t>
  </si>
  <si>
    <t>FOR MODULE D1 REPLACEMENT</t>
  </si>
  <si>
    <t>- PERFORM MODULE D1 DEFECTIVE SN:683160 WITH NEW MODULE SN:717195
-PERFORM CLEANING OF GX EQPT</t>
  </si>
  <si>
    <t>https://www.jotform.com/uploads/macarewecare/222927978372067/5557947873612974688/5557947873612974688_signature_28.png</t>
  </si>
  <si>
    <t>https://www.jotform.com/uploads/macarewecare/222927978372067/5557947873612974688/5557947873612974688_signature_31.png</t>
  </si>
  <si>
    <t>Julian Felipe St. Caloocan City</t>
  </si>
  <si>
    <t xml:space="preserve">ASSAY: Xpert MTB/RIF Ultra, COUNT: 1255
ASSAY: Xpert MTB/RIF, COUNT: 43
</t>
  </si>
  <si>
    <t>Performed PM.
Performed Xpertcheck.
Generared reports.</t>
  </si>
  <si>
    <t>Unit is operational. Module B4 (863606) is service required.</t>
  </si>
  <si>
    <t>https://www.jotform.com/uploads/macarewecare/222927978372067/5557917978463447006/5557917978463447006_signature_28.png</t>
  </si>
  <si>
    <t>Lloyd Maoi M. De Guzman</t>
  </si>
  <si>
    <t>https://www.jotform.com/uploads/macarewecare/222927978372067/5557917978463447006/5557917978463447006_signature_31.png</t>
  </si>
  <si>
    <t>Carcar cho</t>
  </si>
  <si>
    <t>Valladollid Carcar</t>
  </si>
  <si>
    <t>Error 1002</t>
  </si>
  <si>
    <t>Get data, system log, assay statistics, IQR
Archive results in 3 months</t>
  </si>
  <si>
    <t>Clean Up filter, clean icore</t>
  </si>
  <si>
    <t>All module operational</t>
  </si>
  <si>
    <t>https://www.jotform.com/uploads/macarewecare/222927978372067/5557908210023011752/5557908210023011752_signature_28.png</t>
  </si>
  <si>
    <t>https://www.jotform.com/uploads/macarewecare/222927978372067/5557908210023011752/5557908210023011752_signature_31.png</t>
  </si>
  <si>
    <t>Purok 5, Poblacion, Las Nieves</t>
  </si>
  <si>
    <t>daisermt@yahoo.com</t>
  </si>
  <si>
    <t xml:space="preserve">ASSAY: Xpert MTB/RIF Ultra, COUNT: 142
</t>
  </si>
  <si>
    <t>Stuck Cartridge at Module B4</t>
  </si>
  <si>
    <t>Removing Cartridge using manual method.</t>
  </si>
  <si>
    <t>All modules are fully functional.</t>
  </si>
  <si>
    <t>https://www.jotform.com/uploads/macarewecare/222927978372067/5557906142818521092/5557906142818521092_signature_28.png</t>
  </si>
  <si>
    <t>Daisy G. Siega</t>
  </si>
  <si>
    <t>https://www.jotform.com/uploads/macarewecare/222927978372067/5557906142818521092/5557906142818521092_signature_31.png</t>
  </si>
  <si>
    <t>C4 road, Sangandaan</t>
  </si>
  <si>
    <t xml:space="preserve">ASSAY: Xpert MTB/RIF, COUNT: 831
ASSAY: Xpert MTB/RIF Ultra, COUNT: 1407
ASSAY: Xpert HIV-1 Viral Load, COUNT: 171
</t>
  </si>
  <si>
    <t>Performed PM.
Performed module replacement of A2</t>
  </si>
  <si>
    <t>Gx module A2 (757103) in replacement to defective A2 (802378).</t>
  </si>
  <si>
    <t>https://www.jotform.com/uploads/macarewecare/222927978372067/5557885168468203881/5557885168468203881_signature_28.png</t>
  </si>
  <si>
    <t>https://www.jotform.com/uploads/macarewecare/222927978372067/5557885168468203881/5557885168468203881_signature_31.png</t>
  </si>
  <si>
    <t>Preventive maintenance
Generate report data files
Performed database back up</t>
  </si>
  <si>
    <t>https://www.jotform.com/uploads/macarewecare/222927978372067/5557869531221813299/5557869531221813299_signature_28.png</t>
  </si>
  <si>
    <t>https://www.jotform.com/uploads/macarewecare/222927978372067/5557869531221813299/5557869531221813299_signature_31.png</t>
  </si>
  <si>
    <t xml:space="preserve">ASSAY: Xpert MTB/RIF, COUNT: 20
ASSAY: Xpert MTB/RIF Ultra, COUNT: 305
</t>
  </si>
  <si>
    <t>Module 2 multiple temperature error
Module 4 for service required</t>
  </si>
  <si>
    <t>Perform Genexpert machine Preventive maintenance
Perform Xpertcheck at module 2 and 4 for Troubleshooting</t>
  </si>
  <si>
    <t>https://www.jotform.com/uploads/macarewecare/222927978372067/5557867740022986606/5557867740022986606_signature_28.png</t>
  </si>
  <si>
    <t>https://www.jotform.com/uploads/macarewecare/222927978372067/5557867740022986606/5557867740022986606_signature_31.png</t>
  </si>
  <si>
    <t xml:space="preserve">ASSAY: Xpert MTB/RIF, COUNT: 167
ASSAY: Xpert MTB/RIF Ultra, COUNT: 1873
</t>
  </si>
  <si>
    <t>PM and Module Replacement</t>
  </si>
  <si>
    <t>Gx module B2 (711157) in replacement to defective module B2 (753694).</t>
  </si>
  <si>
    <t>DR 9796</t>
  </si>
  <si>
    <t>https://www.jotform.com/uploads/macarewecare/222927978372067/5557829938462291445/5557829938462291445_signature_28.png</t>
  </si>
  <si>
    <t>https://www.jotform.com/uploads/macarewecare/222927978372067/5557829938462291445/5557829938462291445_signature_31.png</t>
  </si>
  <si>
    <t xml:space="preserve">ASSAY: Xpert MTB/RIF, COUNT: 54
ASSAY: Xpert MTB/RIF Ultra, COUNT: 205
</t>
  </si>
  <si>
    <t>Xpertcheck Result = A1, A2, A4 - Passed &amp; A3 - Serviced Required</t>
  </si>
  <si>
    <t>https://www.jotform.com/uploads/macarewecare/222927978372067/5557773252022523453/5557773252022523453_signature_28.png</t>
  </si>
  <si>
    <t>Janine Mercado</t>
  </si>
  <si>
    <t>https://www.jotform.com/uploads/macarewecare/222927978372067/5557773252022523453/5557773252022523453_signature_31.png</t>
  </si>
  <si>
    <t xml:space="preserve">ASSAY: Xpert MTB/RIF Ultra, COUNT: 524
ASSAY: Xpert MTB/RIF, COUNT: 82
</t>
  </si>
  <si>
    <t>Module 3, Hardware Failure</t>
  </si>
  <si>
    <t>Performed Xpertcheck in A3</t>
  </si>
  <si>
    <t>Performed Maintenance
Performed Module Replacement ( 713126 &amp; 757746 = 708506 &amp; 626301)
Performed Calibration
Gathered Reports
Installed HIV assay
Performed Functionality Test</t>
  </si>
  <si>
    <t>Xpertcheck Result - Passed</t>
  </si>
  <si>
    <t>Genexpert Module - 708506 &amp; 626301</t>
  </si>
  <si>
    <t>9761 &amp; 9756</t>
  </si>
  <si>
    <t>https://www.jotform.com/uploads/macarewecare/222927978372067/5557773252025756106/5557773252025756106_signature_28.png</t>
  </si>
  <si>
    <t>Rochel ann lontoc</t>
  </si>
  <si>
    <t>https://www.jotform.com/uploads/macarewecare/222927978372067/5557773252025756106/5557773252025756106_signature_31.png</t>
  </si>
  <si>
    <t>JP Rizal Memorial Hospital, Manila S Rd., Calamba</t>
  </si>
  <si>
    <t>Defective centrifuge</t>
  </si>
  <si>
    <t>Replaced defective centrifuge</t>
  </si>
  <si>
    <t>Replaced defective centrifuge
Performed maintenance 
Simulation run
Calibrated the unit</t>
  </si>
  <si>
    <t>Unit is currently installed and repaired in PRC Calamba</t>
  </si>
  <si>
    <t>Centrifuge assembly SN: 1242</t>
  </si>
  <si>
    <t>DR# 9693</t>
  </si>
  <si>
    <t>https://www.jotform.com/uploads/macarewecare/222927978372067/5557085921218452951/5557085921218452951_signature_28.png</t>
  </si>
  <si>
    <t>https://www.jotform.com/uploads/macarewecare/222927978372067/5557085921218452951/5557085921218452951_signature_31.png</t>
  </si>
  <si>
    <t xml:space="preserve">ASSAY: Xpert MTB/RIF, COUNT: 286
ASSAY: Xpert MTB/RIF Ultra, COUNT: 1288
</t>
  </si>
  <si>
    <t>Modules A2 and A4 for replacement.</t>
  </si>
  <si>
    <t>Unit is operational. Module A3/657408 not operational.</t>
  </si>
  <si>
    <t>Old: A2/792154, A4/754217
New: A2/630566, A4/609675</t>
  </si>
  <si>
    <t>DR# 9727, 9726</t>
  </si>
  <si>
    <t>https://www.jotform.com/uploads/macarewecare/222927978372067/5557085861216523047/5557085861216523047_signature_28.png</t>
  </si>
  <si>
    <t>https://www.jotform.com/uploads/macarewecare/222927978372067/5557085861216523047/5557085861216523047_signature_31.png</t>
  </si>
  <si>
    <t>gemmponce@gmail.com</t>
  </si>
  <si>
    <t xml:space="preserve">ASSAY: Xpert MTB/RIF, COUNT: 22
ASSAY: Xpert MTB/RIF Ultra, COUNT: 609
</t>
  </si>
  <si>
    <t>Unit is operational. Module A2/783209 not operational but already reported.</t>
  </si>
  <si>
    <t>Old: A1/792273
New: A1/674291</t>
  </si>
  <si>
    <t>DR# 9708</t>
  </si>
  <si>
    <t>https://www.jotform.com/uploads/macarewecare/222927978372067/5557085861219244628/5557085861219244628_signature_28.png</t>
  </si>
  <si>
    <t>Gemma M. Ponce</t>
  </si>
  <si>
    <t>https://www.jotform.com/uploads/macarewecare/222927978372067/5557085861219244628/5557085861219244628_signature_31.png</t>
  </si>
  <si>
    <t>bacteriology.armmc@gmail.com</t>
  </si>
  <si>
    <t xml:space="preserve">ASSAY: Xpert MTB/RIF, COUNT: 467
ASSAY: Xpert MTB/RIF Ultra, COUNT: 2258
</t>
  </si>
  <si>
    <t>Replaced defective module.</t>
  </si>
  <si>
    <t>Performed maintenence 
Replaced defective module
Generated reports</t>
  </si>
  <si>
    <t>Old: B3/608964
New: B3/706298</t>
  </si>
  <si>
    <t>G 5293</t>
  </si>
  <si>
    <t>https://www.jotform.com/uploads/macarewecare/222927978372067/5557085861214247272/5557085861214247272_signature_28.png</t>
  </si>
  <si>
    <t>https://www.jotform.com/uploads/macarewecare/222927978372067/5557085861214247272/5557085861214247272_signature_31.png</t>
  </si>
  <si>
    <t>Gen. Luna St., Lumban</t>
  </si>
  <si>
    <t>sheilamarylegisma@gmail.com</t>
  </si>
  <si>
    <t xml:space="preserve">ASSAY: Xpert MTB/RIF, COUNT: 160
ASSAY: Xpert MTB/RIF Ultra, COUNT: 914
</t>
  </si>
  <si>
    <t>Old: B3/806807
New: B3/630625</t>
  </si>
  <si>
    <t>https://www.jotform.com/uploads/macarewecare/222927978372067/5557085861217058644/5557085861217058644_signature_28.png</t>
  </si>
  <si>
    <t>Rizalyne sacdalan</t>
  </si>
  <si>
    <t>https://www.jotform.com/uploads/macarewecare/222927978372067/5557085861217058644/5557085861217058644_signature_31.png</t>
  </si>
  <si>
    <t>Pio Valenzuela St., Sta. Cruz</t>
  </si>
  <si>
    <t>jezzaleal@gmail.co</t>
  </si>
  <si>
    <t xml:space="preserve">ASSAY: Xpert MTB/RIF, COUNT: 47
ASSAY: Xpert MTB/RIF Ultra, COUNT: 1013
</t>
  </si>
  <si>
    <t>Replaced module D4</t>
  </si>
  <si>
    <t>Performed maintenance 
Replaced defective module
Performed maintenance</t>
  </si>
  <si>
    <t>Unit is operational. Module D1/722064 not operational but reported already.</t>
  </si>
  <si>
    <t>Old: D4/722098
New: D4/713370</t>
  </si>
  <si>
    <t>DR# 9733</t>
  </si>
  <si>
    <t>https://www.jotform.com/uploads/macarewecare/222927978372067/5557085861218657608/5557085861218657608_signature_28.png</t>
  </si>
  <si>
    <t>https://www.jotform.com/uploads/macarewecare/222927978372067/5557085861218657608/5557085861218657608_signature_31.png</t>
  </si>
  <si>
    <t xml:space="preserve">ASSAY: Xpert MTB/RIF, COUNT: 261
ASSAY: Xpert MTB/RIF Ultra, COUNT: 454
</t>
  </si>
  <si>
    <t>A1 and A4 for module replacement</t>
  </si>
  <si>
    <t>Repair
Module replacement
Preventive maintenance</t>
  </si>
  <si>
    <t>9771 and 9759</t>
  </si>
  <si>
    <t>https://www.jotform.com/uploads/macarewecare/222927978372067/5557074676686558085/5557074676686558085_signature_28.png</t>
  </si>
  <si>
    <t>https://www.jotform.com/uploads/macarewecare/222927978372067/5557074676686558085/5557074676686558085_signature_31.png</t>
  </si>
  <si>
    <t>L. Cort3z St. Concepcion Tarlac</t>
  </si>
  <si>
    <t>rowenapunsalan04@gmail.com</t>
  </si>
  <si>
    <t xml:space="preserve">ASSAY: Xpert MTB/RIF, COUNT: 195
ASSAY: Xpert MTB/RIF Ultra, COUNT: 903
ASSAY: Xpert HIV-1 Viral Load, COUNT: 16
</t>
  </si>
  <si>
    <t>Genexpert module troubleshooting</t>
  </si>
  <si>
    <t>Troubkeshooting
Preventive maintenance</t>
  </si>
  <si>
    <t>Performed surfqce cleaning
Performed Cepheid troubleshooting procedures
Gathered reports
Performed functionality test</t>
  </si>
  <si>
    <t>Unit is operational except  B1 and B2</t>
  </si>
  <si>
    <t>https://www.jotform.com/uploads/macarewecare/222927978372067/5557061566682768366/5557061566682768366_signature_28.png</t>
  </si>
  <si>
    <t>Maria Rowena Punsalan</t>
  </si>
  <si>
    <t>https://www.jotform.com/uploads/macarewecare/222927978372067/5557061566682768366/5557061566682768366_signature_31.png</t>
  </si>
  <si>
    <t>https://www.jotform.com/uploads/macarewecare/222927978372067/5557009556688652781/5557009556688652781_signature_28.png</t>
  </si>
  <si>
    <t>https://www.jotform.com/uploads/macarewecare/222927978372067/5557009556688652781/5557009556688652781_signature_31.png</t>
  </si>
  <si>
    <t>West Metro Medical Centre</t>
  </si>
  <si>
    <t>Veterans Avenue Extension, Zamboanga City</t>
  </si>
  <si>
    <t>labresult@westmetro.com.ph</t>
  </si>
  <si>
    <t xml:space="preserve">ASSAY: Xpert SARS-CoV-2, COUNT: 2450
</t>
  </si>
  <si>
    <t>Module B1 and B2 error 4009, 2014</t>
  </si>
  <si>
    <t>Preventive maintenence</t>
  </si>
  <si>
    <t>Machine not in use</t>
  </si>
  <si>
    <t>https://www.jotform.com/uploads/macarewecare/222927978372067/5557001969016940422/5557001969016940422_signature_28.png</t>
  </si>
  <si>
    <t>Ma. Razel Canumay</t>
  </si>
  <si>
    <t>https://www.jotform.com/uploads/macarewecare/222927978372067/5557001969016940422/5557001969016940422_signature_31.png</t>
  </si>
  <si>
    <t>Brgy. Sta. Cruz, Dasmariñas</t>
  </si>
  <si>
    <t xml:space="preserve">ASSAY: Xpert MTB/RIF Ultra, COUNT: 2556
ASSAY: Xpert HIV-1 Viral Load, COUNT: 46
</t>
  </si>
  <si>
    <t>Modules 2, 3 and 4 with Temperature Errors</t>
  </si>
  <si>
    <t>Replaced Modules 2 and 4
ReXpertCheck Module 3
Generate Reports</t>
  </si>
  <si>
    <t>862309, 654888 -&gt; 638084, 724603 , XC: B3- Failed</t>
  </si>
  <si>
    <t>9732, 9735</t>
  </si>
  <si>
    <t>https://www.jotform.com/uploads/macarewecare/222927978372067/5556980301211749944/5556980301211749944_signature_28.png</t>
  </si>
  <si>
    <t>Hazel B. Milan</t>
  </si>
  <si>
    <t>https://www.jotform.com/uploads/macarewecare/222927978372067/5556980301211749944/5556980301211749944_signature_31.png</t>
  </si>
  <si>
    <t>Plaridel Subd., Imus</t>
  </si>
  <si>
    <t>Module 1 and 3 with Temperature Error</t>
  </si>
  <si>
    <t>Performed Maintenance
Performed XpertCheck on Modules 1 and 3
Generate Reports</t>
  </si>
  <si>
    <t>Module 1 is Unavailable in XpertCheck, Module 3 Passed</t>
  </si>
  <si>
    <t>https://www.jotform.com/uploads/macarewecare/222927978372067/5556980301215419886/5556980301215419886_signature_28.png</t>
  </si>
  <si>
    <t>https://www.jotform.com/uploads/macarewecare/222927978372067/5556980301215419886/5556980301215419886_signature_31.png</t>
  </si>
  <si>
    <t>Burgos St, Alfonso</t>
  </si>
  <si>
    <t>Modules 2,3,4 with Temperature Errors</t>
  </si>
  <si>
    <t>Replaced Modules 2, 3, and 4
Performed Maintenance
Generate Reports</t>
  </si>
  <si>
    <t>730963, 673017, 657115 -&gt; 653212, 867876, 614310</t>
  </si>
  <si>
    <t>9722, 9723, 9724</t>
  </si>
  <si>
    <t>https://www.jotform.com/uploads/macarewecare/222927978372067/5556980301217946898/5556980301217946898_signature_28.png</t>
  </si>
  <si>
    <t>https://www.jotform.com/uploads/macarewecare/222927978372067/5556980301217946898/5556980301217946898_signature_31.png</t>
  </si>
  <si>
    <t>Del Pilar St, Silang</t>
  </si>
  <si>
    <t>Modules 1 and 4 Failed in XpertCheck</t>
  </si>
  <si>
    <t>Replaced Modules  1 and 4
Performed Maintenance
Generate Reports</t>
  </si>
  <si>
    <t>723022, 723243 -&gt; 634972, 629212</t>
  </si>
  <si>
    <t>9712, 9713</t>
  </si>
  <si>
    <t>https://www.jotform.com/uploads/macarewecare/222927978372067/5556980301219450334/5556980301219450334_signature_28.png</t>
  </si>
  <si>
    <t>https://www.jotform.com/uploads/macarewecare/222927978372067/5556980301219450334/5556980301219450334_signature_31.png</t>
  </si>
  <si>
    <t xml:space="preserve">ASSAY: Xpert MTB/RIF Ultra, COUNT: 1540
ASSAY: Xpert HIV-1 Viral Load, COUNT: 140
</t>
  </si>
  <si>
    <t>3 Modules with Temperature Errors</t>
  </si>
  <si>
    <t>Performed Maintenance
Replaced Modules 3 and 4
ReXpertCheck Module 4</t>
  </si>
  <si>
    <t>3 Modules Operational, 1 Defective</t>
  </si>
  <si>
    <t>720511, 744626 -&gt; 626065, 601653</t>
  </si>
  <si>
    <t>GeneXpert Module Kit 6-Colors</t>
  </si>
  <si>
    <t>DR 9710, 9711</t>
  </si>
  <si>
    <t>https://www.jotform.com/uploads/macarewecare/222927978372067/5556980071212723230/5556980071212723230_signature_28.png</t>
  </si>
  <si>
    <t>https://www.jotform.com/uploads/macarewecare/222927978372067/5556980071212723230/5556980071212723230_signature_31.png</t>
  </si>
  <si>
    <t>XC: 3 &amp; 4 Failed</t>
  </si>
  <si>
    <t>https://www.jotform.com/uploads/macarewecare/222927978372067/5556980071213539756/5556980071213539756_signature_28.png</t>
  </si>
  <si>
    <t>https://www.jotform.com/uploads/macarewecare/222927978372067/5556980071213539756/5556980071213539756_signature_31.png</t>
  </si>
  <si>
    <t>CPU is Defective</t>
  </si>
  <si>
    <t>Back-up Laptop
XpertCheck</t>
  </si>
  <si>
    <t>Install Back-up Laptop
Performed Maintenance
Performed XpertCheck
Generate Reports</t>
  </si>
  <si>
    <t>All Modules are Operational, All Modules Passed the XpertCheck</t>
  </si>
  <si>
    <t>2UA70329CD -&gt; CPH1019F03275</t>
  </si>
  <si>
    <t>Laptop L480</t>
  </si>
  <si>
    <t>G 5266</t>
  </si>
  <si>
    <t>https://www.jotform.com/uploads/macarewecare/222927978372067/5556980071214379883/5556980071214379883_signature_28.png</t>
  </si>
  <si>
    <t>https://www.jotform.com/uploads/macarewecare/222927978372067/5556980071214379883/5556980071214379883_signature_31.png</t>
  </si>
  <si>
    <t>Brgy. Gumamela, Balayan</t>
  </si>
  <si>
    <t>3 Modules are Operational, 1 for Observation with Temperature Errors</t>
  </si>
  <si>
    <t>XC: All Modules Passed</t>
  </si>
  <si>
    <t>https://www.jotform.com/uploads/macarewecare/222927978372067/5556980071216268768/5556980071216268768_signature_28.png</t>
  </si>
  <si>
    <t>Veronics Dalida</t>
  </si>
  <si>
    <t>https://www.jotform.com/uploads/macarewecare/222927978372067/5556980071216268768/5556980071216268768_signature_31.png</t>
  </si>
  <si>
    <t>Dela Salud St., Poblacion 3, Calaca</t>
  </si>
  <si>
    <t xml:space="preserve">ASSAY: Xpert MTB/RIF Ultra, COUNT: 1162
</t>
  </si>
  <si>
    <t>Module 2 has temperature error
Unit is due for XpertCheck</t>
  </si>
  <si>
    <t>Module Replacememt
XpertCheck</t>
  </si>
  <si>
    <t>Performed Maintenance
Performed XpertCheck
Replaced Module 2
Generate Reports</t>
  </si>
  <si>
    <t>A2: 731300 -&gt; 730076</t>
  </si>
  <si>
    <t>https://www.jotform.com/uploads/macarewecare/222927978372067/5556980071218699351/5556980071218699351_signature_28.png</t>
  </si>
  <si>
    <t>Loida C. Marasigan</t>
  </si>
  <si>
    <t>https://www.jotform.com/uploads/macarewecare/222927978372067/5556980071218699351/5556980071218699351_signature_31.png</t>
  </si>
  <si>
    <t>Sto. Domingo 2 Capas, Tarlac</t>
  </si>
  <si>
    <t xml:space="preserve">ASSAY: Xpert MTB/RIF, COUNT: 221
ASSAY: Xpert MTB/RIF Ultra, COUNT: 1349
</t>
  </si>
  <si>
    <t>A1 and A2 for module replacemeny</t>
  </si>
  <si>
    <t>Performed surface and internal cleaning
Performed module replacement
Gathered reports
Performed functionality test</t>
  </si>
  <si>
    <t>9746 and 9747</t>
  </si>
  <si>
    <t>https://www.jotform.com/uploads/macarewecare/222927978372067/5556925546688342754/5556925546688342754_signature_28.png</t>
  </si>
  <si>
    <t>https://www.jotform.com/uploads/macarewecare/222927978372067/5556925546688342754/5556925546688342754_signature_31.png</t>
  </si>
  <si>
    <t>Romana Subd.</t>
  </si>
  <si>
    <t xml:space="preserve">ASSAY: Xpert HPV, COUNT: 84
ASSAY: Xpert MTB/RIF, COUNT: 195
ASSAY: Xpert MTB/RIF Ultra, COUNT: 1163
ASSAY: Xpert HIV-1 Viral Load, COUNT: 235
</t>
  </si>
  <si>
    <t>Unit for preventive maintenance.
For module replacement of modules B1 and B2.</t>
  </si>
  <si>
    <t>Performed preventive maintenance.
Performed module replacement on modules B1 and B2.
Generated reports</t>
  </si>
  <si>
    <t>Unit is operational. Module B3 for monitoring. Awaiting module for module B4.</t>
  </si>
  <si>
    <t>Gx module B1 (783692) and B2 (750375) in replacement to defective B1 (783692) and B2 (750375).</t>
  </si>
  <si>
    <t>https://www.jotform.com/uploads/macarewecare/222927978372067/5556058963322261427/5556058963322261427_signature_28.png</t>
  </si>
  <si>
    <t>https://www.jotform.com/uploads/macarewecare/222927978372067/5556058963322261427/5556058963322261427_signature_31.png</t>
  </si>
  <si>
    <t xml:space="preserve">ASSAY: Xpert MTB/RIF Ultra, COUNT: 1554
</t>
  </si>
  <si>
    <t>Performed preventive maintenance.
Performed module replacement on B3.
Generated reports.</t>
  </si>
  <si>
    <t>Gx module B3 (687052) in replacement to defective B3 (807734).</t>
  </si>
  <si>
    <t>DR 9709</t>
  </si>
  <si>
    <t>https://www.jotform.com/uploads/macarewecare/222927978372067/5556058863323577063/5556058863323577063_signature_28.png</t>
  </si>
  <si>
    <t>Mary Jane Lourdes Gayadan</t>
  </si>
  <si>
    <t>https://www.jotform.com/uploads/macarewecare/222927978372067/5556058863323577063/5556058863323577063_signature_31.png</t>
  </si>
  <si>
    <t>Unit for preventive maintenance.
For module replacement of modules B2 and B3.</t>
  </si>
  <si>
    <t>Performed preventive maintenance.
Performed module replacement of module B2 and B3.
Generated reports.</t>
  </si>
  <si>
    <t>Gx module B2 (684352) and B3 (684562) in replacement to defective B2 (654606) and B3 (684919).</t>
  </si>
  <si>
    <t>https://www.jotform.com/uploads/macarewecare/222927978372067/5556058863328856349/5556058863328856349_signature_28.png</t>
  </si>
  <si>
    <t>https://www.jotform.com/uploads/macarewecare/222927978372067/5556058863328856349/5556058863328856349_signature_31.png</t>
  </si>
  <si>
    <t>Los Banos Road</t>
  </si>
  <si>
    <t xml:space="preserve">ASSAY: Xpert MTB/RIF, COUNT: 78
ASSAY: Xpert MTB/RIF Ultra, COUNT: 796
</t>
  </si>
  <si>
    <t>Performed preventive maintenance.
Performed module replacement.
Generated reports.</t>
  </si>
  <si>
    <t>Gx module B3 (210046115) in replacement to defective B3 (706162).</t>
  </si>
  <si>
    <t>https://www.jotform.com/uploads/macarewecare/222927978372067/5556058823325407321/5556058823325407321_signature_28.png</t>
  </si>
  <si>
    <t>https://www.jotform.com/uploads/macarewecare/222927978372067/5556058823325407321/5556058823325407321_signature_31.png</t>
  </si>
  <si>
    <t>Poblacion Mabini</t>
  </si>
  <si>
    <t>Performed preventive maintenance.
Performed module replacement on module B1.
Generated repirts.</t>
  </si>
  <si>
    <t>Gx module B1 (627970) in replacement to detective B1 (863439).</t>
  </si>
  <si>
    <t>https://www.jotform.com/uploads/macarewecare/222927978372067/5556058823325578925/5556058823325578925_signature_28.png</t>
  </si>
  <si>
    <t>https://www.jotform.com/uploads/macarewecare/222927978372067/5556058823325578925/5556058823325578925_signature_31.png</t>
  </si>
  <si>
    <t>J. Tanalega Bay</t>
  </si>
  <si>
    <t xml:space="preserve">ASSAY: Xpert MTB/RIF, COUNT: 22
ASSAY: Xpert MTB/RIF Ultra, COUNT: 560
</t>
  </si>
  <si>
    <t>Unit for preventive maintenance.
For module replacement of module B4.</t>
  </si>
  <si>
    <t>Gx module B4 (694696) in replacement to defective module B4 (806709).</t>
  </si>
  <si>
    <t>https://www.jotform.com/uploads/macarewecare/222927978372067/5556058823328668769/5556058823328668769_signature_28.png</t>
  </si>
  <si>
    <t>Sheena Mae A. Baquiran</t>
  </si>
  <si>
    <t>https://www.jotform.com/uploads/macarewecare/222927978372067/5556058823328668769/5556058823328668769_signature_31.png</t>
  </si>
  <si>
    <t xml:space="preserve">ASSAY: Xpert MTB/RIF, COUNT: 218
ASSAY: Xpert MTB/RIF Ultra, COUNT: 1077
</t>
  </si>
  <si>
    <t>Performed preventive maintenance.
Performed module replacement on module B3.
Generated reports,
.</t>
  </si>
  <si>
    <t>Gx Module B3 (629063) in replacement to defective B3 (654188).</t>
  </si>
  <si>
    <t>https://www.jotform.com/uploads/macarewecare/222927978372067/5556058823328978940/5556058823328978940_signature_28.png</t>
  </si>
  <si>
    <t>https://www.jotform.com/uploads/macarewecare/222927978372067/5556058823328978940/5556058823328978940_signature_31.png</t>
  </si>
  <si>
    <t>Zone 1, Good Morning Subd.</t>
  </si>
  <si>
    <t xml:space="preserve">ASSAY: Xpert HPV, COUNT: 149
ASSAY: Xpert MTB/RIF Ultra, COUNT: 259
</t>
  </si>
  <si>
    <t>Performed preventive maintenance.
Performed module replacement on module B3.
Generated reports.</t>
  </si>
  <si>
    <t>Gx module B3 (881212) in replacement to defective module B3 (624415).</t>
  </si>
  <si>
    <t>https://www.jotform.com/uploads/macarewecare/222927978372067/5556058823329632915/5556058823329632915_signature_28.png</t>
  </si>
  <si>
    <t>https://www.jotform.com/uploads/macarewecare/222927978372067/5556058823329632915/5556058823329632915_signature_31.png</t>
  </si>
  <si>
    <t xml:space="preserve">ASSAY: Xpert MTB/RIF, COUNT: 422
ASSAY: Xpert MTB/RIF Ultra, COUNT: 696
</t>
  </si>
  <si>
    <t>https://www.jotform.com/uploads/macarewecare/222927978372067/5555551469841110548/5555551469841110548_signature_28.png</t>
  </si>
  <si>
    <t>https://www.jotform.com/uploads/macarewecare/222927978372067/5555551469841110548/5555551469841110548_signature_31.png</t>
  </si>
  <si>
    <t>286 Blumentritt St., Sta. Cruz, Manila</t>
  </si>
  <si>
    <t>cgh_pathology@yahoo.com</t>
  </si>
  <si>
    <t xml:space="preserve">ASSAY: Xpert BCR-ABL Ultra, COUNT: 10
ASSAY: Xpert CT/NG, COUNT: 26
ASSAY: Xpert HBV VL, COUNT: 44
ASSAY: Xpert HPV, COUNT: 25
ASSAY: Xpert MTB/RIF Ultra, COUNT: 1253
</t>
  </si>
  <si>
    <t>For module replacement and Xpertcheck calibration</t>
  </si>
  <si>
    <t>Replaced modules B1 and B2
Performed xpertcheck calibration.</t>
  </si>
  <si>
    <t>Performed maintenance
Performed module replacement.
Performed xpertcheck calibration.
Performed functionality test.</t>
  </si>
  <si>
    <t>Defective modules SN:790874 and 790897</t>
  </si>
  <si>
    <t>Good mods sn 210025281 and 690208</t>
  </si>
  <si>
    <t>DR number: 9719</t>
  </si>
  <si>
    <t>https://www.jotform.com/uploads/macarewecare/222927978372067/5555273543518757904/5555273543518757904_signature_28.png</t>
  </si>
  <si>
    <t>Mary Joyce S. Gaudario</t>
  </si>
  <si>
    <t>https://www.jotform.com/uploads/macarewecare/222927978372067/5555273543518757904/5555273543518757904_signature_31.png</t>
  </si>
  <si>
    <t>E. Long Bldg 440-442 Del Monte Ave., Quezon City</t>
  </si>
  <si>
    <t xml:space="preserve">ASSAY: Xpert BCR-ABL Ultra, COUNT: 2
ASSAY: Xpert HPV, COUNT: 43
ASSAY: Xpert MTB/RIF Ultra, COUNT: 4146
</t>
  </si>
  <si>
    <t>Performed maintenance
Performed module replacement.</t>
  </si>
  <si>
    <t>Defective mod sn: 791652</t>
  </si>
  <si>
    <t>Good module SN 692016</t>
  </si>
  <si>
    <t>DR number 9781</t>
  </si>
  <si>
    <t>https://www.jotform.com/uploads/macarewecare/222927978372067/5555181343515209635/5555181343515209635_signature_28.png</t>
  </si>
  <si>
    <t>https://www.jotform.com/uploads/macarewecare/222927978372067/5555181343515209635/5555181343515209635_signature_31.png</t>
  </si>
  <si>
    <t>W. Long Bldg. 440-442 Del Monte Ave., Quezon City</t>
  </si>
  <si>
    <t xml:space="preserve">ASSAY: Xpert BCR-ABL Ultra, COUNT: 2
ASSAY: Xpert HPV, COUNT: 77
ASSAY: Xpert MTB/RIF Ultra, COUNT: 4211
</t>
  </si>
  <si>
    <t>Modules B2 and B3 for module replacement</t>
  </si>
  <si>
    <t>Replaced modules B2 and B3</t>
  </si>
  <si>
    <t>Performed PM
Perpormed module replacement.
Performed functionality test.</t>
  </si>
  <si>
    <t>All 4 modules operatioanal.</t>
  </si>
  <si>
    <t>Defective mods SN 787789 and 891796</t>
  </si>
  <si>
    <t>Good Modules SN 787789 and 891796</t>
  </si>
  <si>
    <t>https://www.jotform.com/uploads/macarewecare/222927978372067/5555180043516933245/5555180043516933245_signature_28.png</t>
  </si>
  <si>
    <t>https://www.jotform.com/uploads/macarewecare/222927978372067/5555180043516933245/5555180043516933245_signature_31.png</t>
  </si>
  <si>
    <t>madssvalerio@gmail.com</t>
  </si>
  <si>
    <t xml:space="preserve">ASSAY: Xpert MTB/RIF, COUNT: 119
ASSAY: Xpert MTB/RIF Ultra, COUNT: 381
</t>
  </si>
  <si>
    <t>Unit is operational.
A1: 
A2: 
A3: 
A4:</t>
  </si>
  <si>
    <t>https://www.jotform.com/uploads/macarewecare/222927978372067/5554639015519420096/5554639015519420096_signature_28.png</t>
  </si>
  <si>
    <t>Marilyn Valerio</t>
  </si>
  <si>
    <t>https://www.jotform.com/uploads/macarewecare/222927978372067/5554639015519420096/5554639015519420096_signature_31.png</t>
  </si>
  <si>
    <t>Clean Surface Area, Cartridge Bay, Plunger Rod, Icore Lenses
Generate IQR, Assay Stat and System Log
Archived Data test results</t>
  </si>
  <si>
    <t>https://www.jotform.com/uploads/macarewecare/222927978372067/5554510610713989417/5554510610713989417_signature_28.png</t>
  </si>
  <si>
    <t>Flordeliza M. Go RMT MPH</t>
  </si>
  <si>
    <t>https://www.jotform.com/uploads/macarewecare/222927978372067/5554510610713989417/5554510610713989417_signature_31.png</t>
  </si>
  <si>
    <t xml:space="preserve">ASSAY: Xpert HPV, COUNT: 195
ASSAY: Xpert MTB/RIF, COUNT: 1136
ASSAY: Xpert MTB/RIF Ultra, COUNT: 1172
</t>
  </si>
  <si>
    <t>All four modules are functional</t>
  </si>
  <si>
    <t>Observed frequent temp error in module A3.</t>
  </si>
  <si>
    <t>https://www.jotform.com/uploads/macarewecare/222927978372067/5554462838813187650/5554462838813187650_signature_28.png</t>
  </si>
  <si>
    <t>https://www.jotform.com/uploads/macarewecare/222927978372067/5554462838813187650/5554462838813187650_signature_31.png</t>
  </si>
  <si>
    <t xml:space="preserve">ASSAY: Xpert HPV, COUNT: 203
ASSAY: Xpert MTB/RIF, COUNT: 976
ASSAY: Xpert MTB/RIF Ultra, COUNT: 1207
</t>
  </si>
  <si>
    <t>Waiting for module A3 replacement</t>
  </si>
  <si>
    <t>https://www.jotform.com/uploads/macarewecare/222927978372067/5554462838813833245/5554462838813833245_signature_28.png</t>
  </si>
  <si>
    <t>https://www.jotform.com/uploads/macarewecare/222927978372067/5554462838813833245/5554462838813833245_signature_31.png</t>
  </si>
  <si>
    <t xml:space="preserve">ASSAY: Xpert MTB/RIF, COUNT: 10
ASSAY: Xpert MTB/RIF Ultra, COUNT: 842
</t>
  </si>
  <si>
    <t>Due for Module Replacement
Due for Xpertcheck</t>
  </si>
  <si>
    <t>Replaced Defective Modules
Cleaned Cartridge Bay, Icore and Plunger
Run Xpertcheck 1.5A
Gathered Reports</t>
  </si>
  <si>
    <t>Performed Module Replacement on B2 and B3
Performed Xpertcheck on B1 and B4</t>
  </si>
  <si>
    <t>Unit is operational
B2 Passed
B4 Xpertcheck Retry - Service Required for Reporting</t>
  </si>
  <si>
    <t>OLD MODULE 790340 NEW 210036762 OLD 636508 NEW 616066</t>
  </si>
  <si>
    <t>https://www.jotform.com/uploads/macarewecare/222927978372067/5554412035936697875/5554412035936697875_signature_28.png</t>
  </si>
  <si>
    <t>Boylyn Cezar</t>
  </si>
  <si>
    <t>https://www.jotform.com/uploads/macarewecare/222927978372067/5554412035936697875/5554412035936697875_signature_31.png</t>
  </si>
  <si>
    <t>Unit is operational
B2 Passed
B4 Xpertcheck Retry - Service Required</t>
  </si>
  <si>
    <t>https://www.jotform.com/uploads/macarewecare/222927978372067/5554411975937752855/5554411975937752855_signature_28.png</t>
  </si>
  <si>
    <t>https://www.jotform.com/uploads/macarewecare/222927978372067/5554411975937752855/5554411975937752855_signature_31.png</t>
  </si>
  <si>
    <t>Mabini Street Extension,Cabanatuan City, Nueva Ecija</t>
  </si>
  <si>
    <t>Performed Maintenance
Gathered Reports
Performed Calibration (B3 = Failed) &amp; (All modules Passed except B3)
Disabled B3
Performed Functionality Test</t>
  </si>
  <si>
    <t>Xpertcheck B3 = Service Required</t>
  </si>
  <si>
    <t>Xpertcheck 17pc</t>
  </si>
  <si>
    <t>https://www.jotform.com/uploads/macarewecare/222927978372067/5554411379938195666/5554411379938195666_signature_28.png</t>
  </si>
  <si>
    <t>https://www.jotform.com/uploads/macarewecare/222927978372067/5554411379938195666/5554411379938195666_signature_31.png</t>
  </si>
  <si>
    <t>Saranay District (Pob.),Guimba, Nueva Ecija</t>
  </si>
  <si>
    <t>MAINTENANCE
TROUBLESHOOTING
Rexpertcheck module 3</t>
  </si>
  <si>
    <t xml:space="preserve">ASSAY: Xpert MTB/RIF, COUNT: 129
ASSAY: Xpert MTB/RIF Ultra, COUNT: 834
</t>
  </si>
  <si>
    <t>UPS not working in power shortage
Printer automatic shutdown</t>
  </si>
  <si>
    <t>Performed Maintenance
Gathered Reports
Performed Xpertcheck in Module B3 (633463) = Passed
Performed Functionality Test</t>
  </si>
  <si>
    <t>https://www.jotform.com/uploads/macarewecare/222927978372067/5554411379939217268/5554411379939217268_signature_28.png</t>
  </si>
  <si>
    <t>https://www.jotform.com/uploads/macarewecare/222927978372067/5554411379939217268/5554411379939217268_signature_31.png</t>
  </si>
  <si>
    <t>NoralaDHlaboratory@gmail.com</t>
  </si>
  <si>
    <t xml:space="preserve">ASSAY: Xpert MTB/RIF, COUNT: 287
ASSAY: Xpert MTB/RIF Ultra, COUNT: 788
</t>
  </si>
  <si>
    <t>https://www.jotform.com/uploads/macarewecare/222927978372067/5554384491615911311/5554384491615911311_signature_28.png</t>
  </si>
  <si>
    <t>Reziel Deano Sabido</t>
  </si>
  <si>
    <t>https://www.jotform.com/uploads/macarewecare/222927978372067/5554384491615911311/5554384491615911311_signature_31.png</t>
  </si>
  <si>
    <t>louie.sgebiomedtech@gmail.com</t>
  </si>
  <si>
    <t xml:space="preserve">ASSAY: Xpert MTB/RIF, COUNT: 219
ASSAY: Xpert MTB/RIF Ultra, COUNT: 177
</t>
  </si>
  <si>
    <t>https://www.jotform.com/uploads/macarewecare/222927978372067/5554329779213869334/5554329779213869334_signature_28.png</t>
  </si>
  <si>
    <t>https://www.jotform.com/uploads/macarewecare/222927978372067/5554329779213869334/5554329779213869334_signature_31.png</t>
  </si>
  <si>
    <t xml:space="preserve">ASSAY: Xpert MTB/RIF, COUNT: 202
ASSAY: Xpert MTB/RIF Ultra, COUNT: 792
</t>
  </si>
  <si>
    <t>Unit is operational.
B1: passed
B2: insufficient kit
B3: insufficient kit
B4: passed</t>
  </si>
  <si>
    <t>https://www.jotform.com/uploads/macarewecare/222927978372067/5554329419211211303/5554329419211211303_signature_28.png</t>
  </si>
  <si>
    <t>https://www.jotform.com/uploads/macarewecare/222927978372067/5554329419211211303/5554329419211211303_signature_31.png</t>
  </si>
  <si>
    <t>Edsa, Mandaluyong</t>
  </si>
  <si>
    <t xml:space="preserve">ASSAY: Xpert MTB/RIF, COUNT: 221
ASSAY: Xpert MTB/RIF Ultra, COUNT: 201
</t>
  </si>
  <si>
    <t>Unit is operational.
B1: passed
B2: failed
B3: insufficient kit 
B4: passed
B2 for replacement.
B3 is under observation.</t>
  </si>
  <si>
    <t>https://www.jotform.com/uploads/macarewecare/222927978372067/5554329419216563381/5554329419216563381_signature_28.png</t>
  </si>
  <si>
    <t>https://www.jotform.com/uploads/macarewecare/222927978372067/5554329419216563381/5554329419216563381_signature_31.png</t>
  </si>
  <si>
    <t xml:space="preserve">ASSAY: Xpert MTB/RIF, COUNT: 144
ASSAY: Xpert MTB/RIF Ultra, COUNT: 472
</t>
  </si>
  <si>
    <t>Module B4 (793120) for replacement.</t>
  </si>
  <si>
    <t>GeneXpert Module
SN: 909803</t>
  </si>
  <si>
    <t>https://www.jotform.com/uploads/macarewecare/222927978372067/5554329419216801022/5554329419216801022_signature_28.png</t>
  </si>
  <si>
    <t>https://www.jotform.com/uploads/macarewecare/222927978372067/5554329419216801022/5554329419216801022_signature_31.png</t>
  </si>
  <si>
    <t>University of The East Ramon Magsaysay General Hospital</t>
  </si>
  <si>
    <t>patholab@uerm.edu.ph</t>
  </si>
  <si>
    <t xml:space="preserve">ASSAY: Xpert C. difficile BT, COUNT: 47
ASSAY: Xpert CT/NG, COUNT: 60
ASSAY: Xpert MTB/RIF, COUNT: 421
ASSAY: Xpert MTB/RIF Ultra, COUNT: 128
ASSAY: Others, COUNT: 2
</t>
  </si>
  <si>
    <t>Performed Xpertcheck.</t>
  </si>
  <si>
    <t>https://www.jotform.com/uploads/macarewecare/222927978372067/5554329419218636158/5554329419218636158_signature_28.png</t>
  </si>
  <si>
    <t>Gilbert Claveria</t>
  </si>
  <si>
    <t>https://www.jotform.com/uploads/macarewecare/222927978372067/5554329419218636158/5554329419218636158_signature_31.png</t>
  </si>
  <si>
    <t xml:space="preserve">ASSAY: Xpert MTB/RIF, COUNT: 181
ASSAY: Xpert MTB/RIF Ultra, COUNT: 1081
ASSAY: Xpert HIV-1 Viral Load, COUNT: 44
</t>
  </si>
  <si>
    <t>Module A3 (758218) for replacement.</t>
  </si>
  <si>
    <t>- replaced module A3 by 793458
- checked and cleaned cartridge bay, plunger rod, filter
- Generated reports</t>
  </si>
  <si>
    <t>GeneXpert Module
SN: 793458</t>
  </si>
  <si>
    <t>https://www.jotform.com/uploads/macarewecare/222927978372067/5554329419218833414/5554329419218833414_signature_28.png</t>
  </si>
  <si>
    <t>https://www.jotform.com/uploads/macarewecare/222927978372067/5554329419218833414/5554329419218833414_signature_31.png</t>
  </si>
  <si>
    <t>Sta lucia health center</t>
  </si>
  <si>
    <t>Gomes st.Novaliches,Quezon city</t>
  </si>
  <si>
    <t>josie_dingle2004@yahoo.com</t>
  </si>
  <si>
    <t xml:space="preserve">ASSAY: Xpert MTB/RIF, COUNT: 128
ASSAY: Xpert MTB/RIF Ultra, COUNT: 1037
</t>
  </si>
  <si>
    <t>A3 hw failed for rexpertcheck module replacement 758241 - 695005</t>
  </si>
  <si>
    <t>Performed module replacement and re xpertcheck,cleaned unit,filter,plunger rod,cartridge bay,i core,gathered reports,performed visual check,test run unit</t>
  </si>
  <si>
    <t>Module replacement and re xpertcheck</t>
  </si>
  <si>
    <t>A1 module reported,A3 failed xpertcheck</t>
  </si>
  <si>
    <t>https://www.jotform.com/uploads/macarewecare/222927978372067/5554270322773760539/5554270322773760539_signature_28.png</t>
  </si>
  <si>
    <t>https://www.jotform.com/uploads/macarewecare/222927978372067/5554270322773760539/5554270322773760539_signature_31.png</t>
  </si>
  <si>
    <t>https://www.jotform.com/uploads/macarewecare/222927978372067/5554260362772628775/5554260362772628775_signature_28.png</t>
  </si>
  <si>
    <t>https://www.jotform.com/uploads/macarewecare/222927978372067/5554260362772628775/5554260362772628775_signature_31.png</t>
  </si>
  <si>
    <t xml:space="preserve">ASSAY: Xpert MTB/RIF, COUNT: 158
ASSAY: Xpert MTB/RIF Ultra, COUNT: 383
</t>
  </si>
  <si>
    <t>https://www.jotform.com/uploads/macarewecare/222927978372067/5554256749158045051/5554256749158045051_signature_28.png</t>
  </si>
  <si>
    <t>https://www.jotform.com/uploads/macarewecare/222927978372067/5554256749158045051/5554256749158045051_signature_31.png</t>
  </si>
  <si>
    <t>https://www.jotform.com/uploads/macarewecare/222927978372067/5554191832772896954/5554191832772896954_signature_28.png</t>
  </si>
  <si>
    <t>https://www.jotform.com/uploads/macarewecare/222927978372067/5554191832772896954/5554191832772896954_signature_31.png</t>
  </si>
  <si>
    <t>Commonwealth health  center</t>
  </si>
  <si>
    <t>Katuparan st,Commonwealth ,Quezon city</t>
  </si>
  <si>
    <t xml:space="preserve">ASSAY: Xpert HPV, COUNT: 579
ASSAY: Xpert MTB/RIF, COUNT: 82
ASSAY: Xpert MTB/RIF Ultra, COUNT: 1526
</t>
  </si>
  <si>
    <t>For module replacement A4 encounter temp error for rexpertcheck  793225 - 625759</t>
  </si>
  <si>
    <t>Performed module replacement and performed xpertcheck,cleaned unit,filter,plunger rod,cartridge bay,i core,gathered reports,performed visual check,test run unit</t>
  </si>
  <si>
    <t>Module replacement and  re xpertcheck</t>
  </si>
  <si>
    <t>A4 passed xpertcheck all module operational</t>
  </si>
  <si>
    <t>https://www.jotform.com/uploads/macarewecare/222927978372067/5554190062773104138/5554190062773104138_signature_28.png</t>
  </si>
  <si>
    <t>https://www.jotform.com/uploads/macarewecare/222927978372067/5554190062773104138/5554190062773104138_signature_31.png</t>
  </si>
  <si>
    <t>https://www.jotform.com/uploads/macarewecare/222927978372067/5554189692779988616/5554189692779988616_signature_28.png</t>
  </si>
  <si>
    <t>https://www.jotform.com/uploads/macarewecare/222927978372067/5554189692779988616/5554189692779988616_signature_31.png</t>
  </si>
  <si>
    <t>Sultan Naga Dimaporo Rural Health Unit</t>
  </si>
  <si>
    <t>Sultan Naga Dimaporo</t>
  </si>
  <si>
    <t>rhu.snd@gmail.com</t>
  </si>
  <si>
    <t>GeneXpert Installation
XpertCheck Calibration</t>
  </si>
  <si>
    <t>https://www.jotform.com/uploads/macarewecare/222927978372067/5553650829794665670/5553650829794665670_signature_28.png</t>
  </si>
  <si>
    <t>JOHAIMEN M MACA-ALANG</t>
  </si>
  <si>
    <t>https://www.jotform.com/uploads/macarewecare/222927978372067/5553650829794665670/5553650829794665670_signature_31.png</t>
  </si>
  <si>
    <t>Philippine Red Cross (Port Area)</t>
  </si>
  <si>
    <t>Port area,Manila</t>
  </si>
  <si>
    <t>As per ens user they encounter during priming of transfer pump</t>
  </si>
  <si>
    <t>Checked pumps, checked calibration parameters,check line sensors,display panel,dpm,spm,cuff,performed calibration, checked cable connection,performed functionality test</t>
  </si>
  <si>
    <t>https://www.jotform.com/uploads/macarewecare/222927978372067/5553617016321311123/5553617016321311123_signature_28.png</t>
  </si>
  <si>
    <t>Dolly bañares</t>
  </si>
  <si>
    <t>https://www.jotform.com/uploads/macarewecare/222927978372067/5553617016321311123/5553617016321311123_signature_31.png</t>
  </si>
  <si>
    <t>Plunger Rod stockup cannot move up.</t>
  </si>
  <si>
    <t>Refresh software</t>
  </si>
  <si>
    <t>All modules functional ok to use.</t>
  </si>
  <si>
    <t>https://www.jotform.com/uploads/macarewecare/222927978372067/5553613557227524275/5553613557227524275_signature_28.png</t>
  </si>
  <si>
    <t>https://www.jotform.com/uploads/macarewecare/222927978372067/5553613557227524275/5553613557227524275_signature_31.png</t>
  </si>
  <si>
    <t>Western Visayas Medical Inc.</t>
  </si>
  <si>
    <t>Ilo Ilo City</t>
  </si>
  <si>
    <t>Module B3 210002438</t>
  </si>
  <si>
    <t>Replace module B3 with new serial number 210007529</t>
  </si>
  <si>
    <t>https://www.jotform.com/uploads/macarewecare/222927978372067/5553595957227360353/5553595957227360353_signature_28.png</t>
  </si>
  <si>
    <t>Michel Joy  Torilla</t>
  </si>
  <si>
    <t>https://www.jotform.com/uploads/macarewecare/222927978372067/5553595957227360353/5553595957227360353_signature_31.png</t>
  </si>
  <si>
    <t>Pontevedra Capiz</t>
  </si>
  <si>
    <t>rtabangjr@gmail.com</t>
  </si>
  <si>
    <t>Module B1 and B2</t>
  </si>
  <si>
    <t>Replace Module B1 And B2 with new serial number 694490,694269</t>
  </si>
  <si>
    <t>All modules are function ok to use.</t>
  </si>
  <si>
    <t>https://www.jotform.com/uploads/macarewecare/222927978372067/5553581197221564960/5553581197221564960_signature_28.png</t>
  </si>
  <si>
    <t>Reynaldo Tabang</t>
  </si>
  <si>
    <t>https://www.jotform.com/uploads/macarewecare/222927978372067/5553581197221564960/5553581197221564960_signature_31.png</t>
  </si>
  <si>
    <t>https://www.jotform.com/uploads/macarewecare/222927978372067/5553541946329104376/5553541946329104376_signature_28.png</t>
  </si>
  <si>
    <t>https://www.jotform.com/uploads/macarewecare/222927978372067/5553541946329104376/5553541946329104376_signature_31.png</t>
  </si>
  <si>
    <t>Poblacion, Kapatagan</t>
  </si>
  <si>
    <t>System Unit not turning on, power indicator blinking</t>
  </si>
  <si>
    <t>Reset system units power
Reset RAM insertion</t>
  </si>
  <si>
    <t>System Unit Repair
Preventive Maintenance</t>
  </si>
  <si>
    <t>https://www.jotform.com/uploads/macarewecare/222927978372067/5553525043124074916/5553525043124074916_signature_28.png</t>
  </si>
  <si>
    <t>Jayralyn J. Maquiling</t>
  </si>
  <si>
    <t>https://www.jotform.com/uploads/macarewecare/222927978372067/5553525043124074916/5553525043124074916_signature_31.png</t>
  </si>
  <si>
    <t>Pontevedra Negros Occidental</t>
  </si>
  <si>
    <t>maeannjbonilla@gmail.com</t>
  </si>
  <si>
    <t xml:space="preserve">ASSAY: Xpert MTB/RIF, COUNT: 24
ASSAY: Xpert MTB/RIF Ultra, COUNT: 633
</t>
  </si>
  <si>
    <t>Error 4012</t>
  </si>
  <si>
    <t>Calibrate the module B1 and conduct PM</t>
  </si>
  <si>
    <t>Run Xpert check calibration for module B1 with SN 862261.</t>
  </si>
  <si>
    <t>Module B1 failed in Xpert check and need service. Module B2, B3 and B4 are in good condition.</t>
  </si>
  <si>
    <t>https://www.jotform.com/uploads/macarewecare/222927978372067/5553500010323919994/5553500010323919994_signature_28.png</t>
  </si>
  <si>
    <t>Mae Ann Pabalinas</t>
  </si>
  <si>
    <t>https://www.jotform.com/uploads/macarewecare/222927978372067/5553500010323919994/5553500010323919994_signature_31.png</t>
  </si>
  <si>
    <t>Daram, Samar</t>
  </si>
  <si>
    <t>irene85aragon@gmail.com</t>
  </si>
  <si>
    <t xml:space="preserve">ASSAY: Xpert MTB/RIF, COUNT: 240
ASSAY: Xpert MTB/RIF Ultra, COUNT: 291
</t>
  </si>
  <si>
    <t>XPERTCHECK - CE - 5</t>
  </si>
  <si>
    <t>https://www.jotform.com/uploads/macarewecare/222927978372067/5553399004583875407/5553399004583875407_signature_28.png</t>
  </si>
  <si>
    <t>Irene Aragon</t>
  </si>
  <si>
    <t>https://www.jotform.com/uploads/macarewecare/222927978372067/5553399004583875407/5553399004583875407_signature_31.png</t>
  </si>
  <si>
    <t>Revilla St.,Pasay city</t>
  </si>
  <si>
    <t xml:space="preserve">ASSAY: Xpert MTB/RIF, COUNT: 119
ASSAY: Xpert MTB/RIF Ultra, COUNT: 718
</t>
  </si>
  <si>
    <t>Xpert check,cleaned unit,filter,plunger rod,cartridge bay,i core,gathered reports,performed visual check,test run unit</t>
  </si>
  <si>
    <t>A2 module reported already,</t>
  </si>
  <si>
    <t>A1,A3,A4 passed xpertcheck</t>
  </si>
  <si>
    <t>https://www.jotform.com/uploads/macarewecare/222927978372067/5552949782771659241/5552949782771659241_signature_28.png</t>
  </si>
  <si>
    <t>https://www.jotform.com/uploads/macarewecare/222927978372067/5552949782771659241/5552949782771659241_signature_31.png</t>
  </si>
  <si>
    <t>https://www.jotform.com/uploads/macarewecare/222927978372067/5552949522779522091/5552949522779522091_signature_28.png</t>
  </si>
  <si>
    <t>https://www.jotform.com/uploads/macarewecare/222927978372067/5552949522779522091/5552949522779522091_signature_31.png</t>
  </si>
  <si>
    <t>East avenue  quezon city</t>
  </si>
  <si>
    <t>No display,defective cpu board</t>
  </si>
  <si>
    <t>Performed troubleshooting, replaced cpu board for testing after replacing the cpu board the machine have display, peformed isolation running completes process , checked calibration parameters.</t>
  </si>
  <si>
    <t>Unit unoperational for quotation cpu board</t>
  </si>
  <si>
    <t>Cpu board for testing purpose,</t>
  </si>
  <si>
    <t>https://www.jotform.com/uploads/macarewecare/222927978372067/5552948472777362548/5552948472777362548_signature_28.png</t>
  </si>
  <si>
    <t>https://www.jotform.com/uploads/macarewecare/222927978372067/5552948472777362548/5552948472777362548_signature_31.png</t>
  </si>
  <si>
    <t xml:space="preserve">ASSAY: Xpert MTB/RIF, COUNT: 289
ASSAY: Xpert MTB/RIF Ultra, COUNT: 488
</t>
  </si>
  <si>
    <t>GXIV_D</t>
  </si>
  <si>
    <t>Unit is operational except A3:756996 failed xpertcheck</t>
  </si>
  <si>
    <t>https://www.jotform.com/uploads/macarewecare/222927978372067/5552859410285574458/5552859410285574458_signature_28.png</t>
  </si>
  <si>
    <t>https://www.jotform.com/uploads/macarewecare/222927978372067/5552859410285574458/5552859410285574458_signature_31.png</t>
  </si>
  <si>
    <t xml:space="preserve">ASSAY: Xpert MTB/RIF Ultra, COUNT: 1927
ASSAY: Xpert MTB/RIF, COUNT: 782
</t>
  </si>
  <si>
    <t>Module A1 error 1002</t>
  </si>
  <si>
    <t>Gathered Data</t>
  </si>
  <si>
    <t>https://www.jotform.com/uploads/macarewecare/222927978372067/5552858242024170529/5552858242024170529_signature_28.png</t>
  </si>
  <si>
    <t>https://www.jotform.com/uploads/macarewecare/222927978372067/5552858242024170529/5552858242024170529_signature_31.png</t>
  </si>
  <si>
    <t>https://www.jotform.com/uploads/macarewecare/222927978372067/5552844340284609237/5552844340284609237_signature_28.png</t>
  </si>
  <si>
    <t>https://www.jotform.com/uploads/macarewecare/222927978372067/5552844340284609237/5552844340284609237_signature_31.png</t>
  </si>
  <si>
    <t>Mayor vitaliano agan Ave., Zamboanga City</t>
  </si>
  <si>
    <t>abdurahmanrajiv@gmail.com</t>
  </si>
  <si>
    <t xml:space="preserve">ASSAY: Xpert CT/NG, COUNT: 9
ASSAY: Xpert HBV VL, COUNT: 63
ASSAY: Xpert HPV, COUNT: 4
ASSAY: Xpert MTB/RIF Ultra, COUNT: 359
ASSAY: Xpert HCV VL, COUNT: 38
</t>
  </si>
  <si>
    <t>Preventive maintenance, Troubleshooting</t>
  </si>
  <si>
    <t>Module 1 error 4017, module 2 available</t>
  </si>
  <si>
    <t>Module 1 recommended for replacement</t>
  </si>
  <si>
    <t>https://www.jotform.com/uploads/macarewecare/222927978372067/5552843951854631896/5552843951854631896_signature_28.png</t>
  </si>
  <si>
    <t>Rajiv B. Abdurahman</t>
  </si>
  <si>
    <t>https://www.jotform.com/uploads/macarewecare/222927978372067/5552843951854631896/5552843951854631896_signature_31.png</t>
  </si>
  <si>
    <t>Talahib, Calbayog Samar</t>
  </si>
  <si>
    <t xml:space="preserve">ASSAY: Xpert MTB/RIF, COUNT: 627
ASSAY: Xpert MTB/RIF Ultra, COUNT: 603
</t>
  </si>
  <si>
    <t>https://www.jotform.com/uploads/macarewecare/222927978372067/5552734746016074051/5552734746016074051_signature_28.png</t>
  </si>
  <si>
    <t>https://www.jotform.com/uploads/macarewecare/222927978372067/5552734746016074051/5552734746016074051_signature_31.png</t>
  </si>
  <si>
    <t>Bagumbayan, Sultan kudarat</t>
  </si>
  <si>
    <t xml:space="preserve">ASSAY: Xpert MTB/RIF, COUNT: 112
ASSAY: Xpert MTB/RIF Ultra, COUNT: 1424
</t>
  </si>
  <si>
    <t>Module 4 for service required
Module 3 stuck cartridge</t>
  </si>
  <si>
    <t>Replace module 4 SN: 808021 with new module SN: 722484
Fixed module 3 stuck cartridge
Perform Genexpert machine Preventive maintenance</t>
  </si>
  <si>
    <t>Genexpert module 6 - color</t>
  </si>
  <si>
    <t>DR no. 9681</t>
  </si>
  <si>
    <t>https://www.jotform.com/uploads/macarewecare/222927978372067/5552693618348824604/5552693618348824604_signature_28.png</t>
  </si>
  <si>
    <t>Ma. RIZA R. DIONELA</t>
  </si>
  <si>
    <t>https://www.jotform.com/uploads/macarewecare/222927978372067/5552693618348824604/5552693618348824604_signature_31.png</t>
  </si>
  <si>
    <t xml:space="preserve">ASSAY: Xpert MTB/RIF Ultra, COUNT: 976
ASSAY: Xpert MTB/RIF, COUNT: 566
</t>
  </si>
  <si>
    <t>Perform Genexpert machine Calibration/Xpertcheck at module 4 for troubleshooting
Perform Genexpert machine Preventive maintenance</t>
  </si>
  <si>
    <t>Module 4 passed the Xpertcheck/calibration</t>
  </si>
  <si>
    <t>https://www.jotform.com/uploads/macarewecare/222927978372067/5552693628345810620/5552693628345810620_signature_28.png</t>
  </si>
  <si>
    <t>https://www.jotform.com/uploads/macarewecare/222927978372067/5552693628345810620/5552693628345810620_signature_31.png</t>
  </si>
  <si>
    <t>Bunawan District Health Center</t>
  </si>
  <si>
    <t>Bunawan, Davao City</t>
  </si>
  <si>
    <t>amutcee@gmail.com</t>
  </si>
  <si>
    <t>Module B4 for Module Replacement</t>
  </si>
  <si>
    <t>Replace the defective Module B4 S/N: 695992 with new Module SN: 750033</t>
  </si>
  <si>
    <t>Module B3 Encounter Error, data will be sent to Cepheid for further evaluation</t>
  </si>
  <si>
    <t>https://www.jotform.com/uploads/macarewecare/222927978372067/5552665322528593928/5552665322528593928_signature_28.png</t>
  </si>
  <si>
    <t>AMRAIDA S. CAMID, RMT</t>
  </si>
  <si>
    <t>https://www.jotform.com/uploads/macarewecare/222927978372067/5552665322528593928/5552665322528593928_signature_31.png</t>
  </si>
  <si>
    <t>https://www.jotform.com/uploads/macarewecare/222927978372067/5552665272524532533/5552665272524532533_signature_28.png</t>
  </si>
  <si>
    <t>https://www.jotform.com/uploads/macarewecare/222927978372067/5552665272524532533/5552665272524532533_signature_31.png</t>
  </si>
  <si>
    <t>mariatheresayaco@gmail.com</t>
  </si>
  <si>
    <t xml:space="preserve">ASSAY: Xpert HIV-1 Viral Load, COUNT: 40
ASSAY: Xpert MTB/RIF Ultra, COUNT: 1574
ASSAY: Xpert SARS-CoV-2, COUNT: 3820
</t>
  </si>
  <si>
    <t>Module C1/883434 for replacement</t>
  </si>
  <si>
    <t>Old: C1/883434
New: C1/ 705875</t>
  </si>
  <si>
    <t>https://www.jotform.com/uploads/macarewecare/222927978372067/5552580672609596129/5552580672609596129_signature_28.png</t>
  </si>
  <si>
    <t>Maria Theresa M. Yaco</t>
  </si>
  <si>
    <t>https://www.jotform.com/uploads/macarewecare/222927978372067/5552580672609596129/5552580672609596129_signature_31.png</t>
  </si>
  <si>
    <t>Ortigas Ave,</t>
  </si>
  <si>
    <t>Installed the GeneXpert unit, workstation, printer, barcode scanner and UPS.
Functionality test
Import assays</t>
  </si>
  <si>
    <t>https://www.jotform.com/uploads/macarewecare/222927978372067/5552580602601604064/5552580602601604064_signature_28.png</t>
  </si>
  <si>
    <t>https://www.jotform.com/uploads/macarewecare/222927978372067/5552580602601604064/5552580602601604064_signature_31.png</t>
  </si>
  <si>
    <t xml:space="preserve">ASSAY: Xpert MTB/RIF, COUNT: 55
ASSAY: Xpert MTB/RIF Ultra, COUNT: 271
ASSAY: Xpert SARS-CoV-2, COUNT: 2
ASSAY: Xpert HIV-1 Viral Load, COUNT: 17
</t>
  </si>
  <si>
    <t>For maintenance 
Module B3/662114 continuous booting</t>
  </si>
  <si>
    <t>Check module B3 connections
Performed maintenance</t>
  </si>
  <si>
    <t>Performed maintenance 
Checked internal connections 
Checked moudle B3 internal cables
Generated reports</t>
  </si>
  <si>
    <t>Modules B1, B2, and B4 operational. Module B3/662114 not operational, reported already.</t>
  </si>
  <si>
    <t>https://www.jotform.com/uploads/macarewecare/222927978372067/5552579592608167524/5552579592608167524_signature_28.png</t>
  </si>
  <si>
    <t>https://www.jotform.com/uploads/macarewecare/222927978372067/5552579592608167524/5552579592608167524_signature_31.png</t>
  </si>
  <si>
    <t xml:space="preserve">ASSAY: Xpert MTB/RIF, COUNT: 150
ASSAY: Xpert MTB/RIF Ultra, COUNT: 750
</t>
  </si>
  <si>
    <t>Performed maintenance 
Generated reports 
Run XpertCheck</t>
  </si>
  <si>
    <t>https://www.jotform.com/uploads/macarewecare/222927978372067/5552579582601295299/5552579582601295299_signature_28.png</t>
  </si>
  <si>
    <t>https://www.jotform.com/uploads/macarewecare/222927978372067/5552579582601295299/5552579582601295299_signature_31.png</t>
  </si>
  <si>
    <t>oksicovid19lab@gmail.com</t>
  </si>
  <si>
    <t xml:space="preserve">ASSAY: Xpert MTB/RIF, COUNT: 215
ASSAY: Xpert MTB/RIF Ultra, COUNT: 1668
ASSAY: Xpert SARS-CoV-2, COUNT: 1377
</t>
  </si>
  <si>
    <t>Performed maintenance 
Checked module 
Generated reports</t>
  </si>
  <si>
    <t>Unit is operational.  Modules A1/903695, C4/902997, D1/902984, D3/903602, D4/902994 not operational.</t>
  </si>
  <si>
    <t>With Shed Daroya</t>
  </si>
  <si>
    <t>https://www.jotform.com/uploads/macarewecare/222927978372067/5552579582605115639/5552579582605115639_signature_28.png</t>
  </si>
  <si>
    <t>LARRY AMITA</t>
  </si>
  <si>
    <t>https://www.jotform.com/uploads/macarewecare/222927978372067/5552579582605115639/5552579582605115639_signature_31.png</t>
  </si>
  <si>
    <t>Puerto Galera Molecular Laboratory</t>
  </si>
  <si>
    <t>Poblacion, Puerto Galera</t>
  </si>
  <si>
    <t>tessur669@gmail.com</t>
  </si>
  <si>
    <t xml:space="preserve">ASSAY: Xpert MTB/RIF, COUNT: 53
ASSAY: Xpert MTB/RIF Ultra, COUNT: 238
ASSAY: Xpert SARS-CoV-2, COUNT: 228
</t>
  </si>
  <si>
    <t>GX-IV-D-2</t>
  </si>
  <si>
    <t>https://www.jotform.com/uploads/macarewecare/222927978372067/5552579582608721382/5552579582608721382_signature_28.png</t>
  </si>
  <si>
    <t>Maria Teresa A. Sur</t>
  </si>
  <si>
    <t>https://www.jotform.com/uploads/macarewecare/222927978372067/5552579582608721382/5552579582608721382_signature_31.png</t>
  </si>
  <si>
    <t>Balud-Busuran Rd. Sablayan</t>
  </si>
  <si>
    <t xml:space="preserve">ASSAY: Xpert MTB/RIF, COUNT: 365
ASSAY: Xpert MTB/RIF Ultra, COUNT: 1639
</t>
  </si>
  <si>
    <t>Performed maintenance 
Cleaned cartridge bay, plunger rod, icore and filter</t>
  </si>
  <si>
    <t>https://www.jotform.com/uploads/macarewecare/222927978372067/5552579592607884965/5552579592607884965_signature_28.png</t>
  </si>
  <si>
    <t>https://www.jotform.com/uploads/macarewecare/222927978372067/5552579592607884965/5552579592607884965_signature_31.png</t>
  </si>
  <si>
    <t>Sta Filomena, San Mariano, Isabela</t>
  </si>
  <si>
    <t xml:space="preserve">ASSAY: Xpert MTB/RIF Ultra, COUNT: 1279
</t>
  </si>
  <si>
    <t>Performed Maintenance
Gathered Reports
Performed Module Replacement (B4)
Performed Functionality Test</t>
  </si>
  <si>
    <t>Module Replacement = 677512 - 210039596</t>
  </si>
  <si>
    <t>Genexpert Module = 210039596</t>
  </si>
  <si>
    <t>https://www.jotform.com/uploads/macarewecare/222927978372067/5552573062022842413/5552573062022842413_signature_28.png</t>
  </si>
  <si>
    <t>Jonalyn F. DUMLAO</t>
  </si>
  <si>
    <t>https://www.jotform.com/uploads/macarewecare/222927978372067/5552573062022842413/5552573062022842413_signature_31.png</t>
  </si>
  <si>
    <t>ilamawa.pbsp@gmail.com</t>
  </si>
  <si>
    <t xml:space="preserve">ASSAY: Xpert MTB/RIF, COUNT: 46
ASSAY: Xpert MTB/RIF Ultra, COUNT: 1242
</t>
  </si>
  <si>
    <t>Performed Maintenance
Gathered Reports
Performed Module Replacement
Performed Calibration (A3, A4 = Passed)
Performed Functionality Test</t>
  </si>
  <si>
    <t>Module Replacement = 662356 - 672908</t>
  </si>
  <si>
    <t>Genexpert Module = 672908</t>
  </si>
  <si>
    <t>https://www.jotform.com/uploads/macarewecare/222927978372067/5552573062023976881/5552573062023976881_signature_28.png</t>
  </si>
  <si>
    <t>https://www.jotform.com/uploads/macarewecare/222927978372067/5552573062023976881/5552573062023976881_signature_31.png</t>
  </si>
  <si>
    <t>Santa Rosa Rural Health</t>
  </si>
  <si>
    <t>Rizal st. Santa Rosa, Nueva Ecija</t>
  </si>
  <si>
    <t xml:space="preserve">ASSAY: Xpert MTB/RIF, COUNT: 105
ASSAY: Xpert MTB/RIF Ultra, COUNT: 85
</t>
  </si>
  <si>
    <t>https://www.jotform.com/uploads/macarewecare/222927978372067/5552573062024144716/5552573062024144716_signature_28.png</t>
  </si>
  <si>
    <t>Moy Espino</t>
  </si>
  <si>
    <t>https://www.jotform.com/uploads/macarewecare/222927978372067/5552573062024144716/5552573062024144716_signature_31.png</t>
  </si>
  <si>
    <t>rmumali44@gmail.com</t>
  </si>
  <si>
    <t xml:space="preserve">ASSAY: Xpert MTB/RIF, COUNT: 46
ASSAY: Xpert MTB/RIF Ultra, COUNT: 523
</t>
  </si>
  <si>
    <t>Troubleshoot the UPS
No power</t>
  </si>
  <si>
    <t>Performed Maintenance
Gathered Reports
Performed Module Replacement (644491 - 714934)
Performed Functionality Test</t>
  </si>
  <si>
    <t>Genexpert Module - 714934</t>
  </si>
  <si>
    <t>https://www.jotform.com/uploads/macarewecare/222927978372067/5552573062024240368/5552573062024240368_signature_28.png</t>
  </si>
  <si>
    <t>ROWENA M. UMALI</t>
  </si>
  <si>
    <t>https://www.jotform.com/uploads/macarewecare/222927978372067/5552573062024240368/5552573062024240368_signature_31.png</t>
  </si>
  <si>
    <t xml:space="preserve">ASSAY: Xpert MTB/RIF Ultra, COUNT: 182
ASSAY: Xpert MTB/RIF, COUNT: 142
</t>
  </si>
  <si>
    <t>Error 2008 3 modules</t>
  </si>
  <si>
    <t>Performed Xpertcheck on all modules</t>
  </si>
  <si>
    <t>https://www.jotform.com/uploads/macarewecare/222927978372067/5552573062026949330/5552573062026949330_signature_28.png</t>
  </si>
  <si>
    <t>Kathlen Joy P. Budomo</t>
  </si>
  <si>
    <t>https://www.jotform.com/uploads/macarewecare/222927978372067/5552573062026949330/5552573062026949330_signature_31.png</t>
  </si>
  <si>
    <t>https://www.jotform.com/uploads/macarewecare/222927978372067/5552572932021894826/5552572932021894826_signature_28.png</t>
  </si>
  <si>
    <t>https://www.jotform.com/uploads/macarewecare/222927978372067/5552572932021894826/5552572932021894826_signature_31.png</t>
  </si>
  <si>
    <t>https://www.jotform.com/uploads/macarewecare/222927978372067/5552572932023319642/5552572932023319642_signature_28.png</t>
  </si>
  <si>
    <t>https://www.jotform.com/uploads/macarewecare/222927978372067/5552572932023319642/5552572932023319642_signature_31.png</t>
  </si>
  <si>
    <t>https://www.jotform.com/uploads/macarewecare/222927978372067/5552572932025590853/5552572932025590853_signature_28.png</t>
  </si>
  <si>
    <t>https://www.jotform.com/uploads/macarewecare/222927978372067/5552572932025590853/5552572932025590853_signature_31.png</t>
  </si>
  <si>
    <t>https://www.jotform.com/uploads/macarewecare/222927978372067/5552572932026691998/5552572932026691998_signature_28.png</t>
  </si>
  <si>
    <t>https://www.jotform.com/uploads/macarewecare/222927978372067/5552572932026691998/5552572932026691998_signature_31.png</t>
  </si>
  <si>
    <t>https://www.jotform.com/uploads/macarewecare/222927978372067/5552572932027499431/5552572932027499431_signature_28.png</t>
  </si>
  <si>
    <t>https://www.jotform.com/uploads/macarewecare/222927978372067/5552572932027499431/5552572932027499431_signature_31.png</t>
  </si>
  <si>
    <t>Dr Evangelista Street, Zamboanga City, Zamboanga del sur</t>
  </si>
  <si>
    <t>Installation of module</t>
  </si>
  <si>
    <t xml:space="preserve">ASSAY: Xpert HPV, COUNT: 93
ASSAY: Xpert MTB/RIF Ultra, COUNT: 348
ASSAY: Xpert SARS-CoV-2, COUNT: 2462
ASSAY: Xpert HIV-1 Viral Load, COUNT: 25
ASSAY: Others, COUNT: 297
</t>
  </si>
  <si>
    <t>Installed module 210075576</t>
  </si>
  <si>
    <t>Installed module 210075576 and preventive Maintenence</t>
  </si>
  <si>
    <t>900-0807</t>
  </si>
  <si>
    <t>G 5235</t>
  </si>
  <si>
    <t>https://www.jotform.com/uploads/macarewecare/222927978372067/5551964602025891063/5551964602025891063_signature_28.png</t>
  </si>
  <si>
    <t>https://www.jotform.com/uploads/macarewecare/222927978372067/5551964602025891063/5551964602025891063_signature_31.png</t>
  </si>
  <si>
    <t xml:space="preserve">ASSAY: Xpert MTB/RIF, COUNT: 286
ASSAY: Xpert MTB/RIF Ultra, COUNT: 3764
ASSAY: Xpert HIV-1 Viral Load, COUNT: 40
</t>
  </si>
  <si>
    <t>Module C1 found error 2014</t>
  </si>
  <si>
    <t>Troubleshooting and reporting of C1</t>
  </si>
  <si>
    <t>Replacing D3 with SN: 643989 to SN: 688658</t>
  </si>
  <si>
    <t>7 modules are working, 1 module for replacement</t>
  </si>
  <si>
    <t>https://www.jotform.com/uploads/macarewecare/222927978372067/5551931610192817321/5551931610192817321_signature_28.png</t>
  </si>
  <si>
    <t>Andrew Pabellan</t>
  </si>
  <si>
    <t>https://www.jotform.com/uploads/macarewecare/222927978372067/5551931610192817321/5551931610192817321_signature_31.png</t>
  </si>
  <si>
    <t>DOH Compound, Bajada, Davao City</t>
  </si>
  <si>
    <t>GX-IV 4D 10 Colours</t>
  </si>
  <si>
    <t>Replaced the Defective Module B3 SN: 210002512 with new SN: 2100011400
Generate IQR, Assay Stat, and System Log
Archived Data test results</t>
  </si>
  <si>
    <t>Unit is Fully operational</t>
  </si>
  <si>
    <t>https://www.jotform.com/uploads/macarewecare/222927978372067/5551904355211460633/5551904355211460633_signature_28.png</t>
  </si>
  <si>
    <t>Irene Abejuela</t>
  </si>
  <si>
    <t>https://www.jotform.com/uploads/macarewecare/222927978372067/5551904355211460633/5551904355211460633_signature_31.png</t>
  </si>
  <si>
    <t xml:space="preserve">ASSAY: Xpert MTB/RIF, COUNT: 145
ASSAY: Xpert MTB/RIF Ultra, COUNT: 598
</t>
  </si>
  <si>
    <t>Modules A1 (754477) and A3 (754490) for replacement.</t>
  </si>
  <si>
    <t>- replaced modules A1, A3 by 745864 and 635985
- checked and cleaned cartridge bay, plunger rod, filter 
- Generated reports</t>
  </si>
  <si>
    <t>9725, 9707</t>
  </si>
  <si>
    <t>https://www.jotform.com/uploads/macarewecare/222927978372067/5551902882225269466/5551902882225269466_signature_28.png</t>
  </si>
  <si>
    <t>https://www.jotform.com/uploads/macarewecare/222927978372067/5551902882225269466/5551902882225269466_signature_31.png</t>
  </si>
  <si>
    <t>Poblacion South Ramos Tarlac</t>
  </si>
  <si>
    <t>Calibration
Preventive maintenance
Troubleshooting</t>
  </si>
  <si>
    <t>Performed surface cleaning
Cleaning of plunger rod,icore,filter and cartridge bay
Archived test results
Xpertcheck application update to 1.5a
Performed calibration
Gathered reports
Performed functionality test
Troubleshoot sudden shutdown during calibration</t>
  </si>
  <si>
    <t>Unit is operational except, UPS for replacement</t>
  </si>
  <si>
    <t>Sudden shutdown during calibration. UPS for replacement, for recalibration</t>
  </si>
  <si>
    <t>4 Genexpert module</t>
  </si>
  <si>
    <t>https://www.jotform.com/uploads/macarewecare/222927978372067/5551897597127007741/5551897597127007741_signature_28.png</t>
  </si>
  <si>
    <t>https://www.jotform.com/uploads/macarewecare/222927978372067/5551897597127007741/5551897597127007741_signature_31.png</t>
  </si>
  <si>
    <t xml:space="preserve">ASSAY: Xpert MTB/RIF, COUNT: 90
ASSAY: Xpert MTB/RIF Ultra, COUNT: 1344
ASSAY: Xpert HIV-1 Viral Load, COUNT: 124
</t>
  </si>
  <si>
    <t>Unit for preventive maintenance.
For module replacement of modules B2 and B4.</t>
  </si>
  <si>
    <t>Performed preventive maintenance.
Performed module replacement on modules B2 and B4.
Generated reports.</t>
  </si>
  <si>
    <t>Gx Module B2 (632364) and B4 (635260) in replacement to defective B2 (690080) and B4 (696343).</t>
  </si>
  <si>
    <t>https://www.jotform.com/uploads/macarewecare/222927978372067/5551778108424893036/5551778108424893036_signature_28.png</t>
  </si>
  <si>
    <t>https://www.jotform.com/uploads/macarewecare/222927978372067/5551778108424893036/5551778108424893036_signature_31.png</t>
  </si>
  <si>
    <t>Poblacion 1 Moncada Tarlac</t>
  </si>
  <si>
    <t>taming_17@yahoo.com</t>
  </si>
  <si>
    <t xml:space="preserve">ASSAY: Xpert MTB/RIF, COUNT: 1
ASSAY: Xpert MTB/RIF Ultra, COUNT: 56
</t>
  </si>
  <si>
    <t>https://www.jotform.com/uploads/macarewecare/222927978372067/5551773067123895415/5551773067123895415_signature_28.png</t>
  </si>
  <si>
    <t>https://www.jotform.com/uploads/macarewecare/222927978372067/5551773067123895415/5551773067123895415_signature_31.png</t>
  </si>
  <si>
    <t>https://www.jotform.com/uploads/macarewecare/222927978372067/5551772607125871219/5551772607125871219_signature_28.png</t>
  </si>
  <si>
    <t>https://www.jotform.com/uploads/macarewecare/222927978372067/5551772607125871219/5551772607125871219_signature_31.png</t>
  </si>
  <si>
    <t>rhumalapatan12@gmail.com</t>
  </si>
  <si>
    <t xml:space="preserve">ASSAY: Xpert MTB/RIF Ultra, COUNT: 124
ASSAY: Xpert MTB/RIF, COUNT: 7
</t>
  </si>
  <si>
    <t>Replace module 2 SN:861212 with new module SN: 871118
Perform Genexpert machine Preventive maintenance</t>
  </si>
  <si>
    <t>Module 3 waiting for module to available</t>
  </si>
  <si>
    <t>Genexpert 6 colors module</t>
  </si>
  <si>
    <t>DR no. 9682</t>
  </si>
  <si>
    <t>https://www.jotform.com/uploads/macarewecare/222927978372067/5551765583424900582/5551765583424900582_signature_28.png</t>
  </si>
  <si>
    <t>Ceres Mae Jimenez,RMT</t>
  </si>
  <si>
    <t>https://www.jotform.com/uploads/macarewecare/222927978372067/5551765583424900582/5551765583424900582_signature_31.png</t>
  </si>
  <si>
    <t>Minglanilla Rhu</t>
  </si>
  <si>
    <t>Ward 1, Pider, Poblacion Minglanilla</t>
  </si>
  <si>
    <t>Error 2008 in Module 2 and Module 3</t>
  </si>
  <si>
    <t>Clean cartridge bay, clean Icore, clean filter,  perform self test in all modules
Get data sys log, IQR, 3 months gxx files
Back up Database</t>
  </si>
  <si>
    <t>Clean cartridge bay, clean Icore, clean filter,  perform self test in all modules</t>
  </si>
  <si>
    <t>https://www.jotform.com/uploads/macarewecare/222927978372067/5551751384211676633/5551751384211676633_signature_28.png</t>
  </si>
  <si>
    <t>https://www.jotform.com/uploads/macarewecare/222927978372067/5551751384211676633/5551751384211676633_signature_31.png</t>
  </si>
  <si>
    <t xml:space="preserve">ASSAY: Xpert MTB/RIF, COUNT: 107
ASSAY: Xpert MTB/RIF Ultra, COUNT: 387
</t>
  </si>
  <si>
    <t>Unit is operational.
B2 failed calibration.
B1, B3, B4 passed calibration.</t>
  </si>
  <si>
    <t>https://www.jotform.com/uploads/macarewecare/222927978372067/5551739737655870106/5551739737655870106_signature_28.png</t>
  </si>
  <si>
    <t>https://www.jotform.com/uploads/macarewecare/222927978372067/5551739737655870106/5551739737655870106_signature_31.png</t>
  </si>
  <si>
    <t>https://www.jotform.com/uploads/macarewecare/222927978372067/5551739427652107233/5551739427652107233_signature_28.png</t>
  </si>
  <si>
    <t>https://www.jotform.com/uploads/macarewecare/222927978372067/5551739427652107233/5551739427652107233_signature_31.png</t>
  </si>
  <si>
    <t>irishcamacho1225@gmail.com</t>
  </si>
  <si>
    <t>H/W Fail on Module B1/787847</t>
  </si>
  <si>
    <t>Replaced module
New module SN/702140</t>
  </si>
  <si>
    <t>Module Replacement
Defective Module SN/787847</t>
  </si>
  <si>
    <t>https://www.jotform.com/uploads/macarewecare/222927978372067/5551730147611371954/5551730147611371954_signature_28.png</t>
  </si>
  <si>
    <t>Irish cmacho</t>
  </si>
  <si>
    <t>https://www.jotform.com/uploads/macarewecare/222927978372067/5551730147611371954/5551730147611371954_signature_31.png</t>
  </si>
  <si>
    <t xml:space="preserve">ASSAY: Xpert SARS-CoV-2, COUNT: 12906
</t>
  </si>
  <si>
    <t>https://www.jotform.com/uploads/macarewecare/222927978372067/5551725513427396859/5551725513427396859_signature_28.png</t>
  </si>
  <si>
    <t>https://www.jotform.com/uploads/macarewecare/222927978372067/5551725513427396859/5551725513427396859_signature_31.png</t>
  </si>
  <si>
    <t>Aplaya 2, Bongabong</t>
  </si>
  <si>
    <t xml:space="preserve">ASSAY: Xpert MTB/RIF, COUNT: 30
ASSAY: Xpert MTB/RIF Ultra, COUNT: 246
</t>
  </si>
  <si>
    <t>Modules A2, A3 and A4 operational. Modules A1/786829 and A4/786837 service required.</t>
  </si>
  <si>
    <t>https://www.jotform.com/uploads/macarewecare/222927978372067/5546734716219931839/5546734716219931839_signature_28.png</t>
  </si>
  <si>
    <t>https://www.jotform.com/uploads/macarewecare/222927978372067/5546734716219931839/5546734716219931839_signature_31.png</t>
  </si>
  <si>
    <t>sjavila04@gmail.com</t>
  </si>
  <si>
    <t xml:space="preserve">ASSAY: Xpert MTB/RIF, COUNT: 6
ASSAY: Xpert MTB/RIF Ultra, COUNT: 956
</t>
  </si>
  <si>
    <t>Unit for preventive maintenance.
For module replacement of module B2.</t>
  </si>
  <si>
    <t>Performed preventive maintenance.
Performed module replacement on module B2.
Generated reports.</t>
  </si>
  <si>
    <t>Gx module B2 (744744) in replacement to defective module B2 (652075</t>
  </si>
  <si>
    <t>https://www.jotform.com/uploads/macarewecare/222927978372067/5551701108426079651/5551701108426079651_signature_28.png</t>
  </si>
  <si>
    <t>https://www.jotform.com/uploads/macarewecare/222927978372067/5551701108426079651/5551701108426079651_signature_31.png</t>
  </si>
  <si>
    <t>BRTTH Compound, Daraga</t>
  </si>
  <si>
    <t>https://www.jotform.com/uploads/macarewecare/222927978372067/5551314682235103195/5551314682235103195_signature_28.png</t>
  </si>
  <si>
    <t>https://www.jotform.com/uploads/macarewecare/222927978372067/5551314682235103195/5551314682235103195_signature_31.png</t>
  </si>
  <si>
    <t>Module B2 Hardware Fail Error Code 2034,1006,4011</t>
  </si>
  <si>
    <t>Not Ok to use</t>
  </si>
  <si>
    <t>Perform Preventive Maintenace, Clean all modules,Clean all cartrige bay and plunger rod maintenance and resit all wire from the modules.
Save IQR and Print IQR and Archive test report.</t>
  </si>
  <si>
    <t>Not ok to use module B2</t>
  </si>
  <si>
    <t>https://www.jotform.com/uploads/macarewecare/222927978372067/5551073367223950579/5551073367223950579_signature_28.png</t>
  </si>
  <si>
    <t>https://www.jotform.com/uploads/macarewecare/222927978372067/5551073367223950579/5551073367223950579_signature_31.png</t>
  </si>
  <si>
    <t>https://www.jotform.com/uploads/macarewecare/222927978372067/5551029881832317882/5551029881832317882_signature_28.png</t>
  </si>
  <si>
    <t>https://www.jotform.com/uploads/macarewecare/222927978372067/5551029881832317882/5551029881832317882_signature_31.png</t>
  </si>
  <si>
    <t>https://www.jotform.com/uploads/macarewecare/222927978372067/5551029881838345187/5551029881838345187_signature_28.png</t>
  </si>
  <si>
    <t>https://www.jotform.com/uploads/macarewecare/222927978372067/5551029881838345187/5551029881838345187_signature_31.png</t>
  </si>
  <si>
    <t>https://www.jotform.com/uploads/macarewecare/222927978372067/5551029881839152795/5551029881839152795_signature_28.png</t>
  </si>
  <si>
    <t>https://www.jotform.com/uploads/macarewecare/222927978372067/5551029881839152795/5551029881839152795_signature_31.png</t>
  </si>
  <si>
    <t>https://www.jotform.com/uploads/macarewecare/222927978372067/5551029881839377951/5551029881839377951_signature_28.png</t>
  </si>
  <si>
    <t>https://www.jotform.com/uploads/macarewecare/222927978372067/5551029881839377951/5551029881839377951_signature_31.png</t>
  </si>
  <si>
    <t>Malungon, sarangani</t>
  </si>
  <si>
    <t>Perform Genexpert CPU Troubleshooting</t>
  </si>
  <si>
    <t>Genexpert CPU subject for replacement due to power supply/ mother board problem</t>
  </si>
  <si>
    <t>https://www.jotform.com/uploads/macarewecare/222927978372067/5551006561428433164/5551006561428433164_signature_28.png</t>
  </si>
  <si>
    <t>https://www.jotform.com/uploads/macarewecare/222927978372067/5551006561428433164/5551006561428433164_signature_31.png</t>
  </si>
  <si>
    <t xml:space="preserve">ASSAY: Xpert MTB/RIF Ultra, COUNT: 86
ASSAY: Xpert HIV-1 Viral Load, COUNT: 5
</t>
  </si>
  <si>
    <t>- replaced A2 by 701103
- Generated reports
- checked and cleaned cartridge bay, plunger rod, filter
- performed functionality test</t>
  </si>
  <si>
    <t>https://www.jotform.com/uploads/macarewecare/222927978372067/5551001391213019031/5551001391213019031_signature_28.png</t>
  </si>
  <si>
    <t>https://www.jotform.com/uploads/macarewecare/222927978372067/5551001391213019031/5551001391213019031_signature_31.png</t>
  </si>
  <si>
    <t>Dr. Jose N. Rodriguez Memorial Hospital Hospital</t>
  </si>
  <si>
    <t>diazjimvianne@gmail.com</t>
  </si>
  <si>
    <t xml:space="preserve">ASSAY: Xpert CT/NG, COUNT: 15
ASSAY: Xpert HPV, COUNT: 13
ASSAY: Xpert MTB/RIF, COUNT: 12
ASSAY: Xpert MTB/RIF Ultra, COUNT: 2107
ASSAY: Xpert SARS-CoV-2, COUNT: 14266
ASSAY: Xpert HIV-1 Viral Load, COUNT: 119
ASSAY: Others, COUNT: 9
</t>
  </si>
  <si>
    <t>- replaced module A1 by 684743
- checked and cleaned cartridge bay, plunger rod 
- generated reports</t>
  </si>
  <si>
    <t>https://www.jotform.com/uploads/macarewecare/222927978372067/5551001391214772310/5551001391214772310_signature_28.png</t>
  </si>
  <si>
    <t>https://www.jotform.com/uploads/macarewecare/222927978372067/5551001391214772310/5551001391214772310_signature_31.png</t>
  </si>
  <si>
    <t xml:space="preserve">ASSAY: Xpert CT/NG, COUNT: 15
ASSAY: Xpert HPV, COUNT: 13
ASSAY: Xpert MTB/RIF, COUNT: 12
ASSAY: Xpert MTB/RIF Ultra, COUNT: 2107
ASSAY: Xpert SARS-CoV-2, COUNT: 14266
</t>
  </si>
  <si>
    <t>- replaced B4 by 775634
- checked and cleaned cartridge bay,  plunger rod,  filter
- Generated reports</t>
  </si>
  <si>
    <t>https://www.jotform.com/uploads/macarewecare/222927978372067/5551001391216056826/5551001391216056826_signature_28.png</t>
  </si>
  <si>
    <t>https://www.jotform.com/uploads/macarewecare/222927978372067/5551001391216056826/5551001391216056826_signature_31.png</t>
  </si>
  <si>
    <t xml:space="preserve">ASSAY: Xpert HPV, COUNT: 10
ASSAY: Xpert MTB/RIF, COUNT: 164
ASSAY: Xpert MTB/RIF Ultra, COUNT: 1183
ASSAY: Xpert SARS-CoV-2, COUNT: 5422
</t>
  </si>
  <si>
    <t>- replaced module D3 by 775961
- Generated reports 
- checked and cleaned cartridge bay, plunger rod, filter</t>
  </si>
  <si>
    <t>https://www.jotform.com/uploads/macarewecare/222927978372067/5551001391217300683/5551001391217300683_signature_28.png</t>
  </si>
  <si>
    <t>https://www.jotform.com/uploads/macarewecare/222927978372067/5551001391217300683/5551001391217300683_signature_31.png</t>
  </si>
  <si>
    <t>Green Gate Subd., Imus</t>
  </si>
  <si>
    <t xml:space="preserve">ASSAY: Xpert MTB/RIF Ultra, COUNT: 1062
</t>
  </si>
  <si>
    <t>Module 1 for Replacement</t>
  </si>
  <si>
    <t>B1: 807095 -&gt; 695564</t>
  </si>
  <si>
    <t>https://www.jotform.com/uploads/macarewecare/222927978372067/5550995821219328494/5550995821219328494_signature_28.png</t>
  </si>
  <si>
    <t>https://www.jotform.com/uploads/macarewecare/222927978372067/5550995821219328494/5550995821219328494_signature_31.png</t>
  </si>
  <si>
    <t>Congressional Ave., Dasmariñas City</t>
  </si>
  <si>
    <t>acpabruada@dlshsi.edu.ph</t>
  </si>
  <si>
    <t>B1 with Temperature Error
Unit is due for XpertCheck</t>
  </si>
  <si>
    <t>Replaced Module B1
Performed Maintenance
Performed XpertCheck
Generate Reports</t>
  </si>
  <si>
    <t>B1: 880285 -&gt; 210019244 , XC: All Passed</t>
  </si>
  <si>
    <t>DR 9700</t>
  </si>
  <si>
    <t>https://www.jotform.com/uploads/macarewecare/222927978372067/5550995821211137674/5550995821211137674_signature_28.png</t>
  </si>
  <si>
    <t>https://www.jotform.com/uploads/macarewecare/222927978372067/5550995821211137674/5550995821211137674_signature_31.png</t>
  </si>
  <si>
    <t>Capt. C Nazareno, Naic</t>
  </si>
  <si>
    <t>688783, 682790 -&gt; 687250, 684672</t>
  </si>
  <si>
    <t>https://www.jotform.com/uploads/macarewecare/222927978372067/5550995201212774963/5550995201212774963_signature_28.png</t>
  </si>
  <si>
    <t>CASAMAR,JENNIFER</t>
  </si>
  <si>
    <t>https://www.jotform.com/uploads/macarewecare/222927978372067/5550995201212774963/5550995201212774963_signature_31.png</t>
  </si>
  <si>
    <t>Capt. C Nazareno St., Naic</t>
  </si>
  <si>
    <t>2 Modules Failed im XpertCheck</t>
  </si>
  <si>
    <t>Replaced Modules 1 and 2
Performed Maintenance
Generate Reports</t>
  </si>
  <si>
    <t>738685, 731238 -&gt; 697534, 691190</t>
  </si>
  <si>
    <t>https://www.jotform.com/uploads/macarewecare/222927978372067/5550995201212942128/5550995201212942128_signature_28.png</t>
  </si>
  <si>
    <t>Casamar,Jennifer</t>
  </si>
  <si>
    <t>https://www.jotform.com/uploads/macarewecare/222927978372067/5550995201212942128/5550995201212942128_signature_31.png</t>
  </si>
  <si>
    <t>Evangelista St., Alima</t>
  </si>
  <si>
    <t xml:space="preserve">ASSAY: Xpert MTB/RIF Ultra, COUNT: 1258
ASSAY: Xpert HIV-1 Viral Load, COUNT: 4
</t>
  </si>
  <si>
    <t>Module Replacement in B2
Performed Maintenance
Generate Reports</t>
  </si>
  <si>
    <t>807163-&gt;745780</t>
  </si>
  <si>
    <t>https://www.jotform.com/uploads/macarewecare/222927978372067/5550995201216703777/5550995201216703777_signature_28.png</t>
  </si>
  <si>
    <t>https://www.jotform.com/uploads/macarewecare/222927978372067/5550995201216703777/5550995201216703777_signature_31.png</t>
  </si>
  <si>
    <t>Alabang-Zapote Road., Pamplona Uno</t>
  </si>
  <si>
    <t xml:space="preserve">ASSAY: Xpert MTB/RIF Ultra, COUNT: 864ca
</t>
  </si>
  <si>
    <t>Replaced Modules 1,3,4
Performed Maintenance
Generate Reports</t>
  </si>
  <si>
    <t>862138, 862319, 862136 -&gt; 657495, 658503, 661004</t>
  </si>
  <si>
    <t>https://www.jotform.com/uploads/macarewecare/222927978372067/5550995201216759705/5550995201216759705_signature_28.png</t>
  </si>
  <si>
    <t>https://www.jotform.com/uploads/macarewecare/222927978372067/5550995201216759705/5550995201216759705_signature_31.png</t>
  </si>
  <si>
    <t>Module 3 H/W Failed
Unit is due for XpertCheck</t>
  </si>
  <si>
    <t>Replaced Module 3
Performed XpertCheck
Performed Maintenance
Generate Reports</t>
  </si>
  <si>
    <t>3 Modules Passed and 1 Newly Replaced</t>
  </si>
  <si>
    <t>B3: 802293-&gt; 210005363</t>
  </si>
  <si>
    <t>https://www.jotform.com/uploads/macarewecare/222927978372067/5550995201217542236/5550995201217542236_signature_28.png</t>
  </si>
  <si>
    <t>https://www.jotform.com/uploads/macarewecare/222927978372067/5550995201217542236/5550995201217542236_signature_31.png</t>
  </si>
  <si>
    <t xml:space="preserve">ASSAY: Xpert MTB/RIF, COUNT: 93
ASSAY: Xpert MTB/RIF Ultra, COUNT: 1602
ASSAY: Xpert HIV-1 Viral Load, COUNT: 350
</t>
  </si>
  <si>
    <t>Module B2 and B3 for Replacement</t>
  </si>
  <si>
    <t>Replace the defective Module B2 S/N: 602506 with new Module S/N: 603064
Replace the defective Module B3 S/N: 662625 with new Module S/N: 644429
Clean Surface Area, Cartridge Bay, Plunger Rod, Fan Filters and Icore Lenses
Generate IQR, Assay Stat and System Log</t>
  </si>
  <si>
    <t>Module B1 S/N: 671900 encounter temperature Error, Data will be sent to Cepheid for further assessment</t>
  </si>
  <si>
    <t>https://www.jotform.com/uploads/macarewecare/222927978372067/5550965306216900358/5550965306216900358_signature_28.png</t>
  </si>
  <si>
    <t>Flordeliza B. Go RMT, MPH</t>
  </si>
  <si>
    <t>https://www.jotform.com/uploads/macarewecare/222927978372067/5550965306216900358/5550965306216900358_signature_31.png</t>
  </si>
  <si>
    <t>https://www.jotform.com/uploads/macarewecare/222927978372067/5550965106213222744/5550965106213222744_signature_28.png</t>
  </si>
  <si>
    <t>https://www.jotform.com/uploads/macarewecare/222927978372067/5550965106213222744/5550965106213222744_signature_31.png</t>
  </si>
  <si>
    <t>Hospital drive San Vicente, Tarlac City</t>
  </si>
  <si>
    <t>https://www.jotform.com/uploads/macarewecare/222927978372067/5550934931021352969/5550934931021352969_signature_28.png</t>
  </si>
  <si>
    <t>Julie B. Guillermo</t>
  </si>
  <si>
    <t>https://www.jotform.com/uploads/macarewecare/222927978372067/5550934931021352969/5550934931021352969_signature_31.png</t>
  </si>
  <si>
    <t>https://www.jotform.com/uploads/macarewecare/222927978372067/5550934871029191746/5550934871029191746_signature_28.png</t>
  </si>
  <si>
    <t>https://www.jotform.com/uploads/macarewecare/222927978372067/5550934871029191746/5550934871029191746_signature_31.png</t>
  </si>
  <si>
    <t>https://www.jotform.com/uploads/macarewecare/222927978372067/5550904900509451465/5550904900509451465_signature_28.png</t>
  </si>
  <si>
    <t>https://www.jotform.com/uploads/macarewecare/222927978372067/5550904900509451465/5550904900509451465_signature_31.png</t>
  </si>
  <si>
    <t>Ignacio St. Poblacion West Santa Ignacia Tarlac</t>
  </si>
  <si>
    <t xml:space="preserve">ASSAY: Xpert MTB/RIF, COUNT: 118
ASSAY: Xpert MTB/RIF Ultra, COUNT: 205
</t>
  </si>
  <si>
    <t>A2 error 2035
A4 error 1001,4012
Due for calibration</t>
  </si>
  <si>
    <t>All passed</t>
  </si>
  <si>
    <t>4 Xpertcheck kits</t>
  </si>
  <si>
    <t>https://www.jotform.com/uploads/macarewecare/222927978372067/5550876104812329291/5550876104812329291_signature_28.png</t>
  </si>
  <si>
    <t>Jesus D. Ibarra Jr</t>
  </si>
  <si>
    <t>https://www.jotform.com/uploads/macarewecare/222927978372067/5550876104812329291/5550876104812329291_signature_31.png</t>
  </si>
  <si>
    <t>Naujan Municipak Health Office</t>
  </si>
  <si>
    <t>Brgy Santiago, Naujan</t>
  </si>
  <si>
    <t xml:space="preserve">ASSAY: Xpert MTB/RIF, COUNT: 410
ASSAY: Xpert MTB/RIF Ultra, COUNT: 258
</t>
  </si>
  <si>
    <t>Performed preventive maintenance .
Performed Xpertcheck.
Generated reports</t>
  </si>
  <si>
    <t>Unit is operational. Modules B2 and B3, service required.</t>
  </si>
  <si>
    <t>DR 9668</t>
  </si>
  <si>
    <t>https://www.jotform.com/uploads/macarewecare/222927978372067/5549201215917229473/5549201215917229473_signature_28.png</t>
  </si>
  <si>
    <t>Shiena Roanne Baldoza</t>
  </si>
  <si>
    <t>https://www.jotform.com/uploads/macarewecare/222927978372067/5549201215917229473/5549201215917229473_signature_31.png</t>
  </si>
  <si>
    <t>Western Nautical Highway, Roxas</t>
  </si>
  <si>
    <t xml:space="preserve">ASSAY: Xpert MTB/RIF, COUNT: 254
ASSAY: Xpert MTB/RIF Ultra, COUNT: 1759
</t>
  </si>
  <si>
    <t>Modules B1, B2 and B4 for replacement.</t>
  </si>
  <si>
    <t>https://www.jotform.com/uploads/macarewecare/222927978372067/5549201025913220294/5549201025913220294_signature_28.png</t>
  </si>
  <si>
    <t>Mark Edison G. MARTINEZ, RMT</t>
  </si>
  <si>
    <t>https://www.jotform.com/uploads/macarewecare/222927978372067/5549201025913220294/5549201025913220294_signature_31.png</t>
  </si>
  <si>
    <t>https://www.jotform.com/uploads/macarewecare/222927978372067/5549201025913833698/5549201025913833698_signature_28.png</t>
  </si>
  <si>
    <t>https://www.jotform.com/uploads/macarewecare/222927978372067/5549201025913833698/5549201025913833698_signature_31.png</t>
  </si>
  <si>
    <t>Victoria</t>
  </si>
  <si>
    <t xml:space="preserve">ASSAY: Xpert MTB/RIF, COUNT: 185
ASSAY: Xpert MTB/RIF Ultra, COUNT: 604
</t>
  </si>
  <si>
    <t>Performed maintenance
Generated reports
Checked module B2</t>
  </si>
  <si>
    <t>Module B1 operational. Module B2 not operational, for reporting.</t>
  </si>
  <si>
    <t>https://www.jotform.com/uploads/macarewecare/222927978372067/5549201025914862090/5549201025914862090_signature_28.png</t>
  </si>
  <si>
    <t>Carl Robert B. Racellis</t>
  </si>
  <si>
    <t>https://www.jotform.com/uploads/macarewecare/222927978372067/5549201025914862090/5549201025914862090_signature_31.png</t>
  </si>
  <si>
    <t>Municipal Compound, Pinamalayan</t>
  </si>
  <si>
    <t xml:space="preserve">ASSAY: Xpert MTB/RIF, COUNT: 216
ASSAY: Xpert MTB/RIF Ultra, COUNT: 1057
</t>
  </si>
  <si>
    <t>Module A1 not operational. All modules passed.</t>
  </si>
  <si>
    <t>DR# 9669</t>
  </si>
  <si>
    <t>https://www.jotform.com/uploads/macarewecare/222927978372067/5549201025915778622/5549201025915778622_signature_28.png</t>
  </si>
  <si>
    <t>https://www.jotform.com/uploads/macarewecare/222927978372067/5549201025915778622/5549201025915778622_signature_31.png</t>
  </si>
  <si>
    <t>Bulalacao Municipal Health Center</t>
  </si>
  <si>
    <t>Performed maintenance.
Run XpertCheck
Generated reports
Installed new UPS</t>
  </si>
  <si>
    <t>All modules operational. Module B1 passed, Module B2 service required.</t>
  </si>
  <si>
    <t>https://www.jotform.com/uploads/macarewecare/222927978372067/5549201025918411513/5549201025918411513_signature_28.png</t>
  </si>
  <si>
    <t>Queencelyn Festin</t>
  </si>
  <si>
    <t>https://www.jotform.com/uploads/macarewecare/222927978372067/5549201025918411513/5549201025918411513_signature_31.png</t>
  </si>
  <si>
    <t>Kumintang Ibaba Batangas City</t>
  </si>
  <si>
    <t>Performed xpertcheck and maintenanca</t>
  </si>
  <si>
    <t>Performed Xpertcheck and mauntenance</t>
  </si>
  <si>
    <t>3 modules ooerational 1 mod with HW failed</t>
  </si>
  <si>
    <t>3 modules passed the xpertcheck</t>
  </si>
  <si>
    <t>1Kit of Xpertcheck</t>
  </si>
  <si>
    <t>PBPP</t>
  </si>
  <si>
    <t>https://www.jotform.com/uploads/macarewecare/222927978372067/5548988855362078800/5548988855362078800_signature_28.png</t>
  </si>
  <si>
    <t>Patricia Baltazar</t>
  </si>
  <si>
    <t>https://www.jotform.com/uploads/macarewecare/222927978372067/5548988855362078800/5548988855362078800_signature_31.png</t>
  </si>
  <si>
    <t>Quezon ave, Quezon  city</t>
  </si>
  <si>
    <t>As per end user they encounter liquid detected in the chamber of centrifuge</t>
  </si>
  <si>
    <t>Check centrifuge, check sensor, cleaned unit, checked valve,rollers,line sensor,display panel,dpm,spm,cuff,performed functionality test</t>
  </si>
  <si>
    <t>https://www.jotform.com/uploads/macarewecare/222927978372067/5548618042772690351/5548618042772690351_signature_28.png</t>
  </si>
  <si>
    <t>https://www.jotform.com/uploads/macarewecare/222927978372067/5548618042772690351/5548618042772690351_signature_31.png</t>
  </si>
  <si>
    <t>As per end user they encounter autoshut down of the machine when all tubings are set up and  start pressing the draw button.</t>
  </si>
  <si>
    <t>Check UPS Voltage output,check power cord,cleaned unit, checked valve,rollers,line sensor,display panel,dpm,spm,cuff,centrifuge,performed functionality test</t>
  </si>
  <si>
    <t>https://www.jotform.com/uploads/macarewecare/222927978372067/5548618042776374052/5548618042776374052_signature_28.png</t>
  </si>
  <si>
    <t>https://www.jotform.com/uploads/macarewecare/222927978372067/5548618042776374052/5548618042776374052_signature_31.png</t>
  </si>
  <si>
    <t>https://www.jotform.com/uploads/macarewecare/222927978372067/5548481278023878465/5548481278023878465_signature_28.png</t>
  </si>
  <si>
    <t>Patricia Louisse A.Baltazat</t>
  </si>
  <si>
    <t>https://www.jotform.com/uploads/macarewecare/222927978372067/5548481278023878465/5548481278023878465_signature_31.png</t>
  </si>
  <si>
    <t>For Xpertcheck Calibration and Maintenance</t>
  </si>
  <si>
    <t>15 modules operational but 2 of them service required..1 with HW failed.</t>
  </si>
  <si>
    <t>4 kits Xpertcheck</t>
  </si>
  <si>
    <t>https://www.jotform.com/uploads/macarewecare/222927978372067/5548481268024687118/5548481268024687118_signature_28.png</t>
  </si>
  <si>
    <t>https://www.jotform.com/uploads/macarewecare/222927978372067/5548481268024687118/5548481268024687118_signature_31.png</t>
  </si>
  <si>
    <t>Camalig MHO</t>
  </si>
  <si>
    <t>R. Nasol St., Camalig</t>
  </si>
  <si>
    <t>lgrageda@gmail.com</t>
  </si>
  <si>
    <t>Replaced module B2 (717205 &gt; 210046961)</t>
  </si>
  <si>
    <t>Performed module replacement, maintenance cleaning</t>
  </si>
  <si>
    <t>https://www.jotform.com/uploads/macarewecare/222927978372067/5548459106012210005/5548459106012210005_signature_28.png</t>
  </si>
  <si>
    <t>https://www.jotform.com/uploads/macarewecare/222927978372067/5548459106012210005/5548459106012210005_signature_31.png</t>
  </si>
  <si>
    <t>Pasabolong, Zamboanga city, Zamboanga del sur</t>
  </si>
  <si>
    <t>Module 1 and 2 error 4012</t>
  </si>
  <si>
    <t>Module 1 and 2 are not in use, Module 3 and 4 are in use.</t>
  </si>
  <si>
    <t>https://www.jotform.com/uploads/macarewecare/222927978372067/5548455610212781860/5548455610212781860_signature_28.png</t>
  </si>
  <si>
    <t>Amie Ybio</t>
  </si>
  <si>
    <t>https://www.jotform.com/uploads/macarewecare/222927978372067/5548455610212781860/5548455610212781860_signature_31.png</t>
  </si>
  <si>
    <t xml:space="preserve">ASSAY: Xpert MTB/RIF Ultra, COUNT: 2635
ASSAY: Xpert HIV-1 Viral Load, COUNT: 43
</t>
  </si>
  <si>
    <t>Module D3 - Xpert Check Service Required</t>
  </si>
  <si>
    <t>-Replace defective module D3/675780 with new module SN: 693982</t>
  </si>
  <si>
    <t>900-GX 6 Colors</t>
  </si>
  <si>
    <t>https://www.jotform.com/uploads/macarewecare/222927978372067/5548438842888648213/5548438842888648213_signature_28.png</t>
  </si>
  <si>
    <t>https://www.jotform.com/uploads/macarewecare/222927978372067/5548438842888648213/5548438842888648213_signature_31.png</t>
  </si>
  <si>
    <t>diolaugay@gmail.com</t>
  </si>
  <si>
    <t xml:space="preserve">ASSAY: Xpert MTB/RIF, COUNT: 2
ASSAY: Xpert MTB/RIF Ultra, COUNT: 1790
</t>
  </si>
  <si>
    <t>Replacing Module B3 with SN: 672206 to SN: 694385</t>
  </si>
  <si>
    <t>https://www.jotform.com/uploads/macarewecare/222927978372067/5548414957919767450/5548414957919767450_signature_28.png</t>
  </si>
  <si>
    <t>https://www.jotform.com/uploads/macarewecare/222927978372067/5548414957919767450/5548414957919767450_signature_31.png</t>
  </si>
  <si>
    <t>Duay health center</t>
  </si>
  <si>
    <t>Hidago st.,Pasay city</t>
  </si>
  <si>
    <t xml:space="preserve">ASSAY: Xpert MTB/RIF, COUNT: 18
ASSAY: Xpert MTB/RIF Ultra, COUNT: 1376
</t>
  </si>
  <si>
    <t>For module replacement 685785 - 635266, 685796 - 638162</t>
  </si>
  <si>
    <t>Performed module replacement  cleaned unit,filter,plunger rod,cartridge bay,i core,gathered reports,performed visual check,test run unit</t>
  </si>
  <si>
    <t>Operational, b1,b3,b4</t>
  </si>
  <si>
    <t>B2 as per end user they invalid error</t>
  </si>
  <si>
    <t>https://www.jotform.com/uploads/macarewecare/222927978372067/5548402354424335894/5548402354424335894_signature_28.png</t>
  </si>
  <si>
    <t>https://www.jotform.com/uploads/macarewecare/222927978372067/5548402354424335894/5548402354424335894_signature_31.png</t>
  </si>
  <si>
    <t>BBB St., Bacolod City</t>
  </si>
  <si>
    <t>ON-SITE ASSISTANCE
Inspection/Evaluation of New Site for Genexpert machines Units</t>
  </si>
  <si>
    <t>For evaluation/site inspection of new location for Genexpert machines (for transfer from old laboratory)</t>
  </si>
  <si>
    <t>Site Inspection</t>
  </si>
  <si>
    <t>- Check new room for Genexpert units;
- Suggest location and quantity of electrical wall outlets;
- Suggest location for ACU and exhaust fan;
- Check functionality of Solar Generator;</t>
  </si>
  <si>
    <t>- Solar generator battery defective with worn out plates, tried recharge of battery but evaluation of battery plates showed damaged plates and rendered battery defective;
- Solar generator inverter and charge controller for testing upon availability of new battery. 
- Solar panels for testing.</t>
  </si>
  <si>
    <t>Replacement battery needed with following specifications: 12 V, 100 AH, model SMN100L (Motolite)</t>
  </si>
  <si>
    <t>https://www.jotform.com/uploads/macarewecare/222927978372067/5548387172368686727/5548387172368686727_signature_28.png</t>
  </si>
  <si>
    <t>https://www.jotform.com/uploads/macarewecare/222927978372067/5548387172368686727/5548387172368686727_signature_31.png</t>
  </si>
  <si>
    <t>Poro Camotes</t>
  </si>
  <si>
    <t xml:space="preserve">ASSAY: Xpert MTB/RIF, COUNT: 259
</t>
  </si>
  <si>
    <t>Replaced New Module</t>
  </si>
  <si>
    <t>Replaced New modules 608877 and 749916
Pulled out defective mdoles 808038 and 808039</t>
  </si>
  <si>
    <t>https://www.jotform.com/uploads/macarewecare/222927978372067/5548333044419470630/5548333044419470630_signature_28.png</t>
  </si>
  <si>
    <t>Charmaine  Apat</t>
  </si>
  <si>
    <t>https://www.jotform.com/uploads/macarewecare/222927978372067/5548333044419470630/5548333044419470630_signature_31.png</t>
  </si>
  <si>
    <t>Rizal St, Malilipot</t>
  </si>
  <si>
    <t>Modules B1 and B3 for replacement, for XpertCheck</t>
  </si>
  <si>
    <t>Replaced modules B1 and B3 (655916 &gt; 870447, 621226 &gt; 870950)</t>
  </si>
  <si>
    <t>Performed module replacement, maintenance cleaning, XpertCheck</t>
  </si>
  <si>
    <t>Unit is operational, Module B4 failed XpertCheck</t>
  </si>
  <si>
    <t>https://www.jotform.com/uploads/macarewecare/222927978372067/5548312378714197355/5548312378714197355_signature_28.png</t>
  </si>
  <si>
    <t>Alyssa Nicole Marina B. Jamora</t>
  </si>
  <si>
    <t>https://www.jotform.com/uploads/macarewecare/222927978372067/5548312378714197355/5548312378714197355_signature_31.png</t>
  </si>
  <si>
    <t xml:space="preserve">ASSAY: Xpert MTB/RIF, COUNT: 443
ASSAY: Xpert MTB/RIF Ultra, COUNT: 1610
ASSAY: Xpert HIV-1 Viral Load, COUNT: 73
</t>
  </si>
  <si>
    <t>Unit is operational.
A1, A2 failed Xpertcheck. For reporting.</t>
  </si>
  <si>
    <t>https://www.jotform.com/uploads/macarewecare/222927978372067/5547893372223399738/5547893372223399738_signature_28.png</t>
  </si>
  <si>
    <t>JONATHAN JENILO</t>
  </si>
  <si>
    <t>https://www.jotform.com/uploads/macarewecare/222927978372067/5547893372223399738/5547893372223399738_signature_31.png</t>
  </si>
  <si>
    <t>mhosantamaria@gmail.com</t>
  </si>
  <si>
    <t xml:space="preserve">ASSAY: Xpert MTB/RIF, COUNT: 220
ASSAY: Xpert MTB/RIF Ultra, COUNT: 909
</t>
  </si>
  <si>
    <t>Replaced module B3 (861660)</t>
  </si>
  <si>
    <t>https://www.jotform.com/uploads/macarewecare/222927978372067/5547893372226160914/5547893372226160914_signature_28.png</t>
  </si>
  <si>
    <t>Athena Daquioag</t>
  </si>
  <si>
    <t>https://www.jotform.com/uploads/macarewecare/222927978372067/5547893372226160914/5547893372226160914_signature_31.png</t>
  </si>
  <si>
    <t>https://www.jotform.com/uploads/macarewecare/222927978372067/5547884362223891139/5547884362223891139_signature_28.png</t>
  </si>
  <si>
    <t>https://www.jotform.com/uploads/macarewecare/222927978372067/5547884362223891139/5547884362223891139_signature_31.png</t>
  </si>
  <si>
    <t>https://www.jotform.com/uploads/macarewecare/222927978372067/5547884362222214184/5547884362222214184_signature_28.png</t>
  </si>
  <si>
    <t>https://www.jotform.com/uploads/macarewecare/222927978372067/5547884362222214184/5547884362222214184_signature_31.png</t>
  </si>
  <si>
    <t>https://www.jotform.com/uploads/macarewecare/222927978372067/5547847582779955042/5547847582779955042_signature_28.png</t>
  </si>
  <si>
    <t>https://www.jotform.com/uploads/macarewecare/222927978372067/5547847582779955042/5547847582779955042_signature_31.png</t>
  </si>
  <si>
    <t>St lukes medical center</t>
  </si>
  <si>
    <t>E.Rodriguez, Quezon city</t>
  </si>
  <si>
    <t xml:space="preserve">ASSAY: Xpert CT/NG, COUNT: 237
ASSAY: Others, COUNT: 4
ASSAY: Xpert HPV, COUNT: 1
ASSAY: Xpert HPV, COUNT: 26
ASSAY: Xpert MTB/RIF Ultra, COUNT: 2933
</t>
  </si>
  <si>
    <t>For module replacement 603082 - 210072550, 613835- 210072753</t>
  </si>
  <si>
    <t>https://www.jotform.com/uploads/macarewecare/222927978372067/5547845672772109982/5547845672772109982_signature_28.png</t>
  </si>
  <si>
    <t>Eunice Expectacion</t>
  </si>
  <si>
    <t>https://www.jotform.com/uploads/macarewecare/222927978372067/5547845672772109982/5547845672772109982_signature_31.png</t>
  </si>
  <si>
    <t>https://www.jotform.com/uploads/macarewecare/222927978372067/5547845012779077142/5547845012779077142_signature_28.png</t>
  </si>
  <si>
    <t>https://www.jotform.com/uploads/macarewecare/222927978372067/5547845012779077142/5547845012779077142_signature_31.png</t>
  </si>
  <si>
    <t>https://www.jotform.com/uploads/macarewecare/222927978372067/5547844762779241089/5547844762779241089_signature_28.png</t>
  </si>
  <si>
    <t>https://www.jotform.com/uploads/macarewecare/222927978372067/5547844762779241089/5547844762779241089_signature_31.png</t>
  </si>
  <si>
    <t>https://www.jotform.com/uploads/macarewecare/222927978372067/5547843832777471351/5547843832777471351_signature_28.png</t>
  </si>
  <si>
    <t>https://www.jotform.com/uploads/macarewecare/222927978372067/5547843832777471351/5547843832777471351_signature_31.png</t>
  </si>
  <si>
    <t>Faiview Health Center</t>
  </si>
  <si>
    <t>Dahlia st., Fairview Quezon city</t>
  </si>
  <si>
    <t xml:space="preserve">ASSAY: Xpert HPV, COUNT: 15
ASSAY: Xpert HPV, COUNT: 461
ASSAY: Xpert MTB/RIF, COUNT: 343
ASSAY: Xpert MTB/RIF Ultra, COUNT: 1108
</t>
  </si>
  <si>
    <t>For module replacement 768659 - 684563, 862432 - 684983</t>
  </si>
  <si>
    <t>https://www.jotform.com/uploads/macarewecare/222927978372067/5547842822771640555/5547842822771640555_signature_28.png</t>
  </si>
  <si>
    <t>Hiromi O. Leandado</t>
  </si>
  <si>
    <t>https://www.jotform.com/uploads/macarewecare/222927978372067/5547842822771640555/5547842822771640555_signature_31.png</t>
  </si>
  <si>
    <t>Rodriguez  RHU</t>
  </si>
  <si>
    <t>J.P Rizal  Rodriguez rizal</t>
  </si>
  <si>
    <t xml:space="preserve">ASSAY: Xpert MTB/RIF Ultra, COUNT: 2436
ASSAY: Xpert HIV-1 Viral Load, COUNT: 89
</t>
  </si>
  <si>
    <t>Workstation no display booting problem</t>
  </si>
  <si>
    <t>Check workstation,reset ram, reset workstation,check cable connection</t>
  </si>
  <si>
    <t>https://www.jotform.com/uploads/macarewecare/222927978372067/5547842292773550971/5547842292773550971_signature_28.png</t>
  </si>
  <si>
    <t>https://www.jotform.com/uploads/macarewecare/222927978372067/5547842292773550971/5547842292773550971_signature_31.png</t>
  </si>
  <si>
    <t>E.Rodriguez health center</t>
  </si>
  <si>
    <t>Pajo st., Quezon city</t>
  </si>
  <si>
    <t xml:space="preserve">ASSAY: Xpert HPV, COUNT: 3
ASSAY: Xpert HPV, COUNT: 1
ASSAY: Xpert HPV, COUNT: 164
ASSAY: Xpert MTB/RIF Ultra, COUNT: 1154
</t>
  </si>
  <si>
    <t>Replaced ups, test run unit,test back up supply of ups</t>
  </si>
  <si>
    <t>UPS operational,modules 1,2,3 disabled failed xpertcheck</t>
  </si>
  <si>
    <t>Powercom ups</t>
  </si>
  <si>
    <t>https://www.jotform.com/uploads/macarewecare/222927978372067/5547842292777182433/5547842292777182433_signature_28.png</t>
  </si>
  <si>
    <t>https://www.jotform.com/uploads/macarewecare/222927978372067/5547842292777182433/5547842292777182433_signature_31.png</t>
  </si>
  <si>
    <t>Koica  laboratory</t>
  </si>
  <si>
    <t>jennelynlouis@yahoo.com</t>
  </si>
  <si>
    <t xml:space="preserve">ASSAY: Xpert MTB/RIF, COUNT: 98
ASSAY: , COUNT: 1460
</t>
  </si>
  <si>
    <t>For module replacement 652610 - 650425,laptop defective unable to boot, ups defective  unable to backup</t>
  </si>
  <si>
    <t>Operational unit network in another gx system</t>
  </si>
  <si>
    <t>https://www.jotform.com/uploads/macarewecare/222927978372067/5547842192777019162/5547842192777019162_signature_28.png</t>
  </si>
  <si>
    <t>Jennelyn louis</t>
  </si>
  <si>
    <t>https://www.jotform.com/uploads/macarewecare/222927978372067/5547842192777019162/5547842192777019162_signature_31.png</t>
  </si>
  <si>
    <t>Tondo foreshore health center</t>
  </si>
  <si>
    <t>Pacheco st.,Tondo ,Manila</t>
  </si>
  <si>
    <t xml:space="preserve">ASSAY: Xpert MTB/RIF, COUNT: 36
ASSAY: Xpert MTB/RIF Ultra, COUNT: 2113
ASSAY: Others, COUNT: 190
</t>
  </si>
  <si>
    <t>GX4 (10colors)</t>
  </si>
  <si>
    <t>For module replacement  A4 2100 10365-210048255</t>
  </si>
  <si>
    <t>900- 0650rs</t>
  </si>
  <si>
    <t>https://www.jotform.com/uploads/macarewecare/222927978372067/5547842192773751744/5547842192773751744_signature_28.png</t>
  </si>
  <si>
    <t>CARINA S. MONCADA</t>
  </si>
  <si>
    <t>https://www.jotform.com/uploads/macarewecare/222927978372067/5547842192773751744/5547842192773751744_signature_31.png</t>
  </si>
  <si>
    <t>Quezon ave.Quezon CIty</t>
  </si>
  <si>
    <t xml:space="preserve">ASSAY: Xpert MTB/RIF, COUNT: 98
ASSAY: Xpert MTB/RIF Ultra, COUNT: 1460
</t>
  </si>
  <si>
    <t>For module replacement  688291 - 644613,  674546 - 645554 def ups unable to backup</t>
  </si>
  <si>
    <t>Performed module replacement  and cleaned unit,filter,plunger rod,cartridge bay,i core,gathered reports,performed visual check,test run unit</t>
  </si>
  <si>
    <t>9000491rs</t>
  </si>
  <si>
    <t>https://www.jotform.com/uploads/macarewecare/222927978372067/5547842192779207460/5547842192779207460_signature_28.png</t>
  </si>
  <si>
    <t>https://www.jotform.com/uploads/macarewecare/222927978372067/5547842192779207460/5547842192779207460_signature_31.png</t>
  </si>
  <si>
    <t>Apokon Tagum City</t>
  </si>
  <si>
    <t>Module B2 and B4 are for replacement</t>
  </si>
  <si>
    <t>Replace the Service Module B2 / SN: 682931 with new Module SN: 890841
Replace the defective Module B4 / SN: 655108 with new Module SN: 892119</t>
  </si>
  <si>
    <t>3 modules are operational
Module B1 Encouter Multiple Error, Datas will be sent to Cepheid for further Assessment</t>
  </si>
  <si>
    <t>https://www.jotform.com/uploads/macarewecare/222927978372067/5547796076419273648/5547796076419273648_signature_28.png</t>
  </si>
  <si>
    <t>DONGIE REY A. ARAPOC</t>
  </si>
  <si>
    <t>https://www.jotform.com/uploads/macarewecare/222927978372067/5547796076419273648/5547796076419273648_signature_31.png</t>
  </si>
  <si>
    <t>https://www.jotform.com/uploads/macarewecare/222927978372067/5547720596413174928/5547720596413174928_signature_28.png</t>
  </si>
  <si>
    <t>https://www.jotform.com/uploads/macarewecare/222927978372067/5547720596413174928/5547720596413174928_signature_31.png</t>
  </si>
  <si>
    <t>Replace the Service Module D3/SN 869918 with new Module SN: 895742</t>
  </si>
  <si>
    <t>Module D2 encounter error, error will be sent to Cepheid for further Assessment</t>
  </si>
  <si>
    <t>https://www.jotform.com/uploads/macarewecare/222927978372067/5547720106414784311/5547720106414784311_signature_28.png</t>
  </si>
  <si>
    <t>https://www.jotform.com/uploads/macarewecare/222927978372067/5547720106414784311/5547720106414784311_signature_31.png</t>
  </si>
  <si>
    <t>Pobalcion Central Sison Pangasinan</t>
  </si>
  <si>
    <t xml:space="preserve">ASSAY: Xpert MTB/RIF, COUNT: 103
ASSAY: Xpert MTB/RIF Ultra, COUNT: 263
</t>
  </si>
  <si>
    <t>Unit is operational except B2:784440 failed xpertcheck, for reporting</t>
  </si>
  <si>
    <t>B2 for replacement</t>
  </si>
  <si>
    <t>5 Xpertcheck kits</t>
  </si>
  <si>
    <t>https://www.jotform.com/uploads/macarewecare/222927978372067/5547641585313205687/5547641585313205687_signature_28.png</t>
  </si>
  <si>
    <t>https://www.jotform.com/uploads/macarewecare/222927978372067/5547641585313205687/5547641585313205687_signature_31.png</t>
  </si>
  <si>
    <t>Sorsogon Diversion Road, Sorsogon</t>
  </si>
  <si>
    <t>Replaced module B2 (888907 &gt; 633491)</t>
  </si>
  <si>
    <t>Replaced module B2, performed maintenance cleaning</t>
  </si>
  <si>
    <t>https://www.jotform.com/uploads/macarewecare/222927978372067/5547617616014917619/5547617616014917619_signature_28.png</t>
  </si>
  <si>
    <t>https://www.jotform.com/uploads/macarewecare/222927978372067/5547617616014917619/5547617616014917619_signature_31.png</t>
  </si>
  <si>
    <t xml:space="preserve">ASSAY: Xpert MTB/RIF, COUNT: 985
ASSAY: Xpert MTB/RIF Ultra, COUNT: 1341
ASSAY: Xpert HIV-1 Viral Load, COUNT: 42
</t>
  </si>
  <si>
    <t>COLLECT IQR, SYSTEM LOG, ARCHIVE</t>
  </si>
  <si>
    <t>PERFORM CLEANING OF GX EQUIPMENT AND PREVENTIVE MAINTENANCE</t>
  </si>
  <si>
    <t>MODULE A4 DISABLED DUE TO ERRORS</t>
  </si>
  <si>
    <t>https://www.jotform.com/uploads/macarewecare/222927978372067/5547593243779647527/5547593243779647527_signature_28.png</t>
  </si>
  <si>
    <t>MA. JERNAI SOSOBAN</t>
  </si>
  <si>
    <t>https://www.jotform.com/uploads/macarewecare/222927978372067/5547593243779647527/5547593243779647527_signature_31.png</t>
  </si>
  <si>
    <t>MGC - 200 Cryotherapy</t>
  </si>
  <si>
    <t>Clean Surface Area, visual inspection of the machine</t>
  </si>
  <si>
    <t>Unit is not operational due to missing parts - Nitrogen Tank</t>
  </si>
  <si>
    <t>https://www.jotform.com/uploads/macarewecare/222927978372067/5547589541717183967/5547589541717183967_signature_28.png</t>
  </si>
  <si>
    <t>Benedict john m. Alconera</t>
  </si>
  <si>
    <t>https://www.jotform.com/uploads/macarewecare/222927978372067/5547589541717183967/5547589541717183967_signature_31.png</t>
  </si>
  <si>
    <t xml:space="preserve">ASSAY: Xpert MTB/RIF, COUNT: 506
ASSAY: Xpert MTB/RIF Ultra, COUNT: 1393
ASSAY: Xpert HIV-1 Viral Load, COUNT: 78
</t>
  </si>
  <si>
    <t>-PERFORM MODULE B4 DEF. S/N:863568 REPLACEMENT WITH NEW S/N:618997
-PERFORM PREV. MAINTENANCE</t>
  </si>
  <si>
    <t>https://www.jotform.com/uploads/macarewecare/222927978372067/5547562582775931898/5547562582775931898_signature_28.png</t>
  </si>
  <si>
    <t>https://www.jotform.com/uploads/macarewecare/222927978372067/5547562582775931898/5547562582775931898_signature_31.png</t>
  </si>
  <si>
    <t>Central Bulusan</t>
  </si>
  <si>
    <t>arleneragasa@gmail.com</t>
  </si>
  <si>
    <t>Replaced module B1 (788957 &gt; 671724)</t>
  </si>
  <si>
    <t>Replaced module B1, performed maintenance cleaning</t>
  </si>
  <si>
    <t>Genexpert module 6C</t>
  </si>
  <si>
    <t>https://www.jotform.com/uploads/macarewecare/222927978372067/5547529349683665462/5547529349683665462_signature_28.png</t>
  </si>
  <si>
    <t>https://www.jotform.com/uploads/macarewecare/222927978372067/5547529349683665462/5547529349683665462_signature_31.png</t>
  </si>
  <si>
    <t xml:space="preserve">ASSAY: Xpert MTB/RIF, COUNT: 1171
ASSAY: Xpert MTB/RIF Ultra, COUNT: 870
</t>
  </si>
  <si>
    <t>Defective Monitor is for replacement (SN : 509NTKFGR189)</t>
  </si>
  <si>
    <t>https://www.jotform.com/uploads/macarewecare/222927978372067/5547506831222962721/5547506831222962721_signature_28.png</t>
  </si>
  <si>
    <t>melanie joy lopez</t>
  </si>
  <si>
    <t>https://www.jotform.com/uploads/macarewecare/222927978372067/5547506831222962721/5547506831222962721_signature_31.png</t>
  </si>
  <si>
    <t>https://www.jotform.com/uploads/macarewecare/222927978372067/5547502907812725690/5547502907812725690_signature_28.png</t>
  </si>
  <si>
    <t>https://www.jotform.com/uploads/macarewecare/222927978372067/5547502907812725690/5547502907812725690_signature_31.png</t>
  </si>
  <si>
    <t xml:space="preserve">ASSAY: Xpert MTB/RIF, COUNT: 936
ASSAY: Xpert MTB/RIF Ultra, COUNT: 1083
</t>
  </si>
  <si>
    <t>Replacing Module A2 with SN: 775673 to SN: 663320</t>
  </si>
  <si>
    <t>https://www.jotform.com/uploads/macarewecare/222927978372067/5547469540302166092/5547469540302166092_signature_28.png</t>
  </si>
  <si>
    <t>https://www.jotform.com/uploads/macarewecare/222927978372067/5547469540302166092/5547469540302166092_signature_31.png</t>
  </si>
  <si>
    <t>M'lang, North Cotabato</t>
  </si>
  <si>
    <t>Perform Genexpert machine Preventive maintenance
Replace module 3 SN: 686389 with new module SN: 640319</t>
  </si>
  <si>
    <t>https://www.jotform.com/uploads/macarewecare/222927978372067/5547459134525937144/5547459134525937144_signature_28.png</t>
  </si>
  <si>
    <t>Kathlyn mae y. Lacabe</t>
  </si>
  <si>
    <t>https://www.jotform.com/uploads/macarewecare/222927978372067/5547459134525937144/5547459134525937144_signature_31.png</t>
  </si>
  <si>
    <t>C. Gotladera St., Bulan</t>
  </si>
  <si>
    <t>Replaced module B4 (664775 &gt; 690369)</t>
  </si>
  <si>
    <t>Replaced module B4, performed maintenance cleaning</t>
  </si>
  <si>
    <t>https://www.jotform.com/uploads/macarewecare/222927978372067/5547453501617586790/5547453501617586790_signature_28.png</t>
  </si>
  <si>
    <t>https://www.jotform.com/uploads/macarewecare/222927978372067/5547453501617586790/5547453501617586790_signature_31.png</t>
  </si>
  <si>
    <t xml:space="preserve">ASSAY: Xpert MTB/RIF, COUNT: 160
ASSAY: Xpert MTB/RIF Ultra, COUNT: 678
ASSAY: Xpert HIV-1 Viral Load, COUNT: 188
</t>
  </si>
  <si>
    <t>Temperaturr errors on modules B1, B2, B3</t>
  </si>
  <si>
    <t>Unit is operational.
B2 hardware failed.
B1, B3 temp. errors. For follow up/reporting.</t>
  </si>
  <si>
    <t>https://www.jotform.com/uploads/macarewecare/222927978372067/5547432880227190515/5547432880227190515_signature_28.png</t>
  </si>
  <si>
    <t>Razhen Matias</t>
  </si>
  <si>
    <t>https://www.jotform.com/uploads/macarewecare/222927978372067/5547432880227190515/5547432880227190515_signature_31.png</t>
  </si>
  <si>
    <t xml:space="preserve">ASSAY: Xpert MTB/RIF Ultra, COUNT: 4110
</t>
  </si>
  <si>
    <t>Defective module 606617</t>
  </si>
  <si>
    <t>New module installed 702067</t>
  </si>
  <si>
    <t>https://www.jotform.com/uploads/macarewecare/222927978372067/5547422775322343239/5547422775322343239_signature_28.png</t>
  </si>
  <si>
    <t>https://www.jotform.com/uploads/macarewecare/222927978372067/5547422775322343239/5547422775322343239_signature_31.png</t>
  </si>
  <si>
    <t xml:space="preserve">ASSAY: Xpert MTB/RIF, COUNT: 402
ASSAY: Xpert MTB/RIF Ultra, COUNT: 1388
</t>
  </si>
  <si>
    <t>Defective module 639820/A3</t>
  </si>
  <si>
    <t>- Replaced defective module 639820/A3 with new module SN 677745
- Performed Preventive Maintenance (module by cleaning, plunger rod maintenace, filter cleaning, optic slots cleaning)
- Generate reports for defective module 690194/A1.</t>
  </si>
  <si>
    <t>3 modules operational, module A1 for report to Jotform.</t>
  </si>
  <si>
    <t>https://www.jotform.com/uploads/macarewecare/222927978372067/5547398642398985111/5547398642398985111_signature_28.png</t>
  </si>
  <si>
    <t>Valerie Christine G. Bello</t>
  </si>
  <si>
    <t>https://www.jotform.com/uploads/macarewecare/222927978372067/5547398642398985111/5547398642398985111_signature_31.png</t>
  </si>
  <si>
    <t xml:space="preserve">ASSAY: Xpert MTB/RIF, COUNT: 278
ASSAY: Xpert MTB/RIF Ultra, COUNT: 430
</t>
  </si>
  <si>
    <t>https://www.jotform.com/uploads/macarewecare/222927978372067/5547379682391521865/5547379682391521865_signature_28.png</t>
  </si>
  <si>
    <t>Ma.Teresa Aliman</t>
  </si>
  <si>
    <t>https://www.jotform.com/uploads/macarewecare/222927978372067/5547379682391521865/5547379682391521865_signature_31.png</t>
  </si>
  <si>
    <t>Tinambacan Sur, Calbayog Samar</t>
  </si>
  <si>
    <t xml:space="preserve">ASSAY: Xpert MTB/RIF, COUNT: 184
ASSAY: Xpert MTB/RIF Ultra, COUNT: 224
</t>
  </si>
  <si>
    <t>Unit for Calibration and Preventive Maintenance</t>
  </si>
  <si>
    <t>Module B1 (Retry and Passed), Module B2 Passed</t>
  </si>
  <si>
    <t>https://www.jotform.com/uploads/macarewecare/222927978372067/5547055663028110466/5547055663028110466_signature_28.png</t>
  </si>
  <si>
    <t>stephanie jis rosales</t>
  </si>
  <si>
    <t>https://www.jotform.com/uploads/macarewecare/222927978372067/5547055663028110466/5547055663028110466_signature_31.png</t>
  </si>
  <si>
    <t xml:space="preserve">ASSAY: Xpert MTB/RIF, COUNT: 658
ASSAY: Xpert MTB/RIF Ultra, COUNT: 582
</t>
  </si>
  <si>
    <t>for Preventive maintenance</t>
  </si>
  <si>
    <t>https://www.jotform.com/uploads/macarewecare/222927978372067/5547055663028211405/5547055663028211405_signature_28.png</t>
  </si>
  <si>
    <t>Mardelen C. Langomes</t>
  </si>
  <si>
    <t>https://www.jotform.com/uploads/macarewecare/222927978372067/5547055663028211405/5547055663028211405_signature_31.png</t>
  </si>
  <si>
    <t>Bayambang</t>
  </si>
  <si>
    <t xml:space="preserve">ASSAY: Xpert MTB/RIF, COUNT: 1
ASSAY: Xpert MTB/RIF Ultra, COUNT: 739
</t>
  </si>
  <si>
    <t>All modules for replacement</t>
  </si>
  <si>
    <t>- replaced all modules (New SN: 791850, 667602, 861757, 667606
- Generated reports 
- checked &amp; cleaned cartridge bay, plunger rod, I core slot, filter 
- Performed functionality test</t>
  </si>
  <si>
    <t>Replaced modules
B1: 802139
B2: 685779
B3: 690916
B4: 879481</t>
  </si>
  <si>
    <t>https://www.jotform.com/uploads/macarewecare/222927978372067/5546979842227081229/5546979842227081229_signature_28.png</t>
  </si>
  <si>
    <t>Beverly neri</t>
  </si>
  <si>
    <t>https://www.jotform.com/uploads/macarewecare/222927978372067/5546979842227081229/5546979842227081229_signature_31.png</t>
  </si>
  <si>
    <t>https://www.jotform.com/uploads/macarewecare/222927978372067/5546963682774195918/5546963682774195918_signature_28.png</t>
  </si>
  <si>
    <t>https://www.jotform.com/uploads/macarewecare/222927978372067/5546963682774195918/5546963682774195918_signature_31.png</t>
  </si>
  <si>
    <t>https://www.jotform.com/uploads/macarewecare/222927978372067/5546962682773595619/5546962682773595619_signature_28.png</t>
  </si>
  <si>
    <t>https://www.jotform.com/uploads/macarewecare/222927978372067/5546962682773595619/5546962682773595619_signature_31.png</t>
  </si>
  <si>
    <t>https://www.jotform.com/uploads/macarewecare/222927978372067/5546960482777599512/5546960482777599512_signature_28.png</t>
  </si>
  <si>
    <t>https://www.jotform.com/uploads/macarewecare/222927978372067/5546960482777599512/5546960482777599512_signature_31.png</t>
  </si>
  <si>
    <t>https://www.jotform.com/uploads/macarewecare/222927978372067/5546959192779373515/5546959192779373515_signature_28.png</t>
  </si>
  <si>
    <t>https://www.jotform.com/uploads/macarewecare/222927978372067/5546959192779373515/5546959192779373515_signature_31.png</t>
  </si>
  <si>
    <t>https://www.jotform.com/uploads/macarewecare/222927978372067/5546957742776471369/5546957742776471369_signature_28.png</t>
  </si>
  <si>
    <t>https://www.jotform.com/uploads/macarewecare/222927978372067/5546957742776471369/5546957742776471369_signature_31.png</t>
  </si>
  <si>
    <t>Sagay, Poblacion</t>
  </si>
  <si>
    <t xml:space="preserve">ASSAY: Xpert MTB/RIF, COUNT: 321
</t>
  </si>
  <si>
    <t>Hardware failure due to Error 1002/1001/2014</t>
  </si>
  <si>
    <t>Install new Module Serial Number 868334</t>
  </si>
  <si>
    <t>Replaced defective Module 806310</t>
  </si>
  <si>
    <t>https://www.jotform.com/uploads/macarewecare/222927978372067/5546944341611771549/5546944341611771549_signature_28.png</t>
  </si>
  <si>
    <t>https://www.jotform.com/uploads/macarewecare/222927978372067/5546944341611771549/5546944341611771549_signature_31.png</t>
  </si>
  <si>
    <t>Defective module C4 645428</t>
  </si>
  <si>
    <t>New module installed 699776</t>
  </si>
  <si>
    <t>https://www.jotform.com/uploads/macarewecare/222927978372067/5546760711625691714/5546760711625691714_signature_28.png</t>
  </si>
  <si>
    <t>https://www.jotform.com/uploads/macarewecare/222927978372067/5546760711625691714/5546760711625691714_signature_31.png</t>
  </si>
  <si>
    <t xml:space="preserve">ASSAY: Xpert HPV, COUNT: 899
ASSAY: Xpert MTB/RIF, COUNT: 855
ASSAY: Xpert MTB/RIF Ultra, COUNT: 2785
ASSAY: Xpert HIV-1 Viral Load, COUNT: 235
</t>
  </si>
  <si>
    <t>Error 2035, 2014, 2097</t>
  </si>
  <si>
    <t>Performed Xpertcheck on module A1, A2 and A3</t>
  </si>
  <si>
    <t>Performed Maintenance
Gathered Reports
Performed Xpertcheck (A1, A2, A3)
Enabled A1 and A2
Performed Functionality Test</t>
  </si>
  <si>
    <t>Xpertcheck Result A1, A2, A3 = Passed</t>
  </si>
  <si>
    <t>https://www.jotform.com/uploads/macarewecare/222927978372067/5546752253225535675/5546752253225535675_signature_28.png</t>
  </si>
  <si>
    <t>https://www.jotform.com/uploads/macarewecare/222927978372067/5546752253225535675/5546752253225535675_signature_31.png</t>
  </si>
  <si>
    <t xml:space="preserve">ASSAY: Xpert MTB/RIF, COUNT: 188
ASSAY: Xpert MTB/RIF Ultra, COUNT: 489
</t>
  </si>
  <si>
    <t>Performed Xpertcheck on B2</t>
  </si>
  <si>
    <t>Xpertcheck - Service Required</t>
  </si>
  <si>
    <t>Xpertchech 1pc</t>
  </si>
  <si>
    <t>https://www.jotform.com/uploads/macarewecare/222927978372067/5546752253225709376/5546752253225709376_signature_28.png</t>
  </si>
  <si>
    <t>https://www.jotform.com/uploads/macarewecare/222927978372067/5546752253225709376/5546752253225709376_signature_31.png</t>
  </si>
  <si>
    <t>https://www.jotform.com/uploads/macarewecare/222927978372067/5546734716211798921/5546734716211798921_signature_28.png</t>
  </si>
  <si>
    <t>https://www.jotform.com/uploads/macarewecare/222927978372067/5546734716211798921/5546734716211798921_signature_31.png</t>
  </si>
  <si>
    <t>https://www.jotform.com/uploads/macarewecare/222927978372067/5546734716218305031/5546734716218305031_signature_28.png</t>
  </si>
  <si>
    <t>https://www.jotform.com/uploads/macarewecare/222927978372067/5546734716218305031/5546734716218305031_signature_31.png</t>
  </si>
  <si>
    <t>Estevez Memorial Hospital Inc</t>
  </si>
  <si>
    <t>Don Juan Estevez Sr. St.</t>
  </si>
  <si>
    <t>estevezmemorialhospitalinc@gmail.com</t>
  </si>
  <si>
    <t>None, for unit installation</t>
  </si>
  <si>
    <t>Installed unit and accessories, performed end-user training, generated reports</t>
  </si>
  <si>
    <t>Cepheid GeneXpert GXIV 10C S/N: 110017942</t>
  </si>
  <si>
    <t>DR#9670</t>
  </si>
  <si>
    <t>https://www.jotform.com/uploads/macarewecare/222927978372067/5546708348477274249/5546708348477274249_signature_28.png</t>
  </si>
  <si>
    <t>https://www.jotform.com/uploads/macarewecare/222927978372067/5546708348477274249/5546708348477274249_signature_31.png</t>
  </si>
  <si>
    <t>Malalag Rural Health Unit</t>
  </si>
  <si>
    <t>Poblacion Malalag, Davao del Sur</t>
  </si>
  <si>
    <t>krstadimacuta@gmail.com</t>
  </si>
  <si>
    <t>For Preventive Maintenance and Machine always encounter module disconnection</t>
  </si>
  <si>
    <t>Clean Surface Area, Cartridge Bay, Plunger Rod, Fan Filters and Icore Lenses
Generate IQR, Assay Stat and System Log
Reset GeneXpert connections</t>
  </si>
  <si>
    <t>Unit is operational but the UPS of the GeneXpert system is faulty.</t>
  </si>
  <si>
    <t>When UPS is at battery mode, less than 3 minute mark it will automatically drained and the GeneXpert with its Computer shutoff abruptly</t>
  </si>
  <si>
    <t>https://www.jotform.com/uploads/macarewecare/222927978372067/5546707331875119621/5546707331875119621_signature_28.png</t>
  </si>
  <si>
    <t>Krista Mae Dimacuta</t>
  </si>
  <si>
    <t>https://www.jotform.com/uploads/macarewecare/222927978372067/5546707331875119621/5546707331875119621_signature_31.png</t>
  </si>
  <si>
    <t>Aplaya Bongabong</t>
  </si>
  <si>
    <t>Unit for preventive maintenance.
For installation of gateway board.</t>
  </si>
  <si>
    <t>Preventive maintenance and installation of gateway board.</t>
  </si>
  <si>
    <t>Performed preventive maintenance.
Performed installation of gateway board.</t>
  </si>
  <si>
    <t>https://www.jotform.com/uploads/macarewecare/222927978372067/5546699515992799427/5546699515992799427_signature_28.png</t>
  </si>
  <si>
    <t>https://www.jotform.com/uploads/macarewecare/222927978372067/5546699515992799427/5546699515992799427_signature_31.png</t>
  </si>
  <si>
    <t>National Highway, Kabankalan, Negros Occidental</t>
  </si>
  <si>
    <t>beuahravante@mail.com</t>
  </si>
  <si>
    <t xml:space="preserve">ASSAY: Xpert MTB/RIF, COUNT: 526
ASSAY: Xpert MTB/RIF Ultra, COUNT: 1404
</t>
  </si>
  <si>
    <t>HW Fail on modules 630292/A1 and 609383/A2</t>
  </si>
  <si>
    <t>Replaced defective modules, Preventive Maintenance (module bay cleaning, filter cleaning, plunger rod maintenace, optic slots cleaning)</t>
  </si>
  <si>
    <t>- Replaced module 630292/A1 with new module SN 682751.
- Replaced module 609383/A2 with new module SN 671781</t>
  </si>
  <si>
    <t>https://www.jotform.com/uploads/macarewecare/222927978372067/5546692475227334376/5546692475227334376_signature_28.png</t>
  </si>
  <si>
    <t>BEULAH AGRAVANTE, R.M.T.</t>
  </si>
  <si>
    <t>https://www.jotform.com/uploads/macarewecare/222927978372067/5546692475227334376/5546692475227334376_signature_31.png</t>
  </si>
  <si>
    <t>Arellano St. Dagupan City</t>
  </si>
  <si>
    <t xml:space="preserve">ASSAY: Xpert MTB/RIF, COUNT: 418
ASSAY: Xpert MTB/RIF Ultra, COUNT: 1080
ASSAY: Xpert SARS-CoV-2, COUNT: 4158
</t>
  </si>
  <si>
    <t>C2,C4, B3 and B4 For module replacement</t>
  </si>
  <si>
    <t>Preventive maintenance
Module Replacement</t>
  </si>
  <si>
    <t>Performed preventive maintenance
Performed module Replacement
Gathered reports
Performed functionality test</t>
  </si>
  <si>
    <t>https://www.jotform.com/uploads/macarewecare/222927978372067/5546690685931091302/5546690685931091302_signature_28.png</t>
  </si>
  <si>
    <t>https://www.jotform.com/uploads/macarewecare/222927978372067/5546690685931091302/5546690685931091302_signature_31.png</t>
  </si>
  <si>
    <t>Mayor Hilarion A. Ramiro Sr.</t>
  </si>
  <si>
    <t xml:space="preserve">ASSAY: Xpert SARS-CoV-2, COUNT: 5627
</t>
  </si>
  <si>
    <t>Preventive Maintenance
Database back up</t>
  </si>
  <si>
    <t>https://www.jotform.com/uploads/macarewecare/222927978372067/5546683793208397060/5546683793208397060_signature_28.png</t>
  </si>
  <si>
    <t>Gretchen Lanas</t>
  </si>
  <si>
    <t>https://www.jotform.com/uploads/macarewecare/222927978372067/5546683793208397060/5546683793208397060_signature_31.png</t>
  </si>
  <si>
    <t>https://www.jotform.com/uploads/macarewecare/222927978372067/5546683623207719669/5546683623207719669_signature_28.png</t>
  </si>
  <si>
    <t>https://www.jotform.com/uploads/macarewecare/222927978372067/5546683623207719669/5546683623207719669_signature_31.png</t>
  </si>
  <si>
    <t xml:space="preserve">ASSAY: Xpert MTB/RIF, COUNT: 1055
ASSAY: Xpert MTB/RIF Ultra, COUNT: 564
</t>
  </si>
  <si>
    <t>MODULE B4 ERROR 2005</t>
  </si>
  <si>
    <t>EQUIPMENT IS OPERATIONAL, MODULE B4 IS DISABLED DUE TO MULTIPLE ERRORS</t>
  </si>
  <si>
    <t>https://www.jotform.com/uploads/macarewecare/222927978372067/5546667919712192454/5546667919712192454_signature_28.png</t>
  </si>
  <si>
    <t>https://www.jotform.com/uploads/macarewecare/222927978372067/5546667919712192454/5546667919712192454_signature_31.png</t>
  </si>
  <si>
    <t>Replacing module C1 with SN: 210068711 to SN: 885698</t>
  </si>
  <si>
    <t>All modules working</t>
  </si>
  <si>
    <t>https://www.jotform.com/uploads/macarewecare/222927978372067/5546654132541587378/5546654132541587378_signature_28.png</t>
  </si>
  <si>
    <t>https://www.jotform.com/uploads/macarewecare/222927978372067/5546654132541587378/5546654132541587378_signature_31.png</t>
  </si>
  <si>
    <t>https://www.jotform.com/uploads/macarewecare/222927978372067/5546635401997785262/5546635401997785262_signature_28.png</t>
  </si>
  <si>
    <t>https://www.jotform.com/uploads/macarewecare/222927978372067/5546635401997785262/5546635401997785262_signature_31.png</t>
  </si>
  <si>
    <t xml:space="preserve">ASSAY: Xpert MTB/RIF Ultra, COUNT: 119
ASSAY: Xpert HIV-1 Viral Load, COUNT: 30
</t>
  </si>
  <si>
    <t>ReXpertCheck Modules 2 and 4
Performed Maintenance
Generate Reports</t>
  </si>
  <si>
    <t>1 module failed and 1 passed in ReXpertCheck</t>
  </si>
  <si>
    <t>https://www.jotform.com/uploads/macarewecare/222927978372067/5546630602011640245/5546630602011640245_signature_28.png</t>
  </si>
  <si>
    <t>https://www.jotform.com/uploads/macarewecare/222927978372067/5546630602011640245/5546630602011640245_signature_31.png</t>
  </si>
  <si>
    <t>Modules Failed in XpertCheck</t>
  </si>
  <si>
    <t>Replaced Modules 1 and 4
Performed Maintenance
Performed Self Test
Generate reports</t>
  </si>
  <si>
    <t>3 modules are operational, 1 for reporting. CPU reported.</t>
  </si>
  <si>
    <t>700528-&gt; 662707, 602779-&gt;699744</t>
  </si>
  <si>
    <t>https://www.jotform.com/uploads/macarewecare/222927978372067/5546630602012925381/5546630602012925381_signature_28.png</t>
  </si>
  <si>
    <t>https://www.jotform.com/uploads/macarewecare/222927978372067/5546630602012925381/5546630602012925381_signature_31.png</t>
  </si>
  <si>
    <t>CPU has Booting Problem</t>
  </si>
  <si>
    <t>Performed Cepheid Troubleshooting
Checked HDD Connections
Swapped RAM place</t>
  </si>
  <si>
    <t>CPU is defective and for Replacement</t>
  </si>
  <si>
    <t>CPU S/N: 2UA70329CD</t>
  </si>
  <si>
    <t>https://www.jotform.com/uploads/macarewecare/222927978372067/5546630602012966912/5546630602012966912_signature_28.png</t>
  </si>
  <si>
    <t>https://www.jotform.com/uploads/macarewecare/222927978372067/5546630602012966912/5546630602012966912_signature_31.png</t>
  </si>
  <si>
    <t>Noveleta Rural Health Unit</t>
  </si>
  <si>
    <t>Module Replacement in B1
Performed Maintenance
Generate Reports</t>
  </si>
  <si>
    <t>788976-&gt;761468</t>
  </si>
  <si>
    <t>https://www.jotform.com/uploads/macarewecare/222927978372067/5546630602017381797/5546630602017381797_signature_28.png</t>
  </si>
  <si>
    <t>Jacqueline Estinoso</t>
  </si>
  <si>
    <t>https://www.jotform.com/uploads/macarewecare/222927978372067/5546630602017381797/5546630602017381797_signature_31.png</t>
  </si>
  <si>
    <t>E.Rodriguez St., Tunasan</t>
  </si>
  <si>
    <t xml:space="preserve">ASSAY: Xpert HPV, COUNT: 21
ASSAY: Xpert MTB/RIF Ultra, COUNT: 1294
ASSAY: Xpert HIV-1 Viral Load, COUNT: 130
</t>
  </si>
  <si>
    <t>Module Replacememt</t>
  </si>
  <si>
    <t>Module Replacement in Module 3
Performed Maintenance
Generate Reports</t>
  </si>
  <si>
    <t>All module are Operational</t>
  </si>
  <si>
    <t>662483-&gt;678800</t>
  </si>
  <si>
    <t>https://www.jotform.com/uploads/macarewecare/222927978372067/5546630602019223935/5546630602019223935_signature_28.png</t>
  </si>
  <si>
    <t>Geraldine Trazo-Tan</t>
  </si>
  <si>
    <t>https://www.jotform.com/uploads/macarewecare/222927978372067/5546630602019223935/5546630602019223935_signature_31.png</t>
  </si>
  <si>
    <t>felixvicentcampos@yahoo.com</t>
  </si>
  <si>
    <t xml:space="preserve">ASSAY: Xpert MTB/RIF Ultra, COUNT: 892
ASSAY: Xpert MTB/RIF, COUNT: 34
</t>
  </si>
  <si>
    <t>Preventive Maintenance
Xpertcheck calibration
Database back up</t>
  </si>
  <si>
    <t>Service required module B4/618492</t>
  </si>
  <si>
    <t>https://www.jotform.com/uploads/macarewecare/222927978372067/5546629743205335548/5546629743205335548_signature_28.png</t>
  </si>
  <si>
    <t>Felix Vicent C. Campos</t>
  </si>
  <si>
    <t>https://www.jotform.com/uploads/macarewecare/222927978372067/5546629743205335548/5546629743205335548_signature_31.png</t>
  </si>
  <si>
    <t>https://www.jotform.com/uploads/macarewecare/222927978372067/5546629653208959848/5546629653208959848_signature_28.png</t>
  </si>
  <si>
    <t>https://www.jotform.com/uploads/macarewecare/222927978372067/5546629653208959848/5546629653208959848_signature_31.png</t>
  </si>
  <si>
    <t>Sindangan Rural Health Unit</t>
  </si>
  <si>
    <t>Sindangan</t>
  </si>
  <si>
    <t>lryano0618@gmail.com</t>
  </si>
  <si>
    <t xml:space="preserve">ASSAY: Xpert MTB/RIF Ultra, COUNT: 1466
</t>
  </si>
  <si>
    <t>Module replacement new modules B2/750227 B3/757019</t>
  </si>
  <si>
    <t>Module replacement of defective modules B2/671327 B3/642704
Preventive Maintenance
Generate reports data files</t>
  </si>
  <si>
    <t>https://www.jotform.com/uploads/macarewecare/222927978372067/5546607293203128095/5546607293203128095_signature_28.png</t>
  </si>
  <si>
    <t>Leni Riza O. Yano</t>
  </si>
  <si>
    <t>https://www.jotform.com/uploads/macarewecare/222927978372067/5546607293203128095/5546607293203128095_signature_31.png</t>
  </si>
  <si>
    <t>Cagayan Valley Center for Health Development, Department of Health Regional Office 2</t>
  </si>
  <si>
    <t>kate.christinejk@gmail.com</t>
  </si>
  <si>
    <t xml:space="preserve">ASSAY: Xpert MTB/RIF, COUNT: 420
ASSAY: Xpert MTB/RIF Ultra, COUNT: 1688
ASSAY: Xpert SARS-CoV-2, COUNT: 4875
</t>
  </si>
  <si>
    <t>Module D1 and D4 Hardware Failure</t>
  </si>
  <si>
    <t>Module D1 and D4 to be reported</t>
  </si>
  <si>
    <t>Performed Maintenance
Gathered Reports
Performed Module Replacement (B2)
Performed Functionality Test</t>
  </si>
  <si>
    <t>Module Replacement = 889068 - 626812</t>
  </si>
  <si>
    <t>Genexpert Module - 626812</t>
  </si>
  <si>
    <t>https://www.jotform.com/uploads/macarewecare/222927978372067/5546570875958412910/5546570875958412910_signature_28.png</t>
  </si>
  <si>
    <t>Kate Christine D. Calimag</t>
  </si>
  <si>
    <t>https://www.jotform.com/uploads/macarewecare/222927978372067/5546570875958412910/5546570875958412910_signature_31.png</t>
  </si>
  <si>
    <t xml:space="preserve">ASSAY: Xpert MTB/RIF, COUNT: 153
ASSAY: Xpert MTB/RIF Ultra, COUNT: 667
ASSAY: Xpert SARS-CoV-2, COUNT: 1891
</t>
  </si>
  <si>
    <t>Module Replacement = 776897 - 630557</t>
  </si>
  <si>
    <t>Genexpert Module - 630557</t>
  </si>
  <si>
    <t>https://www.jotform.com/uploads/macarewecare/222927978372067/5546569285956855619/5546569285956855619_signature_28.png</t>
  </si>
  <si>
    <t>https://www.jotform.com/uploads/macarewecare/222927978372067/5546569285956855619/5546569285956855619_signature_31.png</t>
  </si>
  <si>
    <t>Nadjimbagua20@gmail.com</t>
  </si>
  <si>
    <t xml:space="preserve">ASSAY: Xpert MTB/RIF, COUNT: 83
ASSAY: Xpert MTB/RIF Ultra, COUNT: 442
</t>
  </si>
  <si>
    <t>Perform Genexpert machine Calibration/Xpertcheck
Perform Genexpert machine Preventive maintenance</t>
  </si>
  <si>
    <t>XpertCheck -CE-5</t>
  </si>
  <si>
    <t>Lot 1000378669</t>
  </si>
  <si>
    <t>https://www.jotform.com/uploads/macarewecare/222927978372067/5546561205377736637/5546561205377736637_signature_28.png</t>
  </si>
  <si>
    <t>Nadjim Bagua</t>
  </si>
  <si>
    <t>https://www.jotform.com/uploads/macarewecare/222927978372067/5546561205377736637/5546561205377736637_signature_31.png</t>
  </si>
  <si>
    <t xml:space="preserve">ASSAY: Xpert MTB/RIF, COUNT: 288
ASSAY: Xpert MTB/RIF Ultra, COUNT: 495
</t>
  </si>
  <si>
    <t>MODULE B2 INTERMITTENT ERROR, MODULE B3 DISABLED / H/W FAILED</t>
  </si>
  <si>
    <t>https://www.jotform.com/uploads/macarewecare/222927978372067/5546528567762203658/5546528567762203658_signature_28.png</t>
  </si>
  <si>
    <t>https://www.jotform.com/uploads/macarewecare/222927978372067/5546528567762203658/5546528567762203658_signature_31.png</t>
  </si>
  <si>
    <t>DRT,  Bulacan</t>
  </si>
  <si>
    <t xml:space="preserve">ASSAY: Xpert MTB/RIF, COUNT: 90
ASSAY: Xpert MTB/RIF Ultra, COUNT: 178
</t>
  </si>
  <si>
    <t>Checked monitor</t>
  </si>
  <si>
    <t>Unit is operational.
B1, B3, B4 passed, B2 failed calibration.
Temporarily installed back up monitor. 
Monitor is displaying white screen.
Original monitor is for replacement.</t>
  </si>
  <si>
    <t>https://www.jotform.com/uploads/macarewecare/222927978372067/5546491982223548062/5546491982223548062_signature_28.png</t>
  </si>
  <si>
    <t>https://www.jotform.com/uploads/macarewecare/222927978372067/5546491982223548062/5546491982223548062_signature_31.png</t>
  </si>
  <si>
    <t xml:space="preserve">ASSAY: Xpert MTB/RIF, COUNT: 586
ASSAY: Xpert MTB/RIF Ultra, COUNT: 1289
ASSAY: Xpert HCV VL, COUNT: 11
ASSAY: Xpert HIV-1 Viral Load, COUNT: 219
</t>
  </si>
  <si>
    <t>Desktop is not booting up</t>
  </si>
  <si>
    <t>Checked desktop</t>
  </si>
  <si>
    <t>Unit is operational. Desktop is under observation.</t>
  </si>
  <si>
    <t>https://www.jotform.com/uploads/macarewecare/222927978372067/5546491982225884245/5546491982225884245_signature_28.png</t>
  </si>
  <si>
    <t>Angelica Guintu</t>
  </si>
  <si>
    <t>https://www.jotform.com/uploads/macarewecare/222927978372067/5546491982225884245/5546491982225884245_signature_31.png</t>
  </si>
  <si>
    <t>St. Lukes medical center</t>
  </si>
  <si>
    <t>E.rodriguez quezon city</t>
  </si>
  <si>
    <t xml:space="preserve">ASSAY: Xpert CT/NG, COUNT: 236
ASSAY: Others, COUNT: 4
ASSAY: Xpert HPV, COUNT: 1
ASSAY: Xpert HPV, COUNT: 21
ASSAY: Xpert MTB/RIF Ultra, COUNT: 2928
</t>
  </si>
  <si>
    <t>C4 module encounter error 5007</t>
  </si>
  <si>
    <t>C2 h/w failed</t>
  </si>
  <si>
    <t>Unit originally frm c.i transfer to microbiology for temporary use</t>
  </si>
  <si>
    <t>https://www.jotform.com/uploads/macarewecare/222927978372067/5546448521999800544/5546448521999800544_signature_28.png</t>
  </si>
  <si>
    <t>Phillip Jordan M. Salvador, RMT</t>
  </si>
  <si>
    <t>https://www.jotform.com/uploads/macarewecare/222927978372067/5546448521999800544/5546448521999800544_signature_31.png</t>
  </si>
  <si>
    <t>https://www.jotform.com/uploads/macarewecare/222927978372067/5546447821999113844/5546447821999113844_signature_28.png</t>
  </si>
  <si>
    <t>https://www.jotform.com/uploads/macarewecare/222927978372067/5546447821999113844/5546447821999113844_signature_31.png</t>
  </si>
  <si>
    <t>St.lukes medical center</t>
  </si>
  <si>
    <t>E.rodriguez ,Quezon city</t>
  </si>
  <si>
    <t>kfuy@macare-medicals.com</t>
  </si>
  <si>
    <t xml:space="preserve">ASSAY: Xpert CT/NG, COUNT: 236
ASSAY: Others, COUNT: 4
ASSAY: Xpert HPV, COUNT: 1
ASSAY: Xpert HPV, COUNT: 21
ASSAY: Xpert MTB/RIF Ultra, COUNT: 2982
</t>
  </si>
  <si>
    <t>B1 encounter temp error 4012,B2 encounter 5007 error ,B4 encounter 5007 error</t>
  </si>
  <si>
    <t>Performed xpertcheck in b1,b2,b4,cleaned unit,filter,plunger rod,cartridge bay,i core,gathered reports,performed visual check,test run unit</t>
  </si>
  <si>
    <t>All module failed in xpertcheck</t>
  </si>
  <si>
    <t>https://www.jotform.com/uploads/https:/www.jotform.com/uploads/macarewecare/222927978372067/5546446671996089603/5546446671996089603_signature_28.png</t>
  </si>
  <si>
    <t>Phillip Jordan M.Salvador RMT</t>
  </si>
  <si>
    <t>https://www.jotform.com/uploads/https:/www.jotform.com/uploads/macarewecare/222927978372067/5546446671996089603/5546446671996089603_signature_31.png</t>
  </si>
  <si>
    <t>https://www.jotform.com/uploads/macarewecare/222927978372067/5546446331991265168/5546446331991265168_signature_28.png</t>
  </si>
  <si>
    <t>https://www.jotform.com/uploads/macarewecare/222927978372067/5546446331991265168/5546446331991265168_signature_31.png</t>
  </si>
  <si>
    <t>onehobe834@gmail.com</t>
  </si>
  <si>
    <t xml:space="preserve">ASSAY: Xpert MTB/RIF, COUNT: 505
ASSAY: Xpert MTB/RIF Ultra, COUNT: 1157
</t>
  </si>
  <si>
    <t>https://www.jotform.com/uploads/macarewecare/222927978372067/5545923369742096863/5545923369742096863_signature_28.png</t>
  </si>
  <si>
    <t>https://www.jotform.com/uploads/macarewecare/222927978372067/5545923369742096863/5545923369742096863_signature_31.png</t>
  </si>
  <si>
    <t>Arthur st. West Bajac-Bajac Olongapo City</t>
  </si>
  <si>
    <t xml:space="preserve">ASSAY: Xpert MTB/RIF, COUNT: 773
ASSAY: Xpert MTB/RIF Ultra, COUNT: 939
</t>
  </si>
  <si>
    <t>D1:613358 error</t>
  </si>
  <si>
    <t>Performed surface cleaning
Cleaning of icore, cartridge bay, plunger rod and filter
Xpertcheck application update to 1.5a
Archived test results
Performed calibration
Gathered reports
Performed functionality test</t>
  </si>
  <si>
    <t>Unit is operational except D1 for reporting</t>
  </si>
  <si>
    <t>Calibration info and failed module reports did not generte</t>
  </si>
  <si>
    <t>https://www.jotform.com/uploads/macarewecare/222927978372067/5545874231118978559/5545874231118978559_signature_28.png</t>
  </si>
  <si>
    <t>https://www.jotform.com/uploads/macarewecare/222927978372067/5545874231118978559/5545874231118978559_signature_31.png</t>
  </si>
  <si>
    <t xml:space="preserve">ASSAY: Xpert MTB/RIF, COUNT: 702
ASSAY: Xpert MTB/RIF Ultra, COUNT: 1112
</t>
  </si>
  <si>
    <t>C2:777166 for module replacement</t>
  </si>
  <si>
    <t>Unit is operational except C1: for reporting</t>
  </si>
  <si>
    <t>Temperature error</t>
  </si>
  <si>
    <t>https://www.jotform.com/uploads/macarewecare/222927978372067/5545874221115152553/5545874221115152553_signature_28.png</t>
  </si>
  <si>
    <t>https://www.jotform.com/uploads/macarewecare/222927978372067/5545874221115152553/5545874221115152553_signature_31.png</t>
  </si>
  <si>
    <t>Ruzal ave. Olongapo City Zambales</t>
  </si>
  <si>
    <t>D4:685616 for moduoe replacement</t>
  </si>
  <si>
    <t>Unit is operational except B1</t>
  </si>
  <si>
    <t>https://www.jotform.com/uploads/macarewecare/222927978372067/5545862651118106300/5545862651118106300_signature_28.png</t>
  </si>
  <si>
    <t>Rosely Milan</t>
  </si>
  <si>
    <t>https://www.jotform.com/uploads/macarewecare/222927978372067/5545862651118106300/5545862651118106300_signature_31.png</t>
  </si>
  <si>
    <t xml:space="preserve">ASSAY: Xpert SARS-CoV-2, COUNT: 6304
ASSAY: Xpert HIV-1 Viral Load, COUNT: 2
</t>
  </si>
  <si>
    <t>Module 4 H/W failed due</t>
  </si>
  <si>
    <t>Perform Genexpert machine Preventive maintenance
Report module problem</t>
  </si>
  <si>
    <t>Perform Genexpert machine Preventive maintenance 
Report module Problem</t>
  </si>
  <si>
    <t>https://www.jotform.com/uploads/macarewecare/222927978372067/5545843683104593991/5545843683104593991_signature_28.png</t>
  </si>
  <si>
    <t>https://www.jotform.com/uploads/macarewecare/222927978372067/5545843683104593991/5545843683104593991_signature_31.png</t>
  </si>
  <si>
    <t>https://www.jotform.com/uploads/macarewecare/222927978372067/5545843103102767183/5545843103102767183_signature_28.png</t>
  </si>
  <si>
    <t>https://www.jotform.com/uploads/macarewecare/222927978372067/5545843103102767183/5545843103102767183_signature_31.png</t>
  </si>
  <si>
    <t>Module 1 and 3 for service required</t>
  </si>
  <si>
    <t>Perform Genexpert machine Preventive maintenance
Perform Genexpert machine Calibration for module 1 and 3 for troubleshooting</t>
  </si>
  <si>
    <t>https://www.jotform.com/uploads/macarewecare/222927978372067/5545842213106149246/5545842213106149246_signature_28.png</t>
  </si>
  <si>
    <t>https://www.jotform.com/uploads/macarewecare/222927978372067/5545842213106149246/5545842213106149246_signature_31.png</t>
  </si>
  <si>
    <t>Purok 2, San Teodoro, Bunawan</t>
  </si>
  <si>
    <t xml:space="preserve">ASSAY: Xpert MTB/RIF, COUNT: 975
ASSAY: Xpert MTB/RIF Ultra, COUNT: 3715
</t>
  </si>
  <si>
    <t>Module A2 was found E2032</t>
  </si>
  <si>
    <t>Done reporting module A2</t>
  </si>
  <si>
    <t>Troubleshooting and documentation of Module A2
Replacing module A3 with SN: 804866 to SN: 870956
Replacing module A4 with SN: 210016522 to SN: 870963</t>
  </si>
  <si>
    <t>3 modules working and 1 module for replacement</t>
  </si>
  <si>
    <t>https://www.jotform.com/uploads/macarewecare/222927978372067/5545822093697754474/5545822093697754474_signature_28.png</t>
  </si>
  <si>
    <t>https://www.jotform.com/uploads/macarewecare/222927978372067/5545822093697754474/5545822093697754474_signature_31.png</t>
  </si>
  <si>
    <t>Rizal Street, Zamboanga City, Zamboanga del sur</t>
  </si>
  <si>
    <t>teresitaflores99@yahoo.com</t>
  </si>
  <si>
    <t>Module Replacement, Preventive maintenence</t>
  </si>
  <si>
    <t>https://www.jotform.com/uploads/macarewecare/222927978372067/5545801416271058918/5545801416271058918_signature_28.png</t>
  </si>
  <si>
    <t>Teresita J. Flores</t>
  </si>
  <si>
    <t>https://www.jotform.com/uploads/macarewecare/222927978372067/5545801416271058918/5545801416271058918_signature_31.png</t>
  </si>
  <si>
    <t>Clean Surface Area, Cartridge Bay, Plunger Rod, Fan Filters and Icore Lenses</t>
  </si>
  <si>
    <t>https://www.jotform.com/uploads/macarewecare/222927978372067/5545759298423346244/5545759298423346244_signature_28.png</t>
  </si>
  <si>
    <t>https://www.jotform.com/uploads/macarewecare/222927978372067/5545759298423346244/5545759298423346244_signature_31.png</t>
  </si>
  <si>
    <t>Juan Luna Morong Bataan</t>
  </si>
  <si>
    <t xml:space="preserve">ASSAY: Xpert MTB/RIF, COUNT: 129
ASSAY: Xpert MTB/RIF Ultra, COUNT: 245
</t>
  </si>
  <si>
    <t>Due for Calibrtion</t>
  </si>
  <si>
    <t>-Performed surface cleaning
-Performed cleaning of cartridge bay,icore,plunger rod and filter
-Xpercheck application update to 1.5a
-Performed calibration
-Generate reports
-Archived test results
-Performed functionality test</t>
  </si>
  <si>
    <t>Unit is operational except A1 for replacement</t>
  </si>
  <si>
    <t>A1:754382 failed xpertcheck, for reporting</t>
  </si>
  <si>
    <t>4 Xpertcheck kit</t>
  </si>
  <si>
    <t>https://www.jotform.com/uploads/macarewecare/222927978372067/5545746996583151321/5545746996583151321_signature_28.png</t>
  </si>
  <si>
    <t>Lielyn Lim</t>
  </si>
  <si>
    <t>https://www.jotform.com/uploads/macarewecare/222927978372067/5545746996583151321/5545746996583151321_signature_31.png</t>
  </si>
  <si>
    <t>https://www.jotform.com/uploads/macarewecare/222927978372067/5545738314466472651/5545738314466472651_signature_28.png</t>
  </si>
  <si>
    <t>https://www.jotform.com/uploads/macarewecare/222927978372067/5545738314466472651/5545738314466472651_signature_31.png</t>
  </si>
  <si>
    <t>TB-Lab</t>
  </si>
  <si>
    <t xml:space="preserve">ASSAY: Xpert HPV, COUNT: 1
ASSAY: Xpert MTB/RIF, COUNT: 4
ASSAY: Xpert MTB/RIF Ultra, COUNT: 16
ASSAY: Xpert HIV-1 Viral Load, COUNT: 67
</t>
  </si>
  <si>
    <t>https://www.jotform.com/uploads/macarewecare/222927978372067/5545726603101656267/5545726603101656267_signature_28.png</t>
  </si>
  <si>
    <t>https://www.jotform.com/uploads/macarewecare/222927978372067/5545726603101656267/5545726603101656267_signature_31.png</t>
  </si>
  <si>
    <t>https://www.jotform.com/uploads/macarewecare/222927978372067/5545726533102042266/5545726533102042266_signature_28.png</t>
  </si>
  <si>
    <t>https://www.jotform.com/uploads/macarewecare/222927978372067/5545726533102042266/5545726533102042266_signature_31.png</t>
  </si>
  <si>
    <t>Perform Genexpert machine Preventive maintenance
Replace Genexpert CPU SN: *CPH0520F08599* with new CPU SN:*CPH0322F32916*</t>
  </si>
  <si>
    <t>Lenovo ThinkCentre</t>
  </si>
  <si>
    <t>SN: *CPH0322F32916*</t>
  </si>
  <si>
    <t>https://www.jotform.com/uploads/macarewecare/222927978372067/5545725493104506628/5545725493104506628_signature_28.png</t>
  </si>
  <si>
    <t>https://www.jotform.com/uploads/macarewecare/222927978372067/5545725493104506628/5545725493104506628_signature_31.png</t>
  </si>
  <si>
    <t xml:space="preserve">ASSAY: Xpert MTB/RIF Ultra, COUNT: 1803
ASSAY: Xpert MTB/RIF, COUNT: 745
ASSAY: Xpert HPV, COUNT: 31
ASSAY: Xpert HBV VL, COUNT: 30
ASSAY: Xpert HIV-1 Viral Load, COUNT: 129
</t>
  </si>
  <si>
    <t>All modules passed the annual calibration</t>
  </si>
  <si>
    <t>https://www.jotform.com/uploads/macarewecare/222927978372067/5545724593109344517/5545724593109344517_signature_28.png</t>
  </si>
  <si>
    <t>https://www.jotform.com/uploads/macarewecare/222927978372067/5545724593109344517/5545724593109344517_signature_31.png</t>
  </si>
  <si>
    <t>cebutbreferencelab@gmail.com</t>
  </si>
  <si>
    <t>New LCD monitor installation</t>
  </si>
  <si>
    <t>LCD monitor: ThinkVision</t>
  </si>
  <si>
    <t>ThinkVision S22e-20 Flat panel monitor</t>
  </si>
  <si>
    <t>Sn V5FRK606      MTM (Model) 62C6-KAT1US</t>
  </si>
  <si>
    <t>https://www.jotform.com/uploads/macarewecare/222927978372067/5545718524611135755/5545718524611135755_signature_28.png</t>
  </si>
  <si>
    <t>JOE FER ARES</t>
  </si>
  <si>
    <t>https://www.jotform.com/uploads/macarewecare/222927978372067/5545718524611135755/5545718524611135755_signature_31.png</t>
  </si>
  <si>
    <t>CRMC-TB lab</t>
  </si>
  <si>
    <t>efmd@crmc.doh.gov.ph</t>
  </si>
  <si>
    <t>Install Genexpert machine 10C
Install Genexpert CPU
Install Genexpert Monitor
install Genexpert UPS
Install Genexpert wireless mouse W/ mousepad and keyboard 
Install MTB-XDR assay</t>
  </si>
  <si>
    <t>Printer not installed due to enduser choice</t>
  </si>
  <si>
    <t>https://www.jotform.com/uploads/macarewecare/222927978372067/5545653723101687343/5545653723101687343_signature_28.png</t>
  </si>
  <si>
    <t>https://www.jotform.com/uploads/macarewecare/222927978372067/5545653723101687343/5545653723101687343_signature_31.png</t>
  </si>
  <si>
    <t>L. Cortez St. Concepcion Tarlac</t>
  </si>
  <si>
    <t xml:space="preserve">ASSAY: Xpert MTB/RIF, COUNT: 224
ASSAY: Xpert MTB/RIF Ultra, COUNT: 862
ASSAY: Xpert HIV-1 Viral Load, COUNT: 16
</t>
  </si>
  <si>
    <t>B4 module replacement
B2:4004, Valve motion
B1: temperature error</t>
  </si>
  <si>
    <t>Preventive maintenance
Troubleshooting
Module replacement</t>
  </si>
  <si>
    <t>Performed preventive maintenance
Check-up moduoe B1 and B2
Performed module replacement
Gathered reports
Performed functionality test</t>
  </si>
  <si>
    <t>Unit is operational except B1 and B2, bustedR220 and C142 for module B2</t>
  </si>
  <si>
    <t>B1 and B2 for reporting</t>
  </si>
  <si>
    <t>https://www.jotform.com/uploads/macarewecare/222927978372067/5545180185313502931/5545180185313502931_signature_28.png</t>
  </si>
  <si>
    <t>https://www.jotform.com/uploads/macarewecare/222927978372067/5545180185313502931/5545180185313502931_signature_31.png</t>
  </si>
  <si>
    <t>Sto. Domingo 2nd Municipal Compound Capas, Tarlac</t>
  </si>
  <si>
    <t xml:space="preserve">ASSAY: Xpert MTB/RIF, COUNT: 259
ASSAY: Xpert MTB/RIF Ultra, COUNT: 1278
</t>
  </si>
  <si>
    <t>Due for calibration
UPS not charging</t>
  </si>
  <si>
    <t>Calibration 
Preventive maintenance
Troubleshooting</t>
  </si>
  <si>
    <t>Performed surface cleaning
Cleaning of plunger rod,icore,filter and cartridge bay
Archived test results
Xpertcheck application update to 1.5a
Performed calibration
Gathered reports
Performed functionality test
Troubleshoot UPS</t>
  </si>
  <si>
    <t>Unit is operational except A1,A2,A4, Defective UPS not charging</t>
  </si>
  <si>
    <t>A1,A2,A4 failed xpertcheck for reporting. UPS battery for replacement</t>
  </si>
  <si>
    <t>7 xpertcheck kits</t>
  </si>
  <si>
    <t>https://www.jotform.com/uploads/macarewecare/222927978372067/5545180185317270574/5545180185317270574_signature_28.png</t>
  </si>
  <si>
    <t>Afrilyn M. Roque</t>
  </si>
  <si>
    <t>https://www.jotform.com/uploads/macarewecare/222927978372067/5545180185317270574/5545180185317270574_signature_31.png</t>
  </si>
  <si>
    <t>https://www.jotform.com/uploads/macarewecare/222927978372067/5545119513101367413/5545119513101367413_signature_28.png</t>
  </si>
  <si>
    <t>https://www.jotform.com/uploads/macarewecare/222927978372067/5545119513101367413/5545119513101367413_signature_31.png</t>
  </si>
  <si>
    <t>Nasugbu</t>
  </si>
  <si>
    <t>B1 Lost Communication Error</t>
  </si>
  <si>
    <t>Reliability Test
Reset Gateway Board</t>
  </si>
  <si>
    <t>Performed Maintenance
Run Reliability Test in Module 1
Checked Gateway-Module Cable
Reset Gateway Board
Checked Ultrasonic Cable if intact
Generate Reports</t>
  </si>
  <si>
    <t>Monitor display is violet because of CPU VGA output</t>
  </si>
  <si>
    <t>https://www.jotform.com/uploads/macarewecare/222927978372067/5545075691214060636/5545075691214060636_signature_28.png</t>
  </si>
  <si>
    <t>https://www.jotform.com/uploads/macarewecare/222927978372067/5545075691214060636/5545075691214060636_signature_31.png</t>
  </si>
  <si>
    <t>Kapt. Pepe subd. Cabanatuan City, Nueva Ecija</t>
  </si>
  <si>
    <t xml:space="preserve">ASSAY: Xpert MTB/RIF, COUNT: 860
ASSAY: Xpert MTB/RIF Ultra, COUNT: 1855
</t>
  </si>
  <si>
    <t>Module 1 Temperature Error</t>
  </si>
  <si>
    <t>Performed Xpertcheck on Module 1</t>
  </si>
  <si>
    <t>Xpertcheck result on A1 - Passed</t>
  </si>
  <si>
    <t>https://www.jotform.com/uploads/macarewecare/222927978372067/5545038737413626016/5545038737413626016_signature_28.png</t>
  </si>
  <si>
    <t>Lea samson</t>
  </si>
  <si>
    <t>https://www.jotform.com/uploads/macarewecare/222927978372067/5545038737413626016/5545038737413626016_signature_31.png</t>
  </si>
  <si>
    <t>Replace service module</t>
  </si>
  <si>
    <t xml:space="preserve">ASSAY: Xpert HPV, COUNT: 181
ASSAY: Xpert MTB/RIF, COUNT: 1037
ASSAY: Xpert MTB/RIF Ultra, COUNT: 1094
</t>
  </si>
  <si>
    <t>-Replace service module installed in slot A3 SN: 651877 with another service module SN: 708880</t>
  </si>
  <si>
    <t>Waiting for module A3 allocation. Pull-out module with SN 651877</t>
  </si>
  <si>
    <t>https://www.jotform.com/uploads/macarewecare/222927978372067/5545003923418302906/5545003923418302906_signature_28.png</t>
  </si>
  <si>
    <t>https://www.jotform.com/uploads/macarewecare/222927978372067/5545003923418302906/5545003923418302906_signature_31.png</t>
  </si>
  <si>
    <t>angonomholab@gmail.com</t>
  </si>
  <si>
    <t xml:space="preserve">ASSAY: Xpert MTB/RIF, COUNT: 63
ASSAY: Xpert MTB/RIF Ultra, COUNT: 762
</t>
  </si>
  <si>
    <t>Module A4/719514 has error 2014, 1001, 1002</t>
  </si>
  <si>
    <t>Run XpertCheck on module A4</t>
  </si>
  <si>
    <t>Performed maintenance 
Run XpertCheck on module A4
Generated reports 
Run reliability test</t>
  </si>
  <si>
    <t>Modules A1 and A3 operational. Modules A2 and A4 not operational. Module A4 passed the XpertCheck but under observation.</t>
  </si>
  <si>
    <t>Used 1 cartridge of XpertCheck. Module A2 reported already.</t>
  </si>
  <si>
    <t>https://www.jotform.com/uploads/macarewecare/222927978372067/5544996541212171731/5544996541212171731_signature_28.png</t>
  </si>
  <si>
    <t>Rose Sienna T.Blanco</t>
  </si>
  <si>
    <t>https://www.jotform.com/uploads/macarewecare/222927978372067/5544996541212171731/5544996541212171731_signature_31.png</t>
  </si>
  <si>
    <t xml:space="preserve">ASSAY: Xpert MTB/RIF, COUNT: 40
ASSAY: Xpert MTB/RIF Ultra, COUNT: 357
ASSAY: Xpert HIV-1 Viral Load, COUNT: 172
</t>
  </si>
  <si>
    <t>CPU not operational.</t>
  </si>
  <si>
    <t>Reseat internal connections</t>
  </si>
  <si>
    <t>Performed maintenance 
Reseat internal connections 
Generated reports</t>
  </si>
  <si>
    <t>UPS has no  backup. CPU not operational. Recommend to replace CPU and UPS.</t>
  </si>
  <si>
    <t>https://www.jotform.com/uploads/macarewecare/222927978372067/5544996471217852438/5544996471217852438_signature_28.png</t>
  </si>
  <si>
    <t>https://www.jotform.com/uploads/macarewecare/222927978372067/5544996471217852438/5544996471217852438_signature_31.png</t>
  </si>
  <si>
    <t>Brgy. Moonwalk</t>
  </si>
  <si>
    <t xml:space="preserve">ASSAY: Xpert MTB/RIF, COUNT: 210
ASSAY: Xpert MTB/RIF Ultra, COUNT: 1018
</t>
  </si>
  <si>
    <t>https://www.jotform.com/uploads/macarewecare/222927978372067/5544996461218038208/5544996461218038208_signature_28.png</t>
  </si>
  <si>
    <t>https://www.jotform.com/uploads/macarewecare/222927978372067/5544996461218038208/5544996461218038208_signature_31.png</t>
  </si>
  <si>
    <t>Santa Cruz</t>
  </si>
  <si>
    <t>covidlab@jrrmmc.gov.ph</t>
  </si>
  <si>
    <t xml:space="preserve">ASSAY: Xpert HPV, COUNT: 979
ASSAY: Xpert SARS-CoV-2, COUNT: 3558
</t>
  </si>
  <si>
    <t>Modules D1 to D4 for replacement.</t>
  </si>
  <si>
    <t>Old:
D1/210069230, D2/210069253,D3/210069288, D4/210069289
New:
D1/21002843, D2/210010680, D3/210017264, D4/210037681</t>
  </si>
  <si>
    <t>DR# 9672</t>
  </si>
  <si>
    <t>https://www.jotform.com/uploads/macarewecare/222927978372067/5544996461219547637/5544996461219547637_signature_28.png</t>
  </si>
  <si>
    <t>https://www.jotform.com/uploads/macarewecare/222927978372067/5544996461219547637/5544996461219547637_signature_31.png</t>
  </si>
  <si>
    <t>San Dionisio</t>
  </si>
  <si>
    <t xml:space="preserve">ASSAY: Xpert MTB/RIF, COUNT: 388
ASSAY: Xpert MTB/RIF Ultra, COUNT: 1069
</t>
  </si>
  <si>
    <t>Performed maintenance 
Cleaned cartridge bay, plunger rod, icore, Checked filter
Generated reports</t>
  </si>
  <si>
    <t>https://www.jotform.com/uploads/macarewecare/222927978372067/5544996471216296138/5544996471216296138_signature_28.png</t>
  </si>
  <si>
    <t>https://www.jotform.com/uploads/macarewecare/222927978372067/5544996471216296138/5544996471216296138_signature_31.png</t>
  </si>
  <si>
    <t xml:space="preserve">ASSAY: Xpert MTB/RIF, COUNT: 78
ASSAY: Xpert MTB/RIF Ultra, COUNT: 939
</t>
  </si>
  <si>
    <t>Module D1  and D4 for re-xpertcheck</t>
  </si>
  <si>
    <t>Run XpertCheck on module D1 and D4</t>
  </si>
  <si>
    <t>Performed maintenance 
Run XpertCheck on module D1 and D4
Generated reports</t>
  </si>
  <si>
    <t>Modules D2 and D3 operational. Module D1 and D4 not operational.</t>
  </si>
  <si>
    <t>Used 2 XpertCheck cartridges.</t>
  </si>
  <si>
    <t>https://www.jotform.com/uploads/macarewecare/222927978372067/5544996471217493653/5544996471217493653_signature_28.png</t>
  </si>
  <si>
    <t>https://www.jotform.com/uploads/macarewecare/222927978372067/5544996471217493653/5544996471217493653_signature_31.png</t>
  </si>
  <si>
    <t>For Preventive Maintenance and Modules Encounter Errors</t>
  </si>
  <si>
    <t>Clean Surface Area, Cartridge Bay, Plunger Rod and fan filters
Generate IQR, Assay Stat and System Log
Archived Data test results</t>
  </si>
  <si>
    <t>Modules Encounter Error 2097, reported to JotForm for further assessment of the Product Application Specialist</t>
  </si>
  <si>
    <t>https://www.jotform.com/uploads/macarewecare/222927978372067/5544988458429236417/5544988458429236417_signature_28.png</t>
  </si>
  <si>
    <t>https://www.jotform.com/uploads/macarewecare/222927978372067/5544988458429236417/5544988458429236417_signature_31.png</t>
  </si>
  <si>
    <t>Modules Encounter Error 2097, files needed sent to Jotform and Product Application Specialist Team for further assessment</t>
  </si>
  <si>
    <t>https://www.jotform.com/uploads/macarewecare/222927978372067/5544987188423840687/5544987188423840687_signature_28.png</t>
  </si>
  <si>
    <t>https://www.jotform.com/uploads/macarewecare/222927978372067/5544987188423840687/5544987188423840687_signature_31.png</t>
  </si>
  <si>
    <t>https://www.jotform.com/uploads/macarewecare/222927978372067/5544987068427652686/5544987068427652686_signature_28.png</t>
  </si>
  <si>
    <t>https://www.jotform.com/uploads/macarewecare/222927978372067/5544987068427652686/5544987068427652686_signature_31.png</t>
  </si>
  <si>
    <t xml:space="preserve">ASSAY: Xpert BCR-ABL Ultra, COUNT: 184
ASSAY: Xpert CT/NG, COUNT: 5
ASSAY: Others, COUNT: 26
ASSAY: Xpert HPV, COUNT: 9
ASSAY: Xpert MTB/RIF, COUNT: 401
ASSAY: Xpert HCV VL, COUNT: 33
</t>
  </si>
  <si>
    <t>Gxxvi</t>
  </si>
  <si>
    <t>For maintenance, disabled a1,a2,a3,b1,b3,b4,c1,c2,c3,c4</t>
  </si>
  <si>
    <t>cleared unit,filter,plunger rod,cartridge bay,i core,gathered reports,performed visual check,test run unit</t>
  </si>
  <si>
    <t>Maintenance and checkup</t>
  </si>
  <si>
    <t>A4 and b2 in use</t>
  </si>
  <si>
    <t>https://www.jotform.com/uploads/macarewecare/222927978372067/5544805291211845564/5544805291211845564_signature_28.png</t>
  </si>
  <si>
    <t>https://www.jotform.com/uploads/macarewecare/222927978372067/5544805291211845564/5544805291211845564_signature_31.png</t>
  </si>
  <si>
    <t>https://www.jotform.com/uploads/macarewecare/222927978372067/5544804971215813910/5544804971215813910_signature_28.png</t>
  </si>
  <si>
    <t>https://www.jotform.com/uploads/macarewecare/222927978372067/5544804971215813910/5544804971215813910_signature_31.png</t>
  </si>
  <si>
    <t xml:space="preserve">ASSAY: Xpert BCR-ABL Ultra, COUNT: 219
ASSAY: Others, COUNT: 14
ASSAY: Xpert HBV VL, COUNT: 29
ASSAY: Xpert HPV, COUNT: 111
ASSAY: Xpert MTB/RIF, COUNT: 1186
ASSAY: Xpert SARS-CoV-2, COUNT: 18206
ASSAY: Xpert HCV VL, COUNT: 6
ASSAY: Xpert SARS-CoV-2, COUNT: 9
</t>
  </si>
  <si>
    <t>A2 D1,D4 encounter temperature error</t>
  </si>
  <si>
    <t>A2,D1,D4 disable</t>
  </si>
  <si>
    <t>https://www.jotform.com/uploads/macarewecare/222927978372067/5544804501215977832/5544804501215977832_signature_28.png</t>
  </si>
  <si>
    <t>https://www.jotform.com/uploads/macarewecare/222927978372067/5544804501215977832/5544804501215977832_signature_31.png</t>
  </si>
  <si>
    <t>https://www.jotform.com/uploads/macarewecare/222927978372067/5544804341218005663/5544804341218005663_signature_28.png</t>
  </si>
  <si>
    <t>https://www.jotform.com/uploads/macarewecare/222927978372067/5544804341218005663/5544804341218005663_signature_31.png</t>
  </si>
  <si>
    <t>Casimiro ynares sr.memorial hospital</t>
  </si>
  <si>
    <t>Becco rd. Burgos Rodriguez rizal</t>
  </si>
  <si>
    <t xml:space="preserve">ASSAY: Xpert MTB/RIF, COUNT: 64
ASSAY: Xpert MTB/RIF Ultra, COUNT: 349
</t>
  </si>
  <si>
    <t>Performed xpertcheck, cleaned unit,filter,plunger rod,cartridge bay,i core,gathered reports,performed visual check,test run unit</t>
  </si>
  <si>
    <t>https://www.jotform.com/uploads/macarewecare/222927978372067/5544803261218756222/5544803261218756222_signature_28.png</t>
  </si>
  <si>
    <t>https://www.jotform.com/uploads/macarewecare/222927978372067/5544803261218756222/5544803261218756222_signature_31.png</t>
  </si>
  <si>
    <t>https://www.jotform.com/uploads/macarewecare/222927978372067/5544802591217356133/5544802591217356133_signature_28.png</t>
  </si>
  <si>
    <t>https://www.jotform.com/uploads/macarewecare/222927978372067/5544802591217356133/5544802591217356133_signature_31.png</t>
  </si>
  <si>
    <t>Esperanza health center</t>
  </si>
  <si>
    <t>Teresa st sta mesa manila</t>
  </si>
  <si>
    <t xml:space="preserve">ASSAY: Xpert HPV, COUNT: 23
ASSAY: Xpert MTB/RIF, COUNT: 276
ASSAY: Xpert MTB/RIF Ultra, COUNT: 1025
</t>
  </si>
  <si>
    <t>A1,A2 failed xpertcheck,  A3,A4 passed xpertcheck</t>
  </si>
  <si>
    <t>https://www.jotform.com/uploads/macarewecare/222927978372067/5544801431216641295/5544801431216641295_signature_28.png</t>
  </si>
  <si>
    <t>Victor Agdamag jr.</t>
  </si>
  <si>
    <t>https://www.jotform.com/uploads/macarewecare/222927978372067/5544801431216641295/5544801431216641295_signature_31.png</t>
  </si>
  <si>
    <t>https://www.jotform.com/uploads/macarewecare/222927978372067/5544800891219368039/5544800891219368039_signature_28.png</t>
  </si>
  <si>
    <t>https://www.jotform.com/uploads/macarewecare/222927978372067/5544800891219368039/5544800891219368039_signature_31.png</t>
  </si>
  <si>
    <t>D.santiago st sampaloc,manila</t>
  </si>
  <si>
    <t xml:space="preserve">ASSAY: Xpert MTB/RIF, COUNT: 249
ASSAY: Xpert MTB/RIF Ultra, COUNT: 941
</t>
  </si>
  <si>
    <t>For maintenance and xpertcheck A3 and A4 reported already</t>
  </si>
  <si>
    <t>A3 and A4 reported already A4 passed</t>
  </si>
  <si>
    <t>A1 failed xpertcheck</t>
  </si>
  <si>
    <t>https://www.jotform.com/uploads/macarewecare/222927978372067/5544800281215559617/5544800281215559617_signature_28.png</t>
  </si>
  <si>
    <t>Flory fe Paas</t>
  </si>
  <si>
    <t>https://www.jotform.com/uploads/macarewecare/222927978372067/5544800281215559617/5544800281215559617_signature_31.png</t>
  </si>
  <si>
    <t>https://www.jotform.com/uploads/macarewecare/222927978372067/5544800001214841532/5544800001214841532_signature_28.png</t>
  </si>
  <si>
    <t>https://www.jotform.com/uploads/macarewecare/222927978372067/5544800001214841532/5544800001214841532_signature_31.png</t>
  </si>
  <si>
    <t>B3 continous 1002,,for maintenance,dirty filter</t>
  </si>
  <si>
    <t>Maintenance and check up</t>
  </si>
  <si>
    <t>B3 disable, unable b1,</t>
  </si>
  <si>
    <t>B1,b2,b4 ready to use</t>
  </si>
  <si>
    <t>https://www.jotform.com/uploads/macarewecare/222927978372067/5544785341212083210/5544785341212083210_signature_28.png</t>
  </si>
  <si>
    <t>https://www.jotform.com/uploads/macarewecare/222927978372067/5544785341212083210/5544785341212083210_signature_31.png</t>
  </si>
  <si>
    <t>https://www.jotform.com/uploads/macarewecare/222927978372067/5544785001213209933/5544785001213209933_signature_28.png</t>
  </si>
  <si>
    <t>https://www.jotform.com/uploads/macarewecare/222927978372067/5544785001213209933/5544785001213209933_signature_31.png</t>
  </si>
  <si>
    <t xml:space="preserve">ASSAY: Xpert BCR-ABL Ultra, COUNT: 2
ASSAY: Xpert MTB/RIF, COUNT: 16
ASSAY: Xpert MTB/RIF Ultra, COUNT: 2197
ASSAY: Xpert SARS-CoV-2, COUNT: 6462
ASSAY: Xpert SARS-CoV-2, COUNT: 18
</t>
  </si>
  <si>
    <t>For module replacement b1 210069274 - 210002752</t>
  </si>
  <si>
    <t>900-0650rs 10 colors modules</t>
  </si>
  <si>
    <t>https://www.jotform.com/uploads/macarewecare/222927978372067/5544783951211793525/5544783951211793525_signature_28.png</t>
  </si>
  <si>
    <t>https://www.jotform.com/uploads/macarewecare/222927978372067/5544783951211793525/5544783951211793525_signature_31.png</t>
  </si>
  <si>
    <t>https://www.jotform.com/uploads/macarewecare/222927978372067/5544783561217908360/5544783561217908360_signature_28.png</t>
  </si>
  <si>
    <t>https://www.jotform.com/uploads/macarewecare/222927978372067/5544783561217908360/5544783561217908360_signature_31.png</t>
  </si>
  <si>
    <t>https://www.jotform.com/uploads/macarewecare/222927978372067/5544783011213405285/5544783011213405285_signature_28.png</t>
  </si>
  <si>
    <t>https://www.jotform.com/uploads/macarewecare/222927978372067/5544783011213405285/5544783011213405285_signature_31.png</t>
  </si>
  <si>
    <t>Batasan hills super health center</t>
  </si>
  <si>
    <t>Batasan qc</t>
  </si>
  <si>
    <t xml:space="preserve">ASSAY: Xpert HPV, COUNT: 710
ASSAY: Xpert MTB/RIF Ultra, COUNT: 1837
</t>
  </si>
  <si>
    <t>For module replacement  and maintenance  D1 672771 - 622105</t>
  </si>
  <si>
    <t>G5243</t>
  </si>
  <si>
    <t>https://www.jotform.com/uploads/macarewecare/222927978372067/5544782561214087456/5544782561214087456_signature_28.png</t>
  </si>
  <si>
    <t>Kevin Orlando Cabuso</t>
  </si>
  <si>
    <t>https://www.jotform.com/uploads/macarewecare/222927978372067/5544782561214087456/5544782561214087456_signature_31.png</t>
  </si>
  <si>
    <t>https://www.jotform.com/uploads/macarewecare/222927978372067/5544782251219897645/5544782251219897645_signature_28.png</t>
  </si>
  <si>
    <t>https://www.jotform.com/uploads/macarewecare/222927978372067/5544782251219897645/5544782251219897645_signature_31.png</t>
  </si>
  <si>
    <t>Wenceslao health center</t>
  </si>
  <si>
    <t>Culiat qc</t>
  </si>
  <si>
    <t xml:space="preserve">ASSAY: Xpert HPV, COUNT: 199
ASSAY: Xpert MTB/RIF, COUNT: 199
ASSAY: Xpert MTB/RIF Ultra, COUNT: 1782
</t>
  </si>
  <si>
    <t>Perf9rmed xpertcheck,cleaned unit,filter,plunger rod,cartridge bay,i core,gathered reports,performed visual check,test run unit</t>
  </si>
  <si>
    <t>https://www.jotform.com/uploads/macarewecare/222927978372067/5544765191211174386/5544765191211174386_signature_28.png</t>
  </si>
  <si>
    <t>Amelia F. Clemente</t>
  </si>
  <si>
    <t>https://www.jotform.com/uploads/macarewecare/222927978372067/5544765191211174386/5544765191211174386_signature_31.png</t>
  </si>
  <si>
    <t>https://www.jotform.com/uploads/macarewecare/222927978372067/5544764901218063911/5544764901218063911_signature_28.png</t>
  </si>
  <si>
    <t>https://www.jotform.com/uploads/macarewecare/222927978372067/5544764901218063911/5544764901218063911_signature_31.png</t>
  </si>
  <si>
    <t>eamcdots@gmail.com</t>
  </si>
  <si>
    <t xml:space="preserve">ASSAY: Xpert HPV, COUNT: 154
ASSAY: Xpert MTB/RIF, COUNT: 940
ASSAY: Xpert MTB/RIF Ultra, COUNT: 3071
</t>
  </si>
  <si>
    <t>For module replacement  c1 611387 - 688470 c4 661735 - 661016</t>
  </si>
  <si>
    <t>Performed module replacement cleared unit,filter,plunger rod,cartridge bay,i core,gathered reports,performed visual check,test run unit</t>
  </si>
  <si>
    <t>Opearational</t>
  </si>
  <si>
    <t>900 gx</t>
  </si>
  <si>
    <t>https://www.jotform.com/uploads/macarewecare/222927978372067/5544762941219368202/5544762941219368202_signature_28.png</t>
  </si>
  <si>
    <t>rose ann parnes</t>
  </si>
  <si>
    <t>https://www.jotform.com/uploads/macarewecare/222927978372067/5544762941219368202/5544762941219368202_signature_31.png</t>
  </si>
  <si>
    <t>https://www.jotform.com/uploads/macarewecare/222927978372067/5544762541213560727/5544762541213560727_signature_28.png</t>
  </si>
  <si>
    <t>https://www.jotform.com/uploads/macarewecare/222927978372067/5544762541213560727/5544762541213560727_signature_31.png</t>
  </si>
  <si>
    <t>Tondo medical center</t>
  </si>
  <si>
    <t>Tondo manila</t>
  </si>
  <si>
    <t xml:space="preserve">ASSAY: Xpert HPV, COUNT: 315
ASSAY: Xpert MTB/RIF, COUNT: 194
ASSAY: Xpert MTB/RIF Ultra, COUNT: 479
ASSAY: Xpert SARS-CoV-2, COUNT: 4176
ASSAY: Xpert HIV-1 Viral Load, COUNT: 6
</t>
  </si>
  <si>
    <t>Cpu unable to boot</t>
  </si>
  <si>
    <t>Check ram,reset ram cleaned terminal and transfer another slot location, check hdd cable and reset</t>
  </si>
  <si>
    <t>https://www.jotform.com/uploads/macarewecare/222927978372067/5544751261215020770/5544751261215020770_signature_28.png</t>
  </si>
  <si>
    <t>Analyn N. Facto</t>
  </si>
  <si>
    <t>https://www.jotform.com/uploads/macarewecare/222927978372067/5544751261215020770/5544751261215020770_signature_31.png</t>
  </si>
  <si>
    <t>TLY Anglo</t>
  </si>
  <si>
    <t>2F/#715 3F Anglo Bldg Shaw Blvd Wak wack Greenhills, Mandaluyong City</t>
  </si>
  <si>
    <t>Unit relocation</t>
  </si>
  <si>
    <t>gestoya@loveyourself.ph</t>
  </si>
  <si>
    <t xml:space="preserve">ASSAY: Xpert MTB/RIF Ultra, COUNT: 223
ASSAY: Xpert HIV-1 Viral Load, COUNT: 1174
</t>
  </si>
  <si>
    <t>Gx-4</t>
  </si>
  <si>
    <t>None, Unit relocation.</t>
  </si>
  <si>
    <t>Unit relocation and setup.</t>
  </si>
  <si>
    <t>Performed unit relocation.</t>
  </si>
  <si>
    <t>https://www.jotform.com/uploads/macarewecare/222927978372067/5543111341315101124/5543111341315101124_signature_28.png</t>
  </si>
  <si>
    <t>Gem anthony Estoya</t>
  </si>
  <si>
    <t>https://www.jotform.com/uploads/macarewecare/222927978372067/5543111341315101124/5543111341315101124_signature_31.png</t>
  </si>
  <si>
    <t>Module A4 and H4 for replacement</t>
  </si>
  <si>
    <t>Replaced modules A4 and H4 (690624 &gt; 210050828, 684147 &gt; 672198)</t>
  </si>
  <si>
    <t>Replaced defective modules , performed preventive maintenance cleaning</t>
  </si>
  <si>
    <t>Genexpert Module 6-color</t>
  </si>
  <si>
    <t>DR# 9661</t>
  </si>
  <si>
    <t>https://www.jotform.com/uploads/macarewecare/222927978372067/5542595723203176810/5542595723203176810_signature_28.png</t>
  </si>
  <si>
    <t>Maria Teresita Baclig</t>
  </si>
  <si>
    <t>https://www.jotform.com/uploads/macarewecare/222927978372067/5542595723203176810/5542595723203176810_signature_31.png</t>
  </si>
  <si>
    <t xml:space="preserve">ASSAY: Xpert MTB/RIF, COUNT: 263
ASSAY: Xpert MTB/RIF Ultra, COUNT: 535
</t>
  </si>
  <si>
    <t>Unit is operational except C3 and C4</t>
  </si>
  <si>
    <t>https://www.jotform.com/uploads/macarewecare/222927978372067/5542564565316396781/5542564565316396781_signature_28.png</t>
  </si>
  <si>
    <t>https://www.jotform.com/uploads/macarewecare/222927978372067/5542564565316396781/5542564565316396781_signature_31.png</t>
  </si>
  <si>
    <t xml:space="preserve">ASSAY: Xpert MTB/RIF, COUNT: 130
ASSAY: Xpert MTB/RIF Ultra, COUNT: 935
</t>
  </si>
  <si>
    <t>Clean Surface Area, Cartridge Bay, Plunger Rod and Icore Lenses
Generate IQR, Assay Stat and System Log
Archived Data test results
Reseat, printer cartridge</t>
  </si>
  <si>
    <t>Module 3 encounter temp error, error will be sent to Cepheid for further Assessment
Printer always having paper jam, even after reseating cartridge and checking for blockages</t>
  </si>
  <si>
    <t>https://www.jotform.com/uploads/macarewecare/222927978372067/5542468866915460607/5542468866915460607_signature_28.png</t>
  </si>
  <si>
    <t>MARY ANN P MONTEDERAMOS, RMT</t>
  </si>
  <si>
    <t>https://www.jotform.com/uploads/macarewecare/222927978372067/5542468866915460607/5542468866915460607_signature_31.png</t>
  </si>
  <si>
    <t xml:space="preserve">ASSAY: Xpert MTB/RIF, COUNT: 207
ASSAY: Xpert MTB/RIF Ultra, COUNT: 1060
</t>
  </si>
  <si>
    <t>Unit is operational except A1 and A2</t>
  </si>
  <si>
    <t>https://www.jotform.com/uploads/macarewecare/222927978372067/5542320914216009264/5542320914216009264_signature_28.png</t>
  </si>
  <si>
    <t>https://www.jotform.com/uploads/macarewecare/222927978372067/5542320914216009264/5542320914216009264_signature_31.png</t>
  </si>
  <si>
    <t xml:space="preserve">ASSAY: Xpert MTB/RIF, COUNT: 94
ASSAY: Xpert MTB/RIF Ultra, COUNT: 547
</t>
  </si>
  <si>
    <t>Defective UPS( Sudden shutdown)</t>
  </si>
  <si>
    <t>Test UPS Battery voltage 
Performed functionality test</t>
  </si>
  <si>
    <t>Unit is operational, Deffective UPS for reporting</t>
  </si>
  <si>
    <t>https://www.jotform.com/uploads/macarewecare/222927978372067/5542320914219270222/5542320914219270222_signature_28.png</t>
  </si>
  <si>
    <t>Bernadette Ann Lazaro</t>
  </si>
  <si>
    <t>https://www.jotform.com/uploads/macarewecare/222927978372067/5542320914219270222/5542320914219270222_signature_31.png</t>
  </si>
  <si>
    <t xml:space="preserve">ASSAY: Xpert MTB/RIF, COUNT: 204
ASSAY: Xpert MTB/RIF Ultra, COUNT: 1024
ASSAY: Xpert HIV-1 Viral Load, COUNT: 26
</t>
  </si>
  <si>
    <t>A1 and A4 moduoe replacement</t>
  </si>
  <si>
    <t>https://www.jotform.com/uploads/macarewecare/222927978372067/5542320924211003676/5542320924211003676_signature_28.png</t>
  </si>
  <si>
    <t>https://www.jotform.com/uploads/macarewecare/222927978372067/5542320924211003676/5542320924211003676_signature_31.png</t>
  </si>
  <si>
    <t xml:space="preserve">ASSAY: Xpert MTB/RIF, COUNT: 81
ASSAY: Xpert MTB/RIF Ultra, COUNT: 870
ASSAY: Xpert HIV-1 Viral Load, COUNT: 13
</t>
  </si>
  <si>
    <t>B2 For replacement</t>
  </si>
  <si>
    <t>Module replacement
Prevenyive maintenance</t>
  </si>
  <si>
    <t>https://www.jotform.com/uploads/macarewecare/222927978372067/5542320924214613733/5542320924214613733_signature_28.png</t>
  </si>
  <si>
    <t>https://www.jotform.com/uploads/macarewecare/222927978372067/5542320924214613733/5542320924214613733_signature_31.png</t>
  </si>
  <si>
    <t>teody_santua@yahoo.com</t>
  </si>
  <si>
    <t xml:space="preserve">ASSAY: Xpert MTB/RIF, COUNT: 136
ASSAY: Xpert MTB/RIF Ultra, COUNT: 227
</t>
  </si>
  <si>
    <t>Xpertcheck - A1, A3 - Passed</t>
  </si>
  <si>
    <t>https://www.jotform.com/uploads/macarewecare/222927978372067/5542309857412390373/5542309857412390373_signature_28.png</t>
  </si>
  <si>
    <t>Teodorico S. Santua</t>
  </si>
  <si>
    <t>https://www.jotform.com/uploads/macarewecare/222927978372067/5542309857412390373/5542309857412390373_signature_31.png</t>
  </si>
  <si>
    <t>https://www.jotform.com/uploads/macarewecare/222927978372067/5542309447413092533/5542309447413092533_signature_28.png</t>
  </si>
  <si>
    <t>https://www.jotform.com/uploads/macarewecare/222927978372067/5542309447413092533/5542309447413092533_signature_31.png</t>
  </si>
  <si>
    <t>Don jose, Dinas, Zamboanga Del sur</t>
  </si>
  <si>
    <t>genosograce92@gmail.com</t>
  </si>
  <si>
    <t>System unit malfunction</t>
  </si>
  <si>
    <t>Pulled out the said System unit for troubleshooting.</t>
  </si>
  <si>
    <t>Used different ram slots, replaced CMOS battery reconnect all wires inside the System unit.</t>
  </si>
  <si>
    <t>Under repair/ Troubleshooting</t>
  </si>
  <si>
    <t>System unit pulled out</t>
  </si>
  <si>
    <t>https://www.jotform.com/uploads/macarewecare/222927978372067/5542301908615390568/5542301908615390568_signature_28.png</t>
  </si>
  <si>
    <t>Grace Geñoso</t>
  </si>
  <si>
    <t>https://www.jotform.com/uploads/macarewecare/222927978372067/5542301908615390568/5542301908615390568_signature_31.png</t>
  </si>
  <si>
    <t xml:space="preserve">ASSAY: Xpert MTB/RIF, COUNT: 595
ASSAY: Xpert MTB/RIF Ultra, COUNT: 974
</t>
  </si>
  <si>
    <t>Module B1 - H/W failure</t>
  </si>
  <si>
    <t>Module B1 are within calibrated parameters. Module B1 and B3 are operational.</t>
  </si>
  <si>
    <t>Used one XPC cartridge from stock in office. Waiting for module B2 and B4 module allocation.</t>
  </si>
  <si>
    <t>https://www.jotform.com/uploads/macarewecare/222927978372067/5542300705019928708/5542300705019928708_signature_28.png</t>
  </si>
  <si>
    <t>https://www.jotform.com/uploads/macarewecare/222927978372067/5542300705019928708/5542300705019928708_signature_31.png</t>
  </si>
  <si>
    <t>MacArthur Hwy, San Fernando Pampanga</t>
  </si>
  <si>
    <t>peachmobi@gmail.com</t>
  </si>
  <si>
    <t>Installed Genexpert Workstation
Installed Genexpert
Installed Barcode Scanner and Printer
Installed Drivers
Performed Maintenance
Gathered Reports
Performed Functionality Test</t>
  </si>
  <si>
    <t>https://www.jotform.com/uploads/macarewecare/222927978372067/5542290057414671620/5542290057414671620_signature_28.png</t>
  </si>
  <si>
    <t>Phoebe Cruz</t>
  </si>
  <si>
    <t>https://www.jotform.com/uploads/macarewecare/222927978372067/5542290057414671620/5542290057414671620_signature_31.png</t>
  </si>
  <si>
    <t>concepcionalfonso2@gmail.com</t>
  </si>
  <si>
    <t xml:space="preserve">ASSAY: Xpert HBV VL, COUNT: 62
ASSAY: Xpert HPV, COUNT: 1
ASSAY: Xpert HCV VL, COUNT: 29
ASSAY: Xpert HIV-1 Viral Load, COUNT: 1198
</t>
  </si>
  <si>
    <t>Laptop Keyboard not working, Barcode scanner sometimes not working</t>
  </si>
  <si>
    <t>Calibrate the bar code scanner</t>
  </si>
  <si>
    <t>Module Replacement - 684514 - 210003967</t>
  </si>
  <si>
    <t>Genexpert Module - 210003967</t>
  </si>
  <si>
    <t>https://www.jotform.com/uploads/macarewecare/222927978372067/5542290057416115325/5542290057416115325_signature_28.png</t>
  </si>
  <si>
    <t>CONCEPCION G. ALFONSO</t>
  </si>
  <si>
    <t>https://www.jotform.com/uploads/macarewecare/222927978372067/5542290057416115325/5542290057416115325_signature_31.png</t>
  </si>
  <si>
    <t>ajerahmee@gmail.com</t>
  </si>
  <si>
    <t xml:space="preserve">ASSAY: Xpert MTB/RIF, COUNT: 906
ASSAY: Xpert MTB/RIF Ultra, COUNT: 443
</t>
  </si>
  <si>
    <t>Defective module 3 sn210003928</t>
  </si>
  <si>
    <t>Clean fan filter, replace module 3</t>
  </si>
  <si>
    <t>New module installed module 3 sn210049371</t>
  </si>
  <si>
    <t>https://www.jotform.com/uploads/macarewecare/222927978372067/5542287076375901030/5542287076375901030_signature_28.png</t>
  </si>
  <si>
    <t>Jerahmee Anticamara</t>
  </si>
  <si>
    <t>https://www.jotform.com/uploads/macarewecare/222927978372067/5542287076375901030/5542287076375901030_signature_31.png</t>
  </si>
  <si>
    <t>https://www.jotform.com/uploads/macarewecare/222927978372067/5542180405315244746/5542180405315244746_signature_28.png</t>
  </si>
  <si>
    <t>https://www.jotform.com/uploads/macarewecare/222927978372067/5542180405315244746/5542180405315244746_signature_31.png</t>
  </si>
  <si>
    <t>https://www.jotform.com/uploads/macarewecare/222927978372067/5542180405317211530/5542180405317211530_signature_28.png</t>
  </si>
  <si>
    <t>https://www.jotform.com/uploads/macarewecare/222927978372067/5542180405317211530/5542180405317211530_signature_31.png</t>
  </si>
  <si>
    <t>Naval Biliran</t>
  </si>
  <si>
    <t>TBdots</t>
  </si>
  <si>
    <t xml:space="preserve">ASSAY: Xpert MTB/RIF, COUNT: 684
ASSAY: Xpert MTB/RIF Ultra, COUNT: 598
ASSAY: Xpert HIV-1 Viral Load, COUNT: 10
</t>
  </si>
  <si>
    <t>-Module replacement B3 SN 890236 - 803273(new)
-Performed preventive maintenance
-Performed functionality test 
-Generate reports</t>
  </si>
  <si>
    <t>Unit is Operational.
Module B1 Disabled (Temperature Error)</t>
  </si>
  <si>
    <t>GeneXpert Module 6 Color SN 803273</t>
  </si>
  <si>
    <t>https://www.jotform.com/uploads/macarewecare/222927978372067/5541820211527220742/5541820211527220742_signature_28.png</t>
  </si>
  <si>
    <t>GHELAND M. CORTO</t>
  </si>
  <si>
    <t>https://www.jotform.com/uploads/macarewecare/222927978372067/5541820211527220742/5541820211527220742_signature_31.png</t>
  </si>
  <si>
    <t>apabellan.pbsp@gmail.com</t>
  </si>
  <si>
    <t>GX-4 (10 colors)</t>
  </si>
  <si>
    <t>Installation of GeneXpert XDR Machine and its peripherals</t>
  </si>
  <si>
    <t>Unit is operational.
Desktop CPU Information
CPU Name: ThinkCenter M70s SFF
Cepheid S/N: CPH0322F32974
Cepheid P/N: 800-0560GXDX
Model No.:11DBS07100</t>
  </si>
  <si>
    <t>https://www.jotform.com/uploads/macarewecare/222927978372067/5541602044895128967/5541602044895128967_signature_28.png</t>
  </si>
  <si>
    <t>https://www.jotform.com/uploads/macarewecare/222927978372067/5541602044895128967/5541602044895128967_signature_31.png</t>
  </si>
  <si>
    <t>INSTALLATION
REPAIR
Upgrage OS to 5.1</t>
  </si>
  <si>
    <t xml:space="preserve">ASSAY: Xpert MTB/RIF, COUNT: 1260
ASSAY: , COUNT: 1056
ASSAY: Xpert HIV-1 Viral Load, COUNT: 30
</t>
  </si>
  <si>
    <t>Defective module 2 sn 675213</t>
  </si>
  <si>
    <t>Update OS version to 5.1</t>
  </si>
  <si>
    <t>New module 2 sn700309</t>
  </si>
  <si>
    <t>https://www.jotform.com/uploads/macarewecare/222927978372067/5541586389174750871/5541586389174750871_signature_28.png</t>
  </si>
  <si>
    <t>https://www.jotform.com/uploads/macarewecare/222927978372067/5541586389174750871/5541586389174750871_signature_31.png</t>
  </si>
  <si>
    <t>PEO Compound, Sindalan, City of San Fernando, Pampanga</t>
  </si>
  <si>
    <t>jtmromero19@gmail.com</t>
  </si>
  <si>
    <t xml:space="preserve">ASSAY: Xpert MTB/RIF Ultra, COUNT: 0
ASSAY: Xpert HPV, COUNT: 0
</t>
  </si>
  <si>
    <t>Installed CPU
Installed Printer
Installed Monitor
Installed Genexpert
Installed Ups, barcode scanner
Performed Maintenance
Gathered Reports
Performed Functionality Test</t>
  </si>
  <si>
    <t>Genexpert Package with AVR and Printer</t>
  </si>
  <si>
    <t>https://www.jotform.com/uploads/macarewecare/222927978372067/5541558309814272430/5541558309814272430_signature_28.png</t>
  </si>
  <si>
    <t>John Terrence Romero</t>
  </si>
  <si>
    <t>https://www.jotform.com/uploads/macarewecare/222927978372067/5541558309814272430/5541558309814272430_signature_31.png</t>
  </si>
  <si>
    <t>MacArthur Hwy, San Fernando, Pampanga</t>
  </si>
  <si>
    <t xml:space="preserve">ASSAY: Xpert HPV, COUNT: 2
ASSAY: Xpert MTB/RIF, COUNT: 399
ASSAY: Xpert MTB/RIF Ultra, COUNT: 1762
</t>
  </si>
  <si>
    <t>Module Replacement - 677185 - 721058</t>
  </si>
  <si>
    <t>https://www.jotform.com/uploads/macarewecare/222927978372067/5541558319813497017/5541558319813497017_signature_28.png</t>
  </si>
  <si>
    <t>Phoebe L. Cruz</t>
  </si>
  <si>
    <t>https://www.jotform.com/uploads/macarewecare/222927978372067/5541558319813497017/5541558319813497017_signature_31.png</t>
  </si>
  <si>
    <t>Poblacion, Nabunturan Davao De Oro</t>
  </si>
  <si>
    <t>danneth_pcanastra@yahoo.com</t>
  </si>
  <si>
    <t xml:space="preserve">ASSAY: Xpert MTB/RIF, COUNT: 325
ASSAY: Xpert MTB/RIF Ultra, COUNT: 691
</t>
  </si>
  <si>
    <t>For Preventive Maintenance
Multiple Error at Module B3</t>
  </si>
  <si>
    <t>Clean Surface Area, Cartridge Bay, Plunger Rod, Fan Filters and Icore Lenses
Generate IQR, Assay Stat and System Log
Archived Data test results
Peform Functionality Test on Module B3</t>
  </si>
  <si>
    <t>Module B3 S/N: 910202 Encounter Multiple Temperature Related Error, Datas will be sent to Cepheid for Further Assessment
3 Modules are functional</t>
  </si>
  <si>
    <t>https://www.jotform.com/uploads/macarewecare/222927978372067/5541519556949861113/5541519556949861113_signature_28.png</t>
  </si>
  <si>
    <t>Danneth P. Canastra</t>
  </si>
  <si>
    <t>https://www.jotform.com/uploads/macarewecare/222927978372067/5541519556949861113/5541519556949861113_signature_31.png</t>
  </si>
  <si>
    <t>General Emilio Aguinaldo</t>
  </si>
  <si>
    <t>Module 3 with temperature error</t>
  </si>
  <si>
    <t>696058-&gt;653731</t>
  </si>
  <si>
    <t>https://www.jotform.com/uploads/macarewecare/222927978372067/5541506378313603695/5541506378313603695_signature_28.png</t>
  </si>
  <si>
    <t>https://www.jotform.com/uploads/macarewecare/222927978372067/5541506378313603695/5541506378313603695_signature_31.png</t>
  </si>
  <si>
    <t>Paliparan CHO IV</t>
  </si>
  <si>
    <t>Paliparan, Dasmariñas</t>
  </si>
  <si>
    <t xml:space="preserve">ASSAY: Xpert HPV, COUNT: 2
ASSAY: Xpert MTB/RIF Ultra, COUNT: 1571
</t>
  </si>
  <si>
    <t>Modules failed in XpertCheck</t>
  </si>
  <si>
    <t>Replaced 3 Modules
Performed Maintenance
Generate reports</t>
  </si>
  <si>
    <t>210070791, 806695, 910289 -&gt; 731304, 731947, 750228</t>
  </si>
  <si>
    <t>https://www.jotform.com/uploads/macarewecare/222927978372067/5541506038313304059/5541506038313304059_signature_28.png</t>
  </si>
  <si>
    <t>https://www.jotform.com/uploads/macarewecare/222927978372067/5541506038313304059/5541506038313304059_signature_31.png</t>
  </si>
  <si>
    <t>Alabang-Zapote Rd., Almanza Uno</t>
  </si>
  <si>
    <t>kmbutingan@gmail.com</t>
  </si>
  <si>
    <t xml:space="preserve">ASSAY: Xpert MTB/RIF Ultra, COUNT: 1302
ASSAY: Xpert HIV-1 Viral Load, COUNT: 188
</t>
  </si>
  <si>
    <t>2 modules for replacement, 2 modules are operational</t>
  </si>
  <si>
    <t>XC: 2 modules passed</t>
  </si>
  <si>
    <t>DR 9464</t>
  </si>
  <si>
    <t>https://www.jotform.com/uploads/macarewecare/222927978372067/5541506038314698746/5541506038314698746_signature_28.png</t>
  </si>
  <si>
    <t>Alyssa Kiana Ysabel B. Rovillos</t>
  </si>
  <si>
    <t>https://www.jotform.com/uploads/macarewecare/222927978372067/5541506038314698746/5541506038314698746_signature_31.png</t>
  </si>
  <si>
    <t>Alabang</t>
  </si>
  <si>
    <t xml:space="preserve">ASSAY: Xpert HPV, COUNT: 20
ASSAY: Xpert MTB/RIF Ultra, COUNT: 1194
</t>
  </si>
  <si>
    <t>1 module reported, 3 passed</t>
  </si>
  <si>
    <t>XC: 3 modules passed</t>
  </si>
  <si>
    <t>DR 9465</t>
  </si>
  <si>
    <t>https://www.jotform.com/uploads/macarewecare/222927978372067/5541506038316039361/5541506038316039361_signature_28.png</t>
  </si>
  <si>
    <t>https://www.jotform.com/uploads/macarewecare/222927978372067/5541506038316039361/5541506038316039361_signature_31.png</t>
  </si>
  <si>
    <t>Bulihan, Silang</t>
  </si>
  <si>
    <t>Module 2 has temperature error</t>
  </si>
  <si>
    <t>Replaced module 2
Performed Maintenance
Generate Reports</t>
  </si>
  <si>
    <t>3 modules are operational, 1 module for reporting</t>
  </si>
  <si>
    <t>861471-&gt;626198</t>
  </si>
  <si>
    <t>https://www.jotform.com/uploads/macarewecare/222927978372067/5541506038316944196/5541506038316944196_signature_28.png</t>
  </si>
  <si>
    <t>https://www.jotform.com/uploads/macarewecare/222927978372067/5541506038316944196/5541506038316944196_signature_31.png</t>
  </si>
  <si>
    <t>West Zamora, Pandacan</t>
  </si>
  <si>
    <t>Maintenance
XpertCheck</t>
  </si>
  <si>
    <t>XpertCheck: 2 modules failed, 2 modules passed</t>
  </si>
  <si>
    <t>DR 9474</t>
  </si>
  <si>
    <t>https://www.jotform.com/uploads/macarewecare/222927978372067/5541506038311697346/5541506038311697346_signature_28.png</t>
  </si>
  <si>
    <t>https://www.jotform.com/uploads/macarewecare/222927978372067/5541506038311697346/5541506038311697346_signature_31.png</t>
  </si>
  <si>
    <t>San Diego Health Center</t>
  </si>
  <si>
    <t>San Diego St., Manila</t>
  </si>
  <si>
    <t xml:space="preserve">ASSAY: Xpert MTB/RIF Ultra, COUNT: 14
ASSAY: Xpert HIV-1 Viral Load, COUNT: 839
</t>
  </si>
  <si>
    <t>Moduke Replacement</t>
  </si>
  <si>
    <t>B3:210002569-&gt;210078083</t>
  </si>
  <si>
    <t>GeneXpert Module Kit 10-Colors</t>
  </si>
  <si>
    <t>DR 9640</t>
  </si>
  <si>
    <t>https://www.jotform.com/uploads/macarewecare/222927978372067/5541505868314025652/5541505868314025652_signature_28.png</t>
  </si>
  <si>
    <t>https://www.jotform.com/uploads/macarewecare/222927978372067/5541505868314025652/5541505868314025652_signature_31.png</t>
  </si>
  <si>
    <t>Alabang-Zapote Rd.</t>
  </si>
  <si>
    <t xml:space="preserve">ASSAY: Xpert CT/NG, COUNT: 9
ASSAY: Xpert HBV VL, COUNT: 12
ASSAY: Xpert HPV, COUNT: 2
ASSAY: Xpert MTB/RIF Ultra, COUNT: 145
</t>
  </si>
  <si>
    <t>Cleaned Cartridge Bay, Plunger Rod, Icore Lens and Filter
Performed XpertCheck
Generate Reports</t>
  </si>
  <si>
    <t>All Modules Passed the XpertCheck</t>
  </si>
  <si>
    <t>SI# 94797</t>
  </si>
  <si>
    <t>https://www.jotform.com/uploads/macarewecare/222927978372067/5541505868316591246/5541505868316591246_signature_28.png</t>
  </si>
  <si>
    <t>Jimenez, Inger Lia</t>
  </si>
  <si>
    <t>https://www.jotform.com/uploads/macarewecare/222927978372067/5541505868316591246/5541505868316591246_signature_31.png</t>
  </si>
  <si>
    <t>San Nicolas, Manila</t>
  </si>
  <si>
    <t xml:space="preserve">ASSAY: Xpert MTB/RIF Ultra, COUNT: 990
</t>
  </si>
  <si>
    <t>2 modules are operational, 2 modules are defective</t>
  </si>
  <si>
    <t>XC: 2 modules passed, 1 failed</t>
  </si>
  <si>
    <t>DR 9463</t>
  </si>
  <si>
    <t>https://www.jotform.com/uploads/macarewecare/222927978372067/5541505868316703401/5541505868316703401_signature_28.png</t>
  </si>
  <si>
    <t>https://www.jotform.com/uploads/macarewecare/222927978372067/5541505868316703401/5541505868316703401_signature_31.png</t>
  </si>
  <si>
    <t>Pamplona Uno</t>
  </si>
  <si>
    <t>Replaced Monitor
Performed Maintemance
Generate Repors</t>
  </si>
  <si>
    <t>3 modules for replacement, 1 module operational</t>
  </si>
  <si>
    <t>Pulled Out backed-up crolinrmonitor of PBSP</t>
  </si>
  <si>
    <t>https://www.jotform.com/uploads/macarewecare/222927978372067/5541505868317189917/5541505868317189917_signature_28.png</t>
  </si>
  <si>
    <t>https://www.jotform.com/uploads/macarewecare/222927978372067/5541505868317189917/5541505868317189917_signature_31.png</t>
  </si>
  <si>
    <t>De La Salle Health and Science Institue</t>
  </si>
  <si>
    <t>D.Mangubat,Dasmariñas City</t>
  </si>
  <si>
    <t>B1 has temperature errors</t>
  </si>
  <si>
    <t>B1: 802387 -&gt; 643051</t>
  </si>
  <si>
    <t>https://www.jotform.com/uploads/macarewecare/222927978372067/5541505868318795985/5541505868318795985_signature_28.png</t>
  </si>
  <si>
    <t>https://www.jotform.com/uploads/macarewecare/222927978372067/5541505868318795985/5541505868318795985_signature_31.png</t>
  </si>
  <si>
    <t>Lapulapu. City Health office</t>
  </si>
  <si>
    <t>Lapu. Lapu City, Pajo</t>
  </si>
  <si>
    <t>tanyapax@yahoo.com</t>
  </si>
  <si>
    <t xml:space="preserve">ASSAY: Xpert MTB/RIF, COUNT: 1158
</t>
  </si>
  <si>
    <t>Error 4004 valve motion error</t>
  </si>
  <si>
    <t>Replaced new Module 698837</t>
  </si>
  <si>
    <t>Replaced module 688617</t>
  </si>
  <si>
    <t>https://www.jotform.com/uploads/macarewecare/222927978372067/5541474324783737621/5541474324783737621_signature_28.png</t>
  </si>
  <si>
    <t>https://www.jotform.com/uploads/macarewecare/222927978372067/5541474324783737621/5541474324783737621_signature_31.png</t>
  </si>
  <si>
    <t>shenarossmujer@gmail.com</t>
  </si>
  <si>
    <t xml:space="preserve">ASSAY: Xpert CT/NG, COUNT: 4
ASSAY: Xpert HPV, COUNT: 9
ASSAY: Xpert MTB/RIF, COUNT: 42
ASSAY: Xpert MTB/RIF Ultra, COUNT: 456
</t>
  </si>
  <si>
    <t>Performed relocation from Main Laboratory to Molecular Laboratory.
Generated reports.</t>
  </si>
  <si>
    <t>https://www.jotform.com/uploads/macarewecare/222927978372067/5541413464936598475/5541413464936598475_signature_28.png</t>
  </si>
  <si>
    <t>SHENAROSS E. MUJER</t>
  </si>
  <si>
    <t>https://www.jotform.com/uploads/macarewecare/222927978372067/5541413464936598475/5541413464936598475_signature_31.png</t>
  </si>
  <si>
    <t>No display,suspect cpu board defective</t>
  </si>
  <si>
    <t>Performed troubleshooting, restart cpu board error no display still occur, test spare cpu board for testing,after replace cpu board machine appear display and system initialization completed</t>
  </si>
  <si>
    <t>Trouble shooting</t>
  </si>
  <si>
    <t>Cpu board</t>
  </si>
  <si>
    <t>https://www.jotform.com/uploads/macarewecare/222927978372067/5541412853734179339/5541412853734179339_signature_28.png</t>
  </si>
  <si>
    <t>https://www.jotform.com/uploads/macarewecare/222927978372067/5541412853734179339/5541412853734179339_signature_31.png</t>
  </si>
  <si>
    <t>https://www.jotform.com/uploads/macarewecare/222927978372067/5541412503737512421/5541412503737512421_signature_28.png</t>
  </si>
  <si>
    <t>https://www.jotform.com/uploads/macarewecare/222927978372067/5541412503737512421/5541412503737512421_signature_31.png</t>
  </si>
  <si>
    <t xml:space="preserve">ASSAY: Xpert MTB/RIF, COUNT: 47
ASSAY: Xpert MTB/RIF Ultra, COUNT: 304
</t>
  </si>
  <si>
    <t>Replaced barcode</t>
  </si>
  <si>
    <t>Barcodr Scanner SN: 19255010556824</t>
  </si>
  <si>
    <t>G 5250</t>
  </si>
  <si>
    <t>https://www.jotform.com/uploads/macarewecare/222927978372067/5541392575426818964/5541392575426818964_signature_28.png</t>
  </si>
  <si>
    <t>https://www.jotform.com/uploads/macarewecare/222927978372067/5541392575426818964/5541392575426818964_signature_31.png</t>
  </si>
  <si>
    <t>https://www.jotform.com/uploads/macarewecare/222927978372067/5541392455428914652/5541392455428914652_signature_28.png</t>
  </si>
  <si>
    <t>https://www.jotform.com/uploads/macarewecare/222927978372067/5541392455428914652/5541392455428914652_signature_31.png</t>
  </si>
  <si>
    <t>https://www.jotform.com/uploads/macarewecare/222927978372067/5541389425428648914/5541389425428648914_signature_28.png</t>
  </si>
  <si>
    <t>https://www.jotform.com/uploads/macarewecare/222927978372067/5541389425428648914/5541389425428648914_signature_31.png</t>
  </si>
  <si>
    <t>Taft avenue Manila</t>
  </si>
  <si>
    <t xml:space="preserve">ASSAY: Xpert SARS-CoV-2, COUNT: 20245
</t>
  </si>
  <si>
    <t>Unit for preventive maintenance.
For troubleshooting of problematic modules.</t>
  </si>
  <si>
    <t>Performed preventive maintenance and troubleshooting.
Generated reports.</t>
  </si>
  <si>
    <t>Unit is operational. Modules C1 (783584) has temp error and C2 (672269) has valve error. C1 and C2 are confirmed replacement. Re-enabled modules D2 and D4 after preventive maintenance.</t>
  </si>
  <si>
    <t>https://www.jotform.com/uploads/macarewecare/222927978372067/5540691739124965476/5540691739124965476_signature_28.png</t>
  </si>
  <si>
    <t>Michelle Ann C. Sanchez</t>
  </si>
  <si>
    <t>https://www.jotform.com/uploads/macarewecare/222927978372067/5540691739124965476/5540691739124965476_signature_31.png</t>
  </si>
  <si>
    <t>Philippine Redcross Zamboanga</t>
  </si>
  <si>
    <t>Pettite barracks, Zamboanga City</t>
  </si>
  <si>
    <t>Blood Collection Section</t>
  </si>
  <si>
    <t>Macare 9000</t>
  </si>
  <si>
    <t>Machine is available</t>
  </si>
  <si>
    <t>https://www.jotform.com/uploads/macarewecare/222927978372067/5540690894991607708/5540690894991607708_signature_28.png</t>
  </si>
  <si>
    <t>Concesa M Pangan</t>
  </si>
  <si>
    <t>https://www.jotform.com/uploads/macarewecare/222927978372067/5540690894991607708/5540690894991607708_signature_31.png</t>
  </si>
  <si>
    <t>Adela Serra Ty Memorial Hospital</t>
  </si>
  <si>
    <t xml:space="preserve">ASSAY: Xpert MTB/RIF Ultra, COUNT: 4033
</t>
  </si>
  <si>
    <t>XPC Result
Monitor does not power on</t>
  </si>
  <si>
    <t>1 module passed and 3 modules service required
2 modules working as of now
Temporary Monitor has been used</t>
  </si>
  <si>
    <t>https://www.jotform.com/uploads/macarewecare/222927978372067/5540681895402230537/5540681895402230537_signature_28.png</t>
  </si>
  <si>
    <t>https://www.jotform.com/uploads/macarewecare/222927978372067/5540681895402230537/5540681895402230537_signature_31.png</t>
  </si>
  <si>
    <t>UP Medical Research Laboratory</t>
  </si>
  <si>
    <t xml:space="preserve">ASSAY: Xpert MTB/RIF, COUNT: 179
ASSAY: Xpert MTB/RIF Ultra, COUNT: 55
ASSAY: Xpert HIV-1 Viral Load, COUNT: 263
</t>
  </si>
  <si>
    <t>PL-8207</t>
  </si>
  <si>
    <t>https://www.jotform.com/uploads/macarewecare/222927978372067/5540680399122895639/5540680399122895639_signature_28.png</t>
  </si>
  <si>
    <t>https://www.jotform.com/uploads/macarewecare/222927978372067/5540680399122895639/5540680399122895639_signature_31.png</t>
  </si>
  <si>
    <t>Taft Ave.</t>
  </si>
  <si>
    <t>UP Medircal Research Laboratory</t>
  </si>
  <si>
    <t>Unit for preventive maintenance.
Unit for Xpertcheck</t>
  </si>
  <si>
    <t>Unit is operational. Module B4 (806707) is service required.</t>
  </si>
  <si>
    <t>PL#9949</t>
  </si>
  <si>
    <t>https://www.jotform.com/uploads/macarewecare/222927978372067/5540661889121673275/5540661889121673275_signature_28.png</t>
  </si>
  <si>
    <t>https://www.jotform.com/uploads/macarewecare/222927978372067/5540661889121673275/5540661889121673275_signature_31.png</t>
  </si>
  <si>
    <t>https://www.jotform.com/uploads/macarewecare/222927978372067/5540661869128238210/5540661869128238210_signature_28.png</t>
  </si>
  <si>
    <t>https://www.jotform.com/uploads/macarewecare/222927978372067/5540661869128238210/5540661869128238210_signature_31.png</t>
  </si>
  <si>
    <t>Q.C.</t>
  </si>
  <si>
    <t>Unit is operational. A1 hardware failed. A2 &amp; A4 service required. XC performed on 2-15-22 by Noel Floresca.</t>
  </si>
  <si>
    <t>https://www.jotform.com/uploads/macarewecare/222927978372067/5540629721213334547/5540629721213334547_signature_28.png</t>
  </si>
  <si>
    <t>https://www.jotform.com/uploads/macarewecare/222927978372067/5540629721213334547/5540629721213334547_signature_31.png</t>
  </si>
  <si>
    <t>benjieramos1975@gmail.com</t>
  </si>
  <si>
    <t xml:space="preserve">ASSAY: Xpert MTB/RIF, COUNT: 130
ASSAY: Xpert MTB/RIF Ultra, COUNT: 319
</t>
  </si>
  <si>
    <t>Module B4 for Service Required</t>
  </si>
  <si>
    <t>Perform Genexpert machine Preventive maintenance
Perform Genexpert machine Calibration/ExpertCheck</t>
  </si>
  <si>
    <t>https://www.jotform.com/uploads/macarewecare/222927978372067/5540607122916710761/5540607122916710761_signature_28.png</t>
  </si>
  <si>
    <t>Biengie E. Ramos</t>
  </si>
  <si>
    <t>https://www.jotform.com/uploads/macarewecare/222927978372067/5540607122916710761/5540607122916710761_signature_31.png</t>
  </si>
  <si>
    <t>JARO ILOILO CITY</t>
  </si>
  <si>
    <t xml:space="preserve">ASSAY: Xpert HPV, COUNT: HPV 16_18-45 : 15
ASSAY: Xpert HPV, COUNT: HPV HR_16_18-45 : 247
</t>
  </si>
  <si>
    <t>COLLECT IQR, SYSTEM LOG, AND ASSAY STAT</t>
  </si>
  <si>
    <t>PERFORM CLEANING AND PM OF GX EQUIPMENT</t>
  </si>
  <si>
    <t>https://www.jotform.com/uploads/macarewecare/222927978372067/5540559579367083632/5540559579367083632_signature_28.png</t>
  </si>
  <si>
    <t>https://www.jotform.com/uploads/macarewecare/222927978372067/5540559579367083632/5540559579367083632_signature_31.png</t>
  </si>
  <si>
    <t>AT1000VA</t>
  </si>
  <si>
    <t>AT1000181128ST0073</t>
  </si>
  <si>
    <t>Unit for repair.</t>
  </si>
  <si>
    <t>Battery
SN: 459865, 459872</t>
  </si>
  <si>
    <t>https://www.jotform.com/uploads/macarewecare/222927978372067/5540554331213922340/5540554331213922340_signature_28.png</t>
  </si>
  <si>
    <t>https://www.jotform.com/uploads/macarewecare/222927978372067/5540554331213922340/5540554331213922340_signature_31.png</t>
  </si>
  <si>
    <t>RPT-1025AP</t>
  </si>
  <si>
    <t>Battery
SN: 459843, 459870</t>
  </si>
  <si>
    <t>https://www.jotform.com/uploads/macarewecare/222927978372067/5540549991217192709/5540549991217192709_signature_28.png</t>
  </si>
  <si>
    <t>https://www.jotform.com/uploads/macarewecare/222927978372067/5540549991217192709/5540549991217192709_signature_31.png</t>
  </si>
  <si>
    <t>lorinemmendiola@gmail.com</t>
  </si>
  <si>
    <t xml:space="preserve">ASSAY: Xpert MTB/RIF, COUNT: 185
ASSAY: Xpert MTB/RIF Ultra, COUNT: 1371
</t>
  </si>
  <si>
    <t>Unit is operational. A1, A4 insufficient kit. A2 passed. A3 failed.</t>
  </si>
  <si>
    <t>https://www.jotform.com/uploads/macarewecare/222927978372067/5540547041216675375/5540547041216675375_signature_28.png</t>
  </si>
  <si>
    <t>https://www.jotform.com/uploads/macarewecare/222927978372067/5540547041216675375/5540547041216675375_signature_31.png</t>
  </si>
  <si>
    <t>E Lopez St Jaro Iloilo</t>
  </si>
  <si>
    <t xml:space="preserve">ASSAY: Xpert MTB/RIF Ultra, COUNT: 76
</t>
  </si>
  <si>
    <t>COLLECT IQR,SYSTEM LOG, AND ASSAY</t>
  </si>
  <si>
    <t>PERFORM CLEANING AND PREVENTIVE MAINTENANCE OF GX EQUIPMENT</t>
  </si>
  <si>
    <t>https://www.jotform.com/uploads/macarewecare/222927978372067/5540543689364633247/5540543689364633247_signature_28.png</t>
  </si>
  <si>
    <t>https://www.jotform.com/uploads/macarewecare/222927978372067/5540543689364633247/5540543689364633247_signature_31.png</t>
  </si>
  <si>
    <t>https://www.jotform.com/uploads/macarewecare/222927978372067/5540542989367624164/5540542989367624164_signature_28.png</t>
  </si>
  <si>
    <t>https://www.jotform.com/uploads/macarewecare/222927978372067/5540542989367624164/5540542989367624164_signature_31.png</t>
  </si>
  <si>
    <t xml:space="preserve">ASSAY: Others, COUNT: NA
</t>
  </si>
  <si>
    <t>SYSTEM UNIT POWER/BOOT ISSUE</t>
  </si>
  <si>
    <t>-PERFORM TROUBLESHOOTING, CONFIRM SYSTEM UNIT SN:2UA3520VX3</t>
  </si>
  <si>
    <t>SYSTEM UNIT IS DEFECTIVE</t>
  </si>
  <si>
    <t>https://www.jotform.com/uploads/macarewecare/222927978372067/5540531219168135132/5540531219168135132_signature_28.png</t>
  </si>
  <si>
    <t>https://www.jotform.com/uploads/macarewecare/222927978372067/5540531219168135132/5540531219168135132_signature_31.png</t>
  </si>
  <si>
    <t>mymy.cruz0824@gmail.com</t>
  </si>
  <si>
    <t>Preventive Maintenance 
Generate data files</t>
  </si>
  <si>
    <t>https://www.jotform.com/uploads/macarewecare/222927978372067/5540509949277823326/5540509949277823326_signature_28.png</t>
  </si>
  <si>
    <t>Cruz,Michelle Theresa</t>
  </si>
  <si>
    <t>https://www.jotform.com/uploads/macarewecare/222927978372067/5540509949277823326/5540509949277823326_signature_31.png</t>
  </si>
  <si>
    <t>abelongelfie@gmail.com</t>
  </si>
  <si>
    <t xml:space="preserve">ASSAY: Xpert MTB/RIF, COUNT: 226
ASSAY: Xpert MTB/RIF Ultra, COUNT: 57
</t>
  </si>
  <si>
    <t>Replaced defective Module B2 with S/N: 862295 with new Module S/N : 628622</t>
  </si>
  <si>
    <t>https://www.jotform.com/uploads/macarewecare/222927978372067/5540125217113714009/5540125217113714009_signature_28.png</t>
  </si>
  <si>
    <t>Elfie Amor Abelong</t>
  </si>
  <si>
    <t>https://www.jotform.com/uploads/macarewecare/222927978372067/5540125217113714009/5540125217113714009_signature_31.png</t>
  </si>
  <si>
    <t>Maria Reyna - Xavier University Hospital</t>
  </si>
  <si>
    <t>bb.mrxuh@gmail.com</t>
  </si>
  <si>
    <t>Computer BIOS CRC test failed</t>
  </si>
  <si>
    <t>Swap CPU board from other machine to isolate the issue
Replacement of CPU battery
Cleaning of machine</t>
  </si>
  <si>
    <t>Non-operational</t>
  </si>
  <si>
    <t>For replacement all pump rotor roller and for calibration.</t>
  </si>
  <si>
    <t>https://www.jotform.com/uploads/macarewecare/222927978372067/5539939823324744198/5539939823324744198_signature_28.png</t>
  </si>
  <si>
    <t>MARIA REYNA XAVIER UNIVERSITY HOSPITAL INC.</t>
  </si>
  <si>
    <t>https://www.jotform.com/uploads/macarewecare/222927978372067/5539939823324744198/5539939823324744198_signature_31.png</t>
  </si>
  <si>
    <t>https://www.jotform.com/uploads/macarewecare/222927978372067/5539939603323696429/5539939603323696429_signature_28.png</t>
  </si>
  <si>
    <t>https://www.jotform.com/uploads/macarewecare/222927978372067/5539939603323696429/5539939603323696429_signature_31.png</t>
  </si>
  <si>
    <t xml:space="preserve">ASSAY: Xpert SARS-CoV-2, COUNT: 16487
</t>
  </si>
  <si>
    <t>Due for D2 module replacement</t>
  </si>
  <si>
    <t>Preventive maintenance
Repair (Module replacement)</t>
  </si>
  <si>
    <t>https://www.jotform.com/uploads/macarewecare/222927978372067/5539859485712125013/5539859485712125013_signature_28.png</t>
  </si>
  <si>
    <t>https://www.jotform.com/uploads/macarewecare/222927978372067/5539859485712125013/5539859485712125013_signature_31.png</t>
  </si>
  <si>
    <t xml:space="preserve">ASSAY: Xpert MTB/RIF, COUNT: 135
ASSAY: Xpert MTB/RIF Ultra, COUNT: 123
</t>
  </si>
  <si>
    <t>3 modules passed Calibration</t>
  </si>
  <si>
    <t>https://www.jotform.com/uploads/macarewecare/222927978372067/5539859485717661508/5539859485717661508_signature_28.png</t>
  </si>
  <si>
    <t>https://www.jotform.com/uploads/macarewecare/222927978372067/5539859485717661508/5539859485717661508_signature_31.png</t>
  </si>
  <si>
    <t>Preventive maintenance
CALIBRATION</t>
  </si>
  <si>
    <t>All modules passed Calibration, 3 xpertcheck kits</t>
  </si>
  <si>
    <t>https://www.jotform.com/uploads/macarewecare/222927978372067/5539859455712126092/5539859455712126092_signature_28.png</t>
  </si>
  <si>
    <t>https://www.jotform.com/uploads/macarewecare/222927978372067/5539859455712126092/5539859455712126092_signature_31.png</t>
  </si>
  <si>
    <t>Puring Bulo, Sto. Domingo, Nueva Ecija</t>
  </si>
  <si>
    <t xml:space="preserve">ASSAY: Xpert MTB/RIF, COUNT: 214
ASSAY: Xpert MTB/RIF Ultra, COUNT: 730
</t>
  </si>
  <si>
    <t>Xpertcheck - All Modules Passed</t>
  </si>
  <si>
    <t>https://www.jotform.com/uploads/macarewecare/222927978372067/5539806081911612728/5539806081911612728_signature_28.png</t>
  </si>
  <si>
    <t>https://www.jotform.com/uploads/macarewecare/222927978372067/5539806081911612728/5539806081911612728_signature_31.png</t>
  </si>
  <si>
    <t>Q ABETO MANDURRIAO ILOILO CITY</t>
  </si>
  <si>
    <t xml:space="preserve">ASSAY: Others, COUNT: MTB XDR - 1000
</t>
  </si>
  <si>
    <t>-MODULE 3 IS DISABLED DUE TO H/W FAIL</t>
  </si>
  <si>
    <t>https://www.jotform.com/uploads/macarewecare/222927978372067/5539776283314738523/5539776283314738523_signature_28.png</t>
  </si>
  <si>
    <t>https://www.jotform.com/uploads/macarewecare/222927978372067/5539776283314738523/5539776283314738523_signature_31.png</t>
  </si>
  <si>
    <t xml:space="preserve">ASSAY: Xpert MTB/RIF Ultra, COUNT: 5580
ASSAY: Xpert MTB/RIF, COUNT: 921
</t>
  </si>
  <si>
    <t>COLLECT IQR ,SYSTEM,LOG AND ASSAY STAT</t>
  </si>
  <si>
    <t>PERFORM CLEANING AND PM OF GX EQUIPMEMT</t>
  </si>
  <si>
    <t>https://www.jotform.com/uploads/macarewecare/222927978372067/5539772833311742864/5539772833311742864_signature_28.png</t>
  </si>
  <si>
    <t>https://www.jotform.com/uploads/macarewecare/222927978372067/5539772833311742864/5539772833311742864_signature_31.png</t>
  </si>
  <si>
    <t>https://www.jotform.com/uploads/macarewecare/222927978372067/5539769385811931434/5539769385811931434_signature_28.png</t>
  </si>
  <si>
    <t>https://www.jotform.com/uploads/macarewecare/222927978372067/5539769385811931434/5539769385811931434_signature_31.png</t>
  </si>
  <si>
    <t xml:space="preserve">ASSAY: Xpert HPV, COUNT: 1424
ASSAY: Xpert MTB/RIF, COUNT: 193
ASSAY: Xpert MTB/RIF Ultra, COUNT: 1004
ASSAY: Xpert HIV-1 Viral Load, COUNT: 256
</t>
  </si>
  <si>
    <t>MODULE A2 REPLACEMENT</t>
  </si>
  <si>
    <t>-PERFORM MODULE A2 DEF SN:635736 REPLACEMENT WITH NEW SN:914749</t>
  </si>
  <si>
    <t>https://www.jotform.com/uploads/macarewecare/222927978372067/5539768883318323341/5539768883318323341_signature_28.png</t>
  </si>
  <si>
    <t>https://www.jotform.com/uploads/macarewecare/222927978372067/5539768883318323341/5539768883318323341_signature_31.png</t>
  </si>
  <si>
    <t xml:space="preserve">ASSAY: Xpert MTB/RIF, COUNT: 179
ASSAY: Xpert MTB/RIF Ultra, COUNT: 216
</t>
  </si>
  <si>
    <t>Unit is operational excel B2 and B4</t>
  </si>
  <si>
    <t>https://www.jotform.com/uploads/macarewecare/222927978372067/5539748767716571920/5539748767716571920_signature_28.png</t>
  </si>
  <si>
    <t>Ledelina M. Parrera</t>
  </si>
  <si>
    <t>https://www.jotform.com/uploads/macarewecare/222927978372067/5539748767716571920/5539748767716571920_signature_31.png</t>
  </si>
  <si>
    <t xml:space="preserve">ASSAY: Xpert BCR-ABL Ultra, COUNT: 8
ASSAY: Xpert CT/NG, COUNT: 24
ASSAY: Xpert HBV VL, COUNT: 38
ASSAY: Xpert HPV, COUNT: 24
ASSAY: Xpert MTB/RIF Ultra, COUNT: 1205
ASSAY: Xpert HCV VL, COUNT: 12
ASSAY: Xpert HIV-1 Viral Load, COUNT: 16
</t>
  </si>
  <si>
    <t>Unit for preventive maintenance.
For troubleshooting of modules with error.</t>
  </si>
  <si>
    <t>Performed preventive maintenance.
Performed troubleshooting.
Generated reports.</t>
  </si>
  <si>
    <t>Preventive maintenance and teoubleshooting.</t>
  </si>
  <si>
    <t>Unit is operational. Module B1 already reported. Module B3 and B4 has sample related errors. Module. B2 for reporting due to temperature related errors.</t>
  </si>
  <si>
    <t>https://www.jotform.com/uploads/macarewecare/222927978372067/5539739725812610250/5539739725812610250_signature_28.png</t>
  </si>
  <si>
    <t>https://www.jotform.com/uploads/macarewecare/222927978372067/5539739725812610250/5539739725812610250_signature_31.png</t>
  </si>
  <si>
    <t>Johnellamarisbautista@gmail.com</t>
  </si>
  <si>
    <t xml:space="preserve">ASSAY: Xpert MTB/RIF, COUNT: 178
ASSAY: Xpert MTB/RIF Ultra, COUNT: 1061
</t>
  </si>
  <si>
    <t>Perform Genexpert machine Calibration/Xpertcheck</t>
  </si>
  <si>
    <t>https://www.jotform.com/uploads/macarewecare/222927978372067/5539714748464528938/5539714748464528938_signature_28.png</t>
  </si>
  <si>
    <t>Johnella Maris R. Bautista, RMT</t>
  </si>
  <si>
    <t>https://www.jotform.com/uploads/macarewecare/222927978372067/5539714748464528938/5539714748464528938_signature_31.png</t>
  </si>
  <si>
    <t xml:space="preserve">ASSAY: Xpert MTB/RIF, COUNT: 181
ASSAY: Xpert MTB/RIF Ultra, COUNT: 1040
</t>
  </si>
  <si>
    <t>Troubleshoot and repair Genexpert CPU 
Replace CMOS battery</t>
  </si>
  <si>
    <t>Troubleshoot and repair Genexpert CPU
Replace CMOS battery</t>
  </si>
  <si>
    <t>4 operational modules and CPU problem solved</t>
  </si>
  <si>
    <t>https://www.jotform.com/uploads/macarewecare/222927978372067/5539714748467329250/5539714748467329250_signature_28.png</t>
  </si>
  <si>
    <t>https://www.jotform.com/uploads/macarewecare/222927978372067/5539714748467329250/5539714748467329250_signature_31.png</t>
  </si>
  <si>
    <t>vickytholits2022@gmail.com</t>
  </si>
  <si>
    <t xml:space="preserve">ASSAY: Xpert MTB/RIF, COUNT: 262
ASSAY: Xpert MTB/RIF Ultra, COUNT: 367
</t>
  </si>
  <si>
    <t>https://www.jotform.com/uploads/macarewecare/222927978372067/5539693277717404799/5539693277717404799_signature_28.png</t>
  </si>
  <si>
    <t>https://www.jotform.com/uploads/macarewecare/222927978372067/5539693277717404799/5539693277717404799_signature_31.png</t>
  </si>
  <si>
    <t>https://www.jotform.com/uploads/macarewecare/222927978372067/5539691034012233577/5539691034012233577_signature_28.png</t>
  </si>
  <si>
    <t>https://www.jotform.com/uploads/macarewecare/222927978372067/5539691034012233577/5539691034012233577_signature_31.png</t>
  </si>
  <si>
    <t xml:space="preserve">ASSAY: Xpert MTB/RIF, COUNT: 168
ASSAY: Xpert MTB/RIF Ultra, COUNT: 260
</t>
  </si>
  <si>
    <t>https://www.jotform.com/uploads/macarewecare/222927978372067/5539667507716747405/5539667507716747405_signature_28.png</t>
  </si>
  <si>
    <t>Rosalie Tayag</t>
  </si>
  <si>
    <t>https://www.jotform.com/uploads/macarewecare/222927978372067/5539667507716747405/5539667507716747405_signature_31.png</t>
  </si>
  <si>
    <t>https://www.jotform.com/uploads/macarewecare/222927978372067/5539665587713832260/5539665587713832260_signature_28.png</t>
  </si>
  <si>
    <t>https://www.jotform.com/uploads/macarewecare/222927978372067/5539665587713832260/5539665587713832260_signature_31.png</t>
  </si>
  <si>
    <t>datudianemichelle@yahoo.com</t>
  </si>
  <si>
    <t xml:space="preserve">ASSAY: Xpert MTB/RIF, COUNT: 179
ASSAY: Xpert MTB/RIF Ultra, COUNT: 289
</t>
  </si>
  <si>
    <t>Performed surface cleaning
Cleaning of filter,plunger rod,icore and cartridge bay
Xpertcheck application update from 1.4 to 1.5a
Archived test results
Performed calibration
Gathered reports
Performed functionality test</t>
  </si>
  <si>
    <t>Unit is operational except A2:756767</t>
  </si>
  <si>
    <t>Failed Xpertcheck A2 for reporting</t>
  </si>
  <si>
    <t>5 pcs Xpertcheck kits</t>
  </si>
  <si>
    <t>https://www.jotform.com/uploads/macarewecare/222927978372067/5539609521612131711/5539609521612131711_signature_28.png</t>
  </si>
  <si>
    <t>Diane Ersando</t>
  </si>
  <si>
    <t>https://www.jotform.com/uploads/macarewecare/222927978372067/5539609521612131711/5539609521612131711_signature_31.png</t>
  </si>
  <si>
    <t xml:space="preserve">ASSAY: Xpert MTB/RIF, COUNT: 194
</t>
  </si>
  <si>
    <t>UPs problem</t>
  </si>
  <si>
    <t>Install Ups for genexpert machine</t>
  </si>
  <si>
    <t>Install Ups for the 2 GX units</t>
  </si>
  <si>
    <t>Ups</t>
  </si>
  <si>
    <t>https://www.jotform.com/uploads/macarewecare/222927978372067/5539589537224783970/5539589537224783970_signature_28.png</t>
  </si>
  <si>
    <t>https://www.jotform.com/uploads/macarewecare/222927978372067/5539589537224783970/5539589537224783970_signature_31.png</t>
  </si>
  <si>
    <t>St. Luke's Medical center</t>
  </si>
  <si>
    <t xml:space="preserve">ASSAY: Xpert CT/NG, COUNT: 237
ASSAY: Others, COUNT: 4
ASSAY: Xpert HPV, COUNT: 5
ASSAY: Xpert MTB/RIF Ultra, COUNT: 2902
</t>
  </si>
  <si>
    <t>For troubleshooting B3 encounter intermittent h/w failed b4 module encounter 5007</t>
  </si>
  <si>
    <t>Retry b1,b2,b4 failed b3 xpert check</t>
  </si>
  <si>
    <t>Transfer gx 807155 from c.i to micro for temporary use of the machine,</t>
  </si>
  <si>
    <t>https://www.jotform.com/uploads/https:/www.jotform.com/uploads/macarewecare/222927978372067/5539162312777833202/5539162312777833202_signature_28.png</t>
  </si>
  <si>
    <t>LIZA Apo</t>
  </si>
  <si>
    <t>https://www.jotform.com/uploads/https:/www.jotform.com/uploads/macarewecare/222927978372067/5539162312777833202/5539162312777833202_signature_31.png</t>
  </si>
  <si>
    <t>Maria Reyna Xavier University Hospital, Inc.</t>
  </si>
  <si>
    <t>Computer Bios crc test failed</t>
  </si>
  <si>
    <t>Troubleshooting of the cpu board</t>
  </si>
  <si>
    <t>Need replacement of cpu board battery, UPS and replacement of all assay rotors</t>
  </si>
  <si>
    <t>https://www.jotform.com/uploads/macarewecare/222927978372067/5538940521458156882/5538940521458156882_signature_28.png</t>
  </si>
  <si>
    <t>Maria Reyna Xavier University Hospital</t>
  </si>
  <si>
    <t>https://www.jotform.com/uploads/macarewecare/222927978372067/5538940521458156882/5538940521458156882_signature_31.png</t>
  </si>
  <si>
    <t>https://www.jotform.com/uploads/macarewecare/222927978372067/5538940431458476397/5538940431458476397_signature_28.png</t>
  </si>
  <si>
    <t>https://www.jotform.com/uploads/macarewecare/222927978372067/5538940431458476397/5538940431458476397_signature_31.png</t>
  </si>
  <si>
    <t>Poblacion Panabo, Davao Del Norte</t>
  </si>
  <si>
    <t>For Preventive Maintenance
Module B1 reported to have Multiple Error</t>
  </si>
  <si>
    <t>Clean Surface Area, Cartridge Bay, Plunger Rod and Icore Lenses
Generate IQR, Assay Stat and System Log
Archived Data test results
Run XpertCheck on Module B1 and Dummy Test</t>
  </si>
  <si>
    <t>Perform Preventive Maintenance
Troubleshoot Module B1</t>
  </si>
  <si>
    <t>Module B1 Passed the XpertCheck but still Error 4019 exist, Data will be sent to Cepheid for further Assessment</t>
  </si>
  <si>
    <t>https://www.jotform.com/uploads/macarewecare/222927978372067/5538912478125025904/5538912478125025904_signature_28.png</t>
  </si>
  <si>
    <t>https://www.jotform.com/uploads/macarewecare/222927978372067/5538912478125025904/5538912478125025904_signature_31.png</t>
  </si>
  <si>
    <t>https://www.jotform.com/uploads/macarewecare/222927978372067/5538912438127873176/5538912438127873176_signature_28.png</t>
  </si>
  <si>
    <t>https://www.jotform.com/uploads/macarewecare/222927978372067/5538912438127873176/5538912438127873176_signature_31.png</t>
  </si>
  <si>
    <t>System Unit unable to Start</t>
  </si>
  <si>
    <t>Troubleshoot, double check and reconnected all cables and memory inside the system unit</t>
  </si>
  <si>
    <t>Preventive Maintemance, Troubleshoot</t>
  </si>
  <si>
    <t>Unusable</t>
  </si>
  <si>
    <t>System unable to start</t>
  </si>
  <si>
    <t>https://www.jotform.com/uploads/macarewecare/222927978372067/5538906376646409178/5538906376646409178_signature_28.png</t>
  </si>
  <si>
    <t>https://www.jotform.com/uploads/macarewecare/222927978372067/5538906376646409178/5538906376646409178_signature_31.png</t>
  </si>
  <si>
    <t xml:space="preserve">ASSAY: Xpert MTB/RIF, COUNT: 530
ASSAY: Xpert MTB/RIF Ultra, COUNT: 2692
ASSAY: Xpert HIV-1 Viral Load, COUNT: 20
</t>
  </si>
  <si>
    <t>C1 was found error 1002</t>
  </si>
  <si>
    <t>Replacing Module C2 with SN: 210068708 to SN: 695878
Replacing Module C3 with SN: 681208 to SN: 610085
Replacing Module C4 with SN: 738198 to SN: 686369</t>
  </si>
  <si>
    <t>1 module for replacement. 3 modules working</t>
  </si>
  <si>
    <t>There is upcoming module for Module C1.</t>
  </si>
  <si>
    <t>https://www.jotform.com/uploads/macarewecare/222927978372067/5538887333125484094/5538887333125484094_signature_28.png</t>
  </si>
  <si>
    <t>https://www.jotform.com/uploads/macarewecare/222927978372067/5538887333125484094/5538887333125484094_signature_31.png</t>
  </si>
  <si>
    <t xml:space="preserve">ASSAY: Xpert MTB/RIF, COUNT: 175
ASSAY: Xpert MTB/RIF Ultra, COUNT: 2063
ASSAY: Xpert HIV-1 Viral Load, COUNT: 311
</t>
  </si>
  <si>
    <t>Module B2, B3, and B4 for Service Required</t>
  </si>
  <si>
    <t>Replace module B2 SN:696206 with new module SN: 658121
Replace module B3 SN:696210 with new module SN: 676181
Replace module B4 SN:684397 with new module SN: 655764
Genexpert machine Preventive maintenance</t>
  </si>
  <si>
    <t>https://www.jotform.com/uploads/macarewecare/222927978372067/5538859015955192212/5538859015955192212_signature_28.png</t>
  </si>
  <si>
    <t>ANA MARIE GRACE C. EGASAN</t>
  </si>
  <si>
    <t>https://www.jotform.com/uploads/macarewecare/222927978372067/5538859015955192212/5538859015955192212_signature_31.png</t>
  </si>
  <si>
    <t>https://www.jotform.com/uploads/macarewecare/222927978372067/5538858855956359366/5538858855956359366_signature_28.png</t>
  </si>
  <si>
    <t>https://www.jotform.com/uploads/macarewecare/222927978372067/5538858855956359366/5538858855956359366_signature_31.png</t>
  </si>
  <si>
    <t>Cabuyao City Hall</t>
  </si>
  <si>
    <t>shirleypalcantara18@gmail.com</t>
  </si>
  <si>
    <t xml:space="preserve">ASSAY: Xpert MTB/RIF, COUNT: 154
ASSAY: Xpert MTB/RIF Ultra, COUNT: 1345
</t>
  </si>
  <si>
    <t>Unit is operational. For replacement of monitor.</t>
  </si>
  <si>
    <t>GX module B3 (730957) in replacement to defective B3 (709361).</t>
  </si>
  <si>
    <t>https://www.jotform.com/uploads/macarewecare/222927978372067/5538842321216972974/5538842321216972974_signature_28.png</t>
  </si>
  <si>
    <t>https://www.jotform.com/uploads/macarewecare/222927978372067/5538842321216972974/5538842321216972974_signature_31.png</t>
  </si>
  <si>
    <t>Sta. Rosa Ciry Health Office 2</t>
  </si>
  <si>
    <t xml:space="preserve">ASSAY: Xpert MTB/RIF, COUNT: 137
ASSAY: Xpert MTB/RIF Ultra, COUNT: 1666
</t>
  </si>
  <si>
    <t>DR 9481</t>
  </si>
  <si>
    <t>https://www.jotform.com/uploads/macarewecare/222927978372067/5538842321218275738/5538842321218275738_signature_28.png</t>
  </si>
  <si>
    <t>https://www.jotform.com/uploads/macarewecare/222927978372067/5538842321218275738/5538842321218275738_signature_31.png</t>
  </si>
  <si>
    <t>Sampalocan rd. Sto. Tomas</t>
  </si>
  <si>
    <t>bathanevelyn@gmail.com</t>
  </si>
  <si>
    <t xml:space="preserve">ASSAY: Xpert MTB/RIF, COUNT: 93
ASSAY: Xpert MTB/RIF Ultra, COUNT: 1085
</t>
  </si>
  <si>
    <t>Performed preventive maintenance.
Performed module replacement on module B4.
Generated reports.</t>
  </si>
  <si>
    <t>Unit is opetational.</t>
  </si>
  <si>
    <t>Gx Module B4 (805766) in replacement to defective module B4 (671461).</t>
  </si>
  <si>
    <t>https://www.jotform.com/uploads/https:/www.jotform.com/uploads/macarewecare/222927978372067/5538842321219111236/5538842321219111236_signature_28.png</t>
  </si>
  <si>
    <t>Evelyn A. Bathan</t>
  </si>
  <si>
    <t>https://www.jotform.com/uploads/https:/www.jotform.com/uploads/macarewecare/222927978372067/5538842321219111236/5538842321219111236_signature_31.png</t>
  </si>
  <si>
    <t>Mabini</t>
  </si>
  <si>
    <t xml:space="preserve">ASSAY: Xpert MTB/RIF, COUNT: 28
ASSAY: Xpert MTB/RIF Ultra, COUNT: 962
</t>
  </si>
  <si>
    <t>GX module B2 (799769) in replacement to defective B2 (863440).</t>
  </si>
  <si>
    <t>https://www.jotform.com/uploads/macarewecare/222927978372067/5538842321219437934/5538842321219437934_signature_28.png</t>
  </si>
  <si>
    <t>https://www.jotform.com/uploads/macarewecare/222927978372067/5538842321219437934/5538842321219437934_signature_31.png</t>
  </si>
  <si>
    <t>Dagupan Pangasinan</t>
  </si>
  <si>
    <t xml:space="preserve">ASSAY: Xpert MTB/RIF, COUNT: 337
ASSAY: Xpert MTB/RIF Ultra, COUNT: 939
</t>
  </si>
  <si>
    <t>Performed surface cleaning
Cleaning of filter,cartridge bay,icore and plunger rod
Xpertcheck application update to 1.5A
Performed calibration
Gathered reports
Performed functionality test</t>
  </si>
  <si>
    <t>6 pcs Xpertcheck</t>
  </si>
  <si>
    <t>https://www.jotform.com/uploads/macarewecare/222927978372067/5538786625315149690/5538786625315149690_signature_28.png</t>
  </si>
  <si>
    <t>Rudolf Joseph Guillen</t>
  </si>
  <si>
    <t>https://www.jotform.com/uploads/macarewecare/222927978372067/5538786625315149690/5538786625315149690_signature_31.png</t>
  </si>
  <si>
    <t>Rosario</t>
  </si>
  <si>
    <t xml:space="preserve">ASSAY: Xpert MTB/RIF, COUNT: 250
ASSAY: Xpert MTB/RIF Ultra, COUNT: 1324
</t>
  </si>
  <si>
    <t>Module B1/638232 has valve error</t>
  </si>
  <si>
    <t>Performed Cepheid troubleshooting</t>
  </si>
  <si>
    <t>Performed maintenance 
Performed Cepheid troubleshooting 
Generated reports</t>
  </si>
  <si>
    <t>Unit is operational. Module B1/638232 not operational but with existing report.</t>
  </si>
  <si>
    <t>https://www.jotform.com/uploads/macarewecare/222927978372067/5538698331213479221/5538698331213479221_signature_28.png</t>
  </si>
  <si>
    <t>https://www.jotform.com/uploads/macarewecare/222927978372067/5538698331213479221/5538698331213479221_signature_31.png</t>
  </si>
  <si>
    <t xml:space="preserve">ASSAY: Xpert MTB/RIF, COUNT: 133
ASSAY: Xpert MTB/RIF Ultra, COUNT: 330
</t>
  </si>
  <si>
    <t>https://www.jotform.com/uploads/macarewecare/222927978372067/5538698131215768318/5538698131215768318_signature_28.png</t>
  </si>
  <si>
    <t>https://www.jotform.com/uploads/macarewecare/222927978372067/5538698131215768318/5538698131215768318_signature_31.png</t>
  </si>
  <si>
    <t xml:space="preserve">ASSAY: Xpert MTB/RIF, COUNT: 102
ASSAY: Xpert MTB/RIF Ultra, COUNT: 227
</t>
  </si>
  <si>
    <t>https://www.jotform.com/uploads/macarewecare/222927978372067/5538698131216121502/5538698131216121502_signature_28.png</t>
  </si>
  <si>
    <t>https://www.jotform.com/uploads/macarewecare/222927978372067/5538698131216121502/5538698131216121502_signature_31.png</t>
  </si>
  <si>
    <t xml:space="preserve">ASSAY: Xpert MTB/RIF, COUNT: 42
ASSAY: Xpert MTB/RIF Ultra, COUNT: 647
</t>
  </si>
  <si>
    <t>https://www.jotform.com/uploads/macarewecare/222927978372067/5538698131217466188/5538698131217466188_signature_28.png</t>
  </si>
  <si>
    <t>Rosbenilda A. Tamayo</t>
  </si>
  <si>
    <t>https://www.jotform.com/uploads/macarewecare/222927978372067/5538698131217466188/5538698131217466188_signature_31.png</t>
  </si>
  <si>
    <t>Plaza Aldea, Tanay</t>
  </si>
  <si>
    <t>kaye.alseco@gmail.com</t>
  </si>
  <si>
    <t xml:space="preserve">ASSAY: Xpert MTB/RIF, COUNT: 63
ASSAY: Xpert MTB/RIF Ultra, COUNT: 138
</t>
  </si>
  <si>
    <t>Modules A2 and A3 operational. Modules A1/757276 and A4/ 758194 not operational reported already.</t>
  </si>
  <si>
    <t>https://www.jotform.com/uploads/macarewecare/222927978372067/5538698131219104791/5538698131219104791_signature_28.png</t>
  </si>
  <si>
    <t>Ma. Corazon S. Alseco, RMT</t>
  </si>
  <si>
    <t>https://www.jotform.com/uploads/macarewecare/222927978372067/5538698131219104791/5538698131219104791_signature_31.png</t>
  </si>
  <si>
    <t>Taytay</t>
  </si>
  <si>
    <t>For CPU replacement.</t>
  </si>
  <si>
    <t>Performed maintenance 
Replacement CPU 
Run XpertCheck 
Generated reports</t>
  </si>
  <si>
    <t>All modules operational. Module B2/639463 service required.</t>
  </si>
  <si>
    <t>https://www.jotform.com/uploads/macarewecare/222927978372067/5538698141219191316/5538698141219191316_signature_28.png</t>
  </si>
  <si>
    <t>Dino Dannelli Delos Santos</t>
  </si>
  <si>
    <t>https://www.jotform.com/uploads/macarewecare/222927978372067/5538698141219191316/5538698141219191316_signature_31.png</t>
  </si>
  <si>
    <t>St.lukes medical center q.c</t>
  </si>
  <si>
    <t>E.rodriguez</t>
  </si>
  <si>
    <t xml:space="preserve">ASSAY: Xpert C. difficile BT, COUNT: 0
ASSAY: Xpert CT/NG, COUNT: 238
ASSAY: Others, COUNT: 4
ASSAY: Xpert HPV, COUNT: 5
ASSAY: Xpert MTB/RIF Ultra, COUNT: 2894
</t>
  </si>
  <si>
    <t>All module encountered continuous error b1 4012 b2  5007 error b3 hw failed and 4012,b4 5007 error</t>
  </si>
  <si>
    <t>cleared unit,filter,plunger rod,cartridge bay,i core,gathered reports,performed visual check,performed  reliability  test,</t>
  </si>
  <si>
    <t>Un operational</t>
  </si>
  <si>
    <t>Room temp 25 degrees</t>
  </si>
  <si>
    <t>https://www.jotform.com/uploads/macarewecare/222927978372067/5538225562777771339/5538225562777771339_signature_28.png</t>
  </si>
  <si>
    <t>https://www.jotform.com/uploads/macarewecare/222927978372067/5538225562777771339/5538225562777771339_signature_31.png</t>
  </si>
  <si>
    <t>Jp rizal Rodriguez rizal</t>
  </si>
  <si>
    <t xml:space="preserve">ASSAY: Xpert MTB/RIF Ultra, COUNT: 2238
</t>
  </si>
  <si>
    <t>For module replacement  b1 688668 - 783498 b4 666171- 803899</t>
  </si>
  <si>
    <t>Performed module replacement, cleared unit,filter,plunger rod,cartridge bay,i core,gathered reports,performed visual check,test run unit</t>
  </si>
  <si>
    <t>900gx</t>
  </si>
  <si>
    <t>https://www.jotform.com/uploads/macarewecare/222927978372067/5538225482773085132/5538225482773085132_signature_28.png</t>
  </si>
  <si>
    <t>https://www.jotform.com/uploads/macarewecare/222927978372067/5538225482773085132/5538225482773085132_signature_31.png</t>
  </si>
  <si>
    <t>Marikina cho</t>
  </si>
  <si>
    <t>Unit from kalinga health to be transfer @ marikina cho without barcode stand</t>
  </si>
  <si>
    <t>Transfer unit,cleared unit,filter,plunger rod,cartridge bay,i core,gathered reports,performed visual check,test run unit</t>
  </si>
  <si>
    <t>Transfer and re installtion</t>
  </si>
  <si>
    <t>Units from kalinga health to be transfer @marikina cho,pullout defective laptop dell 9yk2sm1</t>
  </si>
  <si>
    <t>https://www.jotform.com/uploads/macarewecare/222927978372067/5538225482775222150/5538225482775222150_signature_28.png</t>
  </si>
  <si>
    <t>https://www.jotform.com/uploads/macarewecare/222927978372067/5538225482775222150/5538225482775222150_signature_31.png</t>
  </si>
  <si>
    <t>Vetetrans memorial medical center</t>
  </si>
  <si>
    <t>North ave. Qc</t>
  </si>
  <si>
    <t>microlabdop@gmail.com</t>
  </si>
  <si>
    <t xml:space="preserve">ASSAY: Xpert MTB/RIF, COUNT: 460
ASSAY: Xpert MTB/RIF Ultra, COUNT: 514
</t>
  </si>
  <si>
    <t>As per end user encounter error 2008, for maintenance</t>
  </si>
  <si>
    <t>Last xpertcheck 7/8/2021</t>
  </si>
  <si>
    <t>https://www.jotform.com/uploads/macarewecare/222927978372067/5538225482777116320/5538225482777116320_signature_28.png</t>
  </si>
  <si>
    <t>Maireen Balleras vmmc</t>
  </si>
  <si>
    <t>https://www.jotform.com/uploads/macarewecare/222927978372067/5538225482777116320/5538225482777116320_signature_31.png</t>
  </si>
  <si>
    <t>J.p rizal Rodriguez rizal</t>
  </si>
  <si>
    <t xml:space="preserve">ASSAY: Xpert MTB/RIF Ultra, COUNT: 2497
ASSAY: Xpert HIV-1 Viral Load, COUNT: 89
</t>
  </si>
  <si>
    <t>For module replacement b4 862178 - 804586</t>
  </si>
  <si>
    <t>Module replacement  and maintenance</t>
  </si>
  <si>
    <t>https://www.jotform.com/uploads/macarewecare/222927978372067/5538225482777601498/5538225482777601498_signature_28.png</t>
  </si>
  <si>
    <t>https://www.jotform.com/uploads/macarewecare/222927978372067/5538225482777601498/5538225482777601498_signature_31.png</t>
  </si>
  <si>
    <t>jeselleanneegipto.medilinx@outlook.com</t>
  </si>
  <si>
    <t xml:space="preserve">ASSAY: Xpert BCR-ABL Ultra, COUNT: 24
ASSAY: Xpert C. difficile BT, COUNT: 9
ASSAY: Xpert CT/NG, COUNT: 117
ASSAY: Others, COUNT: 7
ASSAY: Xpert HBV VL, COUNT: 15
ASSAY: Xpert HPV, COUNT: 101
ASSAY: Xpert MTB/RIF Ultra, COUNT: 404
ASSAY: Others, COUNT: 2
ASSAY: Xpert HCV VL, COUNT: 7
ASSAY: Xpert HIV-1 Viral Load, COUNT: 349
</t>
  </si>
  <si>
    <t>Gx4  (10c)</t>
  </si>
  <si>
    <t>https://www.jotform.com/uploads/macarewecare/222927978372067/5538225482779685549/5538225482779685549_signature_28.png</t>
  </si>
  <si>
    <t>Jeselle Anne Egipto</t>
  </si>
  <si>
    <t>https://www.jotform.com/uploads/macarewecare/222927978372067/5538225482779685549/5538225482779685549_signature_31.png</t>
  </si>
  <si>
    <t>Fuente, Capitol Site, Cebu</t>
  </si>
  <si>
    <t>Power Switch Defective</t>
  </si>
  <si>
    <t>Pulled out and replaced Power switch</t>
  </si>
  <si>
    <t>Replaced New Power Switch</t>
  </si>
  <si>
    <t>Power Switch button</t>
  </si>
  <si>
    <t>https://www.jotform.com/uploads/macarewecare/222927978372067/5537108710517145683/5537108710517145683_signature_28.png</t>
  </si>
  <si>
    <t>Arriane Guererro</t>
  </si>
  <si>
    <t>https://www.jotform.com/uploads/macarewecare/222927978372067/5537108710517145683/5537108710517145683_signature_31.png</t>
  </si>
  <si>
    <t>https://www.jotform.com/uploads/macarewecare/222927978372067/5536530765313364503/5536530765313364503_signature_28.png</t>
  </si>
  <si>
    <t>https://www.jotform.com/uploads/macarewecare/222927978372067/5536530765313364503/5536530765313364503_signature_31.png</t>
  </si>
  <si>
    <t>Mexico RHU IV</t>
  </si>
  <si>
    <t>Xpertcheck - A1, A3 Passed &amp; A2, A4 Service Required</t>
  </si>
  <si>
    <t>https://www.jotform.com/uploads/macarewecare/222927978372067/5536402642028737221/5536402642028737221_signature_28.png</t>
  </si>
  <si>
    <t>https://www.jotform.com/uploads/macarewecare/222927978372067/5536402642028737221/5536402642028737221_signature_31.png</t>
  </si>
  <si>
    <t>https://www.jotform.com/uploads/macarewecare/222927978372067/5536402252025500695/5536402252025500695_signature_28.png</t>
  </si>
  <si>
    <t>https://www.jotform.com/uploads/macarewecare/222927978372067/5536402252025500695/5536402252025500695_signature_31.png</t>
  </si>
  <si>
    <t>Ermin Garcia, Quezon City</t>
  </si>
  <si>
    <t xml:space="preserve">ASSAY: Xpert MTB/RIF, COUNT: 14
ASSAY: Xpert MTB/RIF Ultra, COUNT: 297
ASSAY: Xpert HIV-1 Viral Load, COUNT: 1294
</t>
  </si>
  <si>
    <t>https://www.jotform.com/uploads/macarewecare/222927978372067/5536400512315218648/5536400512315218648_signature_28.png</t>
  </si>
  <si>
    <t>Maileen Reyna</t>
  </si>
  <si>
    <t>https://www.jotform.com/uploads/macarewecare/222927978372067/5536400512315218648/5536400512315218648_signature_31.png</t>
  </si>
  <si>
    <t>rhuhinigaran@gmail.com</t>
  </si>
  <si>
    <t xml:space="preserve">ASSAY: Xpert MTB/RIF, COUNT: 300
ASSAY: Xpert MTB/RIF Ultra, COUNT: 679
</t>
  </si>
  <si>
    <t>Module A2 &amp; A3</t>
  </si>
  <si>
    <t>Get soft copy of calibration info for reporting, IQR, System Log and Assay Stat</t>
  </si>
  <si>
    <t>Module A2 &amp; A3 failed  in calibration</t>
  </si>
  <si>
    <t>Conduct PM</t>
  </si>
  <si>
    <t>Xpert Check</t>
  </si>
  <si>
    <t>Lot No. 1000378669</t>
  </si>
  <si>
    <t>https://www.jotform.com/uploads/macarewecare/222927978372067/5536317552016352811/5536317552016352811_signature_28.png</t>
  </si>
  <si>
    <t>Christine Goza</t>
  </si>
  <si>
    <t>https://www.jotform.com/uploads/macarewecare/222927978372067/5536317552016352811/5536317552016352811_signature_31.png</t>
  </si>
  <si>
    <t>Cleaned RAM</t>
  </si>
  <si>
    <t>https://www.jotform.com/uploads/macarewecare/222927978372067/5536216933418105627/5536216933418105627_signature_28.png</t>
  </si>
  <si>
    <t>https://www.jotform.com/uploads/macarewecare/222927978372067/5536216933418105627/5536216933418105627_signature_31.png</t>
  </si>
  <si>
    <t>https://www.jotform.com/uploads/macarewecare/222927978372067/5536211363413779276/5536211363413779276_signature_28.png</t>
  </si>
  <si>
    <t>https://www.jotform.com/uploads/macarewecare/222927978372067/5536211363413779276/5536211363413779276_signature_31.png</t>
  </si>
  <si>
    <t>https://www.jotform.com/uploads/macarewecare/222927978372067/5536211253414170596/5536211253414170596_signature_28.png</t>
  </si>
  <si>
    <t>https://www.jotform.com/uploads/macarewecare/222927978372067/5536211253414170596/5536211253414170596_signature_31.png</t>
  </si>
  <si>
    <t>https://www.jotform.com/uploads/macarewecare/222927978372067/5536210673417471945/5536210673417471945_signature_28.png</t>
  </si>
  <si>
    <t>https://www.jotform.com/uploads/macarewecare/222927978372067/5536210673417471945/5536210673417471945_signature_31.png</t>
  </si>
  <si>
    <t>Palimbang, Sultan kudarat</t>
  </si>
  <si>
    <t xml:space="preserve">ASSAY: Xpert MTB/RIF, COUNT: 238
ASSAY: Xpert MTB/RIF Ultra, COUNT: 6
</t>
  </si>
  <si>
    <t>Gx -lV</t>
  </si>
  <si>
    <t>Module B2 H/W failed due to multiple temperature error 1002</t>
  </si>
  <si>
    <t>Perform Genexpert machine Preventive maintenance
Module B2 troubleshooting 
Install assay MTB-RIF Ultra</t>
  </si>
  <si>
    <t>Perform Genexpert machine Preventive maintenance
Module B2 troubleshooting
Install assay MTB-RIF Ultra</t>
  </si>
  <si>
    <t>Module B2 Waiting for module to available</t>
  </si>
  <si>
    <t>https://www.jotform.com/uploads/macarewecare/222927978372067/5536137390415309592/5536137390415309592_signature_28.png</t>
  </si>
  <si>
    <t>Cristina Nilda E. Villegas</t>
  </si>
  <si>
    <t>https://www.jotform.com/uploads/macarewecare/222927978372067/5536137390415309592/5536137390415309592_signature_31.png</t>
  </si>
  <si>
    <t>Laboratory .</t>
  </si>
  <si>
    <t>- Replaced defective CPU HP Z240 SN: 2UA7021LZP
- performed xpertcheck 
- Generated reports 
- Performed functionality test</t>
  </si>
  <si>
    <t>CPU Lenovo Desktop SN: CPH0322F32993</t>
  </si>
  <si>
    <t>https://www.jotform.com/uploads/macarewecare/222927978372067/5536101172225514518/5536101172225514518_signature_28.png</t>
  </si>
  <si>
    <t>Aime Lou Supsupin</t>
  </si>
  <si>
    <t>https://www.jotform.com/uploads/macarewecare/222927978372067/5536101172225514518/5536101172225514518_signature_31.png</t>
  </si>
  <si>
    <t xml:space="preserve">ASSAY: Xpert MTB/RIF, COUNT: 302
ASSAY: Xpert MTB/RIF Ultra, COUNT: 1216
ASSAY: Xpert SARS-CoV-2, COUNT: 72
ASSAY: Xpert HIV-1 Viral Load, COUNT: 165
</t>
  </si>
  <si>
    <t>Module replacement for modules C1, C3 and C4</t>
  </si>
  <si>
    <t>Performed surface cleaning
Generate pre-iqr
Performed module replacement
Generate post iqr
Performed preventive maintenance
Gathered reports
Performed functionality test</t>
  </si>
  <si>
    <t>3 genexpert Modules</t>
  </si>
  <si>
    <t>https://www.jotform.com/uploads/https:/www.jotform.com/uploads/macarewecare/222927978372067/5535590452021191704/5535590452021191704_signature_28.png</t>
  </si>
  <si>
    <t>https://www.jotform.com/uploads/https:/www.jotform.com/uploads/macarewecare/222927978372067/5535590452021191704/5535590452021191704_signature_31.png</t>
  </si>
  <si>
    <t xml:space="preserve">ASSAY: Xpert MTB/RIF, COUNT: 467
ASSAY: , COUNT: 994
ASSAY: Xpert SARS-CoV-2, COUNT: 4194
</t>
  </si>
  <si>
    <t>Module replacemet for defective modules</t>
  </si>
  <si>
    <t>Performed surface cleaning
Generate Pre-IQR
Performed module replacement
Performed preventive maintenance
Generate post-iqr
Gathered reports
Performed functionalitybtest</t>
  </si>
  <si>
    <t>Preventive maintenace 
Module replacement</t>
  </si>
  <si>
    <t>10 Genexpert modules</t>
  </si>
  <si>
    <t>https://www.jotform.com/uploads/macarewecare/222927978372067/5535590102029952728/5535590102029952728_signature_28.png</t>
  </si>
  <si>
    <t>https://www.jotform.com/uploads/macarewecare/222927978372067/5535590102029952728/5535590102029952728_signature_31.png</t>
  </si>
  <si>
    <t>9 Genexpert modules</t>
  </si>
  <si>
    <t>https://www.jotform.com/uploads/macarewecare/222927978372067/5535585482026117566/5535585482026117566_signature_28.png</t>
  </si>
  <si>
    <t>https://www.jotform.com/uploads/macarewecare/222927978372067/5535585482026117566/5535585482026117566_signature_31.png</t>
  </si>
  <si>
    <t>rainazerene@gmail.com</t>
  </si>
  <si>
    <t xml:space="preserve">ASSAY: Xpert MTB/RIF Ultra, COUNT: 297
</t>
  </si>
  <si>
    <t>Module B2 - H/W fail</t>
  </si>
  <si>
    <t>Module B2 under observation</t>
  </si>
  <si>
    <t>https://www.jotform.com/uploads/macarewecare/222927978372067/5535488969613367245/5535488969613367245_signature_28.png</t>
  </si>
  <si>
    <t>https://www.jotform.com/uploads/macarewecare/222927978372067/5535488969613367245/5535488969613367245_signature_31.png</t>
  </si>
  <si>
    <t>Mabalacat RHU</t>
  </si>
  <si>
    <t>Mabalacat City, Pampanga</t>
  </si>
  <si>
    <t xml:space="preserve">ASSAY: Xpert MTB/RIF, COUNT: 250
ASSAY: Xpert MTB/RIF Ultra, COUNT: 942
ASSAY: Xpert HIV-1 Viral Load, COUNT: 24
</t>
  </si>
  <si>
    <t>Module Replacement - 683625 - 623586 &amp; 685562 - 626193</t>
  </si>
  <si>
    <t>Genexpert Module - 623586 &amp; 626193</t>
  </si>
  <si>
    <t>https://www.jotform.com/uploads/macarewecare/222927978372067/5535485940522002577/5535485940522002577_signature_28.png</t>
  </si>
  <si>
    <t>Riyadh L  Perez</t>
  </si>
  <si>
    <t>https://www.jotform.com/uploads/macarewecare/222927978372067/5535485940522002577/5535485940522002577_signature_31.png</t>
  </si>
  <si>
    <t>https://www.jotform.com/uploads/macarewecare/222927978372067/5535485450522229540/5535485450522229540_signature_28.png</t>
  </si>
  <si>
    <t>https://www.jotform.com/uploads/macarewecare/222927978372067/5535485450522229540/5535485450522229540_signature_31.png</t>
  </si>
  <si>
    <t>https://www.jotform.com/uploads/macarewecare/222927978372067/5535485390526795935/5535485390526795935_signature_28.png</t>
  </si>
  <si>
    <t>https://www.jotform.com/uploads/macarewecare/222927978372067/5535485390526795935/5535485390526795935_signature_31.png</t>
  </si>
  <si>
    <t>MABINAY MEDICARE COMMUNITY HOSPITAL</t>
  </si>
  <si>
    <t>Mabinay</t>
  </si>
  <si>
    <t xml:space="preserve">ASSAY: Xpert MTB/RIF, COUNT: 269
ASSAY: Xpert MTB/RIF Ultra, COUNT: 253
</t>
  </si>
  <si>
    <t>E5011, E2008</t>
  </si>
  <si>
    <t>Xpertcheck run</t>
  </si>
  <si>
    <t>Preventive Maintenance - cleaned module bays, plunger rods, filter, optic slots.</t>
  </si>
  <si>
    <t>4 modules operational, module 2 and 3 for observation run using new lot numbers of mtbrif ultra.</t>
  </si>
  <si>
    <t>https://www.jotform.com/uploads/macarewecare/222927978372067/5535484803116817223/5535484803116817223_signature_28.png</t>
  </si>
  <si>
    <t>DIANNE C. MI-OT</t>
  </si>
  <si>
    <t>https://www.jotform.com/uploads/macarewecare/222927978372067/5535484803116817223/5535484803116817223_signature_31.png</t>
  </si>
  <si>
    <t>Victorias City Negros Occidental</t>
  </si>
  <si>
    <t xml:space="preserve">ASSAY: Xpert MTB/RIF, COUNT: 407
</t>
  </si>
  <si>
    <t>Defective Module 681375</t>
  </si>
  <si>
    <t>Module replaced new 692294
Clean up Icore, Filter, and plunger</t>
  </si>
  <si>
    <t>Module replaced new 692294</t>
  </si>
  <si>
    <t>https://www.jotform.com/uploads/macarewecare/222927978372067/5535478372613103848/5535478372613103848_signature_28.png</t>
  </si>
  <si>
    <t>Vincent L. Leonor</t>
  </si>
  <si>
    <t>https://www.jotform.com/uploads/macarewecare/222927978372067/5535478372613103848/5535478372613103848_signature_31.png</t>
  </si>
  <si>
    <t xml:space="preserve">ASSAY: Xpert MTB/RIF Ultra, COUNT: 327
</t>
  </si>
  <si>
    <t>Module B1 and B3 for Module Replacement</t>
  </si>
  <si>
    <t>Replace the defective Module B1 S/N: 863324 with new Module SN:  669006
Replaced the defective Module B3 SN: 863784 with new Module SN: 656621
Generate IQR, Assay Stat and System Log
Archived Data test results</t>
  </si>
  <si>
    <t>https://www.jotform.com/uploads/macarewecare/222927978372067/5535462946811057642/5535462946811057642_signature_28.png</t>
  </si>
  <si>
    <t>Maria Rosario M. Pino RMT RN</t>
  </si>
  <si>
    <t>https://www.jotform.com/uploads/macarewecare/222927978372067/5535462946811057642/5535462946811057642_signature_31.png</t>
  </si>
  <si>
    <t>https://www.jotform.com/uploads/macarewecare/222927978372067/5535462596812738235/5535462596812738235_signature_28.png</t>
  </si>
  <si>
    <t>https://www.jotform.com/uploads/macarewecare/222927978372067/5535462596812738235/5535462596812738235_signature_31.png</t>
  </si>
  <si>
    <t>https://www.jotform.com/uploads/macarewecare/222927978372067/5535462526814690232/5535462526814690232_signature_28.png</t>
  </si>
  <si>
    <t>https://www.jotform.com/uploads/macarewecare/222927978372067/5535462526814690232/5535462526814690232_signature_31.png</t>
  </si>
  <si>
    <t xml:space="preserve">ASSAY: Xpert MTB/RIF, COUNT: 668
ASSAY: Xpert MTB/RIF Ultra, COUNT: 303
</t>
  </si>
  <si>
    <t>https://www.jotform.com/uploads/macarewecare/222927978372067/5535434248324942458/5535434248324942458_signature_28.png</t>
  </si>
  <si>
    <t>https://www.jotform.com/uploads/macarewecare/222927978372067/5535434248324942458/5535434248324942458_signature_31.png</t>
  </si>
  <si>
    <t>https://www.jotform.com/uploads/macarewecare/222927978372067/5535434098324339110/5535434098324339110_signature_28.png</t>
  </si>
  <si>
    <t>https://www.jotform.com/uploads/macarewecare/222927978372067/5535434098324339110/5535434098324339110_signature_31.png</t>
  </si>
  <si>
    <t xml:space="preserve">ASSAY: Xpert MTB/RIF, COUNT: 568
ASSAY: Xpert MTB/RIF Ultra, COUNT: 568
</t>
  </si>
  <si>
    <t>-Module replacement
     B4 SN 806456 into 686518
-Performed Preventive maintenance
-Performed functionality test
-Generate reports</t>
  </si>
  <si>
    <t>Module B2 H/W Failed ( Temperature Error)</t>
  </si>
  <si>
    <t>GeneXpert Module 6 Color SN 686518</t>
  </si>
  <si>
    <t>https://www.jotform.com/uploads/macarewecare/222927978372067/5535345607216119369/5535345607216119369_signature_28.png</t>
  </si>
  <si>
    <t>Leonides V. Villaflor</t>
  </si>
  <si>
    <t>https://www.jotform.com/uploads/macarewecare/222927978372067/5535345607216119369/5535345607216119369_signature_31.png</t>
  </si>
  <si>
    <t xml:space="preserve">ASSAY: Xpert MTB/RIF, COUNT: 316
ASSAY: Xpert MTB/RIF Ultra, COUNT: 563
</t>
  </si>
  <si>
    <t>Gx -IV (2 module)</t>
  </si>
  <si>
    <t>https://www.jotform.com/uploads/macarewecare/222927978372067/5535342232813884389/5535342232813884389_signature_28.png</t>
  </si>
  <si>
    <t>Michael F. Ballesteros, RMT</t>
  </si>
  <si>
    <t>https://www.jotform.com/uploads/macarewecare/222927978372067/5535342232813884389/5535342232813884389_signature_31.png</t>
  </si>
  <si>
    <t>audreymarcelo11@gmail.com</t>
  </si>
  <si>
    <t xml:space="preserve">ASSAY: Xpert MTB/RIF, COUNT: 181
ASSAY: Xpert MTB/RIF Ultra, COUNT: 501
</t>
  </si>
  <si>
    <t>Performed surface cleaning
Cleaning of plunger rod,icore,cattridge bay and filter
Archived test results
Xpertcheck application update to 1.5A
Performed calibration
Gathered reports
Performed functionality test</t>
  </si>
  <si>
    <t>Unit is operationap</t>
  </si>
  <si>
    <t>5 Xpertcheck kits used</t>
  </si>
  <si>
    <t>https://www.jotform.com/uploads/macarewecare/222927978372067/5535322882029855606/5535322882029855606_signature_28.png</t>
  </si>
  <si>
    <t>https://www.jotform.com/uploads/macarewecare/222927978372067/5535322882029855606/5535322882029855606_signature_31.png</t>
  </si>
  <si>
    <t>Performed surface cleaning
Generate pre-iqr
Performed module replacement on module C2
Generate pre-iqr
Archived test result
Gathered reports
Performed functionality test</t>
  </si>
  <si>
    <t>Module replacement
Preventive maintenanca</t>
  </si>
  <si>
    <t>Unit is operational except C3</t>
  </si>
  <si>
    <t>https://www.jotform.com/uploads/macarewecare/222927978372067/5535307072022620300/5535307072022620300_signature_28.png</t>
  </si>
  <si>
    <t>https://www.jotform.com/uploads/macarewecare/222927978372067/5535307072022620300/5535307072022620300_signature_31.png</t>
  </si>
  <si>
    <t xml:space="preserve">ASSAY: Xpert HPV, COUNT: 0
ASSAY: Xpert MTB/RIF, COUNT: 359
ASSAY: Xpert MTB/RIF Ultra, COUNT: 1271
</t>
  </si>
  <si>
    <t>Preventive maintenance and Xpertcheck on module 4.</t>
  </si>
  <si>
    <t>Unit is operational. 1 working module.</t>
  </si>
  <si>
    <t>https://www.jotform.com/uploads/macarewecare/222927978372067/5535298155422528389/5535298155422528389_signature_28.png</t>
  </si>
  <si>
    <t>Loren M. Lontoc</t>
  </si>
  <si>
    <t>https://www.jotform.com/uploads/macarewecare/222927978372067/5535298155422528389/5535298155422528389_signature_31.png</t>
  </si>
  <si>
    <t xml:space="preserve">ASSAY: Xpert HBV VL, COUNT: 6
ASSAY: Xpert HPV, COUNT: 6
ASSAY: Xpert MTB/RIF, COUNT: 40
ASSAY: Xpert MTB/RIF Ultra, COUNT: 131
ASSAY: Xpert HIV-1 Viral Load, COUNT: 8
</t>
  </si>
  <si>
    <t>Performed preventive maintenance.
Performed Xpertcheck.
Generated reports</t>
  </si>
  <si>
    <t>Unit is operational. All modulee passed Xpertcheck.</t>
  </si>
  <si>
    <t>https://www.jotform.com/uploads/macarewecare/222927978372067/5535298155424100941/5535298155424100941_signature_28.png</t>
  </si>
  <si>
    <t>Ela Maria Victoria Asa</t>
  </si>
  <si>
    <t>https://www.jotform.com/uploads/macarewecare/222927978372067/5535298155424100941/5535298155424100941_signature_31.png</t>
  </si>
  <si>
    <t>Navotas Wellness and Medical Center</t>
  </si>
  <si>
    <t>Navotas City</t>
  </si>
  <si>
    <t xml:space="preserve">ASSAY: Xpert HPV, COUNT: 13
ASSAY: Xpert MTB/RIF Ultra, COUNT: 725
</t>
  </si>
  <si>
    <t>Unit for preventive maintenance.
For module replacement of module B3.
For generating of reports for module B4.</t>
  </si>
  <si>
    <t>Unit is operational. For reporting of module B4.</t>
  </si>
  <si>
    <t>GX module B3 (210012275) in replacement to defective module (665858).</t>
  </si>
  <si>
    <t>https://www.jotform.com/uploads/macarewecare/222927978372067/5535298155425897488/5535298155425897488_signature_28.png</t>
  </si>
  <si>
    <t>https://www.jotform.com/uploads/macarewecare/222927978372067/5535298155425897488/5535298155425897488_signature_31.png</t>
  </si>
  <si>
    <t>Unit for preventive maintenance.
For Xpertcheck of module A1 due to errors.</t>
  </si>
  <si>
    <t>Performed preventive maintenance.
Performed Xpertcheck on module B1.
Generated reports.</t>
  </si>
  <si>
    <t>Unit is operational. Module B1 passed Xpertcheck.</t>
  </si>
  <si>
    <t>https://www.jotform.com/uploads/macarewecare/222927978372067/5535287265423233471/5535287265423233471_signature_28.png</t>
  </si>
  <si>
    <t>https://www.jotform.com/uploads/macarewecare/222927978372067/5535287265423233471/5535287265423233471_signature_31.png</t>
  </si>
  <si>
    <t xml:space="preserve">ASSAY: Xpert MTB/RIF, COUNT: 326
ASSAY: Xpert MTB/RIF Ultra, COUNT: 477
</t>
  </si>
  <si>
    <t>https://www.jotform.com/uploads/macarewecare/222927978372067/5535043468618196747/5535043468618196747_signature_28.png</t>
  </si>
  <si>
    <t>https://www.jotform.com/uploads/macarewecare/222927978372067/5535043468618196747/5535043468618196747_signature_31.png</t>
  </si>
  <si>
    <t>xtpcr.mdl@gmail.com</t>
  </si>
  <si>
    <t xml:space="preserve">ASSAY: Xpert SARS-CoV-2, COUNT: NA
</t>
  </si>
  <si>
    <t>https://www.jotform.com/uploads/macarewecare/222927978372067/5534935062224673273/5534935062224673273_signature_28.png</t>
  </si>
  <si>
    <t>https://www.jotform.com/uploads/macarewecare/222927978372067/5534935062224673273/5534935062224673273_signature_31.png</t>
  </si>
  <si>
    <t xml:space="preserve">ASSAY: Xpert MTB/RIF, COUNT: 20
ASSAY: Xpert MTB/RIF Ultra, COUNT: 41
</t>
  </si>
  <si>
    <t>HW fail on modules 1 and 4</t>
  </si>
  <si>
    <t>Module bay cleaning, plunger cleaning, filter cleaning, Xpertcheck run on all modules</t>
  </si>
  <si>
    <t>https://www.jotform.com/uploads/macarewecare/222927978372067/5534658655912621865/5534658655912621865_signature_28.png</t>
  </si>
  <si>
    <t>https://www.jotform.com/uploads/macarewecare/222927978372067/5534658655912621865/5534658655912621865_signature_31.png</t>
  </si>
  <si>
    <t>PULL OUT</t>
  </si>
  <si>
    <t xml:space="preserve">ASSAY: Xpert HCV VL, COUNT: 6
ASSAY: Xpert BCR-ABL Ultra, COUNT: 12
ASSAY: Xpert CT/NG, COUNT: 16
ASSAY: Xpert HBV VL, COUNT: 4
ASSAY: Xpert MTB/RIF Ultra, COUNT: 20
ASSAY: Xpert MTB/RIF, COUNT: 8
</t>
  </si>
  <si>
    <t>PULL OUT (END OF CONTRACT)</t>
  </si>
  <si>
    <t>-COLLECT IQR, SYSTEM LOG, AND ASSAY STAT
-PULL OUT OF GX 2 EQUIPMENT, BARCODE SCANNER SN: 1214400502325 ; ACER LAPTOP SN: NXGCUSP001624150A07600, AND HP DESKJET PRINTER SN:CNKK319JM2</t>
  </si>
  <si>
    <t>ALL EQUIPMENTS ARE OPERATIONAL</t>
  </si>
  <si>
    <t>https://www.jotform.com/uploads/macarewecare/222927978372067/5534649257915820005/5534649257915820005_signature_28.png</t>
  </si>
  <si>
    <t>Madeline Alcantara</t>
  </si>
  <si>
    <t>https://www.jotform.com/uploads/macarewecare/222927978372067/5534649257915820005/5534649257915820005_signature_31.png</t>
  </si>
  <si>
    <t xml:space="preserve">ASSAY: Xpert MTB/RIF, COUNT: 692
ASSAY: Xpert MTB/RIF Ultra, COUNT: 64
</t>
  </si>
  <si>
    <t>Module (A3, A4) for  module  replacement</t>
  </si>
  <si>
    <t>-Module replacement
   A3 - 600865 into 680829
   A4 - 745385 into 661864
-Performed preventive maintenance
-Performed functionality test
-Generate reports</t>
  </si>
  <si>
    <t>Module A1 - H/W Failed (Temperature Error)
Module (A2, A3, A4) - Operational</t>
  </si>
  <si>
    <t xml:space="preserve"> </t>
  </si>
  <si>
    <t>GeneXpert Module 6 Color SN( 680829, 661864)</t>
  </si>
  <si>
    <t>https://www.jotform.com/uploads/macarewecare/222927978372067/5534649241196495750/5534649241196495750_signature_28.png</t>
  </si>
  <si>
    <t>charisse c.ragrag</t>
  </si>
  <si>
    <t>https://www.jotform.com/uploads/macarewecare/222927978372067/5534649241196495750/5534649241196495750_signature_31.png</t>
  </si>
  <si>
    <t>Unit is operational. B1 failed, B2, B3, B4 insufficient cartridge.</t>
  </si>
  <si>
    <t>https://www.jotform.com/uploads/macarewecare/222927978372067/5534648942259677349/5534648942259677349_signature_28.png</t>
  </si>
  <si>
    <t>Happy Domingo</t>
  </si>
  <si>
    <t>https://www.jotform.com/uploads/macarewecare/222927978372067/5534648942259677349/5534648942259677349_signature_31.png</t>
  </si>
  <si>
    <t>Poblacion, Toril Davao City</t>
  </si>
  <si>
    <t xml:space="preserve">ASSAY: Xpert MTB/RIF, COUNT: 50
ASSAY: Xpert HIV-1 Viral Load, COUNT: 978
</t>
  </si>
  <si>
    <t>Module B2 and B4 for Replacement</t>
  </si>
  <si>
    <t>Replaced the Defective Module B2 with SN: 861528 with new Module SN 607055
Replaced the Defect Module B3 with SN: 861633 with new Module SN: 602619
Generate PRE and POST IQR, Assay Stat and System Log</t>
  </si>
  <si>
    <t>Replacement of Modules</t>
  </si>
  <si>
    <t>https://www.jotform.com/uploads/macarewecare/222927978372067/5534640286815882459/5534640286815882459_signature_28.png</t>
  </si>
  <si>
    <t>Lea L. Buelis RMT RN, ASCPI</t>
  </si>
  <si>
    <t>https://www.jotform.com/uploads/macarewecare/222927978372067/5534640286815882459/5534640286815882459_signature_31.png</t>
  </si>
  <si>
    <t>https://www.jotform.com/uploads/macarewecare/222927978372067/5534640126817943318/5534640126817943318_signature_28.png</t>
  </si>
  <si>
    <t>https://www.jotform.com/uploads/macarewecare/222927978372067/5534640126817943318/5534640126817943318_signature_31.png</t>
  </si>
  <si>
    <t>https://www.jotform.com/uploads/macarewecare/222927978372067/5534634072026461649/5534634072026461649_signature_28.png</t>
  </si>
  <si>
    <t>https://www.jotform.com/uploads/macarewecare/222927978372067/5534634072026461649/5534634072026461649_signature_31.png</t>
  </si>
  <si>
    <t>https://www.jotform.com/uploads/macarewecare/222927978372067/5534620122255901548/5534620122255901548_signature_28.png</t>
  </si>
  <si>
    <t>https://www.jotform.com/uploads/macarewecare/222927978372067/5534620122255901548/5534620122255901548_signature_31.png</t>
  </si>
  <si>
    <t>Brgy. Poblacion, bantayan</t>
  </si>
  <si>
    <t>lailane.gdiono@gmail.com</t>
  </si>
  <si>
    <t xml:space="preserve">ASSAY: Xpert MTB/RIF, COUNT: 492
ASSAY: Xpert BCR-ABL Ultra, COUNT: 503
</t>
  </si>
  <si>
    <t>Defective Modules 1 and 4</t>
  </si>
  <si>
    <t>Run xpertcheck module 1 &amp; 4</t>
  </si>
  <si>
    <t>Module 1 and 4 Service Require during xpertcheck calibration</t>
  </si>
  <si>
    <t>https://www.jotform.com/uploads/macarewecare/222927978372067/5534602978816585877/5534602978816585877_signature_28.png</t>
  </si>
  <si>
    <t>Lailane Dionio</t>
  </si>
  <si>
    <t>https://www.jotform.com/uploads/macarewecare/222927978372067/5534602978816585877/5534602978816585877_signature_31.png</t>
  </si>
  <si>
    <t>URDANETA DISTRICT HOSPITAL</t>
  </si>
  <si>
    <t>Urdaneta Pangasinan</t>
  </si>
  <si>
    <t xml:space="preserve">ASSAY: Xpert MTB/RIF, COUNT: 849
ASSAY: Xpert MTB/RIF Ultra, COUNT: 1497
</t>
  </si>
  <si>
    <t>Performed surface cleaning
Generate Pre-IQR
Performed module replacement
Generate Post-IQR
Performe preventive maintenance
Gathered report files
Performed functionality test</t>
  </si>
  <si>
    <t>Mosule replacement
Preventive maintenance</t>
  </si>
  <si>
    <t>https://www.jotform.com/uploads/macarewecare/222927978372067/5534600412022056248/5534600412022056248_signature_28.png</t>
  </si>
  <si>
    <t>https://www.jotform.com/uploads/macarewecare/222927978372067/5534600412022056248/5534600412022056248_signature_31.png</t>
  </si>
  <si>
    <t>Dr. Emigdio C. Cruz Sr. Mermorial Hospital</t>
  </si>
  <si>
    <t>labeccmh@gmail.com</t>
  </si>
  <si>
    <t xml:space="preserve">ASSAY: Xpert BCR-ABL Ultra, COUNT: 0
</t>
  </si>
  <si>
    <t>Performed Maintenance
Gathered Reports
Installed New PC
Pull out back up PC
Installed MTB ULTRA assay
Installed Driver for Printer
Performed Functionality Test</t>
  </si>
  <si>
    <t>Genexpert PC - CPH0322F32851</t>
  </si>
  <si>
    <t>https://www.jotform.com/uploads/macarewecare/222927978372067/5534522050811341538/5534522050811341538_signature_28.png</t>
  </si>
  <si>
    <t>https://www.jotform.com/uploads/macarewecare/222927978372067/5534522050811341538/5534522050811341538_signature_31.png</t>
  </si>
  <si>
    <t>https://www.jotform.com/uploads/macarewecare/222927978372067/5534495525529961161/5534495525529961161_signature_28.png</t>
  </si>
  <si>
    <t>https://www.jotform.com/uploads/macarewecare/222927978372067/5534495525529961161/5534495525529961161_signature_31.png</t>
  </si>
  <si>
    <t>https://www.jotform.com/uploads/macarewecare/222927978372067/5534495345526880753/5534495345526880753_signature_28.png</t>
  </si>
  <si>
    <t>https://www.jotform.com/uploads/macarewecare/222927978372067/5534495345526880753/5534495345526880753_signature_31.png</t>
  </si>
  <si>
    <t>https://www.jotform.com/uploads/macarewecare/222927978372067/5534495185521903906/5534495185521903906_signature_28.png</t>
  </si>
  <si>
    <t>https://www.jotform.com/uploads/macarewecare/222927978372067/5534495185521903906/5534495185521903906_signature_31.png</t>
  </si>
  <si>
    <t>Balagtas Rural Health Unit I</t>
  </si>
  <si>
    <t>april.joyce04@gmail.com</t>
  </si>
  <si>
    <t xml:space="preserve">ASSAY: Xpert MTB/RIF, COUNT: 114
ASSAY: Xpert MTB/RIF Ultra, COUNT: 351 
</t>
  </si>
  <si>
    <t>Unit is operational. UPS is beeping non stop. UPS is recommended for replacement/repair. All modules passed xpertcheck.</t>
  </si>
  <si>
    <t>https://www.jotform.com/uploads/macarewecare/222927978372067/5533979092224056401/5533979092224056401_signature_28.png</t>
  </si>
  <si>
    <t>Joyce Arela</t>
  </si>
  <si>
    <t>https://www.jotform.com/uploads/macarewecare/222927978372067/5533979092224056401/5533979092224056401_signature_31.png</t>
  </si>
  <si>
    <t>Norzagaray,  Bulacan</t>
  </si>
  <si>
    <t xml:space="preserve">ASSAY: Xpert MTB/RIF, COUNT: 197
ASSAY: Xpert MTB/RIF Ultra, COUNT: 667
</t>
  </si>
  <si>
    <t>- checked &amp; cleaned cartridge bay, plunger rod, filter 
- replaced module B3 by 708483
- Generated reports 
- Performed reliability test</t>
  </si>
  <si>
    <t>https://www.jotform.com/uploads/macarewecare/222927978372067/5533979092224142720/5533979092224142720_signature_28.png</t>
  </si>
  <si>
    <t>https://www.jotform.com/uploads/macarewecare/222927978372067/5533979092224142720/5533979092224142720_signature_31.png</t>
  </si>
  <si>
    <t>Brgy. Calumpang</t>
  </si>
  <si>
    <t xml:space="preserve">ASSAY: Xpert MTB/RIF, COUNT: 566
ASSAY: Xpert MTB/RIF Ultra, COUNT: 976
</t>
  </si>
  <si>
    <t>Module B4 H/W failed due to temperature error</t>
  </si>
  <si>
    <t>Perform Genexpert machine Preventive maintenance
Observe module B4 during actual sample running for module Troubleshooting</t>
  </si>
  <si>
    <t>https://www.jotform.com/uploads/macarewecare/222927978372067/5533831159415118259/5533831159415118259_signature_28.png</t>
  </si>
  <si>
    <t>https://www.jotform.com/uploads/macarewecare/222927978372067/5533831159415118259/5533831159415118259_signature_31.png</t>
  </si>
  <si>
    <t xml:space="preserve">ASSAY: Xpert MTB/RIF, COUNT: 186
ASSAY: Xpert MTB/RIF Ultra, COUNT: 768
</t>
  </si>
  <si>
    <t>Printer sometimes not working
Barcode scanner sometimes not working</t>
  </si>
  <si>
    <t>Troubleshoot the printer and bar code scanner</t>
  </si>
  <si>
    <t>Unit is Operational
Printer and barcode scanner for replacement</t>
  </si>
  <si>
    <t>Module Replacement - 629882 - 868986</t>
  </si>
  <si>
    <t>https://www.jotform.com/uploads/macarewecare/222927978372067/5533785100816259032/5533785100816259032_signature_28.png</t>
  </si>
  <si>
    <t>https://www.jotform.com/uploads/macarewecare/222927978372067/5533785100816259032/5533785100816259032_signature_31.png</t>
  </si>
  <si>
    <t>https://www.jotform.com/uploads/macarewecare/222927978372067/5533784930813440691/5533784930813440691_signature_28.png</t>
  </si>
  <si>
    <t>https://www.jotform.com/uploads/macarewecare/222927978372067/5533784930813440691/5533784930813440691_signature_31.png</t>
  </si>
  <si>
    <t>zhu_rin04@yahoo.com</t>
  </si>
  <si>
    <t xml:space="preserve">ASSAY: Xpert MTB/RIF, COUNT: 576
ASSAY: Xpert MTB/RIF Ultra, COUNT: 844
</t>
  </si>
  <si>
    <t>Module bay cleaning, Plunger rod cleaning, Filter cleaning, Xpertcheck run</t>
  </si>
  <si>
    <t>4 modulea operational</t>
  </si>
  <si>
    <t>https://www.jotform.com/uploads/macarewecare/222927978372067/5533738499918280565/5533738499918280565_signature_28.png</t>
  </si>
  <si>
    <t>Mary Cecil C. Jandumon</t>
  </si>
  <si>
    <t>https://www.jotform.com/uploads/macarewecare/222927978372067/5533738499918280565/5533738499918280565_signature_31.png</t>
  </si>
  <si>
    <t xml:space="preserve">ASSAY: Xpert MTB/RIF, COUNT: 22
ASSAY: Xpert SARS-CoV-2, COUNT: 361
</t>
  </si>
  <si>
    <t>A1 For moduoe replacement</t>
  </si>
  <si>
    <t>Performed surface cleaning
Generate Pre-IQR
Performed module replacement
Generate Post-IQR
Gathered reports
Archived test results
Performed functionality test</t>
  </si>
  <si>
    <t>Module replacement 
Preventive Mwintenance</t>
  </si>
  <si>
    <t>https://www.jotform.com/uploads/macarewecare/222927978372067/5533716254211838982/5533716254211838982_signature_28.png</t>
  </si>
  <si>
    <t>https://www.jotform.com/uploads/macarewecare/222927978372067/5533716254211838982/5533716254211838982_signature_31.png</t>
  </si>
  <si>
    <t xml:space="preserve">ASSAY: Xpert MTB/RIF, COUNT: 701
ASSAY: Xpert MTB/RIF Ultra, COUNT: 565
</t>
  </si>
  <si>
    <t>-Replace defective module B2/805711 with new module SN: 715981</t>
  </si>
  <si>
    <t>Module B1 - for reporting. Module B3 - waiting for module allocation. Module B2 &amp; B4 are functional.</t>
  </si>
  <si>
    <t>https://www.jotform.com/uploads/macarewecare/222927978372067/5533705442758115369/5533705442758115369_signature_28.png</t>
  </si>
  <si>
    <t>https://www.jotform.com/uploads/macarewecare/222927978372067/5533705442758115369/5533705442758115369_signature_31.png</t>
  </si>
  <si>
    <t xml:space="preserve">ASSAY: Xpert MTB/RIF Ultra, COUNT: 648
ASSAY: Xpert HIV-1 Viral Load, COUNT: 78
</t>
  </si>
  <si>
    <t>Additional Troubleshooting procedure on module C3 error 4008</t>
  </si>
  <si>
    <t>Performed cepheid troubleshooting procedures
Checked F1 fuse if opened and 0V detected
Performed module swap, ( C3 to C4 vice versa)
Performed functionality test</t>
  </si>
  <si>
    <t>Unit is operatial except module C2</t>
  </si>
  <si>
    <t>Module C4:772914 HW Failed</t>
  </si>
  <si>
    <t>https://www.jotform.com/uploads/macarewecare/222927978372067/5533703544213250355/5533703544213250355_signature_28.png</t>
  </si>
  <si>
    <t>https://www.jotform.com/uploads/macarewecare/222927978372067/5533703544213250355/5533703544213250355_signature_31.png</t>
  </si>
  <si>
    <t>ellaquimalbarracin@gmail.com</t>
  </si>
  <si>
    <t xml:space="preserve">ASSAY: Xpert MTB/RIF, COUNT: 65
ASSAY: Xpert MTB/RIF Ultra, COUNT: 430
</t>
  </si>
  <si>
    <t>Replacing of Temporary Monitor to Old Cepheid Monitor</t>
  </si>
  <si>
    <t>https://www.jotform.com/uploads/macarewecare/222927978372067/5533687112915571217/5533687112915571217_signature_28.png</t>
  </si>
  <si>
    <t>https://www.jotform.com/uploads/macarewecare/222927978372067/5533687112915571217/5533687112915571217_signature_31.png</t>
  </si>
  <si>
    <t>Padada Rural Health</t>
  </si>
  <si>
    <t>Poblacion, Padada Davao Del Sur</t>
  </si>
  <si>
    <t xml:space="preserve">ASSAY: Xpert MTB/RIF Ultra, COUNT: 238
</t>
  </si>
  <si>
    <t>https://www.jotform.com/uploads/macarewecare/222927978372067/5533645097311863694/5533645097311863694_signature_28.png</t>
  </si>
  <si>
    <t>Marvielyn Lusica</t>
  </si>
  <si>
    <t>https://www.jotform.com/uploads/macarewecare/222927978372067/5533645097311863694/5533645097311863694_signature_31.png</t>
  </si>
  <si>
    <t>https://www.jotform.com/uploads/macarewecare/222927978372067/5533645057314294262/5533645057314294262_signature_28.png</t>
  </si>
  <si>
    <t>https://www.jotform.com/uploads/macarewecare/222927978372067/5533645057314294262/5533645057314294262_signature_31.png</t>
  </si>
  <si>
    <t>Bogo City, Mountain Breeze</t>
  </si>
  <si>
    <t xml:space="preserve">ASSAY: Xpert MTB/RIF, COUNT: 947
</t>
  </si>
  <si>
    <t>Error 4009, 1001 and 1002</t>
  </si>
  <si>
    <t>Module replacement of new Module 614200</t>
  </si>
  <si>
    <t>Module replacement of Module 634956</t>
  </si>
  <si>
    <t>Module serial number 614200</t>
  </si>
  <si>
    <t>https://www.jotform.com/uploads/macarewecare/222927978372067/5533636399317554389/5533636399317554389_signature_28.png</t>
  </si>
  <si>
    <t>https://www.jotform.com/uploads/macarewecare/222927978372067/5533636399317554389/5533636399317554389_signature_31.png</t>
  </si>
  <si>
    <t>Fuente Osmena, Capitol Site</t>
  </si>
  <si>
    <t>Bowl Leaked</t>
  </si>
  <si>
    <t>Repair and Cleaned bowl area</t>
  </si>
  <si>
    <t>https://www.jotform.com/uploads/macarewecare/222927978372067/5533107495952456299/5533107495952456299_signature_28.png</t>
  </si>
  <si>
    <t>Mayleen Jakosalem</t>
  </si>
  <si>
    <t>https://www.jotform.com/uploads/macarewecare/222927978372067/5533107495952456299/5533107495952456299_signature_31.png</t>
  </si>
  <si>
    <t xml:space="preserve">ASSAY: Xpert MTB/RIF, COUNT: 271
ASSAY: Xpert MTB/RIF Ultra, COUNT: 2521
</t>
  </si>
  <si>
    <t>Module B4 Service Required</t>
  </si>
  <si>
    <t>https://www.jotform.com/uploads/macarewecare/222927978372067/5532933110515158994/5532933110515158994_signature_28.png</t>
  </si>
  <si>
    <t>https://www.jotform.com/uploads/macarewecare/222927978372067/5532933110515158994/5532933110515158994_signature_31.png</t>
  </si>
  <si>
    <t xml:space="preserve">ASSAY: Xpert MTB/RIF, COUNT: 519
ASSAY: Xpert MTB/RIF Ultra, COUNT: 717
</t>
  </si>
  <si>
    <t>Maintenance bay cleaning, Plunger rod maintenace, Filter cleaning</t>
  </si>
  <si>
    <t>https://www.jotform.com/uploads/macarewecare/222927978372067/5532863358027901515/5532863358027901515_signature_28.png</t>
  </si>
  <si>
    <t>Jose Ali C. Treyes</t>
  </si>
  <si>
    <t>https://www.jotform.com/uploads/macarewecare/222927978372067/5532863358027901515/5532863358027901515_signature_31.png</t>
  </si>
  <si>
    <t>https://www.jotform.com/uploads/macarewecare/222927978372067/5532863268027510472/5532863268027510472_signature_28.png</t>
  </si>
  <si>
    <t>https://www.jotform.com/uploads/macarewecare/222927978372067/5532863268027510472/5532863268027510472_signature_31.png</t>
  </si>
  <si>
    <t>R. Ave.,Manila</t>
  </si>
  <si>
    <t xml:space="preserve">ASSAY: Xpert HPV, COUNT: 629
ASSAY: Xpert MTB/RIF Ultra, COUNT: 35
ASSAY: Xpert SARS-CoV-2, COUNT: 1365
</t>
  </si>
  <si>
    <t>GXIV- D</t>
  </si>
  <si>
    <t>Unit is due for Xpertcheck</t>
  </si>
  <si>
    <t>Performed Maintenance
Performed xpertcheck
Generate Reports</t>
  </si>
  <si>
    <t>DR# 9466</t>
  </si>
  <si>
    <t>https://www.jotform.com/uploads/macarewecare/222927978372067/5532766811213979942/5532766811213979942_signature_28.png</t>
  </si>
  <si>
    <t>https://www.jotform.com/uploads/macarewecare/222927978372067/5532766811213979942/5532766811213979942_signature_31.png</t>
  </si>
  <si>
    <t>1 module for replacement, 3 modules are operational</t>
  </si>
  <si>
    <t>XC: All modules passed</t>
  </si>
  <si>
    <t>https://www.jotform.com/uploads/macarewecare/222927978372067/5532766811216688996/5532766811216688996_signature_28.png</t>
  </si>
  <si>
    <t>https://www.jotform.com/uploads/macarewecare/222927978372067/5532766811216688996/5532766811216688996_signature_31.png</t>
  </si>
  <si>
    <t xml:space="preserve">ASSAY: Xpert HPV, COUNT: 923
ASSAY: Xpert SARS-CoV-2, COUNT: 3373
</t>
  </si>
  <si>
    <t>GX16 - D - 10-C</t>
  </si>
  <si>
    <t>Temp problem in module A4</t>
  </si>
  <si>
    <t>Replaced module 4
Performed Maintenance
Generate Reports</t>
  </si>
  <si>
    <t>12 modules are operational, 4 modules for replacement</t>
  </si>
  <si>
    <t>210069235→ 210078094</t>
  </si>
  <si>
    <t>GX Module kit 10-c</t>
  </si>
  <si>
    <t>DR# 9641</t>
  </si>
  <si>
    <t>https://www.jotform.com/uploads/macarewecare/222927978372067/5532766811217912030/5532766811217912030_signature_28.png</t>
  </si>
  <si>
    <t>https://www.jotform.com/uploads/macarewecare/222927978372067/5532766811217912030/5532766811217912030_signature_31.png</t>
  </si>
  <si>
    <t>Unit has temp. errors on module 1</t>
  </si>
  <si>
    <t>Xpertcheck
Maintenance</t>
  </si>
  <si>
    <t>Performed Maintenance
Performed Xpertcheck on reported module
Generate Reports</t>
  </si>
  <si>
    <t>1 module operational, 3 modules for replacement. Module 1 passed but H/W failed in GX software.</t>
  </si>
  <si>
    <t>https://www.jotform.com/uploads/macarewecare/222927978372067/5532766811219815375/5532766811219815375_signature_28.png</t>
  </si>
  <si>
    <t>https://www.jotform.com/uploads/macarewecare/222927978372067/5532766811219815375/5532766811219815375_signature_31.png</t>
  </si>
  <si>
    <t>San Fernando City</t>
  </si>
  <si>
    <t xml:space="preserve">ASSAY: Xpert HPV, COUNT: 672
ASSAY: Xpert MTB/RIF, COUNT: 725
ASSAY: Xpert MTB/RIF Ultra, COUNT: 712
ASSAY: Others, COUNT: 572
ASSAY: Xpert SARS-CoV-2, COUNT: 282
</t>
  </si>
  <si>
    <t>Module replacement for modules 
B1:210002714
B3:210002718</t>
  </si>
  <si>
    <t>Performed surface cleaning
Generate Pre IQR
Performed module replacement
Generate Post IQR
Performed preventive maintenance
Generate reports
Archived test results
Performed functionality test</t>
  </si>
  <si>
    <t>New modules B1:210078192 and B3:210078088</t>
  </si>
  <si>
    <t>https://www.jotform.com/uploads/macarewecare/222927978372067/5532753881219710602/5532753881219710602_signature_28.png</t>
  </si>
  <si>
    <t>Marie Jennifer Culo</t>
  </si>
  <si>
    <t>https://www.jotform.com/uploads/macarewecare/222927978372067/5532753881219710602/5532753881219710602_signature_31.png</t>
  </si>
  <si>
    <t xml:space="preserve">ASSAY: Xpert MTB/RIF, COUNT: 213
ASSAY: Xpert MTB/RIF Ultra, COUNT: 1556
ASSAY: Xpert HIV-1 Viral Load, COUNT: 158
</t>
  </si>
  <si>
    <t>Performed maintenance 
Cleaned cartridge bay,  plunger rod, icore
Generated reports</t>
  </si>
  <si>
    <t>Modules D1 and D4 operational.</t>
  </si>
  <si>
    <t>Modules D2/690385 and D3/709295 not operational. Reported already.</t>
  </si>
  <si>
    <t>https://www.jotform.com/uploads/macarewecare/222927978372067/5532676801211807241/5532676801211807241_signature_28.png</t>
  </si>
  <si>
    <t>Amelia  C. Mitra</t>
  </si>
  <si>
    <t>https://www.jotform.com/uploads/macarewecare/222927978372067/5532676801211807241/5532676801211807241_signature_31.png</t>
  </si>
  <si>
    <t xml:space="preserve">ASSAY: Xpert MTB/RIF, COUNT: 286
ASSAY: Xpert MTB/RIF Ultra, COUNT: 1349
ASSAY: Xpert HIV-1 Viral Load, COUNT: 111
</t>
  </si>
  <si>
    <t>Performed maintenance 
Replaced UPS
Generated reports</t>
  </si>
  <si>
    <t>Module A1 and A4 operational. Module A2 operational but with existing report. Module A3 not operational.</t>
  </si>
  <si>
    <t>Accupower 1kva UPS</t>
  </si>
  <si>
    <t>DR# 9600</t>
  </si>
  <si>
    <t>https://www.jotform.com/uploads/macarewecare/222927978372067/5532676801214391868/5532676801214391868_signature_28.png</t>
  </si>
  <si>
    <t>https://www.jotform.com/uploads/macarewecare/222927978372067/5532676801214391868/5532676801214391868_signature_31.png</t>
  </si>
  <si>
    <t xml:space="preserve">ASSAY: Xpert MTB/RIF, COUNT: 153
ASSAY: Xpert MTB/RIF Ultra, COUNT: 618
ASSAY: Xpert HIV-1 Viral Load, COUNT: 52
</t>
  </si>
  <si>
    <t>Monitor shutting down</t>
  </si>
  <si>
    <t>Performed maintenance 
Checked monitor
Generated reports</t>
  </si>
  <si>
    <t>Modules A1, A2 and A4 operational. Recommend to replace monitor.</t>
  </si>
  <si>
    <t>Module A3/754520 not operational. Reported already.</t>
  </si>
  <si>
    <t>https://www.jotform.com/uploads/macarewecare/222927978372067/5532676801214415734/5532676801214415734_signature_28.png</t>
  </si>
  <si>
    <t>https://www.jotform.com/uploads/macarewecare/222927978372067/5532676801214415734/5532676801214415734_signature_31.png</t>
  </si>
  <si>
    <t xml:space="preserve">ASSAY: Xpert MTB/RIF, COUNT: 163
ASSAY: Xpert MTB/RIF Ultra, COUNT: 580
ASSAY: Xpert HIV-1 Viral Load, COUNT: 46
</t>
  </si>
  <si>
    <t>Communication erron on module B2</t>
  </si>
  <si>
    <t>Check internal connections</t>
  </si>
  <si>
    <t>Performed maintenance 
Checked modules connection 
Checked gateway board
Generated reports</t>
  </si>
  <si>
    <t>Modules B1, B3 and B4 operational.</t>
  </si>
  <si>
    <t>https://www.jotform.com/uploads/macarewecare/222927978372067/5532676801219588516/5532676801219588516_signature_28.png</t>
  </si>
  <si>
    <t>https://www.jotform.com/uploads/macarewecare/222927978372067/5532676801219588516/5532676801219588516_signature_31.png</t>
  </si>
  <si>
    <t xml:space="preserve">ASSAY: Xpert MTB/RIF, COUNT: 192
ASSAY: Xpert MTB/RIF Ultra, COUNT: 900
</t>
  </si>
  <si>
    <t>Performed maintenance 
Removed sticker cartridge 
Generated reports</t>
  </si>
  <si>
    <t>https://www.jotform.com/uploads/macarewecare/222927978372067/5532676801219970679/5532676801219970679_signature_28.png</t>
  </si>
  <si>
    <t>https://www.jotform.com/uploads/macarewecare/222927978372067/5532676801219970679/5532676801219970679_signature_31.png</t>
  </si>
  <si>
    <t xml:space="preserve">ASSAY: Xpert BCR-ABL Ultra, COUNT: 1
ASSAY: Xpert CT/NG, COUNT: 8
ASSAY: Xpert HBV VL, COUNT: 14
ASSAY: Xpert HPV, COUNT: 52
ASSAY: Xpert MTB/RIF, COUNT: 49
ASSAY: Xpert MTB/RIF Ultra, COUNT: 193
ASSAY: Others, COUNT: 2
ASSAY: Xpert HCV VL, COUNT: 9
ASSAY: Xpert HIV-1 Viral Load, COUNT: 53
</t>
  </si>
  <si>
    <t>Performed maintenance 
Connect to network switch
Generated reports</t>
  </si>
  <si>
    <t>https://www.jotform.com/uploads/macarewecare/222927978372067/5532676721211901293/5532676721211901293_signature_28.png</t>
  </si>
  <si>
    <t>PAOLO</t>
  </si>
  <si>
    <t>https://www.jotform.com/uploads/macarewecare/222927978372067/5532676721211901293/5532676721211901293_signature_31.png</t>
  </si>
  <si>
    <t>East Avenue</t>
  </si>
  <si>
    <t xml:space="preserve">ASSAY: Xpert HPV, COUNT: 304
ASSAY: Xpert SARS-CoV-2, COUNT: 1087
ASSAY: Others, COUNT: 2
</t>
  </si>
  <si>
    <t>Module B4/210069598 for replacement</t>
  </si>
  <si>
    <t>Old B4/210069598
New B4/210077551</t>
  </si>
  <si>
    <t>DR# 9645</t>
  </si>
  <si>
    <t>https://www.jotform.com/uploads/macarewecare/222927978372067/5532676721213751071/5532676721213751071_signature_28.png</t>
  </si>
  <si>
    <t>Ann Gylene Sisante</t>
  </si>
  <si>
    <t>https://www.jotform.com/uploads/macarewecare/222927978372067/5532676721213751071/5532676721213751071_signature_31.png</t>
  </si>
  <si>
    <t xml:space="preserve">ASSAY: Xpert BCR-ABL Ultra, COUNT: 5
ASSAY: Others, COUNT: 29
ASSAY: Others, COUNT: 16
ASSAY: Xpert CT/NG, COUNT: 8
ASSAY: Others, COUNT: 4
ASSAY: Xpert HBV VL, COUNT: 201
ASSAY: Xpert HPV, COUNT: 233
ASSAY: Xpert MTB/RIF, COUNT: 144
ASSAY: Xpert MTB/RIF Ultra, COUNT: 2049
ASSAY: Xpert SARS-CoV-2, COUNT: 7
ASSAY: Xpert HCV VL, COUNT: 53
</t>
  </si>
  <si>
    <t>Laptop charger not working</t>
  </si>
  <si>
    <t>Checked charger</t>
  </si>
  <si>
    <t>Performed maintenance 
Checked charger 
Checked battery
Connect to network switch
Generated reports</t>
  </si>
  <si>
    <t>https://www.jotform.com/uploads/macarewecare/222927978372067/5532676721214022001/5532676721214022001_signature_28.png</t>
  </si>
  <si>
    <t>https://www.jotform.com/uploads/macarewecare/222927978372067/5532676721214022001/5532676721214022001_signature_31.png</t>
  </si>
  <si>
    <t xml:space="preserve">ASSAY: Xpert BCR-ABL Ultra, COUNT: 1
ASSAY: Xpert MTB/RIF, COUNT: 16
ASSAY: Xpert MTB/RIF Ultra, COUNT: 2064
ASSAY: Xpert SARS-CoV-2, COUNT: 6224
ASSAY: Others, COUNT: 18
</t>
  </si>
  <si>
    <t>Modules A3 and D2 for replacement</t>
  </si>
  <si>
    <t>Unit is operational.  Module B1/210069274 not operational but already reported.</t>
  </si>
  <si>
    <t>Old A3/210069033, D2/210069280
New A3/210077159, D2/210078182</t>
  </si>
  <si>
    <t>DR# 9646</t>
  </si>
  <si>
    <t>https://www.jotform.com/uploads/macarewecare/222927978372067/5532676721216529275/5532676721216529275_signature_28.png</t>
  </si>
  <si>
    <t>Ice Catalan</t>
  </si>
  <si>
    <t>https://www.jotform.com/uploads/macarewecare/222927978372067/5532676721216529275/5532676721216529275_signature_31.png</t>
  </si>
  <si>
    <t xml:space="preserve">ASSAY: Xpert MTB/RIF, COUNT: 497
ASSAY: Xpert MTB/RIF Ultra, COUNT: 166
ASSAY: Xpert SARS-CoV-2, COUNT: 2327
</t>
  </si>
  <si>
    <t>Performed maintenance 
Cleaned plunger rod, icore, cartridge bay 
Generated reports</t>
  </si>
  <si>
    <t>https://www.jotform.com/uploads/macarewecare/222927978372067/5532676721218031649/5532676721218031649_signature_28.png</t>
  </si>
  <si>
    <t>https://www.jotform.com/uploads/macarewecare/222927978372067/5532676721218031649/5532676721218031649_signature_31.png</t>
  </si>
  <si>
    <t>Tondo, Manila</t>
  </si>
  <si>
    <t xml:space="preserve">ASSAY: Xpert HPV, COUNT: 43
ASSAY: Others, COUNT: 423
ASSAY: Xpert MTB/RIF, COUNT: 461
ASSAY: Xpert MTB/RIF Ultra, COUNT: 1041
ASSAY: Xpert SARS-CoV-2, COUNT: 11066
ASSAY: Xpert HIV-1 Viral Load, COUNT: 3
</t>
  </si>
  <si>
    <t>Replaced modules A1, A2, A4, B2, B3, C4</t>
  </si>
  <si>
    <t>Unit is operational. Module B4 for reporting</t>
  </si>
  <si>
    <t>Genexpert module
SN: 210057331, 210052269, 220003328, 220004106, 608884, 618126</t>
  </si>
  <si>
    <t>https://www.jotform.com/uploads/macarewecare/222927978372067/5532676381211728262/5532676381211728262_signature_28.png</t>
  </si>
  <si>
    <t>Kyle Emmanuel Cruz</t>
  </si>
  <si>
    <t>https://www.jotform.com/uploads/macarewecare/222927978372067/5532676381211728262/5532676381211728262_signature_31.png</t>
  </si>
  <si>
    <t>juliecaladormt@gmail.com</t>
  </si>
  <si>
    <t xml:space="preserve">ASSAY: Xpert MTB/RIF, COUNT: 960
ASSAY: Xpert MTB/RIF Ultra, COUNT: 1276
ASSAY: Xpert SARS-CoV-2, COUNT: 5226
ASSAY: Xpert HIV-1 Viral Load, COUNT: 22
</t>
  </si>
  <si>
    <t>GeneXpert Module
SN: 210019248, 210051875, 210051368, 210045352, 210033753, 210029448, 210020537, 210020134</t>
  </si>
  <si>
    <t>https://www.jotform.com/uploads/macarewecare/222927978372067/5532676381218563448/5532676381218563448_signature_28.png</t>
  </si>
  <si>
    <t>Julie Anne Calado</t>
  </si>
  <si>
    <t>https://www.jotform.com/uploads/macarewecare/222927978372067/5532676381218563448/5532676381218563448_signature_31.png</t>
  </si>
  <si>
    <t xml:space="preserve">ASSAY: Xpert MTB/RIF, COUNT: 36
ASSAY: Xpert MTB/RIF Ultra, COUNT: 371
</t>
  </si>
  <si>
    <t>Unit is operational. Modules A1 A3 and A4 passed Xpertcheck.</t>
  </si>
  <si>
    <t>DR 9484</t>
  </si>
  <si>
    <t>https://www.jotform.com/uploads/macarewecare/222927978372067/5532675741214080814/5532675741214080814_signature_28.png</t>
  </si>
  <si>
    <t>https://www.jotform.com/uploads/macarewecare/222927978372067/5532675741214080814/5532675741214080814_signature_31.png</t>
  </si>
  <si>
    <t xml:space="preserve">ASSAY: Xpert MTB/RIF, COUNT: 164
ASSAY: Xpert MTB/RIF Ultra, COUNT: 1425
</t>
  </si>
  <si>
    <t>DR 9488</t>
  </si>
  <si>
    <t>https://www.jotform.com/uploads/macarewecare/222927978372067/5532675741218702192/5532675741218702192_signature_28.png</t>
  </si>
  <si>
    <t>https://www.jotform.com/uploads/macarewecare/222927978372067/5532675741218702192/5532675741218702192_signature_31.png</t>
  </si>
  <si>
    <t>Brgy II, Mataas na Kahoy</t>
  </si>
  <si>
    <t xml:space="preserve">ASSAY: Xpert MTB/RIF, COUNT: 55
ASSAY: Xpert MTB/RIF Ultra, COUNT: 282
</t>
  </si>
  <si>
    <t>Unit for preventive maintenance.
Unit for Xpertcheck.
For module replacement of module B3.</t>
  </si>
  <si>
    <t>Performed preventive maintenance.
Performed module replacement on B3.
Performed Xpertcheck.
Generated reports.</t>
  </si>
  <si>
    <t>Preventive maintenance, Xpertcheck and Module replacement.</t>
  </si>
  <si>
    <t>GX module for B3(210068186) in replacement to defective module B3(860135).</t>
  </si>
  <si>
    <t>G5112</t>
  </si>
  <si>
    <t>https://www.jotform.com/uploads/macarewecare/222927978372067/5504283053963764095/5504283053963764095_signature_28.png</t>
  </si>
  <si>
    <t>https://www.jotform.com/uploads/macarewecare/222927978372067/5504283053963764095/5504283053963764095_signature_31.png</t>
  </si>
  <si>
    <t>Fuente Capitol Site, Cebu City</t>
  </si>
  <si>
    <t>Wheel of the stand damage</t>
  </si>
  <si>
    <t>Repair wheel and align</t>
  </si>
  <si>
    <t>Repair wheel and set up alignment</t>
  </si>
  <si>
    <t>Bolts and nut with washer</t>
  </si>
  <si>
    <t>https://www.jotform.com/uploads/macarewecare/222927978372067/5531246637885023691/5531246637885023691_signature_28.png</t>
  </si>
  <si>
    <t>Arianne Mae Guerrero</t>
  </si>
  <si>
    <t>https://www.jotform.com/uploads/macarewecare/222927978372067/5531246637885023691/5531246637885023691_signature_31.png</t>
  </si>
  <si>
    <t>Quezon ave.diliman qc</t>
  </si>
  <si>
    <t>lcppathology@gmail.com</t>
  </si>
  <si>
    <t>cleaned unit, checked valve,rollers,line sensor,display panel,dpm,spm,cuff,,performed functionality test</t>
  </si>
  <si>
    <t>https://www.jotform.com/uploads/https:/www.jotform.com/uploads/macarewecare/222927978372067/5530506992774706530/5530506992774706530_signature_28.png</t>
  </si>
  <si>
    <t>Rhona Babilonai</t>
  </si>
  <si>
    <t>https://www.jotform.com/uploads/https:/www.jotform.com/uploads/macarewecare/222927978372067/5530506992774706530/5530506992774706530_signature_31.png</t>
  </si>
  <si>
    <t>Bicol medical center</t>
  </si>
  <si>
    <t>Bmc road,naga city</t>
  </si>
  <si>
    <t>Performed installation,performed functionality test</t>
  </si>
  <si>
    <t>Installation,</t>
  </si>
  <si>
    <t>Unit calibrated 2/20/2023</t>
  </si>
  <si>
    <t>https://www.jotform.com/uploads/macarewecare/222927978372067/5530506992778109803/5530506992778109803_signature_28.png</t>
  </si>
  <si>
    <t>Ma. Charity P de los Reyes</t>
  </si>
  <si>
    <t>https://www.jotform.com/uploads/macarewecare/222927978372067/5530506992778109803/5530506992778109803_signature_31.png</t>
  </si>
  <si>
    <t>Mexico, Pampanga</t>
  </si>
  <si>
    <t>jasperdizon02@yahoo.com</t>
  </si>
  <si>
    <t xml:space="preserve">ASSAY: Xpert MTB/RIF, COUNT: 157
ASSAY: Xpert MTB/RIF Ultra, COUNT: 268
</t>
  </si>
  <si>
    <t>https://www.jotform.com/uploads/macarewecare/222927978372067/5529728912024215963/5529728912024215963_signature_28.png</t>
  </si>
  <si>
    <t>JASPER P. DIZON</t>
  </si>
  <si>
    <t>https://www.jotform.com/uploads/macarewecare/222927978372067/5529728912024215963/5529728912024215963_signature_31.png</t>
  </si>
  <si>
    <t>Poblacion Antipas</t>
  </si>
  <si>
    <t xml:space="preserve">ASSAY: Xpert MTB/RIF, COUNT: 229
ASSAY: Xpert MTB/RIF Ultra, COUNT: 442
</t>
  </si>
  <si>
    <t>Module B1 encounter multiple Temperature Error
For Preventive Maintenance</t>
  </si>
  <si>
    <t>Clean Surface Area, Cartridge Bay, Plunger Rod, Fan Filters and Icore Lenses
Generate IQR, Assay Stat and System Log
Archived Data test results
Perform XPERTCHECK Calibration at Module B1 only</t>
  </si>
  <si>
    <t>Perform Preventive Maintenance and XpertCheck Calibration for module B1 only</t>
  </si>
  <si>
    <t>Unit has 3 operational Modules
Module B1 for service required</t>
  </si>
  <si>
    <t>Xpertcheck CE cartridge</t>
  </si>
  <si>
    <t>https://www.jotform.com/uploads/macarewecare/222927978372067/5529528279021212151/5529528279021212151_signature_28.png</t>
  </si>
  <si>
    <t>https://www.jotform.com/uploads/macarewecare/222927978372067/5529528279021212151/5529528279021212151_signature_31.png</t>
  </si>
  <si>
    <t>T.Alonzo Baguio City</t>
  </si>
  <si>
    <t xml:space="preserve">ASSAY: Xpert HPV, COUNT: 3
ASSAY: Xpert MTB/RIF, COUNT: 76
ASSAY: Xpert MTB/RIF Ultra, COUNT: 876
</t>
  </si>
  <si>
    <t>Temperature error modules B1 and B2</t>
  </si>
  <si>
    <t>Performed surface cleaning
Cleaning of plunger rod,icore,cartridge bay and filter
Archived test results
Calibrate B1 and B2
Gathered reports
Performed functionality test</t>
  </si>
  <si>
    <t>Performed preventive maintenance
Performed calibration</t>
  </si>
  <si>
    <t>2 xpertcheck kits used</t>
  </si>
  <si>
    <t>https://www.jotform.com/uploads/macarewecare/222927978372067/5529488294013627017/5529488294013627017_signature_28.png</t>
  </si>
  <si>
    <t>https://www.jotform.com/uploads/macarewecare/222927978372067/5529488294013627017/5529488294013627017_signature_31.png</t>
  </si>
  <si>
    <t>Macare In- House</t>
  </si>
  <si>
    <t>Accounting</t>
  </si>
  <si>
    <t>adminassistant@macare-medicals.com</t>
  </si>
  <si>
    <t>APC BX625CI - MS</t>
  </si>
  <si>
    <t>3B1717X11292</t>
  </si>
  <si>
    <t>Battery
SN: 459864</t>
  </si>
  <si>
    <t>https://www.jotform.com/uploads/macarewecare/222927978372067/5529454471212204291/5529454471212204291_signature_28.png</t>
  </si>
  <si>
    <t>Renelyn Laurel</t>
  </si>
  <si>
    <t>https://www.jotform.com/uploads/macarewecare/222927978372067/5529454471212204291/5529454471212204291_signature_31.png</t>
  </si>
  <si>
    <t>Gov. Pack Rd. Baguio City</t>
  </si>
  <si>
    <t>Installation and setup of Genexpert
Setup Genexpert users
Installation of printers
Gathered reports
Performed functionality test</t>
  </si>
  <si>
    <t>Genexpert Machine set</t>
  </si>
  <si>
    <t>https://www.jotform.com/uploads/macarewecare/222927978372067/5529444114017219802/5529444114017219802_signature_28.png</t>
  </si>
  <si>
    <t>https://www.jotform.com/uploads/macarewecare/222927978372067/5529444114017219802/5529444114017219802_signature_31.png</t>
  </si>
  <si>
    <t>Labuan General Hospital</t>
  </si>
  <si>
    <t>Labuan, Zamboanga City, Zamboanga del sur</t>
  </si>
  <si>
    <t>irenecasepe@yahoo.com</t>
  </si>
  <si>
    <t>Module 1 H/W failed error 4012</t>
  </si>
  <si>
    <t>Conducted Self test error, checked the room and modules temperatures, inspected if an heat source is available. Relocated the machine to a different building. Preventive Maintenance</t>
  </si>
  <si>
    <t>Module 1 keeps on H/W failed. Module 2, 3 and 4 are available.</t>
  </si>
  <si>
    <t>Module 1 wich is currently h/w failed, After conducting self test error becomes available again</t>
  </si>
  <si>
    <t>https://www.jotform.com/uploads/macarewecare/222927978372067/5529418568222943562/5529418568222943562_signature_28.png</t>
  </si>
  <si>
    <t>Irene A. Casepe</t>
  </si>
  <si>
    <t>https://www.jotform.com/uploads/macarewecare/222927978372067/5529418568222943562/5529418568222943562_signature_31.png</t>
  </si>
  <si>
    <t>Legazpi City, Albay</t>
  </si>
  <si>
    <t xml:space="preserve">ASSAY: Xpert MTB/RIF, COUNT: 303
ASSAY: Xpert MTB/RIF Ultra, COUNT: 1178
</t>
  </si>
  <si>
    <t>Module B2 is experiencing H/W failure, waiting for module allocation. Three other modules are operational.</t>
  </si>
  <si>
    <t>Currently GX machine is not functional due to non-functional UPS. Waiting for UPS replacement.</t>
  </si>
  <si>
    <t>https://www.jotform.com/uploads/macarewecare/222927978372067/5529396943427364980/5529396943427364980_signature_28.png</t>
  </si>
  <si>
    <t>https://www.jotform.com/uploads/macarewecare/222927978372067/5529396943427364980/5529396943427364980_signature_31.png</t>
  </si>
  <si>
    <t>Bagumbayan</t>
  </si>
  <si>
    <t xml:space="preserve">ASSAY: Xpert MTB/RIF, COUNT: 175
ASSAY: Xpert MTB/RIF Ultra, COUNT: 1166
</t>
  </si>
  <si>
    <t>https://www.jotform.com/uploads/macarewecare/222927978372067/5529324557429992203/5529324557429992203_signature_28.png</t>
  </si>
  <si>
    <t>https://www.jotform.com/uploads/macarewecare/222927978372067/5529324557429992203/5529324557429992203_signature_31.png</t>
  </si>
  <si>
    <t xml:space="preserve">ASSAY: Xpert MTB/RIF, COUNT: 165
ASSAY: Xpert MTB/RIF Ultra, COUNT: 419 
</t>
  </si>
  <si>
    <t>Performed Xpertcheck except on B4 since it is already reported for replacement.</t>
  </si>
  <si>
    <t>Unit is operational. B1 &amp; B3 passed calibration. B2 failed calibration. B2 for reporting.</t>
  </si>
  <si>
    <t>https://www.jotform.com/uploads/macarewecare/222927978372067/5529306331211850038/5529306331211850038_signature_28.png</t>
  </si>
  <si>
    <t>https://www.jotform.com/uploads/macarewecare/222927978372067/5529306331211850038/5529306331211850038_signature_31.png</t>
  </si>
  <si>
    <t>Baliuag, Bulacan</t>
  </si>
  <si>
    <t xml:space="preserve">ASSAY: Xpert MTB/RIF, COUNT: 116
ASSAY: Xpert MTB/RIF Ultra, COUNT: 282
ASSAY: Xpert HIV-1 Viral Load, COUNT: 31
</t>
  </si>
  <si>
    <t>Unit is operational. B1, B2, B4 passed calibration. B3 failed calibration. B3 for reporting.</t>
  </si>
  <si>
    <t>https://www.jotform.com/uploads/macarewecare/222927978372067/5529306331212494026/5529306331212494026_signature_28.png</t>
  </si>
  <si>
    <t>https://www.jotform.com/uploads/macarewecare/222927978372067/5529306331212494026/5529306331212494026_signature_31.png</t>
  </si>
  <si>
    <t xml:space="preserve">ASSAY: Xpert MTB/RIF, COUNT: 190
ASSAY: Xpert MTB/RIF Ultra, COUNT: 1916
ASSAY: Xpert HIV-1 Viral Load, COUNT: 100
</t>
  </si>
  <si>
    <t>performed Xpertcheck except C2 since it is already reported for replacement.</t>
  </si>
  <si>
    <t>Unit is operational. C3 passed calibration. C1, C4 failed calibration.</t>
  </si>
  <si>
    <t>https://www.jotform.com/uploads/macarewecare/222927978372067/5529306331218569529/5529306331218569529_signature_28.png</t>
  </si>
  <si>
    <t>https://www.jotform.com/uploads/macarewecare/222927978372067/5529306331218569529/5529306331218569529_signature_31.png</t>
  </si>
  <si>
    <t>Talisay City Poblacion</t>
  </si>
  <si>
    <t>Tb. Laboratory</t>
  </si>
  <si>
    <t>Error 2008 in Module 2</t>
  </si>
  <si>
    <t>Clean Plunger and Icore and monitor the module</t>
  </si>
  <si>
    <t>Clean Module 2</t>
  </si>
  <si>
    <t>https://www.jotform.com/uploads/macarewecare/222927978372067/5529273347115536482/5529273347115536482_signature_28.png</t>
  </si>
  <si>
    <t>Joseph Lorenzo Mercado</t>
  </si>
  <si>
    <t>https://www.jotform.com/uploads/macarewecare/222927978372067/5529273347115536482/5529273347115536482_signature_31.png</t>
  </si>
  <si>
    <t xml:space="preserve">ASSAY: Xpert MTB/RIF, COUNT: 302
ASSAY: Xpert MTB/RIF Ultra, COUNT: 353
</t>
  </si>
  <si>
    <t>Module (B1,B2,B4) Operational, Module B3 disabled (Waiting for module replacement)</t>
  </si>
  <si>
    <t>https://www.jotform.com/uploads/macarewecare/222927978372067/5529257320791224811/5529257320791224811_signature_28.png</t>
  </si>
  <si>
    <t>Ma.Teresa E.Aliman</t>
  </si>
  <si>
    <t>https://www.jotform.com/uploads/macarewecare/222927978372067/5529257320791224811/5529257320791224811_signature_31.png</t>
  </si>
  <si>
    <t>B.S Aquino Drive, Bacolod City</t>
  </si>
  <si>
    <t>Laboratory Department</t>
  </si>
  <si>
    <t>laboratory@rivermedcenter.net</t>
  </si>
  <si>
    <t xml:space="preserve">ASSAY: Xpert BCR-ABL Ultra, COUNT: 1
ASSAY: Xpert HBV VL, COUNT: 41
ASSAY: Xpert HPV, COUNT: 21
ASSAY: Xpert MTB/RIF, COUNT: 1
ASSAY: Xpert MTB/RIF Ultra, COUNT: 33
ASSAY: Xpert HCV VL, COUNT: 49
</t>
  </si>
  <si>
    <t>They requested for module validation for newly replaced module for B2 as requirement for their Audit.</t>
  </si>
  <si>
    <t>Module B2 passed the calibration. Save copy of GXX file and IQR for reporting.</t>
  </si>
  <si>
    <t>Perform Xpert check calibration for module B2 with S/N 210070907.</t>
  </si>
  <si>
    <t>Lot No. 05502</t>
  </si>
  <si>
    <t>1 Xpert check</t>
  </si>
  <si>
    <t>https://www.jotform.com/uploads/macarewecare/222927978372067/5529215160809250926/5529215160809250926_signature_28.png</t>
  </si>
  <si>
    <t>Nicholle Maravilla</t>
  </si>
  <si>
    <t>https://www.jotform.com/uploads/macarewecare/222927978372067/5529215160809250926/5529215160809250926_signature_31.png</t>
  </si>
  <si>
    <t xml:space="preserve">ASSAY: Xpert MTB/RIF, COUNT: 204
ASSAY: Xpert MTB/RIF Ultra, COUNT: 471
ASSAY: Xpert HIV-1 Viral Load, COUNT: 10
</t>
  </si>
  <si>
    <t>Performed surface cleaning
Cleaning of plunger rod,cartridge bay,icore and filter
Archived test results
Performed calibration
Gathered reports
Performed functionality test</t>
  </si>
  <si>
    <t>Unit is operational except modules A1,A3 and A4</t>
  </si>
  <si>
    <t>A1 failed xpertcheck for reporting</t>
  </si>
  <si>
    <t>3 pcs Genexpert Xpertcheck kits</t>
  </si>
  <si>
    <t>https://www.jotform.com/uploads/macarewecare/222927978372067/5528639169128567679/5528639169128567679_signature_28.png</t>
  </si>
  <si>
    <t>https://www.jotform.com/uploads/macarewecare/222927978372067/5528639169128567679/5528639169128567679_signature_31.png</t>
  </si>
  <si>
    <t xml:space="preserve">ASSAY: Xpert MTB/RIF, COUNT: 161
ASSAY: Xpert MTB/RIF Ultra, COUNT: 679
</t>
  </si>
  <si>
    <t>Error 4012 on module A1 
Due for calibration</t>
  </si>
  <si>
    <t>Performed surface cleaning
Cleaning of icore,cartridge bay, plunger rod and filter
Archived test results
Performed calibration
Gathered reports
Performed functionality test</t>
  </si>
  <si>
    <t>Unit is operational except modules A2 and A3</t>
  </si>
  <si>
    <t>2 Xpertcheck kits</t>
  </si>
  <si>
    <t>https://www.jotform.com/uploads/macarewecare/222927978372067/5528577919127048079/5528577919127048079_signature_28.png</t>
  </si>
  <si>
    <t>https://www.jotform.com/uploads/macarewecare/222927978372067/5528577919127048079/5528577919127048079_signature_31.png</t>
  </si>
  <si>
    <t xml:space="preserve">ASSAY: Xpert HBV VL, COUNT: 56
ASSAY: Xpert HPV, COUNT: 1
ASSAY: Xpert HCV VL, COUNT: 28
ASSAY: Xpert HIV-1 Viral Load, COUNT: 1196
</t>
  </si>
  <si>
    <t>Error 2096, 2097</t>
  </si>
  <si>
    <t>Performed Xpertcheck in module 1, 2, 3</t>
  </si>
  <si>
    <t>Xpertcheck - 2, 3, 4 - Service Required</t>
  </si>
  <si>
    <t>Xpertcheck 7pc</t>
  </si>
  <si>
    <t>https://www.jotform.com/uploads/https:/www.jotform.com/uploads/macarewecare/222927978372067/5528572247263166244/5528572247263166244_signature_28.png</t>
  </si>
  <si>
    <t>Concepcion Alfonso</t>
  </si>
  <si>
    <t>https://www.jotform.com/uploads/https:/www.jotform.com/uploads/macarewecare/222927978372067/5528572247263166244/5528572247263166244_signature_31.png</t>
  </si>
  <si>
    <t>gaelmarellita@gmail.com</t>
  </si>
  <si>
    <t xml:space="preserve">ASSAY: Xpert MTB/RIF, COUNT: 260
ASSAY: Xpert MTB/RIF Ultra, COUNT: 287
</t>
  </si>
  <si>
    <t>Clean Surface Area, Cartridge Bay, Plunger Rod, Fan Filters, and Icore Lenses</t>
  </si>
  <si>
    <t>Module B1 encounter temperature error, for under observation</t>
  </si>
  <si>
    <t>https://www.jotform.com/uploads/macarewecare/222927978372067/5528531447811965220/5528531447811965220_signature_28.png</t>
  </si>
  <si>
    <t>Gaelmare M. Rellita</t>
  </si>
  <si>
    <t>https://www.jotform.com/uploads/macarewecare/222927978372067/5528531447811965220/5528531447811965220_signature_31.png</t>
  </si>
  <si>
    <t>https://www.jotform.com/uploads/macarewecare/222927978372067/5528531427812956195/5528531427812956195_signature_28.png</t>
  </si>
  <si>
    <t>https://www.jotform.com/uploads/macarewecare/222927978372067/5528531427812956195/5528531427812956195_signature_31.png</t>
  </si>
  <si>
    <t>Bulusan, Sorsogon</t>
  </si>
  <si>
    <t xml:space="preserve">ASSAY: Xpert MTB/RIF, COUNT: 74
ASSAY: Xpert MTB/RIF Ultra, COUNT: 727
</t>
  </si>
  <si>
    <t>All two modules are operational.</t>
  </si>
  <si>
    <t>Module B1 failed XpertCheck last January 30, 2023. Waiting for module allocation.</t>
  </si>
  <si>
    <t>https://www.jotform.com/uploads/macarewecare/222927978372067/5528472384809646560/5528472384809646560_signature_28.png</t>
  </si>
  <si>
    <t>Kristoffer Madrona</t>
  </si>
  <si>
    <t>https://www.jotform.com/uploads/macarewecare/222927978372067/5528472384809646560/5528472384809646560_signature_31.png</t>
  </si>
  <si>
    <t xml:space="preserve">ASSAY: Xpert MTB/RIF, COUNT: 287
ASSAY: Xpert MTB/RIF Ultra, COUNT: 1023
ASSAY: Xpert HIV-1 Viral Load, COUNT: 235
</t>
  </si>
  <si>
    <t>For installation of back-up monitor.
For gathering of report on module A4.</t>
  </si>
  <si>
    <t>Performed installation of back-up monitor.
Performed self test and troubleshooting on module A4.
Generated reports.</t>
  </si>
  <si>
    <t>Installation and troubleshooting.</t>
  </si>
  <si>
    <t>Unit is operational. For reporting of module A4 due to H/W Failure.</t>
  </si>
  <si>
    <t>Back-up monitor HP P19A (CNK629119V) in replacement to defective monitor HP P19A (CNK831071J).</t>
  </si>
  <si>
    <t>https://www.jotform.com/uploads/macarewecare/222927978372067/5528445826424502689/5528445826424502689_signature_28.png</t>
  </si>
  <si>
    <t>https://www.jotform.com/uploads/macarewecare/222927978372067/5528445826424502689/5528445826424502689_signature_31.png</t>
  </si>
  <si>
    <t>Kumalarang Rural Health Unit</t>
  </si>
  <si>
    <t>roseimelda@gmail.com</t>
  </si>
  <si>
    <t>System unit unable to start up.</t>
  </si>
  <si>
    <t>Change CMOS battery and change boot start up option.</t>
  </si>
  <si>
    <t>https://www.jotform.com/uploads/macarewecare/222927978372067/5528431011859195935/5528431011859195935_signature_28.png</t>
  </si>
  <si>
    <t>Rose Imelda P.Uy</t>
  </si>
  <si>
    <t>https://www.jotform.com/uploads/macarewecare/222927978372067/5528431011859195935/5528431011859195935_signature_31.png</t>
  </si>
  <si>
    <t xml:space="preserve">ASSAY: Xpert MTB/RIF Ultra, COUNT: 40
ASSAY: Xpert SARS-CoV-2, COUNT: 6434
</t>
  </si>
  <si>
    <t>Gx -IV</t>
  </si>
  <si>
    <t>https://www.jotform.com/uploads/macarewecare/222927978372067/5528387709612809694/5528387709612809694_signature_28.png</t>
  </si>
  <si>
    <t>https://www.jotform.com/uploads/macarewecare/222927978372067/5528387709612809694/5528387709612809694_signature_31.png</t>
  </si>
  <si>
    <t xml:space="preserve">ASSAY: Xpert MTB/RIF Ultra, COUNT: 109
ASSAY: Xpert SARS-CoV-2, COUNT: 6169
</t>
  </si>
  <si>
    <t>Gx - IV (10C)</t>
  </si>
  <si>
    <t>Module B1 and B4 H/W failed</t>
  </si>
  <si>
    <t>https://www.jotform.com/uploads/macarewecare/222927978372067/5528377289618410240/5528377289618410240_signature_28.png</t>
  </si>
  <si>
    <t>https://www.jotform.com/uploads/macarewecare/222927978372067/5528377289618410240/5528377289618410240_signature_31.png</t>
  </si>
  <si>
    <t>Sorsogon Medical Mission Group and Health Services Cooperative</t>
  </si>
  <si>
    <t>Sorsogon City, Sorsogon</t>
  </si>
  <si>
    <t>Module B4/644792 defective</t>
  </si>
  <si>
    <t>-Replace defective module SN: 644792 with new module SN: 210068733</t>
  </si>
  <si>
    <t>Module B3 is disabled. Three other modules are operational.</t>
  </si>
  <si>
    <t>900-0491</t>
  </si>
  <si>
    <t>https://www.jotform.com/uploads/macarewecare/222927978372067/5528375458419466708/5528375458419466708_signature_28.png</t>
  </si>
  <si>
    <t>https://www.jotform.com/uploads/macarewecare/222927978372067/5528375458419466708/5528375458419466708_signature_31.png</t>
  </si>
  <si>
    <t xml:space="preserve">ASSAY: Xpert HPV, COUNT: 43
ASSAY: Xpert HPV, COUNT: 423
ASSAY: Xpert MTB/RIF, COUNT: 461
ASSAY: Xpert MTB/RIF Ultra, COUNT: 1008
ASSAY: Xpert SARS-CoV-2, COUNT: 11072
ASSAY: Xpert HIV-1 Viral Load, COUNT: 3
</t>
  </si>
  <si>
    <t>Unit for visit.
For checking of status of GX16.</t>
  </si>
  <si>
    <t>Performed on-site checking of GX16.
Generated reports.</t>
  </si>
  <si>
    <t>On-site checking.</t>
  </si>
  <si>
    <t>https://www.jotform.com/uploads/macarewecare/222927978372067/5528351898466346311/5528351898466346311_signature_28.png</t>
  </si>
  <si>
    <t>Julie Ann D. Maniego</t>
  </si>
  <si>
    <t>https://www.jotform.com/uploads/macarewecare/222927978372067/5528351898466346311/5528351898466346311_signature_31.png</t>
  </si>
  <si>
    <t>https://www.jotform.com/uploads/macarewecare/222927978372067/5528351868467361586/5528351868467361586_signature_28.png</t>
  </si>
  <si>
    <t>https://www.jotform.com/uploads/macarewecare/222927978372067/5528351868467361586/5528351868467361586_signature_31.png</t>
  </si>
  <si>
    <t>https://www.jotform.com/uploads/macarewecare/222927978372067/5528351608466095513/5528351608466095513_signature_28.png</t>
  </si>
  <si>
    <t>https://www.jotform.com/uploads/macarewecare/222927978372067/5528351608466095513/5528351608466095513_signature_31.png</t>
  </si>
  <si>
    <t>E.rodriguez health center</t>
  </si>
  <si>
    <t>Pajo st quzon city</t>
  </si>
  <si>
    <t xml:space="preserve">ASSAY: Xpert HPV, COUNT: 3
ASSAY: Xpert HPV, COUNT: 162
ASSAY: Xpert MTB/RIF Ultra, COUNT: 1148
</t>
  </si>
  <si>
    <t>Defective ups no power,for maintenance and xpertcheck</t>
  </si>
  <si>
    <t>Performed maintenance,cleaned unit,cleaned filter,plunger rod,icore,catridge bay, gathered reports, replaced ups fuse,,checked power supply</t>
  </si>
  <si>
    <t>Pms and xpertpert check</t>
  </si>
  <si>
    <t>A1,A2,A3 failed xpert check A4 passed</t>
  </si>
  <si>
    <t>For replacement of ups</t>
  </si>
  <si>
    <t>https://www.jotform.com/uploads/macarewecare/222927978372067/5527850552772770732/5527850552772770732_signature_28.png</t>
  </si>
  <si>
    <t>https://www.jotform.com/uploads/macarewecare/222927978372067/5527850552772770732/5527850552772770732_signature_31.png</t>
  </si>
  <si>
    <t>https://www.jotform.com/uploads/macarewecare/222927978372067/5527849759111256717/5527849759111256717_signature_28.png</t>
  </si>
  <si>
    <t>https://www.jotform.com/uploads/macarewecare/222927978372067/5527849759111256717/5527849759111256717_signature_31.png</t>
  </si>
  <si>
    <t>Quezon ave.qc</t>
  </si>
  <si>
    <t>https://www.jotform.com/uploads/macarewecare/222927978372067/5527836862774004547/5527836862774004547_signature_28.png</t>
  </si>
  <si>
    <t>https://www.jotform.com/uploads/macarewecare/222927978372067/5527836862774004547/5527836862774004547_signature_31.png</t>
  </si>
  <si>
    <t>General Tinio RHU</t>
  </si>
  <si>
    <t>manuelharrisf@gmail.com</t>
  </si>
  <si>
    <t xml:space="preserve">ASSAY: Xpert MTB/RIF, COUNT: 140
ASSAY: Xpert MTB/RIF Ultra, COUNT: 433
</t>
  </si>
  <si>
    <t>https://www.jotform.com/uploads/macarewecare/222927978372067/5527816872021282278/5527816872021282278_signature_28.png</t>
  </si>
  <si>
    <t>https://www.jotform.com/uploads/macarewecare/222927978372067/5527816872021282278/5527816872021282278_signature_31.png</t>
  </si>
  <si>
    <t>Hospital Drive San Vicemte Tarlac City</t>
  </si>
  <si>
    <t xml:space="preserve">ASSAY: Xpert MTB/RIF, COUNT: 78
ASSAY: Xpert MTB/RIF Ultra, COUNT: 613
</t>
  </si>
  <si>
    <t>Error 2032 on module C3</t>
  </si>
  <si>
    <t>Performed surface cleaning
Performed self-test and system restart
Reset the gateway board
Troubleshoot ultrasonic horn by pushin it downwards 
Valve position check-up
Performed functionality test</t>
  </si>
  <si>
    <t>Cepheid troubleshooting</t>
  </si>
  <si>
    <t>Unit is operational except C2 and C3</t>
  </si>
  <si>
    <t>C3 HW FAILED for replacement</t>
  </si>
  <si>
    <t>https://www.jotform.com/uploads/macarewecare/222927978372067/5527739843155099954/5527739843155099954_signature_28.png</t>
  </si>
  <si>
    <t>https://www.jotform.com/uploads/macarewecare/222927978372067/5527739843155099954/5527739843155099954_signature_31.png</t>
  </si>
  <si>
    <t>Visayas Med Hospital</t>
  </si>
  <si>
    <t>Osmena Blvd. Cebu City</t>
  </si>
  <si>
    <t>vcmclab123@gmail.com</t>
  </si>
  <si>
    <t>5M204</t>
  </si>
  <si>
    <t>Perform calibration and Preventive maintenance</t>
  </si>
  <si>
    <t>Calibrate and conduct Preventive Maintenance</t>
  </si>
  <si>
    <t>Units are within the standard for calibration.
PASSED during calibration</t>
  </si>
  <si>
    <t>https://www.jotform.com/uploads/macarewecare/222927978372067/5527738647214089304/5527738647214089304_signature_28.png</t>
  </si>
  <si>
    <t>Maria Mirasol U. Trinidad</t>
  </si>
  <si>
    <t>https://www.jotform.com/uploads/macarewecare/222927978372067/5527738647214089304/5527738647214089304_signature_31.png</t>
  </si>
  <si>
    <t xml:space="preserve">ASSAY: Xpert MTB/RIF, COUNT: 97
ASSAY: Xpert MTB/RIF Ultra, COUNT: 687
</t>
  </si>
  <si>
    <t>Module B2 is operational. Module B1 to be reported for relplacement. CPU is operational.</t>
  </si>
  <si>
    <t>https://www.jotform.com/uploads/macarewecare/222927978372067/5527714792106841241/5527714792106841241_signature_28.png</t>
  </si>
  <si>
    <t>https://www.jotform.com/uploads/macarewecare/222927978372067/5527714792106841241/5527714792106841241_signature_31.png</t>
  </si>
  <si>
    <t xml:space="preserve">ASSAY: Xpert MTB/RIF, COUNT: 300
ASSAY: Xpert MTB/RIF Ultra, COUNT: 280
</t>
  </si>
  <si>
    <t>Replace Genexpert CPU SN: CPHO520F08267 with service CPU SN: CPH0320F05932
Perform Genexpert machine Preventive maintenance</t>
  </si>
  <si>
    <t>Lenovo ThinkCentre M730s</t>
  </si>
  <si>
    <t>https://www.jotform.com/uploads/macarewecare/222927978372067/5527700998965394104/5527700998965394104_signature_28.png</t>
  </si>
  <si>
    <t>Ermie D. Ulbenario</t>
  </si>
  <si>
    <t>https://www.jotform.com/uploads/macarewecare/222927978372067/5527700998965394104/5527700998965394104_signature_31.png</t>
  </si>
  <si>
    <t>Siay Rural Health Unit</t>
  </si>
  <si>
    <t>Poblacion Siay, Zamboanga sibugay</t>
  </si>
  <si>
    <t>juvyouano@gmail.com</t>
  </si>
  <si>
    <t xml:space="preserve">ASSAY: Xpert MTB/RIF Ultra, COUNT: 887
</t>
  </si>
  <si>
    <t>Monitor malfunction, stacked Cartridge</t>
  </si>
  <si>
    <t>Replaced With a new Monitor. Removed stacked Cartridge and Preventive Maintenance</t>
  </si>
  <si>
    <t>https://www.jotform.com/uploads/macarewecare/222927978372067/5527687774279133665/5527687774279133665_signature_28.png</t>
  </si>
  <si>
    <t>Juvy E. Ouano</t>
  </si>
  <si>
    <t>https://www.jotform.com/uploads/macarewecare/222927978372067/5527687774279133665/5527687774279133665_signature_31.png</t>
  </si>
  <si>
    <t>NHA Village Buhangin, Davao City</t>
  </si>
  <si>
    <t xml:space="preserve">ASSAY: Xpert MTB/RIF, COUNT: 46
ASSAY: Xpert MTB/RIF Ultra, COUNT: 662
</t>
  </si>
  <si>
    <t>Clean Surface Area, Cartridge Bay, Plunger Rod, Fan Filters and Icore Lenses
Generate IQR, Assay Stat, and System Log.
Archived Data test results</t>
  </si>
  <si>
    <t>https://www.jotform.com/uploads/macarewecare/222927978372067/5527664527819773358/5527664527819773358_signature_28.png</t>
  </si>
  <si>
    <t>Katherine Deocampo</t>
  </si>
  <si>
    <t>https://www.jotform.com/uploads/macarewecare/222927978372067/5527664527819773358/5527664527819773358_signature_31.png</t>
  </si>
  <si>
    <t xml:space="preserve">ASSAY: Xpert MTB/RIF, COUNT: 344
ASSAY: Xpert MTB/RIF Ultra, COUNT: 2704
</t>
  </si>
  <si>
    <t>-Module B2/698310 defective
-Stuck cartridge at module B3</t>
  </si>
  <si>
    <t>-Replace defective module B2/698310 with new module SN: 210070787
-Remove stuck cartridge in module B3/210070808</t>
  </si>
  <si>
    <t>-Module B1, B2, &amp; B3 are functional
-Module B4 is disabled (reported defective)</t>
  </si>
  <si>
    <t>https://www.jotform.com/uploads/macarewecare/222927978372067/5527651396811673138/5527651396811673138_signature_28.png</t>
  </si>
  <si>
    <t>https://www.jotform.com/uploads/macarewecare/222927978372067/5527651396811673138/5527651396811673138_signature_31.png</t>
  </si>
  <si>
    <t>Brgy. Pinasling Gerona, Tarlac</t>
  </si>
  <si>
    <t xml:space="preserve">ASSAY: Xpert MTB/RIF, COUNT: 218
ASSAY: Xpert MTB/RIF Ultra, COUNT: 251
</t>
  </si>
  <si>
    <t>Performed surface cleaning
Cleaning of filter,plunger rod,cartridge bay and icore
Archived test results
Performed calibration
Performed functionality test</t>
  </si>
  <si>
    <t>Preventive maintenance and Calibration</t>
  </si>
  <si>
    <t>3 pcs Xpertcheck kits</t>
  </si>
  <si>
    <t>https://www.jotform.com/uploads/macarewecare/222927978372067/5527617379016243399/5527617379016243399_signature_28.png</t>
  </si>
  <si>
    <t>https://www.jotform.com/uploads/macarewecare/222927978372067/5527617379016243399/5527617379016243399_signature_31.png</t>
  </si>
  <si>
    <t xml:space="preserve">ASSAY: Xpert MTB/RIF, COUNT: 189
ASSAY: Xpert MTB/RIF Ultra, COUNT: 750
</t>
  </si>
  <si>
    <t>Unit for preventive maintenance.
For installation of PSU and gateway board.</t>
  </si>
  <si>
    <t>Performed installation of new PSU and gateway board.
Performed preventive maintenance.
Generated reports.</t>
  </si>
  <si>
    <t>Repair and precentive maintenance.</t>
  </si>
  <si>
    <t>Power supply unit
Gateway board kit</t>
  </si>
  <si>
    <t>DR 9642</t>
  </si>
  <si>
    <t>https://www.jotform.com/uploads/macarewecare/222927978372067/5527599573619220203/5527599573619220203_signature_28.png</t>
  </si>
  <si>
    <t>https://www.jotform.com/uploads/macarewecare/222927978372067/5527599573619220203/5527599573619220203_signature_31.png</t>
  </si>
  <si>
    <t>CULION SANITARIUM AND GENERAL HOSPITAL</t>
  </si>
  <si>
    <t>CULION, PALAWAN</t>
  </si>
  <si>
    <t>culsanlab@gmail.com</t>
  </si>
  <si>
    <t xml:space="preserve">ASSAY: Xpert MTB/RIF, COUNT: 62
ASSAY: Xpert MTB/RIF Ultra, COUNT: 51
ASSAY: Xpert SARS-CoV-2, COUNT: 1617
</t>
  </si>
  <si>
    <t>FOR MODULE A1 AND MODULE A2 REPLACEMENT</t>
  </si>
  <si>
    <t>-PERFORM MODULE A1 DEF SN:607206 REPLACEMENT WITH NEW SN: 210068599
-PERFORM MODULE A2 DEF SN:624779 REPLACEMENT WITH NEW SN: 210068606</t>
  </si>
  <si>
    <t>https://www.jotform.com/uploads/macarewecare/222927978372067/5527524404715452968/5527524404715452968_signature_28.png</t>
  </si>
  <si>
    <t>Victoria p. derpo</t>
  </si>
  <si>
    <t>https://www.jotform.com/uploads/macarewecare/222927978372067/5527524404715452968/5527524404715452968_signature_31.png</t>
  </si>
  <si>
    <t>Munoz CHO</t>
  </si>
  <si>
    <t>Munoz City, Nueva Ecija</t>
  </si>
  <si>
    <t xml:space="preserve">ASSAY: Xpert MTB/RIF, COUNT: 354
ASSAY: Xpert MTB/RIF Ultra, COUNT: 496
</t>
  </si>
  <si>
    <t>https://www.jotform.com/uploads/macarewecare/222927978372067/5527492092024036830/5527492092024036830_signature_28.png</t>
  </si>
  <si>
    <t>Catherine I. Celestino</t>
  </si>
  <si>
    <t>https://www.jotform.com/uploads/macarewecare/222927978372067/5527492092024036830/5527492092024036830_signature_31.png</t>
  </si>
  <si>
    <t>CORON RURAL HEALTH UNIT</t>
  </si>
  <si>
    <t>Coron , Palawan</t>
  </si>
  <si>
    <t xml:space="preserve">ASSAY: Xpert MTB/RIF, COUNT: 228
ASSAY: Xpert MTB/RIF Ultra, COUNT: 431
</t>
  </si>
  <si>
    <t>-EQUIPMENT IS OPERATIONAL, MODULE B4 IS DISABLED DUE TO ERROR 4017 AND H/W FAIL</t>
  </si>
  <si>
    <t>https://www.jotform.com/uploads/macarewecare/222927978372067/5526920639416143649/5526920639416143649_signature_28.png</t>
  </si>
  <si>
    <t>Lyca Torrible</t>
  </si>
  <si>
    <t>https://www.jotform.com/uploads/macarewecare/222927978372067/5526920639416143649/5526920639416143649_signature_31.png</t>
  </si>
  <si>
    <t xml:space="preserve">ASSAY: Xpert MTB/RIF, COUNT: 1379
ASSAY: Xpert BCR-ABL Ultra, COUNT: 977
ASSAY: Xpert HIV-1 Viral Load, COUNT: 30
</t>
  </si>
  <si>
    <t>Module B2 and Module B4</t>
  </si>
  <si>
    <t>Clean Fan Filter, assist end-user on using of jotform apps</t>
  </si>
  <si>
    <t>https://www.jotform.com/uploads/macarewecare/222927978372067/5526858500347875863/5526858500347875863_signature_28.png</t>
  </si>
  <si>
    <t>https://www.jotform.com/uploads/macarewecare/222927978372067/5526858500347875863/5526858500347875863_signature_31.png</t>
  </si>
  <si>
    <t>https://www.jotform.com/uploads/macarewecare/222927978372067/5526856968724034758/5526856968724034758_signature_28.png</t>
  </si>
  <si>
    <t>https://www.jotform.com/uploads/macarewecare/222927978372067/5526856968724034758/5526856968724034758_signature_31.png</t>
  </si>
  <si>
    <t xml:space="preserve">ASSAY: Xpert HPV, COUNT: 158
ASSAY: Xpert MTB/RIF, COUNT: 1579
ASSAY: Xpert MTB/RIF Ultra, COUNT: 886
</t>
  </si>
  <si>
    <t>All four modules are operational</t>
  </si>
  <si>
    <t>Module A3 for observation - temp errors occured recently</t>
  </si>
  <si>
    <t>https://www.jotform.com/uploads/macarewecare/222927978372067/5526849038129133013/5526849038129133013_signature_28.png</t>
  </si>
  <si>
    <t>Christine Ivy Paula S. Agtuca</t>
  </si>
  <si>
    <t>https://www.jotform.com/uploads/macarewecare/222927978372067/5526849038129133013/5526849038129133013_signature_31.png</t>
  </si>
  <si>
    <t xml:space="preserve">ASSAY: Xpert HPV, COUNT: 162
ASSAY: Xpert MTB/RIF, COUNT: 1113
ASSAY: Xpert MTB/RIF Ultra, COUNT: 846
</t>
  </si>
  <si>
    <t>Still waiting for module 2 allocation, temp used service module</t>
  </si>
  <si>
    <t>https://www.jotform.com/uploads/macarewecare/222927978372067/5526848318127023518/5526848318127023518_signature_28.png</t>
  </si>
  <si>
    <t>https://www.jotform.com/uploads/macarewecare/222927978372067/5526848318127023518/5526848318127023518_signature_31.png</t>
  </si>
  <si>
    <t xml:space="preserve">ASSAY: Xpert MTB/RIF, COUNT: 424
ASSAY: Xpert MTB/RIF Ultra, COUNT: 115
</t>
  </si>
  <si>
    <t>Preventive maintenance and calibration</t>
  </si>
  <si>
    <t>Performed surface cleaning
Cleaning of plunger rod,cartridge bay,icore and filter
Archived test results
Performed calibration
Gathered reports
Performed funcyionality test</t>
  </si>
  <si>
    <t>Unit is operational except module B3 Failed Xpertcheck</t>
  </si>
  <si>
    <t>B3 for reporting</t>
  </si>
  <si>
    <t>6 Pcs Xpertcheck kits</t>
  </si>
  <si>
    <t>https://www.jotform.com/uploads/macarewecare/222927978372067/5526829899017434065/5526829899017434065_signature_28.png</t>
  </si>
  <si>
    <t>https://www.jotform.com/uploads/macarewecare/222927978372067/5526829899017434065/5526829899017434065_signature_31.png</t>
  </si>
  <si>
    <t>https://www.jotform.com/uploads/macarewecare/222927978372067/5526829719016636147/5526829719016636147_signature_28.png</t>
  </si>
  <si>
    <t>https://www.jotform.com/uploads/macarewecare/222927978372067/5526829719016636147/5526829719016636147_signature_31.png</t>
  </si>
  <si>
    <t xml:space="preserve">ASSAY: Xpert MTB/RIF, COUNT: 903
ASSAY: Xpert MTB/RIF Ultra, COUNT: 1469
</t>
  </si>
  <si>
    <t>Filter replacement
Cpu bios discharged</t>
  </si>
  <si>
    <t>Replaced filter
Performed preventive maintenance
Performed functionality test</t>
  </si>
  <si>
    <t>Unit is operational except B2 and B3</t>
  </si>
  <si>
    <t>B2 for reporting, replaced filter 2pcs</t>
  </si>
  <si>
    <t>https://www.jotform.com/uploads/macarewecare/222927978372067/5526804889019951488/5526804889019951488_signature_28.png</t>
  </si>
  <si>
    <t>https://www.jotform.com/uploads/macarewecare/222927978372067/5526804889019951488/5526804889019951488_signature_31.png</t>
  </si>
  <si>
    <t>Quezon Avje. St.</t>
  </si>
  <si>
    <t xml:space="preserve">ASSAY: Xpert HPV, COUNT: 227
ASSAY: Xpert MTB/RIF Ultra, COUNT: 2164
</t>
  </si>
  <si>
    <t>GXIV - D</t>
  </si>
  <si>
    <t>xpertcheck</t>
  </si>
  <si>
    <t>Performed xpertcheck
Performed Maintenance
Generate Reports</t>
  </si>
  <si>
    <t>1 module failed, 2 passed, 1 newly replaced</t>
  </si>
  <si>
    <t>https://www.jotform.com/uploads/macarewecare/222927978372067/5526743881211837241/5526743881211837241_signature_28.png</t>
  </si>
  <si>
    <t>https://www.jotform.com/uploads/macarewecare/222927978372067/5526743881211837241/5526743881211837241_signature_31.png</t>
  </si>
  <si>
    <t>Catanauan</t>
  </si>
  <si>
    <t>trinity_carisse136@yahoo.com.ph</t>
  </si>
  <si>
    <t>GXIV-D - L</t>
  </si>
  <si>
    <t>4 modules with temperature errors</t>
  </si>
  <si>
    <t>Module Replacement of 4 modules
Performed Maintenance
Generate Reports</t>
  </si>
  <si>
    <t>All Modules are newly replaced</t>
  </si>
  <si>
    <t>603919 → 210068514,687770 → 210068591,647644 → 210068501,647675 →210068502</t>
  </si>
  <si>
    <t>https://www.jotform.com/uploads/macarewecare/222927978372067/5526743881216705396/5526743881216705396_signature_28.png</t>
  </si>
  <si>
    <t>https://www.jotform.com/uploads/macarewecare/222927978372067/5526743881216705396/5526743881216705396_signature_31.png</t>
  </si>
  <si>
    <t>De La Salle Health And Sciences Institute</t>
  </si>
  <si>
    <t>D. Mangubat, Dasmariñas City</t>
  </si>
  <si>
    <t>acpabruada@dlshi.edu.ph</t>
  </si>
  <si>
    <t xml:space="preserve">ASSAY: Xpert MTB/RIF Ultra, COUNT: 367
</t>
  </si>
  <si>
    <t>Module 2 has temperature errors</t>
  </si>
  <si>
    <t>Replace Module 2
Performed Maintenance
Generate Reports</t>
  </si>
  <si>
    <t>3 operational, 1 defective</t>
  </si>
  <si>
    <t>B2:672006 → 724670</t>
  </si>
  <si>
    <t>GX MODULE 6-C</t>
  </si>
  <si>
    <t>G 5193</t>
  </si>
  <si>
    <t>https://www.jotform.com/uploads/macarewecare/222927978372067/5526743881217905400/5526743881217905400_signature_28.png</t>
  </si>
  <si>
    <t>Angie C. Pabruada</t>
  </si>
  <si>
    <t>https://www.jotform.com/uploads/macarewecare/222927978372067/5526743881217905400/5526743881217905400_signature_31.png</t>
  </si>
  <si>
    <t>Dr Jorge P. Royeca Hospital</t>
  </si>
  <si>
    <t xml:space="preserve">ASSAY: Xpert MTB/RIF, COUNT: 352
ASSAY: Xpert MTB/RIF Ultra, COUNT: 491
ASSAY: Xpert HIV-1 Viral Load, COUNT: 37
</t>
  </si>
  <si>
    <t>Genexpert room no Air-condition installed 
Genexpert module temperature not within the acceptable range 15-30°C</t>
  </si>
  <si>
    <t>Genexpert machine need to install air-conditioning unit for the required temperature</t>
  </si>
  <si>
    <t>https://www.jotform.com/uploads/macarewecare/222927978372067/5526701715968064217/5526701715968064217_signature_28.png</t>
  </si>
  <si>
    <t>https://www.jotform.com/uploads/macarewecare/222927978372067/5526701715968064217/5526701715968064217_signature_31.png</t>
  </si>
  <si>
    <t>Bannit, Lamut, Ifugao</t>
  </si>
  <si>
    <t xml:space="preserve">ASSAY: Xpert MTB/RIF, COUNT: 104
ASSAY: Xpert MTB/RIF Ultra, COUNT: 1194
</t>
  </si>
  <si>
    <t>Module 4 Hardware Failure</t>
  </si>
  <si>
    <t>Gathered Reports to report</t>
  </si>
  <si>
    <t>Module Replacement - 662351 - 684468</t>
  </si>
  <si>
    <t>Genexpert Module - 684468</t>
  </si>
  <si>
    <t>https://www.jotform.com/uploads/macarewecare/222927978372067/5526690287213920951/5526690287213920951_signature_28.png</t>
  </si>
  <si>
    <t>https://www.jotform.com/uploads/macarewecare/222927978372067/5526690287213920951/5526690287213920951_signature_31.png</t>
  </si>
  <si>
    <t>Jones RHU</t>
  </si>
  <si>
    <t xml:space="preserve">ASSAY: Xpert MTB/RIF, COUNT: 294
ASSAY: Xpert MTB/RIF Ultra, COUNT: 762
</t>
  </si>
  <si>
    <t>Error 2005</t>
  </si>
  <si>
    <t>Performed Maintenance
Performed Calibration
Gathered Reports
Performed Functionality Test</t>
  </si>
  <si>
    <t>Xpertcheck Result - All Modules Passed</t>
  </si>
  <si>
    <t>https://www.jotform.com/uploads/macarewecare/222927978372067/5526690287217450970/5526690287217450970_signature_28.png</t>
  </si>
  <si>
    <t>Precy Rodriguez</t>
  </si>
  <si>
    <t>https://www.jotform.com/uploads/macarewecare/222927978372067/5526690287217450970/5526690287217450970_signature_31.png</t>
  </si>
  <si>
    <t xml:space="preserve">ASSAY: Xpert MTB/RIF, COUNT: 85
ASSAY: Xpert MTB/RIF Ultra, COUNT: 186
</t>
  </si>
  <si>
    <t>https://www.jotform.com/uploads/macarewecare/222927978372067/5526630391212160900/5526630391212160900_signature_28.png</t>
  </si>
  <si>
    <t>Maida U. Dorado</t>
  </si>
  <si>
    <t>https://www.jotform.com/uploads/macarewecare/222927978372067/5526630391212160900/5526630391212160900_signature_31.png</t>
  </si>
  <si>
    <t xml:space="preserve">ASSAY: Others, COUNT: 419
ASSAY: Xpert MTB/RIF, COUNT: 92
ASSAY: Xpert MTB/RIF Ultra, COUNT: 418
</t>
  </si>
  <si>
    <t>Unit for calibration (A2 &amp; A4)</t>
  </si>
  <si>
    <t>Unit is operational. A1 &amp; A3 already reported for replacement. A2 &amp; A4 passed calibration.</t>
  </si>
  <si>
    <t>https://www.jotform.com/uploads/macarewecare/222927978372067/5526625851215361421/5526625851215361421_signature_28.png</t>
  </si>
  <si>
    <t>Erica Fergel G. Sabido</t>
  </si>
  <si>
    <t>https://www.jotform.com/uploads/macarewecare/222927978372067/5526625851215361421/5526625851215361421_signature_31.png</t>
  </si>
  <si>
    <t>bloodbankeamc@gmaiI.com</t>
  </si>
  <si>
    <t>No Display</t>
  </si>
  <si>
    <t>Checked Connections
Checked CPU Board
Measured voltage of CPU Board</t>
  </si>
  <si>
    <t>Performed Troubleshooting
Reseat CPU Board</t>
  </si>
  <si>
    <t>Unit is not operational.
Suspected CPU Board Related Issue.</t>
  </si>
  <si>
    <t>Suspected CPU Related Issue</t>
  </si>
  <si>
    <t>https://www.jotform.com/uploads/macarewecare/222927978372067/5526619031213125908/5526619031213125908_signature_28.png</t>
  </si>
  <si>
    <t>Noralen Magalong</t>
  </si>
  <si>
    <t>https://www.jotform.com/uploads/macarewecare/222927978372067/5526619031213125908/5526619031213125908_signature_31.png</t>
  </si>
  <si>
    <t>Brgy. Langgam San Pedro</t>
  </si>
  <si>
    <t xml:space="preserve">ASSAY: Xpert HPV, COUNT: 861
ASSAY: Xpert MTB/RIF, COUNT: 188
ASSAY: Xpert MTB/RIF Ultra, COUNT: 801
ASSAY: Xpert HIV-1 Viral Load, COUNT: 127
</t>
  </si>
  <si>
    <t>Unit is operational. Module A2 (784156) service required.</t>
  </si>
  <si>
    <t>Xpertcheck.</t>
  </si>
  <si>
    <t>DR 9614</t>
  </si>
  <si>
    <t>https://www.jotform.com/uploads/macarewecare/222927978372067/5526617381211555589/5526617381211555589_signature_28.png</t>
  </si>
  <si>
    <t>https://www.jotform.com/uploads/macarewecare/222927978372067/5526617381211555589/5526617381211555589_signature_31.png</t>
  </si>
  <si>
    <t xml:space="preserve">ASSAY: Xpert HPV, COUNT: 435
ASSAY: Xpert MTB/RIF, COUNT: 184
ASSAY: Xpert MTB/RIF Ultra, COUNT: 1120
</t>
  </si>
  <si>
    <t>Unit is operational. Modules A1, A2 and A4, passed Xpertcheck.</t>
  </si>
  <si>
    <t>DR 9613</t>
  </si>
  <si>
    <t>https://www.jotform.com/uploads/macarewecare/222927978372067/5526617381217317444/5526617381217317444_signature_28.png</t>
  </si>
  <si>
    <t>https://www.jotform.com/uploads/macarewecare/222927978372067/5526617381217317444/5526617381217317444_signature_31.png</t>
  </si>
  <si>
    <t xml:space="preserve">ASSAY: Xpert MTB/RIF, COUNT: 318
ASSAY: Xpert MTB/RIF Ultra, COUNT: 984
ASSAY: Xpert HIV-1 Viral Load, COUNT: 235
</t>
  </si>
  <si>
    <t>Unit is operational. Modules A1(730690), A2(626255) and A3(730710) are service required.</t>
  </si>
  <si>
    <t>DR 9480</t>
  </si>
  <si>
    <t>https://www.jotform.com/uploads/macarewecare/222927978372067/5526617381218860154/5526617381218860154_signature_28.png</t>
  </si>
  <si>
    <t>https://www.jotform.com/uploads/macarewecare/222927978372067/5526617381218860154/5526617381218860154_signature_31.png</t>
  </si>
  <si>
    <t xml:space="preserve">ASSAY: Xpert MTB/RIF Ultra, COUNT: 1361
</t>
  </si>
  <si>
    <t>2 modules with temp errors</t>
  </si>
  <si>
    <t>Module replacement in modules 1 and 4
Performed Maintenance
Generate Reports</t>
  </si>
  <si>
    <t>A1: 695979-&gt;702147 &amp; A4: 644321-&gt; 706443</t>
  </si>
  <si>
    <t>Gx Module</t>
  </si>
  <si>
    <t>G 5189</t>
  </si>
  <si>
    <t>https://www.jotform.com/uploads/macarewecare/222927978372067/5526613831212907121/5526613831212907121_signature_28.png</t>
  </si>
  <si>
    <t>https://www.jotform.com/uploads/macarewecare/222927978372067/5526613831212907121/5526613831212907121_signature_31.png</t>
  </si>
  <si>
    <t xml:space="preserve">ASSAY: Others, COUNT: 3743
</t>
  </si>
  <si>
    <t>Defective monitor
Module 4 errors</t>
  </si>
  <si>
    <t>Module and monitor replacement
Performed maintenance
Generate reports</t>
  </si>
  <si>
    <t>B4: 210038638--&gt;210078090</t>
  </si>
  <si>
    <t>https://www.jotform.com/uploads/macarewecare/222927978372067/5526613831214211228/5526613831214211228_signature_28.png</t>
  </si>
  <si>
    <t>https://www.jotform.com/uploads/macarewecare/222927978372067/5526613831214211228/5526613831214211228_signature_31.png</t>
  </si>
  <si>
    <t>Module 4 with temperature problems</t>
  </si>
  <si>
    <t>Module replacement in B4
Performed Maintenance
Generate reports</t>
  </si>
  <si>
    <t>B4: 619472-&gt; 757462</t>
  </si>
  <si>
    <t>https://www.jotform.com/uploads/macarewecare/222927978372067/5526613831216564062/5526613831216564062_signature_28.png</t>
  </si>
  <si>
    <t>https://www.jotform.com/uploads/macarewecare/222927978372067/5526613831216564062/5526613831216564062_signature_31.png</t>
  </si>
  <si>
    <t xml:space="preserve">ASSAY: Xpert MTB/RIF Ultra, COUNT: 3032
ASSAY: Xpert HIV-1 Viral Load, COUNT: 263
ASSAY: Xpert SARS-CoV-2, COUNT: 9953
</t>
  </si>
  <si>
    <t>For Preventive Maintenance, and XpertCheck Calibration</t>
  </si>
  <si>
    <t>Clean Surface Area, Cartridge Bay, Plunger Rod, Fan Filters, and Icore Lenses
Generate IQR, Assay Stat and System Log
Archived Data test results
Perform XPERTCHECK Calibration
Replaced the Defective Module B2: SN:783534 with service Module SN:682931</t>
  </si>
  <si>
    <t>Module B2 and B4 for Service Required
Module B1 and B3 passed the Calibration</t>
  </si>
  <si>
    <t>Service module is from Gx16</t>
  </si>
  <si>
    <t>Xpertcheck Ce5</t>
  </si>
  <si>
    <t>https://www.jotform.com/uploads/macarewecare/222927978372067/5524295249781865011/5524295249781865011_signature_28.png</t>
  </si>
  <si>
    <t>https://www.jotform.com/uploads/macarewecare/222927978372067/5524295249781865011/5524295249781865011_signature_31.png</t>
  </si>
  <si>
    <t>https://www.jotform.com/uploads/macarewecare/222927978372067/5524295199786183719/5524295199786183719_signature_28.png</t>
  </si>
  <si>
    <t>https://www.jotform.com/uploads/macarewecare/222927978372067/5524295199786183719/5524295199786183719_signature_31.png</t>
  </si>
  <si>
    <t>Clean Surface Area, Cartridge Bay, Plunger Rod, Fan Filters, and Icore Lenses
Generate IQR, Assay Stat, and System Log
Archived Data test results
Perform XPERTCHECK Calibration</t>
  </si>
  <si>
    <t>https://www.jotform.com/uploads/macarewecare/222927978372067/5524294739786585952/5524294739786585952_signature_28.png</t>
  </si>
  <si>
    <t>https://www.jotform.com/uploads/macarewecare/222927978372067/5524294739786585952/5524294739786585952_signature_31.png</t>
  </si>
  <si>
    <t>https://www.jotform.com/uploads/macarewecare/222927978372067/5524294719786066676/5524294719786066676_signature_28.png</t>
  </si>
  <si>
    <t>https://www.jotform.com/uploads/macarewecare/222927978372067/5524294719786066676/5524294719786066676_signature_31.png</t>
  </si>
  <si>
    <t>Davao Regional and Medical Center</t>
  </si>
  <si>
    <t>Brgy. Apokon tagum city</t>
  </si>
  <si>
    <t xml:space="preserve">ASSAY: Xpert MTB/RIF Ultra, COUNT: 947
ASSAY: Xpert SARS-CoV-2, COUNT: 3540
</t>
  </si>
  <si>
    <t>Gx-VXI</t>
  </si>
  <si>
    <t>Power supply Problem</t>
  </si>
  <si>
    <t>Power supply troubleshooting
Replace 1 power supply of GX-XVI 
Replace module SN: 866583 with service module SN: 870474</t>
  </si>
  <si>
    <t>8 operational modules</t>
  </si>
  <si>
    <t>Subject for power supply replacement</t>
  </si>
  <si>
    <t>Power supply LE240F</t>
  </si>
  <si>
    <t>100-4795</t>
  </si>
  <si>
    <t>https://www.jotform.com/uploads/macarewecare/222927978372067/5524294639483558782/5524294639483558782_signature_28.png</t>
  </si>
  <si>
    <t>https://www.jotform.com/uploads/macarewecare/222927978372067/5524294639483558782/5524294639483558782_signature_31.png</t>
  </si>
  <si>
    <t>https://www.jotform.com/uploads/macarewecare/222927978372067/5524294619487284971/5524294619487284971_signature_28.png</t>
  </si>
  <si>
    <t>https://www.jotform.com/uploads/macarewecare/222927978372067/5524294619487284971/5524294619487284971_signature_31.png</t>
  </si>
  <si>
    <t>Clean Surface Area, Cartridge Bay, Plunger Rod, Fan Filters, and Icore Lenses
Generate IQR, Assay Stat and System Log
Archived Data test results
Perform XPERTCHECK Calibration
Replaced Defective Module D3 SN:864397 with service Module SN:869918</t>
  </si>
  <si>
    <t>All Modules Passed the Calibration but Module 3 still error exist</t>
  </si>
  <si>
    <t>Module D1 for under observation and Service Module is from Gx16</t>
  </si>
  <si>
    <t>https://www.jotform.com/uploads/macarewecare/222927978372067/5524294299782259471/5524294299782259471_signature_28.png</t>
  </si>
  <si>
    <t>https://www.jotform.com/uploads/macarewecare/222927978372067/5524294299782259471/5524294299782259471_signature_31.png</t>
  </si>
  <si>
    <t>https://www.jotform.com/uploads/macarewecare/222927978372067/5524294159788582194/5524294159788582194_signature_28.png</t>
  </si>
  <si>
    <t>https://www.jotform.com/uploads/macarewecare/222927978372067/5524294159788582194/5524294159788582194_signature_31.png</t>
  </si>
  <si>
    <t>San Nicolas Minalin</t>
  </si>
  <si>
    <t xml:space="preserve">ASSAY: Xpert MTB/RIF, COUNT: 108
ASSAY: Xpert MTB/RIF Ultra, COUNT: 513
</t>
  </si>
  <si>
    <t>Machine shutdown
Due for calibration</t>
  </si>
  <si>
    <t>Performed UPS troubleshooting
Checked Cable Connection
Performed surfqce cleaning
Cleaning of Icore,cartridge bay,plunger rod and filter
Installation of Xpertcheck application V1.5a
Performed calibration
Performed functionality test</t>
  </si>
  <si>
    <t>Preventive maintenance
Genexpert Calibration
Gathered reports</t>
  </si>
  <si>
    <t>Unit is operational,UPS under observation</t>
  </si>
  <si>
    <t>All modules passade calibration</t>
  </si>
  <si>
    <t>4pcs Genexpert Xpertcheck kits</t>
  </si>
  <si>
    <t>https://www.jotform.com/uploads/macarewecare/222927978372067/5524237399515360873/5524237399515360873_signature_28.png</t>
  </si>
  <si>
    <t>https://www.jotform.com/uploads/macarewecare/222927978372067/5524237399515360873/5524237399515360873_signature_31.png</t>
  </si>
  <si>
    <t>Dr. Joerge P. Royeca Hospital</t>
  </si>
  <si>
    <t xml:space="preserve">ASSAY: Xpert MTB/RIF, COUNT: 257
ASSAY: Xpert MTB/RIF Ultra, COUNT: 384
ASSAY: Xpert HIV-1 Viral Load, COUNT: 47
</t>
  </si>
  <si>
    <t>Gx- IV</t>
  </si>
  <si>
    <t>Module B1, B2 and B3 for Service Required 
Genexpert machine modules temperature not within the acceptable range of 15-30°C</t>
  </si>
  <si>
    <t>Genexpert machine need to install air-conditioning unit for required temperature</t>
  </si>
  <si>
    <t>https://www.jotform.com/uploads/macarewecare/222927978372067/5524219409489170755/5524219409489170755_signature_28.png</t>
  </si>
  <si>
    <t>https://www.jotform.com/uploads/macarewecare/222927978372067/5524219409489170755/5524219409489170755_signature_31.png</t>
  </si>
  <si>
    <t>https://www.jotform.com/uploads/macarewecare/222927978372067/5524219379484997316/5524219379484997316_signature_28.png</t>
  </si>
  <si>
    <t>https://www.jotform.com/uploads/macarewecare/222927978372067/5524219379484997316/5524219379484997316_signature_31.png</t>
  </si>
  <si>
    <t xml:space="preserve">ASSAY: Xpert MTB/RIF, COUNT: 26
ASSAY: Xpert MTB/RIF Ultra, COUNT: 788
</t>
  </si>
  <si>
    <t>Cleaned/sanitized cartridge bay, plunger and equipment case
Washed fan filter
Archive tests
Database backup</t>
  </si>
  <si>
    <t>https://www.jotform.com/uploads/macarewecare/222927978372067/5524209583328207979/5524209583328207979_signature_28.png</t>
  </si>
  <si>
    <t>Venz Bacoy</t>
  </si>
  <si>
    <t>https://www.jotform.com/uploads/macarewecare/222927978372067/5524209583328207979/5524209583328207979_signature_31.png</t>
  </si>
  <si>
    <t>godfreyrnvillanueva@yahoo.com</t>
  </si>
  <si>
    <t xml:space="preserve">ASSAY: Xpert MTB/RIF, COUNT: 205
ASSAY: Xpert MTB/RIF Ultra, COUNT: 433
</t>
  </si>
  <si>
    <t>UPS shutting down</t>
  </si>
  <si>
    <t>Performed maintenance 
Run XpertCheck 
Checked UPS
Generated reports</t>
  </si>
  <si>
    <t>Unit is operational. UPS shutting down and has low output voltage.</t>
  </si>
  <si>
    <t>Recommend to replace UPS. All modules passed.</t>
  </si>
  <si>
    <t>https://www.jotform.com/uploads/macarewecare/222927978372067/5524183593957582756/5524183593957582756_signature_28.png</t>
  </si>
  <si>
    <t>Godfrey Villanueva</t>
  </si>
  <si>
    <t>https://www.jotform.com/uploads/macarewecare/222927978372067/5524183593957582756/5524183593957582756_signature_31.png</t>
  </si>
  <si>
    <t>merlitadeguzman1216@gmail.com</t>
  </si>
  <si>
    <t xml:space="preserve">ASSAY: Xpert MTB/RIF, COUNT: 213
ASSAY: Xpert MTB/RIF Ultra, COUNT: 908
</t>
  </si>
  <si>
    <t>Module B1, B2 and B4 passed and operational. Module B3 service required.</t>
  </si>
  <si>
    <t>Module B2/806806 under observation. Module B3/806807 for reporting.</t>
  </si>
  <si>
    <t>https://www.jotform.com/uploads/macarewecare/222927978372067/5524183593957583142/5524183593957583142_signature_28.png</t>
  </si>
  <si>
    <t>Merlita C. DE Guzman</t>
  </si>
  <si>
    <t>https://www.jotform.com/uploads/macarewecare/222927978372067/5524183593957583142/5524183593957583142_signature_31.png</t>
  </si>
  <si>
    <t>Maria Clara St.</t>
  </si>
  <si>
    <t xml:space="preserve">ASSAY: Xpert MTB/RIF Ultra, COUNT: 201
</t>
  </si>
  <si>
    <t>Installation of new CPU</t>
  </si>
  <si>
    <t>Installed new CPU</t>
  </si>
  <si>
    <t>Performed maintenance 
Installed new CPU 
Import assay
Installed printer driver
Generated reports</t>
  </si>
  <si>
    <t>Module B2/618609 not operational but reported already.</t>
  </si>
  <si>
    <t>Lenovo CPU</t>
  </si>
  <si>
    <t>G 5192</t>
  </si>
  <si>
    <t>https://www.jotform.com/uploads/macarewecare/222927978372067/5524183593958002115/5524183593958002115_signature_28.png</t>
  </si>
  <si>
    <t>STELLA MAREE C.BERNARDO,RMT</t>
  </si>
  <si>
    <t>https://www.jotform.com/uploads/macarewecare/222927978372067/5524183593958002115/5524183593958002115_signature_31.png</t>
  </si>
  <si>
    <t>https://www.jotform.com/uploads/macarewecare/222927978372067/5524182157852159273/5524182157852159273_signature_28.png</t>
  </si>
  <si>
    <t>https://www.jotform.com/uploads/macarewecare/222927978372067/5524182157852159273/5524182157852159273_signature_31.png</t>
  </si>
  <si>
    <t>To love Yourself</t>
  </si>
  <si>
    <t xml:space="preserve">ASSAY: Xpert MTB/RIF, COUNT: o
</t>
  </si>
  <si>
    <t>https://www.jotform.com/uploads/macarewecare/222927978372067/5524161597851629402/5524161597851629402_signature_28.png</t>
  </si>
  <si>
    <t>Wico Consul</t>
  </si>
  <si>
    <t>https://www.jotform.com/uploads/macarewecare/222927978372067/5524161597851629402/5524161597851629402_signature_31.png</t>
  </si>
  <si>
    <t>relocation.</t>
  </si>
  <si>
    <t xml:space="preserve">ASSAY: Xpert MTB/RIF, COUNT: .'
</t>
  </si>
  <si>
    <t>Relocated unit from 2nd flr. to 3rd flr.</t>
  </si>
  <si>
    <t>https://www.jotform.com/uploads/macarewecare/222927978372067/5524161597852702549/5524161597852702549_signature_28.png</t>
  </si>
  <si>
    <t>https://www.jotform.com/uploads/macarewecare/222927978372067/5524161597852702549/5524161597852702549_signature_31.png</t>
  </si>
  <si>
    <t>Bocaue Rural Health Unit I</t>
  </si>
  <si>
    <t xml:space="preserve">ASSAY: Xpert MTB/RIF, COUNT: 296
ASSAY: Xpert MTB/RIF Ultra, COUNT: 661
</t>
  </si>
  <si>
    <t>Module B4 for re xpertcheck</t>
  </si>
  <si>
    <t>Performed xpertcheck on B4</t>
  </si>
  <si>
    <t>Unit is operational. B4 failed xpertCheck. B4 for reporting.</t>
  </si>
  <si>
    <t>https://www.jotform.com/uploads/macarewecare/222927978372067/5524161597856080453/5524161597856080453_signature_28.png</t>
  </si>
  <si>
    <t>https://www.jotform.com/uploads/macarewecare/222927978372067/5524161597856080453/5524161597856080453_signature_31.png</t>
  </si>
  <si>
    <t>Shaw Blvd.,  Mandalayong</t>
  </si>
  <si>
    <t>https://www.jotform.com/uploads/macarewecare/222927978372067/5524161597857480337/5524161597857480337_signature_28.png</t>
  </si>
  <si>
    <t>wico Consul</t>
  </si>
  <si>
    <t>https://www.jotform.com/uploads/macarewecare/222927978372067/5524161597857480337/5524161597857480337_signature_31.png</t>
  </si>
  <si>
    <t xml:space="preserve">ASSAY: Xpert MTB/RIF, COUNT: O
</t>
  </si>
  <si>
    <t>https://www.jotform.com/uploads/macarewecare/222927978372067/5524161597857637031/5524161597857637031_signature_28.png</t>
  </si>
  <si>
    <t>https://www.jotform.com/uploads/macarewecare/222927978372067/5524161597857637031/5524161597857637031_signature_31.png</t>
  </si>
  <si>
    <t>RIVERSIDE MEDICAL CENTER INC</t>
  </si>
  <si>
    <t xml:space="preserve">ASSAY: Xpert BCR-ABL Ultra, COUNT: 1
ASSAY: Xpert HBV VL, COUNT: 39
ASSAY: Xpert HPV, COUNT: 16
ASSAY: Xpert MTB/RIF, COUNT: 1
ASSAY: Xpert MTB/RIF Ultra, COUNT: 29
</t>
  </si>
  <si>
    <t>Defective Module B2 sn 210029540</t>
  </si>
  <si>
    <t>New module installed 210070907</t>
  </si>
  <si>
    <t>https://www.jotform.com/uploads/macarewecare/222927978372067/5524106700301057110/5524106700301057110_signature_28.png</t>
  </si>
  <si>
    <t>Jelyn L. Fernandez</t>
  </si>
  <si>
    <t>https://www.jotform.com/uploads/macarewecare/222927978372067/5524106700301057110/5524106700301057110_signature_31.png</t>
  </si>
  <si>
    <t>Bulacan Medical center</t>
  </si>
  <si>
    <t>Module B2 &amp; gateway board for replacement</t>
  </si>
  <si>
    <t>Replaced B2 &amp; gateway board</t>
  </si>
  <si>
    <t>GeneXpert Module SN: 654090
Gateway Board SN: 6140S22420080</t>
  </si>
  <si>
    <t>G 5190</t>
  </si>
  <si>
    <t>https://www.jotform.com/uploads/macarewecare/222927978372067/5524084962414223713/5524084962414223713_signature_28.png</t>
  </si>
  <si>
    <t>Marichu Bautista</t>
  </si>
  <si>
    <t>https://www.jotform.com/uploads/macarewecare/222927978372067/5524084962414223713/5524084962414223713_signature_31.png</t>
  </si>
  <si>
    <t xml:space="preserve">ASSAY: Xpert MTB/RIF, COUNT: 184
ASSAY: Xpert MTB/RIF Ultra, COUNT: 545
</t>
  </si>
  <si>
    <t>Unit is operational. A1, A2, A4 passed calibration. A3 failed xpertcheck. A3 for reporting / follow-up.</t>
  </si>
  <si>
    <t>https://www.jotform.com/uploads/macarewecare/222927978372067/5524084962415162380/5524084962415162380_signature_28.png</t>
  </si>
  <si>
    <t>https://www.jotform.com/uploads/macarewecare/222927978372067/5524084962415162380/5524084962415162380_signature_31.png</t>
  </si>
  <si>
    <t xml:space="preserve">ASSAY: Xpert MTB/RIF, COUNT: 616
ASSAY: Xpert MTB/RIF Ultra, COUNT: 2524
ASSAY: Xpert HIV-1 Viral Load, COUNT: 170
</t>
  </si>
  <si>
    <t>Unit is operational. A3 insufficient xpertcheck kit. A2 failed xpertcheck. A4 &amp; A4 passed xpertcheck.</t>
  </si>
  <si>
    <t>https://www.jotform.com/uploads/macarewecare/222927978372067/5524084962411946764/5524084962411946764_signature_28.png</t>
  </si>
  <si>
    <t>https://www.jotform.com/uploads/macarewecare/222927978372067/5524084962411946764/5524084962411946764_signature_31.png</t>
  </si>
  <si>
    <t>https://www.jotform.com/uploads/macarewecare/222927978372067/5524084962416128967/5524084962416128967_signature_28.png</t>
  </si>
  <si>
    <t>https://www.jotform.com/uploads/macarewecare/222927978372067/5524084962416128967/5524084962416128967_signature_31.png</t>
  </si>
  <si>
    <t xml:space="preserve">ASSAY: Xpert MTB/RIF, COUNT: 318
ASSAY: Xpert MTB/RIF Ultra, COUNT: 799
</t>
  </si>
  <si>
    <t>Performed xpertCheck</t>
  </si>
  <si>
    <t>Unit is operational. All modules passed calibration except B3.</t>
  </si>
  <si>
    <t>https://www.jotform.com/uploads/macarewecare/222927978372067/5524084962419336096/5524084962419336096_signature_28.png</t>
  </si>
  <si>
    <t>Mary Grace Chi</t>
  </si>
  <si>
    <t>https://www.jotform.com/uploads/macarewecare/222927978372067/5524084962419336096/5524084962419336096_signature_31.png</t>
  </si>
  <si>
    <t>https://www.jotform.com/uploads/macarewecare/222927978372067/5524084852411414311/5524084852411414311_signature_28.png</t>
  </si>
  <si>
    <t>https://www.jotform.com/uploads/macarewecare/222927978372067/5524084852411414311/5524084852411414311_signature_31.png</t>
  </si>
  <si>
    <t>https://www.jotform.com/uploads/macarewecare/222927978372067/5524084852412026816/5524084852412026816_signature_28.png</t>
  </si>
  <si>
    <t>https://www.jotform.com/uploads/macarewecare/222927978372067/5524084852412026816/5524084852412026816_signature_31.png</t>
  </si>
  <si>
    <t>https://www.jotform.com/uploads/macarewecare/222927978372067/5524084852418432041/5524084852418432041_signature_28.png</t>
  </si>
  <si>
    <t>https://www.jotform.com/uploads/macarewecare/222927978372067/5524084852418432041/5524084852418432041_signature_31.png</t>
  </si>
  <si>
    <t>https://www.jotform.com/uploads/macarewecare/222927978372067/5524084852419285413/5524084852419285413_signature_28.png</t>
  </si>
  <si>
    <t>https://www.jotform.com/uploads/macarewecare/222927978372067/5524084852419285413/5524084852419285413_signature_31.png</t>
  </si>
  <si>
    <t>https://www.jotform.com/uploads/macarewecare/222927978372067/5524084862415884050/5524084862415884050_signature_28.png</t>
  </si>
  <si>
    <t>https://www.jotform.com/uploads/macarewecare/222927978372067/5524084862415884050/5524084862415884050_signature_31.png</t>
  </si>
  <si>
    <t>Lamiang Bongao Tawi-Tawi</t>
  </si>
  <si>
    <t>Installatio and calibration</t>
  </si>
  <si>
    <t>https://www.jotform.com/uploads/macarewecare/222927978372067/5524073105119412702/5524073105119412702_signature_28.png</t>
  </si>
  <si>
    <t>Ĵoel kamlian</t>
  </si>
  <si>
    <t>https://www.jotform.com/uploads/macarewecare/222927978372067/5524073105119412702/5524073105119412702_signature_31.png</t>
  </si>
  <si>
    <t>Lamion, bongao Tawi-Tawi</t>
  </si>
  <si>
    <t>Gathered data and reported</t>
  </si>
  <si>
    <t>Reccomended for module replacement</t>
  </si>
  <si>
    <t>https://www.jotform.com/uploads/macarewecare/222927978372067/5524073075115530333/5524073075115530333_signature_28.png</t>
  </si>
  <si>
    <t>Joel kamlian</t>
  </si>
  <si>
    <t>https://www.jotform.com/uploads/macarewecare/222927978372067/5524073075115530333/5524073075115530333_signature_31.png</t>
  </si>
  <si>
    <t>Datu Halun Memorial Hospital</t>
  </si>
  <si>
    <t>Bongao Tawi-Tawi</t>
  </si>
  <si>
    <t>Xpertcheck Calibration, Preventive Maintenance</t>
  </si>
  <si>
    <t>rappaiballho@gmail.com</t>
  </si>
  <si>
    <t xml:space="preserve">ASSAY: Xpert MTB/RIF, COUNT: 446
ASSAY: Xpert MTB/RIF Ultra, COUNT: 469
</t>
  </si>
  <si>
    <t>Module 2, 3 and 4 Undergone Xpertcheck</t>
  </si>
  <si>
    <t>Module 2, 3 and 4 Undergone Xpertcheck, Reported module 1.</t>
  </si>
  <si>
    <t>Module 1 currently hardware failed. Module 2, 3 and 4 passed the calibration</t>
  </si>
  <si>
    <t>https://www.jotform.com/uploads/macarewecare/222927978372067/5524073075117419245/5524073075117419245_signature_28.png</t>
  </si>
  <si>
    <t>Rappai O.Ballaho</t>
  </si>
  <si>
    <t>https://www.jotform.com/uploads/macarewecare/222927978372067/5524073075117419245/5524073075117419245_signature_31.png</t>
  </si>
  <si>
    <t>Ilmoh ,Lamion Bongao Tawi-Tawi</t>
  </si>
  <si>
    <t xml:space="preserve">ASSAY: Xpert MTB/RIF, COUNT: 115
ASSAY: Xpert MTB/RIF Ultra, COUNT: 376
</t>
  </si>
  <si>
    <t>GX - 4</t>
  </si>
  <si>
    <t>Xpertcheck calibration for module 1,2 and 3</t>
  </si>
  <si>
    <t>https://www.jotform.com/uploads/macarewecare/222927978372067/5524073055114003642/5524073055114003642_signature_28.png</t>
  </si>
  <si>
    <t>Rappai O Ballaho</t>
  </si>
  <si>
    <t>https://www.jotform.com/uploads/macarewecare/222927978372067/5524073055114003642/5524073055114003642_signature_31.png</t>
  </si>
  <si>
    <t xml:space="preserve">ASSAY: Xpert MTB/RIF, COUNT: 501
ASSAY: Xpert MTB/RIF Ultra, COUNT: 527
</t>
  </si>
  <si>
    <t>B1 &amp; B4 Operational. B2 &amp; B3 (disabled) waiting for module replacement</t>
  </si>
  <si>
    <t>https://www.jotform.com/uploads/macarewecare/222927978372067/5524017975523687488/5524017975523687488_signature_28.png</t>
  </si>
  <si>
    <t>https://www.jotform.com/uploads/macarewecare/222927978372067/5524017975523687488/5524017975523687488_signature_31.png</t>
  </si>
  <si>
    <t>https://www.jotform.com/uploads/macarewecare/222927978372067/5524017605529779260/5524017605529779260_signature_28.png</t>
  </si>
  <si>
    <t>https://www.jotform.com/uploads/macarewecare/222927978372067/5524017605529779260/5524017605529779260_signature_31.png</t>
  </si>
  <si>
    <t xml:space="preserve">ASSAY: Xpert SARS-CoV-2, COUNT: 4936
</t>
  </si>
  <si>
    <t>- checked and cleaned cartridge bay, plunger rod, i core slot, filter
- performed xpertcheck
- generated reports
- archived test reports from the beginning until 2022
- performed self tests</t>
  </si>
  <si>
    <t>Unit is operational. All modules passed calibration.</t>
  </si>
  <si>
    <t>https://www.jotform.com/uploads/macarewecare/222927978372067/5523520513912527693/5523520513912527693_signature_28.png</t>
  </si>
  <si>
    <t>Michaella Sayo / Alenvie Penilla</t>
  </si>
  <si>
    <t>https://www.jotform.com/uploads/macarewecare/222927978372067/5523520513912527693/5523520513912527693_signature_31.png</t>
  </si>
  <si>
    <t>https://www.jotform.com/uploads/macarewecare/222927978372067/5523501943918980755/5523501943918980755_signature_28.png</t>
  </si>
  <si>
    <t>https://www.jotform.com/uploads/macarewecare/222927978372067/5523501943918980755/5523501943918980755_signature_31.png</t>
  </si>
  <si>
    <t>CHECK AND INSPECT ROTOR ROLLER RUBBER
-INSPECT CENTRIFUGE ASSEMBLY AND SPILL DETECTOR, PASSED</t>
  </si>
  <si>
    <t>https://www.jotform.com/uploads/macarewecare/222927978372067/5523442150145956694/5523442150145956694_signature_28.png</t>
  </si>
  <si>
    <t>Lovely Orongan</t>
  </si>
  <si>
    <t>https://www.jotform.com/uploads/macarewecare/222927978372067/5523442150145956694/5523442150145956694_signature_31.png</t>
  </si>
  <si>
    <t>https://www.jotform.com/uploads/macarewecare/222927978372067/5523439500141652651/5523439500141652651_signature_28.png</t>
  </si>
  <si>
    <t>https://www.jotform.com/uploads/macarewecare/222927978372067/5523439500141652651/5523439500141652651_signature_31.png</t>
  </si>
  <si>
    <t xml:space="preserve">ASSAY: Xpert MTB/RIF, COUNT: 586
ASSAY: Xpert MTB/RIF Ultra, COUNT: 3237
ASSAY: Xpert HIV-1 Viral Load, COUNT: 40
</t>
  </si>
  <si>
    <t>GX Serial No. 815489 - Module D3 found temperature related error</t>
  </si>
  <si>
    <t>D3 already reported in jotform</t>
  </si>
  <si>
    <t>Replacing Module C1 with SN: 652389 to SN: 642566
Replacing Module C2 with SN: 625609 to SN: 210018392
Replacing Module C3 with SN: 675554 to SN: 731550
Replacing Module C4 with SN: 686046 to SN: 890309</t>
  </si>
  <si>
    <t>7 modules working and 1 module for reporting</t>
  </si>
  <si>
    <t>Done getting additional data in Module D3</t>
  </si>
  <si>
    <t>https://www.jotform.com/uploads/macarewecare/222927978372067/5523413573815839078/5523413573815839078_signature_28.png</t>
  </si>
  <si>
    <t>https://www.jotform.com/uploads/macarewecare/222927978372067/5523413573815839078/5523413573815839078_signature_31.png</t>
  </si>
  <si>
    <t>jhudielkathleen@gmail.com</t>
  </si>
  <si>
    <t xml:space="preserve">ASSAY: Xpert MTB/RIF Ultra, COUNT: 167
</t>
  </si>
  <si>
    <t>Cleaned plunger, cartridge bay and equipment body case
Washed fan filter
Generate data files
Archive tests
Data back up</t>
  </si>
  <si>
    <t>https://www.jotform.com/uploads/macarewecare/222927978372067/5523388653326871622/5523388653326871622_signature_28.png</t>
  </si>
  <si>
    <t>Jhudiel Kathleen Agol</t>
  </si>
  <si>
    <t>https://www.jotform.com/uploads/macarewecare/222927978372067/5523388653326871622/5523388653326871622_signature_31.png</t>
  </si>
  <si>
    <t>Maolboal Rural Health Unit</t>
  </si>
  <si>
    <t>Moalboal Cebu</t>
  </si>
  <si>
    <t>All Modules pass for Xpertcheck</t>
  </si>
  <si>
    <t>https://www.jotform.com/uploads/macarewecare/222927978372067/5523370582124660799/5523370582124660799_signature_28.png</t>
  </si>
  <si>
    <t>Ava A. Gako</t>
  </si>
  <si>
    <t>https://www.jotform.com/uploads/macarewecare/222927978372067/5523370582124660799/5523370582124660799_signature_31.png</t>
  </si>
  <si>
    <t xml:space="preserve">ASSAY: Xpert MTB/RIF, COUNT: 173
ASSAY: Xpert MTB/RIF Ultra, COUNT: 293
</t>
  </si>
  <si>
    <t>https://www.jotform.com/uploads/macarewecare/222927978372067/5523363767122921129/5523363767122921129_signature_28.png</t>
  </si>
  <si>
    <t>Lorna Cabrigas Abaigar</t>
  </si>
  <si>
    <t>https://www.jotform.com/uploads/macarewecare/222927978372067/5523363767122921129/5523363767122921129_signature_31.png</t>
  </si>
  <si>
    <t>San Manuel RHU</t>
  </si>
  <si>
    <t xml:space="preserve">ASSAY: Xpert MTB/RIF, COUNT: 199
ASSAY: Xpert MTB/RIF Ultra, COUNT: 1280
</t>
  </si>
  <si>
    <t>Resolved stuck cartridge</t>
  </si>
  <si>
    <t>Performed Maintenance
Gathered Reports
Enabled module 2
Performed Functionality Test</t>
  </si>
  <si>
    <t>https://www.jotform.com/uploads/macarewecare/222927978372067/5523279707122376305/5523279707122376305_signature_28.png</t>
  </si>
  <si>
    <t>TONY Q. ANTONIO JR</t>
  </si>
  <si>
    <t>https://www.jotform.com/uploads/macarewecare/222927978372067/5523279707122376305/5523279707122376305_signature_31.png</t>
  </si>
  <si>
    <t>Ilagan CHO</t>
  </si>
  <si>
    <t xml:space="preserve">ASSAY: Xpert MTB/RIF, COUNT: 652
ASSAY: Xpert MTB/RIF Ultra, COUNT: 1016
</t>
  </si>
  <si>
    <t>Module Replacement - 684832 - 686640</t>
  </si>
  <si>
    <t>Genexpert Module - 686640</t>
  </si>
  <si>
    <t>https://www.jotform.com/uploads/macarewecare/222927978372067/5523279707123577417/5523279707123577417_signature_28.png</t>
  </si>
  <si>
    <t>April Jenneth B. Chu</t>
  </si>
  <si>
    <t>https://www.jotform.com/uploads/macarewecare/222927978372067/5523279707123577417/5523279707123577417_signature_31.png</t>
  </si>
  <si>
    <t>https://www.jotform.com/uploads/macarewecare/222927978372067/5523277128682728589/5523277128682728589_signature_28.png</t>
  </si>
  <si>
    <t>https://www.jotform.com/uploads/macarewecare/222927978372067/5523277128682728589/5523277128682728589_signature_31.png</t>
  </si>
  <si>
    <t>Montinola St., Victorias City Negros Occ.</t>
  </si>
  <si>
    <t xml:space="preserve">ASSAY: Xpert MTB/RIF Ultra, COUNT: 1000
ASSAY: Xpert MTB/RIF, COUNT: 452
</t>
  </si>
  <si>
    <t>Save GXX file, IQR, System Log &amp; Assay Statistics</t>
  </si>
  <si>
    <t>Perform Xpert check calibration for module 1 &amp; 2.</t>
  </si>
  <si>
    <t>Module 1, 3 &amp; 4 are functional. Module B2 has already allocation for replacement.</t>
  </si>
  <si>
    <t>https://www.jotform.com/uploads/macarewecare/222927978372067/5523253618615537603/5523253618615537603_signature_28.png</t>
  </si>
  <si>
    <t>Mr. Vincent Leonor</t>
  </si>
  <si>
    <t>https://www.jotform.com/uploads/macarewecare/222927978372067/5523253618615537603/5523253618615537603_signature_31.png</t>
  </si>
  <si>
    <t>Unit for PM.
Unit for Xpertcheck.
For installation of UPS and CPU.</t>
  </si>
  <si>
    <t>Performed installation of CPU and UPS.
Performed preventive maintenance.
Performed Xpertcheck.
Generated reports.</t>
  </si>
  <si>
    <t>Preventive maintenance, installation and Xpertcheck.</t>
  </si>
  <si>
    <t>Unit is operational. Module B3 (624415) is service required.</t>
  </si>
  <si>
    <t>CPU (CPH0322F32990</t>
  </si>
  <si>
    <t>G5191</t>
  </si>
  <si>
    <t>https://www.jotform.com/uploads/macarewecare/222927978372067/5523213621916532494/5523213621916532494_signature_28.png</t>
  </si>
  <si>
    <t>https://www.jotform.com/uploads/macarewecare/222927978372067/5523213621916532494/5523213621916532494_signature_31.png</t>
  </si>
  <si>
    <t>https://www.jotform.com/uploads/macarewecare/222927978372067/5523212651919651774/5523212651919651774_signature_28.png</t>
  </si>
  <si>
    <t>https://www.jotform.com/uploads/macarewecare/222927978372067/5523212651919651774/5523212651919651774_signature_31.png</t>
  </si>
  <si>
    <t xml:space="preserve">ASSAY: Xpert HPV, COUNT: 444
ASSAY: Xpert MTB/RIF, COUNT: 472
ASSAY: Xpert MTB/RIF Ultra, COUNT: 960
ASSAY: Xpert SARS-CoV-2, COUNT: 11112
ASSAY: Xpert HIV-1 Viral Load, COUNT: 3
</t>
  </si>
  <si>
    <t>CPU not powering on.
For on-site troubleshooting and repair.</t>
  </si>
  <si>
    <t>Performed troubleshooting.
Checked and reset all internal connections.
Reset RAM and insert it to other slot.</t>
  </si>
  <si>
    <t>https://www.jotform.com/uploads/macarewecare/222927978372067/5523132179213007443/5523132179213007443_signature_28.png</t>
  </si>
  <si>
    <t>https://www.jotform.com/uploads/macarewecare/222927978372067/5523132179213007443/5523132179213007443_signature_31.png</t>
  </si>
  <si>
    <t xml:space="preserve">ASSAY: Xpert MTB/RIF, COUNT: 36
ASSAY: Xpert MTB/RIF Ultra, COUNT: 1919
ASSAY: Others, COUNT: 156
</t>
  </si>
  <si>
    <t>Unit for preventive maintenance.
For generating of data on module A4.</t>
  </si>
  <si>
    <t>Performed preventive maintenance.
Performed Xpertcheck on module A4.
Generated report.</t>
  </si>
  <si>
    <t>Unit is operational. 3 operational modules. Module A4 service required.</t>
  </si>
  <si>
    <t>https://www.jotform.com/uploads/macarewecare/222927978372067/5523132179214606833/5523132179214606833_signature_28.png</t>
  </si>
  <si>
    <t>https://www.jotform.com/uploads/macarewecare/222927978372067/5523132179214606833/5523132179214606833_signature_31.png</t>
  </si>
  <si>
    <t xml:space="preserve">ASSAY: Xpert SARS-CoV-2, COUNT: 603
</t>
  </si>
  <si>
    <t>https://www.jotform.com/uploads/macarewecare/222927978372067/5523132179215726916/5523132179215726916_signature_28.png</t>
  </si>
  <si>
    <t>https://www.jotform.com/uploads/macarewecare/222927978372067/5523132179215726916/5523132179215726916_signature_31.png</t>
  </si>
  <si>
    <t xml:space="preserve">ASSAY: Xpert HPV, COUNT: 2
ASSAY: Xpert MTB/RIF, COUNT: 388
ASSAY: Xpert MTB/RIF Ultra, COUNT: 1221
</t>
  </si>
  <si>
    <t>Performed preventive maintenance.</t>
  </si>
  <si>
    <t>Unit is operational. 1 module operational.</t>
  </si>
  <si>
    <t>https://www.jotform.com/uploads/macarewecare/222927978372067/5523132179218445189/5523132179218445189_signature_28.png</t>
  </si>
  <si>
    <t>https://www.jotform.com/uploads/macarewecare/222927978372067/5523132179218445189/5523132179218445189_signature_31.png</t>
  </si>
  <si>
    <t xml:space="preserve">ASSAY: Xpert MTB/RIF Ultra, COUNT: 2564
</t>
  </si>
  <si>
    <t>H/W Fail on module B4/806415
Frequent communication lost</t>
  </si>
  <si>
    <t>Cleaned/sanitized equipment case, cartridge bay and plunger
Replaced fan filter
Resetting of the gateway board</t>
  </si>
  <si>
    <t>Preventive Maitenance</t>
  </si>
  <si>
    <t>https://www.jotform.com/uploads/macarewecare/222927978372067/5522736093327485993/5522736093327485993_signature_28.png</t>
  </si>
  <si>
    <t>Charice Galacio</t>
  </si>
  <si>
    <t>https://www.jotform.com/uploads/macarewecare/222927978372067/5522736093327485993/5522736093327485993_signature_31.png</t>
  </si>
  <si>
    <t>Bunawan Proper, Davao City</t>
  </si>
  <si>
    <t xml:space="preserve">ASSAY: Xpert MTB/RIF, COUNT: 72
ASSAY: Xpert MTB/RIF Ultra, COUNT: 718
</t>
  </si>
  <si>
    <t>For Calibration and Maintenance
Module B3 reported Hardware Failure</t>
  </si>
  <si>
    <t>Run Xpertcheck Calibration in four modules
Clean Surface Area, Cartridge Bay, Plunger Rod, Fan Filters, and Icore Lenses
Generate IQR, Assay Stat, System Log</t>
  </si>
  <si>
    <t>Perform XpertCheck Calibration and Maintenance</t>
  </si>
  <si>
    <t>Module B1, B2 and B3 passed the Calibration
Module B4 for service required</t>
  </si>
  <si>
    <t>Module B3 for under observation, GeneXpert Machine ambient temperature is high,</t>
  </si>
  <si>
    <t>https://www.jotform.com/uploads/macarewecare/222927978372067/5522547637715300837/5522547637715300837_signature_28.png</t>
  </si>
  <si>
    <t>Amraida S. Camid</t>
  </si>
  <si>
    <t>https://www.jotform.com/uploads/macarewecare/222927978372067/5522547637715300837/5522547637715300837_signature_31.png</t>
  </si>
  <si>
    <t>https://www.jotform.com/uploads/macarewecare/222927978372067/5522547607715823643/5522547607715823643_signature_28.png</t>
  </si>
  <si>
    <t>https://www.jotform.com/uploads/macarewecare/222927978372067/5522547607715823643/5522547607715823643_signature_31.png</t>
  </si>
  <si>
    <t>Ammw Jadsac District Hospital</t>
  </si>
  <si>
    <t>Pudtol Apayao</t>
  </si>
  <si>
    <t xml:space="preserve">ASSAY: Xpert MTB/RIF, COUNT: 639
ASSAY: Xpert MTB/RIF Ultra, COUNT: 1775
</t>
  </si>
  <si>
    <t>A4 for moduoe replacement
A3 HW failed, temperature error</t>
  </si>
  <si>
    <t>Repair and preventive maintenance</t>
  </si>
  <si>
    <t>Performed surface cleaning
Performed module replacement
Performed preventive maintenance
Gathered reports
Perfromed functionality test</t>
  </si>
  <si>
    <t>Unit is operational exceot module A3</t>
  </si>
  <si>
    <t>Module A3 for reporting</t>
  </si>
  <si>
    <t>https://www.jotform.com/uploads/macarewecare/222927978372067/5522525886123350845/5522525886123350845_signature_28.png</t>
  </si>
  <si>
    <t>Daisy Lacar</t>
  </si>
  <si>
    <t>https://www.jotform.com/uploads/macarewecare/222927978372067/5522525886123350845/5522525886123350845_signature_31.png</t>
  </si>
  <si>
    <t>MAINTENANCE
TROUBLESHOOTING
Xpertcheck 1 module</t>
  </si>
  <si>
    <t xml:space="preserve">ASSAY: Xpert HPV, COUNT: 708
ASSAY: Xpert MTB/RIF, COUNT: 1043
ASSAY: Xpert MTB/RIF Ultra, COUNT: 2607
ASSAY: Xpert HIV-1 Viral Load, COUNT: 222
</t>
  </si>
  <si>
    <t>Error 2126, Reset when running MTB- Ultra</t>
  </si>
  <si>
    <t>Performed Troubleshooting
Reset the Gateway Board
Performed Xpertcheck on Module 4</t>
  </si>
  <si>
    <t>Xpertcheck result - Service Required</t>
  </si>
  <si>
    <t>https://www.jotform.com/uploads/macarewecare/222927978372067/5522517517801193996/5522517517801193996_signature_28.png</t>
  </si>
  <si>
    <t>https://www.jotform.com/uploads/macarewecare/222927978372067/5522517517801193996/5522517517801193996_signature_31.png</t>
  </si>
  <si>
    <t>Carig Sur, Tuguegarao City Cagayan</t>
  </si>
  <si>
    <t xml:space="preserve">ASSAY: Xpert SARS-CoV-2, COUNT: 522
</t>
  </si>
  <si>
    <t>https://www.jotform.com/uploads/macarewecare/222927978372067/5522517517805810632/5522517517805810632_signature_28.png</t>
  </si>
  <si>
    <t>https://www.jotform.com/uploads/macarewecare/222927978372067/5522517517805810632/5522517517805810632_signature_31.png</t>
  </si>
  <si>
    <t>Solano RHU</t>
  </si>
  <si>
    <t>Brgy Roxas, Solano, Nueva Vizcaya</t>
  </si>
  <si>
    <t xml:space="preserve">ASSAY: Xpert MTB/RIF, COUNT: 203
ASSAY: Xpert MTB/RIF Ultra, COUNT: 450
</t>
  </si>
  <si>
    <t>Error 2037</t>
  </si>
  <si>
    <t>(Cartridge problem)</t>
  </si>
  <si>
    <t>Performed Maintenance
Gathered Reports
Performed Calibration on all modules
Performed Functionality Test</t>
  </si>
  <si>
    <t>https://www.jotform.com/uploads/macarewecare/222927978372067/5522517517808642941/5522517517808642941_signature_28.png</t>
  </si>
  <si>
    <t>May Vanessa A. Dela Cruz</t>
  </si>
  <si>
    <t>https://www.jotform.com/uploads/macarewecare/222927978372067/5522517517808642941/5522517517808642941_signature_31.png</t>
  </si>
  <si>
    <t>MCS*</t>
  </si>
  <si>
    <t>https://www.jotform.com/uploads/macarewecare/222927978372067/5522504588227932529/5522504588227932529_signature_28.png</t>
  </si>
  <si>
    <t>https://www.jotform.com/uploads/macarewecare/222927978372067/5522504588227932529/5522504588227932529_signature_31.png</t>
  </si>
  <si>
    <t>https://www.jotform.com/uploads/macarewecare/222927978372067/5522500718222643333/5522500718222643333_signature_28.png</t>
  </si>
  <si>
    <t>https://www.jotform.com/uploads/macarewecare/222927978372067/5522500718222643333/5522500718222643333_signature_31.png</t>
  </si>
  <si>
    <t>Brgy. Poblacion, Bunawan</t>
  </si>
  <si>
    <t>vgpmh.official@gmail.com</t>
  </si>
  <si>
    <t xml:space="preserve">ASSAY: Xpert MTB/RIF, COUNT: 1276
ASSAY: Xpert MTB/RIF Ultra, COUNT: 3490
</t>
  </si>
  <si>
    <t>B3 and B4 found Service Required</t>
  </si>
  <si>
    <t>Initial Troubleshooting</t>
  </si>
  <si>
    <t>Replacing Module A1 with SN: 645126 to SN:731391
XpertCheck Calibration</t>
  </si>
  <si>
    <t>2 modules working, 2 modules service required (for replacement)</t>
  </si>
  <si>
    <t>https://www.jotform.com/uploads/macarewecare/222927978372067/5522480812519230815/5522480812519230815_signature_28.png</t>
  </si>
  <si>
    <t>Honey Mae B. Panes</t>
  </si>
  <si>
    <t>https://www.jotform.com/uploads/macarewecare/222927978372067/5522480812519230815/5522480812519230815_signature_31.png</t>
  </si>
  <si>
    <t>rhukalayaanlab@gmail.com</t>
  </si>
  <si>
    <t xml:space="preserve">ASSAY: Xpert MTB/RIF, COUNT: 111
ASSAY: Xpert MTB/RIF Ultra, COUNT: 546
</t>
  </si>
  <si>
    <t>Defective barcode scanner</t>
  </si>
  <si>
    <t>Replaced defective barcode scanner</t>
  </si>
  <si>
    <t>Performed maintenance
Replaced defective barcode scanner 
Generated reports</t>
  </si>
  <si>
    <t>Modules A1/792273 and A2/783209 not operational. Modules A3 and A4 operational.</t>
  </si>
  <si>
    <t>Module A1 and A2 reported.</t>
  </si>
  <si>
    <t>GeneXpert barcode scanner</t>
  </si>
  <si>
    <t>DR# 9601</t>
  </si>
  <si>
    <t>https://www.jotform.com/uploads/macarewecare/222927978372067/5522396840133179868/5522396840133179868_signature_28.png</t>
  </si>
  <si>
    <t>https://www.jotform.com/uploads/macarewecare/222927978372067/5522396840133179868/5522396840133179868_signature_31.png</t>
  </si>
  <si>
    <t>East Ave Diliman</t>
  </si>
  <si>
    <t>paulinobernaldo_1419@yahoo.com</t>
  </si>
  <si>
    <t>Sometimes not proceeding to self test.</t>
  </si>
  <si>
    <t>Reset CPU board</t>
  </si>
  <si>
    <t>Checked internal connections 
Checked CPU board
Checked calibration parameters
Simulation run</t>
  </si>
  <si>
    <t>Unit is operational but for further troubleshooting</t>
  </si>
  <si>
    <t>https://www.jotform.com/uploads/macarewecare/222927978372067/5522396840136902368/5522396840136902368_signature_28.png</t>
  </si>
  <si>
    <t>https://www.jotform.com/uploads/macarewecare/222927978372067/5522396840136902368/5522396840136902368_signature_31.png</t>
  </si>
  <si>
    <t>Poblacion District, Panabo City</t>
  </si>
  <si>
    <t>Module B2 SN 808297 encounter multiple Temperature Error</t>
  </si>
  <si>
    <t>Perform XPC at Module B2 SN 808297 ;</t>
  </si>
  <si>
    <t>Perform XPC at the Certain Module</t>
  </si>
  <si>
    <t>Module B2 SN 808297 service required</t>
  </si>
  <si>
    <t>Data will be sent to headoffice for further Assessment</t>
  </si>
  <si>
    <t>XPERTCHECK Cartridge</t>
  </si>
  <si>
    <t>https://www.jotform.com/uploads/macarewecare/222927978372067/5521704257714460130/5521704257714460130_signature_28.png</t>
  </si>
  <si>
    <t>Nadine Gemma Eustaquio</t>
  </si>
  <si>
    <t>https://www.jotform.com/uploads/macarewecare/222927978372067/5521704257714460130/5521704257714460130_signature_31.png</t>
  </si>
  <si>
    <t>https://www.jotform.com/uploads/macarewecare/222927978372067/5521704217711505611/5521704217711505611_signature_28.png</t>
  </si>
  <si>
    <t>https://www.jotform.com/uploads/macarewecare/222927978372067/5521704217711505611/5521704217711505611_signature_31.png</t>
  </si>
  <si>
    <t>MAGCORE PLUS II AUTOMATED NUCLEIC ACID EXTRACTOR</t>
  </si>
  <si>
    <t>P26R021820135</t>
  </si>
  <si>
    <t>https://www.jotform.com/uploads/macarewecare/222927978372067/5521645748302614674/5521645748302614674_signature_28.png</t>
  </si>
  <si>
    <t>Kee, Mary Joy C.</t>
  </si>
  <si>
    <t>https://www.jotform.com/uploads/macarewecare/222927978372067/5521645748302614674/5521645748302614674_signature_31.png</t>
  </si>
  <si>
    <t>https://www.jotform.com/uploads/macarewecare/222927978372067/5521643238304185657/5521643238304185657_signature_28.png</t>
  </si>
  <si>
    <t>https://www.jotform.com/uploads/macarewecare/222927978372067/5521643238304185657/5521643238304185657_signature_31.png</t>
  </si>
  <si>
    <t xml:space="preserve">ASSAY: Xpert HPV, COUNT: 364
ASSAY: Xpert MTB/RIF Ultra, COUNT: 7032
ASSAY: Xpert SARS-CoV-2, COUNT: 13266
ASSAY: Xpert HIV-1 Viral Load, COUNT: 426
</t>
  </si>
  <si>
    <t>Monitor display issue</t>
  </si>
  <si>
    <t>Replacement of LCD Monitor
New LCD monitor: ThinkVision S22e-20 Flat Panel Monitor</t>
  </si>
  <si>
    <t>Replaced LCD Monitor</t>
  </si>
  <si>
    <t>ThinkVision S22e-20 Flat Panel Monitor</t>
  </si>
  <si>
    <t>#01-2023-2588</t>
  </si>
  <si>
    <t>https://www.jotform.com/uploads/macarewecare/222927978372067/5521625713715743455/5521625713715743455_signature_28.png</t>
  </si>
  <si>
    <t>https://www.jotform.com/uploads/macarewecare/222927978372067/5521625713715743455/5521625713715743455_signature_31.png</t>
  </si>
  <si>
    <t>mananganjeslen30@gmail.com</t>
  </si>
  <si>
    <t>Installation and setup of new CPU
Setup of user admin
Installation of assays
Performed preventive maintenance
Gathered Reports
Performed functionality test</t>
  </si>
  <si>
    <t>Installation and Preventive maintenance</t>
  </si>
  <si>
    <t>800-0560gxdx(config Desktop,Lenovo)</t>
  </si>
  <si>
    <t>https://www.jotform.com/uploads/macarewecare/222927978372067/5521598455415660610/5521598455415660610_signature_28.png</t>
  </si>
  <si>
    <t>https://www.jotform.com/uploads/macarewecare/222927978372067/5521598455415660610/5521598455415660610_signature_31.png</t>
  </si>
  <si>
    <t>Ward II, Minglanilla Poblacion, Cebu</t>
  </si>
  <si>
    <t xml:space="preserve">ASSAY: Xpert MTB/RIF, COUNT: 480
</t>
  </si>
  <si>
    <t>Clean Icore and Plunger</t>
  </si>
  <si>
    <t>All module are operational. The error in Module Serial number 862343 are sample related error.</t>
  </si>
  <si>
    <t>https://www.jotform.com/uploads/macarewecare/222927978372067/5521483467013678503/5521483467013678503_signature_28.png</t>
  </si>
  <si>
    <t>https://www.jotform.com/uploads/macarewecare/222927978372067/5521483467013678503/5521483467013678503_signature_31.png</t>
  </si>
  <si>
    <t>Gx - IV</t>
  </si>
  <si>
    <t>Genexpert room no Air-condition installed
Genexpert module temperature not within the acceptable range of 15-30°C</t>
  </si>
  <si>
    <t>https://www.jotform.com/uploads/macarewecare/222927978372067/5521374271756437696/5521374271756437696_signature_28.png</t>
  </si>
  <si>
    <t>https://www.jotform.com/uploads/macarewecare/222927978372067/5521374271756437696/5521374271756437696_signature_31.png</t>
  </si>
  <si>
    <t xml:space="preserve">ASSAY: Xpert MTB/RIF, COUNT: 2
ASSAY: Xpert MTB/RIF Ultra, COUNT: 1418
</t>
  </si>
  <si>
    <t>B3 was found E1002 and E4009</t>
  </si>
  <si>
    <t>Replacing Module B1 with SN: 668567 to SN: 634834</t>
  </si>
  <si>
    <t>3 modules working and 1 defective module</t>
  </si>
  <si>
    <t>https://www.jotform.com/uploads/macarewecare/222927978372067/5520816136475028817/5520816136475028817_signature_28.png</t>
  </si>
  <si>
    <t>https://www.jotform.com/uploads/macarewecare/222927978372067/5520816136475028817/5520816136475028817_signature_31.png</t>
  </si>
  <si>
    <t>CEBU TB RERENCE LAB</t>
  </si>
  <si>
    <t xml:space="preserve">ASSAY: Xpert MTB/RIF, COUNT: 1695
</t>
  </si>
  <si>
    <t>Due date for Xpertcheck</t>
  </si>
  <si>
    <t>Perform xpertcheck, clean fan filter</t>
  </si>
  <si>
    <t>https://www.jotform.com/uploads/macarewecare/222927978372067/5520810818142197494/5520810818142197494_signature_28.png</t>
  </si>
  <si>
    <t>https://www.jotform.com/uploads/macarewecare/222927978372067/5520810818142197494/5520810818142197494_signature_31.png</t>
  </si>
  <si>
    <t>Toledo city health office</t>
  </si>
  <si>
    <t>SGH530PDFQ</t>
  </si>
  <si>
    <t>Install CPU and Barcode Scanner</t>
  </si>
  <si>
    <t>CPU and Barcode functional ok to use.</t>
  </si>
  <si>
    <t>https://www.jotform.com/uploads/macarewecare/222927978372067/5520807702717989476/5520807702717989476_signature_28.png</t>
  </si>
  <si>
    <t>https://www.jotform.com/uploads/macarewecare/222927978372067/5520807702717989476/5520807702717989476_signature_31.png</t>
  </si>
  <si>
    <t xml:space="preserve">ASSAY: Xpert MTB/RIF Ultra, COUNT: 11186
</t>
  </si>
  <si>
    <t>Barcode Scanner Not Detected</t>
  </si>
  <si>
    <t>Pull out CPU and Barcode</t>
  </si>
  <si>
    <t>Not ok</t>
  </si>
  <si>
    <t>https://www.jotform.com/uploads/macarewecare/222927978372067/5520802522713184989/5520802522713184989_signature_28.png</t>
  </si>
  <si>
    <t>https://www.jotform.com/uploads/macarewecare/222927978372067/5520802522713184989/5520802522713184989_signature_31.png</t>
  </si>
  <si>
    <t xml:space="preserve">ASSAY: Xpert MTB/RIF, COUNT: 228
ASSAY: Xpert MTB/RIF Ultra, COUNT: 193
</t>
  </si>
  <si>
    <t>Module B4 Encounter an Error
For Preventive Maintenance</t>
  </si>
  <si>
    <t>Clean Surface Area, Cartridge Bay, Plunger Rod, Fan Filters
Generate IQR, Assay Stat and System Log</t>
  </si>
  <si>
    <t>Module Before for under observation
Other Modules are Operational</t>
  </si>
  <si>
    <t>https://www.jotform.com/uploads/macarewecare/222927978372067/5520773564211445643/5520773564211445643_signature_28.png</t>
  </si>
  <si>
    <t>Joy Nio</t>
  </si>
  <si>
    <t>https://www.jotform.com/uploads/macarewecare/222927978372067/5520773564211445643/5520773564211445643_signature_31.png</t>
  </si>
  <si>
    <t>Yelle0908@gmail.com</t>
  </si>
  <si>
    <t xml:space="preserve">ASSAY: Xpert MTB/RIF, COUNT: 198
ASSAY: Xpert MTB/RIF Ultra, COUNT: 579
</t>
  </si>
  <si>
    <t>https://www.jotform.com/uploads/macarewecare/222927978372067/5520610271212636397/5520610271212636397_signature_28.png</t>
  </si>
  <si>
    <t>https://www.jotform.com/uploads/macarewecare/222927978372067/5520610271212636397/5520610271212636397_signature_31.png</t>
  </si>
  <si>
    <t xml:space="preserve">ASSAY: Xpert MTB/RIF, COUNT: 314
ASSAY: Xpert MTB/RIF Ultra, COUNT: 815
</t>
  </si>
  <si>
    <t>https://www.jotform.com/uploads/macarewecare/222927978372067/5520610231212252309/5520610231212252309_signature_28.png</t>
  </si>
  <si>
    <t>https://www.jotform.com/uploads/macarewecare/222927978372067/5520610231212252309/5520610231212252309_signature_31.png</t>
  </si>
  <si>
    <t xml:space="preserve">ASSAY: Xpert MTB/RIF, COUNT: 129
ASSAY: Xpert MTB/RIF Ultra, COUNT: 1057
</t>
  </si>
  <si>
    <t>Relocated unit to suitable area</t>
  </si>
  <si>
    <t>Unit is operational. UPS for reporting</t>
  </si>
  <si>
    <t>https://www.jotform.com/uploads/macarewecare/222927978372067/5520610231213450983/5520610231213450983_signature_28.png</t>
  </si>
  <si>
    <t>https://www.jotform.com/uploads/macarewecare/222927978372067/5520610231213450983/5520610231213450983_signature_31.png</t>
  </si>
  <si>
    <t xml:space="preserve">ASSAY: Xpert MTB/RIF, COUNT: 184
ASSAY: Xpert MTB/RIF Ultra, COUNT: 1018
</t>
  </si>
  <si>
    <t>Unit is operational. B1 failed. B2, B4 passed calibration.</t>
  </si>
  <si>
    <t>https://www.jotform.com/uploads/macarewecare/222927978372067/5520610231214506471/5520610231214506471_signature_28.png</t>
  </si>
  <si>
    <t>https://www.jotform.com/uploads/macarewecare/222927978372067/5520610231214506471/5520610231214506471_signature_31.png</t>
  </si>
  <si>
    <t xml:space="preserve">ASSAY: Xpert MTB/RIF, COUNT: 24
ASSAY: Xpert MTB/RIF Ultra, COUNT: 790
</t>
  </si>
  <si>
    <t>Module B2 (745915) for replacement</t>
  </si>
  <si>
    <t>Genexpert Module
SN: 670428</t>
  </si>
  <si>
    <t>G 5163</t>
  </si>
  <si>
    <t>https://www.jotform.com/uploads/macarewecare/222927978372067/5520610231215107510/5520610231215107510_signature_28.png</t>
  </si>
  <si>
    <t>Arianne Jasmin Resurreccion</t>
  </si>
  <si>
    <t>https://www.jotform.com/uploads/macarewecare/222927978372067/5520610231215107510/5520610231215107510_signature_31.png</t>
  </si>
  <si>
    <t>Histopath</t>
  </si>
  <si>
    <t xml:space="preserve">ASSAY: Xpert HBV VL, COUNT: 49
ASSAY: Others, COUNT: 1
ASSAY: Xpert HCV VL, COUNT: 28
ASSAY: Xpert HIV-1 Viral Load, COUNT: 1183
</t>
  </si>
  <si>
    <t>- installed XPC 1.5a
- checked &amp; cleaned cartridge bay, plunger rod, I core slot, filter
- performed xpertcheck 
- Generated reports 
- performed functionality test</t>
  </si>
  <si>
    <t>Unit is operational. A2, A3, A4 insufficient kit. A1 failed xpertcheck.</t>
  </si>
  <si>
    <t>https://www.jotform.com/uploads/macarewecare/222927978372067/5520610231219966990/5520610231219966990_signature_28.png</t>
  </si>
  <si>
    <t>https://www.jotform.com/uploads/macarewecare/222927978372067/5520610231219966990/5520610231219966990_signature_31.png</t>
  </si>
  <si>
    <t>Performed maintenance 
Checked pump rollers
Verified calibration parameters 
Simulation run.</t>
  </si>
  <si>
    <t>https://www.jotform.com/uploads/macarewecare/222927978372067/5520569471212372604/5520569471212372604_signature_28.png</t>
  </si>
  <si>
    <t>https://www.jotform.com/uploads/macarewecare/222927978372067/5520569471212372604/5520569471212372604_signature_31.png</t>
  </si>
  <si>
    <t>Dr. Sixto Antonio Ave</t>
  </si>
  <si>
    <t xml:space="preserve">ASSAY: Xpert MTB/RIF, COUNT: 278
ASSAY: Xpert MTB/RIF Ultra, COUNT: 1119
ASSAY: Xpert SARS-CoV-2, COUNT: 113
</t>
  </si>
  <si>
    <t>Module B1/638232 has error 1018</t>
  </si>
  <si>
    <t>Run reliability test</t>
  </si>
  <si>
    <t>Performed maintenance 
Run reliability test on module B1
Generated reports</t>
  </si>
  <si>
    <t>Module B1/638232 not operational. Modules B2, B3 and B4 operational.</t>
  </si>
  <si>
    <t>Module B1 disabled.</t>
  </si>
  <si>
    <t>https://www.jotform.com/uploads/macarewecare/222927978372067/5520569471214077093/5520569471214077093_signature_28.png</t>
  </si>
  <si>
    <t>https://www.jotform.com/uploads/macarewecare/222927978372067/5520569471214077093/5520569471214077093_signature_31.png</t>
  </si>
  <si>
    <t>Shaw Blvd</t>
  </si>
  <si>
    <t xml:space="preserve">ASSAY: Xpert MTB/RIF, COUNT: 159
ASSAY: Xpert MTB/RIF Ultra, COUNT: 2726
ASSAY: Xpert SARS-CoV-2, COUNT: 12
ASSAY: Xpert HIV-1 Viral Load, COUNT: 29
</t>
  </si>
  <si>
    <t>Old B2/601366, B3/673989
New B2/210068691, B3/210068672</t>
  </si>
  <si>
    <t>G 5159</t>
  </si>
  <si>
    <t>https://www.jotform.com/uploads/macarewecare/222927978372067/5520569431212737048/5520569431212737048_signature_28.png</t>
  </si>
  <si>
    <t>JUSTINE LORENZ FALZADO, RMT</t>
  </si>
  <si>
    <t>https://www.jotform.com/uploads/macarewecare/222927978372067/5520569431212737048/5520569431212737048_signature_31.png</t>
  </si>
  <si>
    <t xml:space="preserve">ASSAY: Xpert HBV VL, COUNT: 3
ASSAY: Xpert HPV, COUNT: 13
ASSAY: Xpert MTB/RIF, COUNT: 67
ASSAY: Xpert MTB/RIF Ultra, COUNT: 758
ASSAY: Others, COUNT: 9
</t>
  </si>
  <si>
    <t>https://www.jotform.com/uploads/macarewecare/222927978372067/5520569431214965147/5520569431214965147_signature_28.png</t>
  </si>
  <si>
    <t>Ellaine Marie Velasco-Gatchalian</t>
  </si>
  <si>
    <t>https://www.jotform.com/uploads/macarewecare/222927978372067/5520569431214965147/5520569431214965147_signature_31.png</t>
  </si>
  <si>
    <t xml:space="preserve">ASSAY: Xpert MTB/RIF Ultra, COUNT: 2
ASSAY: Xpert SARS-CoV-2, COUNT: 15864
ASSAY: Others, COUNT: 9
</t>
  </si>
  <si>
    <t>Modules A1 and B4 error 4012</t>
  </si>
  <si>
    <t>Run XpertCheck on modules A1 and B4</t>
  </si>
  <si>
    <t>Performed maintenance 
Run XpertCheck on modules A1 and B4
Generated reports</t>
  </si>
  <si>
    <t>Unit is operational.  Modules A1/860914 and B4/860924 not operational.</t>
  </si>
  <si>
    <t>Modules A1 and B4 failed in XpertCheck</t>
  </si>
  <si>
    <t>https://www.jotform.com/uploads/macarewecare/222927978372067/5520569431215242255/5520569431215242255_signature_28.png</t>
  </si>
  <si>
    <t>JUSTINE LORENZ V. FALZADO</t>
  </si>
  <si>
    <t>https://www.jotform.com/uploads/macarewecare/222927978372067/5520569431215242255/5520569431215242255_signature_31.png</t>
  </si>
  <si>
    <t xml:space="preserve">ASSAY: Xpert MTB/RIF, COUNT: 245
ASSAY: Xpert MTB/RIF Ultra, COUNT: 775
</t>
  </si>
  <si>
    <t>Modules C1 and C4 for replacement.</t>
  </si>
  <si>
    <t>Old C1/623870, C4/808388 New C1/743403, C4/210068710</t>
  </si>
  <si>
    <t>https://www.jotform.com/uploads/macarewecare/222927978372067/5520569431218316411/5520569431218316411_signature_28.png</t>
  </si>
  <si>
    <t>https://www.jotform.com/uploads/macarewecare/222927978372067/5520569431218316411/5520569431218316411_signature_31.png</t>
  </si>
  <si>
    <t>Batis</t>
  </si>
  <si>
    <t xml:space="preserve">ASSAY: Xpert MTB/RIF, COUNT: 673
ASSAY: Xpert MTB/RIF Ultra, COUNT: 1056
ASSAY: Xpert HIV-1 Viral Load, COUNT: 56
</t>
  </si>
  <si>
    <t>Modules A1 and A3 not operational. Module A2/604349 service required. Module A4 passed and operational.</t>
  </si>
  <si>
    <t>Modules A1/754112 and A3/677100 reported already. Rosario</t>
  </si>
  <si>
    <t>DR# 9533</t>
  </si>
  <si>
    <t>https://www.jotform.com/uploads/macarewecare/222927978372067/5520569431219898488/5520569431219898488_signature_28.png</t>
  </si>
  <si>
    <t>https://www.jotform.com/uploads/macarewecare/222927978372067/5520569431219898488/5520569431219898488_signature_31.png</t>
  </si>
  <si>
    <t>Nasud MHO</t>
  </si>
  <si>
    <t>Basud Camarines Norte</t>
  </si>
  <si>
    <t>For Module replacement.
For CPU Replacement</t>
  </si>
  <si>
    <t>Replaced Module A4</t>
  </si>
  <si>
    <t>Performed module repkacement.
Perforned CPU replacement.
Performed maintenance.</t>
  </si>
  <si>
    <t>New module 210070836 CPU SN: CHP1121F28280.</t>
  </si>
  <si>
    <t>https://www.jotform.com/uploads/macarewecare/222927978372067/5519950492424941659/5519950492424941659_signature_28.png</t>
  </si>
  <si>
    <t>https://www.jotform.com/uploads/macarewecare/222927978372067/5519950492424941659/5519950492424941659_signature_31.png</t>
  </si>
  <si>
    <t>Bay Laguna</t>
  </si>
  <si>
    <t xml:space="preserve">ASSAY: Xpert MTB/RIF, COUNT: 105
ASSAY: Xpert MTB/RIF Ultra, COUNT: 490
</t>
  </si>
  <si>
    <t>Unit is operational. Module B4 (806709) service required.</t>
  </si>
  <si>
    <t>https://www.jotform.com/uploads/macarewecare/222927978372067/5518945642114685047/5518945642114685047_signature_28.png</t>
  </si>
  <si>
    <t>Princess Ann Catungos</t>
  </si>
  <si>
    <t>https://www.jotform.com/uploads/macarewecare/222927978372067/5518945642114685047/5518945642114685047_signature_31.png</t>
  </si>
  <si>
    <t xml:space="preserve">ASSAY: Xpert MTB/RIF, COUNT: 49
ASSAY: Xpert MTB/RIF Ultra, COUNT: 586
</t>
  </si>
  <si>
    <t>Unit for preventive maintenance.
For checking of errors via jotform.</t>
  </si>
  <si>
    <t>Performed preventive maintenance.
Monitored running for checking if error will persist.
Generated reports.</t>
  </si>
  <si>
    <t>Prevntive maintenance</t>
  </si>
  <si>
    <t>Unit is operational. No errors after running.</t>
  </si>
  <si>
    <t>https://www.jotform.com/uploads/macarewecare/222927978372067/5518945642119683112/5518945642119683112_signature_28.png</t>
  </si>
  <si>
    <t>https://www.jotform.com/uploads/macarewecare/222927978372067/5518945642119683112/5518945642119683112_signature_31.png</t>
  </si>
  <si>
    <t>https://www.jotform.com/uploads/macarewecare/222927978372067/5518945212111683886/5518945212111683886_signature_28.png</t>
  </si>
  <si>
    <t>https://www.jotform.com/uploads/macarewecare/222927978372067/5518945212111683886/5518945212111683886_signature_31.png</t>
  </si>
  <si>
    <t>https://www.jotform.com/uploads/macarewecare/222927978372067/5518945212111943171/5518945212111943171_signature_28.png</t>
  </si>
  <si>
    <t>https://www.jotform.com/uploads/macarewecare/222927978372067/5518945212111943171/5518945212111943171_signature_31.png</t>
  </si>
  <si>
    <t>talaverashope@gmail.com</t>
  </si>
  <si>
    <t xml:space="preserve">ASSAY: Xpert MTB/RIF Ultra, COUNT: 144
ASSAY: Xpert HIV-1 Viral Load, COUNT: 51
</t>
  </si>
  <si>
    <t>Performed Maintenance (Cleaned Icore, Cleaned Plunger Rod, Cleaned Cartridge Bay, Cleaned Filters)
Gathered Reports
Installed HCV Assay
Performed Functionality Test</t>
  </si>
  <si>
    <t>https://www.jotform.com/uploads/macarewecare/222927978372067/5518257263912348461/5518257263912348461_signature_28.png</t>
  </si>
  <si>
    <t>https://www.jotform.com/uploads/macarewecare/222927978372067/5518257263912348461/5518257263912348461_signature_31.png</t>
  </si>
  <si>
    <t>https://www.jotform.com/uploads/macarewecare/222927978372067/5518257183912134896/5518257183912134896_signature_28.png</t>
  </si>
  <si>
    <t>https://www.jotform.com/uploads/macarewecare/222927978372067/5518257183912134896/5518257183912134896_signature_31.png</t>
  </si>
  <si>
    <t>Philippine heart  center</t>
  </si>
  <si>
    <t xml:space="preserve">ASSAY: Xpert MTB/RIF, COUNT: 11
ASSAY: Xpert MTB/RIF Ultra, COUNT: 263
ASSAY: Others, COUNT: 4
ASSAY: Xpert SARS-CoV-2, COUNT: 2074
</t>
  </si>
  <si>
    <t>For maintenance  and module replacement, b2 210067784 - 210068732</t>
  </si>
  <si>
    <t>Cleaned unit,filter,cartridge bay,icore,plunger rod,gathered reports,test run unit</t>
  </si>
  <si>
    <t>B1 unable to detect b2 b3 b4 operational</t>
  </si>
  <si>
    <t>G5157</t>
  </si>
  <si>
    <t>https://www.jotform.com/uploads/macarewecare/222927978372067/5518251145128736647/5518251145128736647_signature_28.png</t>
  </si>
  <si>
    <t>https://www.jotform.com/uploads/macarewecare/222927978372067/5518251145128736647/5518251145128736647_signature_31.png</t>
  </si>
  <si>
    <t>https://www.jotform.com/uploads/macarewecare/222927978372067/5518251065127249489/5518251065127249489_signature_28.png</t>
  </si>
  <si>
    <t>https://www.jotform.com/uploads/macarewecare/222927978372067/5518251065127249489/5518251065127249489_signature_31.png</t>
  </si>
  <si>
    <t>https://www.jotform.com/uploads/macarewecare/222927978372067/5518249615125899773/5518249615125899773_signature_28.png</t>
  </si>
  <si>
    <t>https://www.jotform.com/uploads/macarewecare/222927978372067/5518249615125899773/5518249615125899773_signature_31.png</t>
  </si>
  <si>
    <t>https://www.jotform.com/uploads/macarewecare/222927978372067/5518249495122110931/5518249495122110931_signature_28.png</t>
  </si>
  <si>
    <t>https://www.jotform.com/uploads/macarewecare/222927978372067/5518249495122110931/5518249495122110931_signature_31.png</t>
  </si>
  <si>
    <t>BRTTH Compound Legaspi City Albay</t>
  </si>
  <si>
    <t>bslsnrl.doh@gmail.com</t>
  </si>
  <si>
    <t>Centrifuge bowl not detected..</t>
  </si>
  <si>
    <t>Performed and verify calibation parameters.
Checked centrifuge..</t>
  </si>
  <si>
    <t>Performed calibration..
Checked centrifuge performance.
Run simulation test..
Performed troubleshooting.</t>
  </si>
  <si>
    <t>https://www.jotform.com/uploads/macarewecare/222927978372067/5518231050501842327/5518231050501842327_signature_28.png</t>
  </si>
  <si>
    <t>https://www.jotform.com/uploads/macarewecare/222927978372067/5518231050501842327/5518231050501842327_signature_31.png</t>
  </si>
  <si>
    <t>Bicol South Luzon Sub National Reference Lab</t>
  </si>
  <si>
    <t xml:space="preserve">ASSAY: Xpert HPV, COUNT: 97
ASSAY: Xpert MTB/RIF Ultra, COUNT: 512
ASSAY: Xpert HIV-1 Viral Load, COUNT: 111
</t>
  </si>
  <si>
    <t>Modules B1 and B3 for replacement</t>
  </si>
  <si>
    <t>Replaced modules B1 and B3</t>
  </si>
  <si>
    <t>Replaced modules B1 And B3
Performed maintwnance.</t>
  </si>
  <si>
    <t>862526 
210068731</t>
  </si>
  <si>
    <t>https://www.jotform.com/uploads/macarewecare/222927978372067/5518212030506574678/5518212030506574678_signature_28.png</t>
  </si>
  <si>
    <t>https://www.jotform.com/uploads/macarewecare/222927978372067/5518212030506574678/5518212030506574678_signature_31.png</t>
  </si>
  <si>
    <t>MALAY MUNICIPAL HEALTH OFFICE</t>
  </si>
  <si>
    <t xml:space="preserve">ASSAY: Xpert MTB/RIF, COUNT: 360
ASSAY: Xpert MTB/RIF Ultra, COUNT: 338
</t>
  </si>
  <si>
    <t>https://www.jotform.com/uploads/macarewecare/222927978372067/5518161097275933086/5518161097275933086_signature_28.png</t>
  </si>
  <si>
    <t>Redal D Taytay</t>
  </si>
  <si>
    <t>https://www.jotform.com/uploads/macarewecare/222927978372067/5518161097275933086/5518161097275933086_signature_31.png</t>
  </si>
  <si>
    <t>Gomez st novaliches qc</t>
  </si>
  <si>
    <t xml:space="preserve">ASSAY: Xpert MTB/RIF, COUNT: 232
ASSAY: Xpert MTB/RIF Ultra, COUNT: 825
</t>
  </si>
  <si>
    <t>Cleaned unit,filter,cartridge bay,icore,plunger rod,gathered reports,test run unit,performed xpertcheck</t>
  </si>
  <si>
    <t>A1 failed xpertcheck,A2 reported already,A3,A4 passed</t>
  </si>
  <si>
    <t>https://www.jotform.com/uploads/macarewecare/222927978372067/5518134466824127963/5518134466824127963_signature_28.png</t>
  </si>
  <si>
    <t>https://www.jotform.com/uploads/macarewecare/222927978372067/5518134466824127963/5518134466824127963_signature_31.png</t>
  </si>
  <si>
    <t>FEU -NRMF</t>
  </si>
  <si>
    <t>Dahlia ave qc</t>
  </si>
  <si>
    <t xml:space="preserve">ASSAY: Xpert HPV, COUNT: 22
ASSAY: Xpert MTB/RIF Ultra, COUNT: 316
</t>
  </si>
  <si>
    <t>https://www.jotform.com/uploads/macarewecare/222927978372067/5518134446825833671/5518134446825833671_signature_28.png</t>
  </si>
  <si>
    <t>https://www.jotform.com/uploads/macarewecare/222927978372067/5518134446825833671/5518134446825833671_signature_31.png</t>
  </si>
  <si>
    <t>Don Modesto Formilleza Sr. Memorial Hospital</t>
  </si>
  <si>
    <t>Looc</t>
  </si>
  <si>
    <t>dmfsmh92@gmail.com</t>
  </si>
  <si>
    <t>Performed Maintenance
Replaced module 1
Generate Reports</t>
  </si>
  <si>
    <t>https://www.jotform.com/uploads/macarewecare/222927978372067/5518130712221924860/5518130712221924860_signature_28.png</t>
  </si>
  <si>
    <t>Denzel Kent M. Pasion</t>
  </si>
  <si>
    <t>https://www.jotform.com/uploads/macarewecare/222927978372067/5518130712221924860/5518130712221924860_signature_31.png</t>
  </si>
  <si>
    <t>Alvarez, Manila</t>
  </si>
  <si>
    <t>eisel21@yahoo.com</t>
  </si>
  <si>
    <t xml:space="preserve">ASSAY: Xpert MTB/RIF Ultra, COUNT: 1608
ASSAY: Xpert HIV-1 Viral Load, COUNT: 921
</t>
  </si>
  <si>
    <t>Performed Maintenance
Performed XpertCheck
Generate reports</t>
  </si>
  <si>
    <t>2 modules Failed, 1 module passed,1  module unavailable in XpertCheck</t>
  </si>
  <si>
    <t>https://www.jotform.com/uploads/macarewecare/222927978372067/5518130702221237620/5518130702221237620_signature_28.png</t>
  </si>
  <si>
    <t>Leslie Grace Bundalian</t>
  </si>
  <si>
    <t>https://www.jotform.com/uploads/macarewecare/222927978372067/5518130702221237620/5518130702221237620_signature_31.png</t>
  </si>
  <si>
    <t>Unit is due for module replacement</t>
  </si>
  <si>
    <t>Performed Module Replacement
Performed self test
Generate reports</t>
  </si>
  <si>
    <t>1 module newly replaced</t>
  </si>
  <si>
    <t>B3:685262--&gt; 662573</t>
  </si>
  <si>
    <t>G 5160</t>
  </si>
  <si>
    <t>https://www.jotform.com/uploads/macarewecare/222927978372067/5518130702221630050/5518130702221630050_signature_28.png</t>
  </si>
  <si>
    <t>https://www.jotform.com/uploads/macarewecare/222927978372067/5518130702221630050/5518130702221630050_signature_31.png</t>
  </si>
  <si>
    <t>Lingap Kalusugan City Health Unit I- Alima</t>
  </si>
  <si>
    <t>Alima,Bacoor</t>
  </si>
  <si>
    <t xml:space="preserve">ASSAY: Xpert MTB/RIF Ultra, COUNT: 1105
ASSAY: Xpert HIV-1 Viral Load, COUNT: 4
</t>
  </si>
  <si>
    <t>Unut is due for XpertCheck</t>
  </si>
  <si>
    <t>https://www.jotform.com/uploads/macarewecare/222927978372067/5518130702228030596/5518130702228030596_signature_28.png</t>
  </si>
  <si>
    <t>https://www.jotform.com/uploads/macarewecare/222927978372067/5518130702228030596/5518130702228030596_signature_31.png</t>
  </si>
  <si>
    <t>Trece Martires</t>
  </si>
  <si>
    <t>3 modules operational, 1 defective</t>
  </si>
  <si>
    <t>Last XpertCheck: October 14, 2022</t>
  </si>
  <si>
    <t>https://www.jotform.com/uploads/macarewecare/222927978372067/5518130652221624792/5518130652221624792_signature_28.png</t>
  </si>
  <si>
    <t>Vivian Lorica</t>
  </si>
  <si>
    <t>https://www.jotform.com/uploads/macarewecare/222927978372067/5518130652221624792/5518130652221624792_signature_31.png</t>
  </si>
  <si>
    <t>Cleaned Plunger Rod, Cartridge Bay, and Filter
Performed Self-Test
Generate Report File</t>
  </si>
  <si>
    <t>https://www.jotform.com/uploads/macarewecare/222927978372067/5518130652226239661/5518130652226239661_signature_28.png</t>
  </si>
  <si>
    <t>https://www.jotform.com/uploads/macarewecare/222927978372067/5518130652226239661/5518130652226239661_signature_31.png</t>
  </si>
  <si>
    <t>Green gate Subd, Imus</t>
  </si>
  <si>
    <t>marylainemartinez@yahoo.com.ph</t>
  </si>
  <si>
    <t>3 modules passed, 1 module failed</t>
  </si>
  <si>
    <t>XpertCheck: B1/807095 - Failed</t>
  </si>
  <si>
    <t>https://www.jotform.com/uploads/macarewecare/222927978372067/5518130652226365342/5518130652226365342_signature_28.png</t>
  </si>
  <si>
    <t>Mary laine martinez</t>
  </si>
  <si>
    <t>https://www.jotform.com/uploads/macarewecare/222927978372067/5518130652226365342/5518130652226365342_signature_31.png</t>
  </si>
  <si>
    <t>Tunasan</t>
  </si>
  <si>
    <t xml:space="preserve">ASSAY: Xpert HPV, COUNT: 21
ASSAY: Xpert MTB/RIF Ultra, COUNT: 1078
ASSAY: Xpert HIV-1 Viral Load, COUNT: 145
</t>
  </si>
  <si>
    <t>Bios Battery Problem
Unit is due for XpertCheck</t>
  </si>
  <si>
    <t>Battery Replacement
XpertCheck</t>
  </si>
  <si>
    <t>Performed Maintenance
Performed XpertCheck
Replaced Bios Battery
Generate Reports</t>
  </si>
  <si>
    <t>XpertCheck: FAILED- 662483/B3</t>
  </si>
  <si>
    <t>https://www.jotform.com/uploads/macarewecare/222927978372067/5518130652226837131/5518130652226837131_signature_28.png</t>
  </si>
  <si>
    <t>https://www.jotform.com/uploads/macarewecare/222927978372067/5518130652226837131/5518130652226837131_signature_31.png</t>
  </si>
  <si>
    <t>Rizal Ave.</t>
  </si>
  <si>
    <t xml:space="preserve">ASSAY: Xpert HPV, COUNT: 881
ASSAY: Xpert SARS-CoV-2, COUNT: 3160
</t>
  </si>
  <si>
    <t>GX16-D-10 Colors</t>
  </si>
  <si>
    <t>4008 Problem</t>
  </si>
  <si>
    <t>Performed Cepheid Troubleshooting
Generate Reports
Capture ohms value and gateway board sides</t>
  </si>
  <si>
    <t>5 modules not operational. 11 modules operational</t>
  </si>
  <si>
    <t>https://www.jotform.com/uploads/macarewecare/222927978372067/5518130652229401796/5518130652229401796_signature_28.png</t>
  </si>
  <si>
    <t>https://www.jotform.com/uploads/macarewecare/222927978372067/5518130652229401796/5518130652229401796_signature_31.png</t>
  </si>
  <si>
    <t>International organization for migration</t>
  </si>
  <si>
    <t>HV dela costa makati city</t>
  </si>
  <si>
    <t xml:space="preserve">ASSAY: Xpert MTB/RIF, COUNT: 54
ASSAY: Xpert MTB/RIF Ultra, COUNT: 471
ASSAY: Xpert SARS-CoV-2, COUNT: 54
</t>
  </si>
  <si>
    <t>For network in 1 lapto and maintenance</t>
  </si>
  <si>
    <t>Cleaned unit,filter,cartridge bay,icore,plunger rod,gatheredreports,test run unit performed network</t>
  </si>
  <si>
    <t>Maintenance and network</t>
  </si>
  <si>
    <t>B2,b3 failed xpertcheck,b1,b4 passed</t>
  </si>
  <si>
    <t>https://www.jotform.com/uploads/macarewecare/222927978372067/5518098943026530397/5518098943026530397_signature_28.png</t>
  </si>
  <si>
    <t>https://www.jotform.com/uploads/macarewecare/222927978372067/5518098943026530397/5518098943026530397_signature_31.png</t>
  </si>
  <si>
    <t>https://www.jotform.com/uploads/macarewecare/222927978372067/5518098853026267792/5518098853026267792_signature_28.png</t>
  </si>
  <si>
    <t>https://www.jotform.com/uploads/macarewecare/222927978372067/5518098853026267792/5518098853026267792_signature_31.png</t>
  </si>
  <si>
    <t>H.V dela costa makati city</t>
  </si>
  <si>
    <t xml:space="preserve">ASSAY: Xpert MTB/RIF, COUNT: 44
ASSAY: Xpert MTB/RIF Ultra, COUNT: 691
ASSAY: Xpert SARS-CoV-2, COUNT: 157
</t>
  </si>
  <si>
    <t>For maintenance and network in 1 laptop</t>
  </si>
  <si>
    <t>Cleaned unit,filter,cartridge bay,icore,plunger rod,gathered reports,test run unit,performed network</t>
  </si>
  <si>
    <t>Operationak</t>
  </si>
  <si>
    <t>https://www.jotform.com/uploads/macarewecare/222927978372067/5518097703026199716/5518097703026199716_signature_28.png</t>
  </si>
  <si>
    <t>https://www.jotform.com/uploads/macarewecare/222927978372067/5518097703026199716/5518097703026199716_signature_31.png</t>
  </si>
  <si>
    <t>https://www.jotform.com/uploads/macarewecare/222927978372067/5518097633025679991/5518097633025679991_signature_28.png</t>
  </si>
  <si>
    <t>https://www.jotform.com/uploads/macarewecare/222927978372067/5518097633025679991/5518097633025679991_signature_31.png</t>
  </si>
  <si>
    <t xml:space="preserve">ASSAY: Xpert MTB/RIF, COUNT: 
ASSAY: Xpert MTB/RIF Ultra, COUNT: 
ASSAY: Xpert SARS-CoV-2, COUNT: 
</t>
  </si>
  <si>
    <t>For maintenance and network</t>
  </si>
  <si>
    <t>Cleaned unit,filter,cartridge bay,icore,plunger rod,gathered reports,yest run unit,performed network</t>
  </si>
  <si>
    <t>https://www.jotform.com/uploads/macarewecare/222927978372067/5518096703028779559/5518096703028779559_signature_28.png</t>
  </si>
  <si>
    <t>https://www.jotform.com/uploads/macarewecare/222927978372067/5518096703028779559/5518096703028779559_signature_31.png</t>
  </si>
  <si>
    <t xml:space="preserve">ASSAY: Xpert MTB/RIF, COUNT: 166
ASSAY: Xpert MTB/RIF Ultra, COUNT: 1654
</t>
  </si>
  <si>
    <t>Unit is operational. Modules B1(624926) B2(654606) B3(684919) are service required.</t>
  </si>
  <si>
    <t>Used 2 spare xpertcheck</t>
  </si>
  <si>
    <t>https://www.jotform.com/uploads/macarewecare/222927978372067/5518050850524088137/5518050850524088137_signature_28.png</t>
  </si>
  <si>
    <t>https://www.jotform.com/uploads/macarewecare/222927978372067/5518050850524088137/5518050850524088137_signature_31.png</t>
  </si>
  <si>
    <t xml:space="preserve">ASSAY: Xpert MTB/RIF, COUNT: 144
ASSAY: Xpert MTB/RIF Ultra, COUNT: 1405
</t>
  </si>
  <si>
    <t>Unit is operational. Modules B3(807734) and B4(807732) are service required.</t>
  </si>
  <si>
    <t>Xpertcheck kot</t>
  </si>
  <si>
    <t>https://www.jotform.com/uploads/macarewecare/222927978372067/5518050900527749581/5518050900527749581_signature_28.png</t>
  </si>
  <si>
    <t>https://www.jotform.com/uploads/macarewecare/222927978372067/5518050900527749581/5518050900527749581_signature_31.png</t>
  </si>
  <si>
    <t>Calamba Ciry Health Office</t>
  </si>
  <si>
    <t>Cabuyao Laguna</t>
  </si>
  <si>
    <t xml:space="preserve">ASSAY: , COUNT: 154
ASSAY: Xpert MTB/RIF Ultra, COUNT: 1249
</t>
  </si>
  <si>
    <t>Unit for preventive maintenance.
For module replacement of modules B1 &amp; B4.
For checking of monitor.</t>
  </si>
  <si>
    <t>Performed preventive maintenance.
Performed module replacement on module B1 &amp; B4.
Performed checking of monitor.
Generated reports.</t>
  </si>
  <si>
    <t>Preventive maintenance, module replacement and checking.</t>
  </si>
  <si>
    <t>Unit is operational. 3 operational modules. Monitor HP ProDisplay P19A (CNK6291216) is lagging on bottom part and is recommended for replacement</t>
  </si>
  <si>
    <t>GX Module for B1 (721198) and B4 (889236) in replacement for defective B1 (684186) and B4 (640819).</t>
  </si>
  <si>
    <t>https://www.jotform.com/uploads/macarewecare/222927978372067/5518050340523182770/5518050340523182770_signature_28.png</t>
  </si>
  <si>
    <t>https://www.jotform.com/uploads/macarewecare/222927978372067/5518050340523182770/5518050340523182770_signature_31.png</t>
  </si>
  <si>
    <t>Due for quarter PM</t>
  </si>
  <si>
    <t>https://www.jotform.com/uploads/macarewecare/222927978372067/5518040827766942557/5518040827766942557_signature_28.png</t>
  </si>
  <si>
    <t>https://www.jotform.com/uploads/macarewecare/222927978372067/5518040827766942557/5518040827766942557_signature_31.png</t>
  </si>
  <si>
    <t>Due for quarterly PM</t>
  </si>
  <si>
    <t>https://www.jotform.com/uploads/macarewecare/222927978372067/5517386475517551864/5517386475517551864_signature_28.png</t>
  </si>
  <si>
    <t>https://www.jotform.com/uploads/macarewecare/222927978372067/5517386475517551864/5517386475517551864_signature_31.png</t>
  </si>
  <si>
    <t>Lung center of the philippines</t>
  </si>
  <si>
    <t>For calibration and maintenance</t>
  </si>
  <si>
    <t>Cleaned unit,check valve,rollers,line sensor,display panel,dpm,spm,cuff,performed calibration,performed functionality test</t>
  </si>
  <si>
    <t>https://www.jotform.com/uploads/macarewecare/222927978372067/5517383941914454898/5517383941914454898_signature_28.png</t>
  </si>
  <si>
    <t>https://www.jotform.com/uploads/macarewecare/222927978372067/5517383941914454898/5517383941914454898_signature_31.png</t>
  </si>
  <si>
    <t>Cleaned unit,checked valve,rollers,line sensors,display panel,dpm,spm,cuff,performed calibration ,performed functionality test</t>
  </si>
  <si>
    <t>Without protocol card</t>
  </si>
  <si>
    <t>https://www.jotform.com/uploads/macarewecare/222927978372067/5517383941915113567/5517383941915113567_signature_28.png</t>
  </si>
  <si>
    <t>https://www.jotform.com/uploads/macarewecare/222927978372067/5517383941915113567/5517383941915113567_signature_31.png</t>
  </si>
  <si>
    <t>Bureau of Plant Industry Manila</t>
  </si>
  <si>
    <t>Quirino Avenue, Manila</t>
  </si>
  <si>
    <t>NPQSD</t>
  </si>
  <si>
    <t>Accessories for installation</t>
  </si>
  <si>
    <t>Installed accessories</t>
  </si>
  <si>
    <t>- installed binocular with phototube
- installed Axiocam 208C
- performed functionality test</t>
  </si>
  <si>
    <t>-binocular with phototube
-Axiocam 208C (S/N: 5321003334&gt;</t>
  </si>
  <si>
    <t>https://www.jotform.com/uploads/macarewecare/222927978372067/5517356220027390917/5517356220027390917_signature_28.png</t>
  </si>
  <si>
    <t>Jesriel escalada</t>
  </si>
  <si>
    <t>https://www.jotform.com/uploads/macarewecare/222927978372067/5517356220027390917/5517356220027390917_signature_31.png</t>
  </si>
  <si>
    <t>https://www.jotform.com/uploads/macarewecare/222927978372067/5517356200025828656/5517356200025828656_signature_28.png</t>
  </si>
  <si>
    <t>https://www.jotform.com/uploads/macarewecare/222927978372067/5517356200025828656/5517356200025828656_signature_31.png</t>
  </si>
  <si>
    <t>laboratory@mcsgh.com.ph</t>
  </si>
  <si>
    <t xml:space="preserve">ASSAY: Xpert MTB/RIF Ultra, COUNT: 1760
</t>
  </si>
  <si>
    <t>Module 1 and 2 temperature errors</t>
  </si>
  <si>
    <t>Module 1 and 2 disabled due to excessive temperature errors</t>
  </si>
  <si>
    <t>Module 1 and 2 already reported way before 2022</t>
  </si>
  <si>
    <t>https://www.jotform.com/uploads/macarewecare/222927978372067/5517347399661336449/5517347399661336449_signature_28.png</t>
  </si>
  <si>
    <t>Amie B. YBIO</t>
  </si>
  <si>
    <t>https://www.jotform.com/uploads/macarewecare/222927978372067/5517347399661336449/5517347399661336449_signature_31.png</t>
  </si>
  <si>
    <t>Manolo Fortich Rural Health Unit</t>
  </si>
  <si>
    <t>Manolo Fortich</t>
  </si>
  <si>
    <t xml:space="preserve">ASSAY: Xpert MTB/RIF Ultra, COUNT: 753
</t>
  </si>
  <si>
    <t>Reset power supply and gateway board</t>
  </si>
  <si>
    <t>Preventive maintenance
Power supply reset
Gateway board reset</t>
  </si>
  <si>
    <t>https://www.jotform.com/uploads/macarewecare/222927978372067/5517344989763575612/5517344989763575612_signature_28.png</t>
  </si>
  <si>
    <t>https://www.jotform.com/uploads/macarewecare/222927978372067/5517344989763575612/5517344989763575612_signature_31.png</t>
  </si>
  <si>
    <t>acharizaann@gmail.com</t>
  </si>
  <si>
    <t xml:space="preserve">ASSAY: Xpert MTB/RIF, COUNT: 249
ASSAY: Xpert MTB/RIF Ultra, COUNT: 670
</t>
  </si>
  <si>
    <t>Unit is for Calibration this March</t>
  </si>
  <si>
    <t>https://www.jotform.com/uploads/macarewecare/222927978372067/5517301977116766879/5517301977116766879_signature_28.png</t>
  </si>
  <si>
    <t>Chariza Ann T.Aluan</t>
  </si>
  <si>
    <t>https://www.jotform.com/uploads/macarewecare/222927978372067/5517301977116766879/5517301977116766879_signature_31.png</t>
  </si>
  <si>
    <t>Fairview health center</t>
  </si>
  <si>
    <t>hiromiomallio@yahoo.com.sg</t>
  </si>
  <si>
    <t>Cleaned unit,filter,cartridge bay,icore,plunger rod,gathered reports,test run unit and performed xpertcheck</t>
  </si>
  <si>
    <t>B3 and b4 failed xpertcheck,b2 retry,b1 passed</t>
  </si>
  <si>
    <t>https://www.jotform.com/uploads/macarewecare/222927978372067/5517295572847135366/5517295572847135366_signature_28.png</t>
  </si>
  <si>
    <t>https://www.jotform.com/uploads/macarewecare/222927978372067/5517295572847135366/5517295572847135366_signature_31.png</t>
  </si>
  <si>
    <t xml:space="preserve">ASSAY: Xpert MTB/RIF, COUNT: 708
ASSAY: Xpert MTB/RIF Ultra, COUNT: 1515
ASSAY: Xpert HIV-1 Viral Load, COUNT: 47
</t>
  </si>
  <si>
    <t>B1 was found Error 4009
B3 was found Error 1002
B4 was found Error 1002</t>
  </si>
  <si>
    <t>1 module failed from XpertCheck (B4)
1 module failed from self-test (B1) but passed xpc
1 module for observation</t>
  </si>
  <si>
    <t>2 modules working, 2 modules for replacement</t>
  </si>
  <si>
    <t>https://www.jotform.com/uploads/macarewecare/222927978372067/5517293840229279753/5517293840229279753_signature_28.png</t>
  </si>
  <si>
    <t>https://www.jotform.com/uploads/macarewecare/222927978372067/5517293840229279753/5517293840229279753_signature_31.png</t>
  </si>
  <si>
    <t>Malungon, Sarangani province</t>
  </si>
  <si>
    <t xml:space="preserve">ASSAY: Xpert MTB/RIF Ultra, COUNT: 230
</t>
  </si>
  <si>
    <t>Genexpert machine CPU Problem</t>
  </si>
  <si>
    <t>Perform Genexpert machine CPU Troubleshooting</t>
  </si>
  <si>
    <t>Check wirings- CPU Power Cord functional
Replace CMOS battery
Unplug and change ram to other Pin 
Check CPU Fun and lighting - none functional</t>
  </si>
  <si>
    <t>Genexpert machine CPU is for replacement due to power supply or mother board problem</t>
  </si>
  <si>
    <t>https://www.jotform.com/uploads/macarewecare/222927978372067/5517283538917348667/5517283538917348667_signature_28.png</t>
  </si>
  <si>
    <t>https://www.jotform.com/uploads/macarewecare/222927978372067/5517283538917348667/5517283538917348667_signature_31.png</t>
  </si>
  <si>
    <t>https://www.jotform.com/uploads/macarewecare/222927978372067/5517283518919863338/5517283518919863338_signature_28.png</t>
  </si>
  <si>
    <t>https://www.jotform.com/uploads/macarewecare/222927978372067/5517283518919863338/5517283518919863338_signature_31.png</t>
  </si>
  <si>
    <t>https://www.jotform.com/uploads/macarewecare/222927978372067/5517230172911735834/5517230172911735834_signature_28.png</t>
  </si>
  <si>
    <t>https://www.jotform.com/uploads/macarewecare/222927978372067/5517230172911735834/5517230172911735834_signature_31.png</t>
  </si>
  <si>
    <t>https://www.jotform.com/uploads/macarewecare/222927978372067/5517229652919390411/5517229652919390411_signature_28.png</t>
  </si>
  <si>
    <t>https://www.jotform.com/uploads/macarewecare/222927978372067/5517229652919390411/5517229652919390411_signature_31.png</t>
  </si>
  <si>
    <t>NABAS RURAL HEALTH UNIT</t>
  </si>
  <si>
    <t>https://www.jotform.com/uploads/macarewecare/222927978372067/5517216381628808973/5517216381628808973_signature_28.png</t>
  </si>
  <si>
    <t>Godelyn Lambito</t>
  </si>
  <si>
    <t>https://www.jotform.com/uploads/macarewecare/222927978372067/5517216381628808973/5517216381628808973_signature_31.png</t>
  </si>
  <si>
    <t>Davao del Norte Provincial Hospital-Igacos Samal Zone</t>
  </si>
  <si>
    <t>Island Garden City of Samal</t>
  </si>
  <si>
    <t>jftacastacas@gmail.com</t>
  </si>
  <si>
    <t>Module B3 and B4 for Replacement</t>
  </si>
  <si>
    <t>Replaced the Defective Module B3/ SN 696056 with new Module SN:2100708378
Replaced the defective Module B4/SN:696057 with new Module SN: 210070837
Clean Surface Area, Cartridge Bay, Plunger Rod, Fan Filters, and Icore Lenses
Generate IQR, Assay Stat and System Log
Archived Data test results</t>
  </si>
  <si>
    <t>https://www.jotform.com/uploads/macarewecare/222927978372067/5517201290147011555/5517201290147011555_signature_28.png</t>
  </si>
  <si>
    <t>JANICE FE PASTOR</t>
  </si>
  <si>
    <t>https://www.jotform.com/uploads/macarewecare/222927978372067/5517201290147011555/5517201290147011555_signature_31.png</t>
  </si>
  <si>
    <t>https://www.jotform.com/uploads/macarewecare/222927978372067/5517201250143720897/5517201250143720897_signature_28.png</t>
  </si>
  <si>
    <t>https://www.jotform.com/uploads/macarewecare/222927978372067/5517201250143720897/5517201250143720897_signature_31.png</t>
  </si>
  <si>
    <t>JBL, Brgy. Sto. Niño, Talaingod, Davao del Norte</t>
  </si>
  <si>
    <t xml:space="preserve">ASSAY: Xpert MTB/RIF, COUNT: 298
ASSAY: Xpert MTB/RIF Ultra, COUNT: 593
</t>
  </si>
  <si>
    <t>Module B3 for Replacement
For XpertCheck Calibration and Maintenance</t>
  </si>
  <si>
    <t>Perform Preventive Maintenance, XpertCheck Calibration and Module Replacement</t>
  </si>
  <si>
    <t>Replaced the Defective Module B3/SN: 863141 with new Module SN: 660296
Calibrate the Machine using XpertCheck
Clean Surface Area, Cartridge Bay, Fan Filters, Plunger Rod and Icore Lenses
Generate IQR, Assay Stat and System Log
Archived Data test results</t>
  </si>
  <si>
    <t>Unit is operational, modules passed the Calibration</t>
  </si>
  <si>
    <t>Module B4 for under observation</t>
  </si>
  <si>
    <t>https://www.jotform.com/uploads/macarewecare/222927978372067/5517188682662689753/5517188682662689753_signature_28.png</t>
  </si>
  <si>
    <t>Christine Dennise Olayan RMT</t>
  </si>
  <si>
    <t>https://www.jotform.com/uploads/macarewecare/222927978372067/5517188682662689753/5517188682662689753_signature_31.png</t>
  </si>
  <si>
    <t>Module D1 - retry then passed, module D2 &amp; D4 - passed, module D3 - retry then skipped</t>
  </si>
  <si>
    <t>Xpertcheck CE-5 Lot No. 05502 Exp. 2024 02 11</t>
  </si>
  <si>
    <t>https://www.jotform.com/uploads/macarewecare/222927978372067/5517180456215331466/5517180456215331466_signature_28.png</t>
  </si>
  <si>
    <t>https://www.jotform.com/uploads/macarewecare/222927978372067/5517180456215331466/5517180456215331466_signature_31.png</t>
  </si>
  <si>
    <t xml:space="preserve">ASSAY: Xpert MTB/RIF Ultra, COUNT: 1106
ASSAY: Xpert HIV-1 Viral Load, COUNT: 43
</t>
  </si>
  <si>
    <t>Module C4 defective</t>
  </si>
  <si>
    <t>Replace defective module C4/685784 with new module SN 802400</t>
  </si>
  <si>
    <t>https://www.jotform.com/uploads/macarewecare/222927978372067/5517155476104781942/5517155476104781942_signature_28.png</t>
  </si>
  <si>
    <t>https://www.jotform.com/uploads/macarewecare/222927978372067/5517155476104781942/5517155476104781942_signature_31.png</t>
  </si>
  <si>
    <t>Bagong pag asa health center</t>
  </si>
  <si>
    <t>Bagong pag asa qc</t>
  </si>
  <si>
    <t xml:space="preserve">ASSAY: Xpert HPV, COUNT: 69
ASSAY: Xpert MTB/RIF, COUNT: 238
ASSAY: Xpert MTB/RIF Ultra, COUNT: 949
</t>
  </si>
  <si>
    <t>For maintenance and encounter loss communication error A2</t>
  </si>
  <si>
    <t>Cleaned unit,filter,cartridge bay,icore,plunger rod,gathered reports,test run unit.relocate position module 2 to position 1 no error of loss communication during swapping of module position..</t>
  </si>
  <si>
    <t>For observation module A2,A1 reported already</t>
  </si>
  <si>
    <t>https://www.jotform.com/uploads/macarewecare/222927978372067/5516603895327701101/5516603895327701101_signature_28.png</t>
  </si>
  <si>
    <t>https://www.jotform.com/uploads/macarewecare/222927978372067/5516603895327701101/5516603895327701101_signature_31.png</t>
  </si>
  <si>
    <t>https://www.jotform.com/uploads/macarewecare/222927978372067/5516603845328496946/5516603845328496946_signature_28.png</t>
  </si>
  <si>
    <t>https://www.jotform.com/uploads/macarewecare/222927978372067/5516603845328496946/5516603845328496946_signature_31.png</t>
  </si>
  <si>
    <t>Biopath quezon city</t>
  </si>
  <si>
    <t>E.rodriguez,quezon city</t>
  </si>
  <si>
    <t xml:space="preserve">ASSAY: Xpert HBV VL, COUNT: 3
ASSAY: Xpert SARS-CoV-2, COUNT: 2100
ASSAY: Xpert HCV VL, COUNT: 1
ASSAY: Others, COUNT: 48
</t>
  </si>
  <si>
    <t>https://www.jotform.com/uploads/macarewecare/222927978372067/5516602065323765965/5516602065323765965_signature_28.png</t>
  </si>
  <si>
    <t>https://www.jotform.com/uploads/macarewecare/222927978372067/5516602065323765965/5516602065323765965_signature_31.png</t>
  </si>
  <si>
    <t>https://www.jotform.com/uploads/macarewecare/222927978372067/5516601885322549071/5516601885322549071_signature_28.png</t>
  </si>
  <si>
    <t>https://www.jotform.com/uploads/macarewecare/222927978372067/5516601885322549071/5516601885322549071_signature_31.png</t>
  </si>
  <si>
    <t xml:space="preserve">ASSAY: Xpert C. difficile BT, COUNT: 1
ASSAY: Xpert CT/NG, COUNT: 226
ASSAY: Others, COUNT: 4
ASSAY: Xpert MTB/RIF Ultra, COUNT: 2789
</t>
  </si>
  <si>
    <t>B1 and b2 failed xpertcheck,b3 encounter intermittent temp error 4012,for repair broken door hinges b4 module</t>
  </si>
  <si>
    <t>Performed maintenance,Cleaned unit,filter,cartridge bay,icore,plunger rod,gathered reports,test run unit, performed realibility test</t>
  </si>
  <si>
    <t>Repair,maintenance,troubleshooting</t>
  </si>
  <si>
    <t>B4 fixed door hinges,</t>
  </si>
  <si>
    <t>All module passed reliability test</t>
  </si>
  <si>
    <t>https://www.jotform.com/uploads/macarewecare/222927978372067/5516601805326834314/5516601805326834314_signature_28.png</t>
  </si>
  <si>
    <t>https://www.jotform.com/uploads/macarewecare/222927978372067/5516601805326834314/5516601805326834314_signature_31.png</t>
  </si>
  <si>
    <t>Dolores, San Fernando City Pampanga</t>
  </si>
  <si>
    <t>Immuno Laboratory (HIV)</t>
  </si>
  <si>
    <t xml:space="preserve">ASSAY: Xpert HIV-1 Viral Load, COUNT: 1174
ASSAY: Xpert HCV VL, COUNT: 28
ASSAY: Xpert HPV, COUNT: 1
ASSAY: Xpert HBV VL, COUNT: 46
</t>
  </si>
  <si>
    <t>Barcode Scanner defective
Laptop keyboard some keys not working</t>
  </si>
  <si>
    <t>Troubleshoot the scanner
Reconfigure the scanner</t>
  </si>
  <si>
    <t>Barcode scanner for replacement, Laptop keyboard not working</t>
  </si>
  <si>
    <t>https://www.jotform.com/uploads/macarewecare/222927978372067/5516492789511436881/5516492789511436881_signature_28.png</t>
  </si>
  <si>
    <t>https://www.jotform.com/uploads/macarewecare/222927978372067/5516492789511436881/5516492789511436881_signature_31.png</t>
  </si>
  <si>
    <t>https://www.jotform.com/uploads/macarewecare/222927978372067/5516492749515415372/5516492749515415372_signature_28.png</t>
  </si>
  <si>
    <t>https://www.jotform.com/uploads/macarewecare/222927978372067/5516492749515415372/5516492749515415372_signature_31.png</t>
  </si>
  <si>
    <t>https://www.jotform.com/uploads/macarewecare/222927978372067/5516492079518771958/5516492079518771958_signature_28.png</t>
  </si>
  <si>
    <t>https://www.jotform.com/uploads/macarewecare/222927978372067/5516492079518771958/5516492079518771958_signature_31.png</t>
  </si>
  <si>
    <t>Zamboanga City Medical Center</t>
  </si>
  <si>
    <t>Evangelista Street, Snta Catalina Rd, Zamboanga City</t>
  </si>
  <si>
    <t xml:space="preserve">ASSAY: Xpert HPV, COUNT: 441
ASSAY: Xpert MTB/RIF Ultra, COUNT: 4110
ASSAY: Xpert SARS-CoV-2, COUNT: 22894
ASSAY: Xpert HIV-1 Viral Load, COUNT: 240
</t>
  </si>
  <si>
    <t>Replaced module 638590, 21007
68701, 210068700, 210068678 with Modules 661531, 665298, 210068723, 210068675</t>
  </si>
  <si>
    <t>All 16 modules are available</t>
  </si>
  <si>
    <t>https://www.jotform.com/uploads/macarewecare/222927978372067/5516487855427589083/5516487855427589083_signature_28.png</t>
  </si>
  <si>
    <t>https://www.jotform.com/uploads/macarewecare/222927978372067/5516487855427589083/5516487855427589083_signature_31.png</t>
  </si>
  <si>
    <t xml:space="preserve">ASSAY: Xpert MTB/RIF Ultra, COUNT: 3132
ASSAY: Xpert HIV-1 Viral Load, COUNT: 66
ASSAY: Xpert MTB/RIF, COUNT: 1096
</t>
  </si>
  <si>
    <t>-PERFORM MODULE D2 REPLACEMENT DEFECTIVE SN:655239 WITH NEW SN:210068729</t>
  </si>
  <si>
    <t>https://www.jotform.com/uploads/macarewecare/222927978372067/5516411587368366202/5516411587368366202_signature_28.png</t>
  </si>
  <si>
    <t>Eva Raquel D.  Gonzaga</t>
  </si>
  <si>
    <t>https://www.jotform.com/uploads/macarewecare/222927978372067/5516411587368366202/5516411587368366202_signature_31.png</t>
  </si>
  <si>
    <t>Alabang Muntinlupa</t>
  </si>
  <si>
    <t>labteamlead@asianhospital.com</t>
  </si>
  <si>
    <t xml:space="preserve">ASSAY: Others, COUNT: 32
ASSAY: Xpert HBV VL, COUNT: 10
ASSAY: Xpert MTB/RIF, COUNT: 41
ASSAY: Xpert MTB/RIF Ultra, COUNT: 1022
ASSAY: Xpert HIV-1 Viral Load, COUNT: 20
</t>
  </si>
  <si>
    <t>Unit for preventive maintenance.
For relocation of GeneXpert system from micro to molecular lab.
For installation of UPS.</t>
  </si>
  <si>
    <t>Performed relocation of GeneXpert.
Performed installation of UPS.
Performed preventive maintenance.
Generated reports.</t>
  </si>
  <si>
    <t>Installation, preventive maintenance and relocation</t>
  </si>
  <si>
    <t>Accupower UPS (AT1000170815ST0163) in replacement to defective Emerson UPS (1435400116PS27M).</t>
  </si>
  <si>
    <t>DR 9567</t>
  </si>
  <si>
    <t>https://www.jotform.com/uploads/macarewecare/222927978372067/5516401132911806554/5516401132911806554_signature_28.png</t>
  </si>
  <si>
    <t>Christine Fallaria</t>
  </si>
  <si>
    <t>https://www.jotform.com/uploads/macarewecare/222927978372067/5516401132911806554/5516401132911806554_signature_31.png</t>
  </si>
  <si>
    <t xml:space="preserve">ASSAY: Xpert HPV, COUNT: 445
ASSAY: Xpert MTB/RIF, COUNT: 501
ASSAY: Xpert MTB/RIF Ultra, COUNT: 892
ASSAY: Xpert SARS-CoV-2, COUNT: 11012
ASSAY: Xpert HIV-1 Viral Load, COUNT: 3
</t>
  </si>
  <si>
    <t>Unit for preventive maintenance.
For module replacement of C1, C3, D2, D3, D4.</t>
  </si>
  <si>
    <t>Gx Module 210070820, 210070826, 210070827, 210073563, 210073914</t>
  </si>
  <si>
    <t>G 5161</t>
  </si>
  <si>
    <t>https://www.jotform.com/uploads/macarewecare/222927978372067/5516401132916470792/5516401132916470792_signature_28.png</t>
  </si>
  <si>
    <t>Cynthia fuertes rmt</t>
  </si>
  <si>
    <t>https://www.jotform.com/uploads/macarewecare/222927978372067/5516401132916470792/5516401132916470792_signature_31.png</t>
  </si>
  <si>
    <t xml:space="preserve">ASSAY: Xpert MTB/RIF, COUNT: 453
ASSAY: Xpert MTB/RIF Ultra, COUNT: 1532
</t>
  </si>
  <si>
    <t>Unit is operational. Module A1 (761593) service required.</t>
  </si>
  <si>
    <t>DR 9500</t>
  </si>
  <si>
    <t>https://www.jotform.com/uploads/macarewecare/222927978372067/5516401132916770136/5516401132916770136_signature_28.png</t>
  </si>
  <si>
    <t>https://www.jotform.com/uploads/macarewecare/222927978372067/5516401132916770136/5516401132916770136_signature_31.png</t>
  </si>
  <si>
    <t>Tagbina Rural Health Unit RTDL</t>
  </si>
  <si>
    <t>Purok 3, Sto. Niño, Poblacion, Tagbina</t>
  </si>
  <si>
    <t xml:space="preserve">ASSAY: Xpert MTB/RIF, COUNT: 65
ASSAY: Xpert MTB/RIF Ultra, COUNT: 376
</t>
  </si>
  <si>
    <t>All Modules Working</t>
  </si>
  <si>
    <t>https://www.jotform.com/uploads/macarewecare/222927978372067/5516383223183404243/5516383223183404243_signature_28.png</t>
  </si>
  <si>
    <t>https://www.jotform.com/uploads/macarewecare/222927978372067/5516383223183404243/5516383223183404243_signature_31.png</t>
  </si>
  <si>
    <t>Midsayap North Cotabato</t>
  </si>
  <si>
    <t>oliverbeltran18rmt@gmail.com</t>
  </si>
  <si>
    <t xml:space="preserve">ASSAY: Xpert MTB/RIF, COUNT: 196
ASSAY: Xpert MTB/RIF Ultra, COUNT: 439
</t>
  </si>
  <si>
    <t>Module B1 for Service Required
Module B2 for Service Required</t>
  </si>
  <si>
    <t>Perform Genexpert machine Preventive maintenance
Replace module B1 SN: 787983 with new module SN: 210068707
Replace module B2 SN:788463 with new module SN: 210068709</t>
  </si>
  <si>
    <t>Genexpert machine has 2 operational modules</t>
  </si>
  <si>
    <t>Genexpert 6-colors module</t>
  </si>
  <si>
    <t>https://www.jotform.com/uploads/macarewecare/222927978372067/5516369452427936519/5516369452427936519_signature_28.png</t>
  </si>
  <si>
    <t>Oliver A. Beltran</t>
  </si>
  <si>
    <t>https://www.jotform.com/uploads/macarewecare/222927978372067/5516369452427936519/5516369452427936519_signature_31.png</t>
  </si>
  <si>
    <t xml:space="preserve">ASSAY: Xpert MTB/RIF, COUNT: 337
ASSAY: Xpert MTB/RIF Ultra, COUNT: 368
</t>
  </si>
  <si>
    <t>Performed preventive maintenance
Archived test results
Performed calibration
Gathered reports
Oerformed functionality test</t>
  </si>
  <si>
    <t>Unit is operational excel modules A1 and A4 ( for replacement, reported)</t>
  </si>
  <si>
    <t>A2 and A3 passed calibration</t>
  </si>
  <si>
    <t>https://www.jotform.com/uploads/macarewecare/222927978372067/5516367585212786385/5516367585212786385_signature_28.png</t>
  </si>
  <si>
    <t>Jaytee Bachiller</t>
  </si>
  <si>
    <t>https://www.jotform.com/uploads/macarewecare/222927978372067/5516367585212786385/5516367585212786385_signature_31.png</t>
  </si>
  <si>
    <t>https://www.jotform.com/uploads/macarewecare/222927978372067/5516367425211821936/5516367425211821936_signature_28.png</t>
  </si>
  <si>
    <t>https://www.jotform.com/uploads/macarewecare/222927978372067/5516367425211821936/5516367425211821936_signature_31.png</t>
  </si>
  <si>
    <t xml:space="preserve">ASSAY: Xpert SARS-CoV-2, COUNT: 4947
</t>
  </si>
  <si>
    <t>Temperature error on C2 (785115)</t>
  </si>
  <si>
    <t>checked system log &amp; test results to analyze concern</t>
  </si>
  <si>
    <t>- checked system log
- checked test results of 2023
- Generated reports</t>
  </si>
  <si>
    <t>Unit is operational. Module C2 for reporting.</t>
  </si>
  <si>
    <t>https://www.jotform.com/uploads/macarewecare/222927978372067/5516331442411173692/5516331442411173692_signature_28.png</t>
  </si>
  <si>
    <t>Michaella B. Sayo</t>
  </si>
  <si>
    <t>https://www.jotform.com/uploads/macarewecare/222927978372067/5516331442411173692/5516331442411173692_signature_31.png</t>
  </si>
  <si>
    <t>Modules D1 &amp; D2 for replacement</t>
  </si>
  <si>
    <t>Replaced D1 (687392), D4 (648734)</t>
  </si>
  <si>
    <t>Genexpert Module
SN: 210068596, 210068588</t>
  </si>
  <si>
    <t>G 5162</t>
  </si>
  <si>
    <t>https://www.jotform.com/uploads/macarewecare/222927978372067/5516330952414270250/5516330952414270250_signature_28.png</t>
  </si>
  <si>
    <t>https://www.jotform.com/uploads/macarewecare/222927978372067/5516330952414270250/5516330952414270250_signature_31.png</t>
  </si>
  <si>
    <t xml:space="preserve">ASSAY: Xpert MTB/RIF, COUNT: 543 
ASSAY: Xpert MTB/RIF Ultra, COUNT: 860
ASSAY: Xpert HCV VL, COUNT: 3
ASSAY: Xpert HIV-1 Viral Load, COUNT: 146
</t>
  </si>
  <si>
    <t>Module D2 (686244) for replacement</t>
  </si>
  <si>
    <t>GeneXpert Module
SN: 210068621</t>
  </si>
  <si>
    <t>https://www.jotform.com/uploads/macarewecare/222927978372067/5516330952415255785/5516330952415255785_signature_28.png</t>
  </si>
  <si>
    <t>https://www.jotform.com/uploads/macarewecare/222927978372067/5516330952415255785/5516330952415255785_signature_31.png</t>
  </si>
  <si>
    <t>Meycauayan city Health Center VII</t>
  </si>
  <si>
    <t xml:space="preserve">ASSAY: Xpert MTB/RIF, COUNT: 287
ASSAY: Xpert MTB/RIF Ultra, COUNT: 876
ASSAY: Xpert HIV-1 Viral Load, COUNT: 33
</t>
  </si>
  <si>
    <t>Performed xpertcheck on A1, A2, A4</t>
  </si>
  <si>
    <t>Unit is operational. A3 is already confirmed for module replacement. A1, A4 failed xpertcheck. A2 passed.</t>
  </si>
  <si>
    <t>https://www.jotform.com/uploads/macarewecare/222927978372067/5516330952419517286/5516330952419517286_signature_28.png</t>
  </si>
  <si>
    <t>Iris De Leon</t>
  </si>
  <si>
    <t>https://www.jotform.com/uploads/macarewecare/222927978372067/5516330952419517286/5516330952419517286_signature_31.png</t>
  </si>
  <si>
    <t xml:space="preserve">ASSAY: Xpert MTB/RIF, COUNT: 140
ASSAY: Xpert MTB/RIF Ultra, COUNT: 169
</t>
  </si>
  <si>
    <t>https://www.jotform.com/uploads/macarewecare/222927978372067/5516244816027152509/5516244816027152509_signature_28.png</t>
  </si>
  <si>
    <t>https://www.jotform.com/uploads/macarewecare/222927978372067/5516244816027152509/5516244816027152509_signature_31.png</t>
  </si>
  <si>
    <t>https://www.jotform.com/uploads/macarewecare/222927978372067/5515918726029086652/5515918726029086652_signature_28.png</t>
  </si>
  <si>
    <t>https://www.jotform.com/uploads/macarewecare/222927978372067/5515918726029086652/5515918726029086652_signature_31.png</t>
  </si>
  <si>
    <t>https://www.jotform.com/uploads/macarewecare/222927978372067/5515918626023252247/5515918626023252247_signature_28.png</t>
  </si>
  <si>
    <t>https://www.jotform.com/uploads/macarewecare/222927978372067/5515918626023252247/5515918626023252247_signature_31.png</t>
  </si>
  <si>
    <t>Palayan CHO</t>
  </si>
  <si>
    <t xml:space="preserve">ASSAY: Xpert MTB/RIF, COUNT: 304
ASSAY: Xpert MTB/RIF Ultra, COUNT: 630
</t>
  </si>
  <si>
    <t>Genexpert iV</t>
  </si>
  <si>
    <t>https://www.jotform.com/uploads/macarewecare/222927978372067/5515918246024192569/5515918246024192569_signature_28.png</t>
  </si>
  <si>
    <t>Rizza Mae A. Riaza,RMT</t>
  </si>
  <si>
    <t>https://www.jotform.com/uploads/macarewecare/222927978372067/5515918246024192569/5515918246024192569_signature_31.png</t>
  </si>
  <si>
    <t>Module C2 for Service Required</t>
  </si>
  <si>
    <t>Perform Genexpert machine Preventive maintenance
Replace module SN:788671 with new module SN: 210068730</t>
  </si>
  <si>
    <t>https://www.jotform.com/uploads/macarewecare/222927978372067/5515647522956489423/5515647522956489423_signature_28.png</t>
  </si>
  <si>
    <t>Lito R. Sepelagio</t>
  </si>
  <si>
    <t>https://www.jotform.com/uploads/macarewecare/222927978372067/5515647522956489423/5515647522956489423_signature_31.png</t>
  </si>
  <si>
    <t xml:space="preserve">ASSAY: Xpert MTB/RIF, COUNT: 720
ASSAY: Xpert MTB/RIF Ultra, COUNT: 815
</t>
  </si>
  <si>
    <t>Module B1 and B3 are operational. Waiting for module allocation for module B2 and B4</t>
  </si>
  <si>
    <t>https://www.jotform.com/uploads/macarewecare/222927978372067/5515584715211159677/5515584715211159677_signature_28.png</t>
  </si>
  <si>
    <t>Fatimah Mariveles</t>
  </si>
  <si>
    <t>https://www.jotform.com/uploads/macarewecare/222927978372067/5515584715211159677/5515584715211159677_signature_31.png</t>
  </si>
  <si>
    <t>https://www.jotform.com/uploads/macarewecare/222927978372067/5515583702226343283/5515583702226343283_signature_28.png</t>
  </si>
  <si>
    <t>https://www.jotform.com/uploads/macarewecare/222927978372067/5515583702226343283/5515583702226343283_signature_31.png</t>
  </si>
  <si>
    <t>San Miguel Tarlac City</t>
  </si>
  <si>
    <t>Laborqtiry</t>
  </si>
  <si>
    <t xml:space="preserve">ASSAY: Xpert MTB/RIF, COUNT: 189
ASSAY: Xpert MTB/RIF Ultra, COUNT: 177
</t>
  </si>
  <si>
    <t>Performed preventive maintenance
Archived test results
Update Xpertcheck application from 1.5 to 1.5a
Performed calibration
Performed functionality test</t>
  </si>
  <si>
    <t>6 pcs Xpertcheck kit</t>
  </si>
  <si>
    <t>https://www.jotform.com/uploads/macarewecare/222927978372067/5515579694114359489/5515579694114359489_signature_28.png</t>
  </si>
  <si>
    <t>https://www.jotform.com/uploads/macarewecare/222927978372067/5515579694114359489/5515579694114359489_signature_31.png</t>
  </si>
  <si>
    <t>Poblacion Dos, Bansalan Davao del Sur</t>
  </si>
  <si>
    <t xml:space="preserve">ASSAY: Xpert MTB/RIF, COUNT: 190
ASSAY: Xpert MTB/RIF Ultra, COUNT: 448
</t>
  </si>
  <si>
    <t>Replaced the Defective Module B3/ SN: 807134 with new Module SN: 210073548
Replaced the defective Module B4/ SN: 807078 with new Module SN: 210073544
Generate IQR, Assay Stat and System Log
Replaced Fan Filters
Activate XpertCheck Code</t>
  </si>
  <si>
    <t>https://www.jotform.com/uploads/macarewecare/222927978372067/5515573086811458200/5515573086811458200_signature_28.png</t>
  </si>
  <si>
    <t>Ellen Nebrada Mayor, RMT</t>
  </si>
  <si>
    <t>https://www.jotform.com/uploads/macarewecare/222927978372067/5515573086811458200/5515573086811458200_signature_31.png</t>
  </si>
  <si>
    <t>https://www.jotform.com/uploads/macarewecare/222927978372067/5515573056817562978/5515573056817562978_signature_28.png</t>
  </si>
  <si>
    <t>https://www.jotform.com/uploads/macarewecare/222927978372067/5515573056817562978/5515573056817562978_signature_31.png</t>
  </si>
  <si>
    <t>Laguindingan</t>
  </si>
  <si>
    <t xml:space="preserve">ASSAY: Xpert MTB/RIF Ultra, COUNT: 38
</t>
  </si>
  <si>
    <t>Stuck Cartridge
Error 1001 on Module B3/863072</t>
  </si>
  <si>
    <t>Realigment of the valve drive
Recalibration of Module B3</t>
  </si>
  <si>
    <t>Preventive maintenance
Valve drive realigment
Xpertcheck calibration</t>
  </si>
  <si>
    <t>https://www.jotform.com/uploads/macarewecare/222927978372067/5515523241716883166/5515523241716883166_signature_28.png</t>
  </si>
  <si>
    <t>Rochelle M. Sambaan</t>
  </si>
  <si>
    <t>https://www.jotform.com/uploads/macarewecare/222927978372067/5515523241716883166/5515523241716883166_signature_31.png</t>
  </si>
  <si>
    <t xml:space="preserve">ASSAY: Xpert MTB/RIF, COUNT: 451
ASSAY: Xpert MTB/RIF Ultra, COUNT: 203
</t>
  </si>
  <si>
    <t>https://www.jotform.com/uploads/macarewecare/222927978372067/5515522447967811976/5515522447967811976_signature_28.png</t>
  </si>
  <si>
    <t>https://www.jotform.com/uploads/macarewecare/222927978372067/5515522447967811976/5515522447967811976_signature_31.png</t>
  </si>
  <si>
    <t>https://www.jotform.com/uploads/macarewecare/222927978372067/5515522327968203950/5515522327968203950_signature_28.png</t>
  </si>
  <si>
    <t>https://www.jotform.com/uploads/macarewecare/222927978372067/5515522327968203950/5515522327968203950_signature_31.png</t>
  </si>
  <si>
    <t>Loreto Rural Health Unit RTDL</t>
  </si>
  <si>
    <t>Brgy. Poblacion, Loreto</t>
  </si>
  <si>
    <t>ruthcasmagz@gmail.com</t>
  </si>
  <si>
    <t xml:space="preserve">ASSAY: Xpert MTB/RIF, COUNT: 470
ASSAY: Xpert MTB/RIF Ultra, COUNT: 617
</t>
  </si>
  <si>
    <t>Replacing Module B1 w/SN: 655081 to SN: 675191</t>
  </si>
  <si>
    <t>https://www.jotform.com/uploads/macarewecare/222927978372067/5515500208515119704/5515500208515119704_signature_28.png</t>
  </si>
  <si>
    <t>Ruth Magadan</t>
  </si>
  <si>
    <t>https://www.jotform.com/uploads/macarewecare/222927978372067/5515500208515119704/5515500208515119704_signature_31.png</t>
  </si>
  <si>
    <t xml:space="preserve">ASSAY: Xpert HPV, COUNT: 310
ASSAY: Xpert MTB/RIF, COUNT: 277
ASSAY: Xpert MTB/RIF Ultra, COUNT: 422
ASSAY: Xpert SARS-CoV-2, COUNT: 4223
ASSAY: Xpert HIV-1 Viral Load, COUNT: 6
</t>
  </si>
  <si>
    <t>Performed preventive maintenance.
Performed module replacement on B2 and B3.
Generated reports.</t>
  </si>
  <si>
    <t>Gx Module B2 (210070789) and B3 (210070807).</t>
  </si>
  <si>
    <t>https://www.jotform.com/uploads/macarewecare/222927978372067/5515470165424780142/5515470165424780142_signature_28.png</t>
  </si>
  <si>
    <t>Cynthia Fuertes,rmt</t>
  </si>
  <si>
    <t>https://www.jotform.com/uploads/macarewecare/222927978372067/5515470165424780142/5515470165424780142_signature_31.png</t>
  </si>
  <si>
    <t xml:space="preserve">ASSAY: Xpert MTB/RIF, COUNT: 340
ASSAY: Xpert MTB/RIF Ultra, COUNT: 925
ASSAY: Xpert HIV-1 Viral Load, COUNT: 21
</t>
  </si>
  <si>
    <t>A1 temp erature error (1001 and 2014)</t>
  </si>
  <si>
    <t>Performed preventive maintenance
Update xpertcheck application to 1.5a
Performed calibration for modulen A4
Gathered reports
Performed functionality test</t>
  </si>
  <si>
    <t>Prevenyive maintenance and calibration</t>
  </si>
  <si>
    <t>A1 and A4 for reporting</t>
  </si>
  <si>
    <t>2 Xpertcheck kit</t>
  </si>
  <si>
    <t>https://www.jotform.com/uploads/macarewecare/222927978372067/5514965572983005159/5514965572983005159_signature_28.png</t>
  </si>
  <si>
    <t>https://www.jotform.com/uploads/macarewecare/222927978372067/5514965572983005159/5514965572983005159_signature_31.png</t>
  </si>
  <si>
    <t>Victorias City, Negros Occ.</t>
  </si>
  <si>
    <t>TB- DOTS</t>
  </si>
  <si>
    <t xml:space="preserve">ASSAY: Xpert MTB/RIF, COUNT: 524
ASSAY: Xpert MTB/RIF Ultra, COUNT: 927
</t>
  </si>
  <si>
    <t>Defective module</t>
  </si>
  <si>
    <t>Replace module SN 210070828 with new SN 210070812</t>
  </si>
  <si>
    <t>3 modules operational and 1 already reported</t>
  </si>
  <si>
    <t>https://www.jotform.com/uploads/macarewecare/222927978372067/5514760686897726960/5514760686897726960_signature_28.png</t>
  </si>
  <si>
    <t>https://www.jotform.com/uploads/macarewecare/222927978372067/5514760686897726960/5514760686897726960_signature_31.png</t>
  </si>
  <si>
    <t>DOH Compound, JP Laurel, Davao City</t>
  </si>
  <si>
    <t>GX IV-  4D R1</t>
  </si>
  <si>
    <t>Module B1 encounter multiple Temperature Error</t>
  </si>
  <si>
    <t>Replaced the Defective Module B1/ SN:636452 with new Module SN: 2100073546
Generate IQR, Assay Stat and System Log</t>
  </si>
  <si>
    <t>https://www.jotform.com/uploads/macarewecare/222927978372067/5514693508999515092/5514693508999515092_signature_28.png</t>
  </si>
  <si>
    <t>https://www.jotform.com/uploads/macarewecare/222927978372067/5514693508999515092/5514693508999515092_signature_31.png</t>
  </si>
  <si>
    <t>https://www.jotform.com/uploads/macarewecare/222927978372067/5514693448993884652/5514693448993884652_signature_28.png</t>
  </si>
  <si>
    <t>https://www.jotform.com/uploads/macarewecare/222927978372067/5514693448993884652/5514693448993884652_signature_31.png</t>
  </si>
  <si>
    <t xml:space="preserve">ASSAY: Xpert CT/NG, COUNT: 10
ASSAY: Others, COUNT: 11
ASSAY: Xpert MTB/RIF, COUNT: 27
ASSAY: Xpert MTB/RIF Ultra, COUNT: 1749
ASSAY: Xpert SARS-CoV-2, COUNT: 13977
ASSAY: Xpert HIV-1 Viral Load, COUNT: 88
ASSAY: Others, COUNT: 9
</t>
  </si>
  <si>
    <t>Unit is operational. B4 failed xpertcheck. B2 &amp; B3 insufficient. xpertcheck kit. B1 passed xpertcheck.</t>
  </si>
  <si>
    <t>https://www.jotform.com/uploads/macarewecare/222927978372067/5514642211216745245/5514642211216745245_signature_28.png</t>
  </si>
  <si>
    <t>https://www.jotform.com/uploads/macarewecare/222927978372067/5514642211216745245/5514642211216745245_signature_31.png</t>
  </si>
  <si>
    <t>Shaw Blvd.,  Mandaluyong</t>
  </si>
  <si>
    <t xml:space="preserve">ASSAY: Xpert MTB/RIF, COUNT: 57
</t>
  </si>
  <si>
    <t>Unit is operational. A2 &amp; A3 insufficient cartridge. A1 &amp; A4 passed calibration. UPS for reporting.</t>
  </si>
  <si>
    <t>https://www.jotform.com/uploads/macarewecare/222927978372067/5514642211217109987/5514642211217109987_signature_28.png</t>
  </si>
  <si>
    <t>Zarah Jane Aquilino</t>
  </si>
  <si>
    <t>https://www.jotform.com/uploads/macarewecare/222927978372067/5514642211217109987/5514642211217109987_signature_31.png</t>
  </si>
  <si>
    <t xml:space="preserve">ASSAY: Xpert MTB/RIF, COUNT: 224
ASSAY: Xpert MTB/RIF Ultra, COUNT: 1802
</t>
  </si>
  <si>
    <t>https://www.jotform.com/uploads/macarewecare/222927978372067/5514642211218430432/5514642211218430432_signature_28.png</t>
  </si>
  <si>
    <t>https://www.jotform.com/uploads/macarewecare/222927978372067/5514642211218430432/5514642211218430432_signature_31.png</t>
  </si>
  <si>
    <t>Bagong Silang ph. 1 Health Center</t>
  </si>
  <si>
    <t xml:space="preserve">ASSAY: Xpert MTB/RIF, COUNT: 142
ASSAY: Xpert MTB/RIF Ultra, COUNT: 1304
</t>
  </si>
  <si>
    <t>https://www.jotform.com/uploads/macarewecare/222927978372067/5514642171211718833/5514642171211718833_signature_28.png</t>
  </si>
  <si>
    <t>https://www.jotform.com/uploads/macarewecare/222927978372067/5514642171211718833/5514642171211718833_signature_31.png</t>
  </si>
  <si>
    <t xml:space="preserve">ASSAY: Xpert MTB/RIF, COUNT: 139 
ASSAY: Xpert MTB/RIF Ultra, COUNT: 1103
</t>
  </si>
  <si>
    <t>Performed Xpert Check</t>
  </si>
  <si>
    <t>Unit is operational. The environment is not suitable for GX operation (unable to install aircon. temp. too high 35°C). Module A3, A4 failed calibration.</t>
  </si>
  <si>
    <t>https://www.jotform.com/uploads/macarewecare/222927978372067/5514642171212998750/5514642171212998750_signature_28.png</t>
  </si>
  <si>
    <t>https://www.jotform.com/uploads/macarewecare/222927978372067/5514642171212998750/5514642171212998750_signature_31.png</t>
  </si>
  <si>
    <t>Bagong Silang ph. 2 Health Center</t>
  </si>
  <si>
    <t>Bagong Silang, Caloocan city</t>
  </si>
  <si>
    <t xml:space="preserve">ASSAY: Xpert MTB/RIF, COUNT: 146
ASSAY: Xpert MTB/RIF Ultra, COUNT: 623
</t>
  </si>
  <si>
    <t>Unit for Xpert Check</t>
  </si>
  <si>
    <t>Unit is operational. A4 failed calibration. A4 for reporting.</t>
  </si>
  <si>
    <t>https://www.jotform.com/uploads/macarewecare/222927978372067/5514642171215530421/5514642171215530421_signature_28.png</t>
  </si>
  <si>
    <t>Nathaniel Laguitan</t>
  </si>
  <si>
    <t>https://www.jotform.com/uploads/macarewecare/222927978372067/5514642171215530421/5514642171215530421_signature_31.png</t>
  </si>
  <si>
    <t>- Installed GX unit to switch together w/ GX units 834432 &amp; 814159
- performed xpertcheck</t>
  </si>
  <si>
    <t>- re installed GX 4.8
- performed manual SQL installation 
- manually enabled SQL services
- installed GX to switch
- checked &amp; cleaned cartridge bay, plunger rod, I core slot, filter 
- performed xpertcheck 
- performed functionality test</t>
  </si>
  <si>
    <t>Unit is operational. Unable to restore GX software. Original laptop is recommended for upgrade. C2 &amp; C3 insufficient xpertcheck kit. C1 failed, C4 passed xpertcheck.</t>
  </si>
  <si>
    <t>https://www.jotform.com/uploads/macarewecare/222927978372067/5514642171215788588/5514642171215788588_signature_28.png</t>
  </si>
  <si>
    <t>https://www.jotform.com/uploads/macarewecare/222927978372067/5514642171215788588/5514642171215788588_signature_31.png</t>
  </si>
  <si>
    <t xml:space="preserve">ASSAY: Xpert MTB/RIF, COUNT: 331
ASSAY: Xpert MTB/RIF Ultra, COUNT: 1050
</t>
  </si>
  <si>
    <t>https://www.jotform.com/uploads/macarewecare/222927978372067/5514642171218639307/5514642171218639307_signature_28.png</t>
  </si>
  <si>
    <t>https://www.jotform.com/uploads/macarewecare/222927978372067/5514642171218639307/5514642171218639307_signature_31.png</t>
  </si>
  <si>
    <t>Dolores City of San Fernando</t>
  </si>
  <si>
    <t xml:space="preserve">ASSAY: Xpert HBV VL, COUNT: 46
ASSAY: Xpert HPV, COUNT: 1
ASSAY: Xpert HCV VL, COUNT: 27
ASSAY: Xpert HIV-1 Viral Load, COUNT: 1169
</t>
  </si>
  <si>
    <t>Scanner error, invalid scan.</t>
  </si>
  <si>
    <t>Performed surface cleaning
Performed preventive maintenance
Reconfigure Scanner
Test scan of cartridge
Gathered reports
Performed functionality test</t>
  </si>
  <si>
    <t>Preventive maintenance and repair</t>
  </si>
  <si>
    <t>https://www.jotform.com/uploads/macarewecare/222927978372067/5514592122985102627/5514592122985102627_signature_28.png</t>
  </si>
  <si>
    <t>Charlene Laxamana</t>
  </si>
  <si>
    <t>https://www.jotform.com/uploads/macarewecare/222927978372067/5514592122985102627/5514592122985102627_signature_31.png</t>
  </si>
  <si>
    <t>Jose B. Lingad Memorial Genaral Hospital</t>
  </si>
  <si>
    <t>Laboratory Bacte</t>
  </si>
  <si>
    <t>jblmrhlab@gnail.com</t>
  </si>
  <si>
    <t xml:space="preserve">ASSAY: Xpert HPV, COUNT: 2
ASSAY: Xpert MTB/RIF, COUNT: 547
ASSAY: Xpert MTB/RIF Ultra, COUNT: 1497
</t>
  </si>
  <si>
    <t>Module A2 HW failed
High ambient temperature</t>
  </si>
  <si>
    <t>Performed surface cleaning
Performed preventive maintenance
Gathered reports
Performed functionality test</t>
  </si>
  <si>
    <t>Unit is operational except for module A2</t>
  </si>
  <si>
    <t>Module A2 for reporting HW failed</t>
  </si>
  <si>
    <t>https://www.jotform.com/uploads/macarewecare/222927978372067/5514592122981706495/5514592122981706495_signature_28.png</t>
  </si>
  <si>
    <t>Janice S. Condes</t>
  </si>
  <si>
    <t>https://www.jotform.com/uploads/macarewecare/222927978372067/5514592122981706495/5514592122981706495_signature_31.png</t>
  </si>
  <si>
    <t>roseandarayan26@gmail.com</t>
  </si>
  <si>
    <t xml:space="preserve">ASSAY: Xpert MTB/RIF, COUNT: 450
ASSAY: Xpert MTB/RIF Ultra, COUNT: 406
</t>
  </si>
  <si>
    <t>For PM</t>
  </si>
  <si>
    <t>https://www.jotform.com/uploads/macarewecare/222927978372067/5514567742312704080/5514567742312704080_signature_28.png</t>
  </si>
  <si>
    <t>Rosario Andarayan</t>
  </si>
  <si>
    <t>https://www.jotform.com/uploads/macarewecare/222927978372067/5514567742312704080/5514567742312704080_signature_31.png</t>
  </si>
  <si>
    <t xml:space="preserve">ASSAY: Xpert MTB/RIF, COUNT: 358
ASSAY: Xpert MTB/RIF Ultra, COUNT: 1229
ASSAY: Xpert HIV-1 Viral Load, COUNT: 105
</t>
  </si>
  <si>
    <t>Module A1/661455 and A3/657408 error 4012
For XpertCheck</t>
  </si>
  <si>
    <t>Module A1 passed but under observation. Module A4 passed and operational. Module A3/657408 not operational.  Module A2/792154 operational with existing report.</t>
  </si>
  <si>
    <t>DR# 9475</t>
  </si>
  <si>
    <t>https://www.jotform.com/uploads/macarewecare/222927978372067/5514548741212983559/5514548741212983559_signature_28.png</t>
  </si>
  <si>
    <t>https://www.jotform.com/uploads/macarewecare/222927978372067/5514548741212983559/5514548741212983559_signature_31.png</t>
  </si>
  <si>
    <t>https://www.jotform.com/uploads/macarewecare/222927978372067/5514546981219437176/5514546981219437176_signature_28.png</t>
  </si>
  <si>
    <t>https://www.jotform.com/uploads/macarewecare/222927978372067/5514546981219437176/5514546981219437176_signature_31.png</t>
  </si>
  <si>
    <t xml:space="preserve">ASSAY: Xpert HBV VL, COUNT: 3
ASSAY: Xpert HPV, COUNT: 5
ASSAY: Xpert MTB/RIF, COUNT: 43
ASSAY: Xpert MTB/RIF Ultra, COUNT: 116
ASSAY: Xpert HIV-1 Viral Load, COUNT: 7
</t>
  </si>
  <si>
    <t>GeneXpert System for relocation from Pathology to Molecular Laboratory.</t>
  </si>
  <si>
    <t>Performed installation of GeneXpert System to Molecular Laboratory.
Generated reports.</t>
  </si>
  <si>
    <t>https://www.jotform.com/uploads/macarewecare/222927978372067/5514544771212067970/5514544771212067970_signature_28.png</t>
  </si>
  <si>
    <t>https://www.jotform.com/uploads/macarewecare/222927978372067/5514544771212067970/5514544771212067970_signature_31.png</t>
  </si>
  <si>
    <t xml:space="preserve">ASSAY: Xpert MTB/RIF, COUNT: 406
ASSAY: Xpert MTB/RIF Ultra, COUNT: 2279
ASSAY: Xpert HIV-1 Viral Load, COUNT: 169
</t>
  </si>
  <si>
    <t>For troubleshooting of stucked cartridge on Module A1.</t>
  </si>
  <si>
    <t>Performed repair on module A1 due to stucked cartridge.
Performed functionality test.
Generated reports.</t>
  </si>
  <si>
    <t>https://www.jotform.com/uploads/macarewecare/222927978372067/5514544771215246306/5514544771215246306_signature_28.png</t>
  </si>
  <si>
    <t>https://www.jotform.com/uploads/macarewecare/222927978372067/5514544771215246306/5514544771215246306_signature_31.png</t>
  </si>
  <si>
    <t xml:space="preserve">ASSAY: Xpert MTB/RIF, COUNT: 57
ASSAY: Xpert MTB/RIF Ultra, COUNT: 497
ASSAY: Xpert HIV-1 Viral Load, COUNT: 523
</t>
  </si>
  <si>
    <t>Clean Surface Area, Cartridge Bay, Plunger Rod, and Icore Lenses</t>
  </si>
  <si>
    <t>Unit is Operational but lost Filter</t>
  </si>
  <si>
    <t>Improvised a temporary filter while waiting for the replacement</t>
  </si>
  <si>
    <t>https://www.jotform.com/uploads/macarewecare/222927978372067/5514241617993721747/5514241617993721747_signature_28.png</t>
  </si>
  <si>
    <t>https://www.jotform.com/uploads/macarewecare/222927978372067/5514241617993721747/5514241617993721747_signature_31.png</t>
  </si>
  <si>
    <t>Luis Hora Memorial Regional Hospital</t>
  </si>
  <si>
    <t>Abatan, Bauko, Mountain Province</t>
  </si>
  <si>
    <t>kazzjyll@gmail.com</t>
  </si>
  <si>
    <t>For Xpertcheck Calubration/Maintenance..
UPS unable to back up power during power outage.</t>
  </si>
  <si>
    <t>Performed Naintenance/Cleaning/
Performed xpertcheck calibration.
Check and troubleshoot UPS</t>
  </si>
  <si>
    <t>All 4 modules PASS and operational.
Defective UPS.</t>
  </si>
  <si>
    <t>Pulled out defective UPS..</t>
  </si>
  <si>
    <t>DR number 9560</t>
  </si>
  <si>
    <t>https://www.jotform.com/uploads/macarewecare/222927978372067/5513883008516532597/5513883008516532597_signature_28.png</t>
  </si>
  <si>
    <t>CHARLENE P. PASNGADAN</t>
  </si>
  <si>
    <t>https://www.jotform.com/uploads/macarewecare/222927978372067/5513883008516532597/5513883008516532597_signature_31.png</t>
  </si>
  <si>
    <t>Micobiology</t>
  </si>
  <si>
    <t xml:space="preserve">ASSAY: Xpert C. difficile BT, COUNT: 1
ASSAY: Xpert CT/NG, COUNT: 227
ASSAY: Others, COUNT: 4
ASSAY: Xpert MTB/RIF Ultra, COUNT: 2779
</t>
  </si>
  <si>
    <t>For checkedup and troubleshootimg,broken door module hinge,b3 encounter intermittent h/w failed error.</t>
  </si>
  <si>
    <t>Perforemed maintenance Cleaned unit,filter,cartridge bay,icore,plunger rod,gathered reports,test run unit</t>
  </si>
  <si>
    <t>B1 and b2 failed xpert last 7/10/22 B4 for pullout to be repair @ office</t>
  </si>
  <si>
    <t>https://www.jotform.com/uploads/macarewecare/222927978372067/5513849421313304824/5513849421313304824_signature_28.png</t>
  </si>
  <si>
    <t>Arnel Isidro</t>
  </si>
  <si>
    <t>https://www.jotform.com/uploads/macarewecare/222927978372067/5513849421313304824/5513849421313304824_signature_31.png</t>
  </si>
  <si>
    <t>https://www.jotform.com/uploads/macarewecare/222927978372067/5513849181314569972/5513849181314569972_signature_28.png</t>
  </si>
  <si>
    <t>https://www.jotform.com/uploads/macarewecare/222927978372067/5513849181314569972/5513849181314569972_signature_31.png</t>
  </si>
  <si>
    <t>mellicettbaronia.medilinx@outlook.com</t>
  </si>
  <si>
    <t xml:space="preserve">ASSAY: Xpert HPV, COUNT: 55
ASSAY: Xpert MTB/RIF Ultra, COUNT: 222
ASSAY: Xpert BCR-ABL Ultra, COUNT: 16
ASSAY: Xpert C. difficile BT, COUNT: 9
ASSAY: Xpert CT/NG, COUNT: 71
ASSAY: Others, COUNT: 7
ASSAY: Xpert HBV VL, COUNT: 10
ASSAY: Others, COUNT: 2
ASSAY: Xpert HCV VL, COUNT: 4
ASSAY: Xpert HIV-1 Viral Load, COUNT: 254
</t>
  </si>
  <si>
    <t>https://www.jotform.com/uploads/macarewecare/222927978372067/5513848791313619786/5513848791313619786_signature_28.png</t>
  </si>
  <si>
    <t>Mellicett Baronia</t>
  </si>
  <si>
    <t>https://www.jotform.com/uploads/macarewecare/222927978372067/5513848791313619786/5513848791313619786_signature_31.png</t>
  </si>
  <si>
    <t>Bontoc Mountain Province</t>
  </si>
  <si>
    <t>regaspimerrylkait@gmail.com</t>
  </si>
  <si>
    <t>CPU troubleshooting as requested by Cepheid Tech Support</t>
  </si>
  <si>
    <t>Performed CPU troubleshooting</t>
  </si>
  <si>
    <t>CPU issue did not resolved..</t>
  </si>
  <si>
    <t>Pulled out the CPU</t>
  </si>
  <si>
    <t>https://www.jotform.com/uploads/macarewecare/222927978372067/5513743068515005814/5513743068515005814_signature_28.png</t>
  </si>
  <si>
    <t>Merryl kait Regaspi</t>
  </si>
  <si>
    <t>https://www.jotform.com/uploads/macarewecare/222927978372067/5513743068515005814/5513743068515005814_signature_31.png</t>
  </si>
  <si>
    <t>Vigan</t>
  </si>
  <si>
    <t xml:space="preserve">ASSAY: Xpert MTB/RIF Ultra, COUNT: 743
ASSAY: Xpert HIV-1 Viral Load, COUNT: 30
</t>
  </si>
  <si>
    <t>Performed Maintenance
Performed Self Test
Removes Stucked Cartridge
Generate Reports</t>
  </si>
  <si>
    <t>Module 4 failed in XpertCheck, 3 modules are operational</t>
  </si>
  <si>
    <t>https://www.jotform.com/uploads/macarewecare/222927978372067/5513710911214516018/5513710911214516018_signature_28.png</t>
  </si>
  <si>
    <t>Mary alexis Filarca-Tahil</t>
  </si>
  <si>
    <t>https://www.jotform.com/uploads/macarewecare/222927978372067/5513710911214516018/5513710911214516018_signature_31.png</t>
  </si>
  <si>
    <t>Error 1002 on Module A3/695631</t>
  </si>
  <si>
    <t>Module Replacement
New Module SN: 610218</t>
  </si>
  <si>
    <t>https://www.jotform.com/uploads/macarewecare/222927978372067/5512496413329814078/5512496413329814078_signature_28.png</t>
  </si>
  <si>
    <t>https://www.jotform.com/uploads/macarewecare/222927978372067/5512496413329814078/5512496413329814078_signature_31.png</t>
  </si>
  <si>
    <t>TBDOTS</t>
  </si>
  <si>
    <t>H/W Fail on Module B2 and B4</t>
  </si>
  <si>
    <t>Recalibration of failed modules 
691477/B2
862890/B4</t>
  </si>
  <si>
    <t>Recalibration</t>
  </si>
  <si>
    <t>B2 Service Required, B4 Passed</t>
  </si>
  <si>
    <t>https://www.jotform.com/uploads/macarewecare/222927978372067/5512440843329338183/5512440843329338183_signature_28.png</t>
  </si>
  <si>
    <t>https://www.jotform.com/uploads/macarewecare/222927978372067/5512440843329338183/5512440843329338183_signature_31.png</t>
  </si>
  <si>
    <t>Santa Rosa RHU</t>
  </si>
  <si>
    <t>santarosatbdots1@gmail.com</t>
  </si>
  <si>
    <t xml:space="preserve">ASSAY: Xpert MTB/RIF, COUNT: 157
ASSAY: Xpert MTB/RIF Ultra, COUNT: 84
</t>
  </si>
  <si>
    <t>Performed Maintenance (Cleaned Icore, Cleaned Filters, Cleaned Cartridge Bay, Cleaned Plunger Rod)
Performed Calibration
Gathered Reports
Performed Functionality Test</t>
  </si>
  <si>
    <t>https://www.jotform.com/uploads/macarewecare/222927978372067/5512223383919309073/5512223383919309073_signature_28.png</t>
  </si>
  <si>
    <t>Ana S. Cabalong</t>
  </si>
  <si>
    <t>https://www.jotform.com/uploads/macarewecare/222927978372067/5512223383919309073/5512223383919309073_signature_31.png</t>
  </si>
  <si>
    <t>CEBU TB REFERENCE LAB</t>
  </si>
  <si>
    <t xml:space="preserve">ASSAY: Xpert MTB/RIF, COUNT: 1695
ASSAY: Xpert MTB/RIF Ultra, COUNT: 4441
ASSAY: Xpert SARS-CoV-2, COUNT: 137
ASSAY: Xpert HIV-1 Viral Load, COUNT: 318
</t>
  </si>
  <si>
    <t>Defective module 4 sn863607</t>
  </si>
  <si>
    <t>New installed module 4 sn210068078</t>
  </si>
  <si>
    <t>https://www.jotform.com/uploads/macarewecare/222927978372067/5512158704416891143/5512158704416891143_signature_28.png</t>
  </si>
  <si>
    <t>Allan s. Mantiquilla</t>
  </si>
  <si>
    <t>https://www.jotform.com/uploads/macarewecare/222927978372067/5512158704416891143/5512158704416891143_signature_31.png</t>
  </si>
  <si>
    <t>https://www.jotform.com/uploads/macarewecare/222927978372067/5512153423917077399/5512153423917077399_signature_28.png</t>
  </si>
  <si>
    <t>https://www.jotform.com/uploads/macarewecare/222927978372067/5512153423917077399/5512153423917077399_signature_31.png</t>
  </si>
  <si>
    <t>Eron Dumagieng</t>
  </si>
  <si>
    <t xml:space="preserve">ASSAY: Xpert MTB/RIF Ultra, COUNT: 1180
</t>
  </si>
  <si>
    <t>Unit is Due for Calibration</t>
  </si>
  <si>
    <t>Calibration
Preventive Maintenance</t>
  </si>
  <si>
    <t>Performed Xpertcheck
Performed Maintenance 
A1 661743 passed
A2 713660 passed
A3 731867 failed
A4 685536 passed</t>
  </si>
  <si>
    <t>https://www.jotform.com/uploads/macarewecare/222927978372067/5512140010114528075/5512140010114528075_signature_28.png</t>
  </si>
  <si>
    <t>https://www.jotform.com/uploads/macarewecare/222927978372067/5512140010114528075/5512140010114528075_signature_31.png</t>
  </si>
  <si>
    <t xml:space="preserve">ASSAY: Xpert MTB/RIF, COUNT: 204
ASSAY: Xpert MTB/RIF Ultra, COUNT: 525
ASSAY: Xpert HIV-1 Viral Load, COUNT: 40
</t>
  </si>
  <si>
    <t>Modules B1, B3 and B4 passed and operational.</t>
  </si>
  <si>
    <t>Module B2/714059 cannot run XpertCheck and continuous booting.</t>
  </si>
  <si>
    <t>https://www.jotform.com/uploads/macarewecare/222927978372067/5512119685026317430/5512119685026317430_signature_28.png</t>
  </si>
  <si>
    <t>https://www.jotform.com/uploads/macarewecare/222927978372067/5512119685026317430/5512119685026317430_signature_31.png</t>
  </si>
  <si>
    <t>1348 Marikina-Infanta Hwy, Brgy. Mayamot</t>
  </si>
  <si>
    <t xml:space="preserve">ASSAY: Others, COUNT: N/A
</t>
  </si>
  <si>
    <t>Installed the GeneXpert</t>
  </si>
  <si>
    <t>Installed the GeneXpert system
Installed CPU, monitor, barcode scanner, UPS and printer.
Functionality test</t>
  </si>
  <si>
    <t>https://www.jotform.com/uploads/macarewecare/222927978372067/5512119645022733835/5512119645022733835_signature_28.png</t>
  </si>
  <si>
    <t>https://www.jotform.com/uploads/macarewecare/222927978372067/5512119645022733835/5512119645022733835_signature_31.png</t>
  </si>
  <si>
    <t>Malate</t>
  </si>
  <si>
    <t>Installation of accessories</t>
  </si>
  <si>
    <t>npqsd.laboratoryoperations@gmail.com</t>
  </si>
  <si>
    <t>Axiolab. A1</t>
  </si>
  <si>
    <t>For Installation of accessories</t>
  </si>
  <si>
    <t>Installed camera accessories</t>
  </si>
  <si>
    <t>Installed camera accessory
Checked computer connections 
Setup microscope camera
Functionality test</t>
  </si>
  <si>
    <t>Axiocam ERc</t>
  </si>
  <si>
    <t>SI# 94685</t>
  </si>
  <si>
    <t>https://www.jotform.com/uploads/macarewecare/222927978372067/5512119645025397268/5512119645025397268_signature_28.png</t>
  </si>
  <si>
    <t>https://www.jotform.com/uploads/macarewecare/222927978372067/5512119645025397268/5512119645025397268_signature_31.png</t>
  </si>
  <si>
    <t>https://www.jotform.com/uploads/macarewecare/222927978372067/5512119645026514683/5512119645026514683_signature_28.png</t>
  </si>
  <si>
    <t>https://www.jotform.com/uploads/macarewecare/222927978372067/5512119645026514683/5512119645026514683_signature_31.png</t>
  </si>
  <si>
    <t xml:space="preserve">ASSAY: Xpert MTB/RIF, COUNT: 236
ASSAY: Xpert MTB/RIF Ultra, COUNT: 824
</t>
  </si>
  <si>
    <t>Performed maintenance
Cleaned cartridge bay, icore, plunger rod 
Generated reports</t>
  </si>
  <si>
    <t>https://www.jotform.com/uploads/macarewecare/222927978372067/5512119645029591072/5512119645029591072_signature_28.png</t>
  </si>
  <si>
    <t>Richard Ballester+</t>
  </si>
  <si>
    <t>https://www.jotform.com/uploads/macarewecare/222927978372067/5512119645029591072/5512119645029591072_signature_31.png</t>
  </si>
  <si>
    <t xml:space="preserve">ASSAY: Xpert MTB/RIF, COUNT: 196
ASSAY: Xpert MTB/RIF Ultra, COUNT: 564
ASSAY: Xpert HIV-1 Viral Load, COUNT: 46
</t>
  </si>
  <si>
    <t>Modules A1, A2 and A4 passed and operational.</t>
  </si>
  <si>
    <t>DR# 9538</t>
  </si>
  <si>
    <t>https://www.jotform.com/uploads/macarewecare/222927978372067/5512119645023243211/5512119645023243211_signature_28.png</t>
  </si>
  <si>
    <t>https://www.jotform.com/uploads/macarewecare/222927978372067/5512119645023243211/5512119645023243211_signature_31.png</t>
  </si>
  <si>
    <t xml:space="preserve">ASSAY: Xpert MTB/RIF, COUNT: 140
ASSAY: Xpert MTB/RIF Ultra, COUNT: 1558
ASSAY: Xpert HIV-1 Viral Load, COUNT: 349
</t>
  </si>
  <si>
    <t>For Calibration
Module B2 and B3 encounter Error</t>
  </si>
  <si>
    <t>Module B2 and B3 encountered multiple Temperature Related Error</t>
  </si>
  <si>
    <t>Errors Report to JotForm for further Assessment</t>
  </si>
  <si>
    <t>https://www.jotform.com/uploads/macarewecare/222927978372067/5512104113914460991/5512104113914460991_signature_28.png</t>
  </si>
  <si>
    <t>https://www.jotform.com/uploads/macarewecare/222927978372067/5512104113914460991/5512104113914460991_signature_31.png</t>
  </si>
  <si>
    <t>Benguet PHO</t>
  </si>
  <si>
    <t>Bnguet Gen Hospital Conpound La Trinidad, Benguet</t>
  </si>
  <si>
    <t>Workstation back up laptop for installation.</t>
  </si>
  <si>
    <t>Install back up laptop</t>
  </si>
  <si>
    <t>Install back up laptop..Performed maintenance</t>
  </si>
  <si>
    <t>G 5135</t>
  </si>
  <si>
    <t>https://www.jotform.com/uploads/macarewecare/222927978372067/5512020314813597769/5512020314813597769_signature_28.png</t>
  </si>
  <si>
    <t>https://www.jotform.com/uploads/macarewecare/222927978372067/5512020314813597769/5512020314813597769_signature_31.png</t>
  </si>
  <si>
    <t xml:space="preserve">ASSAY: Xpert MTB/RIF Ultra, COUNT: 994
ASSAY: Xpert MTB/RIF, COUNT: 423
ASSAY: Xpert HPV, COUNT: 224
</t>
  </si>
  <si>
    <t>Replaced module B1..Performed maibtwnance. Performed functionality test.</t>
  </si>
  <si>
    <t>3 modules operational 1 module disabled status due to error and for reforting.</t>
  </si>
  <si>
    <t>New mod 801381</t>
  </si>
  <si>
    <t>G 5125</t>
  </si>
  <si>
    <t>https://www.jotform.com/uploads/macarewecare/222927978372067/5511922659011472342/5511922659011472342_signature_28.png</t>
  </si>
  <si>
    <t>https://www.jotform.com/uploads/macarewecare/222927978372067/5511922659011472342/5511922659011472342_signature_31.png</t>
  </si>
  <si>
    <t>Columbio</t>
  </si>
  <si>
    <t xml:space="preserve">ASSAY: Xpert MTB/RIF, COUNT: 200
ASSAY: Xpert MTB/RIF Ultra, COUNT: 334
</t>
  </si>
  <si>
    <t>Genexpert machine has 4 operational modules</t>
  </si>
  <si>
    <t>https://www.jotform.com/uploads/macarewecare/222927978372067/5511426283916490974/5511426283916490974_signature_28.png</t>
  </si>
  <si>
    <t>Rolan E. Coloma</t>
  </si>
  <si>
    <t>https://www.jotform.com/uploads/macarewecare/222927978372067/5511426283916490974/5511426283916490974_signature_31.png</t>
  </si>
  <si>
    <t xml:space="preserve">ASSAY: Xpert MTB/RIF, COUNT: 418
ASSAY: Xpert MTB/RIF Ultra, COUNT: 257
</t>
  </si>
  <si>
    <t>All modules within calibrated parameters. All two modules are operational.</t>
  </si>
  <si>
    <t>Collected three extra XPC cartridges.</t>
  </si>
  <si>
    <t>XpertCheck-CE-5, Lot no. 1000378669, Exp. 2024 02 11</t>
  </si>
  <si>
    <t>https://www.jotform.com/uploads/macarewecare/222927978372067/5511351017412005421/5511351017412005421_signature_28.png</t>
  </si>
  <si>
    <t>https://www.jotform.com/uploads/macarewecare/222927978372067/5511351017412005421/5511351017412005421_signature_31.png</t>
  </si>
  <si>
    <t>21st street, west rembo</t>
  </si>
  <si>
    <t>Unit is due for installation</t>
  </si>
  <si>
    <t>Unit installation of GX machine 838875</t>
  </si>
  <si>
    <t>https://www.jotform.com/uploads/macarewecare/222927978372067/5511346547412884780/5511346547412884780_signature_28.png</t>
  </si>
  <si>
    <t>https://www.jotform.com/uploads/macarewecare/222927978372067/5511346547412884780/5511346547412884780_signature_31.png</t>
  </si>
  <si>
    <t>TBDots</t>
  </si>
  <si>
    <t xml:space="preserve">ASSAY: Xpert MTB/RIF, COUNT: 299
ASSAY: Xpert MTB/RIF Ultra, COUNT: 204
</t>
  </si>
  <si>
    <t>-UPS doesn't turn on</t>
  </si>
  <si>
    <t>-Check fuse if still intact (fuse is okay)
-Check power supply voltage, 220V (within range)</t>
  </si>
  <si>
    <t>All four modules are operational. Module B3 &amp; B4 are for module replacement (Xpertcheck service required on cal 6/15/22)</t>
  </si>
  <si>
    <t>UPS was not recovered. Still no power after troubleshooting. Recommend for replacement.</t>
  </si>
  <si>
    <t>https://www.jotform.com/uploads/macarewecare/222927978372067/5511309521338395243/5511309521338395243_signature_28.png</t>
  </si>
  <si>
    <t>Charmaine Apat</t>
  </si>
  <si>
    <t>https://www.jotform.com/uploads/macarewecare/222927978372067/5511309521338395243/5511309521338395243_signature_31.png</t>
  </si>
  <si>
    <t>San Isidro RHU</t>
  </si>
  <si>
    <t xml:space="preserve">ASSAY: Xpert MTB/RIF, COUNT: 46
ASSAY: Xpert MTB/RIF Ultra, COUNT: 426
</t>
  </si>
  <si>
    <t>Performed Maintenance (Cleaned Icore, Cleaned Cartridge Bay, Cleaned Filters, Cleaned Plunger Rod)
Gathered Reports
Performed Module Replacement 662521 - 210045948
Performed Calibration
Performed Functionality Test</t>
  </si>
  <si>
    <t>Xpertcheck - B3 Passed - B4 Service Required</t>
  </si>
  <si>
    <t>https://www.jotform.com/uploads/macarewecare/222927978372067/5511308213913990970/5511308213913990970_signature_28.png</t>
  </si>
  <si>
    <t>Marlyn M.Urian</t>
  </si>
  <si>
    <t>https://www.jotform.com/uploads/macarewecare/222927978372067/5511308213913990970/5511308213913990970_signature_31.png</t>
  </si>
  <si>
    <t>Lapaz Ext. Road, Bauan</t>
  </si>
  <si>
    <t xml:space="preserve">ASSAY: Xpert MTB/RIF, COUNT: 108
ASSAY: Xpert MTB/RIF Ultra, COUNT: 1077
</t>
  </si>
  <si>
    <t>Unit for preventive maintenanc.
Unit for Xpertcheck.</t>
  </si>
  <si>
    <t>Unit is operational. Modules A1(721909) and A4(721920), service required.</t>
  </si>
  <si>
    <t>Used 1 spare xpertcheck</t>
  </si>
  <si>
    <t>DR 9486</t>
  </si>
  <si>
    <t>https://www.jotform.com/uploads/macarewecare/222927978372067/5511303153386914879/5511303153386914879_signature_28.png</t>
  </si>
  <si>
    <t>Maribel Aguirre Abrigonda</t>
  </si>
  <si>
    <t>https://www.jotform.com/uploads/macarewecare/222927978372067/5511303153386914879/5511303153386914879_signature_31.png</t>
  </si>
  <si>
    <t xml:space="preserve">ASSAY: Xpert MTB/RIF, COUNT: 1238
</t>
  </si>
  <si>
    <t>Defective Module 2 : 696460</t>
  </si>
  <si>
    <t>Replaced New Module serial 884841</t>
  </si>
  <si>
    <t>Replaced New Module
Get IQR, Sys Log, Gxx files</t>
  </si>
  <si>
    <t>All modules operation</t>
  </si>
  <si>
    <t>https://www.jotform.com/uploads/macarewecare/222927978372067/5511281592817749792/5511281592817749792_signature_28.png</t>
  </si>
  <si>
    <t>Allysa Rivera</t>
  </si>
  <si>
    <t>https://www.jotform.com/uploads/macarewecare/222927978372067/5511281592817749792/5511281592817749792_signature_31.png</t>
  </si>
  <si>
    <t>Sison St. Pozorrubio Pangasinan</t>
  </si>
  <si>
    <t xml:space="preserve">ASSAY: Xpert MTB/RIF, COUNT: 147
ASSAY: Xpert MTB/RIF Ultra, COUNT: 99
</t>
  </si>
  <si>
    <t>Performed surface cleaning
Performed preventive maintenance
Xpertcheck application update from V.1.5 to V.1.5a
Performed calibration
Gathered reports
Performed functionality test</t>
  </si>
  <si>
    <t>All modules passed calibration, 1 retry. Used 5 spare xpertcheck kits</t>
  </si>
  <si>
    <t>https://www.jotform.com/uploads/macarewecare/222927978372067/5511258273741366341/5511258273741366341_signature_28.png</t>
  </si>
  <si>
    <t>https://www.jotform.com/uploads/macarewecare/222927978372067/5511258273741366341/5511258273741366341_signature_31.png</t>
  </si>
  <si>
    <t xml:space="preserve">ASSAY: Xpert MTB/RIF Ultra, COUNT: 1368
</t>
  </si>
  <si>
    <t>Machine is Operational; Module B2 Encounter Multiple Temperature Related Error</t>
  </si>
  <si>
    <t>Data reported to Office for further assessment</t>
  </si>
  <si>
    <t>https://www.jotform.com/uploads/macarewecare/222927978372067/5511257196016262605/5511257196016262605_signature_28.png</t>
  </si>
  <si>
    <t>Nadine Gemma S. Estaquio</t>
  </si>
  <si>
    <t>https://www.jotform.com/uploads/macarewecare/222927978372067/5511257196016262605/5511257196016262605_signature_31.png</t>
  </si>
  <si>
    <t xml:space="preserve">ASSAY: Xpert MTB/RIF, COUNT: 172
ASSAY: Xpert MTB/RIF Ultra, COUNT: 1046
</t>
  </si>
  <si>
    <t>Unit is operational. All modules passed xpertcheck.</t>
  </si>
  <si>
    <t>DR 9487</t>
  </si>
  <si>
    <t>https://www.jotform.com/uploads/https:/www.jotform.com/uploads/macarewecare/222927978372067/5511253515827496259/5511253515827496259_signature_28.png</t>
  </si>
  <si>
    <t>https://www.jotform.com/uploads/https:/www.jotform.com/uploads/macarewecare/222927978372067/5511253515827496259/5511253515827496259_signature_31.png</t>
  </si>
  <si>
    <t>San Isidro RTDL</t>
  </si>
  <si>
    <t>Dr. A. Santos, San Isidro, Parañaque City</t>
  </si>
  <si>
    <t xml:space="preserve">ASSAY: Xpert MTB/RIF, COUNT: 127
ASSAY: Xpert MTB/RIF Ultra, COUNT: 1378
ASSAY: Xpert HIV-1 Viral Load, COUNT: 72
</t>
  </si>
  <si>
    <t>Unit is due for Calibration</t>
  </si>
  <si>
    <t>Performed Maintenance
Performed XpertCheck
B1 806894 failed- service requied
B2 806895 retry then failed - service required
B3 806897 retry
B4 806898 retry</t>
  </si>
  <si>
    <t>https://www.jotform.com/uploads/macarewecare/222927978372067/5511174131616174012/5511174131616174012_signature_28.png</t>
  </si>
  <si>
    <t>https://www.jotform.com/uploads/macarewecare/222927978372067/5511174131616174012/5511174131616174012_signature_31.png</t>
  </si>
  <si>
    <t>INTEGRATED PROVINCIAL HEALTH OFFICE-SIQUIJOR</t>
  </si>
  <si>
    <t>SIQUIJOR</t>
  </si>
  <si>
    <t>GENEXPERT LABORATORY</t>
  </si>
  <si>
    <t>jtcabanlit.pbsp@gmail.com</t>
  </si>
  <si>
    <t xml:space="preserve">ASSAY: Xpert MTB/RIF, COUNT: 627
ASSAY: Xpert MTB/RIF Ultra, COUNT: 35
</t>
  </si>
  <si>
    <t>https://www.jotform.com/uploads/macarewecare/222927978372067/5511130150145534930/5511130150145534930_signature_28.png</t>
  </si>
  <si>
    <t>James Cabanlit</t>
  </si>
  <si>
    <t>https://www.jotform.com/uploads/macarewecare/222927978372067/5511130150145534930/5511130150145534930_signature_31.png</t>
  </si>
  <si>
    <t>GENEXPERT LAB</t>
  </si>
  <si>
    <t xml:space="preserve">ASSAY: Xpert MTB/RIF, COUNT: 1198
ASSAY: Xpert MTB/RIF Ultra, COUNT: 33
</t>
  </si>
  <si>
    <t>FOR MODULE B2,B3, and B4 REPLACEMENT</t>
  </si>
  <si>
    <t>-REPLACE MODULE B2 DEF SN:667655 WITH NEW SN:882343
MODULE B3 DEF SN:667656 WITH NEW : 210068080
MODULE B4 DEF SN:893060 WITH SN:639819</t>
  </si>
  <si>
    <t>https://www.jotform.com/uploads/macarewecare/222927978372067/5511117950144298485/5511117950144298485_signature_28.png</t>
  </si>
  <si>
    <t>https://www.jotform.com/uploads/macarewecare/222927978372067/5511117950144298485/5511117950144298485_signature_31.png</t>
  </si>
  <si>
    <t xml:space="preserve">ASSAY: Xpert BCR-ABL Ultra, COUNT: 5
ASSAY: Xpert CT/NG, COUNT: 24
ASSAY: Xpert HBV VL, COUNT: 37
ASSAY: Xpert HPV, COUNT: 21
ASSAY: Xpert MTB/RIF Ultra, COUNT: 1148
ASSAY: Xpert HCV VL, COUNT: 11
ASSAY: Xpert HIV-1 Viral Load, COUNT: 17
</t>
  </si>
  <si>
    <t>Unit for preventive maintenance.
GeneXpert system for relocation within laboratory.</t>
  </si>
  <si>
    <t>Performed relocation of Genexpert system.
Installed Genexpert system to new location.
Performed preventive maintenance.
Generated reports.</t>
  </si>
  <si>
    <t>Preventive maintenance and relocation of Genexpert system.</t>
  </si>
  <si>
    <t>Unit is operational. For reporting of module B1 due to temperature. error.</t>
  </si>
  <si>
    <t>https://www.jotform.com/uploads/macarewecare/222927978372067/5511105062024680453/5511105062024680453_signature_28.png</t>
  </si>
  <si>
    <t>Maria ODessa R. Mallillin</t>
  </si>
  <si>
    <t>https://www.jotform.com/uploads/macarewecare/222927978372067/5511105062024680453/5511105062024680453_signature_31.png</t>
  </si>
  <si>
    <t xml:space="preserve">ASSAY: Xpert MTB/RIF, COUNT: 383
ASSAY: Xpert MTB/RIF Ultra, COUNT: 1028
</t>
  </si>
  <si>
    <t>Performed preventive maintenance.
Performed xpertcheck.
Generated reports</t>
  </si>
  <si>
    <t>Unit is operational. Modules B2(756759) B3(756760) and B4(756764) are service required. 1 operational module.</t>
  </si>
  <si>
    <t>DR 9507</t>
  </si>
  <si>
    <t>https://www.jotform.com/uploads/macarewecare/222927978372067/5511105062029393047/5511105062029393047_signature_28.png</t>
  </si>
  <si>
    <t>Monaliza taruc</t>
  </si>
  <si>
    <t>https://www.jotform.com/uploads/macarewecare/222927978372067/5511105062029393047/5511105062029393047_signature_31.png</t>
  </si>
  <si>
    <t xml:space="preserve">ASSAY: Xpert HPV, COUNT: 155
ASSAY: Xpert MTB/RIF, COUNT: 147
ASSAY: Xpert MTB/RIF Ultra, COUNT: 201
ASSAY: Xpert SARS-CoV-2, COUNT: 2100
</t>
  </si>
  <si>
    <t>Unit is not operational. 4 defective modules.</t>
  </si>
  <si>
    <t>DR 9514</t>
  </si>
  <si>
    <t>https://www.jotform.com/uploads/macarewecare/222927978372067/5511105022021410103/5511105022021410103_signature_28.png</t>
  </si>
  <si>
    <t>https://www.jotform.com/uploads/macarewecare/222927978372067/5511105022021410103/5511105022021410103_signature_31.png</t>
  </si>
  <si>
    <t>Gat. Andres Bonifacio Memorial Medical Center</t>
  </si>
  <si>
    <t>Delpan, Tondo Manila</t>
  </si>
  <si>
    <t xml:space="preserve">ASSAY: Xpert MTB/RIF, COUNT: 107
ASSAY: Xpert MTB/RIF Ultra, COUNT: 791
</t>
  </si>
  <si>
    <t>Unit for preventive maintenance.
Unit for Xpertcheck.
For troubleshooting of module B2.</t>
  </si>
  <si>
    <t>Performed preventive maintenance.
Performed Xpertcheck.
Replaced filter.
Troubleshoot module B2.
Generated reports.</t>
  </si>
  <si>
    <t>Preventive maintenance, Xpertcheck and trobleshooting.</t>
  </si>
  <si>
    <t>Unit is operational. B2 is defective due to broken ultrasonic horn. Modules B1, B3 and B4 passed Xpertcheck.</t>
  </si>
  <si>
    <t>https://www.jotform.com/uploads/macarewecare/222927978372067/5511105022022488015/5511105022022488015_signature_28.png</t>
  </si>
  <si>
    <t>Alma Lacson</t>
  </si>
  <si>
    <t>https://www.jotform.com/uploads/macarewecare/222927978372067/5511105022022488015/5511105022022488015_signature_31.png</t>
  </si>
  <si>
    <t>Sto. Tomas Rural Health Unit</t>
  </si>
  <si>
    <t>Poblacion Dos, Sto. Tomas</t>
  </si>
  <si>
    <t xml:space="preserve">ASSAY: Xpert MTB/RIF, COUNT: 193
ASSAY: Xpert MTB/RIF Ultra, COUNT: 1007
</t>
  </si>
  <si>
    <t>Unit for preventive maintenance.
Umit for Xpertcheck.</t>
  </si>
  <si>
    <t>Unit is operational. Module B4(671461), service required. 3 operational modules.</t>
  </si>
  <si>
    <t>https://www.jotform.com/uploads/macarewecare/222927978372067/5511105022024052356/5511105022024052356_signature_28.png</t>
  </si>
  <si>
    <t>https://www.jotform.com/uploads/macarewecare/222927978372067/5511105022024052356/5511105022024052356_signature_31.png</t>
  </si>
  <si>
    <t xml:space="preserve">ASSAY: Xpert MTB/RIF Ultra, COUNT: 154
</t>
  </si>
  <si>
    <t>Unit for preventive maintenance.
Unit for Xpertcheck.
For installation of monitor.</t>
  </si>
  <si>
    <t>Performed preventive maintenance.
Performed Xpertcheck.
Installed new monitor.
Generated reports.</t>
  </si>
  <si>
    <t>Preventive maintenance, xpertcheck and installation of monitor.</t>
  </si>
  <si>
    <t>AOC 22B1HS Monitor (QSDN8HA087214) in replacment to defective monitor HP ProDisplay (CNK83224NB).
Xpertcheck Kit.</t>
  </si>
  <si>
    <t>DR 9553, DR9509</t>
  </si>
  <si>
    <t>https://www.jotform.com/uploads/macarewecare/222927978372067/5511105022024093777/5511105022024093777_signature_28.png</t>
  </si>
  <si>
    <t>https://www.jotform.com/uploads/macarewecare/222927978372067/5511105022024093777/5511105022024093777_signature_31.png</t>
  </si>
  <si>
    <t xml:space="preserve">ASSAY: Xpert HPV, COUNT: 445
ASSAY: Xpert MTB/RIF, COUNT: 501
ASSAY: Xpert MTB/RIF Ultra, COUNT: 829
ASSAY: Xpert SARS-CoV-2, COUNT: 10903
ASSAY: Xpert HIV-1 Viral Load, COUNT: 3
</t>
  </si>
  <si>
    <t>Unit for preventive maintenance.
Unit for Xpertcheck.
Generated reports.</t>
  </si>
  <si>
    <t>Unit is operational. Modules A1, A2, A4, B2, B3, C4 is service required.</t>
  </si>
  <si>
    <t>https://www.jotform.com/uploads/macarewecare/222927978372067/5511105022027835375/5511105022027835375_signature_28.png</t>
  </si>
  <si>
    <t>https://www.jotform.com/uploads/macarewecare/222927978372067/5511105022027835375/5511105022027835375_signature_31.png</t>
  </si>
  <si>
    <t>Pilar Municipal Health Office and Lying-in Clinic</t>
  </si>
  <si>
    <t>Pilar, Camotes, Cebu</t>
  </si>
  <si>
    <t xml:space="preserve">ASSAY: Xpert MTB/RIF, COUNT: 85
</t>
  </si>
  <si>
    <t>Module B2/787177 - XpertCheck Service Required</t>
  </si>
  <si>
    <t>Replace defective module B2/787177 with module SN 210068686</t>
  </si>
  <si>
    <t>Collected two XPC cartridges.</t>
  </si>
  <si>
    <t>GeneXpert Module 6</t>
  </si>
  <si>
    <t>https://www.jotform.com/uploads/macarewecare/222927978372067/5511100396907508657/5511100396907508657_signature_28.png</t>
  </si>
  <si>
    <t>Steve Cuering</t>
  </si>
  <si>
    <t>https://www.jotform.com/uploads/macarewecare/222927978372067/5511100396907508657/5511100396907508657_signature_31.png</t>
  </si>
  <si>
    <t>https://www.jotform.com/uploads/macarewecare/222927978372067/5511100146904988471/5511100146904988471_signature_28.png</t>
  </si>
  <si>
    <t>https://www.jotform.com/uploads/macarewecare/222927978372067/5511100146904988471/5511100146904988471_signature_31.png</t>
  </si>
  <si>
    <t xml:space="preserve">ASSAY: Xpert MTB/RIF, COUNT: 265
ASSAY: Xpert MTB/RIF Ultra, COUNT: 351
</t>
  </si>
  <si>
    <t>https://www.jotform.com/uploads/macarewecare/222927978372067/5511089112761311225/5511089112761311225_signature_28.png</t>
  </si>
  <si>
    <t>Lynn N. Jarito</t>
  </si>
  <si>
    <t>https://www.jotform.com/uploads/macarewecare/222927978372067/5511089112761311225/5511089112761311225_signature_31.png</t>
  </si>
  <si>
    <t>Lung cemter of the Philippines</t>
  </si>
  <si>
    <t>East ave.qc</t>
  </si>
  <si>
    <t xml:space="preserve">ASSAY: Xpert MTB/RIF Ultra, COUNT: 1824
ASSAY: Xpert SARS-CoV-2, COUNT: 2014
</t>
  </si>
  <si>
    <t>For maintenance and module replacement  b3 796657 - 210070829 C2 686590 - 210068734</t>
  </si>
  <si>
    <t>Performed module replacement,Cleaned unit,filter,cartridge bay,icore,plunger rod,gathered reports,test run unit</t>
  </si>
  <si>
    <t>Maintenance, module replacement</t>
  </si>
  <si>
    <t>G5123 , G5124</t>
  </si>
  <si>
    <t>https://www.jotform.com/uploads/macarewecare/222927978372067/5511073901213166671/5511073901213166671_signature_28.png</t>
  </si>
  <si>
    <t>https://www.jotform.com/uploads/macarewecare/222927978372067/5511073901213166671/5511073901213166671_signature_31.png</t>
  </si>
  <si>
    <t>https://www.jotform.com/uploads/macarewecare/222927978372067/5511073861212692065/5511073861212692065_signature_28.png</t>
  </si>
  <si>
    <t>https://www.jotform.com/uploads/macarewecare/222927978372067/5511073861212692065/5511073861212692065_signature_31.png</t>
  </si>
  <si>
    <t xml:space="preserve">ASSAY: Xpert MTB/RIF, COUNT: 359
ASSAY: Xpert MTB/RIF Ultra, COUNT: 2906
ASSAY: Xpert SARS-CoV-2, COUNT: 3164
ASSAY: Xpert HIV-1 Viral Load, COUNT: 16
</t>
  </si>
  <si>
    <t>https://www.jotform.com/uploads/macarewecare/222927978372067/5511073361219349920/5511073361219349920_signature_28.png</t>
  </si>
  <si>
    <t>https://www.jotform.com/uploads/macarewecare/222927978372067/5511073361219349920/5511073361219349920_signature_31.png</t>
  </si>
  <si>
    <t>https://www.jotform.com/uploads/macarewecare/222927978372067/5511073321216317538/5511073321216317538_signature_28.png</t>
  </si>
  <si>
    <t>https://www.jotform.com/uploads/macarewecare/222927978372067/5511073321216317538/5511073321216317538_signature_31.png</t>
  </si>
  <si>
    <t xml:space="preserve">ASSAY: Xpert MTB/RIF, COUNT: 44
ASSAY: Xpert MTB/RIF Ultra, COUNT: 501
ASSAY: Xpert SARS-CoV-2, COUNT: 895
ASSAY: Xpert HIV-1 Viral Load, COUNT: 28
ASSAY: Others, COUNT: 1
ASSAY: Others, COUNT: 1
</t>
  </si>
  <si>
    <t>For maintenance, h/w failed module b4</t>
  </si>
  <si>
    <t>3 module operational b4 reported already</t>
  </si>
  <si>
    <t>https://www.jotform.com/uploads/macarewecare/222927978372067/5511072571217886517/5511072571217886517_signature_28.png</t>
  </si>
  <si>
    <t>https://www.jotform.com/uploads/macarewecare/222927978372067/5511072571217886517/5511072571217886517_signature_31.png</t>
  </si>
  <si>
    <t>https://www.jotform.com/uploads/macarewecare/222927978372067/5511072531219729602/5511072531219729602_signature_28.png</t>
  </si>
  <si>
    <t>https://www.jotform.com/uploads/macarewecare/222927978372067/5511072531219729602/5511072531219729602_signature_31.png</t>
  </si>
  <si>
    <t>Lung  center of the Philippines</t>
  </si>
  <si>
    <t>Gx4 r1</t>
  </si>
  <si>
    <t>For maintenance,xpertcheck,defectivelaptop corrupted o.s and defective lan cable</t>
  </si>
  <si>
    <t>Performed xpertcheck Cleaned unit,filter,cartridge bay,icore,plunger rod,gathered reports,test run unit</t>
  </si>
  <si>
    <t>Maintenance,xpertcheck</t>
  </si>
  <si>
    <t>B2 failed xpert check,B1,B3,B4 passed xpertcheck</t>
  </si>
  <si>
    <t>Unit unable to use bec.defective laptop</t>
  </si>
  <si>
    <t>https://www.jotform.com/uploads/macarewecare/222927978372067/5511072111214880519/5511072111214880519_signature_28.png</t>
  </si>
  <si>
    <t>Melissa Dawn Cruz</t>
  </si>
  <si>
    <t>https://www.jotform.com/uploads/macarewecare/222927978372067/5511072111214880519/5511072111214880519_signature_31.png</t>
  </si>
  <si>
    <t>https://www.jotform.com/uploads/macarewecare/222927978372067/5511072061211498789/5511072061211498789_signature_28.png</t>
  </si>
  <si>
    <t>https://www.jotform.com/uploads/macarewecare/222927978372067/5511072061211498789/5511072061211498789_signature_31.png</t>
  </si>
  <si>
    <t xml:space="preserve">ASSAY: Xpert MTB/RIF, COUNT: 229
ASSAY: Xpert MTB/RIF Ultra, COUNT: 1273
</t>
  </si>
  <si>
    <t>Performed xpertcheck,Cleaned unit,filter,cartridge bay,icore,plunger rod,gathered reports,test run unit</t>
  </si>
  <si>
    <t>C2,C3 failed xpert check C1 and C4 passed</t>
  </si>
  <si>
    <t>https://www.jotform.com/uploads/macarewecare/222927978372067/5511071731219494774/5511071731219494774_signature_28.png</t>
  </si>
  <si>
    <t>https://www.jotform.com/uploads/macarewecare/222927978372067/5511071731219494774/5511071731219494774_signature_31.png</t>
  </si>
  <si>
    <t>https://www.jotform.com/uploads/macarewecare/222927978372067/5511071621219868881/5511071621219868881_signature_28.png</t>
  </si>
  <si>
    <t>https://www.jotform.com/uploads/macarewecare/222927978372067/5511071621219868881/5511071621219868881_signature_31.png</t>
  </si>
  <si>
    <t xml:space="preserve">ASSAY: Xpert HPV, COUNT: 389
</t>
  </si>
  <si>
    <t>C2 module h/w failed</t>
  </si>
  <si>
    <t>https://www.jotform.com/uploads/macarewecare/222927978372067/5511071181213365979/5511071181213365979_signature_28.png</t>
  </si>
  <si>
    <t>https://www.jotform.com/uploads/macarewecare/222927978372067/5511071181213365979/5511071181213365979_signature_31.png</t>
  </si>
  <si>
    <t>https://www.jotform.com/uploads/macarewecare/222927978372067/5511071101216703855/5511071101216703855_signature_28.png</t>
  </si>
  <si>
    <t>https://www.jotform.com/uploads/macarewecare/222927978372067/5511071101216703855/5511071101216703855_signature_31.png</t>
  </si>
  <si>
    <t xml:space="preserve">ASSAY: Xpert C. difficile BT, COUNT: 1
ASSAY: Xpert CT/NG, COUNT: 225
ASSAY: Others, COUNT: 4
ASSAY: Xpert MTB/RIF Ultra, COUNT: 2769
</t>
  </si>
  <si>
    <t>For maintenance,struck cartridge</t>
  </si>
  <si>
    <t>B4 module broken b1 and b2 reported already</t>
  </si>
  <si>
    <t>https://www.jotform.com/uploads/macarewecare/222927978372067/5511070231213075091/5511070231213075091_signature_28.png</t>
  </si>
  <si>
    <t>https://www.jotform.com/uploads/macarewecare/222927978372067/5511070231213075091/5511070231213075091_signature_31.png</t>
  </si>
  <si>
    <t>https://www.jotform.com/uploads/macarewecare/222927978372067/5511070171216157870/5511070171216157870_signature_28.png</t>
  </si>
  <si>
    <t>https://www.jotform.com/uploads/macarewecare/222927978372067/5511070171216157870/5511070171216157870_signature_31.png</t>
  </si>
  <si>
    <t>Covid lab</t>
  </si>
  <si>
    <t xml:space="preserve">ASSAY: Xpert MTB/RIF, COUNT: 589
ASSAY: Xpert MTB/RIF Ultra, COUNT: 145
ASSAY: Xpert SARS-CoV-2, COUNT: 2491
</t>
  </si>
  <si>
    <t>For maintenence and xpertcheck</t>
  </si>
  <si>
    <t>B3 retry, 3 modules passed</t>
  </si>
  <si>
    <t>https://www.jotform.com/uploads/macarewecare/222927978372067/5510975351313448851/5510975351313448851_signature_28.png</t>
  </si>
  <si>
    <t>https://www.jotform.com/uploads/macarewecare/222927978372067/5510975351313448851/5510975351313448851_signature_31.png</t>
  </si>
  <si>
    <t xml:space="preserve">ASSAY: Xpert MTB/RIF, COUNT: 16
ASSAY: Xpert MTB/RIF Ultra, COUNT: 1861
ASSAY: Xpert SARS-CoV-2, COUNT: 5827
ASSAY: Others, COUNT: 18
</t>
  </si>
  <si>
    <t>Gxxvi (10c)</t>
  </si>
  <si>
    <t>A3 and D2 reported already 14 module operational</t>
  </si>
  <si>
    <t>https://www.jotform.com/uploads/macarewecare/222927978372067/5510975351315408171/5510975351315408171_signature_28.png</t>
  </si>
  <si>
    <t>https://www.jotform.com/uploads/macarewecare/222927978372067/5510975351315408171/5510975351315408171_signature_31.png</t>
  </si>
  <si>
    <t>5th ave. BGC</t>
  </si>
  <si>
    <t>jlalina@stlukes.com.ph</t>
  </si>
  <si>
    <t xml:space="preserve">ASSAY: Xpert BCR-ABL Ultra, COUNT: 42
ASSAY: Xpert BCR-ABL Ultra, COUNT: 98
ASSAY: Xpert C. difficile BT, COUNT: 0
ASSAY: Xpert CT/NG, COUNT: 1005
ASSAY: Others, COUNT: 11
ASSAY: Xpert HBV VL, COUNT: 51
ASSAY: Xpert HPV, COUNT: 4
ASSAY: Others, COUNT: 963
ASSAY: Xpert MTB/RIF, COUNT: 218
ASSAY: Xpert MTB/RIF Ultra, COUNT: 1675
</t>
  </si>
  <si>
    <t>Unit is due for module Replacement</t>
  </si>
  <si>
    <t>Performed Module Replacement 
C3 692466 to C3 702387</t>
  </si>
  <si>
    <t>https://www.jotform.com/uploads/macarewecare/222927978372067/5510506967329189834/5510506967329189834_signature_28.png</t>
  </si>
  <si>
    <t>Jethro Alina</t>
  </si>
  <si>
    <t>https://www.jotform.com/uploads/macarewecare/222927978372067/5510506967329189834/5510506967329189834_signature_31.png</t>
  </si>
  <si>
    <t>https://www.jotform.com/uploads/macarewecare/222927978372067/5510506767325683615/5510506767325683615_signature_28.png</t>
  </si>
  <si>
    <t>https://www.jotform.com/uploads/macarewecare/222927978372067/5510506767325683615/5510506767325683615_signature_31.png</t>
  </si>
  <si>
    <t>St. Lukes Medical Center BGC</t>
  </si>
  <si>
    <t>5th Avenue, BGC</t>
  </si>
  <si>
    <t xml:space="preserve">ASSAY: Xpert MTB/RIF Ultra, COUNT: 1675
ASSAY: Xpert MTB/RIF, COUNT: 218
ASSAY: Xpert HPV, COUNT: 963
ASSAY: Xpert HBV VL, COUNT: 51
ASSAY: Xpert CT/NG, COUNT: 1005
ASSAY: Xpert BCR-ABL Ultra, COUNT: 98
ASSAY: Xpert BCR-ABL Ultra, COUNT: 42
</t>
  </si>
  <si>
    <t>Performed Calibration
C1 866691 passed
C2 866696 passed
C3 866793 passed
C4 866803 failed</t>
  </si>
  <si>
    <t>https://www.jotform.com/uploads/macarewecare/222927978372067/5510505487326479272/5510505487326479272_signature_28.png</t>
  </si>
  <si>
    <t>https://www.jotform.com/uploads/macarewecare/222927978372067/5510505487326479272/5510505487326479272_signature_31.png</t>
  </si>
  <si>
    <t xml:space="preserve">ASSAY: Xpert MTB/RIF, COUNT: 275
ASSAY: Xpert MTB/RIF Ultra, COUNT: 1827
ASSAY: Xpert HIV-1 Viral Load, COUNT: 389
</t>
  </si>
  <si>
    <t>Module B1 H/W failed</t>
  </si>
  <si>
    <t>Replace module B1 SN:671816 with new module SN:210070834</t>
  </si>
  <si>
    <t>Genexpert module 6-Color</t>
  </si>
  <si>
    <t>https://www.jotform.com/uploads/macarewecare/222927978372067/5510420669655646529/5510420669655646529_signature_28.png</t>
  </si>
  <si>
    <t>https://www.jotform.com/uploads/macarewecare/222927978372067/5510420669655646529/5510420669655646529_signature_31.png</t>
  </si>
  <si>
    <t>San Carlos Pangasinan</t>
  </si>
  <si>
    <t xml:space="preserve">ASSAY: Xpert MTB/RIF, COUNT: 202
ASSAY: Xpert MTB/RIF Ultra, COUNT: 266
</t>
  </si>
  <si>
    <t>Temperature error on Modules B1 and B2</t>
  </si>
  <si>
    <t>Performed aurfqce cleaning
Analyze reported errors
Performed preventive maintenance
Updated Xpertcheck application to 1.5A
Performed calibration on modules B1 and B2
Performed functionality test</t>
  </si>
  <si>
    <t>Unit is operational except B2 failed calibration, B1 passed the calibration</t>
  </si>
  <si>
    <t>B2 for reporting</t>
  </si>
  <si>
    <t>https://www.jotform.com/uploads/macarewecare/222927978372067/5510412858987409246/5510412858987409246_signature_28.png</t>
  </si>
  <si>
    <t>https://www.jotform.com/uploads/macarewecare/222927978372067/5510412858987409246/5510412858987409246_signature_31.png</t>
  </si>
  <si>
    <t xml:space="preserve">ASSAY: Xpert MTB/RIF, COUNT: 1678
ASSAY: Xpert MTB/RIF Ultra, COUNT: 95
ASSAY: Xpert SARS-CoV-2, COUNT: 40
</t>
  </si>
  <si>
    <t>No power on CPU</t>
  </si>
  <si>
    <t>Restart CPU</t>
  </si>
  <si>
    <t>https://www.jotform.com/uploads/macarewecare/222927978372067/5510406983949808194/5510406983949808194_signature_28.png</t>
  </si>
  <si>
    <t>https://www.jotform.com/uploads/macarewecare/222927978372067/5510406983949808194/5510406983949808194_signature_31.png</t>
  </si>
  <si>
    <t>Jacinto St, Poblacion District Davao City</t>
  </si>
  <si>
    <t xml:space="preserve">ASSAY: Xpert MTB/RIF Ultra, COUNT: 26
ASSAY: Xpert HIV-1 Viral Load, COUNT: 413
</t>
  </si>
  <si>
    <t>Perfrom XpertCheck Calibration</t>
  </si>
  <si>
    <t>Calibrate the 4 Modules</t>
  </si>
  <si>
    <t>Module B1 for observation</t>
  </si>
  <si>
    <t>https://www.jotform.com/uploads/macarewecare/222927978372067/5510404641715186131/5510404641715186131_signature_28.png</t>
  </si>
  <si>
    <t>Elaine Malano, Rmt</t>
  </si>
  <si>
    <t>https://www.jotform.com/uploads/macarewecare/222927978372067/5510404641715186131/5510404641715186131_signature_31.png</t>
  </si>
  <si>
    <t>https://www.jotform.com/uploads/macarewecare/222927978372067/5510404661719292484/5510404661719292484_signature_28.png</t>
  </si>
  <si>
    <t>https://www.jotform.com/uploads/macarewecare/222927978372067/5510404661719292484/5510404661719292484_signature_31.png</t>
  </si>
  <si>
    <t xml:space="preserve">ASSAY: Xpert MTB/RIF, COUNT: 734
ASSAY: Xpert MTB/RIF Ultra, COUNT: 1232
</t>
  </si>
  <si>
    <t>Module A2 h/w failed</t>
  </si>
  <si>
    <t>Perform Genexpert machine Preventive maintenance
Replace module A2 SN:685790 with new module SN:668136</t>
  </si>
  <si>
    <t>Genexpert module 6- color</t>
  </si>
  <si>
    <t>https://www.jotform.com/uploads/macarewecare/222927978372067/5510311969655425266/5510311969655425266_signature_28.png</t>
  </si>
  <si>
    <t>Kenneth Paolo T. Calvo, RMT</t>
  </si>
  <si>
    <t>https://www.jotform.com/uploads/macarewecare/222927978372067/5510311969655425266/5510311969655425266_signature_31.png</t>
  </si>
  <si>
    <t>sheena_rmt@yahoo.com</t>
  </si>
  <si>
    <t xml:space="preserve">ASSAY: Xpert MTB/RIF, COUNT: 120
ASSAY: Xpert MTB/RIF Ultra, COUNT: 1161
ASSAY: Xpert SARS-CoV-2, COUNT: 2565
</t>
  </si>
  <si>
    <t>B1 and B2 was found service required last November</t>
  </si>
  <si>
    <t>2 modules was reported. Waiting parts from Cepheid</t>
  </si>
  <si>
    <t>https://www.jotform.com/uploads/macarewecare/222927978372067/5510278252794545798/5510278252794545798_signature_28.png</t>
  </si>
  <si>
    <t>Sheena Rose T. Reazon</t>
  </si>
  <si>
    <t>https://www.jotform.com/uploads/macarewecare/222927978372067/5510278252794545798/5510278252794545798_signature_31.png</t>
  </si>
  <si>
    <t>MERGE GX UNITS</t>
  </si>
  <si>
    <t xml:space="preserve">ASSAY: Xpert MTB/RIF, COUNT: 1346
ASSAY: Xpert MTB/RIF Ultra, COUNT: 900
ASSAY: Xpert HIV-1 Viral Load, COUNT: 104
</t>
  </si>
  <si>
    <t>Connect GX units 838508,838510, and 815275
due to space limitation</t>
  </si>
  <si>
    <t>Connect GX equipment using switch provided by end user</t>
  </si>
  <si>
    <t>Collect iqr,system log, and assay stat</t>
  </si>
  <si>
    <t>https://www.jotform.com/uploads/macarewecare/222927978372067/5510238140218780127/5510238140218780127_signature_28.png</t>
  </si>
  <si>
    <t>https://www.jotform.com/uploads/macarewecare/222927978372067/5510238140218780127/5510238140218780127_signature_31.png</t>
  </si>
  <si>
    <t>East Service Rd. Western Bicutan</t>
  </si>
  <si>
    <t>tpdhmicrobiology@gmail.com</t>
  </si>
  <si>
    <t xml:space="preserve">ASSAY: Xpert MTB/RIF, COUNT: 632
</t>
  </si>
  <si>
    <t>Performed Xpertcheck
A1 710693 passed
A2 670055 passed
A3 754637 retry then failed
A4 754638 retry</t>
  </si>
  <si>
    <t>https://www.jotform.com/uploads/macarewecare/222927978372067/5509616951212022368/5509616951212022368_signature_28.png</t>
  </si>
  <si>
    <t>Pearl Gamboa</t>
  </si>
  <si>
    <t>https://www.jotform.com/uploads/macarewecare/222927978372067/5509616951212022368/5509616951212022368_signature_31.png</t>
  </si>
  <si>
    <t>https://www.jotform.com/uploads/macarewecare/222927978372067/5509616751216854930/5509616751216854930_signature_28.png</t>
  </si>
  <si>
    <t>https://www.jotform.com/uploads/macarewecare/222927978372067/5509616751216854930/5509616751216854930_signature_31.png</t>
  </si>
  <si>
    <t xml:space="preserve">ASSAY: Xpert MTB/RIF, COUNT: 310
ASSAY: Xpert MTB/RIF Ultra, COUNT: 751
ASSAY: Xpert HIV-1 Viral Load, COUNT: 15
</t>
  </si>
  <si>
    <t>Module B3 for repkacement
Module B4 for reporting error 2037</t>
  </si>
  <si>
    <t>Performed surface cleaning
Replaced defective module
Performed preventive maintenance
Gathered reports
Performed functionality test</t>
  </si>
  <si>
    <t>Unit is operational except for modukea B1 and B4</t>
  </si>
  <si>
    <t>B4 for reporting</t>
  </si>
  <si>
    <t>Genexpert module new SN:210068087 Defective module SN:688510</t>
  </si>
  <si>
    <t>https://www.jotform.com/uploads/macarewecare/222927978372067/5509545200025043637/5509545200025043637_signature_28.png</t>
  </si>
  <si>
    <t>https://www.jotform.com/uploads/macarewecare/222927978372067/5509545200025043637/5509545200025043637_signature_31.png</t>
  </si>
  <si>
    <t xml:space="preserve">ASSAY: Xpert MTB/RIF, COUNT: 93
ASSAY: Xpert MTB/RIF Ultra, COUNT: 893
</t>
  </si>
  <si>
    <t>Clean Surface Area, Cartridge Bay, Plunger Rod, Fan Filters and Icore Lenses
Generate IQR, Assay Stat and System Log
Archived Data Test results</t>
  </si>
  <si>
    <t>https://www.jotform.com/uploads/macarewecare/222927978372067/5509526841715317350/5509526841715317350_signature_28.png</t>
  </si>
  <si>
    <t>Rosemarie B. Dy,  RMT</t>
  </si>
  <si>
    <t>https://www.jotform.com/uploads/macarewecare/222927978372067/5509526841715317350/5509526841715317350_signature_31.png</t>
  </si>
  <si>
    <t>dy_rosemarie@gmail.com</t>
  </si>
  <si>
    <t>https://www.jotform.com/uploads/macarewecare/222927978372067/5509526811713847267/5509526811713847267_signature_28.png</t>
  </si>
  <si>
    <t>https://www.jotform.com/uploads/macarewecare/222927978372067/5509526811713847267/5509526811713847267_signature_31.png</t>
  </si>
  <si>
    <t>Poblacion Polomolok</t>
  </si>
  <si>
    <t xml:space="preserve">ASSAY: Xpert MTB/RIF, COUNT: 359
ASSAY: Xpert MTB/RIF Ultra, COUNT: 1181
</t>
  </si>
  <si>
    <t>https://www.jotform.com/uploads/macarewecare/222927978372067/5509467740144491257/5509467740144491257_signature_28.png</t>
  </si>
  <si>
    <t>https://www.jotform.com/uploads/macarewecare/222927978372067/5509467740144491257/5509467740144491257_signature_31.png</t>
  </si>
  <si>
    <t>Brgy. Pilaring, Pilar, Surigao del Norte</t>
  </si>
  <si>
    <t>Installation of new CPU and Monitor
Preventive Maintenance
XpertCheck Calibration</t>
  </si>
  <si>
    <t>All modules passed in XpertCheck</t>
  </si>
  <si>
    <t>https://www.jotform.com/uploads/macarewecare/222927978372067/5509451038011544339/5509451038011544339_signature_28.png</t>
  </si>
  <si>
    <t>https://www.jotform.com/uploads/macarewecare/222927978372067/5509451038011544339/5509451038011544339_signature_31.png</t>
  </si>
  <si>
    <t>IPIL RURAL HEALTH UNIT</t>
  </si>
  <si>
    <t>Poblacion ipil zamboanga sibugay</t>
  </si>
  <si>
    <t>MAINTENANCE
Site inspection</t>
  </si>
  <si>
    <t xml:space="preserve">ASSAY: Xpert MTB/RIF Ultra, COUNT: 1382
</t>
  </si>
  <si>
    <t>Aircondition not working</t>
  </si>
  <si>
    <t>Preventive maintenance, Site inspection</t>
  </si>
  <si>
    <t>All 4 modules are available but under high temperature</t>
  </si>
  <si>
    <t>Air-condition of the room Must be replaced emmedietly. Room temperature above required temperature.</t>
  </si>
  <si>
    <t>https://www.jotform.com/uploads/macarewecare/222927978372067/5509441950753234252/5509441950753234252_signature_28.png</t>
  </si>
  <si>
    <t>https://www.jotform.com/uploads/macarewecare/222927978372067/5509441950753234252/5509441950753234252_signature_31.png</t>
  </si>
  <si>
    <t xml:space="preserve">ASSAY: Xpert MTB/RIF, COUNT: 1000
ASSAY: Xpert MTB/RIF Ultra, COUNT: 1024
ASSAY: Xpert HIV-1 Viral Load, COUNT: 138
</t>
  </si>
  <si>
    <t>DISTORTED MONITOR DISPLAY</t>
  </si>
  <si>
    <t>-CONFIRM MONITOR WITH SN 611NTVS6B383 IS DEFECTIVE</t>
  </si>
  <si>
    <t>https://www.jotform.com/uploads/macarewecare/222927978372067/5509405268811453724/5509405268811453724_signature_28.png</t>
  </si>
  <si>
    <t>https://www.jotform.com/uploads/macarewecare/222927978372067/5509405268811453724/5509405268811453724_signature_31.png</t>
  </si>
  <si>
    <t xml:space="preserve">ASSAY: Xpert MTB/RIF, COUNT: 285
ASSAY: Xpert MTB/RIF Ultra, COUNT: 1810
ASSAY: Xpert HIV-1 Viral Load, COUNT: 389
</t>
  </si>
  <si>
    <t>Module B1 waiting for module to available
Module B2,B3, and B4 for Service Required</t>
  </si>
  <si>
    <t>Genexpert machine has 3 operational modules</t>
  </si>
  <si>
    <t>Lot #: 1000330696</t>
  </si>
  <si>
    <t>https://www.jotform.com/uploads/macarewecare/222927978372067/5508703701711118231/5508703701711118231_signature_28.png</t>
  </si>
  <si>
    <t>https://www.jotform.com/uploads/macarewecare/222927978372067/5508703701711118231/5508703701711118231_signature_31.png</t>
  </si>
  <si>
    <t xml:space="preserve">ASSAY: Xpert MTB/RIF Ultra, COUNT: 1625
ASSAY: Xpert HIV-1 Viral Load, COUNT: 43
</t>
  </si>
  <si>
    <t>Booting problem in module 3</t>
  </si>
  <si>
    <t>Replaced module 3
Performed Maintenance
Generate reports
Performed Self test</t>
  </si>
  <si>
    <t>B3: 632179 --&gt; 702383</t>
  </si>
  <si>
    <t>Gx Module 6-Colors</t>
  </si>
  <si>
    <t>G 5105</t>
  </si>
  <si>
    <t>https://www.jotform.com/uploads/macarewecare/222927978372067/5508685331213367805/5508685331213367805_signature_28.png</t>
  </si>
  <si>
    <t>https://www.jotform.com/uploads/macarewecare/222927978372067/5508685331213367805/5508685331213367805_signature_31.png</t>
  </si>
  <si>
    <t>hazelmilan@yahoo.com</t>
  </si>
  <si>
    <t xml:space="preserve">ASSAY: Xpert MTB/RIF Ultra, COUNT: 2338
ASSAY: Xpert HIV-1 Viral Load, COUNT: 46
</t>
  </si>
  <si>
    <t>Performed Maintenance
Generate Reports
Performed Self Test</t>
  </si>
  <si>
    <t>3 Modules are Defective, 1 module operational</t>
  </si>
  <si>
    <t>https://www.jotform.com/uploads/macarewecare/222927978372067/5508685331213562899/5508685331213562899_signature_28.png</t>
  </si>
  <si>
    <t>Roberto c, borila</t>
  </si>
  <si>
    <t>https://www.jotform.com/uploads/macarewecare/222927978372067/5508685331213562899/5508685331213562899_signature_31.png</t>
  </si>
  <si>
    <t>Paliparan City Health Office IV</t>
  </si>
  <si>
    <t>Paliparan</t>
  </si>
  <si>
    <t xml:space="preserve">ASSAY: Xpert MTB/RIF Ultra, COUNT: 1391
ASSAY: Xpert HIV-1 Viral Load, COUNT: 27
</t>
  </si>
  <si>
    <t>XPertCheck
Maintenance</t>
  </si>
  <si>
    <t>https://www.jotform.com/uploads/macarewecare/222927978372067/5508685341211129957/5508685341211129957_signature_28.png</t>
  </si>
  <si>
    <t>https://www.jotform.com/uploads/macarewecare/222927978372067/5508685341211129957/5508685341211129957_signature_31.png</t>
  </si>
  <si>
    <t>H/W failure</t>
  </si>
  <si>
    <t>1 newly replaced module</t>
  </si>
  <si>
    <t>B2: 862469 --&gt; 210068184</t>
  </si>
  <si>
    <t>Gx module 6-C</t>
  </si>
  <si>
    <t>G 5111</t>
  </si>
  <si>
    <t>https://www.jotform.com/uploads/macarewecare/222927978372067/5508685291211474189/5508685291211474189_signature_28.png</t>
  </si>
  <si>
    <t>Caroline Vecino</t>
  </si>
  <si>
    <t>https://www.jotform.com/uploads/macarewecare/222927978372067/5508685291211474189/5508685291211474189_signature_31.png</t>
  </si>
  <si>
    <t>Pulang Lupa Dos</t>
  </si>
  <si>
    <t>pulanglupados@yahoo.com</t>
  </si>
  <si>
    <t xml:space="preserve">ASSAY: Xpert MTB/RIF Ultra, COUNT: 1031
</t>
  </si>
  <si>
    <t>Performed Maintenance
Performed XpertCheck
Generate Reports
Performed Self Test</t>
  </si>
  <si>
    <t>https://www.jotform.com/uploads/macarewecare/222927978372067/5508685291211719064/5508685291211719064_signature_28.png</t>
  </si>
  <si>
    <t>https://www.jotform.com/uploads/macarewecare/222927978372067/5508685291211719064/5508685291211719064_signature_31.png</t>
  </si>
  <si>
    <t>J. Mabiling St. , Indang</t>
  </si>
  <si>
    <t>loloambo_2006@yahoo.com</t>
  </si>
  <si>
    <t>All modules passed and operational.</t>
  </si>
  <si>
    <t>https://www.jotform.com/uploads/macarewecare/222927978372067/5508685291215236642/5508685291215236642_signature_28.png</t>
  </si>
  <si>
    <t>Marvin Sierra</t>
  </si>
  <si>
    <t>https://www.jotform.com/uploads/macarewecare/222927978372067/5508685291215236642/5508685291215236642_signature_31.png</t>
  </si>
  <si>
    <t>Naic</t>
  </si>
  <si>
    <t>Temperature Error</t>
  </si>
  <si>
    <t>Replaced Module 4
Performed Maintenance
Performed XpertCheck
Generate Reports
Test functionality of UPS</t>
  </si>
  <si>
    <t>2 modules Failed, 2 modules newly replaced. Recommendation for UPS replacement (2 ports have no output)</t>
  </si>
  <si>
    <t>4: 678360 --&gt; 874939</t>
  </si>
  <si>
    <t>G 5039</t>
  </si>
  <si>
    <t>https://www.jotform.com/uploads/macarewecare/222927978372067/5508685291216319799/5508685291216319799_signature_28.png</t>
  </si>
  <si>
    <t>Jennifer S.Casamar</t>
  </si>
  <si>
    <t>https://www.jotform.com/uploads/macarewecare/222927978372067/5508685291216319799/5508685291216319799_signature_31.png</t>
  </si>
  <si>
    <t>Booting errors in mod 1</t>
  </si>
  <si>
    <t>Performed Maintenance
Replaced and configure gateway board
Performed xpertcheck
Generate reports</t>
  </si>
  <si>
    <t>2 modules failed, 2 modules newly replaced</t>
  </si>
  <si>
    <t>Gateway board kit</t>
  </si>
  <si>
    <t>G 5115</t>
  </si>
  <si>
    <t>https://www.jotform.com/uploads/macarewecare/222927978372067/5508685291216536665/5508685291216536665_signature_28.png</t>
  </si>
  <si>
    <t>https://www.jotform.com/uploads/macarewecare/222927978372067/5508685291216536665/5508685291216536665_signature_31.png</t>
  </si>
  <si>
    <t>Zamboanga Sibugay Provincial Hospital</t>
  </si>
  <si>
    <t>Sanito ipil, Zamboanga sibugay</t>
  </si>
  <si>
    <t>Monitor broken</t>
  </si>
  <si>
    <t>Reported for replacement</t>
  </si>
  <si>
    <t>Monitor malfunction</t>
  </si>
  <si>
    <t>https://www.jotform.com/uploads/macarewecare/222927978372067/5508668647415268822/5508668647415268822_signature_28.png</t>
  </si>
  <si>
    <t>Exel Rose Remotigue</t>
  </si>
  <si>
    <t>https://www.jotform.com/uploads/macarewecare/222927978372067/5508668647415268822/5508668647415268822_signature_31.png</t>
  </si>
  <si>
    <t>Zaragoza RHU I</t>
  </si>
  <si>
    <t>Del Pilar East Zaragoza Nueva Ecija</t>
  </si>
  <si>
    <t xml:space="preserve">ASSAY: Xpert MTB/RIF, COUNT: 68
ASSAY: Xpert MTB/RIF Ultra, COUNT: 319
</t>
  </si>
  <si>
    <t>Performed Maintenance 
Gathered Reports
Performed Calibratiom
Performed Functionality Test</t>
  </si>
  <si>
    <t>https://www.jotform.com/uploads/macarewecare/222927978372067/5508632990124938434/5508632990124938434_signature_28.png</t>
  </si>
  <si>
    <t>Zarah A Palapal</t>
  </si>
  <si>
    <t>https://www.jotform.com/uploads/macarewecare/222927978372067/5508632990124938434/5508632990124938434_signature_31.png</t>
  </si>
  <si>
    <t>Rafael Lazatin Memorial Medical Hospital</t>
  </si>
  <si>
    <t>wilper143@yahoo.com</t>
  </si>
  <si>
    <t xml:space="preserve">ASSAY: Xpert MTB/RIF, COUNT: 264
ASSAY: Xpert MTB/RIF Ultra, COUNT: 702
</t>
  </si>
  <si>
    <t>Performed preventive maintenance
Install xpertcheck application
Performed machine calibration
Gathered reports
Performed functionality test</t>
  </si>
  <si>
    <t>Preventive maintenance and Calibrtion</t>
  </si>
  <si>
    <t>All modules pssed calibration</t>
  </si>
  <si>
    <t>https://www.jotform.com/uploads/macarewecare/222927978372067/5508499391214516650/5508499391214516650_signature_28.png</t>
  </si>
  <si>
    <t>https://www.jotform.com/uploads/macarewecare/222927978372067/5508499391214516650/5508499391214516650_signature_31.png</t>
  </si>
  <si>
    <t>slrgh_lab1999@yoo.com</t>
  </si>
  <si>
    <t xml:space="preserve">ASSAY: Xpert MTB/RIF, COUNT: 344 
ASSAY: Xpert MTB/RIF Ultra, COUNT: 544 
</t>
  </si>
  <si>
    <t>Unit is operational. All modules except B1 failed calibration. B1 for reporting.</t>
  </si>
  <si>
    <t>https://www.jotform.com/uploads/macarewecare/222927978372067/5508463311212840237/5508463311212840237_signature_28.png</t>
  </si>
  <si>
    <t>Myralene Piamonte</t>
  </si>
  <si>
    <t>https://www.jotform.com/uploads/macarewecare/222927978372067/5508463311212840237/5508463311212840237_signature_31.png</t>
  </si>
  <si>
    <t>Aurora BIvd., Quezon City</t>
  </si>
  <si>
    <t>https://www.jotform.com/uploads/macarewecare/222927978372067/5508463311213128227/5508463311213128227_signature_28.png</t>
  </si>
  <si>
    <t>https://www.jotform.com/uploads/macarewecare/222927978372067/5508463311213128227/5508463311213128227_signature_31.png</t>
  </si>
  <si>
    <t>edrick.dianzon@gmail.com</t>
  </si>
  <si>
    <t xml:space="preserve">ASSAY: Xpert MTB/RIF Ultra, COUNT: 1442
ASSAY: Xpert HIV-1 Viral Load, COUNT: 70
</t>
  </si>
  <si>
    <t>Unit is operational. All modules passed calibration</t>
  </si>
  <si>
    <t>https://www.jotform.com/uploads/macarewecare/222927978372067/5508463311213647541/5508463311213647541_signature_28.png</t>
  </si>
  <si>
    <t>Erick Dianzon</t>
  </si>
  <si>
    <t>https://www.jotform.com/uploads/macarewecare/222927978372067/5508463311213647541/5508463311213647541_signature_31.png</t>
  </si>
  <si>
    <t xml:space="preserve">ASSAY: Xpert MTB/RIF, COUNT: 253
ASSAY: Xpert MTB/RIF Ultra, COUNT: 555
</t>
  </si>
  <si>
    <t>unit for calibration</t>
  </si>
  <si>
    <t>Unit is operational. B1, B2, B4 passed the calibration.</t>
  </si>
  <si>
    <t>https://www.jotform.com/uploads/macarewecare/222927978372067/5508463271211107081/5508463271211107081_signature_28.png</t>
  </si>
  <si>
    <t>https://www.jotform.com/uploads/macarewecare/222927978372067/5508463271211107081/5508463271211107081_signature_31.png</t>
  </si>
  <si>
    <t xml:space="preserve">ASSAY: Xpert MTB/RIF, COUNT: 331
ASSAY: Xpert MTB/RIF Ultra, COUNT: 1723
ASSAY: Xpert HIV-1 Viral Load, COUNT: 92
</t>
  </si>
  <si>
    <t>Module C2 for xpertcheck</t>
  </si>
  <si>
    <t>Performed xpertcheck on C2</t>
  </si>
  <si>
    <t>unit is operational. C2 for reporting /follow-up.</t>
  </si>
  <si>
    <t>https://www.jotform.com/uploads/macarewecare/222927978372067/5508463271213470015/5508463271213470015_signature_28.png</t>
  </si>
  <si>
    <t>https://www.jotform.com/uploads/macarewecare/222927978372067/5508463271213470015/5508463271213470015_signature_31.png</t>
  </si>
  <si>
    <t>meimbanj@gmail.com</t>
  </si>
  <si>
    <t xml:space="preserve">ASSAY: Xpert MTB/RIF, COUNT: 495
ASSAY: Xpert MTB/RIF Ultra, COUNT: 724
</t>
  </si>
  <si>
    <t>performed xpertcheck</t>
  </si>
  <si>
    <t>https://www.jotform.com/uploads/macarewecare/222927978372067/5508463271215832555/5508463271215832555_signature_28.png</t>
  </si>
  <si>
    <t>Felix Jericho Meimban</t>
  </si>
  <si>
    <t>https://www.jotform.com/uploads/macarewecare/222927978372067/5508463271215832555/5508463271215832555_signature_31.png</t>
  </si>
  <si>
    <t>Mandaluyong City Health office</t>
  </si>
  <si>
    <t xml:space="preserve">ASSAY: Xpert MTB/RIF, COUNT: 488
ASSAY: Xpert MTB/RIF Ultra, COUNT: 2053
ASSAY: Xpert HIV-1 Viral Load, COUNT: 89
</t>
  </si>
  <si>
    <t>-Replaced module A2 (667784) by 682608</t>
  </si>
  <si>
    <t>Unit is operational. All modules passed except A1. A1 for reporting.</t>
  </si>
  <si>
    <t>GeneXpert Module SN: 682608</t>
  </si>
  <si>
    <t>G 5103</t>
  </si>
  <si>
    <t>https://www.jotform.com/uploads/macarewecare/222927978372067/5508463271218285196/5508463271218285196_signature_28.png</t>
  </si>
  <si>
    <t>https://www.jotform.com/uploads/macarewecare/222927978372067/5508463271218285196/5508463271218285196_signature_31.png</t>
  </si>
  <si>
    <t>University of The East - Ramon Maysaysay Memorial Hospital</t>
  </si>
  <si>
    <t>osangcomendador19@gmail.com</t>
  </si>
  <si>
    <t xml:space="preserve">ASSAY: Others, COUNT: 53
ASSAY: Xpert CT/NG, COUNT: 60 
ASSAY: Xpert MTB/RIF, COUNT: 490
ASSAY: Xpert MTB/RIF Ultra, COUNT: 44
ASSAY: Others, COUNT: 2
</t>
  </si>
  <si>
    <t>Unit is operational. No issues found.</t>
  </si>
  <si>
    <t>https://www.jotform.com/uploads/macarewecare/222927978372067/5508463271219293422/5508463271219293422_signature_28.png</t>
  </si>
  <si>
    <t>https://www.jotform.com/uploads/macarewecare/222927978372067/5508463271219293422/5508463271219293422_signature_31.png</t>
  </si>
  <si>
    <t>Performed maintenance 
Checked rollers 
Verified calibration parameters 
Simulation run</t>
  </si>
  <si>
    <t>https://www.jotform.com/uploads/macarewecare/222927978372067/5508447751212801674/5508447751212801674_signature_28.png</t>
  </si>
  <si>
    <t>https://www.jotform.com/uploads/macarewecare/222927978372067/5508447751212801674/5508447751212801674_signature_31.png</t>
  </si>
  <si>
    <t>bmc.mtip@gmail.com</t>
  </si>
  <si>
    <t xml:space="preserve">ASSAY: Xpert HPV, COUNT: 1362
ASSAY: Xpert MTB/RIF, COUNT: 1368
ASSAY: Xpert MTB/RIF Ultra, COUNT: 5140
ASSAY: Xpert SARS-CoV-2, COUNT: 2385
ASSAY: Xpert HIV-1 Viral Load, COUNT: 261
</t>
  </si>
  <si>
    <t>Performed maintenance 
Cleaned cartridge bay,  icore, plunger rod and filter. 
Generated reports</t>
  </si>
  <si>
    <t>Module D3/886347 not operational. For reporting.</t>
  </si>
  <si>
    <t>https://www.jotform.com/uploads/macarewecare/222927978372067/5508447711211554604/5508447711211554604_signature_28.png</t>
  </si>
  <si>
    <t>Monaleen Lavadia</t>
  </si>
  <si>
    <t>https://www.jotform.com/uploads/macarewecare/222927978372067/5508447711211554604/5508447711211554604_signature_31.png</t>
  </si>
  <si>
    <t xml:space="preserve">ASSAY: Xpert HPV, COUNT: 1772
ASSAY: Xpert MTB/RIF Ultra, COUNT: 34
ASSAY: Xpert SARS-CoV-2, COUNT: 192
</t>
  </si>
  <si>
    <t>Performed maintenance 
Cleaned cartridge bay, icore, plunger rod and filter 
Generated reports</t>
  </si>
  <si>
    <t>https://www.jotform.com/uploads/macarewecare/222927978372067/5508447711211801434/5508447711211801434_signature_28.png</t>
  </si>
  <si>
    <t>Monaleen lavadia</t>
  </si>
  <si>
    <t>https://www.jotform.com/uploads/macarewecare/222927978372067/5508447711211801434/5508447711211801434_signature_31.png</t>
  </si>
  <si>
    <t>Performed maintenance 
Checked rollers
Verified calibration parameters
Simulation run</t>
  </si>
  <si>
    <t>https://www.jotform.com/uploads/macarewecare/222927978372067/5508447711217200081/5508447711217200081_signature_28.png</t>
  </si>
  <si>
    <t>LEO COLLAO</t>
  </si>
  <si>
    <t>https://www.jotform.com/uploads/macarewecare/222927978372067/5508447711217200081/5508447711217200081_signature_31.png</t>
  </si>
  <si>
    <t xml:space="preserve">ASSAY: Xpert MTB/RIF, COUNT: 175
ASSAY: Xpert MTB/RIF Ultra, COUNT: 920
</t>
  </si>
  <si>
    <t>Modules B2, B3 and B4 for xpertcheck</t>
  </si>
  <si>
    <t>Module B1/688686 operational.  Module B2/682797 passed the XpertCheck but under observation. Modules B3/861110 and B4/861254 service required.</t>
  </si>
  <si>
    <t>https://www.jotform.com/uploads/macarewecare/222927978372067/5508447711217534491/5508447711217534491_signature_28.png</t>
  </si>
  <si>
    <t>https://www.jotform.com/uploads/macarewecare/222927978372067/5508447711217534491/5508447711217534491_signature_31.png</t>
  </si>
  <si>
    <t>Santiago St. Libon</t>
  </si>
  <si>
    <t xml:space="preserve">ASSAY: Xpert MTB/RIF, COUNT: 259
ASSAY: Xpert MTB/RIF Ultra, COUNT: 798
</t>
  </si>
  <si>
    <t>Module B1, B2 and B4 for re-xpertcheck</t>
  </si>
  <si>
    <t>Modules B3/860996 Operational. Module B1/640264 and B2/860937 passed the XpertCheck but under observation. Module B4/861019</t>
  </si>
  <si>
    <t>Some part of the keyboard not functioning.</t>
  </si>
  <si>
    <t>https://www.jotform.com/uploads/macarewecare/222927978372067/5508447711218361139/5508447711218361139_signature_28.png</t>
  </si>
  <si>
    <t>https://www.jotform.com/uploads/macarewecare/222927978372067/5508447711218361139/5508447711218361139_signature_31.png</t>
  </si>
  <si>
    <t>Governor Celestino Gallares Hospital</t>
  </si>
  <si>
    <t>Tagbilaran BOHOL</t>
  </si>
  <si>
    <t xml:space="preserve">ASSAY: Xpert MTB/RIF, COUNT: 1221
</t>
  </si>
  <si>
    <t>Calibrate module 4 serial number 722094</t>
  </si>
  <si>
    <t>Calibrate module 722094</t>
  </si>
  <si>
    <t>Failed during calibration for replacement</t>
  </si>
  <si>
    <t>https://www.jotform.com/uploads/macarewecare/222927978372067/5507000783618851445/5507000783618851445_signature_28.png</t>
  </si>
  <si>
    <t>Jernai Sosoban</t>
  </si>
  <si>
    <t>https://www.jotform.com/uploads/macarewecare/222927978372067/5507000783618851445/5507000783618851445_signature_31.png</t>
  </si>
  <si>
    <t>Cong.  Simeon Toribio Memorial Hospital</t>
  </si>
  <si>
    <t>Carmen, Poblacion Bohol</t>
  </si>
  <si>
    <t xml:space="preserve">ASSAY: Xpert MTB/RIF, COUNT: 909
</t>
  </si>
  <si>
    <t>Calibration on Module 1 Serial 838394</t>
  </si>
  <si>
    <t>4 modules available</t>
  </si>
  <si>
    <t>https://www.jotform.com/uploads/macarewecare/222927978372067/5506857995417736177/5506857995417736177_signature_28.png</t>
  </si>
  <si>
    <t>https://www.jotform.com/uploads/macarewecare/222927978372067/5506857995417736177/5506857995417736177_signature_31.png</t>
  </si>
  <si>
    <t>https://www.jotform.com/uploads/macarewecare/222927978372067/5506404935318047594/5506404935318047594_signature_28.png</t>
  </si>
  <si>
    <t>https://www.jotform.com/uploads/macarewecare/222927978372067/5506404935318047594/5506404935318047594_signature_31.png</t>
  </si>
  <si>
    <t>https://www.jotform.com/uploads/macarewecare/222927978372067/5506404075319328967/5506404075319328967_signature_28.png</t>
  </si>
  <si>
    <t>https://www.jotform.com/uploads/macarewecare/222927978372067/5506404075319328967/5506404075319328967_signature_31.png</t>
  </si>
  <si>
    <t>Sablayan Occ Mindoro</t>
  </si>
  <si>
    <t xml:space="preserve">ASSAY: Xpert MTB/RIF, COUNT: 622
ASSAY: Xpert MTB/RIF Ultra, COUNT: 1290
</t>
  </si>
  <si>
    <t>Unit for preventive maintenance.
Unit for Xpertcheck.
For module replacement of B4.</t>
  </si>
  <si>
    <t>Performed preventive maintenance.
Performed module replacement on B4.
Performed Xpertcheck.
Generated reports.</t>
  </si>
  <si>
    <t>GX module for B4(878695) in replacement for defective B4(793158).</t>
  </si>
  <si>
    <t>https://www.jotform.com/uploads/macarewecare/222927978372067/5506299065311696857/5506299065311696857_signature_28.png</t>
  </si>
  <si>
    <t>https://www.jotform.com/uploads/macarewecare/222927978372067/5506299065311696857/5506299065311696857_signature_31.png</t>
  </si>
  <si>
    <t xml:space="preserve">ASSAY: Xpert MTB/RIF, COUNT: 349
</t>
  </si>
  <si>
    <t>Error 2014 and UPs problem</t>
  </si>
  <si>
    <t>Calibrate genexpert</t>
  </si>
  <si>
    <t>Calibrate Machine</t>
  </si>
  <si>
    <t>https://www.jotform.com/uploads/macarewecare/222927978372067/5506232913765383412/5506232913765383412_signature_28.png</t>
  </si>
  <si>
    <t>https://www.jotform.com/uploads/macarewecare/222927978372067/5506232913765383412/5506232913765383412_signature_31.png</t>
  </si>
  <si>
    <t>Batasan q..c</t>
  </si>
  <si>
    <t xml:space="preserve">ASSAY: Xpert MTB/RIF, COUNT: 130
ASSAY: Xpert MTB/RIF Ultra, COUNT: 1585
ASSAY: Xpert HPV, COUNT: 643
</t>
  </si>
  <si>
    <t>For xpert check and maintenance</t>
  </si>
  <si>
    <t>Cleaned unit,filter,cartridge bay,icore,plunger rod,gathered reports,test run unit,performed xpert check</t>
  </si>
  <si>
    <t>Xpert check and maintenance</t>
  </si>
  <si>
    <t>D3 passed</t>
  </si>
  <si>
    <t>D2/D4 retry xpertcheck D1 failed</t>
  </si>
  <si>
    <t>https://www.jotform.com/uploads/macarewecare/222927978372067/5506225641311466779/5506225641311466779_signature_28.png</t>
  </si>
  <si>
    <t>https://www.jotform.com/uploads/macarewecare/222927978372067/5506225641311466779/5506225641311466779_signature_31.png</t>
  </si>
  <si>
    <t>https://www.jotform.com/uploads/macarewecare/222927978372067/5506225591311969324/5506225591311969324_signature_28.png</t>
  </si>
  <si>
    <t>https://www.jotform.com/uploads/macarewecare/222927978372067/5506225591311969324/5506225591311969324_signature_31.png</t>
  </si>
  <si>
    <t>Commonwealth qc</t>
  </si>
  <si>
    <t>https://www.jotform.com/uploads/macarewecare/222927978372067/5506224911318663798/5506224911318663798_signature_28.png</t>
  </si>
  <si>
    <t>https://www.jotform.com/uploads/macarewecare/222927978372067/5506224911318663798/5506224911318663798_signature_31.png</t>
  </si>
  <si>
    <t>https://www.jotform.com/uploads/macarewecare/222927978372067/5506224861312400439/5506224861312400439_signature_28.png</t>
  </si>
  <si>
    <t>https://www.jotform.com/uploads/macarewecare/222927978372067/5506224861312400439/5506224861312400439_signature_31.png</t>
  </si>
  <si>
    <t>Holy spirit health center</t>
  </si>
  <si>
    <t>Catalina st q.c</t>
  </si>
  <si>
    <t>triciamarie435@gmail.com</t>
  </si>
  <si>
    <t xml:space="preserve">ASSAY: Xpert MTB/RIF, COUNT: 441
ASSAY: Xpert MTB/RIF Ultra, COUNT: 369
</t>
  </si>
  <si>
    <t>Operational  all module passed</t>
  </si>
  <si>
    <t>https://www.jotform.com/uploads/macarewecare/222927978372067/5506223551317642929/5506223551317642929_signature_28.png</t>
  </si>
  <si>
    <t>Patricia Marie C. Tabug</t>
  </si>
  <si>
    <t>https://www.jotform.com/uploads/macarewecare/222927978372067/5506223551317642929/5506223551317642929_signature_31.png</t>
  </si>
  <si>
    <t>https://www.jotform.com/uploads/macarewecare/222927978372067/5506223481318807760/5506223481318807760_signature_28.png</t>
  </si>
  <si>
    <t>https://www.jotform.com/uploads/macarewecare/222927978372067/5506223481318807760/5506223481318807760_signature_31.png</t>
  </si>
  <si>
    <t>Payatas b health center</t>
  </si>
  <si>
    <t>Bulacan st payatas qc</t>
  </si>
  <si>
    <t xml:space="preserve">ASSAY: Xpert MTB/RIF, COUNT: 110
ASSAY: Xpert MTB/RIF Ultra, COUNT: 959
</t>
  </si>
  <si>
    <t>A2 failed xpertcheck,A3 retry xpertcheck</t>
  </si>
  <si>
    <t>https://www.jotform.com/uploads/macarewecare/222927978372067/5506222781317441283/5506222781317441283_signature_28.png</t>
  </si>
  <si>
    <t>https://www.jotform.com/uploads/macarewecare/222927978372067/5506222781317441283/5506222781317441283_signature_31.png</t>
  </si>
  <si>
    <t>https://www.jotform.com/uploads/macarewecare/222927978372067/5506222691317941829/5506222691317941829_signature_28.png</t>
  </si>
  <si>
    <t>https://www.jotform.com/uploads/macarewecare/222927978372067/5506222691317941829/5506222691317941829_signature_31.png</t>
  </si>
  <si>
    <t>Commonwealth health center</t>
  </si>
  <si>
    <t>Katuparan st, Commonwealth q.c</t>
  </si>
  <si>
    <t xml:space="preserve">ASSAY: Xpert MTB/RIF, COUNT: 212
ASSAY: Xpert MTB/RIF Ultra, COUNT: 1152
ASSAY: Xpert HPV, COUNT: 487
</t>
  </si>
  <si>
    <t>A3 reported already, A1,A2,A4 passed xpertcheck</t>
  </si>
  <si>
    <t>https://www.jotform.com/uploads/macarewecare/222927978372067/5506221691318099588/5506221691318099588_signature_28.png</t>
  </si>
  <si>
    <t>https://www.jotform.com/uploads/macarewecare/222927978372067/5506221691318099588/5506221691318099588_signature_31.png</t>
  </si>
  <si>
    <t>https://www.jotform.com/uploads/macarewecare/222927978372067/5506221521317244624/5506221521317244624_signature_28.png</t>
  </si>
  <si>
    <t>https://www.jotform.com/uploads/macarewecare/222927978372067/5506221521317244624/5506221521317244624_signature_31.png</t>
  </si>
  <si>
    <t>San Mateo rhu V</t>
  </si>
  <si>
    <t>Modesta village san mateo</t>
  </si>
  <si>
    <t xml:space="preserve">ASSAY: Xpert MTB/RIF Ultra, COUNT: 233
</t>
  </si>
  <si>
    <t>For maintenance,xpert check</t>
  </si>
  <si>
    <t>https://www.jotform.com/uploads/macarewecare/222927978372067/5506220311317513593/5506220311317513593_signature_28.png</t>
  </si>
  <si>
    <t>https://www.jotform.com/uploads/macarewecare/222927978372067/5506220311317513593/5506220311317513593_signature_31.png</t>
  </si>
  <si>
    <t>https://www.jotform.com/uploads/macarewecare/222927978372067/5506220121317705108/5506220121317705108_signature_28.png</t>
  </si>
  <si>
    <t>https://www.jotform.com/uploads/macarewecare/222927978372067/5506220121317705108/5506220121317705108_signature_31.png</t>
  </si>
  <si>
    <t xml:space="preserve">ASSAY: Xpert MTB/RIF, COUNT: 1909
</t>
  </si>
  <si>
    <t>https://www.jotform.com/uploads/macarewecare/222927978372067/5506111681024747862/5506111681024747862_signature_28.png</t>
  </si>
  <si>
    <t>https://www.jotform.com/uploads/macarewecare/222927978372067/5506111681024747862/5506111681024747862_signature_31.png</t>
  </si>
  <si>
    <t>https://www.jotform.com/uploads/macarewecare/222927978372067/5506111631023239096/5506111631023239096_signature_28.png</t>
  </si>
  <si>
    <t>https://www.jotform.com/uploads/macarewecare/222927978372067/5506111631023239096/5506111631023239096_signature_31.png</t>
  </si>
  <si>
    <t>rhu1santarosa@gmail.com</t>
  </si>
  <si>
    <t>Unit is for Calibration this February</t>
  </si>
  <si>
    <t>https://www.jotform.com/uploads/macarewecare/222927978372067/5506096233927054854/5506096233927054854_signature_28.png</t>
  </si>
  <si>
    <t>Ana S. Caballong</t>
  </si>
  <si>
    <t>https://www.jotform.com/uploads/macarewecare/222927978372067/5506096233927054854/5506096233927054854_signature_31.png</t>
  </si>
  <si>
    <t>Poblacion 2, Bansalan</t>
  </si>
  <si>
    <t xml:space="preserve">ASSAY: Xpert MTB/RIF, COUNT: 196
ASSAY: Xpert MTB/RIF Ultra, COUNT: 422
</t>
  </si>
  <si>
    <t>Run XpertCheck Calibration</t>
  </si>
  <si>
    <t>Module B1, B2 : Passed</t>
  </si>
  <si>
    <t>High Temperature</t>
  </si>
  <si>
    <t>https://www.jotform.com/uploads/macarewecare/222927978372067/5506028777168667219/5506028777168667219_signature_28.png</t>
  </si>
  <si>
    <t>https://www.jotform.com/uploads/macarewecare/222927978372067/5506028777168667219/5506028777168667219_signature_31.png</t>
  </si>
  <si>
    <t>Dauin Rural Health Unit</t>
  </si>
  <si>
    <t>Dauin rhu</t>
  </si>
  <si>
    <t>MAINTENANCE
Transfer New Location</t>
  </si>
  <si>
    <t xml:space="preserve">ASSAY: , COUNT: 131
</t>
  </si>
  <si>
    <t>Transfer New Location</t>
  </si>
  <si>
    <t>https://www.jotform.com/uploads/macarewecare/222927978372067/5506008476038220048/5506008476038220048_signature_28.png</t>
  </si>
  <si>
    <t>Kannag Mae  Dizon</t>
  </si>
  <si>
    <t>https://www.jotform.com/uploads/macarewecare/222927978372067/5506008476038220048/5506008476038220048_signature_31.png</t>
  </si>
  <si>
    <t>San Fernando City Health Office (Dolores RHU)</t>
  </si>
  <si>
    <t>Dolores, San Fernando, Pampanga</t>
  </si>
  <si>
    <t xml:space="preserve">ASSAY: Xpert MTB/RIF, COUNT: 508
ASSAY: Xpert MTB/RIF Ultra, COUNT: 514
</t>
  </si>
  <si>
    <t>Module 2 and 4 errors, UPS malfunction</t>
  </si>
  <si>
    <t>Performed Xpertcheck on all modules
Troubleshoot UPS</t>
  </si>
  <si>
    <t>Performed Maintenance
Gathered Reports 
Performed Calibration
Xpertcheck A1 passed and A2, A3, A4 Service Required
Performed Functionality Test</t>
  </si>
  <si>
    <t>Ups for Replacement</t>
  </si>
  <si>
    <t>https://www.jotform.com/uploads/macarewecare/222927978372067/5505988924917901081/5505988924917901081_signature_28.png</t>
  </si>
  <si>
    <t>Celia T. Pineda</t>
  </si>
  <si>
    <t>https://www.jotform.com/uploads/macarewecare/222927978372067/5505988924917901081/5505988924917901081_signature_31.png</t>
  </si>
  <si>
    <t>Arellano st., Dagupan City</t>
  </si>
  <si>
    <t xml:space="preserve">ASSAY: Xpert MTB/RIF, COUNT: 619
ASSAY: Xpert MTB/RIF Ultra, COUNT: 886
ASSAY: Xpert SARS-CoV-2, COUNT: 4113
</t>
  </si>
  <si>
    <t>Calibration of the following Modules
A1/883398 failed
A2/883397 failed
A3/883399 failed
A4/874672 failed
B1/670294 passed
B2/883207 failed
B3/883205 hardware fail
B4/883450 hardware fail
C1/883447 failed
C2/883449 hardware failed
C3/883448 failed 
C4/886691 hardware failed
D1/886683 failed
D2/617706 passed
D3/883441 failed
D4/883440 failed</t>
  </si>
  <si>
    <t>https://www.jotform.com/uploads/macarewecare/222927978372067/5505926974913380933/5505926974913380933_signature_28.png</t>
  </si>
  <si>
    <t>https://www.jotform.com/uploads/macarewecare/222927978372067/5505926974913380933/5505926974913380933_signature_31.png</t>
  </si>
  <si>
    <t>Pantal, Dagupan City</t>
  </si>
  <si>
    <t>eron dumagieng</t>
  </si>
  <si>
    <t xml:space="preserve">ASSAY: Xpert MTB/RIF, COUNT: 378
ASSAY: Xpert MTB/RIF Ultra, COUNT: 1018
ASSAY: Xpert SARS-CoV-2, COUNT: 61
ASSAY: Xpert HIV-1 Viral Load, COUNT: 117
</t>
  </si>
  <si>
    <t>Performed Calibration
C1 / 643897
C2 / 640532 passed but become hardware failed after calibration
C3 / 643898
C4/667002
Use additional 2 cartridge for the recall of C3 and C4</t>
  </si>
  <si>
    <t>C1, C2, C3 and C4 needs service required/ module replacement</t>
  </si>
  <si>
    <t>https://www.jotform.com/uploads/macarewecare/222927978372067/5505880274913870974/5505880274913870974_signature_28.png</t>
  </si>
  <si>
    <t>https://www.jotform.com/uploads/macarewecare/222927978372067/5505880274913870974/5505880274913870974_signature_31.png</t>
  </si>
  <si>
    <t>https://www.jotform.com/uploads/macarewecare/222927978372067/5505880164918266159/5505880164918266159_signature_28.png</t>
  </si>
  <si>
    <t>https://www.jotform.com/uploads/macarewecare/222927978372067/5505880164918266159/5505880164918266159_signature_31.png</t>
  </si>
  <si>
    <t>Siaton</t>
  </si>
  <si>
    <t>cllmmhlaboratory@gmail.com</t>
  </si>
  <si>
    <t>Pm</t>
  </si>
  <si>
    <t>All Modules functional</t>
  </si>
  <si>
    <t>https://www.jotform.com/uploads/macarewecare/222927978372067/5505873736825044163/5505873736825044163_signature_28.png</t>
  </si>
  <si>
    <t>https://www.jotform.com/uploads/macarewecare/222927978372067/5505873736825044163/5505873736825044163_signature_31.png</t>
  </si>
  <si>
    <t>San Julian, Batac City</t>
  </si>
  <si>
    <t xml:space="preserve">ASSAY: Xpert HPV, COUNT: 157
ASSAY: Xpert MTB/RIF, COUNT: 74
ASSAY: Xpert MTB/RIF Ultra, COUNT: 198
ASSAY: Xpert SARS-CoV-2, COUNT: 1309
</t>
  </si>
  <si>
    <t>Unit is due for Module Replacement
Unit is due for Calibration</t>
  </si>
  <si>
    <t>Calibration and Module Replacement</t>
  </si>
  <si>
    <t>Performed Module Replacement
B4/612314 to B4/210008915
Performed Calibration
B2/ 807925 
Result: passed
Performed Maintenance</t>
  </si>
  <si>
    <t>https://www.jotform.com/uploads/macarewecare/222927978372067/5505433424425888187/5505433424425888187_signature_28.png</t>
  </si>
  <si>
    <t>Jaizel Aira Batara</t>
  </si>
  <si>
    <t>https://www.jotform.com/uploads/macarewecare/222927978372067/5505433424425888187/5505433424425888187_signature_31.png</t>
  </si>
  <si>
    <t>Mariano Marcos Memorial and Medical Center</t>
  </si>
  <si>
    <t xml:space="preserve">ASSAY: Xpert MTB/RIF, COUNT: 196
ASSAY: Xpert HPV, COUNT: 531
ASSAY: Xpert MTB/RIF Ultra, COUNT: 771
ASSAY: Xpert SARS-CoV-2, COUNT: 3160
</t>
  </si>
  <si>
    <t>Performed Surface Cleaning
Performed Plunger Rod Cleaning
Performed Filter Cleaning</t>
  </si>
  <si>
    <t>https://www.jotform.com/uploads/macarewecare/222927978372067/5505422774427791719/5505422774427791719_signature_28.png</t>
  </si>
  <si>
    <t>https://www.jotform.com/uploads/macarewecare/222927978372067/5505422774427791719/5505422774427791719_signature_31.png</t>
  </si>
  <si>
    <t>Toril A District Health Center</t>
  </si>
  <si>
    <t>Rayas St. Toril Poblacion Davao City</t>
  </si>
  <si>
    <t>TB DOTS Laboratory</t>
  </si>
  <si>
    <t xml:space="preserve">ASSAY: Xpert MTB/RIF, COUNT: 55
ASSAY: Xpert MTB/RIF Ultra, COUNT: 890
ASSAY: Xpert SARS-CoV-2, COUNT: 1069
</t>
  </si>
  <si>
    <t>Perfrom XPC Calibration And Preventive Maintenance</t>
  </si>
  <si>
    <t>Perfrom XpertCheck Calibration, clean Surface Area, Cartridge Bay, Fan Filters, Plunger Rod and Icore Lenses
Generate IQR, Assay Stat and System Log
Archived Data test results
Relocation of GeneXpert Position</t>
  </si>
  <si>
    <t>Module B1 B2 B4 : Passed
Module B3 : For Service Required
Module B2 encounter multiple Temperature Errors</t>
  </si>
  <si>
    <t>Relocation of GeneXpert, Assay Stat of Sars Cov from St. Elizabeth Hospital Inc</t>
  </si>
  <si>
    <t>https://www.jotform.com/uploads/macarewecare/222927978372067/5505322450912401905/5505322450912401905_signature_28.png</t>
  </si>
  <si>
    <t>Lea Buelis, RMT, RN, ASCPI</t>
  </si>
  <si>
    <t>https://www.jotform.com/uploads/macarewecare/222927978372067/5505322450912401905/5505322450912401905_signature_31.png</t>
  </si>
  <si>
    <t>https://www.jotform.com/uploads/macarewecare/222927978372067/5505322420918919567/5505322420918919567_signature_28.png</t>
  </si>
  <si>
    <t>https://www.jotform.com/uploads/macarewecare/222927978372067/5505322420918919567/5505322420918919567_signature_31.png</t>
  </si>
  <si>
    <t>Riverside Medical Center Inc</t>
  </si>
  <si>
    <t xml:space="preserve">ASSAY: Xpert BCR-ABL Ultra, COUNT: 1
ASSAY: Xpert HBV VL, COUNT: 33
ASSAY: Xpert HPV, COUNT: 12
ASSAY: Xpert MTB/RIF, COUNT: 1
ASSAY: Xpert MTB/RIF Ultra, COUNT: 19
ASSAY: Xpert HCV VL, COUNT: 40
</t>
  </si>
  <si>
    <t>Due date for preventive maintenance</t>
  </si>
  <si>
    <t>https://www.jotform.com/uploads/macarewecare/222927978372067/5505291580319562604/5505291580319562604_signature_28.png</t>
  </si>
  <si>
    <t>Dr. Pablo O.Torre Memorial Hosputal</t>
  </si>
  <si>
    <t>https://www.jotform.com/uploads/macarewecare/222927978372067/5505291580319562604/5505291580319562604_signature_31.png</t>
  </si>
  <si>
    <t>Bicol Center for Health Development</t>
  </si>
  <si>
    <t>Bios CRC test failed</t>
  </si>
  <si>
    <t>Replaced defective CPU board.</t>
  </si>
  <si>
    <t>Replaced CPU board (bios CRC test ok)
Replaced urethane rollers
Performed maintenance 
Performed calibration
Checked centrifuge
Check internal connections
Verified calibration parameters</t>
  </si>
  <si>
    <t>Bios CRC test ok after replacement of CPU board. Bowl could not be detected during calibration.</t>
  </si>
  <si>
    <t>Recommend to pull out unir for further evaluation and problem isolation.</t>
  </si>
  <si>
    <t>MCS+ CPU board assembly</t>
  </si>
  <si>
    <t>SI No. 94654</t>
  </si>
  <si>
    <t>https://www.jotform.com/uploads/macarewecare/222927978372067/5505272552481989043/5505272552481989043_signature_28.png</t>
  </si>
  <si>
    <t>https://www.jotform.com/uploads/macarewecare/222927978372067/5505272552481989043/5505272552481989043_signature_31.png</t>
  </si>
  <si>
    <t>Romana Pangqn District Hospital</t>
  </si>
  <si>
    <t>hayfamaealmario@gmail.com</t>
  </si>
  <si>
    <t>Module B3 for repoacement</t>
  </si>
  <si>
    <t>Performed preventive maintenance
Replqced defective module B3:691004
Replaced scanner
Gathered reports
Performed functionality test
Old scanner SN:19255010556824
B4:691089</t>
  </si>
  <si>
    <t>Replaced macare scanner</t>
  </si>
  <si>
    <t>Genexpert module new sn: 751142 and new scanner sn:212770552309</t>
  </si>
  <si>
    <t>https://www.jotform.com/uploads/macarewecare/222927978372067/5505261827857653792/5505261827857653792_signature_28.png</t>
  </si>
  <si>
    <t>https://www.jotform.com/uploads/macarewecare/222927978372067/5505261827857653792/5505261827857653792_signature_31.png</t>
  </si>
  <si>
    <t>Cordlife Philippines</t>
  </si>
  <si>
    <t>Commonwealth Ave., Quezon City</t>
  </si>
  <si>
    <t>None, for calibration</t>
  </si>
  <si>
    <t>Performed unit calibration</t>
  </si>
  <si>
    <t>https://www.jotform.com/uploads/macarewecare/222927978372067/5505256055564445118/5505256055564445118_signature_28.png</t>
  </si>
  <si>
    <t>Julius Biteng</t>
  </si>
  <si>
    <t>https://www.jotform.com/uploads/macarewecare/222927978372067/5505256055564445118/5505256055564445118_signature_31.png</t>
  </si>
  <si>
    <t>https://www.jotform.com/uploads/macarewecare/222927978372067/5505256025568182166/5505256025568182166_signature_28.png</t>
  </si>
  <si>
    <t>https://www.jotform.com/uploads/macarewecare/222927978372067/5505256025568182166/5505256025568182166_signature_31.png</t>
  </si>
  <si>
    <t>B Rodriguez St. CEBU City</t>
  </si>
  <si>
    <t xml:space="preserve">ASSAY: , COUNT: 1744, 4348,1717
</t>
  </si>
  <si>
    <t>838263, 806201,838882</t>
  </si>
  <si>
    <t>Transfer only</t>
  </si>
  <si>
    <t>Install the genxpert machine</t>
  </si>
  <si>
    <t>Install Ups, Cpu, genxpert machine, printer, bar code reader,</t>
  </si>
  <si>
    <t>https://www.jotform.com/uploads/macarewecare/222927978372067/5505248707228878888/5505248707228878888_signature_28.png</t>
  </si>
  <si>
    <t>Titus Ian Valerii</t>
  </si>
  <si>
    <t>https://www.jotform.com/uploads/macarewecare/222927978372067/5505248707228878888/5505248707228878888_signature_31.png</t>
  </si>
  <si>
    <t>MAINTENANCE
Upgrade version to 6.4</t>
  </si>
  <si>
    <t xml:space="preserve">ASSAY: Xpert MTB/RIF, COUNT: 931
ASSAY: Xpert MTB/RIF Ultra, COUNT: 2056
</t>
  </si>
  <si>
    <t>Upgrade version to 6.4</t>
  </si>
  <si>
    <t>https://www.jotform.com/uploads/macarewecare/222927978372067/5505238623511337255/5505238623511337255_signature_28.png</t>
  </si>
  <si>
    <t>https://www.jotform.com/uploads/macarewecare/222927978372067/5505238623511337255/5505238623511337255_signature_31.png</t>
  </si>
  <si>
    <t xml:space="preserve">ASSAY: Xpert MTB/RIF, COUNT: 171
ASSAY: Xpert MTB/RIF Ultra, COUNT: 233
</t>
  </si>
  <si>
    <t>Unit is Operationql</t>
  </si>
  <si>
    <t>For Calibration this March</t>
  </si>
  <si>
    <t>https://www.jotform.com/uploads/macarewecare/222927978372067/5505213868792662991/5505213868792662991_signature_28.png</t>
  </si>
  <si>
    <t>https://www.jotform.com/uploads/macarewecare/222927978372067/5505213868792662991/5505213868792662991_signature_31.png</t>
  </si>
  <si>
    <t>ST. PAUL’S HOSPITAL OF ILOILO</t>
  </si>
  <si>
    <t>RECOMMENDATION: CONNECT TO UNINTERRUPTED POWER SUPPLY</t>
  </si>
  <si>
    <t>https://www.jotform.com/uploads/macarewecare/222927978372067/5505164028272403445/5505164028272403445_signature_28.png</t>
  </si>
  <si>
    <t>Den Marion Algarne</t>
  </si>
  <si>
    <t>https://www.jotform.com/uploads/macarewecare/222927978372067/5505164028272403445/5505164028272403445_signature_31.png</t>
  </si>
  <si>
    <t>Malabog Health Center, Davao City</t>
  </si>
  <si>
    <t xml:space="preserve">ASSAY: Xpert MTB/RIF, COUNT: 233
ASSAY: Xpert MTB/RIF Ultra, COUNT: 16
</t>
  </si>
  <si>
    <t>Module B1, B3 and B4 : Passed
Module B2 : Service Required</t>
  </si>
  <si>
    <t>Xpertcheck CE5</t>
  </si>
  <si>
    <t>https://www.jotform.com/uploads/macarewecare/222927978372067/5505136700917088857/5505136700917088857_signature_28.png</t>
  </si>
  <si>
    <t>https://www.jotform.com/uploads/macarewecare/222927978372067/5505136700917088857/5505136700917088857_signature_31.png</t>
  </si>
  <si>
    <t>https://www.jotform.com/uploads/macarewecare/222927978372067/5505136670913068918/5505136670913068918_signature_28.png</t>
  </si>
  <si>
    <t>https://www.jotform.com/uploads/macarewecare/222927978372067/5505136670913068918/5505136670913068918_signature_31.png</t>
  </si>
  <si>
    <t>renee_mari18@yahoo.com</t>
  </si>
  <si>
    <t>-ERROR 466 WEIGHER PROBLEM
-FOR CALIBRATION</t>
  </si>
  <si>
    <t>https://www.jotform.com/uploads/macarewecare/222927978372067/5505116399278192355/5505116399278192355_signature_28.png</t>
  </si>
  <si>
    <t>Girlie Marie Anas</t>
  </si>
  <si>
    <t>https://www.jotform.com/uploads/macarewecare/222927978372067/5505116399278192355/5505116399278192355_signature_31.png</t>
  </si>
  <si>
    <t xml:space="preserve">ASSAY: Xpert MTB/RIF, COUNT: 526
ASSAY: Xpert MTB/RIF Ultra, COUNT: 1727
</t>
  </si>
  <si>
    <t>Module B1 continuous booting.</t>
  </si>
  <si>
    <t>Reseat internal connection.</t>
  </si>
  <si>
    <t>Performed maintenance 
Reseat internal connection
Generated reports</t>
  </si>
  <si>
    <t>Module B1/655916 operational but under observation.  Modules B2/625608 and B3/621226 for reporting. Module B4 operational.</t>
  </si>
  <si>
    <t>https://www.jotform.com/uploads/macarewecare/222927978372067/5505107267902501647/5505107267902501647_signature_28.png</t>
  </si>
  <si>
    <t>Fatima Buban, RMT</t>
  </si>
  <si>
    <t>https://www.jotform.com/uploads/macarewecare/222927978372067/5505107267902501647/5505107267902501647_signature_31.png</t>
  </si>
  <si>
    <t>Legazpi City</t>
  </si>
  <si>
    <t>Bios CRC Test Failed</t>
  </si>
  <si>
    <t>Replaced CPU board</t>
  </si>
  <si>
    <t>Replaced CPU board
Performed maintenance 
Calibrated the unit
Troubleshoot bowl optics</t>
  </si>
  <si>
    <t>Unit not operational.  Bowl could not be  detected. UPS not operational recommend to replace.</t>
  </si>
  <si>
    <t>For further troubleshooting of bowl optics.</t>
  </si>
  <si>
    <t>MCS+ CPU Board Assembly</t>
  </si>
  <si>
    <t>https://www.jotform.com/uploads/macarewecare/222927978372067/5505107267907324998/5505107267907324998_signature_28.png</t>
  </si>
  <si>
    <t>https://www.jotform.com/uploads/macarewecare/222927978372067/5505107267907324998/5505107267907324998_signature_31.png</t>
  </si>
  <si>
    <t xml:space="preserve">ASSAY: Xpert MTB/RIF, COUNT: 919
ASSAY: Xpert MTB/RIF Ultra, COUNT: 2753
</t>
  </si>
  <si>
    <t>Module B1 and gateway board for replacement.</t>
  </si>
  <si>
    <t>Replaced module B1 and gateway board</t>
  </si>
  <si>
    <t>Performed maintenance 
Replaced module B1
Replaced gateway board. 
Generated reports</t>
  </si>
  <si>
    <t>Module B1 operational. Module B2 and B4 operational but under observation.  Module B3 not operational.</t>
  </si>
  <si>
    <t>Old B1/640283 New B1/884721</t>
  </si>
  <si>
    <t>https://www.jotform.com/uploads/macarewecare/222927978372067/5505107217905654276/5505107217905654276_signature_28.png</t>
  </si>
  <si>
    <t>https://www.jotform.com/uploads/macarewecare/222927978372067/5505107217905654276/5505107217905654276_signature_31.png</t>
  </si>
  <si>
    <t xml:space="preserve">ASSAY: Xpert MTB/RIF, COUNT: 75
ASSAY: Xpert MTB/RIF Ultra, COUNT: 820
</t>
  </si>
  <si>
    <t>GX-IV-2-D</t>
  </si>
  <si>
    <t>Error 4008 on module B2</t>
  </si>
  <si>
    <t>Performed troubleshooting on module B2</t>
  </si>
  <si>
    <t>Swap module B2 to B1 
Checked module fuse
Check internal connections 
Performed maintenance 
Generated reports</t>
  </si>
  <si>
    <t>Module B1 operational.  Module B2 not operational.</t>
  </si>
  <si>
    <t>Module B2/888907 reported already.</t>
  </si>
  <si>
    <t>https://www.jotform.com/uploads/macarewecare/222927978372067/5505107217907728599/5505107217907728599_signature_28.png</t>
  </si>
  <si>
    <t>https://www.jotform.com/uploads/macarewecare/222927978372067/5505107217907728599/5505107217907728599_signature_31.png</t>
  </si>
  <si>
    <t>Sorsogon Medical Mission Group Hospital and Health Services Cooperative</t>
  </si>
  <si>
    <t xml:space="preserve">ASSAY: Xpert MTB/RIF Ultra, COUNT: 590
</t>
  </si>
  <si>
    <t>Stuck cartridge on Module B2</t>
  </si>
  <si>
    <t>Manual removal of stuck cartridge 
Performed maintenance 
Cleaned cartridge bay, Cleaned plunger rod and icore
Generated reports.</t>
  </si>
  <si>
    <t>Modules B1 and B2 operational.  Modules B3 and B4 not operational.</t>
  </si>
  <si>
    <t>B3/619380 and B4/644792 already reported.</t>
  </si>
  <si>
    <t>https://www.jotform.com/uploads/macarewecare/222927978372067/5505107227906987485/5505107227906987485_signature_28.png</t>
  </si>
  <si>
    <t>https://www.jotform.com/uploads/macarewecare/222927978372067/5505107227906987485/5505107227906987485_signature_31.png</t>
  </si>
  <si>
    <t>Bicol Diagnostic Reference Laboratory</t>
  </si>
  <si>
    <t xml:space="preserve">ASSAY: Xpert HPV, COUNT: 6
ASSAY: Others, COUNT: 85
ASSAY: Xpert MTB/RIF Ultra, COUNT: 360
ASSAY: Xpert HIV-1 Viral Load, COUNT: 111
</t>
  </si>
  <si>
    <t>Performed maintenance 
Cleaned cartridge bay, icore, plunger rod and filter.</t>
  </si>
  <si>
    <t>Modules B2 and B4 operational. Modules B1/617846 and B3/671780 not operational.</t>
  </si>
  <si>
    <t>https://www.jotform.com/uploads/macarewecare/222927978372067/5505107227907278884/5505107227907278884_signature_28.png</t>
  </si>
  <si>
    <t>https://www.jotform.com/uploads/macarewecare/222927978372067/5505107227907278884/5505107227907278884_signature_31.png</t>
  </si>
  <si>
    <t xml:space="preserve">ASSAY: Xpert HPV, COUNT: 805
ASSAY: Xpert MTB/RIF, COUNT: 520
ASSAY: Xpert MTB/RIF Ultra, COUNT: 1954
ASSAY: Xpert HIV-1 Viral Load, COUNT: 163
</t>
  </si>
  <si>
    <t>Performed maintenance 
Cleaned cartridge bay, icore, plunger rod and filter. 
Generated reports</t>
  </si>
  <si>
    <t>Module D3/686316 has error 2014. Under observation.</t>
  </si>
  <si>
    <t>https://www.jotform.com/uploads/macarewecare/222927978372067/5505107217906768550/5505107217906768550_signature_28.png</t>
  </si>
  <si>
    <t>https://www.jotform.com/uploads/macarewecare/222927978372067/5505107217906768550/5505107217906768550_signature_31.png</t>
  </si>
  <si>
    <t xml:space="preserve">ASSAY: Xpert MTB/RIF, COUNT: 824
</t>
  </si>
  <si>
    <t>Due date for PM</t>
  </si>
  <si>
    <t>Cleaning fan filter, clean module bay, PM</t>
  </si>
  <si>
    <t>https://www.jotform.com/uploads/macarewecare/222927978372067/5505090144349331752/5505090144349331752_signature_28.png</t>
  </si>
  <si>
    <t>https://www.jotform.com/uploads/macarewecare/222927978372067/5505090144349331752/5505090144349331752_signature_31.png</t>
  </si>
  <si>
    <t>Rodriguez rizal</t>
  </si>
  <si>
    <t>deleonmykaela18@gmail.com</t>
  </si>
  <si>
    <t xml:space="preserve">ASSAY: Xpert MTB/RIF, COUNT: 205
ASSAY: Xpert MTB/RIF Ultra, COUNT: 2299
ASSAY: Xpert HIV-1 Viral Load, COUNT: 89
</t>
  </si>
  <si>
    <t>For xpertcheck and Module replacement B2 862901 - 881532</t>
  </si>
  <si>
    <t>Cleaned unit,filter,cartridge bay,icore,plunger rod,gathered reports,test run unit performed module replacement</t>
  </si>
  <si>
    <t>Module replacement,Maintenance</t>
  </si>
  <si>
    <t>B4 module failed xpert check,b1,b2,b3passed</t>
  </si>
  <si>
    <t>G5184</t>
  </si>
  <si>
    <t>https://www.jotform.com/uploads/macarewecare/222927978372067/5504498768677645605/5504498768677645605_signature_28.png</t>
  </si>
  <si>
    <t>https://www.jotform.com/uploads/macarewecare/222927978372067/5504498768677645605/5504498768677645605_signature_31.png</t>
  </si>
  <si>
    <t>https://www.jotform.com/uploads/macarewecare/222927978372067/5504498718674105632/5504498718674105632_signature_28.png</t>
  </si>
  <si>
    <t>https://www.jotform.com/uploads/macarewecare/222927978372067/5504498718674105632/5504498718674105632_signature_31.png</t>
  </si>
  <si>
    <t>Montalban rizal</t>
  </si>
  <si>
    <t xml:space="preserve">ASSAY: Xpert MTB/RIF, COUNT: 211
ASSAY: Xpert MTB/RIF Ultra, COUNT: 2101
</t>
  </si>
  <si>
    <t>B1 and B4 failed,B2,B3 passed</t>
  </si>
  <si>
    <t>https://www.jotform.com/uploads/macarewecare/222927978372067/5504498268678144348/5504498268678144348_signature_28.png</t>
  </si>
  <si>
    <t>Mykaela Josepha De leon</t>
  </si>
  <si>
    <t>https://www.jotform.com/uploads/macarewecare/222927978372067/5504498268678144348/5504498268678144348_signature_31.png</t>
  </si>
  <si>
    <t>https://www.jotform.com/uploads/macarewecare/222927978372067/5504498218672681011/5504498218672681011_signature_28.png</t>
  </si>
  <si>
    <t>https://www.jotform.com/uploads/macarewecare/222927978372067/5504498218672681011/5504498218672681011_signature_31.png</t>
  </si>
  <si>
    <t>Antipolo city health office</t>
  </si>
  <si>
    <t>Antipolo city</t>
  </si>
  <si>
    <t>gwencb0720@gmail.com</t>
  </si>
  <si>
    <t xml:space="preserve">ASSAY: Xpert MTB/RIF, COUNT: 1317
ASSAY: Xpert MTB/RIF Ultra, COUNT: 7507
ASSAY: Xpert HIV-1 Viral Load, COUNT: 463
</t>
  </si>
  <si>
    <t>For module replacement d4 668006(old) - d4 808034(new)</t>
  </si>
  <si>
    <t>Cleaned unit,filter,cartridge bay,icore,plunger rod,gathered reports,test run unit,performed  module replacement</t>
  </si>
  <si>
    <t>G5107</t>
  </si>
  <si>
    <t>https://www.jotform.com/uploads/macarewecare/222927978372067/5504497658672737677/5504497658672737677_signature_28.png</t>
  </si>
  <si>
    <t>Gwendolyn Batingan</t>
  </si>
  <si>
    <t>https://www.jotform.com/uploads/macarewecare/222927978372067/5504497658672737677/5504497658672737677_signature_31.png</t>
  </si>
  <si>
    <t>https://www.jotform.com/uploads/macarewecare/222927978372067/5504497578676762011/5504497578676762011_signature_28.png</t>
  </si>
  <si>
    <t>https://www.jotform.com/uploads/macarewecare/222927978372067/5504497578676762011/5504497578676762011_signature_31.png</t>
  </si>
  <si>
    <t>KM.9 Paradise Road, Sasa, Davao City</t>
  </si>
  <si>
    <t xml:space="preserve">ASSAY: Xpert MTB/RIF, COUNT: 2
ASSAY: Xpert MTB/RIF Ultra, COUNT: 294
ASSAY: Xpert SARS-CoV-2, COUNT: 1048
</t>
  </si>
  <si>
    <t>Calibrate the Module B1 s/n: 863324
B3: 863784</t>
  </si>
  <si>
    <t>Module B1 s/n: 863324 failed
B3 s/n: 863784 retry and failed</t>
  </si>
  <si>
    <t>Module B1 and B3 under observation</t>
  </si>
  <si>
    <t>https://www.jotform.com/uploads/macarewecare/222927978372067/5504491720651435628/5504491720651435628_signature_28.png</t>
  </si>
  <si>
    <t>Maria Rosario Pino, RMT</t>
  </si>
  <si>
    <t>https://www.jotform.com/uploads/macarewecare/222927978372067/5504491720651435628/5504491720651435628_signature_31.png</t>
  </si>
  <si>
    <t>National children hospital</t>
  </si>
  <si>
    <t>E.rodriguez ave qc</t>
  </si>
  <si>
    <t>https://www.jotform.com/uploads/macarewecare/222927978372067/5504490718677986259/5504490718677986259_signature_28.png</t>
  </si>
  <si>
    <t>https://www.jotform.com/uploads/macarewecare/222927978372067/5504490718677986259/5504490718677986259_signature_31.png</t>
  </si>
  <si>
    <t>https://www.jotform.com/uploads/macarewecare/222927978372067/5504490468676462096/5504490468676462096_signature_28.png</t>
  </si>
  <si>
    <t>https://www.jotform.com/uploads/macarewecare/222927978372067/5504490468676462096/5504490468676462096_signature_31.png</t>
  </si>
  <si>
    <t>hannah.declaro@redcross.org.ph</t>
  </si>
  <si>
    <t>For replacement of bloop pump and transfer pump rubber roller</t>
  </si>
  <si>
    <t>4 new rubber roller</t>
  </si>
  <si>
    <t>https://www.jotform.com/uploads/macarewecare/222927978372067/5504421806815378495/5504421806815378495_signature_28.png</t>
  </si>
  <si>
    <t>hannah de claro</t>
  </si>
  <si>
    <t>https://www.jotform.com/uploads/macarewecare/222927978372067/5504421806815378495/5504421806815378495_signature_31.png</t>
  </si>
  <si>
    <t>https://www.jotform.com/uploads/macarewecare/222927978372067/5504421666814448361/5504421666814448361_signature_28.png</t>
  </si>
  <si>
    <t>https://www.jotform.com/uploads/macarewecare/222927978372067/5504421666814448361/5504421666814448361_signature_31.png</t>
  </si>
  <si>
    <t>Mabalacat Rural Health 1</t>
  </si>
  <si>
    <t xml:space="preserve">ASSAY: Xpert MTB/RIF, COUNT: 375
ASSAY: Xpert MTB/RIF Ultra, COUNT: 905
ASSAY: Xpert HIV-1 Viral Load, COUNT: 21
</t>
  </si>
  <si>
    <t>Due for calibration
Temperature error(2014,4009) modules B1 and B3
HW Failed for Module B2
Error 2008 for module B4</t>
  </si>
  <si>
    <t>Check-up of genexpert machine</t>
  </si>
  <si>
    <t>Preventive maintenance and check-up</t>
  </si>
  <si>
    <t>Unit is not operational modules B1-B4 for reporting</t>
  </si>
  <si>
    <t>https://www.jotform.com/uploads/macarewecare/222927978372067/5504397678223185783/5504397678223185783_signature_28.png</t>
  </si>
  <si>
    <t>https://www.jotform.com/uploads/macarewecare/222927978372067/5504397678223185783/5504397678223185783_signature_31.png</t>
  </si>
  <si>
    <t>Nasipit Rural Health Unit RTDL</t>
  </si>
  <si>
    <t xml:space="preserve">ASSAY: Xpert MTB/RIF, COUNT: 249
ASSAY: Xpert MTB/RIF Ultra, COUNT: 995
</t>
  </si>
  <si>
    <t>https://www.jotform.com/uploads/macarewecare/222927978372067/5504393049708455201/5504393049708455201_signature_28.png</t>
  </si>
  <si>
    <t>https://www.jotform.com/uploads/macarewecare/222927978372067/5504393049708455201/5504393049708455201_signature_31.png</t>
  </si>
  <si>
    <t>Cabanatuan CHO</t>
  </si>
  <si>
    <t xml:space="preserve">ASSAY: Xpert MTB/RIF, COUNT: 1103
ASSAY: Xpert MTB/RIF Ultra, COUNT: 1587
</t>
  </si>
  <si>
    <t>Genexpert IV - 6 colors</t>
  </si>
  <si>
    <t>Performed Maintenance ( Cleaned Icore, Cleaned Cartridge Bay, Cleaned Filters, Cleaned Plunger Rod)
Performed Calibration
Gathered Reports
Performed Functionality Test</t>
  </si>
  <si>
    <t>Xpertcheck Result A1, A2, A3 passed the Xpertcheck</t>
  </si>
  <si>
    <t>https://www.jotform.com/uploads/macarewecare/222927978372067/5504380848795025518/5504380848795025518_signature_28.png</t>
  </si>
  <si>
    <t>https://www.jotform.com/uploads/macarewecare/222927978372067/5504380848795025518/5504380848795025518_signature_31.png</t>
  </si>
  <si>
    <t>maribelcaps@yahoo.com</t>
  </si>
  <si>
    <t xml:space="preserve">ASSAY: Xpert MTB/RIF, COUNT: 127
ASSAY: Xpert MTB/RIF Ultra, COUNT: 116
</t>
  </si>
  <si>
    <t>Module B2 and B3 h/w failed</t>
  </si>
  <si>
    <t>Gx machine has 2 operational modules</t>
  </si>
  <si>
    <t>Module B2 and B4, waiting for module to available</t>
  </si>
  <si>
    <t>https://www.jotform.com/uploads/macarewecare/222927978372067/5504354433402353981/5504354433402353981_signature_28.png</t>
  </si>
  <si>
    <t>Maribel M. Capilitan</t>
  </si>
  <si>
    <t>https://www.jotform.com/uploads/macarewecare/222927978372067/5504354433402353981/5504354433402353981_signature_31.png</t>
  </si>
  <si>
    <t>Victorias City, Negros Occiddental</t>
  </si>
  <si>
    <t xml:space="preserve">ASSAY: Xpert MTB/RIF, COUNT: 644
ASSAY: Xpert MTB/RIF Ultra, COUNT: 848
</t>
  </si>
  <si>
    <t>Defective module 4 sn608861</t>
  </si>
  <si>
    <t>New module 4 replacement sn210041123</t>
  </si>
  <si>
    <t>https://www.jotform.com/uploads/macarewecare/222927978372067/5504324039222412300/5504324039222412300_signature_28.png</t>
  </si>
  <si>
    <t>https://www.jotform.com/uploads/macarewecare/222927978372067/5504324039222412300/5504324039222412300_signature_31.png</t>
  </si>
  <si>
    <t>Dr evangelista street, zamboanga city, zamboanga del sur</t>
  </si>
  <si>
    <t xml:space="preserve">ASSAY: Xpert HPV, COUNT: 304
ASSAY: Xpert MTB/RIF Ultra, COUNT: 4167
</t>
  </si>
  <si>
    <t>Replaced module 663088 with module 634434</t>
  </si>
  <si>
    <t>Module C4, D4, D1 and A4 are hardware fail.</t>
  </si>
  <si>
    <t>https://www.jotform.com/uploads/macarewecare/222927978372067/5504313202865342050/5504313202865342050_signature_28.png</t>
  </si>
  <si>
    <t>https://www.jotform.com/uploads/macarewecare/222927978372067/5504313202865342050/5504313202865342050_signature_31.png</t>
  </si>
  <si>
    <t xml:space="preserve">ASSAY: Xpert MTB/RIF, COUNT: 77
ASSAY: Xpert MTB/RIF Ultra, COUNT: 329
</t>
  </si>
  <si>
    <t>Unit for preventive maintenance.
Unitmfor Xpertcheck.</t>
  </si>
  <si>
    <t>Preventive maintenance amd Xpertcheck.</t>
  </si>
  <si>
    <t>Monarch DR0037973</t>
  </si>
  <si>
    <t>https://www.jotform.com/uploads/macarewecare/222927978372067/5504283053968651240/5504283053968651240_signature_28.png</t>
  </si>
  <si>
    <t>https://www.jotform.com/uploads/macarewecare/222927978372067/5504283053968651240/5504283053968651240_signature_31.png</t>
  </si>
  <si>
    <t>Cadiz City, Negros Occidental</t>
  </si>
  <si>
    <t>Gathering data</t>
  </si>
  <si>
    <t>zhevebacoko@gmail.com</t>
  </si>
  <si>
    <t xml:space="preserve">ASSAY: Xpert MTB/RIF, COUNT: 236
ASSAY: Xpert MTB/RIF Ultra, COUNT: 1059
</t>
  </si>
  <si>
    <t>Defective module 1</t>
  </si>
  <si>
    <t>https://www.jotform.com/uploads/macarewecare/222927978372067/5504270492112012703/5504270492112012703_signature_28.png</t>
  </si>
  <si>
    <t>https://www.jotform.com/uploads/macarewecare/222927978372067/5504270492112012703/5504270492112012703_signature_31.png</t>
  </si>
  <si>
    <t xml:space="preserve">ASSAY: Xpert MTB/RIF, COUNT: 365
ASSAY: Xpert MTB/RIF Ultra, COUNT: 634
</t>
  </si>
  <si>
    <t>Module B3 - for Service Required
Module B4 - for Service Required</t>
  </si>
  <si>
    <t>Perform Genexpert machine Preventive maintenance 
Perform Genexpert machine Calibration/Xpertcheck at module B3 and B4 for troubleshooting</t>
  </si>
  <si>
    <t>https://www.jotform.com/uploads/macarewecare/222927978372067/5504270429411429952/5504270429411429952_signature_28.png</t>
  </si>
  <si>
    <t>Ronora G. Yadao</t>
  </si>
  <si>
    <t>https://www.jotform.com/uploads/macarewecare/222927978372067/5504270429411429952/5504270429411429952_signature_31.png</t>
  </si>
  <si>
    <t>JORDAN, GUIMARAS</t>
  </si>
  <si>
    <t>PHO LABORATORY</t>
  </si>
  <si>
    <t xml:space="preserve">ASSAY: Xpert MTB/RIF, COUNT: 261
ASSAY: Xpert MTB/RIF Ultra, COUNT: 651
</t>
  </si>
  <si>
    <t>-PERFORM MODULE B4 DEF SN: 664558 WITH NEW SN:649852</t>
  </si>
  <si>
    <t>https://www.jotform.com/uploads/macarewecare/222927978372067/5504254849479487813/5504254849479487813_signature_28.png</t>
  </si>
  <si>
    <t>https://www.jotform.com/uploads/macarewecare/222927978372067/5504254849479487813/5504254849479487813_signature_31.png</t>
  </si>
  <si>
    <t>SAN MIGUEL,JORDAN GUIMARAS</t>
  </si>
  <si>
    <t>PREVENTIVE MAINTANCE</t>
  </si>
  <si>
    <t>-COLLECT IQR, SYSTEM LOG, AND ASSAY STAT
-CONNECT NETWORK WITH GX MACHINE SN 807984</t>
  </si>
  <si>
    <t>https://www.jotform.com/uploads/macarewecare/222927978372067/5504254819472636243/5504254819472636243_signature_28.png</t>
  </si>
  <si>
    <t>https://www.jotform.com/uploads/macarewecare/222927978372067/5504254819472636243/5504254819472636243_signature_31.png</t>
  </si>
  <si>
    <t xml:space="preserve">ASSAY: Xpert MTB/RIF, COUNT: 587
ASSAY: Xpert MTB/RIF Ultra, COUNT: 401
</t>
  </si>
  <si>
    <t>Module B3 for expertcheck</t>
  </si>
  <si>
    <t>LOT 05203</t>
  </si>
  <si>
    <t>https://www.jotform.com/uploads/macarewecare/222927978372067/5504214129157289720/5504214129157289720_signature_28.png</t>
  </si>
  <si>
    <t>https://www.jotform.com/uploads/macarewecare/222927978372067/5504214129157289720/5504214129157289720_signature_31.png</t>
  </si>
  <si>
    <t>San Luis RHU</t>
  </si>
  <si>
    <t xml:space="preserve">ASSAY: Xpert MTB/RIF, COUNT: 90
ASSAY: Xpert MTB/RIF Ultra, COUNT: 151
</t>
  </si>
  <si>
    <t>Peformed Maintenance
Gathered Reports
Install HIV - Viral Load
Performed Functionality Test</t>
  </si>
  <si>
    <t>https://www.jotform.com/uploads/macarewecare/222927978372067/5503639253916426373/5503639253916426373_signature_28.png</t>
  </si>
  <si>
    <t>Mohan S.Pangan</t>
  </si>
  <si>
    <t>https://www.jotform.com/uploads/macarewecare/222927978372067/5503639253916426373/5503639253916426373_signature_31.png</t>
  </si>
  <si>
    <t>https://www.jotform.com/uploads/macarewecare/222927978372067/5503639203913443888/5503639203913443888_signature_28.png</t>
  </si>
  <si>
    <t>https://www.jotform.com/uploads/macarewecare/222927978372067/5503639203913443888/5503639203913443888_signature_31.png</t>
  </si>
  <si>
    <t>Hilongos RTDL</t>
  </si>
  <si>
    <t xml:space="preserve">ASSAY: Xpert MTB/RIF, COUNT: 435
ASSAY: Xpert MTB/RIF Ultra, COUNT: 480
</t>
  </si>
  <si>
    <t>Xpert Check Lot 1000378669</t>
  </si>
  <si>
    <t>https://www.jotform.com/uploads/macarewecare/222927978372067/5503578063466070716/5503578063466070716_signature_28.png</t>
  </si>
  <si>
    <t>https://www.jotform.com/uploads/macarewecare/222927978372067/5503578063466070716/5503578063466070716_signature_31.png</t>
  </si>
  <si>
    <t>Mati City Health Office</t>
  </si>
  <si>
    <t>Madang, Poblacion, Mati City</t>
  </si>
  <si>
    <t xml:space="preserve">ASSAY: Xpert MTB/RIF, COUNT: 344
ASSAY: Xpert MTB/RIF Ultra, COUNT: 479
</t>
  </si>
  <si>
    <t>GX-IV - 2D</t>
  </si>
  <si>
    <t>Module B1 (S/N: 787801) subjected for replacement
For Preventive Maintenance</t>
  </si>
  <si>
    <t>Replaced the Defective Module B1 S/N: 787801
Perform Preventive Maintenance</t>
  </si>
  <si>
    <t>Replaced the Defective Module B1 (S/N : 787801) with new Module S/N: 210068172
Clean Surface Area, Cartridge Bay, Plunger Rod, Fan Filters and Icore Lenses
Generate IQR, Assay Stat and System Log
Archived Data test results</t>
  </si>
  <si>
    <t>https://www.jotform.com/uploads/macarewecare/222927978372067/5503563536281070183/5503563536281070183_signature_28.png</t>
  </si>
  <si>
    <t>Jasper Jay Lim</t>
  </si>
  <si>
    <t>https://www.jotform.com/uploads/macarewecare/222927978372067/5503563536281070183/5503563536281070183_signature_31.png</t>
  </si>
  <si>
    <t>DOH Treatment and Rehabilitation Center</t>
  </si>
  <si>
    <t>Camp Bagong Diwa, Lower Bicutan</t>
  </si>
  <si>
    <t xml:space="preserve">ASSAY: Xpert MTB/RIF, COUNT: 503
ASSAY: Xpert MTB/RIF Ultra, COUNT: 1336
</t>
  </si>
  <si>
    <t>Unit is due for troubleshooting</t>
  </si>
  <si>
    <t>Troubleshooting ang diagnosting.</t>
  </si>
  <si>
    <t>Troubleshooting of Module B3/ 801912, UPS and GX power Supply
Performed Voltage Reading at UPS:
While Plugged = 230 volts
While Unplugged/ Backup output voltage = 215 volts
Performed Voltage Reading at GX Main Power Board:
L1 = 23 volts
L2 = 23 volts
Performed Continuity Testing  at Module B3/ 801912 with Reference in B4/ 666170
B3 = infinity reading / open Ciruit (Busted Fuse)
B4 = 0 ohms /short Circuit ( Good Fuse)
Performed swapping of gateway lan of B3 and B4 to ensure same error will provide at other interface.
Result: B3 at B4 hub provides same error 4008</t>
  </si>
  <si>
    <t>https://www.jotform.com/uploads/macarewecare/222927978372067/5503553191025502297/5503553191025502297_signature_28.png</t>
  </si>
  <si>
    <t>https://www.jotform.com/uploads/macarewecare/222927978372067/5503553191025502297/5503553191025502297_signature_31.png</t>
  </si>
  <si>
    <t>UP Manila - National Institutes of Health</t>
  </si>
  <si>
    <t>Pedro Gil St, Manila</t>
  </si>
  <si>
    <t>IPS</t>
  </si>
  <si>
    <t>gtdelatorre@up.edu.ph</t>
  </si>
  <si>
    <t>Axioscope 5</t>
  </si>
  <si>
    <t>None, for installation</t>
  </si>
  <si>
    <t>https://www.jotform.com/uploads/macarewecare/222927978372067/5503531153718734978/5503531153718734978_signature_28.png</t>
  </si>
  <si>
    <t>Gerwin Dela Torre</t>
  </si>
  <si>
    <t>https://www.jotform.com/uploads/macarewecare/222927978372067/5503531153718734978/5503531153718734978_signature_31.png</t>
  </si>
  <si>
    <t xml:space="preserve">ASSAY: Xpert HPV, COUNT: 125
ASSAY: Xpert MTB/RIF, COUNT: 1437
ASSAY: Xpert MTB/RIF Ultra, COUNT: 661
</t>
  </si>
  <si>
    <t>https://www.jotform.com/uploads/macarewecare/222927978372067/5503508515123478517/5503508515123478517_signature_28.png</t>
  </si>
  <si>
    <t>https://www.jotform.com/uploads/macarewecare/222927978372067/5503508515123478517/5503508515123478517_signature_31.png</t>
  </si>
  <si>
    <t xml:space="preserve">ASSAY: Xpert HPV, COUNT: 134
ASSAY: Xpert MTB/RIF, COUNT: 1197
ASSAY: Xpert MTB/RIF Ultra, COUNT: 621
</t>
  </si>
  <si>
    <t>https://www.jotform.com/uploads/macarewecare/222927978372067/5503508515128628897/5503508515128628897_signature_28.png</t>
  </si>
  <si>
    <t>https://www.jotform.com/uploads/macarewecare/222927978372067/5503508515128628897/5503508515128628897_signature_31.png</t>
  </si>
  <si>
    <t>Failed modules</t>
  </si>
  <si>
    <t>Recalibrating of failed modules</t>
  </si>
  <si>
    <t>Calibration of modules B1 and B2</t>
  </si>
  <si>
    <t>https://www.jotform.com/uploads/macarewecare/222927978372067/5503497654327249128/5503497654327249128_signature_28.png</t>
  </si>
  <si>
    <t>https://www.jotform.com/uploads/macarewecare/222927978372067/5503497654327249128/5503497654327249128_signature_31.png</t>
  </si>
  <si>
    <t xml:space="preserve">ASSAY: Xpert MTB/RIF, COUNT: 1
ASSAY: Xpert MTB/RIF Ultra, COUNT: 679
</t>
  </si>
  <si>
    <t>https://www.jotform.com/uploads/macarewecare/222927978372067/5503473702984398751/5503473702984398751_signature_28.png</t>
  </si>
  <si>
    <t>https://www.jotform.com/uploads/macarewecare/222927978372067/5503473702984398751/5503473702984398751_signature_31.png</t>
  </si>
  <si>
    <t>https://www.jotform.com/uploads/macarewecare/222927978372067/5503473682989430947/5503473682989430947_signature_28.png</t>
  </si>
  <si>
    <t>https://www.jotform.com/uploads/macarewecare/222927978372067/5503473682989430947/5503473682989430947_signature_31.png</t>
  </si>
  <si>
    <t>Davao De Oro Provincial Hospital - Montevista</t>
  </si>
  <si>
    <t>Bankeruhan, Montevista Davao De Oro</t>
  </si>
  <si>
    <t xml:space="preserve">ASSAY: Xpert MTB/RIF, COUNT: 365
ASSAY: Xpert MTB/RIF Ultra, COUNT: 747
</t>
  </si>
  <si>
    <t>Modules B1 (S/N: 618211) and B3 (S/N: 603402) for replacement
For Preventive Maintenance</t>
  </si>
  <si>
    <t>Module Replacement and Perform Preventive Maintenance</t>
  </si>
  <si>
    <t>Replace the defective Module B1 (S/N:618211) with new module S/N :210068376 and Defective Module B3 (S/N:618211) with new Module S/N: 210068322
Clean Surface Area, Cartridge Bay, Plunger Rod, Fan Filters and Icore Lenses
Generate IQR, Assay Stat and System Log
Archived Data test results</t>
  </si>
  <si>
    <t>https://www.jotform.com/uploads/macarewecare/222927978372067/5503472692219294889/5503472692219294889_signature_28.png</t>
  </si>
  <si>
    <t>Cecille Jagurilles</t>
  </si>
  <si>
    <t>https://www.jotform.com/uploads/macarewecare/222927978372067/5503472692219294889/5503472692219294889_signature_31.png</t>
  </si>
  <si>
    <t xml:space="preserve">ASSAY: Xpert MTB/RIF, COUNT: 402
ASSAY: Xpert MTB/RIF Ultra, COUNT: 308
</t>
  </si>
  <si>
    <t>Module B4- for Service Required</t>
  </si>
  <si>
    <t>Perform Genexpert machine Calibration/ Xpertcheck at module B4 for troubleshooting</t>
  </si>
  <si>
    <t>https://www.jotform.com/uploads/macarewecare/222927978372067/5503472415424751836/5503472415424751836_signature_28.png</t>
  </si>
  <si>
    <t>Dulce Aurora N. Ariston, RMT</t>
  </si>
  <si>
    <t>https://www.jotform.com/uploads/macarewecare/222927978372067/5503472415424751836/5503472415424751836_signature_31.png</t>
  </si>
  <si>
    <t>Perform preventive maintenance for all modules</t>
  </si>
  <si>
    <t>Jovy D. Noel</t>
  </si>
  <si>
    <t>https://www.jotform.com/uploads/macarewecare/222927978372067/5503412714912609343/5503412714912609343_signature_28.png</t>
  </si>
  <si>
    <t>https://www.jotform.com/uploads/macarewecare/222927978372067/5503412714912609343/5503412714912609343_signature_31.png</t>
  </si>
  <si>
    <t xml:space="preserve">ASSAY: Xpert MTB/RIF, COUNT: 1766
</t>
  </si>
  <si>
    <t>Gx iv</t>
  </si>
  <si>
    <t>Defective module 1 sn601011</t>
  </si>
  <si>
    <t>Replace new module for module 1 sn670417</t>
  </si>
  <si>
    <t>New module 1</t>
  </si>
  <si>
    <t>https://www.jotform.com/uploads/macarewecare/222927978372067/5503392647461510781/5503392647461510781_signature_28.png</t>
  </si>
  <si>
    <t>https://www.jotform.com/uploads/macarewecare/222927978372067/5503392647461510781/5503392647461510781_signature_31.png</t>
  </si>
  <si>
    <t xml:space="preserve">ASSAY: Xpert MTB/RIF, COUNT: 288
ASSAY: Xpert MTB/RIF Ultra, COUNT: 990
ASSAY: Xpert SARS-CoV-2, COUNT: 349
</t>
  </si>
  <si>
    <t>Performed Module Replacement
B4/ 893035 into B4/ 210068082
Performed Preventive Maintenance</t>
  </si>
  <si>
    <t>Genexpert module 6C / sn: 210068082</t>
  </si>
  <si>
    <t>G 5110</t>
  </si>
  <si>
    <t>https://www.jotform.com/uploads/macarewecare/222927978372067/5503375765125920708/5503375765125920708_signature_28.png</t>
  </si>
  <si>
    <t>https://www.jotform.com/uploads/macarewecare/222927978372067/5503375765125920708/5503375765125920708_signature_31.png</t>
  </si>
  <si>
    <t>Salvacion Oppus-Yniguez Memorial Provincial Hospital</t>
  </si>
  <si>
    <t xml:space="preserve">ASSAY: Xpert MTB/RIF, COUNT: 906
ASSAY: Xpert MTB/RIF Ultra, COUNT: 376
</t>
  </si>
  <si>
    <t>B3 for Module replacement</t>
  </si>
  <si>
    <t>-Module replacement B3 (640302 into 688345)
-Performed preventive maintenance
-Generate reports</t>
  </si>
  <si>
    <t>GeneXpert Module 6 Color (SN: 688345)</t>
  </si>
  <si>
    <t>https://www.jotform.com/uploads/macarewecare/222927978372067/5503336330866050155/5503336330866050155_signature_28.png</t>
  </si>
  <si>
    <t>Loreen S. Agapay</t>
  </si>
  <si>
    <t>https://www.jotform.com/uploads/macarewecare/222927978372067/5503336330866050155/5503336330866050155_signature_31.png</t>
  </si>
  <si>
    <t xml:space="preserve">ASSAY: Xpert HPV, COUNT: 154
ASSAY: Xpert MTB/RIF, COUNT: 1268
ASSAY: Xpert MTB/RIF Ultra, COUNT: 2723
</t>
  </si>
  <si>
    <t>Pms,Xpertcheck</t>
  </si>
  <si>
    <t>C4  661735 and C1 611387 failed xpertcheck,C2,C3 unable to retry lack of xpertcheck kits,C1</t>
  </si>
  <si>
    <t>C2 and c3 for retry xpertcheck lack of kits</t>
  </si>
  <si>
    <t>https://www.jotform.com/uploads/macarewecare/222927978372067/5502823108678614596/5502823108678614596_signature_28.png</t>
  </si>
  <si>
    <t>https://www.jotform.com/uploads/macarewecare/222927978372067/5502823108678614596/5502823108678614596_signature_31.png</t>
  </si>
  <si>
    <t>https://www.jotform.com/uploads/macarewecare/222927978372067/5502823048676000264/5502823048676000264_signature_28.png</t>
  </si>
  <si>
    <t>https://www.jotform.com/uploads/macarewecare/222927978372067/5502823048676000264/5502823048676000264_signature_31.png</t>
  </si>
  <si>
    <t>Performed Maintenance
Performed Xpertcheck
Generate Reports</t>
  </si>
  <si>
    <t>1Failed: B4/619472</t>
  </si>
  <si>
    <t>Brenguiler I. Bagbaguen</t>
  </si>
  <si>
    <t>https://www.jotform.com/uploads/macarewecare/222927978372067/5502722274119491418/5502722274119491418_signature_28.png</t>
  </si>
  <si>
    <t>Maria Guileane S. Pogosa</t>
  </si>
  <si>
    <t>https://www.jotform.com/uploads/macarewecare/222927978372067/5502722274119491418/5502722274119491418_signature_31.png</t>
  </si>
  <si>
    <t>Line sensor output value is low, 2pcs rollers for white is for replacement</t>
  </si>
  <si>
    <t>Candaba RHU</t>
  </si>
  <si>
    <t>Candaba, Pampangq</t>
  </si>
  <si>
    <t xml:space="preserve">ASSAY: Xpert MTB/RIF, COUNT: 139
</t>
  </si>
  <si>
    <t>Module A1 errors</t>
  </si>
  <si>
    <t>Performed Xpertcheck on A1 module - service required</t>
  </si>
  <si>
    <t>Xpertcheck A1 - Service Required</t>
  </si>
  <si>
    <t>https://www.jotform.com/uploads/macarewecare/222927978372067/5502638182267629027/5502638182267629027_signature_28.png</t>
  </si>
  <si>
    <t>https://www.jotform.com/uploads/macarewecare/222927978372067/5502638182267629027/5502638182267629027_signature_31.png</t>
  </si>
  <si>
    <t xml:space="preserve">ASSAY: Xpert MTB/RIF, COUNT: 167
ASSAY: Xpert MTB/RIF Ultra, COUNT: 84
</t>
  </si>
  <si>
    <t>https://www.jotform.com/uploads/macarewecare/222927978372067/5502633182268696355/5502633182268696355_signature_28.png</t>
  </si>
  <si>
    <t>Ana Caballong</t>
  </si>
  <si>
    <t>https://www.jotform.com/uploads/macarewecare/222927978372067/5502633182268696355/5502633182268696355_signature_31.png</t>
  </si>
  <si>
    <t>Sto. Domingo, Nueva Ecija</t>
  </si>
  <si>
    <t>samatracyndrell@gmail.com</t>
  </si>
  <si>
    <t xml:space="preserve">ASSAY: Xpert MTB/RIF, COUNT: 277
ASSAY: Xpert MTB/RIF Ultra, COUNT: 598
</t>
  </si>
  <si>
    <t>https://www.jotform.com/uploads/macarewecare/222927978372067/5502633182269434967/5502633182269434967_signature_28.png</t>
  </si>
  <si>
    <t>https://www.jotform.com/uploads/macarewecare/222927978372067/5502633182269434967/5502633182269434967_signature_31.png</t>
  </si>
  <si>
    <t>Macalelon</t>
  </si>
  <si>
    <t>Creating Test Problem
Barcode Scanner Problem</t>
  </si>
  <si>
    <t>Troubleshoot
Backup barcode scanner</t>
  </si>
  <si>
    <t>Performed Maintenance
Checked Functionality of Barcode Scanner
Generate Reports</t>
  </si>
  <si>
    <t>Barcode Scanner is defective. Modules are operational</t>
  </si>
  <si>
    <t>Def: 18303010506478/ backup: 1514000502883</t>
  </si>
  <si>
    <t>https://www.jotform.com/uploads/macarewecare/222927978372067/5502601991212720643/5502601991212720643_signature_28.png</t>
  </si>
  <si>
    <t>https://www.jotform.com/uploads/macarewecare/222927978372067/5502601991212720643/5502601991212720643_signature_31.png</t>
  </si>
  <si>
    <t>malc_rmt_09@yahoo.com</t>
  </si>
  <si>
    <t>GXIV-D - 2</t>
  </si>
  <si>
    <t>Barcode Scanner Problem</t>
  </si>
  <si>
    <t>Replaced Barcode Scanner
Performed functionality test
Performed Maintenance
Generate Reports</t>
  </si>
  <si>
    <t>19075010504478 --&gt; 21277010555478</t>
  </si>
  <si>
    <t>GX barcode scanner with stand</t>
  </si>
  <si>
    <t>G 5047</t>
  </si>
  <si>
    <t>https://www.jotform.com/uploads/macarewecare/222927978372067/5502601991215827106/5502601991215827106_signature_28.png</t>
  </si>
  <si>
    <t>https://www.jotform.com/uploads/macarewecare/222927978372067/5502601991215827106/5502601991215827106_signature_31.png</t>
  </si>
  <si>
    <t>Damariñas City Health Office I</t>
  </si>
  <si>
    <t xml:space="preserve">ASSAY: Xpert MTB/RIF Ultra, COUNT: 1633
ASSAY: Xpert HIV-1 Viral Load, COUNT: 43
</t>
  </si>
  <si>
    <t>Module 4 newly replaced</t>
  </si>
  <si>
    <t>https://www.jotform.com/uploads/macarewecare/222927978372067/5502601991216868092/5502601991216868092_signature_28.png</t>
  </si>
  <si>
    <t>https://www.jotform.com/uploads/macarewecare/222927978372067/5502601991216868092/5502601991216868092_signature_31.png</t>
  </si>
  <si>
    <t xml:space="preserve">ASSAY: Xpert MTB/RIF, COUNT: 1076
ASSAY: Xpert MTB/RIF Ultra, COUNT: 1360
</t>
  </si>
  <si>
    <t>Temperature error (1002) on modules B2 and B3</t>
  </si>
  <si>
    <t>Unit is operational except modulea B2 and B3</t>
  </si>
  <si>
    <t>2 modules passed calibration, modules B2 and B3 for reporting</t>
  </si>
  <si>
    <t>2 Xpertcheck kits used</t>
  </si>
  <si>
    <t>https://www.jotform.com/uploads/macarewecare/222927978372067/5502566182315981742/5502566182315981742_signature_28.png</t>
  </si>
  <si>
    <t>https://www.jotform.com/uploads/macarewecare/222927978372067/5502566182315981742/5502566182315981742_signature_31.png</t>
  </si>
  <si>
    <t>Lambayong, Sultan kudarat</t>
  </si>
  <si>
    <t>jeanalonzo1973@yahoo.com</t>
  </si>
  <si>
    <t xml:space="preserve">ASSAY: Xpert MTB/RIF, COUNT: 115
ASSAY: Xpert MTB/RIF Ultra, COUNT: 314
</t>
  </si>
  <si>
    <t>Genexpert machine Preventive maintenance 
Data collection for Calibration/Xpertcheck</t>
  </si>
  <si>
    <t>Gx machine has 4 operational modules</t>
  </si>
  <si>
    <t>https://www.jotform.com/uploads/macarewecare/222927978372067/5502564054336582244/5502564054336582244_signature_28.png</t>
  </si>
  <si>
    <t>https://www.jotform.com/uploads/macarewecare/222927978372067/5502564054336582244/5502564054336582244_signature_31.png</t>
  </si>
  <si>
    <t>atumbaga.1079@gmail.com</t>
  </si>
  <si>
    <t xml:space="preserve">ASSAY: Xpert MTB/RIF, COUNT: 1105
ASSAY: Xpert MTB/RIF Ultra, COUNT: 992
ASSAY: Xpert SARS-CoV-2, COUNT: 5760
ASSAY: Xpert HIV-1 Viral Load, COUNT: 22
</t>
  </si>
  <si>
    <t>Unit is operational. All modules except B4 failed calibration due to calibration overdue / insufficient xpertcheck kit. For reporting.</t>
  </si>
  <si>
    <t>https://www.jotform.com/uploads/macarewecare/222927978372067/5502552071217948739/5502552071217948739_signature_28.png</t>
  </si>
  <si>
    <t>https://www.jotform.com/uploads/macarewecare/222927978372067/5502552071217948739/5502552071217948739_signature_31.png</t>
  </si>
  <si>
    <t>https://www.jotform.com/uploads/macarewecare/222927978372067/5502551481211275948/5502551481211275948_signature_28.png</t>
  </si>
  <si>
    <t>https://www.jotform.com/uploads/macarewecare/222927978372067/5502551481211275948/5502551481211275948_signature_31.png</t>
  </si>
  <si>
    <t>Mabini Batangas</t>
  </si>
  <si>
    <t xml:space="preserve">ASSAY: Xpert MTB/RIF, COUNT: 54
ASSAY: Xpert MTB/RIF Ultra, COUNT: 894
</t>
  </si>
  <si>
    <t>Unit for preventive maintenance.
Unit for Xpertcheck.
For installation of new workstation.</t>
  </si>
  <si>
    <t>Performed installation of workstation.
Performed preventive maintenance.
Performed Xpertcheck.
Generated reports.</t>
  </si>
  <si>
    <t>Unit is operational. Module B1(863439) and B2(863440) service required.</t>
  </si>
  <si>
    <t>Lenovo CPU (CPH1121F28404) in replacement to defective Lenovo CPU (CPH0420F08168).</t>
  </si>
  <si>
    <t>G 5046</t>
  </si>
  <si>
    <t>https://www.jotform.com/uploads/macarewecare/222927978372067/5502551221214792901/5502551221214792901_signature_28.png</t>
  </si>
  <si>
    <t>https://www.jotform.com/uploads/macarewecare/222927978372067/5502551221214792901/5502551221214792901_signature_31.png</t>
  </si>
  <si>
    <t xml:space="preserve">ASSAY: Xpert HPV, COUNT: 54
ASSAY: Xpert MTB/RIF, COUNT: 497
ASSAY: Xpert MTB/RIF Ultra, COUNT: 1487
ASSAY: Xpert SARS-CoV-2, COUNT: 2379
ASSAY: Xpert HIV-1 Viral Load, COUNT: 554
</t>
  </si>
  <si>
    <t>Unit for preventive maintenance.
For module replacement of A1 and A4.</t>
  </si>
  <si>
    <t>Performed preventive maintenance.
Performed module replacement on A1 and A4.</t>
  </si>
  <si>
    <t>Unit is operational. For reporting of module D4, H/W Failure. 15 working modules.</t>
  </si>
  <si>
    <t>GX Module A1(644387) and A4(647244) in replacement for defective A1(892205) and A4(892244)</t>
  </si>
  <si>
    <t>G5028</t>
  </si>
  <si>
    <t>https://www.jotform.com/uploads/macarewecare/222927978372067/5502551221215195372/5502551221215195372_signature_28.png</t>
  </si>
  <si>
    <t>https://www.jotform.com/uploads/macarewecare/222927978372067/5502551221215195372/5502551221215195372_signature_31.png</t>
  </si>
  <si>
    <t xml:space="preserve">ASSAY: Xpert CT/NG, COUNT: 4
ASSAY: Xpert HPV, COUNT: 7
ASSAY: Xpert MTB/RIF, COUNT: 89
ASSAY: Xpert MTB/RIF Ultra, COUNT: 383
</t>
  </si>
  <si>
    <t>Unit is operational. Module B2 (686424) service required).</t>
  </si>
  <si>
    <t>Xpertcheck c/o facility.</t>
  </si>
  <si>
    <t>Shiedrick Daroy</t>
  </si>
  <si>
    <t>https://www.jotform.com/uploads/macarewecare/222927978372067/5502551221218123447/5502551221218123447_signature_28.png</t>
  </si>
  <si>
    <t>Wilbert Siat</t>
  </si>
  <si>
    <t>https://www.jotform.com/uploads/macarewecare/222927978372067/5502551221218123447/5502551221218123447_signature_31.png</t>
  </si>
  <si>
    <t xml:space="preserve">ASSAY: Xpert MTB/RIF, COUNT: 154
ASSAY: Xpert MTB/RIF Ultra, COUNT: 1160
</t>
  </si>
  <si>
    <t>Unit for preventive maintenance.
Unit for Xpertcheck.
For checking of Barcode Scanner.</t>
  </si>
  <si>
    <t>Performed preventive maintenance.
Performed Xpertcheck.
Performed troubleshooting of barcode scanner.
Generated reports.</t>
  </si>
  <si>
    <t>Preventive maintenance, troubleshooting and Xpertcheck.</t>
  </si>
  <si>
    <t>Unit is operational. Barcode scanner is malfunctioning and recommended for replacement. Modules B1, B3 and B4 H/W, unable to calibrate. Module B2 passed Xpertcheck. 1 module operational.</t>
  </si>
  <si>
    <t>https://www.jotform.com/uploads/macarewecare/222927978372067/5502551221212580126/5502551221212580126_signature_28.png</t>
  </si>
  <si>
    <t>https://www.jotform.com/uploads/macarewecare/222927978372067/5502551221212580126/5502551221212580126_signature_31.png</t>
  </si>
  <si>
    <t>carmelaguanzon@yahoo.com</t>
  </si>
  <si>
    <t>DR 9469</t>
  </si>
  <si>
    <t>Sheidrick</t>
  </si>
  <si>
    <t>https://www.jotform.com/uploads/macarewecare/222927978372067/5502551171211114681/5502551171211114681_signature_28.png</t>
  </si>
  <si>
    <t>Carmela G. Cantillon</t>
  </si>
  <si>
    <t>https://www.jotform.com/uploads/macarewecare/222927978372067/5502551171211114681/5502551171211114681_signature_31.png</t>
  </si>
  <si>
    <t xml:space="preserve">ASSAY: Xpert MTB/RIF Ultra, COUNT: 517
</t>
  </si>
  <si>
    <t>Performed preventive maintenance.
Performed Xpertcheck.
Generated report.</t>
  </si>
  <si>
    <t>Unit is operational. Module B3 (665858), service required).</t>
  </si>
  <si>
    <t>https://www.jotform.com/uploads/macarewecare/222927978372067/5502551171215647627/5502551171215647627_signature_28.png</t>
  </si>
  <si>
    <t>Ma. Arlene Teodoro</t>
  </si>
  <si>
    <t>https://www.jotform.com/uploads/macarewecare/222927978372067/5502551171215647627/5502551171215647627_signature_31.png</t>
  </si>
  <si>
    <t>Unit is operational. Module A3 (693447), service required.</t>
  </si>
  <si>
    <t>DR 9472</t>
  </si>
  <si>
    <t>https://www.jotform.com/uploads/macarewecare/222927978372067/5502551171215966871/5502551171215966871_signature_28.png</t>
  </si>
  <si>
    <t>https://www.jotform.com/uploads/macarewecare/222927978372067/5502551171215966871/5502551171215966871_signature_31.png</t>
  </si>
  <si>
    <t>Calaanan Caloocan City</t>
  </si>
  <si>
    <t xml:space="preserve">ASSAY: Xpert MTB/RIF, COUNT: 161
ASSAY: Xpert MTB/RIF Ultra, COUNT: 623
</t>
  </si>
  <si>
    <t>Performed PM of GeneXpert.
Performed Xpertcheck.
Generated reports.</t>
  </si>
  <si>
    <t>Umit is operational. All modules passed Xpertcheck.</t>
  </si>
  <si>
    <t>DR 9471</t>
  </si>
  <si>
    <t>https://www.jotform.com/uploads/macarewecare/222927978372067/5502551171216250240/5502551171216250240_signature_28.png</t>
  </si>
  <si>
    <t>https://www.jotform.com/uploads/macarewecare/222927978372067/5502551171216250240/5502551171216250240_signature_31.png</t>
  </si>
  <si>
    <t xml:space="preserve">ASSAY: Xpert MTB/RIF, COUNT: 511
ASSAY: Xpert MTB/RIF Ultra, COUNT: 769
</t>
  </si>
  <si>
    <t>Unit is operational. Modules B3 (654188) and B4 (619323), service required.</t>
  </si>
  <si>
    <t>https://www.jotform.com/uploads/macarewecare/222927978372067/5502551171217322944/5502551171217322944_signature_28.png</t>
  </si>
  <si>
    <t>Eliza junio</t>
  </si>
  <si>
    <t>https://www.jotform.com/uploads/macarewecare/222927978372067/5502551171217322944/5502551171217322944_signature_31.png</t>
  </si>
  <si>
    <t xml:space="preserve">ASSAY: Xpert MTB/RIF, COUNT: 239
ASSAY: Xpert MTB/RIF Ultra, COUNT: 800
</t>
  </si>
  <si>
    <t>All four modules are working.</t>
  </si>
  <si>
    <t>https://www.jotform.com/uploads/macarewecare/222927978372067/5502550901213329111/5502550901213329111_signature_28.png</t>
  </si>
  <si>
    <t>Jasper Joyce P. Soriano</t>
  </si>
  <si>
    <t>https://www.jotform.com/uploads/macarewecare/222927978372067/5502550901213329111/5502550901213329111_signature_31.png</t>
  </si>
  <si>
    <t>Kamuning, Q.C.</t>
  </si>
  <si>
    <t xml:space="preserve">ASSAY: Others, COUNT: 40)
ASSAY: Xpert MTB/RIF, COUNT: 108
ASSAY: Xpert MTB/RIF Ultra, COUNT: 372
</t>
  </si>
  <si>
    <t>A1 consecutive errors. A2, A3 temperature errors</t>
  </si>
  <si>
    <t>Unit is operational. Module A1, A3 for reporting</t>
  </si>
  <si>
    <t>Advised end-user to cover up windows to avoid GX sunlight exposure</t>
  </si>
  <si>
    <t>https://www.jotform.com/uploads/macarewecare/222927978372067/5502550901214860972/5502550901214860972_signature_28.png</t>
  </si>
  <si>
    <t>https://www.jotform.com/uploads/macarewecare/222927978372067/5502550901214860972/5502550901214860972_signature_31.png</t>
  </si>
  <si>
    <t>Manila Central University - Hospital</t>
  </si>
  <si>
    <t>- uninstalled temporary UPS
- installed new UPS ( Brand: Eaton Model: NV 2000H SN: 83E500080)
- performed back up mode test (Good)
- Generated reports</t>
  </si>
  <si>
    <t>https://www.jotform.com/uploads/macarewecare/222927978372067/5502550901215465278/5502550901215465278_signature_28.png</t>
  </si>
  <si>
    <t>Gloria Caling</t>
  </si>
  <si>
    <t>https://www.jotform.com/uploads/macarewecare/222927978372067/5502550901215465278/5502550901215465278_signature_31.png</t>
  </si>
  <si>
    <t>Potrero Health center</t>
  </si>
  <si>
    <t>Malabon, Manila</t>
  </si>
  <si>
    <t xml:space="preserve">ASSAY: Xpert MTB/RIF, COUNT: 289 
ASSAY: Xpert MTB/RIF Ultra, COUNT: 1357
ASSAY: Xpert HIV-1 Viral Load, COUNT: 18
</t>
  </si>
  <si>
    <t>https://www.jotform.com/uploads/macarewecare/222927978372067/5502550901217153170/5502550901217153170_signature_28.png</t>
  </si>
  <si>
    <t>https://www.jotform.com/uploads/macarewecare/222927978372067/5502550901217153170/5502550901217153170_signature_31.png</t>
  </si>
  <si>
    <t>Victor R. Potentiano Medical Center</t>
  </si>
  <si>
    <t xml:space="preserve">ASSAY: Xpert MTB/RIF, COUNT: 178
ASSAY: Xpert MTB/RIF Ultra, COUNT: 177
</t>
  </si>
  <si>
    <t>Unit is operational. No hardware problems found. Unit is due for annual calibration (last date of calibration 5-7-21).</t>
  </si>
  <si>
    <t>Errors 5007 found on B3 will be forwarded to PAS</t>
  </si>
  <si>
    <t>https://www.jotform.com/uploads/macarewecare/222927978372067/5502550901218570394/5502550901218570394_signature_28.png</t>
  </si>
  <si>
    <t>https://www.jotform.com/uploads/macarewecare/222927978372067/5502550901218570394/5502550901218570394_signature_31.png</t>
  </si>
  <si>
    <t>Cebu City Health office</t>
  </si>
  <si>
    <t xml:space="preserve">ASSAY: Xpert MTB/RIF, COUNT: 1700
</t>
  </si>
  <si>
    <t>stucked up carthridge in module 1</t>
  </si>
  <si>
    <t>Removing stucked up carthridge in module 1</t>
  </si>
  <si>
    <t>https://www.jotform.com/uploads/macarewecare/222927978372067/5502487410113227192/5502487410113227192_signature_28.png</t>
  </si>
  <si>
    <t>https://www.jotform.com/uploads/macarewecare/222927978372067/5502487410113227192/5502487410113227192_signature_31.png</t>
  </si>
  <si>
    <t>M. Eusebio St.</t>
  </si>
  <si>
    <t xml:space="preserve">ASSAY: Xpert MTB/RIF, COUNT: 812
ASSAY: Xpert MTB/RIF Ultra, COUNT: 1911
</t>
  </si>
  <si>
    <t>Old B2/694296
New B2/637510</t>
  </si>
  <si>
    <t>G 5027</t>
  </si>
  <si>
    <t>https://www.jotform.com/uploads/macarewecare/222927978372067/5502406521212290640/5502406521212290640_signature_28.png</t>
  </si>
  <si>
    <t>Ederlina M. Sagales</t>
  </si>
  <si>
    <t>https://www.jotform.com/uploads/macarewecare/222927978372067/5502406521212290640/5502406521212290640_signature_31.png</t>
  </si>
  <si>
    <t>Pangil Laguna</t>
  </si>
  <si>
    <t xml:space="preserve">ASSAY: Xpert MTB/RIF, COUNT: 85
ASSAY: Xpert MTB/RIF Ultra, COUNT: 209
</t>
  </si>
  <si>
    <t>Performed maintenance 
Cleaned cartridge bay,  Cleaned plunger,  cleaned icore and filter
Generated reports</t>
  </si>
  <si>
    <t>https://www.jotform.com/uploads/macarewecare/222927978372067/5502406521213698288/5502406521213698288_signature_28.png</t>
  </si>
  <si>
    <t>Cecile R. Ssgritalo</t>
  </si>
  <si>
    <t>https://www.jotform.com/uploads/macarewecare/222927978372067/5502406521213698288/5502406521213698288_signature_31.png</t>
  </si>
  <si>
    <t xml:space="preserve">ASSAY: Xpert MTB/RIF, COUNT: 1344
ASSAY: Xpert MTB/RIF Ultra, COUNT: 7442
ASSAY: Xpert HIV-1 Viral Load, COUNT: 445
</t>
  </si>
  <si>
    <t>Performed maintenance 
Cleaned cartridge bay,  icore and plunger rod. 
Generated reports</t>
  </si>
  <si>
    <t>Module B4/886430 under observation. With error 4012.</t>
  </si>
  <si>
    <t>https://www.jotform.com/uploads/macarewecare/222927978372067/5502406521214379322/5502406521214379322_signature_28.png</t>
  </si>
  <si>
    <t>https://www.jotform.com/uploads/macarewecare/222927978372067/5502406521214379322/5502406521214379322_signature_31.png</t>
  </si>
  <si>
    <t xml:space="preserve">ASSAY: Xpert MTB/RIF, COUNT: 155
ASSAY: Xpert MTB/RIF Ultra, COUNT: 495
</t>
  </si>
  <si>
    <t>For XpertCheck. Barcode scanner not working.</t>
  </si>
  <si>
    <t>Run XpertCheck 
Checked barcose scanner</t>
  </si>
  <si>
    <t>Performed maintenance 
Run XpertCheck 
Run reliability test
Checked barcode scanner
Generated reports</t>
  </si>
  <si>
    <t>Modules A3 and 4 passed the XpertCheck and operational. Module A2 passed the XpertCheck but under observation. Module A1 not operational. Barcode scanner not operational.</t>
  </si>
  <si>
    <t>Module A1/792273 already reported.</t>
  </si>
  <si>
    <t>DR#9215</t>
  </si>
  <si>
    <t>https://www.jotform.com/uploads/macarewecare/222927978372067/5502406521218486264/5502406521218486264_signature_28.png</t>
  </si>
  <si>
    <t>Gemma M.Ponce</t>
  </si>
  <si>
    <t>https://www.jotform.com/uploads/macarewecare/222927978372067/5502406521218486264/5502406521218486264_signature_31.png</t>
  </si>
  <si>
    <t>M. Santos  St.</t>
  </si>
  <si>
    <t>Module 2 and 3 for replacement</t>
  </si>
  <si>
    <t>Performed maintenance 
Replaced defective module. 
Generated reports</t>
  </si>
  <si>
    <t>Modules 1, 2, and 3 operational.  Module 4 not operational.</t>
  </si>
  <si>
    <t>Module 4 confirmed for replacement.</t>
  </si>
  <si>
    <t>Old D2/668003, D3/668005
New D2/667219, D3/686854</t>
  </si>
  <si>
    <t>G 5033</t>
  </si>
  <si>
    <t>https://www.jotform.com/uploads/macarewecare/222927978372067/5502406521218888862/5502406521218888862_signature_28.png</t>
  </si>
  <si>
    <t>https://www.jotform.com/uploads/macarewecare/222927978372067/5502406521218888862/5502406521218888862_signature_31.png</t>
  </si>
  <si>
    <t>Fuente Osmena, Cebu</t>
  </si>
  <si>
    <t>Disposable ID Reader not Detected</t>
  </si>
  <si>
    <t>Replaced Disposable ID with Cable</t>
  </si>
  <si>
    <t>Replaced Disposable ID with cable</t>
  </si>
  <si>
    <t>Stock from Backup MCS+</t>
  </si>
  <si>
    <t>https://www.jotform.com/uploads/macarewecare/222927978372067/5502058492023959818/5502058492023959818_signature_28.png</t>
  </si>
  <si>
    <t>Alyanna casinto</t>
  </si>
  <si>
    <t>https://www.jotform.com/uploads/macarewecare/222927978372067/5502058492023959818/5502058492023959818_signature_31.png</t>
  </si>
  <si>
    <t>Gamu RHU</t>
  </si>
  <si>
    <t>gamugeneralclinicallaboratory@gmail.com</t>
  </si>
  <si>
    <t xml:space="preserve">ASSAY: Xpert MTB/RIF, COUNT: 761
ASSAY: Xpert MTB/RIF Ultra, COUNT: 547
</t>
  </si>
  <si>
    <t>UPS not Functioning</t>
  </si>
  <si>
    <t>Troubleshoot the UPS</t>
  </si>
  <si>
    <t>Performed Maintenance
Performed Module Replacement
Gathered Reports
Performed Functionality Test</t>
  </si>
  <si>
    <t>Genexpert Module - 210068171</t>
  </si>
  <si>
    <t>https://www.jotform.com/uploads/macarewecare/222927978372067/5500095186012257618/5500095186012257618_signature_28.png</t>
  </si>
  <si>
    <t>Ederlyn S. Paracale</t>
  </si>
  <si>
    <t>https://www.jotform.com/uploads/macarewecare/222927978372067/5500095186012257618/5500095186012257618_signature_31.png</t>
  </si>
  <si>
    <t xml:space="preserve">ASSAY: Xpert SARS-CoV-2, COUNT: 445
</t>
  </si>
  <si>
    <t>https://www.jotform.com/uploads/macarewecare/222927978372067/5500090594526113703/5500090594526113703_signature_28.png</t>
  </si>
  <si>
    <t>https://www.jotform.com/uploads/macarewecare/222927978372067/5500090594526113703/5500090594526113703_signature_31.png</t>
  </si>
  <si>
    <t xml:space="preserve">ASSAY: Xpert HPV, COUNT: 680
ASSAY: Xpert MTB/RIF, COUNT: 1159
ASSAY: Xpert MTB/RIF Ultra, COUNT: 2339
ASSAY: Xpert HIV-1 Viral Load, COUNT: 223
</t>
  </si>
  <si>
    <t>https://www.jotform.com/uploads/macarewecare/222927978372067/5500090594529841652/5500090594529841652_signature_28.png</t>
  </si>
  <si>
    <t>https://www.jotform.com/uploads/macarewecare/222927978372067/5500090594529841652/5500090594529841652_signature_31.png</t>
  </si>
  <si>
    <t xml:space="preserve">ASSAY: Xpert MTB/RIF, COUNT: 401
ASSAY: Xpert MTB/RIF Ultra, COUNT: 240
</t>
  </si>
  <si>
    <t>-Preventive Maintenance
-Transfer GeneXpert to a well ventilated area (33C to 27C temp log)</t>
  </si>
  <si>
    <t>-Previous GeneXpert area has a module temp ranging 32-34C</t>
  </si>
  <si>
    <t>https://www.jotform.com/uploads/macarewecare/222927978372067/5500090117194462181/5500090117194462181_signature_28.png</t>
  </si>
  <si>
    <t>https://www.jotform.com/uploads/macarewecare/222927978372067/5500090117194462181/5500090117194462181_signature_31.png</t>
  </si>
  <si>
    <t>22nd Street, East Rembo</t>
  </si>
  <si>
    <t xml:space="preserve">ASSAY: Xpert MTB/RIF, COUNT: 1132
ASSAY: Xpert MTB/RIF Ultra, COUNT: 372
ASSAY: Xpert HIV-1 Viral Load, COUNT: 53
</t>
  </si>
  <si>
    <t>Performed Surface
Performed Plunger Rod Cleaning
Performed Filter Cleaning</t>
  </si>
  <si>
    <t>https://www.jotform.com/uploads/macarewecare/222927978372067/5500046834385830761/5500046834385830761_signature_28.png</t>
  </si>
  <si>
    <t>Blessed Joy M. Serrano</t>
  </si>
  <si>
    <t>https://www.jotform.com/uploads/macarewecare/222927978372067/5500046834385830761/5500046834385830761_signature_31.png</t>
  </si>
  <si>
    <t>San Jose, San simon Pampanga</t>
  </si>
  <si>
    <t xml:space="preserve">ASSAY: Xpert MTB/RIF, COUNT: 92
ASSAY: Xpert MTB/RIF Ultra, COUNT: 156
</t>
  </si>
  <si>
    <t>Performed preventive maintenance
Archived test results
Install Xpertcheck application
Performed calibration
Gathered reports
Performed functionality test</t>
  </si>
  <si>
    <t>All modules passee calibration</t>
  </si>
  <si>
    <t>Calibration Kit 1 box</t>
  </si>
  <si>
    <t>https://www.jotform.com/uploads/macarewecare/222927978372067/5500046562315306859/5500046562315306859_signature_28.png</t>
  </si>
  <si>
    <t>Virmar F. Pingol</t>
  </si>
  <si>
    <t>https://www.jotform.com/uploads/macarewecare/222927978372067/5500046562315306859/5500046562315306859_signature_31.png</t>
  </si>
  <si>
    <t xml:space="preserve">ASSAY: Xpert BCR-ABL Ultra, COUNT: 754
ASSAY: Xpert CT/NG, COUNT: 1
ASSAY: Others, COUNT: 50
ASSAY: Xpert HBV VL, COUNT: 319
ASSAY: Xpert HPV, COUNT: 6
ASSAY: Xpert MTB/RIF, COUNT: 564
ASSAY: Xpert SARS-CoV-2, COUNT: 670
ASSAY: Xpert HCV VL, COUNT: 67
</t>
  </si>
  <si>
    <t>B3 module 862548 emcounter continous 1002 and 4009 temp error</t>
  </si>
  <si>
    <t>Performed re xpertcheck,Cleaned unit,filter,cartridge bay,icore,plunger rod,gathered reports,test run unit</t>
  </si>
  <si>
    <t>B1,B2,B4 operational B3 failed rexpertcheck</t>
  </si>
  <si>
    <t>https://www.jotform.com/uploads/macarewecare/222927978372067/5500005283011300815/5500005283011300815_signature_28.png</t>
  </si>
  <si>
    <t>Roina Estandarte</t>
  </si>
  <si>
    <t>https://www.jotform.com/uploads/macarewecare/222927978372067/5500005283011300815/5500005283011300815_signature_31.png</t>
  </si>
  <si>
    <t>BLOODBANK</t>
  </si>
  <si>
    <t>Disposable ID cannot be detected UPP 996E kit</t>
  </si>
  <si>
    <t>Replaced Disposable ID reader</t>
  </si>
  <si>
    <t>Install the Disposable ID bar code reader from the standby Machine</t>
  </si>
  <si>
    <t>MCS+ can detect the Disposable ID</t>
  </si>
  <si>
    <t>Disposable bar Code reader</t>
  </si>
  <si>
    <t>Spare parts from the standby Mcs+</t>
  </si>
  <si>
    <t>https://www.jotform.com/uploads/macarewecare/222927978372067/5500004734321104849/5500004734321104849_signature_28.png</t>
  </si>
  <si>
    <t>https://www.jotform.com/uploads/macarewecare/222927978372067/5500004734321104849/5500004734321104849_signature_31.png</t>
  </si>
  <si>
    <t>https://www.jotform.com/uploads/macarewecare/222927978372067/5499911884717705038/5499911884717705038_signature_28.png</t>
  </si>
  <si>
    <t>https://www.jotform.com/uploads/macarewecare/222927978372067/5499911884717705038/5499911884717705038_signature_31.png</t>
  </si>
  <si>
    <t>DOH R02 Regional Blood Center - Cagayan Valley</t>
  </si>
  <si>
    <t>Tuguegarao City</t>
  </si>
  <si>
    <t>acostaadelle@gmail.com</t>
  </si>
  <si>
    <t>19G146SP6</t>
  </si>
  <si>
    <t>Assembled the stand
Installed the MCS+
Run diagnostic
Performed Maintenance</t>
  </si>
  <si>
    <t>https://www.jotform.com/uploads/macarewecare/222927978372067/5499911084713624817/5499911084713624817_signature_28.png</t>
  </si>
  <si>
    <t>Adelina C. Acosta</t>
  </si>
  <si>
    <t>https://www.jotform.com/uploads/macarewecare/222927978372067/5499911084713624817/5499911084713624817_signature_31.png</t>
  </si>
  <si>
    <t>Don Carlos</t>
  </si>
  <si>
    <t>H/W Fail on module C4/734479</t>
  </si>
  <si>
    <t>Replaced module
New Module S/N: C4/771729</t>
  </si>
  <si>
    <t>https://www.jotform.com/uploads/macarewecare/222927978372067/5499891090915333049/5499891090915333049_signature_28.png</t>
  </si>
  <si>
    <t>Loro, Gilbert E.</t>
  </si>
  <si>
    <t>https://www.jotform.com/uploads/macarewecare/222927978372067/5499891090915333049/5499891090915333049_signature_31.png</t>
  </si>
  <si>
    <t>NCRPO, Lower Bicutan</t>
  </si>
  <si>
    <t>dohrrcbicutan.lab@yahoo.com</t>
  </si>
  <si>
    <t xml:space="preserve">ASSAY: Xpert MTB/RIF, COUNT: 506
ASSAY: Xpert MTB/RIF Ultra, COUNT: 1329
</t>
  </si>
  <si>
    <t>https://www.jotform.com/uploads/macarewecare/222927978372067/5499875566713156386/5499875566713156386_signature_28.png</t>
  </si>
  <si>
    <t>Hellen Joy Rivera</t>
  </si>
  <si>
    <t>https://www.jotform.com/uploads/macarewecare/222927978372067/5499875566713156386/5499875566713156386_signature_31.png</t>
  </si>
  <si>
    <t>Mabini St. Magupo, Tagum City</t>
  </si>
  <si>
    <t>TB-DOTS Laboratory</t>
  </si>
  <si>
    <t>azzi_belle06@yahoo.com</t>
  </si>
  <si>
    <t xml:space="preserve">ASSAY: Xpert MTB/RIF, COUNT: 230
ASSAY: Xpert MTB/RIF Ultra, COUNT: 1594
</t>
  </si>
  <si>
    <t>Air-conditioning unit not cold enough, for follow up</t>
  </si>
  <si>
    <t>https://www.jotform.com/uploads/macarewecare/222927978372067/5499863672403733645/5499863672403733645_signature_28.png</t>
  </si>
  <si>
    <t>Izzabelle Bartolome</t>
  </si>
  <si>
    <t>https://www.jotform.com/uploads/macarewecare/222927978372067/5499863672403733645/5499863672403733645_signature_31.png</t>
  </si>
  <si>
    <t>Talisay City Cebu</t>
  </si>
  <si>
    <t xml:space="preserve">ASSAY: Xpert MTB/RIF, COUNT: 693
</t>
  </si>
  <si>
    <t>Lost Communication</t>
  </si>
  <si>
    <t>Arrange Lan cable</t>
  </si>
  <si>
    <t>Arrange Lan cable and bar code scanner cable</t>
  </si>
  <si>
    <t>https://www.jotform.com/uploads/macarewecare/222927978372067/5499830253669391446/5499830253669391446_signature_28.png</t>
  </si>
  <si>
    <t>https://www.jotform.com/uploads/macarewecare/222927978372067/5499830253669391446/5499830253669391446_signature_31.png</t>
  </si>
  <si>
    <t>https://www.jotform.com/uploads/macarewecare/222927978372067/5499829173663782069/5499829173663782069_signature_28.png</t>
  </si>
  <si>
    <t>https://www.jotform.com/uploads/macarewecare/222927978372067/5499829173663782069/5499829173663782069_signature_31.png</t>
  </si>
  <si>
    <t xml:space="preserve">ASSAY: Xpert MTB/RIF, COUNT: 151
ASSAY: Xpert MTB/RIF Ultra, COUNT: 2811
ASSAY: Xpert HIV-1 Viral Load, COUNT: 230
ASSAY: Xpert SARS-CoV-2, COUNT: 10422
</t>
  </si>
  <si>
    <t>https://www.jotform.com/uploads/macarewecare/222927978372067/5499411531875713847/5499411531875713847_signature_28.png</t>
  </si>
  <si>
    <t>Jenrh Ken Vincent Mibato</t>
  </si>
  <si>
    <t>https://www.jotform.com/uploads/macarewecare/222927978372067/5499411531875713847/5499411531875713847_signature_31.png</t>
  </si>
  <si>
    <t>https://www.jotform.com/uploads/macarewecare/222927978372067/5499411501875132233/5499411501875132233_signature_28.png</t>
  </si>
  <si>
    <t>https://www.jotform.com/uploads/macarewecare/222927978372067/5499411501875132233/5499411501875132233_signature_31.png</t>
  </si>
  <si>
    <t xml:space="preserve">ASSAY: Xpert MTB/RIF, COUNT: 151
ASSAY: Xpert MTB/RIF Ultra, COUNT: 2811
ASSAY: Xpert SARS-CoV-2, COUNT: 10422
ASSAY: Xpert HIV-1 Viral Load, COUNT: 230
</t>
  </si>
  <si>
    <t>https://www.jotform.com/uploads/macarewecare/222927978372067/5499410621876126536/5499410621876126536_signature_28.png</t>
  </si>
  <si>
    <t>Jenry ken vincent Mibato</t>
  </si>
  <si>
    <t>https://www.jotform.com/uploads/macarewecare/222927978372067/5499410621876126536/5499410621876126536_signature_31.png</t>
  </si>
  <si>
    <t>https://www.jotform.com/uploads/macarewecare/222927978372067/5499410561873904712/5499410561873904712_signature_28.png</t>
  </si>
  <si>
    <t>https://www.jotform.com/uploads/macarewecare/222927978372067/5499410561873904712/5499410561873904712_signature_31.png</t>
  </si>
  <si>
    <t>Module B3 for Module Replacement
For Preventive Maintenance</t>
  </si>
  <si>
    <t>Replace the service module S/N 674488 with new Module S/N: 656018
Clean Surface Area, Cartridge Bay, Plunger Rod, Fan Filters and Icore Lenses
Generate Pre and Post IQR, Assay Stat and System Log
Archived Data test results</t>
  </si>
  <si>
    <t>Unit is fullt operational</t>
  </si>
  <si>
    <t>https://www.jotform.com/uploads/macarewecare/222927978372067/5499409681873456293/5499409681873456293_signature_28.png</t>
  </si>
  <si>
    <t>https://www.jotform.com/uploads/macarewecare/222927978372067/5499409681873456293/5499409681873456293_signature_31.png</t>
  </si>
  <si>
    <t>https://www.jotform.com/uploads/macarewecare/222927978372067/5499409611875190022/5499409611875190022_signature_28.png</t>
  </si>
  <si>
    <t>https://www.jotform.com/uploads/macarewecare/222927978372067/5499409611875190022/5499409611875190022_signature_31.png</t>
  </si>
  <si>
    <t>Returning Service Module SN 674488</t>
  </si>
  <si>
    <t>Return the Service module back to GX-XVI</t>
  </si>
  <si>
    <t>Unit not functional, powersupply unit is damaged</t>
  </si>
  <si>
    <t>Waiting for Power Supply Unit parts</t>
  </si>
  <si>
    <t>https://www.jotform.com/uploads/macarewecare/222927978372067/5499408671878069125/5499408671878069125_signature_28.png</t>
  </si>
  <si>
    <t>https://www.jotform.com/uploads/macarewecare/222927978372067/5499408671878069125/5499408671878069125_signature_31.png</t>
  </si>
  <si>
    <t>https://www.jotform.com/uploads/macarewecare/222927978372067/5499408551874858917/5499408551874858917_signature_28.png</t>
  </si>
  <si>
    <t>https://www.jotform.com/uploads/macarewecare/222927978372067/5499408551874858917/5499408551874858917_signature_31.png</t>
  </si>
  <si>
    <t xml:space="preserve">ASSAY: Xpert HPV, COUNT: 23
ASSAY: Xpert MTB/RIF, COUNT: 382
ASSAY: Xpert MTB/RIF Ultra, COUNT: 771
</t>
  </si>
  <si>
    <t>For maintenance and stuck cartridge</t>
  </si>
  <si>
    <t>Cleaned unit,filter,cartridge bay,icore,plunger rod,gathered reports,test run unit,fixed stuck cartridge</t>
  </si>
  <si>
    <t>https://www.jotform.com/uploads/macarewecare/222927978372067/5499391088671505611/5499391088671505611_signature_28.png</t>
  </si>
  <si>
    <t>Victor Agdamag jr</t>
  </si>
  <si>
    <t>https://www.jotform.com/uploads/macarewecare/222927978372067/5499391088671505611/5499391088671505611_signature_31.png</t>
  </si>
  <si>
    <t>https://www.jotform.com/uploads/macarewecare/222927978372067/5499390838672584011/5499390838672584011_signature_28.png</t>
  </si>
  <si>
    <t>https://www.jotform.com/uploads/macarewecare/222927978372067/5499390838672584011/5499390838672584011_signature_31.png</t>
  </si>
  <si>
    <t>https://www.jotform.com/uploads/macarewecare/222927978372067/5499390888673845400/5499390888673845400_signature_28.png</t>
  </si>
  <si>
    <t>https://www.jotform.com/uploads/macarewecare/222927978372067/5499390888673845400/5499390888673845400_signature_31.png</t>
  </si>
  <si>
    <t>Proj.7 social hygiene</t>
  </si>
  <si>
    <t>Bansalangin st. Qc</t>
  </si>
  <si>
    <t>tonettechacon@gmail.com.com</t>
  </si>
  <si>
    <t xml:space="preserve">ASSAY: Xpert MTB/RIF, COUNT: 59
ASSAY: Xpert MTB/RIF Ultra, COUNT: 68
ASSAY: Xpert HIV-1 Viral Load, COUNT: 1144
</t>
  </si>
  <si>
    <t>https://www.jotform.com/uploads/macarewecare/222927978372067/5499389838679293028/5499389838679293028_signature_28.png</t>
  </si>
  <si>
    <t>Anthony Reyes</t>
  </si>
  <si>
    <t>https://www.jotform.com/uploads/macarewecare/222927978372067/5499389838679293028/5499389838679293028_signature_31.png</t>
  </si>
  <si>
    <t>Montilla Blvd. Butuan City</t>
  </si>
  <si>
    <t xml:space="preserve">ASSAY: Xpert SARS-CoV-2, COUNT: 4090
</t>
  </si>
  <si>
    <t>Screen Monitor Glitching
Jumpy Mouse Pointer Movement</t>
  </si>
  <si>
    <t>Hard drive checking
Troubleshooting</t>
  </si>
  <si>
    <t>Troubleshooting
Preventive Maintenance
Data Collection</t>
  </si>
  <si>
    <t>Defective monitor
All modules in genexpert are working</t>
  </si>
  <si>
    <t>https://www.jotform.com/uploads/macarewecare/222927978372067/5499243339517181599/5499243339517181599_signature_28.png</t>
  </si>
  <si>
    <t>https://www.jotform.com/uploads/macarewecare/222927978372067/5499243339517181599/5499243339517181599_signature_31.png</t>
  </si>
  <si>
    <t xml:space="preserve">ASSAY: Xpert SARS-CoV-2, COUNT: 8918
</t>
  </si>
  <si>
    <t>H/W Fail Module D1/804652, D3/765468, D4/729707</t>
  </si>
  <si>
    <t>Module Replacement
New Modules:
D1/671961
D3/645283
D4/693683</t>
  </si>
  <si>
    <t>https://www.jotform.com/uploads/macarewecare/222927978372067/5499235239681549811/5499235239681549811_signature_28.png</t>
  </si>
  <si>
    <t>Rayan Cosari</t>
  </si>
  <si>
    <t>https://www.jotform.com/uploads/macarewecare/222927978372067/5499235239681549811/5499235239681549811_signature_31.png</t>
  </si>
  <si>
    <t>Love YourSelf - Whitehouse</t>
  </si>
  <si>
    <t xml:space="preserve">ASSAY: Xpert HIV-1 Viral Load, COUNT: 259
</t>
  </si>
  <si>
    <t>Clean all Modules and change filter
Save File IQR, System Log Assay Stat,GXX file</t>
  </si>
  <si>
    <t>https://www.jotform.com/uploads/macarewecare/222927978372067/5499198244773351336/5499198244773351336_signature_28.png</t>
  </si>
  <si>
    <t>Ralph Pearvin G. Mission, RMT</t>
  </si>
  <si>
    <t>https://www.jotform.com/uploads/macarewecare/222927978372067/5499198244773351336/5499198244773351336_signature_31.png</t>
  </si>
  <si>
    <t>España ,manila</t>
  </si>
  <si>
    <t>For Pm and Calibration</t>
  </si>
  <si>
    <t>Noel flores a</t>
  </si>
  <si>
    <t>https://www.jotform.com/uploads/macarewecare/222927978372067/5499195013019106289/5499195013019106289_signature_28.png</t>
  </si>
  <si>
    <t>https://www.jotform.com/uploads/macarewecare/222927978372067/5499195013019106289/5499195013019106289_signature_31.png</t>
  </si>
  <si>
    <t>Malibay</t>
  </si>
  <si>
    <t xml:space="preserve">ASSAY: Xpert MTB/RIF, COUNT: 153
ASSAY: Xpert MTB/RIF Ultra, COUNT: 593
ASSAY: Xpert HIV-1 Viral Load, COUNT: 138
</t>
  </si>
  <si>
    <t>XpertCheck
Performed Maintenance</t>
  </si>
  <si>
    <t>https://www.jotform.com/uploads/macarewecare/222927978372067/5499189441026780748/5499189441026780748_signature_28.png</t>
  </si>
  <si>
    <t>Aljandro Abad</t>
  </si>
  <si>
    <t>https://www.jotform.com/uploads/macarewecare/222927978372067/5499189441026780748/5499189441026780748_signature_31.png</t>
  </si>
  <si>
    <t>Module B3 H/W failed multiple temperature error</t>
  </si>
  <si>
    <t>Perform Genexpert machine Preventive maintenance
Perform Genexpert calibration/Xpertcheck</t>
  </si>
  <si>
    <t>Gx machine has 3 operational modules</t>
  </si>
  <si>
    <t>https://www.jotform.com/uploads/macarewecare/222927978372067/5499189108778203224/5499189108778203224_signature_28.png</t>
  </si>
  <si>
    <t>Kathlyn Mae Y. Lacabe</t>
  </si>
  <si>
    <t>https://www.jotform.com/uploads/macarewecare/222927978372067/5499189108778203224/5499189108778203224_signature_31.png</t>
  </si>
  <si>
    <t>No power in display monitor</t>
  </si>
  <si>
    <t>Taking up video of monitor and picture of serial number of monitor.</t>
  </si>
  <si>
    <t>Taking up video of monitor and picture of serial number of monitor. Sending data to jotform by the End User</t>
  </si>
  <si>
    <t>No power of display monitor</t>
  </si>
  <si>
    <t>https://www.jotform.com/uploads/macarewecare/222927978372067/5499178946343678623/5499178946343678623_signature_28.png</t>
  </si>
  <si>
    <t>https://www.jotform.com/uploads/macarewecare/222927978372067/5499178946343678623/5499178946343678623_signature_31.png</t>
  </si>
  <si>
    <t>Taking up video of monitor and Serial number picture send to jotform</t>
  </si>
  <si>
    <t>Troubleshooting of monitor</t>
  </si>
  <si>
    <t>https://www.jotform.com/uploads/macarewecare/222927978372067/5499174746346550320/5499174746346550320_signature_28.png</t>
  </si>
  <si>
    <t>https://www.jotform.com/uploads/macarewecare/222927978372067/5499174746346550320/5499174746346550320_signature_31.png</t>
  </si>
  <si>
    <t>Hospital Drive Tarlac City</t>
  </si>
  <si>
    <t>REPAIR
Check-up of CPU not booting up</t>
  </si>
  <si>
    <t xml:space="preserve">ASSAY: Xpert MTB/RIF, COUNT: 28
ASSAY: Xpert SARS-CoV-2, COUNT: 464
</t>
  </si>
  <si>
    <t>Troubleshoot probolem (did not boot up)
Checked connection then try to boot up( booted-up)
Performed functionality test</t>
  </si>
  <si>
    <t>Troubkeshoot and repair</t>
  </si>
  <si>
    <t>https://www.jotform.com/uploads/macarewecare/222927978372067/5499111742313377448/5499111742313377448_signature_28.png</t>
  </si>
  <si>
    <t>https://www.jotform.com/uploads/macarewecare/222927978372067/5499111742313377448/5499111742313377448_signature_31.png</t>
  </si>
  <si>
    <t>San Vicente</t>
  </si>
  <si>
    <t>MolecularbTB DOTS</t>
  </si>
  <si>
    <t xml:space="preserve">ASSAY: Xpert MTB/RIF Ultra, COUNT: 437
ASSAY: Xpert HIV-1 Viral Load, COUNT: 78
</t>
  </si>
  <si>
    <t>Due for Calibration
C2-Temperature error 1002/HW Failed
C3-Error 2097,2032</t>
  </si>
  <si>
    <t>Performed preventive maintenance
Installation of Xpertcheck
Performed Calibration
Gathered reports
Performed functionality test</t>
  </si>
  <si>
    <t>Unit is operational except module C2 and C3</t>
  </si>
  <si>
    <t>Module C2 and C3 for reporting, modules passed calibration</t>
  </si>
  <si>
    <t>https://www.jotform.com/uploads/macarewecare/222927978372067/5499105272317752997/5499105272317752997_signature_28.png</t>
  </si>
  <si>
    <t>https://www.jotform.com/uploads/macarewecare/222927978372067/5499105272317752997/5499105272317752997_signature_31.png</t>
  </si>
  <si>
    <t>San Vicente Tarlac City</t>
  </si>
  <si>
    <t>MOLECULAR-PCR</t>
  </si>
  <si>
    <t xml:space="preserve">ASSAY: Xpert SARS-CoV-2, COUNT: 1505
</t>
  </si>
  <si>
    <t>Performed prevenyive maintenance
Installation of xpertcheck application
Performed calibration
Gathered reports
Perform functionality test</t>
  </si>
  <si>
    <t>All modules passed callibration</t>
  </si>
  <si>
    <t>https://www.jotform.com/uploads/macarewecare/222927978372067/5499105282318987273/5499105282318987273_signature_28.png</t>
  </si>
  <si>
    <t>https://www.jotform.com/uploads/macarewecare/222927978372067/5499105282318987273/5499105282318987273_signature_31.png</t>
  </si>
  <si>
    <t>https://www.jotform.com/uploads/macarewecare/222927978372067/5499087944688292072/5499087944688292072_signature_28.png</t>
  </si>
  <si>
    <t>https://www.jotform.com/uploads/macarewecare/222927978372067/5499087944688292072/5499087944688292072_signature_31.png</t>
  </si>
  <si>
    <t>https://www.jotform.com/uploads/macarewecare/222927978372067/5499087074682546208/5499087074682546208_signature_28.png</t>
  </si>
  <si>
    <t>https://www.jotform.com/uploads/macarewecare/222927978372067/5499087074682546208/5499087074682546208_signature_31.png</t>
  </si>
  <si>
    <t>All modules are functional. GeneXpert has no CPU.</t>
  </si>
  <si>
    <t>CPU has been pulled out by RHU for repair to Kalibo. End user has not reported the incident to Macare. Waiting for repair of CPU. Wasn’t able to collect data for lack of CPU.</t>
  </si>
  <si>
    <t>https://www.jotform.com/uploads/macarewecare/222927978372067/5499074668308668921/5499074668308668921_signature_28.png</t>
  </si>
  <si>
    <t>https://www.jotform.com/uploads/macarewecare/222927978372067/5499074668308668921/5499074668308668921_signature_31.png</t>
  </si>
  <si>
    <t>164 Dolores Hidalgo St. Brgy. 66</t>
  </si>
  <si>
    <t>Main Laboratory</t>
  </si>
  <si>
    <t xml:space="preserve">ASSAY: Xpert MTB/RIF, COUNT: 94
ASSAY: Xpert MTB/RIF Ultra, COUNT: 1138
</t>
  </si>
  <si>
    <t>Unit due for Calibration/ Xpert Check</t>
  </si>
  <si>
    <t>XpertCheck of the following Module:
B1/ 685785 Failed
B2/ 639114 Passed
B3/768349 Passed</t>
  </si>
  <si>
    <t>B1/685785 service required, module is for replacement.</t>
  </si>
  <si>
    <t>https://www.jotform.com/uploads/macarewecare/222927978372067/5499065495027610764/5499065495027610764_signature_28.png</t>
  </si>
  <si>
    <t>Rheme Botaquia</t>
  </si>
  <si>
    <t>https://www.jotform.com/uploads/macarewecare/222927978372067/5499065495027610764/5499065495027610764_signature_31.png</t>
  </si>
  <si>
    <t xml:space="preserve">ASSAY: Xpert MTB/RIF, COUNT: 1406
ASSAY: Xpert MTB/RIF Ultra, COUNT: 864
ASSAY: Xpert HIV-1 Viral Load, COUNT: 98
</t>
  </si>
  <si>
    <t>-PERFORM MODULE B3 SN 862394 CALIBRATION : RETRY THEN FAILED</t>
  </si>
  <si>
    <t>-MODULE B1, B4 - USED; MODULE B2,B3 - DISABLED</t>
  </si>
  <si>
    <t>https://www.jotform.com/uploads/macarewecare/222927978372067/5499057428814016044/5499057428814016044_signature_28.png</t>
  </si>
  <si>
    <t>ELMA B. GONZALES</t>
  </si>
  <si>
    <t>https://www.jotform.com/uploads/macarewecare/222927978372067/5499057428814016044/5499057428814016044_signature_31.png</t>
  </si>
  <si>
    <t>Pikit, north Cotabato</t>
  </si>
  <si>
    <t>Gx -2</t>
  </si>
  <si>
    <t>https://www.jotform.com/uploads/macarewecare/222927978372067/5499054513669674836/5499054513669674836_signature_28.png</t>
  </si>
  <si>
    <t>Lito Sepelagio, RMT</t>
  </si>
  <si>
    <t>https://www.jotform.com/uploads/macarewecare/222927978372067/5499054513669674836/5499054513669674836_signature_31.png</t>
  </si>
  <si>
    <t xml:space="preserve">ASSAY: Xpert MTB/RIF, COUNT: 790
ASSAY: Xpert MTB/RIF Ultra, COUNT: 1497
</t>
  </si>
  <si>
    <t>Module B3 H/W failed due to multiple temperature error
Module B4 H/W failed due to multiple temperature error</t>
  </si>
  <si>
    <t>Perform Genexpert machine Preventive maintenance
Perform Genexpert calibration/Xpertcheck to module B3 and B4 for troubleshooting</t>
  </si>
  <si>
    <t>Module B3 passed and module B4 for Service Required</t>
  </si>
  <si>
    <t>https://www.jotform.com/uploads/macarewecare/222927978372067/5499034732117061778/5499034732117061778_signature_28.png</t>
  </si>
  <si>
    <t>https://www.jotform.com/uploads/macarewecare/222927978372067/5499034732117061778/5499034732117061778_signature_31.png</t>
  </si>
  <si>
    <t>Poblacion kumalarang Zamboanga Del Sur</t>
  </si>
  <si>
    <t>roseimelda1228@gmail.com</t>
  </si>
  <si>
    <t>Replaced module 2 (695642) with Module (655869)</t>
  </si>
  <si>
    <t>Preventive Maintenance , Module Replacement</t>
  </si>
  <si>
    <t>https://www.jotform.com/uploads/macarewecare/222927978372067/5499030835509169757/5499030835509169757_signature_28.png</t>
  </si>
  <si>
    <t>Rose imelda P. Uy</t>
  </si>
  <si>
    <t>https://www.jotform.com/uploads/macarewecare/222927978372067/5499030835509169757/5499030835509169757_signature_31.png</t>
  </si>
  <si>
    <t xml:space="preserve">ASSAY: Xpert MTB/RIF, COUNT: 140
ASSAY: Xpert MTB/RIF Ultra, COUNT: 128
</t>
  </si>
  <si>
    <t>https://www.jotform.com/uploads/macarewecare/222927978372067/5498983623119317729/5498983623119317729_signature_28.png</t>
  </si>
  <si>
    <t>https://www.jotform.com/uploads/macarewecare/222927978372067/5498983623119317729/5498983623119317729_signature_31.png</t>
  </si>
  <si>
    <t>https://www.jotform.com/uploads/macarewecare/222927978372067/5498983533115360271/5498983533115360271_signature_28.png</t>
  </si>
  <si>
    <t>https://www.jotform.com/uploads/macarewecare/222927978372067/5498983533115360271/5498983533115360271_signature_31.png</t>
  </si>
  <si>
    <t xml:space="preserve">ASSAY: Xpert MTB/RIF, COUNT: 604
ASSAY: Xpert MTB/RIF Ultra, COUNT: 353
</t>
  </si>
  <si>
    <t>Module B2 &amp; B3 are Disabled (Waiting for module replacement)</t>
  </si>
  <si>
    <t>https://www.jotform.com/uploads/macarewecare/222927978372067/5498594626712669543/5498594626712669543_signature_28.png</t>
  </si>
  <si>
    <t>https://www.jotform.com/uploads/macarewecare/222927978372067/5498594626712669543/5498594626712669543_signature_31.png</t>
  </si>
  <si>
    <t>https://www.jotform.com/uploads/macarewecare/222927978372067/5498594296715527269/5498594296715527269_signature_28.png</t>
  </si>
  <si>
    <t>https://www.jotform.com/uploads/macarewecare/222927978372067/5498594296715527269/5498594296715527269_signature_31.png</t>
  </si>
  <si>
    <t>DOH R02</t>
  </si>
  <si>
    <t>cvchdcovidlab@gmail.com</t>
  </si>
  <si>
    <t xml:space="preserve">ASSAY: Xpert MTB/RIF, COUNT: 997
ASSAY: Xpert MTB/RIF Ultra, COUNT: 874
ASSAY: Xpert SARS-CoV-2, COUNT: 5968
</t>
  </si>
  <si>
    <t>Module C2, D1, D3, D4 for reporting</t>
  </si>
  <si>
    <t>https://www.jotform.com/uploads/macarewecare/222927978372067/5498406135424665885/5498406135424665885_signature_28.png</t>
  </si>
  <si>
    <t>Queenie Cantil</t>
  </si>
  <si>
    <t>https://www.jotform.com/uploads/macarewecare/222927978372067/5498406135424665885/5498406135424665885_signature_31.png</t>
  </si>
  <si>
    <t>https://www.jotform.com/uploads/macarewecare/222927978372067/5498406155424981501/5498406155424981501_signature_28.png</t>
  </si>
  <si>
    <t>https://www.jotform.com/uploads/macarewecare/222927978372067/5498406155424981501/5498406155424981501_signature_31.png</t>
  </si>
  <si>
    <t xml:space="preserve">ASSAY: Xpert MTB/RIF, COUNT: 394
ASSAY: Xpert MTB/RIF Ultra, COUNT: 331
ASSAY: Xpert SARS-CoV-2, COUNT: 2306
</t>
  </si>
  <si>
    <t>https://www.jotform.com/uploads/macarewecare/222927978372067/5498405575423717265/5498405575423717265_signature_28.png</t>
  </si>
  <si>
    <t>https://www.jotform.com/uploads/macarewecare/222927978372067/5498405575423717265/5498405575423717265_signature_31.png</t>
  </si>
  <si>
    <t>https://www.jotform.com/uploads/macarewecare/222927978372067/5498405515427521333/5498405515427521333_signature_28.png</t>
  </si>
  <si>
    <t>https://www.jotform.com/uploads/macarewecare/222927978372067/5498405515427521333/5498405515427521333_signature_31.png</t>
  </si>
  <si>
    <t>https://www.jotform.com/uploads/macarewecare/222927978372067/5498404935421809276/5498404935421809276_signature_28.png</t>
  </si>
  <si>
    <t>https://www.jotform.com/uploads/macarewecare/222927978372067/5498404935421809276/5498404935421809276_signature_31.png</t>
  </si>
  <si>
    <t xml:space="preserve">ASSAY: Xpert MTB/RIF, COUNT: 1267
ASSAY: Xpert MTB/RIF Ultra, COUNT: 2965
ASSAY: Xpert HIV-1 Viral Load, COUNT: 40
</t>
  </si>
  <si>
    <t>Module D1 - Ultrasonic Horn Error; Module D2 - for rerunning of Xpertcheck</t>
  </si>
  <si>
    <t>D2 - disabled; D1 - under observation</t>
  </si>
  <si>
    <t>Gateway board for replacement. Module D1 under observation if for replacement or not. Two GeneXpert machines connected in one CPU.</t>
  </si>
  <si>
    <t>Xpert Check Lot No. 05502 Exp. 2024 02 11</t>
  </si>
  <si>
    <t>https://www.jotform.com/uploads/macarewecare/222927978372067/5498378309677500811/5498378309677500811_signature_28.png</t>
  </si>
  <si>
    <t>https://www.jotform.com/uploads/macarewecare/222927978372067/5498378309677500811/5498378309677500811_signature_31.png</t>
  </si>
  <si>
    <t xml:space="preserve">ASSAY: Xpert MTB/RIF, COUNT: 338
ASSAY: Xpert MTB/RIF Ultra, COUNT: 1012
</t>
  </si>
  <si>
    <t>Module B2 encounters error 1002</t>
  </si>
  <si>
    <t>Calibration of defective module B2
Monthly Preventive Maintenance
Data Collection</t>
  </si>
  <si>
    <t>3 modules working and 1 module service required for replacement</t>
  </si>
  <si>
    <t>https://www.jotform.com/uploads/macarewecare/222927978372067/5498359284918878208/5498359284918878208_signature_28.png</t>
  </si>
  <si>
    <t>https://www.jotform.com/uploads/macarewecare/222927978372067/5498359284918878208/5498359284918878208_signature_31.png</t>
  </si>
  <si>
    <t>bjohnduke@yahoo.com</t>
  </si>
  <si>
    <t>https://www.jotform.com/uploads/macarewecare/222927978372067/5498357823404466645/5498357823404466645_signature_28.png</t>
  </si>
  <si>
    <t>John Duke S.  Bacarisas</t>
  </si>
  <si>
    <t>https://www.jotform.com/uploads/macarewecare/222927978372067/5498357823404466645/5498357823404466645_signature_31.png</t>
  </si>
  <si>
    <t>Reproductive Health and Wellness Center - Jacinto Health Center</t>
  </si>
  <si>
    <t xml:space="preserve">ASSAY: Xpert MTB/RIF Ultra, COUNT: 27
ASSAY: Xpert HIV-1 Viral Load, COUNT: 475
</t>
  </si>
  <si>
    <t>https://www.jotform.com/uploads/macarewecare/222927978372067/5498349623424427426/5498349623424427426_signature_28.png</t>
  </si>
  <si>
    <t>Cherry Anne R. Asis</t>
  </si>
  <si>
    <t>https://www.jotform.com/uploads/macarewecare/222927978372067/5498349623424427426/5498349623424427426_signature_31.png</t>
  </si>
  <si>
    <t>https://www.jotform.com/uploads/macarewecare/222927978372067/5498349583427491879/5498349583427491879_signature_28.png</t>
  </si>
  <si>
    <t>https://www.jotform.com/uploads/macarewecare/222927978372067/5498349583427491879/5498349583427491879_signature_31.png</t>
  </si>
  <si>
    <t>Jacinto St. Poblacion, Davao City</t>
  </si>
  <si>
    <t>rhwclab@yahoo.com</t>
  </si>
  <si>
    <t xml:space="preserve">ASSAY: Xpert MTB/RIF Ultra, COUNT: 23
ASSAY: Xpert HIV-1 Viral Load, COUNT: 433
</t>
  </si>
  <si>
    <t>For Preventive Maintenance
Multiple Errors / Hardware Failure on Module B1 S/N: 869012</t>
  </si>
  <si>
    <t>Multiple Temperature Error at Module B1</t>
  </si>
  <si>
    <t>Errors sent to Cepheid</t>
  </si>
  <si>
    <t>https://www.jotform.com/uploads/macarewecare/222927978372067/5498348903425812238/5498348903425812238_signature_28.png</t>
  </si>
  <si>
    <t>https://www.jotform.com/uploads/macarewecare/222927978372067/5498348903425812238/5498348903425812238_signature_31.png</t>
  </si>
  <si>
    <t>https://www.jotform.com/uploads/macarewecare/222927978372067/5498348873424431733/5498348873424431733_signature_28.png</t>
  </si>
  <si>
    <t>https://www.jotform.com/uploads/macarewecare/222927978372067/5498348873424431733/5498348873424431733_signature_31.png</t>
  </si>
  <si>
    <t>Evangelista St.</t>
  </si>
  <si>
    <t xml:space="preserve">ASSAY: Xpert MTB/RIF Ultra, COUNT: 2664
</t>
  </si>
  <si>
    <t>Module B4 for replacement,  for xpertcheck</t>
  </si>
  <si>
    <t>Replaced defective module, performed XpertCheck</t>
  </si>
  <si>
    <t>Old B4/863777
New B4/738573</t>
  </si>
  <si>
    <t>G 5042</t>
  </si>
  <si>
    <t>https://www.jotform.com/uploads/macarewecare/222927978372067/5498347839215858339/5498347839215858339_signature_28.png</t>
  </si>
  <si>
    <t>https://www.jotform.com/uploads/macarewecare/222927978372067/5498347839215858339/5498347839215858339_signature_31.png</t>
  </si>
  <si>
    <t>sdramayan@gmail.com</t>
  </si>
  <si>
    <t xml:space="preserve">ASSAY: Xpert MTB/RIF Ultra, COUNT: 2633
ASSAY: Xpert HIV-1 Viral Load, COUNT: 43
</t>
  </si>
  <si>
    <t>Damaged GeneXpert power supply</t>
  </si>
  <si>
    <t>GeneXpert Power supply replacement</t>
  </si>
  <si>
    <t>Replacement of power supply
Preventive Maintenance
Network 2 GeneXpert equipment
SN: 805090
SN: 707842</t>
  </si>
  <si>
    <t>https://www.jotform.com/uploads/macarewecare/222927978372067/5498342771027258271/5498342771027258271_signature_28.png</t>
  </si>
  <si>
    <t>Sandra D. Ramayan</t>
  </si>
  <si>
    <t>https://www.jotform.com/uploads/macarewecare/222927978372067/5498342771027258271/5498342771027258271_signature_31.png</t>
  </si>
  <si>
    <t xml:space="preserve">ASSAY: Xpert MTB/RIF, COUNT: 355
ASSAY: Xpert MTB/RIF Ultra, COUNT: 613
</t>
  </si>
  <si>
    <t>Gx-2</t>
  </si>
  <si>
    <t>https://www.jotform.com/uploads/macarewecare/222927978372067/5498336098916378010/5498336098916378010_signature_28.png</t>
  </si>
  <si>
    <t>https://www.jotform.com/uploads/macarewecare/222927978372067/5498336098916378010/5498336098916378010_signature_31.png</t>
  </si>
  <si>
    <t xml:space="preserve">ASSAY: Xpert MTB/RIF, COUNT: 300
ASSAY: Xpert MTB/RIF Ultra, COUNT: 414
ASSAY: Xpert HIV-1 Viral Load, COUNT: 3
</t>
  </si>
  <si>
    <t>Module replacement and calibration</t>
  </si>
  <si>
    <t>Performed preventive maintenance
Performed module replacement
Performed calibration
Gathered reports
Performed functionality test</t>
  </si>
  <si>
    <t>https://www.jotform.com/uploads/macarewecare/222927978372067/5498323545321864283/5498323545321864283_signature_28.png</t>
  </si>
  <si>
    <t>https://www.jotform.com/uploads/macarewecare/222927978372067/5498323545321864283/5498323545321864283_signature_31.png</t>
  </si>
  <si>
    <t>https://www.jotform.com/uploads/macarewecare/222927978372067/5498323525328096545/5498323525328096545_signature_28.png</t>
  </si>
  <si>
    <t>https://www.jotform.com/uploads/macarewecare/222927978372067/5498323525328096545/5498323525328096545_signature_31.png</t>
  </si>
  <si>
    <t>Lapulapu City Health office</t>
  </si>
  <si>
    <t xml:space="preserve">ASSAY: Xpert MTB/RIF, COUNT: 1322
</t>
  </si>
  <si>
    <t>Stucked cartridge due to Error 2037</t>
  </si>
  <si>
    <t>Remove cartridege</t>
  </si>
  <si>
    <t>Cartridge removal</t>
  </si>
  <si>
    <t>Only to  2 modules available</t>
  </si>
  <si>
    <t>https://www.jotform.com/uploads/macarewecare/222927978372067/5498304769024848002/5498304769024848002_signature_28.png</t>
  </si>
  <si>
    <t>https://www.jotform.com/uploads/macarewecare/222927978372067/5498304769024848002/5498304769024848002_signature_31.png</t>
  </si>
  <si>
    <t xml:space="preserve">ASSAY: Xpert MTB/RIF, COUNT: 477
ASSAY: Xpert MTB/RIF Ultra, COUNT: 544
</t>
  </si>
  <si>
    <t>Module B2 under observation due to multiple temperature error last September 2022,</t>
  </si>
  <si>
    <t>https://www.jotform.com/uploads/macarewecare/222927978372067/5498226724661159419/5498226724661159419_signature_28.png</t>
  </si>
  <si>
    <t>https://www.jotform.com/uploads/macarewecare/222927978372067/5498226724661159419/5498226724661159419_signature_31.png</t>
  </si>
  <si>
    <t>Sumlong Hwy Marikina</t>
  </si>
  <si>
    <t xml:space="preserve">ASSAY: Xpert SARS-CoV-2, COUNT: 3681
ASSAY: Others, COUNT: 1
</t>
  </si>
  <si>
    <t>Module D4 For replacement</t>
  </si>
  <si>
    <t>Old: D4/886142
New: D4/210036542</t>
  </si>
  <si>
    <t>G 5025</t>
  </si>
  <si>
    <t>https://www.jotform.com/uploads/macarewecare/222927978372067/5498221397611642863/5498221397611642863_signature_28.png</t>
  </si>
  <si>
    <t>Racquet Rhys C. Verzosa</t>
  </si>
  <si>
    <t>https://www.jotform.com/uploads/macarewecare/222927978372067/5498221397611642863/5498221397611642863_signature_31.png</t>
  </si>
  <si>
    <t>Sumulong highway Marikina</t>
  </si>
  <si>
    <t>maricel_c27@tahoo.com</t>
  </si>
  <si>
    <t xml:space="preserve">ASSAY: Xpert MTB/RIF, COUNT: 650
ASSAY: Xpert MTB/RIF Ultra, COUNT: 1578
</t>
  </si>
  <si>
    <t>Module B3 error 1001/1002/4012</t>
  </si>
  <si>
    <t>Performed maintenance
Checked module B3
Generated reports</t>
  </si>
  <si>
    <t>Modules B1,B2 and B4 operational</t>
  </si>
  <si>
    <t>Module B3/608694 for reporting</t>
  </si>
  <si>
    <t>https://www.jotform.com/uploads/macarewecare/222927978372067/5498213442329242924/5498213442329242924_signature_28.png</t>
  </si>
  <si>
    <t>Maricel S.Xakderin</t>
  </si>
  <si>
    <t>https://www.jotform.com/uploads/macarewecare/222927978372067/5498213442329242924/5498213442329242924_signature_31.png</t>
  </si>
  <si>
    <t>rhumidsayap@gmail.com</t>
  </si>
  <si>
    <t xml:space="preserve">ASSAY: Xpert MTB/RIF, COUNT: 220
ASSAY: Xpert MTB/RIF Ultra, COUNT: 428
</t>
  </si>
  <si>
    <t>Gx- 2</t>
  </si>
  <si>
    <t>Module B1 and B2 for Service Required</t>
  </si>
  <si>
    <t>Genexpert machine Calibration/ExpertCheck
Genexpert machine Preventive maintenance</t>
  </si>
  <si>
    <t>ExpertCheck -CE-5</t>
  </si>
  <si>
    <t>https://www.jotform.com/uploads/macarewecare/222927978372067/5498189584668867116/5498189584668867116_signature_28.png</t>
  </si>
  <si>
    <t>Rhea A Drilon</t>
  </si>
  <si>
    <t>https://www.jotform.com/uploads/macarewecare/222927978372067/5498189584668867116/5498189584668867116_signature_31.png</t>
  </si>
  <si>
    <t xml:space="preserve">ASSAY: Xpert MTB/RIF, COUNT: 325
ASSAY: Xpert HIV-1 Viral Load, COUNT: 278
</t>
  </si>
  <si>
    <t>Module B3 Disabled (waiting for replacement)</t>
  </si>
  <si>
    <t>https://www.jotform.com/uploads/macarewecare/222927978372067/5498176831013383375/5498176831013383375_signature_28.png</t>
  </si>
  <si>
    <t>https://www.jotform.com/uploads/macarewecare/222927978372067/5498176831013383375/5498176831013383375_signature_31.png</t>
  </si>
  <si>
    <t>https://www.jotform.com/uploads/macarewecare/222927978372067/5498176721016483376/5498176721016483376_signature_28.png</t>
  </si>
  <si>
    <t>https://www.jotform.com/uploads/macarewecare/222927978372067/5498176721016483376/5498176721016483376_signature_31.png</t>
  </si>
  <si>
    <t>cborre19@gmail.com</t>
  </si>
  <si>
    <t xml:space="preserve">ASSAY: Xpert MTB/RIF, COUNT: 104
ASSAY: Xpert MTB/RIF Ultra, COUNT: 587
</t>
  </si>
  <si>
    <t>https://www.jotform.com/uploads/macarewecare/222927978372067/5497454013426608516/5497454013426608516_signature_28.png</t>
  </si>
  <si>
    <t>Catherine B. Deocampo, RMT</t>
  </si>
  <si>
    <t>https://www.jotform.com/uploads/macarewecare/222927978372067/5497454013426608516/5497454013426608516_signature_31.png</t>
  </si>
  <si>
    <t>Lapulapu City</t>
  </si>
  <si>
    <t>cuyoscarlgerard@gmail.com</t>
  </si>
  <si>
    <t xml:space="preserve">ASSAY: Xpert MTB/RIF, COUNT: 1325
</t>
  </si>
  <si>
    <t>1.Valve error on Module 2  Error 2006
2. Hang Up problem on Module 4 during Mtb ultra running</t>
  </si>
  <si>
    <t>Check valve position and restart machine</t>
  </si>
  <si>
    <t>Get I QR and Sys log
Generate Gxx, And Assay Statistics</t>
  </si>
  <si>
    <t>Module 3 is excluded during HWF during running process</t>
  </si>
  <si>
    <t>Only 3 modules are operational</t>
  </si>
  <si>
    <t>https://www.jotform.com/uploads/macarewecare/222927978372067/5497453881653819852/5497453881653819852_signature_28.png</t>
  </si>
  <si>
    <t>https://www.jotform.com/uploads/macarewecare/222927978372067/5497453881653819852/5497453881653819852_signature_31.png</t>
  </si>
  <si>
    <t>Poblacion Lapulapu city</t>
  </si>
  <si>
    <t>cuyosgerard@gmail.com</t>
  </si>
  <si>
    <t xml:space="preserve">ASSAY: Xpert MTB/RIF, COUNT: 1093
</t>
  </si>
  <si>
    <t>No errors</t>
  </si>
  <si>
    <t>Check and monitor unit and UPS</t>
  </si>
  <si>
    <t>Conduct check up and monitoring of Ups and  genxpert machine</t>
  </si>
  <si>
    <t>https://www.jotform.com/uploads/macarewecare/222927978372067/5497446891657919818/5497446891657919818_signature_28.png</t>
  </si>
  <si>
    <t>Lucelle Arong</t>
  </si>
  <si>
    <t>https://www.jotform.com/uploads/macarewecare/222927978372067/5497446891657919818/5497446891657919818_signature_31.png</t>
  </si>
  <si>
    <t xml:space="preserve">ASSAY: Xpert MTB/RIF, COUNT: 183
ASSAY: Xpert MTB/RIF Ultra, COUNT: 234
</t>
  </si>
  <si>
    <t>for PM</t>
  </si>
  <si>
    <t>https://www.jotform.com/uploads/macarewecare/222927978372067/5497402570719347692/5497402570719347692_signature_28.png</t>
  </si>
  <si>
    <t>https://www.jotform.com/uploads/macarewecare/222927978372067/5497402570719347692/5497402570719347692_signature_31.png</t>
  </si>
  <si>
    <t>RHU Magsaysay</t>
  </si>
  <si>
    <t xml:space="preserve">ASSAY: Xpert MTB/RIF, COUNT: 13
ASSAY: Xpert MTB/RIF Ultra, COUNT: 94
</t>
  </si>
  <si>
    <t>Preventive Maintenance
Data Collection
Site Visit</t>
  </si>
  <si>
    <t>https://www.jotform.com/uploads/macarewecare/222927978372067/5497400629606026284/5497400629606026284_signature_28.png</t>
  </si>
  <si>
    <t>https://www.jotform.com/uploads/macarewecare/222927978372067/5497400629606026284/5497400629606026284_signature_31.png</t>
  </si>
  <si>
    <t>florestresitaj25@gmail.com</t>
  </si>
  <si>
    <t>Undergone Xpertcheck Calibration</t>
  </si>
  <si>
    <t>Conducted Xpertcheck Calibration</t>
  </si>
  <si>
    <t>Module 1,2 and 3 passed. Module 4 service required</t>
  </si>
  <si>
    <t>https://www.jotform.com/uploads/macarewecare/222927978372067/5497389025326594255/5497389025326594255_signature_28.png</t>
  </si>
  <si>
    <t>https://www.jotform.com/uploads/macarewecare/222927978372067/5497389025326594255/5497389025326594255_signature_31.png</t>
  </si>
  <si>
    <t>teresitafloresj25@gmail.com</t>
  </si>
  <si>
    <t>System unit unable to boot up.</t>
  </si>
  <si>
    <t>Changed CMOS battery, changed boot up priority.</t>
  </si>
  <si>
    <t>Changed CMOS battery and Preventive Maintenance</t>
  </si>
  <si>
    <t>Module 3 under observation</t>
  </si>
  <si>
    <t>https://www.jotform.com/uploads/macarewecare/222927978372067/5497387585321744066/5497387585321744066_signature_28.png</t>
  </si>
  <si>
    <t>https://www.jotform.com/uploads/macarewecare/222927978372067/5497387585321744066/5497387585321744066_signature_31.png</t>
  </si>
  <si>
    <t>https://www.jotform.com/uploads/macarewecare/222927978372067/5497385025328945091/5497385025328945091_signature_28.png</t>
  </si>
  <si>
    <t>https://www.jotform.com/uploads/macarewecare/222927978372067/5497385025328945091/5497385025328945091_signature_31.png</t>
  </si>
  <si>
    <t>annabelle_llaneta@yahoo.com</t>
  </si>
  <si>
    <t xml:space="preserve">ASSAY: Xpert MTB/RIF, COUNT: 29
ASSAY: Xpert MTB/RIF Ultra, COUNT: 145
</t>
  </si>
  <si>
    <t>Performed Surface cleaning
Cleaning of plunger rod,filter,cartridge bay and icore
Archived test results
Gathered reports
Performed functionality test</t>
  </si>
  <si>
    <t>https://www.jotform.com/uploads/macarewecare/222927978372067/5497380840423000740/5497380840423000740_signature_28.png</t>
  </si>
  <si>
    <t>https://www.jotform.com/uploads/macarewecare/222927978372067/5497380840423000740/5497380840423000740_signature_31.png</t>
  </si>
  <si>
    <t>Tomas Claudio Health Center - District A</t>
  </si>
  <si>
    <t>TB DOTS - Laboratory</t>
  </si>
  <si>
    <t xml:space="preserve">ASSAY: Xpert MTB/RIF, COUNT: 266
ASSAY: , COUNT: 211
</t>
  </si>
  <si>
    <t>Loose power chord of GeneXpert
For Preventive Maintenance</t>
  </si>
  <si>
    <t>Check the wiring, power chord and Perform Preventive Maintenance</t>
  </si>
  <si>
    <t>Swapped the power chord of the desktop system unit with the GeneXpert Machine power cord
Replug the power chords for checking for faulty/loose connection
Clean Surface Area, Cartridge Bay, Fan Filters, and Icore Lenses 
Generate IQR, Assay Stat and System Log 
Archived Data test results</t>
  </si>
  <si>
    <t>Unit is under observation</t>
  </si>
  <si>
    <t>If problem still exist, will replaced the new powerchord</t>
  </si>
  <si>
    <t>https://www.jotform.com/uploads/macarewecare/222927978372067/5497347513425990177/5497347513425990177_signature_28.png</t>
  </si>
  <si>
    <t>https://www.jotform.com/uploads/macarewecare/222927978372067/5497347513425990177/5497347513425990177_signature_31.png</t>
  </si>
  <si>
    <t>Fuente Cebu City</t>
  </si>
  <si>
    <t>DUAL MANIFOLD PUMP CANNOT BE DETECTED
Line sensor cannot be detected</t>
  </si>
  <si>
    <t>Reset machine and swap protocol card of UPP</t>
  </si>
  <si>
    <t>Troubleshoot problem of UPP protocol
Reset machine
Clean up dual pump bar code reader</t>
  </si>
  <si>
    <t>Operational and can be used</t>
  </si>
  <si>
    <t>https://www.jotform.com/uploads/macarewecare/222927978372067/5497279021656252100/5497279021656252100_signature_28.png</t>
  </si>
  <si>
    <t>Mayleen F. Jakosalem</t>
  </si>
  <si>
    <t>https://www.jotform.com/uploads/macarewecare/222927978372067/5497279021656252100/5497279021656252100_signature_31.png</t>
  </si>
  <si>
    <t xml:space="preserve">ASSAY: Xpert MTB/RIF, COUNT: 1783
</t>
  </si>
  <si>
    <t>Re-installation</t>
  </si>
  <si>
    <t>https://www.jotform.com/uploads/macarewecare/222927978372067/5496610503521882795/5496610503521882795_signature_28.png</t>
  </si>
  <si>
    <t>https://www.jotform.com/uploads/macarewecare/222927978372067/5496610503521882795/5496610503521882795_signature_31.png</t>
  </si>
  <si>
    <t>https://www.jotform.com/uploads/macarewecare/222927978372067/5496605503522904735/5496605503522904735_signature_28.png</t>
  </si>
  <si>
    <t>https://www.jotform.com/uploads/macarewecare/222927978372067/5496605503522904735/5496605503522904735_signature_31.png</t>
  </si>
  <si>
    <t>Module E2 hardware fail</t>
  </si>
  <si>
    <t>https://www.jotform.com/uploads/macarewecare/222927978372067/5496603009915726298/5496603009915726298_signature_28.png</t>
  </si>
  <si>
    <t>https://www.jotform.com/uploads/macarewecare/222927978372067/5496603009915726298/5496603009915726298_signature_31.png</t>
  </si>
  <si>
    <t xml:space="preserve">ASSAY: Xpert MTB/RIF, COUNT: 851
ASSAY: Xpert MTB/RIF Ultra, COUNT: 1052
</t>
  </si>
  <si>
    <t>Module A2 H/W failed, waiting for module to available</t>
  </si>
  <si>
    <t>Genexpert machine Preventive maintenance
Replace module A3 SN: 717592 with new Module SN: 210019125</t>
  </si>
  <si>
    <t>https://www.jotform.com/uploads/macarewecare/222927978372067/5496563668318651240/5496563668318651240_signature_28.png</t>
  </si>
  <si>
    <t>https://www.jotform.com/uploads/macarewecare/222927978372067/5496563668318651240/5496563668318651240_signature_31.png</t>
  </si>
  <si>
    <t>Poblacion, Sta. Cruz, Davao del Sur</t>
  </si>
  <si>
    <t>rhustacruzdavsur@gmail.com</t>
  </si>
  <si>
    <t xml:space="preserve">ASSAY: Xpert MTB/RIF, COUNT: 172
ASSAY: Xpert MTB/RIF Ultra, COUNT: 499
</t>
  </si>
  <si>
    <t>Roi Kenneth R. Fagutao</t>
  </si>
  <si>
    <t>https://www.jotform.com/uploads/macarewecare/222927978372067/5496557044915668253/5496557044915668253_signature_28.png</t>
  </si>
  <si>
    <t>DOROTHY A. DALAGAN</t>
  </si>
  <si>
    <t>https://www.jotform.com/uploads/macarewecare/222927978372067/5496557044915668253/5496557044915668253_signature_31.png</t>
  </si>
  <si>
    <t xml:space="preserve">ASSAY: Others, COUNT: 33
ASSAY: Xpert HIV-1 Viral Load, COUNT: 19
ASSAY: Xpert MTB/RIF, COUNT: 106
ASSAY: Xpert MTB/RIF Ultra, COUNT: 947
</t>
  </si>
  <si>
    <t>Cannot Detect GX Modules</t>
  </si>
  <si>
    <t>Checked Connections and GX Setup
Used Different Cables 
Performed Maintenance
Generate Reports</t>
  </si>
  <si>
    <t>Unit is operational. UPS is Defective</t>
  </si>
  <si>
    <t>UPS S/N: 1435400116PS27M</t>
  </si>
  <si>
    <t>https://www.jotform.com/uploads/macarewecare/222927978372067/5496373951213326629/5496373951213326629_signature_28.png</t>
  </si>
  <si>
    <t>https://www.jotform.com/uploads/macarewecare/222927978372067/5496373951213326629/5496373951213326629_signature_31.png</t>
  </si>
  <si>
    <t>Molino III CHU</t>
  </si>
  <si>
    <t>Molino 3, Bacoor</t>
  </si>
  <si>
    <t xml:space="preserve">ASSAY: Xpert MTB/RIF Ultra, COUNT: 460
ASSAY: Xpert HIV-1 Viral Load, COUNT: 12
</t>
  </si>
  <si>
    <t>Monitor has lcd problem</t>
  </si>
  <si>
    <t>Replaced Monitor
Performes Maintenance
Generate reports</t>
  </si>
  <si>
    <t>CNK7470PJ --&gt; QSDN8HA087659</t>
  </si>
  <si>
    <t>Brenguiler I Bagbaguen</t>
  </si>
  <si>
    <t>https://www.jotform.com/uploads/macarewecare/222927978372067/5496373951214181690/5496373951214181690_signature_28.png</t>
  </si>
  <si>
    <t>https://www.jotform.com/uploads/macarewecare/222927978372067/5496373951214181690/5496373951214181690_signature_31.png</t>
  </si>
  <si>
    <t>Rizal ave, Manila</t>
  </si>
  <si>
    <t xml:space="preserve">ASSAY: Xpert HPV, COUNT: 871
ASSAY: Xpert SARS-CoV-2, COUNT: 2988
</t>
  </si>
  <si>
    <t>Temperature error on modules</t>
  </si>
  <si>
    <t>Performed Module replacement
Generate reports</t>
  </si>
  <si>
    <t>5 modules for reporting and 11 modules are operational</t>
  </si>
  <si>
    <t>210069291--&gt; 210077080</t>
  </si>
  <si>
    <t>https://www.jotform.com/uploads/macarewecare/222927978372067/5496373951216786906/5496373951216786906_signature_28.png</t>
  </si>
  <si>
    <t>https://www.jotform.com/uploads/macarewecare/222927978372067/5496373951216786906/5496373951216786906_signature_31.png</t>
  </si>
  <si>
    <t>Kalina Health Hub</t>
  </si>
  <si>
    <t>Marikina</t>
  </si>
  <si>
    <t>jasmin.catral@innovations.org</t>
  </si>
  <si>
    <t xml:space="preserve">ASSAY: Xpert MTB/RIF, COUNT: 332
ASSAY: Xpert MTB/RIF Ultra, COUNT: 1088
</t>
  </si>
  <si>
    <t>Performed maintenance
cleaned cartridge bay, plunger rod, icore and filter
Generated reports</t>
  </si>
  <si>
    <t>Monsour Doctor</t>
  </si>
  <si>
    <t>https://www.jotform.com/uploads/macarewecare/222927978372067/5496372511213552337/5496372511213552337_signature_28.png</t>
  </si>
  <si>
    <t>https://www.jotform.com/uploads/macarewecare/222927978372067/5496372511213552337/5496372511213552337_signature_31.png</t>
  </si>
  <si>
    <t xml:space="preserve">ASSAY: Xpert BCR-ABL Ultra, COUNT: 927
ASSAY: Xpert SARS-CoV-2, COUNT: 526
</t>
  </si>
  <si>
    <t>Performed maintenance 
Removed stuck cartridge 
Generated reports</t>
  </si>
  <si>
    <t>Modules B1,B2, and B3 operational.  Module B4 H/W failed reported already.</t>
  </si>
  <si>
    <t>https://www.jotform.com/uploads/macarewecare/222927978372067/5496372511215265195/5496372511215265195_signature_28.png</t>
  </si>
  <si>
    <t>https://www.jotform.com/uploads/macarewecare/222927978372067/5496372511215265195/5496372511215265195_signature_31.png</t>
  </si>
  <si>
    <t>jhozza.josermt@gmail.com</t>
  </si>
  <si>
    <t xml:space="preserve">ASSAY: Xpert MTB/RIF Ultra, COUNT: 50
ASSAY: Xpert HIV-1 Viral Load, COUNT: 815
</t>
  </si>
  <si>
    <t>Module A1/73328</t>
  </si>
  <si>
    <t>Performed maintenance 
Cleaned cartridge bay, icore, plunger rod. 
Generated reports.</t>
  </si>
  <si>
    <t>Module A1 not operational. Modules A2, A3 and A4 operational.</t>
  </si>
  <si>
    <t>Module A1 disabled.</t>
  </si>
  <si>
    <t>https://www.jotform.com/uploads/macarewecare/222927978372067/5496372511216339022/5496372511216339022_signature_28.png</t>
  </si>
  <si>
    <t>https://www.jotform.com/uploads/macarewecare/222927978372067/5496372511216339022/5496372511216339022_signature_31.png</t>
  </si>
  <si>
    <t>Performed maintenance 
Cleaned cartridge bay, plunger rod, icore and filter.
Generated reports</t>
  </si>
  <si>
    <t>https://www.jotform.com/uploads/macarewecare/222927978372067/5496372511218469282/5496372511218469282_signature_28.png</t>
  </si>
  <si>
    <t>https://www.jotform.com/uploads/macarewecare/222927978372067/5496372511218469282/5496372511218469282_signature_31.png</t>
  </si>
  <si>
    <t>Saint Lukes Extension Center</t>
  </si>
  <si>
    <t>J. Bocobo Street, Ermita</t>
  </si>
  <si>
    <t xml:space="preserve">ASSAY: Xpert MTB/RIF, COUNT: 1652
ASSAY: Xpert MTB/RIF Ultra, COUNT: 2952
ASSAY: Xpert CT/NG, COUNT: 4073
</t>
  </si>
  <si>
    <t>Genexpert Infinity</t>
  </si>
  <si>
    <t>Unit is due for Module Replacement
Unit is due for Preventive Maintenance</t>
  </si>
  <si>
    <t>Preventive Maintenance
Module Replacement
From F1/ 880991 into 702116
From F3/ 642037 into F3 / 699635
From H1/723917 / inti H1/ 608345</t>
  </si>
  <si>
    <t>Unit is Operational. A4 and H4 newly reported</t>
  </si>
  <si>
    <t>GeneXpert Module 6
SN 702116, 608345, 699635</t>
  </si>
  <si>
    <t>G 5022</t>
  </si>
  <si>
    <t>https://www.jotform.com/uploads/macarewecare/222927978372067/5494099072592304078/5494099072592304078_signature_28.png</t>
  </si>
  <si>
    <t>https://www.jotform.com/uploads/macarewecare/222927978372067/5494099072592304078/5494099072592304078_signature_31.png</t>
  </si>
  <si>
    <t xml:space="preserve">ASSAY: Xpert MTB/RIF, COUNT: 975
ASSAY: Xpert SARS-CoV-2, COUNT: 36
</t>
  </si>
  <si>
    <t>Transfer from CTRL to Cebu CHO</t>
  </si>
  <si>
    <t>Raymond G. Laurito</t>
  </si>
  <si>
    <t>https://www.jotform.com/uploads/macarewecare/222927978372067/5493986437129731092/5493986437129731092_signature_28.png</t>
  </si>
  <si>
    <t>https://www.jotform.com/uploads/macarewecare/222927978372067/5493986437129731092/5493986437129731092_signature_31.png</t>
  </si>
  <si>
    <t>Sta Rosa Poblacion Olango Island</t>
  </si>
  <si>
    <t xml:space="preserve">ASSAY: Xpert MTB/RIF, COUNT: 97
</t>
  </si>
  <si>
    <t>Conduct Preventive Maintenance
Clean Icore, Clean Filter
Arcihive Test Results
Back up database
Generate IQR, Sys Log, and Assay Stat</t>
  </si>
  <si>
    <t>Conduct Preventive mainrenance</t>
  </si>
  <si>
    <t>https://www.jotform.com/uploads/macarewecare/222927978372067/5493981645486679251/5493981645486679251_signature_28.png</t>
  </si>
  <si>
    <t>https://www.jotform.com/uploads/macarewecare/222927978372067/5493981645486679251/5493981645486679251_signature_31.png</t>
  </si>
  <si>
    <t xml:space="preserve">ASSAY: Xpert MTB/RIF Ultra, COUNT: 8
ASSAY: Xpert SARS-CoV-2, COUNT: 40
</t>
  </si>
  <si>
    <t>Module B4 H/W fail</t>
  </si>
  <si>
    <t>https://www.jotform.com/uploads/macarewecare/222927978372067/5493978677128867167/5493978677128867167_signature_28.png</t>
  </si>
  <si>
    <t>https://www.jotform.com/uploads/macarewecare/222927978372067/5493978677128867167/5493978677128867167_signature_31.png</t>
  </si>
  <si>
    <t xml:space="preserve">ASSAY: Xpert MTB/RIF, COUNT: 425
ASSAY: Xpert MTB/RIF Ultra, COUNT: 284
</t>
  </si>
  <si>
    <t>Module B4 waiting for module to available</t>
  </si>
  <si>
    <t>https://www.jotform.com/uploads/macarewecare/222927978372067/5493965614646381135/5493965614646381135_signature_28.png</t>
  </si>
  <si>
    <t>https://www.jotform.com/uploads/macarewecare/222927978372067/5493965614646381135/5493965614646381135_signature_31.png</t>
  </si>
  <si>
    <t xml:space="preserve">ASSAY: Xpert MTB/RIF, COUNT: 207
ASSAY: Xpert MTB/RIF Ultra, COUNT: 265
</t>
  </si>
  <si>
    <t>https://www.jotform.com/uploads/macarewecare/222927978372067/5493961764647580140/5493961764647580140_signature_28.png</t>
  </si>
  <si>
    <t>https://www.jotform.com/uploads/macarewecare/222927978372067/5493961764647580140/5493961764647580140_signature_31.png</t>
  </si>
  <si>
    <t xml:space="preserve">ASSAY: Others, COUNT: Backup laptop
</t>
  </si>
  <si>
    <t>Unit for PM.
For installation of backup laptop.
For module replacement of module 1.
For checking of UPS.</t>
  </si>
  <si>
    <t>Performed installation of backup laptop.
Performed module replacement on module 1.
Performed PM.
Performed checking of UPS.</t>
  </si>
  <si>
    <t>PM, module replacement, installation and troubleshooting.</t>
  </si>
  <si>
    <t>Unit is operational. 4 operational modules. UPS's power button is malfunctioning, and is recommended for replacement.</t>
  </si>
  <si>
    <t>GX module D1 (886541) in replacement for defective D1 (615860). Backup laptop LenovoThinkpad (CPH1019F03266) in replacement for defective CPU Lenovo thinkcentre (CPH0421F20801).</t>
  </si>
  <si>
    <t>G 5023</t>
  </si>
  <si>
    <t>https://www.jotform.com/uploads/macarewecare/222927978372067/5493951761422687469/5493951761422687469_signature_28.png</t>
  </si>
  <si>
    <t>https://www.jotform.com/uploads/macarewecare/222927978372067/5493951761422687469/5493951761422687469_signature_31.png</t>
  </si>
  <si>
    <t>San Fernando RHU 2</t>
  </si>
  <si>
    <t xml:space="preserve">ASSAY: Xpert MTB/RIF, COUNT: 233
ASSAY: Xpert MTB/RIF Ultra, COUNT: 614
</t>
  </si>
  <si>
    <t>Performed preventive maintenance
Archived test results
Installation and setup of Xpertcheck
Performed calibration
Gathered reports
Performed functionality test</t>
  </si>
  <si>
    <t>Mark Joseph C. Venzon</t>
  </si>
  <si>
    <t>https://www.jotform.com/uploads/macarewecare/222927978372067/5493949876019651824/5493949876019651824_signature_28.png</t>
  </si>
  <si>
    <t>Ruchard M. Puno</t>
  </si>
  <si>
    <t>https://www.jotform.com/uploads/macarewecare/222927978372067/5493949876019651824/5493949876019651824_signature_31.png</t>
  </si>
  <si>
    <t>Kalaw, Ermita</t>
  </si>
  <si>
    <t>mdsegui.manilamed@gmail.com</t>
  </si>
  <si>
    <t xml:space="preserve">ASSAY: Xpert MTB/RIF, COUNT: 10
</t>
  </si>
  <si>
    <t>Performed suface Cleaning
Performed Plunger Rod Cleaning
Performed Filter Cleaning</t>
  </si>
  <si>
    <t>Unit is operational
Module 2 and 3 are for reporting</t>
  </si>
  <si>
    <t>https://www.jotform.com/uploads/macarewecare/222927978372067/5493881994029126069/5493881994029126069_signature_28.png</t>
  </si>
  <si>
    <t>Michelle Segui</t>
  </si>
  <si>
    <t>https://www.jotform.com/uploads/macarewecare/222927978372067/5493881994029126069/5493881994029126069_signature_31.png</t>
  </si>
  <si>
    <t>Brgy Langgam San Pedro Laguna</t>
  </si>
  <si>
    <t>splhealth2@gmail.com</t>
  </si>
  <si>
    <t xml:space="preserve">ASSAY: Xpert HPV, COUNT: 853
ASSAY: Xpert MTB/RIF, COUNT: 259
ASSAY: Xpert MTB/RIF Ultra, COUNT: 722
ASSAY: Xpert HIV-1 Viral Load, COUNT: 70
</t>
  </si>
  <si>
    <t>Unit for PM.
For installation of new monitor.</t>
  </si>
  <si>
    <t>Performed PM of Genexpert.
Installed new monitor.</t>
  </si>
  <si>
    <t>Unit is operational. 2 operational modules.</t>
  </si>
  <si>
    <t>Aoc monitor (sn QSDN8HA087213) in replacement for defective HP Monitor (sn CNK831082X).</t>
  </si>
  <si>
    <t>DR 9448</t>
  </si>
  <si>
    <t>https://www.jotform.com/uploads/macarewecare/222927978372067/5493859455309621658/5493859455309621658_signature_28.png</t>
  </si>
  <si>
    <t>john carlo insorio</t>
  </si>
  <si>
    <t>https://www.jotform.com/uploads/macarewecare/222927978372067/5493859455309621658/5493859455309621658_signature_31.png</t>
  </si>
  <si>
    <t>National Highway, Brgy. Dahican, Mati City</t>
  </si>
  <si>
    <t>canenciaemar@gmail.com</t>
  </si>
  <si>
    <t xml:space="preserve">ASSAY: Xpert MTB/RIF, COUNT: 173
ASSAY: Xpert MTB/RIF Ultra, COUNT: 1333
</t>
  </si>
  <si>
    <t>Module A3/ SN: 688471 for replacement</t>
  </si>
  <si>
    <t>Replaced the Defective Module A3/ SN: 688471 with new Module SN: 725010</t>
  </si>
  <si>
    <t>https://www.jotform.com/uploads/macarewecare/222927978372067/5493801716764740600/5493801716764740600_signature_28.png</t>
  </si>
  <si>
    <t>Mary Rose Salasinas</t>
  </si>
  <si>
    <t>https://www.jotform.com/uploads/macarewecare/222927978372067/5493801716764740600/5493801716764740600_signature_31.png</t>
  </si>
  <si>
    <t>West Service Road, Western Bicutan</t>
  </si>
  <si>
    <t>labdepttpdh@gmail.com</t>
  </si>
  <si>
    <t xml:space="preserve">ASSAY: Xpert MTB/RIF, COUNT: 859
ASSAY: Xpert MTB/RIF Ultra, COUNT: 1525
ASSAY: Xpert HIV-1 Viral Load, COUNT: 677
</t>
  </si>
  <si>
    <t>Performed Surface Cleaning
Performed Filter Cleaning
Performed Plunger Rod Cleaning</t>
  </si>
  <si>
    <t>Unit is operationanal</t>
  </si>
  <si>
    <t>https://www.jotform.com/uploads/macarewecare/222927978372067/5493368865892871897/5493368865892871897_signature_28.png</t>
  </si>
  <si>
    <t>Angelie Alviar</t>
  </si>
  <si>
    <t>https://www.jotform.com/uploads/macarewecare/222927978372067/5493368865892871897/5493368865892871897_signature_31.png</t>
  </si>
  <si>
    <t>https://www.jotform.com/uploads/macarewecare/222927978372067/5493367733522216325/5493367733522216325_signature_28.png</t>
  </si>
  <si>
    <t>https://www.jotform.com/uploads/macarewecare/222927978372067/5493367733522216325/5493367733522216325_signature_31.png</t>
  </si>
  <si>
    <t xml:space="preserve">ASSAY: Xpert MTB/RIF, COUNT: 1796
</t>
  </si>
  <si>
    <t>https://www.jotform.com/uploads/macarewecare/222927978372067/5493179981165342135/5493179981165342135_signature_28.png</t>
  </si>
  <si>
    <t>https://www.jotform.com/uploads/macarewecare/222927978372067/5493179981165342135/5493179981165342135_signature_31.png</t>
  </si>
  <si>
    <t xml:space="preserve">ASSAY: Xpert MTB/RIF, COUNT: 174
ASSAY: Xpert MTB/RIF Ultra, COUNT: 288
</t>
  </si>
  <si>
    <t>Unit is for calibration this February</t>
  </si>
  <si>
    <t>https://www.jotform.com/uploads/macarewecare/222927978372067/5493178760123608534/5493178760123608534_signature_28.png</t>
  </si>
  <si>
    <t>https://www.jotform.com/uploads/macarewecare/222927978372067/5493178760123608534/5493178760123608534_signature_31.png</t>
  </si>
  <si>
    <t>Kapitan Pepe, Cabanatuan ,Nueva Ecija</t>
  </si>
  <si>
    <t xml:space="preserve">ASSAY: Xpert MTB/RIF Ultra, COUNT: 1481
ASSAY: Xpert MTB/RIF, COUNT: 1136
</t>
  </si>
  <si>
    <t>https://www.jotform.com/uploads/macarewecare/222927978372067/5493178760128946514/5493178760128946514_signature_28.png</t>
  </si>
  <si>
    <t>Maricris SO</t>
  </si>
  <si>
    <t>https://www.jotform.com/uploads/macarewecare/222927978372067/5493178760128946514/5493178760128946514_signature_31.png</t>
  </si>
  <si>
    <t xml:space="preserve">ASSAY: Xpert MTB/RIF, COUNT: 284
ASSAY: Xpert MTB/RIF Ultra, COUNT: 554
</t>
  </si>
  <si>
    <t>Error 4012 on module A1</t>
  </si>
  <si>
    <t>Performed preventive maintenance 
Archived test results
Performed calibration on module A1
Gathered reports
Performed functionality test</t>
  </si>
  <si>
    <t>Unit is operational except modules A2 and A3, sahaky monitor display, alignment error (Auto-adjustment error)</t>
  </si>
  <si>
    <t>Passed Xpertcheck;Monitor for replacement</t>
  </si>
  <si>
    <t>https://www.jotform.com/uploads/macarewecare/222927978372067/5493159542515289676/5493159542515289676_signature_28.png</t>
  </si>
  <si>
    <t>https://www.jotform.com/uploads/macarewecare/222927978372067/5493159542515289676/5493159542515289676_signature_31.png</t>
  </si>
  <si>
    <t>PHILIPPINE RED CROSS-ZAMBOANGA CITY CHAPTER</t>
  </si>
  <si>
    <t>ZAMBOANGA CITY</t>
  </si>
  <si>
    <t>JOSEPH ACEBEDO / GIAN AIZON</t>
  </si>
  <si>
    <t>https://www.jotform.com/uploads/macarewecare/222927978372067/5492987697025869841/5492987697025869841_signature_28.png</t>
  </si>
  <si>
    <t>https://www.jotform.com/uploads/macarewecare/222927978372067/5492987697025869841/5492987697025869841_signature_31.png</t>
  </si>
  <si>
    <t>D.santiago samapaloc mainila</t>
  </si>
  <si>
    <t>tdhiragizawa@gmail.com</t>
  </si>
  <si>
    <t xml:space="preserve">ASSAY: Xpert MTB/RIF, COUNT: 372
ASSAY: Xpert MTB/RIF Ultra, COUNT: 842
</t>
  </si>
  <si>
    <t>A2 753754 continous 2014 error,A4 unable to perform xpertcheck bec of continous booting</t>
  </si>
  <si>
    <t>Performed rexpert check, gathered reports,</t>
  </si>
  <si>
    <t>Rexpert check</t>
  </si>
  <si>
    <t>A3,A4 disable</t>
  </si>
  <si>
    <t>Passed rexpertcheck A2</t>
  </si>
  <si>
    <t>https://www.jotform.com/uploads/macarewecare/222927978372067/5492459386428071094/5492459386428071094_signature_28.png</t>
  </si>
  <si>
    <t>https://www.jotform.com/uploads/macarewecare/222927978372067/5492459386428071094/5492459386428071094_signature_31.png</t>
  </si>
  <si>
    <t>UERMMMC</t>
  </si>
  <si>
    <t>Aurora blvd qc</t>
  </si>
  <si>
    <t>jpppancho11@gmail.com</t>
  </si>
  <si>
    <t>mcs+</t>
  </si>
  <si>
    <t>Check unit, check cable, performed simulation run, performed functionality test</t>
  </si>
  <si>
    <t>https://www.jotform.com/uploads/macarewecare/222927978372067/5492459386428100774/5492459386428100774_signature_28.png</t>
  </si>
  <si>
    <t>Jasper Pancho</t>
  </si>
  <si>
    <t>https://www.jotform.com/uploads/macarewecare/222927978372067/5492459386428100774/5492459386428100774_signature_31.png</t>
  </si>
  <si>
    <t>https://www.jotform.com/uploads/macarewecare/222927978372067/5492295420122509141/5492295420122509141_signature_28.png</t>
  </si>
  <si>
    <t>https://www.jotform.com/uploads/macarewecare/222927978372067/5492295420122509141/5492295420122509141_signature_31.png</t>
  </si>
  <si>
    <t>Poblacion, Braulio E. Dujali. Davao del Norte</t>
  </si>
  <si>
    <t xml:space="preserve">ASSAY: Xpert MTB/RIF, COUNT: 172
ASSAY: Xpert MTB/RIF Ultra, COUNT: 652
</t>
  </si>
  <si>
    <t>Module B1/ SN: 788491 for module replacement</t>
  </si>
  <si>
    <t>Replacement of Defective Module B1/ SN 788491 with new Module SN:672770
Clean Surface Area, Cartridge Bay, Plunger Rod, Fan Filters, and Icore Lens
Generate IQR, Assay Stat and System Log
Archived Test Results</t>
  </si>
  <si>
    <t>https://www.jotform.com/uploads/macarewecare/222927978372067/5492284888911803351/5492284888911803351_signature_28.png</t>
  </si>
  <si>
    <t>https://www.jotform.com/uploads/macarewecare/222927978372067/5492284888911803351/5492284888911803351_signature_31.png</t>
  </si>
  <si>
    <t xml:space="preserve">ASSAY: Xpert MTB/RIF, COUNT: 780
ASSAY: Xpert MTB/RIF Ultra, COUNT: 699
</t>
  </si>
  <si>
    <t>Module A2 &amp; A4 - waiting for module allocation. Module A1 &amp; A3 - operational</t>
  </si>
  <si>
    <t>https://www.jotform.com/uploads/macarewecare/222927978372067/5492243491618772383/5492243491618772383_signature_28.png</t>
  </si>
  <si>
    <t>https://www.jotform.com/uploads/macarewecare/222927978372067/5492243491618772383/5492243491618772383_signature_31.png</t>
  </si>
  <si>
    <t>Poblacion Tampakan</t>
  </si>
  <si>
    <t xml:space="preserve">ASSAY: Xpert MTB/RIF, COUNT: 123
ASSAY: Xpert MTB/RIF Ultra, COUNT: 385
</t>
  </si>
  <si>
    <t>https://www.jotform.com/uploads/macarewecare/222927978372067/5492242054211889032/5492242054211889032_signature_28.png</t>
  </si>
  <si>
    <t>https://www.jotform.com/uploads/macarewecare/222927978372067/5492242054211889032/5492242054211889032_signature_31.png</t>
  </si>
  <si>
    <t xml:space="preserve">ASSAY: Xpert MTB/RIF, COUNT: 158
ASSAY: Xpert MTB/RIF Ultra, COUNT: 77
</t>
  </si>
  <si>
    <t>Performed surface cleaning
Archived test results
Performed Preventive maintenance
Gatherd reports
Performed functionality test</t>
  </si>
  <si>
    <t>Unit is operational except module A3</t>
  </si>
  <si>
    <t>https://www.jotform.com/uploads/macarewecare/222927978372067/5492214358811638185/5492214358811638185_signature_28.png</t>
  </si>
  <si>
    <t>https://www.jotform.com/uploads/macarewecare/222927978372067/5492214358811638185/5492214358811638185_signature_31.png</t>
  </si>
  <si>
    <t>https://www.jotform.com/uploads/macarewecare/222927978372067/5492214338814809362/5492214338814809362_signature_28.png</t>
  </si>
  <si>
    <t>https://www.jotform.com/uploads/macarewecare/222927978372067/5492214338814809362/5492214338814809362_signature_31.png</t>
  </si>
  <si>
    <t>Ward 1 Poblacion,  Minglanilla Cebu</t>
  </si>
  <si>
    <t xml:space="preserve">ASSAY: Xpert MTB/RIF, COUNT: 317
</t>
  </si>
  <si>
    <t>No Errors
For Preventive Maintenance</t>
  </si>
  <si>
    <t>FOR Preventive maintenance</t>
  </si>
  <si>
    <t>1. Conduct Preventive Maintenance
2. Clean Icore, Clean Plunger Rod
3. Remove and filter and replaced new one
4..Generate IQR, Sys Log,  and Gxx files 
5.. Back up database
6. Ups and avr
7. Check Cpu and monitor display
8..check bar code scanner</t>
  </si>
  <si>
    <t>No parts used</t>
  </si>
  <si>
    <t>https://www.jotform.com/uploads/macarewecare/222927978372067/5492145751013095852/5492145751013095852_signature_28.png</t>
  </si>
  <si>
    <t>https://www.jotform.com/uploads/macarewecare/222927978372067/5492145751013095852/5492145751013095852_signature_31.png</t>
  </si>
  <si>
    <t>Mingllanilla Rural Health Unit</t>
  </si>
  <si>
    <t>Ward 1, Mingllanilla Cebu</t>
  </si>
  <si>
    <t>NO Errors</t>
  </si>
  <si>
    <t>1. Conduct Preventive Maintenance
2. Clean Icore, Clean Cartridge Bay, Clean Plunger
3. Clean and change Air Filter
4. Check Ups and AVR
5. Generate IQR, Sys Log, Assay statistics
6. Archive Test results and back Up database</t>
  </si>
  <si>
    <t>No parts</t>
  </si>
  <si>
    <t>https://www.jotform.com/uploads/macarewecare/222927978372067/5492140341014367559/5492140341014367559_signature_28.png</t>
  </si>
  <si>
    <t>https://www.jotform.com/uploads/macarewecare/222927978372067/5492140341014367559/5492140341014367559_signature_31.png</t>
  </si>
  <si>
    <t>https://www.jotform.com/uploads/macarewecare/222927978372067/5492140212112300090/5492140212112300090_signature_28.png</t>
  </si>
  <si>
    <t>https://www.jotform.com/uploads/macarewecare/222927978372067/5492140212112300090/5492140212112300090_signature_31.png</t>
  </si>
  <si>
    <t>https://www.jotform.com/uploads/macarewecare/222927978372067/5492136792119747274/5492136792119747274_signature_28.png</t>
  </si>
  <si>
    <t>https://www.jotform.com/uploads/macarewecare/222927978372067/5492136792119747274/5492136792119747274_signature_31.png</t>
  </si>
  <si>
    <t>West Rembo</t>
  </si>
  <si>
    <t>mcabalosjrpbsp@gmail.com</t>
  </si>
  <si>
    <t>Modules A2 and A3 for Re-XpertCheck</t>
  </si>
  <si>
    <t>Performed maintenance 
Cleaned cartridge bay, icore, plunger rod 
Run XpertCheck on module 
Generated reports</t>
  </si>
  <si>
    <t>Module A1 operational. Module A2/757446 passed and operational, under observation.  Module A4/757448 failed, for reporting. Module A3/757447 already reported.</t>
  </si>
  <si>
    <t>https://www.jotform.com/uploads/macarewecare/222927978372067/5492088644113806708/5492088644113806708_signature_28.png</t>
  </si>
  <si>
    <t>Modesto Abalos</t>
  </si>
  <si>
    <t>https://www.jotform.com/uploads/macarewecare/222927978372067/5492088644113806708/5492088644113806708_signature_31.png</t>
  </si>
  <si>
    <t>321 P. Herrera</t>
  </si>
  <si>
    <t xml:space="preserve">ASSAY: Xpert MTB/RIF, COUNT: 121
ASSAY: Xpert MTB/RIF Ultra, COUNT: 371
ASSAY: Xpert HIV-1 Viral Load, COUNT: 2
</t>
  </si>
  <si>
    <t>Removed stuck cartridge
Performed maintenance 
Cleaned cartridge bay,  icore, plunger rod and filter.
Generated reports</t>
  </si>
  <si>
    <t>https://www.jotform.com/uploads/macarewecare/222927978372067/5492088644116042797/5492088644116042797_signature_28.png</t>
  </si>
  <si>
    <t>JOHN-KARL JIMENEZ</t>
  </si>
  <si>
    <t>https://www.jotform.com/uploads/macarewecare/222927978372067/5492088644116042797/5492088644116042797_signature_31.png</t>
  </si>
  <si>
    <t xml:space="preserve">ASSAY: Xpert SARS-CoV-2, COUNT: 101
</t>
  </si>
  <si>
    <t>Performed Maintenance
Generate reports
Performed selft test and functionality</t>
  </si>
  <si>
    <t>https://www.jotform.com/uploads/macarewecare/222927978372067/5492078044114462181/5492078044114462181_signature_28.png</t>
  </si>
  <si>
    <t>https://www.jotform.com/uploads/macarewecare/222927978372067/5492078044114462181/5492078044114462181_signature_31.png</t>
  </si>
  <si>
    <t>Quiricada, Manila</t>
  </si>
  <si>
    <t xml:space="preserve">ASSAY: Xpert MTB/RIF, COUNT: 810
ASSAY: Xpert MTB/RIF Ultra, COUNT: 1431
ASSAY: Xpert HIV-1 Viral Load, COUNT: 654
</t>
  </si>
  <si>
    <t>Performed Maintenance
Generate Reports
Performed Functionality Test</t>
  </si>
  <si>
    <t>https://www.jotform.com/uploads/macarewecare/222927978372067/5492078044117514341/5492078044117514341_signature_28.png</t>
  </si>
  <si>
    <t>https://www.jotform.com/uploads/macarewecare/222927978372067/5492078044117514341/5492078044117514341_signature_31.png</t>
  </si>
  <si>
    <t>Unit is due for maintenance</t>
  </si>
  <si>
    <t>https://www.jotform.com/uploads/macarewecare/222927978372067/5492078044119353751/5492078044119353751_signature_28.png</t>
  </si>
  <si>
    <t>https://www.jotform.com/uploads/macarewecare/222927978372067/5492078044119353751/5492078044119353751_signature_31.png</t>
  </si>
  <si>
    <t xml:space="preserve">ASSAY: Xpert SARS-CoV-2, COUNT: 2028
</t>
  </si>
  <si>
    <t>Performed Maintenance
Generate Reports
Performed Self-Test and Functionality</t>
  </si>
  <si>
    <t>https://www.jotform.com/uploads/macarewecare/222927978372067/5492078054119842433/5492078054119842433_signature_28.png</t>
  </si>
  <si>
    <t>https://www.jotform.com/uploads/macarewecare/222927978372067/5492078054119842433/5492078054119842433_signature_31.png</t>
  </si>
  <si>
    <t>Samal RHU</t>
  </si>
  <si>
    <t xml:space="preserve">ASSAY: Xpert MTB/RIF, COUNT: 303
ASSAY: Xpert MTB/RIF Ultra, COUNT: 249
</t>
  </si>
  <si>
    <t>Performed surface cleaning
Archived test results
Performed preventive maintenance
Gathered reports
Performed functionality test</t>
  </si>
  <si>
    <t>Unit is operqtional except A1</t>
  </si>
  <si>
    <t>https://www.jotform.com/uploads/macarewecare/222927978372067/5491523108818652950/5491523108818652950_signature_28.png</t>
  </si>
  <si>
    <t>https://www.jotform.com/uploads/macarewecare/222927978372067/5491523108818652950/5491523108818652950_signature_31.png</t>
  </si>
  <si>
    <t>MCU Hospital, Morning Breeze Subdivision, Caloocan City</t>
  </si>
  <si>
    <t>- provided 3 1/2 in. of space, table against wall (aircon)
- asked facility to provide at least 1 KVA UPS (650VA currently installed) to proceed with training with actual running of test
- advised biomed that there is no power coming from outlet (fixed)</t>
  </si>
  <si>
    <t>- checked GX's environment 
* Power source = 220 V
* Room temperature = 25°C
* Heat sources = NA
* Table = Sturdy
- installed unit
- Performed self test on all modules
- Generated reports</t>
  </si>
  <si>
    <t>Unit is operational. All 4 modules are functional. 1 KVA UPS recommended for operation.</t>
  </si>
  <si>
    <t>- table dimensions (16×57×36 in.)</t>
  </si>
  <si>
    <t>https://www.jotform.com/uploads/macarewecare/222927978372067/5491506930229080246/5491506930229080246_signature_28.png</t>
  </si>
  <si>
    <t>https://www.jotform.com/uploads/macarewecare/222927978372067/5491506930229080246/5491506930229080246_signature_31.png</t>
  </si>
  <si>
    <t>Gx Iv</t>
  </si>
  <si>
    <t>Errors 2008, 2037</t>
  </si>
  <si>
    <t>Unit is operational. No hardware problems found. Errors possibly due to cartridge.</t>
  </si>
  <si>
    <t>https://www.jotform.com/uploads/macarewecare/222927978372067/5491506920223260303/5491506920223260303_signature_28.png</t>
  </si>
  <si>
    <t>https://www.jotform.com/uploads/macarewecare/222927978372067/5491506920223260303/5491506920223260303_signature_31.png</t>
  </si>
  <si>
    <t>Talavera, Nueva Ecija</t>
  </si>
  <si>
    <t xml:space="preserve">ASSAY: Xpert MTB/RIF Ultra, COUNT: 100
ASSAY: Xpert HIV-1 Viral Load, COUNT: 49
</t>
  </si>
  <si>
    <t>https://www.jotform.com/uploads/macarewecare/222927978372067/5491494913913124503/5491494913913124503_signature_28.png</t>
  </si>
  <si>
    <t>https://www.jotform.com/uploads/macarewecare/222927978372067/5491494913913124503/5491494913913124503_signature_31.png</t>
  </si>
  <si>
    <t>https://www.jotform.com/uploads/macarewecare/222927978372067/5491494863918747355/5491494863918747355_signature_28.png</t>
  </si>
  <si>
    <t>https://www.jotform.com/uploads/macarewecare/222927978372067/5491494863918747355/5491494863918747355_signature_31.png</t>
  </si>
  <si>
    <t>DOH Compound, J.P Laurel Ave. Bajada, Davao City</t>
  </si>
  <si>
    <t xml:space="preserve">ASSAY: Xpert MTB/RIF, COUNT: 206
ASSAY: Xpert MTB/RIF Ultra, COUNT: 1086
ASSAY: Others, COUNT: 604
</t>
  </si>
  <si>
    <t>GX - IV 4D 10-Colors</t>
  </si>
  <si>
    <t>Other Assay Stat : MTB XDR</t>
  </si>
  <si>
    <t>https://www.jotform.com/uploads/macarewecare/222927978372067/5491477445226126057/5491477445226126057_signature_28.png</t>
  </si>
  <si>
    <t>https://www.jotform.com/uploads/macarewecare/222927978372067/5491477445226126057/5491477445226126057_signature_31.png</t>
  </si>
  <si>
    <t>DOH Compound, J.P Laurel Ave. Bajada. Davao City</t>
  </si>
  <si>
    <t>GX - IV 4L R1</t>
  </si>
  <si>
    <t>Module B1 (S/N: 636452) encounter Hardware Failure</t>
  </si>
  <si>
    <t>Clean Surface Area, Cartridge Bay, Plunger Rod, Icore Lenses
Generate IQR, Assay Stat, and System Log
Archive Data Test Results</t>
  </si>
  <si>
    <t>Module B1 (S/N: 636452) encounter multiple Temperature Errors, subjected for Module Replacement</t>
  </si>
  <si>
    <t>https://www.jotform.com/uploads/macarewecare/222927978372067/5491476425227880260/5491476425227880260_signature_28.png</t>
  </si>
  <si>
    <t>https://www.jotform.com/uploads/macarewecare/222927978372067/5491476425227880260/5491476425227880260_signature_31.png</t>
  </si>
  <si>
    <t>ZAMBOANGA CITY MEDICAL CENTER</t>
  </si>
  <si>
    <t xml:space="preserve">ASSAY: Xpert HPV, COUNT: 265
ASSAY: Xpert MTB/RIF Ultra, COUNT: 4447
ASSAY: Xpert SARS-CoV-2, COUNT: 23356
ASSAY: Xpert HIV-1 Viral Load, COUNT: 219
</t>
  </si>
  <si>
    <t>-PERFORM MODULE C1 REPLACEMEN DEF SN:870952 NEW SN:914832</t>
  </si>
  <si>
    <t>https://www.jotform.com/uploads/macarewecare/222927978372067/5491475381915378923/5491475381915378923_signature_28.png</t>
  </si>
  <si>
    <t>James peniel b cua</t>
  </si>
  <si>
    <t>https://www.jotform.com/uploads/macarewecare/222927978372067/5491475381915378923/5491475381915378923_signature_31.png</t>
  </si>
  <si>
    <t>Cebu Tb reference lab</t>
  </si>
  <si>
    <t>Pull out machine transfer to cebu cho</t>
  </si>
  <si>
    <t>Pull out machine</t>
  </si>
  <si>
    <t>Good</t>
  </si>
  <si>
    <t>Raymond laurito</t>
  </si>
  <si>
    <t>https://www.jotform.com/uploads/macarewecare/222927978372067/5491449494561473396/5491449494561473396_signature_28.png</t>
  </si>
  <si>
    <t>https://www.jotform.com/uploads/macarewecare/222927978372067/5491449494561473396/5491449494561473396_signature_31.png</t>
  </si>
  <si>
    <t>Poblacion Samboan, Cebu</t>
  </si>
  <si>
    <t xml:space="preserve">ASSAY: Xpert MTB/RIF, COUNT: 305
</t>
  </si>
  <si>
    <t>No Error</t>
  </si>
  <si>
    <t>1. Conduct Preventive Maintenance
2. Clean Icore area, clean cartridge bay,
3. Clean Plunger, clean Filter
4. Generate IQR, Sys Log, Gxx files, 
5. Back Up database,  get Assay statistics
4.</t>
  </si>
  <si>
    <t>No parts replaced</t>
  </si>
  <si>
    <t>https://www.jotform.com/uploads/macarewecare/222927978372067/5491444091324146465/5491444091324146465_signature_28.png</t>
  </si>
  <si>
    <t>Shene Anne Senagan</t>
  </si>
  <si>
    <t>https://www.jotform.com/uploads/macarewecare/222927978372067/5491444091324146465/5491444091324146465_signature_31.png</t>
  </si>
  <si>
    <t>Rodriguez corner Nepa, Balut Tondo, Manila</t>
  </si>
  <si>
    <t>Unit is due for troubleshooting
Preventive Maintenance 
Lag while getting archive file
Mouse is also lag and qr code scanner also lag</t>
  </si>
  <si>
    <t>Performed Preventive Maintenance
Performed Troubleshooting 
Reset RAM/plug unplug ram while shutdown</t>
  </si>
  <si>
    <t>Unit is required CPU replacement</t>
  </si>
  <si>
    <t>ERON DUMAGIENG</t>
  </si>
  <si>
    <t>https://www.jotform.com/uploads/macarewecare/222927978372067/5491437797317575366/5491437797317575366_signature_28.png</t>
  </si>
  <si>
    <t>ELIZA JUNIO</t>
  </si>
  <si>
    <t>https://www.jotform.com/uploads/macarewecare/222927978372067/5491437797317575366/5491437797317575366_signature_31.png</t>
  </si>
  <si>
    <t>https://www.jotform.com/uploads/macarewecare/222927978372067/5491437697315947583/5491437697315947583_signature_28.png</t>
  </si>
  <si>
    <t>https://www.jotform.com/uploads/macarewecare/222927978372067/5491437697315947583/5491437697315947583_signature_31.png</t>
  </si>
  <si>
    <t>https://www.jotform.com/uploads/macarewecare/222927978372067/5491436127316682194/5491436127316682194_signature_28.png</t>
  </si>
  <si>
    <t>https://www.jotform.com/uploads/macarewecare/222927978372067/5491436127316682194/5491436127316682194_signature_31.png</t>
  </si>
  <si>
    <t>Calumpang RHU</t>
  </si>
  <si>
    <t xml:space="preserve">ASSAY: Xpert BCR-ABL Ultra, COUNT: 747
ASSAY: Xpert MTB/RIF, COUNT: 730
</t>
  </si>
  <si>
    <t>In good condition</t>
  </si>
  <si>
    <t>Jesson  Tupas</t>
  </si>
  <si>
    <t>https://www.jotform.com/uploads/macarewecare/222927978372067/5491404304122723904/5491404304122723904_signature_28.png</t>
  </si>
  <si>
    <t>Camiña, Janice ,RMT</t>
  </si>
  <si>
    <t>https://www.jotform.com/uploads/macarewecare/222927978372067/5491404304122723904/5491404304122723904_signature_31.png</t>
  </si>
  <si>
    <t>Performed preventive maintenance of Haemonetics MCS+.
Cleaned rotor pumps and unit.
Verified calibration parameters.
Performed simulation running.</t>
  </si>
  <si>
    <t>https://www.jotform.com/uploads/macarewecare/222927978372067/5491379393823868418/5491379393823868418_signature_28.png</t>
  </si>
  <si>
    <t>https://www.jotform.com/uploads/macarewecare/222927978372067/5491379393823868418/5491379393823868418_signature_31.png</t>
  </si>
  <si>
    <t>H. Lopez Tondo, Manila</t>
  </si>
  <si>
    <t xml:space="preserve">ASSAY: Xpert HPV, COUNT: 301
ASSAY: Xpert MTB/RIF, COUNT: 352
ASSAY: Xpert SARS-CoV-2, COUNT: 4045
</t>
  </si>
  <si>
    <t>Unit is due for Preventive Maintenance
Unit is due for Xpertcheck</t>
  </si>
  <si>
    <t>Performed Maintenance
Performed Calibration
A2/612830 Service Required 
A3/633967 Service Required</t>
  </si>
  <si>
    <t>https://www.jotform.com/uploads/macarewecare/222927978372067/5491300596812168725/5491300596812168725_signature_28.png</t>
  </si>
  <si>
    <t>https://www.jotform.com/uploads/macarewecare/222927978372067/5491300596812168725/5491300596812168725_signature_31.png</t>
  </si>
  <si>
    <t>H. Lopez Highway Tondo Manila</t>
  </si>
  <si>
    <t>microscan@tmc.doh.giv.ph</t>
  </si>
  <si>
    <t xml:space="preserve">ASSAY: Xpert HPV, COUNT: 441
ASSAY: Xpert MTB/RIF, COUNT: 487
ASSAY: Xpert MTB/RIF Ultra, COUNT: 757
ASSAY: Xpert SARS-CoV-2, COUNT: 10759
</t>
  </si>
  <si>
    <t>https://www.jotform.com/uploads/macarewecare/222927978372067/5491294886816544756/5491294886816544756_signature_28.png</t>
  </si>
  <si>
    <t>https://www.jotform.com/uploads/macarewecare/222927978372067/5491294886816544756/5491294886816544756_signature_31.png</t>
  </si>
  <si>
    <t>https://www.jotform.com/uploads/macarewecare/222927978372067/5491294686815097682/5491294686815097682_signature_28.png</t>
  </si>
  <si>
    <t>https://www.jotform.com/uploads/macarewecare/222927978372067/5491294686815097682/5491294686815097682_signature_31.png</t>
  </si>
  <si>
    <t>Cuyapo RHU</t>
  </si>
  <si>
    <t xml:space="preserve">ASSAY: Xpert MTB/RIF, COUNT: 598
ASSAY: Xpert MTB/RIF Ultra, COUNT: 499
</t>
  </si>
  <si>
    <t>Performed Maintenance
Gathered Reports
Replaced Monitor
Perform Functionality Test</t>
  </si>
  <si>
    <t>AOC Monitor - QSDN8HA087200</t>
  </si>
  <si>
    <t>https://www.jotform.com/uploads/macarewecare/222927978372067/5491241773912109385/5491241773912109385_signature_28.png</t>
  </si>
  <si>
    <t>Verlaine Ascencion Nervi Verueco Lico</t>
  </si>
  <si>
    <t>https://www.jotform.com/uploads/macarewecare/222927978372067/5491241773912109385/5491241773912109385_signature_31.png</t>
  </si>
  <si>
    <t>Brgy. Anao-aon, San Francisco</t>
  </si>
  <si>
    <t>yakin920@yahoo.com</t>
  </si>
  <si>
    <t>Replacing Module B1 with SN: 788751 to SN: 906758</t>
  </si>
  <si>
    <t>Engr. Faizar S. Avenido</t>
  </si>
  <si>
    <t>https://www.jotform.com/uploads/macarewecare/222927978372067/5491238573024460184/5491238573024460184_signature_28.png</t>
  </si>
  <si>
    <t>Nikki Melody Relliquete</t>
  </si>
  <si>
    <t>https://www.jotform.com/uploads/macarewecare/222927978372067/5491238573024460184/5491238573024460184_signature_31.png</t>
  </si>
  <si>
    <t>ma.michelle.guarnes@medilinx.com.ph</t>
  </si>
  <si>
    <t xml:space="preserve">ASSAY: Xpert BCR-ABL Ultra, COUNT: 2
ASSAY: Xpert C. difficile BT, COUNT: 9
ASSAY: Xpert CT/NG, COUNT: 8
ASSAY: Others, COUNT: 7
ASSAY: Xpert HBV VL, COUNT: 10
ASSAY: Xpert HPV, COUNT: 6
ASSAY: Xpert MTB/RIF Ultra, COUNT: 19
ASSAY: Others, COUNT: 2
ASSAY: Xpert HCV VL, COUNT: 2
</t>
  </si>
  <si>
    <t>Gx4 (10)</t>
  </si>
  <si>
    <t>For troubleshooting barcode scanner</t>
  </si>
  <si>
    <t>Configure barcode scanner,gathered reports,test run scanner,performed functionality test, pull out back up bar code scanner # 1403500505966</t>
  </si>
  <si>
    <t>Return barcode scanner # 21118010556725</t>
  </si>
  <si>
    <t>https://www.jotform.com/uploads/macarewecare/222927978372067/5491193374112106526/5491193374112106526_signature_28.png</t>
  </si>
  <si>
    <t>Ma. Michelle A. Guarnes</t>
  </si>
  <si>
    <t>https://www.jotform.com/uploads/macarewecare/222927978372067/5491193374112106526/5491193374112106526_signature_31.png</t>
  </si>
  <si>
    <t xml:space="preserve">ASSAY: Xpert MTB/RIF, COUNT: 379
ASSAY: Xpert MTB/RIF Ultra, COUNT: 1189
</t>
  </si>
  <si>
    <t>Unit for Preventive Maintenance.
For Xpertcheck of modules A1, A2 and A4.</t>
  </si>
  <si>
    <t>Performed Preventive maintenance of GeneXpert.
Performed troubleshooting on module A1.
Performed Xpertcheck on Modules A2 and A4.</t>
  </si>
  <si>
    <t>Preventive maintenance, Xpertcheck and troubleshooting.</t>
  </si>
  <si>
    <t>Unit is operational. Module A1(731303) is h/w fail and can't be Xpertchecked even after resetting the module. Modules A2(793145) and A4(760160) are Service Required. 1 operational module.</t>
  </si>
  <si>
    <t>Xpertcheck 2pcs</t>
  </si>
  <si>
    <t>DR 9416</t>
  </si>
  <si>
    <t>https://www.jotform.com/uploads/macarewecare/222927978372067/5490761263825214394/5490761263825214394_signature_28.png</t>
  </si>
  <si>
    <t>https://www.jotform.com/uploads/macarewecare/222927978372067/5490761263825214394/5490761263825214394_signature_31.png</t>
  </si>
  <si>
    <t xml:space="preserve">ASSAY: Xpert MTB/RIF, COUNT: 58
ASSAY: Xpert MTB/RIF Ultra, COUNT: 341
</t>
  </si>
  <si>
    <t>Unit for preventive maintenance.
For Xpertcheck of module A2.</t>
  </si>
  <si>
    <t>Performed preventive maintenance of GeneXpert.
Performed XpertCheck on module A2.</t>
  </si>
  <si>
    <t>Unit is operational. Module A2 (721636) service required on Xpertcheck. 3 modules operational.</t>
  </si>
  <si>
    <t>https://www.jotform.com/uploads/macarewecare/222927978372067/5490761263827358753/5490761263827358753_signature_28.png</t>
  </si>
  <si>
    <t>Adettlou Rodriguez</t>
  </si>
  <si>
    <t>https://www.jotform.com/uploads/macarewecare/222927978372067/5490761263827358753/5490761263827358753_signature_31.png</t>
  </si>
  <si>
    <t>BOCAUE RURAL HEALTH UNIT I</t>
  </si>
  <si>
    <t xml:space="preserve">ASSAY: Xpert MTB/RIF, COUNT: 346
ASSAY: Xpert MTB/RIF Ultra, COUNT: 560
</t>
  </si>
  <si>
    <t>UMIT FOR XPERTCHECK</t>
  </si>
  <si>
    <t>PERFORMED CALIBRATION</t>
  </si>
  <si>
    <t>UNIT IS OPERATIONAL. ALL 4 MODULES ARE FUNCTIONAL.</t>
  </si>
  <si>
    <t>RONNEL BELIZAR</t>
  </si>
  <si>
    <t>https://www.jotform.com/uploads/macarewecare/222927978372067/5490619518831870752/5490619518831870752_signature_28.png</t>
  </si>
  <si>
    <t>https://www.jotform.com/uploads/macarewecare/222927978372067/5490619518831870752/5490619518831870752_signature_31.png</t>
  </si>
  <si>
    <t>Eastern Pangasinan</t>
  </si>
  <si>
    <t xml:space="preserve">ASSAY: Xpert MTB/RIF Ultra, COUNT: 70
</t>
  </si>
  <si>
    <t>CPU for installation.</t>
  </si>
  <si>
    <t>Module D4 for follow up.</t>
  </si>
  <si>
    <t>https://www.jotform.com/uploads/macarewecare/222927978372067/5490619518832356265/5490619518832356265_signature_28.png</t>
  </si>
  <si>
    <t>FergyI Aries Escano</t>
  </si>
  <si>
    <t>https://www.jotform.com/uploads/macarewecare/222927978372067/5490619518832356265/5490619518832356265_signature_31.png</t>
  </si>
  <si>
    <t xml:space="preserve">ASSAY: Xpert MTB/RIF, COUNT: 4
ASSAY: Xpert MTB/RIF Ultra, COUNT: 275
ASSAY: Xpert SARS-CoV-2, COUNT: 2039
</t>
  </si>
  <si>
    <t>Modules B2 (S/N: 863783) and B4 (S/N: 863785) are for replacement.
For Preventive Maintenance</t>
  </si>
  <si>
    <t>Perform Module Replacement and Prevent Maintenence</t>
  </si>
  <si>
    <t>Replaced the Defective Module B2 (S/N: 863783) with new Module S/N: 789427
Replaced the defective Module B4 (S/N:863785) with new Module S/N: 635986
Clean Surface Area, Cartridge Bay, Plunger Rod, Fan Filters, Icore Lenses,
Generate IQR, System Log, Assay Stat
Archived Test Results</t>
  </si>
  <si>
    <t>Assay stat Sars CoV count is from SEHI</t>
  </si>
  <si>
    <t>https://www.jotform.com/uploads/macarewecare/222927978372067/5490586187126264049/5490586187126264049_signature_28.png</t>
  </si>
  <si>
    <t>Maria Rosario Mapayo Pino</t>
  </si>
  <si>
    <t>https://www.jotform.com/uploads/macarewecare/222927978372067/5490586187126264049/5490586187126264049_signature_31.png</t>
  </si>
  <si>
    <t>Laboratoey</t>
  </si>
  <si>
    <t xml:space="preserve">ASSAY: Xpert MTB/RIF, COUNT: 327
ASSAY: Xpert MTB/RIF Ultra, COUNT: 656
</t>
  </si>
  <si>
    <t>Xpertcheck B3 and B4 Failed and B1 and B2 passed</t>
  </si>
  <si>
    <t>https://www.jotform.com/uploads/macarewecare/222927978372067/5490548183328162046/5490548183328162046_signature_28.png</t>
  </si>
  <si>
    <t>Andrelyn N. Marquez</t>
  </si>
  <si>
    <t>https://www.jotform.com/uploads/macarewecare/222927978372067/5490548183328162046/5490548183328162046_signature_31.png</t>
  </si>
  <si>
    <t>Poblacion Norala</t>
  </si>
  <si>
    <t xml:space="preserve">ASSAY: Xpert MTB/RIF, COUNT: 414
ASSAY: Xpert MTB/RIF Ultra, COUNT: 566
</t>
  </si>
  <si>
    <t>Gx -4</t>
  </si>
  <si>
    <t>https://www.jotform.com/uploads/macarewecare/222927978372067/5490516124589820585/5490516124589820585_signature_28.png</t>
  </si>
  <si>
    <t>Reziel Deanon Sabido</t>
  </si>
  <si>
    <t>https://www.jotform.com/uploads/macarewecare/222927978372067/5490516124589820585/5490516124589820585_signature_31.png</t>
  </si>
  <si>
    <t xml:space="preserve">ASSAY: Xpert MTB/RIF, COUNT: 239
ASSAY: Xpert MTB/RIF Ultra, COUNT: 191
</t>
  </si>
  <si>
    <t>Performed surface cleaning
Cleaning of filter,plunger rod,iqor and cartridge bay
Archived test results
Gathered reports
Performed functionality test</t>
  </si>
  <si>
    <t>https://www.jotform.com/uploads/macarewecare/222927978372067/5490471228815095087/5490471228815095087_signature_28.png</t>
  </si>
  <si>
    <t>https://www.jotform.com/uploads/macarewecare/222927978372067/5490471228815095087/5490471228815095087_signature_31.png</t>
  </si>
  <si>
    <t>Bicol South Luzon Subnational Reference Laboratory/BRDL</t>
  </si>
  <si>
    <t>lrnosares.pbsp@gmail.com</t>
  </si>
  <si>
    <t xml:space="preserve">ASSAY: Xpert HPV, COUNT: 18
ASSAY: Xpert MTB/RIF Ultra, COUNT: 0
</t>
  </si>
  <si>
    <t>Genexpert 4D</t>
  </si>
  <si>
    <t>Unit is due for CPU replacement</t>
  </si>
  <si>
    <t>Performed CPU Replacement
Performed Preventive Maintenance</t>
  </si>
  <si>
    <t>Lenovo ThinkCenter CPU/ CPH1121F27252</t>
  </si>
  <si>
    <t>https://www.jotform.com/uploads/macarewecare/222927978372067/5490453311214639661/5490453311214639661_signature_28.png</t>
  </si>
  <si>
    <t>LHOUIELYN NOSARES</t>
  </si>
  <si>
    <t>https://www.jotform.com/uploads/macarewecare/222927978372067/5490453311214639661/5490453311214639661_signature_31.png</t>
  </si>
  <si>
    <t>https://www.jotform.com/uploads/macarewecare/222927978372067/5490453201212835733/5490453201212835733_signature_28.png</t>
  </si>
  <si>
    <t>https://www.jotform.com/uploads/macarewecare/222927978372067/5490453201212835733/5490453201212835733_signature_31.png</t>
  </si>
  <si>
    <t>Capt C Nazareno St, Naic</t>
  </si>
  <si>
    <t>Stuck Cartridge in Module 2</t>
  </si>
  <si>
    <t>Removed Cartridge Manually</t>
  </si>
  <si>
    <t>Performed maintenance.
Removed Stuck Cartridge and checked horn cable.
Run Reliability Test
Generate reports.</t>
  </si>
  <si>
    <t>2 modules are defective, 2 modules are opertional</t>
  </si>
  <si>
    <t>https://www.jotform.com/uploads/macarewecare/222927978372067/5490449416914644954/5490449416914644954_signature_28.png</t>
  </si>
  <si>
    <t>https://www.jotform.com/uploads/macarewecare/222927978372067/5490449416914644954/5490449416914644954_signature_31.png</t>
  </si>
  <si>
    <t>Rosario municipal compound</t>
  </si>
  <si>
    <t xml:space="preserve">ASSAY: Xpert MTB/RIF, COUNT: 220
ASSAY: Xpert MTB/RIF Ultra, COUNT: 823
</t>
  </si>
  <si>
    <t>Lost comm in module 2
Temoerature error in module 4</t>
  </si>
  <si>
    <t>Open gx machine
Xpertcheck</t>
  </si>
  <si>
    <t>Reset gateway board
Performed xpertcheck in module 4
Performed maintenance
Generate reports</t>
  </si>
  <si>
    <t>2 modules defective, 2 module operational</t>
  </si>
  <si>
    <t>https://www.jotform.com/uploads/macarewecare/222927978372067/5490449416915172633/5490449416915172633_signature_28.png</t>
  </si>
  <si>
    <t>https://www.jotform.com/uploads/macarewecare/222927978372067/5490449416915172633/5490449416915172633_signature_31.png</t>
  </si>
  <si>
    <t>Icasiano Health Center</t>
  </si>
  <si>
    <t>Pedro gil</t>
  </si>
  <si>
    <t xml:space="preserve">ASSAY: Xpert MTB/RIF, COUNT: 525
ASSAY: Xpert MTB/RIF Ultra, COUNT: 961
</t>
  </si>
  <si>
    <t>Cpu and Monitor Problem</t>
  </si>
  <si>
    <t>Troubleshoot
Maintenance</t>
  </si>
  <si>
    <t>Troubleshoot CPU and monitor
Performed maintenance
Take pictures of problem</t>
  </si>
  <si>
    <t>Not operational. CPU and monitor for Replacement.</t>
  </si>
  <si>
    <t>https://www.jotform.com/uploads/macarewecare/222927978372067/5490449416917670495/5490449416917670495_signature_28.png</t>
  </si>
  <si>
    <t>https://www.jotform.com/uploads/macarewecare/222927978372067/5490449416917670495/5490449416917670495_signature_31.png</t>
  </si>
  <si>
    <t>San Diego, Manila</t>
  </si>
  <si>
    <t xml:space="preserve">ASSAY: Xpert HIV-1 Viral Load, COUNT: 699
</t>
  </si>
  <si>
    <t>GXIV-D 10-C</t>
  </si>
  <si>
    <t>Module 3 with heater problem</t>
  </si>
  <si>
    <t>Maintenance and XpertCheck</t>
  </si>
  <si>
    <t>Performed Maintenance
Performed Xpertcheck in module 3
Generate reports</t>
  </si>
  <si>
    <t>1 defective, 3 operational</t>
  </si>
  <si>
    <t>B3/210002569 - Failed</t>
  </si>
  <si>
    <t>https://www.jotform.com/uploads/macarewecare/222927978372067/5490449416918896084/5490449416918896084_signature_28.png</t>
  </si>
  <si>
    <t>https://www.jotform.com/uploads/macarewecare/222927978372067/5490449416918896084/5490449416918896084_signature_31.png</t>
  </si>
  <si>
    <t>General Trias</t>
  </si>
  <si>
    <t>Self-Test in module</t>
  </si>
  <si>
    <t>Performed Maintenance
Performed Self-Test in Module 1
Generate Reports</t>
  </si>
  <si>
    <t>All modules are operational. Gx unit from Antipolo CHO</t>
  </si>
  <si>
    <t>https://www.jotform.com/uploads/macarewecare/222927978372067/5490449426915895809/5490449426915895809_signature_28.png</t>
  </si>
  <si>
    <t>https://www.jotform.com/uploads/macarewecare/222927978372067/5490449426915895809/5490449426915895809_signature_31.png</t>
  </si>
  <si>
    <t>Replaced CPU
Performed Maintenance</t>
  </si>
  <si>
    <t>Performed maintenance
Replaced with New CPU
Generate reports</t>
  </si>
  <si>
    <t>https://www.jotform.com/uploads/macarewecare/222927978372067/5490449416919998994/5490449416919998994_signature_28.png</t>
  </si>
  <si>
    <t>https://www.jotform.com/uploads/macarewecare/222927978372067/5490449416919998994/5490449416919998994_signature_31.png</t>
  </si>
  <si>
    <t>For XpertCheck 
Module B2 error 2014. Module B3 error 1001/1002</t>
  </si>
  <si>
    <t>Unit is operational. B3/786244 and B4/758212 failed in XpertCheck. Module B2/758210 under observation.</t>
  </si>
  <si>
    <t>Modules B2 B3 and B4 not operational. UPS not powering on.</t>
  </si>
  <si>
    <t>DR#9217</t>
  </si>
  <si>
    <t>https://www.jotform.com/uploads/macarewecare/222927978372067/5490433271215618451/5490433271215618451_signature_28.png</t>
  </si>
  <si>
    <t>Michelle de guzman</t>
  </si>
  <si>
    <t>https://www.jotform.com/uploads/macarewecare/222927978372067/5490433271215618451/5490433271215618451_signature_31.png</t>
  </si>
  <si>
    <t>jhozza.josermt@gmaol.com</t>
  </si>
  <si>
    <t xml:space="preserve">ASSAY: Xpert MTB/RIF Ultra, COUNT: 50
ASSAY: Xpert HIV-1 Viral Load, COUNT: 803
</t>
  </si>
  <si>
    <t>Module A1/733228</t>
  </si>
  <si>
    <t>Run XpertCheck on module A1</t>
  </si>
  <si>
    <t>Performed maintenance 
Run XpertCheck on module A1
Generated reports</t>
  </si>
  <si>
    <t>Module A1/733228 passed the XpertCheck.  Under observation.</t>
  </si>
  <si>
    <t>https://www.jotform.com/uploads/macarewecare/222927978372067/5490433271216145360/5490433271216145360_signature_28.png</t>
  </si>
  <si>
    <t>https://www.jotform.com/uploads/macarewecare/222927978372067/5490433271216145360/5490433271216145360_signature_31.png</t>
  </si>
  <si>
    <t xml:space="preserve">ASSAY: Xpert MTB/RIF Ultra, COUNT: 478
ASSAY: Xpert HIV-1 Viral Load, COUNT: 31
</t>
  </si>
  <si>
    <t>Gx-IV-D</t>
  </si>
  <si>
    <t>Performed maintenance
Cleaned cartridge bay,icore,plunger rod
Generated reports</t>
  </si>
  <si>
    <t>A3/ 754520 HW Failed</t>
  </si>
  <si>
    <t>https://www.jotform.com/uploads/macarewecare/222927978372067/5490433261213096553/5490433261213096553_signature_28.png</t>
  </si>
  <si>
    <t>Rowena T. Laxamana</t>
  </si>
  <si>
    <t>https://www.jotform.com/uploads/macarewecare/222927978372067/5490433261213096553/5490433261213096553_signature_31.png</t>
  </si>
  <si>
    <t xml:space="preserve">ASSAY: Xpert MTB/RIF Ultra, COUNT: 1142
ASSAY: Xpert HIV-1 Viral Load, COUNT: 85
</t>
  </si>
  <si>
    <t>Module A3/657408 has error 1001/1002</t>
  </si>
  <si>
    <t>Run XpertCheck on module A3</t>
  </si>
  <si>
    <t>Performed maintenance
Run XpertCheck on module A3
Cleaned cartridge bay, icore, plunger rod
Generated reports.
Run reliability test on Module A3.</t>
  </si>
  <si>
    <t>Unit is operational. Module A2 and A4 not operational already reported. UPS not powering on.</t>
  </si>
  <si>
    <t>Module A3 passed Xpertcheck. Under observation. Failed in self test.</t>
  </si>
  <si>
    <t>https://www.jotform.com/uploads/macarewecare/222927978372067/5490433261213626801/5490433261213626801_signature_28.png</t>
  </si>
  <si>
    <t>https://www.jotform.com/uploads/macarewecare/222927978372067/5490433261213626801/5490433261213626801_signature_31.png</t>
  </si>
  <si>
    <t>Cainta Health Office</t>
  </si>
  <si>
    <t>Cainta,Rizal</t>
  </si>
  <si>
    <t xml:space="preserve">ASSAY: Xpert MTB/RIF Ultra, COUNT: 446
ASSAY: Xpert HIV-1 Viral Load, COUNT: 25
</t>
  </si>
  <si>
    <t>Performed Maintenance
 cleaned cartridge bay, icore,plunger rod
 Generated reports</t>
  </si>
  <si>
    <t>Unit is  operational.</t>
  </si>
  <si>
    <t>A2/714059 continuous booting</t>
  </si>
  <si>
    <t>https://www.jotform.com/uploads/macarewecare/222927978372067/5490433261213720839/5490433261213720839_signature_28.png</t>
  </si>
  <si>
    <t>Rowen T. LAxamana</t>
  </si>
  <si>
    <t>https://www.jotform.com/uploads/macarewecare/222927978372067/5490433261213720839/5490433261213720839_signature_31.png</t>
  </si>
  <si>
    <t xml:space="preserve">ASSAY: Xpert MTB/RIF Ultra, COUNT: 1237
ASSAY: Xpert HIV-1 Viral Load, COUNT: 126
</t>
  </si>
  <si>
    <t>Performed maintenance 
Cleaned cartridge bay, icore, plunger rod 
Generated reports</t>
  </si>
  <si>
    <t>Module D2 not operational. Already reported. Module</t>
  </si>
  <si>
    <t>https://www.jotform.com/uploads/macarewecare/222927978372067/5490433261217006531/5490433261217006531_signature_28.png</t>
  </si>
  <si>
    <t>https://www.jotform.com/uploads/macarewecare/222927978372067/5490433261217006531/5490433261217006531_signature_31.png</t>
  </si>
  <si>
    <t>Cainta City  Health Office</t>
  </si>
  <si>
    <t>for Maintenance</t>
  </si>
  <si>
    <t>performed maintenance
cleaned  cartridge bay, icore, plunger rod
 Generated reports</t>
  </si>
  <si>
    <t>https://www.jotform.com/uploads/macarewecare/222927978372067/5490433261219940532/5490433261219940532_signature_28.png</t>
  </si>
  <si>
    <t>https://www.jotform.com/uploads/macarewecare/222927978372067/5490433261219940532/5490433261219940532_signature_31.png</t>
  </si>
  <si>
    <t>PHILIPPINE RED CROSS - ORMOC CHAPTER</t>
  </si>
  <si>
    <t>ORMOC CITY</t>
  </si>
  <si>
    <t>limroseline25@gmail.com</t>
  </si>
  <si>
    <t>JOSEPH ACEBEDO</t>
  </si>
  <si>
    <t>https://www.jotform.com/uploads/macarewecare/222927978372067/5490404878816025333/5490404878816025333_signature_28.png</t>
  </si>
  <si>
    <t>ROSELINE L. PURA</t>
  </si>
  <si>
    <t>https://www.jotform.com/uploads/macarewecare/222927978372067/5490404878816025333/5490404878816025333_signature_31.png</t>
  </si>
  <si>
    <t>Cuyegkeng health center</t>
  </si>
  <si>
    <t>Layug st pasay city</t>
  </si>
  <si>
    <t xml:space="preserve">ASSAY: Xpert MTB/RIF, COUNT: 128
ASSAY: Xpert MTB/RIF Ultra, COUNT: 1555
</t>
  </si>
  <si>
    <t>For module replacement, b1 609217 - 807850</t>
  </si>
  <si>
    <t>Cleaned unit,filter,cartridge bay,icore,plunger rod,gathered reports,test run unit,performed module replacement</t>
  </si>
  <si>
    <t>Module replacement,maintenance</t>
  </si>
  <si>
    <t>G4978</t>
  </si>
  <si>
    <t>Noel floresca/ Eron dumagieng</t>
  </si>
  <si>
    <t>https://www.jotform.com/uploads/macarewecare/222927978372067/5488657776427347267/5488657776427347267_signature_28.png</t>
  </si>
  <si>
    <t>https://www.jotform.com/uploads/macarewecare/222927978372067/5488657776427347267/5488657776427347267_signature_31.png</t>
  </si>
  <si>
    <t>Makati medical center</t>
  </si>
  <si>
    <t>PM and calibration</t>
  </si>
  <si>
    <t>Noel floresca/Eron dumaguing</t>
  </si>
  <si>
    <t>https://www.jotform.com/uploads/macarewecare/222927978372067/5488657776427813164/5488657776427813164_signature_28.png</t>
  </si>
  <si>
    <t>SHIERWEN CONCRENIO L</t>
  </si>
  <si>
    <t>https://www.jotform.com/uploads/macarewecare/222927978372067/5488657776427813164/5488657776427813164_signature_31.png</t>
  </si>
  <si>
    <t>Makati city</t>
  </si>
  <si>
    <t>For pull out gx4 805365,1kva ups at1000170815st0163, hp laptop elite book cnu4120vp</t>
  </si>
  <si>
    <t>https://www.jotform.com/uploads/macarewecare/222927978372067/5488109703424870251/5488109703424870251_signature_28.png</t>
  </si>
  <si>
    <t>https://www.jotform.com/uploads/macarewecare/222927978372067/5488109703424870251/5488109703424870251_signature_31.png</t>
  </si>
  <si>
    <t xml:space="preserve">ASSAY: Xpert BCR-ABL Ultra, COUNT: 2
ASSAY: Xpert C. difficile BT, COUNT: 9
ASSAY: Xpert CT/NG, COUNT: 2
ASSAY: Others, COUNT: 7
ASSAY: Xpert HBV VL, COUNT: 10
ASSAY: Xpert HPV, COUNT: 3
ASSAY: Xpert MTB/RIF Ultra, COUNT: 6
ASSAY: Others, COUNT: 2
ASSAY: Xpert HCV VL, COUNT: 2
ASSAY: Xpert HIV-1 Viral Load, COUNT: 11
</t>
  </si>
  <si>
    <t>Bar code scanner encounter double entry 21118010556725</t>
  </si>
  <si>
    <t>Check cable,performed troubleshooting,set default</t>
  </si>
  <si>
    <t>For observation barcode scanner</t>
  </si>
  <si>
    <t>https://www.jotform.com/uploads/macarewecare/222927978372067/5488080843426607583/5488080843426607583_signature_28.png</t>
  </si>
  <si>
    <t>John Paul S. Manzano</t>
  </si>
  <si>
    <t>https://www.jotform.com/uploads/macarewecare/222927978372067/5488080843426607583/5488080843426607583_signature_31.png</t>
  </si>
  <si>
    <t>Abucay RHU</t>
  </si>
  <si>
    <t>parreraledelina22176@gmal.com</t>
  </si>
  <si>
    <t xml:space="preserve">ASSAY: Xpert MTB/RIF, COUNT: 212
ASSAY: Xpert MTB/RIF Ultra, COUNT: 157
</t>
  </si>
  <si>
    <t>Error 2014 on moduke B1, Re-Xpertcheck for module B2</t>
  </si>
  <si>
    <t>Performed preventive maintenance
Archived test result
Peroformed Xpertcheck for modules B1 and B2
Performed functionality test</t>
  </si>
  <si>
    <t>Unit is operational except A4; under observation.</t>
  </si>
  <si>
    <t>Passed Xpertcheck</t>
  </si>
  <si>
    <t>https://www.jotform.com/uploads/macarewecare/222927978372067/5488010719242398052/5488010719242398052_signature_28.png</t>
  </si>
  <si>
    <t>https://www.jotform.com/uploads/macarewecare/222927978372067/5488010719242398052/5488010719242398052_signature_31.png</t>
  </si>
  <si>
    <t>teodysantuajr@gmail.com</t>
  </si>
  <si>
    <t xml:space="preserve">ASSAY: Xpert MTB/RIF, COUNT: 166
ASSAY: Xpert MTB/RIF Ultra, COUNT: 137
</t>
  </si>
  <si>
    <t>Module 4 temperature error</t>
  </si>
  <si>
    <t>Performed xpertcheck on B4 module</t>
  </si>
  <si>
    <t>Xpertcheck B4 - Failed</t>
  </si>
  <si>
    <t>Xpertcheck 2 pc</t>
  </si>
  <si>
    <t>https://www.jotform.com/uploads/macarewecare/222927978372067/5487996450021462012/5487996450021462012_signature_28.png</t>
  </si>
  <si>
    <t>https://www.jotform.com/uploads/macarewecare/222927978372067/5487996450021462012/5487996450021462012_signature_31.png</t>
  </si>
  <si>
    <t>Poblacion, Bansalan</t>
  </si>
  <si>
    <t xml:space="preserve">ASSAY: Xpert MTB/RIF, COUNT: 209
ASSAY: Xpert MTB/RIF Ultra, COUNT: 366
</t>
  </si>
  <si>
    <t>Clean Cartridge Bay, replaced Fan Filters, Plunger Rod, Icore Lenses
Generate IQR, Assay Stat, and System Log
Archived Test Results</t>
  </si>
  <si>
    <t>Module B3 and B4 encounter multiple Temperature Error,</t>
  </si>
  <si>
    <t>Errors reported through JotForm</t>
  </si>
  <si>
    <t>https://www.jotform.com/uploads/macarewecare/222927978372067/5487958776712601147/5487958776712601147_signature_28.png</t>
  </si>
  <si>
    <t>ELLEN  N.  MAYOR</t>
  </si>
  <si>
    <t>https://www.jotform.com/uploads/macarewecare/222927978372067/5487958776712601147/5487958776712601147_signature_31.png</t>
  </si>
  <si>
    <t>Tablon Health Center</t>
  </si>
  <si>
    <t>Tablon, Cagayan de Oro City</t>
  </si>
  <si>
    <t>GeneXpert Equipment Site Transfer</t>
  </si>
  <si>
    <t>GeneXpert Equipment Transfer</t>
  </si>
  <si>
    <t>https://www.jotform.com/uploads/macarewecare/222927978372067/5487869500967140689/5487869500967140689_signature_28.png</t>
  </si>
  <si>
    <t>Charisa Galacio</t>
  </si>
  <si>
    <t>https://www.jotform.com/uploads/macarewecare/222927978372067/5487869500967140689/5487869500967140689_signature_31.png</t>
  </si>
  <si>
    <t>Install additional Genexpert equipment</t>
  </si>
  <si>
    <t>2 GeneXpert equipment installed are operational</t>
  </si>
  <si>
    <t>https://www.jotform.com/uploads/macarewecare/222927978372067/5487869050967367567/5487869050967367567_signature_28.png</t>
  </si>
  <si>
    <t>https://www.jotform.com/uploads/macarewecare/222927978372067/5487869050967367567/5487869050967367567_signature_31.png</t>
  </si>
  <si>
    <t xml:space="preserve">ASSAY: Xpert SARS-CoV-2, COUNT: 17894
</t>
  </si>
  <si>
    <t>B2</t>
  </si>
  <si>
    <t>Performed preventive maintenance
Archived test results
Performed xpertcheck
Gathered reports
Performed functionality test</t>
  </si>
  <si>
    <t>Unit is operational except for modukes B2,B3 and D2</t>
  </si>
  <si>
    <t>Failed Xpertcheck on module B2:</t>
  </si>
  <si>
    <t>https://www.jotform.com/uploads/macarewecare/222927978372067/5487868234416548596/5487868234416548596_signature_28.png</t>
  </si>
  <si>
    <t>https://www.jotform.com/uploads/macarewecare/222927978372067/5487868234416548596/5487868234416548596_signature_31.png</t>
  </si>
  <si>
    <t xml:space="preserve">ASSAY: Xpert HIV-1 Viral Load, COUNT: 1065
</t>
  </si>
  <si>
    <t>https://www.jotform.com/uploads/macarewecare/222927978372067/5487866577179223604/5487866577179223604_signature_28.png</t>
  </si>
  <si>
    <t>Jonnifer c. Ceniza</t>
  </si>
  <si>
    <t>https://www.jotform.com/uploads/macarewecare/222927978372067/5487866577179223604/5487866577179223604_signature_31.png</t>
  </si>
  <si>
    <t>INSTALLATION
GeneXpert Equipment Network</t>
  </si>
  <si>
    <t>Additional installation of GeneXpert Equipment using a network switch</t>
  </si>
  <si>
    <t>Both Genexpert equipment are operational</t>
  </si>
  <si>
    <t>https://www.jotform.com/uploads/macarewecare/222927978372067/5487865580967006519/5487865580967006519_signature_28.png</t>
  </si>
  <si>
    <t>https://www.jotform.com/uploads/macarewecare/222927978372067/5487865580967006519/5487865580967006519_signature_31.png</t>
  </si>
  <si>
    <t>Purok 2, Poblacion, Lianga</t>
  </si>
  <si>
    <t xml:space="preserve">ASSAY: Xpert MTB/RIF, COUNT: 228
ASSAY: Xpert MTB/RIF Ultra, COUNT: 200
</t>
  </si>
  <si>
    <t>Replacing Module B1 w/ SN: 788658 to SN: 669053</t>
  </si>
  <si>
    <t>https://www.jotform.com/uploads/macarewecare/222927978372067/5487833535919977284/5487833535919977284_signature_28.png</t>
  </si>
  <si>
    <t>https://www.jotform.com/uploads/macarewecare/222927978372067/5487833535919977284/5487833535919977284_signature_31.png</t>
  </si>
  <si>
    <t>Lake Sebu RHU</t>
  </si>
  <si>
    <t xml:space="preserve">ASSAY: Xpert MTB/RIF, COUNT: 339
ASSAY: Xpert MTB/RIF Ultra, COUNT: 206
</t>
  </si>
  <si>
    <t>Gx machine In Good condition</t>
  </si>
  <si>
    <t>https://www.jotform.com/uploads/macarewecare/222927978372067/5487826823849783775/5487826823849783775_signature_28.png</t>
  </si>
  <si>
    <t>https://www.jotform.com/uploads/macarewecare/222927978372067/5487826823849783775/5487826823849783775_signature_31.png</t>
  </si>
  <si>
    <t>Langatian pres. Manuel A. Roxas, Zamboanga del norte</t>
  </si>
  <si>
    <t>Maythel.tres@gmail.com</t>
  </si>
  <si>
    <t>Module replacement, preventive maintenance</t>
  </si>
  <si>
    <t>https://www.jotform.com/uploads/macarewecare/222927978372067/5487796476319513722/5487796476319513722_signature_28.png</t>
  </si>
  <si>
    <t>Maythel c. Tomimbang</t>
  </si>
  <si>
    <t>https://www.jotform.com/uploads/macarewecare/222927978372067/5487796476319513722/5487796476319513722_signature_31.png</t>
  </si>
  <si>
    <t>Davao del Norte Hospital - Igacos</t>
  </si>
  <si>
    <t>Island Garden City of Samal, Davao del Norte</t>
  </si>
  <si>
    <t xml:space="preserve">ASSAY: Xpert MTB/RIF, COUNT: 155
ASSAY: Xpert MTB/RIF Ultra, COUNT: 995
</t>
  </si>
  <si>
    <t>-Module B1/602699 - Xpertcheck service required
-2 modules retry for calibration</t>
  </si>
  <si>
    <t>-Replace defective module SN: 602699 with new module SN: 913008
-Run Xpertcheck on module B3 &amp; B4</t>
  </si>
  <si>
    <t>Module B1 &amp; B2 are functional. Module B3 &amp; B4 service required/for replacement.</t>
  </si>
  <si>
    <t>GeneXpert area accumulates dust quickly.</t>
  </si>
  <si>
    <t>https://www.jotform.com/uploads/macarewecare/222927978372067/5487796297729480323/5487796297729480323_signature_28.png</t>
  </si>
  <si>
    <t>Allen Glenn Soriano</t>
  </si>
  <si>
    <t>https://www.jotform.com/uploads/macarewecare/222927978372067/5487796297729480323/5487796297729480323_signature_31.png</t>
  </si>
  <si>
    <t>Poblacion, Kolambugan, Lanao del Norte</t>
  </si>
  <si>
    <t>H/W Fail Module A2 SN : 695606
LCD Monitor Display Issue</t>
  </si>
  <si>
    <t>Module Replacement
GeneXpert 6-Color Module SN: 657677
Monitor Replacement
Monitor 21.5" Flat Panel</t>
  </si>
  <si>
    <t>https://www.jotform.com/uploads/macarewecare/222927978372067/5487781562026795383/5487781562026795383_signature_28.png</t>
  </si>
  <si>
    <t>https://www.jotform.com/uploads/macarewecare/222927978372067/5487781562026795383/5487781562026795383_signature_31.png</t>
  </si>
  <si>
    <t>East ave. Diliman q.c</t>
  </si>
  <si>
    <t xml:space="preserve">ASSAY: Xpert BCR-ABL Ultra, COUNT: 144
ASSAY: Others, COUNT: 16
ASSAY: Others, COUNT: 1
ASSAY: Xpert HBV VL, COUNT: 9
ASSAY: Xpert MTB/RIF, COUNT: 1002
ASSAY: Xpert SARS-CoV-2, COUNT: 15782
ASSAY: Xpert HCV VL, COUNT: 4
ASSAY: Others, COUNT: 9
</t>
  </si>
  <si>
    <t>For module replacement a4 210028984 - 882420 D3 210028995 -800477</t>
  </si>
  <si>
    <t>Performed module replacement Cleaned unit,filter,cartridge bay,icore,plunger rod,gathered reports,test run unit</t>
  </si>
  <si>
    <t>G5014</t>
  </si>
  <si>
    <t>https://www.jotform.com/uploads/macarewecare/222927978372067/5487224980017251749/5487224980017251749_signature_28.png</t>
  </si>
  <si>
    <t>https://www.jotform.com/uploads/macarewecare/222927978372067/5487224980017251749/5487224980017251749_signature_31.png</t>
  </si>
  <si>
    <t>Bagong pag Asa health center</t>
  </si>
  <si>
    <t xml:space="preserve">ASSAY: Xpert HPV, COUNT: 60
ASSAY: Xpert MTB/RIF, COUNT: 250
ASSAY: Xpert MTB/RIF Ultra, COUNT: 831
</t>
  </si>
  <si>
    <t>Loss communication during process module A2</t>
  </si>
  <si>
    <t>Cleaned unit,filter,cartridge bay,icore,plunger rod,gathered reports,test run unit
Swap A2 module location to A1 position,replaced cable</t>
  </si>
  <si>
    <t>For observation A2 module</t>
  </si>
  <si>
    <t>https://www.jotform.com/uploads/macarewecare/222927978372067/5487224980018582249/5487224980018582249_signature_28.png</t>
  </si>
  <si>
    <t>Ellendale Lorilla</t>
  </si>
  <si>
    <t>https://www.jotform.com/uploads/macarewecare/222927978372067/5487224980018582249/5487224980018582249_signature_31.png</t>
  </si>
  <si>
    <t>Hospital drive Tarlac City</t>
  </si>
  <si>
    <t xml:space="preserve">ASSAY: Xpert MTB/RIF, COUNT: 30
ASSAY: Xpert SARS-CoV-2, COUNT: 535
</t>
  </si>
  <si>
    <t>Performed CPU replacement
Backup data
Performed functionqlity test</t>
  </si>
  <si>
    <t>Repair and installation</t>
  </si>
  <si>
    <t>Backup old files to follow</t>
  </si>
  <si>
    <t>https://www.jotform.com/uploads/macarewecare/222927978372067/5487135547153820721/5487135547153820721_signature_28.png</t>
  </si>
  <si>
    <t>https://www.jotform.com/uploads/macarewecare/222927978372067/5487135547153820721/5487135547153820721_signature_31.png</t>
  </si>
  <si>
    <t>Banawe st. Quezon City</t>
  </si>
  <si>
    <t>Unit is due for backup laptop installation</t>
  </si>
  <si>
    <t>Laptop Installation</t>
  </si>
  <si>
    <t>Backup Laptop Replacement</t>
  </si>
  <si>
    <t>Laptop Lenovo Thinkpad</t>
  </si>
  <si>
    <t>G-5013</t>
  </si>
  <si>
    <t>https://www.jotform.com/uploads/macarewecare/222927978372067/5487100018916604204/5487100018916604204_signature_28.png</t>
  </si>
  <si>
    <t>Stella Maree C. Bernardo,RMT</t>
  </si>
  <si>
    <t>https://www.jotform.com/uploads/macarewecare/222927978372067/5487100018916604204/5487100018916604204_signature_31.png</t>
  </si>
  <si>
    <t xml:space="preserve">ASSAY: Xpert MTB/RIF, COUNT: 513
ASSAY: Xpert MTB/RIF Ultra, COUNT: 1399
</t>
  </si>
  <si>
    <t>Unit for Preventive Maintenance.
For Xpertcheck of Modules 1, 2 and 3.</t>
  </si>
  <si>
    <t>Performed preventive maintenance.
Performed Xpertcheck on Modules 1, 2 and 3.</t>
  </si>
  <si>
    <t>Unit is operational. Module A2 (753694) service required.
For replacement of keyboard, some keys are not functioning.
3 working modules.</t>
  </si>
  <si>
    <t>Xpertcheck 3pcs</t>
  </si>
  <si>
    <t>https://www.jotform.com/uploads/macarewecare/222927978372067/5487096039818280371/5487096039818280371_signature_28.png</t>
  </si>
  <si>
    <t>https://www.jotform.com/uploads/macarewecare/222927978372067/5487096039818280371/5487096039818280371_signature_31.png</t>
  </si>
  <si>
    <t>Purok 3, Barangay 4, San Francisco</t>
  </si>
  <si>
    <t xml:space="preserve">ASSAY: Xpert MTB/RIF, COUNT: 466
ASSAY: Xpert MTB/RIF Ultra, COUNT: 229
</t>
  </si>
  <si>
    <t>Replacing Module B1 w/ SN: 682799 to 674763</t>
  </si>
  <si>
    <t>https://www.jotform.com/uploads/macarewecare/222927978372067/5487081794865061343/5487081794865061343_signature_28.png</t>
  </si>
  <si>
    <t>Angelica Periabras</t>
  </si>
  <si>
    <t>https://www.jotform.com/uploads/macarewecare/222927978372067/5487081794865061343/5487081794865061343_signature_31.png</t>
  </si>
  <si>
    <t>RH10, COTABATO CITY</t>
  </si>
  <si>
    <t xml:space="preserve">ASSAY: Xpert MTB/RIF, COUNT: 932
ASSAY: Xpert MTB/RIF Ultra, COUNT: 680
</t>
  </si>
  <si>
    <t>GX IV- 4D</t>
  </si>
  <si>
    <t>Clean Cartridge Bay, surface Area, Plunger Rod, Fan Filters, and Icore Lenses
Generate IQR, Assay Stat, and System Log
Archived Data test results</t>
  </si>
  <si>
    <t>https://www.jotform.com/uploads/macarewecare/222927978372067/5486913409973643053/5486913409973643053_signature_28.png</t>
  </si>
  <si>
    <t>EMELYN AGUSTIN CADIZ, RMT</t>
  </si>
  <si>
    <t>https://www.jotform.com/uploads/macarewecare/222927978372067/5486913409973643053/5486913409973643053_signature_31.png</t>
  </si>
  <si>
    <t>N.S. Amoranto  St. Quezon City</t>
  </si>
  <si>
    <t xml:space="preserve">ASSAY: Xpert HPV, COUNT: 1
ASSAY: Xpert HPV, COUNT: 42
ASSAY: Xpert MTB/RIF Ultra, COUNT: 3165
</t>
  </si>
  <si>
    <t>Unit for Preventive Maintenance.
 For troubleshooting  of Module A2.</t>
  </si>
  <si>
    <t>Performed Preventive Maintenance. 
Cleaned docking bay, plunger, icore &amp; filter.
Performed troubleshooting of module A2.
Performed selftest &amp; functionality test.</t>
  </si>
  <si>
    <t>Preventive Maintenance and troubleshooting.</t>
  </si>
  <si>
    <t>Unit is operational. Enabled module 2 for running. 4 modules operational.</t>
  </si>
  <si>
    <t>https://www.jotform.com/uploads/macarewecare/222927978372067/5486437659819095693/5486437659819095693_signature_28.png</t>
  </si>
  <si>
    <t>Rheizza Daphne Salvilla</t>
  </si>
  <si>
    <t>https://www.jotform.com/uploads/macarewecare/222927978372067/5486437659819095693/5486437659819095693_signature_31.png</t>
  </si>
  <si>
    <t xml:space="preserve">ASSAY: Xpert HPV, COUNT: 2
ASSAY: Xpert MTB/RIF, COUNT: 449
ASSAY: Xpert MTB/RIF Ultra, COUNT: 1078
</t>
  </si>
  <si>
    <t>Performed Preventive Maintenance of GeneXpert.
Performed Xpertcheck.</t>
  </si>
  <si>
    <t>Unit is operational. Module A1 (638087), A2 (678005) and A3 (702275) are Service Required.</t>
  </si>
  <si>
    <t>Xpertcheck 4pcs</t>
  </si>
  <si>
    <t>https://www.jotform.com/uploads/macarewecare/222927978372067/5486437689816165285/5486437689816165285_signature_28.png</t>
  </si>
  <si>
    <t>https://www.jotform.com/uploads/macarewecare/222927978372067/5486437689816165285/5486437689816165285_signature_31.png</t>
  </si>
  <si>
    <t xml:space="preserve">ASSAY: Xpert MTB/RIF Ultra, COUNT: N/a
</t>
  </si>
  <si>
    <t>Unit for PM.
For installation of backup CPU.
For checking of monitor.</t>
  </si>
  <si>
    <t>Performed PM of GeneXpert.
Performed installation of backup CPU.
Checked monitor.</t>
  </si>
  <si>
    <t>Preventive Maintenance and installation of CPU.</t>
  </si>
  <si>
    <t>Unit is operational. Monitor has dead pixel on bottom part horizontally and is subject for replacement.</t>
  </si>
  <si>
    <t>HP Z240 SFF Workstation (sn 2UA8471VR2) as backup in replacement for defective CPU (sn 2UA8471VZN).</t>
  </si>
  <si>
    <t>https://www.jotform.com/uploads/macarewecare/222927978372067/5486437699817139537/5486437699817139537_signature_28.png</t>
  </si>
  <si>
    <t>https://www.jotform.com/uploads/macarewecare/222927978372067/5486437699817139537/5486437699817139537_signature_31.png</t>
  </si>
  <si>
    <t xml:space="preserve">ASSAY: Xpert HPV, COUNT: 176
ASSAY: Xpert MTB/RIF Ultra, COUNT: 4002
</t>
  </si>
  <si>
    <t>Unit for Preventive  Maintenance.</t>
  </si>
  <si>
    <t>Performed Preventive Maintenance.
Cleaned docking bay, plunger, icore and filter.</t>
  </si>
  <si>
    <t>Unitmis operational.</t>
  </si>
  <si>
    <t>https://www.jotform.com/uploads/macarewecare/222927978372067/5486437659819568277/5486437659819568277_signature_28.png</t>
  </si>
  <si>
    <t>https://www.jotform.com/uploads/macarewecare/222927978372067/5486437659819568277/5486437659819568277_signature_31.png</t>
  </si>
  <si>
    <t>Sultan kudarat</t>
  </si>
  <si>
    <t xml:space="preserve">ASSAY: Xpert MTB/RIF, COUNT: 463
ASSAY: Xpert MTB/RIF Ultra, COUNT: 215
</t>
  </si>
  <si>
    <t>Modules B1 and B2 for Service Required</t>
  </si>
  <si>
    <t>Replace module B1 SN:695616 with new Module SN: 801637
Replace module B2 SN: 695619 with new Module SN: 657296
Genexpert machine Preventive maintenance</t>
  </si>
  <si>
    <t>Jesson P. Tupas</t>
  </si>
  <si>
    <t>https://www.jotform.com/uploads/macarewecare/222927978372067/5486284266904509174/5486284266904509174_signature_28.png</t>
  </si>
  <si>
    <t>https://www.jotform.com/uploads/macarewecare/222927978372067/5486284266904509174/5486284266904509174_signature_31.png</t>
  </si>
  <si>
    <t xml:space="preserve">ASSAY: Xpert MTB/RIF, COUNT: 247
ASSAY: Xpert MTB/RIF Ultra, COUNT: 141
</t>
  </si>
  <si>
    <t>Defective monitor</t>
  </si>
  <si>
    <t>Performed preventive maintenance
Replaced defective monitor
Installed HIV Viral Load assay
Gathered reports
Performed functionality test</t>
  </si>
  <si>
    <t>Imstallation and repair</t>
  </si>
  <si>
    <t>Monitor serial number QSDN8HA087212</t>
  </si>
  <si>
    <t>https://www.jotform.com/uploads/macarewecare/222927978372067/5486251642613396285/5486251642613396285_signature_28.png</t>
  </si>
  <si>
    <t>https://www.jotform.com/uploads/macarewecare/222927978372067/5486251642613396285/5486251642613396285_signature_31.png</t>
  </si>
  <si>
    <t>https://www.jotform.com/uploads/macarewecare/222927978372067/5486248378813006614/5486248378813006614_signature_28.png</t>
  </si>
  <si>
    <t>DEBBIE JOYCE A. BAGA,RMT</t>
  </si>
  <si>
    <t>https://www.jotform.com/uploads/macarewecare/222927978372067/5486248378813006614/5486248378813006614_signature_31.png</t>
  </si>
  <si>
    <t>Clark Global City Pampanga</t>
  </si>
  <si>
    <t xml:space="preserve">ASSAY: Xpert HPV, COUNT: 8
ASSAY: Xpert MTB/RIF, COUNT: 33
ASSAY: Xpert MTB/RIF Ultra, COUNT: 130
ASSAY: Xpert CT/NG, COUNT: 4
</t>
  </si>
  <si>
    <t>Performed Maintenance (Cleaned Icore, Cleaned Plunger Rod, Cleaned Filter, Cleaned Cartridge Bay)
Gathered Reports
Insatalled HCV assay
Performed Functionality Test</t>
  </si>
  <si>
    <t>https://www.jotform.com/uploads/macarewecare/222927978372067/5486232064913988496/5486232064913988496_signature_28.png</t>
  </si>
  <si>
    <t>Vince Jilmer C. Nambio</t>
  </si>
  <si>
    <t>https://www.jotform.com/uploads/macarewecare/222927978372067/5486232064913988496/5486232064913988496_signature_31.png</t>
  </si>
  <si>
    <t>National Higway, Poblacion, Bislig City</t>
  </si>
  <si>
    <t>gnovero@yahoo.com</t>
  </si>
  <si>
    <t>Replacing Module B2 w/ SN: 743259 to SN: 765175
Replacing Module B3 w/ SN: 647942 to SN: 723764</t>
  </si>
  <si>
    <t>All modules are now operational</t>
  </si>
  <si>
    <t>Faizar S. Avenido</t>
  </si>
  <si>
    <t>https://www.jotform.com/uploads/macarewecare/222927978372067/5486220444026072208/5486220444026072208_signature_28.png</t>
  </si>
  <si>
    <t>https://www.jotform.com/uploads/macarewecare/222927978372067/5486220444026072208/5486220444026072208_signature_31.png</t>
  </si>
  <si>
    <t xml:space="preserve">ASSAY: Xpert MTB/RIF, COUNT: 786
ASSAY: Xpert MTB/RIF Ultra, COUNT: 641
</t>
  </si>
  <si>
    <t>A1 &amp; A3 are functional. Waiting for module allocation for A2 &amp; A4</t>
  </si>
  <si>
    <t>https://www.jotform.com/uploads/macarewecare/222927978372067/5485455748815145840/5485455748815145840_signature_28.png</t>
  </si>
  <si>
    <t>Fatimah maraviles</t>
  </si>
  <si>
    <t>https://www.jotform.com/uploads/macarewecare/222927978372067/5485455748815145840/5485455748815145840_signature_31.png</t>
  </si>
  <si>
    <t>ZAMBOANGA DEL NORTE MEDICAL CENTER</t>
  </si>
  <si>
    <t>DIPOLOG CITY</t>
  </si>
  <si>
    <t xml:space="preserve">ASSAY: Xpert MTB/RIF Ultra, COUNT: 240
</t>
  </si>
  <si>
    <t>-FOR B1 MODULE REPLACEMENT
-MODULE B3 STUCK CARTRIDGE
-MODULE B4 ERROR 1001</t>
  </si>
  <si>
    <t>-REPLACE DEFECTIVE MODULE B1 SN: 695735
WITH NEW SN:635857
-STUCK CARTRIDGE ISSUE RESOLVED</t>
  </si>
  <si>
    <t>https://www.jotform.com/uploads/macarewecare/222927978372067/5485179598818889747/5485179598818889747_signature_28.png</t>
  </si>
  <si>
    <t>THELMA Y. MORGIA WABE; RMT; RN</t>
  </si>
  <si>
    <t>https://www.jotform.com/uploads/macarewecare/222927978372067/5485179598818889747/5485179598818889747_signature_31.png</t>
  </si>
  <si>
    <t>DIPOLOG CITY HEALTH OFFICE</t>
  </si>
  <si>
    <t xml:space="preserve">ASSAY: Xpert MTB/RIF Ultra, COUNT: 628
ASSAY: Xpert HIV-1 Viral Load, COUNT: 41
</t>
  </si>
  <si>
    <t>-PERFORM MODULE B1  REPLACEMENT 
DEFECTIVE SN: 787167
NEW SN:            611328</t>
  </si>
  <si>
    <t>https://www.jotform.com/uploads/macarewecare/222927978372067/5485175408811719255/5485175408811719255_signature_28.png</t>
  </si>
  <si>
    <t>JAMES ZEBEDEE C. EBRON</t>
  </si>
  <si>
    <t>https://www.jotform.com/uploads/macarewecare/222927978372067/5485175408811719255/5485175408811719255_signature_31.png</t>
  </si>
  <si>
    <t>Pamplona rhu</t>
  </si>
  <si>
    <t>Pamplona camarines sur</t>
  </si>
  <si>
    <t xml:space="preserve">ASSAY: Xpert MTB/RIF, COUNT: 381
ASSAY: Xpert MTB/RIF Ultra, COUNT: 626
</t>
  </si>
  <si>
    <t>For module replacment a3 758215 - 637299 a4 731314 - 711531</t>
  </si>
  <si>
    <t>Performed module replacement ,cleaned unit,filter,icore,cartridge bay,plunger,gathered reports,test run unit</t>
  </si>
  <si>
    <t>https://www.jotform.com/uploads/macarewecare/222927978372067/5480857833322521619/5480857833322521619_signature_28.png</t>
  </si>
  <si>
    <t>https://www.jotform.com/uploads/macarewecare/222927978372067/5480857833322521619/5480857833322521619_signature_31.png</t>
  </si>
  <si>
    <t>IBA Rural Health Unit</t>
  </si>
  <si>
    <t xml:space="preserve">ASSAY: Xpert MTB/RIF, COUNT: 745
ASSAY: Xpert MTB/RIF Ultra, COUNT: 942
ASSAY: Xpert HIV-1 Viral Load, COUNT: 22
</t>
  </si>
  <si>
    <t>Module replacement for defective module B1</t>
  </si>
  <si>
    <t>Performed Preventive maintenance
Generate Pre IQR
Performed module replacement
Generate post IQR and gathered reports
Performed functionality test</t>
  </si>
  <si>
    <t>Defective module SN:713337</t>
  </si>
  <si>
    <t>Genexpert module New SN:654694</t>
  </si>
  <si>
    <t>https://www.jotform.com/uploads/macarewecare/222927978372067/5480838573225980329/5480838573225980329_signature_28.png</t>
  </si>
  <si>
    <t>https://www.jotform.com/uploads/macarewecare/222927978372067/5480838573225980329/5480838573225980329_signature_31.png</t>
  </si>
  <si>
    <t>faye_kharizze@yahoo.com</t>
  </si>
  <si>
    <t xml:space="preserve">ASSAY: Xpert MTB/RIF, COUNT: 170
ASSAY: Xpert MTB/RIF Ultra, COUNT: 129
</t>
  </si>
  <si>
    <t>Module 4</t>
  </si>
  <si>
    <t>Performed Xpertcheck on A4 module</t>
  </si>
  <si>
    <t>Xpertcheck A4 - retry</t>
  </si>
  <si>
    <t>https://www.jotform.com/uploads/macarewecare/222927978372067/5480326046319697976/5480326046319697976_signature_28.png</t>
  </si>
  <si>
    <t>KHARIZZE FAJARDO</t>
  </si>
  <si>
    <t>https://www.jotform.com/uploads/macarewecare/222927978372067/5480326046319697976/5480326046319697976_signature_31.png</t>
  </si>
  <si>
    <t>maryelainetolidanes@gmail.com</t>
  </si>
  <si>
    <t xml:space="preserve">ASSAY: Xpert HPV, COUNT: 1771
ASSAY: Xpert MTB/RIF Ultra, COUNT: 34
ASSAY: Xpert SARS-CoV-2, COUNT: 192
</t>
  </si>
  <si>
    <t>For module replacement b2 220001508 - 886130</t>
  </si>
  <si>
    <t>Performed maintenance,cleaned filter,plunger,cartridge bay,gathered reports,perforemed module replacement</t>
  </si>
  <si>
    <t>G5003</t>
  </si>
  <si>
    <t>https://www.jotform.com/uploads/macarewecare/222927978372067/5480282999587543686/5480282999587543686_signature_28.png</t>
  </si>
  <si>
    <t>MARY ELAINE TOLIDANES</t>
  </si>
  <si>
    <t>https://www.jotform.com/uploads/macarewecare/222927978372067/5480282999587543686/5480282999587543686_signature_31.png</t>
  </si>
  <si>
    <t>Mauban Municipal Health Office Molecular Laboratory</t>
  </si>
  <si>
    <t>Signal Street, Mauban, Quezon</t>
  </si>
  <si>
    <t>maubanmhomolecular.laboratory@gmail.com</t>
  </si>
  <si>
    <t>GeneXpert GXIV-D-10C</t>
  </si>
  <si>
    <t>Installed GeneXpert unit
Configured accounts
Setup the software
Conducted basic operators training
Perfirmed functionality test</t>
  </si>
  <si>
    <t>Unit is operational with 4 modules</t>
  </si>
  <si>
    <t>GeneXpert GXIV-D-10C Set with UPS and Printer</t>
  </si>
  <si>
    <t>SI 94545 and DR 9430</t>
  </si>
  <si>
    <t>Carlos Leniel C. Origenes</t>
  </si>
  <si>
    <t>https://www.jotform.com/uploads/macarewecare/222927978372067/5480179841224643501/5480179841224643501_signature_28.png</t>
  </si>
  <si>
    <t>Lady Angel R. Astoveza</t>
  </si>
  <si>
    <t>https://www.jotform.com/uploads/macarewecare/222927978372067/5480179841224643501/5480179841224643501_signature_31.png</t>
  </si>
  <si>
    <t>Poblacion, Lambayong Sultan Kudarat</t>
  </si>
  <si>
    <t xml:space="preserve">ASSAY: Xpert MTB/RIF, COUNT: 160
ASSAY: Xpert MTB/RIF Ultra, COUNT: 278
</t>
  </si>
  <si>
    <t>Gx IV - 4d</t>
  </si>
  <si>
    <t>Clean Surface Area, Cartridge Bay, Fan Filters, Plunger Rod, and Icore Lens
Generate IQR, Assay Stat, System Log
Archived Test Results</t>
  </si>
  <si>
    <t>https://www.jotform.com/uploads/macarewecare/222927978372067/5480176076226953734/5480176076226953734_signature_28.png</t>
  </si>
  <si>
    <t>Jean K. Alonzo RMT</t>
  </si>
  <si>
    <t>https://www.jotform.com/uploads/macarewecare/222927978372067/5480176076226953734/5480176076226953734_signature_31.png</t>
  </si>
  <si>
    <t>Tinambac rhu</t>
  </si>
  <si>
    <t>Tinambac camarines sur</t>
  </si>
  <si>
    <t xml:space="preserve">ASSAY: Xpert MTB/RIF, COUNT: 411
ASSAY: Xpert MTB/RIF Ultra, COUNT: 804
</t>
  </si>
  <si>
    <t>For module replacement b3 638250 - 699314</t>
  </si>
  <si>
    <t>Performed maintenance cleaned filter,cartridge bay,plunger,icore,gathered reports,performed module replacement</t>
  </si>
  <si>
    <t>https://www.jotform.com/uploads/macarewecare/222927978372067/5480170410021025956/5480170410021025956_signature_28.png</t>
  </si>
  <si>
    <t>Mae L. Aguinillo</t>
  </si>
  <si>
    <t>https://www.jotform.com/uploads/macarewecare/222927978372067/5480170410021025956/5480170410021025956_signature_31.png</t>
  </si>
  <si>
    <t xml:space="preserve">ASSAY: Xpert HPV, COUNT: 159
ASSAY: Xpert MTB/RIF, COUNT: 373
ASSAY: Xpert BCR-ABL Ultra, COUNT: 950
</t>
  </si>
  <si>
    <t>Modules B1 and B2 for replacement</t>
  </si>
  <si>
    <t>Replaced modules B1 and B2.</t>
  </si>
  <si>
    <t>Performed module repkacement.</t>
  </si>
  <si>
    <t>All 4 modules operatioanl.</t>
  </si>
  <si>
    <t>New modules SN: 724421, 719993</t>
  </si>
  <si>
    <t>Harold B. TOCO</t>
  </si>
  <si>
    <t>https://www.jotform.com/uploads/macarewecare/222927978372067/5480113790421666336/5480113790421666336_signature_28.png</t>
  </si>
  <si>
    <t>https://www.jotform.com/uploads/macarewecare/222927978372067/5480113790421666336/5480113790421666336_signature_31.png</t>
  </si>
  <si>
    <t>Masinloc RHU</t>
  </si>
  <si>
    <t xml:space="preserve">ASSAY: Xpert MTB/RIF, COUNT: 614
ASSAY: Xpert MTB/RIF Ultra, COUNT: 1147
</t>
  </si>
  <si>
    <t>Due For Maintenance</t>
  </si>
  <si>
    <t>Unit is operational except module A3 HW Failed already reported</t>
  </si>
  <si>
    <t>https://www.jotform.com/uploads/macarewecare/222927978372067/5480080699257869983/5480080699257869983_signature_28.png</t>
  </si>
  <si>
    <t>Maria Paz Ferrer</t>
  </si>
  <si>
    <t>https://www.jotform.com/uploads/macarewecare/222927978372067/5480080699257869983/5480080699257869983_signature_31.png</t>
  </si>
  <si>
    <t>Presentacion Rhu</t>
  </si>
  <si>
    <t>Presentacion camarines sur</t>
  </si>
  <si>
    <t xml:space="preserve">ASSAY: Xpert MTB/RIF, COUNT: 196
ASSAY: Xpert MTB/RIF Ultra, COUNT: 408
</t>
  </si>
  <si>
    <t>For module replacement b1 787133 -643219 b2 787135 -693691</t>
  </si>
  <si>
    <t>Performed module replacement, cleaned filter plunger,cartridge bay</t>
  </si>
  <si>
    <t>900 gx module</t>
  </si>
  <si>
    <t>https://www.jotform.com/uploads/macarewecare/222927978372067/5480078780023570480/5480078780023570480_signature_28.png</t>
  </si>
  <si>
    <t>https://www.jotform.com/uploads/macarewecare/222927978372067/5480078780023570480/5480078780023570480_signature_31.png</t>
  </si>
  <si>
    <t>Allen District Hospital</t>
  </si>
  <si>
    <t>Allen Northern Samar</t>
  </si>
  <si>
    <t>aracelienzon@yahoo.com</t>
  </si>
  <si>
    <t xml:space="preserve">ASSAY: Xpert MTB/RIF, COUNT: 941
</t>
  </si>
  <si>
    <t>GXIV - 4D</t>
  </si>
  <si>
    <t>CPU error booting operating system</t>
  </si>
  <si>
    <t>CR2032</t>
  </si>
  <si>
    <t>Energizer Battery 3 volt</t>
  </si>
  <si>
    <t>https://www.jotform.com/uploads/macarewecare/222927978372067/5479978094637230292/5479978094637230292_signature_28.png</t>
  </si>
  <si>
    <t>Araceli Enzon</t>
  </si>
  <si>
    <t>https://www.jotform.com/uploads/macarewecare/222927978372067/5479978094637230292/5479978094637230292_signature_31.png</t>
  </si>
  <si>
    <t>Quezon ave,quezon city</t>
  </si>
  <si>
    <t>madzrmt@gmail.com</t>
  </si>
  <si>
    <t xml:space="preserve">ASSAY: Xpert MTB/RIF Ultra, COUNT: 1653
ASSAY: Xpert SARS-CoV-2, COUNT: 1744
</t>
  </si>
  <si>
    <t>For module replacement D4 696340 - 870126</t>
  </si>
  <si>
    <t>Performed module replacement,cleaned plunger,cartridge bay,icore,filter,gathered reports</t>
  </si>
  <si>
    <t>C2 disabled, 15 module operational</t>
  </si>
  <si>
    <t>G4977</t>
  </si>
  <si>
    <t>https://www.jotform.com/uploads/macarewecare/222927978372067/5479364872948612311/5479364872948612311_signature_28.png</t>
  </si>
  <si>
    <t>Madeline Gonzalez</t>
  </si>
  <si>
    <t>https://www.jotform.com/uploads/macarewecare/222927978372067/5479364872948612311/5479364872948612311_signature_31.png</t>
  </si>
  <si>
    <t>East ave diliman q.c</t>
  </si>
  <si>
    <t>Molecar</t>
  </si>
  <si>
    <t xml:space="preserve">ASSAY: Xpert MTB/RIF, COUNT: 119
ASSAY: Xpert MTB/RIF Ultra, COUNT: 264
ASSAY: Others, COUNT: 3
ASSAY: Xpert SARS-CoV-2, COUNT: 2789
</t>
  </si>
  <si>
    <t>For module replacement b1 643530 - 603916</t>
  </si>
  <si>
    <t>Performed module replacement,maintenance,gathered reports</t>
  </si>
  <si>
    <t>B2 reported 3 module operational</t>
  </si>
  <si>
    <t>G4976</t>
  </si>
  <si>
    <t>https://www.jotform.com/uploads/macarewecare/222927978372067/5479364702949273427/5479364702949273427_signature_28.png</t>
  </si>
  <si>
    <t>https://www.jotform.com/uploads/macarewecare/222927978372067/5479364702949273427/5479364702949273427_signature_31.png</t>
  </si>
  <si>
    <t>Western pangasinan district hospital</t>
  </si>
  <si>
    <t>Alaminos pangasinan</t>
  </si>
  <si>
    <t xml:space="preserve">ASSAY: Xpert MTB/RIF, COUNT: 855
ASSAY: Xpert MTB/RIF Ultra, COUNT: 682
</t>
  </si>
  <si>
    <t>For module replacement a2 662108 - 884568 a4 662109 - 687202</t>
  </si>
  <si>
    <t>Performed module replacement,maintenance cleaned filter,plunger,icore,cartridge bay</t>
  </si>
  <si>
    <t>https://www.jotform.com/uploads/https:/www.jotform.com/uploads/macarewecare/222927978372067/5479364282941094847/5479364282941094847_signature_28.png</t>
  </si>
  <si>
    <t>Alysa Kere. C. Apalis</t>
  </si>
  <si>
    <t>https://www.jotform.com/uploads/https:/www.jotform.com/uploads/macarewecare/222927978372067/5479364282941094847/5479364282941094847_signature_31.png</t>
  </si>
  <si>
    <t>Basud municipal health office</t>
  </si>
  <si>
    <t>Basud, camarines norte</t>
  </si>
  <si>
    <t>gbechano@gmail.com</t>
  </si>
  <si>
    <t xml:space="preserve">ASSAY: Xpert MTB/RIF, COUNT: 432
ASSAY: Xpert MTB/RIF Ultra, COUNT: 879
</t>
  </si>
  <si>
    <t>For module replacement A2 662500 - 680631</t>
  </si>
  <si>
    <t>Performed module replacement,performed maintenance,cleaned filter,cartridge bay,icore,plunger,gathered reports,test run unit</t>
  </si>
  <si>
    <t>3 module operational, module 4 disabled encountered error 4004</t>
  </si>
  <si>
    <t>https://www.jotform.com/uploads/macarewecare/222927978372067/5479363322948117031/5479363322948117031_signature_28.png</t>
  </si>
  <si>
    <t>GRACE B. ECHANO</t>
  </si>
  <si>
    <t>https://www.jotform.com/uploads/macarewecare/222927978372067/5479363322948117031/5479363322948117031_signature_31.png</t>
  </si>
  <si>
    <t xml:space="preserve">ASSAY: Xpert MTB/RIF, COUNT: 352
ASSAY: Xpert MTB/RIF Ultra, COUNT: 566
</t>
  </si>
  <si>
    <t>Performed Maintenance
Gathered Report
Disabled Module 4
Performed Functionality Test</t>
  </si>
  <si>
    <t>https://www.jotform.com/uploads/macarewecare/222927978372067/5479356195818256677/5479356195818256677_signature_28.png</t>
  </si>
  <si>
    <t>Rizza Mae A. Riaza</t>
  </si>
  <si>
    <t>https://www.jotform.com/uploads/macarewecare/222927978372067/5479356195818256677/5479356195818256677_signature_31.png</t>
  </si>
  <si>
    <t>DOH REGIONAL OFFICE 2</t>
  </si>
  <si>
    <t>Maharlika Highway, Tuguegarao City, Cagayan</t>
  </si>
  <si>
    <t xml:space="preserve">ASSAY: Xpert MTB/RIF, COUNT: 432
ASSAY: Xpert MTB/RIF Ultra, COUNT: 293
ASSAY: Xpert SARS-CoV-2, COUNT: 2742
</t>
  </si>
  <si>
    <t>Performed Module Replacement
B1/776202 into 805485
B3/779575 into 616313</t>
  </si>
  <si>
    <t>https://www.jotform.com/uploads/macarewecare/222927978372067/5479328503641583685/5479328503641583685_signature_28.png</t>
  </si>
  <si>
    <t>https://www.jotform.com/uploads/macarewecare/222927978372067/5479328503641583685/5479328503641583685_signature_31.png</t>
  </si>
  <si>
    <t>gmdomingso13@gmai.com</t>
  </si>
  <si>
    <t xml:space="preserve">ASSAY: Xpert MTB/RIF, COUNT: 141
ASSAY: Xpert MTB/RIF Ultra, COUNT: 240
</t>
  </si>
  <si>
    <t>Gx-IV 4D</t>
  </si>
  <si>
    <t>Clean Surface Area, Cartridge Bay, Fan Filters, Plunger Rod, Icore Lenses
Generate Reports; IQR, System Log, and Assay Stat
Archived Test Results</t>
  </si>
  <si>
    <t>High temp</t>
  </si>
  <si>
    <t>https://www.jotform.com/uploads/macarewecare/222927978372067/5479319382211641001/5479319382211641001_signature_28.png</t>
  </si>
  <si>
    <t>https://www.jotform.com/uploads/macarewecare/222927978372067/5479319382211641001/5479319382211641001_signature_31.png</t>
  </si>
  <si>
    <t>loveolive798@gmail.com</t>
  </si>
  <si>
    <t>LIQUID/SPILL DETECTOR ERROR ISSUE</t>
  </si>
  <si>
    <t>-CHECK CENTRIFUGE SPILL DETECTOR FUNCTIONALITY AND DIAGNOSTICS, PASSED
-COLLECT LAB HUMIDITY DATA USING DATA LOGGER, 65.8%</t>
  </si>
  <si>
    <t>https://www.jotform.com/uploads/macarewecare/222927978372067/5479298728812514990/5479298728812514990_signature_28.png</t>
  </si>
  <si>
    <t>ERICKA JANE CORRO</t>
  </si>
  <si>
    <t>https://www.jotform.com/uploads/macarewecare/222927978372067/5479298728812514990/5479298728812514990_signature_31.png</t>
  </si>
  <si>
    <t xml:space="preserve">ASSAY: Xpert SARS-CoV-2, COUNT: 4910
</t>
  </si>
  <si>
    <t>Module replacement for moduke B1</t>
  </si>
  <si>
    <t>Performed Preventive maintenance
Generate Pre-IQR
Replaced defective module B4
Generate post-IQR and generate report file
Performed functionality test</t>
  </si>
  <si>
    <t>Defective module SN:784809</t>
  </si>
  <si>
    <t>Genexpert module SN:694489</t>
  </si>
  <si>
    <t>https://www.jotform.com/uploads/macarewecare/222927978372067/5479297430711503562/5479297430711503562_signature_28.png</t>
  </si>
  <si>
    <t>https://www.jotform.com/uploads/macarewecare/222927978372067/5479297430711503562/5479297430711503562_signature_31.png</t>
  </si>
  <si>
    <t>cvmc.mollab0803@gmail.com</t>
  </si>
  <si>
    <t xml:space="preserve">ASSAY: Xpert SARS-CoV-2, COUNT: 359
</t>
  </si>
  <si>
    <t>Performed Module Replacement
B2/ 220001502 into 687144
Performed Maintenance</t>
  </si>
  <si>
    <t>Genexpert Module 6C
687144</t>
  </si>
  <si>
    <t>G-5002</t>
  </si>
  <si>
    <t>https://www.jotform.com/uploads/macarewecare/222927978372067/5479278623641908437/5479278623641908437_signature_28.png</t>
  </si>
  <si>
    <t>https://www.jotform.com/uploads/macarewecare/222927978372067/5479278623641908437/5479278623641908437_signature_31.png</t>
  </si>
  <si>
    <t>Calauag municipal hospital</t>
  </si>
  <si>
    <t>Calauag quezon</t>
  </si>
  <si>
    <t xml:space="preserve">ASSAY: Xpert MTB/RIF, COUNT: 170
ASSAY: Xpert MTB/RIF Ultra, COUNT: 453
</t>
  </si>
  <si>
    <t>A3 module continous 4017 error</t>
  </si>
  <si>
    <t>Check unit, performed re xpert check,gathered reports</t>
  </si>
  <si>
    <t>Re xpert check</t>
  </si>
  <si>
    <t>A3 failed re xpertcheck</t>
  </si>
  <si>
    <t>Xpertcheck check</t>
  </si>
  <si>
    <t>https://www.jotform.com/uploads/macarewecare/222927978372067/5479219497317167762/5479219497317167762_signature_28.png</t>
  </si>
  <si>
    <t>Jamila Carmel Pedrezuela</t>
  </si>
  <si>
    <t>https://www.jotform.com/uploads/macarewecare/222927978372067/5479219497317167762/5479219497317167762_signature_31.png</t>
  </si>
  <si>
    <t>Subic Zambales</t>
  </si>
  <si>
    <t xml:space="preserve">ASSAY: Xpert MTB/RIF, COUNT: 1457
ASSAY: Xpert MTB/RIF Ultra, COUNT: 1144
ASSAY: Xpert HIV-1 Viral Load, COUNT: 35
</t>
  </si>
  <si>
    <t>Module replacement for defective module A4</t>
  </si>
  <si>
    <t>Performed Preventive maintenance
Generate pre IQR
Replaced defective module A4
Gathered post IQR and generate reports
Performed functionality test</t>
  </si>
  <si>
    <t>https://www.jotform.com/uploads/macarewecare/222927978372067/5479209700713042110/5479209700713042110_signature_28.png</t>
  </si>
  <si>
    <t>https://www.jotform.com/uploads/macarewecare/222927978372067/5479209700713042110/5479209700713042110_signature_31.png</t>
  </si>
  <si>
    <t xml:space="preserve">ASSAY: Others, COUNT: New CPU, no data
</t>
  </si>
  <si>
    <t>Unit for PM.
For installation of new CPU.
For checking of UPS.</t>
  </si>
  <si>
    <t>Performed PM of GeneXpert.
Performed installation of CPU.
Installed assays and generated reports.
Performed troubleshooting of UPS.
Checked monitor.</t>
  </si>
  <si>
    <t>PM, installation and troubleshootiny</t>
  </si>
  <si>
    <t>Unit is operational. Module B2 (784301), H/W Fail. 3 modules operational. UPS (Powercom SN: 40224771704) is defective. Monitor (HP Prodisplay P19A SN: CNK91915SX) has deadpixels and for replacement.</t>
  </si>
  <si>
    <t>Pulled out defective CPU (SN: CPH1119F03592) and backup Laptop</t>
  </si>
  <si>
    <t>Lenovo Configured Desktop (SN: CPH1221F29351) in replacement for defecfive CPU (SN: CPH1119F03592)</t>
  </si>
  <si>
    <t>G4982</t>
  </si>
  <si>
    <t>https://www.jotform.com/uploads/macarewecare/222927978372067/5479151135961504907/5479151135961504907_signature_28.png</t>
  </si>
  <si>
    <t>https://www.jotform.com/uploads/macarewecare/222927978372067/5479151135961504907/5479151135961504907_signature_31.png</t>
  </si>
  <si>
    <t>Bolaoan, Tabuk City, Kalinga</t>
  </si>
  <si>
    <t xml:space="preserve">ASSAY: Xpert MTB/RIF, COUNT: 342
ASSAY: Xpert MTB/RIF Ultra, COUNT: 713
</t>
  </si>
  <si>
    <t>https://www.jotform.com/uploads/macarewecare/222927978372067/5479126043425802417/5479126043425802417_signature_28.png</t>
  </si>
  <si>
    <t>https://www.jotform.com/uploads/macarewecare/222927978372067/5479126043425802417/5479126043425802417_signature_31.png</t>
  </si>
  <si>
    <t>whinzie18@gmail.com</t>
  </si>
  <si>
    <t xml:space="preserve">ASSAY: Xpert MTB/RIF, COUNT: 399
ASSAY: Xpert MTB/RIF Ultra, COUNT: 667
</t>
  </si>
  <si>
    <t>Performed Module Replacement
A1/678260 into A1/794446
Performed surfaces cleaning
Performed filter cleaning
Performed Plunger Rod Cleaning</t>
  </si>
  <si>
    <t>https://www.jotform.com/uploads/macarewecare/222927978372067/5479121863426231395/5479121863426231395_signature_28.png</t>
  </si>
  <si>
    <t>Wenona P.Baculi</t>
  </si>
  <si>
    <t>https://www.jotform.com/uploads/macarewecare/222927978372067/5479121863426231395/5479121863426231395_signature_31.png</t>
  </si>
  <si>
    <t xml:space="preserve">ASSAY: Xpert MTB/RIF Ultra, COUNT: 1
ASSAY: Xpert SARS-CoV-2, COUNT: 16101
ASSAY: Others, COUNT: 3
</t>
  </si>
  <si>
    <t>GX XVI-D</t>
  </si>
  <si>
    <t>Performed maintenance
Cleaned: plunger rod, icore, cartridge bays
Generated reports</t>
  </si>
  <si>
    <t>Module B4/860923 disabled. For XpertCheck</t>
  </si>
  <si>
    <t>https://www.jotform.com/uploads/macarewecare/222927978372067/5478444513519037555/5478444513519037555_signature_28.png</t>
  </si>
  <si>
    <t>Jamaine A. Lomibao</t>
  </si>
  <si>
    <t>https://www.jotform.com/uploads/macarewecare/222927978372067/5478444513519037555/5478444513519037555_signature_31.png</t>
  </si>
  <si>
    <t xml:space="preserve">ASSAY: Xpert MTB/RIF, COUNT: 324
ASSAY: Xpert MTB/RIF Ultra, COUNT: 2358
ASSAY: Xpert SARS-CoV-2, COUNT: 12
ASSAY: Xpert HIV-1 Viral Load, COUNT: 19
</t>
  </si>
  <si>
    <t>Modules under observation due to error 2008.</t>
  </si>
  <si>
    <t>https://www.jotform.com/uploads/macarewecare/222927978372067/5478444093515339792/5478444093515339792_signature_28.png</t>
  </si>
  <si>
    <t>https://www.jotform.com/uploads/macarewecare/222927978372067/5478444093515339792/5478444093515339792_signature_31.png</t>
  </si>
  <si>
    <t>Department of Health - Treatment and Rehabilitation Center Bicutan</t>
  </si>
  <si>
    <t xml:space="preserve">ASSAY: Xpert MTB/RIF, COUNT: 519
ASSAY: Xpert MTB/RIF Ultra, COUNT: 1265
</t>
  </si>
  <si>
    <t>GeneXpert GX-IV-D</t>
  </si>
  <si>
    <t>Module B3/801912 not operational.</t>
  </si>
  <si>
    <t>Old: B1/661843
New: B1/644488</t>
  </si>
  <si>
    <t>G 4975</t>
  </si>
  <si>
    <t>https://www.jotform.com/uploads/macarewecare/222927978372067/5478331454016780765/5478331454016780765_signature_28.png</t>
  </si>
  <si>
    <t>https://www.jotform.com/uploads/macarewecare/222927978372067/5478331454016780765/5478331454016780765_signature_31.png</t>
  </si>
  <si>
    <t>Bloof Bank</t>
  </si>
  <si>
    <t>baluyotjeric@gmail.comcom</t>
  </si>
  <si>
    <t>Replaced CPU board. Performed calibration..performed functionality test and simulation run.</t>
  </si>
  <si>
    <t>DR # 9420</t>
  </si>
  <si>
    <t>https://www.jotform.com/uploads/macarewecare/222927978372067/5475981954221794757/5475981954221794757_signature_28.png</t>
  </si>
  <si>
    <t>Jeric  Baluyot</t>
  </si>
  <si>
    <t>https://www.jotform.com/uploads/macarewecare/222927978372067/5475981954221794757/5475981954221794757_signature_31.png</t>
  </si>
  <si>
    <t>melodyjoy.flores16@yahoo.com</t>
  </si>
  <si>
    <t xml:space="preserve">ASSAY: Xpert MTB/RIF, COUNT: 1279
ASSAY: Xpert MTB/RIF Ultra, COUNT: 997
ASSAY: Xpert HIV-1 Viral Load, COUNT: 70
ASSAY: Xpert HCV VL, COUNT: 62
</t>
  </si>
  <si>
    <t>Module replacement for A1 and A2</t>
  </si>
  <si>
    <t>Performed Preventive maintenance
Gathered Pre IQR
Replaced defective modules A1 and A2
Gathered Post IQR
Generate reports
Performed functionality test</t>
  </si>
  <si>
    <t>Genexpert module
Defective
A1:698583;New Module:724871
A2:603170;New Module:210021632</t>
  </si>
  <si>
    <t>G4987</t>
  </si>
  <si>
    <t>https://www.jotform.com/uploads/macarewecare/222927978372067/5475851998944082099/5475851998944082099_signature_28.png</t>
  </si>
  <si>
    <t>https://www.jotform.com/uploads/macarewecare/222927978372067/5475851998944082099/5475851998944082099_signature_31.png</t>
  </si>
  <si>
    <t>Salcedo vill makati</t>
  </si>
  <si>
    <t>Stem cell</t>
  </si>
  <si>
    <t>Performed maintenance,check unit, rollers,sensor,display,programs parameter,performed functionality test,visual check</t>
  </si>
  <si>
    <t>https://www.jotform.com/uploads/macarewecare/222927978372067/5475851569715917162/5475851569715917162_signature_28.png</t>
  </si>
  <si>
    <t>Mark lenard latay</t>
  </si>
  <si>
    <t>https://www.jotform.com/uploads/macarewecare/222927978372067/5475851569715917162/5475851569715917162_signature_31.png</t>
  </si>
  <si>
    <t>Dingalan, Aurora</t>
  </si>
  <si>
    <t>Laboratroy</t>
  </si>
  <si>
    <t xml:space="preserve">ASSAY: Xpert MTB/RIF, COUNT: 214
ASSAY: Xpert MTB/RIF Ultra, COUNT: 244
</t>
  </si>
  <si>
    <t>https://www.jotform.com/uploads/macarewecare/222927978372067/5475767466111717223/5475767466111717223_signature_28.png</t>
  </si>
  <si>
    <t>https://www.jotform.com/uploads/macarewecare/222927978372067/5475767466111717223/5475767466111717223_signature_31.png</t>
  </si>
  <si>
    <t xml:space="preserve">ASSAY: Xpert MTB/RIF, COUNT: 51
ASSAY: Xpert MTB/RIF Ultra, COUNT: 481
</t>
  </si>
  <si>
    <t>Modules B1 (686345), B3 (635192) for replacement</t>
  </si>
  <si>
    <t>Replaced B1, B3</t>
  </si>
  <si>
    <t>Unit is operational. 3 modules are working.</t>
  </si>
  <si>
    <t>Module B2 for reporting/follow-up.</t>
  </si>
  <si>
    <t>GeneXpert Module
SN: 656113, 711296</t>
  </si>
  <si>
    <t>G 4985</t>
  </si>
  <si>
    <t>https://www.jotform.com/uploads/macarewecare/222927978372067/5475766580816280591/5475766580816280591_signature_28.png</t>
  </si>
  <si>
    <t>Cindy D. Carpo</t>
  </si>
  <si>
    <t>https://www.jotform.com/uploads/macarewecare/222927978372067/5475766580816280591/5475766580816280591_signature_31.png</t>
  </si>
  <si>
    <t>Do V. Robles St. Poblacion 3, Tiaong, Quezon</t>
  </si>
  <si>
    <t>ilabrhutiaong@gmail.com</t>
  </si>
  <si>
    <t xml:space="preserve">ASSAY: Xpert MTB/RIF Ultra, COUNT: 652
ASSAY: Xpert MTB/RIF, COUNT: 166
</t>
  </si>
  <si>
    <t>Module B1 for module replacement. For maintenance</t>
  </si>
  <si>
    <t>Performed maintenance and cleaning..Replaced module B1</t>
  </si>
  <si>
    <t>Replaced module B1. Performed finctionality test..</t>
  </si>
  <si>
    <t>New module sn: 788784</t>
  </si>
  <si>
    <t>https://www.jotform.com/uploads/macarewecare/222927978372067/5475746180228899427/5475746180228899427_signature_28.png</t>
  </si>
  <si>
    <t>Maria Teresa Tolentino</t>
  </si>
  <si>
    <t>https://www.jotform.com/uploads/macarewecare/222927978372067/5475746180228899427/5475746180228899427_signature_31.png</t>
  </si>
  <si>
    <t xml:space="preserve">ASSAY: Xpert MTB/RIF, COUNT: 274
ASSAY: Xpert MTB/RIF Ultra, COUNT: 1128
</t>
  </si>
  <si>
    <t>Unit was temporarily from Camarin Health Center.</t>
  </si>
  <si>
    <t>https://www.jotform.com/uploads/macarewecare/222927978372067/5475717990819110127/5475717990819110127_signature_28.png</t>
  </si>
  <si>
    <t>Irene D. Alcayde</t>
  </si>
  <si>
    <t>https://www.jotform.com/uploads/macarewecare/222927978372067/5475717990819110127/5475717990819110127_signature_31.png</t>
  </si>
  <si>
    <t>donitarose.supolmo@yahoo.com</t>
  </si>
  <si>
    <t xml:space="preserve">ASSAY: Xpert MTB/RIF, COUNT: 753
</t>
  </si>
  <si>
    <t>For module replacement (A1,A2)</t>
  </si>
  <si>
    <t>PM and Module replacement</t>
  </si>
  <si>
    <t>Module replacement
 A1 def. SN 662507 - new SN: 775309
 A2 def. SN 662506 - new SN: 868467
- Preventive Maintenance
-Generate reports</t>
  </si>
  <si>
    <t>Module A3 and A4 received multiple temperature error</t>
  </si>
  <si>
    <t>A3 and A4 waiting for module replacement</t>
  </si>
  <si>
    <t>GeneXpert 6 color module SN: 775309 , 868467</t>
  </si>
  <si>
    <t>https://www.jotform.com/uploads/macarewecare/222927978372067/5475709357137505639/5475709357137505639_signature_28.png</t>
  </si>
  <si>
    <t>Donita Rose Supolmo</t>
  </si>
  <si>
    <t>https://www.jotform.com/uploads/macarewecare/222927978372067/5475709357137505639/5475709357137505639_signature_31.png</t>
  </si>
  <si>
    <t>Velarde subd.</t>
  </si>
  <si>
    <t>armndlasq@gmail.com</t>
  </si>
  <si>
    <t xml:space="preserve">ASSAY: Xpert MTB/RIF Ultra, COUNT: 658
ASSAY: Xpert HIV-1 Viral Load, COUNT: 136
</t>
  </si>
  <si>
    <t>Due for module replacement</t>
  </si>
  <si>
    <t>Performed Maintenance
Replaced Defective module</t>
  </si>
  <si>
    <t>All modues are operational</t>
  </si>
  <si>
    <t>G 4971</t>
  </si>
  <si>
    <t>https://www.jotform.com/uploads/macarewecare/222927978372067/5475689946732671283/5475689946732671283_signature_28.png</t>
  </si>
  <si>
    <t>https://www.jotform.com/uploads/macarewecare/222927978372067/5475689946732671283/5475689946732671283_signature_31.png</t>
  </si>
  <si>
    <t>Tanza municipal compound</t>
  </si>
  <si>
    <t xml:space="preserve">ASSAY: Xpert MTB/RIF, COUNT: 285
ASSAY: Xpert MTB/RIF Ultra, COUNT: 1438
</t>
  </si>
  <si>
    <t>Performed Maintenance
Module replacement on modules 1 and 4
Generate reporta</t>
  </si>
  <si>
    <t>G 4970</t>
  </si>
  <si>
    <t>https://www.jotform.com/uploads/macarewecare/222927978372067/5475689946739514153/5475689946739514153_signature_28.png</t>
  </si>
  <si>
    <t>https://www.jotform.com/uploads/macarewecare/222927978372067/5475689946739514153/5475689946739514153_signature_31.png</t>
  </si>
  <si>
    <t>Trece-Indang Road, Trece Martires</t>
  </si>
  <si>
    <t xml:space="preserve">ASSAY: Xpert MTB/RIF, COUNT: 465
ASSAY: Xpert MTB/RIF Ultra, COUNT: 1495
ASSAY: Xpert HIV-1 Viral Load, COUNT: 37
</t>
  </si>
  <si>
    <t>Performed Maintenance
Module Replacement on module 4
Generate reports</t>
  </si>
  <si>
    <t>3 modules are operational, 1 module defective</t>
  </si>
  <si>
    <t>Genexpert module 6-C</t>
  </si>
  <si>
    <t>G 4967</t>
  </si>
  <si>
    <t>https://www.jotform.com/uploads/macarewecare/222927978372067/5475689936731813731/5475689936731813731_signature_28.png</t>
  </si>
  <si>
    <t>https://www.jotform.com/uploads/macarewecare/222927978372067/5475689936731813731/5475689936731813731_signature_31.png</t>
  </si>
  <si>
    <t>Putatan</t>
  </si>
  <si>
    <t xml:space="preserve">ASSAY: Xpert HPV, COUNT: 21
ASSAY: Xpert MTB/RIF, COUNT: 281
ASSAY: Xpert MTB/RIF Ultra, COUNT: 910
</t>
  </si>
  <si>
    <t>Performed Maintenance
Replaced module 1
Generate reports</t>
  </si>
  <si>
    <t>https://www.jotform.com/uploads/macarewecare/222927978372067/5475689936738236427/5475689936738236427_signature_28.png</t>
  </si>
  <si>
    <t>Alelli P. Molera</t>
  </si>
  <si>
    <t>https://www.jotform.com/uploads/macarewecare/222927978372067/5475689936738236427/5475689936738236427_signature_31.png</t>
  </si>
  <si>
    <t>D mangubat</t>
  </si>
  <si>
    <t xml:space="preserve">ASSAY: Xpert MTB/RIF, COUNT: 224
ASSAY: Xpert MTB/RIF Ultra, COUNT: 1458
ASSAY: Xpert HIV-1 Viral Load, COUNT: 24
</t>
  </si>
  <si>
    <t>Replaced module 4</t>
  </si>
  <si>
    <t>Performed maintenance
Replaced defective module
Generate reports</t>
  </si>
  <si>
    <t>G 4969</t>
  </si>
  <si>
    <t>https://www.jotform.com/uploads/macarewecare/222927978372067/5475689946732469738/5475689946732469738_signature_28.png</t>
  </si>
  <si>
    <t>https://www.jotform.com/uploads/macarewecare/222927978372067/5475689946732469738/5475689946732469738_signature_31.png</t>
  </si>
  <si>
    <t xml:space="preserve">ASSAY: Xpert MTB/RIF, COUNT: 77
ASSAY: Xpert MTB/RIF Ultra, COUNT: 726
</t>
  </si>
  <si>
    <t>Replaced Module B2</t>
  </si>
  <si>
    <t>Performed preventive maintenance, replaced module B2 (789033 &gt; 888907), performed XpertCheck</t>
  </si>
  <si>
    <t>Unit is operational, XpertCheck passed</t>
  </si>
  <si>
    <t>GeneXpert Module 6-color S/N:888907</t>
  </si>
  <si>
    <t>Monarch DR 37717</t>
  </si>
  <si>
    <t>https://www.jotform.com/uploads/macarewecare/222927978372067/5475028520924095466/5475028520924095466_signature_28.png</t>
  </si>
  <si>
    <t>Reynaldo B Gonzalgo</t>
  </si>
  <si>
    <t>https://www.jotform.com/uploads/macarewecare/222927978372067/5475028520924095466/5475028520924095466_signature_31.png</t>
  </si>
  <si>
    <t>Philippine National Road, MMHMC compound, Batac City, Ilocos Norte</t>
  </si>
  <si>
    <t xml:space="preserve">ASSAY: Xpert HPV, COUNT: 506
ASSAY: Xpert MTB/RIF, COUNT: 257
ASSAY: Xpert MTB/RIF Ultra, COUNT: 700
ASSAY: Xpert SARS-CoV-2, COUNT: 3026
</t>
  </si>
  <si>
    <t>https://www.jotform.com/uploads/macarewecare/222927978372067/5474990488817038661/5474990488817038661_signature_28.png</t>
  </si>
  <si>
    <t>J-Bie Alvarado</t>
  </si>
  <si>
    <t>https://www.jotform.com/uploads/macarewecare/222927978372067/5474990488817038661/5474990488817038661_signature_31.png</t>
  </si>
  <si>
    <t>Philippine National Rd. MMHMC Compound , Batac City, Ilocos Norte</t>
  </si>
  <si>
    <t xml:space="preserve">ASSAY: Xpert HPV, COUNT: 132
ASSAY: Xpert MTB/RIF, COUNT: 92
ASSAY: Xpert MTB/RIF Ultra, COUNT: 154
ASSAY: Xpert SARS-CoV-2, COUNT: 1426
</t>
  </si>
  <si>
    <t>Performed Module Replacement
B1/807091 into 603891
B3/807093 into 870925
Performed Preventive Maintenance</t>
  </si>
  <si>
    <t>Unit is good condition</t>
  </si>
  <si>
    <t>https://www.jotform.com/uploads/macarewecare/222927978372067/5474989498816978866/5474989498816978866_signature_28.png</t>
  </si>
  <si>
    <t>https://www.jotform.com/uploads/macarewecare/222927978372067/5474989498816978866/5474989498816978866_signature_31.png</t>
  </si>
  <si>
    <t xml:space="preserve">ASSAY: Xpert MTB/RIF, COUNT: 318
ASSAY: Xpert MTB/RIF Ultra, COUNT: 425
</t>
  </si>
  <si>
    <t>Module replacement for A3</t>
  </si>
  <si>
    <t>https://www.jotform.com/uploads/macarewecare/222927978372067/5474989314117490371/5474989314117490371_signature_28.png</t>
  </si>
  <si>
    <t>https://www.jotform.com/uploads/macarewecare/222927978372067/5474989314117490371/5474989314117490371_signature_31.png</t>
  </si>
  <si>
    <t>Malaybalay, Bukidnon</t>
  </si>
  <si>
    <t>maureenlopez65@gmail.com</t>
  </si>
  <si>
    <t xml:space="preserve">ASSAY: Xpert MTB/RIF Ultra, COUNT: 1450
ASSAY: Xpert HIV-1 Viral Load, COUNT: 7
</t>
  </si>
  <si>
    <t>H/W Fail module B4/603321</t>
  </si>
  <si>
    <t>Replaced Module
New Module SN: 805519</t>
  </si>
  <si>
    <t>https://www.jotform.com/uploads/macarewecare/222927978372067/5474984184647287132/5474984184647287132_signature_28.png</t>
  </si>
  <si>
    <t>https://www.jotform.com/uploads/macarewecare/222927978372067/5474984184647287132/5474984184647287132_signature_31.png</t>
  </si>
  <si>
    <t>Shaw Blvd., Mandaluyong City</t>
  </si>
  <si>
    <t>Calibrated unit.</t>
  </si>
  <si>
    <t>Calibration certificate to follow</t>
  </si>
  <si>
    <t>Ronnel Belizar, John Monsour Doctor</t>
  </si>
  <si>
    <t>https://www.jotform.com/uploads/macarewecare/222927978372067/5474947250814357274/5474947250814357274_signature_28.png</t>
  </si>
  <si>
    <t>Mariel Chari Canoxa</t>
  </si>
  <si>
    <t>https://www.jotform.com/uploads/macarewecare/222927978372067/5474947250814357274/5474947250814357274_signature_31.png</t>
  </si>
  <si>
    <t>https://www.jotform.com/uploads/macarewecare/222927978372067/5474947220819198774/5474947220819198774_signature_28.png</t>
  </si>
  <si>
    <t>https://www.jotform.com/uploads/macarewecare/222927978372067/5474947220819198774/5474947220819198774_signature_31.png</t>
  </si>
  <si>
    <t>Bureau of Jail and Penology Infirmary Calamba Laguna</t>
  </si>
  <si>
    <t>Turbina Calamba Laguna</t>
  </si>
  <si>
    <t>Infirmary Laboratory</t>
  </si>
  <si>
    <t>rivainfirmary@gmail.com</t>
  </si>
  <si>
    <t xml:space="preserve">ASSAY: Xpert MTB/RIF, COUNT: 98
ASSAY: Xpert MTB/RIF Ultra, COUNT: 1131
</t>
  </si>
  <si>
    <t>Unit for PM.
For Module Replacement of Modules C1 and C4.</t>
  </si>
  <si>
    <t>Performed PM of Genexpert.
Performed module replacement on C1 and C4.</t>
  </si>
  <si>
    <t>PM and Module Replacement.</t>
  </si>
  <si>
    <t>Unit is operational. 4 working modules.</t>
  </si>
  <si>
    <t>Gx module C1 (600850) and C4 (702817) in replacement for defective module C1 (793458) and C4 (698578).</t>
  </si>
  <si>
    <t>G4980</t>
  </si>
  <si>
    <t>https://www.jotform.com/uploads/macarewecare/222927978372067/5474942211913532862/5474942211913532862_signature_28.png</t>
  </si>
  <si>
    <t>JO1 Rovicson R Monterubio</t>
  </si>
  <si>
    <t>https://www.jotform.com/uploads/macarewecare/222927978372067/5474942211913532862/5474942211913532862_signature_31.png</t>
  </si>
  <si>
    <t>maryllelegio96@gmail.com</t>
  </si>
  <si>
    <t xml:space="preserve">ASSAY: Xpert MTB/RIF, COUNT: 474
</t>
  </si>
  <si>
    <t>GeneXpert GXIV-4D</t>
  </si>
  <si>
    <t>Module replacement 
- Def. module SN: 662971 - new module SN: 627304
-Preventive Maintenance
-Generate reports</t>
  </si>
  <si>
    <t>unit is in good condition</t>
  </si>
  <si>
    <t>GeneXpert Module 6 Color SN: 627304</t>
  </si>
  <si>
    <t>https://www.jotform.com/uploads/macarewecare/222927978372067/5474904085024369319/5474904085024369319_signature_28.png</t>
  </si>
  <si>
    <t>Maryll faye O. Elegio</t>
  </si>
  <si>
    <t>https://www.jotform.com/uploads/macarewecare/222927978372067/5474904085024369319/5474904085024369319_signature_31.png</t>
  </si>
  <si>
    <t>elvalynglom@gmail.com</t>
  </si>
  <si>
    <t xml:space="preserve">ASSAY: Xpert MTB/RIF, COUNT: 549
ASSAY: Xpert MTB/RIF Ultra, COUNT: 315
</t>
  </si>
  <si>
    <t>For module replacement (B1,B2,B3,B4)</t>
  </si>
  <si>
    <t>-Module Replacement
  B1 def. SN 639236 - new SN 750949
  B2 def. SN 639233 - new SN 668765
  B3 def. SN 639232 - new SN 669662
  B4 def. SN 685270 - new SN 730823
- Preventive Maintenance
-Generate Reports</t>
  </si>
  <si>
    <t>Unit is now in good condition</t>
  </si>
  <si>
    <t>GeneXpert 6C module</t>
  </si>
  <si>
    <t>https://www.jotform.com/uploads/macarewecare/222927978372067/5474893005029821788/5474893005029821788_signature_28.png</t>
  </si>
  <si>
    <t>https://www.jotform.com/uploads/macarewecare/222927978372067/5474893005029821788/5474893005029821788_signature_31.png</t>
  </si>
  <si>
    <t xml:space="preserve">ASSAY: Xpert MTB/RIF, COUNT: 1012
ASSAY: Xpert MTB/RIF Ultra, COUNT: 903
</t>
  </si>
  <si>
    <t>Module A1 and A3 H/W failed</t>
  </si>
  <si>
    <t>Replace module A1 SN:754528 with new module SN:866833
Genexpert machine Preventive Maintenance</t>
  </si>
  <si>
    <t>Gx machine has 3 Operational modules</t>
  </si>
  <si>
    <t>Module A3 waiting for module to available</t>
  </si>
  <si>
    <t>https://www.jotform.com/uploads/macarewecare/222927978372067/5474883440124154533/5474883440124154533_signature_28.png</t>
  </si>
  <si>
    <t>https://www.jotform.com/uploads/macarewecare/222927978372067/5474883440124154533/5474883440124154533_signature_31.png</t>
  </si>
  <si>
    <t>Filinvest, Muntinlupa City</t>
  </si>
  <si>
    <t>ntrlphil_cs@yahoo.com.ph</t>
  </si>
  <si>
    <t xml:space="preserve">ASSAY: Xpert MTB/RIF, COUNT: 14
ASSAY: Xpert MTB/RIF Ultra, COUNT: 11
ASSAY: Others, COUNT: 2971
</t>
  </si>
  <si>
    <t>Module B4</t>
  </si>
  <si>
    <t>Replaced Module B4 210038638 with 210075576</t>
  </si>
  <si>
    <t>Unit is Operational with 4 Modules</t>
  </si>
  <si>
    <t>Good module only borrowed from ZCMC</t>
  </si>
  <si>
    <t>210075576 10C Module</t>
  </si>
  <si>
    <t>PAL AWB 079-08465936</t>
  </si>
  <si>
    <t>https://www.jotform.com/uploads/macarewecare/222927978372067/5474871485989864081/5474871485989864081_signature_28.png</t>
  </si>
  <si>
    <t>JENKIN A. MENDOZA</t>
  </si>
  <si>
    <t>https://www.jotform.com/uploads/macarewecare/222927978372067/5474871485989864081/5474871485989864081_signature_31.png</t>
  </si>
  <si>
    <t>Valenzuela Medical Center</t>
  </si>
  <si>
    <t>kuliscool4@gmail.com</t>
  </si>
  <si>
    <t xml:space="preserve">ASSAY: Xpert MTB/RIF, COUNT: 791
ASSAY: Xpert MTB/RIF Ultra, COUNT: 1318
ASSAY: Xpert HIV-1 Viral Load, COUNT: 8
</t>
  </si>
  <si>
    <t>- generated pre reports
- replaced module B1 (620354)
- generated post reports
- checked cartridge bay, plunger rod, filter
- performed functionality test</t>
  </si>
  <si>
    <t>GeneXpert Module SN: 645161</t>
  </si>
  <si>
    <t>G 4984</t>
  </si>
  <si>
    <t>https://www.jotform.com/uploads/macarewecare/222927978372067/5474842062229287664/5474842062229287664_signature_28.png</t>
  </si>
  <si>
    <t>Francis Paul D. Salmos</t>
  </si>
  <si>
    <t>https://www.jotform.com/uploads/macarewecare/222927978372067/5474842062229287664/5474842062229287664_signature_31.png</t>
  </si>
  <si>
    <t>Don Carlos, Bukidnon</t>
  </si>
  <si>
    <t>Error 1002 on Module C3/722694</t>
  </si>
  <si>
    <t>Module C1,C2 and C3 are operational
Module C4 H/W Fail waiting for module replacement</t>
  </si>
  <si>
    <t>https://www.jotform.com/uploads/macarewecare/222927978372067/5474823086912110164/5474823086912110164_signature_28.png</t>
  </si>
  <si>
    <t>Gilbert Loro</t>
  </si>
  <si>
    <t>https://www.jotform.com/uploads/macarewecare/222927978372067/5474823086912110164/5474823086912110164_signature_31.png</t>
  </si>
  <si>
    <t xml:space="preserve">ASSAY: Xpert MTB/RIF, COUNT: 306
ASSAY: Xpert MTB/RIF Ultra, COUNT: 878
ASSAY: Xpert SARS-CoV-2, COUNT: 551
</t>
  </si>
  <si>
    <t>Replaced modules B1,B2,B3</t>
  </si>
  <si>
    <t>Module B4 not operational. Already reported.</t>
  </si>
  <si>
    <t>Old modules: B1/893044,B2/893050,B3/893099
New modules: B1/638232,B2/674387,B3/699915</t>
  </si>
  <si>
    <t>G 4973</t>
  </si>
  <si>
    <t>https://www.jotform.com/uploads/macarewecare/222927978372067/5474809706018800291/5474809706018800291_signature_28.png</t>
  </si>
  <si>
    <t>Eden R. Cawayan, RMT</t>
  </si>
  <si>
    <t>https://www.jotform.com/uploads/macarewecare/222927978372067/5474809706018800291/5474809706018800291_signature_31.png</t>
  </si>
  <si>
    <t>Sometimes Lost Communication error</t>
  </si>
  <si>
    <t>Troubleshoot the cables</t>
  </si>
  <si>
    <t>Performed Maintenance
Gathered Reports
Performed Module Replacement
B1 - old - 691571 - new - 696408
Performed Functionality Test</t>
  </si>
  <si>
    <t>Genexpert Module - 696408</t>
  </si>
  <si>
    <t>https://www.jotform.com/uploads/macarewecare/222927978372067/5474800465321163312/5474800465321163312_signature_28.png</t>
  </si>
  <si>
    <t>Arlyn C. Daggao</t>
  </si>
  <si>
    <t>https://www.jotform.com/uploads/macarewecare/222927978372067/5474800465321163312/5474800465321163312_signature_31.png</t>
  </si>
  <si>
    <t>Malolos Bulacan</t>
  </si>
  <si>
    <t>robertsayo72@gmail.com</t>
  </si>
  <si>
    <t>Performed unit installation. Performed funstionality test. Run actual sample with acceptable result.</t>
  </si>
  <si>
    <t>https://www.jotform.com/uploads/macarewecare/222927978372067/5474213763517818828/5474213763517818828_signature_28.png</t>
  </si>
  <si>
    <t>https://www.jotform.com/uploads/macarewecare/222927978372067/5474213763517818828/5474213763517818828_signature_31.png</t>
  </si>
  <si>
    <t>UP Diliman</t>
  </si>
  <si>
    <t>iccatolico@up.edu.ph</t>
  </si>
  <si>
    <t>Primostar 3</t>
  </si>
  <si>
    <t>Delivery and installation of unit
Functionality test</t>
  </si>
  <si>
    <t>SI# 94528</t>
  </si>
  <si>
    <t>John Monsour Doctor/Ronnel Belizar</t>
  </si>
  <si>
    <t>https://www.jotform.com/uploads/macarewecare/222927978372067/5474144674225407584/5474144674225407584_signature_28.png</t>
  </si>
  <si>
    <t>Luigi C Catolico</t>
  </si>
  <si>
    <t>https://www.jotform.com/uploads/macarewecare/222927978372067/5474144674225407584/5474144674225407584_signature_31.png</t>
  </si>
  <si>
    <t>Mangatarem Pangasinan</t>
  </si>
  <si>
    <t>magallionjason07@gmail.com</t>
  </si>
  <si>
    <t xml:space="preserve">ASSAY: Xpert MTB/RIF, COUNT: 215
ASSAY: Xpert MTB/RIF Ultra, COUNT: 221
</t>
  </si>
  <si>
    <t>HW Failed Module B3</t>
  </si>
  <si>
    <t>-Performed surface cleaning
-Performed cleaning of cartridge bay,icore,plunger rod and filter
-Archived test result
-Update software to 1.5a
-Performed Xpertcheck 
-Generate reports
-Performed functionality test</t>
  </si>
  <si>
    <t>Unit is operational except Module B3</t>
  </si>
  <si>
    <t>https://www.jotform.com/uploads/macarewecare/222927978372067/5474115414331682562/5474115414331682562_signature_28.png</t>
  </si>
  <si>
    <t>Jayson M. Magallon</t>
  </si>
  <si>
    <t>https://www.jotform.com/uploads/macarewecare/222927978372067/5474115414331682562/5474115414331682562_signature_31.png</t>
  </si>
  <si>
    <t>Philippine National Road, Agoo La Union</t>
  </si>
  <si>
    <t>jubilocatherine@gmail.com</t>
  </si>
  <si>
    <t xml:space="preserve">ASSAY: Xpert MTB/RIF, COUNT: 882
ASSAY: Xpert MTB/RIF Ultra, COUNT: 900
</t>
  </si>
  <si>
    <t>Unit Is Due for Preventive Maintenance</t>
  </si>
  <si>
    <t>Performed Surface Cleaning
Performed Plunger Rod Cleanin
Performed Filter Cleaning</t>
  </si>
  <si>
    <t>https://www.jotform.com/uploads/macarewecare/222927978372067/5474105154818881888/5474105154818881888_signature_28.png</t>
  </si>
  <si>
    <t>Catherine Joy Jubilo</t>
  </si>
  <si>
    <t>https://www.jotform.com/uploads/macarewecare/222927978372067/5474105154818881888/5474105154818881888_signature_31.png</t>
  </si>
  <si>
    <t xml:space="preserve">ASSAY: Xpert SARS-CoV-2, COUNT: 3807
ASSAY: Others, COUNT: 1
</t>
  </si>
  <si>
    <t>GeneXpert GX-XVI-D</t>
  </si>
  <si>
    <t>Modules B2,B4,D2 for replacement</t>
  </si>
  <si>
    <t>Old modules: B2/891862,B4/884017,D2/892186
Nee modules: B2/628603, B4/804084,D2/647024</t>
  </si>
  <si>
    <t>G 4974</t>
  </si>
  <si>
    <t>John Monsour Doctor, Ronnel Belizar</t>
  </si>
  <si>
    <t>https://www.jotform.com/uploads/macarewecare/222927978372067/5474068985921011362/5474068985921011362_signature_28.png</t>
  </si>
  <si>
    <t>Ma Lanica Manda</t>
  </si>
  <si>
    <t>https://www.jotform.com/uploads/macarewecare/222927978372067/5474068985921011362/5474068985921011362_signature_31.png</t>
  </si>
  <si>
    <t>Agno rhu</t>
  </si>
  <si>
    <t>Agno pangasinan</t>
  </si>
  <si>
    <t>rena_humilde@yahoo.com</t>
  </si>
  <si>
    <t xml:space="preserve">ASSAY: Xpert MTB/RIF, COUNT: 77
ASSAY: Xpert MTB/RIF Ultra, COUNT: 87
</t>
  </si>
  <si>
    <t>For module replacement b2 784784 - 210057605</t>
  </si>
  <si>
    <t>Performed module replacement,cleaned unit,filter,icore,plunger rod,cartridge bay,gathered reports</t>
  </si>
  <si>
    <t>Operational b2, b1 reported by end user thru jotform</t>
  </si>
  <si>
    <t>https://www.jotform.com/uploads/macarewecare/222927978372067/5474055779127111296/5474055779127111296_signature_28.png</t>
  </si>
  <si>
    <t>https://www.jotform.com/uploads/macarewecare/222927978372067/5474055779127111296/5474055779127111296_signature_31.png</t>
  </si>
  <si>
    <t xml:space="preserve">ASSAY: Xpert MTB/RIF, COUNT: 13
ASSAY: Xpert MTB/RIF Ultra, COUNT: 696
ASSAY: Others, COUNT: 14
ASSAY: Xpert SARS-CoV-2, COUNT: 17432
</t>
  </si>
  <si>
    <t>module replacement b1 210068311 - 647383</t>
  </si>
  <si>
    <t>Performed maintenance, performed module replacement,gathered reports</t>
  </si>
  <si>
    <t>12 module operational c1 for reporting c3,cr,d2 reported</t>
  </si>
  <si>
    <t>G4986</t>
  </si>
  <si>
    <t>https://www.jotform.com/uploads/macarewecare/222927978372067/5474051439127966374/5474051439127966374_signature_28.png</t>
  </si>
  <si>
    <t>https://www.jotform.com/uploads/macarewecare/222927978372067/5474051439127966374/5474051439127966374_signature_31.png</t>
  </si>
  <si>
    <t>Philippine National Road, San Fernando City, La Union</t>
  </si>
  <si>
    <t>mfmadayag31@gmail.com</t>
  </si>
  <si>
    <t xml:space="preserve">ASSAY: Xpert HPV, COUNT: 126
ASSAY: Xpert MTB/RIF Ultra, COUNT: 270
ASSAY: Xpert SARS-CoV-2, COUNT: 27
ASSAY: Xpert HIV-1 Viral Load, COUNT: 44
</t>
  </si>
  <si>
    <t>Module Replacement
B3/717580 into 716353
B4/688184 into 798629</t>
  </si>
  <si>
    <t>https://www.jotform.com/uploads/macarewecare/222927978372067/5474039234811470542/5474039234811470542_signature_28.png</t>
  </si>
  <si>
    <t>Michelle F. Madayag</t>
  </si>
  <si>
    <t>https://www.jotform.com/uploads/macarewecare/222927978372067/5474039234811470542/5474039234811470542_signature_31.png</t>
  </si>
  <si>
    <t>Malacampa Camiling Tarlac</t>
  </si>
  <si>
    <t xml:space="preserve">ASSAY: Xpert MTB/RIF, COUNT: 282
ASSAY: Xpert MTB/RIF Ultra, COUNT: 259
</t>
  </si>
  <si>
    <t>https://www.jotform.com/uploads/macarewecare/222927978372067/5474025044332648499/5474025044332648499_signature_28.png</t>
  </si>
  <si>
    <t>Alma Dancel</t>
  </si>
  <si>
    <t>https://www.jotform.com/uploads/macarewecare/222927978372067/5474025044332648499/5474025044332648499_signature_31.png</t>
  </si>
  <si>
    <t xml:space="preserve">ASSAY: Xpert MTB/RIF, COUNT: 902
ASSAY: Xpert MTB/RIF Ultra, COUNT: 671
</t>
  </si>
  <si>
    <t>GENEXPERT IV</t>
  </si>
  <si>
    <t>Module 3 Hardware Failure
UPS not working</t>
  </si>
  <si>
    <t>Performed Maintenance
Gathered Reports
Performed Module Replacement
B1 - old - 671265 - new - 802431
Performed Functionality Test</t>
  </si>
  <si>
    <t>UPS needs to be replaced</t>
  </si>
  <si>
    <t>Genexpert Module - 802431</t>
  </si>
  <si>
    <t>https://www.jotform.com/uploads/macarewecare/222927978372067/5474018734911921041/5474018734911921041_signature_28.png</t>
  </si>
  <si>
    <t>https://www.jotform.com/uploads/macarewecare/222927978372067/5474018734911921041/5474018734911921041_signature_31.png</t>
  </si>
  <si>
    <t>jddaquis@themedicalcity.com</t>
  </si>
  <si>
    <t xml:space="preserve">ASSAY: Xpert HPV, COUNT: 5
ASSAY: Xpert MTB/RIF, COUNT: 54
ASSAY: Xpert MTB/RIF Ultra, COUNT: 92
ASSAY: Xpert HIV-1 Viral Load, COUNT: 3
</t>
  </si>
  <si>
    <t>Performed Preventive Maintenance.
Cleaned docking bay, plunger, icore and filter.
Generated reports.</t>
  </si>
  <si>
    <t>https://www.jotform.com/uploads/macarewecare/222927978372067/5474003828696229096/5474003828696229096_signature_28.png</t>
  </si>
  <si>
    <t>JOHN MICHAEL DAQUIS</t>
  </si>
  <si>
    <t>https://www.jotform.com/uploads/macarewecare/222927978372067/5474003828696229096/5474003828696229096_signature_31.png</t>
  </si>
  <si>
    <t>diolalourdes@gmail.com</t>
  </si>
  <si>
    <t xml:space="preserve">ASSAY: Xpert MTB/RIF, COUNT: 2
ASSAY: Xpert MTB/RIF Ultra, COUNT: 1079
</t>
  </si>
  <si>
    <t>Replacing B2 with SN : 720096 to 901636
Replacing B4 with SN: 624234 to 707736</t>
  </si>
  <si>
    <t>2 modules not functional and 2 modules been replaced</t>
  </si>
  <si>
    <t>Engr. Faizar Avenido</t>
  </si>
  <si>
    <t>https://www.jotform.com/uploads/macarewecare/222927978372067/5473974294421112904/5473974294421112904_signature_28.png</t>
  </si>
  <si>
    <t>https://www.jotform.com/uploads/macarewecare/222927978372067/5473974294421112904/5473974294421112904_signature_31.png</t>
  </si>
  <si>
    <t xml:space="preserve">ASSAY: Xpert MTB/RIF, COUNT: 904
ASSAY: Xpert MTB/RIF Ultra, COUNT: 1328
</t>
  </si>
  <si>
    <t>Gx - 4</t>
  </si>
  <si>
    <t>Module B3 and B4 H/W failed</t>
  </si>
  <si>
    <t>Genexpert machine Preventive Maintenance</t>
  </si>
  <si>
    <t>https://www.jotform.com/uploads/macarewecare/222927978372067/5473962532537031796/5473962532537031796_signature_28.png</t>
  </si>
  <si>
    <t>Ma. Luisa M. Francisco, RMT</t>
  </si>
  <si>
    <t>https://www.jotform.com/uploads/macarewecare/222927978372067/5473962532537031796/5473962532537031796_signature_31.png</t>
  </si>
  <si>
    <t>Brgy. Amas, Kidapawan City</t>
  </si>
  <si>
    <t>jydm2073@gmail.com</t>
  </si>
  <si>
    <t>Module B2 and B4 H/W FAILED</t>
  </si>
  <si>
    <t>Replace module B2 SN: 784365 with new module SN: 868129
Replace module B4 SN: 662444 with new module SN: 690460
Genexpert machine Preventive Maintenance</t>
  </si>
  <si>
    <t>Genexpert machine in Good condition</t>
  </si>
  <si>
    <t>https://www.jotform.com/uploads/macarewecare/222927978372067/5473955727751113183/5473955727751113183_signature_28.png</t>
  </si>
  <si>
    <t>Joey L. Marte, RMT</t>
  </si>
  <si>
    <t>https://www.jotform.com/uploads/macarewecare/222927978372067/5473955727751113183/5473955727751113183_signature_31.png</t>
  </si>
  <si>
    <t>marichu_latoy@yahoo.com.ph</t>
  </si>
  <si>
    <t xml:space="preserve">ASSAY: Xpert MTB/RIF, COUNT: NA
ASSAY: Xpert MTB/RIF Ultra, COUNT: NA
</t>
  </si>
  <si>
    <t>Gathering of additional data for troubleshooting</t>
  </si>
  <si>
    <t>Taken a picture of gateway board with serial numbers</t>
  </si>
  <si>
    <t>Cords of the unit are currently installed on their other unit (SN: 807466)</t>
  </si>
  <si>
    <t>https://www.jotform.com/uploads/macarewecare/222927978372067/5473931966911176624/5473931966911176624_signature_28.png</t>
  </si>
  <si>
    <t>MARIA YVETTE C MENDOZA</t>
  </si>
  <si>
    <t>https://www.jotform.com/uploads/macarewecare/222927978372067/5473931966911176624/5473931966911176624_signature_31.png</t>
  </si>
  <si>
    <t>GORORDO AVE., CEBU CITY</t>
  </si>
  <si>
    <t>FOR LINE SENSOR WITH COVER ASSEMBLY REPLACEMENT</t>
  </si>
  <si>
    <t>LINE SENSOR WITH COVER ASSEMBLY</t>
  </si>
  <si>
    <t>SI NO 94500</t>
  </si>
  <si>
    <t>https://www.jotform.com/uploads/macarewecare/222927978372067/5473359888814814592/5473359888814814592_signature_28.png</t>
  </si>
  <si>
    <t>RODA FLORES, RMT</t>
  </si>
  <si>
    <t>https://www.jotform.com/uploads/macarewecare/222927978372067/5473359888814814592/5473359888814814592_signature_31.png</t>
  </si>
  <si>
    <t xml:space="preserve">ASSAY: Xpert MTB/RIF, COUNT: 602
ASSAY: Xpert MTB/RIF Ultra, COUNT: 609
ASSAY: Xpert HCV VL, COUNT: 1
ASSAY: Xpert HIV-1 Viral Load, COUNT: 139
</t>
  </si>
  <si>
    <t>Unit is operational. 3 modules are working. Module D2 for follow up.</t>
  </si>
  <si>
    <t>D2 is disabled. Unit is a rovering unit (from Tarlac)</t>
  </si>
  <si>
    <t>https://www.jotform.com/uploads/macarewecare/222927978372067/5473346408958565143/5473346408958565143_signature_28.png</t>
  </si>
  <si>
    <t>https://www.jotform.com/uploads/macarewecare/222927978372067/5473346408958565143/5473346408958565143_signature_31.png</t>
  </si>
  <si>
    <t xml:space="preserve">ASSAY: Xpert MTB/RIF, COUNT: 1017
ASSAY: Xpert MTB/RIF Ultra, COUNT: 2495
</t>
  </si>
  <si>
    <t>All modules are service required</t>
  </si>
  <si>
    <t>Xpertcheck Calibration of back-up unit formerly ( Zamboanga City Medical Center)</t>
  </si>
  <si>
    <t>All modules are service required. Replacement Needed.</t>
  </si>
  <si>
    <t>https://www.jotform.com/uploads/macarewecare/222927978372067/5473302559367679918/5473302559367679918_signature_28.png</t>
  </si>
  <si>
    <t>https://www.jotform.com/uploads/macarewecare/222927978372067/5473302559367679918/5473302559367679918_signature_31.png</t>
  </si>
  <si>
    <t xml:space="preserve">ASSAY: Xpert MTB/RIF, COUNT: 1017
ASSAY: Xpert MTB/RIF Ultra, COUNT: 2495
ASSAY: Xpert HIV-1 Viral Load, COUNT: 29
</t>
  </si>
  <si>
    <t>D1, D2 and D4 temperature related errors</t>
  </si>
  <si>
    <t>Reported to Cepheid. 3 modules prior for replacements.</t>
  </si>
  <si>
    <t>Replacing Module D1 with SN: 710720 to SN: 677347
Replacing Module D2 with SN: 608331 to SN: 798340
Replacing Module D4 with SN: 861748 to SN: 702788</t>
  </si>
  <si>
    <t>https://www.jotform.com/uploads/macarewecare/222927978372067/5473292269363058552/5473292269363058552_signature_28.png</t>
  </si>
  <si>
    <t>https://www.jotform.com/uploads/macarewecare/222927978372067/5473292269363058552/5473292269363058552_signature_31.png</t>
  </si>
  <si>
    <t xml:space="preserve">ASSAY: Xpert MTB/RIF, COUNT: 377
ASSAY: Xpert MTB/RIF Ultra, COUNT: 571
</t>
  </si>
  <si>
    <t>Performed maintenance
Replaced module A2
Generated reports
Replaced bios battery</t>
  </si>
  <si>
    <t>UPS for replacement.</t>
  </si>
  <si>
    <t>Old module: A2/677922
New module: A2/862098</t>
  </si>
  <si>
    <t>G 4972</t>
  </si>
  <si>
    <t>https://www.jotform.com/uploads/macarewecare/222927978372067/5473247012519592480/5473247012519592480_signature_28.png</t>
  </si>
  <si>
    <t>https://www.jotform.com/uploads/macarewecare/222927978372067/5473247012519592480/5473247012519592480_signature_31.png</t>
  </si>
  <si>
    <t>moleclab@cldh.com.ph</t>
  </si>
  <si>
    <t xml:space="preserve">ASSAY: Xpert MTB/RIF Ultra, COUNT: 3
ASSAY: Xpert SARS-CoV-2, COUNT: 75
</t>
  </si>
  <si>
    <t>Module A1 HW FAILED</t>
  </si>
  <si>
    <t>Performed Preventive Maintenance
Checked system log
Performed functionality test</t>
  </si>
  <si>
    <t>Preventive maintenance
Troubleshooting</t>
  </si>
  <si>
    <t>Unit is operational except Module A1:210070792</t>
  </si>
  <si>
    <t>For reporting A1 for replacement.</t>
  </si>
  <si>
    <t>MARK JOSEPH VENZON</t>
  </si>
  <si>
    <t>https://www.jotform.com/uploads/macarewecare/222927978372067/5473243804337387170/5473243804337387170_signature_28.png</t>
  </si>
  <si>
    <t>Justine Pader</t>
  </si>
  <si>
    <t>https://www.jotform.com/uploads/macarewecare/222927978372067/5473243804337387170/5473243804337387170_signature_31.png</t>
  </si>
  <si>
    <t xml:space="preserve">ASSAY: Xpert MTB/RIF, COUNT: 754
ASSAY: Xpert MTB/RIF Ultra, COUNT: 988
</t>
  </si>
  <si>
    <t>Module A3 (696903) for replacement</t>
  </si>
  <si>
    <t>GX Module SN: 896226</t>
  </si>
  <si>
    <t>G 4983</t>
  </si>
  <si>
    <t>Ronnep Belizar</t>
  </si>
  <si>
    <t>https://www.jotform.com/uploads/macarewecare/222927978372067/5473241808959755553/5473241808959755553_signature_28.png</t>
  </si>
  <si>
    <t>https://www.jotform.com/uploads/macarewecare/222927978372067/5473241808959755553/5473241808959755553_signature_31.png</t>
  </si>
  <si>
    <t>Smapaloc Manila</t>
  </si>
  <si>
    <t>jpmarcos.29@gmail.com</t>
  </si>
  <si>
    <t xml:space="preserve">ASSAY: Xpert MTB/RIF, COUNT: 363
ASSAY: Xpert MTB/RIF Ultra, COUNT: 831
ASSAY: Xpert HIV-1 Viral Load, COUNT: 13
</t>
  </si>
  <si>
    <t>Unit for PM.
For module replacement of A2.</t>
  </si>
  <si>
    <t>Performed PM of Genexpert.
Performed module replacement on A2.</t>
  </si>
  <si>
    <t>GX module for A2 (671861) in replacement for defective A2 (691293).</t>
  </si>
  <si>
    <t>G4979</t>
  </si>
  <si>
    <t>https://www.jotform.com/uploads/macarewecare/222927978372067/5473215997212289352/5473215997212289352_signature_28.png</t>
  </si>
  <si>
    <t>John Patrick Marcos</t>
  </si>
  <si>
    <t>https://www.jotform.com/uploads/macarewecare/222927978372067/5473215997212289352/5473215997212289352_signature_31.png</t>
  </si>
  <si>
    <t xml:space="preserve">ASSAY: Xpert MTB/RIF, COUNT: 839
ASSAY: Xpert MTB/RIF Ultra, COUNT: 1087
</t>
  </si>
  <si>
    <t>2032 errors</t>
  </si>
  <si>
    <t>Additional troubleshooting by cepheid</t>
  </si>
  <si>
    <t>Performed maintenance
Checked gateway board
Generate reports</t>
  </si>
  <si>
    <t>2 modules are defective</t>
  </si>
  <si>
    <t>https://www.jotform.com/uploads/macarewecare/222927978372067/5473215749807852532/5473215749807852532_signature_28.png</t>
  </si>
  <si>
    <t>https://www.jotform.com/uploads/macarewecare/222927978372067/5473215749807852532/5473215749807852532_signature_31.png</t>
  </si>
  <si>
    <t>Baguio Health Service Office</t>
  </si>
  <si>
    <t>T. Alonso St., New Lucban, Baguio city</t>
  </si>
  <si>
    <t xml:space="preserve">ASSAY: Xpert MTB/RIF, COUNT: 92
ASSAY: Xpert MTB/RIF Ultra, COUNT: 646
ASSAY: Xpert HPV, COUNT: 3
</t>
  </si>
  <si>
    <t>Unit is due for reexpert checy
Unit is due for Preventive Maintenance</t>
  </si>
  <si>
    <t>Expert Check and Preventive Maintenance</t>
  </si>
  <si>
    <t>Performed Surface Cleaning
Performed plunger Rod Cleaning
Peroformed Filter Cleaning</t>
  </si>
  <si>
    <t>https://www.jotform.com/uploads/macarewecare/222927978372067/5473194982015564255/5473194982015564255_signature_28.png</t>
  </si>
  <si>
    <t>https://www.jotform.com/uploads/macarewecare/222927978372067/5473194982015564255/5473194982015564255_signature_31.png</t>
  </si>
  <si>
    <t>kimlestherbautista@gmail.com</t>
  </si>
  <si>
    <t xml:space="preserve">ASSAY: Xpert MTB/RIF Ultra, COUNT: 6743
ASSAY: Xpert HIV-1 Viral Load, COUNT: 421
ASSAY: Xpert HPV, COUNT: 186
ASSAY: Xpert SARS-CoV-2, COUNT: 12629
</t>
  </si>
  <si>
    <t>H/W Fail Module C1 SN: 805858</t>
  </si>
  <si>
    <t>Replaced Module
C1/805858</t>
  </si>
  <si>
    <t>Module C1 ready for use.</t>
  </si>
  <si>
    <t>GeneXpert 6-Color Module</t>
  </si>
  <si>
    <t>https://www.jotform.com/uploads/macarewecare/222927978372067/5473187793427652512/5473187793427652512_signature_28.png</t>
  </si>
  <si>
    <t>Bautista, Kim</t>
  </si>
  <si>
    <t>https://www.jotform.com/uploads/macarewecare/222927978372067/5473187793427652512/5473187793427652512_signature_31.png</t>
  </si>
  <si>
    <t>Dimasalang Sta. Cruz, Manil</t>
  </si>
  <si>
    <t xml:space="preserve">ASSAY: Xpert HPV, COUNT: 26
ASSAY: Xpert MTB/RIF, COUNT: 395
ASSAY: Xpert MTB/RIF Ultra, COUNT: 492
</t>
  </si>
  <si>
    <t>Unit for PM.
For module replacement of Modules b1 and b3.</t>
  </si>
  <si>
    <t>Performed PM.
Performed module replacement on b1 and b3.
Generated reports.</t>
  </si>
  <si>
    <t>GX Module B1 (702411) and B3 (804103) in replacement for defective B1 (796662) and B3 (687758).</t>
  </si>
  <si>
    <t>G4981</t>
  </si>
  <si>
    <t>https://www.jotform.com/uploads/macarewecare/222927978372067/5473149417216297977/5473149417216297977_signature_28.png</t>
  </si>
  <si>
    <t>https://www.jotform.com/uploads/macarewecare/222927978372067/5473149417216297977/5473149417216297977_signature_31.png</t>
  </si>
  <si>
    <t>Gov. Pack rd. Bgh Compound, Baguio City</t>
  </si>
  <si>
    <t xml:space="preserve">ASSAY: Xpert HPV, COUNT: 414
ASSAY: Xpert MTB/RIF, COUNT: 807
ASSAY: Xpert MTB/RIF Ultra, COUNT: 1236
</t>
  </si>
  <si>
    <t>Performed Surface Cleaning
Performed plunger Rod Cleaning
Performed filter Cleaning</t>
  </si>
  <si>
    <t>https://www.jotform.com/uploads/macarewecare/222927978372067/5473094813318544383/5473094813318544383_signature_28.png</t>
  </si>
  <si>
    <t>https://www.jotform.com/uploads/macarewecare/222927978372067/5473094813318544383/5473094813318544383_signature_31.png</t>
  </si>
  <si>
    <t>Gov. Pack rd., Bgh Compund, Baguio City</t>
  </si>
  <si>
    <t xml:space="preserve">ASSAY: Xpert HPV, COUNT: 208
ASSAY: Xpert MTB/RIF, COUNT: 427
ASSAY: Xpert MTB/RIF Ultra, COUNT: 831
</t>
  </si>
  <si>
    <t>Unit is due for Module Replacement</t>
  </si>
  <si>
    <t>Replace Modules:
B3/758560 into 875228
B4/682707 into 713404</t>
  </si>
  <si>
    <t>Genexpert module 6C 
875228
713404</t>
  </si>
  <si>
    <t>https://www.jotform.com/uploads/macarewecare/222927978372067/5473093753312969309/5473093753312969309_signature_28.png</t>
  </si>
  <si>
    <t>https://www.jotform.com/uploads/macarewecare/222927978372067/5473093753312969309/5473093753312969309_signature_31.png</t>
  </si>
  <si>
    <t>gigietan0911@xn--gmai-jqa.com</t>
  </si>
  <si>
    <t xml:space="preserve">ASSAY: Xpert MTB/RIF, COUNT: 283
ASSAY: Xpert MTB/RIF Ultra, COUNT: 892
ASSAY: Xpert HIV-1 Viral Load, COUNT: 111
</t>
  </si>
  <si>
    <t>GeneXpert connection problem</t>
  </si>
  <si>
    <t>Troubleshoot connections and reset gateway board</t>
  </si>
  <si>
    <t>Performed maintenance
Check connections
Used different cables
Reset Gateway Board
Generate Reports</t>
  </si>
  <si>
    <t>Unit is operational but with IP configuration. Possible replacement of cpu or gateway board.</t>
  </si>
  <si>
    <t>For observation of CPU and GeneXpert</t>
  </si>
  <si>
    <t>https://www.jotform.com/uploads/macarewecare/222927978372067/5472684454704205354/5472684454704205354_signature_28.png</t>
  </si>
  <si>
    <t>Geraldine Tan</t>
  </si>
  <si>
    <t>https://www.jotform.com/uploads/macarewecare/222927978372067/5472684454704205354/5472684454704205354_signature_31.png</t>
  </si>
  <si>
    <t>East ave diliman quezon city</t>
  </si>
  <si>
    <t>Ups replacement</t>
  </si>
  <si>
    <t>sheild419@gmail.com</t>
  </si>
  <si>
    <t>Defective ups unable to backup</t>
  </si>
  <si>
    <t>Replaced 1kva ups</t>
  </si>
  <si>
    <t>Replacement of ups</t>
  </si>
  <si>
    <t>Unoperational defective cpu board</t>
  </si>
  <si>
    <t>Ups 1 kva</t>
  </si>
  <si>
    <t>https://www.jotform.com/uploads/macarewecare/222927978372067/5472644969469609882/5472644969469609882_signature_28.png</t>
  </si>
  <si>
    <t>Sheila Decena</t>
  </si>
  <si>
    <t>https://www.jotform.com/uploads/macarewecare/222927978372067/5472644969469609882/5472644969469609882_signature_31.png</t>
  </si>
  <si>
    <t>Ups unable to back up</t>
  </si>
  <si>
    <t>Replace defective ups</t>
  </si>
  <si>
    <t>Ups 1kva</t>
  </si>
  <si>
    <t>https://www.jotform.com/uploads/macarewecare/222927978372067/5472644559466830819/5472644559466830819_signature_28.png</t>
  </si>
  <si>
    <t>https://www.jotform.com/uploads/macarewecare/222927978372067/5472644559466830819/5472644559466830819_signature_31.png</t>
  </si>
  <si>
    <t xml:space="preserve">ASSAY: Xpert MTB/RIF Ultra, COUNT: 352
ASSAY: Xpert MTB/RIF, COUNT: 46
</t>
  </si>
  <si>
    <t>UPS automatic shutdown</t>
  </si>
  <si>
    <t>Performed Maintenance
Gathered Reports
Performed Module Replacement
Installed Printer Drivers
Performed Functionality Test</t>
  </si>
  <si>
    <t>UPS needs to be REPLACED</t>
  </si>
  <si>
    <t>https://www.jotform.com/uploads/macarewecare/222927978372067/5472298388517774229/5472298388517774229_signature_28.png</t>
  </si>
  <si>
    <t>https://www.jotform.com/uploads/macarewecare/222927978372067/5472298388517774229/5472298388517774229_signature_31.png</t>
  </si>
  <si>
    <t>Axioscope A1</t>
  </si>
  <si>
    <t>Performed maintenance and calibration
Cleaned the microscope body
Cleaned lenses
Cleaned objectives
Checked the light source
Check illumination</t>
  </si>
  <si>
    <t>Unit is operational. For bulb replacement.</t>
  </si>
  <si>
    <t>Low light output.</t>
  </si>
  <si>
    <t>Jogn Monsour Doctor/ Ronnel Belizar</t>
  </si>
  <si>
    <t>https://www.jotform.com/uploads/macarewecare/222927978372067/5472239484113106312/5472239484113106312_signature_28.png</t>
  </si>
  <si>
    <t>https://www.jotform.com/uploads/macarewecare/222927978372067/5472239484113106312/5472239484113106312_signature_31.png</t>
  </si>
  <si>
    <t>St Luke's Extension Clinic</t>
  </si>
  <si>
    <t>Bocobo St, Manila</t>
  </si>
  <si>
    <t xml:space="preserve">ASSAY: Xpert CT/NG, COUNT: 4003
ASSAY: Xpert MTB/RIF, COUNT: 2035
ASSAY: Xpert MTB/RIF Ultra, COUNT: 2475
</t>
  </si>
  <si>
    <t>GeneXpert Infinity 48s</t>
  </si>
  <si>
    <t>LIS Connectivity</t>
  </si>
  <si>
    <t>Transferred connection to different Ethernet port</t>
  </si>
  <si>
    <t>Performed troubleshooting with in-house IT</t>
  </si>
  <si>
    <t>Unit is operational, LIS connectivity under observation</t>
  </si>
  <si>
    <t>https://www.jotform.com/uploads/macarewecare/222927978372067/5467037652419849455/5467037652419849455_signature_28.png</t>
  </si>
  <si>
    <t>https://www.jotform.com/uploads/macarewecare/222927978372067/5467037652419849455/5467037652419849455_signature_31.png</t>
  </si>
  <si>
    <t>Pasay city</t>
  </si>
  <si>
    <t xml:space="preserve">ASSAY: Xpert MTB/RIF, COUNT: 236
ASSAY: Xpert MTB/RIF Ultra, COUNT: 1461
</t>
  </si>
  <si>
    <t>Performed maintenance,cleaned plunger,cartridge bay,icore,filter,gathered reports,test run unit</t>
  </si>
  <si>
    <t>B1 failed xpertcheck,3 modules operational</t>
  </si>
  <si>
    <t>https://www.jotform.com/uploads/macarewecare/222927978372067/5463899736427413494/5463899736427413494_signature_28.png</t>
  </si>
  <si>
    <t>https://www.jotform.com/uploads/macarewecare/222927978372067/5463899736427413494/5463899736427413494_signature_31.png</t>
  </si>
  <si>
    <t>37 Revilla st pasay city</t>
  </si>
  <si>
    <t xml:space="preserve">ASSAY: Xpert MTB/RIF, COUNT: 218
ASSAY: Xpert MTB/RIF Ultra, COUNT: 461
</t>
  </si>
  <si>
    <t>Performed maintenance,cleaned filter,plunger,icore,cartridge bay,gathered report,test run unit</t>
  </si>
  <si>
    <t>https://www.jotform.com/uploads/macarewecare/222927978372067/5463899166424223713/5463899166424223713_signature_28.png</t>
  </si>
  <si>
    <t>https://www.jotform.com/uploads/macarewecare/222927978372067/5463899166424223713/5463899166424223713_signature_31.png</t>
  </si>
  <si>
    <t>Santa Rosa Nueva Ecija</t>
  </si>
  <si>
    <t>rhu1santarosa@yahoo.com</t>
  </si>
  <si>
    <t>https://www.jotform.com/uploads/macarewecare/222927978372067/5463813854919875214/5463813854919875214_signature_28.png</t>
  </si>
  <si>
    <t>Ana S Caballong</t>
  </si>
  <si>
    <t>https://www.jotform.com/uploads/macarewecare/222927978372067/5463813854919875214/5463813854919875214_signature_31.png</t>
  </si>
  <si>
    <t>Panabo City, Davao del Norte</t>
  </si>
  <si>
    <t>Gx- IV 4D</t>
  </si>
  <si>
    <t>Clean Cartridge Bay, surface area, Plunger Rod, fan filters, Icore
Generate IQR, Assay Stat, System Log
Archived Data Results</t>
  </si>
  <si>
    <t>3Module are fully operational 
Module B2 / SN:808297 encounter multiple Temperature Error
GeneXpert Monitor Display is Malfunctioned</t>
  </si>
  <si>
    <t>Module B2/ SN:808297 under observation ; Monitor was temporarily replaced by the End User</t>
  </si>
  <si>
    <t>https://www.jotform.com/uploads/macarewecare/222927978372067/5463794536301159805/5463794536301159805_signature_28.png</t>
  </si>
  <si>
    <t>Nadine Gemma S. Eustaquio, RMT</t>
  </si>
  <si>
    <t>https://www.jotform.com/uploads/macarewecare/222927978372067/5463794536301159805/5463794536301159805_signature_31.png</t>
  </si>
  <si>
    <t>Rizal Ave. Ermita</t>
  </si>
  <si>
    <t>rcharlamagnenabong@gmail.com</t>
  </si>
  <si>
    <t xml:space="preserve">ASSAY: Xpert HPV, COUNT: 342
ASSAY: Xpert SARS-CoV-2, COUNT: 25947
ASSAY: Others, COUNT: 10
</t>
  </si>
  <si>
    <t>Unit is due for troubleshootin.
 no saving of results in database.</t>
  </si>
  <si>
    <t>Backup and Purge Test</t>
  </si>
  <si>
    <t>Transfer file from pc to usb with supervision of end user.
Performed Troubleshooting</t>
  </si>
  <si>
    <t>https://www.jotform.com/uploads/macarewecare/222927978372067/5463781133831737372/5463781133831737372_signature_28.png</t>
  </si>
  <si>
    <t>Rhon Charlamagne Nabong</t>
  </si>
  <si>
    <t>https://www.jotform.com/uploads/macarewecare/222927978372067/5463781133831737372/5463781133831737372_signature_31.png</t>
  </si>
  <si>
    <t>MAINTENANCE
Monitor Check-up</t>
  </si>
  <si>
    <t>eunicadomingo@gmail.com</t>
  </si>
  <si>
    <t xml:space="preserve">ASSAY: Xpert MTB/RIF, COUNT: 339
ASSAY: Xpert MTB/RIF Ultra, COUNT: 130
</t>
  </si>
  <si>
    <t>Sudden shutdown of monitor and auto adjustment</t>
  </si>
  <si>
    <t>Unit is operational except faulty monitor</t>
  </si>
  <si>
    <t>https://www.jotform.com/uploads/macarewecare/222927978372067/5463742972897975427/5463742972897975427_signature_28.png</t>
  </si>
  <si>
    <t>Frances Eunica Domingo</t>
  </si>
  <si>
    <t>https://www.jotform.com/uploads/macarewecare/222927978372067/5463742972897975427/5463742972897975427_signature_31.png</t>
  </si>
  <si>
    <t xml:space="preserve">ASSAY: Xpert MTB/RIF, COUNT: 309
ASSAY: Xpert MTB/RIF Ultra, COUNT: 652
</t>
  </si>
  <si>
    <t>Module B1 H /w failed</t>
  </si>
  <si>
    <t>Replace module B1 SN: 696324 with new module SN:870231
Genexpert machine Preventive Maintenance</t>
  </si>
  <si>
    <t>https://www.jotform.com/uploads/macarewecare/222927978372067/5463685245222802596/5463685245222802596_signature_28.png</t>
  </si>
  <si>
    <t>https://www.jotform.com/uploads/macarewecare/222927978372067/5463685245222802596/5463685245222802596_signature_31.png</t>
  </si>
  <si>
    <t>Langgam San Pedro Laguna</t>
  </si>
  <si>
    <t xml:space="preserve">ASSAY: Xpert HPV, COUNT: 764
ASSAY: Xpert MTB/RIF, COUNT: 356
ASSAY: Xpert MTB/RIF Ultra, COUNT: 651
ASSAY: Xpert HIV-1 Viral Load, COUNT: 11
</t>
  </si>
  <si>
    <t>Unit for PM.
For Xpertcheck of Module A3 due to error.
For checking of monitor</t>
  </si>
  <si>
    <t>Performed PM of GeneXpert.
Performed Xpertcheck on Module A3.
Checked monitor.
Generated reports.</t>
  </si>
  <si>
    <t>PM an XpertCheck.</t>
  </si>
  <si>
    <t>Unit is operational. Module A3 passed Xpertcheck. 3 working modules, Module A4 defective and was already reported previously.
Monitor has lining on the bottom part and for replacement.</t>
  </si>
  <si>
    <t>https://www.jotform.com/uploads/macarewecare/222927978372067/5463653926019210442/5463653926019210442_signature_28.png</t>
  </si>
  <si>
    <t>https://www.jotform.com/uploads/macarewecare/222927978372067/5463653926019210442/5463653926019210442_signature_31.png</t>
  </si>
  <si>
    <t>Naval, San Jose</t>
  </si>
  <si>
    <t>Performed Surface Cleaning
Performed filter Cleaning
Performed Plunger Rod Cleaning</t>
  </si>
  <si>
    <t>https://www.jotform.com/uploads/macarewecare/222927978372067/5463632753622341946/5463632753622341946_signature_28.png</t>
  </si>
  <si>
    <t>https://www.jotform.com/uploads/macarewecare/222927978372067/5463632753622341946/5463632753622341946_signature_31.png</t>
  </si>
  <si>
    <t>Naval St. San Jose</t>
  </si>
  <si>
    <t>https://www.jotform.com/uploads/macarewecare/222927978372067/5463630733629619087/5463630733629619087_signature_28.png</t>
  </si>
  <si>
    <t>https://www.jotform.com/uploads/macarewecare/222927978372067/5463630733629619087/5463630733629619087_signature_31.png</t>
  </si>
  <si>
    <t>LAPU LAPU CITY CEBU</t>
  </si>
  <si>
    <t xml:space="preserve">ASSAY: Xpert MTB/RIF, COUNT: 1083
ASSAY: Xpert MTB/RIF Ultra, COUNT: 758
</t>
  </si>
  <si>
    <t>https://www.jotform.com/uploads/macarewecare/222927978372067/5463620608814099060/5463620608814099060_signature_28.png</t>
  </si>
  <si>
    <t>MARIA LUCILLE P. ARONG</t>
  </si>
  <si>
    <t>https://www.jotform.com/uploads/macarewecare/222927978372067/5463620608814099060/5463620608814099060_signature_31.png</t>
  </si>
  <si>
    <t xml:space="preserve">ASSAY: Xpert MTB/RIF, COUNT: 1337
ASSAY: Xpert MTB/RIF Ultra, COUNT: 498
</t>
  </si>
  <si>
    <t>-CHECK MODULE B3 ERRORS, FOUND ERROR 4009 AND 1002 ERRORS OF TEST FROM VIEW RESULTS</t>
  </si>
  <si>
    <t>https://www.jotform.com/uploads/macarewecare/222927978372067/5463617468812002256/5463617468812002256_signature_28.png</t>
  </si>
  <si>
    <t>https://www.jotform.com/uploads/macarewecare/222927978372067/5463617468812002256/5463617468812002256_signature_31.png</t>
  </si>
  <si>
    <t>Davao Oriental Provincial Hospital - Cateel</t>
  </si>
  <si>
    <t>Cateel, Davao Oriental</t>
  </si>
  <si>
    <t>saiespirituoso@gmail.com</t>
  </si>
  <si>
    <t xml:space="preserve">ASSAY: Xpert MTB/RIF, COUNT: 146
ASSAY: Xpert MTB/RIF Ultra, COUNT: 404
</t>
  </si>
  <si>
    <t>Gx IV - 4D</t>
  </si>
  <si>
    <t>Clean Surface Area, Cartridge Bay, Plunger Rod, Icore, Fan Filters
Generate IQR, System Log, Assay Stat</t>
  </si>
  <si>
    <t>Machine is fully operational</t>
  </si>
  <si>
    <t>https://www.jotform.com/uploads/macarewecare/222927978372067/5462350637016540176/5462350637016540176_signature_28.png</t>
  </si>
  <si>
    <t>SUZAINE ESPIRITUOSO</t>
  </si>
  <si>
    <t>https://www.jotform.com/uploads/macarewecare/222927978372067/5462350637016540176/5462350637016540176_signature_31.png</t>
  </si>
  <si>
    <t>Caraga Rural Health Unit</t>
  </si>
  <si>
    <t>Poblacion, Caraga, Davao Oriental</t>
  </si>
  <si>
    <t>rhizabenaning06@gmail.com</t>
  </si>
  <si>
    <t xml:space="preserve">ASSAY: Xpert MTB/RIF, COUNT: 333
</t>
  </si>
  <si>
    <t>Gx-IV 2D</t>
  </si>
  <si>
    <t>Module B1/ SN: 788653 for replacement</t>
  </si>
  <si>
    <t>Module Replacement
Perform Preventive Maintenance</t>
  </si>
  <si>
    <t>Replaced Module B1/ SN:788653 with new Module SN: 663639</t>
  </si>
  <si>
    <t>PL#9546</t>
  </si>
  <si>
    <t>https://www.jotform.com/uploads/macarewecare/222927978372067/5462350287018526360/5462350287018526360_signature_28.png</t>
  </si>
  <si>
    <t>Rhiza Mae M. Benaning</t>
  </si>
  <si>
    <t>https://www.jotform.com/uploads/macarewecare/222927978372067/5462350287018526360/5462350287018526360_signature_31.png</t>
  </si>
  <si>
    <t>Cabanatuan Nueva Ecija</t>
  </si>
  <si>
    <t>armi_adecer@yahoo.com</t>
  </si>
  <si>
    <t>Performed Maintenance
Gathered Reports 
Performed Functionality test</t>
  </si>
  <si>
    <t>https://www.jotform.com/uploads/macarewecare/222927978372067/5462109492022721647/5462109492022721647_signature_28.png</t>
  </si>
  <si>
    <t>Arminda A. Adecer</t>
  </si>
  <si>
    <t>https://www.jotform.com/uploads/macarewecare/222927978372067/5462109492022721647/5462109492022721647_signature_31.png</t>
  </si>
  <si>
    <t xml:space="preserve">ASSAY: Xpert MTB/RIF, COUNT: 365
ASSAY: Xpert MTB/RIF Ultra, COUNT: 718
</t>
  </si>
  <si>
    <t>Temperature error module 1 (1002)</t>
  </si>
  <si>
    <t>Performed Preventive maintenance
Performed xpertcheck
Performed functionality test</t>
  </si>
  <si>
    <t>Failed xpertcheck result for module A1 (HW failed)</t>
  </si>
  <si>
    <t>https://www.jotform.com/uploads/macarewecare/222927978372067/5462017111216841844/5462017111216841844_signature_28.png</t>
  </si>
  <si>
    <t>https://www.jotform.com/uploads/macarewecare/222927978372067/5462017111216841844/5462017111216841844_signature_31.png</t>
  </si>
  <si>
    <t>Madang, Mati City, Davao Oriental</t>
  </si>
  <si>
    <t>cholaboratory@yahoo.com</t>
  </si>
  <si>
    <t xml:space="preserve">ASSAY: Xpert MTB/RIF, COUNT: 430
ASSAY: Xpert MTB/RIF Ultra, COUNT: 361
</t>
  </si>
  <si>
    <t>Gx IV - 2D</t>
  </si>
  <si>
    <t>Module B1: SN 787801 Encounter An Error</t>
  </si>
  <si>
    <t>Troubleshooting Module B1</t>
  </si>
  <si>
    <t>Reset Gateway Board Connections
Clean Icore Lens
Perform Xpert Check on Module B1 Only</t>
  </si>
  <si>
    <t>Module B1/SN:787801 for Service Required</t>
  </si>
  <si>
    <t>Only 1 Module is  Working, Module B1 is disabled</t>
  </si>
  <si>
    <t>https://www.jotform.com/uploads/macarewecare/222927978372067/5461994798683720689/5461994798683720689_signature_28.png</t>
  </si>
  <si>
    <t>Liezl Anne Alago</t>
  </si>
  <si>
    <t>https://www.jotform.com/uploads/macarewecare/222927978372067/5461994798683720689/5461994798683720689_signature_31.png</t>
  </si>
  <si>
    <t>Area E</t>
  </si>
  <si>
    <t xml:space="preserve">ASSAY: Xpert MTB/RIF, COUNT: 476
ASSAY: Xpert MTB/RIF Ultra, COUNT: 2059
ASSAY: Xpert HIV-1 Viral Load, COUNT: 46
</t>
  </si>
  <si>
    <t>GX4-D</t>
  </si>
  <si>
    <t>Temperature errors in module 4</t>
  </si>
  <si>
    <t>Maintenance machine</t>
  </si>
  <si>
    <t>Performed Maintenance
Performed Xpertcheck on module 4</t>
  </si>
  <si>
    <t>1 module operational, 3 modules for replacement</t>
  </si>
  <si>
    <t>Xpertcheck: B4/654888 - Failed</t>
  </si>
  <si>
    <t>https://www.jotform.com/uploads/macarewecare/222927978372067/5461987792424533675/5461987792424533675_signature_28.png</t>
  </si>
  <si>
    <t>https://www.jotform.com/uploads/macarewecare/222927978372067/5461987792424533675/5461987792424533675_signature_31.png</t>
  </si>
  <si>
    <t>Tatalon hc</t>
  </si>
  <si>
    <t>Victory ave. Qc</t>
  </si>
  <si>
    <t>tatalonlab@gmail.com</t>
  </si>
  <si>
    <t xml:space="preserve">ASSAY: Xpert MTB/RIF, COUNT: 267
ASSAY: Xpert MTB/RIF Ultra, COUNT: 235
</t>
  </si>
  <si>
    <t>A3 continous temp error</t>
  </si>
  <si>
    <t>Checked unit,cleaned filter,plunger,cartridge bay,performed rexpert check</t>
  </si>
  <si>
    <t>Pm,rexpert check</t>
  </si>
  <si>
    <t>A4 disabled reported,A3 754333 failed rexpertcheck</t>
  </si>
  <si>
    <t>https://www.jotform.com/uploads/macarewecare/222927978372067/5461962522725619479/5461962522725619479_signature_28.png</t>
  </si>
  <si>
    <t>https://www.jotform.com/uploads/macarewecare/222927978372067/5461962522725619479/5461962522725619479_signature_31.png</t>
  </si>
  <si>
    <t>St. Elizabeth Hospital Inc</t>
  </si>
  <si>
    <t>laboratory@sehi.ph.com</t>
  </si>
  <si>
    <t xml:space="preserve">ASSAY: Xpert SARS-CoV-2, COUNT: 7769
ASSAY: Xpert MTB/RIF Ultra, COUNT: 62
</t>
  </si>
  <si>
    <t>Gx-4 ( 10C)</t>
  </si>
  <si>
    <t>Module B4 H/W failed due to multiple temperature error</t>
  </si>
  <si>
    <t>Module B4 subject for module replacement due to H/W FAILED</t>
  </si>
  <si>
    <t>https://www.jotform.com/uploads/macarewecare/222927978372067/5461955302916895846/5461955302916895846_signature_28.png</t>
  </si>
  <si>
    <t>Joana May Simplicio</t>
  </si>
  <si>
    <t>https://www.jotform.com/uploads/macarewecare/222927978372067/5461955302916895846/5461955302916895846_signature_31.png</t>
  </si>
  <si>
    <t>St. Elizabeth Hospital inc.</t>
  </si>
  <si>
    <t xml:space="preserve">ASSAY: Xpert SARS-CoV-2, COUNT: 7593
ASSAY: Xpert MTB/RIF Ultra, COUNT: 38
</t>
  </si>
  <si>
    <t>Module C3 multiple temperature error</t>
  </si>
  <si>
    <t>Module C3 subject for module replacement due to multiple temperature errors</t>
  </si>
  <si>
    <t>https://www.jotform.com/uploads/macarewecare/222927978372067/5461952022913425245/5461952022913425245_signature_28.png</t>
  </si>
  <si>
    <t>https://www.jotform.com/uploads/macarewecare/222927978372067/5461952022913425245/5461952022913425245_signature_31.png</t>
  </si>
  <si>
    <t>East Rembo, Makati</t>
  </si>
  <si>
    <t xml:space="preserve">ASSAY: Xpert MTB/RIF, COUNT: 1179
ASSAY: Xpert MTB/RIF Ultra, COUNT: 145
</t>
  </si>
  <si>
    <t>https://www.jotform.com/uploads/macarewecare/222927978372067/5461348302819998413/5461348302819998413_signature_28.png</t>
  </si>
  <si>
    <t>https://www.jotform.com/uploads/macarewecare/222927978372067/5461348302819998413/5461348302819998413_signature_31.png</t>
  </si>
  <si>
    <t xml:space="preserve">ASSAY: Xpert HPV, COUNT: 129
ASSAY: Xpert SARS-CoV-2, COUNT: 558
</t>
  </si>
  <si>
    <t>1002 error b4 210069598</t>
  </si>
  <si>
    <t>Check unit,fan,filter,performed selftest error still occut</t>
  </si>
  <si>
    <t>3 module operational b4 disabled</t>
  </si>
  <si>
    <t>https://www.jotform.com/uploads/macarewecare/222927978372067/5461330939883979477/5461330939883979477_signature_28.png</t>
  </si>
  <si>
    <t>Camille L. Fernando</t>
  </si>
  <si>
    <t>https://www.jotform.com/uploads/macarewecare/222927978372067/5461330939883979477/5461330939883979477_signature_31.png</t>
  </si>
  <si>
    <t>Crc bios</t>
  </si>
  <si>
    <t>Performed cpu reset but error still occur, swap cpu board to other unit, error still occur in unit no 2, try install good cpu board no error display</t>
  </si>
  <si>
    <t>Check up troubleshooting</t>
  </si>
  <si>
    <t>https://www.jotform.com/uploads/macarewecare/222927978372067/5461330659884502778/5461330659884502778_signature_28.png</t>
  </si>
  <si>
    <t>https://www.jotform.com/uploads/macarewecare/222927978372067/5461330659884502778/5461330659884502778_signature_31.png</t>
  </si>
  <si>
    <t>Munoz RHU</t>
  </si>
  <si>
    <t>Munoz Nueva Ecija</t>
  </si>
  <si>
    <t>mimdsantiago@gmail.com</t>
  </si>
  <si>
    <t>Module 2 and 4 Temperature Errors</t>
  </si>
  <si>
    <t>Performed Xpertcheck on B2 and B4</t>
  </si>
  <si>
    <t>Performed Maintenance
Gathered Reports
Performed Xpertcheck on B2 and B4 module
Performed Functionality Test</t>
  </si>
  <si>
    <t>B2 and B4 passed</t>
  </si>
  <si>
    <t>Xpertcheck 2 pcs</t>
  </si>
  <si>
    <t>https://www.jotform.com/uploads/macarewecare/222927978372067/5461267148205158183/5461267148205158183_signature_28.png</t>
  </si>
  <si>
    <t>Geneve Ann Santiago</t>
  </si>
  <si>
    <t>https://www.jotform.com/uploads/macarewecare/222927978372067/5461267148205158183/5461267148205158183_signature_31.png</t>
  </si>
  <si>
    <t xml:space="preserve">ASSAY: Xpert MTB/RIF, COUNT: 567
ASSAY: Xpert MTB/RIF Ultra, COUNT: 348
</t>
  </si>
  <si>
    <t>Perform Genexpert Preventive Maintenance</t>
  </si>
  <si>
    <t>https://www.jotform.com/uploads/macarewecare/222927978372067/5461165571325447012/5461165571325447012_signature_28.png</t>
  </si>
  <si>
    <t>https://www.jotform.com/uploads/macarewecare/222927978372067/5461165571325447012/5461165571325447012_signature_31.png</t>
  </si>
  <si>
    <t xml:space="preserve">ASSAY: Xpert MTB/RIF, COUNT: 239
ASSAY: Xpert MTB/RIF Ultra, COUNT: 308
</t>
  </si>
  <si>
    <t>Hardware failure on module B4</t>
  </si>
  <si>
    <t>Unit is oprational. All modules except B4 are functional.</t>
  </si>
  <si>
    <t>B4 for reporting.</t>
  </si>
  <si>
    <t>https://www.jotform.com/uploads/macarewecare/222927978372067/5461150327471198460/5461150327471198460_signature_28.png</t>
  </si>
  <si>
    <t>https://www.jotform.com/uploads/macarewecare/222927978372067/5461150327471198460/5461150327471198460_signature_31.png</t>
  </si>
  <si>
    <t>Almanza Uno</t>
  </si>
  <si>
    <t>lpc.socialhygiene@gmail.com</t>
  </si>
  <si>
    <t xml:space="preserve">ASSAY: Xpert MTB/RIF, COUNT: 370
ASSAY: Xpert MTB/RIF Ultra, COUNT: 918
ASSAY: Xpert HIV-1 Viral Load, COUNT: 107
</t>
  </si>
  <si>
    <t>Temperature Errors</t>
  </si>
  <si>
    <t>Replaced Modules 1 and 3
Performed Maintenance
Performed self test
Generate reports</t>
  </si>
  <si>
    <t>2 modules are newly replaced, 2 modules for replacement</t>
  </si>
  <si>
    <t>B1:758515 to 664554 , B3: 783832 to 210052509</t>
  </si>
  <si>
    <t>https://www.jotform.com/uploads/macarewecare/222927978372067/5461143719725337813/5461143719725337813_signature_28.png</t>
  </si>
  <si>
    <t>Milcer Pasao Lladoc</t>
  </si>
  <si>
    <t>https://www.jotform.com/uploads/macarewecare/222927978372067/5461143719725337813/5461143719725337813_signature_31.png</t>
  </si>
  <si>
    <t xml:space="preserve">ASSAY: Xpert MTB/RIF, COUNT: 415
ASSAY: Xpert MTB/RIF Ultra, COUNT: 639
ASSAY: Xpert HIV-1 Viral Load, COUNT: 12
</t>
  </si>
  <si>
    <t>Temperature error on module A1(1002)
Error 2037 on module A4</t>
  </si>
  <si>
    <t>Unit is operational except module A1 and A3, A4 under observation</t>
  </si>
  <si>
    <t>https://www.jotform.com/uploads/macarewecare/222927978372067/5461118082211676378/5461118082211676378_signature_28.png</t>
  </si>
  <si>
    <t>Josette Bondoc</t>
  </si>
  <si>
    <t>https://www.jotform.com/uploads/macarewecare/222927978372067/5461118082211676378/5461118082211676378_signature_31.png</t>
  </si>
  <si>
    <t xml:space="preserve">ASSAY: Xpert MTB/RIF, COUNT: 601
ASSAY: Xpert MTB/RIF Ultra, COUNT: 561
</t>
  </si>
  <si>
    <t>Modules A2, A3, A4 temp error</t>
  </si>
  <si>
    <t>Performed maintenance
Checked errors
Generated reports</t>
  </si>
  <si>
    <t>Modules A3 and A4 not operational.</t>
  </si>
  <si>
    <t>https://www.jotform.com/uploads/macarewecare/222927978372067/5461100249225607049/5461100249225607049_signature_28.png</t>
  </si>
  <si>
    <t>https://www.jotform.com/uploads/macarewecare/222927978372067/5461100249225607049/5461100249225607049_signature_31.png</t>
  </si>
  <si>
    <t>Tarlac Cith Health Center X</t>
  </si>
  <si>
    <t>Tibag Tarlac</t>
  </si>
  <si>
    <t>MAINTENANCE
CPU Check up</t>
  </si>
  <si>
    <t xml:space="preserve">ASSAY: Xpert MTB/RIF, COUNT: 448
ASSAY: Xpert MTB/RIF Ultra, COUNT: 275
</t>
  </si>
  <si>
    <t>https://www.jotform.com/uploads/macarewecare/222927978372067/5461047132216858644/5461047132216858644_signature_28.png</t>
  </si>
  <si>
    <t>Rodelie Verayo</t>
  </si>
  <si>
    <t>https://www.jotform.com/uploads/macarewecare/222927978372067/5461047132216858644/5461047132216858644_signature_31.png</t>
  </si>
  <si>
    <t>Rizal Ave</t>
  </si>
  <si>
    <t xml:space="preserve">ASSAY: Xpert HPV, COUNT: 774
ASSAY: Xpert SARS-CoV-2, COUNT: 2646
</t>
  </si>
  <si>
    <t>Performed Maintenance
Performed Self Test
Generate Reports</t>
  </si>
  <si>
    <t>C2 for observation</t>
  </si>
  <si>
    <t>https://www.jotform.com/uploads/macarewecare/222927978372067/5461016288722278400/5461016288722278400_signature_28.png</t>
  </si>
  <si>
    <t>https://www.jotform.com/uploads/macarewecare/222927978372067/5461016288722278400/5461016288722278400_signature_31.png</t>
  </si>
  <si>
    <t xml:space="preserve">ASSAY: Xpert HPV, COUNT: 787
ASSAY: Xpert SARS-CoV-2, COUNT: 2671
</t>
  </si>
  <si>
    <t>https://www.jotform.com/uploads/macarewecare/222927978372067/5461016288722372604/5461016288722372604_signature_28.png</t>
  </si>
  <si>
    <t>https://www.jotform.com/uploads/macarewecare/222927978372067/5461016288722372604/5461016288722372604_signature_31.png</t>
  </si>
  <si>
    <t xml:space="preserve">ASSAY: Xpert HPV, COUNT: 167
ASSAY: Xpert SARS-CoV-2, COUNT: 136
</t>
  </si>
  <si>
    <t>GX4-D-10C</t>
  </si>
  <si>
    <t>Performed Maintenance
Performed Self Test
Generate reports</t>
  </si>
  <si>
    <t>https://www.jotform.com/uploads/macarewecare/222927978372067/5461016288727584129/5461016288727584129_signature_28.png</t>
  </si>
  <si>
    <t>https://www.jotform.com/uploads/macarewecare/222927978372067/5461016288727584129/5461016288727584129_signature_31.png</t>
  </si>
  <si>
    <t>St.lukes q c</t>
  </si>
  <si>
    <t xml:space="preserve">ASSAY: Xpert C. difficile BT, COUNT: 3
ASSAY: Xpert CT/NG, COUNT: 203
ASSAY: Others, COUNT: 4
ASSAY: Xpert MTB/RIF Ultra, COUNT: 2559
</t>
  </si>
  <si>
    <t>Cleaned icore,filter,plunger,cartridge</t>
  </si>
  <si>
    <t>https://www.jotform.com/uploads/macarewecare/222927978372067/5461013963223055495/5461013963223055495_signature_28.png</t>
  </si>
  <si>
    <t>https://www.jotform.com/uploads/macarewecare/222927978372067/5461013963223055495/5461013963223055495_signature_31.png</t>
  </si>
  <si>
    <t>Quirecada, Sta. Cruz</t>
  </si>
  <si>
    <t xml:space="preserve">ASSAY: Xpert MTB/RIF, COUNT: 989
ASSAY: Xpert MTB/RIF Ultra, COUNT: 1249
ASSAY: Xpert HIV-1 Viral Load, COUNT: 402
</t>
  </si>
  <si>
    <t>Gx4D</t>
  </si>
  <si>
    <t>https://www.jotform.com/uploads/macarewecare/222927978372067/5460995817713950447/5460995817713950447_signature_28.png</t>
  </si>
  <si>
    <t>https://www.jotform.com/uploads/macarewecare/222927978372067/5460995817713950447/5460995817713950447_signature_31.png</t>
  </si>
  <si>
    <t>Quirecada St., Sta. Cruz,</t>
  </si>
  <si>
    <t>Microbiology TB Laboratory</t>
  </si>
  <si>
    <t xml:space="preserve">ASSAY: Xpert HIV-1 Viral Load, COUNT: 989
ASSAY: Xpert MTB/RIF Ultra, COUNT: 1249
</t>
  </si>
  <si>
    <t>Xpert Check and Preventive Maintenance</t>
  </si>
  <si>
    <t>PerformedXpert Check 
Performed Surface Cleaning
Performed Filter Cleaning
Performed Plunger Rod Cleaning</t>
  </si>
  <si>
    <t>Unit is Operational
Xpert check results:
778497/B1 passed
682955/B2 failed
685262/B3 failed
606103/B4 failed</t>
  </si>
  <si>
    <t>https://www.jotform.com/uploads/macarewecare/222927978372067/5460992577712567433/5460992577712567433_signature_28.png</t>
  </si>
  <si>
    <t>https://www.jotform.com/uploads/macarewecare/222927978372067/5460992577712567433/5460992577712567433_signature_31.png</t>
  </si>
  <si>
    <t>Tingloy Rural Health Unit</t>
  </si>
  <si>
    <t>Brgy 14, Poblacion, Tingloy</t>
  </si>
  <si>
    <t>hazelgarcebinay@gmail.com</t>
  </si>
  <si>
    <t xml:space="preserve">ASSAY: Xpert MTB/RIF, COUNT: 196
ASSAY: Xpert MTB/RIF Ultra, COUNT: 100
</t>
  </si>
  <si>
    <t>Unit is due for Module replacement</t>
  </si>
  <si>
    <t>Performed Module Replacement
B2/614518 into B2/775567
Performed Preventive Maintenance
Gather Reports</t>
  </si>
  <si>
    <t>Genexepert Module 6C SN: 775567</t>
  </si>
  <si>
    <t>https://www.jotform.com/uploads/macarewecare/222927978372067/5460973637718546984/5460973637718546984_signature_28.png</t>
  </si>
  <si>
    <t>Hazel Grace B. Sawali</t>
  </si>
  <si>
    <t>https://www.jotform.com/uploads/macarewecare/222927978372067/5460973637718546984/5460973637718546984_signature_31.png</t>
  </si>
  <si>
    <t xml:space="preserve">ASSAY: Xpert MTB/RIF, COUNT: 914
ASSAY: Xpert MTB/RIF Ultra, COUNT: 936
</t>
  </si>
  <si>
    <t>Performed Maintenance
Performed Xpertcheck
Generate reports</t>
  </si>
  <si>
    <t>1 module for replacement. 3 modules operational</t>
  </si>
  <si>
    <t>695979/A1 - Failed</t>
  </si>
  <si>
    <t>https://www.jotform.com/uploads/macarewecare/222927978372067/5460398811217344008/5460398811217344008_signature_28.png</t>
  </si>
  <si>
    <t>https://www.jotform.com/uploads/macarewecare/222927978372067/5460398811217344008/5460398811217344008_signature_31.png</t>
  </si>
  <si>
    <t xml:space="preserve">ASSAY: Xpert MTB/RIF, COUNT: 398
ASSAY: Xpert MTB/RIF Ultra, COUNT: 1591
ASSAY: Xpert HIV-1 Viral Load, COUNT: 426
</t>
  </si>
  <si>
    <t>Cpu problem / Cpu Bios Problem</t>
  </si>
  <si>
    <t>Change bios Battery
Fix Bios Set-up
Data Collection - IQR, S. LOG, Assay statistics</t>
  </si>
  <si>
    <t>Gx machine has in Good Condition</t>
  </si>
  <si>
    <t>https://www.jotform.com/uploads/macarewecare/222927978372067/5460296112313619825/5460296112313619825_signature_28.png</t>
  </si>
  <si>
    <t>https://www.jotform.com/uploads/macarewecare/222927978372067/5460296112313619825/5460296112313619825_signature_31.png</t>
  </si>
  <si>
    <t>ojie_obejas@yahoo.com</t>
  </si>
  <si>
    <t>Performed Maintenance
Gathered Reports
Installed HIV Viral Load Assay
Backup and archive test
Performed Functionality Test</t>
  </si>
  <si>
    <t>https://www.jotform.com/uploads/macarewecare/222927978372067/5460295750718943714/5460295750718943714_signature_28.png</t>
  </si>
  <si>
    <t>Adora P. Obejas</t>
  </si>
  <si>
    <t>https://www.jotform.com/uploads/macarewecare/222927978372067/5460295750718943714/5460295750718943714_signature_31.png</t>
  </si>
  <si>
    <t>rocaroland@yahoo.com</t>
  </si>
  <si>
    <t xml:space="preserve">ASSAY: Xpert SARS-CoV-2, COUNT: 10695
</t>
  </si>
  <si>
    <t>Gx-16</t>
  </si>
  <si>
    <t>Module A3, C2, D1, and D4 multiple Temperature Errors</t>
  </si>
  <si>
    <t>Perform Genexpert machine Preventive Maintenance
Perform Xpertcheck/Calibration to Module A3, C2, D1, and D4 for Troubleshooting</t>
  </si>
  <si>
    <t>Gx machine has 13 operational modules</t>
  </si>
  <si>
    <t>Module A3, C2, D1 and D4 subject for module replacement</t>
  </si>
  <si>
    <t>https://www.jotform.com/uploads/macarewecare/222927978372067/5460226515564928973/5460226515564928973_signature_28.png</t>
  </si>
  <si>
    <t>Roland Roca</t>
  </si>
  <si>
    <t>https://www.jotform.com/uploads/macarewecare/222927978372067/5460226515564928973/5460226515564928973_signature_31.png</t>
  </si>
  <si>
    <t>2nd module 3 consecutive errors</t>
  </si>
  <si>
    <t>https://www.jotform.com/uploads/macarewecare/222927978372067/5457803153331127241/5457803153331127241_signature_28.png</t>
  </si>
  <si>
    <t>https://www.jotform.com/uploads/macarewecare/222927978372067/5457803153331127241/5457803153331127241_signature_31.png</t>
  </si>
  <si>
    <t>Coron, Palawan</t>
  </si>
  <si>
    <t xml:space="preserve">ASSAY: Xpert MTB/RIF, COUNT: 359
ASSAY: Xpert MTB/RIF Ultra, COUNT: 334
</t>
  </si>
  <si>
    <t>Module B3- service required; Module B4- H/W failed</t>
  </si>
  <si>
    <t>https://www.jotform.com/uploads/macarewecare/222927978372067/5457727678814184575/5457727678814184575_signature_28.png</t>
  </si>
  <si>
    <t>https://www.jotform.com/uploads/macarewecare/222927978372067/5457727678814184575/5457727678814184575_signature_31.png</t>
  </si>
  <si>
    <t>Culion Sanitarium and General Hospital</t>
  </si>
  <si>
    <t>Culion, Palawan</t>
  </si>
  <si>
    <t xml:space="preserve">ASSAY: Xpert MTB/RIF, COUNT: 75
ASSAY: Xpert MTB/RIF Ultra, COUNT: 50
ASSAY: Xpert SARS-CoV-2, COUNT: 2367
</t>
  </si>
  <si>
    <t>Module A2 - temperature error</t>
  </si>
  <si>
    <t>All two modules failed XpertCheck- for replacement</t>
  </si>
  <si>
    <t>https://www.jotform.com/uploads/macarewecare/222927978372067/5457725508813253841/5457725508813253841_signature_28.png</t>
  </si>
  <si>
    <t>Rose Eve Calinawan</t>
  </si>
  <si>
    <t>https://www.jotform.com/uploads/macarewecare/222927978372067/5457725508813253841/5457725508813253841_signature_31.png</t>
  </si>
  <si>
    <t xml:space="preserve">ASSAY: Xpert MTB/RIF, COUNT: 218
ASSAY: Xpert MTB/RIF Ultra, COUNT: 123
ASSAY: Xpert SARS-CoV-2, COUNT: 5564
</t>
  </si>
  <si>
    <t>Module B2 SN:913442 defective</t>
  </si>
  <si>
    <t>Replace defective module B2 SN: 913442 with new module SN: 210068598</t>
  </si>
  <si>
    <t>900-0508, 1 GeneXpert Module-6C SN. 210068598</t>
  </si>
  <si>
    <t>G4948</t>
  </si>
  <si>
    <t>https://www.jotform.com/uploads/macarewecare/222927978372067/5457723178813396875/5457723178813396875_signature_28.png</t>
  </si>
  <si>
    <t>https://www.jotform.com/uploads/macarewecare/222927978372067/5457723178813396875/5457723178813396875_signature_31.png</t>
  </si>
  <si>
    <t>Nazareth, Cagayan de Oro City</t>
  </si>
  <si>
    <t>mymy.cruz0824@yahoo.com</t>
  </si>
  <si>
    <t>Adjust valve drive to proper lining and force out stucked cartridge</t>
  </si>
  <si>
    <t>Adjust valve drive</t>
  </si>
  <si>
    <t>https://www.jotform.com/uploads/macarewecare/222927978372067/5457714883317724058/5457714883317724058_signature_28.png</t>
  </si>
  <si>
    <t>https://www.jotform.com/uploads/macarewecare/222927978372067/5457714883317724058/5457714883317724058_signature_31.png</t>
  </si>
  <si>
    <t>San Luis Pampanga</t>
  </si>
  <si>
    <t xml:space="preserve">ASSAY: Xpert MTB/RIF, COUNT: 119
ASSAY: Xpert MTB/RIF Ultra, COUNT: 123
</t>
  </si>
  <si>
    <t>GxIV-D</t>
  </si>
  <si>
    <t>https://www.jotform.com/uploads/macarewecare/222927978372067/5457708455816026043/5457708455816026043_signature_28.png</t>
  </si>
  <si>
    <t>Mohan Pangan</t>
  </si>
  <si>
    <t>https://www.jotform.com/uploads/macarewecare/222927978372067/5457708455816026043/5457708455816026043_signature_31.png</t>
  </si>
  <si>
    <t>Lumban, Laguna</t>
  </si>
  <si>
    <t xml:space="preserve">ASSAY: Xpert MTB/RIF, COUNT: 447
ASSAY: Xpert MTB/RIF Ultra, COUNT: 627
</t>
  </si>
  <si>
    <t>Module B3 Error 2014/4009</t>
  </si>
  <si>
    <t>Module B3 not operational.</t>
  </si>
  <si>
    <t>https://www.jotform.com/uploads/macarewecare/222927978372067/5457688570759948681/5457688570759948681_signature_28.png</t>
  </si>
  <si>
    <t>https://www.jotform.com/uploads/macarewecare/222927978372067/5457688570759948681/5457688570759948681_signature_31.png</t>
  </si>
  <si>
    <t xml:space="preserve">ASSAY: Xpert MTB/RIF, COUNT: 189
ASSAY: Xpert MTB/RIF Ultra, COUNT: 457
</t>
  </si>
  <si>
    <t>For XpertCheck, barcode scanner not working, printer not powering on</t>
  </si>
  <si>
    <t>Checked barcode scanner, checked printer</t>
  </si>
  <si>
    <t>Performed maintenance
Tried to reconfigure barcode scanner
Checked printer and cables.
Generated reports.</t>
  </si>
  <si>
    <t>Modules A1/792273 and A2/783209 not operational.</t>
  </si>
  <si>
    <t>Barcode scanner and printer not operational. Unable to perform XpertCheck due to barcode scanner problem.</t>
  </si>
  <si>
    <t>https://www.jotform.com/uploads/macarewecare/222927978372067/5457683750758330394/5457683750758330394_signature_28.png</t>
  </si>
  <si>
    <t>https://www.jotform.com/uploads/macarewecare/222927978372067/5457683750758330394/5457683750758330394_signature_31.png</t>
  </si>
  <si>
    <t>Manila, Metro Manila</t>
  </si>
  <si>
    <t>COVID Laborstory</t>
  </si>
  <si>
    <t xml:space="preserve">ASSAY: Xpert SARS-CoV-2, COUNT: 1137
</t>
  </si>
  <si>
    <t>Unit is operational. 15 modules are functional, D2 is disabled.</t>
  </si>
  <si>
    <t>All modules except D2 passed calibration. D2 for reporting.</t>
  </si>
  <si>
    <t>https://www.jotform.com/uploads/macarewecare/222927978372067/5457611382518492642/5457611382518492642_signature_28.png</t>
  </si>
  <si>
    <t>https://www.jotform.com/uploads/macarewecare/222927978372067/5457611382518492642/5457611382518492642_signature_31.png</t>
  </si>
  <si>
    <t>ertorreonrmt@gmail.com</t>
  </si>
  <si>
    <t>DUE FOR  CALIBRATION AND PREVENTIVE MAINTENANCE</t>
  </si>
  <si>
    <t>CONDUCT CALIBRATION AND PREVENTIVE MAINTENANCE</t>
  </si>
  <si>
    <t>CALIBRATION AND PREVENTIVE MAINTENANCE</t>
  </si>
  <si>
    <t>OPERATIONAL</t>
  </si>
  <si>
    <t>MARK EFREN RAMAS</t>
  </si>
  <si>
    <t>https://www.jotform.com/uploads/macarewecare/222927978372067/5457595658817519345/5457595658817519345_signature_28.png</t>
  </si>
  <si>
    <t>Mark Efren Delos Santos RAMAS</t>
  </si>
  <si>
    <t>https://www.jotform.com/uploads/macarewecare/222927978372067/5457595658817519345/5457595658817519345_signature_31.png</t>
  </si>
  <si>
    <t>Brooke’s Point, Palawan</t>
  </si>
  <si>
    <t>frederickmadjad@gmail.com</t>
  </si>
  <si>
    <t xml:space="preserve">ASSAY: Xpert MTB/RIF, COUNT: 1119
ASSAY: Xpert MTB/RIF Ultra, COUNT: 587
</t>
  </si>
  <si>
    <t>Module B1 - XpertCheck Service Required</t>
  </si>
  <si>
    <t>Replace defective module SN: 662744 with new module SN: 891079</t>
  </si>
  <si>
    <t>https://www.jotform.com/uploads/macarewecare/222927978372067/5457591598811261025/5457591598811261025_signature_28.png</t>
  </si>
  <si>
    <t>Anates Abon</t>
  </si>
  <si>
    <t>https://www.jotform.com/uploads/macarewecare/222927978372067/5457591598811261025/5457591598811261025_signature_31.png</t>
  </si>
  <si>
    <t xml:space="preserve">ASSAY: Xpert MTB/RIF, COUNT: 36
ASSAY: Xpert MTB/RIF Ultra, COUNT: 1314
ASSAY: Others, COUNT: 89
</t>
  </si>
  <si>
    <t>Module A2 (210010360) for replacement</t>
  </si>
  <si>
    <t>Replaced module A2 by (210077583)</t>
  </si>
  <si>
    <t>Unit is operational. All 4 modules functional.</t>
  </si>
  <si>
    <t>https://www.jotform.com/uploads/macarewecare/222927978372067/5457537112514543516/5457537112514543516_signature_28.png</t>
  </si>
  <si>
    <t>Moral Joseph</t>
  </si>
  <si>
    <t>https://www.jotform.com/uploads/macarewecare/222927978372067/5457537112514543516/5457537112514543516_signature_31.png</t>
  </si>
  <si>
    <t>yellei0908@gmail.com</t>
  </si>
  <si>
    <t xml:space="preserve">ASSAY: Xpert MTB/RIF, COUNT: 257
ASSAY: Xpert MTB/RIF Ultra, COUNT: 399
</t>
  </si>
  <si>
    <t>UNIT FOR MAINTENANCE</t>
  </si>
  <si>
    <t>CLEANED FAN FILTER</t>
  </si>
  <si>
    <t>UNIT IS OPERATIONAL. ALL 4 MODULED ARE IN GOOD CONDITION.</t>
  </si>
  <si>
    <t>https://www.jotform.com/uploads/macarewecare/222927978372067/5457533022519406923/5457533022519406923_signature_28.png</t>
  </si>
  <si>
    <t>https://www.jotform.com/uploads/macarewecare/222927978372067/5457533022519406923/5457533022519406923_signature_31.png</t>
  </si>
  <si>
    <t>MAINTENANCE
Setup of GeneXpert system</t>
  </si>
  <si>
    <t>Setup the GeneXpert system
Performed maintenance
Generated reports</t>
  </si>
  <si>
    <t>Unit is operational. Ups not powering on.</t>
  </si>
  <si>
    <t>No barcode scanner.</t>
  </si>
  <si>
    <t>https://www.jotform.com/uploads/macarewecare/222927978372067/5456909845431307627/5456909845431307627_signature_28.png</t>
  </si>
  <si>
    <t>https://www.jotform.com/uploads/macarewecare/222927978372067/5456909845431307627/5456909845431307627_signature_31.png</t>
  </si>
  <si>
    <t xml:space="preserve">ASSAY: Xpert MTB/RIF, COUNT: 29
ASSAY: Xpert MTB/RIF Ultra, COUNT: 595
ASSAY: Others, COUNT: 14
ASSAY: Xpert SARS-CoV-2, COUNT: 17844
</t>
  </si>
  <si>
    <t>For rexpertcheck c4 and d2</t>
  </si>
  <si>
    <t>Re xpertcheck</t>
  </si>
  <si>
    <t>Performed xpert check cleaned plunger ,icore,cartridge bay</t>
  </si>
  <si>
    <t>B1,c3,c4,d2 disabled, 12 module operational</t>
  </si>
  <si>
    <t>Failed xpertcheck c4 and d2</t>
  </si>
  <si>
    <t>https://www.jotform.com/uploads/macarewecare/222927978372067/5456907791516109502/5456907791516109502_signature_28.png</t>
  </si>
  <si>
    <t>Ison san jose</t>
  </si>
  <si>
    <t>https://www.jotform.com/uploads/macarewecare/222927978372067/5456907791516109502/5456907791516109502_signature_31.png</t>
  </si>
  <si>
    <t>Monitor automatic turn off</t>
  </si>
  <si>
    <t>Check the wires, condition of the monitor</t>
  </si>
  <si>
    <t>Monitor for observation</t>
  </si>
  <si>
    <t>https://www.jotform.com/uploads/macarewecare/222927978372067/5456856040817135663/5456856040817135663_signature_28.png</t>
  </si>
  <si>
    <t>Verlaine Ascencion Nervi Verueco-Lico</t>
  </si>
  <si>
    <t>https://www.jotform.com/uploads/macarewecare/222927978372067/5456856040817135663/5456856040817135663_signature_31.png</t>
  </si>
  <si>
    <t>LAMION BONGAO, TAWI-TAWI</t>
  </si>
  <si>
    <t xml:space="preserve">ASSAY: Xpert MTB/RIF, COUNT: 176
ASSAY: Xpert MTB/RIF Ultra, COUNT: 290
</t>
  </si>
  <si>
    <t>-MODULE B2 FOR MODULE REPLACEMENT
-MODULE B4 ERROR 4017</t>
  </si>
  <si>
    <t>-REPLACE MODULE B2 DEF S/N: 808643 WITH NEW S/N 210044995
-PERFORM PREVENTIVE MAINTENANCE AND CLEANING</t>
  </si>
  <si>
    <t>https://www.jotform.com/uploads/macarewecare/222927978372067/5456853808816266744/5456853808816266744_signature_28.png</t>
  </si>
  <si>
    <t>RAPPAI BALLAHO</t>
  </si>
  <si>
    <t>https://www.jotform.com/uploads/macarewecare/222927978372067/5456853808816266744/5456853808816266744_signature_31.png</t>
  </si>
  <si>
    <t>https://www.jotform.com/uploads/macarewecare/222927978372067/5456806788812014073/5456806788812014073_signature_28.png</t>
  </si>
  <si>
    <t>AIRA GABRIELLE MABINI</t>
  </si>
  <si>
    <t>https://www.jotform.com/uploads/macarewecare/222927978372067/5456806788812014073/5456806788812014073_signature_31.png</t>
  </si>
  <si>
    <t>Poblacion Hagonoy, Davao Del Sur</t>
  </si>
  <si>
    <t xml:space="preserve">ASSAY: Xpert MTB/RIF, COUNT: 395
</t>
  </si>
  <si>
    <t>Gx - IV 4D</t>
  </si>
  <si>
    <t>Performed Preventive Maintenence</t>
  </si>
  <si>
    <t>Clean Surface Area, Cartridge Bay, Plunger Rod, Icore, and fan filters
Generate IQR, Assay Stat and System Log</t>
  </si>
  <si>
    <t>https://www.jotform.com/uploads/macarewecare/222927978372067/5456801389718577546/5456801389718577546_signature_28.png</t>
  </si>
  <si>
    <t>https://www.jotform.com/uploads/macarewecare/222927978372067/5456801389718577546/5456801389718577546_signature_31.png</t>
  </si>
  <si>
    <t xml:space="preserve">ASSAY: Xpert MTB/RIF, COUNT: 356
ASSAY: Xpert MTB/RIF Ultra, COUNT: 463
</t>
  </si>
  <si>
    <t>Temperature error on modules A2 and A3</t>
  </si>
  <si>
    <t>Unit is operational except for modules A2 and A3</t>
  </si>
  <si>
    <t>https://www.jotform.com/uploads/macarewecare/222927978372067/5456784104018716795/5456784104018716795_signature_28.png</t>
  </si>
  <si>
    <t>https://www.jotform.com/uploads/macarewecare/222927978372067/5456784104018716795/5456784104018716795_signature_31.png</t>
  </si>
  <si>
    <t>Calapan City Oriental Mindoro</t>
  </si>
  <si>
    <t xml:space="preserve">ASSAY: Xpert MTB/RIF Ultra, COUNT: 158
ASSAY: Xpert SARS-CoV-2, COUNT: 736
ASSAY: Xpert HIV-1 Viral Load, COUNT: 6
</t>
  </si>
  <si>
    <t>Unit for PM.
For module replacemeng of Module C4.</t>
  </si>
  <si>
    <t>Performed PM of GeneXpert.
Performed Module Replacement of GeneXpert.</t>
  </si>
  <si>
    <t>GX Module (210068698) in replacement for defective module (604614</t>
  </si>
  <si>
    <t>https://www.jotform.com/uploads/macarewecare/222927978372067/5456783905508349058/5456783905508349058_signature_28.png</t>
  </si>
  <si>
    <t>Maria Theresa M. Yaco, RMT</t>
  </si>
  <si>
    <t>https://www.jotform.com/uploads/macarewecare/222927978372067/5456783905508349058/5456783905508349058_signature_31.png</t>
  </si>
  <si>
    <t>Calapan Ciry Oriental Mindoro</t>
  </si>
  <si>
    <t xml:space="preserve">ASSAY: Xpert MTB/RIF Ultra, COUNT: 813
ASSAY: Xpert SARS-CoV-2, COUNT: 6557
</t>
  </si>
  <si>
    <t>Unit for PM.
For module replacement of B1, B3 and C4.</t>
  </si>
  <si>
    <t>Performed PM of GeneXpert.
Performed module replacement.</t>
  </si>
  <si>
    <t>Unit is operational. 16 working modules.</t>
  </si>
  <si>
    <t>GX Modules (210068601, 210068595 and 210068343) in replacement for defective modules (884307, 863398 and 681335).</t>
  </si>
  <si>
    <t>https://www.jotform.com/uploads/macarewecare/222927978372067/5456783115509143345/5456783115509143345_signature_28.png</t>
  </si>
  <si>
    <t>Maria Theresa M. Yaco,RMT</t>
  </si>
  <si>
    <t>https://www.jotform.com/uploads/macarewecare/222927978372067/5456783115509143345/5456783115509143345_signature_31.png</t>
  </si>
  <si>
    <t>Sto. Domingo Nueva Ecija</t>
  </si>
  <si>
    <t>Performed Maintenance 
Cleaned Icore
Cleaned Cartridge Bay
Cleaned Plunger Rod
Cleaned Filters
Gathered Reports
Perfomed Functionality Test</t>
  </si>
  <si>
    <t>https://www.jotform.com/uploads/macarewecare/222927978372067/5455216314529919520/5455216314529919520_signature_28.png</t>
  </si>
  <si>
    <t>Haydee G.Alejo</t>
  </si>
  <si>
    <t>https://www.jotform.com/uploads/macarewecare/222927978372067/5455216314529919520/5455216314529919520_signature_31.png</t>
  </si>
  <si>
    <t>Tarlac City Health Center II</t>
  </si>
  <si>
    <t xml:space="preserve">ASSAY: Xpert MTB/RIF, COUNT: 308
ASSAY: Xpert MTB/RIF Ultra, COUNT: 343
</t>
  </si>
  <si>
    <t>https://www.jotform.com/uploads/macarewecare/222927978372067/5455063050018371036/5455063050018371036_signature_28.png</t>
  </si>
  <si>
    <t>Clariza Beltran</t>
  </si>
  <si>
    <t>https://www.jotform.com/uploads/macarewecare/222927978372067/5455063050018371036/5455063050018371036_signature_31.png</t>
  </si>
  <si>
    <t>East ave,diliman quezon city</t>
  </si>
  <si>
    <t xml:space="preserve">ASSAY: Xpert BCR-ABL Ultra, COUNT: 120
ASSAY: Others, COUNT: 16
ASSAY: Others, COUNT: 1
ASSAY: Xpert HBV VL, COUNT: 8
ASSAY: Xpert MTB/RIF, COUNT: 763
ASSAY: Xpert SARS-CoV-2, COUNT: 13600
ASSAY: Xpert HCV VL, COUNT: 4
ASSAY: Others, COUNT: 9
</t>
  </si>
  <si>
    <t>For module replacement D2 210028991 - 633953  B4 210028981 - 636241</t>
  </si>
  <si>
    <t>Module replacement,cleaned icore,plunger rod, cartridge bay</t>
  </si>
  <si>
    <t>A4 and d3 reported</t>
  </si>
  <si>
    <t>G4955</t>
  </si>
  <si>
    <t>Noel floresca/Eron dumagieng</t>
  </si>
  <si>
    <t>https://www.jotform.com/uploads/macarewecare/222927978372067/5454406966329104762/5454406966329104762_signature_28.png</t>
  </si>
  <si>
    <t>Ma. Odessa baretto</t>
  </si>
  <si>
    <t>https://www.jotform.com/uploads/macarewecare/222927978372067/5454406966329104762/5454406966329104762_signature_31.png</t>
  </si>
  <si>
    <t>Talavera Nueva Ecija</t>
  </si>
  <si>
    <t xml:space="preserve">ASSAY: Xpert MTB/RIF, COUNT: 4
</t>
  </si>
  <si>
    <t>https://www.jotform.com/uploads/macarewecare/222927978372067/5454316664718125700/5454316664718125700_signature_28.png</t>
  </si>
  <si>
    <t>https://www.jotform.com/uploads/macarewecare/222927978372067/5454316664718125700/5454316664718125700_signature_31.png</t>
  </si>
  <si>
    <t>Angono Rizal</t>
  </si>
  <si>
    <t xml:space="preserve">ASSAY: Xpert MTB/RIF, COUNT: 210
ASSAY: Xpert MTB/RIF Ultra, COUNT: 529
</t>
  </si>
  <si>
    <t>Performed maintenance
Cleaned cartridge bay, plunger rod, filter
Generated reports</t>
  </si>
  <si>
    <t>3 modules operational. Module A2/686363 H/W Failed already reported.</t>
  </si>
  <si>
    <t>https://www.jotform.com/uploads/macarewecare/222927978372067/5454276033318588267/5454276033318588267_signature_28.png</t>
  </si>
  <si>
    <t>https://www.jotform.com/uploads/macarewecare/222927978372067/5454276033318588267/5454276033318588267_signature_31.png</t>
  </si>
  <si>
    <t xml:space="preserve">ASSAY: Xpert HPV, COUNT: 2
ASSAY: Xpert MTB/RIF, COUNT: 491
ASSAY: Xpert MTB/RIF Ultra, COUNT: 982
</t>
  </si>
  <si>
    <t>For installation of monitor.
For Xpertcheck of module A3 due to errors.</t>
  </si>
  <si>
    <t>Performed installation of monitor.
Performed Xpertcheck on module A3.</t>
  </si>
  <si>
    <t>Installation of monitor.
Xpertcheck</t>
  </si>
  <si>
    <t>Unit is operational. 2 working modules. Module A2, already reported. Module A3 (702275), service required.</t>
  </si>
  <si>
    <t>HP ProDisplay P19A (sn CNK9430DYM) in replacement for defective monitor (sn CNK83224QC).</t>
  </si>
  <si>
    <t>N/A. Delivered by PBSP</t>
  </si>
  <si>
    <t>https://www.jotform.com/uploads/macarewecare/222927978372067/5454259727809333431/5454259727809333431_signature_28.png</t>
  </si>
  <si>
    <t>Patricio G. Mariano, Jr.</t>
  </si>
  <si>
    <t>https://www.jotform.com/uploads/macarewecare/222927978372067/5454259727809333431/5454259727809333431_signature_31.png</t>
  </si>
  <si>
    <t>velasquezhealthcenter2054@gmail.com</t>
  </si>
  <si>
    <t xml:space="preserve">ASSAY: Xpert MTB/RIF, COUNT: 460
ASSAY: Xpert MTB/RIF Ultra, COUNT: 420
</t>
  </si>
  <si>
    <t>No power. For troubleshooting.</t>
  </si>
  <si>
    <t>Performed troubleshooting.
Checked voltages on power supply.</t>
  </si>
  <si>
    <t>Unit is not operational. For replacement of power supply.</t>
  </si>
  <si>
    <t>https://www.jotform.com/uploads/macarewecare/222927978372067/5454253727801617430/5454253727801617430_signature_28.png</t>
  </si>
  <si>
    <t>Bona Requiero</t>
  </si>
  <si>
    <t>https://www.jotform.com/uploads/macarewecare/222927978372067/5454253727801617430/5454253727801617430_signature_31.png</t>
  </si>
  <si>
    <t>Jala-Jala, Rizal</t>
  </si>
  <si>
    <t>abegailjoeycapongga@gmail.com</t>
  </si>
  <si>
    <t xml:space="preserve">ASSAY: Xpert MTB/RIF, COUNT: 164
ASSAY: Xpert MTB/RIF Ultra, COUNT: 62
</t>
  </si>
  <si>
    <t>https://www.jotform.com/uploads/macarewecare/222927978372067/5454242293312789355/5454242293312789355_signature_28.png</t>
  </si>
  <si>
    <t>Abegail joey</t>
  </si>
  <si>
    <t>https://www.jotform.com/uploads/macarewecare/222927978372067/5454242293312789355/5454242293312789355_signature_31.png</t>
  </si>
  <si>
    <t xml:space="preserve">ASSAY: Xpert MTB/RIF, COUNT: 381
ASSAY: Xpert MTB/RIF Ultra, COUNT: 692
</t>
  </si>
  <si>
    <t>Multiple errors Modules (A1 and A3) 
A2 already reported</t>
  </si>
  <si>
    <t>Unit is operational except for modules A1:687131 and A3:752683</t>
  </si>
  <si>
    <t>A1 and A3 Xpertcheck passed</t>
  </si>
  <si>
    <t>https://www.jotform.com/uploads/macarewecare/222927978372067/5454240328121131040/5454240328121131040_signature_28.png</t>
  </si>
  <si>
    <t>https://www.jotform.com/uploads/macarewecare/222927978372067/5454240328121131040/5454240328121131040_signature_31.png</t>
  </si>
  <si>
    <t>Padada, Davao Del Sur</t>
  </si>
  <si>
    <t xml:space="preserve">ASSAY: Xpert MTB/RIF, COUNT: 98
ASSAY: Xpert MTB/RIF Ultra, COUNT: 154
</t>
  </si>
  <si>
    <t>For Preventive Maintenence</t>
  </si>
  <si>
    <t>Clean Cartridge Bay, Fan Filters, Icore, Plunger Rod,
Generate Report; IQR, Assay Stat, System Log</t>
  </si>
  <si>
    <t>https://www.jotform.com/uploads/macarewecare/222927978372067/5454225339215834278/5454225339215834278_signature_28.png</t>
  </si>
  <si>
    <t>RHU PADADA /DWIGHT TORRES</t>
  </si>
  <si>
    <t>https://www.jotform.com/uploads/macarewecare/222927978372067/5454225339215834278/5454225339215834278_signature_31.png</t>
  </si>
  <si>
    <t>Poblacion Malapatan</t>
  </si>
  <si>
    <t>jasminrayne21@gmail.com</t>
  </si>
  <si>
    <t xml:space="preserve">ASSAY: Xpert MTB/RIF, COUNT: 291
ASSAY: Xpert MTB/RIF Ultra, COUNT: 71
</t>
  </si>
  <si>
    <t>Module B3 Multiple Temperature Errors</t>
  </si>
  <si>
    <t>Perform Xpertcheck for troubleshooting at module B3
Perform Genexpert machine Preventive Maintenance</t>
  </si>
  <si>
    <t>Module B2 and B3 Subject for module Replacement</t>
  </si>
  <si>
    <t>https://www.jotform.com/uploads/macarewecare/222927978372067/5454205300711988810/5454205300711988810_signature_28.png</t>
  </si>
  <si>
    <t>Jasmin Rayne Africa</t>
  </si>
  <si>
    <t>https://www.jotform.com/uploads/macarewecare/222927978372067/5454205300711988810/5454205300711988810_signature_31.png</t>
  </si>
  <si>
    <t xml:space="preserve">ASSAY: Xpert MTB/RIF, COUNT: 250
ASSAY: Xpert MTB/RIF Ultra, COUNT: 216
</t>
  </si>
  <si>
    <t>Unit is operational. All 4 modules are working.</t>
  </si>
  <si>
    <t>https://www.jotform.com/uploads/macarewecare/222927978372067/5454198187226681174/5454198187226681174_signature_28.png</t>
  </si>
  <si>
    <t>Maria Cecilia T. Cruz</t>
  </si>
  <si>
    <t>https://www.jotform.com/uploads/macarewecare/222927978372067/5454198187226681174/5454198187226681174_signature_31.png</t>
  </si>
  <si>
    <t>D. Mangubat Drive, Dasmariñas City</t>
  </si>
  <si>
    <t>For Laptop Replacement</t>
  </si>
  <si>
    <t>Performed maintenance
Replaced Laptop
Generate Reports</t>
  </si>
  <si>
    <t>CPH1019F03472--&gt;CPH0222F32306</t>
  </si>
  <si>
    <t>https://www.jotform.com/uploads/macarewecare/222927978372067/5454175265808129562/5454175265808129562_signature_28.png</t>
  </si>
  <si>
    <t>ANGIE C. PABRUADA</t>
  </si>
  <si>
    <t>https://www.jotform.com/uploads/macarewecare/222927978372067/5454175265808129562/5454175265808129562_signature_31.png</t>
  </si>
  <si>
    <t>San Andres</t>
  </si>
  <si>
    <t xml:space="preserve">ASSAY: Xpert MTB/RIF, COUNT: 930
ASSAY: Xpert MTB/RIF Ultra, COUNT: 1443
</t>
  </si>
  <si>
    <t>Modules have 5007 and temp error</t>
  </si>
  <si>
    <t>Performed xpertcheck on module 4</t>
  </si>
  <si>
    <t>Performed Maintenance
Xpertcheck on module 4</t>
  </si>
  <si>
    <t>2 modules for observation, 2 modules for replacement</t>
  </si>
  <si>
    <t>Xpertcheck: 757669/A4 - Failed</t>
  </si>
  <si>
    <t>https://www.jotform.com/uploads/macarewecare/222927978372067/5454175175806178907/5454175175806178907_signature_28.png</t>
  </si>
  <si>
    <t>https://www.jotform.com/uploads/macarewecare/222927978372067/5454175175806178907/5454175175806178907_signature_31.png</t>
  </si>
  <si>
    <t>diamatrowena11@gmail.com</t>
  </si>
  <si>
    <t>https://www.jotform.com/uploads/macarewecare/222927978372067/5454044914817519461/5454044914817519461_signature_28.png</t>
  </si>
  <si>
    <t>Rowena Diamat</t>
  </si>
  <si>
    <t>https://www.jotform.com/uploads/macarewecare/222927978372067/5454044914817519461/5454044914817519461_signature_31.png</t>
  </si>
  <si>
    <t xml:space="preserve">ASSAY: Xpert BCR-ABL Ultra, COUNT: 120
ASSAY: Others, COUNT: 16
ASSAY: Others, COUNT: 1
ASSAY: Xpert HBV VL, COUNT: 8
ASSAY: Xpert MTB/RIF, COUNT: 745
ASSAY: Xpert SARS-CoV-2, COUNT: 13439
</t>
  </si>
  <si>
    <t>A4 210028984 intermittent temp error D3 210028995 intermittent temp error</t>
  </si>
  <si>
    <t>Performed maintenance,cleaned filter,plunger,cartridge bay,gathered reports</t>
  </si>
  <si>
    <t>A4,B4,D2,D3 disabled, 12 module operational</t>
  </si>
  <si>
    <t>https://www.jotform.com/uploads/macarewecare/222927978372067/5451751311916260536/5451751311916260536_signature_28.png</t>
  </si>
  <si>
    <t>https://www.jotform.com/uploads/macarewecare/222927978372067/5451751311916260536/5451751311916260536_signature_31.png</t>
  </si>
  <si>
    <t>NATIONAL KIDNEY AND TRANSPLANT INSTITUTE</t>
  </si>
  <si>
    <t>East Ave., Diliman, Quezon City</t>
  </si>
  <si>
    <t xml:space="preserve">ASSAY: Xpert BCR-ABL Ultra, COUNT: 600
ASSAY: Others, COUNT: 57
ASSAY: Xpert HBV VL, COUNT: 197
ASSAY: Others, COUNT: 1
ASSAY: Xpert MTB/RIF, COUNT: 682
ASSAY: Xpert SARS-CoV-2, COUNT: 670
ASSAY: Xpert HCV VL, COUNT: 61
</t>
  </si>
  <si>
    <t>Unit is Due for preventive maintenance</t>
  </si>
  <si>
    <t>Performed  Surface cleaning
Performed Plunger rod cleaning
Performed Filter Cleaning
Gather Reports</t>
  </si>
  <si>
    <t>https://www.jotform.com/uploads/macarewecare/222927978372067/5451746341514941070/5451746341514941070_signature_28.png</t>
  </si>
  <si>
    <t>https://www.jotform.com/uploads/macarewecare/222927978372067/5451746341514941070/5451746341514941070_signature_31.png</t>
  </si>
  <si>
    <t>msa_28@yahoo.com</t>
  </si>
  <si>
    <t>Unit is operational. All 4 modules operational.</t>
  </si>
  <si>
    <t>Temp. Errors on module A4. A4 in under observation.</t>
  </si>
  <si>
    <t>https://www.jotform.com/uploads/macarewecare/222927978372067/5451651975121664112/5451651975121664112_signature_28.png</t>
  </si>
  <si>
    <t>Maryson alisuag</t>
  </si>
  <si>
    <t>https://www.jotform.com/uploads/macarewecare/222927978372067/5451651975121664112/5451651975121664112_signature_31.png</t>
  </si>
  <si>
    <t xml:space="preserve">ASSAY: Xpert MTB/RIF, COUNT: 1611
ASSAY: Xpert MTB/RIF Ultra, COUNT: 6315
ASSAY: Xpert HIV-1 Viral Load, COUNT: 282
</t>
  </si>
  <si>
    <t>Old:
D1/634210
D2/710229
D3/604831
D4/756956
New:
D1/746455
D2/804835
D3/714780
D4/874662</t>
  </si>
  <si>
    <t>G 4952</t>
  </si>
  <si>
    <t>https://www.jotform.com/uploads/macarewecare/222927978372067/5451642098223741593/5451642098223741593_signature_28.png</t>
  </si>
  <si>
    <t>https://www.jotform.com/uploads/macarewecare/222927978372067/5451642098223741593/5451642098223741593_signature_31.png</t>
  </si>
  <si>
    <t xml:space="preserve">ASSAY: Xpert MTB/RIF, COUNT: 1834
</t>
  </si>
  <si>
    <t>Laptop/PC Defective (Old version OS)</t>
  </si>
  <si>
    <t>-Laptop Replacement
       (Defective) SN: 36N2SM1 (New) SN: CPH0222F31968</t>
  </si>
  <si>
    <t>-Install new Laptop
-Install assay (MTB/RIF and MTB/RIF ULTRA)
-Archive all test results and retrieve to new laptop
-Back up archive files</t>
  </si>
  <si>
    <t>Latitude 5420 (Dell Laptop)</t>
  </si>
  <si>
    <t>SN: CP0222F31968</t>
  </si>
  <si>
    <t>https://www.jotform.com/uploads/macarewecare/222927978372067/5451626645579026973/5451626645579026973_signature_28.png</t>
  </si>
  <si>
    <t>https://www.jotform.com/uploads/macarewecare/222927978372067/5451626645579026973/5451626645579026973_signature_31.png</t>
  </si>
  <si>
    <t>bmcmicro_lab@yahoo.com</t>
  </si>
  <si>
    <t xml:space="preserve">ASSAY: Xpert MTB/RIF, COUNT: 1109
ASSAY: Xpert MTB/RIF Ultra, COUNT: 1255
ASSAY: Xpert HCV VL, COUNT: 14
ASSAY: Xpert HIV-1 Viral Load, COUNT: 230
</t>
  </si>
  <si>
    <t>A1 temperature error
A2 ultrasonic horn error
A4 temperature error</t>
  </si>
  <si>
    <t>Generated reports for reporting</t>
  </si>
  <si>
    <t>Unit is operational. Only 1 module available.</t>
  </si>
  <si>
    <t>A1, A2, A4 have hardware problem. To be reported/followed-up immediately.</t>
  </si>
  <si>
    <t>https://www.jotform.com/uploads/macarewecare/222927978372067/5451598435129898291/5451598435129898291_signature_28.png</t>
  </si>
  <si>
    <t>Trixie Dela Fuente</t>
  </si>
  <si>
    <t>https://www.jotform.com/uploads/macarewecare/222927978372067/5451598435129898291/5451598435129898291_signature_31.png</t>
  </si>
  <si>
    <t>Apokon, Tagum City, Davao del Norte</t>
  </si>
  <si>
    <t>oconc303@gmail.com</t>
  </si>
  <si>
    <t>MGC-200 Cryotherapy System</t>
  </si>
  <si>
    <t>Perform Preventive Maintenance
Visual inspection and checking of the Cryo Tip Rings</t>
  </si>
  <si>
    <t>Unit was not able to test its functionality due to lost/misplaced CO2 cylinder Tank</t>
  </si>
  <si>
    <t>Lost Cylinder CO2 Tank</t>
  </si>
  <si>
    <t>https://www.jotform.com/uploads/macarewecare/222927978372067/5451552946342434051/5451552946342434051_signature_28.png</t>
  </si>
  <si>
    <t>Drmc</t>
  </si>
  <si>
    <t>https://www.jotform.com/uploads/macarewecare/222927978372067/5451552946342434051/5451552946342434051_signature_31.png</t>
  </si>
  <si>
    <t>https://www.jotform.com/uploads/macarewecare/222927978372067/5451552906348099093/5451552906348099093_signature_28.png</t>
  </si>
  <si>
    <t>https://www.jotform.com/uploads/macarewecare/222927978372067/5451552906348099093/5451552906348099093_signature_31.png</t>
  </si>
  <si>
    <t>For preventing maintenance</t>
  </si>
  <si>
    <t>Unit cannot be test its functionality since laptop inclusion and tv power adapter was misplaced</t>
  </si>
  <si>
    <t>Laptop Inclusion and Tv Power Adapter was lost/misplaced</t>
  </si>
  <si>
    <t>https://www.jotform.com/uploads/macarewecare/222927978372067/5451535096347649936/5451535096347649936_signature_28.png</t>
  </si>
  <si>
    <t>DRMC</t>
  </si>
  <si>
    <t>https://www.jotform.com/uploads/macarewecare/222927978372067/5451535096347649936/5451535096347649936_signature_31.png</t>
  </si>
  <si>
    <t>Banawe Quezon City</t>
  </si>
  <si>
    <t xml:space="preserve">ASSAY: Xpert MTB/RIF, COUNT: 824
ASSAY: Xpert MTB/RIF Ultra, COUNT: 1194
</t>
  </si>
  <si>
    <t>Unit for PM.
For module replacement of Module 4.
For installation of new gatewat board.</t>
  </si>
  <si>
    <t>Performed PM of GeneXpert.
Performed Module Replacement on Module 4.
Performed installation of gateway board.</t>
  </si>
  <si>
    <t>PM, Module replacement and installation of gateway board</t>
  </si>
  <si>
    <t>GX Module (626989), replaced defective module (657586). Gateway board kit (6104S20460031)</t>
  </si>
  <si>
    <t>G 4953</t>
  </si>
  <si>
    <t>https://www.jotform.com/uploads/macarewecare/222927978372067/5451523549914752305/5451523549914752305_signature_28.png</t>
  </si>
  <si>
    <t>Stella Maree C. Bernardo</t>
  </si>
  <si>
    <t>https://www.jotform.com/uploads/macarewecare/222927978372067/5451523549914752305/5451523549914752305_signature_31.png</t>
  </si>
  <si>
    <t xml:space="preserve">ASSAY: Xpert MTB/RIF, COUNT: 854
ASSAY: Xpert MTB/RIF Ultra, COUNT: 559
</t>
  </si>
  <si>
    <t>For xpert check</t>
  </si>
  <si>
    <t>Cleaned unit,filter,icore,cartridge bay,plunger,performed xpert check</t>
  </si>
  <si>
    <t>Pm, xpertcheck</t>
  </si>
  <si>
    <t>Xpertcheck ce-5</t>
  </si>
  <si>
    <t>https://www.jotform.com/uploads/macarewecare/222927978372067/5451512829881583940/5451512829881583940_signature_28.png</t>
  </si>
  <si>
    <t>https://www.jotform.com/uploads/macarewecare/222927978372067/5451512829881583940/5451512829881583940_signature_31.png</t>
  </si>
  <si>
    <t xml:space="preserve">ASSAY: Xpert MTB/RIF, COUNT: 476
ASSAY: Xpert MTB/RIF Ultra, COUNT: 228
</t>
  </si>
  <si>
    <t>For module replacement A2 607603 - 697695</t>
  </si>
  <si>
    <t>Peformed module replacement,cleaned unit,plunger,icore,cartridge bay</t>
  </si>
  <si>
    <t>Repair,pms</t>
  </si>
  <si>
    <t>https://www.jotform.com/uploads/macarewecare/222927978372067/5451512319882267660/5451512319882267660_signature_28.png</t>
  </si>
  <si>
    <t>https://www.jotform.com/uploads/macarewecare/222927978372067/5451512319882267660/5451512319882267660_signature_31.png</t>
  </si>
  <si>
    <t>Protocol update</t>
  </si>
  <si>
    <t>julius.biteng@cordlife.com</t>
  </si>
  <si>
    <t>None, UCB and UCBHES protocols for update</t>
  </si>
  <si>
    <t>Updated UCB and UCBHES protocols</t>
  </si>
  <si>
    <t>Updated UCB from v318 to v338
Updated UCBHES from v314 to v316</t>
  </si>
  <si>
    <t>https://www.jotform.com/uploads/macarewecare/222927978372067/5451497791835883746/5451497791835883746_signature_28.png</t>
  </si>
  <si>
    <t>https://www.jotform.com/uploads/macarewecare/222927978372067/5451497791835883746/5451497791835883746_signature_31.png</t>
  </si>
  <si>
    <t>Gx Modules cannot be detected</t>
  </si>
  <si>
    <t>Reset gateway board</t>
  </si>
  <si>
    <t>Performed Maintenance
Reset gateway board
Check connections
Generate reports</t>
  </si>
  <si>
    <t>3 modules are operational, 1 module to be reported</t>
  </si>
  <si>
    <t>https://www.jotform.com/uploads/macarewecare/222927978372067/5451478660412595959/5451478660412595959_signature_28.png</t>
  </si>
  <si>
    <t>https://www.jotform.com/uploads/macarewecare/222927978372067/5451478660412595959/5451478660412595959_signature_31.png</t>
  </si>
  <si>
    <t>Almanza Uno, Las Piñas</t>
  </si>
  <si>
    <t xml:space="preserve">ASSAY: Xpert MTB/RIF, COUNT: 407
ASSAY: Xpert MTB/RIF Ultra, COUNT: 918
ASSAY: Xpert HIV-1 Viral Load, COUNT: 107
</t>
  </si>
  <si>
    <t>Modules 2 and 4 have temperature errors</t>
  </si>
  <si>
    <t>Xpertcheck on reported modules</t>
  </si>
  <si>
    <t>Performed Maintenance
XpertCheck modules 2 and 4
Generate Reports</t>
  </si>
  <si>
    <t>4 modules for replacement.</t>
  </si>
  <si>
    <t>Xpertcheck: B2/635070 , B4/758518 -Failed</t>
  </si>
  <si>
    <t>https://www.jotform.com/uploads/macarewecare/222927978372067/5451478660416800013/5451478660416800013_signature_28.png</t>
  </si>
  <si>
    <t>MILCER P. LLADOC</t>
  </si>
  <si>
    <t>https://www.jotform.com/uploads/macarewecare/222927978372067/5451478660416800013/5451478660416800013_signature_31.png</t>
  </si>
  <si>
    <t>THE LOVE YOURSELF</t>
  </si>
  <si>
    <t>715, Shaw Boulevard</t>
  </si>
  <si>
    <t xml:space="preserve">ASSAY: Xpert MTB/RIF Ultra, COUNT: 616
ASSAY: Xpert HIV-1 Viral Load, COUNT: 552
ASSAY: Xpert CT/NG, COUNT: 631
</t>
  </si>
  <si>
    <t>Performed Module Replacement
Performed Preventive Maintenance
Gather Reports</t>
  </si>
  <si>
    <t>GX modules
882201
901520
910995</t>
  </si>
  <si>
    <t>https://www.jotform.com/uploads/macarewecare/222927978372067/5450906798518182612/5450906798518182612_signature_28.png</t>
  </si>
  <si>
    <t>CALAMA-AN, MAVIENE</t>
  </si>
  <si>
    <t>https://www.jotform.com/uploads/macarewecare/222927978372067/5450906798518182612/5450906798518182612_signature_31.png</t>
  </si>
  <si>
    <t>Gapan RHU</t>
  </si>
  <si>
    <t>San Vicente, Gapan Nueva Ecija</t>
  </si>
  <si>
    <t>MAINTENANCE
Cpu Installation</t>
  </si>
  <si>
    <t>Installed Genexpert Computer
Performed Maintenance
Gathered Reports
Performed Functionality Test</t>
  </si>
  <si>
    <t>https://www.jotform.com/uploads/macarewecare/222927978372067/5450781131219369196/5450781131219369196_signature_28.png</t>
  </si>
  <si>
    <t>Emma L Gutierrez</t>
  </si>
  <si>
    <t>https://www.jotform.com/uploads/macarewecare/222927978372067/5450781131219369196/5450781131219369196_signature_31.png</t>
  </si>
  <si>
    <t>belinda_guinto@yahoo.com</t>
  </si>
  <si>
    <t xml:space="preserve">ASSAY: Xpert MTB/RIF, COUNT: 220
ASSAY: Xpert MTB/RIF Ultra, COUNT: 141
</t>
  </si>
  <si>
    <t>Error 2008 on module 1</t>
  </si>
  <si>
    <t>https://www.jotform.com/uploads/macarewecare/222927978372067/5450776532817930608/5450776532817930608_signature_28.png</t>
  </si>
  <si>
    <t>https://www.jotform.com/uploads/macarewecare/222927978372067/5450776532817930608/5450776532817930608_signature_31.png</t>
  </si>
  <si>
    <t>covidlab@drmc.doh.gov.ph</t>
  </si>
  <si>
    <t>GX - XVI</t>
  </si>
  <si>
    <t>Replaced the defective module s/n 866561 with module s/n 674488</t>
  </si>
  <si>
    <t>Machine not operational, waiting for powersupply unit replacement parts</t>
  </si>
  <si>
    <t>Module s/n 674488 is used as service module to GX-IV s/n 834626</t>
  </si>
  <si>
    <t>https://www.jotform.com/uploads/macarewecare/222927978372067/5450734367846547215/5450734367846547215_signature_28.png</t>
  </si>
  <si>
    <t>Carlo Milan Famoso</t>
  </si>
  <si>
    <t>https://www.jotform.com/uploads/macarewecare/222927978372067/5450734367846547215/5450734367846547215_signature_31.png</t>
  </si>
  <si>
    <t xml:space="preserve">ASSAY: Xpert MTB/RIF, COUNT: 236
ASSAY: Xpert MTB/RIF Ultra, COUNT: 231
</t>
  </si>
  <si>
    <t>DR# 9219</t>
  </si>
  <si>
    <t>https://www.jotform.com/uploads/macarewecare/222927978372067/5450680351787452974/5450680351787452974_signature_28.png</t>
  </si>
  <si>
    <t>https://www.jotform.com/uploads/macarewecare/222927978372067/5450680351787452974/5450680351787452974_signature_31.png</t>
  </si>
  <si>
    <t>For installation of CPU.</t>
  </si>
  <si>
    <t>Performed installation of CPU</t>
  </si>
  <si>
    <t>Installation of CPU.</t>
  </si>
  <si>
    <t>Unit is operational. Pulled out back-up</t>
  </si>
  <si>
    <t>Pulled out back-up unit (CPH0420F08151)</t>
  </si>
  <si>
    <t>GX-D-M70 | GeneXpert Desktop (Lenovo ThinkCentre M70)1unit CPH1121F28199</t>
  </si>
  <si>
    <t>G 4951</t>
  </si>
  <si>
    <t>https://www.jotform.com/uploads/macarewecare/222927978372067/5450637039918808464/5450637039918808464_signature_28.png</t>
  </si>
  <si>
    <t>https://www.jotform.com/uploads/macarewecare/222927978372067/5450637039918808464/5450637039918808464_signature_31.png</t>
  </si>
  <si>
    <t>Quezon city</t>
  </si>
  <si>
    <t xml:space="preserve">ASSAY: Xpert MTB/RIF, COUNT: 124
ASSAY: Xpert MTB/RIF Ultra, COUNT: 451
ASSAY: Xpert SARS-CoV-2, COUNT: 1034
ASSAY: Xpert HIV-1 Viral Load, COUNT: 14
</t>
  </si>
  <si>
    <t>B4 h/failed for rexpert check</t>
  </si>
  <si>
    <t>Performed re xpert check</t>
  </si>
  <si>
    <t>Cleaned unit,filter plunger,cartridge bay,icore</t>
  </si>
  <si>
    <t>3 modules operation, b4 780860 failed xpert check disabled h/w failed</t>
  </si>
  <si>
    <t>https://www.jotform.com/uploads/macarewecare/222927978372067/5437861826598500563/5437861826598500563_signature_28.png</t>
  </si>
  <si>
    <t>Lawrence Raquindanum</t>
  </si>
  <si>
    <t>https://www.jotform.com/uploads/macarewecare/222927978372067/5437861826598500563/5437861826598500563_signature_31.png</t>
  </si>
  <si>
    <t>East ave.diliman,quezon city</t>
  </si>
  <si>
    <t xml:space="preserve">ASSAY: Xpert MTB/RIF, COUNT: 29
ASSAY: Xpert MTB/RIF Ultra, COUNT: 576
ASSAY: Others, COUNT: 14
ASSAY: Xpert SARS-CoV-2, COUNT: 18026
</t>
  </si>
  <si>
    <t>B1 210068311 H/W failed,C4  628HW/failed D2 653968 TEMP ERROR 1002</t>
  </si>
  <si>
    <t>Gathered report, restart gx system,checked unit</t>
  </si>
  <si>
    <t>C3,C4,D2,B1 disabled, 12 module operational</t>
  </si>
  <si>
    <t>B1 and C3 reported already</t>
  </si>
  <si>
    <t>https://www.jotform.com/uploads/macarewecare/222927978372067/5450092839884381395/5450092839884381395_signature_28.png</t>
  </si>
  <si>
    <t>https://www.jotform.com/uploads/macarewecare/222927978372067/5450092839884381395/5450092839884381395_signature_31.png</t>
  </si>
  <si>
    <t>Batis, San Juan</t>
  </si>
  <si>
    <t>almacenaio16@gmai.com</t>
  </si>
  <si>
    <t xml:space="preserve">ASSAY: Xpert MTB/RIF, COUNT: 846
ASSAY: Xpert MTB/RIF Ultra, COUNT: 706
ASSAY: Xpert HIV-1 Viral Load, COUNT: 62
</t>
  </si>
  <si>
    <t>Module A1/754112 has errors 1001/1002/2014</t>
  </si>
  <si>
    <t>Performed maintenance
Generated reports
Run XpertCheck on module A1</t>
  </si>
  <si>
    <t>Unit is operational. Module A1/754112 failed in XpertCheck.</t>
  </si>
  <si>
    <t>Module A1/754112 and A3/677100 not operational</t>
  </si>
  <si>
    <t>https://www.jotform.com/uploads/macarewecare/222927978372067/5449949874113823426/5449949874113823426_signature_28.png</t>
  </si>
  <si>
    <t>https://www.jotform.com/uploads/macarewecare/222927978372067/5449949874113823426/5449949874113823426_signature_31.png</t>
  </si>
  <si>
    <t>Performed Maintenance
Gathered Reports
Performed Xpertcheck on all modules
Performed Functionality test</t>
  </si>
  <si>
    <t>https://www.jotform.com/uploads/macarewecare/222927978372067/5449929446116014364/5449929446116014364_signature_28.png</t>
  </si>
  <si>
    <t>Benjo A. Alvarez</t>
  </si>
  <si>
    <t>https://www.jotform.com/uploads/macarewecare/222927978372067/5449929446116014364/5449929446116014364_signature_31.png</t>
  </si>
  <si>
    <t xml:space="preserve">ASSAY: Xpert MTB/RIF, COUNT: 608
ASSAY: Xpert MTB/RIF Ultra, COUNT: 620
</t>
  </si>
  <si>
    <t>Unit is operational. All 4 modules working.</t>
  </si>
  <si>
    <t>No room air-condition. Advised end user to use external fan while waiting for air-condition repair.</t>
  </si>
  <si>
    <t>https://www.jotform.com/uploads/macarewecare/222927978372067/5449862139615082142/5449862139615082142_signature_28.png</t>
  </si>
  <si>
    <t>Melissa M. Galit</t>
  </si>
  <si>
    <t>https://www.jotform.com/uploads/macarewecare/222927978372067/5449862139615082142/5449862139615082142_signature_31.png</t>
  </si>
  <si>
    <t xml:space="preserve">ASSAY: Xpert MTB/RIF, COUNT: 200
ASSAY: Xpert MTB/RIF Ultra, COUNT: 350
</t>
  </si>
  <si>
    <t>Gx-4 (2 modules)</t>
  </si>
  <si>
    <t>Genexpert machine Calibration
Genexpert machine Preventive Maintenance</t>
  </si>
  <si>
    <t>All modules are Operational</t>
  </si>
  <si>
    <t>Module B2 passed the annual calibration</t>
  </si>
  <si>
    <t>https://www.jotform.com/uploads/macarewecare/222927978372067/5449861815659116398/5449861815659116398_signature_28.png</t>
  </si>
  <si>
    <t>https://www.jotform.com/uploads/macarewecare/222927978372067/5449861815659116398/5449861815659116398_signature_31.png</t>
  </si>
  <si>
    <t xml:space="preserve">ASSAY: Xpert MTB/RIF, COUNT: 232
ASSAY: Xpert MTB/RIF Ultra, COUNT: 820
</t>
  </si>
  <si>
    <t>Temperature error Module 2 
Re-expertcheck for module 4</t>
  </si>
  <si>
    <t>Unit is operational except A4</t>
  </si>
  <si>
    <t>A2 passed Xpertcheck A4 failed xpertcheck with serial number 757994</t>
  </si>
  <si>
    <t>https://www.jotform.com/uploads/macarewecare/222927978372067/5449852141915665644/5449852141915665644_signature_28.png</t>
  </si>
  <si>
    <t>https://www.jotform.com/uploads/macarewecare/222927978372067/5449852141915665644/5449852141915665644_signature_31.png</t>
  </si>
  <si>
    <t xml:space="preserve">ASSAY: Xpert HPV, COUNT: 2
ASSAY: Xpert MTB/RIF, COUNT: 499
ASSAY: Xpert MTB/RIF Ultra, COUNT: 958
</t>
  </si>
  <si>
    <t>Performed Preventive Maintenance.
Generated reports for Module A3, temperature error.</t>
  </si>
  <si>
    <t>Unit is operational. 2 modules operational. Defective A2 (678005), for reporting of A3 (702275) with temp error.</t>
  </si>
  <si>
    <t>https://www.jotform.com/uploads/macarewecare/222927978372067/5449037157808338426/5449037157808338426_signature_28.png</t>
  </si>
  <si>
    <t>https://www.jotform.com/uploads/macarewecare/222927978372067/5449037157808338426/5449037157808338426_signature_31.png</t>
  </si>
  <si>
    <t>Binuangan, Maco, Davao De Oro</t>
  </si>
  <si>
    <t>kaiprado26@gmail.com</t>
  </si>
  <si>
    <t xml:space="preserve">ASSAY: Xpert MTB/RIF, COUNT: 344
ASSAY: Xpert MTB/RIF Ultra, COUNT: 249
</t>
  </si>
  <si>
    <t>Clean Cartridge Bay, replace fan filters, Clean Plunger Rod, Clean Icore
Generate Reports
-IQR, System Log, Assay Stat</t>
  </si>
  <si>
    <t>https://www.jotform.com/uploads/macarewecare/222927978372067/5449020364373161699/5449020364373161699_signature_28.png</t>
  </si>
  <si>
    <t>https://www.jotform.com/uploads/macarewecare/222927978372067/5449020364373161699/5449020364373161699_signature_31.png</t>
  </si>
  <si>
    <t xml:space="preserve">ASSAY: Xpert MTB/RIF, COUNT: 515
ASSAY: Xpert MTB/RIF Ultra, COUNT: 776
</t>
  </si>
  <si>
    <t>Performed Preventive Maintenance.</t>
  </si>
  <si>
    <t>https://www.jotform.com/uploads/macarewecare/222927978372067/5448999598581453197/5448999598581453197_signature_28.png</t>
  </si>
  <si>
    <t>https://www.jotform.com/uploads/macarewecare/222927978372067/5448999598581453197/5448999598581453197_signature_31.png</t>
  </si>
  <si>
    <t xml:space="preserve">ASSAY: Xpert MTB/RIF, COUNT: 508
ASSAY: Xpert MTB/RIF Ultra, COUNT: 4
</t>
  </si>
  <si>
    <t>https://www.jotform.com/uploads/macarewecare/222927978372067/5448991718615225399/5448991718615225399_signature_28.png</t>
  </si>
  <si>
    <t>Allan B. Vinluan</t>
  </si>
  <si>
    <t>https://www.jotform.com/uploads/macarewecare/222927978372067/5448991718615225399/5448991718615225399_signature_31.png</t>
  </si>
  <si>
    <t>Villa Abrille St, Davao City</t>
  </si>
  <si>
    <t xml:space="preserve">ASSAY: Xpert MTB/RIF, COUNT: 481
ASSAY: Xpert MTB/RIF Ultra, COUNT: 1407
</t>
  </si>
  <si>
    <t>Clean Cartridge Bay, Plunger Rod, Fan Filter, Icore
Generate Installation Qualification Report, Assay Statistics Report, System Log</t>
  </si>
  <si>
    <t>https://www.jotform.com/uploads/macarewecare/222927978372067/5448289739757227418/5448289739757227418_signature_28.png</t>
  </si>
  <si>
    <t>Maria Lisa M. Paras, RMT</t>
  </si>
  <si>
    <t>https://www.jotform.com/uploads/macarewecare/222927978372067/5448289739757227418/5448289739757227418_signature_31.png</t>
  </si>
  <si>
    <t>Tarlac City Helth Center X</t>
  </si>
  <si>
    <t xml:space="preserve">ASSAY: Xpert MTB/RIF, COUNT: 471
ASSAY: Xpert MTB/RIF Ultra, COUNT: 246
</t>
  </si>
  <si>
    <t>Unit is operational but under observation</t>
  </si>
  <si>
    <t>Kernel power ( Blue screen of death)</t>
  </si>
  <si>
    <t>https://www.jotform.com/uploads/macarewecare/222927978372067/5448236246118545742/5448236246118545742_signature_28.png</t>
  </si>
  <si>
    <t>https://www.jotform.com/uploads/macarewecare/222927978372067/5448236246118545742/5448236246118545742_signature_31.png</t>
  </si>
  <si>
    <t>Change setup position for lower temperature results</t>
  </si>
  <si>
    <t>https://www.jotform.com/uploads/macarewecare/222927978372067/5448218325845912667/5448218325845912667_signature_28.png</t>
  </si>
  <si>
    <t>https://www.jotform.com/uploads/macarewecare/222927978372067/5448218325845912667/5448218325845912667_signature_31.png</t>
  </si>
  <si>
    <t xml:space="preserve">ASSAY: Xpert MTB/RIF Ultra, COUNT: 2773
ASSAY: Xpert HIV-1 Viral Load, COUNT: 43
</t>
  </si>
  <si>
    <t>Monitor Replacement
Preventive maintenance
Xpertcheck Calibration</t>
  </si>
  <si>
    <t>GeneXpert Monitor Display 21.5" ThinkVision S22e-20 Flat Panel Monitor Serial No. V5CYY987</t>
  </si>
  <si>
    <t>G 4715</t>
  </si>
  <si>
    <t>https://www.jotform.com/uploads/macarewecare/222927978372067/5448200761411114162/5448200761411114162_signature_28.png</t>
  </si>
  <si>
    <t>https://www.jotform.com/uploads/macarewecare/222927978372067/5448200761411114162/5448200761411114162_signature_31.png</t>
  </si>
  <si>
    <t xml:space="preserve">ASSAY: Xpert MTB/RIF, COUNT: 327
ASSAY: Xpert MTB/RIF Ultra, COUNT: 747
</t>
  </si>
  <si>
    <t>Module 3 with Temperature Errors</t>
  </si>
  <si>
    <t>Xpertcheck in module 3</t>
  </si>
  <si>
    <t>Performed Maintenance
Xpertcheck on Reported Module
Generate Reports</t>
  </si>
  <si>
    <t>2 modules are operational, 1 module for replacement and 1 module for observation</t>
  </si>
  <si>
    <t>Xperrcheck : A3/730981-Passed</t>
  </si>
  <si>
    <t>https://www.jotform.com/uploads/macarewecare/222927978372067/5448182851215749837/5448182851215749837_signature_28.png</t>
  </si>
  <si>
    <t>https://www.jotform.com/uploads/macarewecare/222927978372067/5448182851215749837/5448182851215749837_signature_31.png</t>
  </si>
  <si>
    <t>Tayuman</t>
  </si>
  <si>
    <t xml:space="preserve">ASSAY: Xpert SARS-CoV-2, COUNT: 1500
</t>
  </si>
  <si>
    <t>Maintenance GX</t>
  </si>
  <si>
    <t>Performed Maintenance.
Generate Reports.</t>
  </si>
  <si>
    <t>3 modules are operational, 1 module is defective</t>
  </si>
  <si>
    <t>https://www.jotform.com/uploads/macarewecare/222927978372067/5448182851211394220/5448182851211394220_signature_28.png</t>
  </si>
  <si>
    <t>Christopher Panti</t>
  </si>
  <si>
    <t>https://www.jotform.com/uploads/macarewecare/222927978372067/5448182851211394220/5448182851211394220_signature_31.png</t>
  </si>
  <si>
    <t>Kawit</t>
  </si>
  <si>
    <t>Alambraaljhon0@gmail.com</t>
  </si>
  <si>
    <t xml:space="preserve">ASSAY: Xpert MTB/RIF, COUNT: 248
ASSAY: Xpert MTB/RIF Ultra, COUNT: 626
</t>
  </si>
  <si>
    <t>Module 4 with temp errors</t>
  </si>
  <si>
    <t>Xpertcheck reported module</t>
  </si>
  <si>
    <t>Performed Maintenance
Performed Xpertcheck on reported module</t>
  </si>
  <si>
    <t>3 modules operational, A4 for replacement</t>
  </si>
  <si>
    <t>Xpertcheck: A4/723150 - Failed</t>
  </si>
  <si>
    <t>https://www.jotform.com/uploads/macarewecare/222927978372067/5448182851216252195/5448182851216252195_signature_28.png</t>
  </si>
  <si>
    <t>https://www.jotform.com/uploads/macarewecare/222927978372067/5448182851216252195/5448182851216252195_signature_31.png</t>
  </si>
  <si>
    <t>Libmana rhu</t>
  </si>
  <si>
    <t>Libmanan camarines sur</t>
  </si>
  <si>
    <t>mdelizo.megaop3@gmail.com</t>
  </si>
  <si>
    <t>Gateway defective,for module replacement b3 684618 - 693766</t>
  </si>
  <si>
    <t>Performed maintenance,cleaned plunger,filter,cartridge bay,icore,back up gxx file</t>
  </si>
  <si>
    <t>Pm, module replacement</t>
  </si>
  <si>
    <t>Module 900 gx and gateway</t>
  </si>
  <si>
    <t>https://www.jotform.com/uploads/macarewecare/222927978372067/5446740269887629437/5446740269887629437_signature_28.png</t>
  </si>
  <si>
    <t>Mary Rose C. Delizo</t>
  </si>
  <si>
    <t>https://www.jotform.com/uploads/macarewecare/222927978372067/5446740269887629437/5446740269887629437_signature_31.png</t>
  </si>
  <si>
    <t>Genexpert Infinity 48s</t>
  </si>
  <si>
    <t>Module F3 and H1 experiencing hardware failure</t>
  </si>
  <si>
    <t>Xpertcheck troubleshooting</t>
  </si>
  <si>
    <t>Unit is operational, modules F1, F3, H1 are in hardware failure</t>
  </si>
  <si>
    <t>https://www.jotform.com/uploads/macarewecare/222927978372067/5445712906227408501/5445712906227408501_signature_28.png</t>
  </si>
  <si>
    <t>https://www.jotform.com/uploads/macarewecare/222927978372067/5445712906227408501/5445712906227408501_signature_31.png</t>
  </si>
  <si>
    <t>5th Street, Brgy. Libertad, Butuan City</t>
  </si>
  <si>
    <t xml:space="preserve">ASSAY: Xpert MTB/RIF, COUNT: 448
ASSAY: Xpert MTB/RIF Ultra, COUNT: 831
</t>
  </si>
  <si>
    <t>Module B2 with SN: 862237 was found E1002</t>
  </si>
  <si>
    <t>Replacing B1 with SN: 877068 to SN: 669367
Preventive Maintenance
Troubleshooting</t>
  </si>
  <si>
    <t>3 modules working, 1 modules for observation</t>
  </si>
  <si>
    <t>GeneXpert Module 6- colors</t>
  </si>
  <si>
    <t>G 4934</t>
  </si>
  <si>
    <t>https://www.jotform.com/uploads/macarewecare/222927978372067/5445696056318787753/5445696056318787753_signature_28.png</t>
  </si>
  <si>
    <t>https://www.jotform.com/uploads/macarewecare/222927978372067/5445696056318787753/5445696056318787753_signature_31.png</t>
  </si>
  <si>
    <t>3 modules working, 1 modules for replacement</t>
  </si>
  <si>
    <t>https://www.jotform.com/uploads/macarewecare/222927978372067/5445657435208547019/5445657435208547019_signature_28.png</t>
  </si>
  <si>
    <t>https://www.jotform.com/uploads/macarewecare/222927978372067/5445657435208547019/5445657435208547019_signature_31.png</t>
  </si>
  <si>
    <t>fcm_vizconde@yahoo.com</t>
  </si>
  <si>
    <t>Genexpert aiV</t>
  </si>
  <si>
    <t>Performed Maintenance
Gathered Reports
Perform Self Test
Perform Functionality Test</t>
  </si>
  <si>
    <t>https://www.jotform.com/uploads/macarewecare/222927978372067/5445655736715362509/5445655736715362509_signature_28.png</t>
  </si>
  <si>
    <t>Flor Carmina Vizconde</t>
  </si>
  <si>
    <t>https://www.jotform.com/uploads/macarewecare/222927978372067/5445655736715362509/5445655736715362509_signature_31.png</t>
  </si>
  <si>
    <t>Unit is operational. D1, D2, D3 are functional.</t>
  </si>
  <si>
    <t>Waiting for module D4's replacement module.</t>
  </si>
  <si>
    <t>GeneXpert Module SN: 678145, 716521
Lenovo Laptop SN: CPH1019F03266</t>
  </si>
  <si>
    <t>G 4937</t>
  </si>
  <si>
    <t>https://www.jotform.com/uploads/macarewecare/222927978372067/5445618665116251372/5445618665116251372_signature_28.png</t>
  </si>
  <si>
    <t>Fergyl Aries Escaño</t>
  </si>
  <si>
    <t>https://www.jotform.com/uploads/macarewecare/222927978372067/5445618665116251372/5445618665116251372_signature_31.png</t>
  </si>
  <si>
    <t xml:space="preserve">ASSAY: Xpert BCR-ABL Ultra, COUNT: 7
ASSAY: Others, COUNT: 16
ASSAY: Others, COUNT: 3
ASSAY: Xpert HBV VL, COUNT: 85
ASSAY: Xpert HPV, COUNT: 170
ASSAY: Xpert MTB/RIF, COUNT: 144
ASSAY: Xpert MTB/RIF Ultra, COUNT: 2064
ASSAY: Xpert HCV VL, COUNT: 29
ASSAY: Xpert HIV-1 Viral Load, COUNT: 259
</t>
  </si>
  <si>
    <t>Module A2 and A4 for replacement</t>
  </si>
  <si>
    <t>Replaced module A2 and A4</t>
  </si>
  <si>
    <t>Old:
A2/698743
A4/627869
New:
A2/210070909
A4/210071314</t>
  </si>
  <si>
    <t>DR# 9345</t>
  </si>
  <si>
    <t>https://www.jotform.com/uploads/macarewecare/222927978372067/5445610744314037575/5445610744314037575_signature_28.png</t>
  </si>
  <si>
    <t>https://www.jotform.com/uploads/macarewecare/222927978372067/5445610744314037575/5445610744314037575_signature_31.png</t>
  </si>
  <si>
    <t xml:space="preserve">ASSAY: Xpert BCR-ABL Ultra, COUNT: 3
ASSAY: Xpert CT/NG, COUNT: 8
ASSAY: Xpert HBV VL, COUNT: 15
ASSAY: Xpert HPV, COUNT: 57
ASSAY: Xpert MTB/RIF, COUNT: 53
ASSAY: Xpert MTB/RIF Ultra, COUNT: 189
ASSAY: Xpert HCV VL, COUNT: 12
ASSAY: Xpert HIV-1 Viral Load, COUNT: 85
</t>
  </si>
  <si>
    <t>Unit for PM and for Module Replacement of A1 and A3.</t>
  </si>
  <si>
    <t>Performed PM.
Performed Module Replacement on A1 and A3.</t>
  </si>
  <si>
    <t>GX Module. DEF A1 (624081), NEW A1 (210071653). DEF A3 (637349), NEW A3 (210071792)</t>
  </si>
  <si>
    <t>DR#9345</t>
  </si>
  <si>
    <t>https://www.jotform.com/uploads/macarewecare/222927978372067/5445610025719163292/5445610025719163292_signature_28.png</t>
  </si>
  <si>
    <t>https://www.jotform.com/uploads/macarewecare/222927978372067/5445610025719163292/5445610025719163292_signature_31.png</t>
  </si>
  <si>
    <t>Sta. Cruz Laguna</t>
  </si>
  <si>
    <t>MCS-</t>
  </si>
  <si>
    <t>Troubleshooting of centrifuge</t>
  </si>
  <si>
    <t>Remove centrifuge for troubleshooting
Checked for debris
Checked internal connections</t>
  </si>
  <si>
    <t>Unit is not operational. For centrifuge replacement</t>
  </si>
  <si>
    <t>https://www.jotform.com/uploads/macarewecare/222927978372067/5445604740027530097/5445604740027530097_signature_28.png</t>
  </si>
  <si>
    <t>Hiltor Jonh M. Abustan</t>
  </si>
  <si>
    <t>https://www.jotform.com/uploads/macarewecare/222927978372067/5445604740027530097/5445604740027530097_signature_31.png</t>
  </si>
  <si>
    <t>MAINTENANCE
TROUBLESHOOTING
Check-up</t>
  </si>
  <si>
    <t xml:space="preserve">ASSAY: Xpert MTB/RIF, COUNT: 380
ASSAY: Xpert MTB/RIF Ultra, COUNT: 242
</t>
  </si>
  <si>
    <t>Module 1 Hardware failure</t>
  </si>
  <si>
    <t>Performed PM
Perforned Self test
Performed gx reliability test
Generate reports
Performed functionality test</t>
  </si>
  <si>
    <t>Troubleshooting
Check-up</t>
  </si>
  <si>
    <t>Unit is operational except module 1</t>
  </si>
  <si>
    <t>Deffective module 1 for reporting</t>
  </si>
  <si>
    <t>https://www.jotform.com/uploads/macarewecare/222927978372067/5445582598328379310/5445582598328379310_signature_28.png</t>
  </si>
  <si>
    <t>https://www.jotform.com/uploads/macarewecare/222927978372067/5445582598328379310/5445582598328379310_signature_31.png</t>
  </si>
  <si>
    <t>Tabaco CHU I</t>
  </si>
  <si>
    <t>Tobaco Municipality Hall, Tobaco City, Albay</t>
  </si>
  <si>
    <t xml:space="preserve">ASSAY: Xpert MTB/RIF, COUNT: 69
ASSAY: Xpert MTB/RIF Ultra, COUNT: 0
</t>
  </si>
  <si>
    <t>Intalling updated software of GXDX</t>
  </si>
  <si>
    <t>Install Genexpert Software Version 6.4
Import Reliability Test gxx file
Install Xpertcheck Version 1.5a</t>
  </si>
  <si>
    <t>https://www.jotform.com/uploads/macarewecare/222927978372067/5445542437116381153/5445542437116381153_signature_28.png</t>
  </si>
  <si>
    <t>Ely Joy C. Hilario</t>
  </si>
  <si>
    <t>https://www.jotform.com/uploads/macarewecare/222927978372067/5445542437116381153/5445542437116381153_signature_31.png</t>
  </si>
  <si>
    <t>SIR, Matina, Davao City</t>
  </si>
  <si>
    <t xml:space="preserve">ASSAY: Xpert MTB/RIF, COUNT: 280
ASSAY: Xpert MTB/RIF Ultra, COUNT: 970
</t>
  </si>
  <si>
    <t>Gx IV 4D</t>
  </si>
  <si>
    <t>GeneXpert Desktop has error upon logging in windows; Windows Prompt Error "User Profile Service failed the log on" "User Profile Cannot be Loaded"</t>
  </si>
  <si>
    <t>Diagnose the windows start up and check the user administration settings</t>
  </si>
  <si>
    <t>Enable and access windows in safe mode
Back up data
Try to reset the user admin password but still the error exist
Create a new profile</t>
  </si>
  <si>
    <t>GeneXpert desktop can be access with new user profile</t>
  </si>
  <si>
    <t>Old user profile cannot be accessed</t>
  </si>
  <si>
    <t>https://www.jotform.com/uploads/macarewecare/222927978372067/5445526689424950024/5445526689424950024_signature_28.png</t>
  </si>
  <si>
    <t>Alfredo H Santos, Jr.</t>
  </si>
  <si>
    <t>https://www.jotform.com/uploads/macarewecare/222927978372067/5445526689424950024/5445526689424950024_signature_31.png</t>
  </si>
  <si>
    <t>RTDL Gandara</t>
  </si>
  <si>
    <t xml:space="preserve">ASSAY: Xpert MTB/RIF, COUNT: 356
ASSAY: Xpert MTB/RIF Ultra, COUNT: 193
</t>
  </si>
  <si>
    <t>Module B3 defective (waiting for module replacement)</t>
  </si>
  <si>
    <t>https://www.jotform.com/uploads/macarewecare/222927978372067/5445441851944790279/5445441851944790279_signature_28.png</t>
  </si>
  <si>
    <t>https://www.jotform.com/uploads/macarewecare/222927978372067/5445441851944790279/5445441851944790279_signature_31.png</t>
  </si>
  <si>
    <t>San Jose Northern Samar</t>
  </si>
  <si>
    <t>amancitahoney324@gmail.com</t>
  </si>
  <si>
    <t xml:space="preserve">ASSAY: Xpert MTB/RIF, COUNT: 106
</t>
  </si>
  <si>
    <t>-XpertCheck Calibration
-Install Xpertcheck version 1.5a
-Import new assay (MTB/RIF ultra)
-Preventive Maintenance
-Generate IQR and System log</t>
  </si>
  <si>
    <t>https://www.jotform.com/uploads/macarewecare/222927978372067/5445441851945266245/5445441851945266245_signature_28.png</t>
  </si>
  <si>
    <t>Amancita Honey</t>
  </si>
  <si>
    <t>https://www.jotform.com/uploads/macarewecare/222927978372067/5445441851945266245/5445441851945266245_signature_31.png</t>
  </si>
  <si>
    <t>INSTALLATION
Installation of new CPU</t>
  </si>
  <si>
    <t>https://www.jotform.com/uploads/macarewecare/222927978372067/5444859563313376115/5444859563313376115_signature_28.png</t>
  </si>
  <si>
    <t>https://www.jotform.com/uploads/macarewecare/222927978372067/5444859563313376115/5444859563313376115_signature_31.png</t>
  </si>
  <si>
    <t>Installation of new CPU unit</t>
  </si>
  <si>
    <t>https://www.jotform.com/uploads/macarewecare/222927978372067/5444858523315743271/5444858523315743271_signature_28.png</t>
  </si>
  <si>
    <t>https://www.jotform.com/uploads/macarewecare/222927978372067/5444858523315743271/5444858523315743271_signature_31.png</t>
  </si>
  <si>
    <t>evetrams1234@gmail.com</t>
  </si>
  <si>
    <t xml:space="preserve">ASSAY: Xpert MTB/RIF, COUNT: 85
ASSAY: Xpert MTB/RIF Ultra, COUNT: 616
</t>
  </si>
  <si>
    <t>Unit is operational. Module D1/722064 and D4/722098 under observation.</t>
  </si>
  <si>
    <t>DR #9220</t>
  </si>
  <si>
    <t>https://www.jotform.com/uploads/macarewecare/222927978372067/5444794686416159750/5444794686416159750_signature_28.png</t>
  </si>
  <si>
    <t>Evelyn Ramos</t>
  </si>
  <si>
    <t>https://www.jotform.com/uploads/macarewecare/222927978372067/5444794686416159750/5444794686416159750_signature_31.png</t>
  </si>
  <si>
    <t>tindocvelche7@yahoo.com</t>
  </si>
  <si>
    <t xml:space="preserve">ASSAY: Xpert MTB/RIF Ultra, COUNT: 7
ASSAY: Xpert MTB/RIF, COUNT: 7
ASSAY: Xpert HIV-1 Viral Load, COUNT: 79
</t>
  </si>
  <si>
    <t>Genexpert machine Preventive Maintenance
Replace module C2 SN:677827 with new module SN:210068722</t>
  </si>
  <si>
    <t>GX machine has 3 Operational modules</t>
  </si>
  <si>
    <t>Module C3 for Service required</t>
  </si>
  <si>
    <t>9000-0508</t>
  </si>
  <si>
    <t>https://www.jotform.com/uploads/macarewecare/222927978372067/5444769816512544254/5444769816512544254_signature_28.png</t>
  </si>
  <si>
    <t>VELCHE TINDOC</t>
  </si>
  <si>
    <t>https://www.jotform.com/uploads/macarewecare/222927978372067/5444769816512544254/5444769816512544254_signature_31.png</t>
  </si>
  <si>
    <t>Kapitan Pepe Cabanatuan City Nueva Ecija</t>
  </si>
  <si>
    <t>Gathered Reports
Check the unit's condition</t>
  </si>
  <si>
    <t>Performed Maintenance
Cleaned Filter
Cleaned Icore
Cleaned Plunger Rod
Cleaned Cartridge Bay
Performed Functionality Test</t>
  </si>
  <si>
    <t>https://www.jotform.com/uploads/macarewecare/222927978372067/5444762809326377590/5444762809326377590_signature_28.png</t>
  </si>
  <si>
    <t>Maricris C. So</t>
  </si>
  <si>
    <t>https://www.jotform.com/uploads/macarewecare/222927978372067/5444762809326377590/5444762809326377590_signature_31.png</t>
  </si>
  <si>
    <t xml:space="preserve">ASSAY: Xpert MTB/RIF, COUNT: 280
ASSAY: Xpert MTB/RIF Ultra, COUNT: 89
</t>
  </si>
  <si>
    <t>Gx IV- 4D</t>
  </si>
  <si>
    <t>Clean Cartridge Bay, Fan filter, Icore, Plunger Rod
Generate Reports - IQR, Assay stat, System Log</t>
  </si>
  <si>
    <t>https://www.jotform.com/uploads/macarewecare/222927978372067/5444739885018604722/5444739885018604722_signature_28.png</t>
  </si>
  <si>
    <t>https://www.jotform.com/uploads/macarewecare/222927978372067/5444739885018604722/5444739885018604722_signature_31.png</t>
  </si>
  <si>
    <t>Poblacion, Siay Zamboanga Sibugay</t>
  </si>
  <si>
    <t>Replaced module 695770 with 759896</t>
  </si>
  <si>
    <t>All four 4 modules are available</t>
  </si>
  <si>
    <t>Monitor LCD Broken</t>
  </si>
  <si>
    <t>G 4876</t>
  </si>
  <si>
    <t>https://www.jotform.com/uploads/macarewecare/222927978372067/5444734508385741905/5444734508385741905_signature_28.png</t>
  </si>
  <si>
    <t>https://www.jotform.com/uploads/macarewecare/222927978372067/5444734508385741905/5444734508385741905_signature_31.png</t>
  </si>
  <si>
    <t>Nabua rhu</t>
  </si>
  <si>
    <t>Nabua, camarines sur</t>
  </si>
  <si>
    <t xml:space="preserve">ASSAY: Xpert MTB/RIF, COUNT: 313
ASSAY: Xpert MTB/RIF Ultra, COUNT: 488
</t>
  </si>
  <si>
    <t>CPU unable to boot and power</t>
  </si>
  <si>
    <t>Check cpu, reset memory card,check cable connection</t>
  </si>
  <si>
    <t>https://www.jotform.com/uploads/macarewecare/222927978372067/5444732457616243231/5444732457616243231_signature_28.png</t>
  </si>
  <si>
    <t>Fe L. Valenzuela</t>
  </si>
  <si>
    <t>https://www.jotform.com/uploads/macarewecare/222927978372067/5444732457616243231/5444732457616243231_signature_31.png</t>
  </si>
  <si>
    <t xml:space="preserve">ASSAY: Xpert SARS-CoV-2, COUNT: 1143
</t>
  </si>
  <si>
    <t>https://www.jotform.com/uploads/macarewecare/222927978372067/5444712987804887359/5444712987804887359_signature_28.png</t>
  </si>
  <si>
    <t>https://www.jotform.com/uploads/macarewecare/222927978372067/5444712987804887359/5444712987804887359_signature_31.png</t>
  </si>
  <si>
    <t>Dr. Emigdio C. Cruz Memorial Hospital</t>
  </si>
  <si>
    <t>Arayat Pampanga</t>
  </si>
  <si>
    <t xml:space="preserve">ASSAY: Xpert MTB/RIF, COUNT: 344
ASSAY: Xpert MTB/RIF Ultra, COUNT: 21
ASSAY: Xpert HIV-1 Viral Load, COUNT: 3
</t>
  </si>
  <si>
    <t>Deffective CPU</t>
  </si>
  <si>
    <t>N/</t>
  </si>
  <si>
    <t>G4940</t>
  </si>
  <si>
    <t>https://www.jotform.com/uploads/macarewecare/222927978372067/5444708164025806751/5444708164025806751_signature_28.png</t>
  </si>
  <si>
    <t>Leilani Marie P. Apostol</t>
  </si>
  <si>
    <t>https://www.jotform.com/uploads/macarewecare/222927978372067/5444708164025806751/5444708164025806751_signature_31.png</t>
  </si>
  <si>
    <t>Unit for PM and Calibration.</t>
  </si>
  <si>
    <t>Performed PM and Calibration.</t>
  </si>
  <si>
    <t>Preventive Maintenance and Calibration.</t>
  </si>
  <si>
    <t>https://www.jotform.com/uploads/macarewecare/222927978372067/5444635390619788686/5444635390619788686_signature_28.png</t>
  </si>
  <si>
    <t>Roselyn Jra. C. Alua</t>
  </si>
  <si>
    <t>https://www.jotform.com/uploads/macarewecare/222927978372067/5444635390619788686/5444635390619788686_signature_31.png</t>
  </si>
  <si>
    <t>Unit for PM and Calibration</t>
  </si>
  <si>
    <t>https://www.jotform.com/uploads/macarewecare/222927978372067/5444634950619109817/5444634950619109817_signature_28.png</t>
  </si>
  <si>
    <t>https://www.jotform.com/uploads/macarewecare/222927978372067/5444634950619109817/5444634950619109817_signature_31.png</t>
  </si>
  <si>
    <t>Bmc road naga city</t>
  </si>
  <si>
    <t xml:space="preserve">ASSAY: Xpert HPV, COUNT: 1043
ASSAY: Xpert MTB/RIF, COUNT: 2453
ASSAY: Xpert MTB/RIF Ultra, COUNT: 3775
ASSAY: Xpert SARS-CoV-2, COUNT: 3260
</t>
  </si>
  <si>
    <t>For module replacement b1 886287-210068158</t>
  </si>
  <si>
    <t>Performed module replacement,cleaned filter ,cartridge bay,plunger,icore,gathered reports,test run unit</t>
  </si>
  <si>
    <t>Module replacement, PMS</t>
  </si>
  <si>
    <t>900gx genexpert 6 color module</t>
  </si>
  <si>
    <t>https://www.jotform.com/uploads/macarewecare/222927978372067/5444631044231689250/5444631044231689250_signature_28.png</t>
  </si>
  <si>
    <t>Mary joy Nisola</t>
  </si>
  <si>
    <t>https://www.jotform.com/uploads/macarewecare/222927978372067/5444631044231689250/5444631044231689250_signature_31.png</t>
  </si>
  <si>
    <t>Espinosa st. District 3, Poblacion, San Jacinto</t>
  </si>
  <si>
    <t>Unit is due for CPU Replacement
Unit is due for module Replacement
Unit is due for xpertcheck</t>
  </si>
  <si>
    <t>CPU Replacement
Module Replacement</t>
  </si>
  <si>
    <t>Performed CPU Replacement
Performed Module Replacement
B1- 685729 old
B2- 686291 old
Performed XpertCheck</t>
  </si>
  <si>
    <t>Lenovo Desktop CPU
Genexpert Module/ B1-694090 new
Genexpert Module/ B2-712979 new</t>
  </si>
  <si>
    <t>https://www.jotform.com/uploads/macarewecare/222927978372067/5444042412327072395/5444042412327072395_signature_28.png</t>
  </si>
  <si>
    <t>https://www.jotform.com/uploads/macarewecare/222927978372067/5444042412327072395/5444042412327072395_signature_31.png</t>
  </si>
  <si>
    <t xml:space="preserve">ASSAY: Xpert MTB/RIF, COUNT: 10
ASSAY: Xpert MTB/RIF Ultra, COUNT: 239
ASSAY: Xpert SARS-CoV-2, COUNT: 3926
</t>
  </si>
  <si>
    <t>Module B4 encounter an error</t>
  </si>
  <si>
    <t>Perform/ used new cartridge to test Module B4</t>
  </si>
  <si>
    <t>Relocate the GeneXpert Set Up
Test and observe Module B4</t>
  </si>
  <si>
    <t>Machine has only two functional Module: Modules B2 and B4 are disabled</t>
  </si>
  <si>
    <t>Assay SARS COV from St. Elizabeth Hospital Inc. : Modules Recommended for calibration</t>
  </si>
  <si>
    <t>https://www.jotform.com/uploads/macarewecare/222927978372067/5443994826221505611/5443994826221505611_signature_28.png</t>
  </si>
  <si>
    <t>Maria Rosario M. Pino</t>
  </si>
  <si>
    <t>https://www.jotform.com/uploads/macarewecare/222927978372067/5443994826221505611/5443994826221505611_signature_31.png</t>
  </si>
  <si>
    <t>Palayan City Nueva Ecija</t>
  </si>
  <si>
    <t>Module 4 error 1002</t>
  </si>
  <si>
    <t>Performed xpertcheck in module 4</t>
  </si>
  <si>
    <t>Performed maintenance
Gathered reports
Performed xpertcheck in module 4
Performed functionality test</t>
  </si>
  <si>
    <t>Xpertcheck B4 - passed</t>
  </si>
  <si>
    <t>https://www.jotform.com/uploads/macarewecare/222927978372067/5443959656817917006/5443959656817917006_signature_28.png</t>
  </si>
  <si>
    <t>https://www.jotform.com/uploads/macarewecare/222927978372067/5443959656817917006/5443959656817917006_signature_31.png</t>
  </si>
  <si>
    <t>PORAC RURAL HEALTH UNIT</t>
  </si>
  <si>
    <t>Genarl Luna St. Poboacion Porac Pampanga</t>
  </si>
  <si>
    <t xml:space="preserve">ASSAY: Xpert MTB/RIF, COUNT: 581
ASSAY: Xpert MTB/RIF Ultra, COUNT: 293
</t>
  </si>
  <si>
    <t>-Error 2008 (Module C2)
-C3 temperature error
-C4 error 4017</t>
  </si>
  <si>
    <t>C3-784539 and C4-588984 already reported. Waiting for module replacement.</t>
  </si>
  <si>
    <t>https://www.jotform.com/uploads/macarewecare/222927978372067/5443882081837407482/5443882081837407482_signature_28.png</t>
  </si>
  <si>
    <t>https://www.jotform.com/uploads/macarewecare/222927978372067/5443882081837407482/5443882081837407482_signature_31.png</t>
  </si>
  <si>
    <t>Laoang northern samar</t>
  </si>
  <si>
    <t xml:space="preserve">ASSAY: Xpert MTB/RIF, COUNT: 479
ASSAY: Xpert MTB/RIF Ultra, COUNT: 198
</t>
  </si>
  <si>
    <t>https://www.jotform.com/uploads/macarewecare/222927978372067/5443837159617169839/5443837159617169839_signature_28.png</t>
  </si>
  <si>
    <t>Rosario Adarayan</t>
  </si>
  <si>
    <t>https://www.jotform.com/uploads/macarewecare/222927978372067/5443837159617169839/5443837159617169839_signature_31.png</t>
  </si>
  <si>
    <t xml:space="preserve">ASSAY: Xpert MTB/RIF Ultra, COUNT: 1377
</t>
  </si>
  <si>
    <t>Module C1 (607887) defective</t>
  </si>
  <si>
    <t>-Replace defective module C1 with new module (691298)</t>
  </si>
  <si>
    <t>Replace fan filter</t>
  </si>
  <si>
    <t>Module C2 has frequent temp error - for observation. CPU has Trojan malware (usb shortcut virus), recommend to avoid plugging in unauthorized flash drives</t>
  </si>
  <si>
    <t>https://www.jotform.com/uploads/macarewecare/222927978372067/5443728218811562543/5443728218811562543_signature_28.png</t>
  </si>
  <si>
    <t>https://www.jotform.com/uploads/macarewecare/222927978372067/5443728218811562543/5443728218811562543_signature_31.png</t>
  </si>
  <si>
    <t>Zamboanga del Norte Medical Center</t>
  </si>
  <si>
    <t>Run XpertCheck on all four modules</t>
  </si>
  <si>
    <t>Xpert Check Result:
-Module B1 service required
-Module B2, B3, B4 passed</t>
  </si>
  <si>
    <t>https://www.jotform.com/uploads/macarewecare/222927978372067/5443724968814289336/5443724968814289336_signature_28.png</t>
  </si>
  <si>
    <t>Ferran Tomoy</t>
  </si>
  <si>
    <t>https://www.jotform.com/uploads/macarewecare/222927978372067/5443724968814289336/5443724968814289336_signature_31.png</t>
  </si>
  <si>
    <t xml:space="preserve">ASSAY: Xpert MTB/RIF Ultra, COUNT: 581
ASSAY: Xpert HIV-1 Viral Load, COUNT: 1
</t>
  </si>
  <si>
    <t>Run Xpert Check on all modules</t>
  </si>
  <si>
    <t>Module B1 - service required, Module B2 - pass</t>
  </si>
  <si>
    <t>https://www.jotform.com/uploads/macarewecare/222927978372067/5443721928815123661/5443721928815123661_signature_28.png</t>
  </si>
  <si>
    <t>James Zebedee Ebron</t>
  </si>
  <si>
    <t>https://www.jotform.com/uploads/macarewecare/222927978372067/5443721928815123661/5443721928815123661_signature_31.png</t>
  </si>
  <si>
    <t>N. Amoranto St. QC</t>
  </si>
  <si>
    <t xml:space="preserve">ASSAY: Xpert MTB/RIF Ultra, COUNT: 2626
ASSAY: Xpert HPV, COUNT: 52
ASSAY: Others, COUNT: 1
</t>
  </si>
  <si>
    <t>Performed PM.</t>
  </si>
  <si>
    <t>Unit is operational. 3 modules operational, Module A2 (791652) is disabled.</t>
  </si>
  <si>
    <t>For request of Xpertcheck. Due on May 2022.</t>
  </si>
  <si>
    <t>https://www.jotform.com/uploads/macarewecare/222927978372067/5443719740116432327/5443719740116432327_signature_28.png</t>
  </si>
  <si>
    <t>https://www.jotform.com/uploads/macarewecare/222927978372067/5443719740116432327/5443719740116432327_signature_31.png</t>
  </si>
  <si>
    <t xml:space="preserve">ASSAY: Xpert HPV, COUNT: 240
ASSAY: Xpert MTB/RIF Ultra, COUNT: 4067
</t>
  </si>
  <si>
    <t>Unit is operational. 2 modules operational, Module B2 (791454) &amp; B3 (791649) is disabled.</t>
  </si>
  <si>
    <t>For request of XpertCheck. Due on May 2022.</t>
  </si>
  <si>
    <t>https://www.jotform.com/uploads/macarewecare/222927978372067/5443718510112801156/5443718510112801156_signature_28.png</t>
  </si>
  <si>
    <t>Joselito T. Chus</t>
  </si>
  <si>
    <t>https://www.jotform.com/uploads/macarewecare/222927978372067/5443718510112801156/5443718510112801156_signature_31.png</t>
  </si>
  <si>
    <t>Sindangan, Zamboanga del Norte</t>
  </si>
  <si>
    <t>Module B1 - SN 644791</t>
  </si>
  <si>
    <t>Replace defective module B1 with new module SN: 861036</t>
  </si>
  <si>
    <t>https://www.jotform.com/uploads/macarewecare/222927978372067/5443715018816748990/5443715018816748990_signature_28.png</t>
  </si>
  <si>
    <t>Leni Riza Yano</t>
  </si>
  <si>
    <t>https://www.jotform.com/uploads/macarewecare/222927978372067/5443715018816748990/5443715018816748990_signature_31.png</t>
  </si>
  <si>
    <t>San Roque RHU</t>
  </si>
  <si>
    <t xml:space="preserve">ASSAY: Xpert MTB/RIF, COUNT: 315
ASSAY: Xpert MTB/RIF Ultra, COUNT: 219
</t>
  </si>
  <si>
    <t>Low ink cartridge printer (brand: Canon Pixma iP2770 SN: KMMK16785</t>
  </si>
  <si>
    <t>https://www.jotform.com/uploads/macarewecare/222927978372067/5443698089551225205/5443698089551225205_signature_28.png</t>
  </si>
  <si>
    <t>https://www.jotform.com/uploads/macarewecare/222927978372067/5443698089551225205/5443698089551225205_signature_31.png</t>
  </si>
  <si>
    <t>Bagong pag asa q.c</t>
  </si>
  <si>
    <t xml:space="preserve">ASSAY: Xpert HPV, COUNT: 10
ASSAY: Xpert MTB/RIF, COUNT: 250
ASSAY: Xpert MTB/RIF Ultra, COUNT: 694
</t>
  </si>
  <si>
    <t>For module replacement temp error</t>
  </si>
  <si>
    <t>Module replacement a2 754336&gt;698524 a3 754337&gt;632618 a4 754338&gt;697973</t>
  </si>
  <si>
    <t>A1 disable reported already A2,A3,A4 operational</t>
  </si>
  <si>
    <t>900gx module 3pcs</t>
  </si>
  <si>
    <t>https://www.jotform.com/uploads/macarewecare/222927978372067/5443252689889350144/5443252689889350144_signature_28.png</t>
  </si>
  <si>
    <t>Erlinda S. Lorilla</t>
  </si>
  <si>
    <t>https://www.jotform.com/uploads/macarewecare/222927978372067/5443252689889350144/5443252689889350144_signature_31.png</t>
  </si>
  <si>
    <t>cawayanjodo@gmail.com</t>
  </si>
  <si>
    <t>Module B4 H/W failed</t>
  </si>
  <si>
    <t>Check modules</t>
  </si>
  <si>
    <t>Performed maintenance
Cleaned plunger rod, icore and cartridge bays
Generated reports</t>
  </si>
  <si>
    <t>All modules not operational.</t>
  </si>
  <si>
    <t>https://www.jotform.com/uploads/macarewecare/222927978372067/5443084708115776539/5443084708115776539_signature_28.png</t>
  </si>
  <si>
    <t>https://www.jotform.com/uploads/macarewecare/222927978372067/5443084708115776539/5443084708115776539_signature_31.png</t>
  </si>
  <si>
    <t xml:space="preserve">ASSAY: Xpert MTB/RIF, COUNT: 687
</t>
  </si>
  <si>
    <t>AVR UPS POWER ISSUE</t>
  </si>
  <si>
    <t>-CHECK AVR FUNCTIONALITY, PASSED ; UPS - PASSED
-CHECK UPS AND AVR OUTPUT VOLTAGE: WITHIN RANGE</t>
  </si>
  <si>
    <t>-CHECK OUTPUT VOLTAGE AT LAB 320-350V READING
-HOSPITAL ELECTRICIAN PERFORM ADJUSTMENT, VOLTAGE READING AT 250V</t>
  </si>
  <si>
    <t>ALL EQUIPMENT ARE FUNCTIONAL, LABORATORY LINE VOLTAGE AT 320-350V READING</t>
  </si>
  <si>
    <t>https://www.jotform.com/uploads/macarewecare/222927978372067/5443065878817713346/5443065878817713346_signature_28.png</t>
  </si>
  <si>
    <t>https://www.jotform.com/uploads/macarewecare/222927978372067/5443065878817713346/5443065878817713346_signature_31.png</t>
  </si>
  <si>
    <t>mls021493@gmail.com</t>
  </si>
  <si>
    <t>Module B3 for Replacement due to H/W Failure</t>
  </si>
  <si>
    <t>Replaced defective module with s/n 893589 with service module s/n 674488</t>
  </si>
  <si>
    <t>Service module is from gx16</t>
  </si>
  <si>
    <t>900-GxlX</t>
  </si>
  <si>
    <t>https://www.jotform.com/uploads/macarewecare/222927978372067/5443052552116440672/5443052552116440672_signature_28.png</t>
  </si>
  <si>
    <t>Rowena Bancairen</t>
  </si>
  <si>
    <t>https://www.jotform.com/uploads/macarewecare/222927978372067/5443052552116440672/5443052552116440672_signature_31.png</t>
  </si>
  <si>
    <t>Tagum City</t>
  </si>
  <si>
    <t xml:space="preserve">ASSAY: Xpert SARS-CoV-2, COUNT: 4000
ASSAY: Xpert MTB/RIF Ultra, COUNT: 1000
</t>
  </si>
  <si>
    <t>Power supply Replacement</t>
  </si>
  <si>
    <t>Replace Gx-16 Power Supply</t>
  </si>
  <si>
    <t>None Operational Due Power Supply Problem</t>
  </si>
  <si>
    <t>Unsuccessfully installed Due to Incompatibility of power supply</t>
  </si>
  <si>
    <t>https://www.jotform.com/uploads/macarewecare/222927978372067/5443050963183189167/5443050963183189167_signature_28.png</t>
  </si>
  <si>
    <t>https://www.jotform.com/uploads/macarewecare/222927978372067/5443050963183189167/5443050963183189167_signature_31.png</t>
  </si>
  <si>
    <t xml:space="preserve">ASSAY: Xpert MTB/RIF, COUNT: 894
ASSAY: Xpert MTB/RIF Ultra, COUNT: 1039
ASSAY: Xpert HIV-1 Viral Load, COUNT: 52
</t>
  </si>
  <si>
    <t>Module A1 for check up.</t>
  </si>
  <si>
    <t>Unit is operational. All 4 modules seems functional.</t>
  </si>
  <si>
    <t>Module A1 is temp error free for a month. Module is under observation.</t>
  </si>
  <si>
    <t>https://www.jotform.com/uploads/macarewecare/222927978372067/5443045741718515541/5443045741718515541_signature_28.png</t>
  </si>
  <si>
    <t>https://www.jotform.com/uploads/macarewecare/222927978372067/5443045741718515541/5443045741718515541_signature_31.png</t>
  </si>
  <si>
    <t>UBAY,BOHOL</t>
  </si>
  <si>
    <t>example@example.com</t>
  </si>
  <si>
    <t xml:space="preserve">ASSAY: Xpert MTB/RIF, COUNT: 2123
ASSAY: Xpert MTB/RIF Ultra, COUNT: 165
</t>
  </si>
  <si>
    <t>MODULE B3 ERROR 4008, MODULE B4 ERROR 4012</t>
  </si>
  <si>
    <t>RESET GX CONNECTIONS</t>
  </si>
  <si>
    <t>PERFORM GX CLEANING, COLLECT IQR, SYSTEM LOG, AND ARCHIVE</t>
  </si>
  <si>
    <t>B1,B2 - Passed ; B3,B4 - H/W FAILED</t>
  </si>
  <si>
    <t>https://www.jotform.com/uploads/macarewecare/222927978372067/5443045538819934129/5443045538819934129_signature_28.png</t>
  </si>
  <si>
    <t>JAN ARKID A. DIACOR,RMT</t>
  </si>
  <si>
    <t>https://www.jotform.com/uploads/macarewecare/222927978372067/5443045538819934129/5443045538819934129_signature_31.png</t>
  </si>
  <si>
    <t>RTDL/TB-DOTS</t>
  </si>
  <si>
    <t xml:space="preserve">ASSAY: Xpert MTB/RIF, COUNT: 249
ASSAY: Xpert MTB/RIF Ultra, COUNT: 118
</t>
  </si>
  <si>
    <t>GX-4 with 2 modules</t>
  </si>
  <si>
    <t>Module B1 with SN: 788658 was found Service Required</t>
  </si>
  <si>
    <t>2 modules working but 1 module was prior for replacement</t>
  </si>
  <si>
    <t>https://www.jotform.com/uploads/macarewecare/222927978372067/5443031123323880062/5443031123323880062_signature_28.png</t>
  </si>
  <si>
    <t>https://www.jotform.com/uploads/macarewecare/222927978372067/5443031123323880062/5443031123323880062_signature_31.png</t>
  </si>
  <si>
    <t>Caragsacan Dingalan Aurora</t>
  </si>
  <si>
    <t>Genexpert gx4</t>
  </si>
  <si>
    <t>Genexpert is due for Calibration</t>
  </si>
  <si>
    <t>Performed Maintenance
Cleaned Filters
Cleaned Cartridge bay
Cleaned Icore
Cleaned Plunger Rod
Performed functionality Test</t>
  </si>
  <si>
    <t>https://www.jotform.com/uploads/macarewecare/222927978372067/5443014656118923964/5443014656118923964_signature_28.png</t>
  </si>
  <si>
    <t>https://www.jotform.com/uploads/macarewecare/222927978372067/5443014656118923964/5443014656118923964_signature_31.png</t>
  </si>
  <si>
    <t>ICS Tibag Tarlac City</t>
  </si>
  <si>
    <t xml:space="preserve">ASSAY: Xpert MTB/RIF, COUNT: 486
ASSAY: Xpert MTB/RIF Ultra, COUNT: 240
</t>
  </si>
  <si>
    <t>-Checked power connections
-Troubleshoot ups (working)
-Troubleshoot CPU (working)
-Performed GxReliability test (error 2005)
-Performed functionality test</t>
  </si>
  <si>
    <t>https://www.jotform.com/uploads/macarewecare/222927978372067/5443014413668178278/5443014413668178278_signature_28.png</t>
  </si>
  <si>
    <t>https://www.jotform.com/uploads/macarewecare/222927978372067/5443014413668178278/5443014413668178278_signature_31.png</t>
  </si>
  <si>
    <t>Masambong Quezon City</t>
  </si>
  <si>
    <t>Unit for PM and for installation of new CPU</t>
  </si>
  <si>
    <t>PM and Installation of CPU</t>
  </si>
  <si>
    <t>Lenovo ThinkCentre CPU (SN:CPH0420F08151) in replacement for defective CPU HP Z240 (SN: 2UA7021MTS)</t>
  </si>
  <si>
    <t>https://www.jotform.com/uploads/macarewecare/222927978372067/5443005690116752408/5443005690116752408_signature_28.png</t>
  </si>
  <si>
    <t>https://www.jotform.com/uploads/macarewecare/222927978372067/5443005690116752408/5443005690116752408_signature_31.png</t>
  </si>
  <si>
    <t xml:space="preserve">ASSAY: Xpert MTB/RIF, COUNT: 326
ASSAY: Xpert MTB/RIF Ultra, COUNT: 625
ASSAY: Xpert HIV-1 Viral Load, COUNT: 22
</t>
  </si>
  <si>
    <t>Unit is operational. 3 modules are functional.</t>
  </si>
  <si>
    <t>Waiting for module for A3 replacement.</t>
  </si>
  <si>
    <t>https://www.jotform.com/uploads/macarewecare/222927978372067/5442984421718513595/5442984421718513595_signature_28.png</t>
  </si>
  <si>
    <t>Rona Marie Iris R. De Leon</t>
  </si>
  <si>
    <t>https://www.jotform.com/uploads/macarewecare/222927978372067/5442984421718513595/5442984421718513595_signature_31.png</t>
  </si>
  <si>
    <t xml:space="preserve">ASSAY: Xpert MTB/RIF, COUNT: 1683
ASSAY: Xpert MTB/RIF Ultra, COUNT: 5870
ASSAY: Xpert HIV-1 Viral Load, COUNT: 249
</t>
  </si>
  <si>
    <t>Installed the GX-XVI
Functionality test
Run reliability test
Generated reports</t>
  </si>
  <si>
    <t>Machine only.</t>
  </si>
  <si>
    <t>https://www.jotform.com/uploads/macarewecare/222927978372067/5442894822816622314/5442894822816622314_signature_28.png</t>
  </si>
  <si>
    <t>https://www.jotform.com/uploads/macarewecare/222927978372067/5442894822816622314/5442894822816622314_signature_31.png</t>
  </si>
  <si>
    <t>San Isidro</t>
  </si>
  <si>
    <t>Poblacion,San Isidro, Nueva Ecija</t>
  </si>
  <si>
    <t>Gathered Reports to Report</t>
  </si>
  <si>
    <t>Performed Maintenance
Cleaned Filters
Cleaned Cartridge bay
Cleaned Plunger Rod
Cleaned Icore</t>
  </si>
  <si>
    <t>https://www.jotform.com/uploads/macarewecare/222927978372067/5442182369738327377/5442182369738327377_signature_28.png</t>
  </si>
  <si>
    <t>Rowena Umali</t>
  </si>
  <si>
    <t>https://www.jotform.com/uploads/macarewecare/222927978372067/5442182369738327377/5442182369738327377_signature_31.png</t>
  </si>
  <si>
    <t>GENERAL EMILIO AGUINALDO MEMORIAL HOSPITAL</t>
  </si>
  <si>
    <t xml:space="preserve">ASSAY: Xpert MTB/RIF, COUNT: 658
ASSAY: Xpert MTB/RIF Ultra, COUNT: 1312
</t>
  </si>
  <si>
    <t>GX Software Problem
Module 3 lost comm error</t>
  </si>
  <si>
    <t>Reset Connections
Purged Tests</t>
  </si>
  <si>
    <t>Maintenance
Reset Gateway Board Connections</t>
  </si>
  <si>
    <t>2 modules are operational. 2 modules for replacement</t>
  </si>
  <si>
    <t>B3/632179 and B4/631101 ultrasonic horn cables problem</t>
  </si>
  <si>
    <t>https://www.jotform.com/uploads/macarewecare/222927978372067/5442152824116014538/5442152824116014538_signature_28.png</t>
  </si>
  <si>
    <t>https://www.jotform.com/uploads/macarewecare/222927978372067/5442152824116014538/5442152824116014538_signature_31.png</t>
  </si>
  <si>
    <t>Alabat Island</t>
  </si>
  <si>
    <t>3 modules operational, 1 Module Failed</t>
  </si>
  <si>
    <t>C2/754442 - Failed</t>
  </si>
  <si>
    <t>https://www.jotform.com/uploads/macarewecare/222927978372067/5442152824118484772/5442152824118484772_signature_28.png</t>
  </si>
  <si>
    <t>Carmelita S. Piquero</t>
  </si>
  <si>
    <t>https://www.jotform.com/uploads/macarewecare/222927978372067/5442152824118484772/5442152824118484772_signature_31.png</t>
  </si>
  <si>
    <t>Area E, Dasmariñas</t>
  </si>
  <si>
    <t>betoy.nerissa.iris10@gmail.com</t>
  </si>
  <si>
    <t xml:space="preserve">ASSAY: Xpert MTB/RIF, COUNT: 568
ASSAY: Xpert MTB/RIF Ultra, COUNT: 1916
ASSAY: Xpert HIV-1 Viral Load, COUNT: 30
</t>
  </si>
  <si>
    <t>Module 2 with Temp Errors</t>
  </si>
  <si>
    <t>Xpertcheck on Module 2</t>
  </si>
  <si>
    <t>Maintenance
XpertCheck on B2</t>
  </si>
  <si>
    <t>Xpertcheck: B2/862309 - Failed</t>
  </si>
  <si>
    <t>https://www.jotform.com/uploads/macarewecare/222927978372067/5442152824112658044/5442152824112658044_signature_28.png</t>
  </si>
  <si>
    <t>https://www.jotform.com/uploads/macarewecare/222927978372067/5442152824112658044/5442152824112658044_signature_31.png</t>
  </si>
  <si>
    <t xml:space="preserve">ASSAY: Xpert HPV, COUNT: 158
ASSAY: Xpert MTB/RIF Ultra, COUNT: 1618
ASSAY: Xpert HIV-1 Viral Load, COUNT: 41
</t>
  </si>
  <si>
    <t>Temp errors on module 4</t>
  </si>
  <si>
    <t>Maintenance
Module Replacement</t>
  </si>
  <si>
    <t>4 modules are operational</t>
  </si>
  <si>
    <t>https://www.jotform.com/uploads/macarewecare/222927978372067/5442152824119362184/5442152824119362184_signature_28.png</t>
  </si>
  <si>
    <t>JoAnn Yamballa</t>
  </si>
  <si>
    <t>https://www.jotform.com/uploads/macarewecare/222927978372067/5442152824119362184/5442152824119362184_signature_31.png</t>
  </si>
  <si>
    <t xml:space="preserve">ASSAY: Xpert MTB/RIF, COUNT: 667
ASSAY: Xpert MTB/RIF Ultra, COUNT: 997
ASSAY: Xpert HIV-1 Viral Load, COUNT: 61
</t>
  </si>
  <si>
    <t>Module A3 error 1001/1002/4017</t>
  </si>
  <si>
    <t>Performed maintenance
Run XpertCheck on module A3
Generated reports</t>
  </si>
  <si>
    <t>Module A3 passed. Under observation.</t>
  </si>
  <si>
    <t>https://www.jotform.com/uploads/macarewecare/222927978372067/5442152744119820139/5442152744119820139_signature_28.png</t>
  </si>
  <si>
    <t>https://www.jotform.com/uploads/macarewecare/222927978372067/5442152744119820139/5442152744119820139_signature_31.png</t>
  </si>
  <si>
    <t>PERFORM CLEANING, RESET GX CONNECTIONS</t>
  </si>
  <si>
    <t>B1,B2-OK; B3,B4- H/W FAILED</t>
  </si>
  <si>
    <t>https://www.jotform.com/uploads/macarewecare/222927978372067/5442144684818509182/5442144684818509182_signature_28.png</t>
  </si>
  <si>
    <t>https://www.jotform.com/uploads/macarewecare/222927978372067/5442144684818509182/5442144684818509182_signature_31.png</t>
  </si>
  <si>
    <t>https://www.jotform.com/uploads/macarewecare/222927978372067/5442140214817612087/5442140214817612087_signature_28.png</t>
  </si>
  <si>
    <t>https://www.jotform.com/uploads/macarewecare/222927978372067/5442140214817612087/5442140214817612087_signature_31.png</t>
  </si>
  <si>
    <t>https://www.jotform.com/uploads/macarewecare/222927978372067/5442131211217730822/5442131211217730822_signature_28.png</t>
  </si>
  <si>
    <t>https://www.jotform.com/uploads/macarewecare/222927978372067/5442131211217730822/5442131211217730822_signature_31.png</t>
  </si>
  <si>
    <t xml:space="preserve">ASSAY: Xpert MTB/RIF, COUNT: 460
ASSAY: Xpert MTB/RIF Ultra, COUNT: 226
</t>
  </si>
  <si>
    <t>Check Voltage source (215 V )</t>
  </si>
  <si>
    <t>-Troubleshooting UPS ( SN: 40223321704)
-Preventive Maintenance
-Generate IQR and System log</t>
  </si>
  <si>
    <t>UPS battery not charging</t>
  </si>
  <si>
    <t>https://www.jotform.com/uploads/macarewecare/222927978372067/5440727675611857939/5440727675611857939_signature_28.png</t>
  </si>
  <si>
    <t>JASMIN JOY NAVIDAD</t>
  </si>
  <si>
    <t>https://www.jotform.com/uploads/macarewecare/222927978372067/5440727675611857939/5440727675611857939_signature_31.png</t>
  </si>
  <si>
    <t>https://www.jotform.com/uploads/macarewecare/222927978372067/5440584735612876619/5440584735612876619_signature_28.png</t>
  </si>
  <si>
    <t>https://www.jotform.com/uploads/macarewecare/222927978372067/5440584735612876619/5440584735612876619_signature_31.png</t>
  </si>
  <si>
    <t>ST. LUKE'S EXTENSION CLINIC</t>
  </si>
  <si>
    <t>BOCOBO ST. ERMITA, MANILA</t>
  </si>
  <si>
    <t xml:space="preserve">ASSAY: Xpert CT/NG, COUNT: 3811
ASSAY: Xpert MTB/RIF, COUNT: 2384
</t>
  </si>
  <si>
    <t>INFINITY</t>
  </si>
  <si>
    <t>MODULES FOR REPLACEMENT</t>
  </si>
  <si>
    <t>PERFORMED MODULE REPLACEMENT</t>
  </si>
  <si>
    <t>PERFORMED PM
GENERATED REPORTS
ARCHIVED RESULTS
PERFORMED FUNCTIONALITY TEST</t>
  </si>
  <si>
    <t>UNIT IS OPERATIONAL.
HW FAILED F3 642037
F1 880991 OUT OF BOX</t>
  </si>
  <si>
    <t>900-GX
OLD
- 635774, 710642, 688434, 681658, 684184, 687517
NEW
- 804179, 647149, 880991, 693672, 896445, 877673</t>
  </si>
  <si>
    <t>CIENNE MAE VALERIO</t>
  </si>
  <si>
    <t>https://www.jotform.com/uploads/macarewecare/222927978372067/5439655176023751313/5439655176023751313_signature_28.png</t>
  </si>
  <si>
    <t>https://www.jotform.com/uploads/macarewecare/222927978372067/5439655176023751313/5439655176023751313_signature_31.png</t>
  </si>
  <si>
    <t>Cainta CHO</t>
  </si>
  <si>
    <t xml:space="preserve">ASSAY: Xpert MTB/RIF, COUNT: 355
ASSAY: Xpert MTB/RIF Ultra, COUNT: 566
</t>
  </si>
  <si>
    <t>Old: B2/685113 New: B2/888288</t>
  </si>
  <si>
    <t>G 4922</t>
  </si>
  <si>
    <t>https://www.jotform.com/uploads/macarewecare/222927978372067/5439555691811712266/5439555691811712266_signature_28.png</t>
  </si>
  <si>
    <t>https://www.jotform.com/uploads/macarewecare/222927978372067/5439555691811712266/5439555691811712266_signature_31.png</t>
  </si>
  <si>
    <t>Rosario Santiago City Isabela</t>
  </si>
  <si>
    <t>tonz23_mad@yahoo.com</t>
  </si>
  <si>
    <t>Module 4 stock on booting</t>
  </si>
  <si>
    <t>Performed Maintenance
Gathered Reports</t>
  </si>
  <si>
    <t>Performed Troubleshooting
Performed Expertcheck
Plugged in and out internal connections
Performed Functionality test
Enabled module 4</t>
  </si>
  <si>
    <t>https://www.jotform.com/uploads/macarewecare/222927978372067/5439553367948669586/5439553367948669586_signature_28.png</t>
  </si>
  <si>
    <t>Mary Antoinette Pastor</t>
  </si>
  <si>
    <t>https://www.jotform.com/uploads/macarewecare/222927978372067/5439553367948669586/5439553367948669586_signature_31.png</t>
  </si>
  <si>
    <t>pascualmaribeth72@gmail.co.com</t>
  </si>
  <si>
    <t xml:space="preserve">ASSAY: Xpert MTB/RIF, COUNT: 908
ASSAY: Xpert MTB/RIF Ultra, COUNT: 795
</t>
  </si>
  <si>
    <t>Monitor for replacement (LG Flatron E1910P-BN, SN: 312NDDM03410</t>
  </si>
  <si>
    <t>Replaced monitor by Lenovo SN: V5DMY041</t>
  </si>
  <si>
    <t>Lenovo Monitor</t>
  </si>
  <si>
    <t>G 4925</t>
  </si>
  <si>
    <t>https://www.jotform.com/uploads/macarewecare/222927978372067/5439549405172463702/5439549405172463702_signature_28.png</t>
  </si>
  <si>
    <t>Maribeth Bernardo</t>
  </si>
  <si>
    <t>https://www.jotform.com/uploads/macarewecare/222927978372067/5439549405172463702/5439549405172463702_signature_31.png</t>
  </si>
  <si>
    <t>Teresa st sta mesa</t>
  </si>
  <si>
    <t>esperanzahealthcenter2000@gmail.com</t>
  </si>
  <si>
    <t xml:space="preserve">ASSAY: Xpert HPV, COUNT: 23
ASSAY: Xpert MTB/RIF, COUNT: 446
ASSAY: Xpert MTB/RIF Ultra, COUNT: 631
</t>
  </si>
  <si>
    <t>Cleaned unit,filter,cartridge bay,plunger,icore</t>
  </si>
  <si>
    <t>https://www.jotform.com/uploads/macarewecare/222927978372067/5439533146592283699/5439533146592283699_signature_28.png</t>
  </si>
  <si>
    <t>Victor agdamag jr.</t>
  </si>
  <si>
    <t>https://www.jotform.com/uploads/macarewecare/222927978372067/5439533146592283699/5439533146592283699_signature_31.png</t>
  </si>
  <si>
    <t>INSTALLATION
Installation of backup laptop</t>
  </si>
  <si>
    <t>batmcxpertxpresscovidlab@gmail.com</t>
  </si>
  <si>
    <t xml:space="preserve">ASSAY: Xpert MTB/RIF, COUNT: 0
ASSAY: Xpert HIV-1 Viral Load, COUNT: 0
ASSAY: Xpert HPV, COUNT: 0
ASSAY: Xpert SARS-CoV-2, COUNT: 0
</t>
  </si>
  <si>
    <t>Unit is due for laptop backup installation</t>
  </si>
  <si>
    <t>Intalled backup laptop</t>
  </si>
  <si>
    <t>Performed Backup Laptop Installation</t>
  </si>
  <si>
    <t>Unit is good and operational</t>
  </si>
  <si>
    <t>Lenovo thinkpad Laptop</t>
  </si>
  <si>
    <t>G 4929</t>
  </si>
  <si>
    <t>https://www.jotform.com/uploads/macarewecare/222927978372067/5439506153712239543/5439506153712239543_signature_28.png</t>
  </si>
  <si>
    <t>https://www.jotform.com/uploads/macarewecare/222927978372067/5439506153712239543/5439506153712239543_signature_31.png</t>
  </si>
  <si>
    <t xml:space="preserve">ASSAY: Xpert MTB/RIF Ultra, COUNT: 670
</t>
  </si>
  <si>
    <t>All Four (4) Modules are available</t>
  </si>
  <si>
    <t>Replaced module 662297, 662296 with 817600, 892103.</t>
  </si>
  <si>
    <t>https://www.jotform.com/uploads/macarewecare/222927978372067/5439475643874831855/5439475643874831855_signature_28.png</t>
  </si>
  <si>
    <t>https://www.jotform.com/uploads/macarewecare/222927978372067/5439475643874831855/5439475643874831855_signature_31.png</t>
  </si>
  <si>
    <t>Mati City, Davao Oriental</t>
  </si>
  <si>
    <t xml:space="preserve">ASSAY: Xpert MTB/RIF, COUNT: 397
ASSAY: Xpert MTB/RIF Ultra, COUNT: 1140
</t>
  </si>
  <si>
    <t>GX IV - 4D</t>
  </si>
  <si>
    <t>Module A1 and A3 encounter an error 2120</t>
  </si>
  <si>
    <t>Check for lossy connection, Perfrom 
Preventive Maintenance</t>
  </si>
  <si>
    <t>Reset Gateway board Connection
Clean Fan filter, Cartridge Bay, iCore
Generate IQR, Assay Stat, System Log</t>
  </si>
  <si>
    <t>A3 subjected for Replacement
3 modules are operational</t>
  </si>
  <si>
    <t>https://www.jotform.com/uploads/macarewecare/222927978372067/5439447435228419951/5439447435228419951_signature_28.png</t>
  </si>
  <si>
    <t>https://www.jotform.com/uploads/macarewecare/222927978372067/5439447435228419951/5439447435228419951_signature_31.png</t>
  </si>
  <si>
    <t>PARANG RURAL HEALTH UNIT</t>
  </si>
  <si>
    <t>Parang</t>
  </si>
  <si>
    <t xml:space="preserve">ASSAY: Xpert MTB/RIF, COUNT: 210
ASSAY: Xpert MTB/RIF Ultra, COUNT: 222
</t>
  </si>
  <si>
    <t>Module B2 H/W FAILED</t>
  </si>
  <si>
    <t>Genexpert machine Preventive Maintenance
Replace module B2 SN:806694 with new module SN:866870</t>
  </si>
  <si>
    <t>In good condition - All modules are Functional</t>
  </si>
  <si>
    <t>https://www.jotform.com/uploads/macarewecare/222927978372067/5439424296028596010/5439424296028596010_signature_28.png</t>
  </si>
  <si>
    <t>Nadjim A. Bagua</t>
  </si>
  <si>
    <t>https://www.jotform.com/uploads/macarewecare/222927978372067/5439424296028596010/5439424296028596010_signature_31.png</t>
  </si>
  <si>
    <t>Mabalacat RHU I</t>
  </si>
  <si>
    <t>Mabalacat, Pampanga</t>
  </si>
  <si>
    <t xml:space="preserve">ASSAY: Xpert MTB/RIF, COUNT: 190
ASSAY: Xpert MTB/RIF Ultra, COUNT: 329
ASSAY: Xpert HIV-1 Viral Load, COUNT: 4
</t>
  </si>
  <si>
    <t>Module B2 (787982) for replacement.</t>
  </si>
  <si>
    <t>Replaced module B2 by 880771</t>
  </si>
  <si>
    <t>Uni is operational.</t>
  </si>
  <si>
    <t>G 4919</t>
  </si>
  <si>
    <t>https://www.jotform.com/uploads/macarewecare/222927978372067/5439424154689239715/5439424154689239715_signature_28.png</t>
  </si>
  <si>
    <t>https://www.jotform.com/uploads/macarewecare/222927978372067/5439424154689239715/5439424154689239715_signature_31.png</t>
  </si>
  <si>
    <t xml:space="preserve">ASSAY: Xpert MTB/RIF, COUNT: 1704
ASSAY: Xpert MTB/RIF Ultra, COUNT: 5819
ASSAY: Xpert HIV-1 Viral Load, COUNT: 229
</t>
  </si>
  <si>
    <t>Perform maintenance
Replaced defective modules
Generated reports</t>
  </si>
  <si>
    <t>Old modules:B3/623350,B4/792345 New modules: B3/654640,B4/651850</t>
  </si>
  <si>
    <t>GeneXpert modules.</t>
  </si>
  <si>
    <t>G 4921</t>
  </si>
  <si>
    <t>https://www.jotform.com/uploads/macarewecare/222927978372067/5439403523219487339/5439403523219487339_signature_28.png</t>
  </si>
  <si>
    <t>https://www.jotform.com/uploads/macarewecare/222927978372067/5439403523219487339/5439403523219487339_signature_31.png</t>
  </si>
  <si>
    <t>Sariaya RHU</t>
  </si>
  <si>
    <t xml:space="preserve">ASSAY: Xpert MTB/RIF, COUNT: 365
ASSAY: Xpert MTB/RIF Ultra, COUNT: 1276
</t>
  </si>
  <si>
    <t>Module A4 service required. Modules A1,A2,A3 passed.</t>
  </si>
  <si>
    <t>https://www.jotform.com/uploads/macarewecare/222927978372067/5439397333128491085/5439397333128491085_signature_28.png</t>
  </si>
  <si>
    <t>https://www.jotform.com/uploads/macarewecare/222927978372067/5439397333128491085/5439397333128491085_signature_31.png</t>
  </si>
  <si>
    <t>Domingo santiago st.sampaloc manila</t>
  </si>
  <si>
    <t xml:space="preserve">ASSAY: Xpert MTB/RIF, COUNT: 454
ASSAY: Xpert MTB/RIF Ultra, COUNT: 750
</t>
  </si>
  <si>
    <t>Delivered and replaced monitor</t>
  </si>
  <si>
    <t>2 module operational a3 673872module failed xpertcheck a4 module booting issue unable to performed rexpertcheck</t>
  </si>
  <si>
    <t>D.r 9322</t>
  </si>
  <si>
    <t>https://www.jotform.com/uploads/macarewecare/222927978372067/5439383876591486595/5439383876591486595_signature_28.png</t>
  </si>
  <si>
    <t>https://www.jotform.com/uploads/macarewecare/222927978372067/5439383876591486595/5439383876591486595_signature_31.png</t>
  </si>
  <si>
    <t xml:space="preserve">ASSAY: Xpert MTB/RIF, COUNT: 475
ASSAY: Xpert MTB/RIF Ultra, COUNT: 306
</t>
  </si>
  <si>
    <t>Module B2 subjected for replacement</t>
  </si>
  <si>
    <t>Replaced defective module S/N : 789059 with New Module S/N: 687398
Perform Preventive Maintenance
Clean Cartridge Bay, Icore, Fan Filters, Plunger Rod
Generate IQR, System Log, Assay Stat</t>
  </si>
  <si>
    <t>https://www.jotform.com/uploads/macarewecare/222927978372067/5438845975225495495/5438845975225495495_signature_28.png</t>
  </si>
  <si>
    <t>Liezl Ann Alago, RMT</t>
  </si>
  <si>
    <t>https://www.jotform.com/uploads/macarewecare/222927978372067/5438845975225495495/5438845975225495495_signature_31.png</t>
  </si>
  <si>
    <t>Alabang muntinlupa</t>
  </si>
  <si>
    <t>bmanlangit@asianhospital.com</t>
  </si>
  <si>
    <t>Spillage</t>
  </si>
  <si>
    <t>Checked bowl optic,performed maintenance,performed simulation running,checked line sensor,weigher,valve,replaced rollers</t>
  </si>
  <si>
    <t>Checked up and Maintenance</t>
  </si>
  <si>
    <t>https://www.jotform.com/uploads/macarewecare/222927978372067/5438755556594955936/5438755556594955936_signature_28.png</t>
  </si>
  <si>
    <t>https://www.jotform.com/uploads/macarewecare/222927978372067/5438755556594955936/5438755556594955936_signature_31.png</t>
  </si>
  <si>
    <t>Mandalulong CHO</t>
  </si>
  <si>
    <t>Mandaluyong City Hall</t>
  </si>
  <si>
    <t>recie.mendoza@yahoo.com</t>
  </si>
  <si>
    <t xml:space="preserve">ASSAY: Xpert MTB/RIF, COUNT: 79
ASSAY: Xpert MTB/RIF Ultra, COUNT: 0
ASSAY: Xpert HIV-1 Viral Load, COUNT: 0
</t>
  </si>
  <si>
    <t>Unit is due for module replacement/A3</t>
  </si>
  <si>
    <t>Genexpert Module 6C</t>
  </si>
  <si>
    <t>G 4920</t>
  </si>
  <si>
    <t>https://www.jotform.com/uploads/macarewecare/222927978372067/5438737894659510444/5438737894659510444_signature_28.png</t>
  </si>
  <si>
    <t>Eresita Mendoza</t>
  </si>
  <si>
    <t>https://www.jotform.com/uploads/macarewecare/222927978372067/5438737894659510444/5438737894659510444_signature_31.png</t>
  </si>
  <si>
    <t>National Highway, Poblacion, Bislig City</t>
  </si>
  <si>
    <t>Module B2 and B3 found service required from calibration</t>
  </si>
  <si>
    <t>Replacing backup unit Laptop w/ new cpu lenovo thinkcentre with SN: CPH1121F27721</t>
  </si>
  <si>
    <t>3 modules working, 1 module h/w failed.</t>
  </si>
  <si>
    <t>800-0560GXDX</t>
  </si>
  <si>
    <t>https://www.jotform.com/uploads/macarewecare/222927978372067/5438710389028714911/5438710389028714911_signature_28.png</t>
  </si>
  <si>
    <t>https://www.jotform.com/uploads/macarewecare/222927978372067/5438710389028714911/5438710389028714911_signature_31.png</t>
  </si>
  <si>
    <t>SALVACION OPPUS-YNIGUEZ MEMORIAL PROVINCIAL HOSPITAL</t>
  </si>
  <si>
    <t>Maasain City</t>
  </si>
  <si>
    <t>pangilinanyulaida@yahoo.com</t>
  </si>
  <si>
    <t xml:space="preserve">ASSAY: Xpert MTB/RIF, COUNT: 1008
ASSAY: Xpert MTB/RIF Ultra, COUNT: 112
</t>
  </si>
  <si>
    <t>Module B2 defective
Module B3 H/W Failed</t>
  </si>
  <si>
    <t>- Module Replacement
  Def. module SN: 630185
 New module SN : 757944
- Run Xpertcheck on Module B3</t>
  </si>
  <si>
    <t>900- 0491RS</t>
  </si>
  <si>
    <t>GeneXpert 6 color SN : 757944</t>
  </si>
  <si>
    <t>JOHN PAUL LABUTAP</t>
  </si>
  <si>
    <t>https://www.jotform.com/uploads/macarewecare/222927978372067/5438581077913170405/5438581077913170405_signature_28.png</t>
  </si>
  <si>
    <t>YULAIDA M. PANGILINAN</t>
  </si>
  <si>
    <t>https://www.jotform.com/uploads/macarewecare/222927978372067/5438581077913170405/5438581077913170405_signature_31.png</t>
  </si>
  <si>
    <t>maervyong22@gmail.com</t>
  </si>
  <si>
    <t xml:space="preserve">ASSAY: Xpert MTB/RIF, COUNT: 766
</t>
  </si>
  <si>
    <t>Module (A3,A4) received multiple temperature error</t>
  </si>
  <si>
    <t>Check ambient temperature</t>
  </si>
  <si>
    <t>Module (A3,A4) temperature error</t>
  </si>
  <si>
    <t>Xpertcheck cartridges</t>
  </si>
  <si>
    <t>Lot 05203</t>
  </si>
  <si>
    <t>https://www.jotform.com/uploads/macarewecare/222927978372067/5438581077919256405/5438581077919256405_signature_28.png</t>
  </si>
  <si>
    <t>Mae Ervy Ong Ariza</t>
  </si>
  <si>
    <t>https://www.jotform.com/uploads/macarewecare/222927978372067/5438581077919256405/5438581077919256405_signature_31.png</t>
  </si>
  <si>
    <t>M.icasiano health center</t>
  </si>
  <si>
    <t>Pedro gil st. Paco</t>
  </si>
  <si>
    <t xml:space="preserve">ASSAY: Xpert MTB/RIF, COUNT: 618
ASSAY: Xpert MTB/RIF Ultra, COUNT: 952
</t>
  </si>
  <si>
    <t>Monitor issue</t>
  </si>
  <si>
    <t>Checked monitor,cable and power cord</t>
  </si>
  <si>
    <t>Replaced temporary monitor</t>
  </si>
  <si>
    <t>For reporting monitor</t>
  </si>
  <si>
    <t>https://www.jotform.com/uploads/macarewecare/222927978372067/5438561146592500599/5438561146592500599_signature_28.png</t>
  </si>
  <si>
    <t>https://www.jotform.com/uploads/macarewecare/222927978372067/5438561146592500599/5438561146592500599_signature_31.png</t>
  </si>
  <si>
    <t>merj3101996@yahoo.com</t>
  </si>
  <si>
    <t xml:space="preserve">ASSAY: Xpert MTB/RIF, COUNT: 1000
ASSAY: Xpert MTB/RIF Ultra, COUNT: 693
</t>
  </si>
  <si>
    <t>Unit for PM and for Module Replacement of B1.</t>
  </si>
  <si>
    <t>Performed PM and Module Replacement</t>
  </si>
  <si>
    <t>For reporting of module B4. 3 modules operational.</t>
  </si>
  <si>
    <t>G 4863</t>
  </si>
  <si>
    <t>https://www.jotform.com/uploads/macarewecare/222927978372067/5438541842123816275/5438541842123816275_signature_28.png</t>
  </si>
  <si>
    <t>Merjorie Ann Salazar</t>
  </si>
  <si>
    <t>https://www.jotform.com/uploads/macarewecare/222927978372067/5438541842123816275/5438541842123816275_signature_31.png</t>
  </si>
  <si>
    <t>ITRMC</t>
  </si>
  <si>
    <t>INSTALLATION
Laptop Installation</t>
  </si>
  <si>
    <t xml:space="preserve">ASSAY: Xpert HPV, COUNT: 6
ASSAY: Others, COUNT: 44
ASSAY: Xpert MTB/RIF, COUNT: 621
ASSAY: Xpert MTB/RIF Ultra, COUNT: 385
</t>
  </si>
  <si>
    <t>Laptop for installation</t>
  </si>
  <si>
    <t>Installed laptop (Model: Dell, SN: CPH1221F30262</t>
  </si>
  <si>
    <t>https://www.jotform.com/uploads/macarewecare/222927978372067/5438034152154286593/5438034152154286593_signature_28.png</t>
  </si>
  <si>
    <t>https://www.jotform.com/uploads/macarewecare/222927978372067/5438034152154286593/5438034152154286593_signature_31.png</t>
  </si>
  <si>
    <t>Sta. Cruz MHO</t>
  </si>
  <si>
    <t>gmracuya.pbsp@gmail.com</t>
  </si>
  <si>
    <t xml:space="preserve">ASSAY: Xpert MTB/RIF, COUNT: 369
ASSAY: Xpert MTB/RIF Ultra, COUNT: 173
</t>
  </si>
  <si>
    <t>Module B2(660571) for replacement.</t>
  </si>
  <si>
    <t>- generated pre reports
- replaced module B2 by 675724
- generated new reports
- performed functionality test</t>
  </si>
  <si>
    <t>https://www.jotform.com/uploads/macarewecare/222927978372067/5437915834252762358/5437915834252762358_signature_28.png</t>
  </si>
  <si>
    <t>Gladys Mae Racuya</t>
  </si>
  <si>
    <t>https://www.jotform.com/uploads/macarewecare/222927978372067/5437915834252762358/5437915834252762358_signature_31.png</t>
  </si>
  <si>
    <t xml:space="preserve">ASSAY: Xpert MTB/RIF, COUNT: 10
ASSAY: Xpert MTB/RIF Ultra, COUNT: 229
ASSAY: Xpert SARS-CoV-2, COUNT: 3926
</t>
  </si>
  <si>
    <t>Module B2 and B4 encounter an Error</t>
  </si>
  <si>
    <t>Clean Cartridge Bay, Fan Filter, Plunger Rod
Perform xpertcheck on module B4 only</t>
  </si>
  <si>
    <t>Sars Cov2 Assay Stat: From St. Elizabeth Hospital Inc</t>
  </si>
  <si>
    <t>1pc xpertcheck cartridge</t>
  </si>
  <si>
    <t>https://www.jotform.com/uploads/macarewecare/222927978372067/5437902616441361878/5437902616441361878_signature_28.png</t>
  </si>
  <si>
    <t>Deceben V. David, RMT</t>
  </si>
  <si>
    <t>https://www.jotform.com/uploads/macarewecare/222927978372067/5437902616441361878/5437902616441361878_signature_31.png</t>
  </si>
  <si>
    <t>Tanza Cavite</t>
  </si>
  <si>
    <t>MAINTENANCE
Module replacement</t>
  </si>
  <si>
    <t>Unit for PM and for module replacement of B3</t>
  </si>
  <si>
    <t>Module 1 anf 4 waiting for replacement, already reported. 2 modules operational. Def B3 685749, New B3 799469</t>
  </si>
  <si>
    <t>G 4939</t>
  </si>
  <si>
    <t>Shiedrick C. Daroya</t>
  </si>
  <si>
    <t>https://www.jotform.com/uploads/macarewecare/222927978372067/5437770793488340810/5437770793488340810_signature_28.png</t>
  </si>
  <si>
    <t>Mary Anne C. Gutierrez</t>
  </si>
  <si>
    <t>https://www.jotform.com/uploads/macarewecare/222927978372067/5437770793488340810/5437770793488340810_signature_31.png</t>
  </si>
  <si>
    <t>MMHMC</t>
  </si>
  <si>
    <t>Micro</t>
  </si>
  <si>
    <t xml:space="preserve">ASSAY: Xpert HPV, COUNT: 416
ASSAY: Xpert MTB/RIF, COUNT: 326
ASSAY: Xpert MTB/RIF Ultra, COUNT: 579
ASSAY: Xpert SARS-CoV-2, COUNT: 2815
</t>
  </si>
  <si>
    <t>Checked and cleaned cartidge bay, plunger lod, icore slot, filter
Performed xpertcheck (Module 4 failed XC)
Generated reports
Replaced module 4</t>
  </si>
  <si>
    <t>Module 4 failed xpertcheck</t>
  </si>
  <si>
    <t>Ronnel</t>
  </si>
  <si>
    <t>https://www.jotform.com/uploads/macarewecare/222927978372067/5437730514258073029/5437730514258073029_signature_28.png</t>
  </si>
  <si>
    <t>https://www.jotform.com/uploads/macarewecare/222927978372067/5437730514258073029/5437730514258073029_signature_31.png</t>
  </si>
  <si>
    <t xml:space="preserve">ASSAY: Others, COUNT: 108
ASSAY: Xpert MTB/RIF, COUNT: 126
ASSAY: Xpert MTB/RIF Ultra, COUNT: 135
</t>
  </si>
  <si>
    <t>Will create a follow up report regarding modules</t>
  </si>
  <si>
    <t>Checked and cleaned cartridge bay, plunger rod, icore slot, filter
Generated reports
Performed functionality test</t>
  </si>
  <si>
    <t>Unit is operational. Awaiting for modules.</t>
  </si>
  <si>
    <t>B4 Hardware Failure</t>
  </si>
  <si>
    <t>https://www.jotform.com/uploads/macarewecare/222927978372067/5437682824256321467/5437682824256321467_signature_28.png</t>
  </si>
  <si>
    <t>https://www.jotform.com/uploads/macarewecare/222927978372067/5437682824256321467/5437682824256321467_signature_31.png</t>
  </si>
  <si>
    <t>Lopez RHU</t>
  </si>
  <si>
    <t>Lopez, Quezon</t>
  </si>
  <si>
    <t xml:space="preserve">ASSAY: Xpert MTB/RIF, COUNT: 334
ASSAY: Xpert MTB/RIF Ultra, COUNT: 584
</t>
  </si>
  <si>
    <t>Temp error on module C3</t>
  </si>
  <si>
    <t>Performed XpertCheck on reported module</t>
  </si>
  <si>
    <t>XpertCheck on module C3
Performed maintenance
Generated reports</t>
  </si>
  <si>
    <t>Two modules operational.</t>
  </si>
  <si>
    <t>Module C3 failed in XpertCheck.</t>
  </si>
  <si>
    <t>https://www.jotform.com/uploads/macarewecare/222927978372067/5437657827913333542/5437657827913333542_signature_28.png</t>
  </si>
  <si>
    <t>https://www.jotform.com/uploads/macarewecare/222927978372067/5437657827913333542/5437657827913333542_signature_31.png</t>
  </si>
  <si>
    <t>Calauag</t>
  </si>
  <si>
    <t>kimmanlogon953@gmail.com</t>
  </si>
  <si>
    <t xml:space="preserve">ASSAY: Xpert MTB/RIF, COUNT: 293
ASSAY: Xpert MTB/RIF Ultra, COUNT: 386
</t>
  </si>
  <si>
    <t>Replaced Failed Module</t>
  </si>
  <si>
    <t>DR#9249</t>
  </si>
  <si>
    <t>https://www.jotform.com/uploads/macarewecare/222927978372067/5437614815515459699/5437614815515459699_signature_28.png</t>
  </si>
  <si>
    <t>Kimberly Rose J. grimaldo</t>
  </si>
  <si>
    <t>https://www.jotform.com/uploads/macarewecare/222927978372067/5437614815515459699/5437614815515459699_signature_31.png</t>
  </si>
  <si>
    <t xml:space="preserve">ASSAY: Xpert MTB/RIF, COUNT: 264
ASSAY: Xpert MTB/RIF Ultra, COUNT: 1309
ASSAY: Xpert HIV-1 Viral Load, COUNT: 291
</t>
  </si>
  <si>
    <t>GENEXPERT</t>
  </si>
  <si>
    <t>Module B4 subjected for Module replacement</t>
  </si>
  <si>
    <t>Replace Defective Module with new module allocation</t>
  </si>
  <si>
    <t>Replace defective module with serial no. 692011 with new module serieal no. 804865</t>
  </si>
  <si>
    <t>All Modules are fully operational</t>
  </si>
  <si>
    <t>ROI KENNETH R. FAGUTAO</t>
  </si>
  <si>
    <t>https://www.jotform.com/uploads/macarewecare/222927978372067/5437044303125008442/5437044303125008442_signature_28.png</t>
  </si>
  <si>
    <t>https://www.jotform.com/uploads/macarewecare/222927978372067/5437044303125008442/5437044303125008442_signature_31.png</t>
  </si>
  <si>
    <t>MAINTENANCE
Pull out Defective laptop</t>
  </si>
  <si>
    <t>trinity_carisse136@gmail.com</t>
  </si>
  <si>
    <t xml:space="preserve">ASSAY: Xpert MTB/RIF, COUNT: 17
</t>
  </si>
  <si>
    <t>For laptop replacement</t>
  </si>
  <si>
    <t>Replaced laptop</t>
  </si>
  <si>
    <t>Performed maintenance
Generated reports
Pull out Defective laptop
Checked modules B1,B3,B4</t>
  </si>
  <si>
    <t>Unit is operational. Module B1 and B3 H/W failed. Module B4 under observation</t>
  </si>
  <si>
    <t>https://www.jotform.com/uploads/macarewecare/222927978372067/5436912069906939669/5436912069906939669_signature_28.png</t>
  </si>
  <si>
    <t>https://www.jotform.com/uploads/macarewecare/222927978372067/5436912069906939669/5436912069906939669_signature_31.png</t>
  </si>
  <si>
    <t>BJMP Infirmary 4a</t>
  </si>
  <si>
    <t>Turbina, Calamba Laguna</t>
  </si>
  <si>
    <t>jhonzelborja@gmail.com</t>
  </si>
  <si>
    <t xml:space="preserve">ASSAY: Xpert MTB/RIF, COUNT: 98
ASSAY: Xpert MTB/RIF Ultra, COUNT: 965
</t>
  </si>
  <si>
    <t>For module replacement of Module 3</t>
  </si>
  <si>
    <t>Performed Module Replacement and PM</t>
  </si>
  <si>
    <t>Module 1 and 4 pending for replacement.</t>
  </si>
  <si>
    <t>G 4924</t>
  </si>
  <si>
    <t>https://www.jotform.com/uploads/macarewecare/222927978372067/5436850908202640889/5436850908202640889_signature_28.png</t>
  </si>
  <si>
    <t>Justine Jhonzel Borja</t>
  </si>
  <si>
    <t>https://www.jotform.com/uploads/macarewecare/222927978372067/5436850908202640889/5436850908202640889_signature_31.png</t>
  </si>
  <si>
    <t xml:space="preserve">ASSAY: Xpert MTB/RIF Ultra, COUNT: 308
ASSAY: Xpert MTB/RIF, COUNT: 100
</t>
  </si>
  <si>
    <t>Module 6-C</t>
  </si>
  <si>
    <t>DR 9245</t>
  </si>
  <si>
    <t>https://www.jotform.com/uploads/macarewecare/222927978372067/5436846202351078547/5436846202351078547_signature_28.png</t>
  </si>
  <si>
    <t>https://www.jotform.com/uploads/macarewecare/222927978372067/5436846202351078547/5436846202351078547_signature_31.png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</si>
</sst>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5" fontId="0" fillId="0" borderId="0" xfId="0" applyNumberFormat="1"/>
    <xf numFmtId="0" fontId="0" fillId="0" borderId="0" xfId="0" applyAlignment="1">
      <alignment wrapText="1"/>
    </xf>
    <xf numFmtId="3"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BB68-B03C-4A0B-B934-4DC32591214F}">
  <dimension ref="A1:AI10081"/>
  <sheetViews>
    <sheetView tabSelected="1" workbookViewId="0"/>
  </sheetViews>
  <sheetFormatPr defaultRowHeight="1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315">
      <c r="B2" s="1">
        <v>46129</v>
      </c>
      <c r="C2" s="1">
        <v>46129</v>
      </c>
      <c r="D2" t="s">
        <v>35</v>
      </c>
      <c r="E2" t="s">
        <v>36</v>
      </c>
      <c r="F2" t="s">
        <v>37</v>
      </c>
      <c r="G2" t="s">
        <v>38</v>
      </c>
      <c r="H2" t="s">
        <v>39</v>
      </c>
      <c r="I2" t="s">
        <v>40</v>
      </c>
      <c r="J2" s="2" t="s">
        <v>41</v>
      </c>
      <c r="K2" t="s">
        <v>42</v>
      </c>
      <c r="L2" t="s">
        <v>43</v>
      </c>
      <c r="M2">
        <v>9067346538</v>
      </c>
      <c r="N2" t="s">
        <v>44</v>
      </c>
      <c r="Q2">
        <v>32546</v>
      </c>
      <c r="R2" t="s">
        <v>45</v>
      </c>
      <c r="S2" t="s">
        <v>46</v>
      </c>
      <c r="T2">
        <v>24</v>
      </c>
      <c r="U2" s="2" t="s">
        <v>47</v>
      </c>
      <c r="V2" s="1">
        <v>46129</v>
      </c>
      <c r="W2" t="s">
        <v>48</v>
      </c>
      <c r="X2">
        <v>807593</v>
      </c>
      <c r="Y2" t="s">
        <v>49</v>
      </c>
      <c r="Z2" t="s">
        <v>50</v>
      </c>
      <c r="AA2" s="2" t="s">
        <v>51</v>
      </c>
      <c r="AB2" t="s">
        <v>52</v>
      </c>
      <c r="AD2" s="2" t="s">
        <v>53</v>
      </c>
      <c r="AE2" t="s">
        <v>54</v>
      </c>
      <c r="AG2" t="s">
        <v>55</v>
      </c>
      <c r="AH2" t="s">
        <v>56</v>
      </c>
      <c r="AI2" t="s">
        <v>57</v>
      </c>
    </row>
    <row r="3" spans="1:35" ht="165">
      <c r="B3" s="1">
        <v>46129</v>
      </c>
      <c r="C3" s="1">
        <v>46129</v>
      </c>
      <c r="D3" t="s">
        <v>58</v>
      </c>
      <c r="E3" t="s">
        <v>59</v>
      </c>
      <c r="F3">
        <v>2</v>
      </c>
      <c r="G3" t="s">
        <v>60</v>
      </c>
      <c r="H3" t="s">
        <v>61</v>
      </c>
      <c r="I3" t="s">
        <v>40</v>
      </c>
      <c r="J3" s="2" t="s">
        <v>62</v>
      </c>
      <c r="K3" t="s">
        <v>42</v>
      </c>
      <c r="L3" t="s">
        <v>63</v>
      </c>
      <c r="M3">
        <v>9062144116</v>
      </c>
      <c r="N3" t="s">
        <v>64</v>
      </c>
      <c r="O3" t="s">
        <v>65</v>
      </c>
      <c r="Q3">
        <v>32545</v>
      </c>
      <c r="R3" t="s">
        <v>45</v>
      </c>
      <c r="S3" t="s">
        <v>65</v>
      </c>
      <c r="T3">
        <v>25</v>
      </c>
      <c r="V3" s="1">
        <v>46126</v>
      </c>
      <c r="W3" t="s">
        <v>66</v>
      </c>
      <c r="X3">
        <v>834621</v>
      </c>
      <c r="Y3" t="s">
        <v>67</v>
      </c>
      <c r="Z3" s="2" t="s">
        <v>68</v>
      </c>
      <c r="AA3" s="2" t="s">
        <v>69</v>
      </c>
      <c r="AB3" t="s">
        <v>70</v>
      </c>
      <c r="AC3" t="s">
        <v>71</v>
      </c>
      <c r="AD3" t="s">
        <v>72</v>
      </c>
      <c r="AE3">
        <v>13880</v>
      </c>
      <c r="AG3" t="s">
        <v>73</v>
      </c>
      <c r="AH3" t="s">
        <v>74</v>
      </c>
      <c r="AI3" t="s">
        <v>75</v>
      </c>
    </row>
    <row r="4" spans="1:35" ht="210">
      <c r="B4" s="1">
        <v>46129</v>
      </c>
      <c r="C4" s="1">
        <v>46129</v>
      </c>
      <c r="D4" t="s">
        <v>76</v>
      </c>
      <c r="E4" t="s">
        <v>77</v>
      </c>
      <c r="F4" t="s">
        <v>37</v>
      </c>
      <c r="G4" t="s">
        <v>78</v>
      </c>
      <c r="H4" t="s">
        <v>39</v>
      </c>
      <c r="I4" t="s">
        <v>40</v>
      </c>
      <c r="J4" t="s">
        <v>79</v>
      </c>
      <c r="K4" t="s">
        <v>42</v>
      </c>
      <c r="L4" t="s">
        <v>80</v>
      </c>
      <c r="M4">
        <v>9362871122</v>
      </c>
      <c r="N4" t="s">
        <v>81</v>
      </c>
      <c r="Q4">
        <v>32544</v>
      </c>
      <c r="R4" t="s">
        <v>45</v>
      </c>
      <c r="S4" t="s">
        <v>82</v>
      </c>
      <c r="T4">
        <v>25</v>
      </c>
      <c r="U4" s="2" t="s">
        <v>83</v>
      </c>
      <c r="V4" s="1">
        <v>46129</v>
      </c>
      <c r="W4" t="s">
        <v>84</v>
      </c>
      <c r="X4">
        <v>821278</v>
      </c>
      <c r="Y4" t="s">
        <v>85</v>
      </c>
      <c r="Z4" t="s">
        <v>86</v>
      </c>
      <c r="AA4" s="2" t="s">
        <v>87</v>
      </c>
      <c r="AB4" t="s">
        <v>88</v>
      </c>
      <c r="AG4" t="s">
        <v>89</v>
      </c>
      <c r="AH4" t="s">
        <v>90</v>
      </c>
      <c r="AI4" t="s">
        <v>91</v>
      </c>
    </row>
    <row r="5" spans="1:35" ht="409.5">
      <c r="B5" s="1">
        <v>46129</v>
      </c>
      <c r="C5" s="1">
        <v>46129</v>
      </c>
      <c r="D5" t="s">
        <v>92</v>
      </c>
      <c r="E5" t="s">
        <v>93</v>
      </c>
      <c r="F5" t="s">
        <v>37</v>
      </c>
      <c r="G5" t="s">
        <v>78</v>
      </c>
      <c r="H5" t="s">
        <v>61</v>
      </c>
      <c r="I5" t="s">
        <v>94</v>
      </c>
      <c r="J5" s="2" t="s">
        <v>62</v>
      </c>
      <c r="K5" t="s">
        <v>42</v>
      </c>
      <c r="L5" t="s">
        <v>80</v>
      </c>
      <c r="M5">
        <v>9174795232</v>
      </c>
      <c r="N5" t="s">
        <v>81</v>
      </c>
      <c r="Q5">
        <v>32543</v>
      </c>
      <c r="R5" t="s">
        <v>95</v>
      </c>
      <c r="S5" t="s">
        <v>96</v>
      </c>
      <c r="T5">
        <v>25</v>
      </c>
      <c r="U5" s="2" t="s">
        <v>97</v>
      </c>
      <c r="V5" s="1">
        <v>46129</v>
      </c>
      <c r="W5" t="s">
        <v>84</v>
      </c>
      <c r="X5">
        <v>839233</v>
      </c>
      <c r="Y5" t="s">
        <v>98</v>
      </c>
      <c r="Z5" t="s">
        <v>99</v>
      </c>
      <c r="AA5" s="2" t="s">
        <v>100</v>
      </c>
      <c r="AB5" s="2" t="s">
        <v>101</v>
      </c>
      <c r="AD5" t="s">
        <v>102</v>
      </c>
      <c r="AE5" t="s">
        <v>103</v>
      </c>
      <c r="AG5" t="s">
        <v>104</v>
      </c>
      <c r="AH5" t="s">
        <v>105</v>
      </c>
      <c r="AI5" t="s">
        <v>106</v>
      </c>
    </row>
    <row r="6" spans="1:35" ht="315">
      <c r="B6" s="1">
        <v>46129</v>
      </c>
      <c r="C6" s="1">
        <v>46129</v>
      </c>
      <c r="D6" t="s">
        <v>107</v>
      </c>
      <c r="E6" t="s">
        <v>108</v>
      </c>
      <c r="F6" t="s">
        <v>37</v>
      </c>
      <c r="G6" t="s">
        <v>38</v>
      </c>
      <c r="H6" t="s">
        <v>39</v>
      </c>
      <c r="I6" t="s">
        <v>40</v>
      </c>
      <c r="J6" t="s">
        <v>109</v>
      </c>
      <c r="K6" t="s">
        <v>42</v>
      </c>
      <c r="L6" t="s">
        <v>43</v>
      </c>
      <c r="M6" t="s">
        <v>110</v>
      </c>
      <c r="N6" t="s">
        <v>44</v>
      </c>
      <c r="Q6">
        <v>32542</v>
      </c>
      <c r="R6" t="s">
        <v>45</v>
      </c>
      <c r="S6" t="s">
        <v>111</v>
      </c>
      <c r="T6">
        <v>24</v>
      </c>
      <c r="U6" s="2" t="s">
        <v>112</v>
      </c>
      <c r="W6" t="s">
        <v>48</v>
      </c>
      <c r="X6">
        <v>838182</v>
      </c>
      <c r="Y6" t="s">
        <v>113</v>
      </c>
      <c r="Z6" t="s">
        <v>114</v>
      </c>
      <c r="AA6" s="2" t="s">
        <v>115</v>
      </c>
      <c r="AB6" t="s">
        <v>88</v>
      </c>
      <c r="AG6" t="s">
        <v>116</v>
      </c>
      <c r="AH6" t="s">
        <v>117</v>
      </c>
      <c r="AI6" t="s">
        <v>118</v>
      </c>
    </row>
    <row r="7" spans="1:35" ht="315">
      <c r="B7" s="1">
        <v>46129</v>
      </c>
      <c r="C7" s="1">
        <v>46129</v>
      </c>
      <c r="D7" t="s">
        <v>107</v>
      </c>
      <c r="E7" t="s">
        <v>108</v>
      </c>
      <c r="F7" t="s">
        <v>37</v>
      </c>
      <c r="G7" t="s">
        <v>38</v>
      </c>
      <c r="H7" t="s">
        <v>39</v>
      </c>
      <c r="I7" t="s">
        <v>40</v>
      </c>
      <c r="J7" t="s">
        <v>109</v>
      </c>
      <c r="K7" t="s">
        <v>42</v>
      </c>
      <c r="L7" t="s">
        <v>43</v>
      </c>
      <c r="M7" t="s">
        <v>110</v>
      </c>
      <c r="N7" t="s">
        <v>44</v>
      </c>
      <c r="Q7">
        <v>32541</v>
      </c>
      <c r="R7" t="s">
        <v>119</v>
      </c>
      <c r="S7" t="s">
        <v>111</v>
      </c>
      <c r="T7">
        <v>24</v>
      </c>
      <c r="U7" s="2" t="s">
        <v>120</v>
      </c>
      <c r="W7" t="s">
        <v>48</v>
      </c>
      <c r="X7">
        <v>831624</v>
      </c>
      <c r="Y7" t="s">
        <v>121</v>
      </c>
      <c r="Z7" t="s">
        <v>122</v>
      </c>
      <c r="AA7" s="2" t="s">
        <v>123</v>
      </c>
      <c r="AB7" s="2" t="s">
        <v>124</v>
      </c>
      <c r="AG7" t="s">
        <v>125</v>
      </c>
      <c r="AH7" t="s">
        <v>117</v>
      </c>
      <c r="AI7" t="s">
        <v>126</v>
      </c>
    </row>
    <row r="8" spans="1:35" ht="225">
      <c r="B8" s="1">
        <v>46129</v>
      </c>
      <c r="C8" s="1">
        <v>46129</v>
      </c>
      <c r="D8" t="s">
        <v>107</v>
      </c>
      <c r="E8" t="s">
        <v>108</v>
      </c>
      <c r="F8" t="s">
        <v>37</v>
      </c>
      <c r="G8" t="s">
        <v>38</v>
      </c>
      <c r="H8" t="s">
        <v>39</v>
      </c>
      <c r="I8" t="s">
        <v>40</v>
      </c>
      <c r="J8" t="s">
        <v>109</v>
      </c>
      <c r="K8" t="s">
        <v>42</v>
      </c>
      <c r="L8" t="s">
        <v>43</v>
      </c>
      <c r="M8" t="s">
        <v>110</v>
      </c>
      <c r="N8" t="s">
        <v>44</v>
      </c>
      <c r="Q8">
        <v>32540</v>
      </c>
      <c r="R8" t="s">
        <v>45</v>
      </c>
      <c r="S8" t="s">
        <v>111</v>
      </c>
      <c r="T8">
        <v>24</v>
      </c>
      <c r="U8" s="2" t="s">
        <v>127</v>
      </c>
      <c r="W8" t="s">
        <v>48</v>
      </c>
      <c r="X8">
        <v>804687</v>
      </c>
      <c r="Y8" t="s">
        <v>128</v>
      </c>
      <c r="Z8" t="s">
        <v>122</v>
      </c>
      <c r="AA8" s="2" t="s">
        <v>123</v>
      </c>
      <c r="AB8" t="s">
        <v>129</v>
      </c>
      <c r="AG8" t="s">
        <v>130</v>
      </c>
      <c r="AH8" t="s">
        <v>117</v>
      </c>
      <c r="AI8" t="s">
        <v>131</v>
      </c>
    </row>
    <row r="9" spans="1:35" ht="225">
      <c r="B9" s="1">
        <v>46129</v>
      </c>
      <c r="C9" s="1">
        <v>46129</v>
      </c>
      <c r="D9" t="s">
        <v>132</v>
      </c>
      <c r="E9" t="s">
        <v>133</v>
      </c>
      <c r="F9">
        <v>3</v>
      </c>
      <c r="G9" t="s">
        <v>134</v>
      </c>
      <c r="H9" t="s">
        <v>39</v>
      </c>
      <c r="I9" t="s">
        <v>40</v>
      </c>
      <c r="J9" s="2" t="s">
        <v>41</v>
      </c>
      <c r="K9" t="s">
        <v>42</v>
      </c>
      <c r="L9" t="s">
        <v>135</v>
      </c>
      <c r="M9">
        <v>9452482577</v>
      </c>
      <c r="N9" t="s">
        <v>136</v>
      </c>
      <c r="Q9">
        <v>32539</v>
      </c>
      <c r="R9" t="s">
        <v>119</v>
      </c>
      <c r="S9" t="s">
        <v>137</v>
      </c>
      <c r="T9">
        <v>25</v>
      </c>
      <c r="W9" t="s">
        <v>138</v>
      </c>
      <c r="X9">
        <v>831900</v>
      </c>
      <c r="Y9" t="s">
        <v>139</v>
      </c>
      <c r="Z9" s="2" t="s">
        <v>140</v>
      </c>
      <c r="AA9" s="2" t="s">
        <v>141</v>
      </c>
      <c r="AB9" s="2" t="s">
        <v>142</v>
      </c>
      <c r="AG9" t="s">
        <v>143</v>
      </c>
      <c r="AH9" t="s">
        <v>144</v>
      </c>
      <c r="AI9" t="s">
        <v>145</v>
      </c>
    </row>
    <row r="10" spans="1:35" ht="225">
      <c r="B10" s="1">
        <v>46129</v>
      </c>
      <c r="C10" s="1">
        <v>46126</v>
      </c>
      <c r="D10" t="s">
        <v>146</v>
      </c>
      <c r="E10" t="s">
        <v>147</v>
      </c>
      <c r="F10" t="s">
        <v>148</v>
      </c>
      <c r="G10" t="s">
        <v>149</v>
      </c>
      <c r="H10" t="s">
        <v>150</v>
      </c>
      <c r="I10" t="s">
        <v>40</v>
      </c>
      <c r="J10" t="s">
        <v>109</v>
      </c>
      <c r="K10" t="s">
        <v>42</v>
      </c>
      <c r="L10" t="s">
        <v>43</v>
      </c>
      <c r="M10">
        <v>639566106402</v>
      </c>
      <c r="N10" t="s">
        <v>44</v>
      </c>
      <c r="Q10">
        <v>32538</v>
      </c>
      <c r="R10" t="s">
        <v>95</v>
      </c>
      <c r="S10" t="s">
        <v>151</v>
      </c>
      <c r="T10">
        <v>22</v>
      </c>
      <c r="U10" s="2" t="s">
        <v>152</v>
      </c>
      <c r="W10" t="s">
        <v>153</v>
      </c>
      <c r="X10">
        <v>110003714</v>
      </c>
      <c r="Y10" t="s">
        <v>121</v>
      </c>
      <c r="Z10" t="s">
        <v>122</v>
      </c>
      <c r="AA10" s="2" t="s">
        <v>123</v>
      </c>
      <c r="AB10" t="s">
        <v>154</v>
      </c>
      <c r="AC10" t="s">
        <v>155</v>
      </c>
      <c r="AG10" t="s">
        <v>156</v>
      </c>
      <c r="AH10" t="s">
        <v>157</v>
      </c>
      <c r="AI10" t="s">
        <v>158</v>
      </c>
    </row>
    <row r="11" spans="1:35" ht="270">
      <c r="B11" s="1">
        <v>46128</v>
      </c>
      <c r="C11" s="1">
        <v>46128</v>
      </c>
      <c r="D11" t="s">
        <v>159</v>
      </c>
      <c r="E11" t="s">
        <v>160</v>
      </c>
      <c r="F11" t="s">
        <v>37</v>
      </c>
      <c r="G11" t="s">
        <v>78</v>
      </c>
      <c r="H11" t="s">
        <v>39</v>
      </c>
      <c r="I11" t="s">
        <v>94</v>
      </c>
      <c r="J11" s="2" t="s">
        <v>62</v>
      </c>
      <c r="K11" t="s">
        <v>42</v>
      </c>
      <c r="L11" t="s">
        <v>80</v>
      </c>
      <c r="M11">
        <v>9096195573</v>
      </c>
      <c r="N11" t="s">
        <v>81</v>
      </c>
      <c r="Q11">
        <v>32537</v>
      </c>
      <c r="R11" t="s">
        <v>95</v>
      </c>
      <c r="S11" t="s">
        <v>161</v>
      </c>
      <c r="T11">
        <v>25</v>
      </c>
      <c r="U11" s="2" t="s">
        <v>162</v>
      </c>
      <c r="V11" s="1">
        <v>46128</v>
      </c>
      <c r="W11" t="s">
        <v>163</v>
      </c>
      <c r="X11">
        <v>812916</v>
      </c>
      <c r="Y11" t="s">
        <v>164</v>
      </c>
      <c r="Z11" s="2" t="s">
        <v>165</v>
      </c>
      <c r="AA11" t="s">
        <v>166</v>
      </c>
      <c r="AB11" t="s">
        <v>167</v>
      </c>
      <c r="AD11" t="s">
        <v>168</v>
      </c>
      <c r="AE11" t="s">
        <v>103</v>
      </c>
      <c r="AG11" t="s">
        <v>169</v>
      </c>
      <c r="AH11" t="s">
        <v>170</v>
      </c>
      <c r="AI11" t="s">
        <v>171</v>
      </c>
    </row>
    <row r="12" spans="1:35" ht="180">
      <c r="B12" s="1">
        <v>46128</v>
      </c>
      <c r="C12" s="1">
        <v>46128</v>
      </c>
      <c r="D12" t="s">
        <v>172</v>
      </c>
      <c r="E12" t="s">
        <v>173</v>
      </c>
      <c r="F12">
        <v>3</v>
      </c>
      <c r="G12" t="s">
        <v>174</v>
      </c>
      <c r="H12" t="s">
        <v>39</v>
      </c>
      <c r="I12" t="s">
        <v>40</v>
      </c>
      <c r="J12" t="s">
        <v>79</v>
      </c>
      <c r="K12" t="s">
        <v>42</v>
      </c>
      <c r="L12" t="s">
        <v>175</v>
      </c>
      <c r="M12">
        <v>9778118287</v>
      </c>
      <c r="N12" t="s">
        <v>176</v>
      </c>
      <c r="Q12">
        <v>32536</v>
      </c>
      <c r="R12" t="s">
        <v>119</v>
      </c>
      <c r="S12" t="s">
        <v>177</v>
      </c>
      <c r="T12">
        <v>27</v>
      </c>
      <c r="V12" s="1">
        <v>46125</v>
      </c>
      <c r="W12" t="s">
        <v>84</v>
      </c>
      <c r="X12">
        <v>831692</v>
      </c>
      <c r="Y12" t="s">
        <v>178</v>
      </c>
      <c r="Z12" t="s">
        <v>179</v>
      </c>
      <c r="AA12" s="2" t="s">
        <v>180</v>
      </c>
      <c r="AB12" t="s">
        <v>181</v>
      </c>
      <c r="AD12" t="s">
        <v>182</v>
      </c>
      <c r="AE12" t="s">
        <v>183</v>
      </c>
      <c r="AG12" t="s">
        <v>184</v>
      </c>
      <c r="AH12" t="s">
        <v>185</v>
      </c>
      <c r="AI12" t="s">
        <v>186</v>
      </c>
    </row>
    <row r="13" spans="1:35" ht="225">
      <c r="B13" s="1">
        <v>46128</v>
      </c>
      <c r="C13" s="1">
        <v>46128</v>
      </c>
      <c r="D13" t="s">
        <v>187</v>
      </c>
      <c r="E13" t="s">
        <v>188</v>
      </c>
      <c r="F13" t="s">
        <v>37</v>
      </c>
      <c r="G13" t="s">
        <v>189</v>
      </c>
      <c r="H13" t="s">
        <v>39</v>
      </c>
      <c r="I13" t="s">
        <v>40</v>
      </c>
      <c r="J13" s="2" t="s">
        <v>190</v>
      </c>
      <c r="K13" t="s">
        <v>42</v>
      </c>
      <c r="L13" t="s">
        <v>80</v>
      </c>
      <c r="M13">
        <v>9084819818</v>
      </c>
      <c r="N13" t="s">
        <v>81</v>
      </c>
      <c r="Q13">
        <v>32535</v>
      </c>
      <c r="R13" t="s">
        <v>45</v>
      </c>
      <c r="S13" t="s">
        <v>191</v>
      </c>
      <c r="T13">
        <v>25</v>
      </c>
      <c r="V13" s="1">
        <v>46128</v>
      </c>
      <c r="W13" t="s">
        <v>84</v>
      </c>
      <c r="X13">
        <v>821317</v>
      </c>
      <c r="Y13" t="s">
        <v>192</v>
      </c>
      <c r="Z13" s="2" t="s">
        <v>193</v>
      </c>
      <c r="AA13" s="2" t="s">
        <v>194</v>
      </c>
      <c r="AB13" s="2" t="s">
        <v>195</v>
      </c>
      <c r="AC13" t="s">
        <v>103</v>
      </c>
      <c r="AD13" t="s">
        <v>103</v>
      </c>
      <c r="AE13" t="s">
        <v>103</v>
      </c>
      <c r="AG13" t="s">
        <v>196</v>
      </c>
      <c r="AH13" t="s">
        <v>197</v>
      </c>
      <c r="AI13" t="s">
        <v>198</v>
      </c>
    </row>
    <row r="14" spans="1:35" ht="409.5">
      <c r="B14" s="1">
        <v>46128</v>
      </c>
      <c r="C14" s="1">
        <v>46128</v>
      </c>
      <c r="D14" t="s">
        <v>199</v>
      </c>
      <c r="E14" t="s">
        <v>200</v>
      </c>
      <c r="F14">
        <v>11</v>
      </c>
      <c r="G14" t="s">
        <v>201</v>
      </c>
      <c r="H14" t="s">
        <v>202</v>
      </c>
      <c r="I14" t="s">
        <v>40</v>
      </c>
      <c r="J14" s="2" t="s">
        <v>203</v>
      </c>
      <c r="K14" t="s">
        <v>42</v>
      </c>
      <c r="L14" t="s">
        <v>204</v>
      </c>
      <c r="M14">
        <v>9381973374</v>
      </c>
      <c r="N14" t="s">
        <v>205</v>
      </c>
      <c r="Q14">
        <v>32534</v>
      </c>
      <c r="R14" t="s">
        <v>45</v>
      </c>
      <c r="S14" t="s">
        <v>206</v>
      </c>
      <c r="T14">
        <v>29.5</v>
      </c>
      <c r="U14" s="2" t="s">
        <v>207</v>
      </c>
      <c r="W14" t="s">
        <v>208</v>
      </c>
      <c r="X14">
        <v>815496</v>
      </c>
      <c r="Y14" s="2" t="s">
        <v>209</v>
      </c>
      <c r="Z14" s="2" t="s">
        <v>210</v>
      </c>
      <c r="AA14" s="2" t="s">
        <v>211</v>
      </c>
      <c r="AB14" s="2" t="s">
        <v>212</v>
      </c>
      <c r="AC14" t="s">
        <v>213</v>
      </c>
      <c r="AG14" t="s">
        <v>214</v>
      </c>
      <c r="AH14" t="s">
        <v>215</v>
      </c>
      <c r="AI14" t="s">
        <v>216</v>
      </c>
    </row>
    <row r="15" spans="1:35" ht="255">
      <c r="B15" s="1">
        <v>46128</v>
      </c>
      <c r="C15" s="1">
        <v>46128</v>
      </c>
      <c r="D15" t="s">
        <v>217</v>
      </c>
      <c r="E15" t="s">
        <v>218</v>
      </c>
      <c r="F15">
        <v>3</v>
      </c>
      <c r="G15" t="s">
        <v>219</v>
      </c>
      <c r="H15" t="s">
        <v>39</v>
      </c>
      <c r="I15" t="s">
        <v>40</v>
      </c>
      <c r="J15" s="2" t="s">
        <v>220</v>
      </c>
      <c r="K15" t="s">
        <v>42</v>
      </c>
      <c r="L15" t="s">
        <v>135</v>
      </c>
      <c r="M15">
        <v>639177196172</v>
      </c>
      <c r="N15" t="s">
        <v>136</v>
      </c>
      <c r="Q15">
        <v>32533</v>
      </c>
      <c r="R15" t="s">
        <v>45</v>
      </c>
      <c r="S15" t="s">
        <v>221</v>
      </c>
      <c r="T15">
        <v>25</v>
      </c>
      <c r="W15" t="s">
        <v>138</v>
      </c>
      <c r="X15">
        <v>804700</v>
      </c>
      <c r="Y15" t="s">
        <v>222</v>
      </c>
      <c r="Z15" s="2" t="s">
        <v>140</v>
      </c>
      <c r="AA15" s="2" t="s">
        <v>223</v>
      </c>
      <c r="AB15" s="2" t="s">
        <v>224</v>
      </c>
      <c r="AG15" t="s">
        <v>225</v>
      </c>
      <c r="AH15" t="s">
        <v>226</v>
      </c>
      <c r="AI15" t="s">
        <v>227</v>
      </c>
    </row>
    <row r="16" spans="1:35" ht="255">
      <c r="B16" s="1">
        <v>46128</v>
      </c>
      <c r="C16" s="1">
        <v>46128</v>
      </c>
      <c r="D16" t="s">
        <v>228</v>
      </c>
      <c r="E16" t="s">
        <v>229</v>
      </c>
      <c r="F16" t="s">
        <v>148</v>
      </c>
      <c r="G16" t="s">
        <v>230</v>
      </c>
      <c r="H16" t="s">
        <v>39</v>
      </c>
      <c r="I16" t="s">
        <v>40</v>
      </c>
      <c r="J16" s="2" t="s">
        <v>41</v>
      </c>
      <c r="K16" t="s">
        <v>42</v>
      </c>
      <c r="L16" t="s">
        <v>175</v>
      </c>
      <c r="M16">
        <v>9205020505</v>
      </c>
      <c r="N16" t="s">
        <v>176</v>
      </c>
      <c r="Q16">
        <v>32532</v>
      </c>
      <c r="R16" t="s">
        <v>45</v>
      </c>
      <c r="S16" t="s">
        <v>231</v>
      </c>
      <c r="T16">
        <v>26</v>
      </c>
      <c r="V16" s="1">
        <v>46125</v>
      </c>
      <c r="W16" t="s">
        <v>84</v>
      </c>
      <c r="X16">
        <v>805062</v>
      </c>
      <c r="Y16" t="s">
        <v>232</v>
      </c>
      <c r="Z16" t="s">
        <v>233</v>
      </c>
      <c r="AA16" s="2" t="s">
        <v>234</v>
      </c>
      <c r="AB16" t="s">
        <v>181</v>
      </c>
      <c r="AD16" t="s">
        <v>182</v>
      </c>
      <c r="AE16" t="s">
        <v>235</v>
      </c>
      <c r="AG16" t="s">
        <v>236</v>
      </c>
      <c r="AH16" t="s">
        <v>237</v>
      </c>
      <c r="AI16" t="s">
        <v>238</v>
      </c>
    </row>
    <row r="17" spans="2:35" ht="300">
      <c r="B17" s="1">
        <v>46128</v>
      </c>
      <c r="C17" s="1">
        <v>46128</v>
      </c>
      <c r="D17" t="s">
        <v>228</v>
      </c>
      <c r="E17" t="s">
        <v>229</v>
      </c>
      <c r="F17" t="s">
        <v>148</v>
      </c>
      <c r="G17" t="s">
        <v>230</v>
      </c>
      <c r="H17" t="s">
        <v>39</v>
      </c>
      <c r="I17" t="s">
        <v>40</v>
      </c>
      <c r="J17" s="2" t="s">
        <v>41</v>
      </c>
      <c r="K17" t="s">
        <v>42</v>
      </c>
      <c r="L17" t="s">
        <v>175</v>
      </c>
      <c r="M17">
        <v>9205020505</v>
      </c>
      <c r="N17" t="s">
        <v>176</v>
      </c>
      <c r="Q17">
        <v>32531</v>
      </c>
      <c r="R17" t="s">
        <v>45</v>
      </c>
      <c r="S17" t="s">
        <v>231</v>
      </c>
      <c r="T17">
        <v>27</v>
      </c>
      <c r="W17" t="s">
        <v>84</v>
      </c>
      <c r="X17">
        <v>831596</v>
      </c>
      <c r="Y17" t="s">
        <v>239</v>
      </c>
      <c r="Z17" t="s">
        <v>240</v>
      </c>
      <c r="AA17" s="2" t="s">
        <v>241</v>
      </c>
      <c r="AB17" t="s">
        <v>181</v>
      </c>
      <c r="AG17" t="s">
        <v>242</v>
      </c>
      <c r="AH17" t="s">
        <v>237</v>
      </c>
      <c r="AI17" t="s">
        <v>243</v>
      </c>
    </row>
    <row r="18" spans="2:35" ht="300">
      <c r="B18" s="1">
        <v>46128</v>
      </c>
      <c r="C18" s="1">
        <v>46128</v>
      </c>
      <c r="D18" t="s">
        <v>244</v>
      </c>
      <c r="E18" t="s">
        <v>245</v>
      </c>
      <c r="F18" t="s">
        <v>37</v>
      </c>
      <c r="G18" t="s">
        <v>189</v>
      </c>
      <c r="H18" t="s">
        <v>39</v>
      </c>
      <c r="I18" t="s">
        <v>94</v>
      </c>
      <c r="J18" s="2" t="s">
        <v>62</v>
      </c>
      <c r="K18" t="s">
        <v>42</v>
      </c>
      <c r="L18" t="s">
        <v>80</v>
      </c>
      <c r="M18">
        <v>9493994407</v>
      </c>
      <c r="N18" t="s">
        <v>81</v>
      </c>
      <c r="Q18">
        <v>32530</v>
      </c>
      <c r="R18" t="s">
        <v>45</v>
      </c>
      <c r="S18" t="s">
        <v>246</v>
      </c>
      <c r="T18">
        <v>25</v>
      </c>
      <c r="U18" s="2" t="s">
        <v>247</v>
      </c>
      <c r="V18" s="1">
        <v>46128</v>
      </c>
      <c r="W18" t="s">
        <v>84</v>
      </c>
      <c r="X18">
        <v>838890</v>
      </c>
      <c r="Y18" t="s">
        <v>248</v>
      </c>
      <c r="Z18" t="s">
        <v>99</v>
      </c>
      <c r="AA18" s="2" t="s">
        <v>249</v>
      </c>
      <c r="AB18" s="2" t="s">
        <v>250</v>
      </c>
      <c r="AD18" t="s">
        <v>251</v>
      </c>
      <c r="AE18" t="s">
        <v>103</v>
      </c>
      <c r="AG18" t="s">
        <v>252</v>
      </c>
      <c r="AH18" t="s">
        <v>253</v>
      </c>
      <c r="AI18" t="s">
        <v>254</v>
      </c>
    </row>
    <row r="19" spans="2:35">
      <c r="B19" s="1">
        <v>46128</v>
      </c>
      <c r="C19" s="1">
        <v>46128</v>
      </c>
      <c r="D19" t="s">
        <v>255</v>
      </c>
      <c r="E19" t="s">
        <v>256</v>
      </c>
      <c r="F19">
        <v>8</v>
      </c>
      <c r="G19" t="s">
        <v>257</v>
      </c>
      <c r="H19" t="s">
        <v>258</v>
      </c>
      <c r="I19" t="s">
        <v>40</v>
      </c>
      <c r="J19" t="s">
        <v>109</v>
      </c>
      <c r="K19" t="s">
        <v>42</v>
      </c>
      <c r="L19" t="s">
        <v>259</v>
      </c>
      <c r="M19">
        <v>9175128474</v>
      </c>
      <c r="N19" t="s">
        <v>260</v>
      </c>
      <c r="Q19">
        <v>32529</v>
      </c>
      <c r="R19" t="s">
        <v>45</v>
      </c>
      <c r="S19" t="s">
        <v>261</v>
      </c>
      <c r="T19">
        <v>27</v>
      </c>
      <c r="W19" t="s">
        <v>262</v>
      </c>
      <c r="X19">
        <v>834824</v>
      </c>
      <c r="Y19" t="s">
        <v>263</v>
      </c>
      <c r="Z19" t="s">
        <v>263</v>
      </c>
      <c r="AA19" t="e">
        <f ca="1">- Data Collection
- Preventive Maintenance</f>
        <v>#NAME?</v>
      </c>
      <c r="AB19" t="s">
        <v>181</v>
      </c>
      <c r="AG19" t="s">
        <v>264</v>
      </c>
      <c r="AH19" t="s">
        <v>265</v>
      </c>
      <c r="AI19" t="s">
        <v>266</v>
      </c>
    </row>
    <row r="20" spans="2:35" ht="150">
      <c r="B20" s="1">
        <v>46128</v>
      </c>
      <c r="C20" s="1">
        <v>46128</v>
      </c>
      <c r="D20" t="s">
        <v>267</v>
      </c>
      <c r="E20" t="s">
        <v>268</v>
      </c>
      <c r="F20">
        <v>7</v>
      </c>
      <c r="G20" t="s">
        <v>269</v>
      </c>
      <c r="H20" t="s">
        <v>39</v>
      </c>
      <c r="I20" t="s">
        <v>40</v>
      </c>
      <c r="J20" s="2" t="s">
        <v>41</v>
      </c>
      <c r="K20" t="s">
        <v>42</v>
      </c>
      <c r="L20" t="s">
        <v>270</v>
      </c>
      <c r="M20">
        <v>9338620615</v>
      </c>
      <c r="N20" t="s">
        <v>271</v>
      </c>
      <c r="Q20">
        <v>32528</v>
      </c>
      <c r="R20" t="s">
        <v>119</v>
      </c>
      <c r="S20" t="s">
        <v>272</v>
      </c>
      <c r="T20">
        <v>26</v>
      </c>
      <c r="U20" s="2" t="s">
        <v>273</v>
      </c>
      <c r="W20" t="s">
        <v>274</v>
      </c>
      <c r="X20">
        <v>838475</v>
      </c>
      <c r="Y20" t="s">
        <v>275</v>
      </c>
      <c r="Z20" t="s">
        <v>276</v>
      </c>
      <c r="AA20" s="2" t="s">
        <v>277</v>
      </c>
      <c r="AB20" t="s">
        <v>278</v>
      </c>
      <c r="AG20" t="s">
        <v>279</v>
      </c>
      <c r="AH20" t="s">
        <v>280</v>
      </c>
      <c r="AI20" t="s">
        <v>281</v>
      </c>
    </row>
    <row r="21" spans="2:35" ht="255">
      <c r="B21" s="1">
        <v>46128</v>
      </c>
      <c r="C21" s="1">
        <v>46128</v>
      </c>
      <c r="D21" t="s">
        <v>282</v>
      </c>
      <c r="E21" t="s">
        <v>283</v>
      </c>
      <c r="F21">
        <v>3</v>
      </c>
      <c r="G21" t="s">
        <v>284</v>
      </c>
      <c r="H21" t="s">
        <v>39</v>
      </c>
      <c r="I21" t="s">
        <v>40</v>
      </c>
      <c r="J21" s="2" t="s">
        <v>220</v>
      </c>
      <c r="K21" t="s">
        <v>42</v>
      </c>
      <c r="L21" t="s">
        <v>135</v>
      </c>
      <c r="M21">
        <v>639687252456</v>
      </c>
      <c r="N21" t="s">
        <v>136</v>
      </c>
      <c r="Q21">
        <v>32527</v>
      </c>
      <c r="R21" t="s">
        <v>45</v>
      </c>
      <c r="S21" t="s">
        <v>285</v>
      </c>
      <c r="T21">
        <v>25</v>
      </c>
      <c r="W21" t="s">
        <v>138</v>
      </c>
      <c r="X21">
        <v>807466</v>
      </c>
      <c r="Y21" t="s">
        <v>286</v>
      </c>
      <c r="Z21" s="2" t="s">
        <v>140</v>
      </c>
      <c r="AA21" s="2" t="s">
        <v>287</v>
      </c>
      <c r="AB21" s="2" t="s">
        <v>288</v>
      </c>
      <c r="AG21" t="s">
        <v>289</v>
      </c>
      <c r="AH21" t="s">
        <v>290</v>
      </c>
      <c r="AI21" t="s">
        <v>291</v>
      </c>
    </row>
    <row r="22" spans="2:35" ht="375">
      <c r="B22" s="1">
        <v>46128</v>
      </c>
      <c r="C22" s="1">
        <v>46128</v>
      </c>
      <c r="D22" t="s">
        <v>292</v>
      </c>
      <c r="E22" t="s">
        <v>293</v>
      </c>
      <c r="F22">
        <v>12</v>
      </c>
      <c r="G22" t="s">
        <v>294</v>
      </c>
      <c r="H22" t="s">
        <v>295</v>
      </c>
      <c r="I22" t="s">
        <v>40</v>
      </c>
      <c r="J22" t="s">
        <v>109</v>
      </c>
      <c r="K22" t="s">
        <v>42</v>
      </c>
      <c r="L22" t="s">
        <v>296</v>
      </c>
      <c r="M22">
        <v>9217166490</v>
      </c>
      <c r="N22" t="s">
        <v>297</v>
      </c>
      <c r="Q22">
        <v>32526</v>
      </c>
      <c r="R22" t="s">
        <v>95</v>
      </c>
      <c r="S22" t="s">
        <v>298</v>
      </c>
      <c r="T22">
        <v>20.100000000000001</v>
      </c>
      <c r="U22" s="2" t="s">
        <v>299</v>
      </c>
      <c r="W22" t="s">
        <v>300</v>
      </c>
      <c r="X22">
        <v>110024270</v>
      </c>
      <c r="Y22" t="s">
        <v>301</v>
      </c>
      <c r="Z22" s="2" t="s">
        <v>302</v>
      </c>
      <c r="AA22" t="s">
        <v>303</v>
      </c>
      <c r="AB22" t="s">
        <v>304</v>
      </c>
      <c r="AG22" t="s">
        <v>305</v>
      </c>
      <c r="AH22" t="s">
        <v>306</v>
      </c>
      <c r="AI22" t="s">
        <v>307</v>
      </c>
    </row>
    <row r="23" spans="2:35" ht="360">
      <c r="B23" s="1">
        <v>46127</v>
      </c>
      <c r="C23" s="1">
        <v>46127</v>
      </c>
      <c r="D23" t="s">
        <v>308</v>
      </c>
      <c r="E23" t="s">
        <v>309</v>
      </c>
      <c r="F23" t="s">
        <v>148</v>
      </c>
      <c r="G23" t="s">
        <v>310</v>
      </c>
      <c r="H23" t="s">
        <v>39</v>
      </c>
      <c r="I23" t="s">
        <v>40</v>
      </c>
      <c r="J23" s="2" t="s">
        <v>41</v>
      </c>
      <c r="K23" t="s">
        <v>42</v>
      </c>
      <c r="L23" t="s">
        <v>175</v>
      </c>
      <c r="M23">
        <v>9169671831</v>
      </c>
      <c r="N23" t="s">
        <v>176</v>
      </c>
      <c r="Q23">
        <v>32525</v>
      </c>
      <c r="R23" t="s">
        <v>119</v>
      </c>
      <c r="S23" t="s">
        <v>311</v>
      </c>
      <c r="T23">
        <v>38</v>
      </c>
      <c r="W23" t="s">
        <v>84</v>
      </c>
      <c r="X23">
        <v>831534</v>
      </c>
      <c r="Y23" t="s">
        <v>312</v>
      </c>
      <c r="Z23" s="2" t="s">
        <v>313</v>
      </c>
      <c r="AA23" s="2" t="s">
        <v>314</v>
      </c>
      <c r="AB23" s="2" t="s">
        <v>315</v>
      </c>
      <c r="AG23" t="s">
        <v>316</v>
      </c>
      <c r="AH23" t="s">
        <v>317</v>
      </c>
      <c r="AI23" t="s">
        <v>318</v>
      </c>
    </row>
    <row r="24" spans="2:35" ht="135">
      <c r="B24" s="1">
        <v>46127</v>
      </c>
      <c r="C24" s="1">
        <v>46127</v>
      </c>
      <c r="D24" t="s">
        <v>319</v>
      </c>
      <c r="E24" t="s">
        <v>320</v>
      </c>
      <c r="F24" t="s">
        <v>37</v>
      </c>
      <c r="G24" t="s">
        <v>78</v>
      </c>
      <c r="H24" t="s">
        <v>39</v>
      </c>
      <c r="I24" t="s">
        <v>40</v>
      </c>
      <c r="J24" t="s">
        <v>321</v>
      </c>
      <c r="K24" t="s">
        <v>42</v>
      </c>
      <c r="L24" t="s">
        <v>80</v>
      </c>
      <c r="M24">
        <v>9462488973</v>
      </c>
      <c r="N24" t="s">
        <v>81</v>
      </c>
      <c r="Q24">
        <v>32524</v>
      </c>
      <c r="R24" t="s">
        <v>322</v>
      </c>
      <c r="S24" t="s">
        <v>323</v>
      </c>
      <c r="T24">
        <v>25</v>
      </c>
      <c r="U24" s="2" t="s">
        <v>324</v>
      </c>
      <c r="V24" s="1">
        <v>46127</v>
      </c>
      <c r="W24" t="s">
        <v>325</v>
      </c>
      <c r="X24">
        <v>120007829</v>
      </c>
      <c r="Y24" t="s">
        <v>326</v>
      </c>
      <c r="Z24" t="s">
        <v>327</v>
      </c>
      <c r="AA24" s="2" t="s">
        <v>328</v>
      </c>
      <c r="AB24" t="s">
        <v>181</v>
      </c>
      <c r="AC24" t="s">
        <v>103</v>
      </c>
      <c r="AD24" t="s">
        <v>103</v>
      </c>
      <c r="AE24" t="s">
        <v>103</v>
      </c>
      <c r="AG24" t="s">
        <v>329</v>
      </c>
      <c r="AH24" t="s">
        <v>330</v>
      </c>
      <c r="AI24" t="s">
        <v>331</v>
      </c>
    </row>
    <row r="25" spans="2:35" ht="315">
      <c r="B25" s="1">
        <v>46127</v>
      </c>
      <c r="C25" s="1">
        <v>46127</v>
      </c>
      <c r="D25" t="s">
        <v>332</v>
      </c>
      <c r="E25" t="s">
        <v>309</v>
      </c>
      <c r="F25" t="s">
        <v>148</v>
      </c>
      <c r="G25" t="s">
        <v>310</v>
      </c>
      <c r="H25" t="s">
        <v>39</v>
      </c>
      <c r="I25" t="s">
        <v>40</v>
      </c>
      <c r="J25" s="2" t="s">
        <v>41</v>
      </c>
      <c r="K25" t="s">
        <v>42</v>
      </c>
      <c r="L25" t="s">
        <v>175</v>
      </c>
      <c r="M25">
        <v>9292140735</v>
      </c>
      <c r="N25" t="s">
        <v>176</v>
      </c>
      <c r="Q25">
        <v>32523</v>
      </c>
      <c r="R25" t="s">
        <v>119</v>
      </c>
      <c r="S25" t="s">
        <v>333</v>
      </c>
      <c r="T25">
        <v>30</v>
      </c>
      <c r="W25" t="s">
        <v>84</v>
      </c>
      <c r="X25">
        <v>812561</v>
      </c>
      <c r="Y25" t="s">
        <v>334</v>
      </c>
      <c r="Z25" t="s">
        <v>335</v>
      </c>
      <c r="AA25" s="2" t="s">
        <v>336</v>
      </c>
      <c r="AB25" t="s">
        <v>181</v>
      </c>
      <c r="AG25" t="s">
        <v>337</v>
      </c>
      <c r="AH25" t="s">
        <v>338</v>
      </c>
      <c r="AI25" t="s">
        <v>339</v>
      </c>
    </row>
    <row r="26" spans="2:35" ht="105">
      <c r="B26" s="1">
        <v>46127</v>
      </c>
      <c r="C26" s="1">
        <v>46127</v>
      </c>
      <c r="D26" t="s">
        <v>340</v>
      </c>
      <c r="E26" t="s">
        <v>341</v>
      </c>
      <c r="F26">
        <v>8</v>
      </c>
      <c r="G26" t="s">
        <v>342</v>
      </c>
      <c r="H26" t="s">
        <v>39</v>
      </c>
      <c r="I26" t="s">
        <v>40</v>
      </c>
      <c r="J26" t="s">
        <v>109</v>
      </c>
      <c r="K26" t="s">
        <v>42</v>
      </c>
      <c r="L26" t="s">
        <v>343</v>
      </c>
      <c r="M26">
        <v>9489831726</v>
      </c>
      <c r="N26" t="s">
        <v>344</v>
      </c>
      <c r="Q26">
        <v>32522</v>
      </c>
      <c r="R26" t="s">
        <v>119</v>
      </c>
      <c r="S26" t="s">
        <v>345</v>
      </c>
      <c r="T26">
        <v>27</v>
      </c>
      <c r="U26" s="2" t="s">
        <v>346</v>
      </c>
      <c r="W26" t="s">
        <v>347</v>
      </c>
      <c r="X26">
        <v>838555</v>
      </c>
      <c r="Y26" t="s">
        <v>301</v>
      </c>
      <c r="Z26" t="s">
        <v>301</v>
      </c>
      <c r="AA26" t="e">
        <f ca="1">-Preventive Maintenance</f>
        <v>#NAME?</v>
      </c>
      <c r="AB26" t="s">
        <v>348</v>
      </c>
      <c r="AG26" t="s">
        <v>349</v>
      </c>
      <c r="AH26" t="s">
        <v>350</v>
      </c>
      <c r="AI26" t="s">
        <v>351</v>
      </c>
    </row>
    <row r="27" spans="2:35" ht="409.5">
      <c r="B27" s="1">
        <v>46126</v>
      </c>
      <c r="C27" s="1">
        <v>46126</v>
      </c>
      <c r="D27" t="s">
        <v>352</v>
      </c>
      <c r="E27" t="s">
        <v>353</v>
      </c>
      <c r="F27" t="s">
        <v>148</v>
      </c>
      <c r="G27" t="s">
        <v>310</v>
      </c>
      <c r="H27" t="s">
        <v>354</v>
      </c>
      <c r="I27" t="s">
        <v>94</v>
      </c>
      <c r="J27" s="2" t="s">
        <v>355</v>
      </c>
      <c r="K27" t="s">
        <v>42</v>
      </c>
      <c r="L27" t="s">
        <v>356</v>
      </c>
      <c r="M27">
        <v>9213604482</v>
      </c>
      <c r="N27" t="s">
        <v>357</v>
      </c>
      <c r="Q27">
        <v>32521</v>
      </c>
      <c r="R27" t="s">
        <v>119</v>
      </c>
      <c r="S27" t="s">
        <v>358</v>
      </c>
      <c r="T27">
        <v>27</v>
      </c>
      <c r="U27" s="2" t="s">
        <v>359</v>
      </c>
      <c r="V27" s="1">
        <v>46126</v>
      </c>
      <c r="W27" t="s">
        <v>360</v>
      </c>
      <c r="X27">
        <v>821257</v>
      </c>
      <c r="Y27" t="s">
        <v>361</v>
      </c>
      <c r="Z27" s="2" t="s">
        <v>362</v>
      </c>
      <c r="AA27" s="2" t="s">
        <v>363</v>
      </c>
      <c r="AB27" t="s">
        <v>364</v>
      </c>
      <c r="AC27" t="s">
        <v>365</v>
      </c>
      <c r="AD27" t="s">
        <v>54</v>
      </c>
      <c r="AE27" t="s">
        <v>54</v>
      </c>
      <c r="AG27" t="s">
        <v>366</v>
      </c>
      <c r="AH27" t="s">
        <v>367</v>
      </c>
      <c r="AI27" t="s">
        <v>368</v>
      </c>
    </row>
    <row r="28" spans="2:35" ht="105">
      <c r="B28" s="1">
        <v>46126</v>
      </c>
      <c r="C28" s="1">
        <v>46126</v>
      </c>
      <c r="D28" t="s">
        <v>369</v>
      </c>
      <c r="E28" t="s">
        <v>370</v>
      </c>
      <c r="F28" t="s">
        <v>148</v>
      </c>
      <c r="G28" t="s">
        <v>371</v>
      </c>
      <c r="H28" t="s">
        <v>39</v>
      </c>
      <c r="I28" t="s">
        <v>40</v>
      </c>
      <c r="J28" t="s">
        <v>109</v>
      </c>
      <c r="K28" t="s">
        <v>42</v>
      </c>
      <c r="L28" t="s">
        <v>175</v>
      </c>
      <c r="M28">
        <v>9560792440</v>
      </c>
      <c r="N28" t="s">
        <v>176</v>
      </c>
      <c r="Q28">
        <v>32520</v>
      </c>
      <c r="R28" t="s">
        <v>45</v>
      </c>
      <c r="S28" t="s">
        <v>372</v>
      </c>
      <c r="T28">
        <v>26</v>
      </c>
      <c r="W28" t="s">
        <v>373</v>
      </c>
      <c r="X28">
        <v>110020277</v>
      </c>
      <c r="Y28" t="s">
        <v>374</v>
      </c>
      <c r="Z28" t="s">
        <v>375</v>
      </c>
      <c r="AA28" t="e">
        <f ca="1">- checked _xludf.and cleaned cartridge bay, plunger rod, _xludf.filter
- generated reports
- performed self test</f>
        <v>#NAME?</v>
      </c>
      <c r="AB28" s="2" t="s">
        <v>376</v>
      </c>
      <c r="AG28" t="s">
        <v>377</v>
      </c>
      <c r="AH28" t="s">
        <v>378</v>
      </c>
      <c r="AI28" t="s">
        <v>379</v>
      </c>
    </row>
    <row r="29" spans="2:35" ht="105">
      <c r="B29" s="1">
        <v>46126</v>
      </c>
      <c r="C29" s="1">
        <v>46126</v>
      </c>
      <c r="D29" t="s">
        <v>369</v>
      </c>
      <c r="E29" t="s">
        <v>370</v>
      </c>
      <c r="F29" t="s">
        <v>148</v>
      </c>
      <c r="G29" t="s">
        <v>371</v>
      </c>
      <c r="H29" t="s">
        <v>39</v>
      </c>
      <c r="I29" t="s">
        <v>40</v>
      </c>
      <c r="J29" t="s">
        <v>109</v>
      </c>
      <c r="K29" t="s">
        <v>42</v>
      </c>
      <c r="L29" t="s">
        <v>175</v>
      </c>
      <c r="M29">
        <v>9560792440</v>
      </c>
      <c r="N29" t="s">
        <v>176</v>
      </c>
      <c r="Q29">
        <v>32519</v>
      </c>
      <c r="R29" t="s">
        <v>45</v>
      </c>
      <c r="S29" t="s">
        <v>372</v>
      </c>
      <c r="T29">
        <v>26</v>
      </c>
      <c r="W29" t="s">
        <v>84</v>
      </c>
      <c r="X29">
        <v>834431</v>
      </c>
      <c r="Y29" t="s">
        <v>374</v>
      </c>
      <c r="Z29" t="s">
        <v>375</v>
      </c>
      <c r="AA29" t="e">
        <f ca="1">- checked _xludf.and cleaned cartridge bay, plunger rod, _xludf.filter
- generated reports
- performed self test</f>
        <v>#NAME?</v>
      </c>
      <c r="AB29" s="2" t="s">
        <v>376</v>
      </c>
      <c r="AG29" t="s">
        <v>380</v>
      </c>
      <c r="AH29" t="s">
        <v>378</v>
      </c>
      <c r="AI29" t="s">
        <v>381</v>
      </c>
    </row>
    <row r="30" spans="2:35" ht="105">
      <c r="B30" s="1">
        <v>46126</v>
      </c>
      <c r="C30" s="1">
        <v>46126</v>
      </c>
      <c r="D30" t="s">
        <v>369</v>
      </c>
      <c r="E30" t="s">
        <v>370</v>
      </c>
      <c r="F30" t="s">
        <v>148</v>
      </c>
      <c r="G30" t="s">
        <v>371</v>
      </c>
      <c r="H30" t="s">
        <v>39</v>
      </c>
      <c r="I30" t="s">
        <v>40</v>
      </c>
      <c r="J30" t="s">
        <v>109</v>
      </c>
      <c r="K30" t="s">
        <v>42</v>
      </c>
      <c r="L30" t="s">
        <v>175</v>
      </c>
      <c r="M30">
        <v>9560792440</v>
      </c>
      <c r="N30" t="s">
        <v>176</v>
      </c>
      <c r="Q30">
        <v>32518</v>
      </c>
      <c r="R30" t="s">
        <v>45</v>
      </c>
      <c r="S30" t="s">
        <v>372</v>
      </c>
      <c r="T30">
        <v>26</v>
      </c>
      <c r="W30" t="s">
        <v>84</v>
      </c>
      <c r="X30">
        <v>814159</v>
      </c>
      <c r="Y30" t="s">
        <v>374</v>
      </c>
      <c r="Z30" t="s">
        <v>375</v>
      </c>
      <c r="AA30" t="e">
        <f ca="1">- checked _xludf.and cleaned cartridge bay, plunger rod, _xludf.filter
- generated reports
- performed self test</f>
        <v>#NAME?</v>
      </c>
      <c r="AB30" s="2" t="s">
        <v>376</v>
      </c>
      <c r="AG30" t="s">
        <v>380</v>
      </c>
      <c r="AH30" t="s">
        <v>378</v>
      </c>
      <c r="AI30" t="s">
        <v>382</v>
      </c>
    </row>
    <row r="31" spans="2:35" ht="105">
      <c r="B31" s="1">
        <v>46126</v>
      </c>
      <c r="C31" s="1">
        <v>46126</v>
      </c>
      <c r="D31" t="s">
        <v>369</v>
      </c>
      <c r="E31" t="s">
        <v>370</v>
      </c>
      <c r="F31" t="s">
        <v>148</v>
      </c>
      <c r="G31" t="s">
        <v>371</v>
      </c>
      <c r="H31" t="s">
        <v>39</v>
      </c>
      <c r="I31" t="s">
        <v>40</v>
      </c>
      <c r="J31" t="s">
        <v>109</v>
      </c>
      <c r="K31" t="s">
        <v>42</v>
      </c>
      <c r="L31" t="s">
        <v>175</v>
      </c>
      <c r="M31">
        <v>9560792440</v>
      </c>
      <c r="N31" t="s">
        <v>176</v>
      </c>
      <c r="Q31">
        <v>32517</v>
      </c>
      <c r="R31" t="s">
        <v>45</v>
      </c>
      <c r="S31" t="s">
        <v>372</v>
      </c>
      <c r="T31">
        <v>26</v>
      </c>
      <c r="W31" t="s">
        <v>84</v>
      </c>
      <c r="X31">
        <v>834432</v>
      </c>
      <c r="Y31" t="s">
        <v>374</v>
      </c>
      <c r="Z31" t="s">
        <v>375</v>
      </c>
      <c r="AA31" t="e">
        <f ca="1">- checked _xludf.and cleaned cartridge bay, plunger rod, _xludf.filter
- generated reports
- performed self test</f>
        <v>#NAME?</v>
      </c>
      <c r="AB31" s="2" t="s">
        <v>376</v>
      </c>
      <c r="AG31" t="s">
        <v>383</v>
      </c>
      <c r="AH31" t="s">
        <v>378</v>
      </c>
      <c r="AI31" t="s">
        <v>384</v>
      </c>
    </row>
    <row r="32" spans="2:35" ht="210">
      <c r="B32" s="1">
        <v>46126</v>
      </c>
      <c r="C32" s="1">
        <v>46126</v>
      </c>
      <c r="D32" t="s">
        <v>146</v>
      </c>
      <c r="E32" t="s">
        <v>385</v>
      </c>
      <c r="F32" t="s">
        <v>148</v>
      </c>
      <c r="G32" t="s">
        <v>149</v>
      </c>
      <c r="H32" t="s">
        <v>386</v>
      </c>
      <c r="I32" t="s">
        <v>40</v>
      </c>
      <c r="J32" t="s">
        <v>109</v>
      </c>
      <c r="K32" t="s">
        <v>387</v>
      </c>
      <c r="L32" t="s">
        <v>43</v>
      </c>
      <c r="M32">
        <v>9088963079</v>
      </c>
      <c r="N32" t="s">
        <v>44</v>
      </c>
      <c r="O32" t="s">
        <v>388</v>
      </c>
      <c r="Q32">
        <v>32516</v>
      </c>
      <c r="R32" t="s">
        <v>95</v>
      </c>
      <c r="S32" t="s">
        <v>389</v>
      </c>
      <c r="T32">
        <v>22</v>
      </c>
      <c r="W32" t="s">
        <v>390</v>
      </c>
      <c r="X32" t="s">
        <v>391</v>
      </c>
      <c r="Y32" t="s">
        <v>121</v>
      </c>
      <c r="Z32" t="s">
        <v>122</v>
      </c>
      <c r="AA32" s="2" t="s">
        <v>392</v>
      </c>
      <c r="AB32" t="s">
        <v>88</v>
      </c>
      <c r="AG32" t="s">
        <v>393</v>
      </c>
      <c r="AH32" t="s">
        <v>394</v>
      </c>
      <c r="AI32" t="s">
        <v>395</v>
      </c>
    </row>
    <row r="33" spans="2:35" ht="255">
      <c r="B33" s="1">
        <v>46126</v>
      </c>
      <c r="C33" s="1">
        <v>46126</v>
      </c>
      <c r="D33" t="s">
        <v>217</v>
      </c>
      <c r="E33" t="s">
        <v>396</v>
      </c>
      <c r="F33">
        <v>3</v>
      </c>
      <c r="G33" t="s">
        <v>219</v>
      </c>
      <c r="H33" t="s">
        <v>39</v>
      </c>
      <c r="I33" t="s">
        <v>40</v>
      </c>
      <c r="J33" s="2" t="s">
        <v>220</v>
      </c>
      <c r="K33" t="s">
        <v>42</v>
      </c>
      <c r="L33" t="s">
        <v>135</v>
      </c>
      <c r="M33">
        <v>639177196172</v>
      </c>
      <c r="N33" t="s">
        <v>136</v>
      </c>
      <c r="Q33">
        <v>32515</v>
      </c>
      <c r="R33" t="s">
        <v>45</v>
      </c>
      <c r="S33" t="s">
        <v>221</v>
      </c>
      <c r="T33">
        <v>25</v>
      </c>
      <c r="W33" t="s">
        <v>397</v>
      </c>
      <c r="X33">
        <v>120000606</v>
      </c>
      <c r="Y33" t="s">
        <v>398</v>
      </c>
      <c r="Z33" s="2" t="s">
        <v>140</v>
      </c>
      <c r="AA33" s="2" t="s">
        <v>399</v>
      </c>
      <c r="AB33" s="2" t="s">
        <v>400</v>
      </c>
      <c r="AG33" t="s">
        <v>401</v>
      </c>
      <c r="AH33" t="s">
        <v>402</v>
      </c>
      <c r="AI33" t="s">
        <v>403</v>
      </c>
    </row>
    <row r="34" spans="2:35" ht="345">
      <c r="B34" s="1">
        <v>46126</v>
      </c>
      <c r="C34" s="1">
        <v>46126</v>
      </c>
      <c r="D34" t="s">
        <v>404</v>
      </c>
      <c r="E34" t="s">
        <v>405</v>
      </c>
      <c r="F34" t="s">
        <v>148</v>
      </c>
      <c r="G34" t="s">
        <v>406</v>
      </c>
      <c r="H34" t="s">
        <v>407</v>
      </c>
      <c r="I34" t="s">
        <v>40</v>
      </c>
      <c r="J34" t="s">
        <v>321</v>
      </c>
      <c r="K34" t="s">
        <v>408</v>
      </c>
      <c r="L34" t="s">
        <v>409</v>
      </c>
      <c r="M34">
        <v>9760543099</v>
      </c>
      <c r="N34" t="s">
        <v>410</v>
      </c>
      <c r="P34" t="s">
        <v>411</v>
      </c>
      <c r="Q34">
        <v>32514</v>
      </c>
      <c r="R34" t="s">
        <v>95</v>
      </c>
      <c r="S34" t="s">
        <v>412</v>
      </c>
      <c r="T34">
        <v>24</v>
      </c>
      <c r="W34" t="s">
        <v>413</v>
      </c>
      <c r="X34">
        <v>472</v>
      </c>
      <c r="Y34" t="s">
        <v>54</v>
      </c>
      <c r="Z34" t="s">
        <v>301</v>
      </c>
      <c r="AA34" s="2" t="s">
        <v>414</v>
      </c>
      <c r="AB34" t="s">
        <v>415</v>
      </c>
      <c r="AG34" t="s">
        <v>416</v>
      </c>
      <c r="AH34" t="s">
        <v>417</v>
      </c>
      <c r="AI34" t="s">
        <v>418</v>
      </c>
    </row>
    <row r="35" spans="2:35" ht="195">
      <c r="B35" s="1">
        <v>46126</v>
      </c>
      <c r="C35" s="1">
        <v>46126</v>
      </c>
      <c r="D35" t="s">
        <v>419</v>
      </c>
      <c r="E35" t="s">
        <v>420</v>
      </c>
      <c r="F35" t="s">
        <v>148</v>
      </c>
      <c r="G35" t="s">
        <v>421</v>
      </c>
      <c r="H35" t="s">
        <v>39</v>
      </c>
      <c r="I35" t="s">
        <v>40</v>
      </c>
      <c r="J35" s="2" t="s">
        <v>41</v>
      </c>
      <c r="K35" t="s">
        <v>42</v>
      </c>
      <c r="L35" t="s">
        <v>175</v>
      </c>
      <c r="M35">
        <v>9186064241</v>
      </c>
      <c r="N35" t="s">
        <v>176</v>
      </c>
      <c r="Q35">
        <v>32513</v>
      </c>
      <c r="R35" t="s">
        <v>45</v>
      </c>
      <c r="S35" t="s">
        <v>422</v>
      </c>
      <c r="T35">
        <v>27</v>
      </c>
      <c r="W35" t="s">
        <v>423</v>
      </c>
      <c r="X35">
        <v>120000727</v>
      </c>
      <c r="Y35" t="s">
        <v>424</v>
      </c>
      <c r="Z35" t="s">
        <v>425</v>
      </c>
      <c r="AA35" s="2" t="s">
        <v>426</v>
      </c>
      <c r="AB35" t="s">
        <v>181</v>
      </c>
      <c r="AG35" t="s">
        <v>427</v>
      </c>
      <c r="AH35" t="s">
        <v>428</v>
      </c>
      <c r="AI35" t="s">
        <v>429</v>
      </c>
    </row>
    <row r="36" spans="2:35" ht="135">
      <c r="B36" s="1">
        <v>46125</v>
      </c>
      <c r="C36" s="1">
        <v>46125</v>
      </c>
      <c r="D36" t="s">
        <v>430</v>
      </c>
      <c r="E36" t="s">
        <v>431</v>
      </c>
      <c r="F36">
        <v>7</v>
      </c>
      <c r="G36" t="s">
        <v>432</v>
      </c>
      <c r="H36" t="s">
        <v>39</v>
      </c>
      <c r="I36" t="s">
        <v>40</v>
      </c>
      <c r="J36" s="2" t="s">
        <v>62</v>
      </c>
      <c r="K36" t="s">
        <v>42</v>
      </c>
      <c r="L36" t="s">
        <v>433</v>
      </c>
      <c r="M36">
        <v>9688590770</v>
      </c>
      <c r="N36" t="s">
        <v>434</v>
      </c>
      <c r="Q36">
        <v>32512</v>
      </c>
      <c r="R36" t="s">
        <v>95</v>
      </c>
      <c r="S36" t="s">
        <v>435</v>
      </c>
      <c r="T36">
        <v>26</v>
      </c>
      <c r="W36" t="s">
        <v>436</v>
      </c>
      <c r="X36" t="s">
        <v>437</v>
      </c>
      <c r="Y36" t="s">
        <v>438</v>
      </c>
      <c r="Z36" t="s">
        <v>439</v>
      </c>
      <c r="AA36" s="2" t="s">
        <v>440</v>
      </c>
      <c r="AB36" t="s">
        <v>441</v>
      </c>
      <c r="AG36" t="s">
        <v>442</v>
      </c>
      <c r="AH36" t="s">
        <v>443</v>
      </c>
      <c r="AI36" t="s">
        <v>444</v>
      </c>
    </row>
    <row r="37" spans="2:35" ht="255">
      <c r="B37" s="1">
        <v>46125</v>
      </c>
      <c r="C37" s="1">
        <v>46122</v>
      </c>
      <c r="D37" t="s">
        <v>445</v>
      </c>
      <c r="E37" t="s">
        <v>446</v>
      </c>
      <c r="F37" t="s">
        <v>148</v>
      </c>
      <c r="G37" t="s">
        <v>447</v>
      </c>
      <c r="H37" t="s">
        <v>39</v>
      </c>
      <c r="I37" t="s">
        <v>40</v>
      </c>
      <c r="J37" s="2" t="s">
        <v>41</v>
      </c>
      <c r="K37" t="s">
        <v>42</v>
      </c>
      <c r="L37" t="s">
        <v>448</v>
      </c>
      <c r="M37" t="s">
        <v>449</v>
      </c>
      <c r="N37" t="s">
        <v>450</v>
      </c>
      <c r="Q37">
        <v>32511</v>
      </c>
      <c r="R37" t="s">
        <v>45</v>
      </c>
      <c r="S37" t="s">
        <v>451</v>
      </c>
      <c r="T37">
        <v>24</v>
      </c>
      <c r="U37" s="2" t="s">
        <v>452</v>
      </c>
      <c r="W37" t="s">
        <v>453</v>
      </c>
      <c r="X37">
        <v>803089</v>
      </c>
      <c r="Y37" t="s">
        <v>454</v>
      </c>
      <c r="Z37" s="2" t="s">
        <v>455</v>
      </c>
      <c r="AA37" t="s">
        <v>456</v>
      </c>
      <c r="AB37" s="2" t="s">
        <v>457</v>
      </c>
      <c r="AG37" t="s">
        <v>458</v>
      </c>
      <c r="AH37" t="s">
        <v>459</v>
      </c>
      <c r="AI37" t="s">
        <v>460</v>
      </c>
    </row>
    <row r="38" spans="2:35" ht="255">
      <c r="B38" s="1">
        <v>46125</v>
      </c>
      <c r="C38" s="1">
        <v>46120</v>
      </c>
      <c r="D38" t="s">
        <v>461</v>
      </c>
      <c r="E38" t="s">
        <v>462</v>
      </c>
      <c r="F38" t="s">
        <v>148</v>
      </c>
      <c r="G38" t="s">
        <v>447</v>
      </c>
      <c r="H38" t="s">
        <v>463</v>
      </c>
      <c r="I38" t="s">
        <v>40</v>
      </c>
      <c r="J38" t="s">
        <v>79</v>
      </c>
      <c r="K38" t="s">
        <v>42</v>
      </c>
      <c r="L38" t="s">
        <v>448</v>
      </c>
      <c r="M38" t="s">
        <v>449</v>
      </c>
      <c r="N38" t="s">
        <v>450</v>
      </c>
      <c r="Q38">
        <v>32510</v>
      </c>
      <c r="R38" t="s">
        <v>45</v>
      </c>
      <c r="S38" t="s">
        <v>464</v>
      </c>
      <c r="T38">
        <v>26</v>
      </c>
      <c r="U38" s="2" t="s">
        <v>465</v>
      </c>
      <c r="W38" t="s">
        <v>466</v>
      </c>
      <c r="X38">
        <v>120000173</v>
      </c>
      <c r="Y38" t="s">
        <v>467</v>
      </c>
      <c r="Z38" s="2" t="s">
        <v>455</v>
      </c>
      <c r="AA38" t="s">
        <v>456</v>
      </c>
      <c r="AB38" s="2" t="s">
        <v>468</v>
      </c>
      <c r="AG38" t="s">
        <v>469</v>
      </c>
      <c r="AH38" t="s">
        <v>470</v>
      </c>
      <c r="AI38" t="s">
        <v>471</v>
      </c>
    </row>
    <row r="39" spans="2:35" ht="405">
      <c r="B39" s="1">
        <v>46125</v>
      </c>
      <c r="C39" s="1">
        <v>46120</v>
      </c>
      <c r="D39" t="s">
        <v>472</v>
      </c>
      <c r="E39" t="s">
        <v>473</v>
      </c>
      <c r="F39" t="s">
        <v>148</v>
      </c>
      <c r="G39" t="s">
        <v>447</v>
      </c>
      <c r="H39" t="s">
        <v>474</v>
      </c>
      <c r="I39" t="s">
        <v>40</v>
      </c>
      <c r="J39" t="s">
        <v>109</v>
      </c>
      <c r="K39" t="s">
        <v>387</v>
      </c>
      <c r="L39" t="s">
        <v>448</v>
      </c>
      <c r="M39" t="s">
        <v>449</v>
      </c>
      <c r="N39" t="s">
        <v>450</v>
      </c>
      <c r="Q39">
        <v>32509</v>
      </c>
      <c r="R39" t="s">
        <v>322</v>
      </c>
      <c r="S39" t="s">
        <v>475</v>
      </c>
      <c r="T39">
        <v>26</v>
      </c>
      <c r="W39" t="s">
        <v>476</v>
      </c>
      <c r="X39" t="s">
        <v>477</v>
      </c>
      <c r="Y39" s="2" t="s">
        <v>478</v>
      </c>
      <c r="Z39" s="2" t="s">
        <v>479</v>
      </c>
      <c r="AA39" t="s">
        <v>122</v>
      </c>
      <c r="AB39" s="2" t="s">
        <v>480</v>
      </c>
      <c r="AG39" t="s">
        <v>481</v>
      </c>
      <c r="AH39" t="s">
        <v>482</v>
      </c>
      <c r="AI39" t="s">
        <v>483</v>
      </c>
    </row>
    <row r="40" spans="2:35" ht="405">
      <c r="B40" s="1">
        <v>46125</v>
      </c>
      <c r="C40" s="1">
        <v>46120</v>
      </c>
      <c r="D40" t="s">
        <v>472</v>
      </c>
      <c r="E40" t="s">
        <v>473</v>
      </c>
      <c r="F40" t="s">
        <v>148</v>
      </c>
      <c r="G40" t="s">
        <v>447</v>
      </c>
      <c r="H40" t="s">
        <v>474</v>
      </c>
      <c r="I40" t="s">
        <v>40</v>
      </c>
      <c r="J40" t="s">
        <v>109</v>
      </c>
      <c r="K40" t="s">
        <v>387</v>
      </c>
      <c r="L40" t="s">
        <v>448</v>
      </c>
      <c r="M40" t="s">
        <v>449</v>
      </c>
      <c r="N40" t="s">
        <v>450</v>
      </c>
      <c r="Q40">
        <v>32508</v>
      </c>
      <c r="R40" t="s">
        <v>322</v>
      </c>
      <c r="S40" t="s">
        <v>475</v>
      </c>
      <c r="T40">
        <v>26</v>
      </c>
      <c r="W40" t="s">
        <v>390</v>
      </c>
      <c r="X40" t="s">
        <v>484</v>
      </c>
      <c r="Y40" t="s">
        <v>485</v>
      </c>
      <c r="Z40" s="2" t="s">
        <v>479</v>
      </c>
      <c r="AA40" t="s">
        <v>122</v>
      </c>
      <c r="AB40" t="s">
        <v>486</v>
      </c>
      <c r="AG40" t="s">
        <v>487</v>
      </c>
      <c r="AH40" t="s">
        <v>482</v>
      </c>
      <c r="AI40" t="s">
        <v>488</v>
      </c>
    </row>
    <row r="41" spans="2:35" ht="405">
      <c r="B41" s="1">
        <v>46125</v>
      </c>
      <c r="C41" s="1">
        <v>46120</v>
      </c>
      <c r="D41" t="s">
        <v>472</v>
      </c>
      <c r="E41" t="s">
        <v>473</v>
      </c>
      <c r="F41" t="s">
        <v>148</v>
      </c>
      <c r="G41" t="s">
        <v>447</v>
      </c>
      <c r="H41" t="s">
        <v>474</v>
      </c>
      <c r="I41" t="s">
        <v>40</v>
      </c>
      <c r="J41" t="s">
        <v>109</v>
      </c>
      <c r="K41" t="s">
        <v>387</v>
      </c>
      <c r="L41" t="s">
        <v>448</v>
      </c>
      <c r="M41" t="s">
        <v>449</v>
      </c>
      <c r="N41" t="s">
        <v>450</v>
      </c>
      <c r="Q41">
        <v>32507</v>
      </c>
      <c r="R41" t="s">
        <v>322</v>
      </c>
      <c r="S41" t="s">
        <v>475</v>
      </c>
      <c r="T41">
        <v>26</v>
      </c>
      <c r="W41" t="s">
        <v>476</v>
      </c>
      <c r="X41" t="s">
        <v>489</v>
      </c>
      <c r="Y41" t="s">
        <v>485</v>
      </c>
      <c r="Z41" s="2" t="s">
        <v>479</v>
      </c>
      <c r="AA41" t="s">
        <v>122</v>
      </c>
      <c r="AB41" t="s">
        <v>486</v>
      </c>
      <c r="AG41" t="s">
        <v>490</v>
      </c>
      <c r="AH41" t="s">
        <v>482</v>
      </c>
      <c r="AI41" t="s">
        <v>491</v>
      </c>
    </row>
    <row r="42" spans="2:35" ht="409.5">
      <c r="B42" s="1">
        <v>46125</v>
      </c>
      <c r="C42" s="1">
        <v>46120</v>
      </c>
      <c r="D42" t="s">
        <v>472</v>
      </c>
      <c r="E42" t="s">
        <v>473</v>
      </c>
      <c r="F42" t="s">
        <v>148</v>
      </c>
      <c r="G42" t="s">
        <v>447</v>
      </c>
      <c r="H42" t="s">
        <v>474</v>
      </c>
      <c r="I42" t="s">
        <v>40</v>
      </c>
      <c r="J42" s="2" t="s">
        <v>190</v>
      </c>
      <c r="K42" t="s">
        <v>387</v>
      </c>
      <c r="L42" t="s">
        <v>448</v>
      </c>
      <c r="M42" t="s">
        <v>449</v>
      </c>
      <c r="N42" t="s">
        <v>450</v>
      </c>
      <c r="Q42">
        <v>32506</v>
      </c>
      <c r="R42" t="s">
        <v>322</v>
      </c>
      <c r="S42" t="s">
        <v>475</v>
      </c>
      <c r="T42">
        <v>27</v>
      </c>
      <c r="W42" t="s">
        <v>390</v>
      </c>
      <c r="X42" t="s">
        <v>492</v>
      </c>
      <c r="Y42" s="2" t="s">
        <v>493</v>
      </c>
      <c r="Z42" s="2" t="s">
        <v>494</v>
      </c>
      <c r="AA42" t="s">
        <v>122</v>
      </c>
      <c r="AB42" s="2" t="s">
        <v>495</v>
      </c>
      <c r="AG42" t="s">
        <v>496</v>
      </c>
      <c r="AH42" t="s">
        <v>482</v>
      </c>
      <c r="AI42" t="s">
        <v>497</v>
      </c>
    </row>
    <row r="43" spans="2:35" ht="105">
      <c r="B43" s="1">
        <v>46125</v>
      </c>
      <c r="C43" s="1">
        <v>46120</v>
      </c>
      <c r="D43" t="s">
        <v>498</v>
      </c>
      <c r="E43" t="s">
        <v>499</v>
      </c>
      <c r="F43">
        <v>7</v>
      </c>
      <c r="G43" t="s">
        <v>432</v>
      </c>
      <c r="H43" t="s">
        <v>500</v>
      </c>
      <c r="I43" t="s">
        <v>40</v>
      </c>
      <c r="J43" s="2" t="s">
        <v>355</v>
      </c>
      <c r="K43" t="s">
        <v>42</v>
      </c>
      <c r="L43" t="s">
        <v>433</v>
      </c>
      <c r="N43" t="s">
        <v>434</v>
      </c>
      <c r="Q43">
        <v>32505</v>
      </c>
      <c r="R43" t="s">
        <v>45</v>
      </c>
      <c r="S43" t="s">
        <v>501</v>
      </c>
      <c r="T43">
        <v>25</v>
      </c>
      <c r="W43" t="s">
        <v>502</v>
      </c>
      <c r="X43">
        <v>815275</v>
      </c>
      <c r="Y43" t="s">
        <v>503</v>
      </c>
      <c r="Z43" s="2" t="s">
        <v>504</v>
      </c>
      <c r="AA43" s="2" t="s">
        <v>504</v>
      </c>
      <c r="AB43" t="s">
        <v>505</v>
      </c>
      <c r="AG43" t="s">
        <v>506</v>
      </c>
      <c r="AH43" t="s">
        <v>507</v>
      </c>
      <c r="AI43" t="s">
        <v>508</v>
      </c>
    </row>
    <row r="44" spans="2:35" ht="180">
      <c r="B44" s="1">
        <v>46122</v>
      </c>
      <c r="C44" s="1">
        <v>46122</v>
      </c>
      <c r="D44" t="s">
        <v>509</v>
      </c>
      <c r="E44" t="s">
        <v>510</v>
      </c>
      <c r="F44" t="s">
        <v>511</v>
      </c>
      <c r="G44" t="s">
        <v>512</v>
      </c>
      <c r="H44" t="s">
        <v>513</v>
      </c>
      <c r="I44" t="s">
        <v>94</v>
      </c>
      <c r="J44" s="2" t="s">
        <v>62</v>
      </c>
      <c r="K44" t="s">
        <v>387</v>
      </c>
      <c r="L44" t="s">
        <v>80</v>
      </c>
      <c r="N44" t="s">
        <v>81</v>
      </c>
      <c r="Q44">
        <v>32504</v>
      </c>
      <c r="R44" t="s">
        <v>95</v>
      </c>
      <c r="S44" t="s">
        <v>514</v>
      </c>
      <c r="T44">
        <v>25</v>
      </c>
      <c r="V44" s="1">
        <v>46119</v>
      </c>
      <c r="W44" t="s">
        <v>476</v>
      </c>
      <c r="X44" t="s">
        <v>515</v>
      </c>
      <c r="Y44" t="s">
        <v>516</v>
      </c>
      <c r="Z44" t="s">
        <v>517</v>
      </c>
      <c r="AA44" s="2" t="s">
        <v>518</v>
      </c>
      <c r="AB44" t="s">
        <v>88</v>
      </c>
      <c r="AD44" t="s">
        <v>519</v>
      </c>
      <c r="AE44" t="s">
        <v>520</v>
      </c>
      <c r="AG44" t="s">
        <v>521</v>
      </c>
      <c r="AH44" t="s">
        <v>522</v>
      </c>
      <c r="AI44" t="s">
        <v>523</v>
      </c>
    </row>
    <row r="45" spans="2:35" ht="165">
      <c r="B45" s="1">
        <v>46122</v>
      </c>
      <c r="C45" s="1">
        <v>46122</v>
      </c>
      <c r="D45" t="s">
        <v>524</v>
      </c>
      <c r="E45" t="s">
        <v>370</v>
      </c>
      <c r="F45" t="s">
        <v>148</v>
      </c>
      <c r="G45" t="s">
        <v>371</v>
      </c>
      <c r="H45" t="s">
        <v>39</v>
      </c>
      <c r="I45" t="s">
        <v>40</v>
      </c>
      <c r="J45" t="s">
        <v>525</v>
      </c>
      <c r="K45" t="s">
        <v>42</v>
      </c>
      <c r="L45" t="s">
        <v>175</v>
      </c>
      <c r="N45" t="s">
        <v>176</v>
      </c>
      <c r="Q45">
        <v>32503</v>
      </c>
      <c r="R45" t="s">
        <v>119</v>
      </c>
      <c r="S45" t="s">
        <v>526</v>
      </c>
      <c r="T45">
        <v>28</v>
      </c>
      <c r="W45" t="s">
        <v>84</v>
      </c>
      <c r="X45">
        <v>831892</v>
      </c>
      <c r="Y45" t="s">
        <v>527</v>
      </c>
      <c r="Z45" s="2" t="s">
        <v>528</v>
      </c>
      <c r="AA45" t="e">
        <f ca="1">- replaced BIOS battery
- disabled boot legacy option
- performed HDD _xludf.and memory test (passed)
- performed self test</f>
        <v>#NAME?</v>
      </c>
      <c r="AB45" s="2" t="s">
        <v>529</v>
      </c>
      <c r="AG45" t="s">
        <v>530</v>
      </c>
      <c r="AH45" t="s">
        <v>531</v>
      </c>
      <c r="AI45" t="s">
        <v>532</v>
      </c>
    </row>
    <row r="46" spans="2:35" ht="105">
      <c r="B46" s="1">
        <v>46122</v>
      </c>
      <c r="C46" s="1">
        <v>46122</v>
      </c>
      <c r="D46" t="s">
        <v>533</v>
      </c>
      <c r="E46" t="s">
        <v>534</v>
      </c>
      <c r="F46">
        <v>3</v>
      </c>
      <c r="G46" t="s">
        <v>174</v>
      </c>
      <c r="H46" t="s">
        <v>39</v>
      </c>
      <c r="I46" t="s">
        <v>40</v>
      </c>
      <c r="J46" t="s">
        <v>109</v>
      </c>
      <c r="K46" t="s">
        <v>42</v>
      </c>
      <c r="L46" t="s">
        <v>175</v>
      </c>
      <c r="N46" t="s">
        <v>176</v>
      </c>
      <c r="Q46">
        <v>32502</v>
      </c>
      <c r="R46" t="s">
        <v>45</v>
      </c>
      <c r="S46" t="s">
        <v>535</v>
      </c>
      <c r="T46">
        <v>25</v>
      </c>
      <c r="W46" t="s">
        <v>536</v>
      </c>
      <c r="X46">
        <v>844111</v>
      </c>
      <c r="Y46" t="s">
        <v>374</v>
      </c>
      <c r="Z46" t="s">
        <v>537</v>
      </c>
      <c r="AA46" t="e">
        <f ca="1">- checked _xludf.and cleaned cartridge bay, plunger rod, _xludf.filter
- generated reports
- performed self test</f>
        <v>#NAME?</v>
      </c>
      <c r="AB46" s="2" t="s">
        <v>538</v>
      </c>
      <c r="AG46" t="s">
        <v>539</v>
      </c>
      <c r="AH46" t="s">
        <v>540</v>
      </c>
      <c r="AI46" t="s">
        <v>541</v>
      </c>
    </row>
    <row r="47" spans="2:35" ht="225">
      <c r="B47" s="1">
        <v>46122</v>
      </c>
      <c r="C47" s="1">
        <v>46120</v>
      </c>
      <c r="D47" t="s">
        <v>542</v>
      </c>
      <c r="E47" t="s">
        <v>543</v>
      </c>
      <c r="F47" t="s">
        <v>148</v>
      </c>
      <c r="G47" t="s">
        <v>544</v>
      </c>
      <c r="H47" t="s">
        <v>39</v>
      </c>
      <c r="I47" t="s">
        <v>40</v>
      </c>
      <c r="J47" t="s">
        <v>109</v>
      </c>
      <c r="K47" t="s">
        <v>42</v>
      </c>
      <c r="L47" t="s">
        <v>43</v>
      </c>
      <c r="N47" t="s">
        <v>44</v>
      </c>
      <c r="Q47">
        <v>32501</v>
      </c>
      <c r="R47" t="s">
        <v>322</v>
      </c>
      <c r="S47" t="s">
        <v>545</v>
      </c>
      <c r="T47">
        <v>22</v>
      </c>
      <c r="U47" s="2" t="s">
        <v>546</v>
      </c>
      <c r="W47" t="s">
        <v>153</v>
      </c>
      <c r="X47">
        <v>120000613</v>
      </c>
      <c r="Y47" t="s">
        <v>121</v>
      </c>
      <c r="Z47" t="s">
        <v>122</v>
      </c>
      <c r="AA47" s="2" t="s">
        <v>547</v>
      </c>
      <c r="AB47" t="s">
        <v>548</v>
      </c>
      <c r="AG47" t="s">
        <v>549</v>
      </c>
      <c r="AH47" t="s">
        <v>550</v>
      </c>
      <c r="AI47" t="s">
        <v>551</v>
      </c>
    </row>
    <row r="48" spans="2:35" ht="225">
      <c r="B48" s="1">
        <v>46122</v>
      </c>
      <c r="C48" s="1">
        <v>46120</v>
      </c>
      <c r="D48" t="s">
        <v>542</v>
      </c>
      <c r="E48" t="s">
        <v>552</v>
      </c>
      <c r="F48" t="s">
        <v>148</v>
      </c>
      <c r="G48" t="s">
        <v>544</v>
      </c>
      <c r="H48" t="s">
        <v>39</v>
      </c>
      <c r="I48" t="s">
        <v>40</v>
      </c>
      <c r="J48" t="s">
        <v>109</v>
      </c>
      <c r="K48" t="s">
        <v>42</v>
      </c>
      <c r="L48" t="s">
        <v>43</v>
      </c>
      <c r="N48" t="s">
        <v>44</v>
      </c>
      <c r="Q48">
        <v>32497</v>
      </c>
      <c r="R48" t="s">
        <v>119</v>
      </c>
      <c r="S48" t="s">
        <v>545</v>
      </c>
      <c r="T48">
        <v>22</v>
      </c>
      <c r="U48" s="2" t="s">
        <v>553</v>
      </c>
      <c r="W48" t="s">
        <v>48</v>
      </c>
      <c r="X48">
        <v>831588</v>
      </c>
      <c r="Y48" t="s">
        <v>121</v>
      </c>
      <c r="Z48" t="s">
        <v>122</v>
      </c>
      <c r="AA48" s="2" t="s">
        <v>547</v>
      </c>
      <c r="AB48" t="s">
        <v>548</v>
      </c>
      <c r="AG48" t="s">
        <v>554</v>
      </c>
      <c r="AH48" t="s">
        <v>550</v>
      </c>
      <c r="AI48" t="s">
        <v>555</v>
      </c>
    </row>
    <row r="49" spans="2:35" ht="195">
      <c r="B49" s="1">
        <v>46122</v>
      </c>
      <c r="C49" s="1">
        <v>46120</v>
      </c>
      <c r="D49" t="s">
        <v>556</v>
      </c>
      <c r="E49" t="s">
        <v>557</v>
      </c>
      <c r="F49" t="s">
        <v>148</v>
      </c>
      <c r="G49" t="s">
        <v>406</v>
      </c>
      <c r="H49" t="s">
        <v>39</v>
      </c>
      <c r="I49" t="s">
        <v>40</v>
      </c>
      <c r="J49" s="2" t="s">
        <v>41</v>
      </c>
      <c r="K49" t="s">
        <v>42</v>
      </c>
      <c r="L49" t="s">
        <v>43</v>
      </c>
      <c r="N49" t="s">
        <v>44</v>
      </c>
      <c r="Q49">
        <v>32496</v>
      </c>
      <c r="R49" t="s">
        <v>119</v>
      </c>
      <c r="S49" t="s">
        <v>558</v>
      </c>
      <c r="T49">
        <v>24</v>
      </c>
      <c r="V49" s="1">
        <v>46120</v>
      </c>
      <c r="W49" t="s">
        <v>48</v>
      </c>
      <c r="X49">
        <v>831638</v>
      </c>
      <c r="Y49" t="s">
        <v>559</v>
      </c>
      <c r="Z49" t="s">
        <v>335</v>
      </c>
      <c r="AA49" s="2" t="s">
        <v>560</v>
      </c>
      <c r="AB49" t="s">
        <v>548</v>
      </c>
      <c r="AD49" s="2" t="s">
        <v>561</v>
      </c>
      <c r="AE49" t="s">
        <v>54</v>
      </c>
      <c r="AG49" t="s">
        <v>562</v>
      </c>
      <c r="AH49" t="s">
        <v>563</v>
      </c>
      <c r="AI49" t="s">
        <v>564</v>
      </c>
    </row>
    <row r="50" spans="2:35" ht="225">
      <c r="B50" s="1">
        <v>46122</v>
      </c>
      <c r="C50" s="1">
        <v>46120</v>
      </c>
      <c r="D50" t="s">
        <v>542</v>
      </c>
      <c r="E50" t="s">
        <v>552</v>
      </c>
      <c r="F50" t="s">
        <v>148</v>
      </c>
      <c r="G50" t="s">
        <v>544</v>
      </c>
      <c r="H50" t="s">
        <v>39</v>
      </c>
      <c r="I50" t="s">
        <v>40</v>
      </c>
      <c r="J50" t="s">
        <v>109</v>
      </c>
      <c r="K50" t="s">
        <v>42</v>
      </c>
      <c r="L50" t="s">
        <v>43</v>
      </c>
      <c r="N50" t="s">
        <v>44</v>
      </c>
      <c r="Q50">
        <v>32500</v>
      </c>
      <c r="R50" t="s">
        <v>322</v>
      </c>
      <c r="S50" t="s">
        <v>545</v>
      </c>
      <c r="T50">
        <v>22</v>
      </c>
      <c r="U50" s="2" t="s">
        <v>565</v>
      </c>
      <c r="W50" t="s">
        <v>153</v>
      </c>
      <c r="X50">
        <v>110016107</v>
      </c>
      <c r="Y50" t="s">
        <v>121</v>
      </c>
      <c r="Z50" t="s">
        <v>122</v>
      </c>
      <c r="AA50" s="2" t="s">
        <v>547</v>
      </c>
      <c r="AB50" t="s">
        <v>566</v>
      </c>
      <c r="AG50" t="s">
        <v>567</v>
      </c>
      <c r="AH50" t="s">
        <v>568</v>
      </c>
      <c r="AI50" t="s">
        <v>569</v>
      </c>
    </row>
    <row r="51" spans="2:35" ht="195">
      <c r="B51" s="1">
        <v>46122</v>
      </c>
      <c r="C51" s="1">
        <v>46120</v>
      </c>
      <c r="D51" t="s">
        <v>542</v>
      </c>
      <c r="E51" t="s">
        <v>552</v>
      </c>
      <c r="F51" t="s">
        <v>148</v>
      </c>
      <c r="G51" t="s">
        <v>544</v>
      </c>
      <c r="H51" t="s">
        <v>39</v>
      </c>
      <c r="I51" t="s">
        <v>40</v>
      </c>
      <c r="J51" s="2" t="s">
        <v>41</v>
      </c>
      <c r="K51" t="s">
        <v>42</v>
      </c>
      <c r="L51" t="s">
        <v>43</v>
      </c>
      <c r="N51" t="s">
        <v>44</v>
      </c>
      <c r="Q51">
        <v>32498</v>
      </c>
      <c r="R51" t="s">
        <v>45</v>
      </c>
      <c r="S51" t="s">
        <v>545</v>
      </c>
      <c r="T51">
        <v>22</v>
      </c>
      <c r="U51" s="2" t="s">
        <v>553</v>
      </c>
      <c r="V51" s="1">
        <v>46120</v>
      </c>
      <c r="W51" t="s">
        <v>48</v>
      </c>
      <c r="X51">
        <v>805211</v>
      </c>
      <c r="Y51" t="s">
        <v>570</v>
      </c>
      <c r="Z51" t="s">
        <v>571</v>
      </c>
      <c r="AA51" s="2" t="s">
        <v>572</v>
      </c>
      <c r="AB51" t="s">
        <v>548</v>
      </c>
      <c r="AD51" s="2" t="s">
        <v>573</v>
      </c>
      <c r="AE51" t="s">
        <v>54</v>
      </c>
      <c r="AG51" t="s">
        <v>574</v>
      </c>
      <c r="AH51" t="s">
        <v>575</v>
      </c>
      <c r="AI51" t="s">
        <v>576</v>
      </c>
    </row>
    <row r="52" spans="2:35" ht="225">
      <c r="B52" s="1">
        <v>46122</v>
      </c>
      <c r="C52" s="1">
        <v>46120</v>
      </c>
      <c r="D52" t="s">
        <v>542</v>
      </c>
      <c r="E52" t="s">
        <v>577</v>
      </c>
      <c r="F52" t="s">
        <v>148</v>
      </c>
      <c r="G52" t="s">
        <v>544</v>
      </c>
      <c r="H52" t="s">
        <v>39</v>
      </c>
      <c r="I52" t="s">
        <v>40</v>
      </c>
      <c r="J52" t="s">
        <v>109</v>
      </c>
      <c r="K52" t="s">
        <v>42</v>
      </c>
      <c r="L52" t="s">
        <v>43</v>
      </c>
      <c r="N52" t="s">
        <v>44</v>
      </c>
      <c r="Q52">
        <v>32499</v>
      </c>
      <c r="R52" t="s">
        <v>45</v>
      </c>
      <c r="S52" t="s">
        <v>545</v>
      </c>
      <c r="T52">
        <v>22</v>
      </c>
      <c r="U52" s="2" t="s">
        <v>578</v>
      </c>
      <c r="W52" t="s">
        <v>153</v>
      </c>
      <c r="X52">
        <v>110020361</v>
      </c>
      <c r="Y52" t="s">
        <v>121</v>
      </c>
      <c r="Z52" t="s">
        <v>122</v>
      </c>
      <c r="AA52" s="2" t="s">
        <v>547</v>
      </c>
      <c r="AB52" t="s">
        <v>548</v>
      </c>
      <c r="AG52" t="s">
        <v>579</v>
      </c>
      <c r="AH52" t="s">
        <v>550</v>
      </c>
      <c r="AI52" t="s">
        <v>580</v>
      </c>
    </row>
    <row r="53" spans="2:35" ht="105">
      <c r="B53" s="1">
        <v>46120</v>
      </c>
      <c r="C53" s="1">
        <v>46120</v>
      </c>
      <c r="D53" t="s">
        <v>581</v>
      </c>
      <c r="E53" t="s">
        <v>582</v>
      </c>
      <c r="F53" t="s">
        <v>148</v>
      </c>
      <c r="G53" t="s">
        <v>447</v>
      </c>
      <c r="H53" t="s">
        <v>39</v>
      </c>
      <c r="I53" t="s">
        <v>40</v>
      </c>
      <c r="J53" t="s">
        <v>583</v>
      </c>
      <c r="K53" t="s">
        <v>42</v>
      </c>
      <c r="L53" t="s">
        <v>175</v>
      </c>
      <c r="N53" t="s">
        <v>584</v>
      </c>
      <c r="Q53">
        <v>32495</v>
      </c>
      <c r="R53" t="s">
        <v>45</v>
      </c>
      <c r="S53" t="s">
        <v>585</v>
      </c>
      <c r="T53">
        <v>27</v>
      </c>
      <c r="W53" t="s">
        <v>84</v>
      </c>
      <c r="X53">
        <v>831719</v>
      </c>
      <c r="Y53" t="s">
        <v>586</v>
      </c>
      <c r="Z53" t="s">
        <v>587</v>
      </c>
      <c r="AA53" t="e">
        <f ca="1">- installed UPS
- installed GX system
- performed self test
- generated reports</f>
        <v>#NAME?</v>
      </c>
      <c r="AB53" s="2" t="s">
        <v>588</v>
      </c>
      <c r="AG53" t="s">
        <v>589</v>
      </c>
      <c r="AH53" t="s">
        <v>590</v>
      </c>
      <c r="AI53" t="s">
        <v>591</v>
      </c>
    </row>
    <row r="54" spans="2:35" ht="195">
      <c r="B54" s="1">
        <v>46120</v>
      </c>
      <c r="C54" s="1">
        <v>46120</v>
      </c>
      <c r="D54" t="s">
        <v>592</v>
      </c>
      <c r="E54" t="s">
        <v>593</v>
      </c>
      <c r="F54">
        <v>7</v>
      </c>
      <c r="G54" t="s">
        <v>269</v>
      </c>
      <c r="H54" t="s">
        <v>39</v>
      </c>
      <c r="I54" t="s">
        <v>94</v>
      </c>
      <c r="J54" s="2" t="s">
        <v>62</v>
      </c>
      <c r="K54" t="s">
        <v>42</v>
      </c>
      <c r="L54" t="s">
        <v>594</v>
      </c>
      <c r="N54" t="s">
        <v>595</v>
      </c>
      <c r="O54" t="s">
        <v>595</v>
      </c>
      <c r="Q54">
        <v>32494</v>
      </c>
      <c r="R54" t="s">
        <v>95</v>
      </c>
      <c r="S54" t="s">
        <v>596</v>
      </c>
      <c r="T54">
        <v>26</v>
      </c>
      <c r="V54" s="1">
        <v>46120</v>
      </c>
      <c r="W54" t="s">
        <v>597</v>
      </c>
      <c r="X54">
        <v>821471</v>
      </c>
      <c r="Y54" t="s">
        <v>598</v>
      </c>
      <c r="Z54" s="2" t="s">
        <v>599</v>
      </c>
      <c r="AA54" s="2" t="s">
        <v>600</v>
      </c>
      <c r="AB54" s="2" t="s">
        <v>601</v>
      </c>
      <c r="AC54" t="s">
        <v>602</v>
      </c>
      <c r="AG54" t="s">
        <v>603</v>
      </c>
      <c r="AH54" t="s">
        <v>604</v>
      </c>
      <c r="AI54" t="s">
        <v>605</v>
      </c>
    </row>
    <row r="55" spans="2:35" ht="409.5">
      <c r="B55" s="1">
        <v>46120</v>
      </c>
      <c r="C55" s="1">
        <v>46120</v>
      </c>
      <c r="D55" t="s">
        <v>606</v>
      </c>
      <c r="E55" t="s">
        <v>607</v>
      </c>
      <c r="F55">
        <v>7</v>
      </c>
      <c r="G55" t="s">
        <v>432</v>
      </c>
      <c r="H55" t="s">
        <v>608</v>
      </c>
      <c r="I55" t="s">
        <v>40</v>
      </c>
      <c r="J55" s="2" t="s">
        <v>609</v>
      </c>
      <c r="K55" t="s">
        <v>42</v>
      </c>
      <c r="L55" t="s">
        <v>610</v>
      </c>
      <c r="N55" t="s">
        <v>611</v>
      </c>
      <c r="O55" t="s">
        <v>612</v>
      </c>
      <c r="Q55">
        <v>32493</v>
      </c>
      <c r="R55" t="s">
        <v>119</v>
      </c>
      <c r="S55" t="s">
        <v>613</v>
      </c>
      <c r="T55">
        <v>24</v>
      </c>
      <c r="U55" s="2" t="s">
        <v>614</v>
      </c>
      <c r="W55" t="s">
        <v>360</v>
      </c>
      <c r="X55">
        <v>838559</v>
      </c>
      <c r="Y55" s="2" t="s">
        <v>615</v>
      </c>
      <c r="Z55" s="2" t="s">
        <v>616</v>
      </c>
      <c r="AA55" t="e">
        <f ca="1">- Generate system _xludf.Log, IQR, _xludf.and Gxx.
- Back database _xludf.and archived files.
- _xludf.Clean up _xludf.filter _xludf.and monitor temperature during the visit.</f>
        <v>#NAME?</v>
      </c>
      <c r="AB55" t="s">
        <v>617</v>
      </c>
      <c r="AG55" t="s">
        <v>618</v>
      </c>
      <c r="AH55" t="s">
        <v>606</v>
      </c>
      <c r="AI55" t="s">
        <v>619</v>
      </c>
    </row>
    <row r="56" spans="2:35" ht="330">
      <c r="B56" s="1">
        <v>46120</v>
      </c>
      <c r="C56" s="1">
        <v>46120</v>
      </c>
      <c r="D56" t="s">
        <v>620</v>
      </c>
      <c r="E56" t="s">
        <v>582</v>
      </c>
      <c r="F56" t="s">
        <v>148</v>
      </c>
      <c r="G56" t="s">
        <v>447</v>
      </c>
      <c r="H56" t="s">
        <v>39</v>
      </c>
      <c r="I56" t="s">
        <v>40</v>
      </c>
      <c r="J56" t="s">
        <v>321</v>
      </c>
      <c r="K56" t="s">
        <v>42</v>
      </c>
      <c r="L56" t="s">
        <v>175</v>
      </c>
      <c r="N56" t="s">
        <v>176</v>
      </c>
      <c r="Q56">
        <v>32492</v>
      </c>
      <c r="R56" t="s">
        <v>45</v>
      </c>
      <c r="S56" t="s">
        <v>621</v>
      </c>
      <c r="T56">
        <v>34</v>
      </c>
      <c r="W56" t="s">
        <v>84</v>
      </c>
      <c r="X56">
        <v>804688</v>
      </c>
      <c r="Y56" t="s">
        <v>622</v>
      </c>
      <c r="Z56" t="s">
        <v>623</v>
      </c>
      <c r="AA56" t="e">
        <f ca="1">- installed GX
- checked _xludf.and cleaned cartridge bay, plunger rod, _xludf.filter
- generated reports</f>
        <v>#NAME?</v>
      </c>
      <c r="AB56" s="2" t="s">
        <v>624</v>
      </c>
      <c r="AG56" t="s">
        <v>625</v>
      </c>
      <c r="AH56" t="s">
        <v>626</v>
      </c>
      <c r="AI56" t="s">
        <v>627</v>
      </c>
    </row>
    <row r="57" spans="2:35">
      <c r="B57" s="1">
        <v>46120</v>
      </c>
      <c r="C57" s="1">
        <v>46120</v>
      </c>
      <c r="D57" t="s">
        <v>628</v>
      </c>
      <c r="E57" t="s">
        <v>629</v>
      </c>
      <c r="F57">
        <v>8</v>
      </c>
      <c r="G57" t="s">
        <v>630</v>
      </c>
      <c r="H57" t="s">
        <v>631</v>
      </c>
      <c r="I57" t="s">
        <v>40</v>
      </c>
      <c r="J57" t="s">
        <v>109</v>
      </c>
      <c r="K57" t="s">
        <v>42</v>
      </c>
      <c r="L57" t="s">
        <v>259</v>
      </c>
      <c r="N57" t="s">
        <v>632</v>
      </c>
      <c r="Q57">
        <v>32491</v>
      </c>
      <c r="R57" t="s">
        <v>45</v>
      </c>
      <c r="S57" t="s">
        <v>633</v>
      </c>
      <c r="T57">
        <v>28</v>
      </c>
      <c r="V57" s="1">
        <v>46120</v>
      </c>
      <c r="W57" t="s">
        <v>634</v>
      </c>
      <c r="X57">
        <v>835061</v>
      </c>
      <c r="Y57" t="s">
        <v>263</v>
      </c>
      <c r="Z57" t="s">
        <v>263</v>
      </c>
      <c r="AA57" t="e">
        <f ca="1">- Site assessment
- Preventive Maintenance</f>
        <v>#NAME?</v>
      </c>
      <c r="AB57" t="e">
        <f ca="1">- Unit is operational
- Out of warranty</f>
        <v>#NAME?</v>
      </c>
      <c r="AG57" t="s">
        <v>635</v>
      </c>
      <c r="AH57" t="s">
        <v>636</v>
      </c>
      <c r="AI57" t="s">
        <v>637</v>
      </c>
    </row>
    <row r="58" spans="2:35" ht="225">
      <c r="B58" s="1">
        <v>46120</v>
      </c>
      <c r="C58" s="1">
        <v>46120</v>
      </c>
      <c r="D58" t="s">
        <v>638</v>
      </c>
      <c r="E58" t="s">
        <v>639</v>
      </c>
      <c r="F58">
        <v>3</v>
      </c>
      <c r="G58" t="s">
        <v>284</v>
      </c>
      <c r="H58" t="s">
        <v>39</v>
      </c>
      <c r="I58" t="s">
        <v>40</v>
      </c>
      <c r="J58" s="2" t="s">
        <v>41</v>
      </c>
      <c r="K58" t="s">
        <v>42</v>
      </c>
      <c r="L58" t="s">
        <v>135</v>
      </c>
      <c r="N58" t="s">
        <v>136</v>
      </c>
      <c r="Q58">
        <v>32490</v>
      </c>
      <c r="R58" t="s">
        <v>119</v>
      </c>
      <c r="S58" t="s">
        <v>640</v>
      </c>
      <c r="T58">
        <v>25</v>
      </c>
      <c r="W58" t="s">
        <v>138</v>
      </c>
      <c r="X58">
        <v>831894</v>
      </c>
      <c r="Y58" t="s">
        <v>641</v>
      </c>
      <c r="Z58" s="2" t="s">
        <v>140</v>
      </c>
      <c r="AA58" s="2" t="s">
        <v>642</v>
      </c>
      <c r="AB58" s="2" t="s">
        <v>643</v>
      </c>
      <c r="AG58" t="s">
        <v>644</v>
      </c>
      <c r="AH58" t="s">
        <v>645</v>
      </c>
      <c r="AI58" t="s">
        <v>646</v>
      </c>
    </row>
    <row r="59" spans="2:35" ht="240">
      <c r="B59" s="1">
        <v>46120</v>
      </c>
      <c r="C59" s="1">
        <v>46118</v>
      </c>
      <c r="D59" t="s">
        <v>647</v>
      </c>
      <c r="E59" t="s">
        <v>648</v>
      </c>
      <c r="F59" t="s">
        <v>148</v>
      </c>
      <c r="G59" t="s">
        <v>447</v>
      </c>
      <c r="H59" t="s">
        <v>39</v>
      </c>
      <c r="I59" t="s">
        <v>40</v>
      </c>
      <c r="J59" t="s">
        <v>525</v>
      </c>
      <c r="K59" t="s">
        <v>649</v>
      </c>
      <c r="L59" t="s">
        <v>448</v>
      </c>
      <c r="N59" t="s">
        <v>650</v>
      </c>
      <c r="Q59">
        <v>32489</v>
      </c>
      <c r="R59" t="s">
        <v>95</v>
      </c>
      <c r="S59" t="s">
        <v>651</v>
      </c>
      <c r="T59">
        <v>35</v>
      </c>
      <c r="W59" t="s">
        <v>652</v>
      </c>
      <c r="X59">
        <v>160414501161220</v>
      </c>
      <c r="Y59" s="2" t="s">
        <v>653</v>
      </c>
      <c r="Z59" s="2" t="s">
        <v>654</v>
      </c>
      <c r="AA59" t="s">
        <v>655</v>
      </c>
      <c r="AB59" t="s">
        <v>656</v>
      </c>
      <c r="AG59" t="s">
        <v>657</v>
      </c>
      <c r="AH59" t="s">
        <v>658</v>
      </c>
      <c r="AI59" t="s">
        <v>659</v>
      </c>
    </row>
    <row r="60" spans="2:35" ht="330">
      <c r="B60" s="1">
        <v>46120</v>
      </c>
      <c r="C60" s="1">
        <v>46119</v>
      </c>
      <c r="D60" t="s">
        <v>660</v>
      </c>
      <c r="E60" t="s">
        <v>661</v>
      </c>
      <c r="F60" t="s">
        <v>148</v>
      </c>
      <c r="G60" t="s">
        <v>447</v>
      </c>
      <c r="H60" t="s">
        <v>662</v>
      </c>
      <c r="I60" t="s">
        <v>40</v>
      </c>
      <c r="J60" t="s">
        <v>79</v>
      </c>
      <c r="K60" t="s">
        <v>42</v>
      </c>
      <c r="L60" t="s">
        <v>448</v>
      </c>
      <c r="N60" t="s">
        <v>450</v>
      </c>
      <c r="O60" t="s">
        <v>663</v>
      </c>
      <c r="Q60">
        <v>32488</v>
      </c>
      <c r="R60" t="s">
        <v>45</v>
      </c>
      <c r="S60" t="s">
        <v>664</v>
      </c>
      <c r="T60">
        <v>26</v>
      </c>
      <c r="U60" s="2" t="s">
        <v>665</v>
      </c>
      <c r="V60" s="1">
        <v>46119</v>
      </c>
      <c r="W60" t="s">
        <v>666</v>
      </c>
      <c r="X60">
        <v>803109</v>
      </c>
      <c r="Y60" t="s">
        <v>667</v>
      </c>
      <c r="Z60" s="2" t="s">
        <v>668</v>
      </c>
      <c r="AA60" t="s">
        <v>456</v>
      </c>
      <c r="AB60" s="2" t="s">
        <v>669</v>
      </c>
      <c r="AD60" t="s">
        <v>670</v>
      </c>
      <c r="AE60" t="s">
        <v>449</v>
      </c>
      <c r="AG60" t="s">
        <v>671</v>
      </c>
      <c r="AH60" t="s">
        <v>672</v>
      </c>
      <c r="AI60" t="s">
        <v>673</v>
      </c>
    </row>
    <row r="61" spans="2:35" ht="195">
      <c r="B61" s="1">
        <v>46120</v>
      </c>
      <c r="C61" s="1">
        <v>46119</v>
      </c>
      <c r="D61" t="s">
        <v>674</v>
      </c>
      <c r="E61" t="s">
        <v>661</v>
      </c>
      <c r="F61" t="s">
        <v>148</v>
      </c>
      <c r="G61" t="s">
        <v>447</v>
      </c>
      <c r="H61" t="s">
        <v>39</v>
      </c>
      <c r="I61" t="s">
        <v>40</v>
      </c>
      <c r="J61" s="2" t="s">
        <v>190</v>
      </c>
      <c r="K61" t="s">
        <v>42</v>
      </c>
      <c r="L61" t="s">
        <v>448</v>
      </c>
      <c r="N61" t="s">
        <v>450</v>
      </c>
      <c r="Q61">
        <v>32487</v>
      </c>
      <c r="R61" t="s">
        <v>322</v>
      </c>
      <c r="S61" t="s">
        <v>675</v>
      </c>
      <c r="T61">
        <v>22</v>
      </c>
      <c r="U61" s="2" t="s">
        <v>676</v>
      </c>
      <c r="W61" t="s">
        <v>677</v>
      </c>
      <c r="X61">
        <v>110027248</v>
      </c>
      <c r="Y61" t="s">
        <v>678</v>
      </c>
      <c r="Z61" s="2" t="s">
        <v>679</v>
      </c>
      <c r="AA61" t="s">
        <v>680</v>
      </c>
      <c r="AB61" t="s">
        <v>486</v>
      </c>
      <c r="AG61" t="s">
        <v>681</v>
      </c>
      <c r="AH61" t="s">
        <v>682</v>
      </c>
      <c r="AI61" t="s">
        <v>683</v>
      </c>
    </row>
    <row r="62" spans="2:35" ht="255">
      <c r="B62" s="1">
        <v>46120</v>
      </c>
      <c r="C62" s="1">
        <v>46120</v>
      </c>
      <c r="D62" t="s">
        <v>684</v>
      </c>
      <c r="E62" t="s">
        <v>685</v>
      </c>
      <c r="F62">
        <v>3</v>
      </c>
      <c r="G62" t="s">
        <v>284</v>
      </c>
      <c r="H62" t="s">
        <v>39</v>
      </c>
      <c r="I62" t="s">
        <v>40</v>
      </c>
      <c r="J62" s="2" t="s">
        <v>41</v>
      </c>
      <c r="K62" t="s">
        <v>42</v>
      </c>
      <c r="L62" t="s">
        <v>135</v>
      </c>
      <c r="N62" t="s">
        <v>136</v>
      </c>
      <c r="Q62">
        <v>32486</v>
      </c>
      <c r="R62" t="s">
        <v>45</v>
      </c>
      <c r="S62" t="s">
        <v>686</v>
      </c>
      <c r="T62">
        <v>25</v>
      </c>
      <c r="W62" t="s">
        <v>138</v>
      </c>
      <c r="X62">
        <v>805124</v>
      </c>
      <c r="Y62" s="2" t="s">
        <v>687</v>
      </c>
      <c r="Z62" s="2" t="s">
        <v>140</v>
      </c>
      <c r="AA62" s="2" t="s">
        <v>287</v>
      </c>
      <c r="AB62" s="2" t="s">
        <v>688</v>
      </c>
      <c r="AG62" t="s">
        <v>689</v>
      </c>
      <c r="AH62" t="s">
        <v>690</v>
      </c>
      <c r="AI62" t="s">
        <v>691</v>
      </c>
    </row>
    <row r="63" spans="2:35" ht="225">
      <c r="B63" s="1">
        <v>46120</v>
      </c>
      <c r="C63" s="1">
        <v>46120</v>
      </c>
      <c r="D63" t="s">
        <v>692</v>
      </c>
      <c r="E63" t="s">
        <v>693</v>
      </c>
      <c r="F63">
        <v>3</v>
      </c>
      <c r="G63" t="s">
        <v>284</v>
      </c>
      <c r="H63" t="s">
        <v>694</v>
      </c>
      <c r="I63" t="s">
        <v>40</v>
      </c>
      <c r="J63" s="2" t="s">
        <v>41</v>
      </c>
      <c r="K63" t="s">
        <v>42</v>
      </c>
      <c r="L63" t="s">
        <v>135</v>
      </c>
      <c r="N63" t="s">
        <v>136</v>
      </c>
      <c r="Q63">
        <v>32485</v>
      </c>
      <c r="R63" t="s">
        <v>119</v>
      </c>
      <c r="S63" t="s">
        <v>695</v>
      </c>
      <c r="T63">
        <v>28</v>
      </c>
      <c r="W63" t="s">
        <v>138</v>
      </c>
      <c r="X63">
        <v>831729</v>
      </c>
      <c r="Y63" t="s">
        <v>696</v>
      </c>
      <c r="Z63" s="2" t="s">
        <v>140</v>
      </c>
      <c r="AA63" s="2" t="s">
        <v>697</v>
      </c>
      <c r="AB63" s="2" t="s">
        <v>698</v>
      </c>
      <c r="AG63" t="s">
        <v>699</v>
      </c>
      <c r="AH63" t="s">
        <v>700</v>
      </c>
      <c r="AI63" t="s">
        <v>701</v>
      </c>
    </row>
    <row r="64" spans="2:35" ht="315">
      <c r="B64" s="1">
        <v>46119</v>
      </c>
      <c r="C64" s="1">
        <v>46119</v>
      </c>
      <c r="D64" t="s">
        <v>702</v>
      </c>
      <c r="E64" t="s">
        <v>229</v>
      </c>
      <c r="F64" t="s">
        <v>148</v>
      </c>
      <c r="G64" t="s">
        <v>230</v>
      </c>
      <c r="H64" t="s">
        <v>39</v>
      </c>
      <c r="I64" t="s">
        <v>40</v>
      </c>
      <c r="J64" s="2" t="s">
        <v>41</v>
      </c>
      <c r="K64" t="s">
        <v>42</v>
      </c>
      <c r="L64" t="s">
        <v>175</v>
      </c>
      <c r="N64" t="s">
        <v>176</v>
      </c>
      <c r="Q64">
        <v>32484</v>
      </c>
      <c r="R64" t="s">
        <v>703</v>
      </c>
      <c r="S64" t="s">
        <v>704</v>
      </c>
      <c r="T64">
        <v>27</v>
      </c>
      <c r="V64" s="1">
        <v>46119</v>
      </c>
      <c r="W64" t="s">
        <v>84</v>
      </c>
      <c r="X64">
        <v>110008420</v>
      </c>
      <c r="Y64" t="s">
        <v>705</v>
      </c>
      <c r="Z64" t="s">
        <v>179</v>
      </c>
      <c r="AA64" s="2" t="s">
        <v>706</v>
      </c>
      <c r="AB64" t="s">
        <v>181</v>
      </c>
      <c r="AD64" s="2" t="s">
        <v>707</v>
      </c>
      <c r="AE64">
        <v>102479</v>
      </c>
      <c r="AG64" t="s">
        <v>708</v>
      </c>
      <c r="AH64" t="s">
        <v>709</v>
      </c>
      <c r="AI64" t="s">
        <v>710</v>
      </c>
    </row>
    <row r="65" spans="2:35" ht="315">
      <c r="B65" s="1">
        <v>46119</v>
      </c>
      <c r="C65" s="1">
        <v>46119</v>
      </c>
      <c r="D65" t="s">
        <v>702</v>
      </c>
      <c r="E65" t="s">
        <v>229</v>
      </c>
      <c r="F65" t="s">
        <v>148</v>
      </c>
      <c r="G65" t="s">
        <v>230</v>
      </c>
      <c r="H65" t="s">
        <v>39</v>
      </c>
      <c r="I65" t="s">
        <v>40</v>
      </c>
      <c r="J65" s="2" t="s">
        <v>41</v>
      </c>
      <c r="K65" t="s">
        <v>42</v>
      </c>
      <c r="L65" t="s">
        <v>175</v>
      </c>
      <c r="N65" t="s">
        <v>176</v>
      </c>
      <c r="Q65">
        <v>32483</v>
      </c>
      <c r="R65" t="s">
        <v>703</v>
      </c>
      <c r="S65" t="s">
        <v>704</v>
      </c>
      <c r="T65">
        <v>27</v>
      </c>
      <c r="V65" s="1">
        <v>46119</v>
      </c>
      <c r="W65" t="s">
        <v>84</v>
      </c>
      <c r="X65">
        <v>110008415</v>
      </c>
      <c r="Y65" t="s">
        <v>711</v>
      </c>
      <c r="Z65" t="s">
        <v>712</v>
      </c>
      <c r="AA65" s="2" t="s">
        <v>713</v>
      </c>
      <c r="AB65" t="s">
        <v>181</v>
      </c>
      <c r="AD65" s="2" t="s">
        <v>714</v>
      </c>
      <c r="AE65">
        <v>102479</v>
      </c>
      <c r="AG65" t="s">
        <v>715</v>
      </c>
      <c r="AH65" t="s">
        <v>709</v>
      </c>
      <c r="AI65" t="s">
        <v>716</v>
      </c>
    </row>
    <row r="66" spans="2:35" ht="390">
      <c r="B66" s="1">
        <v>46119</v>
      </c>
      <c r="C66" s="1">
        <v>46119</v>
      </c>
      <c r="D66" t="s">
        <v>717</v>
      </c>
      <c r="E66" t="s">
        <v>718</v>
      </c>
      <c r="F66">
        <v>7</v>
      </c>
      <c r="G66" t="s">
        <v>432</v>
      </c>
      <c r="H66" t="s">
        <v>258</v>
      </c>
      <c r="I66" t="s">
        <v>40</v>
      </c>
      <c r="J66" t="s">
        <v>525</v>
      </c>
      <c r="K66" t="s">
        <v>42</v>
      </c>
      <c r="L66" t="s">
        <v>594</v>
      </c>
      <c r="N66" t="s">
        <v>595</v>
      </c>
      <c r="O66" t="s">
        <v>595</v>
      </c>
      <c r="Q66">
        <v>32482</v>
      </c>
      <c r="R66" t="s">
        <v>719</v>
      </c>
      <c r="S66" t="s">
        <v>720</v>
      </c>
      <c r="T66">
        <v>22.7</v>
      </c>
      <c r="W66" t="s">
        <v>597</v>
      </c>
      <c r="X66">
        <v>847333</v>
      </c>
      <c r="Y66" t="s">
        <v>721</v>
      </c>
      <c r="Z66" s="2" t="s">
        <v>722</v>
      </c>
      <c r="AA66" s="2" t="s">
        <v>723</v>
      </c>
      <c r="AB66" t="s">
        <v>724</v>
      </c>
      <c r="AG66" t="s">
        <v>725</v>
      </c>
      <c r="AH66" t="s">
        <v>726</v>
      </c>
      <c r="AI66" t="s">
        <v>727</v>
      </c>
    </row>
    <row r="67" spans="2:35" ht="255">
      <c r="B67" s="1">
        <v>46119</v>
      </c>
      <c r="C67" s="1">
        <v>46119</v>
      </c>
      <c r="D67" t="s">
        <v>728</v>
      </c>
      <c r="E67" t="s">
        <v>729</v>
      </c>
      <c r="F67">
        <v>3</v>
      </c>
      <c r="G67" t="s">
        <v>730</v>
      </c>
      <c r="H67" t="s">
        <v>39</v>
      </c>
      <c r="I67" t="s">
        <v>40</v>
      </c>
      <c r="J67" s="2" t="s">
        <v>41</v>
      </c>
      <c r="K67" t="s">
        <v>42</v>
      </c>
      <c r="L67" t="s">
        <v>135</v>
      </c>
      <c r="N67" t="s">
        <v>136</v>
      </c>
      <c r="Q67">
        <v>32481</v>
      </c>
      <c r="R67" t="s">
        <v>119</v>
      </c>
      <c r="S67" t="s">
        <v>731</v>
      </c>
      <c r="T67">
        <v>26</v>
      </c>
      <c r="W67" t="s">
        <v>138</v>
      </c>
      <c r="X67">
        <v>831721</v>
      </c>
      <c r="Y67" t="s">
        <v>732</v>
      </c>
      <c r="Z67" s="2" t="s">
        <v>140</v>
      </c>
      <c r="AA67" s="2" t="s">
        <v>287</v>
      </c>
      <c r="AB67" s="2" t="s">
        <v>733</v>
      </c>
      <c r="AG67" t="s">
        <v>734</v>
      </c>
      <c r="AH67" t="s">
        <v>735</v>
      </c>
      <c r="AI67" t="s">
        <v>736</v>
      </c>
    </row>
    <row r="68" spans="2:35" ht="120">
      <c r="B68" s="1">
        <v>46119</v>
      </c>
      <c r="C68" s="1">
        <v>46119</v>
      </c>
      <c r="D68" t="s">
        <v>737</v>
      </c>
      <c r="E68" t="s">
        <v>738</v>
      </c>
      <c r="F68">
        <v>8</v>
      </c>
      <c r="G68" t="s">
        <v>630</v>
      </c>
      <c r="H68" t="s">
        <v>258</v>
      </c>
      <c r="I68" t="s">
        <v>40</v>
      </c>
      <c r="J68" s="2" t="s">
        <v>739</v>
      </c>
      <c r="K68" t="s">
        <v>42</v>
      </c>
      <c r="L68" t="s">
        <v>259</v>
      </c>
      <c r="N68" t="s">
        <v>260</v>
      </c>
      <c r="Q68">
        <v>32480</v>
      </c>
      <c r="R68" t="s">
        <v>45</v>
      </c>
      <c r="S68" t="s">
        <v>740</v>
      </c>
      <c r="T68">
        <v>26</v>
      </c>
      <c r="W68" t="s">
        <v>741</v>
      </c>
      <c r="X68">
        <v>835060</v>
      </c>
      <c r="Y68" t="s">
        <v>742</v>
      </c>
      <c r="Z68" t="e">
        <f ca="1">- PM
- Troubleshooting</f>
        <v>#NAME?</v>
      </c>
      <c r="AA68" t="e">
        <f ca="1">- Troubleshooting
- Site assessment
- Data Collection</f>
        <v>#NAME?</v>
      </c>
      <c r="AB68" t="e">
        <f ca="1">- Unit is operational
- Out of warranty</f>
        <v>#NAME?</v>
      </c>
      <c r="AG68" t="s">
        <v>743</v>
      </c>
      <c r="AH68" t="s">
        <v>744</v>
      </c>
      <c r="AI68" t="s">
        <v>745</v>
      </c>
    </row>
    <row r="69" spans="2:35" ht="330">
      <c r="B69" s="1">
        <v>46119</v>
      </c>
      <c r="C69" s="1">
        <v>46119</v>
      </c>
      <c r="D69" t="s">
        <v>746</v>
      </c>
      <c r="E69" t="s">
        <v>747</v>
      </c>
      <c r="F69" t="s">
        <v>37</v>
      </c>
      <c r="G69" t="s">
        <v>748</v>
      </c>
      <c r="H69" t="s">
        <v>39</v>
      </c>
      <c r="I69" t="s">
        <v>40</v>
      </c>
      <c r="J69" t="s">
        <v>321</v>
      </c>
      <c r="K69" t="s">
        <v>42</v>
      </c>
      <c r="L69" t="s">
        <v>43</v>
      </c>
      <c r="N69" t="s">
        <v>44</v>
      </c>
      <c r="Q69">
        <v>32479</v>
      </c>
      <c r="R69" t="s">
        <v>322</v>
      </c>
      <c r="S69" t="s">
        <v>749</v>
      </c>
      <c r="T69">
        <v>24</v>
      </c>
      <c r="W69" t="s">
        <v>153</v>
      </c>
      <c r="X69">
        <v>120007702</v>
      </c>
      <c r="Y69" t="s">
        <v>750</v>
      </c>
      <c r="Z69" t="s">
        <v>751</v>
      </c>
      <c r="AA69" s="2" t="s">
        <v>752</v>
      </c>
      <c r="AB69" t="s">
        <v>753</v>
      </c>
      <c r="AG69" t="s">
        <v>754</v>
      </c>
      <c r="AH69" t="s">
        <v>755</v>
      </c>
      <c r="AI69" t="s">
        <v>756</v>
      </c>
    </row>
    <row r="70" spans="2:35" ht="195">
      <c r="B70" s="1">
        <v>46118</v>
      </c>
      <c r="C70" s="1">
        <v>46107</v>
      </c>
      <c r="D70" t="s">
        <v>757</v>
      </c>
      <c r="E70" t="s">
        <v>758</v>
      </c>
      <c r="F70">
        <v>5</v>
      </c>
      <c r="G70" t="s">
        <v>759</v>
      </c>
      <c r="H70" t="s">
        <v>39</v>
      </c>
      <c r="I70" t="s">
        <v>40</v>
      </c>
      <c r="J70" s="2" t="s">
        <v>760</v>
      </c>
      <c r="K70" t="s">
        <v>42</v>
      </c>
      <c r="L70" t="s">
        <v>761</v>
      </c>
      <c r="N70" t="s">
        <v>762</v>
      </c>
      <c r="Q70">
        <v>32478</v>
      </c>
      <c r="R70" t="s">
        <v>45</v>
      </c>
      <c r="S70" t="s">
        <v>763</v>
      </c>
      <c r="T70">
        <v>29</v>
      </c>
      <c r="U70" s="2" t="s">
        <v>764</v>
      </c>
      <c r="W70" t="s">
        <v>765</v>
      </c>
      <c r="X70">
        <v>808280</v>
      </c>
      <c r="Y70" s="2" t="s">
        <v>766</v>
      </c>
      <c r="Z70" s="2" t="s">
        <v>767</v>
      </c>
      <c r="AA70" t="s">
        <v>768</v>
      </c>
      <c r="AB70" t="s">
        <v>181</v>
      </c>
      <c r="AG70" t="s">
        <v>769</v>
      </c>
      <c r="AH70" t="s">
        <v>770</v>
      </c>
      <c r="AI70" t="s">
        <v>771</v>
      </c>
    </row>
    <row r="71" spans="2:35" ht="225">
      <c r="B71" s="1">
        <v>46118</v>
      </c>
      <c r="C71" s="1">
        <v>46113</v>
      </c>
      <c r="D71" t="s">
        <v>772</v>
      </c>
      <c r="E71" t="s">
        <v>773</v>
      </c>
      <c r="F71" t="s">
        <v>148</v>
      </c>
      <c r="G71" t="s">
        <v>774</v>
      </c>
      <c r="H71" t="s">
        <v>39</v>
      </c>
      <c r="I71" t="s">
        <v>40</v>
      </c>
      <c r="J71" s="2" t="s">
        <v>41</v>
      </c>
      <c r="K71" t="s">
        <v>42</v>
      </c>
      <c r="L71" t="s">
        <v>43</v>
      </c>
      <c r="N71" t="s">
        <v>44</v>
      </c>
      <c r="Q71">
        <v>32476</v>
      </c>
      <c r="R71" t="s">
        <v>119</v>
      </c>
      <c r="S71" t="s">
        <v>775</v>
      </c>
      <c r="T71">
        <v>22</v>
      </c>
      <c r="V71" s="1">
        <v>46113</v>
      </c>
      <c r="W71" t="s">
        <v>48</v>
      </c>
      <c r="X71">
        <v>831913</v>
      </c>
      <c r="Y71" t="s">
        <v>776</v>
      </c>
      <c r="Z71" t="s">
        <v>777</v>
      </c>
      <c r="AA71" s="2" t="s">
        <v>778</v>
      </c>
      <c r="AB71" t="s">
        <v>548</v>
      </c>
      <c r="AD71" s="2" t="s">
        <v>779</v>
      </c>
      <c r="AE71" t="s">
        <v>54</v>
      </c>
      <c r="AG71" t="s">
        <v>780</v>
      </c>
      <c r="AH71" t="s">
        <v>781</v>
      </c>
      <c r="AI71" t="s">
        <v>782</v>
      </c>
    </row>
    <row r="72" spans="2:35" ht="225">
      <c r="B72" s="1">
        <v>46118</v>
      </c>
      <c r="C72" s="1">
        <v>46112</v>
      </c>
      <c r="D72" t="s">
        <v>783</v>
      </c>
      <c r="E72" t="s">
        <v>784</v>
      </c>
      <c r="F72" t="s">
        <v>148</v>
      </c>
      <c r="G72" t="s">
        <v>785</v>
      </c>
      <c r="H72" t="s">
        <v>39</v>
      </c>
      <c r="I72" t="s">
        <v>40</v>
      </c>
      <c r="J72" s="2" t="s">
        <v>190</v>
      </c>
      <c r="K72" t="s">
        <v>42</v>
      </c>
      <c r="L72" t="s">
        <v>43</v>
      </c>
      <c r="N72" t="s">
        <v>44</v>
      </c>
      <c r="O72" t="s">
        <v>786</v>
      </c>
      <c r="Q72">
        <v>32474</v>
      </c>
      <c r="R72" t="s">
        <v>322</v>
      </c>
      <c r="S72" t="s">
        <v>787</v>
      </c>
      <c r="T72">
        <v>24</v>
      </c>
      <c r="U72" s="2" t="s">
        <v>788</v>
      </c>
      <c r="W72" t="s">
        <v>153</v>
      </c>
      <c r="X72">
        <v>110025128</v>
      </c>
      <c r="Y72" t="s">
        <v>789</v>
      </c>
      <c r="Z72" t="s">
        <v>122</v>
      </c>
      <c r="AA72" s="2" t="s">
        <v>790</v>
      </c>
      <c r="AB72" t="s">
        <v>791</v>
      </c>
      <c r="AG72" t="s">
        <v>792</v>
      </c>
      <c r="AH72" t="s">
        <v>793</v>
      </c>
      <c r="AI72" t="s">
        <v>794</v>
      </c>
    </row>
    <row r="73" spans="2:35" ht="330">
      <c r="B73" s="1">
        <v>46118</v>
      </c>
      <c r="C73" s="1">
        <v>46113</v>
      </c>
      <c r="D73" t="s">
        <v>795</v>
      </c>
      <c r="E73" t="s">
        <v>796</v>
      </c>
      <c r="F73" t="s">
        <v>148</v>
      </c>
      <c r="G73" t="s">
        <v>406</v>
      </c>
      <c r="H73" t="s">
        <v>39</v>
      </c>
      <c r="I73" t="s">
        <v>40</v>
      </c>
      <c r="J73" t="s">
        <v>583</v>
      </c>
      <c r="K73" t="s">
        <v>42</v>
      </c>
      <c r="L73" t="s">
        <v>43</v>
      </c>
      <c r="N73" t="s">
        <v>44</v>
      </c>
      <c r="Q73">
        <v>32477</v>
      </c>
      <c r="R73" t="s">
        <v>45</v>
      </c>
      <c r="S73" t="s">
        <v>797</v>
      </c>
      <c r="T73">
        <v>24</v>
      </c>
      <c r="U73" s="2" t="s">
        <v>798</v>
      </c>
      <c r="W73" t="s">
        <v>48</v>
      </c>
      <c r="X73">
        <v>807452</v>
      </c>
      <c r="Y73" t="s">
        <v>799</v>
      </c>
      <c r="Z73" t="s">
        <v>800</v>
      </c>
      <c r="AA73" s="2" t="s">
        <v>801</v>
      </c>
      <c r="AB73" t="s">
        <v>802</v>
      </c>
      <c r="AG73" t="s">
        <v>803</v>
      </c>
      <c r="AH73" t="s">
        <v>804</v>
      </c>
      <c r="AI73" t="s">
        <v>805</v>
      </c>
    </row>
    <row r="74" spans="2:35" ht="225">
      <c r="B74" s="1">
        <v>46118</v>
      </c>
      <c r="C74" s="1">
        <v>46112</v>
      </c>
      <c r="D74" t="s">
        <v>806</v>
      </c>
      <c r="E74" t="s">
        <v>807</v>
      </c>
      <c r="F74" t="s">
        <v>148</v>
      </c>
      <c r="G74" t="s">
        <v>785</v>
      </c>
      <c r="H74" t="s">
        <v>39</v>
      </c>
      <c r="I74" t="s">
        <v>40</v>
      </c>
      <c r="J74" t="s">
        <v>109</v>
      </c>
      <c r="K74" t="s">
        <v>42</v>
      </c>
      <c r="L74" t="s">
        <v>43</v>
      </c>
      <c r="N74" t="s">
        <v>44</v>
      </c>
      <c r="Q74">
        <v>32475</v>
      </c>
      <c r="R74" t="s">
        <v>322</v>
      </c>
      <c r="S74" t="s">
        <v>786</v>
      </c>
      <c r="T74">
        <v>24</v>
      </c>
      <c r="U74" s="2" t="s">
        <v>808</v>
      </c>
      <c r="W74" t="s">
        <v>153</v>
      </c>
      <c r="X74">
        <v>110025127</v>
      </c>
      <c r="Y74" t="s">
        <v>121</v>
      </c>
      <c r="Z74" t="s">
        <v>122</v>
      </c>
      <c r="AA74" s="2" t="s">
        <v>547</v>
      </c>
      <c r="AB74" t="s">
        <v>548</v>
      </c>
      <c r="AG74" t="s">
        <v>809</v>
      </c>
      <c r="AH74" t="s">
        <v>810</v>
      </c>
      <c r="AI74" t="s">
        <v>811</v>
      </c>
    </row>
    <row r="75" spans="2:35" ht="409.5">
      <c r="B75" s="1">
        <v>46118</v>
      </c>
      <c r="C75" s="1">
        <v>46112</v>
      </c>
      <c r="D75" t="s">
        <v>812</v>
      </c>
      <c r="E75" t="s">
        <v>813</v>
      </c>
      <c r="F75">
        <v>5</v>
      </c>
      <c r="G75" t="s">
        <v>814</v>
      </c>
      <c r="H75" t="s">
        <v>39</v>
      </c>
      <c r="I75" t="s">
        <v>40</v>
      </c>
      <c r="J75" t="s">
        <v>109</v>
      </c>
      <c r="K75" t="s">
        <v>42</v>
      </c>
      <c r="L75" t="s">
        <v>761</v>
      </c>
      <c r="N75" t="s">
        <v>762</v>
      </c>
      <c r="Q75">
        <v>32473</v>
      </c>
      <c r="R75" t="s">
        <v>95</v>
      </c>
      <c r="S75" t="s">
        <v>815</v>
      </c>
      <c r="T75">
        <v>27</v>
      </c>
      <c r="U75" s="2" t="s">
        <v>816</v>
      </c>
      <c r="W75" t="s">
        <v>817</v>
      </c>
      <c r="X75">
        <v>120002716</v>
      </c>
      <c r="Y75" t="s">
        <v>818</v>
      </c>
      <c r="Z75" s="2" t="s">
        <v>819</v>
      </c>
      <c r="AA75" t="s">
        <v>820</v>
      </c>
      <c r="AB75" s="2" t="s">
        <v>821</v>
      </c>
      <c r="AG75" t="s">
        <v>822</v>
      </c>
      <c r="AH75" t="s">
        <v>823</v>
      </c>
      <c r="AI75" t="s">
        <v>824</v>
      </c>
    </row>
    <row r="76" spans="2:35" ht="285">
      <c r="B76" s="1">
        <v>46118</v>
      </c>
      <c r="C76" s="1">
        <v>46100</v>
      </c>
      <c r="D76" t="s">
        <v>825</v>
      </c>
      <c r="E76" t="s">
        <v>826</v>
      </c>
      <c r="F76">
        <v>5</v>
      </c>
      <c r="G76" t="s">
        <v>827</v>
      </c>
      <c r="H76" t="s">
        <v>39</v>
      </c>
      <c r="I76" t="s">
        <v>40</v>
      </c>
      <c r="J76" s="2" t="s">
        <v>41</v>
      </c>
      <c r="K76" t="s">
        <v>42</v>
      </c>
      <c r="L76" t="s">
        <v>761</v>
      </c>
      <c r="N76" t="s">
        <v>762</v>
      </c>
      <c r="Q76">
        <v>32472</v>
      </c>
      <c r="R76" t="s">
        <v>45</v>
      </c>
      <c r="S76" t="s">
        <v>828</v>
      </c>
      <c r="T76">
        <v>30</v>
      </c>
      <c r="U76" s="2" t="s">
        <v>829</v>
      </c>
      <c r="W76" t="s">
        <v>765</v>
      </c>
      <c r="X76">
        <v>808633</v>
      </c>
      <c r="Y76" s="2" t="s">
        <v>830</v>
      </c>
      <c r="Z76" s="2" t="s">
        <v>831</v>
      </c>
      <c r="AA76" s="2" t="s">
        <v>832</v>
      </c>
      <c r="AB76" s="2" t="s">
        <v>833</v>
      </c>
      <c r="AG76" t="s">
        <v>834</v>
      </c>
      <c r="AH76" t="s">
        <v>835</v>
      </c>
      <c r="AI76" t="s">
        <v>836</v>
      </c>
    </row>
    <row r="77" spans="2:35" ht="135">
      <c r="B77" s="1">
        <v>46118</v>
      </c>
      <c r="C77" s="1">
        <v>46098</v>
      </c>
      <c r="D77" t="s">
        <v>837</v>
      </c>
      <c r="E77" t="s">
        <v>838</v>
      </c>
      <c r="F77">
        <v>5</v>
      </c>
      <c r="G77" t="s">
        <v>839</v>
      </c>
      <c r="H77" t="s">
        <v>513</v>
      </c>
      <c r="I77" t="s">
        <v>94</v>
      </c>
      <c r="J77" t="s">
        <v>109</v>
      </c>
      <c r="K77" t="s">
        <v>387</v>
      </c>
      <c r="L77" t="s">
        <v>761</v>
      </c>
      <c r="N77" t="s">
        <v>762</v>
      </c>
      <c r="Q77">
        <v>32471</v>
      </c>
      <c r="R77" t="s">
        <v>322</v>
      </c>
      <c r="S77" t="s">
        <v>840</v>
      </c>
      <c r="T77">
        <v>25</v>
      </c>
      <c r="W77" t="s">
        <v>390</v>
      </c>
      <c r="X77" t="s">
        <v>841</v>
      </c>
      <c r="Y77" t="s">
        <v>842</v>
      </c>
      <c r="Z77" s="2" t="s">
        <v>843</v>
      </c>
      <c r="AA77" t="s">
        <v>820</v>
      </c>
      <c r="AB77" t="s">
        <v>181</v>
      </c>
      <c r="AG77" t="s">
        <v>844</v>
      </c>
      <c r="AH77" t="s">
        <v>845</v>
      </c>
      <c r="AI77" t="s">
        <v>846</v>
      </c>
    </row>
    <row r="78" spans="2:35" ht="180">
      <c r="B78" s="1">
        <v>46118</v>
      </c>
      <c r="C78" s="1">
        <v>46098</v>
      </c>
      <c r="D78" t="s">
        <v>837</v>
      </c>
      <c r="E78" t="s">
        <v>838</v>
      </c>
      <c r="F78">
        <v>5</v>
      </c>
      <c r="G78" t="s">
        <v>839</v>
      </c>
      <c r="H78" t="s">
        <v>513</v>
      </c>
      <c r="I78" t="s">
        <v>94</v>
      </c>
      <c r="J78" s="2" t="s">
        <v>190</v>
      </c>
      <c r="K78" t="s">
        <v>387</v>
      </c>
      <c r="L78" t="s">
        <v>761</v>
      </c>
      <c r="N78" t="s">
        <v>762</v>
      </c>
      <c r="Q78">
        <v>32470</v>
      </c>
      <c r="R78" t="s">
        <v>322</v>
      </c>
      <c r="S78" t="s">
        <v>840</v>
      </c>
      <c r="T78">
        <v>25</v>
      </c>
      <c r="W78" t="s">
        <v>390</v>
      </c>
      <c r="X78" t="s">
        <v>847</v>
      </c>
      <c r="Y78" t="s">
        <v>848</v>
      </c>
      <c r="Z78" s="2" t="s">
        <v>849</v>
      </c>
      <c r="AA78" s="2" t="s">
        <v>850</v>
      </c>
      <c r="AB78" t="s">
        <v>851</v>
      </c>
      <c r="AG78" t="s">
        <v>852</v>
      </c>
      <c r="AH78" t="s">
        <v>853</v>
      </c>
      <c r="AI78" t="s">
        <v>854</v>
      </c>
    </row>
    <row r="79" spans="2:35">
      <c r="B79" s="1">
        <v>46118</v>
      </c>
      <c r="C79" s="1">
        <v>46076</v>
      </c>
      <c r="D79" t="s">
        <v>855</v>
      </c>
      <c r="E79" t="s">
        <v>856</v>
      </c>
      <c r="F79" t="s">
        <v>148</v>
      </c>
      <c r="G79" t="s">
        <v>310</v>
      </c>
      <c r="H79" t="s">
        <v>39</v>
      </c>
      <c r="I79" t="s">
        <v>40</v>
      </c>
      <c r="J79" t="s">
        <v>525</v>
      </c>
      <c r="K79" t="s">
        <v>42</v>
      </c>
      <c r="L79" t="s">
        <v>857</v>
      </c>
      <c r="N79" t="s">
        <v>858</v>
      </c>
      <c r="Q79">
        <v>32469</v>
      </c>
      <c r="R79" t="s">
        <v>322</v>
      </c>
      <c r="S79" t="s">
        <v>859</v>
      </c>
      <c r="T79">
        <v>22</v>
      </c>
      <c r="W79" t="s">
        <v>860</v>
      </c>
      <c r="X79">
        <v>809643</v>
      </c>
      <c r="Y79" t="s">
        <v>861</v>
      </c>
      <c r="Z79" t="s">
        <v>862</v>
      </c>
      <c r="AA79" t="s">
        <v>863</v>
      </c>
      <c r="AB79" t="s">
        <v>864</v>
      </c>
      <c r="AG79" t="s">
        <v>865</v>
      </c>
      <c r="AH79" t="s">
        <v>866</v>
      </c>
      <c r="AI79" t="s">
        <v>867</v>
      </c>
    </row>
    <row r="80" spans="2:35" ht="315">
      <c r="B80" s="1">
        <v>46118</v>
      </c>
      <c r="C80" s="1">
        <v>46113</v>
      </c>
      <c r="D80" t="s">
        <v>868</v>
      </c>
      <c r="E80" t="s">
        <v>869</v>
      </c>
      <c r="F80" t="s">
        <v>148</v>
      </c>
      <c r="G80" t="s">
        <v>310</v>
      </c>
      <c r="H80" t="s">
        <v>870</v>
      </c>
      <c r="I80" t="s">
        <v>40</v>
      </c>
      <c r="J80" s="2" t="s">
        <v>62</v>
      </c>
      <c r="K80" t="s">
        <v>42</v>
      </c>
      <c r="L80" t="s">
        <v>448</v>
      </c>
      <c r="N80" t="s">
        <v>450</v>
      </c>
      <c r="Q80">
        <v>32468</v>
      </c>
      <c r="R80" t="s">
        <v>45</v>
      </c>
      <c r="S80" t="s">
        <v>871</v>
      </c>
      <c r="T80">
        <v>30</v>
      </c>
      <c r="U80" s="2" t="s">
        <v>872</v>
      </c>
      <c r="W80" t="s">
        <v>666</v>
      </c>
      <c r="X80">
        <v>838145</v>
      </c>
      <c r="Y80" t="s">
        <v>873</v>
      </c>
      <c r="Z80" s="2" t="s">
        <v>874</v>
      </c>
      <c r="AA80" t="s">
        <v>875</v>
      </c>
      <c r="AB80" s="2" t="s">
        <v>876</v>
      </c>
      <c r="AG80" t="s">
        <v>877</v>
      </c>
      <c r="AH80" t="s">
        <v>878</v>
      </c>
      <c r="AI80" t="s">
        <v>879</v>
      </c>
    </row>
    <row r="81" spans="2:35" ht="315">
      <c r="B81" s="1">
        <v>46118</v>
      </c>
      <c r="C81" s="1">
        <v>46113</v>
      </c>
      <c r="D81" t="s">
        <v>868</v>
      </c>
      <c r="E81" t="s">
        <v>869</v>
      </c>
      <c r="F81" t="s">
        <v>148</v>
      </c>
      <c r="G81" t="s">
        <v>310</v>
      </c>
      <c r="H81" t="s">
        <v>870</v>
      </c>
      <c r="I81" t="s">
        <v>40</v>
      </c>
      <c r="J81" s="2" t="s">
        <v>62</v>
      </c>
      <c r="K81" t="s">
        <v>42</v>
      </c>
      <c r="L81" t="s">
        <v>448</v>
      </c>
      <c r="N81" t="s">
        <v>450</v>
      </c>
      <c r="Q81">
        <v>32467</v>
      </c>
      <c r="R81" t="s">
        <v>45</v>
      </c>
      <c r="S81" t="s">
        <v>871</v>
      </c>
      <c r="T81">
        <v>30</v>
      </c>
      <c r="U81" s="2" t="s">
        <v>872</v>
      </c>
      <c r="W81" t="s">
        <v>666</v>
      </c>
      <c r="X81">
        <v>802511</v>
      </c>
      <c r="Y81" t="s">
        <v>873</v>
      </c>
      <c r="Z81" s="2" t="s">
        <v>880</v>
      </c>
      <c r="AA81" t="s">
        <v>881</v>
      </c>
      <c r="AB81" s="2" t="s">
        <v>882</v>
      </c>
      <c r="AG81" t="s">
        <v>883</v>
      </c>
      <c r="AH81" t="s">
        <v>878</v>
      </c>
      <c r="AI81" t="s">
        <v>884</v>
      </c>
    </row>
    <row r="82" spans="2:35" ht="195">
      <c r="B82" s="1">
        <v>46113</v>
      </c>
      <c r="C82" s="1">
        <v>46113</v>
      </c>
      <c r="D82" t="s">
        <v>647</v>
      </c>
      <c r="E82" t="s">
        <v>885</v>
      </c>
      <c r="F82" t="s">
        <v>148</v>
      </c>
      <c r="G82" t="s">
        <v>447</v>
      </c>
      <c r="H82" t="s">
        <v>39</v>
      </c>
      <c r="I82" t="s">
        <v>40</v>
      </c>
      <c r="J82" t="s">
        <v>525</v>
      </c>
      <c r="K82" t="s">
        <v>649</v>
      </c>
      <c r="L82" t="s">
        <v>448</v>
      </c>
      <c r="N82" t="s">
        <v>450</v>
      </c>
      <c r="Q82">
        <v>32466</v>
      </c>
      <c r="R82" t="s">
        <v>95</v>
      </c>
      <c r="S82" t="s">
        <v>651</v>
      </c>
      <c r="T82">
        <v>35</v>
      </c>
      <c r="W82" t="s">
        <v>652</v>
      </c>
      <c r="X82">
        <v>160414501161220</v>
      </c>
      <c r="Y82" s="2" t="s">
        <v>886</v>
      </c>
      <c r="Z82" s="2" t="s">
        <v>887</v>
      </c>
      <c r="AA82" t="s">
        <v>768</v>
      </c>
      <c r="AB82" s="2" t="s">
        <v>888</v>
      </c>
      <c r="AG82" t="s">
        <v>889</v>
      </c>
      <c r="AH82" t="s">
        <v>890</v>
      </c>
      <c r="AI82" t="s">
        <v>891</v>
      </c>
    </row>
    <row r="83" spans="2:35" ht="195">
      <c r="B83" s="1">
        <v>46113</v>
      </c>
      <c r="C83" s="1">
        <v>46113</v>
      </c>
      <c r="D83" t="s">
        <v>892</v>
      </c>
      <c r="E83" t="s">
        <v>869</v>
      </c>
      <c r="F83" t="s">
        <v>148</v>
      </c>
      <c r="G83" t="s">
        <v>310</v>
      </c>
      <c r="H83" t="s">
        <v>893</v>
      </c>
      <c r="I83" t="s">
        <v>40</v>
      </c>
      <c r="J83" t="s">
        <v>109</v>
      </c>
      <c r="K83" t="s">
        <v>42</v>
      </c>
      <c r="L83" t="s">
        <v>448</v>
      </c>
      <c r="N83" t="s">
        <v>650</v>
      </c>
      <c r="Q83">
        <v>32465</v>
      </c>
      <c r="R83" t="s">
        <v>322</v>
      </c>
      <c r="S83" t="s">
        <v>894</v>
      </c>
      <c r="T83">
        <v>26</v>
      </c>
      <c r="W83" t="s">
        <v>895</v>
      </c>
      <c r="X83">
        <v>844975</v>
      </c>
      <c r="Y83" s="2" t="s">
        <v>896</v>
      </c>
      <c r="Z83" s="2" t="s">
        <v>897</v>
      </c>
      <c r="AA83" t="s">
        <v>122</v>
      </c>
      <c r="AB83" t="s">
        <v>898</v>
      </c>
      <c r="AG83" t="s">
        <v>899</v>
      </c>
      <c r="AH83" t="s">
        <v>900</v>
      </c>
      <c r="AI83" t="s">
        <v>901</v>
      </c>
    </row>
    <row r="84" spans="2:35" ht="255">
      <c r="B84" s="1">
        <v>46113</v>
      </c>
      <c r="C84" s="1">
        <v>46113</v>
      </c>
      <c r="D84" t="s">
        <v>892</v>
      </c>
      <c r="E84" t="s">
        <v>869</v>
      </c>
      <c r="F84" t="s">
        <v>148</v>
      </c>
      <c r="G84" t="s">
        <v>310</v>
      </c>
      <c r="H84" t="s">
        <v>902</v>
      </c>
      <c r="I84" t="s">
        <v>40</v>
      </c>
      <c r="J84" t="s">
        <v>109</v>
      </c>
      <c r="K84" t="s">
        <v>42</v>
      </c>
      <c r="L84" t="s">
        <v>448</v>
      </c>
      <c r="N84" t="s">
        <v>450</v>
      </c>
      <c r="Q84">
        <v>32464</v>
      </c>
      <c r="R84" t="s">
        <v>322</v>
      </c>
      <c r="S84" t="s">
        <v>894</v>
      </c>
      <c r="T84">
        <v>31</v>
      </c>
      <c r="U84" s="2" t="s">
        <v>903</v>
      </c>
      <c r="W84" t="s">
        <v>666</v>
      </c>
      <c r="X84">
        <v>834624</v>
      </c>
      <c r="Y84" s="2" t="s">
        <v>904</v>
      </c>
      <c r="Z84" s="2" t="s">
        <v>905</v>
      </c>
      <c r="AA84" t="s">
        <v>122</v>
      </c>
      <c r="AB84" t="s">
        <v>906</v>
      </c>
      <c r="AG84" t="s">
        <v>907</v>
      </c>
      <c r="AH84" t="s">
        <v>900</v>
      </c>
      <c r="AI84" t="s">
        <v>908</v>
      </c>
    </row>
    <row r="85" spans="2:35" ht="409.5">
      <c r="B85" s="1">
        <v>46113</v>
      </c>
      <c r="C85" s="1">
        <v>46112</v>
      </c>
      <c r="D85" t="s">
        <v>909</v>
      </c>
      <c r="E85" t="s">
        <v>910</v>
      </c>
      <c r="F85" t="s">
        <v>148</v>
      </c>
      <c r="G85" t="s">
        <v>310</v>
      </c>
      <c r="H85" t="s">
        <v>39</v>
      </c>
      <c r="I85" t="s">
        <v>40</v>
      </c>
      <c r="J85" t="s">
        <v>79</v>
      </c>
      <c r="K85" t="s">
        <v>42</v>
      </c>
      <c r="L85" t="s">
        <v>448</v>
      </c>
      <c r="N85" t="s">
        <v>450</v>
      </c>
      <c r="Q85">
        <v>32463</v>
      </c>
      <c r="R85" t="s">
        <v>45</v>
      </c>
      <c r="S85" t="s">
        <v>911</v>
      </c>
      <c r="T85">
        <v>28</v>
      </c>
      <c r="V85" s="1">
        <v>46112</v>
      </c>
      <c r="W85" t="s">
        <v>666</v>
      </c>
      <c r="X85">
        <v>831618</v>
      </c>
      <c r="Y85" s="2" t="s">
        <v>912</v>
      </c>
      <c r="Z85" s="2" t="s">
        <v>913</v>
      </c>
      <c r="AA85" t="s">
        <v>914</v>
      </c>
      <c r="AB85" t="s">
        <v>486</v>
      </c>
      <c r="AD85" s="2" t="s">
        <v>915</v>
      </c>
      <c r="AE85" t="s">
        <v>449</v>
      </c>
      <c r="AG85" t="s">
        <v>916</v>
      </c>
      <c r="AH85" t="s">
        <v>917</v>
      </c>
      <c r="AI85" t="s">
        <v>918</v>
      </c>
    </row>
    <row r="86" spans="2:35" ht="225">
      <c r="B86" s="1">
        <v>46113</v>
      </c>
      <c r="C86" s="1">
        <v>46113</v>
      </c>
      <c r="D86" t="s">
        <v>919</v>
      </c>
      <c r="E86" t="s">
        <v>920</v>
      </c>
      <c r="F86" t="s">
        <v>148</v>
      </c>
      <c r="G86" t="s">
        <v>310</v>
      </c>
      <c r="H86" t="s">
        <v>513</v>
      </c>
      <c r="I86" t="s">
        <v>40</v>
      </c>
      <c r="J86" t="s">
        <v>109</v>
      </c>
      <c r="K86" t="s">
        <v>387</v>
      </c>
      <c r="L86" t="s">
        <v>80</v>
      </c>
      <c r="N86" t="s">
        <v>81</v>
      </c>
      <c r="Q86">
        <v>32462</v>
      </c>
      <c r="R86" t="s">
        <v>95</v>
      </c>
      <c r="S86" t="s">
        <v>921</v>
      </c>
      <c r="T86">
        <v>25</v>
      </c>
      <c r="V86" s="1">
        <v>46113</v>
      </c>
      <c r="W86" t="s">
        <v>476</v>
      </c>
      <c r="X86" t="s">
        <v>922</v>
      </c>
      <c r="Y86" t="s">
        <v>923</v>
      </c>
      <c r="Z86" t="s">
        <v>924</v>
      </c>
      <c r="AA86" s="2" t="s">
        <v>925</v>
      </c>
      <c r="AB86" t="s">
        <v>88</v>
      </c>
      <c r="AD86" t="s">
        <v>103</v>
      </c>
      <c r="AE86" t="s">
        <v>103</v>
      </c>
      <c r="AG86" t="s">
        <v>926</v>
      </c>
      <c r="AH86" t="s">
        <v>927</v>
      </c>
      <c r="AI86" t="s">
        <v>928</v>
      </c>
    </row>
    <row r="87" spans="2:35" ht="300">
      <c r="B87" s="1">
        <v>46113</v>
      </c>
      <c r="C87" s="1">
        <v>46106</v>
      </c>
      <c r="D87" t="s">
        <v>929</v>
      </c>
      <c r="E87" t="s">
        <v>930</v>
      </c>
      <c r="F87">
        <v>13</v>
      </c>
      <c r="G87" t="s">
        <v>931</v>
      </c>
      <c r="H87" t="s">
        <v>932</v>
      </c>
      <c r="I87" t="s">
        <v>40</v>
      </c>
      <c r="J87" t="s">
        <v>321</v>
      </c>
      <c r="K87" t="s">
        <v>42</v>
      </c>
      <c r="L87" t="s">
        <v>933</v>
      </c>
      <c r="N87" t="s">
        <v>934</v>
      </c>
      <c r="Q87">
        <v>32461</v>
      </c>
      <c r="R87" t="s">
        <v>95</v>
      </c>
      <c r="S87" t="s">
        <v>935</v>
      </c>
      <c r="T87">
        <v>27</v>
      </c>
      <c r="W87" t="s">
        <v>936</v>
      </c>
      <c r="X87">
        <v>830967</v>
      </c>
      <c r="Y87" t="s">
        <v>301</v>
      </c>
      <c r="Z87" t="s">
        <v>301</v>
      </c>
      <c r="AA87" s="2" t="s">
        <v>937</v>
      </c>
      <c r="AB87" t="s">
        <v>938</v>
      </c>
      <c r="AG87" t="s">
        <v>939</v>
      </c>
      <c r="AH87" t="s">
        <v>940</v>
      </c>
      <c r="AI87" t="s">
        <v>941</v>
      </c>
    </row>
    <row r="88" spans="2:35" ht="345">
      <c r="B88" s="1">
        <v>46113</v>
      </c>
      <c r="C88" s="1">
        <v>46113</v>
      </c>
      <c r="D88" t="s">
        <v>919</v>
      </c>
      <c r="E88" t="s">
        <v>920</v>
      </c>
      <c r="F88" t="s">
        <v>148</v>
      </c>
      <c r="G88" t="s">
        <v>310</v>
      </c>
      <c r="H88" t="s">
        <v>39</v>
      </c>
      <c r="I88" t="s">
        <v>94</v>
      </c>
      <c r="J88" s="2" t="s">
        <v>62</v>
      </c>
      <c r="K88" t="s">
        <v>42</v>
      </c>
      <c r="L88" t="s">
        <v>80</v>
      </c>
      <c r="N88" t="s">
        <v>81</v>
      </c>
      <c r="Q88">
        <v>32460</v>
      </c>
      <c r="R88" t="s">
        <v>95</v>
      </c>
      <c r="S88" t="s">
        <v>942</v>
      </c>
      <c r="T88">
        <v>23</v>
      </c>
      <c r="U88" s="2" t="s">
        <v>943</v>
      </c>
      <c r="V88" s="1">
        <v>46113</v>
      </c>
      <c r="W88" t="s">
        <v>84</v>
      </c>
      <c r="X88">
        <v>11000711</v>
      </c>
      <c r="Y88" t="s">
        <v>944</v>
      </c>
      <c r="Z88" t="s">
        <v>945</v>
      </c>
      <c r="AA88" s="2" t="s">
        <v>946</v>
      </c>
      <c r="AB88" s="2" t="s">
        <v>947</v>
      </c>
      <c r="AD88" t="s">
        <v>948</v>
      </c>
      <c r="AE88" t="s">
        <v>103</v>
      </c>
      <c r="AG88" t="s">
        <v>949</v>
      </c>
      <c r="AH88" t="s">
        <v>950</v>
      </c>
      <c r="AI88" t="s">
        <v>951</v>
      </c>
    </row>
    <row r="89" spans="2:35">
      <c r="B89" s="1">
        <v>46113</v>
      </c>
      <c r="C89" s="1">
        <v>46113</v>
      </c>
      <c r="D89" t="s">
        <v>952</v>
      </c>
      <c r="E89" t="s">
        <v>953</v>
      </c>
      <c r="F89">
        <v>7</v>
      </c>
      <c r="G89" t="s">
        <v>432</v>
      </c>
      <c r="H89" t="s">
        <v>258</v>
      </c>
      <c r="I89" t="s">
        <v>40</v>
      </c>
      <c r="J89" t="s">
        <v>954</v>
      </c>
      <c r="K89" t="s">
        <v>42</v>
      </c>
      <c r="L89" t="s">
        <v>594</v>
      </c>
      <c r="N89" t="s">
        <v>595</v>
      </c>
      <c r="O89" t="s">
        <v>595</v>
      </c>
      <c r="Q89">
        <v>32459</v>
      </c>
      <c r="R89" t="s">
        <v>119</v>
      </c>
      <c r="S89" t="s">
        <v>955</v>
      </c>
      <c r="T89">
        <v>24</v>
      </c>
      <c r="V89" s="1">
        <v>46113</v>
      </c>
      <c r="W89" t="s">
        <v>597</v>
      </c>
      <c r="X89">
        <v>834812</v>
      </c>
      <c r="Y89" t="s">
        <v>956</v>
      </c>
      <c r="Z89" t="s">
        <v>957</v>
      </c>
      <c r="AA89" t="s">
        <v>957</v>
      </c>
      <c r="AB89" t="s">
        <v>958</v>
      </c>
      <c r="AG89" t="s">
        <v>959</v>
      </c>
      <c r="AH89" t="s">
        <v>960</v>
      </c>
      <c r="AI89" t="s">
        <v>961</v>
      </c>
    </row>
    <row r="90" spans="2:35" ht="330">
      <c r="B90" s="1">
        <v>46113</v>
      </c>
      <c r="C90" s="1">
        <v>46113</v>
      </c>
      <c r="D90" t="s">
        <v>620</v>
      </c>
      <c r="E90" t="s">
        <v>582</v>
      </c>
      <c r="F90" t="s">
        <v>148</v>
      </c>
      <c r="G90" t="s">
        <v>447</v>
      </c>
      <c r="H90" t="s">
        <v>39</v>
      </c>
      <c r="I90" t="s">
        <v>40</v>
      </c>
      <c r="J90" s="2" t="s">
        <v>41</v>
      </c>
      <c r="K90" t="s">
        <v>42</v>
      </c>
      <c r="L90" t="s">
        <v>175</v>
      </c>
      <c r="N90" t="s">
        <v>176</v>
      </c>
      <c r="Q90">
        <v>32458</v>
      </c>
      <c r="R90" t="s">
        <v>45</v>
      </c>
      <c r="S90" t="s">
        <v>621</v>
      </c>
      <c r="T90">
        <v>34</v>
      </c>
      <c r="W90" t="s">
        <v>84</v>
      </c>
      <c r="X90">
        <v>831876</v>
      </c>
      <c r="Y90" t="s">
        <v>962</v>
      </c>
      <c r="Z90" t="s">
        <v>777</v>
      </c>
      <c r="AA90" t="e">
        <f ca="1">- replaced defective CPU by CPH0625F59568
- checked _xludf.and cleaned cartridge bay, plunger rod, _xludf.filter
- generated reports</f>
        <v>#NAME?</v>
      </c>
      <c r="AB90" s="2" t="s">
        <v>624</v>
      </c>
      <c r="AG90" t="s">
        <v>963</v>
      </c>
      <c r="AH90" t="s">
        <v>626</v>
      </c>
      <c r="AI90" t="s">
        <v>964</v>
      </c>
    </row>
    <row r="91" spans="2:35" ht="390">
      <c r="B91" s="1">
        <v>46112</v>
      </c>
      <c r="C91" s="1">
        <v>46108</v>
      </c>
      <c r="D91" t="s">
        <v>965</v>
      </c>
      <c r="E91" t="s">
        <v>966</v>
      </c>
      <c r="F91">
        <v>12</v>
      </c>
      <c r="G91" t="s">
        <v>294</v>
      </c>
      <c r="H91" t="s">
        <v>39</v>
      </c>
      <c r="I91" t="s">
        <v>40</v>
      </c>
      <c r="J91" t="s">
        <v>109</v>
      </c>
      <c r="K91" t="s">
        <v>42</v>
      </c>
      <c r="L91" t="s">
        <v>296</v>
      </c>
      <c r="N91" t="s">
        <v>297</v>
      </c>
      <c r="Q91">
        <v>32456</v>
      </c>
      <c r="R91" t="s">
        <v>967</v>
      </c>
      <c r="S91" t="s">
        <v>968</v>
      </c>
      <c r="T91">
        <v>26.4</v>
      </c>
      <c r="U91" s="2" t="s">
        <v>969</v>
      </c>
      <c r="W91" t="s">
        <v>970</v>
      </c>
      <c r="X91">
        <v>210023520</v>
      </c>
      <c r="Y91" t="s">
        <v>301</v>
      </c>
      <c r="Z91" s="2" t="s">
        <v>971</v>
      </c>
      <c r="AA91" t="s">
        <v>303</v>
      </c>
      <c r="AB91" t="s">
        <v>972</v>
      </c>
      <c r="AG91" t="s">
        <v>973</v>
      </c>
      <c r="AH91" t="s">
        <v>974</v>
      </c>
      <c r="AI91" t="s">
        <v>975</v>
      </c>
    </row>
    <row r="92" spans="2:35" ht="390">
      <c r="B92" s="1">
        <v>46112</v>
      </c>
      <c r="C92" s="1">
        <v>46107</v>
      </c>
      <c r="D92" t="s">
        <v>976</v>
      </c>
      <c r="E92" t="s">
        <v>977</v>
      </c>
      <c r="F92">
        <v>12</v>
      </c>
      <c r="G92" t="s">
        <v>978</v>
      </c>
      <c r="H92" t="s">
        <v>39</v>
      </c>
      <c r="I92" t="s">
        <v>40</v>
      </c>
      <c r="J92" t="s">
        <v>109</v>
      </c>
      <c r="K92" t="s">
        <v>42</v>
      </c>
      <c r="L92" t="s">
        <v>296</v>
      </c>
      <c r="N92" t="s">
        <v>297</v>
      </c>
      <c r="Q92">
        <v>32457</v>
      </c>
      <c r="R92" t="s">
        <v>119</v>
      </c>
      <c r="S92" t="s">
        <v>979</v>
      </c>
      <c r="T92">
        <v>26.4</v>
      </c>
      <c r="U92" s="2" t="s">
        <v>980</v>
      </c>
      <c r="W92" t="s">
        <v>981</v>
      </c>
      <c r="X92">
        <v>838543</v>
      </c>
      <c r="Y92" t="s">
        <v>301</v>
      </c>
      <c r="Z92" s="2" t="s">
        <v>971</v>
      </c>
      <c r="AA92" t="s">
        <v>303</v>
      </c>
      <c r="AB92" t="s">
        <v>972</v>
      </c>
      <c r="AG92" t="s">
        <v>982</v>
      </c>
      <c r="AH92" t="s">
        <v>983</v>
      </c>
      <c r="AI92" t="s">
        <v>984</v>
      </c>
    </row>
    <row r="93" spans="2:35" ht="315">
      <c r="B93" s="1">
        <v>46112</v>
      </c>
      <c r="C93" s="1">
        <v>46112</v>
      </c>
      <c r="D93" t="s">
        <v>985</v>
      </c>
      <c r="E93" t="s">
        <v>807</v>
      </c>
      <c r="F93" t="s">
        <v>148</v>
      </c>
      <c r="G93" t="s">
        <v>785</v>
      </c>
      <c r="H93" t="s">
        <v>39</v>
      </c>
      <c r="I93" t="s">
        <v>40</v>
      </c>
      <c r="J93" s="2" t="s">
        <v>41</v>
      </c>
      <c r="K93" t="s">
        <v>42</v>
      </c>
      <c r="L93" t="s">
        <v>43</v>
      </c>
      <c r="N93" t="s">
        <v>44</v>
      </c>
      <c r="Q93">
        <v>32455</v>
      </c>
      <c r="R93" t="s">
        <v>45</v>
      </c>
      <c r="S93" t="s">
        <v>986</v>
      </c>
      <c r="T93">
        <v>24</v>
      </c>
      <c r="V93" s="1">
        <v>46112</v>
      </c>
      <c r="W93" t="s">
        <v>48</v>
      </c>
      <c r="X93">
        <v>805010</v>
      </c>
      <c r="Y93" t="s">
        <v>987</v>
      </c>
      <c r="Z93" t="s">
        <v>988</v>
      </c>
      <c r="AA93" s="2" t="s">
        <v>989</v>
      </c>
      <c r="AB93" t="s">
        <v>990</v>
      </c>
      <c r="AD93" s="2" t="s">
        <v>991</v>
      </c>
      <c r="AE93" t="s">
        <v>54</v>
      </c>
      <c r="AG93" t="s">
        <v>992</v>
      </c>
      <c r="AH93" t="s">
        <v>993</v>
      </c>
      <c r="AI93" t="s">
        <v>994</v>
      </c>
    </row>
    <row r="94" spans="2:35" ht="165">
      <c r="B94" s="1">
        <v>46112</v>
      </c>
      <c r="C94" s="1">
        <v>46112</v>
      </c>
      <c r="D94" t="s">
        <v>995</v>
      </c>
      <c r="E94" t="s">
        <v>582</v>
      </c>
      <c r="F94" t="s">
        <v>148</v>
      </c>
      <c r="G94" t="s">
        <v>447</v>
      </c>
      <c r="H94" t="s">
        <v>39</v>
      </c>
      <c r="I94" t="s">
        <v>40</v>
      </c>
      <c r="J94" t="s">
        <v>996</v>
      </c>
      <c r="K94" t="s">
        <v>42</v>
      </c>
      <c r="L94" t="s">
        <v>175</v>
      </c>
      <c r="N94" t="s">
        <v>176</v>
      </c>
      <c r="Q94">
        <v>32454</v>
      </c>
      <c r="R94" t="s">
        <v>322</v>
      </c>
      <c r="S94" t="s">
        <v>997</v>
      </c>
      <c r="T94">
        <v>27</v>
      </c>
      <c r="W94" t="s">
        <v>373</v>
      </c>
      <c r="X94">
        <v>845446</v>
      </c>
      <c r="Y94" t="s">
        <v>998</v>
      </c>
      <c r="Z94" t="s">
        <v>999</v>
      </c>
      <c r="AA94" t="e">
        <f ca="1">- checked _xludf.and cleaned cartridge bay, plunger rod, _xludf.filter, icore slot
- performed XpertCheck
- generated reports
- performed self test</f>
        <v>#NAME?</v>
      </c>
      <c r="AB94" s="2" t="s">
        <v>1000</v>
      </c>
      <c r="AG94" t="s">
        <v>1001</v>
      </c>
      <c r="AH94" t="s">
        <v>1002</v>
      </c>
      <c r="AI94" t="s">
        <v>1003</v>
      </c>
    </row>
    <row r="95" spans="2:35" ht="360">
      <c r="B95" s="1">
        <v>46112</v>
      </c>
      <c r="C95" s="1">
        <v>46112</v>
      </c>
      <c r="D95" t="s">
        <v>1004</v>
      </c>
      <c r="E95" t="s">
        <v>1005</v>
      </c>
      <c r="F95">
        <v>7</v>
      </c>
      <c r="G95" t="s">
        <v>432</v>
      </c>
      <c r="H95" t="s">
        <v>39</v>
      </c>
      <c r="I95" t="s">
        <v>40</v>
      </c>
      <c r="J95" s="2" t="s">
        <v>1006</v>
      </c>
      <c r="K95" t="s">
        <v>42</v>
      </c>
      <c r="L95" t="s">
        <v>433</v>
      </c>
      <c r="N95" t="s">
        <v>434</v>
      </c>
      <c r="Q95">
        <v>32453</v>
      </c>
      <c r="R95" t="s">
        <v>45</v>
      </c>
      <c r="S95" t="s">
        <v>1007</v>
      </c>
      <c r="T95">
        <v>26</v>
      </c>
      <c r="W95" t="s">
        <v>1008</v>
      </c>
      <c r="X95">
        <v>120000494</v>
      </c>
      <c r="Y95" t="s">
        <v>1009</v>
      </c>
      <c r="Z95" s="2" t="s">
        <v>1010</v>
      </c>
      <c r="AA95" s="2" t="s">
        <v>1010</v>
      </c>
      <c r="AB95" t="s">
        <v>1011</v>
      </c>
      <c r="AG95" t="s">
        <v>1012</v>
      </c>
      <c r="AH95" t="s">
        <v>1013</v>
      </c>
      <c r="AI95" t="s">
        <v>1014</v>
      </c>
    </row>
    <row r="96" spans="2:35" ht="330">
      <c r="B96" s="1">
        <v>46112</v>
      </c>
      <c r="C96" s="1">
        <v>46112</v>
      </c>
      <c r="D96" t="s">
        <v>1015</v>
      </c>
      <c r="E96" t="s">
        <v>1016</v>
      </c>
      <c r="F96">
        <v>3</v>
      </c>
      <c r="G96" t="s">
        <v>730</v>
      </c>
      <c r="H96" t="s">
        <v>1017</v>
      </c>
      <c r="I96" t="s">
        <v>40</v>
      </c>
      <c r="J96" s="2" t="s">
        <v>220</v>
      </c>
      <c r="K96" t="s">
        <v>42</v>
      </c>
      <c r="L96" t="s">
        <v>135</v>
      </c>
      <c r="N96" t="s">
        <v>136</v>
      </c>
      <c r="Q96">
        <v>32452</v>
      </c>
      <c r="R96" t="s">
        <v>119</v>
      </c>
      <c r="S96" t="s">
        <v>1018</v>
      </c>
      <c r="T96">
        <v>25</v>
      </c>
      <c r="W96" t="s">
        <v>138</v>
      </c>
      <c r="X96">
        <v>831587</v>
      </c>
      <c r="Y96" s="2" t="s">
        <v>1019</v>
      </c>
      <c r="Z96" s="2" t="s">
        <v>1020</v>
      </c>
      <c r="AA96" s="2" t="s">
        <v>1021</v>
      </c>
      <c r="AB96" s="2" t="s">
        <v>1022</v>
      </c>
      <c r="AG96" t="s">
        <v>1023</v>
      </c>
      <c r="AH96" t="s">
        <v>1024</v>
      </c>
      <c r="AI96" t="s">
        <v>1025</v>
      </c>
    </row>
    <row r="97" spans="2:35" ht="409.5">
      <c r="B97" s="1">
        <v>46112</v>
      </c>
      <c r="C97" s="1">
        <v>46105</v>
      </c>
      <c r="D97" t="s">
        <v>1026</v>
      </c>
      <c r="E97" t="s">
        <v>1027</v>
      </c>
      <c r="F97" t="s">
        <v>148</v>
      </c>
      <c r="G97" t="s">
        <v>774</v>
      </c>
      <c r="H97" t="s">
        <v>662</v>
      </c>
      <c r="I97" t="s">
        <v>40</v>
      </c>
      <c r="J97" t="s">
        <v>79</v>
      </c>
      <c r="K97" t="s">
        <v>42</v>
      </c>
      <c r="L97" t="s">
        <v>1028</v>
      </c>
      <c r="N97" t="s">
        <v>1029</v>
      </c>
      <c r="Q97">
        <v>32451</v>
      </c>
      <c r="R97" t="s">
        <v>95</v>
      </c>
      <c r="S97" t="s">
        <v>1030</v>
      </c>
      <c r="T97">
        <v>24</v>
      </c>
      <c r="U97" s="2" t="s">
        <v>1031</v>
      </c>
      <c r="W97" t="s">
        <v>1032</v>
      </c>
      <c r="X97">
        <v>110014996</v>
      </c>
      <c r="Y97" t="s">
        <v>1033</v>
      </c>
      <c r="Z97" t="s">
        <v>1034</v>
      </c>
      <c r="AA97" s="2" t="s">
        <v>1035</v>
      </c>
      <c r="AB97" t="s">
        <v>1036</v>
      </c>
      <c r="AG97" t="s">
        <v>1037</v>
      </c>
      <c r="AH97" t="s">
        <v>1038</v>
      </c>
      <c r="AI97" t="s">
        <v>1039</v>
      </c>
    </row>
    <row r="98" spans="2:35">
      <c r="B98" s="1">
        <v>46112</v>
      </c>
      <c r="C98" s="1">
        <v>46112</v>
      </c>
      <c r="D98" t="s">
        <v>1040</v>
      </c>
      <c r="E98" t="s">
        <v>582</v>
      </c>
      <c r="F98" t="s">
        <v>148</v>
      </c>
      <c r="G98" t="s">
        <v>447</v>
      </c>
      <c r="H98" t="s">
        <v>39</v>
      </c>
      <c r="I98" t="s">
        <v>40</v>
      </c>
      <c r="J98" t="s">
        <v>109</v>
      </c>
      <c r="K98" t="s">
        <v>42</v>
      </c>
      <c r="L98" t="s">
        <v>175</v>
      </c>
      <c r="N98" t="s">
        <v>176</v>
      </c>
      <c r="Q98">
        <v>32450</v>
      </c>
      <c r="R98" t="s">
        <v>322</v>
      </c>
      <c r="S98" t="s">
        <v>1041</v>
      </c>
      <c r="T98">
        <v>27</v>
      </c>
      <c r="W98" t="s">
        <v>373</v>
      </c>
      <c r="X98">
        <v>110020696</v>
      </c>
      <c r="Y98" t="s">
        <v>374</v>
      </c>
      <c r="Z98" t="s">
        <v>103</v>
      </c>
      <c r="AA98" t="e">
        <f ca="1">- checked _xludf.and cleaned cartridge bay, plunger rod, _xludf.filter
- generated reports
- performed self test</f>
        <v>#NAME?</v>
      </c>
      <c r="AB98" t="s">
        <v>181</v>
      </c>
      <c r="AG98" t="s">
        <v>1042</v>
      </c>
      <c r="AH98" t="s">
        <v>1040</v>
      </c>
      <c r="AI98" t="s">
        <v>1043</v>
      </c>
    </row>
    <row r="99" spans="2:35" ht="240">
      <c r="B99" s="1">
        <v>46112</v>
      </c>
      <c r="C99" s="1">
        <v>46108</v>
      </c>
      <c r="D99" t="s">
        <v>1044</v>
      </c>
      <c r="E99" t="s">
        <v>1045</v>
      </c>
      <c r="F99">
        <v>1</v>
      </c>
      <c r="G99" t="s">
        <v>1046</v>
      </c>
      <c r="H99" t="s">
        <v>1047</v>
      </c>
      <c r="I99" t="s">
        <v>40</v>
      </c>
      <c r="J99" t="s">
        <v>109</v>
      </c>
      <c r="K99" t="s">
        <v>42</v>
      </c>
      <c r="L99" t="s">
        <v>1048</v>
      </c>
      <c r="N99" t="s">
        <v>1049</v>
      </c>
      <c r="Q99">
        <v>32449</v>
      </c>
      <c r="R99" t="s">
        <v>45</v>
      </c>
      <c r="S99" t="s">
        <v>1050</v>
      </c>
      <c r="T99">
        <v>28</v>
      </c>
      <c r="W99" t="s">
        <v>1051</v>
      </c>
      <c r="X99">
        <v>812830</v>
      </c>
      <c r="Y99" t="s">
        <v>1052</v>
      </c>
      <c r="Z99" t="e">
        <f ca="1">- cleaned cartridge Bays, plunger Rods _xludf.and I-CORE
- generated reports</f>
        <v>#NAME?</v>
      </c>
      <c r="AA99" t="s">
        <v>820</v>
      </c>
      <c r="AB99" s="2" t="s">
        <v>1053</v>
      </c>
      <c r="AG99" t="s">
        <v>1054</v>
      </c>
      <c r="AH99" t="s">
        <v>1055</v>
      </c>
      <c r="AI99" t="s">
        <v>1056</v>
      </c>
    </row>
    <row r="100" spans="2:35" ht="120">
      <c r="B100" s="1">
        <v>46112</v>
      </c>
      <c r="C100" s="1">
        <v>46107</v>
      </c>
      <c r="D100" t="s">
        <v>1057</v>
      </c>
      <c r="E100" t="s">
        <v>1058</v>
      </c>
      <c r="F100">
        <v>1</v>
      </c>
      <c r="G100" t="s">
        <v>1046</v>
      </c>
      <c r="H100" t="s">
        <v>39</v>
      </c>
      <c r="I100" t="s">
        <v>40</v>
      </c>
      <c r="J100" t="s">
        <v>109</v>
      </c>
      <c r="K100" t="s">
        <v>42</v>
      </c>
      <c r="L100" t="s">
        <v>1048</v>
      </c>
      <c r="N100" t="s">
        <v>1049</v>
      </c>
      <c r="Q100">
        <v>32448</v>
      </c>
      <c r="R100" t="s">
        <v>95</v>
      </c>
      <c r="S100" t="s">
        <v>1059</v>
      </c>
      <c r="T100">
        <v>26</v>
      </c>
      <c r="W100" t="s">
        <v>1060</v>
      </c>
      <c r="X100">
        <v>820303</v>
      </c>
      <c r="Y100" t="s">
        <v>1052</v>
      </c>
      <c r="Z100" t="e">
        <f ca="1">- cleaned cartridge Bays, plunger Rods _xludf.and I-CORE
- generated reports</f>
        <v>#NAME?</v>
      </c>
      <c r="AA100" t="s">
        <v>820</v>
      </c>
      <c r="AB100" s="2" t="s">
        <v>1061</v>
      </c>
      <c r="AG100" t="s">
        <v>1062</v>
      </c>
      <c r="AH100" t="s">
        <v>1063</v>
      </c>
      <c r="AI100" t="s">
        <v>1064</v>
      </c>
    </row>
    <row r="101" spans="2:35">
      <c r="B101" s="1">
        <v>46112</v>
      </c>
      <c r="C101" s="1">
        <v>46106</v>
      </c>
      <c r="D101" t="s">
        <v>1065</v>
      </c>
      <c r="E101" t="s">
        <v>1066</v>
      </c>
      <c r="F101">
        <v>1</v>
      </c>
      <c r="G101" t="s">
        <v>1046</v>
      </c>
      <c r="H101" t="s">
        <v>1047</v>
      </c>
      <c r="I101" t="s">
        <v>40</v>
      </c>
      <c r="J101" t="s">
        <v>109</v>
      </c>
      <c r="K101" t="s">
        <v>42</v>
      </c>
      <c r="L101" t="s">
        <v>1048</v>
      </c>
      <c r="N101" t="s">
        <v>1049</v>
      </c>
      <c r="Q101">
        <v>32447</v>
      </c>
      <c r="R101" t="s">
        <v>119</v>
      </c>
      <c r="S101" t="s">
        <v>1067</v>
      </c>
      <c r="T101">
        <v>26</v>
      </c>
      <c r="W101" t="s">
        <v>1051</v>
      </c>
      <c r="X101">
        <v>838284</v>
      </c>
      <c r="Y101" t="s">
        <v>1052</v>
      </c>
      <c r="Z101" t="e">
        <f ca="1">- cleaned cartridge Bays, plunger Rods _xludf.and I-CORE
- generated reports</f>
        <v>#NAME?</v>
      </c>
      <c r="AA101" t="s">
        <v>820</v>
      </c>
      <c r="AB101" t="s">
        <v>70</v>
      </c>
      <c r="AG101" t="s">
        <v>1068</v>
      </c>
      <c r="AH101" t="s">
        <v>1069</v>
      </c>
      <c r="AI101" t="s">
        <v>1070</v>
      </c>
    </row>
    <row r="102" spans="2:35" ht="255">
      <c r="B102" s="1">
        <v>46111</v>
      </c>
      <c r="C102" s="1">
        <v>46109</v>
      </c>
      <c r="D102" t="s">
        <v>1071</v>
      </c>
      <c r="E102" t="s">
        <v>1072</v>
      </c>
      <c r="F102">
        <v>7</v>
      </c>
      <c r="G102" t="s">
        <v>432</v>
      </c>
      <c r="H102" t="s">
        <v>386</v>
      </c>
      <c r="I102" t="s">
        <v>40</v>
      </c>
      <c r="J102" s="2" t="s">
        <v>760</v>
      </c>
      <c r="K102" t="s">
        <v>387</v>
      </c>
      <c r="L102" t="s">
        <v>610</v>
      </c>
      <c r="N102" t="s">
        <v>611</v>
      </c>
      <c r="Q102">
        <v>32446</v>
      </c>
      <c r="R102" t="s">
        <v>95</v>
      </c>
      <c r="S102" t="s">
        <v>1073</v>
      </c>
      <c r="T102">
        <v>24</v>
      </c>
      <c r="W102" t="s">
        <v>390</v>
      </c>
      <c r="X102" t="s">
        <v>1074</v>
      </c>
      <c r="Y102" t="s">
        <v>1075</v>
      </c>
      <c r="Z102" s="2" t="s">
        <v>1076</v>
      </c>
      <c r="AA102" s="2" t="s">
        <v>1076</v>
      </c>
      <c r="AB102" t="s">
        <v>1077</v>
      </c>
      <c r="AG102" t="s">
        <v>1078</v>
      </c>
      <c r="AH102" t="s">
        <v>1079</v>
      </c>
      <c r="AI102" t="s">
        <v>1080</v>
      </c>
    </row>
    <row r="103" spans="2:35" ht="210">
      <c r="B103" s="1">
        <v>46111</v>
      </c>
      <c r="C103" s="1">
        <v>46108</v>
      </c>
      <c r="D103" t="s">
        <v>1081</v>
      </c>
      <c r="E103" t="s">
        <v>1082</v>
      </c>
      <c r="F103" t="s">
        <v>148</v>
      </c>
      <c r="G103" t="s">
        <v>785</v>
      </c>
      <c r="H103" t="s">
        <v>1083</v>
      </c>
      <c r="I103" t="s">
        <v>40</v>
      </c>
      <c r="J103" t="s">
        <v>109</v>
      </c>
      <c r="K103" t="s">
        <v>387</v>
      </c>
      <c r="L103" t="s">
        <v>43</v>
      </c>
      <c r="N103" t="s">
        <v>44</v>
      </c>
      <c r="Q103">
        <v>32444</v>
      </c>
      <c r="R103" t="s">
        <v>95</v>
      </c>
      <c r="S103" t="s">
        <v>1084</v>
      </c>
      <c r="T103">
        <v>22</v>
      </c>
      <c r="W103" t="s">
        <v>390</v>
      </c>
      <c r="X103" t="s">
        <v>1085</v>
      </c>
      <c r="Y103" t="s">
        <v>121</v>
      </c>
      <c r="Z103" t="s">
        <v>122</v>
      </c>
      <c r="AA103" s="2" t="s">
        <v>392</v>
      </c>
      <c r="AB103" t="s">
        <v>88</v>
      </c>
      <c r="AG103" t="s">
        <v>1086</v>
      </c>
      <c r="AH103" t="s">
        <v>1087</v>
      </c>
      <c r="AI103" t="s">
        <v>1088</v>
      </c>
    </row>
    <row r="104" spans="2:35" ht="409.5">
      <c r="B104" s="1">
        <v>46111</v>
      </c>
      <c r="C104" s="1">
        <v>46110</v>
      </c>
      <c r="D104" t="s">
        <v>1089</v>
      </c>
      <c r="E104" t="s">
        <v>1090</v>
      </c>
      <c r="F104" t="s">
        <v>148</v>
      </c>
      <c r="G104" t="s">
        <v>406</v>
      </c>
      <c r="H104" t="s">
        <v>39</v>
      </c>
      <c r="I104" t="s">
        <v>40</v>
      </c>
      <c r="J104" t="s">
        <v>109</v>
      </c>
      <c r="K104" t="s">
        <v>42</v>
      </c>
      <c r="L104" t="s">
        <v>43</v>
      </c>
      <c r="N104" t="s">
        <v>44</v>
      </c>
      <c r="O104" t="s">
        <v>1091</v>
      </c>
      <c r="Q104">
        <v>32445</v>
      </c>
      <c r="R104" t="s">
        <v>95</v>
      </c>
      <c r="S104" t="s">
        <v>1092</v>
      </c>
      <c r="T104">
        <v>22</v>
      </c>
      <c r="U104" s="2" t="s">
        <v>1093</v>
      </c>
      <c r="W104" t="s">
        <v>48</v>
      </c>
      <c r="X104">
        <v>839232</v>
      </c>
      <c r="Y104" t="s">
        <v>121</v>
      </c>
      <c r="Z104" t="s">
        <v>122</v>
      </c>
      <c r="AA104" s="2" t="s">
        <v>1094</v>
      </c>
      <c r="AB104" t="s">
        <v>1095</v>
      </c>
      <c r="AG104" t="s">
        <v>1096</v>
      </c>
      <c r="AH104" t="s">
        <v>1097</v>
      </c>
      <c r="AI104" t="s">
        <v>1098</v>
      </c>
    </row>
    <row r="105" spans="2:35" ht="409.5">
      <c r="B105" s="1">
        <v>46111</v>
      </c>
      <c r="C105" s="1">
        <v>46110</v>
      </c>
      <c r="D105" t="s">
        <v>1099</v>
      </c>
      <c r="E105" t="s">
        <v>1090</v>
      </c>
      <c r="F105" t="s">
        <v>148</v>
      </c>
      <c r="G105" t="s">
        <v>406</v>
      </c>
      <c r="H105" t="s">
        <v>39</v>
      </c>
      <c r="I105" t="s">
        <v>40</v>
      </c>
      <c r="J105" s="2" t="s">
        <v>190</v>
      </c>
      <c r="K105" t="s">
        <v>42</v>
      </c>
      <c r="L105" t="s">
        <v>43</v>
      </c>
      <c r="N105" t="s">
        <v>44</v>
      </c>
      <c r="O105" t="s">
        <v>1091</v>
      </c>
      <c r="Q105">
        <v>32442</v>
      </c>
      <c r="R105" t="s">
        <v>95</v>
      </c>
      <c r="S105" t="s">
        <v>1092</v>
      </c>
      <c r="T105">
        <v>22</v>
      </c>
      <c r="U105" s="2" t="s">
        <v>1100</v>
      </c>
      <c r="W105" t="s">
        <v>153</v>
      </c>
      <c r="X105">
        <v>120002383</v>
      </c>
      <c r="Y105" t="s">
        <v>1101</v>
      </c>
      <c r="Z105" t="s">
        <v>1102</v>
      </c>
      <c r="AA105" s="2" t="s">
        <v>1103</v>
      </c>
      <c r="AB105" t="s">
        <v>1104</v>
      </c>
      <c r="AG105" t="s">
        <v>1105</v>
      </c>
      <c r="AH105" t="s">
        <v>1097</v>
      </c>
      <c r="AI105" t="s">
        <v>1106</v>
      </c>
    </row>
    <row r="106" spans="2:35" ht="270">
      <c r="B106" s="1">
        <v>46111</v>
      </c>
      <c r="C106" s="1">
        <v>46108</v>
      </c>
      <c r="D106" t="s">
        <v>1107</v>
      </c>
      <c r="E106" t="s">
        <v>1108</v>
      </c>
      <c r="F106" t="s">
        <v>37</v>
      </c>
      <c r="G106" t="s">
        <v>38</v>
      </c>
      <c r="H106" t="s">
        <v>39</v>
      </c>
      <c r="I106" t="s">
        <v>40</v>
      </c>
      <c r="J106" s="2" t="s">
        <v>62</v>
      </c>
      <c r="K106" t="s">
        <v>42</v>
      </c>
      <c r="L106" t="s">
        <v>43</v>
      </c>
      <c r="N106" t="s">
        <v>44</v>
      </c>
      <c r="Q106">
        <v>32443</v>
      </c>
      <c r="R106" t="s">
        <v>119</v>
      </c>
      <c r="S106" t="s">
        <v>1109</v>
      </c>
      <c r="T106">
        <v>22</v>
      </c>
      <c r="U106" s="2" t="s">
        <v>1110</v>
      </c>
      <c r="W106" t="s">
        <v>48</v>
      </c>
      <c r="X106">
        <v>819864</v>
      </c>
      <c r="Y106" t="s">
        <v>1111</v>
      </c>
      <c r="Z106" t="s">
        <v>999</v>
      </c>
      <c r="AA106" s="2" t="s">
        <v>1112</v>
      </c>
      <c r="AB106" t="s">
        <v>1113</v>
      </c>
      <c r="AG106" t="s">
        <v>1114</v>
      </c>
      <c r="AH106" t="s">
        <v>1115</v>
      </c>
      <c r="AI106" t="s">
        <v>1116</v>
      </c>
    </row>
    <row r="107" spans="2:35" ht="210">
      <c r="B107" s="1">
        <v>46111</v>
      </c>
      <c r="C107" s="1">
        <v>46111</v>
      </c>
      <c r="D107" t="s">
        <v>1117</v>
      </c>
      <c r="E107" t="s">
        <v>1118</v>
      </c>
      <c r="F107">
        <v>7</v>
      </c>
      <c r="G107" t="s">
        <v>432</v>
      </c>
      <c r="H107" t="s">
        <v>39</v>
      </c>
      <c r="I107" t="s">
        <v>40</v>
      </c>
      <c r="J107" s="2" t="s">
        <v>190</v>
      </c>
      <c r="K107" t="s">
        <v>42</v>
      </c>
      <c r="L107" t="s">
        <v>594</v>
      </c>
      <c r="N107" t="s">
        <v>595</v>
      </c>
      <c r="O107" t="s">
        <v>595</v>
      </c>
      <c r="Q107">
        <v>32441</v>
      </c>
      <c r="R107" t="s">
        <v>45</v>
      </c>
      <c r="S107" t="s">
        <v>1119</v>
      </c>
      <c r="T107">
        <v>25</v>
      </c>
      <c r="V107" s="1">
        <v>46111</v>
      </c>
      <c r="W107" t="s">
        <v>597</v>
      </c>
      <c r="X107">
        <v>807603</v>
      </c>
      <c r="Y107" t="s">
        <v>1120</v>
      </c>
      <c r="Z107" s="2" t="s">
        <v>1121</v>
      </c>
      <c r="AA107" t="s">
        <v>1122</v>
      </c>
      <c r="AB107" t="s">
        <v>1123</v>
      </c>
      <c r="AG107" t="s">
        <v>1124</v>
      </c>
      <c r="AH107" t="s">
        <v>1125</v>
      </c>
      <c r="AI107" t="s">
        <v>1126</v>
      </c>
    </row>
    <row r="108" spans="2:35" ht="195">
      <c r="B108" s="1">
        <v>46111</v>
      </c>
      <c r="C108" s="1">
        <v>46111</v>
      </c>
      <c r="D108" t="s">
        <v>1127</v>
      </c>
      <c r="E108" t="s">
        <v>1128</v>
      </c>
      <c r="F108">
        <v>8</v>
      </c>
      <c r="G108" t="s">
        <v>342</v>
      </c>
      <c r="H108" t="s">
        <v>258</v>
      </c>
      <c r="I108" t="s">
        <v>40</v>
      </c>
      <c r="J108" t="s">
        <v>109</v>
      </c>
      <c r="K108" t="s">
        <v>42</v>
      </c>
      <c r="L108" t="s">
        <v>259</v>
      </c>
      <c r="N108" t="s">
        <v>260</v>
      </c>
      <c r="Q108">
        <v>32440</v>
      </c>
      <c r="R108" t="s">
        <v>45</v>
      </c>
      <c r="S108" t="s">
        <v>1129</v>
      </c>
      <c r="T108">
        <v>24</v>
      </c>
      <c r="U108" s="2" t="s">
        <v>1130</v>
      </c>
      <c r="W108" t="s">
        <v>1131</v>
      </c>
      <c r="X108">
        <v>120000177</v>
      </c>
      <c r="Y108" t="s">
        <v>263</v>
      </c>
      <c r="Z108" t="s">
        <v>263</v>
      </c>
      <c r="AA108" t="e">
        <f ca="1">- Preventive Maintenance</f>
        <v>#NAME?</v>
      </c>
      <c r="AB108" t="s">
        <v>181</v>
      </c>
      <c r="AG108" t="s">
        <v>1132</v>
      </c>
      <c r="AH108" t="s">
        <v>1133</v>
      </c>
      <c r="AI108" t="s">
        <v>1134</v>
      </c>
    </row>
    <row r="109" spans="2:35" ht="315">
      <c r="B109" s="1">
        <v>46111</v>
      </c>
      <c r="C109" s="1">
        <v>46108</v>
      </c>
      <c r="D109" t="s">
        <v>1135</v>
      </c>
      <c r="E109" t="s">
        <v>1136</v>
      </c>
      <c r="F109" t="s">
        <v>37</v>
      </c>
      <c r="G109" t="s">
        <v>38</v>
      </c>
      <c r="H109" t="s">
        <v>39</v>
      </c>
      <c r="I109" t="s">
        <v>40</v>
      </c>
      <c r="J109" t="s">
        <v>525</v>
      </c>
      <c r="K109" t="s">
        <v>42</v>
      </c>
      <c r="L109" t="s">
        <v>448</v>
      </c>
      <c r="N109" t="s">
        <v>450</v>
      </c>
      <c r="Q109">
        <v>32439</v>
      </c>
      <c r="R109" t="s">
        <v>45</v>
      </c>
      <c r="S109" t="s">
        <v>1137</v>
      </c>
      <c r="T109">
        <v>26</v>
      </c>
      <c r="U109" s="2" t="s">
        <v>1138</v>
      </c>
      <c r="W109" t="s">
        <v>1139</v>
      </c>
      <c r="X109">
        <v>808616</v>
      </c>
      <c r="Y109" t="s">
        <v>1140</v>
      </c>
      <c r="Z109" s="2" t="s">
        <v>1141</v>
      </c>
      <c r="AA109" t="s">
        <v>768</v>
      </c>
      <c r="AB109" t="s">
        <v>656</v>
      </c>
      <c r="AG109" t="s">
        <v>1142</v>
      </c>
      <c r="AH109" t="s">
        <v>1143</v>
      </c>
      <c r="AI109" t="s">
        <v>1144</v>
      </c>
    </row>
    <row r="110" spans="2:35" ht="405">
      <c r="B110" s="1">
        <v>46111</v>
      </c>
      <c r="C110" s="1">
        <v>46108</v>
      </c>
      <c r="D110" t="s">
        <v>1145</v>
      </c>
      <c r="E110" t="s">
        <v>1146</v>
      </c>
      <c r="F110" t="s">
        <v>148</v>
      </c>
      <c r="G110" t="s">
        <v>447</v>
      </c>
      <c r="H110" t="s">
        <v>150</v>
      </c>
      <c r="I110" t="s">
        <v>40</v>
      </c>
      <c r="J110" t="s">
        <v>583</v>
      </c>
      <c r="K110" t="s">
        <v>42</v>
      </c>
      <c r="L110" t="s">
        <v>448</v>
      </c>
      <c r="N110" t="s">
        <v>450</v>
      </c>
      <c r="Q110">
        <v>32438</v>
      </c>
      <c r="R110" t="s">
        <v>322</v>
      </c>
      <c r="S110" t="s">
        <v>1147</v>
      </c>
      <c r="T110">
        <v>26</v>
      </c>
      <c r="U110" s="2" t="s">
        <v>1148</v>
      </c>
      <c r="W110" t="s">
        <v>1139</v>
      </c>
      <c r="X110">
        <v>110027386</v>
      </c>
      <c r="Y110" t="s">
        <v>1149</v>
      </c>
      <c r="Z110" s="2" t="s">
        <v>1150</v>
      </c>
      <c r="AA110" t="s">
        <v>1151</v>
      </c>
      <c r="AB110" t="s">
        <v>486</v>
      </c>
      <c r="AG110" t="s">
        <v>1152</v>
      </c>
      <c r="AH110" t="s">
        <v>1153</v>
      </c>
      <c r="AI110" t="s">
        <v>1154</v>
      </c>
    </row>
    <row r="111" spans="2:35" ht="315">
      <c r="B111" s="1">
        <v>46111</v>
      </c>
      <c r="C111" s="1">
        <v>46107</v>
      </c>
      <c r="D111" t="s">
        <v>1155</v>
      </c>
      <c r="E111" t="s">
        <v>1156</v>
      </c>
      <c r="F111" t="s">
        <v>148</v>
      </c>
      <c r="G111" t="s">
        <v>230</v>
      </c>
      <c r="H111" t="s">
        <v>39</v>
      </c>
      <c r="I111" t="s">
        <v>40</v>
      </c>
      <c r="J111" s="2" t="s">
        <v>1157</v>
      </c>
      <c r="K111" t="s">
        <v>408</v>
      </c>
      <c r="L111" t="s">
        <v>448</v>
      </c>
      <c r="N111" t="s">
        <v>450</v>
      </c>
      <c r="P111" t="s">
        <v>1158</v>
      </c>
      <c r="Q111">
        <v>32437</v>
      </c>
      <c r="R111" t="s">
        <v>95</v>
      </c>
      <c r="S111" t="s">
        <v>1159</v>
      </c>
      <c r="T111">
        <v>26</v>
      </c>
      <c r="W111" t="s">
        <v>1160</v>
      </c>
      <c r="X111">
        <v>1101271</v>
      </c>
      <c r="Y111" s="2" t="s">
        <v>1161</v>
      </c>
      <c r="Z111" s="2" t="s">
        <v>1162</v>
      </c>
      <c r="AA111" s="2" t="s">
        <v>1163</v>
      </c>
      <c r="AB111" s="2" t="s">
        <v>1164</v>
      </c>
      <c r="AG111" t="s">
        <v>1165</v>
      </c>
      <c r="AH111" t="s">
        <v>1166</v>
      </c>
      <c r="AI111" t="s">
        <v>1167</v>
      </c>
    </row>
    <row r="112" spans="2:35" ht="30">
      <c r="B112" s="1">
        <v>46108</v>
      </c>
      <c r="C112" s="1">
        <v>46108</v>
      </c>
      <c r="D112" t="s">
        <v>1168</v>
      </c>
      <c r="E112" t="s">
        <v>1169</v>
      </c>
      <c r="F112" t="s">
        <v>148</v>
      </c>
      <c r="G112" t="s">
        <v>310</v>
      </c>
      <c r="H112" t="s">
        <v>39</v>
      </c>
      <c r="I112" t="s">
        <v>40</v>
      </c>
      <c r="J112" s="2" t="s">
        <v>1170</v>
      </c>
      <c r="K112" t="s">
        <v>42</v>
      </c>
      <c r="L112" t="s">
        <v>857</v>
      </c>
      <c r="N112" t="s">
        <v>858</v>
      </c>
      <c r="Q112">
        <v>32436</v>
      </c>
      <c r="R112" t="s">
        <v>322</v>
      </c>
      <c r="S112" t="s">
        <v>859</v>
      </c>
      <c r="T112">
        <v>23</v>
      </c>
      <c r="V112" s="1">
        <v>46105</v>
      </c>
      <c r="W112" t="s">
        <v>860</v>
      </c>
      <c r="X112">
        <v>809643</v>
      </c>
      <c r="Y112" t="s">
        <v>1171</v>
      </c>
      <c r="Z112" t="s">
        <v>1172</v>
      </c>
      <c r="AA112" t="s">
        <v>1173</v>
      </c>
      <c r="AB112" t="s">
        <v>181</v>
      </c>
      <c r="AD112" t="s">
        <v>1174</v>
      </c>
      <c r="AE112" t="s">
        <v>1175</v>
      </c>
      <c r="AG112" t="s">
        <v>1176</v>
      </c>
      <c r="AH112" t="s">
        <v>1177</v>
      </c>
      <c r="AI112" t="s">
        <v>1178</v>
      </c>
    </row>
    <row r="113" spans="2:35" ht="210">
      <c r="B113" s="1">
        <v>46108</v>
      </c>
      <c r="C113" s="1">
        <v>46108</v>
      </c>
      <c r="D113" t="s">
        <v>1179</v>
      </c>
      <c r="E113" t="s">
        <v>1180</v>
      </c>
      <c r="F113" t="s">
        <v>1181</v>
      </c>
      <c r="G113" t="s">
        <v>1182</v>
      </c>
      <c r="H113" t="s">
        <v>39</v>
      </c>
      <c r="I113" t="s">
        <v>40</v>
      </c>
      <c r="J113" s="2" t="s">
        <v>41</v>
      </c>
      <c r="K113" t="s">
        <v>42</v>
      </c>
      <c r="L113" t="s">
        <v>80</v>
      </c>
      <c r="N113" t="s">
        <v>81</v>
      </c>
      <c r="Q113">
        <v>32435</v>
      </c>
      <c r="R113" t="s">
        <v>45</v>
      </c>
      <c r="S113" t="s">
        <v>1183</v>
      </c>
      <c r="T113">
        <v>25</v>
      </c>
      <c r="U113" s="2" t="s">
        <v>1184</v>
      </c>
      <c r="V113" s="1">
        <v>46108</v>
      </c>
      <c r="W113" t="s">
        <v>84</v>
      </c>
      <c r="X113">
        <v>807671</v>
      </c>
      <c r="Y113" t="s">
        <v>1185</v>
      </c>
      <c r="Z113" s="2" t="s">
        <v>1186</v>
      </c>
      <c r="AA113" s="2" t="s">
        <v>1187</v>
      </c>
      <c r="AB113" t="s">
        <v>1188</v>
      </c>
      <c r="AD113" t="s">
        <v>1189</v>
      </c>
      <c r="AE113" t="s">
        <v>449</v>
      </c>
      <c r="AG113" t="s">
        <v>1190</v>
      </c>
      <c r="AH113" t="s">
        <v>1191</v>
      </c>
      <c r="AI113" t="s">
        <v>1192</v>
      </c>
    </row>
    <row r="114" spans="2:35" ht="180">
      <c r="B114" s="1">
        <v>46108</v>
      </c>
      <c r="C114" s="1">
        <v>46108</v>
      </c>
      <c r="D114" t="s">
        <v>1193</v>
      </c>
      <c r="E114" t="s">
        <v>1194</v>
      </c>
      <c r="F114" t="s">
        <v>1181</v>
      </c>
      <c r="G114" t="s">
        <v>1182</v>
      </c>
      <c r="H114" t="s">
        <v>39</v>
      </c>
      <c r="I114" t="s">
        <v>40</v>
      </c>
      <c r="J114" s="2" t="s">
        <v>41</v>
      </c>
      <c r="K114" t="s">
        <v>42</v>
      </c>
      <c r="L114" t="s">
        <v>80</v>
      </c>
      <c r="N114" t="s">
        <v>81</v>
      </c>
      <c r="Q114">
        <v>32434</v>
      </c>
      <c r="R114" t="s">
        <v>322</v>
      </c>
      <c r="S114" t="s">
        <v>1195</v>
      </c>
      <c r="T114">
        <v>25</v>
      </c>
      <c r="U114" s="2" t="s">
        <v>273</v>
      </c>
      <c r="V114" s="1">
        <v>46105</v>
      </c>
      <c r="W114" t="s">
        <v>84</v>
      </c>
      <c r="X114">
        <v>110026464</v>
      </c>
      <c r="Y114" t="s">
        <v>1196</v>
      </c>
      <c r="Z114" s="2" t="s">
        <v>1197</v>
      </c>
      <c r="AA114" t="s">
        <v>1198</v>
      </c>
      <c r="AB114" t="s">
        <v>1188</v>
      </c>
      <c r="AD114" t="s">
        <v>1189</v>
      </c>
      <c r="AE114" t="s">
        <v>1199</v>
      </c>
      <c r="AG114" t="s">
        <v>1200</v>
      </c>
      <c r="AH114" t="s">
        <v>1201</v>
      </c>
      <c r="AI114" t="s">
        <v>1202</v>
      </c>
    </row>
    <row r="115" spans="2:35" ht="360">
      <c r="B115" s="1">
        <v>46108</v>
      </c>
      <c r="C115" s="1">
        <v>46108</v>
      </c>
      <c r="D115" t="s">
        <v>1203</v>
      </c>
      <c r="E115" t="s">
        <v>1204</v>
      </c>
      <c r="F115">
        <v>11</v>
      </c>
      <c r="G115" t="s">
        <v>1205</v>
      </c>
      <c r="H115" t="s">
        <v>202</v>
      </c>
      <c r="I115" t="s">
        <v>40</v>
      </c>
      <c r="J115" s="2" t="s">
        <v>355</v>
      </c>
      <c r="K115" t="s">
        <v>42</v>
      </c>
      <c r="L115" t="s">
        <v>204</v>
      </c>
      <c r="N115" t="s">
        <v>205</v>
      </c>
      <c r="Q115">
        <v>32433</v>
      </c>
      <c r="R115" t="s">
        <v>45</v>
      </c>
      <c r="S115" t="s">
        <v>1206</v>
      </c>
      <c r="T115">
        <v>209</v>
      </c>
      <c r="U115" s="2" t="s">
        <v>1207</v>
      </c>
      <c r="W115" t="s">
        <v>208</v>
      </c>
      <c r="X115">
        <v>80298</v>
      </c>
      <c r="Y115" s="2" t="s">
        <v>1208</v>
      </c>
      <c r="Z115" s="2" t="s">
        <v>1209</v>
      </c>
      <c r="AA115" t="s">
        <v>1210</v>
      </c>
      <c r="AB115" t="s">
        <v>1211</v>
      </c>
      <c r="AC115" t="s">
        <v>1212</v>
      </c>
      <c r="AG115" t="s">
        <v>1213</v>
      </c>
      <c r="AH115" t="s">
        <v>1214</v>
      </c>
      <c r="AI115" t="s">
        <v>1215</v>
      </c>
    </row>
    <row r="116" spans="2:35" ht="45">
      <c r="B116" s="1">
        <v>46108</v>
      </c>
      <c r="C116" s="1">
        <v>46108</v>
      </c>
      <c r="D116" t="s">
        <v>1216</v>
      </c>
      <c r="E116" t="s">
        <v>1217</v>
      </c>
      <c r="F116">
        <v>3</v>
      </c>
      <c r="G116" t="s">
        <v>174</v>
      </c>
      <c r="H116" t="s">
        <v>39</v>
      </c>
      <c r="I116" t="s">
        <v>40</v>
      </c>
      <c r="J116" s="2" t="s">
        <v>41</v>
      </c>
      <c r="K116" t="s">
        <v>42</v>
      </c>
      <c r="L116" t="s">
        <v>175</v>
      </c>
      <c r="N116" t="s">
        <v>176</v>
      </c>
      <c r="Q116">
        <v>32432</v>
      </c>
      <c r="R116" t="s">
        <v>119</v>
      </c>
      <c r="S116" t="s">
        <v>1218</v>
      </c>
      <c r="T116">
        <v>28</v>
      </c>
      <c r="W116" t="s">
        <v>84</v>
      </c>
      <c r="X116">
        <v>831874</v>
      </c>
      <c r="Y116" t="s">
        <v>962</v>
      </c>
      <c r="Z116" t="s">
        <v>777</v>
      </c>
      <c r="AA116" t="e">
        <f ca="1">- replaced CPU by CPH0625F59560
- checked _xludf.and cleaned cartridge bay, plunger rod, _xludf.filter
- generated reports
- performed self test</f>
        <v>#NAME?</v>
      </c>
      <c r="AB116" t="s">
        <v>181</v>
      </c>
      <c r="AG116" t="s">
        <v>1219</v>
      </c>
      <c r="AH116" t="s">
        <v>1220</v>
      </c>
      <c r="AI116" t="s">
        <v>1221</v>
      </c>
    </row>
    <row r="117" spans="2:35" ht="225">
      <c r="B117" s="1">
        <v>46108</v>
      </c>
      <c r="C117" s="1">
        <v>46107</v>
      </c>
      <c r="D117" t="s">
        <v>1222</v>
      </c>
      <c r="E117" t="s">
        <v>1223</v>
      </c>
      <c r="F117" t="s">
        <v>37</v>
      </c>
      <c r="G117" t="s">
        <v>38</v>
      </c>
      <c r="H117" t="s">
        <v>39</v>
      </c>
      <c r="I117" t="s">
        <v>40</v>
      </c>
      <c r="J117" s="2" t="s">
        <v>41</v>
      </c>
      <c r="K117" t="s">
        <v>42</v>
      </c>
      <c r="L117" t="s">
        <v>43</v>
      </c>
      <c r="N117" t="s">
        <v>44</v>
      </c>
      <c r="Q117">
        <v>32431</v>
      </c>
      <c r="R117" t="s">
        <v>119</v>
      </c>
      <c r="S117" t="s">
        <v>1224</v>
      </c>
      <c r="T117">
        <v>24</v>
      </c>
      <c r="U117" s="2" t="s">
        <v>1225</v>
      </c>
      <c r="W117" t="s">
        <v>48</v>
      </c>
      <c r="X117">
        <v>821213</v>
      </c>
      <c r="Y117" t="s">
        <v>1226</v>
      </c>
      <c r="Z117" t="s">
        <v>1227</v>
      </c>
      <c r="AA117" s="2" t="s">
        <v>1228</v>
      </c>
      <c r="AB117" t="s">
        <v>548</v>
      </c>
      <c r="AG117" t="s">
        <v>1229</v>
      </c>
      <c r="AH117" t="s">
        <v>1230</v>
      </c>
      <c r="AI117" t="s">
        <v>1231</v>
      </c>
    </row>
    <row r="118" spans="2:35" ht="105">
      <c r="B118" s="1">
        <v>46108</v>
      </c>
      <c r="C118" s="1">
        <v>46108</v>
      </c>
      <c r="D118" t="s">
        <v>1232</v>
      </c>
      <c r="E118" t="s">
        <v>1233</v>
      </c>
      <c r="F118">
        <v>6</v>
      </c>
      <c r="G118" t="s">
        <v>1234</v>
      </c>
      <c r="H118" t="s">
        <v>258</v>
      </c>
      <c r="I118" t="s">
        <v>94</v>
      </c>
      <c r="J118" t="s">
        <v>79</v>
      </c>
      <c r="K118" t="s">
        <v>42</v>
      </c>
      <c r="L118" t="s">
        <v>270</v>
      </c>
      <c r="N118" t="s">
        <v>271</v>
      </c>
      <c r="Q118">
        <v>32430</v>
      </c>
      <c r="R118" t="s">
        <v>45</v>
      </c>
      <c r="S118" t="s">
        <v>1235</v>
      </c>
      <c r="T118">
        <v>25</v>
      </c>
      <c r="U118" s="2" t="s">
        <v>1236</v>
      </c>
      <c r="W118" t="s">
        <v>666</v>
      </c>
      <c r="X118">
        <v>847255</v>
      </c>
      <c r="Y118" t="s">
        <v>1237</v>
      </c>
      <c r="Z118" t="s">
        <v>1238</v>
      </c>
      <c r="AA118" t="s">
        <v>1239</v>
      </c>
      <c r="AB118" t="s">
        <v>1240</v>
      </c>
      <c r="AG118" t="s">
        <v>1241</v>
      </c>
      <c r="AH118" t="s">
        <v>1242</v>
      </c>
      <c r="AI118" t="s">
        <v>1243</v>
      </c>
    </row>
    <row r="119" spans="2:35" ht="330">
      <c r="B119" s="1">
        <v>46108</v>
      </c>
      <c r="C119" s="1">
        <v>46108</v>
      </c>
      <c r="D119" t="s">
        <v>132</v>
      </c>
      <c r="E119" t="s">
        <v>1244</v>
      </c>
      <c r="F119">
        <v>3</v>
      </c>
      <c r="G119" t="s">
        <v>134</v>
      </c>
      <c r="H119" t="s">
        <v>39</v>
      </c>
      <c r="I119" t="s">
        <v>40</v>
      </c>
      <c r="J119" s="2" t="s">
        <v>1245</v>
      </c>
      <c r="K119" t="s">
        <v>42</v>
      </c>
      <c r="L119" t="s">
        <v>135</v>
      </c>
      <c r="N119" t="s">
        <v>136</v>
      </c>
      <c r="Q119">
        <v>32429</v>
      </c>
      <c r="R119" t="s">
        <v>119</v>
      </c>
      <c r="S119" t="s">
        <v>137</v>
      </c>
      <c r="T119">
        <v>25</v>
      </c>
      <c r="W119" t="s">
        <v>138</v>
      </c>
      <c r="X119">
        <v>831900</v>
      </c>
      <c r="Y119" s="2" t="s">
        <v>1246</v>
      </c>
      <c r="Z119" s="2" t="s">
        <v>1247</v>
      </c>
      <c r="AA119" s="2" t="s">
        <v>1248</v>
      </c>
      <c r="AB119" s="2" t="s">
        <v>1249</v>
      </c>
      <c r="AG119" t="s">
        <v>1250</v>
      </c>
      <c r="AH119" t="s">
        <v>1251</v>
      </c>
      <c r="AI119" t="s">
        <v>1252</v>
      </c>
    </row>
    <row r="120" spans="2:35" ht="105">
      <c r="B120" s="1">
        <v>46107</v>
      </c>
      <c r="C120" s="1">
        <v>46107</v>
      </c>
      <c r="D120" t="s">
        <v>1253</v>
      </c>
      <c r="E120" t="s">
        <v>1254</v>
      </c>
      <c r="F120" t="s">
        <v>1255</v>
      </c>
      <c r="G120" t="s">
        <v>1256</v>
      </c>
      <c r="H120" t="s">
        <v>39</v>
      </c>
      <c r="I120" t="s">
        <v>94</v>
      </c>
      <c r="J120" t="s">
        <v>109</v>
      </c>
      <c r="K120" t="s">
        <v>42</v>
      </c>
      <c r="L120" t="s">
        <v>1257</v>
      </c>
      <c r="N120" t="s">
        <v>1258</v>
      </c>
      <c r="O120" t="s">
        <v>1258</v>
      </c>
      <c r="Q120">
        <v>32428</v>
      </c>
      <c r="R120" t="s">
        <v>45</v>
      </c>
      <c r="S120" t="s">
        <v>1259</v>
      </c>
      <c r="T120">
        <v>29</v>
      </c>
      <c r="U120" s="2" t="s">
        <v>1260</v>
      </c>
      <c r="V120" s="1">
        <v>46107</v>
      </c>
      <c r="W120" t="s">
        <v>1261</v>
      </c>
      <c r="X120">
        <v>815497</v>
      </c>
      <c r="Y120" t="s">
        <v>301</v>
      </c>
      <c r="Z120" t="s">
        <v>1262</v>
      </c>
      <c r="AA120" t="s">
        <v>1262</v>
      </c>
      <c r="AB120" t="s">
        <v>1263</v>
      </c>
      <c r="AC120" t="s">
        <v>301</v>
      </c>
      <c r="AD120" t="s">
        <v>54</v>
      </c>
      <c r="AE120" t="s">
        <v>54</v>
      </c>
      <c r="AG120" t="s">
        <v>1264</v>
      </c>
      <c r="AH120" t="s">
        <v>1265</v>
      </c>
      <c r="AI120" t="s">
        <v>1266</v>
      </c>
    </row>
    <row r="121" spans="2:35" ht="210">
      <c r="B121" s="1">
        <v>46107</v>
      </c>
      <c r="C121" s="1">
        <v>46107</v>
      </c>
      <c r="D121" t="s">
        <v>1253</v>
      </c>
      <c r="E121" t="s">
        <v>1267</v>
      </c>
      <c r="F121" t="s">
        <v>1255</v>
      </c>
      <c r="G121" t="s">
        <v>1256</v>
      </c>
      <c r="H121" t="s">
        <v>39</v>
      </c>
      <c r="I121" t="s">
        <v>40</v>
      </c>
      <c r="J121" t="s">
        <v>109</v>
      </c>
      <c r="K121" t="s">
        <v>42</v>
      </c>
      <c r="L121" t="s">
        <v>1257</v>
      </c>
      <c r="N121" t="s">
        <v>1258</v>
      </c>
      <c r="O121" t="s">
        <v>1258</v>
      </c>
      <c r="Q121">
        <v>32427</v>
      </c>
      <c r="R121" t="s">
        <v>1268</v>
      </c>
      <c r="S121" t="s">
        <v>1259</v>
      </c>
      <c r="T121">
        <v>29</v>
      </c>
      <c r="U121" s="2" t="s">
        <v>1269</v>
      </c>
      <c r="V121" s="1">
        <v>46107</v>
      </c>
      <c r="W121" t="s">
        <v>1270</v>
      </c>
      <c r="X121">
        <v>110008651</v>
      </c>
      <c r="Y121" t="s">
        <v>1271</v>
      </c>
      <c r="Z121" t="s">
        <v>1262</v>
      </c>
      <c r="AA121" t="s">
        <v>1262</v>
      </c>
      <c r="AB121" t="s">
        <v>1272</v>
      </c>
      <c r="AC121" t="s">
        <v>1273</v>
      </c>
      <c r="AD121" t="s">
        <v>54</v>
      </c>
      <c r="AE121" t="s">
        <v>54</v>
      </c>
      <c r="AG121" t="s">
        <v>1274</v>
      </c>
      <c r="AH121" t="s">
        <v>1265</v>
      </c>
      <c r="AI121" t="s">
        <v>1275</v>
      </c>
    </row>
    <row r="122" spans="2:35" ht="210">
      <c r="B122" s="1">
        <v>46107</v>
      </c>
      <c r="C122" s="1">
        <v>46107</v>
      </c>
      <c r="D122" t="s">
        <v>1276</v>
      </c>
      <c r="E122" t="s">
        <v>1254</v>
      </c>
      <c r="F122" t="s">
        <v>1255</v>
      </c>
      <c r="G122" t="s">
        <v>1256</v>
      </c>
      <c r="H122" t="s">
        <v>39</v>
      </c>
      <c r="I122" t="s">
        <v>40</v>
      </c>
      <c r="J122" t="s">
        <v>109</v>
      </c>
      <c r="K122" t="s">
        <v>42</v>
      </c>
      <c r="L122" t="s">
        <v>1257</v>
      </c>
      <c r="N122" t="s">
        <v>1258</v>
      </c>
      <c r="O122" t="s">
        <v>1258</v>
      </c>
      <c r="Q122">
        <v>32426</v>
      </c>
      <c r="R122" t="s">
        <v>45</v>
      </c>
      <c r="S122" t="s">
        <v>1259</v>
      </c>
      <c r="T122">
        <v>29</v>
      </c>
      <c r="U122" s="2" t="s">
        <v>1277</v>
      </c>
      <c r="V122" s="1">
        <v>46107</v>
      </c>
      <c r="W122" t="s">
        <v>1270</v>
      </c>
      <c r="X122">
        <v>120000488</v>
      </c>
      <c r="Y122" t="s">
        <v>1278</v>
      </c>
      <c r="Z122" t="s">
        <v>1279</v>
      </c>
      <c r="AA122" t="s">
        <v>1279</v>
      </c>
      <c r="AB122" t="s">
        <v>1280</v>
      </c>
      <c r="AC122" t="s">
        <v>1281</v>
      </c>
      <c r="AD122" t="s">
        <v>54</v>
      </c>
      <c r="AE122" t="s">
        <v>54</v>
      </c>
      <c r="AG122" t="s">
        <v>1282</v>
      </c>
      <c r="AH122" t="s">
        <v>1265</v>
      </c>
      <c r="AI122" t="s">
        <v>1283</v>
      </c>
    </row>
    <row r="123" spans="2:35" ht="180">
      <c r="B123" s="1">
        <v>46107</v>
      </c>
      <c r="C123" s="1">
        <v>46107</v>
      </c>
      <c r="D123" t="s">
        <v>1284</v>
      </c>
      <c r="E123" t="s">
        <v>1285</v>
      </c>
      <c r="F123">
        <v>6</v>
      </c>
      <c r="G123" t="s">
        <v>1286</v>
      </c>
      <c r="H123" t="s">
        <v>1287</v>
      </c>
      <c r="I123" t="s">
        <v>40</v>
      </c>
      <c r="J123" s="2" t="s">
        <v>62</v>
      </c>
      <c r="K123" t="s">
        <v>42</v>
      </c>
      <c r="L123" t="s">
        <v>1288</v>
      </c>
      <c r="N123" t="s">
        <v>1289</v>
      </c>
      <c r="Q123">
        <v>32425</v>
      </c>
      <c r="R123" t="s">
        <v>45</v>
      </c>
      <c r="S123" t="s">
        <v>1290</v>
      </c>
      <c r="T123">
        <v>26</v>
      </c>
      <c r="U123" s="2" t="s">
        <v>1291</v>
      </c>
      <c r="W123" t="s">
        <v>1292</v>
      </c>
      <c r="X123">
        <v>706910</v>
      </c>
      <c r="Y123" t="e">
        <f ca="1">-XpertCheck DUE</f>
        <v>#NAME?</v>
      </c>
      <c r="Z123" t="e">
        <f ca="1">-COLLECT IQR, system _xludf.Log, ARCHIVE, _xludf.and CALIBRATION Data</f>
        <v>#NAME?</v>
      </c>
      <c r="AA123" t="e">
        <f ca="1">-PERFORM Preventive Maintenance PROCEDURE
-PERFORM XpertCheck CALIBRATION, ALL modules passed</f>
        <v>#NAME?</v>
      </c>
      <c r="AB123" t="s">
        <v>1293</v>
      </c>
      <c r="AG123" t="s">
        <v>1294</v>
      </c>
      <c r="AH123" t="s">
        <v>1295</v>
      </c>
      <c r="AI123" t="s">
        <v>1296</v>
      </c>
    </row>
    <row r="124" spans="2:35" ht="285">
      <c r="B124" s="1">
        <v>46107</v>
      </c>
      <c r="C124" s="1">
        <v>46107</v>
      </c>
      <c r="D124" t="s">
        <v>1297</v>
      </c>
      <c r="E124" t="s">
        <v>1298</v>
      </c>
      <c r="F124">
        <v>6</v>
      </c>
      <c r="G124" t="s">
        <v>1286</v>
      </c>
      <c r="H124" t="s">
        <v>513</v>
      </c>
      <c r="I124" t="s">
        <v>40</v>
      </c>
      <c r="J124" t="s">
        <v>79</v>
      </c>
      <c r="K124" t="s">
        <v>387</v>
      </c>
      <c r="L124" t="s">
        <v>1288</v>
      </c>
      <c r="N124" t="s">
        <v>1289</v>
      </c>
      <c r="Q124">
        <v>32424</v>
      </c>
      <c r="R124" t="s">
        <v>95</v>
      </c>
      <c r="S124" t="s">
        <v>1299</v>
      </c>
      <c r="T124">
        <v>25</v>
      </c>
      <c r="W124" t="s">
        <v>390</v>
      </c>
      <c r="X124" t="s">
        <v>1300</v>
      </c>
      <c r="Y124" t="s">
        <v>1301</v>
      </c>
      <c r="Z124" t="e">
        <f ca="1">-COLLECT MCS Data</f>
        <v>#NAME?</v>
      </c>
      <c r="AA124" s="2" t="s">
        <v>1302</v>
      </c>
      <c r="AB124" t="s">
        <v>1303</v>
      </c>
      <c r="AG124" t="s">
        <v>1304</v>
      </c>
      <c r="AH124" t="s">
        <v>1305</v>
      </c>
      <c r="AI124" t="s">
        <v>1306</v>
      </c>
    </row>
    <row r="125" spans="2:35" ht="165">
      <c r="B125" s="1">
        <v>46107</v>
      </c>
      <c r="C125" s="1">
        <v>46107</v>
      </c>
      <c r="D125" t="s">
        <v>1307</v>
      </c>
      <c r="E125" t="s">
        <v>1308</v>
      </c>
      <c r="F125">
        <v>3</v>
      </c>
      <c r="G125" t="s">
        <v>174</v>
      </c>
      <c r="H125" t="s">
        <v>39</v>
      </c>
      <c r="I125" t="s">
        <v>40</v>
      </c>
      <c r="J125" s="2" t="s">
        <v>1309</v>
      </c>
      <c r="K125" t="s">
        <v>42</v>
      </c>
      <c r="L125" t="s">
        <v>175</v>
      </c>
      <c r="N125" t="s">
        <v>176</v>
      </c>
      <c r="Q125">
        <v>32423</v>
      </c>
      <c r="R125" t="s">
        <v>119</v>
      </c>
      <c r="S125" t="s">
        <v>177</v>
      </c>
      <c r="T125">
        <v>27</v>
      </c>
      <c r="W125" t="s">
        <v>84</v>
      </c>
      <c r="X125">
        <v>831692</v>
      </c>
      <c r="Y125" s="2" t="s">
        <v>1310</v>
      </c>
      <c r="Z125" s="2" t="s">
        <v>1311</v>
      </c>
      <c r="AA125" t="e">
        <f ca="1">- replaced CPU
- performed XpertCheck
- generated reports
- performed self test</f>
        <v>#NAME?</v>
      </c>
      <c r="AB125" s="2" t="s">
        <v>1312</v>
      </c>
      <c r="AG125" t="s">
        <v>1313</v>
      </c>
      <c r="AH125" t="s">
        <v>1314</v>
      </c>
      <c r="AI125" t="s">
        <v>1315</v>
      </c>
    </row>
    <row r="126" spans="2:35" ht="315">
      <c r="B126" s="1">
        <v>46107</v>
      </c>
      <c r="C126" s="1">
        <v>46107</v>
      </c>
      <c r="D126" t="s">
        <v>1316</v>
      </c>
      <c r="E126">
        <v>838262</v>
      </c>
      <c r="F126">
        <v>11</v>
      </c>
      <c r="G126" t="s">
        <v>1205</v>
      </c>
      <c r="H126" t="s">
        <v>1317</v>
      </c>
      <c r="I126" t="s">
        <v>40</v>
      </c>
      <c r="J126" s="2" t="s">
        <v>355</v>
      </c>
      <c r="K126" t="s">
        <v>42</v>
      </c>
      <c r="L126" t="s">
        <v>204</v>
      </c>
      <c r="N126" t="s">
        <v>205</v>
      </c>
      <c r="Q126">
        <v>32422</v>
      </c>
      <c r="R126" t="s">
        <v>119</v>
      </c>
      <c r="S126" t="s">
        <v>1318</v>
      </c>
      <c r="T126">
        <v>25.4</v>
      </c>
      <c r="U126" s="2" t="s">
        <v>1319</v>
      </c>
      <c r="W126" t="s">
        <v>208</v>
      </c>
      <c r="X126">
        <v>838262</v>
      </c>
      <c r="Y126" t="s">
        <v>1320</v>
      </c>
      <c r="Z126" s="2" t="s">
        <v>1321</v>
      </c>
      <c r="AA126" t="s">
        <v>1322</v>
      </c>
      <c r="AB126" t="s">
        <v>1211</v>
      </c>
      <c r="AC126" t="s">
        <v>1323</v>
      </c>
      <c r="AG126" t="s">
        <v>1324</v>
      </c>
      <c r="AH126" t="s">
        <v>1325</v>
      </c>
      <c r="AI126" t="s">
        <v>1326</v>
      </c>
    </row>
    <row r="127" spans="2:35" ht="390">
      <c r="B127" s="1">
        <v>46107</v>
      </c>
      <c r="C127" s="1">
        <v>46107</v>
      </c>
      <c r="D127" t="s">
        <v>1316</v>
      </c>
      <c r="E127" t="s">
        <v>1327</v>
      </c>
      <c r="F127">
        <v>11</v>
      </c>
      <c r="G127" t="s">
        <v>1205</v>
      </c>
      <c r="H127" t="s">
        <v>1317</v>
      </c>
      <c r="I127" t="s">
        <v>40</v>
      </c>
      <c r="J127" s="2" t="s">
        <v>355</v>
      </c>
      <c r="K127" t="s">
        <v>42</v>
      </c>
      <c r="L127" t="s">
        <v>204</v>
      </c>
      <c r="N127" t="s">
        <v>205</v>
      </c>
      <c r="Q127">
        <v>32421</v>
      </c>
      <c r="R127" t="s">
        <v>322</v>
      </c>
      <c r="S127" t="s">
        <v>1318</v>
      </c>
      <c r="T127">
        <v>25.6</v>
      </c>
      <c r="U127" s="2" t="s">
        <v>1319</v>
      </c>
      <c r="W127" t="s">
        <v>208</v>
      </c>
      <c r="X127">
        <v>839236</v>
      </c>
      <c r="Y127" t="s">
        <v>1328</v>
      </c>
      <c r="Z127" s="2" t="s">
        <v>1329</v>
      </c>
      <c r="AA127" t="s">
        <v>1330</v>
      </c>
      <c r="AB127" t="s">
        <v>1331</v>
      </c>
      <c r="AC127" t="s">
        <v>1332</v>
      </c>
      <c r="AG127" t="s">
        <v>1333</v>
      </c>
      <c r="AH127" t="s">
        <v>1325</v>
      </c>
      <c r="AI127" t="s">
        <v>1334</v>
      </c>
    </row>
    <row r="128" spans="2:35" ht="240">
      <c r="B128" s="1">
        <v>46107</v>
      </c>
      <c r="C128" s="1">
        <v>46107</v>
      </c>
      <c r="D128" t="s">
        <v>1335</v>
      </c>
      <c r="E128" t="s">
        <v>582</v>
      </c>
      <c r="F128" t="s">
        <v>148</v>
      </c>
      <c r="G128" t="s">
        <v>447</v>
      </c>
      <c r="H128" t="s">
        <v>39</v>
      </c>
      <c r="I128" t="s">
        <v>40</v>
      </c>
      <c r="J128" s="2" t="s">
        <v>41</v>
      </c>
      <c r="K128" t="s">
        <v>42</v>
      </c>
      <c r="L128" t="s">
        <v>175</v>
      </c>
      <c r="N128" t="s">
        <v>176</v>
      </c>
      <c r="Q128">
        <v>32420</v>
      </c>
      <c r="R128" t="s">
        <v>45</v>
      </c>
      <c r="S128" t="s">
        <v>1336</v>
      </c>
      <c r="T128">
        <v>27</v>
      </c>
      <c r="W128" t="s">
        <v>84</v>
      </c>
      <c r="X128">
        <v>808618</v>
      </c>
      <c r="Y128" s="2" t="s">
        <v>1337</v>
      </c>
      <c r="Z128" s="2" t="s">
        <v>1338</v>
      </c>
      <c r="AA128" s="2" t="s">
        <v>1339</v>
      </c>
      <c r="AB128" t="s">
        <v>181</v>
      </c>
      <c r="AG128" t="s">
        <v>1340</v>
      </c>
      <c r="AH128" t="s">
        <v>1341</v>
      </c>
      <c r="AI128" t="s">
        <v>1342</v>
      </c>
    </row>
    <row r="129" spans="2:35" ht="105">
      <c r="B129" s="1">
        <v>46107</v>
      </c>
      <c r="C129" s="1">
        <v>46107</v>
      </c>
      <c r="D129" t="s">
        <v>1343</v>
      </c>
      <c r="E129" t="s">
        <v>1344</v>
      </c>
      <c r="F129">
        <v>8</v>
      </c>
      <c r="G129" t="s">
        <v>342</v>
      </c>
      <c r="H129" t="s">
        <v>631</v>
      </c>
      <c r="I129" t="s">
        <v>40</v>
      </c>
      <c r="J129" s="2" t="s">
        <v>609</v>
      </c>
      <c r="K129" t="s">
        <v>42</v>
      </c>
      <c r="L129" t="s">
        <v>259</v>
      </c>
      <c r="N129" t="s">
        <v>260</v>
      </c>
      <c r="Q129">
        <v>32419</v>
      </c>
      <c r="R129" t="s">
        <v>45</v>
      </c>
      <c r="S129" t="s">
        <v>1345</v>
      </c>
      <c r="T129">
        <v>29</v>
      </c>
      <c r="U129" s="2" t="s">
        <v>1346</v>
      </c>
      <c r="W129" t="s">
        <v>1347</v>
      </c>
      <c r="X129">
        <v>110018056</v>
      </c>
      <c r="Y129" t="s">
        <v>263</v>
      </c>
      <c r="Z129" t="s">
        <v>263</v>
      </c>
      <c r="AA129" t="e">
        <f ca="1">- Preventive Maintenance
- Data gathering</f>
        <v>#NAME?</v>
      </c>
      <c r="AB129" t="s">
        <v>181</v>
      </c>
      <c r="AG129" t="s">
        <v>1348</v>
      </c>
      <c r="AH129" t="s">
        <v>1349</v>
      </c>
      <c r="AI129" t="s">
        <v>1350</v>
      </c>
    </row>
    <row r="130" spans="2:35" ht="240">
      <c r="B130" s="1">
        <v>46107</v>
      </c>
      <c r="C130" s="1">
        <v>46107</v>
      </c>
      <c r="D130" t="s">
        <v>1351</v>
      </c>
      <c r="E130" t="s">
        <v>1352</v>
      </c>
      <c r="F130">
        <v>3</v>
      </c>
      <c r="G130" t="s">
        <v>284</v>
      </c>
      <c r="H130" t="s">
        <v>39</v>
      </c>
      <c r="I130" t="s">
        <v>40</v>
      </c>
      <c r="J130" s="2" t="s">
        <v>220</v>
      </c>
      <c r="K130" t="s">
        <v>42</v>
      </c>
      <c r="L130" t="s">
        <v>135</v>
      </c>
      <c r="N130" t="s">
        <v>136</v>
      </c>
      <c r="Q130">
        <v>32418</v>
      </c>
      <c r="R130" t="s">
        <v>45</v>
      </c>
      <c r="S130" t="s">
        <v>285</v>
      </c>
      <c r="T130">
        <v>26</v>
      </c>
      <c r="W130" t="s">
        <v>138</v>
      </c>
      <c r="X130">
        <v>831878</v>
      </c>
      <c r="Y130" s="2" t="s">
        <v>1353</v>
      </c>
      <c r="Z130" s="2" t="s">
        <v>1354</v>
      </c>
      <c r="AA130" s="2" t="s">
        <v>1355</v>
      </c>
      <c r="AB130" s="2" t="s">
        <v>1356</v>
      </c>
      <c r="AG130" t="s">
        <v>1357</v>
      </c>
      <c r="AH130" t="s">
        <v>290</v>
      </c>
      <c r="AI130" t="s">
        <v>1358</v>
      </c>
    </row>
    <row r="131" spans="2:35">
      <c r="B131" s="1">
        <v>46107</v>
      </c>
      <c r="C131" s="1">
        <v>46107</v>
      </c>
      <c r="D131" t="s">
        <v>1359</v>
      </c>
      <c r="E131" t="s">
        <v>1360</v>
      </c>
      <c r="F131" t="s">
        <v>1255</v>
      </c>
      <c r="G131" t="s">
        <v>1256</v>
      </c>
      <c r="H131" t="s">
        <v>39</v>
      </c>
      <c r="I131" t="s">
        <v>40</v>
      </c>
      <c r="J131" t="s">
        <v>109</v>
      </c>
      <c r="K131" t="s">
        <v>42</v>
      </c>
      <c r="L131" t="s">
        <v>1257</v>
      </c>
      <c r="N131" t="s">
        <v>1258</v>
      </c>
      <c r="O131" t="s">
        <v>1258</v>
      </c>
      <c r="Q131">
        <v>32417</v>
      </c>
      <c r="R131" t="s">
        <v>95</v>
      </c>
      <c r="S131" t="s">
        <v>1361</v>
      </c>
      <c r="T131">
        <v>28</v>
      </c>
      <c r="V131" s="1">
        <v>46091</v>
      </c>
      <c r="W131" t="s">
        <v>1270</v>
      </c>
      <c r="X131">
        <v>110015481</v>
      </c>
      <c r="Y131" t="s">
        <v>301</v>
      </c>
      <c r="Z131" t="s">
        <v>1362</v>
      </c>
      <c r="AA131" t="s">
        <v>1363</v>
      </c>
      <c r="AB131" t="s">
        <v>1364</v>
      </c>
      <c r="AC131" t="s">
        <v>1365</v>
      </c>
      <c r="AD131" t="s">
        <v>1366</v>
      </c>
      <c r="AE131">
        <v>13809</v>
      </c>
      <c r="AG131" t="s">
        <v>1367</v>
      </c>
      <c r="AH131" t="s">
        <v>1368</v>
      </c>
      <c r="AI131" t="s">
        <v>1369</v>
      </c>
    </row>
    <row r="132" spans="2:35" ht="240">
      <c r="B132" s="1">
        <v>46107</v>
      </c>
      <c r="C132" s="1">
        <v>46107</v>
      </c>
      <c r="D132" t="s">
        <v>282</v>
      </c>
      <c r="E132" t="s">
        <v>1352</v>
      </c>
      <c r="F132">
        <v>3</v>
      </c>
      <c r="G132" t="s">
        <v>284</v>
      </c>
      <c r="H132" t="s">
        <v>39</v>
      </c>
      <c r="I132" t="s">
        <v>40</v>
      </c>
      <c r="J132" s="2" t="s">
        <v>1370</v>
      </c>
      <c r="K132" t="s">
        <v>42</v>
      </c>
      <c r="L132" t="s">
        <v>135</v>
      </c>
      <c r="N132" t="s">
        <v>136</v>
      </c>
      <c r="Q132">
        <v>32416</v>
      </c>
      <c r="R132" t="s">
        <v>45</v>
      </c>
      <c r="S132" t="s">
        <v>285</v>
      </c>
      <c r="T132">
        <v>26</v>
      </c>
      <c r="W132" t="s">
        <v>138</v>
      </c>
      <c r="X132">
        <v>897466</v>
      </c>
      <c r="Y132" s="2" t="s">
        <v>1371</v>
      </c>
      <c r="Z132" t="s">
        <v>1372</v>
      </c>
      <c r="AA132" s="2" t="s">
        <v>1355</v>
      </c>
      <c r="AB132" s="2" t="s">
        <v>1373</v>
      </c>
      <c r="AG132" t="s">
        <v>1374</v>
      </c>
      <c r="AH132" t="s">
        <v>290</v>
      </c>
      <c r="AI132" t="s">
        <v>1375</v>
      </c>
    </row>
    <row r="133" spans="2:35" ht="105">
      <c r="B133" s="1">
        <v>46106</v>
      </c>
      <c r="C133" s="1">
        <v>46106</v>
      </c>
      <c r="D133" t="s">
        <v>1376</v>
      </c>
      <c r="E133" t="s">
        <v>1377</v>
      </c>
      <c r="F133">
        <v>7</v>
      </c>
      <c r="G133" t="s">
        <v>432</v>
      </c>
      <c r="H133" t="s">
        <v>608</v>
      </c>
      <c r="I133" t="s">
        <v>94</v>
      </c>
      <c r="J133" s="2" t="s">
        <v>760</v>
      </c>
      <c r="K133" t="s">
        <v>42</v>
      </c>
      <c r="L133" t="s">
        <v>610</v>
      </c>
      <c r="N133" t="s">
        <v>611</v>
      </c>
      <c r="O133" t="s">
        <v>1378</v>
      </c>
      <c r="Q133">
        <v>32415</v>
      </c>
      <c r="R133" t="s">
        <v>45</v>
      </c>
      <c r="S133" t="s">
        <v>1378</v>
      </c>
      <c r="T133">
        <v>24</v>
      </c>
      <c r="U133" s="2" t="s">
        <v>1379</v>
      </c>
      <c r="W133" t="s">
        <v>360</v>
      </c>
      <c r="X133">
        <v>805214</v>
      </c>
      <c r="Y133" t="s">
        <v>1380</v>
      </c>
      <c r="Z133" t="e">
        <f ca="1">-Replacement of bracket of the network interface.
- Check voltage of UPS line to line voltage, line to ground voltage _xludf.and its relative resistance.
- Check the revision of _xludf.code of the network interface currently at Rev. D.</f>
        <v>#NAME?</v>
      </c>
      <c r="AA133" t="e">
        <f ca="1">-Replacement of bracket of the network interface.
- Check voltage of UPS line to line voltage, line to ground voltage _xludf.and its relative resistance.
- Check the revision of _xludf.code of the network interface currently at Rev. D.</f>
        <v>#NAME?</v>
      </c>
      <c r="AB133" t="s">
        <v>1381</v>
      </c>
      <c r="AG133" t="s">
        <v>1382</v>
      </c>
      <c r="AH133" t="s">
        <v>1383</v>
      </c>
      <c r="AI133" t="s">
        <v>1384</v>
      </c>
    </row>
    <row r="134" spans="2:35" ht="105">
      <c r="B134" s="1">
        <v>46106</v>
      </c>
      <c r="C134" s="1">
        <v>46106</v>
      </c>
      <c r="D134" t="s">
        <v>1385</v>
      </c>
      <c r="E134" t="s">
        <v>1386</v>
      </c>
      <c r="F134">
        <v>8</v>
      </c>
      <c r="G134" t="s">
        <v>342</v>
      </c>
      <c r="H134" t="s">
        <v>39</v>
      </c>
      <c r="I134" t="s">
        <v>40</v>
      </c>
      <c r="J134" s="2" t="s">
        <v>609</v>
      </c>
      <c r="K134" t="s">
        <v>42</v>
      </c>
      <c r="L134" t="s">
        <v>343</v>
      </c>
      <c r="N134" t="s">
        <v>344</v>
      </c>
      <c r="Q134">
        <v>32414</v>
      </c>
      <c r="R134" t="s">
        <v>45</v>
      </c>
      <c r="S134" t="s">
        <v>1387</v>
      </c>
      <c r="T134">
        <v>28</v>
      </c>
      <c r="U134" s="2" t="s">
        <v>1388</v>
      </c>
      <c r="W134" t="s">
        <v>1389</v>
      </c>
      <c r="X134">
        <v>835085</v>
      </c>
      <c r="Y134" t="s">
        <v>301</v>
      </c>
      <c r="Z134" t="e">
        <f ca="1">-Preventive Maintenance</f>
        <v>#NAME?</v>
      </c>
      <c r="AA134" t="e">
        <f ca="1">-Preventive Maintenance
-Gather Data _xludf.For warranty extension assessment</f>
        <v>#NAME?</v>
      </c>
      <c r="AB134" t="s">
        <v>348</v>
      </c>
      <c r="AG134" t="s">
        <v>1390</v>
      </c>
      <c r="AH134" t="s">
        <v>1391</v>
      </c>
      <c r="AI134" t="s">
        <v>1392</v>
      </c>
    </row>
    <row r="135" spans="2:35" ht="180">
      <c r="B135" s="1">
        <v>46105</v>
      </c>
      <c r="C135" s="1">
        <v>46105</v>
      </c>
      <c r="D135" t="s">
        <v>1393</v>
      </c>
      <c r="E135" t="s">
        <v>1394</v>
      </c>
      <c r="F135">
        <v>10</v>
      </c>
      <c r="G135" t="s">
        <v>1395</v>
      </c>
      <c r="H135" t="s">
        <v>39</v>
      </c>
      <c r="I135" t="s">
        <v>40</v>
      </c>
      <c r="J135" s="2" t="s">
        <v>1396</v>
      </c>
      <c r="K135" t="s">
        <v>42</v>
      </c>
      <c r="L135" t="s">
        <v>433</v>
      </c>
      <c r="N135" t="s">
        <v>434</v>
      </c>
      <c r="Q135">
        <v>32413</v>
      </c>
      <c r="R135" t="s">
        <v>45</v>
      </c>
      <c r="S135" t="s">
        <v>1397</v>
      </c>
      <c r="T135">
        <v>31</v>
      </c>
      <c r="W135" t="s">
        <v>1008</v>
      </c>
      <c r="X135">
        <v>838562</v>
      </c>
      <c r="Y135" t="s">
        <v>1398</v>
      </c>
      <c r="Z135" s="2" t="s">
        <v>1399</v>
      </c>
      <c r="AA135" s="2" t="s">
        <v>1399</v>
      </c>
      <c r="AB135" t="s">
        <v>441</v>
      </c>
      <c r="AC135" t="s">
        <v>1400</v>
      </c>
      <c r="AG135" t="s">
        <v>1401</v>
      </c>
      <c r="AH135" t="s">
        <v>1402</v>
      </c>
      <c r="AI135" t="s">
        <v>1403</v>
      </c>
    </row>
    <row r="136" spans="2:35" ht="105">
      <c r="B136" s="1">
        <v>46105</v>
      </c>
      <c r="C136" s="1">
        <v>46105</v>
      </c>
      <c r="D136" t="s">
        <v>1404</v>
      </c>
      <c r="E136" t="s">
        <v>1405</v>
      </c>
      <c r="F136">
        <v>8</v>
      </c>
      <c r="G136" t="s">
        <v>342</v>
      </c>
      <c r="H136" t="s">
        <v>631</v>
      </c>
      <c r="I136" t="s">
        <v>40</v>
      </c>
      <c r="J136" s="2" t="s">
        <v>609</v>
      </c>
      <c r="K136" t="s">
        <v>42</v>
      </c>
      <c r="L136" t="s">
        <v>259</v>
      </c>
      <c r="N136" t="s">
        <v>260</v>
      </c>
      <c r="Q136">
        <v>32412</v>
      </c>
      <c r="R136" t="s">
        <v>45</v>
      </c>
      <c r="S136" t="s">
        <v>1406</v>
      </c>
      <c r="T136">
        <v>30</v>
      </c>
      <c r="U136" s="2" t="s">
        <v>1407</v>
      </c>
      <c r="V136" s="1">
        <v>46105</v>
      </c>
      <c r="W136" t="s">
        <v>1408</v>
      </c>
      <c r="X136">
        <v>834819</v>
      </c>
      <c r="Y136" t="e">
        <f ca="1">- _xludf.n/a</f>
        <v>#NAME?</v>
      </c>
      <c r="Z136" t="s">
        <v>263</v>
      </c>
      <c r="AA136" t="e">
        <f ca="1">- on Site assistance
- Preventive Maintenance
- archived Data</f>
        <v>#NAME?</v>
      </c>
      <c r="AB136" t="s">
        <v>70</v>
      </c>
      <c r="AG136" t="s">
        <v>1409</v>
      </c>
      <c r="AH136" t="s">
        <v>1410</v>
      </c>
      <c r="AI136" t="s">
        <v>1411</v>
      </c>
    </row>
    <row r="137" spans="2:35" ht="120">
      <c r="B137" s="1">
        <v>46105</v>
      </c>
      <c r="C137" s="1">
        <v>46093</v>
      </c>
      <c r="D137" t="s">
        <v>1412</v>
      </c>
      <c r="E137" t="s">
        <v>1413</v>
      </c>
      <c r="F137">
        <v>5</v>
      </c>
      <c r="G137" t="s">
        <v>814</v>
      </c>
      <c r="H137" t="s">
        <v>39</v>
      </c>
      <c r="I137" t="s">
        <v>40</v>
      </c>
      <c r="J137" t="s">
        <v>109</v>
      </c>
      <c r="K137" t="s">
        <v>42</v>
      </c>
      <c r="L137" t="s">
        <v>761</v>
      </c>
      <c r="N137" t="s">
        <v>762</v>
      </c>
      <c r="Q137">
        <v>32411</v>
      </c>
      <c r="R137" t="s">
        <v>45</v>
      </c>
      <c r="S137" t="s">
        <v>1414</v>
      </c>
      <c r="T137">
        <v>25</v>
      </c>
      <c r="W137" t="s">
        <v>765</v>
      </c>
      <c r="X137">
        <v>807983</v>
      </c>
      <c r="Y137" t="s">
        <v>818</v>
      </c>
      <c r="Z137" s="2" t="s">
        <v>1415</v>
      </c>
      <c r="AA137" t="s">
        <v>820</v>
      </c>
      <c r="AB137" s="2" t="s">
        <v>1416</v>
      </c>
      <c r="AG137" t="s">
        <v>1417</v>
      </c>
      <c r="AH137" t="s">
        <v>1418</v>
      </c>
      <c r="AI137" t="s">
        <v>1419</v>
      </c>
    </row>
    <row r="138" spans="2:35">
      <c r="B138" s="1">
        <v>46105</v>
      </c>
      <c r="C138" s="1">
        <v>46100</v>
      </c>
      <c r="D138" t="s">
        <v>1420</v>
      </c>
      <c r="E138" t="s">
        <v>1421</v>
      </c>
      <c r="F138" t="s">
        <v>511</v>
      </c>
      <c r="G138" t="s">
        <v>512</v>
      </c>
      <c r="H138" t="s">
        <v>1047</v>
      </c>
      <c r="I138" t="s">
        <v>40</v>
      </c>
      <c r="J138" t="s">
        <v>1422</v>
      </c>
      <c r="K138" t="s">
        <v>42</v>
      </c>
      <c r="L138" t="s">
        <v>1048</v>
      </c>
      <c r="N138" t="s">
        <v>1049</v>
      </c>
      <c r="Q138">
        <v>32410</v>
      </c>
      <c r="R138" t="s">
        <v>967</v>
      </c>
      <c r="S138" t="s">
        <v>1423</v>
      </c>
      <c r="T138">
        <v>24</v>
      </c>
      <c r="W138" t="s">
        <v>1424</v>
      </c>
      <c r="X138">
        <v>110023498</v>
      </c>
      <c r="Y138" t="s">
        <v>1425</v>
      </c>
      <c r="Z138" t="s">
        <v>1426</v>
      </c>
      <c r="AA138" t="s">
        <v>1427</v>
      </c>
      <c r="AB138" t="s">
        <v>1428</v>
      </c>
      <c r="AG138" t="s">
        <v>1429</v>
      </c>
      <c r="AH138" t="s">
        <v>1430</v>
      </c>
      <c r="AI138" t="s">
        <v>1431</v>
      </c>
    </row>
    <row r="139" spans="2:35" ht="195">
      <c r="B139" s="1">
        <v>46105</v>
      </c>
      <c r="C139" s="1">
        <v>46092</v>
      </c>
      <c r="D139" t="s">
        <v>1432</v>
      </c>
      <c r="E139" t="s">
        <v>1433</v>
      </c>
      <c r="F139">
        <v>5</v>
      </c>
      <c r="G139" t="s">
        <v>827</v>
      </c>
      <c r="H139" t="s">
        <v>39</v>
      </c>
      <c r="I139" t="s">
        <v>94</v>
      </c>
      <c r="J139" s="2" t="s">
        <v>41</v>
      </c>
      <c r="K139" t="s">
        <v>42</v>
      </c>
      <c r="L139" t="s">
        <v>761</v>
      </c>
      <c r="N139" t="s">
        <v>762</v>
      </c>
      <c r="Q139">
        <v>32409</v>
      </c>
      <c r="R139" t="s">
        <v>45</v>
      </c>
      <c r="S139" t="s">
        <v>1434</v>
      </c>
      <c r="T139">
        <v>25</v>
      </c>
      <c r="W139" t="s">
        <v>765</v>
      </c>
      <c r="X139">
        <v>812793</v>
      </c>
      <c r="Y139" t="s">
        <v>1435</v>
      </c>
      <c r="Z139" s="2" t="s">
        <v>1436</v>
      </c>
      <c r="AA139" s="2" t="s">
        <v>1437</v>
      </c>
      <c r="AB139" s="2" t="s">
        <v>1438</v>
      </c>
      <c r="AG139" t="s">
        <v>1439</v>
      </c>
      <c r="AH139" t="s">
        <v>1440</v>
      </c>
      <c r="AI139" t="s">
        <v>1441</v>
      </c>
    </row>
    <row r="140" spans="2:35" ht="409.5">
      <c r="B140" s="1">
        <v>46105</v>
      </c>
      <c r="C140" s="1">
        <v>46098</v>
      </c>
      <c r="D140" t="s">
        <v>1442</v>
      </c>
      <c r="E140" t="s">
        <v>1443</v>
      </c>
      <c r="F140">
        <v>7</v>
      </c>
      <c r="G140" t="s">
        <v>432</v>
      </c>
      <c r="H140" t="s">
        <v>608</v>
      </c>
      <c r="I140" t="s">
        <v>40</v>
      </c>
      <c r="J140" s="2" t="s">
        <v>1444</v>
      </c>
      <c r="K140" t="s">
        <v>42</v>
      </c>
      <c r="L140" t="s">
        <v>610</v>
      </c>
      <c r="N140" t="s">
        <v>611</v>
      </c>
      <c r="O140" t="s">
        <v>1445</v>
      </c>
      <c r="Q140">
        <v>32408</v>
      </c>
      <c r="R140" t="s">
        <v>45</v>
      </c>
      <c r="S140" t="s">
        <v>1445</v>
      </c>
      <c r="T140">
        <v>23</v>
      </c>
      <c r="U140" s="2" t="s">
        <v>1446</v>
      </c>
      <c r="W140" t="s">
        <v>360</v>
      </c>
      <c r="X140">
        <v>808638</v>
      </c>
      <c r="Y140" t="s">
        <v>1447</v>
      </c>
      <c r="Z140" s="2" t="s">
        <v>1448</v>
      </c>
      <c r="AA140" s="2" t="s">
        <v>1449</v>
      </c>
      <c r="AB140" t="s">
        <v>1450</v>
      </c>
      <c r="AC140" t="s">
        <v>1443</v>
      </c>
      <c r="AE140" t="s">
        <v>1451</v>
      </c>
      <c r="AG140" t="s">
        <v>1452</v>
      </c>
      <c r="AH140" t="s">
        <v>1453</v>
      </c>
      <c r="AI140" t="s">
        <v>1454</v>
      </c>
    </row>
    <row r="141" spans="2:35">
      <c r="B141" s="1">
        <v>46105</v>
      </c>
      <c r="C141" s="1">
        <v>46100</v>
      </c>
      <c r="D141" t="s">
        <v>1455</v>
      </c>
      <c r="E141" t="s">
        <v>1456</v>
      </c>
      <c r="F141" t="s">
        <v>511</v>
      </c>
      <c r="G141" t="s">
        <v>512</v>
      </c>
      <c r="H141" t="s">
        <v>61</v>
      </c>
      <c r="I141" t="s">
        <v>40</v>
      </c>
      <c r="J141" t="s">
        <v>1422</v>
      </c>
      <c r="K141" t="s">
        <v>42</v>
      </c>
      <c r="L141" t="s">
        <v>1048</v>
      </c>
      <c r="N141" t="s">
        <v>1049</v>
      </c>
      <c r="Q141">
        <v>32407</v>
      </c>
      <c r="R141" t="s">
        <v>322</v>
      </c>
      <c r="S141" t="s">
        <v>1457</v>
      </c>
      <c r="T141">
        <v>23</v>
      </c>
      <c r="W141" t="s">
        <v>1424</v>
      </c>
      <c r="X141">
        <v>120007537</v>
      </c>
      <c r="Y141" t="s">
        <v>1425</v>
      </c>
      <c r="Z141" t="s">
        <v>1458</v>
      </c>
      <c r="AA141" t="s">
        <v>1427</v>
      </c>
      <c r="AB141" t="s">
        <v>1428</v>
      </c>
      <c r="AG141" t="s">
        <v>1459</v>
      </c>
      <c r="AH141" t="s">
        <v>1460</v>
      </c>
      <c r="AI141" t="s">
        <v>1461</v>
      </c>
    </row>
    <row r="142" spans="2:35" ht="105">
      <c r="B142" s="1">
        <v>46105</v>
      </c>
      <c r="C142" s="1">
        <v>46105</v>
      </c>
      <c r="D142" t="s">
        <v>1462</v>
      </c>
      <c r="E142" t="s">
        <v>1463</v>
      </c>
      <c r="F142">
        <v>8</v>
      </c>
      <c r="G142" t="s">
        <v>342</v>
      </c>
      <c r="H142" t="s">
        <v>39</v>
      </c>
      <c r="I142" t="s">
        <v>40</v>
      </c>
      <c r="J142" t="s">
        <v>109</v>
      </c>
      <c r="K142" t="s">
        <v>42</v>
      </c>
      <c r="L142" t="s">
        <v>343</v>
      </c>
      <c r="N142" t="s">
        <v>344</v>
      </c>
      <c r="Q142">
        <v>32406</v>
      </c>
      <c r="R142" t="s">
        <v>45</v>
      </c>
      <c r="S142" t="s">
        <v>1464</v>
      </c>
      <c r="T142">
        <v>27</v>
      </c>
      <c r="U142" s="2" t="s">
        <v>1465</v>
      </c>
      <c r="W142" t="s">
        <v>1389</v>
      </c>
      <c r="X142">
        <v>834816</v>
      </c>
      <c r="Y142" t="s">
        <v>1466</v>
      </c>
      <c r="Z142" t="e">
        <f ca="1">-Preventive Maintenance</f>
        <v>#NAME?</v>
      </c>
      <c r="AA142" t="e">
        <f ca="1">-Preventive Maintenance</f>
        <v>#NAME?</v>
      </c>
      <c r="AB142" t="s">
        <v>1467</v>
      </c>
      <c r="AG142" t="s">
        <v>1468</v>
      </c>
      <c r="AH142" t="s">
        <v>1469</v>
      </c>
      <c r="AI142" t="s">
        <v>1470</v>
      </c>
    </row>
    <row r="143" spans="2:35" ht="165">
      <c r="B143" s="1">
        <v>46105</v>
      </c>
      <c r="C143" s="1">
        <v>46097</v>
      </c>
      <c r="D143" t="s">
        <v>1471</v>
      </c>
      <c r="E143" t="s">
        <v>1472</v>
      </c>
      <c r="F143">
        <v>12</v>
      </c>
      <c r="G143" t="s">
        <v>978</v>
      </c>
      <c r="H143" t="s">
        <v>1473</v>
      </c>
      <c r="I143" t="s">
        <v>40</v>
      </c>
      <c r="J143" s="2" t="s">
        <v>1474</v>
      </c>
      <c r="K143" t="s">
        <v>42</v>
      </c>
      <c r="L143" t="s">
        <v>296</v>
      </c>
      <c r="N143" t="s">
        <v>297</v>
      </c>
      <c r="Q143">
        <v>32404</v>
      </c>
      <c r="R143" t="s">
        <v>45</v>
      </c>
      <c r="S143" t="s">
        <v>1475</v>
      </c>
      <c r="T143">
        <v>26.5</v>
      </c>
      <c r="U143" s="2" t="s">
        <v>1476</v>
      </c>
      <c r="W143" t="s">
        <v>981</v>
      </c>
      <c r="X143">
        <v>707529</v>
      </c>
      <c r="Y143" s="2" t="s">
        <v>1477</v>
      </c>
      <c r="Z143" s="2" t="s">
        <v>1478</v>
      </c>
      <c r="AA143" s="2" t="s">
        <v>1479</v>
      </c>
      <c r="AB143" t="s">
        <v>1480</v>
      </c>
      <c r="AG143" t="s">
        <v>1481</v>
      </c>
      <c r="AH143" t="s">
        <v>1482</v>
      </c>
      <c r="AI143" t="s">
        <v>1483</v>
      </c>
    </row>
    <row r="144" spans="2:35" ht="409.5">
      <c r="B144" s="1">
        <v>46105</v>
      </c>
      <c r="C144" s="1">
        <v>46098</v>
      </c>
      <c r="D144" t="s">
        <v>1484</v>
      </c>
      <c r="E144" t="s">
        <v>1485</v>
      </c>
      <c r="F144">
        <v>12</v>
      </c>
      <c r="G144" t="s">
        <v>978</v>
      </c>
      <c r="H144" t="s">
        <v>39</v>
      </c>
      <c r="I144" t="s">
        <v>94</v>
      </c>
      <c r="J144" s="2" t="s">
        <v>41</v>
      </c>
      <c r="K144" t="s">
        <v>42</v>
      </c>
      <c r="L144" t="s">
        <v>296</v>
      </c>
      <c r="N144" t="s">
        <v>297</v>
      </c>
      <c r="Q144">
        <v>32405</v>
      </c>
      <c r="R144" t="s">
        <v>45</v>
      </c>
      <c r="S144" t="s">
        <v>1486</v>
      </c>
      <c r="T144">
        <v>24.4</v>
      </c>
      <c r="U144" s="2" t="s">
        <v>1487</v>
      </c>
      <c r="V144" s="1">
        <v>46098</v>
      </c>
      <c r="W144" t="s">
        <v>970</v>
      </c>
      <c r="X144">
        <v>120000172</v>
      </c>
      <c r="Y144" t="s">
        <v>1488</v>
      </c>
      <c r="Z144" s="2" t="s">
        <v>1489</v>
      </c>
      <c r="AA144" s="2" t="s">
        <v>1490</v>
      </c>
      <c r="AB144" t="s">
        <v>972</v>
      </c>
      <c r="AD144" t="s">
        <v>1491</v>
      </c>
      <c r="AE144" t="s">
        <v>1492</v>
      </c>
      <c r="AG144" t="s">
        <v>1493</v>
      </c>
      <c r="AH144" t="s">
        <v>1494</v>
      </c>
      <c r="AI144" t="s">
        <v>1495</v>
      </c>
    </row>
    <row r="145" spans="2:35" ht="105">
      <c r="B145" s="1">
        <v>46104</v>
      </c>
      <c r="C145" s="1">
        <v>46104</v>
      </c>
      <c r="D145" t="s">
        <v>1496</v>
      </c>
      <c r="E145" t="s">
        <v>1497</v>
      </c>
      <c r="F145">
        <v>8</v>
      </c>
      <c r="G145" t="s">
        <v>342</v>
      </c>
      <c r="H145" t="s">
        <v>1498</v>
      </c>
      <c r="I145" t="s">
        <v>40</v>
      </c>
      <c r="J145" t="s">
        <v>109</v>
      </c>
      <c r="K145" t="s">
        <v>42</v>
      </c>
      <c r="L145" t="s">
        <v>343</v>
      </c>
      <c r="N145" t="s">
        <v>344</v>
      </c>
      <c r="Q145">
        <v>32403</v>
      </c>
      <c r="R145" t="s">
        <v>119</v>
      </c>
      <c r="S145" t="s">
        <v>1499</v>
      </c>
      <c r="T145">
        <v>26</v>
      </c>
      <c r="U145" s="2" t="s">
        <v>1500</v>
      </c>
      <c r="W145" t="s">
        <v>1501</v>
      </c>
      <c r="X145">
        <v>838297</v>
      </c>
      <c r="Y145" t="s">
        <v>301</v>
      </c>
      <c r="Z145" t="e">
        <f ca="1">-Preventive Maintenance</f>
        <v>#NAME?</v>
      </c>
      <c r="AA145" t="e">
        <f ca="1">-Preventive Maintenance</f>
        <v>#NAME?</v>
      </c>
      <c r="AB145" t="s">
        <v>348</v>
      </c>
      <c r="AG145" t="s">
        <v>1502</v>
      </c>
      <c r="AH145" t="s">
        <v>1503</v>
      </c>
      <c r="AI145" t="s">
        <v>1504</v>
      </c>
    </row>
    <row r="146" spans="2:35" ht="165">
      <c r="B146" s="1">
        <v>46104</v>
      </c>
      <c r="C146" s="1">
        <v>46104</v>
      </c>
      <c r="D146" t="s">
        <v>1505</v>
      </c>
      <c r="E146" t="s">
        <v>1506</v>
      </c>
      <c r="F146">
        <v>6</v>
      </c>
      <c r="G146" t="s">
        <v>1507</v>
      </c>
      <c r="H146" t="s">
        <v>39</v>
      </c>
      <c r="I146" t="s">
        <v>40</v>
      </c>
      <c r="J146" s="2" t="s">
        <v>355</v>
      </c>
      <c r="K146" t="s">
        <v>42</v>
      </c>
      <c r="L146" t="s">
        <v>1288</v>
      </c>
      <c r="N146" t="s">
        <v>1289</v>
      </c>
      <c r="Q146">
        <v>32402</v>
      </c>
      <c r="R146" t="s">
        <v>119</v>
      </c>
      <c r="S146" t="s">
        <v>1508</v>
      </c>
      <c r="T146">
        <v>25</v>
      </c>
      <c r="U146" s="2" t="s">
        <v>1509</v>
      </c>
      <c r="W146" t="s">
        <v>1292</v>
      </c>
      <c r="X146">
        <v>837615</v>
      </c>
      <c r="Y146" s="2" t="s">
        <v>1510</v>
      </c>
      <c r="Z146" t="e">
        <f ca="1">-COLLECT serial numbers _xludf.and Data</f>
        <v>#NAME?</v>
      </c>
      <c r="AA146" t="e">
        <f ca="1">-PERFORM functionality test of other peripherals , confirm UPS _xludf.and system Unit defective
-Troubleshoot system Unit, issue persists</f>
        <v>#NAME?</v>
      </c>
      <c r="AB146" t="s">
        <v>1511</v>
      </c>
      <c r="AG146" t="s">
        <v>1512</v>
      </c>
      <c r="AH146" t="s">
        <v>1513</v>
      </c>
      <c r="AI146" t="s">
        <v>1514</v>
      </c>
    </row>
    <row r="147" spans="2:35" ht="270">
      <c r="B147" s="1">
        <v>46104</v>
      </c>
      <c r="C147" s="1">
        <v>46100</v>
      </c>
      <c r="D147" t="s">
        <v>1515</v>
      </c>
      <c r="E147" t="s">
        <v>1516</v>
      </c>
      <c r="F147" t="s">
        <v>37</v>
      </c>
      <c r="G147" t="s">
        <v>38</v>
      </c>
      <c r="H147" t="s">
        <v>39</v>
      </c>
      <c r="I147" t="s">
        <v>40</v>
      </c>
      <c r="J147" s="2" t="s">
        <v>62</v>
      </c>
      <c r="K147" t="s">
        <v>42</v>
      </c>
      <c r="L147" t="s">
        <v>43</v>
      </c>
      <c r="N147" t="s">
        <v>44</v>
      </c>
      <c r="Q147">
        <v>32401</v>
      </c>
      <c r="R147" t="s">
        <v>119</v>
      </c>
      <c r="S147" t="s">
        <v>1517</v>
      </c>
      <c r="T147">
        <v>24</v>
      </c>
      <c r="U147" s="2" t="s">
        <v>1518</v>
      </c>
      <c r="W147" t="s">
        <v>48</v>
      </c>
      <c r="X147">
        <v>821215</v>
      </c>
      <c r="Y147" t="s">
        <v>1111</v>
      </c>
      <c r="Z147" t="s">
        <v>1519</v>
      </c>
      <c r="AA147" s="2" t="s">
        <v>1520</v>
      </c>
      <c r="AB147" t="s">
        <v>1521</v>
      </c>
      <c r="AG147" t="s">
        <v>1522</v>
      </c>
      <c r="AH147" t="s">
        <v>1523</v>
      </c>
      <c r="AI147" t="s">
        <v>1524</v>
      </c>
    </row>
    <row r="148" spans="2:35" ht="105">
      <c r="B148" s="1">
        <v>46104</v>
      </c>
      <c r="C148" s="1">
        <v>46104</v>
      </c>
      <c r="D148" t="s">
        <v>1525</v>
      </c>
      <c r="E148" t="s">
        <v>1526</v>
      </c>
      <c r="F148">
        <v>6</v>
      </c>
      <c r="G148" t="s">
        <v>1286</v>
      </c>
      <c r="H148" t="s">
        <v>39</v>
      </c>
      <c r="I148" t="s">
        <v>40</v>
      </c>
      <c r="J148" t="s">
        <v>109</v>
      </c>
      <c r="K148" t="s">
        <v>42</v>
      </c>
      <c r="L148" t="s">
        <v>1288</v>
      </c>
      <c r="N148" t="s">
        <v>1289</v>
      </c>
      <c r="Q148">
        <v>32400</v>
      </c>
      <c r="R148" t="s">
        <v>967</v>
      </c>
      <c r="S148" t="s">
        <v>1527</v>
      </c>
      <c r="T148">
        <v>22</v>
      </c>
      <c r="U148" s="2" t="s">
        <v>1528</v>
      </c>
      <c r="W148" t="s">
        <v>1292</v>
      </c>
      <c r="X148">
        <v>110023536</v>
      </c>
      <c r="Y148" t="s">
        <v>1529</v>
      </c>
      <c r="Z148" t="e">
        <f ca="1">-COLLECT IQR , system _xludf.Log, _xludf.and ARCHIVE</f>
        <v>#NAME?</v>
      </c>
      <c r="AA148" t="e">
        <f ca="1">-PERFORM PM, _xludf.Clean FAN _xludf.filter, cartridge bay, _xludf.and plunger rod</f>
        <v>#NAME?</v>
      </c>
      <c r="AB148" t="s">
        <v>1293</v>
      </c>
      <c r="AG148" t="s">
        <v>1530</v>
      </c>
      <c r="AH148" t="s">
        <v>1531</v>
      </c>
      <c r="AI148" t="s">
        <v>1532</v>
      </c>
    </row>
    <row r="149" spans="2:35" ht="300">
      <c r="B149" s="1">
        <v>46104</v>
      </c>
      <c r="C149" s="1">
        <v>46104</v>
      </c>
      <c r="D149" t="s">
        <v>1533</v>
      </c>
      <c r="E149" t="s">
        <v>1534</v>
      </c>
      <c r="F149">
        <v>8</v>
      </c>
      <c r="G149" t="s">
        <v>630</v>
      </c>
      <c r="H149" t="s">
        <v>258</v>
      </c>
      <c r="I149" t="s">
        <v>40</v>
      </c>
      <c r="J149" s="2" t="s">
        <v>190</v>
      </c>
      <c r="K149" t="s">
        <v>42</v>
      </c>
      <c r="L149" t="s">
        <v>259</v>
      </c>
      <c r="N149" t="s">
        <v>260</v>
      </c>
      <c r="Q149">
        <v>32399</v>
      </c>
      <c r="R149" t="s">
        <v>45</v>
      </c>
      <c r="S149" t="s">
        <v>1535</v>
      </c>
      <c r="T149">
        <v>28</v>
      </c>
      <c r="U149" s="2" t="s">
        <v>1536</v>
      </c>
      <c r="V149" s="1">
        <v>46104</v>
      </c>
      <c r="W149" t="s">
        <v>1537</v>
      </c>
      <c r="X149">
        <v>120000604</v>
      </c>
      <c r="Y149" t="s">
        <v>263</v>
      </c>
      <c r="Z149" t="s">
        <v>263</v>
      </c>
      <c r="AA149" t="e">
        <f ca="1">- Preventive Maintenance
- Backup Data</f>
        <v>#NAME?</v>
      </c>
      <c r="AB149" t="s">
        <v>181</v>
      </c>
      <c r="AG149" t="s">
        <v>1538</v>
      </c>
      <c r="AH149" t="s">
        <v>1539</v>
      </c>
      <c r="AI149" t="s">
        <v>1540</v>
      </c>
    </row>
    <row r="150" spans="2:35" ht="300">
      <c r="B150" s="1">
        <v>46104</v>
      </c>
      <c r="C150" s="1">
        <v>46099</v>
      </c>
      <c r="D150" t="s">
        <v>1541</v>
      </c>
      <c r="E150" t="s">
        <v>1542</v>
      </c>
      <c r="F150" t="s">
        <v>148</v>
      </c>
      <c r="G150" t="s">
        <v>310</v>
      </c>
      <c r="H150" t="s">
        <v>1543</v>
      </c>
      <c r="I150" t="s">
        <v>40</v>
      </c>
      <c r="J150" s="2" t="s">
        <v>1544</v>
      </c>
      <c r="K150" t="s">
        <v>42</v>
      </c>
      <c r="L150" t="s">
        <v>1028</v>
      </c>
      <c r="N150" t="s">
        <v>1029</v>
      </c>
      <c r="Q150">
        <v>32398</v>
      </c>
      <c r="R150" t="s">
        <v>45</v>
      </c>
      <c r="S150" t="s">
        <v>1545</v>
      </c>
      <c r="T150">
        <v>28</v>
      </c>
      <c r="U150" s="2" t="s">
        <v>1546</v>
      </c>
      <c r="W150" t="s">
        <v>1032</v>
      </c>
      <c r="X150">
        <v>848262</v>
      </c>
      <c r="Y150" t="s">
        <v>1547</v>
      </c>
      <c r="Z150" t="s">
        <v>1548</v>
      </c>
      <c r="AA150" s="2" t="s">
        <v>1549</v>
      </c>
      <c r="AB150" s="2" t="s">
        <v>1550</v>
      </c>
      <c r="AG150" t="s">
        <v>1551</v>
      </c>
      <c r="AH150" t="s">
        <v>1552</v>
      </c>
      <c r="AI150" t="s">
        <v>1553</v>
      </c>
    </row>
    <row r="151" spans="2:35" ht="60">
      <c r="B151" s="1">
        <v>46103</v>
      </c>
      <c r="C151" s="1">
        <v>46099</v>
      </c>
      <c r="D151" t="s">
        <v>1554</v>
      </c>
      <c r="E151" t="s">
        <v>1555</v>
      </c>
      <c r="F151">
        <v>7</v>
      </c>
      <c r="G151" t="s">
        <v>432</v>
      </c>
      <c r="H151" t="s">
        <v>39</v>
      </c>
      <c r="I151" t="s">
        <v>40</v>
      </c>
      <c r="J151" s="2" t="s">
        <v>62</v>
      </c>
      <c r="K151" t="s">
        <v>387</v>
      </c>
      <c r="L151" t="s">
        <v>433</v>
      </c>
      <c r="N151" t="s">
        <v>434</v>
      </c>
      <c r="Q151">
        <v>32397</v>
      </c>
      <c r="R151" t="s">
        <v>95</v>
      </c>
      <c r="S151" t="s">
        <v>1556</v>
      </c>
      <c r="T151">
        <v>26</v>
      </c>
      <c r="W151" t="s">
        <v>436</v>
      </c>
      <c r="X151" t="s">
        <v>1557</v>
      </c>
      <c r="Y151" t="s">
        <v>1558</v>
      </c>
      <c r="Z151" t="s">
        <v>1559</v>
      </c>
      <c r="AA151" t="s">
        <v>1560</v>
      </c>
      <c r="AB151" t="s">
        <v>1011</v>
      </c>
      <c r="AG151" t="s">
        <v>1561</v>
      </c>
      <c r="AH151" t="s">
        <v>1562</v>
      </c>
      <c r="AI151" t="s">
        <v>1563</v>
      </c>
    </row>
    <row r="152" spans="2:35" ht="105">
      <c r="B152" s="1">
        <v>46102</v>
      </c>
      <c r="C152" s="1">
        <v>46100</v>
      </c>
      <c r="D152" t="s">
        <v>1564</v>
      </c>
      <c r="E152" t="s">
        <v>1565</v>
      </c>
      <c r="F152">
        <v>8</v>
      </c>
      <c r="G152" t="s">
        <v>342</v>
      </c>
      <c r="H152" t="s">
        <v>39</v>
      </c>
      <c r="I152" t="s">
        <v>40</v>
      </c>
      <c r="J152" t="s">
        <v>583</v>
      </c>
      <c r="K152" t="s">
        <v>42</v>
      </c>
      <c r="L152" t="s">
        <v>343</v>
      </c>
      <c r="N152" t="s">
        <v>344</v>
      </c>
      <c r="Q152">
        <v>32396</v>
      </c>
      <c r="R152" t="s">
        <v>45</v>
      </c>
      <c r="S152" t="s">
        <v>1566</v>
      </c>
      <c r="T152">
        <v>30</v>
      </c>
      <c r="U152" s="2" t="s">
        <v>1567</v>
      </c>
      <c r="W152" t="s">
        <v>1568</v>
      </c>
      <c r="X152">
        <v>834818</v>
      </c>
      <c r="Y152" t="s">
        <v>301</v>
      </c>
      <c r="Z152" t="s">
        <v>301</v>
      </c>
      <c r="AA152" t="e">
        <f ca="1">-Preventive Maintenance
-machine Check</f>
        <v>#NAME?</v>
      </c>
      <c r="AB152" t="s">
        <v>348</v>
      </c>
      <c r="AG152" t="s">
        <v>1569</v>
      </c>
      <c r="AH152" t="s">
        <v>1570</v>
      </c>
      <c r="AI152" t="s">
        <v>1571</v>
      </c>
    </row>
    <row r="153" spans="2:35" ht="300">
      <c r="B153" s="1">
        <v>46101</v>
      </c>
      <c r="C153" s="1">
        <v>46099</v>
      </c>
      <c r="D153" t="s">
        <v>1145</v>
      </c>
      <c r="E153" t="s">
        <v>473</v>
      </c>
      <c r="F153" t="s">
        <v>148</v>
      </c>
      <c r="G153" t="s">
        <v>447</v>
      </c>
      <c r="H153" t="s">
        <v>150</v>
      </c>
      <c r="I153" t="s">
        <v>40</v>
      </c>
      <c r="J153" t="s">
        <v>525</v>
      </c>
      <c r="K153" t="s">
        <v>42</v>
      </c>
      <c r="L153" t="s">
        <v>448</v>
      </c>
      <c r="N153" t="s">
        <v>450</v>
      </c>
      <c r="Q153">
        <v>32395</v>
      </c>
      <c r="R153" t="s">
        <v>322</v>
      </c>
      <c r="S153" t="s">
        <v>1147</v>
      </c>
      <c r="T153">
        <v>27</v>
      </c>
      <c r="U153" s="2" t="s">
        <v>1572</v>
      </c>
      <c r="W153" t="s">
        <v>1573</v>
      </c>
      <c r="X153">
        <v>110027386</v>
      </c>
      <c r="Y153" t="s">
        <v>1574</v>
      </c>
      <c r="Z153" s="2" t="s">
        <v>1575</v>
      </c>
      <c r="AA153" t="s">
        <v>768</v>
      </c>
      <c r="AB153" t="s">
        <v>486</v>
      </c>
      <c r="AG153" t="s">
        <v>1576</v>
      </c>
      <c r="AH153" t="s">
        <v>1153</v>
      </c>
      <c r="AI153" t="s">
        <v>1577</v>
      </c>
    </row>
    <row r="154" spans="2:35" ht="315">
      <c r="B154" s="1">
        <v>46101</v>
      </c>
      <c r="C154" s="1">
        <v>46098</v>
      </c>
      <c r="D154" t="s">
        <v>1578</v>
      </c>
      <c r="E154" t="s">
        <v>1579</v>
      </c>
      <c r="F154" t="s">
        <v>37</v>
      </c>
      <c r="G154" t="s">
        <v>38</v>
      </c>
      <c r="H154" t="s">
        <v>39</v>
      </c>
      <c r="I154" t="s">
        <v>40</v>
      </c>
      <c r="J154" s="2" t="s">
        <v>1309</v>
      </c>
      <c r="K154" t="s">
        <v>42</v>
      </c>
      <c r="L154" t="s">
        <v>448</v>
      </c>
      <c r="N154" t="s">
        <v>650</v>
      </c>
      <c r="Q154">
        <v>32394</v>
      </c>
      <c r="R154" t="s">
        <v>45</v>
      </c>
      <c r="S154" t="s">
        <v>1580</v>
      </c>
      <c r="T154">
        <v>25</v>
      </c>
      <c r="V154" s="1">
        <v>46097</v>
      </c>
      <c r="W154" t="s">
        <v>1581</v>
      </c>
      <c r="X154">
        <v>831642</v>
      </c>
      <c r="Y154" s="2" t="s">
        <v>1582</v>
      </c>
      <c r="Z154" s="2" t="s">
        <v>1583</v>
      </c>
      <c r="AA154" t="s">
        <v>1584</v>
      </c>
      <c r="AB154" s="2" t="s">
        <v>1585</v>
      </c>
      <c r="AD154" t="s">
        <v>1586</v>
      </c>
      <c r="AE154">
        <v>55434</v>
      </c>
      <c r="AG154" t="s">
        <v>1587</v>
      </c>
      <c r="AH154" t="s">
        <v>1588</v>
      </c>
      <c r="AI154" t="s">
        <v>1589</v>
      </c>
    </row>
    <row r="155" spans="2:35" ht="135">
      <c r="B155" s="1">
        <v>46100</v>
      </c>
      <c r="C155" s="1">
        <v>46100</v>
      </c>
      <c r="D155" t="s">
        <v>1590</v>
      </c>
      <c r="E155" t="s">
        <v>1591</v>
      </c>
      <c r="F155">
        <v>8</v>
      </c>
      <c r="G155" t="s">
        <v>630</v>
      </c>
      <c r="H155" t="s">
        <v>631</v>
      </c>
      <c r="I155" t="s">
        <v>40</v>
      </c>
      <c r="J155" s="2" t="s">
        <v>1592</v>
      </c>
      <c r="K155" t="s">
        <v>42</v>
      </c>
      <c r="L155" t="s">
        <v>259</v>
      </c>
      <c r="N155" t="s">
        <v>260</v>
      </c>
      <c r="Q155">
        <v>32393</v>
      </c>
      <c r="R155" t="s">
        <v>45</v>
      </c>
      <c r="S155" t="s">
        <v>1593</v>
      </c>
      <c r="T155">
        <v>30</v>
      </c>
      <c r="U155" s="2" t="s">
        <v>1594</v>
      </c>
      <c r="V155" s="1">
        <v>46100</v>
      </c>
      <c r="W155" t="s">
        <v>1595</v>
      </c>
      <c r="X155">
        <v>835100</v>
      </c>
      <c r="Y155" t="e">
        <f ca="1">- CPU _xludf.not turning on
- module B2 defective</f>
        <v>#NAME?</v>
      </c>
      <c r="Z155" t="e">
        <f ca="1">- Reset CPU system</f>
        <v>#NAME?</v>
      </c>
      <c r="AA155" s="2" t="s">
        <v>1596</v>
      </c>
      <c r="AB155" t="e">
        <f ca="1">- Unit is operational
- module B2 H/W Failed ( _xludf.For Replacement)
- No ACU
- No monitor</f>
        <v>#NAME?</v>
      </c>
      <c r="AC155" t="s">
        <v>1597</v>
      </c>
      <c r="AG155" t="s">
        <v>1598</v>
      </c>
      <c r="AH155" t="s">
        <v>1599</v>
      </c>
      <c r="AI155" t="s">
        <v>1600</v>
      </c>
    </row>
    <row r="156" spans="2:35" ht="315">
      <c r="B156" s="1">
        <v>46100</v>
      </c>
      <c r="C156" s="1">
        <v>46100</v>
      </c>
      <c r="D156" t="s">
        <v>952</v>
      </c>
      <c r="E156" t="s">
        <v>718</v>
      </c>
      <c r="F156">
        <v>7</v>
      </c>
      <c r="G156" t="s">
        <v>432</v>
      </c>
      <c r="H156" t="s">
        <v>258</v>
      </c>
      <c r="I156" t="s">
        <v>40</v>
      </c>
      <c r="J156" s="2" t="s">
        <v>190</v>
      </c>
      <c r="K156" t="s">
        <v>42</v>
      </c>
      <c r="L156" t="s">
        <v>594</v>
      </c>
      <c r="N156" t="s">
        <v>595</v>
      </c>
      <c r="O156" t="s">
        <v>595</v>
      </c>
      <c r="Q156">
        <v>32392</v>
      </c>
      <c r="R156" t="s">
        <v>45</v>
      </c>
      <c r="S156" t="s">
        <v>955</v>
      </c>
      <c r="T156">
        <v>23</v>
      </c>
      <c r="W156" t="s">
        <v>597</v>
      </c>
      <c r="X156">
        <v>808620</v>
      </c>
      <c r="Y156" t="s">
        <v>1601</v>
      </c>
      <c r="Z156" s="2" t="s">
        <v>1602</v>
      </c>
      <c r="AA156" s="2" t="s">
        <v>1603</v>
      </c>
      <c r="AB156" s="2" t="s">
        <v>1604</v>
      </c>
      <c r="AG156" t="s">
        <v>1605</v>
      </c>
      <c r="AH156" t="s">
        <v>960</v>
      </c>
      <c r="AI156" t="s">
        <v>1606</v>
      </c>
    </row>
    <row r="157" spans="2:35">
      <c r="B157" s="1">
        <v>46100</v>
      </c>
      <c r="C157" s="1">
        <v>46100</v>
      </c>
      <c r="D157" t="s">
        <v>1607</v>
      </c>
      <c r="E157" t="s">
        <v>1608</v>
      </c>
      <c r="F157" t="s">
        <v>148</v>
      </c>
      <c r="G157" t="s">
        <v>371</v>
      </c>
      <c r="H157" t="s">
        <v>39</v>
      </c>
      <c r="I157" t="s">
        <v>40</v>
      </c>
      <c r="J157" t="s">
        <v>109</v>
      </c>
      <c r="K157" t="s">
        <v>42</v>
      </c>
      <c r="L157" t="s">
        <v>175</v>
      </c>
      <c r="N157" t="s">
        <v>176</v>
      </c>
      <c r="Q157">
        <v>32391</v>
      </c>
      <c r="R157" t="s">
        <v>45</v>
      </c>
      <c r="S157" t="s">
        <v>1609</v>
      </c>
      <c r="T157">
        <v>25</v>
      </c>
      <c r="W157" t="s">
        <v>84</v>
      </c>
      <c r="X157">
        <v>815395</v>
      </c>
      <c r="Y157" t="s">
        <v>374</v>
      </c>
      <c r="Z157" t="s">
        <v>1610</v>
      </c>
      <c r="AA157" t="e">
        <f ca="1">- checked _xludf.and cleaned cartridge bay, plunger rod, _xludf.filter, icore slot
- generated reports
- performed self test</f>
        <v>#NAME?</v>
      </c>
      <c r="AB157" t="s">
        <v>181</v>
      </c>
      <c r="AG157" t="s">
        <v>1611</v>
      </c>
      <c r="AH157" t="s">
        <v>1612</v>
      </c>
      <c r="AI157" t="s">
        <v>1613</v>
      </c>
    </row>
    <row r="158" spans="2:35" ht="405">
      <c r="B158" s="1">
        <v>46100</v>
      </c>
      <c r="C158" s="1">
        <v>46100</v>
      </c>
      <c r="D158" t="s">
        <v>1614</v>
      </c>
      <c r="E158" t="s">
        <v>1615</v>
      </c>
      <c r="F158">
        <v>11</v>
      </c>
      <c r="G158" t="s">
        <v>1205</v>
      </c>
      <c r="H158" t="s">
        <v>202</v>
      </c>
      <c r="I158" t="s">
        <v>94</v>
      </c>
      <c r="J158" s="2" t="s">
        <v>62</v>
      </c>
      <c r="K158" t="s">
        <v>42</v>
      </c>
      <c r="L158" t="s">
        <v>204</v>
      </c>
      <c r="N158" t="s">
        <v>205</v>
      </c>
      <c r="Q158">
        <v>32390</v>
      </c>
      <c r="R158" t="s">
        <v>719</v>
      </c>
      <c r="S158" t="s">
        <v>1616</v>
      </c>
      <c r="T158">
        <v>29.8</v>
      </c>
      <c r="U158" s="2" t="s">
        <v>1617</v>
      </c>
      <c r="W158" t="s">
        <v>208</v>
      </c>
      <c r="X158">
        <v>847256</v>
      </c>
      <c r="Y158" t="s">
        <v>1618</v>
      </c>
      <c r="Z158" s="2" t="s">
        <v>1619</v>
      </c>
      <c r="AA158" t="s">
        <v>1620</v>
      </c>
      <c r="AB158" s="2" t="s">
        <v>1621</v>
      </c>
      <c r="AC158" t="s">
        <v>1622</v>
      </c>
      <c r="AG158" t="s">
        <v>1623</v>
      </c>
      <c r="AH158" t="s">
        <v>1624</v>
      </c>
      <c r="AI158" t="s">
        <v>1625</v>
      </c>
    </row>
    <row r="159" spans="2:35" ht="270">
      <c r="B159" s="1">
        <v>46100</v>
      </c>
      <c r="C159" s="1">
        <v>46100</v>
      </c>
      <c r="D159" t="s">
        <v>1626</v>
      </c>
      <c r="E159" t="s">
        <v>1627</v>
      </c>
      <c r="F159">
        <v>9</v>
      </c>
      <c r="G159" t="s">
        <v>1628</v>
      </c>
      <c r="H159" t="s">
        <v>39</v>
      </c>
      <c r="I159" t="s">
        <v>40</v>
      </c>
      <c r="J159" t="s">
        <v>109</v>
      </c>
      <c r="K159" t="s">
        <v>42</v>
      </c>
      <c r="L159" t="s">
        <v>1257</v>
      </c>
      <c r="N159" t="s">
        <v>1258</v>
      </c>
      <c r="O159" t="s">
        <v>1258</v>
      </c>
      <c r="Q159">
        <v>32389</v>
      </c>
      <c r="R159" t="s">
        <v>45</v>
      </c>
      <c r="S159" t="s">
        <v>1629</v>
      </c>
      <c r="T159">
        <v>28</v>
      </c>
      <c r="U159" s="2" t="s">
        <v>1630</v>
      </c>
      <c r="V159" s="1">
        <v>46100</v>
      </c>
      <c r="W159" t="s">
        <v>1261</v>
      </c>
      <c r="X159">
        <v>808615</v>
      </c>
      <c r="Y159" t="s">
        <v>1631</v>
      </c>
      <c r="Z159" t="s">
        <v>1632</v>
      </c>
      <c r="AA159" t="s">
        <v>1633</v>
      </c>
      <c r="AB159" t="s">
        <v>1634</v>
      </c>
      <c r="AC159" t="s">
        <v>301</v>
      </c>
      <c r="AD159" t="s">
        <v>54</v>
      </c>
      <c r="AE159" t="s">
        <v>54</v>
      </c>
      <c r="AG159" t="s">
        <v>1635</v>
      </c>
      <c r="AH159" t="s">
        <v>1636</v>
      </c>
      <c r="AI159" t="s">
        <v>1637</v>
      </c>
    </row>
    <row r="160" spans="2:35" ht="150">
      <c r="B160" s="1">
        <v>46100</v>
      </c>
      <c r="C160" s="1">
        <v>46100</v>
      </c>
      <c r="D160" t="s">
        <v>1638</v>
      </c>
      <c r="E160" t="s">
        <v>1639</v>
      </c>
      <c r="F160">
        <v>3</v>
      </c>
      <c r="G160" t="s">
        <v>1640</v>
      </c>
      <c r="H160" t="s">
        <v>39</v>
      </c>
      <c r="I160" t="s">
        <v>40</v>
      </c>
      <c r="J160" s="2" t="s">
        <v>41</v>
      </c>
      <c r="K160" t="s">
        <v>42</v>
      </c>
      <c r="L160" t="s">
        <v>80</v>
      </c>
      <c r="N160" t="s">
        <v>1641</v>
      </c>
      <c r="Q160">
        <v>32388</v>
      </c>
      <c r="R160" t="s">
        <v>45</v>
      </c>
      <c r="S160" t="s">
        <v>1642</v>
      </c>
      <c r="T160">
        <v>23</v>
      </c>
      <c r="U160" s="2" t="s">
        <v>1643</v>
      </c>
      <c r="V160" s="1">
        <v>46100</v>
      </c>
      <c r="W160" t="s">
        <v>84</v>
      </c>
      <c r="X160">
        <v>831844</v>
      </c>
      <c r="Y160" s="2" t="s">
        <v>1644</v>
      </c>
      <c r="Z160" t="s">
        <v>1645</v>
      </c>
      <c r="AA160" s="2" t="s">
        <v>1646</v>
      </c>
      <c r="AB160" t="s">
        <v>1647</v>
      </c>
      <c r="AC160" t="s">
        <v>103</v>
      </c>
      <c r="AD160" t="s">
        <v>1648</v>
      </c>
      <c r="AE160" t="s">
        <v>103</v>
      </c>
      <c r="AG160" t="s">
        <v>1649</v>
      </c>
      <c r="AH160" t="s">
        <v>1650</v>
      </c>
      <c r="AI160" t="s">
        <v>1651</v>
      </c>
    </row>
    <row r="161" spans="2:35" ht="210">
      <c r="B161" s="1">
        <v>46100</v>
      </c>
      <c r="C161" s="1">
        <v>46099</v>
      </c>
      <c r="D161" t="s">
        <v>1652</v>
      </c>
      <c r="E161" t="s">
        <v>1653</v>
      </c>
      <c r="F161">
        <v>8</v>
      </c>
      <c r="G161" t="s">
        <v>342</v>
      </c>
      <c r="H161" t="s">
        <v>39</v>
      </c>
      <c r="I161" t="s">
        <v>40</v>
      </c>
      <c r="J161" s="2" t="s">
        <v>41</v>
      </c>
      <c r="K161" t="s">
        <v>42</v>
      </c>
      <c r="L161" t="s">
        <v>343</v>
      </c>
      <c r="N161" t="s">
        <v>344</v>
      </c>
      <c r="Q161">
        <v>32387</v>
      </c>
      <c r="R161" t="s">
        <v>45</v>
      </c>
      <c r="S161" t="s">
        <v>1654</v>
      </c>
      <c r="T161">
        <v>24</v>
      </c>
      <c r="U161" s="2" t="s">
        <v>1655</v>
      </c>
      <c r="W161" t="s">
        <v>1501</v>
      </c>
      <c r="X161">
        <v>804253</v>
      </c>
      <c r="Y161" t="s">
        <v>1656</v>
      </c>
      <c r="Z161" t="s">
        <v>1657</v>
      </c>
      <c r="AA161" t="e">
        <f ca="1">-Preventive Maintenance
-module Replacement</f>
        <v>#NAME?</v>
      </c>
      <c r="AB161" t="s">
        <v>348</v>
      </c>
      <c r="AG161" t="s">
        <v>1658</v>
      </c>
      <c r="AH161" t="s">
        <v>1659</v>
      </c>
      <c r="AI161" t="s">
        <v>1660</v>
      </c>
    </row>
    <row r="162" spans="2:35">
      <c r="B162" s="1">
        <v>46099</v>
      </c>
      <c r="C162" s="1">
        <v>46099</v>
      </c>
      <c r="D162" t="s">
        <v>1661</v>
      </c>
      <c r="E162" t="s">
        <v>1662</v>
      </c>
      <c r="F162">
        <v>8</v>
      </c>
      <c r="G162" t="s">
        <v>1663</v>
      </c>
      <c r="H162" t="s">
        <v>258</v>
      </c>
      <c r="I162" t="s">
        <v>40</v>
      </c>
      <c r="J162" t="s">
        <v>109</v>
      </c>
      <c r="K162" t="s">
        <v>42</v>
      </c>
      <c r="L162" t="s">
        <v>259</v>
      </c>
      <c r="N162" t="s">
        <v>260</v>
      </c>
      <c r="Q162">
        <v>32386</v>
      </c>
      <c r="R162" t="s">
        <v>45</v>
      </c>
      <c r="S162" t="s">
        <v>1664</v>
      </c>
      <c r="T162">
        <v>25</v>
      </c>
      <c r="V162" s="1">
        <v>46099</v>
      </c>
      <c r="W162" t="s">
        <v>423</v>
      </c>
      <c r="X162">
        <v>120000480</v>
      </c>
      <c r="Y162" t="s">
        <v>263</v>
      </c>
      <c r="Z162" t="s">
        <v>263</v>
      </c>
      <c r="AA162" t="e">
        <f ca="1">- Preventive Maintenance
- archived Data</f>
        <v>#NAME?</v>
      </c>
      <c r="AB162" t="s">
        <v>181</v>
      </c>
      <c r="AG162" t="s">
        <v>1665</v>
      </c>
      <c r="AH162" t="s">
        <v>1666</v>
      </c>
      <c r="AI162" t="s">
        <v>1667</v>
      </c>
    </row>
    <row r="163" spans="2:35">
      <c r="B163" s="1">
        <v>46099</v>
      </c>
      <c r="C163" s="1">
        <v>46099</v>
      </c>
      <c r="D163" t="s">
        <v>1661</v>
      </c>
      <c r="E163" t="s">
        <v>1662</v>
      </c>
      <c r="F163">
        <v>8</v>
      </c>
      <c r="G163" t="s">
        <v>1663</v>
      </c>
      <c r="H163" t="s">
        <v>258</v>
      </c>
      <c r="I163" t="s">
        <v>40</v>
      </c>
      <c r="J163" t="s">
        <v>109</v>
      </c>
      <c r="K163" t="s">
        <v>42</v>
      </c>
      <c r="L163" t="s">
        <v>259</v>
      </c>
      <c r="N163" t="s">
        <v>260</v>
      </c>
      <c r="Q163">
        <v>32385</v>
      </c>
      <c r="R163" t="s">
        <v>45</v>
      </c>
      <c r="S163" t="s">
        <v>1664</v>
      </c>
      <c r="T163">
        <v>25</v>
      </c>
      <c r="V163" s="1">
        <v>46099</v>
      </c>
      <c r="W163" t="s">
        <v>423</v>
      </c>
      <c r="X163">
        <v>120000480</v>
      </c>
      <c r="Y163" t="s">
        <v>263</v>
      </c>
      <c r="Z163" t="s">
        <v>263</v>
      </c>
      <c r="AA163" t="e">
        <f ca="1">- Preventive Maintenance
- archived Data</f>
        <v>#NAME?</v>
      </c>
      <c r="AB163" t="s">
        <v>181</v>
      </c>
      <c r="AG163" t="s">
        <v>1668</v>
      </c>
      <c r="AH163" t="s">
        <v>1666</v>
      </c>
      <c r="AI163" t="s">
        <v>1669</v>
      </c>
    </row>
    <row r="164" spans="2:35" ht="330">
      <c r="B164" s="1">
        <v>46099</v>
      </c>
      <c r="C164" s="1">
        <v>46099</v>
      </c>
      <c r="D164" t="s">
        <v>1670</v>
      </c>
      <c r="E164" t="s">
        <v>1671</v>
      </c>
      <c r="F164" t="s">
        <v>148</v>
      </c>
      <c r="G164" t="s">
        <v>310</v>
      </c>
      <c r="H164" t="s">
        <v>39</v>
      </c>
      <c r="I164" t="s">
        <v>40</v>
      </c>
      <c r="J164" s="2" t="s">
        <v>41</v>
      </c>
      <c r="K164" t="s">
        <v>42</v>
      </c>
      <c r="L164" t="s">
        <v>175</v>
      </c>
      <c r="N164" t="s">
        <v>176</v>
      </c>
      <c r="Q164">
        <v>32384</v>
      </c>
      <c r="R164" t="s">
        <v>45</v>
      </c>
      <c r="S164" t="s">
        <v>1672</v>
      </c>
      <c r="T164">
        <v>24</v>
      </c>
      <c r="W164" t="s">
        <v>84</v>
      </c>
      <c r="X164">
        <v>812829</v>
      </c>
      <c r="Y164" t="s">
        <v>1673</v>
      </c>
      <c r="Z164" t="s">
        <v>179</v>
      </c>
      <c r="AA164" s="2" t="s">
        <v>1674</v>
      </c>
      <c r="AB164" t="s">
        <v>181</v>
      </c>
      <c r="AG164" t="s">
        <v>1675</v>
      </c>
      <c r="AH164" t="s">
        <v>1676</v>
      </c>
      <c r="AI164" t="s">
        <v>1677</v>
      </c>
    </row>
    <row r="165" spans="2:35" ht="225">
      <c r="B165" s="1">
        <v>46099</v>
      </c>
      <c r="C165" s="1">
        <v>46098</v>
      </c>
      <c r="D165" t="s">
        <v>1678</v>
      </c>
      <c r="E165" t="s">
        <v>1679</v>
      </c>
      <c r="F165" t="s">
        <v>148</v>
      </c>
      <c r="G165" t="s">
        <v>785</v>
      </c>
      <c r="H165" t="s">
        <v>39</v>
      </c>
      <c r="I165" t="s">
        <v>40</v>
      </c>
      <c r="J165" t="s">
        <v>109</v>
      </c>
      <c r="K165" t="s">
        <v>42</v>
      </c>
      <c r="L165" t="s">
        <v>43</v>
      </c>
      <c r="N165" t="s">
        <v>44</v>
      </c>
      <c r="Q165">
        <v>32383</v>
      </c>
      <c r="R165" t="s">
        <v>45</v>
      </c>
      <c r="S165" t="s">
        <v>1680</v>
      </c>
      <c r="T165">
        <v>22</v>
      </c>
      <c r="U165" s="2" t="s">
        <v>1681</v>
      </c>
      <c r="W165" t="s">
        <v>48</v>
      </c>
      <c r="X165">
        <v>843924</v>
      </c>
      <c r="Y165" t="s">
        <v>121</v>
      </c>
      <c r="Z165" t="s">
        <v>122</v>
      </c>
      <c r="AA165" s="2" t="s">
        <v>1682</v>
      </c>
      <c r="AB165" t="s">
        <v>990</v>
      </c>
      <c r="AG165" t="s">
        <v>1683</v>
      </c>
      <c r="AH165" t="s">
        <v>1684</v>
      </c>
      <c r="AI165" t="s">
        <v>1685</v>
      </c>
    </row>
    <row r="166" spans="2:35" ht="225">
      <c r="B166" s="1">
        <v>46099</v>
      </c>
      <c r="C166" s="1">
        <v>46098</v>
      </c>
      <c r="D166" t="s">
        <v>1686</v>
      </c>
      <c r="E166" t="s">
        <v>1687</v>
      </c>
      <c r="F166" t="s">
        <v>148</v>
      </c>
      <c r="G166" t="s">
        <v>785</v>
      </c>
      <c r="H166" t="s">
        <v>39</v>
      </c>
      <c r="I166" t="s">
        <v>40</v>
      </c>
      <c r="J166" t="s">
        <v>109</v>
      </c>
      <c r="K166" t="s">
        <v>42</v>
      </c>
      <c r="L166" t="s">
        <v>43</v>
      </c>
      <c r="N166" t="s">
        <v>44</v>
      </c>
      <c r="Q166">
        <v>32379</v>
      </c>
      <c r="R166" t="s">
        <v>322</v>
      </c>
      <c r="S166" t="s">
        <v>1688</v>
      </c>
      <c r="T166">
        <v>22</v>
      </c>
      <c r="U166" s="2" t="s">
        <v>1689</v>
      </c>
      <c r="W166" t="s">
        <v>153</v>
      </c>
      <c r="X166">
        <v>110024247</v>
      </c>
      <c r="Y166" t="s">
        <v>121</v>
      </c>
      <c r="Z166" t="s">
        <v>122</v>
      </c>
      <c r="AA166" s="2" t="s">
        <v>1690</v>
      </c>
      <c r="AB166" t="s">
        <v>990</v>
      </c>
      <c r="AG166" t="s">
        <v>1691</v>
      </c>
      <c r="AH166" t="s">
        <v>1692</v>
      </c>
      <c r="AI166" t="s">
        <v>1693</v>
      </c>
    </row>
    <row r="167" spans="2:35" ht="225">
      <c r="B167" s="1">
        <v>46099</v>
      </c>
      <c r="C167" s="1">
        <v>46098</v>
      </c>
      <c r="D167" t="s">
        <v>1686</v>
      </c>
      <c r="E167" t="s">
        <v>1687</v>
      </c>
      <c r="F167" t="s">
        <v>148</v>
      </c>
      <c r="G167" t="s">
        <v>785</v>
      </c>
      <c r="H167" t="s">
        <v>39</v>
      </c>
      <c r="I167" t="s">
        <v>40</v>
      </c>
      <c r="J167" t="s">
        <v>109</v>
      </c>
      <c r="K167" t="s">
        <v>42</v>
      </c>
      <c r="L167" t="s">
        <v>43</v>
      </c>
      <c r="N167" t="s">
        <v>44</v>
      </c>
      <c r="Q167">
        <v>32382</v>
      </c>
      <c r="R167" t="s">
        <v>45</v>
      </c>
      <c r="S167" t="s">
        <v>1688</v>
      </c>
      <c r="T167">
        <v>22</v>
      </c>
      <c r="U167" s="2" t="s">
        <v>1694</v>
      </c>
      <c r="W167" t="s">
        <v>48</v>
      </c>
      <c r="X167">
        <v>838898</v>
      </c>
      <c r="Y167" t="s">
        <v>121</v>
      </c>
      <c r="Z167" t="s">
        <v>1695</v>
      </c>
      <c r="AA167" s="2" t="s">
        <v>1696</v>
      </c>
      <c r="AB167" t="s">
        <v>548</v>
      </c>
      <c r="AG167" t="s">
        <v>1697</v>
      </c>
      <c r="AH167" t="s">
        <v>1692</v>
      </c>
      <c r="AI167" t="s">
        <v>1698</v>
      </c>
    </row>
    <row r="168" spans="2:35" ht="315">
      <c r="B168" s="1">
        <v>46099</v>
      </c>
      <c r="C168" s="1">
        <v>46099</v>
      </c>
      <c r="D168" t="s">
        <v>1699</v>
      </c>
      <c r="E168" t="s">
        <v>1700</v>
      </c>
      <c r="F168" t="s">
        <v>37</v>
      </c>
      <c r="G168" t="s">
        <v>38</v>
      </c>
      <c r="H168" t="s">
        <v>39</v>
      </c>
      <c r="I168" t="s">
        <v>40</v>
      </c>
      <c r="J168" s="2" t="s">
        <v>609</v>
      </c>
      <c r="K168" t="s">
        <v>42</v>
      </c>
      <c r="L168" t="s">
        <v>43</v>
      </c>
      <c r="N168" t="s">
        <v>44</v>
      </c>
      <c r="Q168">
        <v>32381</v>
      </c>
      <c r="R168" t="s">
        <v>45</v>
      </c>
      <c r="S168" t="s">
        <v>1701</v>
      </c>
      <c r="T168">
        <v>24</v>
      </c>
      <c r="U168" s="2" t="s">
        <v>1702</v>
      </c>
      <c r="W168" t="s">
        <v>48</v>
      </c>
      <c r="X168">
        <v>838136</v>
      </c>
      <c r="Y168" s="2" t="s">
        <v>1703</v>
      </c>
      <c r="Z168" t="s">
        <v>122</v>
      </c>
      <c r="AA168" s="2" t="s">
        <v>1704</v>
      </c>
      <c r="AB168" t="s">
        <v>1705</v>
      </c>
      <c r="AG168" t="s">
        <v>1706</v>
      </c>
      <c r="AH168" t="s">
        <v>1707</v>
      </c>
      <c r="AI168" t="s">
        <v>1708</v>
      </c>
    </row>
    <row r="169" spans="2:35" ht="225">
      <c r="B169" s="1">
        <v>46099</v>
      </c>
      <c r="C169" s="1">
        <v>46098</v>
      </c>
      <c r="D169" t="s">
        <v>1678</v>
      </c>
      <c r="E169" t="s">
        <v>1679</v>
      </c>
      <c r="F169" t="s">
        <v>148</v>
      </c>
      <c r="G169" t="s">
        <v>785</v>
      </c>
      <c r="H169" t="s">
        <v>39</v>
      </c>
      <c r="I169" t="s">
        <v>40</v>
      </c>
      <c r="J169" t="s">
        <v>109</v>
      </c>
      <c r="K169" t="s">
        <v>42</v>
      </c>
      <c r="L169" t="s">
        <v>43</v>
      </c>
      <c r="N169" t="s">
        <v>44</v>
      </c>
      <c r="Q169">
        <v>32380</v>
      </c>
      <c r="R169" t="s">
        <v>322</v>
      </c>
      <c r="S169" t="s">
        <v>1680</v>
      </c>
      <c r="T169">
        <v>24</v>
      </c>
      <c r="U169" s="2" t="s">
        <v>1709</v>
      </c>
      <c r="W169" t="s">
        <v>153</v>
      </c>
      <c r="X169">
        <v>110024246</v>
      </c>
      <c r="Y169" t="s">
        <v>121</v>
      </c>
      <c r="Z169" t="s">
        <v>122</v>
      </c>
      <c r="AA169" s="2" t="s">
        <v>1710</v>
      </c>
      <c r="AB169" t="s">
        <v>548</v>
      </c>
      <c r="AG169" t="s">
        <v>1711</v>
      </c>
      <c r="AH169" t="s">
        <v>1684</v>
      </c>
      <c r="AI169" t="s">
        <v>1712</v>
      </c>
    </row>
    <row r="170" spans="2:35">
      <c r="B170" s="1">
        <v>46099</v>
      </c>
      <c r="C170" s="1">
        <v>46099</v>
      </c>
      <c r="D170" t="s">
        <v>1713</v>
      </c>
      <c r="E170" t="s">
        <v>1714</v>
      </c>
      <c r="F170">
        <v>8</v>
      </c>
      <c r="G170" t="s">
        <v>257</v>
      </c>
      <c r="H170" t="s">
        <v>258</v>
      </c>
      <c r="I170" t="s">
        <v>40</v>
      </c>
      <c r="J170" t="s">
        <v>109</v>
      </c>
      <c r="K170" t="s">
        <v>42</v>
      </c>
      <c r="L170" t="s">
        <v>259</v>
      </c>
      <c r="N170" t="s">
        <v>260</v>
      </c>
      <c r="Q170">
        <v>32378</v>
      </c>
      <c r="R170" t="s">
        <v>45</v>
      </c>
      <c r="S170" t="s">
        <v>1715</v>
      </c>
      <c r="T170">
        <v>27</v>
      </c>
      <c r="V170" s="1">
        <v>46099</v>
      </c>
      <c r="W170" t="s">
        <v>84</v>
      </c>
      <c r="X170">
        <v>804265</v>
      </c>
      <c r="Y170" t="s">
        <v>1716</v>
      </c>
      <c r="Z170" t="s">
        <v>1716</v>
      </c>
      <c r="AA170" t="e">
        <f ca="1">- Preventive Maintenance
- archived Data</f>
        <v>#NAME?</v>
      </c>
      <c r="AB170" t="s">
        <v>181</v>
      </c>
      <c r="AG170" t="s">
        <v>1717</v>
      </c>
      <c r="AH170" t="s">
        <v>1718</v>
      </c>
      <c r="AI170" t="s">
        <v>1719</v>
      </c>
    </row>
    <row r="171" spans="2:35" ht="165">
      <c r="B171" s="1">
        <v>46098</v>
      </c>
      <c r="C171" s="1">
        <v>46098</v>
      </c>
      <c r="D171" t="s">
        <v>1720</v>
      </c>
      <c r="E171" t="s">
        <v>1721</v>
      </c>
      <c r="F171">
        <v>3</v>
      </c>
      <c r="G171" t="s">
        <v>1722</v>
      </c>
      <c r="H171" t="s">
        <v>39</v>
      </c>
      <c r="I171" t="s">
        <v>40</v>
      </c>
      <c r="J171" s="2" t="s">
        <v>41</v>
      </c>
      <c r="K171" t="s">
        <v>42</v>
      </c>
      <c r="L171" t="s">
        <v>63</v>
      </c>
      <c r="N171" t="s">
        <v>64</v>
      </c>
      <c r="Q171">
        <v>32377</v>
      </c>
      <c r="R171" t="s">
        <v>45</v>
      </c>
      <c r="S171" t="s">
        <v>1723</v>
      </c>
      <c r="T171">
        <v>28</v>
      </c>
      <c r="U171" s="2" t="s">
        <v>1724</v>
      </c>
      <c r="W171" t="s">
        <v>66</v>
      </c>
      <c r="X171">
        <v>804173</v>
      </c>
      <c r="Y171" t="s">
        <v>1725</v>
      </c>
      <c r="Z171" s="2" t="s">
        <v>1726</v>
      </c>
      <c r="AA171" s="2" t="s">
        <v>1727</v>
      </c>
      <c r="AB171" t="s">
        <v>70</v>
      </c>
      <c r="AG171" t="s">
        <v>1728</v>
      </c>
      <c r="AH171" t="s">
        <v>1729</v>
      </c>
      <c r="AI171" t="s">
        <v>1730</v>
      </c>
    </row>
    <row r="172" spans="2:35" ht="270">
      <c r="B172" s="1">
        <v>46098</v>
      </c>
      <c r="C172" s="1">
        <v>46098</v>
      </c>
      <c r="D172" t="s">
        <v>1731</v>
      </c>
      <c r="E172" t="s">
        <v>1732</v>
      </c>
      <c r="F172" t="s">
        <v>148</v>
      </c>
      <c r="G172" t="s">
        <v>371</v>
      </c>
      <c r="H172" t="s">
        <v>39</v>
      </c>
      <c r="I172" t="s">
        <v>40</v>
      </c>
      <c r="J172" t="s">
        <v>109</v>
      </c>
      <c r="K172" t="s">
        <v>42</v>
      </c>
      <c r="L172" t="s">
        <v>175</v>
      </c>
      <c r="N172" t="s">
        <v>176</v>
      </c>
      <c r="Q172">
        <v>32376</v>
      </c>
      <c r="R172" t="s">
        <v>45</v>
      </c>
      <c r="S172" t="s">
        <v>1733</v>
      </c>
      <c r="T172">
        <v>24</v>
      </c>
      <c r="W172" t="s">
        <v>84</v>
      </c>
      <c r="X172">
        <v>838873</v>
      </c>
      <c r="Y172" t="s">
        <v>374</v>
      </c>
      <c r="Z172" t="s">
        <v>375</v>
      </c>
      <c r="AA172" t="e">
        <f ca="1">- checked _xludf.and cleaned cartridge bay, plunger rod, _xludf.filter, icore slot
- generated reports
- performed self test</f>
        <v>#NAME?</v>
      </c>
      <c r="AB172" s="2" t="s">
        <v>1734</v>
      </c>
      <c r="AG172" t="s">
        <v>1735</v>
      </c>
      <c r="AH172" t="s">
        <v>1736</v>
      </c>
      <c r="AI172" t="s">
        <v>1737</v>
      </c>
    </row>
    <row r="173" spans="2:35" ht="210">
      <c r="B173" s="1">
        <v>46098</v>
      </c>
      <c r="C173" s="1">
        <v>46098</v>
      </c>
      <c r="D173" t="s">
        <v>1738</v>
      </c>
      <c r="E173" t="s">
        <v>639</v>
      </c>
      <c r="F173">
        <v>3</v>
      </c>
      <c r="G173" t="s">
        <v>1739</v>
      </c>
      <c r="H173" t="s">
        <v>61</v>
      </c>
      <c r="I173" t="s">
        <v>40</v>
      </c>
      <c r="J173" t="s">
        <v>1740</v>
      </c>
      <c r="K173" t="s">
        <v>42</v>
      </c>
      <c r="L173" t="s">
        <v>135</v>
      </c>
      <c r="N173" t="s">
        <v>136</v>
      </c>
      <c r="Q173">
        <v>32375</v>
      </c>
      <c r="R173" t="s">
        <v>322</v>
      </c>
      <c r="S173" t="s">
        <v>1741</v>
      </c>
      <c r="T173">
        <v>25</v>
      </c>
      <c r="W173" t="s">
        <v>1742</v>
      </c>
      <c r="X173">
        <v>806377</v>
      </c>
      <c r="Y173" t="s">
        <v>1743</v>
      </c>
      <c r="Z173" s="2" t="s">
        <v>1744</v>
      </c>
      <c r="AA173" s="2" t="s">
        <v>1745</v>
      </c>
      <c r="AB173" t="s">
        <v>181</v>
      </c>
      <c r="AG173" t="s">
        <v>1746</v>
      </c>
      <c r="AH173" t="s">
        <v>1747</v>
      </c>
      <c r="AI173" t="s">
        <v>1748</v>
      </c>
    </row>
    <row r="174" spans="2:35" ht="409.5">
      <c r="B174" s="1">
        <v>46098</v>
      </c>
      <c r="C174" s="1">
        <v>46098</v>
      </c>
      <c r="D174" t="s">
        <v>1749</v>
      </c>
      <c r="E174" t="s">
        <v>1750</v>
      </c>
      <c r="F174">
        <v>3</v>
      </c>
      <c r="G174" t="s">
        <v>284</v>
      </c>
      <c r="H174" t="s">
        <v>39</v>
      </c>
      <c r="I174" t="s">
        <v>40</v>
      </c>
      <c r="J174" s="2" t="s">
        <v>62</v>
      </c>
      <c r="K174" t="s">
        <v>42</v>
      </c>
      <c r="L174" t="s">
        <v>135</v>
      </c>
      <c r="N174" t="s">
        <v>136</v>
      </c>
      <c r="Q174">
        <v>32374</v>
      </c>
      <c r="R174" t="s">
        <v>45</v>
      </c>
      <c r="S174" t="s">
        <v>285</v>
      </c>
      <c r="T174">
        <v>25</v>
      </c>
      <c r="W174" t="s">
        <v>138</v>
      </c>
      <c r="X174">
        <v>807466</v>
      </c>
      <c r="Y174" t="s">
        <v>1751</v>
      </c>
      <c r="Z174" s="2" t="s">
        <v>1752</v>
      </c>
      <c r="AA174" s="2" t="s">
        <v>1753</v>
      </c>
      <c r="AB174" s="2" t="s">
        <v>1754</v>
      </c>
      <c r="AG174" t="s">
        <v>1755</v>
      </c>
      <c r="AH174" t="s">
        <v>290</v>
      </c>
      <c r="AI174" t="s">
        <v>1756</v>
      </c>
    </row>
    <row r="175" spans="2:35" ht="409.5">
      <c r="B175" s="1">
        <v>46098</v>
      </c>
      <c r="C175" s="1">
        <v>46098</v>
      </c>
      <c r="D175" t="s">
        <v>1757</v>
      </c>
      <c r="E175" t="s">
        <v>1758</v>
      </c>
      <c r="F175">
        <v>11</v>
      </c>
      <c r="G175" t="s">
        <v>1759</v>
      </c>
      <c r="H175" t="s">
        <v>202</v>
      </c>
      <c r="I175" t="s">
        <v>94</v>
      </c>
      <c r="J175" t="s">
        <v>79</v>
      </c>
      <c r="K175" t="s">
        <v>42</v>
      </c>
      <c r="L175" t="s">
        <v>204</v>
      </c>
      <c r="N175" t="s">
        <v>205</v>
      </c>
      <c r="Q175">
        <v>32373</v>
      </c>
      <c r="R175" t="s">
        <v>45</v>
      </c>
      <c r="S175" t="s">
        <v>1760</v>
      </c>
      <c r="T175">
        <v>25.6</v>
      </c>
      <c r="U175" s="2" t="s">
        <v>1761</v>
      </c>
      <c r="W175" t="s">
        <v>208</v>
      </c>
      <c r="X175">
        <v>808624</v>
      </c>
      <c r="Y175" s="2" t="s">
        <v>1762</v>
      </c>
      <c r="Z175" s="2" t="s">
        <v>1763</v>
      </c>
      <c r="AA175" s="2" t="s">
        <v>1764</v>
      </c>
      <c r="AB175" t="s">
        <v>1765</v>
      </c>
      <c r="AG175" t="s">
        <v>1766</v>
      </c>
      <c r="AH175" t="s">
        <v>1767</v>
      </c>
      <c r="AI175" t="s">
        <v>1768</v>
      </c>
    </row>
    <row r="176" spans="2:35">
      <c r="B176" s="1">
        <v>46098</v>
      </c>
      <c r="C176" s="1">
        <v>46098</v>
      </c>
      <c r="D176" t="s">
        <v>1769</v>
      </c>
      <c r="E176" t="s">
        <v>1770</v>
      </c>
      <c r="F176">
        <v>3</v>
      </c>
      <c r="G176" t="s">
        <v>174</v>
      </c>
      <c r="H176" t="s">
        <v>39</v>
      </c>
      <c r="I176" t="s">
        <v>40</v>
      </c>
      <c r="J176" t="s">
        <v>109</v>
      </c>
      <c r="K176" t="s">
        <v>42</v>
      </c>
      <c r="L176" t="s">
        <v>175</v>
      </c>
      <c r="N176" t="s">
        <v>176</v>
      </c>
      <c r="Q176">
        <v>32372</v>
      </c>
      <c r="R176" t="s">
        <v>119</v>
      </c>
      <c r="S176" t="s">
        <v>1771</v>
      </c>
      <c r="T176">
        <v>27</v>
      </c>
      <c r="W176" t="s">
        <v>84</v>
      </c>
      <c r="X176">
        <v>838166</v>
      </c>
      <c r="Y176" t="s">
        <v>374</v>
      </c>
      <c r="Z176" t="s">
        <v>103</v>
      </c>
      <c r="AA176" t="e">
        <f ca="1">- checked _xludf.and cleaned cartridge bay, plunger rod, _xludf.filter
- generated reports
- performed self test</f>
        <v>#NAME?</v>
      </c>
      <c r="AB176" t="s">
        <v>181</v>
      </c>
      <c r="AG176" t="s">
        <v>1772</v>
      </c>
      <c r="AH176" t="s">
        <v>1773</v>
      </c>
      <c r="AI176" t="s">
        <v>1774</v>
      </c>
    </row>
    <row r="177" spans="2:35" ht="409.5">
      <c r="B177" s="1">
        <v>46098</v>
      </c>
      <c r="C177" s="1">
        <v>46098</v>
      </c>
      <c r="D177" t="s">
        <v>1351</v>
      </c>
      <c r="E177" t="s">
        <v>1775</v>
      </c>
      <c r="F177">
        <v>3</v>
      </c>
      <c r="G177" t="s">
        <v>284</v>
      </c>
      <c r="H177" t="s">
        <v>39</v>
      </c>
      <c r="I177" t="s">
        <v>40</v>
      </c>
      <c r="J177" s="2" t="s">
        <v>62</v>
      </c>
      <c r="K177" t="s">
        <v>42</v>
      </c>
      <c r="L177" t="s">
        <v>135</v>
      </c>
      <c r="N177" t="s">
        <v>136</v>
      </c>
      <c r="Q177">
        <v>32371</v>
      </c>
      <c r="R177" t="s">
        <v>45</v>
      </c>
      <c r="S177" t="s">
        <v>285</v>
      </c>
      <c r="T177">
        <v>25</v>
      </c>
      <c r="W177" t="s">
        <v>138</v>
      </c>
      <c r="X177">
        <v>831878</v>
      </c>
      <c r="Y177" t="s">
        <v>1751</v>
      </c>
      <c r="Z177" s="2" t="s">
        <v>1752</v>
      </c>
      <c r="AA177" s="2" t="s">
        <v>1753</v>
      </c>
      <c r="AB177" s="2" t="s">
        <v>1776</v>
      </c>
      <c r="AG177" t="s">
        <v>1777</v>
      </c>
      <c r="AH177" t="s">
        <v>290</v>
      </c>
      <c r="AI177" t="s">
        <v>1778</v>
      </c>
    </row>
    <row r="178" spans="2:35">
      <c r="B178" s="1">
        <v>46098</v>
      </c>
      <c r="C178" s="1">
        <v>46098</v>
      </c>
      <c r="D178" t="s">
        <v>1779</v>
      </c>
      <c r="E178" t="s">
        <v>1780</v>
      </c>
      <c r="F178">
        <v>3</v>
      </c>
      <c r="G178" t="s">
        <v>174</v>
      </c>
      <c r="H178" t="s">
        <v>39</v>
      </c>
      <c r="I178" t="s">
        <v>40</v>
      </c>
      <c r="J178" t="s">
        <v>525</v>
      </c>
      <c r="K178" t="s">
        <v>42</v>
      </c>
      <c r="L178" t="s">
        <v>175</v>
      </c>
      <c r="N178" t="s">
        <v>176</v>
      </c>
      <c r="Q178">
        <v>32370</v>
      </c>
      <c r="R178" t="s">
        <v>45</v>
      </c>
      <c r="S178" t="s">
        <v>1781</v>
      </c>
      <c r="T178">
        <v>25</v>
      </c>
      <c r="W178" t="s">
        <v>84</v>
      </c>
      <c r="X178">
        <v>814161</v>
      </c>
      <c r="Y178" t="s">
        <v>1782</v>
      </c>
      <c r="Z178" t="s">
        <v>1783</v>
      </c>
      <c r="AA178" t="e">
        <f ca="1">- checked module door
- generated reports
- performed self test</f>
        <v>#NAME?</v>
      </c>
      <c r="AB178" t="s">
        <v>181</v>
      </c>
      <c r="AG178" t="s">
        <v>1784</v>
      </c>
      <c r="AH178" t="s">
        <v>1785</v>
      </c>
      <c r="AI178" t="s">
        <v>1786</v>
      </c>
    </row>
    <row r="179" spans="2:35" ht="330">
      <c r="B179" s="1">
        <v>46098</v>
      </c>
      <c r="C179" s="1">
        <v>46098</v>
      </c>
      <c r="D179" t="s">
        <v>1787</v>
      </c>
      <c r="E179" t="s">
        <v>1788</v>
      </c>
      <c r="F179">
        <v>8</v>
      </c>
      <c r="G179" t="s">
        <v>1789</v>
      </c>
      <c r="H179" t="s">
        <v>1498</v>
      </c>
      <c r="I179" t="s">
        <v>40</v>
      </c>
      <c r="J179" s="2" t="s">
        <v>41</v>
      </c>
      <c r="K179" t="s">
        <v>42</v>
      </c>
      <c r="L179" t="s">
        <v>343</v>
      </c>
      <c r="N179" t="s">
        <v>344</v>
      </c>
      <c r="Q179">
        <v>32369</v>
      </c>
      <c r="R179" t="s">
        <v>45</v>
      </c>
      <c r="S179" t="s">
        <v>1790</v>
      </c>
      <c r="T179">
        <v>23</v>
      </c>
      <c r="U179" s="2" t="s">
        <v>1791</v>
      </c>
      <c r="W179" t="s">
        <v>1792</v>
      </c>
      <c r="X179">
        <v>110020264</v>
      </c>
      <c r="Y179" t="s">
        <v>1793</v>
      </c>
      <c r="Z179" s="2" t="s">
        <v>1794</v>
      </c>
      <c r="AA179" t="e">
        <f ca="1">-module Replacement
-Preventive Maintenance</f>
        <v>#NAME?</v>
      </c>
      <c r="AB179" t="s">
        <v>1795</v>
      </c>
      <c r="AG179" t="s">
        <v>1796</v>
      </c>
      <c r="AH179" t="s">
        <v>1797</v>
      </c>
      <c r="AI179" t="s">
        <v>1798</v>
      </c>
    </row>
    <row r="180" spans="2:35" ht="405">
      <c r="B180" s="1">
        <v>46098</v>
      </c>
      <c r="C180" s="1">
        <v>46098</v>
      </c>
      <c r="D180" t="s">
        <v>1799</v>
      </c>
      <c r="E180" t="s">
        <v>1800</v>
      </c>
      <c r="F180">
        <v>3</v>
      </c>
      <c r="G180" t="s">
        <v>284</v>
      </c>
      <c r="H180" t="s">
        <v>39</v>
      </c>
      <c r="I180" t="s">
        <v>40</v>
      </c>
      <c r="J180" s="2" t="s">
        <v>62</v>
      </c>
      <c r="K180" t="s">
        <v>42</v>
      </c>
      <c r="L180" t="s">
        <v>135</v>
      </c>
      <c r="N180" t="s">
        <v>136</v>
      </c>
      <c r="Q180">
        <v>32368</v>
      </c>
      <c r="R180" t="s">
        <v>45</v>
      </c>
      <c r="S180" t="s">
        <v>1801</v>
      </c>
      <c r="T180">
        <v>26</v>
      </c>
      <c r="W180" t="s">
        <v>138</v>
      </c>
      <c r="X180">
        <v>831645</v>
      </c>
      <c r="Y180" t="s">
        <v>1751</v>
      </c>
      <c r="Z180" s="2" t="s">
        <v>1752</v>
      </c>
      <c r="AA180" s="2" t="s">
        <v>1802</v>
      </c>
      <c r="AB180" s="2" t="s">
        <v>1803</v>
      </c>
      <c r="AG180" t="s">
        <v>1804</v>
      </c>
      <c r="AH180" t="s">
        <v>1805</v>
      </c>
      <c r="AI180" t="s">
        <v>1806</v>
      </c>
    </row>
    <row r="181" spans="2:35" ht="150">
      <c r="B181" s="1">
        <v>46097</v>
      </c>
      <c r="C181" s="1">
        <v>46097</v>
      </c>
      <c r="D181" t="s">
        <v>1807</v>
      </c>
      <c r="E181" t="s">
        <v>718</v>
      </c>
      <c r="F181">
        <v>6</v>
      </c>
      <c r="G181" t="s">
        <v>1234</v>
      </c>
      <c r="H181" t="s">
        <v>258</v>
      </c>
      <c r="I181" t="s">
        <v>94</v>
      </c>
      <c r="J181" s="2" t="s">
        <v>1808</v>
      </c>
      <c r="K181" t="s">
        <v>42</v>
      </c>
      <c r="L181" t="s">
        <v>594</v>
      </c>
      <c r="N181" t="s">
        <v>595</v>
      </c>
      <c r="O181" t="s">
        <v>595</v>
      </c>
      <c r="Q181">
        <v>32367</v>
      </c>
      <c r="R181" t="s">
        <v>45</v>
      </c>
      <c r="S181" t="s">
        <v>1809</v>
      </c>
      <c r="T181">
        <v>24</v>
      </c>
      <c r="V181" s="1">
        <v>46097</v>
      </c>
      <c r="W181" t="s">
        <v>597</v>
      </c>
      <c r="X181">
        <v>847222</v>
      </c>
      <c r="Y181" t="s">
        <v>1810</v>
      </c>
      <c r="Z181" s="2" t="s">
        <v>1811</v>
      </c>
      <c r="AA181" t="s">
        <v>1812</v>
      </c>
      <c r="AB181" t="s">
        <v>1813</v>
      </c>
      <c r="AG181" t="s">
        <v>1814</v>
      </c>
      <c r="AH181" t="s">
        <v>1815</v>
      </c>
      <c r="AI181" t="s">
        <v>1816</v>
      </c>
    </row>
    <row r="182" spans="2:35" ht="105">
      <c r="B182" s="1">
        <v>46097</v>
      </c>
      <c r="C182" s="1">
        <v>46097</v>
      </c>
      <c r="D182" t="s">
        <v>1817</v>
      </c>
      <c r="E182" t="s">
        <v>1555</v>
      </c>
      <c r="F182">
        <v>7</v>
      </c>
      <c r="G182" t="s">
        <v>432</v>
      </c>
      <c r="H182" t="s">
        <v>39</v>
      </c>
      <c r="I182" t="s">
        <v>40</v>
      </c>
      <c r="J182" s="2" t="s">
        <v>1370</v>
      </c>
      <c r="K182" t="s">
        <v>42</v>
      </c>
      <c r="L182" t="s">
        <v>433</v>
      </c>
      <c r="N182" t="s">
        <v>434</v>
      </c>
      <c r="Q182">
        <v>32366</v>
      </c>
      <c r="R182" t="s">
        <v>45</v>
      </c>
      <c r="S182" t="s">
        <v>1818</v>
      </c>
      <c r="T182">
        <v>26</v>
      </c>
      <c r="W182" t="s">
        <v>1819</v>
      </c>
      <c r="X182">
        <v>120000133</v>
      </c>
      <c r="Y182" t="s">
        <v>1820</v>
      </c>
      <c r="Z182" s="2" t="s">
        <v>1821</v>
      </c>
      <c r="AA182" s="2" t="s">
        <v>1821</v>
      </c>
      <c r="AB182" t="s">
        <v>441</v>
      </c>
      <c r="AG182" t="s">
        <v>1822</v>
      </c>
      <c r="AH182" t="s">
        <v>1823</v>
      </c>
      <c r="AI182" t="s">
        <v>1824</v>
      </c>
    </row>
    <row r="183" spans="2:35" ht="120">
      <c r="B183" s="1">
        <v>46097</v>
      </c>
      <c r="C183" s="1">
        <v>46097</v>
      </c>
      <c r="D183" t="s">
        <v>1825</v>
      </c>
      <c r="E183" t="s">
        <v>1826</v>
      </c>
      <c r="F183">
        <v>7</v>
      </c>
      <c r="G183" t="s">
        <v>432</v>
      </c>
      <c r="H183" t="s">
        <v>39</v>
      </c>
      <c r="I183" t="s">
        <v>40</v>
      </c>
      <c r="J183" s="2" t="s">
        <v>41</v>
      </c>
      <c r="K183" t="s">
        <v>42</v>
      </c>
      <c r="L183" t="s">
        <v>433</v>
      </c>
      <c r="N183" t="s">
        <v>434</v>
      </c>
      <c r="Q183">
        <v>32365</v>
      </c>
      <c r="R183" t="s">
        <v>45</v>
      </c>
      <c r="S183" t="s">
        <v>1818</v>
      </c>
      <c r="T183">
        <v>26</v>
      </c>
      <c r="W183" t="s">
        <v>1827</v>
      </c>
      <c r="X183">
        <v>120000180</v>
      </c>
      <c r="Y183" t="s">
        <v>1828</v>
      </c>
      <c r="Z183" s="2" t="s">
        <v>1829</v>
      </c>
      <c r="AA183" s="2" t="s">
        <v>1829</v>
      </c>
      <c r="AB183" t="s">
        <v>441</v>
      </c>
      <c r="AG183" t="s">
        <v>1830</v>
      </c>
      <c r="AH183" t="s">
        <v>1823</v>
      </c>
      <c r="AI183" t="s">
        <v>1831</v>
      </c>
    </row>
    <row r="184" spans="2:35" ht="165">
      <c r="B184" s="1">
        <v>46097</v>
      </c>
      <c r="C184" s="1">
        <v>46097</v>
      </c>
      <c r="D184" t="s">
        <v>1832</v>
      </c>
      <c r="E184" t="s">
        <v>718</v>
      </c>
      <c r="F184">
        <v>6</v>
      </c>
      <c r="G184" t="s">
        <v>1234</v>
      </c>
      <c r="H184" t="s">
        <v>258</v>
      </c>
      <c r="I184" t="s">
        <v>94</v>
      </c>
      <c r="J184" s="2" t="s">
        <v>1808</v>
      </c>
      <c r="K184" t="s">
        <v>42</v>
      </c>
      <c r="L184" t="s">
        <v>594</v>
      </c>
      <c r="N184" t="s">
        <v>595</v>
      </c>
      <c r="O184" t="s">
        <v>595</v>
      </c>
      <c r="Q184">
        <v>32364</v>
      </c>
      <c r="R184" t="s">
        <v>45</v>
      </c>
      <c r="S184" t="s">
        <v>1833</v>
      </c>
      <c r="T184">
        <v>24</v>
      </c>
      <c r="W184" t="s">
        <v>597</v>
      </c>
      <c r="X184">
        <v>805093</v>
      </c>
      <c r="Y184" t="s">
        <v>1834</v>
      </c>
      <c r="Z184" s="2" t="s">
        <v>1835</v>
      </c>
      <c r="AA184" t="s">
        <v>1836</v>
      </c>
      <c r="AB184" t="s">
        <v>1813</v>
      </c>
      <c r="AG184" t="s">
        <v>1837</v>
      </c>
      <c r="AH184" t="s">
        <v>1838</v>
      </c>
      <c r="AI184" t="s">
        <v>1839</v>
      </c>
    </row>
    <row r="185" spans="2:35" ht="210">
      <c r="B185" s="1">
        <v>46097</v>
      </c>
      <c r="C185" s="1">
        <v>46090</v>
      </c>
      <c r="D185" t="s">
        <v>1442</v>
      </c>
      <c r="E185" t="s">
        <v>1443</v>
      </c>
      <c r="F185">
        <v>7</v>
      </c>
      <c r="G185" t="s">
        <v>432</v>
      </c>
      <c r="H185" t="s">
        <v>608</v>
      </c>
      <c r="I185" t="s">
        <v>94</v>
      </c>
      <c r="J185" t="s">
        <v>79</v>
      </c>
      <c r="K185" t="s">
        <v>42</v>
      </c>
      <c r="L185" t="s">
        <v>610</v>
      </c>
      <c r="N185" t="s">
        <v>611</v>
      </c>
      <c r="O185" t="s">
        <v>1445</v>
      </c>
      <c r="Q185">
        <v>32363</v>
      </c>
      <c r="R185" t="s">
        <v>45</v>
      </c>
      <c r="S185" t="s">
        <v>1445</v>
      </c>
      <c r="T185">
        <v>23</v>
      </c>
      <c r="U185" s="2" t="s">
        <v>1840</v>
      </c>
      <c r="W185" t="s">
        <v>360</v>
      </c>
      <c r="X185">
        <v>808638</v>
      </c>
      <c r="Y185" t="s">
        <v>1841</v>
      </c>
      <c r="Z185" s="2" t="s">
        <v>1842</v>
      </c>
      <c r="AA185" s="2" t="s">
        <v>1842</v>
      </c>
      <c r="AB185" t="s">
        <v>1843</v>
      </c>
      <c r="AC185" t="s">
        <v>1443</v>
      </c>
      <c r="AE185" t="s">
        <v>1451</v>
      </c>
      <c r="AG185" t="s">
        <v>1844</v>
      </c>
      <c r="AH185" t="s">
        <v>1453</v>
      </c>
      <c r="AI185" t="s">
        <v>1845</v>
      </c>
    </row>
    <row r="186" spans="2:35" ht="330">
      <c r="B186" s="1">
        <v>46097</v>
      </c>
      <c r="C186" s="1">
        <v>46094</v>
      </c>
      <c r="D186" t="s">
        <v>1846</v>
      </c>
      <c r="E186" t="s">
        <v>1847</v>
      </c>
      <c r="F186">
        <v>7</v>
      </c>
      <c r="G186" t="s">
        <v>432</v>
      </c>
      <c r="H186" t="s">
        <v>608</v>
      </c>
      <c r="I186" t="s">
        <v>94</v>
      </c>
      <c r="J186" s="2" t="s">
        <v>1848</v>
      </c>
      <c r="K186" t="s">
        <v>42</v>
      </c>
      <c r="L186" t="s">
        <v>610</v>
      </c>
      <c r="N186" t="s">
        <v>611</v>
      </c>
      <c r="Q186">
        <v>32362</v>
      </c>
      <c r="R186" t="s">
        <v>45</v>
      </c>
      <c r="S186" t="s">
        <v>1849</v>
      </c>
      <c r="T186">
        <v>24</v>
      </c>
      <c r="U186" s="2" t="s">
        <v>1840</v>
      </c>
      <c r="W186" t="s">
        <v>360</v>
      </c>
      <c r="X186">
        <v>838564</v>
      </c>
      <c r="Y186" t="s">
        <v>1850</v>
      </c>
      <c r="Z186" s="2" t="s">
        <v>1851</v>
      </c>
      <c r="AA186" s="2" t="s">
        <v>1842</v>
      </c>
      <c r="AB186" t="s">
        <v>1843</v>
      </c>
      <c r="AG186" t="s">
        <v>1852</v>
      </c>
      <c r="AH186" t="s">
        <v>1853</v>
      </c>
      <c r="AI186" t="s">
        <v>1854</v>
      </c>
    </row>
    <row r="187" spans="2:35">
      <c r="B187" s="1">
        <v>46097</v>
      </c>
      <c r="C187" s="1">
        <v>46097</v>
      </c>
      <c r="D187" t="s">
        <v>1855</v>
      </c>
      <c r="E187" t="s">
        <v>1856</v>
      </c>
      <c r="F187" t="s">
        <v>148</v>
      </c>
      <c r="G187" t="s">
        <v>447</v>
      </c>
      <c r="H187" t="s">
        <v>1857</v>
      </c>
      <c r="I187" t="s">
        <v>40</v>
      </c>
      <c r="J187" t="s">
        <v>79</v>
      </c>
      <c r="K187" t="s">
        <v>408</v>
      </c>
      <c r="L187" t="s">
        <v>448</v>
      </c>
      <c r="N187" t="s">
        <v>450</v>
      </c>
      <c r="O187" t="s">
        <v>650</v>
      </c>
      <c r="P187" t="s">
        <v>1858</v>
      </c>
      <c r="Q187">
        <v>32361</v>
      </c>
      <c r="R187" t="s">
        <v>322</v>
      </c>
      <c r="S187" t="s">
        <v>650</v>
      </c>
      <c r="T187">
        <v>26</v>
      </c>
      <c r="V187" s="1">
        <v>46097</v>
      </c>
      <c r="W187" t="s">
        <v>1859</v>
      </c>
      <c r="X187" t="s">
        <v>1860</v>
      </c>
      <c r="Y187" t="s">
        <v>1861</v>
      </c>
      <c r="Z187" t="s">
        <v>1862</v>
      </c>
      <c r="AA187" t="s">
        <v>914</v>
      </c>
      <c r="AB187" t="s">
        <v>486</v>
      </c>
      <c r="AD187" t="s">
        <v>1863</v>
      </c>
      <c r="AE187" t="s">
        <v>449</v>
      </c>
      <c r="AG187" t="s">
        <v>1864</v>
      </c>
      <c r="AH187" t="s">
        <v>1855</v>
      </c>
      <c r="AI187" t="s">
        <v>1865</v>
      </c>
    </row>
    <row r="188" spans="2:35" ht="60">
      <c r="B188" s="1">
        <v>46097</v>
      </c>
      <c r="C188" s="1">
        <v>46097</v>
      </c>
      <c r="D188" t="s">
        <v>1855</v>
      </c>
      <c r="E188" t="s">
        <v>1866</v>
      </c>
      <c r="F188" t="s">
        <v>148</v>
      </c>
      <c r="G188" t="s">
        <v>447</v>
      </c>
      <c r="H188" t="s">
        <v>1855</v>
      </c>
      <c r="I188" t="s">
        <v>40</v>
      </c>
      <c r="J188" s="2" t="s">
        <v>760</v>
      </c>
      <c r="K188" t="s">
        <v>408</v>
      </c>
      <c r="L188" t="s">
        <v>448</v>
      </c>
      <c r="N188" t="s">
        <v>450</v>
      </c>
      <c r="O188" t="s">
        <v>650</v>
      </c>
      <c r="P188" t="s">
        <v>1867</v>
      </c>
      <c r="Q188">
        <v>32360</v>
      </c>
      <c r="R188" t="s">
        <v>322</v>
      </c>
      <c r="S188" t="s">
        <v>650</v>
      </c>
      <c r="T188">
        <v>26</v>
      </c>
      <c r="V188" s="1">
        <v>46097</v>
      </c>
      <c r="W188" t="s">
        <v>1868</v>
      </c>
      <c r="X188" t="s">
        <v>1869</v>
      </c>
      <c r="Y188" t="s">
        <v>1870</v>
      </c>
      <c r="Z188" t="s">
        <v>1871</v>
      </c>
      <c r="AA188" t="s">
        <v>1872</v>
      </c>
      <c r="AB188" t="s">
        <v>486</v>
      </c>
      <c r="AD188" t="s">
        <v>1873</v>
      </c>
      <c r="AE188" t="s">
        <v>449</v>
      </c>
      <c r="AG188" t="s">
        <v>1874</v>
      </c>
      <c r="AH188" t="s">
        <v>1875</v>
      </c>
      <c r="AI188" t="s">
        <v>1876</v>
      </c>
    </row>
    <row r="189" spans="2:35" ht="60">
      <c r="B189" s="1">
        <v>46097</v>
      </c>
      <c r="C189" s="1">
        <v>46097</v>
      </c>
      <c r="D189" t="s">
        <v>1855</v>
      </c>
      <c r="E189" t="s">
        <v>1877</v>
      </c>
      <c r="F189" t="s">
        <v>148</v>
      </c>
      <c r="G189" t="s">
        <v>447</v>
      </c>
      <c r="H189" t="s">
        <v>1855</v>
      </c>
      <c r="I189" t="s">
        <v>40</v>
      </c>
      <c r="J189" t="s">
        <v>79</v>
      </c>
      <c r="K189" t="s">
        <v>408</v>
      </c>
      <c r="L189" t="s">
        <v>448</v>
      </c>
      <c r="N189" t="s">
        <v>450</v>
      </c>
      <c r="O189" t="s">
        <v>650</v>
      </c>
      <c r="P189" t="s">
        <v>1867</v>
      </c>
      <c r="Q189">
        <v>32359</v>
      </c>
      <c r="R189" t="s">
        <v>322</v>
      </c>
      <c r="S189" t="s">
        <v>650</v>
      </c>
      <c r="T189">
        <v>26</v>
      </c>
      <c r="V189" s="1">
        <v>46097</v>
      </c>
      <c r="W189" t="s">
        <v>1878</v>
      </c>
      <c r="X189" t="s">
        <v>1879</v>
      </c>
      <c r="Y189" s="2" t="s">
        <v>1880</v>
      </c>
      <c r="Z189" t="s">
        <v>1881</v>
      </c>
      <c r="AA189" t="s">
        <v>1882</v>
      </c>
      <c r="AB189" t="s">
        <v>486</v>
      </c>
      <c r="AD189" t="s">
        <v>1873</v>
      </c>
      <c r="AE189" t="s">
        <v>449</v>
      </c>
      <c r="AG189" t="s">
        <v>1883</v>
      </c>
      <c r="AH189" t="s">
        <v>1855</v>
      </c>
      <c r="AI189" t="s">
        <v>1884</v>
      </c>
    </row>
    <row r="190" spans="2:35" ht="285">
      <c r="B190" s="1">
        <v>46097</v>
      </c>
      <c r="C190" s="1">
        <v>46094</v>
      </c>
      <c r="D190" t="s">
        <v>1885</v>
      </c>
      <c r="E190" t="s">
        <v>1886</v>
      </c>
      <c r="F190" t="s">
        <v>1255</v>
      </c>
      <c r="G190" t="s">
        <v>1887</v>
      </c>
      <c r="H190" t="s">
        <v>202</v>
      </c>
      <c r="I190" t="s">
        <v>40</v>
      </c>
      <c r="J190" s="2" t="s">
        <v>355</v>
      </c>
      <c r="K190" t="s">
        <v>42</v>
      </c>
      <c r="L190" t="s">
        <v>204</v>
      </c>
      <c r="N190" t="s">
        <v>205</v>
      </c>
      <c r="Q190">
        <v>32358</v>
      </c>
      <c r="R190" t="s">
        <v>45</v>
      </c>
      <c r="S190" t="s">
        <v>1888</v>
      </c>
      <c r="T190">
        <v>25.6</v>
      </c>
      <c r="U190" s="2" t="s">
        <v>1889</v>
      </c>
      <c r="W190" t="s">
        <v>1890</v>
      </c>
      <c r="X190">
        <v>839307</v>
      </c>
      <c r="Y190" t="s">
        <v>1891</v>
      </c>
      <c r="Z190" s="2" t="s">
        <v>1892</v>
      </c>
      <c r="AA190" t="s">
        <v>1893</v>
      </c>
      <c r="AB190" t="s">
        <v>1894</v>
      </c>
      <c r="AC190" t="s">
        <v>1895</v>
      </c>
      <c r="AG190" t="s">
        <v>1896</v>
      </c>
      <c r="AH190" t="s">
        <v>1897</v>
      </c>
      <c r="AI190" t="s">
        <v>1898</v>
      </c>
    </row>
    <row r="191" spans="2:35" ht="375">
      <c r="B191" s="1">
        <v>46097</v>
      </c>
      <c r="C191" s="1">
        <v>46094</v>
      </c>
      <c r="D191" t="s">
        <v>1885</v>
      </c>
      <c r="E191" t="s">
        <v>1886</v>
      </c>
      <c r="F191" t="s">
        <v>1255</v>
      </c>
      <c r="G191" t="s">
        <v>1887</v>
      </c>
      <c r="H191" t="s">
        <v>202</v>
      </c>
      <c r="I191" t="s">
        <v>40</v>
      </c>
      <c r="J191" s="2" t="s">
        <v>1899</v>
      </c>
      <c r="K191" t="s">
        <v>42</v>
      </c>
      <c r="L191" t="s">
        <v>204</v>
      </c>
      <c r="N191" t="s">
        <v>205</v>
      </c>
      <c r="Q191">
        <v>32357</v>
      </c>
      <c r="R191" t="s">
        <v>45</v>
      </c>
      <c r="S191" t="s">
        <v>1888</v>
      </c>
      <c r="T191">
        <v>25.7</v>
      </c>
      <c r="U191" s="2" t="s">
        <v>1900</v>
      </c>
      <c r="W191" t="s">
        <v>208</v>
      </c>
      <c r="X191">
        <v>807607</v>
      </c>
      <c r="Y191" t="s">
        <v>1901</v>
      </c>
      <c r="Z191" s="2" t="s">
        <v>1902</v>
      </c>
      <c r="AA191" t="s">
        <v>1903</v>
      </c>
      <c r="AB191" s="2" t="s">
        <v>1904</v>
      </c>
      <c r="AG191" t="s">
        <v>1905</v>
      </c>
      <c r="AH191" t="s">
        <v>1897</v>
      </c>
      <c r="AI191" t="s">
        <v>1906</v>
      </c>
    </row>
    <row r="192" spans="2:35" ht="120">
      <c r="B192" s="1">
        <v>46097</v>
      </c>
      <c r="C192" s="1">
        <v>46094</v>
      </c>
      <c r="D192" t="s">
        <v>1907</v>
      </c>
      <c r="E192" t="s">
        <v>1908</v>
      </c>
      <c r="F192">
        <v>1</v>
      </c>
      <c r="G192" t="s">
        <v>1909</v>
      </c>
      <c r="H192" t="s">
        <v>61</v>
      </c>
      <c r="I192" t="s">
        <v>40</v>
      </c>
      <c r="J192" t="s">
        <v>79</v>
      </c>
      <c r="K192" t="s">
        <v>42</v>
      </c>
      <c r="L192" t="s">
        <v>1048</v>
      </c>
      <c r="N192" t="s">
        <v>1049</v>
      </c>
      <c r="O192" t="s">
        <v>1910</v>
      </c>
      <c r="Q192">
        <v>32356</v>
      </c>
      <c r="R192" t="s">
        <v>45</v>
      </c>
      <c r="S192" t="s">
        <v>1911</v>
      </c>
      <c r="T192">
        <v>24</v>
      </c>
      <c r="V192" s="1">
        <v>46094</v>
      </c>
      <c r="W192" t="s">
        <v>1912</v>
      </c>
      <c r="X192">
        <v>707524</v>
      </c>
      <c r="Y192" t="s">
        <v>1913</v>
      </c>
      <c r="Z192" t="s">
        <v>1914</v>
      </c>
      <c r="AA192" t="s">
        <v>1914</v>
      </c>
      <c r="AB192" s="2" t="s">
        <v>1915</v>
      </c>
      <c r="AD192" t="s">
        <v>1916</v>
      </c>
      <c r="AE192" t="s">
        <v>103</v>
      </c>
      <c r="AG192" t="s">
        <v>1917</v>
      </c>
      <c r="AH192" t="s">
        <v>1918</v>
      </c>
      <c r="AI192" t="s">
        <v>1919</v>
      </c>
    </row>
    <row r="193" spans="2:35" ht="330">
      <c r="B193" s="1">
        <v>46097</v>
      </c>
      <c r="C193" s="1">
        <v>46093</v>
      </c>
      <c r="D193" t="s">
        <v>1920</v>
      </c>
      <c r="E193" t="s">
        <v>1921</v>
      </c>
      <c r="F193">
        <v>1</v>
      </c>
      <c r="G193" t="s">
        <v>1922</v>
      </c>
      <c r="H193" t="s">
        <v>39</v>
      </c>
      <c r="I193" t="s">
        <v>40</v>
      </c>
      <c r="J193" s="2" t="s">
        <v>41</v>
      </c>
      <c r="K193" t="s">
        <v>42</v>
      </c>
      <c r="L193" t="s">
        <v>1048</v>
      </c>
      <c r="N193" t="s">
        <v>1049</v>
      </c>
      <c r="Q193">
        <v>32355</v>
      </c>
      <c r="R193" t="s">
        <v>45</v>
      </c>
      <c r="S193" t="s">
        <v>1923</v>
      </c>
      <c r="T193">
        <v>25</v>
      </c>
      <c r="V193" s="1">
        <v>46093</v>
      </c>
      <c r="W193" t="s">
        <v>1424</v>
      </c>
      <c r="X193">
        <v>120000590</v>
      </c>
      <c r="Y193" t="s">
        <v>1924</v>
      </c>
      <c r="Z193" s="2" t="s">
        <v>1925</v>
      </c>
      <c r="AA193" t="s">
        <v>1926</v>
      </c>
      <c r="AB193" t="s">
        <v>1428</v>
      </c>
      <c r="AD193" t="s">
        <v>1927</v>
      </c>
      <c r="AE193" t="s">
        <v>103</v>
      </c>
      <c r="AG193" t="s">
        <v>1928</v>
      </c>
      <c r="AH193" t="s">
        <v>1929</v>
      </c>
      <c r="AI193" t="s">
        <v>1930</v>
      </c>
    </row>
    <row r="194" spans="2:35" ht="75">
      <c r="B194" s="1">
        <v>46097</v>
      </c>
      <c r="C194" s="1">
        <v>46093</v>
      </c>
      <c r="D194" t="s">
        <v>1931</v>
      </c>
      <c r="E194" t="s">
        <v>1932</v>
      </c>
      <c r="F194">
        <v>1</v>
      </c>
      <c r="G194" t="s">
        <v>1922</v>
      </c>
      <c r="H194" t="s">
        <v>39</v>
      </c>
      <c r="I194" t="s">
        <v>40</v>
      </c>
      <c r="J194" s="2" t="s">
        <v>190</v>
      </c>
      <c r="K194" t="s">
        <v>42</v>
      </c>
      <c r="L194" t="s">
        <v>1048</v>
      </c>
      <c r="N194" t="s">
        <v>1049</v>
      </c>
      <c r="Q194">
        <v>32354</v>
      </c>
      <c r="R194" t="s">
        <v>45</v>
      </c>
      <c r="S194" t="s">
        <v>1933</v>
      </c>
      <c r="T194">
        <v>27</v>
      </c>
      <c r="W194" t="s">
        <v>1051</v>
      </c>
      <c r="X194">
        <v>807585</v>
      </c>
      <c r="Y194" t="s">
        <v>1934</v>
      </c>
      <c r="Z194" t="e">
        <f ca="1">- cleaned cartridge Bays, plunger Rods _xludf.and I-CORE
- generated reports</f>
        <v>#NAME?</v>
      </c>
      <c r="AA194" t="s">
        <v>1935</v>
      </c>
      <c r="AB194" t="s">
        <v>1936</v>
      </c>
      <c r="AC194" t="s">
        <v>1937</v>
      </c>
      <c r="AG194" t="s">
        <v>1938</v>
      </c>
      <c r="AH194" t="s">
        <v>1939</v>
      </c>
      <c r="AI194" t="s">
        <v>1940</v>
      </c>
    </row>
    <row r="195" spans="2:35" ht="409.5">
      <c r="B195" s="1">
        <v>46097</v>
      </c>
      <c r="C195" s="1">
        <v>46093</v>
      </c>
      <c r="D195" t="s">
        <v>1941</v>
      </c>
      <c r="E195" t="s">
        <v>1942</v>
      </c>
      <c r="F195" t="s">
        <v>148</v>
      </c>
      <c r="G195" t="s">
        <v>310</v>
      </c>
      <c r="H195" t="s">
        <v>39</v>
      </c>
      <c r="I195" t="s">
        <v>40</v>
      </c>
      <c r="J195" s="2" t="s">
        <v>41</v>
      </c>
      <c r="K195" t="s">
        <v>42</v>
      </c>
      <c r="L195" t="s">
        <v>1943</v>
      </c>
      <c r="N195" t="s">
        <v>1944</v>
      </c>
      <c r="Q195">
        <v>32353</v>
      </c>
      <c r="R195" t="s">
        <v>45</v>
      </c>
      <c r="S195" t="s">
        <v>1945</v>
      </c>
      <c r="T195">
        <v>25</v>
      </c>
      <c r="W195" t="s">
        <v>84</v>
      </c>
      <c r="X195">
        <v>805060</v>
      </c>
      <c r="Y195" s="2" t="s">
        <v>1946</v>
      </c>
      <c r="Z195" t="s">
        <v>1947</v>
      </c>
      <c r="AA195" s="2" t="s">
        <v>1948</v>
      </c>
      <c r="AB195" t="s">
        <v>88</v>
      </c>
      <c r="AC195" t="s">
        <v>1949</v>
      </c>
      <c r="AG195" t="s">
        <v>1950</v>
      </c>
      <c r="AH195" t="s">
        <v>1951</v>
      </c>
      <c r="AI195" t="s">
        <v>1952</v>
      </c>
    </row>
    <row r="196" spans="2:35" ht="405">
      <c r="B196" s="1">
        <v>46097</v>
      </c>
      <c r="C196" s="1">
        <v>46092</v>
      </c>
      <c r="D196" t="s">
        <v>1953</v>
      </c>
      <c r="E196" t="s">
        <v>1954</v>
      </c>
      <c r="F196">
        <v>1</v>
      </c>
      <c r="G196" t="s">
        <v>1922</v>
      </c>
      <c r="H196" t="s">
        <v>1047</v>
      </c>
      <c r="I196" t="s">
        <v>40</v>
      </c>
      <c r="J196" s="2" t="s">
        <v>1544</v>
      </c>
      <c r="K196" t="s">
        <v>42</v>
      </c>
      <c r="L196" t="s">
        <v>1048</v>
      </c>
      <c r="N196" t="s">
        <v>1049</v>
      </c>
      <c r="Q196">
        <v>32352</v>
      </c>
      <c r="R196" t="s">
        <v>45</v>
      </c>
      <c r="S196" t="s">
        <v>1955</v>
      </c>
      <c r="T196">
        <v>26</v>
      </c>
      <c r="V196" s="1">
        <v>46092</v>
      </c>
      <c r="W196" t="s">
        <v>1051</v>
      </c>
      <c r="X196">
        <v>807578</v>
      </c>
      <c r="Y196" t="s">
        <v>1111</v>
      </c>
      <c r="Z196" s="2" t="s">
        <v>1956</v>
      </c>
      <c r="AA196" t="s">
        <v>999</v>
      </c>
      <c r="AB196" t="s">
        <v>1936</v>
      </c>
      <c r="AC196" t="s">
        <v>1957</v>
      </c>
      <c r="AD196" t="s">
        <v>1958</v>
      </c>
      <c r="AE196" t="s">
        <v>103</v>
      </c>
      <c r="AG196" t="s">
        <v>1959</v>
      </c>
      <c r="AH196" t="s">
        <v>1960</v>
      </c>
      <c r="AI196" t="s">
        <v>1961</v>
      </c>
    </row>
    <row r="197" spans="2:35" ht="210">
      <c r="B197" s="1">
        <v>46097</v>
      </c>
      <c r="C197" s="1">
        <v>46092</v>
      </c>
      <c r="D197" t="s">
        <v>1962</v>
      </c>
      <c r="E197" t="s">
        <v>1963</v>
      </c>
      <c r="F197" t="s">
        <v>148</v>
      </c>
      <c r="G197" t="s">
        <v>1964</v>
      </c>
      <c r="H197" t="s">
        <v>39</v>
      </c>
      <c r="I197" t="s">
        <v>40</v>
      </c>
      <c r="J197" t="s">
        <v>1965</v>
      </c>
      <c r="K197" t="s">
        <v>42</v>
      </c>
      <c r="L197" t="s">
        <v>1028</v>
      </c>
      <c r="N197" t="s">
        <v>1029</v>
      </c>
      <c r="Q197">
        <v>32350</v>
      </c>
      <c r="R197" t="s">
        <v>45</v>
      </c>
      <c r="S197" t="s">
        <v>1966</v>
      </c>
      <c r="T197">
        <v>25</v>
      </c>
      <c r="W197" t="s">
        <v>1967</v>
      </c>
      <c r="X197">
        <v>805113</v>
      </c>
      <c r="Y197" t="s">
        <v>1968</v>
      </c>
      <c r="Z197" t="s">
        <v>1969</v>
      </c>
      <c r="AA197" s="2" t="s">
        <v>1970</v>
      </c>
      <c r="AB197" s="2" t="s">
        <v>1971</v>
      </c>
      <c r="AC197" t="s">
        <v>1972</v>
      </c>
      <c r="AG197" t="s">
        <v>1973</v>
      </c>
      <c r="AH197" t="s">
        <v>1974</v>
      </c>
      <c r="AI197" t="s">
        <v>1975</v>
      </c>
    </row>
    <row r="198" spans="2:35" ht="270">
      <c r="B198" s="1">
        <v>46097</v>
      </c>
      <c r="C198" s="1">
        <v>46093</v>
      </c>
      <c r="D198" t="s">
        <v>919</v>
      </c>
      <c r="E198" t="s">
        <v>1976</v>
      </c>
      <c r="F198" t="s">
        <v>148</v>
      </c>
      <c r="G198" t="s">
        <v>310</v>
      </c>
      <c r="H198" t="s">
        <v>39</v>
      </c>
      <c r="I198" t="s">
        <v>40</v>
      </c>
      <c r="J198" t="s">
        <v>109</v>
      </c>
      <c r="K198" t="s">
        <v>42</v>
      </c>
      <c r="L198" t="s">
        <v>1028</v>
      </c>
      <c r="N198" t="s">
        <v>1029</v>
      </c>
      <c r="Q198">
        <v>32351</v>
      </c>
      <c r="R198" t="s">
        <v>95</v>
      </c>
      <c r="S198" t="s">
        <v>942</v>
      </c>
      <c r="T198">
        <v>23</v>
      </c>
      <c r="U198" s="2" t="s">
        <v>1977</v>
      </c>
      <c r="W198" t="s">
        <v>1967</v>
      </c>
      <c r="X198">
        <v>110000711</v>
      </c>
      <c r="Y198" t="s">
        <v>1978</v>
      </c>
      <c r="Z198" t="s">
        <v>1548</v>
      </c>
      <c r="AA198" s="2" t="s">
        <v>1979</v>
      </c>
      <c r="AB198" s="2" t="s">
        <v>1980</v>
      </c>
      <c r="AC198" t="s">
        <v>1981</v>
      </c>
      <c r="AG198" t="s">
        <v>1982</v>
      </c>
      <c r="AH198" t="s">
        <v>1983</v>
      </c>
      <c r="AI198" t="s">
        <v>1984</v>
      </c>
    </row>
    <row r="199" spans="2:35" ht="285">
      <c r="B199" s="1">
        <v>46097</v>
      </c>
      <c r="C199" s="1">
        <v>46092</v>
      </c>
      <c r="D199" t="s">
        <v>1985</v>
      </c>
      <c r="E199" t="s">
        <v>1986</v>
      </c>
      <c r="F199" t="s">
        <v>148</v>
      </c>
      <c r="G199" t="s">
        <v>1964</v>
      </c>
      <c r="H199" t="s">
        <v>39</v>
      </c>
      <c r="I199" t="s">
        <v>40</v>
      </c>
      <c r="J199" t="s">
        <v>1965</v>
      </c>
      <c r="K199" t="s">
        <v>42</v>
      </c>
      <c r="L199" t="s">
        <v>1028</v>
      </c>
      <c r="N199" t="s">
        <v>1029</v>
      </c>
      <c r="Q199">
        <v>32348</v>
      </c>
      <c r="R199" t="s">
        <v>45</v>
      </c>
      <c r="S199" t="s">
        <v>1987</v>
      </c>
      <c r="T199">
        <v>29</v>
      </c>
      <c r="U199" s="2" t="s">
        <v>1988</v>
      </c>
      <c r="W199" t="s">
        <v>1967</v>
      </c>
      <c r="X199">
        <v>838192</v>
      </c>
      <c r="Y199" t="s">
        <v>1989</v>
      </c>
      <c r="Z199" t="s">
        <v>1969</v>
      </c>
      <c r="AA199" s="2" t="s">
        <v>1970</v>
      </c>
      <c r="AB199" s="2" t="s">
        <v>1990</v>
      </c>
      <c r="AC199" t="s">
        <v>1991</v>
      </c>
      <c r="AG199" t="s">
        <v>1992</v>
      </c>
      <c r="AH199" t="s">
        <v>1993</v>
      </c>
      <c r="AI199" t="s">
        <v>1994</v>
      </c>
    </row>
    <row r="200" spans="2:35" ht="270">
      <c r="B200" s="1">
        <v>46097</v>
      </c>
      <c r="C200" s="1">
        <v>46092</v>
      </c>
      <c r="D200" t="s">
        <v>1995</v>
      </c>
      <c r="E200" t="s">
        <v>1996</v>
      </c>
      <c r="F200" t="s">
        <v>148</v>
      </c>
      <c r="G200" t="s">
        <v>1964</v>
      </c>
      <c r="H200" t="s">
        <v>39</v>
      </c>
      <c r="I200" t="s">
        <v>40</v>
      </c>
      <c r="J200" t="s">
        <v>1965</v>
      </c>
      <c r="K200" t="s">
        <v>42</v>
      </c>
      <c r="L200" t="s">
        <v>1028</v>
      </c>
      <c r="N200" t="s">
        <v>1029</v>
      </c>
      <c r="Q200">
        <v>32349</v>
      </c>
      <c r="R200" t="s">
        <v>45</v>
      </c>
      <c r="S200" t="s">
        <v>1997</v>
      </c>
      <c r="T200">
        <v>28</v>
      </c>
      <c r="U200" s="2" t="s">
        <v>1998</v>
      </c>
      <c r="W200" t="s">
        <v>1032</v>
      </c>
      <c r="X200">
        <v>110020387</v>
      </c>
      <c r="Y200" t="s">
        <v>1989</v>
      </c>
      <c r="Z200" t="s">
        <v>1969</v>
      </c>
      <c r="AA200" s="2" t="s">
        <v>1999</v>
      </c>
      <c r="AB200" s="2" t="s">
        <v>2000</v>
      </c>
      <c r="AC200" t="s">
        <v>2001</v>
      </c>
      <c r="AG200" t="s">
        <v>2002</v>
      </c>
      <c r="AH200" t="s">
        <v>2003</v>
      </c>
      <c r="AI200" t="s">
        <v>2004</v>
      </c>
    </row>
    <row r="201" spans="2:35" ht="409.5">
      <c r="B201" s="1">
        <v>46097</v>
      </c>
      <c r="C201" s="1">
        <v>46093</v>
      </c>
      <c r="D201" t="s">
        <v>2005</v>
      </c>
      <c r="E201" t="s">
        <v>2006</v>
      </c>
      <c r="F201" t="s">
        <v>148</v>
      </c>
      <c r="G201" t="s">
        <v>2007</v>
      </c>
      <c r="H201" t="s">
        <v>662</v>
      </c>
      <c r="I201" t="s">
        <v>40</v>
      </c>
      <c r="J201" t="s">
        <v>109</v>
      </c>
      <c r="K201" t="s">
        <v>42</v>
      </c>
      <c r="L201" t="s">
        <v>448</v>
      </c>
      <c r="N201" t="s">
        <v>450</v>
      </c>
      <c r="Q201">
        <v>32347</v>
      </c>
      <c r="R201" t="s">
        <v>95</v>
      </c>
      <c r="S201" t="s">
        <v>2008</v>
      </c>
      <c r="T201">
        <v>25</v>
      </c>
      <c r="U201" s="2" t="s">
        <v>2009</v>
      </c>
      <c r="W201" t="s">
        <v>2010</v>
      </c>
      <c r="X201">
        <v>110026448</v>
      </c>
      <c r="Y201" t="s">
        <v>485</v>
      </c>
      <c r="Z201" s="2" t="s">
        <v>2011</v>
      </c>
      <c r="AA201" t="s">
        <v>122</v>
      </c>
      <c r="AB201" t="s">
        <v>486</v>
      </c>
      <c r="AG201" t="s">
        <v>2012</v>
      </c>
      <c r="AH201" t="s">
        <v>2013</v>
      </c>
      <c r="AI201" t="s">
        <v>2014</v>
      </c>
    </row>
    <row r="202" spans="2:35" ht="409.5">
      <c r="B202" s="1">
        <v>46097</v>
      </c>
      <c r="C202" s="1">
        <v>46094</v>
      </c>
      <c r="D202" t="s">
        <v>1081</v>
      </c>
      <c r="E202" t="s">
        <v>1082</v>
      </c>
      <c r="F202" t="s">
        <v>148</v>
      </c>
      <c r="G202" t="s">
        <v>785</v>
      </c>
      <c r="H202" t="s">
        <v>39</v>
      </c>
      <c r="I202" t="s">
        <v>40</v>
      </c>
      <c r="J202" t="s">
        <v>109</v>
      </c>
      <c r="K202" t="s">
        <v>42</v>
      </c>
      <c r="L202" t="s">
        <v>43</v>
      </c>
      <c r="N202" t="s">
        <v>44</v>
      </c>
      <c r="O202" t="s">
        <v>2015</v>
      </c>
      <c r="Q202">
        <v>32346</v>
      </c>
      <c r="R202" t="s">
        <v>95</v>
      </c>
      <c r="S202" t="s">
        <v>2016</v>
      </c>
      <c r="T202">
        <v>22</v>
      </c>
      <c r="U202" s="2" t="s">
        <v>2017</v>
      </c>
      <c r="W202" t="s">
        <v>2018</v>
      </c>
      <c r="X202">
        <v>110015767</v>
      </c>
      <c r="Y202" t="s">
        <v>121</v>
      </c>
      <c r="Z202" t="s">
        <v>122</v>
      </c>
      <c r="AA202" s="2" t="s">
        <v>2019</v>
      </c>
      <c r="AB202" t="s">
        <v>2020</v>
      </c>
      <c r="AG202" t="s">
        <v>2021</v>
      </c>
      <c r="AH202" t="s">
        <v>2022</v>
      </c>
      <c r="AI202" t="s">
        <v>2023</v>
      </c>
    </row>
    <row r="203" spans="2:35" ht="105">
      <c r="B203" s="1">
        <v>46095</v>
      </c>
      <c r="C203" s="1">
        <v>46095</v>
      </c>
      <c r="D203" t="s">
        <v>2024</v>
      </c>
      <c r="E203" t="s">
        <v>2025</v>
      </c>
      <c r="F203">
        <v>8</v>
      </c>
      <c r="G203" t="s">
        <v>630</v>
      </c>
      <c r="H203" t="s">
        <v>39</v>
      </c>
      <c r="I203" t="s">
        <v>40</v>
      </c>
      <c r="J203" s="2" t="s">
        <v>1592</v>
      </c>
      <c r="K203" t="s">
        <v>42</v>
      </c>
      <c r="L203" t="s">
        <v>259</v>
      </c>
      <c r="N203" t="s">
        <v>260</v>
      </c>
      <c r="Q203">
        <v>32345</v>
      </c>
      <c r="R203" t="s">
        <v>45</v>
      </c>
      <c r="S203" t="s">
        <v>2026</v>
      </c>
      <c r="T203">
        <v>27</v>
      </c>
      <c r="U203" s="2" t="s">
        <v>2027</v>
      </c>
      <c r="V203" s="1">
        <v>46095</v>
      </c>
      <c r="W203" t="s">
        <v>597</v>
      </c>
      <c r="X203">
        <v>815271</v>
      </c>
      <c r="Y203" t="s">
        <v>2028</v>
      </c>
      <c r="Z203" t="e">
        <f ca="1">- performed Preventive Maintenance
- Troubleshoot CPU board
- Generate Data</f>
        <v>#NAME?</v>
      </c>
      <c r="AA203" t="e">
        <f ca="1">- Preventive Maintenance
- Troubleshooting</f>
        <v>#NAME?</v>
      </c>
      <c r="AB203" t="s">
        <v>181</v>
      </c>
      <c r="AG203" t="s">
        <v>2029</v>
      </c>
      <c r="AH203" t="s">
        <v>2030</v>
      </c>
      <c r="AI203" t="s">
        <v>2031</v>
      </c>
    </row>
    <row r="204" spans="2:35" ht="180">
      <c r="B204" s="1">
        <v>46094</v>
      </c>
      <c r="C204" s="1">
        <v>46094</v>
      </c>
      <c r="D204" t="s">
        <v>2032</v>
      </c>
      <c r="E204" t="s">
        <v>370</v>
      </c>
      <c r="F204" t="s">
        <v>148</v>
      </c>
      <c r="G204" t="s">
        <v>371</v>
      </c>
      <c r="H204" t="s">
        <v>39</v>
      </c>
      <c r="I204" t="s">
        <v>40</v>
      </c>
      <c r="J204" t="s">
        <v>79</v>
      </c>
      <c r="K204" t="s">
        <v>42</v>
      </c>
      <c r="L204" t="s">
        <v>175</v>
      </c>
      <c r="N204" t="s">
        <v>176</v>
      </c>
      <c r="Q204">
        <v>32344</v>
      </c>
      <c r="R204" t="s">
        <v>119</v>
      </c>
      <c r="S204" t="s">
        <v>2033</v>
      </c>
      <c r="T204">
        <v>27</v>
      </c>
      <c r="W204" t="s">
        <v>84</v>
      </c>
      <c r="X204">
        <v>831677</v>
      </c>
      <c r="Y204" t="s">
        <v>2034</v>
      </c>
      <c r="Z204" t="s">
        <v>712</v>
      </c>
      <c r="AA204" s="2" t="s">
        <v>2035</v>
      </c>
      <c r="AB204" t="s">
        <v>181</v>
      </c>
      <c r="AG204" t="s">
        <v>2036</v>
      </c>
      <c r="AH204" t="s">
        <v>2037</v>
      </c>
      <c r="AI204" t="s">
        <v>2038</v>
      </c>
    </row>
    <row r="205" spans="2:35" ht="225">
      <c r="B205" s="1">
        <v>46094</v>
      </c>
      <c r="C205" s="1">
        <v>46094</v>
      </c>
      <c r="D205" t="s">
        <v>1168</v>
      </c>
      <c r="E205" t="s">
        <v>1169</v>
      </c>
      <c r="F205" t="s">
        <v>148</v>
      </c>
      <c r="G205" t="s">
        <v>310</v>
      </c>
      <c r="H205" t="s">
        <v>39</v>
      </c>
      <c r="I205" t="s">
        <v>40</v>
      </c>
      <c r="J205" t="s">
        <v>79</v>
      </c>
      <c r="K205" t="s">
        <v>42</v>
      </c>
      <c r="L205" t="s">
        <v>857</v>
      </c>
      <c r="N205" t="s">
        <v>858</v>
      </c>
      <c r="Q205">
        <v>32343</v>
      </c>
      <c r="R205" t="s">
        <v>322</v>
      </c>
      <c r="S205" t="s">
        <v>859</v>
      </c>
      <c r="T205">
        <v>23</v>
      </c>
      <c r="V205" s="1">
        <v>46093</v>
      </c>
      <c r="W205" t="s">
        <v>860</v>
      </c>
      <c r="X205">
        <v>809643</v>
      </c>
      <c r="Y205" t="s">
        <v>2039</v>
      </c>
      <c r="Z205" t="s">
        <v>2040</v>
      </c>
      <c r="AA205" s="2" t="s">
        <v>2041</v>
      </c>
      <c r="AB205" t="s">
        <v>181</v>
      </c>
      <c r="AD205" s="2" t="s">
        <v>2042</v>
      </c>
      <c r="AE205" t="s">
        <v>2043</v>
      </c>
      <c r="AG205" t="s">
        <v>2044</v>
      </c>
      <c r="AH205" t="s">
        <v>866</v>
      </c>
      <c r="AI205" t="s">
        <v>2045</v>
      </c>
    </row>
    <row r="206" spans="2:35" ht="195">
      <c r="B206" s="1">
        <v>46094</v>
      </c>
      <c r="C206" s="1">
        <v>46094</v>
      </c>
      <c r="D206" t="s">
        <v>2046</v>
      </c>
      <c r="E206" t="s">
        <v>2047</v>
      </c>
      <c r="F206" t="s">
        <v>1181</v>
      </c>
      <c r="G206" t="s">
        <v>1182</v>
      </c>
      <c r="H206" t="s">
        <v>2048</v>
      </c>
      <c r="I206" t="s">
        <v>40</v>
      </c>
      <c r="J206" t="s">
        <v>109</v>
      </c>
      <c r="K206" t="s">
        <v>42</v>
      </c>
      <c r="L206" t="s">
        <v>409</v>
      </c>
      <c r="N206" t="s">
        <v>410</v>
      </c>
      <c r="Q206">
        <v>32342</v>
      </c>
      <c r="R206" t="s">
        <v>322</v>
      </c>
      <c r="S206" t="s">
        <v>2049</v>
      </c>
      <c r="T206">
        <v>20</v>
      </c>
      <c r="W206" t="s">
        <v>597</v>
      </c>
      <c r="X206">
        <v>832028</v>
      </c>
      <c r="Y206" t="s">
        <v>2050</v>
      </c>
      <c r="Z206" t="s">
        <v>301</v>
      </c>
      <c r="AA206" s="2" t="s">
        <v>2051</v>
      </c>
      <c r="AB206" t="s">
        <v>2052</v>
      </c>
      <c r="AG206" t="s">
        <v>2053</v>
      </c>
      <c r="AH206" t="s">
        <v>2054</v>
      </c>
      <c r="AI206" t="s">
        <v>2055</v>
      </c>
    </row>
    <row r="207" spans="2:35" ht="345">
      <c r="B207" s="1">
        <v>46094</v>
      </c>
      <c r="C207" s="1">
        <v>46093</v>
      </c>
      <c r="D207" t="s">
        <v>2056</v>
      </c>
      <c r="E207" t="s">
        <v>2057</v>
      </c>
      <c r="F207" t="s">
        <v>1181</v>
      </c>
      <c r="G207" t="s">
        <v>1182</v>
      </c>
      <c r="H207" t="s">
        <v>2058</v>
      </c>
      <c r="I207" t="s">
        <v>40</v>
      </c>
      <c r="J207" t="s">
        <v>109</v>
      </c>
      <c r="K207" t="s">
        <v>42</v>
      </c>
      <c r="L207" t="s">
        <v>409</v>
      </c>
      <c r="N207" t="s">
        <v>410</v>
      </c>
      <c r="Q207">
        <v>32341</v>
      </c>
      <c r="R207" t="s">
        <v>45</v>
      </c>
      <c r="S207" t="s">
        <v>2059</v>
      </c>
      <c r="T207">
        <v>24</v>
      </c>
      <c r="W207" t="s">
        <v>423</v>
      </c>
      <c r="X207">
        <v>120000182</v>
      </c>
      <c r="Y207" t="s">
        <v>2060</v>
      </c>
      <c r="Z207" t="s">
        <v>301</v>
      </c>
      <c r="AA207" s="2" t="s">
        <v>2061</v>
      </c>
      <c r="AB207" t="s">
        <v>2062</v>
      </c>
      <c r="AG207" t="s">
        <v>2063</v>
      </c>
      <c r="AH207" t="s">
        <v>2064</v>
      </c>
      <c r="AI207" t="s">
        <v>2065</v>
      </c>
    </row>
    <row r="208" spans="2:35" ht="225">
      <c r="B208" s="1">
        <v>46094</v>
      </c>
      <c r="C208" s="1">
        <v>46094</v>
      </c>
      <c r="D208" t="s">
        <v>1614</v>
      </c>
      <c r="E208" t="s">
        <v>2066</v>
      </c>
      <c r="F208">
        <v>3</v>
      </c>
      <c r="G208" t="s">
        <v>174</v>
      </c>
      <c r="H208" t="s">
        <v>39</v>
      </c>
      <c r="I208" t="s">
        <v>40</v>
      </c>
      <c r="J208" t="s">
        <v>79</v>
      </c>
      <c r="K208" t="s">
        <v>42</v>
      </c>
      <c r="L208" t="s">
        <v>175</v>
      </c>
      <c r="N208" t="s">
        <v>176</v>
      </c>
      <c r="Q208">
        <v>32340</v>
      </c>
      <c r="R208" t="s">
        <v>45</v>
      </c>
      <c r="S208" t="s">
        <v>2067</v>
      </c>
      <c r="T208">
        <v>27</v>
      </c>
      <c r="W208" t="s">
        <v>84</v>
      </c>
      <c r="X208">
        <v>807620</v>
      </c>
      <c r="Y208" t="s">
        <v>2068</v>
      </c>
      <c r="Z208" t="s">
        <v>240</v>
      </c>
      <c r="AA208" s="2" t="s">
        <v>2069</v>
      </c>
      <c r="AB208" t="s">
        <v>181</v>
      </c>
      <c r="AG208" t="s">
        <v>2070</v>
      </c>
      <c r="AH208" t="s">
        <v>2071</v>
      </c>
      <c r="AI208" t="s">
        <v>2072</v>
      </c>
    </row>
    <row r="209" spans="2:35" ht="255">
      <c r="B209" s="1">
        <v>46094</v>
      </c>
      <c r="C209" s="1">
        <v>46094</v>
      </c>
      <c r="D209" t="s">
        <v>1081</v>
      </c>
      <c r="E209" t="s">
        <v>2073</v>
      </c>
      <c r="F209" t="s">
        <v>148</v>
      </c>
      <c r="G209" t="s">
        <v>785</v>
      </c>
      <c r="H209" t="s">
        <v>386</v>
      </c>
      <c r="I209" t="s">
        <v>40</v>
      </c>
      <c r="J209" t="s">
        <v>109</v>
      </c>
      <c r="K209" t="s">
        <v>387</v>
      </c>
      <c r="L209" t="s">
        <v>43</v>
      </c>
      <c r="N209" t="s">
        <v>44</v>
      </c>
      <c r="O209" t="s">
        <v>2015</v>
      </c>
      <c r="Q209">
        <v>32339</v>
      </c>
      <c r="R209" t="s">
        <v>95</v>
      </c>
      <c r="S209" t="s">
        <v>2074</v>
      </c>
      <c r="T209">
        <v>24</v>
      </c>
      <c r="W209" t="s">
        <v>390</v>
      </c>
      <c r="X209" t="s">
        <v>2075</v>
      </c>
      <c r="Y209" t="s">
        <v>121</v>
      </c>
      <c r="Z209" t="s">
        <v>122</v>
      </c>
      <c r="AA209" s="2" t="s">
        <v>2076</v>
      </c>
      <c r="AB209" t="s">
        <v>88</v>
      </c>
      <c r="AC209" t="s">
        <v>2077</v>
      </c>
      <c r="AG209" t="s">
        <v>2078</v>
      </c>
      <c r="AH209" t="s">
        <v>2079</v>
      </c>
      <c r="AI209" t="s">
        <v>2080</v>
      </c>
    </row>
    <row r="210" spans="2:35" ht="270">
      <c r="B210" s="1">
        <v>46094</v>
      </c>
      <c r="C210" s="1">
        <v>46094</v>
      </c>
      <c r="D210" t="s">
        <v>542</v>
      </c>
      <c r="E210" t="s">
        <v>552</v>
      </c>
      <c r="F210" t="s">
        <v>148</v>
      </c>
      <c r="G210" t="s">
        <v>544</v>
      </c>
      <c r="H210" t="s">
        <v>39</v>
      </c>
      <c r="I210" t="s">
        <v>40</v>
      </c>
      <c r="J210" s="2" t="s">
        <v>62</v>
      </c>
      <c r="K210" t="s">
        <v>42</v>
      </c>
      <c r="L210" t="s">
        <v>43</v>
      </c>
      <c r="N210" t="s">
        <v>44</v>
      </c>
      <c r="Q210">
        <v>32336</v>
      </c>
      <c r="R210" t="s">
        <v>45</v>
      </c>
      <c r="S210" t="s">
        <v>545</v>
      </c>
      <c r="T210">
        <v>24</v>
      </c>
      <c r="U210" s="2" t="s">
        <v>2081</v>
      </c>
      <c r="W210" t="s">
        <v>1032</v>
      </c>
      <c r="X210">
        <v>110020361</v>
      </c>
      <c r="Y210" t="s">
        <v>1111</v>
      </c>
      <c r="Z210" t="s">
        <v>1519</v>
      </c>
      <c r="AA210" s="2" t="s">
        <v>2082</v>
      </c>
      <c r="AB210" t="s">
        <v>2083</v>
      </c>
      <c r="AG210" t="s">
        <v>2084</v>
      </c>
      <c r="AH210" t="s">
        <v>2085</v>
      </c>
      <c r="AI210" t="s">
        <v>2086</v>
      </c>
    </row>
    <row r="211" spans="2:35" ht="405">
      <c r="B211" s="1">
        <v>46094</v>
      </c>
      <c r="C211" s="1">
        <v>46094</v>
      </c>
      <c r="D211" t="s">
        <v>542</v>
      </c>
      <c r="E211" t="s">
        <v>552</v>
      </c>
      <c r="F211" t="s">
        <v>148</v>
      </c>
      <c r="G211" t="s">
        <v>544</v>
      </c>
      <c r="H211" t="s">
        <v>39</v>
      </c>
      <c r="I211" t="s">
        <v>40</v>
      </c>
      <c r="J211" t="s">
        <v>109</v>
      </c>
      <c r="K211" t="s">
        <v>42</v>
      </c>
      <c r="L211" t="s">
        <v>43</v>
      </c>
      <c r="N211" t="s">
        <v>44</v>
      </c>
      <c r="Q211">
        <v>32338</v>
      </c>
      <c r="R211" t="s">
        <v>322</v>
      </c>
      <c r="S211" t="s">
        <v>545</v>
      </c>
      <c r="T211">
        <v>24</v>
      </c>
      <c r="U211" s="2" t="s">
        <v>2087</v>
      </c>
      <c r="W211" t="s">
        <v>153</v>
      </c>
      <c r="X211">
        <v>110024073</v>
      </c>
      <c r="Y211" t="s">
        <v>121</v>
      </c>
      <c r="Z211" t="s">
        <v>122</v>
      </c>
      <c r="AA211" s="2" t="s">
        <v>547</v>
      </c>
      <c r="AB211" t="s">
        <v>2088</v>
      </c>
      <c r="AG211" t="s">
        <v>2089</v>
      </c>
      <c r="AH211" t="s">
        <v>2085</v>
      </c>
      <c r="AI211" t="s">
        <v>2090</v>
      </c>
    </row>
    <row r="212" spans="2:35" ht="405">
      <c r="B212" s="1">
        <v>46094</v>
      </c>
      <c r="C212" s="1">
        <v>46094</v>
      </c>
      <c r="D212" t="s">
        <v>542</v>
      </c>
      <c r="E212" t="s">
        <v>552</v>
      </c>
      <c r="F212" t="s">
        <v>148</v>
      </c>
      <c r="G212" t="s">
        <v>544</v>
      </c>
      <c r="H212" t="s">
        <v>39</v>
      </c>
      <c r="I212" t="s">
        <v>40</v>
      </c>
      <c r="J212" t="s">
        <v>109</v>
      </c>
      <c r="K212" t="s">
        <v>42</v>
      </c>
      <c r="L212" t="s">
        <v>43</v>
      </c>
      <c r="N212" t="s">
        <v>44</v>
      </c>
      <c r="Q212">
        <v>32337</v>
      </c>
      <c r="R212" t="s">
        <v>322</v>
      </c>
      <c r="S212" t="s">
        <v>545</v>
      </c>
      <c r="T212">
        <v>22</v>
      </c>
      <c r="U212" s="2" t="s">
        <v>2091</v>
      </c>
      <c r="W212" t="s">
        <v>153</v>
      </c>
      <c r="X212">
        <v>110024072</v>
      </c>
      <c r="Y212" t="s">
        <v>121</v>
      </c>
      <c r="Z212" t="s">
        <v>122</v>
      </c>
      <c r="AA212" s="2" t="s">
        <v>2092</v>
      </c>
      <c r="AB212" t="s">
        <v>548</v>
      </c>
      <c r="AG212" t="s">
        <v>2093</v>
      </c>
      <c r="AH212" t="s">
        <v>2085</v>
      </c>
      <c r="AI212" t="s">
        <v>2094</v>
      </c>
    </row>
    <row r="213" spans="2:35" ht="409.5">
      <c r="B213" s="1">
        <v>46094</v>
      </c>
      <c r="C213" s="1">
        <v>46094</v>
      </c>
      <c r="D213" t="s">
        <v>2095</v>
      </c>
      <c r="E213" t="s">
        <v>2096</v>
      </c>
      <c r="F213" t="s">
        <v>37</v>
      </c>
      <c r="G213" t="s">
        <v>189</v>
      </c>
      <c r="H213" t="s">
        <v>295</v>
      </c>
      <c r="I213" t="s">
        <v>40</v>
      </c>
      <c r="J213" t="s">
        <v>109</v>
      </c>
      <c r="K213" t="s">
        <v>42</v>
      </c>
      <c r="L213" t="s">
        <v>1943</v>
      </c>
      <c r="N213" t="s">
        <v>1944</v>
      </c>
      <c r="O213" t="s">
        <v>2097</v>
      </c>
      <c r="Q213">
        <v>32335</v>
      </c>
      <c r="R213" t="s">
        <v>95</v>
      </c>
      <c r="S213" t="s">
        <v>2098</v>
      </c>
      <c r="T213">
        <v>25</v>
      </c>
      <c r="W213" t="s">
        <v>373</v>
      </c>
      <c r="X213">
        <v>120002889</v>
      </c>
      <c r="Y213" t="s">
        <v>2099</v>
      </c>
      <c r="Z213" t="s">
        <v>2100</v>
      </c>
      <c r="AA213" s="2" t="s">
        <v>2101</v>
      </c>
      <c r="AB213" t="s">
        <v>2102</v>
      </c>
      <c r="AG213" t="s">
        <v>2103</v>
      </c>
      <c r="AH213" t="s">
        <v>2104</v>
      </c>
      <c r="AI213" t="s">
        <v>2105</v>
      </c>
    </row>
    <row r="214" spans="2:35" ht="409.5">
      <c r="B214" s="1">
        <v>46094</v>
      </c>
      <c r="C214" s="1">
        <v>46094</v>
      </c>
      <c r="D214" t="s">
        <v>2106</v>
      </c>
      <c r="E214" t="s">
        <v>2107</v>
      </c>
      <c r="F214" t="s">
        <v>37</v>
      </c>
      <c r="G214" t="s">
        <v>189</v>
      </c>
      <c r="H214" t="s">
        <v>39</v>
      </c>
      <c r="I214" t="s">
        <v>40</v>
      </c>
      <c r="J214" s="2" t="s">
        <v>41</v>
      </c>
      <c r="K214" t="s">
        <v>42</v>
      </c>
      <c r="L214" t="s">
        <v>1943</v>
      </c>
      <c r="N214" t="s">
        <v>1944</v>
      </c>
      <c r="Q214">
        <v>32334</v>
      </c>
      <c r="R214" t="s">
        <v>119</v>
      </c>
      <c r="S214" t="s">
        <v>2108</v>
      </c>
      <c r="T214">
        <v>25</v>
      </c>
      <c r="W214" t="s">
        <v>84</v>
      </c>
      <c r="X214">
        <v>821420</v>
      </c>
      <c r="Y214" s="2" t="s">
        <v>2109</v>
      </c>
      <c r="Z214" t="s">
        <v>1947</v>
      </c>
      <c r="AA214" s="2" t="s">
        <v>1948</v>
      </c>
      <c r="AB214" t="s">
        <v>88</v>
      </c>
      <c r="AC214" t="s">
        <v>2110</v>
      </c>
      <c r="AG214" t="s">
        <v>2111</v>
      </c>
      <c r="AH214" t="s">
        <v>2112</v>
      </c>
      <c r="AI214" t="s">
        <v>2113</v>
      </c>
    </row>
    <row r="215" spans="2:35" ht="240">
      <c r="B215" s="1">
        <v>46094</v>
      </c>
      <c r="C215" s="1">
        <v>46094</v>
      </c>
      <c r="D215" t="s">
        <v>2114</v>
      </c>
      <c r="E215" t="s">
        <v>2115</v>
      </c>
      <c r="F215">
        <v>7</v>
      </c>
      <c r="G215" t="s">
        <v>432</v>
      </c>
      <c r="H215" t="s">
        <v>258</v>
      </c>
      <c r="I215" t="s">
        <v>40</v>
      </c>
      <c r="J215" t="s">
        <v>2116</v>
      </c>
      <c r="K215" t="s">
        <v>42</v>
      </c>
      <c r="L215" t="s">
        <v>594</v>
      </c>
      <c r="N215" t="s">
        <v>595</v>
      </c>
      <c r="O215" t="s">
        <v>595</v>
      </c>
      <c r="Q215">
        <v>32333</v>
      </c>
      <c r="R215" t="s">
        <v>719</v>
      </c>
      <c r="S215" t="s">
        <v>720</v>
      </c>
      <c r="T215">
        <v>23</v>
      </c>
      <c r="W215" t="s">
        <v>597</v>
      </c>
      <c r="X215">
        <v>847333</v>
      </c>
      <c r="Y215" t="s">
        <v>2117</v>
      </c>
      <c r="Z215" s="2" t="s">
        <v>2118</v>
      </c>
      <c r="AA215" s="2" t="s">
        <v>2119</v>
      </c>
      <c r="AB215" t="s">
        <v>2120</v>
      </c>
      <c r="AG215" t="s">
        <v>2121</v>
      </c>
      <c r="AH215" t="s">
        <v>726</v>
      </c>
      <c r="AI215" t="s">
        <v>2122</v>
      </c>
    </row>
    <row r="216" spans="2:35" ht="195">
      <c r="B216" s="1">
        <v>46093</v>
      </c>
      <c r="C216" s="1">
        <v>46093</v>
      </c>
      <c r="D216" t="s">
        <v>2123</v>
      </c>
      <c r="E216" t="s">
        <v>2124</v>
      </c>
      <c r="F216">
        <v>10</v>
      </c>
      <c r="G216" t="s">
        <v>1395</v>
      </c>
      <c r="H216" t="s">
        <v>2125</v>
      </c>
      <c r="I216" t="s">
        <v>40</v>
      </c>
      <c r="J216" s="2" t="s">
        <v>41</v>
      </c>
      <c r="K216" t="s">
        <v>42</v>
      </c>
      <c r="L216" t="s">
        <v>933</v>
      </c>
      <c r="N216" t="s">
        <v>934</v>
      </c>
      <c r="Q216">
        <v>32332</v>
      </c>
      <c r="R216" t="s">
        <v>45</v>
      </c>
      <c r="S216" t="s">
        <v>2126</v>
      </c>
      <c r="T216">
        <v>28</v>
      </c>
      <c r="W216" t="s">
        <v>2127</v>
      </c>
      <c r="X216">
        <v>807572</v>
      </c>
      <c r="Y216" t="s">
        <v>2128</v>
      </c>
      <c r="Z216" t="s">
        <v>2129</v>
      </c>
      <c r="AA216" s="2" t="s">
        <v>2130</v>
      </c>
      <c r="AB216" t="s">
        <v>2131</v>
      </c>
      <c r="AG216" t="s">
        <v>2132</v>
      </c>
      <c r="AH216" t="s">
        <v>2133</v>
      </c>
      <c r="AI216" t="s">
        <v>2134</v>
      </c>
    </row>
    <row r="217" spans="2:35" ht="225">
      <c r="B217" s="1">
        <v>46093</v>
      </c>
      <c r="C217" s="1">
        <v>46093</v>
      </c>
      <c r="D217" t="s">
        <v>2135</v>
      </c>
      <c r="E217" t="s">
        <v>2136</v>
      </c>
      <c r="F217" t="s">
        <v>1255</v>
      </c>
      <c r="G217" t="s">
        <v>2137</v>
      </c>
      <c r="H217" t="s">
        <v>2138</v>
      </c>
      <c r="I217" t="s">
        <v>40</v>
      </c>
      <c r="J217" s="2" t="s">
        <v>62</v>
      </c>
      <c r="K217" t="s">
        <v>387</v>
      </c>
      <c r="L217" t="s">
        <v>296</v>
      </c>
      <c r="N217" t="s">
        <v>297</v>
      </c>
      <c r="Q217">
        <v>32331</v>
      </c>
      <c r="R217" t="s">
        <v>95</v>
      </c>
      <c r="S217" t="s">
        <v>2139</v>
      </c>
      <c r="T217">
        <v>26.4</v>
      </c>
      <c r="W217" t="s">
        <v>2140</v>
      </c>
      <c r="X217" t="s">
        <v>2141</v>
      </c>
      <c r="Y217" t="s">
        <v>301</v>
      </c>
      <c r="Z217" s="2" t="s">
        <v>2142</v>
      </c>
      <c r="AA217" s="2" t="s">
        <v>2143</v>
      </c>
      <c r="AB217" t="s">
        <v>2144</v>
      </c>
      <c r="AG217" t="s">
        <v>2145</v>
      </c>
      <c r="AH217" t="s">
        <v>2146</v>
      </c>
      <c r="AI217" t="s">
        <v>2147</v>
      </c>
    </row>
    <row r="218" spans="2:35" ht="195">
      <c r="B218" s="1">
        <v>46093</v>
      </c>
      <c r="C218" s="1">
        <v>46093</v>
      </c>
      <c r="D218" t="s">
        <v>2148</v>
      </c>
      <c r="E218" t="s">
        <v>2149</v>
      </c>
      <c r="F218" t="s">
        <v>37</v>
      </c>
      <c r="G218" t="s">
        <v>38</v>
      </c>
      <c r="H218" t="s">
        <v>39</v>
      </c>
      <c r="I218" t="s">
        <v>40</v>
      </c>
      <c r="J218" s="2" t="s">
        <v>62</v>
      </c>
      <c r="K218" t="s">
        <v>42</v>
      </c>
      <c r="L218" t="s">
        <v>43</v>
      </c>
      <c r="N218" t="s">
        <v>44</v>
      </c>
      <c r="Q218">
        <v>32329</v>
      </c>
      <c r="R218" t="s">
        <v>119</v>
      </c>
      <c r="S218" t="s">
        <v>2150</v>
      </c>
      <c r="T218">
        <v>24</v>
      </c>
      <c r="U218" s="2" t="s">
        <v>2151</v>
      </c>
      <c r="W218" t="s">
        <v>48</v>
      </c>
      <c r="X218">
        <v>820710</v>
      </c>
      <c r="Y218" t="s">
        <v>1111</v>
      </c>
      <c r="Z218" t="s">
        <v>1519</v>
      </c>
      <c r="AA218" s="2" t="s">
        <v>2152</v>
      </c>
      <c r="AB218" t="s">
        <v>2153</v>
      </c>
      <c r="AG218" t="s">
        <v>2154</v>
      </c>
      <c r="AH218" t="s">
        <v>2155</v>
      </c>
      <c r="AI218" t="s">
        <v>2156</v>
      </c>
    </row>
    <row r="219" spans="2:35" ht="255">
      <c r="B219" s="1">
        <v>46093</v>
      </c>
      <c r="C219" s="1">
        <v>46093</v>
      </c>
      <c r="D219" t="s">
        <v>2157</v>
      </c>
      <c r="E219" t="s">
        <v>2158</v>
      </c>
      <c r="F219" t="s">
        <v>37</v>
      </c>
      <c r="G219" t="s">
        <v>38</v>
      </c>
      <c r="H219" t="s">
        <v>39</v>
      </c>
      <c r="I219" t="s">
        <v>40</v>
      </c>
      <c r="J219" s="2" t="s">
        <v>190</v>
      </c>
      <c r="K219" t="s">
        <v>42</v>
      </c>
      <c r="L219" t="s">
        <v>43</v>
      </c>
      <c r="N219" t="s">
        <v>44</v>
      </c>
      <c r="Q219">
        <v>32330</v>
      </c>
      <c r="R219" t="s">
        <v>45</v>
      </c>
      <c r="S219" t="s">
        <v>2159</v>
      </c>
      <c r="T219">
        <v>24</v>
      </c>
      <c r="U219" s="2" t="s">
        <v>2160</v>
      </c>
      <c r="W219" t="s">
        <v>48</v>
      </c>
      <c r="X219">
        <v>815389</v>
      </c>
      <c r="Y219" t="s">
        <v>121</v>
      </c>
      <c r="Z219" t="s">
        <v>122</v>
      </c>
      <c r="AA219" s="2" t="s">
        <v>2161</v>
      </c>
      <c r="AB219" t="s">
        <v>548</v>
      </c>
      <c r="AG219" t="s">
        <v>2162</v>
      </c>
      <c r="AH219" t="s">
        <v>2163</v>
      </c>
      <c r="AI219" t="s">
        <v>2164</v>
      </c>
    </row>
    <row r="220" spans="2:35" ht="210">
      <c r="B220" s="1">
        <v>46093</v>
      </c>
      <c r="C220" s="1">
        <v>46093</v>
      </c>
      <c r="D220" t="s">
        <v>1155</v>
      </c>
      <c r="E220" t="s">
        <v>229</v>
      </c>
      <c r="F220" t="s">
        <v>148</v>
      </c>
      <c r="G220" t="s">
        <v>230</v>
      </c>
      <c r="H220" t="s">
        <v>39</v>
      </c>
      <c r="I220" t="s">
        <v>40</v>
      </c>
      <c r="J220" t="s">
        <v>79</v>
      </c>
      <c r="K220" t="s">
        <v>42</v>
      </c>
      <c r="L220" t="s">
        <v>175</v>
      </c>
      <c r="N220" t="s">
        <v>176</v>
      </c>
      <c r="Q220">
        <v>32328</v>
      </c>
      <c r="R220" t="s">
        <v>45</v>
      </c>
      <c r="S220" t="s">
        <v>1159</v>
      </c>
      <c r="T220">
        <v>27</v>
      </c>
      <c r="W220" t="s">
        <v>84</v>
      </c>
      <c r="X220">
        <v>808649</v>
      </c>
      <c r="Y220" t="s">
        <v>2165</v>
      </c>
      <c r="Z220" t="s">
        <v>2166</v>
      </c>
      <c r="AA220" s="2" t="s">
        <v>2167</v>
      </c>
      <c r="AB220" t="s">
        <v>181</v>
      </c>
      <c r="AG220" t="s">
        <v>2168</v>
      </c>
      <c r="AH220" t="s">
        <v>1166</v>
      </c>
      <c r="AI220" t="s">
        <v>2169</v>
      </c>
    </row>
    <row r="221" spans="2:35" ht="390">
      <c r="B221" s="1">
        <v>46093</v>
      </c>
      <c r="C221" s="1">
        <v>46093</v>
      </c>
      <c r="D221" t="s">
        <v>1155</v>
      </c>
      <c r="E221" t="s">
        <v>229</v>
      </c>
      <c r="F221" t="s">
        <v>148</v>
      </c>
      <c r="G221" t="s">
        <v>230</v>
      </c>
      <c r="H221" t="s">
        <v>39</v>
      </c>
      <c r="I221" t="s">
        <v>40</v>
      </c>
      <c r="J221" s="2" t="s">
        <v>2170</v>
      </c>
      <c r="K221" t="s">
        <v>42</v>
      </c>
      <c r="L221" t="s">
        <v>175</v>
      </c>
      <c r="N221" t="s">
        <v>176</v>
      </c>
      <c r="Q221">
        <v>32327</v>
      </c>
      <c r="R221" t="s">
        <v>119</v>
      </c>
      <c r="S221" t="s">
        <v>1159</v>
      </c>
      <c r="T221">
        <v>27</v>
      </c>
      <c r="W221" t="s">
        <v>84</v>
      </c>
      <c r="X221">
        <v>831895</v>
      </c>
      <c r="Y221" t="s">
        <v>374</v>
      </c>
      <c r="Z221" s="2" t="s">
        <v>2171</v>
      </c>
      <c r="AA221" s="2" t="s">
        <v>2172</v>
      </c>
      <c r="AB221" s="2" t="s">
        <v>2173</v>
      </c>
      <c r="AG221" t="s">
        <v>2174</v>
      </c>
      <c r="AH221" t="s">
        <v>1166</v>
      </c>
      <c r="AI221" t="s">
        <v>2175</v>
      </c>
    </row>
    <row r="222" spans="2:35" ht="180">
      <c r="B222" s="1">
        <v>46093</v>
      </c>
      <c r="C222" s="1">
        <v>46090</v>
      </c>
      <c r="D222" t="s">
        <v>2176</v>
      </c>
      <c r="E222" t="s">
        <v>2177</v>
      </c>
      <c r="F222" t="s">
        <v>148</v>
      </c>
      <c r="G222" t="s">
        <v>447</v>
      </c>
      <c r="H222" t="s">
        <v>2178</v>
      </c>
      <c r="I222" t="s">
        <v>40</v>
      </c>
      <c r="J222" t="s">
        <v>525</v>
      </c>
      <c r="K222" t="s">
        <v>387</v>
      </c>
      <c r="L222" t="s">
        <v>448</v>
      </c>
      <c r="N222" t="s">
        <v>450</v>
      </c>
      <c r="Q222">
        <v>32326</v>
      </c>
      <c r="R222" t="s">
        <v>322</v>
      </c>
      <c r="S222" t="s">
        <v>2179</v>
      </c>
      <c r="T222">
        <v>26</v>
      </c>
      <c r="W222" t="s">
        <v>476</v>
      </c>
      <c r="X222" t="s">
        <v>2180</v>
      </c>
      <c r="Y222" t="s">
        <v>2181</v>
      </c>
      <c r="Z222" s="2" t="s">
        <v>2182</v>
      </c>
      <c r="AA222" t="s">
        <v>768</v>
      </c>
      <c r="AB222" t="s">
        <v>486</v>
      </c>
      <c r="AG222" t="s">
        <v>2183</v>
      </c>
      <c r="AH222" t="s">
        <v>2184</v>
      </c>
      <c r="AI222" t="s">
        <v>2185</v>
      </c>
    </row>
    <row r="223" spans="2:35" ht="90">
      <c r="B223" s="1">
        <v>46093</v>
      </c>
      <c r="C223" s="1">
        <v>46093</v>
      </c>
      <c r="D223" t="s">
        <v>2186</v>
      </c>
      <c r="E223" t="s">
        <v>2187</v>
      </c>
      <c r="F223">
        <v>7</v>
      </c>
      <c r="G223" t="s">
        <v>432</v>
      </c>
      <c r="H223" t="s">
        <v>39</v>
      </c>
      <c r="I223" t="s">
        <v>40</v>
      </c>
      <c r="J223" s="2" t="s">
        <v>2188</v>
      </c>
      <c r="K223" t="s">
        <v>42</v>
      </c>
      <c r="L223" t="s">
        <v>433</v>
      </c>
      <c r="N223" t="s">
        <v>434</v>
      </c>
      <c r="Q223">
        <v>32325</v>
      </c>
      <c r="R223" t="s">
        <v>45</v>
      </c>
      <c r="S223" t="s">
        <v>2189</v>
      </c>
      <c r="T223">
        <v>25</v>
      </c>
      <c r="W223" t="s">
        <v>2190</v>
      </c>
      <c r="X223">
        <v>835189</v>
      </c>
      <c r="Y223" t="s">
        <v>54</v>
      </c>
      <c r="Z223" s="2" t="s">
        <v>2191</v>
      </c>
      <c r="AA223" s="2" t="s">
        <v>2191</v>
      </c>
      <c r="AB223" t="s">
        <v>1011</v>
      </c>
      <c r="AG223" t="s">
        <v>2192</v>
      </c>
      <c r="AH223" t="s">
        <v>2193</v>
      </c>
      <c r="AI223" t="s">
        <v>2194</v>
      </c>
    </row>
    <row r="224" spans="2:35" ht="105">
      <c r="B224" s="1">
        <v>46093</v>
      </c>
      <c r="C224" s="1">
        <v>46093</v>
      </c>
      <c r="D224" t="s">
        <v>2195</v>
      </c>
      <c r="E224" t="s">
        <v>2196</v>
      </c>
      <c r="F224">
        <v>9</v>
      </c>
      <c r="G224" t="s">
        <v>2197</v>
      </c>
      <c r="H224" t="s">
        <v>39</v>
      </c>
      <c r="I224" t="s">
        <v>40</v>
      </c>
      <c r="J224" s="2" t="s">
        <v>2198</v>
      </c>
      <c r="K224" t="s">
        <v>42</v>
      </c>
      <c r="L224" t="s">
        <v>1257</v>
      </c>
      <c r="N224" t="s">
        <v>1258</v>
      </c>
      <c r="O224" t="s">
        <v>2199</v>
      </c>
      <c r="Q224">
        <v>32324</v>
      </c>
      <c r="R224" t="s">
        <v>45</v>
      </c>
      <c r="S224" t="s">
        <v>2200</v>
      </c>
      <c r="T224">
        <v>25</v>
      </c>
      <c r="U224" s="2" t="s">
        <v>2201</v>
      </c>
      <c r="V224" s="1">
        <v>46093</v>
      </c>
      <c r="W224" t="s">
        <v>1261</v>
      </c>
      <c r="X224">
        <v>805121</v>
      </c>
      <c r="Y224" t="s">
        <v>2202</v>
      </c>
      <c r="Z224" t="s">
        <v>2203</v>
      </c>
      <c r="AA224" t="s">
        <v>2203</v>
      </c>
      <c r="AB224" t="s">
        <v>2204</v>
      </c>
      <c r="AC224" t="s">
        <v>301</v>
      </c>
      <c r="AD224" t="s">
        <v>54</v>
      </c>
      <c r="AE224" t="s">
        <v>54</v>
      </c>
      <c r="AG224" t="s">
        <v>2205</v>
      </c>
      <c r="AH224" t="s">
        <v>2206</v>
      </c>
      <c r="AI224" t="s">
        <v>2207</v>
      </c>
    </row>
    <row r="225" spans="2:35" ht="255">
      <c r="B225" s="1">
        <v>46093</v>
      </c>
      <c r="C225" s="1">
        <v>46093</v>
      </c>
      <c r="D225" t="s">
        <v>2208</v>
      </c>
      <c r="E225" t="s">
        <v>2209</v>
      </c>
      <c r="F225" t="s">
        <v>1181</v>
      </c>
      <c r="G225" t="s">
        <v>1182</v>
      </c>
      <c r="H225" t="s">
        <v>2210</v>
      </c>
      <c r="I225" t="s">
        <v>40</v>
      </c>
      <c r="J225" t="s">
        <v>109</v>
      </c>
      <c r="K225" t="s">
        <v>42</v>
      </c>
      <c r="L225" t="s">
        <v>409</v>
      </c>
      <c r="N225" t="s">
        <v>410</v>
      </c>
      <c r="Q225">
        <v>32323</v>
      </c>
      <c r="R225" t="s">
        <v>322</v>
      </c>
      <c r="S225" t="s">
        <v>2211</v>
      </c>
      <c r="T225">
        <v>23</v>
      </c>
      <c r="W225" t="s">
        <v>597</v>
      </c>
      <c r="X225">
        <v>832026</v>
      </c>
      <c r="Y225" t="s">
        <v>2060</v>
      </c>
      <c r="Z225" t="s">
        <v>301</v>
      </c>
      <c r="AA225" s="2" t="s">
        <v>2212</v>
      </c>
      <c r="AB225" t="s">
        <v>2213</v>
      </c>
      <c r="AG225" t="s">
        <v>2214</v>
      </c>
      <c r="AH225" t="s">
        <v>2215</v>
      </c>
      <c r="AI225" t="s">
        <v>2216</v>
      </c>
    </row>
    <row r="226" spans="2:35" ht="150">
      <c r="B226" s="1">
        <v>46093</v>
      </c>
      <c r="C226" s="1">
        <v>46093</v>
      </c>
      <c r="D226" t="s">
        <v>228</v>
      </c>
      <c r="E226" t="s">
        <v>229</v>
      </c>
      <c r="F226" t="s">
        <v>148</v>
      </c>
      <c r="G226" t="s">
        <v>230</v>
      </c>
      <c r="H226" t="s">
        <v>39</v>
      </c>
      <c r="I226" t="s">
        <v>40</v>
      </c>
      <c r="J226" s="2" t="s">
        <v>62</v>
      </c>
      <c r="K226" t="s">
        <v>42</v>
      </c>
      <c r="L226" t="s">
        <v>175</v>
      </c>
      <c r="N226" t="s">
        <v>176</v>
      </c>
      <c r="Q226">
        <v>32322</v>
      </c>
      <c r="R226" t="s">
        <v>45</v>
      </c>
      <c r="S226" t="s">
        <v>2217</v>
      </c>
      <c r="T226">
        <v>27</v>
      </c>
      <c r="W226" t="s">
        <v>84</v>
      </c>
      <c r="X226">
        <v>805062</v>
      </c>
      <c r="Y226" t="s">
        <v>998</v>
      </c>
      <c r="Z226" t="s">
        <v>999</v>
      </c>
      <c r="AA226" t="e">
        <f ca="1">- checked _xludf.and cleaned cartridge bay, plunger rod, _xludf.filter, icore slot
- performed XpertCheck
- generated reports</f>
        <v>#NAME?</v>
      </c>
      <c r="AB226" s="2" t="s">
        <v>2218</v>
      </c>
      <c r="AG226" t="s">
        <v>2219</v>
      </c>
      <c r="AH226" t="s">
        <v>237</v>
      </c>
      <c r="AI226" t="s">
        <v>2220</v>
      </c>
    </row>
    <row r="227" spans="2:35" ht="210">
      <c r="B227" s="1">
        <v>46093</v>
      </c>
      <c r="C227" s="1">
        <v>46093</v>
      </c>
      <c r="D227" t="s">
        <v>2221</v>
      </c>
      <c r="E227" t="s">
        <v>2222</v>
      </c>
      <c r="F227">
        <v>9</v>
      </c>
      <c r="G227" t="s">
        <v>2197</v>
      </c>
      <c r="H227" t="s">
        <v>39</v>
      </c>
      <c r="I227" t="s">
        <v>40</v>
      </c>
      <c r="J227" s="2" t="s">
        <v>2223</v>
      </c>
      <c r="K227" t="s">
        <v>42</v>
      </c>
      <c r="L227" t="s">
        <v>1257</v>
      </c>
      <c r="N227" t="s">
        <v>1258</v>
      </c>
      <c r="O227" t="s">
        <v>1258</v>
      </c>
      <c r="Q227">
        <v>32321</v>
      </c>
      <c r="R227" t="s">
        <v>119</v>
      </c>
      <c r="S227" t="s">
        <v>2224</v>
      </c>
      <c r="T227">
        <v>24</v>
      </c>
      <c r="U227" s="2" t="s">
        <v>2225</v>
      </c>
      <c r="V227" s="1">
        <v>46093</v>
      </c>
      <c r="W227" t="s">
        <v>2226</v>
      </c>
      <c r="X227">
        <v>838204</v>
      </c>
      <c r="Y227" t="s">
        <v>301</v>
      </c>
      <c r="Z227" t="s">
        <v>2227</v>
      </c>
      <c r="AA227" t="s">
        <v>2228</v>
      </c>
      <c r="AB227" t="s">
        <v>2229</v>
      </c>
      <c r="AC227" t="s">
        <v>301</v>
      </c>
      <c r="AD227" t="s">
        <v>54</v>
      </c>
      <c r="AE227" t="s">
        <v>54</v>
      </c>
      <c r="AG227" t="s">
        <v>2230</v>
      </c>
      <c r="AH227" t="s">
        <v>2231</v>
      </c>
      <c r="AI227" t="s">
        <v>2232</v>
      </c>
    </row>
    <row r="228" spans="2:35" ht="225">
      <c r="B228" s="1">
        <v>46093</v>
      </c>
      <c r="C228" s="1">
        <v>46093</v>
      </c>
      <c r="D228" t="s">
        <v>2233</v>
      </c>
      <c r="E228" t="s">
        <v>2234</v>
      </c>
      <c r="F228">
        <v>7</v>
      </c>
      <c r="G228" t="s">
        <v>432</v>
      </c>
      <c r="H228" t="s">
        <v>258</v>
      </c>
      <c r="I228" t="s">
        <v>40</v>
      </c>
      <c r="J228" s="2" t="s">
        <v>190</v>
      </c>
      <c r="K228" t="s">
        <v>42</v>
      </c>
      <c r="L228" t="s">
        <v>594</v>
      </c>
      <c r="N228" t="s">
        <v>595</v>
      </c>
      <c r="O228" t="s">
        <v>595</v>
      </c>
      <c r="Q228">
        <v>32320</v>
      </c>
      <c r="R228" t="s">
        <v>119</v>
      </c>
      <c r="S228" t="s">
        <v>2235</v>
      </c>
      <c r="T228">
        <v>23</v>
      </c>
      <c r="W228" t="s">
        <v>597</v>
      </c>
      <c r="X228">
        <v>838231</v>
      </c>
      <c r="Y228" t="s">
        <v>2236</v>
      </c>
      <c r="Z228" s="2" t="s">
        <v>2237</v>
      </c>
      <c r="AA228" t="s">
        <v>2238</v>
      </c>
      <c r="AB228" s="2" t="s">
        <v>2239</v>
      </c>
      <c r="AG228" t="s">
        <v>2240</v>
      </c>
      <c r="AH228" t="s">
        <v>2241</v>
      </c>
      <c r="AI228" t="s">
        <v>2242</v>
      </c>
    </row>
    <row r="229" spans="2:35" ht="409.5">
      <c r="B229" s="1">
        <v>46092</v>
      </c>
      <c r="C229" s="1">
        <v>46087</v>
      </c>
      <c r="D229" t="s">
        <v>2243</v>
      </c>
      <c r="E229" t="s">
        <v>2244</v>
      </c>
      <c r="F229" t="s">
        <v>37</v>
      </c>
      <c r="G229" t="s">
        <v>78</v>
      </c>
      <c r="H229" t="s">
        <v>39</v>
      </c>
      <c r="I229" t="s">
        <v>40</v>
      </c>
      <c r="J229" s="2" t="s">
        <v>41</v>
      </c>
      <c r="K229" t="s">
        <v>42</v>
      </c>
      <c r="L229" t="s">
        <v>1943</v>
      </c>
      <c r="N229" t="s">
        <v>1944</v>
      </c>
      <c r="Q229">
        <v>32319</v>
      </c>
      <c r="R229" t="s">
        <v>119</v>
      </c>
      <c r="S229" t="s">
        <v>2245</v>
      </c>
      <c r="T229">
        <v>25</v>
      </c>
      <c r="W229" t="s">
        <v>84</v>
      </c>
      <c r="X229">
        <v>821156</v>
      </c>
      <c r="Y229" s="2" t="s">
        <v>2109</v>
      </c>
      <c r="Z229" t="s">
        <v>1947</v>
      </c>
      <c r="AA229" s="2" t="s">
        <v>1948</v>
      </c>
      <c r="AB229" t="s">
        <v>88</v>
      </c>
      <c r="AC229" t="s">
        <v>2246</v>
      </c>
      <c r="AG229" t="s">
        <v>2247</v>
      </c>
      <c r="AH229" t="s">
        <v>2248</v>
      </c>
      <c r="AI229" t="s">
        <v>2249</v>
      </c>
    </row>
    <row r="230" spans="2:35" ht="409.5">
      <c r="B230" s="1">
        <v>46092</v>
      </c>
      <c r="C230" s="1">
        <v>46086</v>
      </c>
      <c r="D230" t="s">
        <v>2250</v>
      </c>
      <c r="E230" t="s">
        <v>2251</v>
      </c>
      <c r="F230" t="s">
        <v>37</v>
      </c>
      <c r="G230" t="s">
        <v>189</v>
      </c>
      <c r="H230" t="s">
        <v>39</v>
      </c>
      <c r="I230" t="s">
        <v>40</v>
      </c>
      <c r="J230" s="2" t="s">
        <v>41</v>
      </c>
      <c r="K230" t="s">
        <v>42</v>
      </c>
      <c r="L230" t="s">
        <v>1943</v>
      </c>
      <c r="N230" t="s">
        <v>1944</v>
      </c>
      <c r="Q230">
        <v>32318</v>
      </c>
      <c r="R230" t="s">
        <v>119</v>
      </c>
      <c r="S230" t="s">
        <v>2252</v>
      </c>
      <c r="T230">
        <v>25</v>
      </c>
      <c r="W230" t="s">
        <v>84</v>
      </c>
      <c r="X230">
        <v>820201</v>
      </c>
      <c r="Y230" s="2" t="s">
        <v>2109</v>
      </c>
      <c r="Z230" t="s">
        <v>1947</v>
      </c>
      <c r="AA230" s="2" t="s">
        <v>1948</v>
      </c>
      <c r="AB230" t="s">
        <v>88</v>
      </c>
      <c r="AC230" t="s">
        <v>2253</v>
      </c>
      <c r="AG230" t="s">
        <v>2254</v>
      </c>
      <c r="AH230" t="s">
        <v>2255</v>
      </c>
      <c r="AI230" t="s">
        <v>2256</v>
      </c>
    </row>
    <row r="231" spans="2:35" ht="409.5">
      <c r="B231" s="1">
        <v>46092</v>
      </c>
      <c r="C231" s="1">
        <v>46086</v>
      </c>
      <c r="D231" t="s">
        <v>2257</v>
      </c>
      <c r="E231" t="s">
        <v>2258</v>
      </c>
      <c r="F231" t="s">
        <v>37</v>
      </c>
      <c r="G231" t="s">
        <v>189</v>
      </c>
      <c r="H231" t="s">
        <v>39</v>
      </c>
      <c r="I231" t="s">
        <v>40</v>
      </c>
      <c r="J231" s="2" t="s">
        <v>41</v>
      </c>
      <c r="K231" t="s">
        <v>42</v>
      </c>
      <c r="L231" t="s">
        <v>1943</v>
      </c>
      <c r="N231" t="s">
        <v>1944</v>
      </c>
      <c r="Q231">
        <v>32317</v>
      </c>
      <c r="R231" t="s">
        <v>119</v>
      </c>
      <c r="S231" t="s">
        <v>2259</v>
      </c>
      <c r="T231">
        <v>25</v>
      </c>
      <c r="W231" t="s">
        <v>84</v>
      </c>
      <c r="X231">
        <v>821421</v>
      </c>
      <c r="Y231" s="2" t="s">
        <v>2109</v>
      </c>
      <c r="Z231" t="s">
        <v>1947</v>
      </c>
      <c r="AA231" s="2" t="s">
        <v>1948</v>
      </c>
      <c r="AB231" t="s">
        <v>88</v>
      </c>
      <c r="AC231" t="s">
        <v>2260</v>
      </c>
      <c r="AG231" t="s">
        <v>2261</v>
      </c>
      <c r="AH231" t="s">
        <v>2262</v>
      </c>
      <c r="AI231" t="s">
        <v>2263</v>
      </c>
    </row>
    <row r="232" spans="2:35" ht="225">
      <c r="B232" s="1">
        <v>46092</v>
      </c>
      <c r="C232" s="1">
        <v>46092</v>
      </c>
      <c r="D232" t="s">
        <v>2264</v>
      </c>
      <c r="E232" t="s">
        <v>2265</v>
      </c>
      <c r="F232" t="s">
        <v>148</v>
      </c>
      <c r="G232" t="s">
        <v>2007</v>
      </c>
      <c r="H232" t="s">
        <v>39</v>
      </c>
      <c r="I232" t="s">
        <v>40</v>
      </c>
      <c r="J232" t="s">
        <v>109</v>
      </c>
      <c r="K232" t="s">
        <v>42</v>
      </c>
      <c r="L232" t="s">
        <v>43</v>
      </c>
      <c r="N232" t="s">
        <v>44</v>
      </c>
      <c r="O232" t="s">
        <v>2266</v>
      </c>
      <c r="Q232">
        <v>32316</v>
      </c>
      <c r="R232" t="s">
        <v>322</v>
      </c>
      <c r="S232" t="s">
        <v>2267</v>
      </c>
      <c r="T232">
        <v>24</v>
      </c>
      <c r="U232" s="2" t="s">
        <v>2268</v>
      </c>
      <c r="W232" t="s">
        <v>153</v>
      </c>
      <c r="X232">
        <v>110023460</v>
      </c>
      <c r="Y232" t="s">
        <v>121</v>
      </c>
      <c r="Z232" t="s">
        <v>122</v>
      </c>
      <c r="AA232" s="2" t="s">
        <v>547</v>
      </c>
      <c r="AB232" t="s">
        <v>548</v>
      </c>
      <c r="AG232" t="s">
        <v>2269</v>
      </c>
      <c r="AH232" t="s">
        <v>2270</v>
      </c>
      <c r="AI232" t="s">
        <v>2271</v>
      </c>
    </row>
    <row r="233" spans="2:35" ht="315">
      <c r="B233" s="1">
        <v>46092</v>
      </c>
      <c r="C233" s="1">
        <v>46092</v>
      </c>
      <c r="D233" t="s">
        <v>2272</v>
      </c>
      <c r="E233" t="s">
        <v>2273</v>
      </c>
      <c r="F233" t="s">
        <v>148</v>
      </c>
      <c r="G233" t="s">
        <v>310</v>
      </c>
      <c r="H233" t="s">
        <v>2274</v>
      </c>
      <c r="I233" t="s">
        <v>40</v>
      </c>
      <c r="J233" t="s">
        <v>109</v>
      </c>
      <c r="K233" t="s">
        <v>387</v>
      </c>
      <c r="L233" t="s">
        <v>1943</v>
      </c>
      <c r="N233" t="s">
        <v>1944</v>
      </c>
      <c r="O233" t="s">
        <v>2275</v>
      </c>
      <c r="Q233">
        <v>32315</v>
      </c>
      <c r="R233" t="s">
        <v>322</v>
      </c>
      <c r="S233" t="s">
        <v>2276</v>
      </c>
      <c r="T233">
        <v>25</v>
      </c>
      <c r="W233" t="s">
        <v>390</v>
      </c>
      <c r="X233" t="s">
        <v>2277</v>
      </c>
      <c r="Y233" t="s">
        <v>2099</v>
      </c>
      <c r="Z233" t="s">
        <v>2100</v>
      </c>
      <c r="AA233" s="2" t="s">
        <v>2278</v>
      </c>
      <c r="AB233" t="s">
        <v>88</v>
      </c>
      <c r="AG233" t="s">
        <v>2279</v>
      </c>
      <c r="AH233" t="s">
        <v>2280</v>
      </c>
      <c r="AI233" t="s">
        <v>2281</v>
      </c>
    </row>
    <row r="234" spans="2:35" ht="409.5">
      <c r="B234" s="1">
        <v>46092</v>
      </c>
      <c r="C234" s="1">
        <v>46092</v>
      </c>
      <c r="D234" t="s">
        <v>2272</v>
      </c>
      <c r="E234" t="s">
        <v>2282</v>
      </c>
      <c r="F234" t="s">
        <v>148</v>
      </c>
      <c r="G234" t="s">
        <v>310</v>
      </c>
      <c r="H234" t="s">
        <v>295</v>
      </c>
      <c r="I234" t="s">
        <v>40</v>
      </c>
      <c r="J234" t="s">
        <v>109</v>
      </c>
      <c r="K234" t="s">
        <v>42</v>
      </c>
      <c r="L234" t="s">
        <v>1943</v>
      </c>
      <c r="N234" t="s">
        <v>1944</v>
      </c>
      <c r="O234" t="s">
        <v>2275</v>
      </c>
      <c r="Q234">
        <v>32314</v>
      </c>
      <c r="R234" t="s">
        <v>95</v>
      </c>
      <c r="S234" t="s">
        <v>2283</v>
      </c>
      <c r="T234">
        <v>25</v>
      </c>
      <c r="W234" t="s">
        <v>66</v>
      </c>
      <c r="X234">
        <v>835604</v>
      </c>
      <c r="Y234" t="s">
        <v>2099</v>
      </c>
      <c r="Z234" t="s">
        <v>2100</v>
      </c>
      <c r="AA234" s="2" t="s">
        <v>2101</v>
      </c>
      <c r="AB234" t="s">
        <v>88</v>
      </c>
      <c r="AG234" t="s">
        <v>2284</v>
      </c>
      <c r="AH234" t="s">
        <v>2285</v>
      </c>
      <c r="AI234" t="s">
        <v>2286</v>
      </c>
    </row>
    <row r="235" spans="2:35" ht="409.5">
      <c r="B235" s="1">
        <v>46092</v>
      </c>
      <c r="C235" s="1">
        <v>46092</v>
      </c>
      <c r="D235" t="s">
        <v>2272</v>
      </c>
      <c r="E235" t="s">
        <v>2273</v>
      </c>
      <c r="F235" t="s">
        <v>148</v>
      </c>
      <c r="G235" t="s">
        <v>310</v>
      </c>
      <c r="H235" t="s">
        <v>61</v>
      </c>
      <c r="I235" t="s">
        <v>40</v>
      </c>
      <c r="J235" t="s">
        <v>109</v>
      </c>
      <c r="K235" t="s">
        <v>42</v>
      </c>
      <c r="L235" t="s">
        <v>1943</v>
      </c>
      <c r="N235" t="s">
        <v>1944</v>
      </c>
      <c r="O235" t="s">
        <v>2275</v>
      </c>
      <c r="Q235">
        <v>32313</v>
      </c>
      <c r="R235" t="s">
        <v>95</v>
      </c>
      <c r="S235" t="s">
        <v>2283</v>
      </c>
      <c r="T235">
        <v>25</v>
      </c>
      <c r="W235" t="s">
        <v>373</v>
      </c>
      <c r="X235">
        <v>120002026</v>
      </c>
      <c r="Y235" t="s">
        <v>2099</v>
      </c>
      <c r="Z235" t="s">
        <v>2100</v>
      </c>
      <c r="AA235" s="2" t="s">
        <v>2101</v>
      </c>
      <c r="AB235" t="s">
        <v>88</v>
      </c>
      <c r="AG235" t="s">
        <v>2287</v>
      </c>
      <c r="AH235" t="s">
        <v>2285</v>
      </c>
      <c r="AI235" t="s">
        <v>2288</v>
      </c>
    </row>
    <row r="236" spans="2:35" ht="105">
      <c r="B236" s="1">
        <v>46092</v>
      </c>
      <c r="C236" s="1">
        <v>46092</v>
      </c>
      <c r="D236" t="s">
        <v>1846</v>
      </c>
      <c r="E236" t="s">
        <v>2289</v>
      </c>
      <c r="F236">
        <v>7</v>
      </c>
      <c r="G236" t="s">
        <v>432</v>
      </c>
      <c r="H236" t="s">
        <v>2290</v>
      </c>
      <c r="I236" t="s">
        <v>94</v>
      </c>
      <c r="J236" s="2" t="s">
        <v>1370</v>
      </c>
      <c r="K236" t="s">
        <v>42</v>
      </c>
      <c r="L236" t="s">
        <v>610</v>
      </c>
      <c r="N236" t="s">
        <v>611</v>
      </c>
      <c r="Q236">
        <v>32312</v>
      </c>
      <c r="R236" t="s">
        <v>45</v>
      </c>
      <c r="S236" t="s">
        <v>1849</v>
      </c>
      <c r="T236">
        <v>24</v>
      </c>
      <c r="U236" s="2" t="s">
        <v>1840</v>
      </c>
      <c r="W236" t="s">
        <v>502</v>
      </c>
      <c r="X236">
        <v>838564</v>
      </c>
      <c r="Y236" t="s">
        <v>2291</v>
      </c>
      <c r="Z236" t="s">
        <v>2292</v>
      </c>
      <c r="AA236" t="s">
        <v>2293</v>
      </c>
      <c r="AB236" t="s">
        <v>2294</v>
      </c>
      <c r="AG236" t="s">
        <v>2295</v>
      </c>
      <c r="AH236" t="s">
        <v>1853</v>
      </c>
      <c r="AI236" t="s">
        <v>2296</v>
      </c>
    </row>
    <row r="237" spans="2:35" ht="255">
      <c r="B237" s="1">
        <v>46092</v>
      </c>
      <c r="C237" s="1">
        <v>46092</v>
      </c>
      <c r="D237" t="s">
        <v>717</v>
      </c>
      <c r="E237" t="s">
        <v>2297</v>
      </c>
      <c r="F237">
        <v>7</v>
      </c>
      <c r="G237" t="s">
        <v>432</v>
      </c>
      <c r="H237" t="s">
        <v>258</v>
      </c>
      <c r="I237" t="s">
        <v>40</v>
      </c>
      <c r="J237" t="s">
        <v>109</v>
      </c>
      <c r="K237" t="s">
        <v>42</v>
      </c>
      <c r="L237" t="s">
        <v>594</v>
      </c>
      <c r="N237" t="s">
        <v>595</v>
      </c>
      <c r="O237" t="s">
        <v>595</v>
      </c>
      <c r="Q237">
        <v>32311</v>
      </c>
      <c r="R237" t="s">
        <v>719</v>
      </c>
      <c r="S237" t="s">
        <v>720</v>
      </c>
      <c r="T237">
        <v>25</v>
      </c>
      <c r="W237" t="s">
        <v>597</v>
      </c>
      <c r="X237">
        <v>847333</v>
      </c>
      <c r="Y237" t="s">
        <v>2298</v>
      </c>
      <c r="Z237" s="2" t="s">
        <v>2299</v>
      </c>
      <c r="AA237" s="2" t="s">
        <v>2300</v>
      </c>
      <c r="AB237" t="s">
        <v>1813</v>
      </c>
      <c r="AG237" t="s">
        <v>2301</v>
      </c>
      <c r="AH237" t="s">
        <v>726</v>
      </c>
      <c r="AI237" t="s">
        <v>2302</v>
      </c>
    </row>
    <row r="238" spans="2:35" ht="195">
      <c r="B238" s="1">
        <v>46092</v>
      </c>
      <c r="C238" s="1">
        <v>46092</v>
      </c>
      <c r="D238" t="s">
        <v>1004</v>
      </c>
      <c r="E238" t="s">
        <v>1005</v>
      </c>
      <c r="F238">
        <v>7</v>
      </c>
      <c r="G238" t="s">
        <v>432</v>
      </c>
      <c r="H238" t="s">
        <v>39</v>
      </c>
      <c r="I238" t="s">
        <v>40</v>
      </c>
      <c r="J238" s="2" t="s">
        <v>62</v>
      </c>
      <c r="K238" t="s">
        <v>42</v>
      </c>
      <c r="L238" t="s">
        <v>433</v>
      </c>
      <c r="N238" t="s">
        <v>434</v>
      </c>
      <c r="Q238">
        <v>32310</v>
      </c>
      <c r="R238" t="s">
        <v>45</v>
      </c>
      <c r="S238" t="s">
        <v>1007</v>
      </c>
      <c r="T238">
        <v>25</v>
      </c>
      <c r="W238" t="s">
        <v>1819</v>
      </c>
      <c r="X238">
        <v>120000494</v>
      </c>
      <c r="Y238" t="s">
        <v>2303</v>
      </c>
      <c r="Z238" s="2" t="s">
        <v>2304</v>
      </c>
      <c r="AA238" s="2" t="s">
        <v>2304</v>
      </c>
      <c r="AB238" s="2" t="s">
        <v>2305</v>
      </c>
      <c r="AG238" t="s">
        <v>2306</v>
      </c>
      <c r="AH238" t="s">
        <v>2307</v>
      </c>
      <c r="AI238" t="s">
        <v>2308</v>
      </c>
    </row>
    <row r="239" spans="2:35" ht="165">
      <c r="B239" s="1">
        <v>46092</v>
      </c>
      <c r="C239" s="1">
        <v>46092</v>
      </c>
      <c r="D239" t="s">
        <v>2309</v>
      </c>
      <c r="E239" t="s">
        <v>2310</v>
      </c>
      <c r="F239" t="s">
        <v>148</v>
      </c>
      <c r="G239" t="s">
        <v>2007</v>
      </c>
      <c r="H239" t="s">
        <v>39</v>
      </c>
      <c r="I239" t="s">
        <v>40</v>
      </c>
      <c r="J239" t="s">
        <v>525</v>
      </c>
      <c r="K239" t="s">
        <v>42</v>
      </c>
      <c r="L239" t="s">
        <v>43</v>
      </c>
      <c r="N239" t="s">
        <v>44</v>
      </c>
      <c r="O239" t="s">
        <v>2311</v>
      </c>
      <c r="Q239">
        <v>32309</v>
      </c>
      <c r="R239" t="s">
        <v>119</v>
      </c>
      <c r="S239" t="s">
        <v>2312</v>
      </c>
      <c r="T239">
        <v>24</v>
      </c>
      <c r="W239" t="s">
        <v>48</v>
      </c>
      <c r="X239">
        <v>831712</v>
      </c>
      <c r="Y239" t="s">
        <v>1226</v>
      </c>
      <c r="Z239" t="s">
        <v>2313</v>
      </c>
      <c r="AA239" s="2" t="s">
        <v>2314</v>
      </c>
      <c r="AB239" t="s">
        <v>2315</v>
      </c>
      <c r="AG239" t="s">
        <v>2316</v>
      </c>
      <c r="AH239" t="s">
        <v>2317</v>
      </c>
      <c r="AI239" t="s">
        <v>2318</v>
      </c>
    </row>
    <row r="240" spans="2:35" ht="135">
      <c r="B240" s="1">
        <v>46092</v>
      </c>
      <c r="C240" s="1">
        <v>46092</v>
      </c>
      <c r="D240" t="s">
        <v>2319</v>
      </c>
      <c r="E240" t="s">
        <v>2320</v>
      </c>
      <c r="F240" t="s">
        <v>148</v>
      </c>
      <c r="G240" t="s">
        <v>2007</v>
      </c>
      <c r="H240" t="s">
        <v>39</v>
      </c>
      <c r="I240" t="s">
        <v>40</v>
      </c>
      <c r="J240" t="s">
        <v>525</v>
      </c>
      <c r="K240" t="s">
        <v>42</v>
      </c>
      <c r="L240" t="s">
        <v>43</v>
      </c>
      <c r="N240" t="s">
        <v>44</v>
      </c>
      <c r="O240" t="s">
        <v>2311</v>
      </c>
      <c r="Q240">
        <v>32308</v>
      </c>
      <c r="R240" t="s">
        <v>45</v>
      </c>
      <c r="S240" t="s">
        <v>2312</v>
      </c>
      <c r="T240">
        <v>22</v>
      </c>
      <c r="W240" t="s">
        <v>48</v>
      </c>
      <c r="X240">
        <v>807591</v>
      </c>
      <c r="Y240" t="s">
        <v>2321</v>
      </c>
      <c r="Z240" t="s">
        <v>2322</v>
      </c>
      <c r="AA240" s="2" t="s">
        <v>2323</v>
      </c>
      <c r="AB240" t="s">
        <v>2324</v>
      </c>
      <c r="AG240" t="s">
        <v>2325</v>
      </c>
      <c r="AH240" t="s">
        <v>2317</v>
      </c>
      <c r="AI240" t="s">
        <v>2326</v>
      </c>
    </row>
    <row r="241" spans="2:35" ht="195">
      <c r="B241" s="1">
        <v>46092</v>
      </c>
      <c r="C241" s="1">
        <v>46083</v>
      </c>
      <c r="D241" t="s">
        <v>2327</v>
      </c>
      <c r="E241" t="s">
        <v>2328</v>
      </c>
      <c r="F241">
        <v>7</v>
      </c>
      <c r="G241" t="s">
        <v>432</v>
      </c>
      <c r="H241" t="s">
        <v>608</v>
      </c>
      <c r="I241" t="s">
        <v>40</v>
      </c>
      <c r="J241" t="s">
        <v>525</v>
      </c>
      <c r="K241" t="s">
        <v>42</v>
      </c>
      <c r="L241" t="s">
        <v>610</v>
      </c>
      <c r="N241" t="s">
        <v>611</v>
      </c>
      <c r="O241" t="s">
        <v>2329</v>
      </c>
      <c r="Q241">
        <v>32307</v>
      </c>
      <c r="R241" t="s">
        <v>119</v>
      </c>
      <c r="S241" t="s">
        <v>2329</v>
      </c>
      <c r="T241">
        <v>24</v>
      </c>
      <c r="U241" s="2" t="s">
        <v>2330</v>
      </c>
      <c r="W241" t="s">
        <v>360</v>
      </c>
      <c r="X241">
        <v>838506</v>
      </c>
      <c r="Y241" t="s">
        <v>2331</v>
      </c>
      <c r="Z241" t="s">
        <v>2332</v>
      </c>
      <c r="AA241" s="2" t="s">
        <v>2333</v>
      </c>
      <c r="AB241" t="s">
        <v>2334</v>
      </c>
      <c r="AG241" t="s">
        <v>2335</v>
      </c>
      <c r="AH241" t="s">
        <v>2336</v>
      </c>
      <c r="AI241" t="s">
        <v>2337</v>
      </c>
    </row>
    <row r="242" spans="2:35" ht="390">
      <c r="B242" s="1">
        <v>46092</v>
      </c>
      <c r="C242" s="1">
        <v>46092</v>
      </c>
      <c r="D242" t="s">
        <v>2338</v>
      </c>
      <c r="E242" t="s">
        <v>2339</v>
      </c>
      <c r="F242">
        <v>6</v>
      </c>
      <c r="G242" t="s">
        <v>269</v>
      </c>
      <c r="H242" t="s">
        <v>39</v>
      </c>
      <c r="I242" t="s">
        <v>40</v>
      </c>
      <c r="J242" s="2" t="s">
        <v>62</v>
      </c>
      <c r="K242" t="s">
        <v>42</v>
      </c>
      <c r="L242" t="s">
        <v>1288</v>
      </c>
      <c r="N242" t="s">
        <v>1289</v>
      </c>
      <c r="Q242">
        <v>32306</v>
      </c>
      <c r="R242" t="s">
        <v>45</v>
      </c>
      <c r="S242" t="s">
        <v>2340</v>
      </c>
      <c r="T242">
        <v>28</v>
      </c>
      <c r="U242" s="2" t="s">
        <v>2341</v>
      </c>
      <c r="V242" s="1">
        <v>46092</v>
      </c>
      <c r="W242" t="s">
        <v>1292</v>
      </c>
      <c r="X242">
        <v>808621</v>
      </c>
      <c r="Y242" t="e">
        <f ca="1">-XpertCheck DUE</f>
        <v>#NAME?</v>
      </c>
      <c r="Z242" t="e">
        <f ca="1">-COLLECT IQR,system _xludf.Log, _xludf.and ARCHIVE
-COLLECT CALIBRATION Data</f>
        <v>#NAME?</v>
      </c>
      <c r="AA242" s="2" t="s">
        <v>2342</v>
      </c>
      <c r="AB242" t="s">
        <v>1293</v>
      </c>
      <c r="AD242" s="2" t="s">
        <v>2343</v>
      </c>
      <c r="AE242">
        <v>0</v>
      </c>
      <c r="AG242" t="s">
        <v>2344</v>
      </c>
      <c r="AH242" t="s">
        <v>2345</v>
      </c>
      <c r="AI242" t="s">
        <v>2346</v>
      </c>
    </row>
    <row r="243" spans="2:35" ht="315">
      <c r="B243" s="1">
        <v>46092</v>
      </c>
      <c r="C243" s="1">
        <v>46091</v>
      </c>
      <c r="D243" t="s">
        <v>556</v>
      </c>
      <c r="E243" t="s">
        <v>2347</v>
      </c>
      <c r="F243" t="s">
        <v>148</v>
      </c>
      <c r="G243" t="s">
        <v>406</v>
      </c>
      <c r="H243" t="s">
        <v>39</v>
      </c>
      <c r="I243" t="s">
        <v>40</v>
      </c>
      <c r="J243" s="2" t="s">
        <v>41</v>
      </c>
      <c r="K243" t="s">
        <v>42</v>
      </c>
      <c r="L243" t="s">
        <v>43</v>
      </c>
      <c r="N243" t="s">
        <v>44</v>
      </c>
      <c r="Q243">
        <v>32304</v>
      </c>
      <c r="R243" t="s">
        <v>119</v>
      </c>
      <c r="S243" t="s">
        <v>558</v>
      </c>
      <c r="T243">
        <v>24</v>
      </c>
      <c r="U243" s="2" t="s">
        <v>2348</v>
      </c>
      <c r="V243" s="1">
        <v>46091</v>
      </c>
      <c r="W243" t="s">
        <v>48</v>
      </c>
      <c r="X243">
        <v>831638</v>
      </c>
      <c r="Y243" t="s">
        <v>2349</v>
      </c>
      <c r="Z243" t="s">
        <v>2350</v>
      </c>
      <c r="AA243" s="2" t="s">
        <v>2351</v>
      </c>
      <c r="AB243" t="s">
        <v>2352</v>
      </c>
      <c r="AD243" s="2" t="s">
        <v>2353</v>
      </c>
      <c r="AE243" t="s">
        <v>54</v>
      </c>
      <c r="AG243" t="s">
        <v>2354</v>
      </c>
      <c r="AH243" t="s">
        <v>563</v>
      </c>
      <c r="AI243" t="s">
        <v>2355</v>
      </c>
    </row>
    <row r="244" spans="2:35" ht="225">
      <c r="B244" s="1">
        <v>46092</v>
      </c>
      <c r="C244" s="1">
        <v>46091</v>
      </c>
      <c r="D244" t="s">
        <v>2356</v>
      </c>
      <c r="E244" t="s">
        <v>2357</v>
      </c>
      <c r="F244" t="s">
        <v>148</v>
      </c>
      <c r="G244" t="s">
        <v>406</v>
      </c>
      <c r="H244" t="s">
        <v>39</v>
      </c>
      <c r="I244" t="s">
        <v>40</v>
      </c>
      <c r="J244" s="2" t="s">
        <v>190</v>
      </c>
      <c r="K244" t="s">
        <v>42</v>
      </c>
      <c r="L244" t="s">
        <v>43</v>
      </c>
      <c r="N244" t="s">
        <v>44</v>
      </c>
      <c r="Q244">
        <v>32305</v>
      </c>
      <c r="R244" t="s">
        <v>45</v>
      </c>
      <c r="S244" t="s">
        <v>797</v>
      </c>
      <c r="T244">
        <v>24</v>
      </c>
      <c r="U244" s="2" t="s">
        <v>2358</v>
      </c>
      <c r="W244" t="s">
        <v>1967</v>
      </c>
      <c r="X244">
        <v>807452</v>
      </c>
      <c r="Y244" s="2" t="s">
        <v>2359</v>
      </c>
      <c r="Z244" t="s">
        <v>122</v>
      </c>
      <c r="AA244" s="2" t="s">
        <v>2360</v>
      </c>
      <c r="AB244" t="s">
        <v>1104</v>
      </c>
      <c r="AG244" t="s">
        <v>2361</v>
      </c>
      <c r="AH244" t="s">
        <v>2362</v>
      </c>
      <c r="AI244" t="s">
        <v>2363</v>
      </c>
    </row>
    <row r="245" spans="2:35" ht="409.5">
      <c r="B245" s="1">
        <v>46091</v>
      </c>
      <c r="C245" s="1">
        <v>46090</v>
      </c>
      <c r="D245" t="s">
        <v>2364</v>
      </c>
      <c r="E245" t="s">
        <v>2365</v>
      </c>
      <c r="F245">
        <v>12</v>
      </c>
      <c r="G245" t="s">
        <v>978</v>
      </c>
      <c r="H245" t="s">
        <v>1473</v>
      </c>
      <c r="I245" t="s">
        <v>94</v>
      </c>
      <c r="J245" s="2" t="s">
        <v>62</v>
      </c>
      <c r="K245" t="s">
        <v>42</v>
      </c>
      <c r="L245" t="s">
        <v>296</v>
      </c>
      <c r="N245" t="s">
        <v>297</v>
      </c>
      <c r="Q245">
        <v>32303</v>
      </c>
      <c r="R245" t="s">
        <v>45</v>
      </c>
      <c r="S245" t="s">
        <v>2366</v>
      </c>
      <c r="T245">
        <v>22.9</v>
      </c>
      <c r="U245" s="2" t="s">
        <v>2367</v>
      </c>
      <c r="W245" t="s">
        <v>981</v>
      </c>
      <c r="X245">
        <v>815428</v>
      </c>
      <c r="Y245" t="s">
        <v>2060</v>
      </c>
      <c r="Z245" s="2" t="s">
        <v>2368</v>
      </c>
      <c r="AA245" s="2" t="s">
        <v>2369</v>
      </c>
      <c r="AB245" s="2" t="s">
        <v>2370</v>
      </c>
      <c r="AG245" t="s">
        <v>2371</v>
      </c>
      <c r="AH245" t="s">
        <v>2372</v>
      </c>
      <c r="AI245" t="s">
        <v>2373</v>
      </c>
    </row>
    <row r="246" spans="2:35" ht="390">
      <c r="B246" s="1">
        <v>46091</v>
      </c>
      <c r="C246" s="1">
        <v>46091</v>
      </c>
      <c r="D246" t="s">
        <v>1484</v>
      </c>
      <c r="E246" t="s">
        <v>1485</v>
      </c>
      <c r="F246">
        <v>12</v>
      </c>
      <c r="G246" t="s">
        <v>978</v>
      </c>
      <c r="H246" t="s">
        <v>39</v>
      </c>
      <c r="I246" t="s">
        <v>40</v>
      </c>
      <c r="J246" t="s">
        <v>109</v>
      </c>
      <c r="K246" t="s">
        <v>42</v>
      </c>
      <c r="L246" t="s">
        <v>296</v>
      </c>
      <c r="N246" t="s">
        <v>297</v>
      </c>
      <c r="Q246">
        <v>32302</v>
      </c>
      <c r="R246" t="s">
        <v>45</v>
      </c>
      <c r="S246" t="s">
        <v>2374</v>
      </c>
      <c r="T246">
        <v>24.4</v>
      </c>
      <c r="U246" s="2" t="s">
        <v>2375</v>
      </c>
      <c r="W246" t="s">
        <v>970</v>
      </c>
      <c r="X246">
        <v>120000172</v>
      </c>
      <c r="Y246" t="s">
        <v>2376</v>
      </c>
      <c r="Z246" s="2" t="s">
        <v>2377</v>
      </c>
      <c r="AA246" t="s">
        <v>303</v>
      </c>
      <c r="AB246" t="s">
        <v>972</v>
      </c>
      <c r="AG246" t="s">
        <v>2378</v>
      </c>
      <c r="AH246" t="s">
        <v>2379</v>
      </c>
      <c r="AI246" t="s">
        <v>2380</v>
      </c>
    </row>
    <row r="247" spans="2:35" ht="105">
      <c r="B247" s="1">
        <v>46091</v>
      </c>
      <c r="C247" s="1">
        <v>46090</v>
      </c>
      <c r="D247" t="s">
        <v>2381</v>
      </c>
      <c r="E247" t="s">
        <v>2382</v>
      </c>
      <c r="F247">
        <v>7</v>
      </c>
      <c r="G247" t="s">
        <v>432</v>
      </c>
      <c r="H247" t="s">
        <v>2290</v>
      </c>
      <c r="I247" t="s">
        <v>94</v>
      </c>
      <c r="J247" t="s">
        <v>79</v>
      </c>
      <c r="K247" t="s">
        <v>42</v>
      </c>
      <c r="L247" t="s">
        <v>610</v>
      </c>
      <c r="N247" t="s">
        <v>611</v>
      </c>
      <c r="Q247">
        <v>32301</v>
      </c>
      <c r="R247" t="s">
        <v>45</v>
      </c>
      <c r="S247" t="s">
        <v>1445</v>
      </c>
      <c r="T247">
        <v>24</v>
      </c>
      <c r="U247" s="2" t="s">
        <v>2383</v>
      </c>
      <c r="W247" t="s">
        <v>2384</v>
      </c>
      <c r="X247">
        <v>808638</v>
      </c>
      <c r="Y247" t="s">
        <v>2385</v>
      </c>
      <c r="Z247" t="s">
        <v>2386</v>
      </c>
      <c r="AA247" t="s">
        <v>2386</v>
      </c>
      <c r="AB247" t="s">
        <v>2387</v>
      </c>
      <c r="AG247" t="s">
        <v>2388</v>
      </c>
      <c r="AH247" t="s">
        <v>1453</v>
      </c>
      <c r="AI247" t="s">
        <v>2389</v>
      </c>
    </row>
    <row r="248" spans="2:35" ht="165">
      <c r="B248" s="1">
        <v>46091</v>
      </c>
      <c r="C248" s="1">
        <v>46091</v>
      </c>
      <c r="D248" t="s">
        <v>2390</v>
      </c>
      <c r="E248" t="s">
        <v>2391</v>
      </c>
      <c r="F248">
        <v>13</v>
      </c>
      <c r="G248" t="s">
        <v>2392</v>
      </c>
      <c r="H248" t="s">
        <v>2125</v>
      </c>
      <c r="I248" t="s">
        <v>40</v>
      </c>
      <c r="J248" s="2" t="s">
        <v>62</v>
      </c>
      <c r="K248" t="s">
        <v>42</v>
      </c>
      <c r="L248" t="s">
        <v>933</v>
      </c>
      <c r="N248" t="s">
        <v>934</v>
      </c>
      <c r="Q248">
        <v>32300</v>
      </c>
      <c r="R248" t="s">
        <v>45</v>
      </c>
      <c r="S248" t="s">
        <v>2393</v>
      </c>
      <c r="T248">
        <v>22</v>
      </c>
      <c r="W248" t="s">
        <v>2394</v>
      </c>
      <c r="X248">
        <v>815272</v>
      </c>
      <c r="Y248" t="s">
        <v>2395</v>
      </c>
      <c r="Z248" t="s">
        <v>2396</v>
      </c>
      <c r="AA248" s="2" t="s">
        <v>2397</v>
      </c>
      <c r="AB248" s="2" t="s">
        <v>2398</v>
      </c>
      <c r="AG248" t="s">
        <v>2399</v>
      </c>
      <c r="AH248" t="s">
        <v>2400</v>
      </c>
      <c r="AI248" t="s">
        <v>2401</v>
      </c>
    </row>
    <row r="249" spans="2:35" ht="60">
      <c r="B249" s="1">
        <v>46091</v>
      </c>
      <c r="C249" s="1">
        <v>46091</v>
      </c>
      <c r="D249" t="s">
        <v>1554</v>
      </c>
      <c r="E249" t="s">
        <v>1555</v>
      </c>
      <c r="F249">
        <v>7</v>
      </c>
      <c r="G249" t="s">
        <v>432</v>
      </c>
      <c r="H249" t="s">
        <v>386</v>
      </c>
      <c r="I249" t="s">
        <v>40</v>
      </c>
      <c r="J249" s="2" t="s">
        <v>62</v>
      </c>
      <c r="K249" t="s">
        <v>387</v>
      </c>
      <c r="L249" t="s">
        <v>433</v>
      </c>
      <c r="N249" t="s">
        <v>434</v>
      </c>
      <c r="Q249">
        <v>32299</v>
      </c>
      <c r="R249" t="s">
        <v>95</v>
      </c>
      <c r="S249" t="s">
        <v>1556</v>
      </c>
      <c r="T249">
        <v>26</v>
      </c>
      <c r="W249" t="s">
        <v>436</v>
      </c>
      <c r="X249" t="s">
        <v>2402</v>
      </c>
      <c r="Y249" t="s">
        <v>2403</v>
      </c>
      <c r="Z249" t="s">
        <v>2404</v>
      </c>
      <c r="AA249" t="s">
        <v>2404</v>
      </c>
      <c r="AB249" t="s">
        <v>1011</v>
      </c>
      <c r="AG249" t="s">
        <v>2405</v>
      </c>
      <c r="AH249" t="s">
        <v>2406</v>
      </c>
      <c r="AI249" t="s">
        <v>2407</v>
      </c>
    </row>
    <row r="250" spans="2:35" ht="240">
      <c r="B250" s="1">
        <v>46091</v>
      </c>
      <c r="C250" s="1">
        <v>46091</v>
      </c>
      <c r="D250" t="s">
        <v>2408</v>
      </c>
      <c r="E250" t="s">
        <v>2409</v>
      </c>
      <c r="F250">
        <v>3</v>
      </c>
      <c r="G250" t="s">
        <v>730</v>
      </c>
      <c r="H250" t="s">
        <v>39</v>
      </c>
      <c r="I250" t="s">
        <v>40</v>
      </c>
      <c r="J250" s="2" t="s">
        <v>41</v>
      </c>
      <c r="K250" t="s">
        <v>42</v>
      </c>
      <c r="L250" t="s">
        <v>135</v>
      </c>
      <c r="N250" t="s">
        <v>136</v>
      </c>
      <c r="Q250">
        <v>32298</v>
      </c>
      <c r="R250" t="s">
        <v>45</v>
      </c>
      <c r="S250" t="s">
        <v>2410</v>
      </c>
      <c r="T250">
        <v>25</v>
      </c>
      <c r="W250" t="s">
        <v>138</v>
      </c>
      <c r="X250">
        <v>807562</v>
      </c>
      <c r="Y250" t="s">
        <v>2411</v>
      </c>
      <c r="Z250" s="2" t="s">
        <v>140</v>
      </c>
      <c r="AA250" s="2" t="s">
        <v>2412</v>
      </c>
      <c r="AB250" s="2" t="s">
        <v>2413</v>
      </c>
      <c r="AG250" t="s">
        <v>2414</v>
      </c>
      <c r="AH250" t="s">
        <v>2415</v>
      </c>
      <c r="AI250" t="s">
        <v>2416</v>
      </c>
    </row>
    <row r="251" spans="2:35" ht="255">
      <c r="B251" s="1">
        <v>46090</v>
      </c>
      <c r="C251" s="1">
        <v>46080</v>
      </c>
      <c r="D251" t="s">
        <v>2417</v>
      </c>
      <c r="E251" t="s">
        <v>2418</v>
      </c>
      <c r="F251" t="s">
        <v>148</v>
      </c>
      <c r="G251" t="s">
        <v>774</v>
      </c>
      <c r="H251" t="s">
        <v>39</v>
      </c>
      <c r="I251" t="s">
        <v>40</v>
      </c>
      <c r="J251" t="s">
        <v>79</v>
      </c>
      <c r="K251" t="s">
        <v>42</v>
      </c>
      <c r="L251" t="s">
        <v>1028</v>
      </c>
      <c r="N251" t="s">
        <v>1029</v>
      </c>
      <c r="Q251">
        <v>32297</v>
      </c>
      <c r="R251" t="s">
        <v>45</v>
      </c>
      <c r="S251" t="s">
        <v>2419</v>
      </c>
      <c r="T251">
        <v>27</v>
      </c>
      <c r="U251" s="2" t="s">
        <v>2420</v>
      </c>
      <c r="W251" t="s">
        <v>1967</v>
      </c>
      <c r="X251">
        <v>807613</v>
      </c>
      <c r="Y251" t="s">
        <v>2421</v>
      </c>
      <c r="Z251" t="s">
        <v>1034</v>
      </c>
      <c r="AA251" s="2" t="s">
        <v>2422</v>
      </c>
      <c r="AB251" s="2" t="s">
        <v>2423</v>
      </c>
      <c r="AG251" t="s">
        <v>2424</v>
      </c>
      <c r="AH251" t="s">
        <v>2425</v>
      </c>
      <c r="AI251" t="s">
        <v>2426</v>
      </c>
    </row>
    <row r="252" spans="2:35" ht="210">
      <c r="B252" s="1">
        <v>46090</v>
      </c>
      <c r="C252" s="1">
        <v>46084</v>
      </c>
      <c r="D252" t="s">
        <v>2427</v>
      </c>
      <c r="E252" t="s">
        <v>2428</v>
      </c>
      <c r="F252" t="s">
        <v>148</v>
      </c>
      <c r="G252" t="s">
        <v>447</v>
      </c>
      <c r="H252" t="s">
        <v>513</v>
      </c>
      <c r="I252" t="s">
        <v>40</v>
      </c>
      <c r="J252" t="s">
        <v>109</v>
      </c>
      <c r="K252" t="s">
        <v>387</v>
      </c>
      <c r="L252" t="s">
        <v>1028</v>
      </c>
      <c r="N252" t="s">
        <v>1029</v>
      </c>
      <c r="Q252">
        <v>32295</v>
      </c>
      <c r="R252" t="s">
        <v>95</v>
      </c>
      <c r="S252" t="s">
        <v>2429</v>
      </c>
      <c r="T252">
        <v>25</v>
      </c>
      <c r="W252" t="s">
        <v>390</v>
      </c>
      <c r="X252" t="s">
        <v>2430</v>
      </c>
      <c r="Y252" t="s">
        <v>2431</v>
      </c>
      <c r="Z252" t="s">
        <v>1548</v>
      </c>
      <c r="AA252" s="2" t="s">
        <v>2432</v>
      </c>
      <c r="AB252" t="s">
        <v>2433</v>
      </c>
      <c r="AG252" t="s">
        <v>2434</v>
      </c>
      <c r="AH252" t="s">
        <v>2435</v>
      </c>
      <c r="AI252" t="s">
        <v>2436</v>
      </c>
    </row>
    <row r="253" spans="2:35" ht="240">
      <c r="B253" s="1">
        <v>46090</v>
      </c>
      <c r="C253" s="1">
        <v>46087</v>
      </c>
      <c r="D253" t="s">
        <v>2437</v>
      </c>
      <c r="E253" t="s">
        <v>2438</v>
      </c>
      <c r="F253" t="s">
        <v>37</v>
      </c>
      <c r="G253" t="s">
        <v>748</v>
      </c>
      <c r="H253" t="s">
        <v>39</v>
      </c>
      <c r="I253" t="s">
        <v>40</v>
      </c>
      <c r="J253" t="s">
        <v>79</v>
      </c>
      <c r="K253" t="s">
        <v>42</v>
      </c>
      <c r="L253" t="s">
        <v>1028</v>
      </c>
      <c r="N253" t="s">
        <v>1029</v>
      </c>
      <c r="Q253">
        <v>32296</v>
      </c>
      <c r="R253" t="s">
        <v>45</v>
      </c>
      <c r="S253" t="s">
        <v>2439</v>
      </c>
      <c r="T253">
        <v>25</v>
      </c>
      <c r="U253" s="2" t="s">
        <v>2440</v>
      </c>
      <c r="W253" t="s">
        <v>2441</v>
      </c>
      <c r="X253">
        <v>802860</v>
      </c>
      <c r="Y253" t="s">
        <v>2442</v>
      </c>
      <c r="Z253" t="s">
        <v>2443</v>
      </c>
      <c r="AA253" s="2" t="s">
        <v>2444</v>
      </c>
      <c r="AB253" s="2" t="s">
        <v>2445</v>
      </c>
      <c r="AG253" t="s">
        <v>2446</v>
      </c>
      <c r="AH253" t="s">
        <v>2447</v>
      </c>
      <c r="AI253" t="s">
        <v>2448</v>
      </c>
    </row>
    <row r="254" spans="2:35" ht="240">
      <c r="B254" s="1">
        <v>46090</v>
      </c>
      <c r="C254" s="1">
        <v>46085</v>
      </c>
      <c r="D254" t="s">
        <v>2449</v>
      </c>
      <c r="E254" t="s">
        <v>2450</v>
      </c>
      <c r="F254" t="s">
        <v>148</v>
      </c>
      <c r="G254" t="s">
        <v>1964</v>
      </c>
      <c r="H254" t="s">
        <v>39</v>
      </c>
      <c r="I254" t="s">
        <v>40</v>
      </c>
      <c r="J254" s="2" t="s">
        <v>41</v>
      </c>
      <c r="K254" t="s">
        <v>42</v>
      </c>
      <c r="L254" t="s">
        <v>1028</v>
      </c>
      <c r="N254" t="s">
        <v>1029</v>
      </c>
      <c r="Q254">
        <v>32294</v>
      </c>
      <c r="R254" t="s">
        <v>119</v>
      </c>
      <c r="S254" t="s">
        <v>2451</v>
      </c>
      <c r="T254">
        <v>24</v>
      </c>
      <c r="U254" s="2" t="s">
        <v>2452</v>
      </c>
      <c r="W254" t="s">
        <v>1967</v>
      </c>
      <c r="X254">
        <v>831898</v>
      </c>
      <c r="Y254" t="s">
        <v>2453</v>
      </c>
      <c r="Z254" s="2" t="s">
        <v>2454</v>
      </c>
      <c r="AA254" s="2" t="s">
        <v>2455</v>
      </c>
      <c r="AB254" s="2" t="s">
        <v>2456</v>
      </c>
      <c r="AG254" t="s">
        <v>2457</v>
      </c>
      <c r="AH254" t="s">
        <v>2458</v>
      </c>
      <c r="AI254" t="s">
        <v>2459</v>
      </c>
    </row>
    <row r="255" spans="2:35" ht="345">
      <c r="B255" s="1">
        <v>46090</v>
      </c>
      <c r="C255" s="1">
        <v>46086</v>
      </c>
      <c r="D255" t="s">
        <v>2460</v>
      </c>
      <c r="E255" t="s">
        <v>2461</v>
      </c>
      <c r="F255" t="s">
        <v>37</v>
      </c>
      <c r="G255" t="s">
        <v>189</v>
      </c>
      <c r="H255" t="s">
        <v>39</v>
      </c>
      <c r="I255" t="s">
        <v>40</v>
      </c>
      <c r="J255" s="2" t="s">
        <v>62</v>
      </c>
      <c r="K255" t="s">
        <v>42</v>
      </c>
      <c r="L255" t="s">
        <v>1028</v>
      </c>
      <c r="N255" t="s">
        <v>1029</v>
      </c>
      <c r="Q255">
        <v>32293</v>
      </c>
      <c r="R255" t="s">
        <v>45</v>
      </c>
      <c r="S255" t="s">
        <v>2462</v>
      </c>
      <c r="T255">
        <v>22</v>
      </c>
      <c r="U255" s="2" t="s">
        <v>2463</v>
      </c>
      <c r="W255" t="s">
        <v>1967</v>
      </c>
      <c r="X255">
        <v>805259</v>
      </c>
      <c r="Y255" t="s">
        <v>2464</v>
      </c>
      <c r="Z255" s="2" t="s">
        <v>2454</v>
      </c>
      <c r="AA255" s="2" t="s">
        <v>2465</v>
      </c>
      <c r="AB255" s="2" t="s">
        <v>2466</v>
      </c>
      <c r="AG255" t="s">
        <v>2467</v>
      </c>
      <c r="AH255" t="s">
        <v>2468</v>
      </c>
      <c r="AI255" t="s">
        <v>2469</v>
      </c>
    </row>
    <row r="256" spans="2:35" ht="120">
      <c r="B256" s="1">
        <v>46090</v>
      </c>
      <c r="C256" s="1">
        <v>46090</v>
      </c>
      <c r="D256" t="s">
        <v>2470</v>
      </c>
      <c r="E256" t="s">
        <v>229</v>
      </c>
      <c r="F256" t="s">
        <v>148</v>
      </c>
      <c r="G256" t="s">
        <v>230</v>
      </c>
      <c r="H256" t="s">
        <v>513</v>
      </c>
      <c r="I256" t="s">
        <v>40</v>
      </c>
      <c r="J256" t="s">
        <v>79</v>
      </c>
      <c r="K256" t="s">
        <v>387</v>
      </c>
      <c r="L256" t="s">
        <v>175</v>
      </c>
      <c r="N256" t="s">
        <v>176</v>
      </c>
      <c r="Q256">
        <v>32292</v>
      </c>
      <c r="R256" t="s">
        <v>322</v>
      </c>
      <c r="S256" t="s">
        <v>2471</v>
      </c>
      <c r="T256">
        <v>25</v>
      </c>
      <c r="V256" s="1">
        <v>46086</v>
      </c>
      <c r="W256" t="s">
        <v>390</v>
      </c>
      <c r="X256" t="s">
        <v>2472</v>
      </c>
      <c r="Y256" t="s">
        <v>2473</v>
      </c>
      <c r="Z256" s="2" t="s">
        <v>2474</v>
      </c>
      <c r="AA256" t="e">
        <f ca="1">- replaced CPU board
- adjusted CALIBRATION parameters to acceptable range
- performed self test</f>
        <v>#NAME?</v>
      </c>
      <c r="AB256" t="s">
        <v>181</v>
      </c>
      <c r="AD256" s="2" t="s">
        <v>2475</v>
      </c>
      <c r="AE256">
        <v>13791</v>
      </c>
      <c r="AG256" t="s">
        <v>2476</v>
      </c>
      <c r="AH256" t="s">
        <v>2477</v>
      </c>
      <c r="AI256" t="s">
        <v>2478</v>
      </c>
    </row>
    <row r="257" spans="2:35" ht="180">
      <c r="B257" s="1">
        <v>46090</v>
      </c>
      <c r="C257" s="1">
        <v>46090</v>
      </c>
      <c r="D257" t="s">
        <v>2479</v>
      </c>
      <c r="E257" t="s">
        <v>2480</v>
      </c>
      <c r="F257">
        <v>7</v>
      </c>
      <c r="G257" t="s">
        <v>269</v>
      </c>
      <c r="H257" t="s">
        <v>39</v>
      </c>
      <c r="I257" t="s">
        <v>94</v>
      </c>
      <c r="J257" s="2" t="s">
        <v>190</v>
      </c>
      <c r="K257" t="s">
        <v>42</v>
      </c>
      <c r="L257" t="s">
        <v>270</v>
      </c>
      <c r="N257" t="s">
        <v>2481</v>
      </c>
      <c r="Q257">
        <v>32291</v>
      </c>
      <c r="R257" t="s">
        <v>45</v>
      </c>
      <c r="S257" t="s">
        <v>2482</v>
      </c>
      <c r="T257">
        <v>22</v>
      </c>
      <c r="U257" s="2" t="s">
        <v>2483</v>
      </c>
      <c r="W257" t="s">
        <v>2484</v>
      </c>
      <c r="X257">
        <v>835059</v>
      </c>
      <c r="Y257" s="2" t="s">
        <v>2485</v>
      </c>
      <c r="Z257" t="s">
        <v>449</v>
      </c>
      <c r="AA257" t="e">
        <f ca="1">- Reset module B1 internal LAN
- Reset Gateway board
- replaced CMOS bettery</f>
        <v>#NAME?</v>
      </c>
      <c r="AB257" t="e">
        <f ca="1">- module B1 SN problem _xludf.not resolved, still HW Fail.
- module B2 with temperature -related errors.
- system/_xludf.Date _xludf.time corrected after CMOS battery Replacement</f>
        <v>#NAME?</v>
      </c>
      <c r="AG257" t="s">
        <v>2486</v>
      </c>
      <c r="AH257" t="s">
        <v>2487</v>
      </c>
      <c r="AI257" t="s">
        <v>2488</v>
      </c>
    </row>
    <row r="258" spans="2:35" ht="105">
      <c r="B258" s="1">
        <v>46090</v>
      </c>
      <c r="C258" s="1">
        <v>46087</v>
      </c>
      <c r="D258" t="s">
        <v>2489</v>
      </c>
      <c r="E258" t="s">
        <v>2490</v>
      </c>
      <c r="F258">
        <v>8</v>
      </c>
      <c r="G258" t="s">
        <v>342</v>
      </c>
      <c r="H258" t="s">
        <v>1498</v>
      </c>
      <c r="I258" t="s">
        <v>40</v>
      </c>
      <c r="J258" s="2" t="s">
        <v>2491</v>
      </c>
      <c r="K258" t="s">
        <v>42</v>
      </c>
      <c r="L258" t="s">
        <v>343</v>
      </c>
      <c r="N258" t="s">
        <v>344</v>
      </c>
      <c r="Q258">
        <v>32290</v>
      </c>
      <c r="R258" t="s">
        <v>45</v>
      </c>
      <c r="S258" t="s">
        <v>2492</v>
      </c>
      <c r="T258">
        <v>27</v>
      </c>
      <c r="U258" s="2" t="s">
        <v>2493</v>
      </c>
      <c r="W258" t="s">
        <v>1501</v>
      </c>
      <c r="X258">
        <v>838143</v>
      </c>
      <c r="Y258" t="s">
        <v>301</v>
      </c>
      <c r="Z258" t="s">
        <v>301</v>
      </c>
      <c r="AA258" t="e">
        <f ca="1">-Data Gather
-Preventive Maintenance</f>
        <v>#NAME?</v>
      </c>
      <c r="AB258" t="s">
        <v>348</v>
      </c>
      <c r="AG258" t="s">
        <v>2494</v>
      </c>
      <c r="AH258" t="s">
        <v>2495</v>
      </c>
      <c r="AI258" t="s">
        <v>2496</v>
      </c>
    </row>
    <row r="259" spans="2:35" ht="240">
      <c r="B259" s="1">
        <v>46090</v>
      </c>
      <c r="C259" s="1">
        <v>46087</v>
      </c>
      <c r="D259" t="s">
        <v>2497</v>
      </c>
      <c r="E259" t="s">
        <v>2498</v>
      </c>
      <c r="F259" t="s">
        <v>37</v>
      </c>
      <c r="G259" t="s">
        <v>2499</v>
      </c>
      <c r="H259" t="s">
        <v>39</v>
      </c>
      <c r="I259" t="s">
        <v>40</v>
      </c>
      <c r="J259" s="2" t="s">
        <v>1309</v>
      </c>
      <c r="K259" t="s">
        <v>42</v>
      </c>
      <c r="L259" t="s">
        <v>43</v>
      </c>
      <c r="N259" t="s">
        <v>44</v>
      </c>
      <c r="Q259">
        <v>32288</v>
      </c>
      <c r="R259" t="s">
        <v>45</v>
      </c>
      <c r="S259" t="s">
        <v>2500</v>
      </c>
      <c r="T259">
        <v>24</v>
      </c>
      <c r="U259" s="2" t="s">
        <v>2501</v>
      </c>
      <c r="V259" s="1">
        <v>46087</v>
      </c>
      <c r="W259" t="s">
        <v>48</v>
      </c>
      <c r="X259">
        <v>807462</v>
      </c>
      <c r="Y259" s="2" t="s">
        <v>2502</v>
      </c>
      <c r="Z259" s="2" t="s">
        <v>2503</v>
      </c>
      <c r="AA259" s="2" t="s">
        <v>2504</v>
      </c>
      <c r="AB259" t="s">
        <v>2505</v>
      </c>
      <c r="AD259" s="2" t="s">
        <v>2506</v>
      </c>
      <c r="AE259" t="s">
        <v>54</v>
      </c>
      <c r="AG259" t="s">
        <v>2507</v>
      </c>
      <c r="AH259" t="s">
        <v>2508</v>
      </c>
      <c r="AI259" t="s">
        <v>2509</v>
      </c>
    </row>
    <row r="260" spans="2:35" ht="195">
      <c r="B260" s="1">
        <v>46090</v>
      </c>
      <c r="C260" s="1">
        <v>46087</v>
      </c>
      <c r="D260" t="s">
        <v>2510</v>
      </c>
      <c r="E260" t="s">
        <v>2511</v>
      </c>
      <c r="F260" t="s">
        <v>37</v>
      </c>
      <c r="G260" t="s">
        <v>2499</v>
      </c>
      <c r="H260" t="s">
        <v>39</v>
      </c>
      <c r="I260" t="s">
        <v>40</v>
      </c>
      <c r="J260" s="2" t="s">
        <v>41</v>
      </c>
      <c r="K260" t="s">
        <v>42</v>
      </c>
      <c r="L260" t="s">
        <v>43</v>
      </c>
      <c r="N260" t="s">
        <v>44</v>
      </c>
      <c r="Q260">
        <v>32289</v>
      </c>
      <c r="R260" t="s">
        <v>119</v>
      </c>
      <c r="S260" t="s">
        <v>2512</v>
      </c>
      <c r="T260">
        <v>22</v>
      </c>
      <c r="U260" s="2" t="s">
        <v>2513</v>
      </c>
      <c r="V260" s="1">
        <v>46087</v>
      </c>
      <c r="W260" t="s">
        <v>48</v>
      </c>
      <c r="X260">
        <v>831890</v>
      </c>
      <c r="Y260" t="s">
        <v>2514</v>
      </c>
      <c r="Z260" t="s">
        <v>233</v>
      </c>
      <c r="AA260" s="2" t="s">
        <v>2515</v>
      </c>
      <c r="AB260" t="s">
        <v>548</v>
      </c>
      <c r="AD260" s="2" t="s">
        <v>2516</v>
      </c>
      <c r="AE260" t="s">
        <v>54</v>
      </c>
      <c r="AG260" t="s">
        <v>2517</v>
      </c>
      <c r="AH260" t="s">
        <v>2518</v>
      </c>
      <c r="AI260" t="s">
        <v>2519</v>
      </c>
    </row>
    <row r="261" spans="2:35" ht="195">
      <c r="B261" s="1">
        <v>46090</v>
      </c>
      <c r="C261" s="1">
        <v>46086</v>
      </c>
      <c r="D261" t="s">
        <v>2520</v>
      </c>
      <c r="E261" t="s">
        <v>2521</v>
      </c>
      <c r="F261" t="s">
        <v>37</v>
      </c>
      <c r="G261" t="s">
        <v>2499</v>
      </c>
      <c r="H261" t="s">
        <v>39</v>
      </c>
      <c r="I261" t="s">
        <v>40</v>
      </c>
      <c r="J261" s="2" t="s">
        <v>41</v>
      </c>
      <c r="K261" t="s">
        <v>42</v>
      </c>
      <c r="L261" t="s">
        <v>43</v>
      </c>
      <c r="N261" t="s">
        <v>44</v>
      </c>
      <c r="Q261">
        <v>32287</v>
      </c>
      <c r="R261" t="s">
        <v>119</v>
      </c>
      <c r="S261" t="s">
        <v>2522</v>
      </c>
      <c r="T261">
        <v>22</v>
      </c>
      <c r="U261" s="2" t="s">
        <v>2523</v>
      </c>
      <c r="V261" s="1">
        <v>46086</v>
      </c>
      <c r="W261" t="s">
        <v>48</v>
      </c>
      <c r="X261">
        <v>831910</v>
      </c>
      <c r="Y261" t="s">
        <v>49</v>
      </c>
      <c r="Z261" t="s">
        <v>50</v>
      </c>
      <c r="AA261" s="2" t="s">
        <v>51</v>
      </c>
      <c r="AB261" t="s">
        <v>2524</v>
      </c>
      <c r="AD261" s="2" t="s">
        <v>2525</v>
      </c>
      <c r="AE261" t="s">
        <v>54</v>
      </c>
      <c r="AG261" t="s">
        <v>2526</v>
      </c>
      <c r="AH261" t="s">
        <v>2527</v>
      </c>
      <c r="AI261" t="s">
        <v>2528</v>
      </c>
    </row>
    <row r="262" spans="2:35" ht="285">
      <c r="B262" s="1">
        <v>46090</v>
      </c>
      <c r="C262" s="1">
        <v>46086</v>
      </c>
      <c r="D262" t="s">
        <v>2529</v>
      </c>
      <c r="E262" t="s">
        <v>2530</v>
      </c>
      <c r="F262" t="s">
        <v>37</v>
      </c>
      <c r="G262" t="s">
        <v>2499</v>
      </c>
      <c r="H262" t="s">
        <v>39</v>
      </c>
      <c r="I262" t="s">
        <v>40</v>
      </c>
      <c r="J262" s="2" t="s">
        <v>41</v>
      </c>
      <c r="K262" t="s">
        <v>42</v>
      </c>
      <c r="L262" t="s">
        <v>43</v>
      </c>
      <c r="N262" t="s">
        <v>44</v>
      </c>
      <c r="Q262">
        <v>32285</v>
      </c>
      <c r="R262" t="s">
        <v>45</v>
      </c>
      <c r="S262" t="s">
        <v>2531</v>
      </c>
      <c r="T262">
        <v>24</v>
      </c>
      <c r="U262" s="2" t="s">
        <v>2532</v>
      </c>
      <c r="V262" s="1">
        <v>46086</v>
      </c>
      <c r="W262" t="s">
        <v>48</v>
      </c>
      <c r="X262">
        <v>804692</v>
      </c>
      <c r="Y262" t="s">
        <v>49</v>
      </c>
      <c r="Z262" t="s">
        <v>50</v>
      </c>
      <c r="AA262" s="2" t="s">
        <v>2533</v>
      </c>
      <c r="AB262" t="s">
        <v>548</v>
      </c>
      <c r="AD262" s="2" t="s">
        <v>2534</v>
      </c>
      <c r="AE262" t="s">
        <v>54</v>
      </c>
      <c r="AG262" t="s">
        <v>2535</v>
      </c>
      <c r="AH262" t="s">
        <v>2536</v>
      </c>
      <c r="AI262" t="s">
        <v>2537</v>
      </c>
    </row>
    <row r="263" spans="2:35" ht="270">
      <c r="B263" s="1">
        <v>46090</v>
      </c>
      <c r="C263" s="1">
        <v>46086</v>
      </c>
      <c r="D263" t="s">
        <v>2529</v>
      </c>
      <c r="E263" t="s">
        <v>2530</v>
      </c>
      <c r="F263" t="s">
        <v>37</v>
      </c>
      <c r="G263" t="s">
        <v>2499</v>
      </c>
      <c r="H263" t="s">
        <v>39</v>
      </c>
      <c r="I263" t="s">
        <v>40</v>
      </c>
      <c r="J263" t="s">
        <v>109</v>
      </c>
      <c r="K263" t="s">
        <v>42</v>
      </c>
      <c r="L263" t="s">
        <v>43</v>
      </c>
      <c r="N263" t="s">
        <v>44</v>
      </c>
      <c r="Q263">
        <v>32286</v>
      </c>
      <c r="R263" t="s">
        <v>45</v>
      </c>
      <c r="S263" t="s">
        <v>2531</v>
      </c>
      <c r="T263">
        <v>24</v>
      </c>
      <c r="U263" s="2" t="s">
        <v>2538</v>
      </c>
      <c r="W263" t="s">
        <v>153</v>
      </c>
      <c r="X263">
        <v>10019627</v>
      </c>
      <c r="Y263" t="s">
        <v>121</v>
      </c>
      <c r="Z263" t="s">
        <v>122</v>
      </c>
      <c r="AA263" s="2" t="s">
        <v>2539</v>
      </c>
      <c r="AB263" t="s">
        <v>990</v>
      </c>
      <c r="AG263" t="s">
        <v>2540</v>
      </c>
      <c r="AH263" t="s">
        <v>2536</v>
      </c>
      <c r="AI263" t="s">
        <v>2541</v>
      </c>
    </row>
    <row r="264" spans="2:35" ht="409.5">
      <c r="B264" s="1">
        <v>46090</v>
      </c>
      <c r="C264" s="1">
        <v>46090</v>
      </c>
      <c r="D264" t="s">
        <v>2364</v>
      </c>
      <c r="E264" t="s">
        <v>2542</v>
      </c>
      <c r="F264">
        <v>12</v>
      </c>
      <c r="G264" t="s">
        <v>978</v>
      </c>
      <c r="H264" t="s">
        <v>1473</v>
      </c>
      <c r="I264" t="s">
        <v>40</v>
      </c>
      <c r="J264" s="2" t="s">
        <v>62</v>
      </c>
      <c r="K264" t="s">
        <v>42</v>
      </c>
      <c r="L264" t="s">
        <v>296</v>
      </c>
      <c r="N264" t="s">
        <v>297</v>
      </c>
      <c r="Q264">
        <v>32284</v>
      </c>
      <c r="R264" t="s">
        <v>119</v>
      </c>
      <c r="S264" t="s">
        <v>2366</v>
      </c>
      <c r="T264">
        <v>23.4</v>
      </c>
      <c r="W264" t="s">
        <v>981</v>
      </c>
      <c r="X264">
        <v>838570</v>
      </c>
      <c r="Y264" t="s">
        <v>2060</v>
      </c>
      <c r="Z264" s="2" t="s">
        <v>2368</v>
      </c>
      <c r="AA264" s="2" t="s">
        <v>2543</v>
      </c>
      <c r="AB264" s="2" t="s">
        <v>2544</v>
      </c>
      <c r="AG264" t="s">
        <v>2545</v>
      </c>
      <c r="AH264" t="s">
        <v>2372</v>
      </c>
      <c r="AI264" t="s">
        <v>2546</v>
      </c>
    </row>
    <row r="265" spans="2:35" ht="409.5">
      <c r="B265" s="1">
        <v>46090</v>
      </c>
      <c r="C265" s="1">
        <v>46086</v>
      </c>
      <c r="D265" t="s">
        <v>1203</v>
      </c>
      <c r="E265" t="s">
        <v>2547</v>
      </c>
      <c r="F265">
        <v>11</v>
      </c>
      <c r="G265" t="s">
        <v>1205</v>
      </c>
      <c r="H265" t="s">
        <v>2548</v>
      </c>
      <c r="I265" t="s">
        <v>40</v>
      </c>
      <c r="J265" t="s">
        <v>109</v>
      </c>
      <c r="K265" t="s">
        <v>42</v>
      </c>
      <c r="L265" t="s">
        <v>204</v>
      </c>
      <c r="N265" t="s">
        <v>205</v>
      </c>
      <c r="Q265">
        <v>32283</v>
      </c>
      <c r="R265" t="s">
        <v>967</v>
      </c>
      <c r="S265" t="s">
        <v>1206</v>
      </c>
      <c r="T265">
        <v>27.8</v>
      </c>
      <c r="U265" s="2" t="s">
        <v>2549</v>
      </c>
      <c r="W265" t="s">
        <v>2550</v>
      </c>
      <c r="X265">
        <v>110023505</v>
      </c>
      <c r="Y265" t="s">
        <v>1052</v>
      </c>
      <c r="Z265" s="2" t="s">
        <v>1892</v>
      </c>
      <c r="AA265" t="s">
        <v>2551</v>
      </c>
      <c r="AB265" s="2" t="s">
        <v>2552</v>
      </c>
      <c r="AG265" t="s">
        <v>2553</v>
      </c>
      <c r="AH265" t="s">
        <v>1214</v>
      </c>
      <c r="AI265" t="s">
        <v>2554</v>
      </c>
    </row>
    <row r="266" spans="2:35" ht="409.5">
      <c r="B266" s="1">
        <v>46090</v>
      </c>
      <c r="C266" s="1">
        <v>46086</v>
      </c>
      <c r="D266" t="s">
        <v>1203</v>
      </c>
      <c r="E266" t="s">
        <v>2555</v>
      </c>
      <c r="F266">
        <v>11</v>
      </c>
      <c r="G266" t="s">
        <v>1205</v>
      </c>
      <c r="H266" t="s">
        <v>2548</v>
      </c>
      <c r="I266" t="s">
        <v>40</v>
      </c>
      <c r="J266" s="2" t="s">
        <v>2556</v>
      </c>
      <c r="K266" t="s">
        <v>42</v>
      </c>
      <c r="L266" t="s">
        <v>204</v>
      </c>
      <c r="N266" t="s">
        <v>205</v>
      </c>
      <c r="Q266">
        <v>32282</v>
      </c>
      <c r="R266" t="s">
        <v>967</v>
      </c>
      <c r="S266" t="s">
        <v>1206</v>
      </c>
      <c r="T266">
        <v>27.5</v>
      </c>
      <c r="U266" s="2" t="s">
        <v>2557</v>
      </c>
      <c r="V266" s="1">
        <v>46064</v>
      </c>
      <c r="W266" t="s">
        <v>2550</v>
      </c>
      <c r="X266">
        <v>110023506</v>
      </c>
      <c r="Y266" s="2" t="s">
        <v>2558</v>
      </c>
      <c r="Z266" s="2" t="s">
        <v>2559</v>
      </c>
      <c r="AA266" t="s">
        <v>2560</v>
      </c>
      <c r="AB266" s="2" t="s">
        <v>2561</v>
      </c>
      <c r="AD266" t="s">
        <v>2562</v>
      </c>
      <c r="AE266" t="s">
        <v>2563</v>
      </c>
      <c r="AG266" t="s">
        <v>2564</v>
      </c>
      <c r="AH266" t="s">
        <v>1214</v>
      </c>
      <c r="AI266" t="s">
        <v>2565</v>
      </c>
    </row>
    <row r="267" spans="2:35" ht="409.5">
      <c r="B267" s="1">
        <v>46090</v>
      </c>
      <c r="C267" s="1">
        <v>46086</v>
      </c>
      <c r="D267" t="s">
        <v>1203</v>
      </c>
      <c r="E267" t="s">
        <v>2555</v>
      </c>
      <c r="F267">
        <v>11</v>
      </c>
      <c r="G267" t="s">
        <v>1205</v>
      </c>
      <c r="H267" t="s">
        <v>2548</v>
      </c>
      <c r="I267" t="s">
        <v>40</v>
      </c>
      <c r="J267" s="2" t="s">
        <v>2556</v>
      </c>
      <c r="K267" t="s">
        <v>42</v>
      </c>
      <c r="L267" t="s">
        <v>204</v>
      </c>
      <c r="N267" t="s">
        <v>205</v>
      </c>
      <c r="Q267">
        <v>32281</v>
      </c>
      <c r="R267" t="s">
        <v>967</v>
      </c>
      <c r="S267" t="s">
        <v>1206</v>
      </c>
      <c r="T267">
        <v>27.5</v>
      </c>
      <c r="U267" s="2" t="s">
        <v>2557</v>
      </c>
      <c r="V267" s="1">
        <v>46064</v>
      </c>
      <c r="W267" t="s">
        <v>2550</v>
      </c>
      <c r="X267">
        <v>110023506</v>
      </c>
      <c r="Y267" s="2" t="s">
        <v>2558</v>
      </c>
      <c r="Z267" s="2" t="s">
        <v>2559</v>
      </c>
      <c r="AA267" t="s">
        <v>2560</v>
      </c>
      <c r="AB267" s="2" t="s">
        <v>2561</v>
      </c>
      <c r="AD267" t="s">
        <v>2562</v>
      </c>
      <c r="AE267" t="s">
        <v>2563</v>
      </c>
      <c r="AG267" t="s">
        <v>2566</v>
      </c>
      <c r="AH267" t="s">
        <v>1214</v>
      </c>
      <c r="AI267" t="s">
        <v>2567</v>
      </c>
    </row>
    <row r="268" spans="2:35" ht="409.5">
      <c r="B268" s="1">
        <v>46090</v>
      </c>
      <c r="C268" s="1">
        <v>46085</v>
      </c>
      <c r="D268" t="s">
        <v>2568</v>
      </c>
      <c r="E268" t="s">
        <v>2569</v>
      </c>
      <c r="F268" t="s">
        <v>148</v>
      </c>
      <c r="G268" t="s">
        <v>447</v>
      </c>
      <c r="H268" t="s">
        <v>2570</v>
      </c>
      <c r="I268" t="s">
        <v>40</v>
      </c>
      <c r="J268" t="s">
        <v>525</v>
      </c>
      <c r="K268" t="s">
        <v>42</v>
      </c>
      <c r="L268" t="s">
        <v>448</v>
      </c>
      <c r="N268" t="s">
        <v>650</v>
      </c>
      <c r="Q268">
        <v>32280</v>
      </c>
      <c r="R268" t="s">
        <v>95</v>
      </c>
      <c r="S268" t="s">
        <v>2571</v>
      </c>
      <c r="T268">
        <v>27</v>
      </c>
      <c r="U268" s="2" t="s">
        <v>2572</v>
      </c>
      <c r="W268" t="s">
        <v>2573</v>
      </c>
      <c r="X268">
        <v>807155</v>
      </c>
      <c r="Y268" t="s">
        <v>2574</v>
      </c>
      <c r="Z268" s="2" t="s">
        <v>2575</v>
      </c>
      <c r="AA268" t="s">
        <v>768</v>
      </c>
      <c r="AB268" s="2" t="s">
        <v>2576</v>
      </c>
      <c r="AG268" t="s">
        <v>2577</v>
      </c>
      <c r="AH268" t="s">
        <v>2578</v>
      </c>
      <c r="AI268" t="s">
        <v>2579</v>
      </c>
    </row>
    <row r="269" spans="2:35" ht="255">
      <c r="B269" s="1">
        <v>46090</v>
      </c>
      <c r="C269" s="1">
        <v>46085</v>
      </c>
      <c r="D269" t="s">
        <v>2176</v>
      </c>
      <c r="E269" t="s">
        <v>2580</v>
      </c>
      <c r="F269" t="s">
        <v>148</v>
      </c>
      <c r="G269" t="s">
        <v>447</v>
      </c>
      <c r="H269" t="s">
        <v>2581</v>
      </c>
      <c r="I269" t="s">
        <v>94</v>
      </c>
      <c r="J269" t="s">
        <v>79</v>
      </c>
      <c r="K269" t="s">
        <v>42</v>
      </c>
      <c r="L269" t="s">
        <v>448</v>
      </c>
      <c r="N269" t="s">
        <v>650</v>
      </c>
      <c r="Q269">
        <v>32279</v>
      </c>
      <c r="R269" t="s">
        <v>45</v>
      </c>
      <c r="S269" t="s">
        <v>2582</v>
      </c>
      <c r="T269">
        <v>20</v>
      </c>
      <c r="U269" s="2" t="s">
        <v>2583</v>
      </c>
      <c r="W269" t="s">
        <v>895</v>
      </c>
      <c r="X269">
        <v>803087</v>
      </c>
      <c r="Y269" t="s">
        <v>2584</v>
      </c>
      <c r="Z269" s="2" t="s">
        <v>2585</v>
      </c>
      <c r="AA269" t="s">
        <v>456</v>
      </c>
      <c r="AB269" t="s">
        <v>2586</v>
      </c>
      <c r="AG269" t="s">
        <v>2587</v>
      </c>
      <c r="AH269" t="s">
        <v>2588</v>
      </c>
      <c r="AI269" t="s">
        <v>2589</v>
      </c>
    </row>
    <row r="270" spans="2:35" ht="240">
      <c r="B270" s="1">
        <v>46090</v>
      </c>
      <c r="C270" s="1">
        <v>46087</v>
      </c>
      <c r="D270" t="s">
        <v>2176</v>
      </c>
      <c r="E270" t="s">
        <v>2580</v>
      </c>
      <c r="F270" t="s">
        <v>148</v>
      </c>
      <c r="G270" t="s">
        <v>447</v>
      </c>
      <c r="H270" t="s">
        <v>2581</v>
      </c>
      <c r="I270" t="s">
        <v>40</v>
      </c>
      <c r="J270" t="s">
        <v>321</v>
      </c>
      <c r="K270" t="s">
        <v>42</v>
      </c>
      <c r="L270" t="s">
        <v>448</v>
      </c>
      <c r="N270" t="s">
        <v>650</v>
      </c>
      <c r="Q270">
        <v>32278</v>
      </c>
      <c r="R270" t="s">
        <v>322</v>
      </c>
      <c r="S270" t="s">
        <v>2590</v>
      </c>
      <c r="T270">
        <v>25</v>
      </c>
      <c r="W270" t="s">
        <v>2591</v>
      </c>
      <c r="X270">
        <v>120007667</v>
      </c>
      <c r="Y270" t="s">
        <v>750</v>
      </c>
      <c r="Z270" s="2" t="s">
        <v>2592</v>
      </c>
      <c r="AA270" t="s">
        <v>2593</v>
      </c>
      <c r="AB270" t="s">
        <v>486</v>
      </c>
      <c r="AG270" t="s">
        <v>2594</v>
      </c>
      <c r="AH270" t="s">
        <v>2595</v>
      </c>
      <c r="AI270" t="s">
        <v>2596</v>
      </c>
    </row>
    <row r="271" spans="2:35" ht="409.5">
      <c r="B271" s="1">
        <v>46088</v>
      </c>
      <c r="C271" s="1">
        <v>46086</v>
      </c>
      <c r="D271" t="s">
        <v>2597</v>
      </c>
      <c r="E271" t="s">
        <v>2598</v>
      </c>
      <c r="F271">
        <v>1</v>
      </c>
      <c r="G271" t="s">
        <v>2599</v>
      </c>
      <c r="H271" t="s">
        <v>1047</v>
      </c>
      <c r="I271" t="s">
        <v>40</v>
      </c>
      <c r="J271" t="s">
        <v>79</v>
      </c>
      <c r="K271" t="s">
        <v>42</v>
      </c>
      <c r="L271" t="s">
        <v>1048</v>
      </c>
      <c r="N271" t="s">
        <v>1049</v>
      </c>
      <c r="Q271">
        <v>32277</v>
      </c>
      <c r="R271" t="s">
        <v>45</v>
      </c>
      <c r="S271" t="s">
        <v>2600</v>
      </c>
      <c r="T271">
        <v>30</v>
      </c>
      <c r="V271" s="1">
        <v>46086</v>
      </c>
      <c r="W271" t="s">
        <v>1051</v>
      </c>
      <c r="X271">
        <v>805272</v>
      </c>
      <c r="Y271" t="s">
        <v>2601</v>
      </c>
      <c r="Z271" s="2" t="s">
        <v>2602</v>
      </c>
      <c r="AA271" t="s">
        <v>1914</v>
      </c>
      <c r="AB271" s="2" t="s">
        <v>2603</v>
      </c>
      <c r="AD271" t="s">
        <v>2604</v>
      </c>
      <c r="AE271" t="s">
        <v>103</v>
      </c>
      <c r="AG271" t="s">
        <v>2605</v>
      </c>
      <c r="AH271" t="s">
        <v>2606</v>
      </c>
      <c r="AI271" t="s">
        <v>2607</v>
      </c>
    </row>
    <row r="272" spans="2:35" ht="60">
      <c r="B272" s="1">
        <v>46088</v>
      </c>
      <c r="C272" s="1">
        <v>46086</v>
      </c>
      <c r="D272" t="s">
        <v>2608</v>
      </c>
      <c r="E272" t="s">
        <v>2598</v>
      </c>
      <c r="F272">
        <v>1</v>
      </c>
      <c r="G272" t="s">
        <v>2599</v>
      </c>
      <c r="H272" t="s">
        <v>61</v>
      </c>
      <c r="I272" t="s">
        <v>40</v>
      </c>
      <c r="J272" s="2" t="s">
        <v>62</v>
      </c>
      <c r="K272" t="s">
        <v>42</v>
      </c>
      <c r="L272" t="s">
        <v>1048</v>
      </c>
      <c r="N272" t="s">
        <v>1049</v>
      </c>
      <c r="Q272">
        <v>32276</v>
      </c>
      <c r="R272" t="s">
        <v>45</v>
      </c>
      <c r="S272" t="s">
        <v>2609</v>
      </c>
      <c r="T272">
        <v>30</v>
      </c>
      <c r="V272" s="1">
        <v>46086</v>
      </c>
      <c r="W272" t="s">
        <v>1051</v>
      </c>
      <c r="X272">
        <v>831908</v>
      </c>
      <c r="Y272" t="s">
        <v>1111</v>
      </c>
      <c r="Z272" t="e">
        <f ca="1">- cleaned cartridge Bays, plunger Rods _xludf.and I-CORE
- performed XpertCheck
- generated reports</f>
        <v>#NAME?</v>
      </c>
      <c r="AA272" t="s">
        <v>999</v>
      </c>
      <c r="AB272" t="s">
        <v>1428</v>
      </c>
      <c r="AC272" t="s">
        <v>2610</v>
      </c>
      <c r="AD272" t="s">
        <v>1958</v>
      </c>
      <c r="AE272" t="s">
        <v>103</v>
      </c>
      <c r="AG272" t="s">
        <v>2611</v>
      </c>
      <c r="AH272" t="s">
        <v>2612</v>
      </c>
      <c r="AI272" t="s">
        <v>2613</v>
      </c>
    </row>
    <row r="273" spans="2:35" ht="60">
      <c r="B273" s="1">
        <v>46088</v>
      </c>
      <c r="C273" s="1">
        <v>46086</v>
      </c>
      <c r="D273" t="s">
        <v>2614</v>
      </c>
      <c r="E273" t="s">
        <v>2615</v>
      </c>
      <c r="F273">
        <v>1</v>
      </c>
      <c r="G273" t="s">
        <v>2599</v>
      </c>
      <c r="H273" t="s">
        <v>1047</v>
      </c>
      <c r="I273" t="s">
        <v>40</v>
      </c>
      <c r="J273" s="2" t="s">
        <v>62</v>
      </c>
      <c r="K273" t="s">
        <v>42</v>
      </c>
      <c r="L273" t="s">
        <v>1048</v>
      </c>
      <c r="N273" t="s">
        <v>1049</v>
      </c>
      <c r="Q273">
        <v>32275</v>
      </c>
      <c r="R273" t="s">
        <v>45</v>
      </c>
      <c r="S273" t="s">
        <v>2616</v>
      </c>
      <c r="T273">
        <v>25</v>
      </c>
      <c r="V273" s="1">
        <v>46086</v>
      </c>
      <c r="W273" t="s">
        <v>1051</v>
      </c>
      <c r="X273">
        <v>807430</v>
      </c>
      <c r="Y273" t="s">
        <v>1111</v>
      </c>
      <c r="Z273" t="e">
        <f ca="1">- cleaned cartridge Bays, plunger Rods _xludf.and I-CORE
- performed XpertCheck
- generated reports</f>
        <v>#NAME?</v>
      </c>
      <c r="AA273" t="s">
        <v>999</v>
      </c>
      <c r="AB273" t="s">
        <v>1428</v>
      </c>
      <c r="AC273" t="s">
        <v>2610</v>
      </c>
      <c r="AD273" t="s">
        <v>1958</v>
      </c>
      <c r="AE273" t="s">
        <v>103</v>
      </c>
      <c r="AG273" t="s">
        <v>2617</v>
      </c>
      <c r="AH273" t="s">
        <v>2618</v>
      </c>
      <c r="AI273" t="s">
        <v>2619</v>
      </c>
    </row>
    <row r="274" spans="2:35" ht="60">
      <c r="B274" s="1">
        <v>46088</v>
      </c>
      <c r="C274" s="1">
        <v>46084</v>
      </c>
      <c r="D274" t="s">
        <v>2620</v>
      </c>
      <c r="E274" t="s">
        <v>2621</v>
      </c>
      <c r="F274">
        <v>1</v>
      </c>
      <c r="G274" t="s">
        <v>1046</v>
      </c>
      <c r="H274" t="s">
        <v>39</v>
      </c>
      <c r="I274" t="s">
        <v>40</v>
      </c>
      <c r="J274" s="2" t="s">
        <v>62</v>
      </c>
      <c r="K274" t="s">
        <v>42</v>
      </c>
      <c r="L274" t="s">
        <v>1048</v>
      </c>
      <c r="N274" t="s">
        <v>1049</v>
      </c>
      <c r="Q274">
        <v>32274</v>
      </c>
      <c r="R274" t="s">
        <v>45</v>
      </c>
      <c r="S274" t="s">
        <v>2622</v>
      </c>
      <c r="T274">
        <v>28</v>
      </c>
      <c r="V274" s="1">
        <v>46084</v>
      </c>
      <c r="W274" t="s">
        <v>1051</v>
      </c>
      <c r="X274">
        <v>804726</v>
      </c>
      <c r="Y274" t="s">
        <v>1111</v>
      </c>
      <c r="Z274" t="e">
        <f ca="1">- cleaned cartridge Bays, plunger Rods _xludf.and I-CORE
- performed XpertCheck
- generated reports</f>
        <v>#NAME?</v>
      </c>
      <c r="AA274" t="s">
        <v>999</v>
      </c>
      <c r="AB274" t="s">
        <v>1428</v>
      </c>
      <c r="AC274" t="s">
        <v>2610</v>
      </c>
      <c r="AD274" t="s">
        <v>1958</v>
      </c>
      <c r="AE274" t="s">
        <v>103</v>
      </c>
      <c r="AG274" t="s">
        <v>2623</v>
      </c>
      <c r="AH274" t="s">
        <v>2624</v>
      </c>
      <c r="AI274" t="s">
        <v>2625</v>
      </c>
    </row>
    <row r="275" spans="2:35">
      <c r="B275" s="1">
        <v>46088</v>
      </c>
      <c r="C275" s="1">
        <v>46087</v>
      </c>
      <c r="D275" t="s">
        <v>2626</v>
      </c>
      <c r="E275" t="s">
        <v>2627</v>
      </c>
      <c r="F275" t="s">
        <v>148</v>
      </c>
      <c r="G275" t="s">
        <v>447</v>
      </c>
      <c r="H275" t="s">
        <v>2628</v>
      </c>
      <c r="I275" t="s">
        <v>40</v>
      </c>
      <c r="J275" t="s">
        <v>583</v>
      </c>
      <c r="K275" t="s">
        <v>2629</v>
      </c>
      <c r="L275" t="s">
        <v>409</v>
      </c>
      <c r="N275" t="s">
        <v>410</v>
      </c>
      <c r="Q275">
        <v>32273</v>
      </c>
      <c r="R275" t="s">
        <v>95</v>
      </c>
      <c r="S275" t="s">
        <v>2630</v>
      </c>
      <c r="T275">
        <v>25</v>
      </c>
      <c r="W275" t="s">
        <v>2631</v>
      </c>
      <c r="X275">
        <v>3947017112</v>
      </c>
      <c r="Y275" t="s">
        <v>2632</v>
      </c>
      <c r="Z275" t="s">
        <v>2633</v>
      </c>
      <c r="AA275" t="s">
        <v>2634</v>
      </c>
      <c r="AB275" t="s">
        <v>181</v>
      </c>
      <c r="AG275" t="s">
        <v>2635</v>
      </c>
      <c r="AH275" t="s">
        <v>2636</v>
      </c>
      <c r="AI275" t="s">
        <v>2637</v>
      </c>
    </row>
    <row r="276" spans="2:35" ht="409.5">
      <c r="B276" s="1">
        <v>46087</v>
      </c>
      <c r="C276" s="1">
        <v>46087</v>
      </c>
      <c r="D276" t="s">
        <v>2638</v>
      </c>
      <c r="E276" t="s">
        <v>2639</v>
      </c>
      <c r="F276" t="s">
        <v>37</v>
      </c>
      <c r="G276" t="s">
        <v>78</v>
      </c>
      <c r="H276" t="s">
        <v>39</v>
      </c>
      <c r="I276" t="s">
        <v>40</v>
      </c>
      <c r="J276" s="2" t="s">
        <v>41</v>
      </c>
      <c r="K276" t="s">
        <v>42</v>
      </c>
      <c r="L276" t="s">
        <v>1943</v>
      </c>
      <c r="N276" t="s">
        <v>1944</v>
      </c>
      <c r="Q276">
        <v>32272</v>
      </c>
      <c r="R276" t="s">
        <v>45</v>
      </c>
      <c r="S276" t="s">
        <v>2640</v>
      </c>
      <c r="T276">
        <v>25</v>
      </c>
      <c r="W276" t="s">
        <v>84</v>
      </c>
      <c r="X276">
        <v>804716</v>
      </c>
      <c r="Y276" s="2" t="s">
        <v>2109</v>
      </c>
      <c r="Z276" t="s">
        <v>1947</v>
      </c>
      <c r="AA276" s="2" t="s">
        <v>1948</v>
      </c>
      <c r="AB276" t="s">
        <v>88</v>
      </c>
      <c r="AC276" t="s">
        <v>2641</v>
      </c>
      <c r="AG276" t="s">
        <v>2642</v>
      </c>
      <c r="AH276" t="s">
        <v>2643</v>
      </c>
      <c r="AI276" t="s">
        <v>2644</v>
      </c>
    </row>
    <row r="277" spans="2:35" ht="240">
      <c r="B277" s="1">
        <v>46087</v>
      </c>
      <c r="C277" s="1">
        <v>46087</v>
      </c>
      <c r="D277" t="s">
        <v>2645</v>
      </c>
      <c r="E277" t="s">
        <v>2646</v>
      </c>
      <c r="F277">
        <v>3</v>
      </c>
      <c r="G277" t="s">
        <v>134</v>
      </c>
      <c r="H277" t="s">
        <v>39</v>
      </c>
      <c r="I277" t="s">
        <v>40</v>
      </c>
      <c r="J277" s="2" t="s">
        <v>41</v>
      </c>
      <c r="K277" t="s">
        <v>42</v>
      </c>
      <c r="L277" t="s">
        <v>135</v>
      </c>
      <c r="N277" t="s">
        <v>136</v>
      </c>
      <c r="Q277">
        <v>32271</v>
      </c>
      <c r="R277" t="s">
        <v>45</v>
      </c>
      <c r="S277" t="s">
        <v>2647</v>
      </c>
      <c r="T277">
        <v>25</v>
      </c>
      <c r="W277" t="s">
        <v>138</v>
      </c>
      <c r="X277">
        <v>846044</v>
      </c>
      <c r="Y277" t="s">
        <v>2648</v>
      </c>
      <c r="Z277" s="2" t="s">
        <v>140</v>
      </c>
      <c r="AA277" s="2" t="s">
        <v>2649</v>
      </c>
      <c r="AB277" s="2" t="s">
        <v>2650</v>
      </c>
      <c r="AG277" t="s">
        <v>2651</v>
      </c>
      <c r="AH277" t="s">
        <v>2652</v>
      </c>
      <c r="AI277" t="s">
        <v>2653</v>
      </c>
    </row>
    <row r="278" spans="2:35" ht="90">
      <c r="B278" s="1">
        <v>46087</v>
      </c>
      <c r="C278" s="1">
        <v>46087</v>
      </c>
      <c r="D278" t="s">
        <v>1846</v>
      </c>
      <c r="E278" t="s">
        <v>2289</v>
      </c>
      <c r="F278">
        <v>7</v>
      </c>
      <c r="G278" t="s">
        <v>432</v>
      </c>
      <c r="H278" t="s">
        <v>2290</v>
      </c>
      <c r="I278" t="s">
        <v>40</v>
      </c>
      <c r="J278" s="2" t="s">
        <v>760</v>
      </c>
      <c r="K278" t="s">
        <v>42</v>
      </c>
      <c r="L278" t="s">
        <v>610</v>
      </c>
      <c r="N278" t="s">
        <v>611</v>
      </c>
      <c r="Q278">
        <v>32270</v>
      </c>
      <c r="R278" t="s">
        <v>45</v>
      </c>
      <c r="S278" t="s">
        <v>1849</v>
      </c>
      <c r="T278">
        <v>24</v>
      </c>
      <c r="U278" s="2" t="s">
        <v>2654</v>
      </c>
      <c r="W278" t="s">
        <v>502</v>
      </c>
      <c r="X278">
        <v>838564</v>
      </c>
      <c r="Y278" t="s">
        <v>2655</v>
      </c>
      <c r="Z278" t="s">
        <v>2656</v>
      </c>
      <c r="AA278" t="e">
        <f ca="1">- Recovery _xludf.and Setup BIOS _xludf.For boot system in legacy _xludf.mode _xludf.and disable security boot system</f>
        <v>#NAME?</v>
      </c>
      <c r="AB278" t="s">
        <v>2657</v>
      </c>
      <c r="AG278" t="s">
        <v>2658</v>
      </c>
      <c r="AH278" t="s">
        <v>2659</v>
      </c>
      <c r="AI278" t="s">
        <v>2660</v>
      </c>
    </row>
    <row r="279" spans="2:35" ht="45">
      <c r="B279" s="1">
        <v>46087</v>
      </c>
      <c r="C279" s="1">
        <v>46087</v>
      </c>
      <c r="D279" t="s">
        <v>1779</v>
      </c>
      <c r="E279" t="s">
        <v>1780</v>
      </c>
      <c r="F279">
        <v>3</v>
      </c>
      <c r="G279" t="s">
        <v>174</v>
      </c>
      <c r="H279" t="s">
        <v>39</v>
      </c>
      <c r="I279" t="s">
        <v>40</v>
      </c>
      <c r="J279" s="2" t="s">
        <v>41</v>
      </c>
      <c r="K279" t="s">
        <v>42</v>
      </c>
      <c r="L279" t="s">
        <v>175</v>
      </c>
      <c r="N279" t="s">
        <v>176</v>
      </c>
      <c r="Q279">
        <v>32269</v>
      </c>
      <c r="R279" t="s">
        <v>45</v>
      </c>
      <c r="S279" t="s">
        <v>2661</v>
      </c>
      <c r="T279">
        <v>28</v>
      </c>
      <c r="W279" t="s">
        <v>84</v>
      </c>
      <c r="X279">
        <v>814161</v>
      </c>
      <c r="Y279" t="s">
        <v>2662</v>
      </c>
      <c r="Z279" t="s">
        <v>2663</v>
      </c>
      <c r="AA279" t="e">
        <f ca="1">- replaced module door
- checked _xludf.and cleaned cartridge bay, plunger rod, _xludf.filter
- generated reports
- performed self test</f>
        <v>#NAME?</v>
      </c>
      <c r="AB279" t="s">
        <v>181</v>
      </c>
      <c r="AG279" t="s">
        <v>2664</v>
      </c>
      <c r="AH279" t="s">
        <v>1785</v>
      </c>
      <c r="AI279" t="s">
        <v>2665</v>
      </c>
    </row>
    <row r="280" spans="2:35" ht="165">
      <c r="B280" s="1">
        <v>46087</v>
      </c>
      <c r="C280" s="1">
        <v>46087</v>
      </c>
      <c r="D280" t="s">
        <v>2666</v>
      </c>
      <c r="E280" t="s">
        <v>2667</v>
      </c>
      <c r="F280">
        <v>2</v>
      </c>
      <c r="G280" t="s">
        <v>2668</v>
      </c>
      <c r="H280" t="s">
        <v>39</v>
      </c>
      <c r="I280" t="s">
        <v>40</v>
      </c>
      <c r="J280" s="2" t="s">
        <v>190</v>
      </c>
      <c r="K280" t="s">
        <v>42</v>
      </c>
      <c r="L280" t="s">
        <v>63</v>
      </c>
      <c r="N280" t="s">
        <v>64</v>
      </c>
      <c r="Q280">
        <v>32268</v>
      </c>
      <c r="R280" t="s">
        <v>45</v>
      </c>
      <c r="S280" t="s">
        <v>2669</v>
      </c>
      <c r="T280">
        <v>28</v>
      </c>
      <c r="U280" s="2" t="s">
        <v>2670</v>
      </c>
      <c r="W280" t="s">
        <v>66</v>
      </c>
      <c r="X280">
        <v>808635</v>
      </c>
      <c r="Y280" t="s">
        <v>2671</v>
      </c>
      <c r="Z280" s="2" t="s">
        <v>2672</v>
      </c>
      <c r="AA280" s="2" t="s">
        <v>2673</v>
      </c>
      <c r="AB280" t="s">
        <v>70</v>
      </c>
      <c r="AG280" t="s">
        <v>2674</v>
      </c>
      <c r="AH280" t="s">
        <v>2675</v>
      </c>
      <c r="AI280" t="s">
        <v>2676</v>
      </c>
    </row>
    <row r="281" spans="2:35" ht="240">
      <c r="B281" s="1">
        <v>46087</v>
      </c>
      <c r="C281" s="1">
        <v>46087</v>
      </c>
      <c r="D281" t="s">
        <v>2677</v>
      </c>
      <c r="E281" t="s">
        <v>2678</v>
      </c>
      <c r="F281">
        <v>3</v>
      </c>
      <c r="G281" t="s">
        <v>134</v>
      </c>
      <c r="H281" t="s">
        <v>39</v>
      </c>
      <c r="I281" t="s">
        <v>40</v>
      </c>
      <c r="J281" s="2" t="s">
        <v>41</v>
      </c>
      <c r="K281" t="s">
        <v>42</v>
      </c>
      <c r="L281" t="s">
        <v>135</v>
      </c>
      <c r="N281" t="s">
        <v>136</v>
      </c>
      <c r="Q281">
        <v>32267</v>
      </c>
      <c r="R281" t="s">
        <v>45</v>
      </c>
      <c r="S281" t="s">
        <v>2679</v>
      </c>
      <c r="T281">
        <v>25</v>
      </c>
      <c r="W281" t="s">
        <v>2680</v>
      </c>
      <c r="X281">
        <v>812834</v>
      </c>
      <c r="Y281" s="2" t="s">
        <v>2681</v>
      </c>
      <c r="Z281" s="2" t="s">
        <v>2682</v>
      </c>
      <c r="AA281" s="2" t="s">
        <v>2683</v>
      </c>
      <c r="AB281" s="2" t="s">
        <v>2684</v>
      </c>
      <c r="AG281" t="s">
        <v>2685</v>
      </c>
      <c r="AH281" t="s">
        <v>2686</v>
      </c>
      <c r="AI281" t="s">
        <v>2687</v>
      </c>
    </row>
    <row r="282" spans="2:35" ht="165">
      <c r="B282" s="1">
        <v>46087</v>
      </c>
      <c r="C282" s="1">
        <v>46087</v>
      </c>
      <c r="D282" t="s">
        <v>2688</v>
      </c>
      <c r="E282" t="s">
        <v>2689</v>
      </c>
      <c r="F282">
        <v>2</v>
      </c>
      <c r="G282" t="s">
        <v>2668</v>
      </c>
      <c r="H282" t="s">
        <v>39</v>
      </c>
      <c r="I282" t="s">
        <v>40</v>
      </c>
      <c r="J282" t="s">
        <v>109</v>
      </c>
      <c r="K282" t="s">
        <v>42</v>
      </c>
      <c r="L282" t="s">
        <v>63</v>
      </c>
      <c r="N282" t="s">
        <v>64</v>
      </c>
      <c r="Q282">
        <v>32266</v>
      </c>
      <c r="R282" t="s">
        <v>45</v>
      </c>
      <c r="S282" t="s">
        <v>2690</v>
      </c>
      <c r="T282">
        <v>28</v>
      </c>
      <c r="U282" s="2" t="s">
        <v>2691</v>
      </c>
      <c r="W282" t="s">
        <v>66</v>
      </c>
      <c r="X282">
        <v>814373</v>
      </c>
      <c r="Y282" t="s">
        <v>2692</v>
      </c>
      <c r="Z282" s="2" t="s">
        <v>1727</v>
      </c>
      <c r="AA282" t="s">
        <v>2693</v>
      </c>
      <c r="AB282" t="s">
        <v>70</v>
      </c>
      <c r="AG282" t="s">
        <v>2694</v>
      </c>
      <c r="AH282" t="s">
        <v>2695</v>
      </c>
      <c r="AI282" t="s">
        <v>2696</v>
      </c>
    </row>
    <row r="283" spans="2:35" ht="270">
      <c r="B283" s="1">
        <v>46087</v>
      </c>
      <c r="C283" s="1">
        <v>46087</v>
      </c>
      <c r="D283" t="s">
        <v>2697</v>
      </c>
      <c r="E283" t="s">
        <v>2698</v>
      </c>
      <c r="F283">
        <v>3</v>
      </c>
      <c r="G283" t="s">
        <v>284</v>
      </c>
      <c r="H283" t="s">
        <v>39</v>
      </c>
      <c r="I283" t="s">
        <v>40</v>
      </c>
      <c r="J283" s="2" t="s">
        <v>41</v>
      </c>
      <c r="K283" t="s">
        <v>42</v>
      </c>
      <c r="L283" t="s">
        <v>135</v>
      </c>
      <c r="N283" t="s">
        <v>136</v>
      </c>
      <c r="Q283">
        <v>32265</v>
      </c>
      <c r="R283" t="s">
        <v>45</v>
      </c>
      <c r="S283" t="s">
        <v>2699</v>
      </c>
      <c r="T283">
        <v>25</v>
      </c>
      <c r="W283" t="s">
        <v>138</v>
      </c>
      <c r="X283">
        <v>807561</v>
      </c>
      <c r="Y283" t="s">
        <v>2700</v>
      </c>
      <c r="Z283" s="2" t="s">
        <v>140</v>
      </c>
      <c r="AA283" s="2" t="s">
        <v>2701</v>
      </c>
      <c r="AB283" s="2" t="s">
        <v>2702</v>
      </c>
      <c r="AG283" t="s">
        <v>2703</v>
      </c>
      <c r="AH283" t="s">
        <v>2704</v>
      </c>
      <c r="AI283" t="s">
        <v>2705</v>
      </c>
    </row>
    <row r="284" spans="2:35" ht="210">
      <c r="B284" s="1">
        <v>46086</v>
      </c>
      <c r="C284" s="1">
        <v>46086</v>
      </c>
      <c r="D284" t="s">
        <v>2706</v>
      </c>
      <c r="E284" t="s">
        <v>2707</v>
      </c>
      <c r="F284">
        <v>2</v>
      </c>
      <c r="G284" t="s">
        <v>2668</v>
      </c>
      <c r="H284" t="s">
        <v>39</v>
      </c>
      <c r="I284" t="s">
        <v>40</v>
      </c>
      <c r="J284" s="2" t="s">
        <v>62</v>
      </c>
      <c r="K284" t="s">
        <v>42</v>
      </c>
      <c r="L284" t="s">
        <v>63</v>
      </c>
      <c r="N284" t="s">
        <v>64</v>
      </c>
      <c r="Q284">
        <v>32264</v>
      </c>
      <c r="R284" t="s">
        <v>45</v>
      </c>
      <c r="S284" t="s">
        <v>2708</v>
      </c>
      <c r="T284">
        <v>26</v>
      </c>
      <c r="W284" t="s">
        <v>66</v>
      </c>
      <c r="X284">
        <v>805104</v>
      </c>
      <c r="Y284" t="s">
        <v>67</v>
      </c>
      <c r="Z284" s="2" t="s">
        <v>2709</v>
      </c>
      <c r="AA284" s="2" t="s">
        <v>1727</v>
      </c>
      <c r="AB284" t="s">
        <v>70</v>
      </c>
      <c r="AG284" t="s">
        <v>2710</v>
      </c>
      <c r="AH284" t="s">
        <v>2711</v>
      </c>
      <c r="AI284" t="s">
        <v>2712</v>
      </c>
    </row>
    <row r="285" spans="2:35" ht="195">
      <c r="B285" s="1">
        <v>46086</v>
      </c>
      <c r="C285" s="1">
        <v>46086</v>
      </c>
      <c r="D285" t="s">
        <v>1284</v>
      </c>
      <c r="E285" t="s">
        <v>2713</v>
      </c>
      <c r="F285">
        <v>6</v>
      </c>
      <c r="G285" t="s">
        <v>1286</v>
      </c>
      <c r="H285" t="s">
        <v>258</v>
      </c>
      <c r="I285" t="s">
        <v>94</v>
      </c>
      <c r="J285" t="s">
        <v>109</v>
      </c>
      <c r="K285" t="s">
        <v>42</v>
      </c>
      <c r="L285" t="s">
        <v>594</v>
      </c>
      <c r="N285" t="s">
        <v>595</v>
      </c>
      <c r="O285" t="s">
        <v>595</v>
      </c>
      <c r="Q285">
        <v>32263</v>
      </c>
      <c r="R285" t="s">
        <v>45</v>
      </c>
      <c r="S285" t="s">
        <v>1290</v>
      </c>
      <c r="T285">
        <v>23</v>
      </c>
      <c r="V285" s="1">
        <v>46086</v>
      </c>
      <c r="W285" t="s">
        <v>895</v>
      </c>
      <c r="X285">
        <v>839316</v>
      </c>
      <c r="Y285" t="s">
        <v>2714</v>
      </c>
      <c r="Z285" s="2" t="s">
        <v>2715</v>
      </c>
      <c r="AA285" t="s">
        <v>2716</v>
      </c>
      <c r="AB285" s="2" t="s">
        <v>2717</v>
      </c>
      <c r="AG285" t="s">
        <v>2718</v>
      </c>
      <c r="AH285" t="s">
        <v>2719</v>
      </c>
      <c r="AI285" t="s">
        <v>2720</v>
      </c>
    </row>
    <row r="286" spans="2:35" ht="165">
      <c r="B286" s="1">
        <v>46086</v>
      </c>
      <c r="C286" s="1">
        <v>46086</v>
      </c>
      <c r="D286" t="s">
        <v>2721</v>
      </c>
      <c r="E286" t="s">
        <v>2722</v>
      </c>
      <c r="F286">
        <v>2</v>
      </c>
      <c r="G286" t="s">
        <v>2723</v>
      </c>
      <c r="H286" t="s">
        <v>39</v>
      </c>
      <c r="I286" t="s">
        <v>40</v>
      </c>
      <c r="J286" t="s">
        <v>109</v>
      </c>
      <c r="K286" t="s">
        <v>42</v>
      </c>
      <c r="L286" t="s">
        <v>63</v>
      </c>
      <c r="N286" t="s">
        <v>64</v>
      </c>
      <c r="Q286">
        <v>32262</v>
      </c>
      <c r="R286" t="s">
        <v>45</v>
      </c>
      <c r="S286" t="s">
        <v>2724</v>
      </c>
      <c r="T286">
        <v>18</v>
      </c>
      <c r="W286" t="s">
        <v>66</v>
      </c>
      <c r="X286">
        <v>834434</v>
      </c>
      <c r="Y286" t="s">
        <v>2692</v>
      </c>
      <c r="Z286" s="2" t="s">
        <v>2725</v>
      </c>
      <c r="AA286" s="2" t="s">
        <v>2726</v>
      </c>
      <c r="AB286" t="s">
        <v>70</v>
      </c>
      <c r="AG286" t="s">
        <v>2727</v>
      </c>
      <c r="AH286" t="s">
        <v>2728</v>
      </c>
      <c r="AI286" t="s">
        <v>2729</v>
      </c>
    </row>
    <row r="287" spans="2:35" ht="165">
      <c r="B287" s="1">
        <v>46086</v>
      </c>
      <c r="C287" s="1">
        <v>46086</v>
      </c>
      <c r="D287" t="s">
        <v>2721</v>
      </c>
      <c r="E287" t="s">
        <v>2722</v>
      </c>
      <c r="F287">
        <v>2</v>
      </c>
      <c r="G287" t="s">
        <v>2723</v>
      </c>
      <c r="H287" t="s">
        <v>39</v>
      </c>
      <c r="I287" t="s">
        <v>40</v>
      </c>
      <c r="J287" t="s">
        <v>109</v>
      </c>
      <c r="K287" t="s">
        <v>42</v>
      </c>
      <c r="L287" t="s">
        <v>63</v>
      </c>
      <c r="N287" t="s">
        <v>64</v>
      </c>
      <c r="Q287">
        <v>32261</v>
      </c>
      <c r="R287" t="s">
        <v>45</v>
      </c>
      <c r="S287" t="s">
        <v>2724</v>
      </c>
      <c r="T287">
        <v>18</v>
      </c>
      <c r="W287" t="s">
        <v>373</v>
      </c>
      <c r="X287">
        <v>120000178</v>
      </c>
      <c r="Y287" t="s">
        <v>2692</v>
      </c>
      <c r="Z287" s="2" t="s">
        <v>2730</v>
      </c>
      <c r="AA287" s="2" t="s">
        <v>2726</v>
      </c>
      <c r="AB287" t="s">
        <v>70</v>
      </c>
      <c r="AG287" t="s">
        <v>2731</v>
      </c>
      <c r="AH287" t="s">
        <v>2728</v>
      </c>
      <c r="AI287" t="s">
        <v>2732</v>
      </c>
    </row>
    <row r="288" spans="2:35" ht="270">
      <c r="B288" s="1">
        <v>46086</v>
      </c>
      <c r="C288" s="1">
        <v>46086</v>
      </c>
      <c r="D288" t="s">
        <v>2721</v>
      </c>
      <c r="E288" t="s">
        <v>2722</v>
      </c>
      <c r="F288">
        <v>2</v>
      </c>
      <c r="G288" t="s">
        <v>2723</v>
      </c>
      <c r="H288" t="s">
        <v>39</v>
      </c>
      <c r="I288" t="s">
        <v>40</v>
      </c>
      <c r="J288" s="2" t="s">
        <v>41</v>
      </c>
      <c r="K288" t="s">
        <v>42</v>
      </c>
      <c r="L288" t="s">
        <v>63</v>
      </c>
      <c r="N288" t="s">
        <v>64</v>
      </c>
      <c r="Q288">
        <v>32260</v>
      </c>
      <c r="R288" t="s">
        <v>45</v>
      </c>
      <c r="S288" t="s">
        <v>2724</v>
      </c>
      <c r="T288">
        <v>17</v>
      </c>
      <c r="W288" t="s">
        <v>66</v>
      </c>
      <c r="X288">
        <v>808628</v>
      </c>
      <c r="Y288" s="2" t="s">
        <v>2733</v>
      </c>
      <c r="Z288" s="2" t="s">
        <v>2734</v>
      </c>
      <c r="AA288" s="2" t="s">
        <v>2673</v>
      </c>
      <c r="AB288" t="s">
        <v>70</v>
      </c>
      <c r="AG288" t="s">
        <v>2735</v>
      </c>
      <c r="AH288" t="s">
        <v>2728</v>
      </c>
      <c r="AI288" t="s">
        <v>2736</v>
      </c>
    </row>
    <row r="289" spans="2:35" ht="409.5">
      <c r="B289" s="1">
        <v>46086</v>
      </c>
      <c r="C289" s="1">
        <v>46086</v>
      </c>
      <c r="D289" t="s">
        <v>1203</v>
      </c>
      <c r="E289" t="s">
        <v>2547</v>
      </c>
      <c r="F289">
        <v>11</v>
      </c>
      <c r="G289" t="s">
        <v>1205</v>
      </c>
      <c r="H289" t="s">
        <v>2548</v>
      </c>
      <c r="I289" t="s">
        <v>40</v>
      </c>
      <c r="J289" t="s">
        <v>109</v>
      </c>
      <c r="K289" t="s">
        <v>42</v>
      </c>
      <c r="L289" t="s">
        <v>204</v>
      </c>
      <c r="N289" t="s">
        <v>205</v>
      </c>
      <c r="Q289">
        <v>32259</v>
      </c>
      <c r="R289" t="s">
        <v>967</v>
      </c>
      <c r="S289" t="s">
        <v>1206</v>
      </c>
      <c r="T289">
        <v>27.8</v>
      </c>
      <c r="U289" s="2" t="s">
        <v>2549</v>
      </c>
      <c r="W289" t="s">
        <v>2550</v>
      </c>
      <c r="X289">
        <v>110023505</v>
      </c>
      <c r="Y289" t="s">
        <v>1052</v>
      </c>
      <c r="Z289" s="2" t="s">
        <v>1892</v>
      </c>
      <c r="AA289" t="s">
        <v>2551</v>
      </c>
      <c r="AB289" s="2" t="s">
        <v>2552</v>
      </c>
      <c r="AG289" t="s">
        <v>2737</v>
      </c>
      <c r="AH289" t="s">
        <v>1214</v>
      </c>
      <c r="AI289" t="s">
        <v>2738</v>
      </c>
    </row>
    <row r="290" spans="2:35" ht="409.5">
      <c r="B290" s="1">
        <v>46086</v>
      </c>
      <c r="C290" s="1">
        <v>46086</v>
      </c>
      <c r="D290" t="s">
        <v>1203</v>
      </c>
      <c r="E290" t="s">
        <v>2555</v>
      </c>
      <c r="F290">
        <v>11</v>
      </c>
      <c r="G290" t="s">
        <v>1205</v>
      </c>
      <c r="H290" t="s">
        <v>2548</v>
      </c>
      <c r="I290" t="s">
        <v>40</v>
      </c>
      <c r="J290" s="2" t="s">
        <v>2556</v>
      </c>
      <c r="K290" t="s">
        <v>42</v>
      </c>
      <c r="L290" t="s">
        <v>204</v>
      </c>
      <c r="N290" t="s">
        <v>205</v>
      </c>
      <c r="Q290">
        <v>32258</v>
      </c>
      <c r="R290" t="s">
        <v>967</v>
      </c>
      <c r="S290" t="s">
        <v>1206</v>
      </c>
      <c r="T290">
        <v>27.5</v>
      </c>
      <c r="U290" s="2" t="s">
        <v>2557</v>
      </c>
      <c r="V290" s="1">
        <v>46064</v>
      </c>
      <c r="W290" t="s">
        <v>2550</v>
      </c>
      <c r="X290">
        <v>110023506</v>
      </c>
      <c r="Y290" s="2" t="s">
        <v>2558</v>
      </c>
      <c r="Z290" s="2" t="s">
        <v>2559</v>
      </c>
      <c r="AA290" t="s">
        <v>2560</v>
      </c>
      <c r="AB290" s="2" t="s">
        <v>2561</v>
      </c>
      <c r="AD290" t="s">
        <v>2562</v>
      </c>
      <c r="AE290" t="s">
        <v>2563</v>
      </c>
      <c r="AG290" t="s">
        <v>2739</v>
      </c>
      <c r="AH290" t="s">
        <v>1214</v>
      </c>
      <c r="AI290" t="s">
        <v>2740</v>
      </c>
    </row>
    <row r="291" spans="2:35" ht="225">
      <c r="B291" s="1">
        <v>46086</v>
      </c>
      <c r="C291" s="1">
        <v>46086</v>
      </c>
      <c r="D291" t="s">
        <v>2741</v>
      </c>
      <c r="E291" t="s">
        <v>2742</v>
      </c>
      <c r="F291">
        <v>3</v>
      </c>
      <c r="G291" t="s">
        <v>219</v>
      </c>
      <c r="H291" t="s">
        <v>39</v>
      </c>
      <c r="I291" t="s">
        <v>40</v>
      </c>
      <c r="J291" s="2" t="s">
        <v>41</v>
      </c>
      <c r="K291" t="s">
        <v>42</v>
      </c>
      <c r="L291" t="s">
        <v>135</v>
      </c>
      <c r="N291" t="s">
        <v>136</v>
      </c>
      <c r="Q291">
        <v>32257</v>
      </c>
      <c r="R291" t="s">
        <v>45</v>
      </c>
      <c r="S291" t="s">
        <v>2743</v>
      </c>
      <c r="T291">
        <v>29</v>
      </c>
      <c r="W291" t="s">
        <v>138</v>
      </c>
      <c r="X291">
        <v>805070</v>
      </c>
      <c r="Y291" t="s">
        <v>2744</v>
      </c>
      <c r="Z291" s="2" t="s">
        <v>140</v>
      </c>
      <c r="AA291" s="2" t="s">
        <v>2745</v>
      </c>
      <c r="AB291" s="2" t="s">
        <v>2746</v>
      </c>
      <c r="AG291" t="s">
        <v>2747</v>
      </c>
      <c r="AH291" t="s">
        <v>2748</v>
      </c>
      <c r="AI291" t="s">
        <v>2749</v>
      </c>
    </row>
    <row r="292" spans="2:35" ht="409.5">
      <c r="B292" s="1">
        <v>46086</v>
      </c>
      <c r="C292" s="1">
        <v>46086</v>
      </c>
      <c r="D292" t="s">
        <v>1203</v>
      </c>
      <c r="E292" t="s">
        <v>2555</v>
      </c>
      <c r="F292">
        <v>11</v>
      </c>
      <c r="G292" t="s">
        <v>1205</v>
      </c>
      <c r="H292" t="s">
        <v>2548</v>
      </c>
      <c r="I292" t="s">
        <v>40</v>
      </c>
      <c r="J292" s="2" t="s">
        <v>2556</v>
      </c>
      <c r="K292" t="s">
        <v>42</v>
      </c>
      <c r="L292" t="s">
        <v>204</v>
      </c>
      <c r="N292" t="s">
        <v>205</v>
      </c>
      <c r="Q292">
        <v>32256</v>
      </c>
      <c r="R292" t="s">
        <v>967</v>
      </c>
      <c r="S292" t="s">
        <v>1206</v>
      </c>
      <c r="T292">
        <v>27.5</v>
      </c>
      <c r="U292" s="2" t="s">
        <v>2557</v>
      </c>
      <c r="V292" s="1">
        <v>46064</v>
      </c>
      <c r="W292" t="s">
        <v>2550</v>
      </c>
      <c r="X292">
        <v>110023506</v>
      </c>
      <c r="Y292" s="2" t="s">
        <v>2750</v>
      </c>
      <c r="Z292" s="2" t="s">
        <v>2751</v>
      </c>
      <c r="AA292" t="s">
        <v>2752</v>
      </c>
      <c r="AB292" s="2" t="s">
        <v>2753</v>
      </c>
      <c r="AD292" t="s">
        <v>2562</v>
      </c>
      <c r="AE292" t="s">
        <v>2563</v>
      </c>
      <c r="AF292" t="s">
        <v>2754</v>
      </c>
      <c r="AG292" t="s">
        <v>2755</v>
      </c>
      <c r="AH292" t="s">
        <v>1214</v>
      </c>
      <c r="AI292" t="s">
        <v>2756</v>
      </c>
    </row>
    <row r="293" spans="2:35" ht="409.5">
      <c r="B293" s="1">
        <v>46086</v>
      </c>
      <c r="C293" s="1">
        <v>46086</v>
      </c>
      <c r="D293" t="s">
        <v>1203</v>
      </c>
      <c r="E293" t="s">
        <v>2547</v>
      </c>
      <c r="F293">
        <v>11</v>
      </c>
      <c r="G293" t="s">
        <v>1205</v>
      </c>
      <c r="H293" t="s">
        <v>2548</v>
      </c>
      <c r="I293" t="s">
        <v>40</v>
      </c>
      <c r="J293" t="s">
        <v>109</v>
      </c>
      <c r="K293" t="s">
        <v>42</v>
      </c>
      <c r="L293" t="s">
        <v>204</v>
      </c>
      <c r="N293" t="s">
        <v>205</v>
      </c>
      <c r="Q293">
        <v>32255</v>
      </c>
      <c r="R293" t="s">
        <v>967</v>
      </c>
      <c r="S293" t="s">
        <v>1206</v>
      </c>
      <c r="T293">
        <v>27.8</v>
      </c>
      <c r="U293" s="2" t="s">
        <v>2549</v>
      </c>
      <c r="W293" t="s">
        <v>2550</v>
      </c>
      <c r="X293">
        <v>110023505</v>
      </c>
      <c r="Y293" t="s">
        <v>1052</v>
      </c>
      <c r="Z293" s="2" t="s">
        <v>1892</v>
      </c>
      <c r="AA293" t="s">
        <v>2551</v>
      </c>
      <c r="AB293" s="2" t="s">
        <v>2552</v>
      </c>
      <c r="AG293" t="s">
        <v>2757</v>
      </c>
      <c r="AH293" t="s">
        <v>1214</v>
      </c>
      <c r="AI293" t="s">
        <v>2758</v>
      </c>
    </row>
    <row r="294" spans="2:35" ht="255">
      <c r="B294" s="1">
        <v>46086</v>
      </c>
      <c r="C294" s="1">
        <v>46086</v>
      </c>
      <c r="D294" t="s">
        <v>1203</v>
      </c>
      <c r="E294" t="s">
        <v>2547</v>
      </c>
      <c r="F294">
        <v>11</v>
      </c>
      <c r="G294" t="s">
        <v>1205</v>
      </c>
      <c r="H294" t="s">
        <v>2548</v>
      </c>
      <c r="I294" t="s">
        <v>40</v>
      </c>
      <c r="J294" t="s">
        <v>109</v>
      </c>
      <c r="K294" t="s">
        <v>42</v>
      </c>
      <c r="L294" t="s">
        <v>204</v>
      </c>
      <c r="N294" t="s">
        <v>205</v>
      </c>
      <c r="Q294">
        <v>32254</v>
      </c>
      <c r="R294" t="s">
        <v>45</v>
      </c>
      <c r="S294" t="s">
        <v>1206</v>
      </c>
      <c r="T294">
        <v>28.5</v>
      </c>
      <c r="U294" s="2" t="s">
        <v>2759</v>
      </c>
      <c r="W294" t="s">
        <v>208</v>
      </c>
      <c r="X294">
        <v>808298</v>
      </c>
      <c r="Y294" t="s">
        <v>1052</v>
      </c>
      <c r="Z294" s="2" t="s">
        <v>1892</v>
      </c>
      <c r="AA294" t="s">
        <v>2551</v>
      </c>
      <c r="AB294" s="2" t="s">
        <v>2760</v>
      </c>
      <c r="AG294" t="s">
        <v>2761</v>
      </c>
      <c r="AH294" t="s">
        <v>1214</v>
      </c>
      <c r="AI294" t="s">
        <v>2762</v>
      </c>
    </row>
    <row r="295" spans="2:35" ht="210">
      <c r="B295" s="1">
        <v>46086</v>
      </c>
      <c r="C295" s="1">
        <v>46086</v>
      </c>
      <c r="D295" t="s">
        <v>2763</v>
      </c>
      <c r="E295" t="s">
        <v>2764</v>
      </c>
      <c r="F295">
        <v>6</v>
      </c>
      <c r="G295" t="s">
        <v>1286</v>
      </c>
      <c r="H295" t="s">
        <v>258</v>
      </c>
      <c r="I295" t="s">
        <v>94</v>
      </c>
      <c r="J295" s="2" t="s">
        <v>41</v>
      </c>
      <c r="K295" t="s">
        <v>42</v>
      </c>
      <c r="L295" t="s">
        <v>594</v>
      </c>
      <c r="N295" t="s">
        <v>595</v>
      </c>
      <c r="O295" t="s">
        <v>595</v>
      </c>
      <c r="Q295">
        <v>32253</v>
      </c>
      <c r="R295" t="s">
        <v>45</v>
      </c>
      <c r="S295" t="s">
        <v>2765</v>
      </c>
      <c r="T295">
        <v>23</v>
      </c>
      <c r="V295" s="1">
        <v>46086</v>
      </c>
      <c r="W295" t="s">
        <v>2766</v>
      </c>
      <c r="X295">
        <v>110013965</v>
      </c>
      <c r="Y295" t="s">
        <v>2767</v>
      </c>
      <c r="Z295" s="2" t="s">
        <v>2768</v>
      </c>
      <c r="AA295" t="s">
        <v>2769</v>
      </c>
      <c r="AB295" t="s">
        <v>1813</v>
      </c>
      <c r="AG295" t="s">
        <v>2770</v>
      </c>
      <c r="AH295" t="s">
        <v>2771</v>
      </c>
      <c r="AI295" t="s">
        <v>2772</v>
      </c>
    </row>
    <row r="296" spans="2:35" ht="165">
      <c r="B296" s="1">
        <v>46086</v>
      </c>
      <c r="C296" s="1">
        <v>46086</v>
      </c>
      <c r="D296" t="s">
        <v>2773</v>
      </c>
      <c r="E296" t="s">
        <v>2774</v>
      </c>
      <c r="F296">
        <v>2</v>
      </c>
      <c r="G296" t="s">
        <v>2723</v>
      </c>
      <c r="H296" t="s">
        <v>61</v>
      </c>
      <c r="I296" t="s">
        <v>40</v>
      </c>
      <c r="J296" s="2" t="s">
        <v>190</v>
      </c>
      <c r="K296" t="s">
        <v>42</v>
      </c>
      <c r="L296" t="s">
        <v>63</v>
      </c>
      <c r="N296" t="s">
        <v>64</v>
      </c>
      <c r="Q296">
        <v>32252</v>
      </c>
      <c r="R296" t="s">
        <v>322</v>
      </c>
      <c r="S296" t="s">
        <v>2775</v>
      </c>
      <c r="T296">
        <v>29</v>
      </c>
      <c r="W296" t="s">
        <v>66</v>
      </c>
      <c r="X296">
        <v>110008457</v>
      </c>
      <c r="Y296" s="2" t="s">
        <v>2776</v>
      </c>
      <c r="Z296" t="s">
        <v>2777</v>
      </c>
      <c r="AA296" s="2" t="s">
        <v>1727</v>
      </c>
      <c r="AB296" t="s">
        <v>70</v>
      </c>
      <c r="AG296" t="s">
        <v>2778</v>
      </c>
      <c r="AH296" t="s">
        <v>2779</v>
      </c>
      <c r="AI296" t="s">
        <v>2780</v>
      </c>
    </row>
    <row r="297" spans="2:35" ht="165">
      <c r="B297" s="1">
        <v>46086</v>
      </c>
      <c r="C297" s="1">
        <v>46086</v>
      </c>
      <c r="D297" t="s">
        <v>2773</v>
      </c>
      <c r="E297" t="s">
        <v>2774</v>
      </c>
      <c r="F297">
        <v>2</v>
      </c>
      <c r="G297" t="s">
        <v>2723</v>
      </c>
      <c r="H297" t="s">
        <v>61</v>
      </c>
      <c r="I297" t="s">
        <v>40</v>
      </c>
      <c r="J297" t="s">
        <v>109</v>
      </c>
      <c r="K297" t="s">
        <v>42</v>
      </c>
      <c r="L297" t="s">
        <v>63</v>
      </c>
      <c r="N297" t="s">
        <v>64</v>
      </c>
      <c r="Q297">
        <v>32251</v>
      </c>
      <c r="R297" t="s">
        <v>45</v>
      </c>
      <c r="S297" t="s">
        <v>2775</v>
      </c>
      <c r="T297">
        <v>28</v>
      </c>
      <c r="W297" t="s">
        <v>2781</v>
      </c>
      <c r="X297">
        <v>842894</v>
      </c>
      <c r="Y297" t="s">
        <v>2692</v>
      </c>
      <c r="Z297" s="2" t="s">
        <v>2726</v>
      </c>
      <c r="AA297" t="s">
        <v>2782</v>
      </c>
      <c r="AB297" t="s">
        <v>70</v>
      </c>
      <c r="AG297" t="s">
        <v>2783</v>
      </c>
      <c r="AH297" t="s">
        <v>2779</v>
      </c>
      <c r="AI297" t="s">
        <v>2784</v>
      </c>
    </row>
    <row r="298" spans="2:35" ht="360">
      <c r="B298" s="1">
        <v>46085</v>
      </c>
      <c r="C298" s="1">
        <v>46085</v>
      </c>
      <c r="D298" t="s">
        <v>2785</v>
      </c>
      <c r="E298" t="s">
        <v>2786</v>
      </c>
      <c r="F298">
        <v>12</v>
      </c>
      <c r="G298" t="s">
        <v>978</v>
      </c>
      <c r="H298" t="s">
        <v>39</v>
      </c>
      <c r="I298" t="s">
        <v>94</v>
      </c>
      <c r="J298" s="2" t="s">
        <v>1309</v>
      </c>
      <c r="K298" t="s">
        <v>42</v>
      </c>
      <c r="L298" t="s">
        <v>296</v>
      </c>
      <c r="N298" t="s">
        <v>297</v>
      </c>
      <c r="Q298">
        <v>32249</v>
      </c>
      <c r="R298" t="s">
        <v>45</v>
      </c>
      <c r="S298" t="s">
        <v>2787</v>
      </c>
      <c r="T298">
        <v>25.4</v>
      </c>
      <c r="U298" s="2" t="s">
        <v>2788</v>
      </c>
      <c r="W298" t="s">
        <v>981</v>
      </c>
      <c r="X298">
        <v>805007</v>
      </c>
      <c r="Y298" t="s">
        <v>2789</v>
      </c>
      <c r="Z298" s="2" t="s">
        <v>2790</v>
      </c>
      <c r="AA298" s="2" t="s">
        <v>2791</v>
      </c>
      <c r="AB298" s="2" t="s">
        <v>2792</v>
      </c>
      <c r="AG298" t="s">
        <v>2793</v>
      </c>
      <c r="AH298" t="s">
        <v>2794</v>
      </c>
      <c r="AI298" t="s">
        <v>2795</v>
      </c>
    </row>
    <row r="299" spans="2:35" ht="409.5">
      <c r="B299" s="1">
        <v>46085</v>
      </c>
      <c r="C299" s="1">
        <v>46085</v>
      </c>
      <c r="D299" t="s">
        <v>2796</v>
      </c>
      <c r="E299" t="s">
        <v>2797</v>
      </c>
      <c r="F299">
        <v>12</v>
      </c>
      <c r="G299" t="s">
        <v>978</v>
      </c>
      <c r="H299" t="s">
        <v>39</v>
      </c>
      <c r="I299" t="s">
        <v>40</v>
      </c>
      <c r="J299" s="2" t="s">
        <v>41</v>
      </c>
      <c r="K299" t="s">
        <v>42</v>
      </c>
      <c r="L299" t="s">
        <v>296</v>
      </c>
      <c r="N299" t="s">
        <v>297</v>
      </c>
      <c r="Q299">
        <v>32250</v>
      </c>
      <c r="R299" t="s">
        <v>45</v>
      </c>
      <c r="S299" t="s">
        <v>2798</v>
      </c>
      <c r="T299">
        <v>28.6</v>
      </c>
      <c r="U299" s="2" t="s">
        <v>2799</v>
      </c>
      <c r="V299" s="1">
        <v>46085</v>
      </c>
      <c r="W299" t="s">
        <v>981</v>
      </c>
      <c r="X299">
        <v>838130</v>
      </c>
      <c r="Y299" t="s">
        <v>2800</v>
      </c>
      <c r="Z299" s="2" t="s">
        <v>2801</v>
      </c>
      <c r="AA299" s="2" t="s">
        <v>1490</v>
      </c>
      <c r="AB299" t="s">
        <v>972</v>
      </c>
      <c r="AD299" s="2" t="s">
        <v>2802</v>
      </c>
      <c r="AE299">
        <v>319226</v>
      </c>
      <c r="AG299" t="s">
        <v>2803</v>
      </c>
      <c r="AH299" t="s">
        <v>2804</v>
      </c>
      <c r="AI299" t="s">
        <v>2805</v>
      </c>
    </row>
    <row r="300" spans="2:35" ht="195">
      <c r="B300" s="1">
        <v>46085</v>
      </c>
      <c r="C300" s="1">
        <v>46085</v>
      </c>
      <c r="D300" t="s">
        <v>2806</v>
      </c>
      <c r="E300" t="s">
        <v>2569</v>
      </c>
      <c r="F300" t="s">
        <v>148</v>
      </c>
      <c r="G300" t="s">
        <v>447</v>
      </c>
      <c r="H300" t="s">
        <v>2807</v>
      </c>
      <c r="I300" t="s">
        <v>40</v>
      </c>
      <c r="J300" t="s">
        <v>525</v>
      </c>
      <c r="K300" t="s">
        <v>42</v>
      </c>
      <c r="L300" t="s">
        <v>448</v>
      </c>
      <c r="N300" t="s">
        <v>650</v>
      </c>
      <c r="O300" t="s">
        <v>2808</v>
      </c>
      <c r="Q300">
        <v>32248</v>
      </c>
      <c r="R300" t="s">
        <v>95</v>
      </c>
      <c r="S300" t="s">
        <v>2809</v>
      </c>
      <c r="T300">
        <v>25</v>
      </c>
      <c r="U300" s="2" t="s">
        <v>2810</v>
      </c>
      <c r="W300" t="s">
        <v>666</v>
      </c>
      <c r="X300">
        <v>839234</v>
      </c>
      <c r="Y300" s="2" t="s">
        <v>2811</v>
      </c>
      <c r="Z300" s="2" t="s">
        <v>2575</v>
      </c>
      <c r="AA300" t="s">
        <v>768</v>
      </c>
      <c r="AB300" t="s">
        <v>2812</v>
      </c>
      <c r="AG300" t="s">
        <v>2813</v>
      </c>
      <c r="AH300" t="s">
        <v>2814</v>
      </c>
      <c r="AI300" t="s">
        <v>2815</v>
      </c>
    </row>
    <row r="301" spans="2:35" ht="330">
      <c r="B301" s="1">
        <v>46085</v>
      </c>
      <c r="C301" s="1">
        <v>46085</v>
      </c>
      <c r="D301" t="s">
        <v>2816</v>
      </c>
      <c r="E301" t="s">
        <v>2817</v>
      </c>
      <c r="F301" t="s">
        <v>148</v>
      </c>
      <c r="G301" t="s">
        <v>371</v>
      </c>
      <c r="H301" t="s">
        <v>39</v>
      </c>
      <c r="I301" t="s">
        <v>40</v>
      </c>
      <c r="J301" t="s">
        <v>79</v>
      </c>
      <c r="K301" t="s">
        <v>42</v>
      </c>
      <c r="L301" t="s">
        <v>175</v>
      </c>
      <c r="N301" t="s">
        <v>176</v>
      </c>
      <c r="Q301">
        <v>32247</v>
      </c>
      <c r="R301" t="s">
        <v>119</v>
      </c>
      <c r="S301" t="s">
        <v>2818</v>
      </c>
      <c r="T301">
        <v>25</v>
      </c>
      <c r="W301" t="s">
        <v>84</v>
      </c>
      <c r="X301">
        <v>831907</v>
      </c>
      <c r="Y301" t="s">
        <v>2819</v>
      </c>
      <c r="Z301" s="2" t="s">
        <v>2820</v>
      </c>
      <c r="AA301" s="2" t="s">
        <v>2821</v>
      </c>
      <c r="AB301" t="s">
        <v>181</v>
      </c>
      <c r="AG301" t="s">
        <v>2822</v>
      </c>
      <c r="AH301" t="s">
        <v>2823</v>
      </c>
      <c r="AI301" t="s">
        <v>2824</v>
      </c>
    </row>
    <row r="302" spans="2:35" ht="195">
      <c r="B302" s="1">
        <v>46085</v>
      </c>
      <c r="C302" s="1">
        <v>46085</v>
      </c>
      <c r="D302" t="s">
        <v>2825</v>
      </c>
      <c r="E302" t="s">
        <v>2826</v>
      </c>
      <c r="F302" t="s">
        <v>37</v>
      </c>
      <c r="G302" t="s">
        <v>2499</v>
      </c>
      <c r="H302" t="s">
        <v>39</v>
      </c>
      <c r="I302" t="s">
        <v>40</v>
      </c>
      <c r="J302" s="2" t="s">
        <v>41</v>
      </c>
      <c r="K302" t="s">
        <v>42</v>
      </c>
      <c r="L302" t="s">
        <v>43</v>
      </c>
      <c r="N302" t="s">
        <v>44</v>
      </c>
      <c r="Q302">
        <v>32246</v>
      </c>
      <c r="R302" t="s">
        <v>45</v>
      </c>
      <c r="S302" t="s">
        <v>2827</v>
      </c>
      <c r="T302">
        <v>22</v>
      </c>
      <c r="U302" s="2" t="s">
        <v>2828</v>
      </c>
      <c r="V302" s="1">
        <v>46085</v>
      </c>
      <c r="W302" t="s">
        <v>48</v>
      </c>
      <c r="X302">
        <v>805339</v>
      </c>
      <c r="Y302" t="s">
        <v>2165</v>
      </c>
      <c r="Z302" t="s">
        <v>2166</v>
      </c>
      <c r="AA302" s="2" t="s">
        <v>2829</v>
      </c>
      <c r="AB302" t="s">
        <v>548</v>
      </c>
      <c r="AD302" s="2" t="s">
        <v>2830</v>
      </c>
      <c r="AE302" t="s">
        <v>54</v>
      </c>
      <c r="AG302" t="s">
        <v>2831</v>
      </c>
      <c r="AH302" t="s">
        <v>2832</v>
      </c>
      <c r="AI302" t="s">
        <v>2833</v>
      </c>
    </row>
    <row r="303" spans="2:35" ht="409.5">
      <c r="B303" s="1">
        <v>46085</v>
      </c>
      <c r="C303" s="1">
        <v>46085</v>
      </c>
      <c r="D303" t="s">
        <v>2834</v>
      </c>
      <c r="E303" t="s">
        <v>2835</v>
      </c>
      <c r="F303">
        <v>11</v>
      </c>
      <c r="G303" t="s">
        <v>2836</v>
      </c>
      <c r="H303" t="s">
        <v>662</v>
      </c>
      <c r="I303" t="s">
        <v>94</v>
      </c>
      <c r="J303" s="2" t="s">
        <v>62</v>
      </c>
      <c r="K303" t="s">
        <v>42</v>
      </c>
      <c r="L303" t="s">
        <v>204</v>
      </c>
      <c r="N303" t="s">
        <v>205</v>
      </c>
      <c r="Q303">
        <v>32245</v>
      </c>
      <c r="R303" t="s">
        <v>45</v>
      </c>
      <c r="S303" t="s">
        <v>2837</v>
      </c>
      <c r="T303">
        <v>24.5</v>
      </c>
      <c r="U303" s="2" t="s">
        <v>2838</v>
      </c>
      <c r="W303" t="s">
        <v>208</v>
      </c>
      <c r="X303">
        <v>805063</v>
      </c>
      <c r="Y303" t="s">
        <v>2839</v>
      </c>
      <c r="Z303" s="2" t="s">
        <v>2840</v>
      </c>
      <c r="AA303" t="s">
        <v>1620</v>
      </c>
      <c r="AB303" s="2" t="s">
        <v>2841</v>
      </c>
      <c r="AC303" t="s">
        <v>2842</v>
      </c>
      <c r="AG303" t="s">
        <v>2843</v>
      </c>
      <c r="AH303" t="s">
        <v>2844</v>
      </c>
      <c r="AI303" t="s">
        <v>2845</v>
      </c>
    </row>
    <row r="304" spans="2:35" ht="315">
      <c r="B304" s="1">
        <v>46085</v>
      </c>
      <c r="C304" s="1">
        <v>46083</v>
      </c>
      <c r="D304" t="s">
        <v>2834</v>
      </c>
      <c r="E304" t="s">
        <v>2835</v>
      </c>
      <c r="F304">
        <v>11</v>
      </c>
      <c r="G304" t="s">
        <v>2836</v>
      </c>
      <c r="H304" t="s">
        <v>662</v>
      </c>
      <c r="I304" t="s">
        <v>94</v>
      </c>
      <c r="J304" t="s">
        <v>109</v>
      </c>
      <c r="K304" t="s">
        <v>42</v>
      </c>
      <c r="L304" t="s">
        <v>204</v>
      </c>
      <c r="N304" t="s">
        <v>205</v>
      </c>
      <c r="Q304">
        <v>32244</v>
      </c>
      <c r="R304" t="s">
        <v>45</v>
      </c>
      <c r="S304" t="s">
        <v>2837</v>
      </c>
      <c r="T304">
        <v>25.4</v>
      </c>
      <c r="U304" s="2" t="s">
        <v>2846</v>
      </c>
      <c r="W304" t="s">
        <v>208</v>
      </c>
      <c r="X304">
        <v>834440</v>
      </c>
      <c r="Y304" t="s">
        <v>1052</v>
      </c>
      <c r="Z304" s="2" t="s">
        <v>1321</v>
      </c>
      <c r="AA304" t="s">
        <v>2551</v>
      </c>
      <c r="AB304" t="s">
        <v>364</v>
      </c>
      <c r="AG304" t="s">
        <v>2847</v>
      </c>
      <c r="AH304" t="s">
        <v>2844</v>
      </c>
      <c r="AI304" t="s">
        <v>2848</v>
      </c>
    </row>
    <row r="305" spans="2:35" ht="390">
      <c r="B305" s="1">
        <v>46085</v>
      </c>
      <c r="C305" s="1">
        <v>46083</v>
      </c>
      <c r="D305" t="s">
        <v>2834</v>
      </c>
      <c r="E305" t="s">
        <v>2835</v>
      </c>
      <c r="F305">
        <v>11</v>
      </c>
      <c r="G305" t="s">
        <v>2836</v>
      </c>
      <c r="H305" t="s">
        <v>2849</v>
      </c>
      <c r="I305" t="s">
        <v>94</v>
      </c>
      <c r="J305" t="s">
        <v>109</v>
      </c>
      <c r="K305" t="s">
        <v>42</v>
      </c>
      <c r="L305" t="s">
        <v>204</v>
      </c>
      <c r="N305" t="s">
        <v>205</v>
      </c>
      <c r="Q305">
        <v>32243</v>
      </c>
      <c r="R305" t="s">
        <v>45</v>
      </c>
      <c r="S305" t="s">
        <v>2837</v>
      </c>
      <c r="T305">
        <v>25.4</v>
      </c>
      <c r="U305" s="2" t="s">
        <v>2850</v>
      </c>
      <c r="W305" t="s">
        <v>2550</v>
      </c>
      <c r="X305">
        <v>110020276</v>
      </c>
      <c r="Y305" t="s">
        <v>2851</v>
      </c>
      <c r="Z305" s="2" t="s">
        <v>1321</v>
      </c>
      <c r="AA305" t="s">
        <v>2551</v>
      </c>
      <c r="AB305" t="s">
        <v>1211</v>
      </c>
      <c r="AG305" t="s">
        <v>2852</v>
      </c>
      <c r="AH305" t="s">
        <v>2844</v>
      </c>
      <c r="AI305" t="s">
        <v>2853</v>
      </c>
    </row>
    <row r="306" spans="2:35" ht="409.5">
      <c r="B306" s="1">
        <v>46085</v>
      </c>
      <c r="C306" s="1">
        <v>46085</v>
      </c>
      <c r="D306" t="s">
        <v>2854</v>
      </c>
      <c r="E306" t="s">
        <v>2855</v>
      </c>
      <c r="F306">
        <v>9</v>
      </c>
      <c r="G306" t="s">
        <v>2197</v>
      </c>
      <c r="H306" t="s">
        <v>39</v>
      </c>
      <c r="I306" t="s">
        <v>94</v>
      </c>
      <c r="J306" t="s">
        <v>109</v>
      </c>
      <c r="K306" t="s">
        <v>42</v>
      </c>
      <c r="L306" t="s">
        <v>1257</v>
      </c>
      <c r="N306" t="s">
        <v>1258</v>
      </c>
      <c r="O306" t="s">
        <v>1258</v>
      </c>
      <c r="Q306">
        <v>32242</v>
      </c>
      <c r="R306" t="s">
        <v>45</v>
      </c>
      <c r="S306" t="s">
        <v>2856</v>
      </c>
      <c r="T306">
        <v>27</v>
      </c>
      <c r="U306" s="2" t="s">
        <v>2857</v>
      </c>
      <c r="V306" s="1">
        <v>46085</v>
      </c>
      <c r="W306" t="s">
        <v>1270</v>
      </c>
      <c r="X306">
        <v>110019600</v>
      </c>
      <c r="Y306" t="s">
        <v>2858</v>
      </c>
      <c r="Z306" s="2" t="s">
        <v>2859</v>
      </c>
      <c r="AA306" t="s">
        <v>2860</v>
      </c>
      <c r="AB306" s="2" t="s">
        <v>2861</v>
      </c>
      <c r="AC306" t="s">
        <v>301</v>
      </c>
      <c r="AD306" t="s">
        <v>2562</v>
      </c>
      <c r="AE306" t="s">
        <v>54</v>
      </c>
      <c r="AG306" t="s">
        <v>2862</v>
      </c>
      <c r="AH306" t="s">
        <v>2863</v>
      </c>
      <c r="AI306" t="s">
        <v>2864</v>
      </c>
    </row>
    <row r="307" spans="2:35" ht="390">
      <c r="B307" s="1">
        <v>46085</v>
      </c>
      <c r="C307" s="1">
        <v>46085</v>
      </c>
      <c r="D307" t="s">
        <v>2865</v>
      </c>
      <c r="E307" t="s">
        <v>2835</v>
      </c>
      <c r="F307">
        <v>11</v>
      </c>
      <c r="G307" t="s">
        <v>2836</v>
      </c>
      <c r="H307" t="s">
        <v>513</v>
      </c>
      <c r="I307" t="s">
        <v>40</v>
      </c>
      <c r="J307" s="2" t="s">
        <v>2866</v>
      </c>
      <c r="K307" t="s">
        <v>387</v>
      </c>
      <c r="L307" t="s">
        <v>204</v>
      </c>
      <c r="N307" t="s">
        <v>205</v>
      </c>
      <c r="O307" t="s">
        <v>2867</v>
      </c>
      <c r="Q307">
        <v>32241</v>
      </c>
      <c r="R307" t="s">
        <v>95</v>
      </c>
      <c r="S307" t="s">
        <v>2868</v>
      </c>
      <c r="T307">
        <v>25.6</v>
      </c>
      <c r="W307" t="s">
        <v>390</v>
      </c>
      <c r="X307" t="s">
        <v>2869</v>
      </c>
      <c r="Y307" s="2" t="s">
        <v>2870</v>
      </c>
      <c r="Z307" s="2" t="s">
        <v>2871</v>
      </c>
      <c r="AA307" t="s">
        <v>2872</v>
      </c>
      <c r="AB307" t="s">
        <v>364</v>
      </c>
      <c r="AG307" t="s">
        <v>2873</v>
      </c>
      <c r="AH307" t="s">
        <v>2874</v>
      </c>
      <c r="AI307" t="s">
        <v>2875</v>
      </c>
    </row>
    <row r="308" spans="2:35" ht="360">
      <c r="B308" s="1">
        <v>46085</v>
      </c>
      <c r="C308" s="1">
        <v>46085</v>
      </c>
      <c r="D308" t="s">
        <v>684</v>
      </c>
      <c r="E308" t="s">
        <v>685</v>
      </c>
      <c r="F308">
        <v>3</v>
      </c>
      <c r="G308" t="s">
        <v>284</v>
      </c>
      <c r="H308" t="s">
        <v>39</v>
      </c>
      <c r="I308" t="s">
        <v>40</v>
      </c>
      <c r="J308" s="2" t="s">
        <v>41</v>
      </c>
      <c r="K308" t="s">
        <v>42</v>
      </c>
      <c r="L308" t="s">
        <v>135</v>
      </c>
      <c r="N308" t="s">
        <v>136</v>
      </c>
      <c r="Q308">
        <v>32240</v>
      </c>
      <c r="R308" t="s">
        <v>45</v>
      </c>
      <c r="S308" t="s">
        <v>686</v>
      </c>
      <c r="T308">
        <v>25</v>
      </c>
      <c r="W308" t="s">
        <v>138</v>
      </c>
      <c r="X308">
        <v>805124</v>
      </c>
      <c r="Y308" s="2" t="s">
        <v>2876</v>
      </c>
      <c r="Z308" t="s">
        <v>2877</v>
      </c>
      <c r="AA308" s="2" t="s">
        <v>2878</v>
      </c>
      <c r="AB308" s="2" t="s">
        <v>2879</v>
      </c>
      <c r="AG308" t="s">
        <v>2880</v>
      </c>
      <c r="AH308" t="s">
        <v>2881</v>
      </c>
      <c r="AI308" t="s">
        <v>2882</v>
      </c>
    </row>
    <row r="309" spans="2:35" ht="195">
      <c r="B309" s="1">
        <v>46085</v>
      </c>
      <c r="C309" s="1">
        <v>46085</v>
      </c>
      <c r="D309" t="s">
        <v>2883</v>
      </c>
      <c r="E309" t="s">
        <v>2884</v>
      </c>
      <c r="F309" t="s">
        <v>37</v>
      </c>
      <c r="G309" t="s">
        <v>2499</v>
      </c>
      <c r="H309" t="s">
        <v>39</v>
      </c>
      <c r="I309" t="s">
        <v>40</v>
      </c>
      <c r="J309" s="2" t="s">
        <v>41</v>
      </c>
      <c r="K309" t="s">
        <v>42</v>
      </c>
      <c r="L309" t="s">
        <v>43</v>
      </c>
      <c r="N309" t="s">
        <v>44</v>
      </c>
      <c r="Q309">
        <v>32239</v>
      </c>
      <c r="R309" t="s">
        <v>119</v>
      </c>
      <c r="S309" t="s">
        <v>2885</v>
      </c>
      <c r="T309">
        <v>24</v>
      </c>
      <c r="V309" s="1">
        <v>46085</v>
      </c>
      <c r="W309" t="s">
        <v>48</v>
      </c>
      <c r="X309">
        <v>831698</v>
      </c>
      <c r="Y309" t="s">
        <v>559</v>
      </c>
      <c r="Z309" t="s">
        <v>335</v>
      </c>
      <c r="AA309" s="2" t="s">
        <v>2886</v>
      </c>
      <c r="AB309" t="s">
        <v>2887</v>
      </c>
      <c r="AD309" s="2" t="s">
        <v>2888</v>
      </c>
      <c r="AE309" t="s">
        <v>54</v>
      </c>
      <c r="AG309" t="s">
        <v>2889</v>
      </c>
      <c r="AH309" t="s">
        <v>2890</v>
      </c>
      <c r="AI309" t="s">
        <v>2891</v>
      </c>
    </row>
    <row r="310" spans="2:35" ht="345">
      <c r="B310" s="1">
        <v>46085</v>
      </c>
      <c r="C310" s="1">
        <v>46085</v>
      </c>
      <c r="D310" t="s">
        <v>1462</v>
      </c>
      <c r="E310" t="s">
        <v>2892</v>
      </c>
      <c r="F310">
        <v>8</v>
      </c>
      <c r="G310" t="s">
        <v>1663</v>
      </c>
      <c r="H310" t="s">
        <v>258</v>
      </c>
      <c r="I310" t="s">
        <v>40</v>
      </c>
      <c r="J310" s="2" t="s">
        <v>41</v>
      </c>
      <c r="K310" t="s">
        <v>42</v>
      </c>
      <c r="L310" t="s">
        <v>259</v>
      </c>
      <c r="N310" t="s">
        <v>260</v>
      </c>
      <c r="Q310">
        <v>32238</v>
      </c>
      <c r="R310" t="s">
        <v>967</v>
      </c>
      <c r="S310" t="s">
        <v>2893</v>
      </c>
      <c r="T310">
        <v>26</v>
      </c>
      <c r="U310" s="2" t="s">
        <v>2894</v>
      </c>
      <c r="V310" s="1">
        <v>46085</v>
      </c>
      <c r="W310" t="s">
        <v>1537</v>
      </c>
      <c r="X310">
        <v>110023515</v>
      </c>
      <c r="Y310" t="s">
        <v>2895</v>
      </c>
      <c r="Z310" s="2" t="s">
        <v>2896</v>
      </c>
      <c r="AA310" t="e">
        <f ca="1">- Preventive Maintenance
- module Replacement</f>
        <v>#NAME?</v>
      </c>
      <c r="AB310" t="s">
        <v>70</v>
      </c>
      <c r="AD310" t="s">
        <v>2897</v>
      </c>
      <c r="AE310">
        <v>13753</v>
      </c>
      <c r="AG310" t="s">
        <v>2898</v>
      </c>
      <c r="AH310" t="s">
        <v>2899</v>
      </c>
      <c r="AI310" t="s">
        <v>2900</v>
      </c>
    </row>
    <row r="311" spans="2:35" ht="195">
      <c r="B311" s="1">
        <v>46085</v>
      </c>
      <c r="C311" s="1">
        <v>46085</v>
      </c>
      <c r="D311" t="s">
        <v>2901</v>
      </c>
      <c r="E311" t="s">
        <v>2902</v>
      </c>
      <c r="F311">
        <v>9</v>
      </c>
      <c r="G311" t="s">
        <v>2903</v>
      </c>
      <c r="H311" t="s">
        <v>39</v>
      </c>
      <c r="I311" t="s">
        <v>40</v>
      </c>
      <c r="J311" s="2" t="s">
        <v>1370</v>
      </c>
      <c r="K311" t="s">
        <v>42</v>
      </c>
      <c r="L311" t="s">
        <v>433</v>
      </c>
      <c r="N311" t="s">
        <v>434</v>
      </c>
      <c r="Q311">
        <v>32237</v>
      </c>
      <c r="R311" t="s">
        <v>45</v>
      </c>
      <c r="S311" t="s">
        <v>2904</v>
      </c>
      <c r="T311">
        <v>26</v>
      </c>
      <c r="W311" t="s">
        <v>1008</v>
      </c>
      <c r="X311">
        <v>110020389</v>
      </c>
      <c r="Y311" t="s">
        <v>2905</v>
      </c>
      <c r="Z311" s="2" t="s">
        <v>2906</v>
      </c>
      <c r="AA311" s="2" t="s">
        <v>2906</v>
      </c>
      <c r="AB311" t="s">
        <v>1011</v>
      </c>
      <c r="AG311" t="s">
        <v>2907</v>
      </c>
      <c r="AH311" t="s">
        <v>2908</v>
      </c>
      <c r="AI311" t="s">
        <v>2909</v>
      </c>
    </row>
    <row r="312" spans="2:35" ht="409.5">
      <c r="B312" s="1">
        <v>46084</v>
      </c>
      <c r="C312" s="1">
        <v>46084</v>
      </c>
      <c r="D312" t="s">
        <v>2910</v>
      </c>
      <c r="E312" t="s">
        <v>2911</v>
      </c>
      <c r="F312" t="s">
        <v>148</v>
      </c>
      <c r="G312" t="s">
        <v>310</v>
      </c>
      <c r="H312" t="s">
        <v>39</v>
      </c>
      <c r="I312" t="s">
        <v>40</v>
      </c>
      <c r="J312" t="s">
        <v>109</v>
      </c>
      <c r="K312" t="s">
        <v>42</v>
      </c>
      <c r="L312" t="s">
        <v>1943</v>
      </c>
      <c r="N312" t="s">
        <v>1944</v>
      </c>
      <c r="Q312">
        <v>32236</v>
      </c>
      <c r="R312" t="s">
        <v>703</v>
      </c>
      <c r="S312" t="s">
        <v>2912</v>
      </c>
      <c r="T312">
        <v>25</v>
      </c>
      <c r="W312" t="s">
        <v>84</v>
      </c>
      <c r="X312">
        <v>835540</v>
      </c>
      <c r="Y312" t="s">
        <v>2099</v>
      </c>
      <c r="Z312" t="s">
        <v>2100</v>
      </c>
      <c r="AA312" s="2" t="s">
        <v>2101</v>
      </c>
      <c r="AB312" t="s">
        <v>88</v>
      </c>
      <c r="AG312" t="s">
        <v>2913</v>
      </c>
      <c r="AH312" t="s">
        <v>2914</v>
      </c>
      <c r="AI312" t="s">
        <v>2915</v>
      </c>
    </row>
    <row r="313" spans="2:35" ht="315">
      <c r="B313" s="1">
        <v>46084</v>
      </c>
      <c r="C313" s="1">
        <v>46084</v>
      </c>
      <c r="D313" t="s">
        <v>1316</v>
      </c>
      <c r="E313" t="s">
        <v>2916</v>
      </c>
      <c r="F313">
        <v>11</v>
      </c>
      <c r="G313" t="s">
        <v>1205</v>
      </c>
      <c r="H313" t="s">
        <v>1317</v>
      </c>
      <c r="I313" t="s">
        <v>40</v>
      </c>
      <c r="J313" t="s">
        <v>109</v>
      </c>
      <c r="K313" t="s">
        <v>42</v>
      </c>
      <c r="L313" t="s">
        <v>204</v>
      </c>
      <c r="N313" t="s">
        <v>205</v>
      </c>
      <c r="Q313">
        <v>32235</v>
      </c>
      <c r="R313" t="s">
        <v>322</v>
      </c>
      <c r="S313" t="s">
        <v>1318</v>
      </c>
      <c r="T313">
        <v>26.8</v>
      </c>
      <c r="U313" s="2" t="s">
        <v>2917</v>
      </c>
      <c r="W313" t="s">
        <v>208</v>
      </c>
      <c r="X313">
        <v>839236</v>
      </c>
      <c r="Y313" t="s">
        <v>1052</v>
      </c>
      <c r="Z313" s="2" t="s">
        <v>2918</v>
      </c>
      <c r="AA313" t="s">
        <v>2551</v>
      </c>
      <c r="AB313" s="2" t="s">
        <v>2919</v>
      </c>
      <c r="AC313" t="s">
        <v>2920</v>
      </c>
      <c r="AG313" t="s">
        <v>2921</v>
      </c>
      <c r="AH313" t="s">
        <v>1325</v>
      </c>
      <c r="AI313" t="s">
        <v>2922</v>
      </c>
    </row>
    <row r="314" spans="2:35" ht="315">
      <c r="B314" s="1">
        <v>46084</v>
      </c>
      <c r="C314" s="1">
        <v>46084</v>
      </c>
      <c r="D314" t="s">
        <v>1316</v>
      </c>
      <c r="E314" t="s">
        <v>2916</v>
      </c>
      <c r="F314">
        <v>11</v>
      </c>
      <c r="G314" t="s">
        <v>1205</v>
      </c>
      <c r="H314" t="s">
        <v>1317</v>
      </c>
      <c r="I314" t="s">
        <v>40</v>
      </c>
      <c r="J314" s="2" t="s">
        <v>609</v>
      </c>
      <c r="K314" t="s">
        <v>42</v>
      </c>
      <c r="L314" t="s">
        <v>204</v>
      </c>
      <c r="N314" t="s">
        <v>205</v>
      </c>
      <c r="Q314">
        <v>32234</v>
      </c>
      <c r="R314" t="s">
        <v>119</v>
      </c>
      <c r="S314" t="s">
        <v>1318</v>
      </c>
      <c r="T314">
        <v>24.6</v>
      </c>
      <c r="U314" s="2" t="s">
        <v>2917</v>
      </c>
      <c r="W314" t="s">
        <v>208</v>
      </c>
      <c r="X314">
        <v>838262</v>
      </c>
      <c r="Y314" t="s">
        <v>2923</v>
      </c>
      <c r="Z314" s="2" t="s">
        <v>1321</v>
      </c>
      <c r="AA314" t="s">
        <v>2924</v>
      </c>
      <c r="AB314" t="s">
        <v>2925</v>
      </c>
      <c r="AG314" t="s">
        <v>2926</v>
      </c>
      <c r="AH314" t="s">
        <v>1325</v>
      </c>
      <c r="AI314" t="s">
        <v>2927</v>
      </c>
    </row>
    <row r="315" spans="2:35" ht="270">
      <c r="B315" s="1">
        <v>46084</v>
      </c>
      <c r="C315" s="1">
        <v>46084</v>
      </c>
      <c r="D315" t="s">
        <v>2928</v>
      </c>
      <c r="E315" t="s">
        <v>2929</v>
      </c>
      <c r="F315" t="s">
        <v>148</v>
      </c>
      <c r="G315" t="s">
        <v>406</v>
      </c>
      <c r="H315" t="s">
        <v>39</v>
      </c>
      <c r="I315" t="s">
        <v>40</v>
      </c>
      <c r="J315" t="s">
        <v>321</v>
      </c>
      <c r="K315" t="s">
        <v>42</v>
      </c>
      <c r="L315" t="s">
        <v>43</v>
      </c>
      <c r="N315" t="s">
        <v>44</v>
      </c>
      <c r="Q315">
        <v>32233</v>
      </c>
      <c r="R315" t="s">
        <v>322</v>
      </c>
      <c r="S315" t="s">
        <v>2930</v>
      </c>
      <c r="T315">
        <v>22</v>
      </c>
      <c r="W315" t="s">
        <v>153</v>
      </c>
      <c r="X315">
        <v>120007666</v>
      </c>
      <c r="Y315" t="s">
        <v>750</v>
      </c>
      <c r="Z315" t="s">
        <v>2931</v>
      </c>
      <c r="AA315" s="2" t="s">
        <v>2932</v>
      </c>
      <c r="AB315" t="s">
        <v>181</v>
      </c>
      <c r="AG315" t="s">
        <v>2933</v>
      </c>
      <c r="AH315" t="s">
        <v>2934</v>
      </c>
      <c r="AI315" t="s">
        <v>2935</v>
      </c>
    </row>
    <row r="316" spans="2:35" ht="270">
      <c r="B316" s="1">
        <v>46084</v>
      </c>
      <c r="C316" s="1">
        <v>46084</v>
      </c>
      <c r="D316" t="s">
        <v>2936</v>
      </c>
      <c r="E316" t="s">
        <v>2937</v>
      </c>
      <c r="F316" t="s">
        <v>148</v>
      </c>
      <c r="G316" t="s">
        <v>406</v>
      </c>
      <c r="H316" t="s">
        <v>39</v>
      </c>
      <c r="I316" t="s">
        <v>40</v>
      </c>
      <c r="J316" t="s">
        <v>321</v>
      </c>
      <c r="K316" t="s">
        <v>42</v>
      </c>
      <c r="L316" t="s">
        <v>43</v>
      </c>
      <c r="N316" t="s">
        <v>44</v>
      </c>
      <c r="Q316">
        <v>32232</v>
      </c>
      <c r="R316" t="s">
        <v>322</v>
      </c>
      <c r="S316" t="s">
        <v>2938</v>
      </c>
      <c r="T316">
        <v>24</v>
      </c>
      <c r="W316" t="s">
        <v>153</v>
      </c>
      <c r="X316">
        <v>120007669</v>
      </c>
      <c r="Y316" t="s">
        <v>750</v>
      </c>
      <c r="Z316" t="s">
        <v>2931</v>
      </c>
      <c r="AA316" s="2" t="s">
        <v>2939</v>
      </c>
      <c r="AB316" t="s">
        <v>88</v>
      </c>
      <c r="AG316" t="s">
        <v>2940</v>
      </c>
      <c r="AH316" t="s">
        <v>2941</v>
      </c>
      <c r="AI316" t="s">
        <v>2942</v>
      </c>
    </row>
    <row r="317" spans="2:35" ht="195">
      <c r="B317" s="1">
        <v>46084</v>
      </c>
      <c r="C317" s="1">
        <v>46084</v>
      </c>
      <c r="D317" t="s">
        <v>2943</v>
      </c>
      <c r="E317" t="s">
        <v>2944</v>
      </c>
      <c r="F317">
        <v>8</v>
      </c>
      <c r="G317" t="s">
        <v>2945</v>
      </c>
      <c r="H317" t="s">
        <v>2946</v>
      </c>
      <c r="I317" t="s">
        <v>40</v>
      </c>
      <c r="J317" s="2" t="s">
        <v>62</v>
      </c>
      <c r="K317" t="s">
        <v>42</v>
      </c>
      <c r="L317" t="s">
        <v>343</v>
      </c>
      <c r="N317" t="s">
        <v>344</v>
      </c>
      <c r="Q317">
        <v>32231</v>
      </c>
      <c r="R317" t="s">
        <v>45</v>
      </c>
      <c r="S317" t="s">
        <v>2947</v>
      </c>
      <c r="T317">
        <v>25</v>
      </c>
      <c r="U317" s="2" t="s">
        <v>2948</v>
      </c>
      <c r="W317" t="s">
        <v>2949</v>
      </c>
      <c r="X317">
        <v>110013959</v>
      </c>
      <c r="Y317" t="s">
        <v>2950</v>
      </c>
      <c r="Z317" t="e">
        <f ca="1">-XpertCheck ALL four modules</f>
        <v>#NAME?</v>
      </c>
      <c r="AA317" t="e">
        <f ca="1">-Preventive Maintenance
-Import Xpert HIV-Viral Load XC Assay</f>
        <v>#NAME?</v>
      </c>
      <c r="AB317" t="s">
        <v>2951</v>
      </c>
      <c r="AG317" t="s">
        <v>2952</v>
      </c>
      <c r="AH317" t="s">
        <v>2953</v>
      </c>
      <c r="AI317" t="s">
        <v>2954</v>
      </c>
    </row>
    <row r="318" spans="2:35" ht="409.5">
      <c r="B318" s="1">
        <v>46084</v>
      </c>
      <c r="C318" s="1">
        <v>46083</v>
      </c>
      <c r="D318" t="s">
        <v>2955</v>
      </c>
      <c r="E318" t="s">
        <v>2956</v>
      </c>
      <c r="F318">
        <v>9</v>
      </c>
      <c r="G318" t="s">
        <v>2197</v>
      </c>
      <c r="H318" t="s">
        <v>39</v>
      </c>
      <c r="I318" t="s">
        <v>94</v>
      </c>
      <c r="J318" s="2" t="s">
        <v>2957</v>
      </c>
      <c r="K318" t="s">
        <v>42</v>
      </c>
      <c r="L318" t="s">
        <v>1257</v>
      </c>
      <c r="N318" t="s">
        <v>1258</v>
      </c>
      <c r="O318" t="s">
        <v>1258</v>
      </c>
      <c r="Q318">
        <v>32230</v>
      </c>
      <c r="R318" t="s">
        <v>45</v>
      </c>
      <c r="S318" t="s">
        <v>2958</v>
      </c>
      <c r="T318">
        <v>29</v>
      </c>
      <c r="U318" s="2" t="s">
        <v>2959</v>
      </c>
      <c r="V318" s="1">
        <v>46083</v>
      </c>
      <c r="W318" t="s">
        <v>2226</v>
      </c>
      <c r="X318">
        <v>821214</v>
      </c>
      <c r="Y318" t="s">
        <v>2960</v>
      </c>
      <c r="Z318" t="s">
        <v>2961</v>
      </c>
      <c r="AA318" s="2" t="s">
        <v>2962</v>
      </c>
      <c r="AB318" t="s">
        <v>2963</v>
      </c>
      <c r="AC318" t="s">
        <v>2964</v>
      </c>
      <c r="AD318" t="s">
        <v>2965</v>
      </c>
      <c r="AE318" t="s">
        <v>2966</v>
      </c>
      <c r="AG318" t="s">
        <v>2967</v>
      </c>
      <c r="AH318" t="s">
        <v>2968</v>
      </c>
      <c r="AI318" t="s">
        <v>2969</v>
      </c>
    </row>
    <row r="319" spans="2:35" ht="165">
      <c r="B319" s="1">
        <v>46083</v>
      </c>
      <c r="C319" s="1">
        <v>46073</v>
      </c>
      <c r="D319" t="s">
        <v>2970</v>
      </c>
      <c r="E319" t="s">
        <v>2971</v>
      </c>
      <c r="F319">
        <v>5</v>
      </c>
      <c r="G319" t="s">
        <v>759</v>
      </c>
      <c r="H319" t="s">
        <v>39</v>
      </c>
      <c r="I319" t="s">
        <v>94</v>
      </c>
      <c r="J319" t="s">
        <v>525</v>
      </c>
      <c r="K319" t="s">
        <v>42</v>
      </c>
      <c r="L319" t="s">
        <v>761</v>
      </c>
      <c r="N319" t="s">
        <v>762</v>
      </c>
      <c r="Q319">
        <v>32229</v>
      </c>
      <c r="R319" t="s">
        <v>95</v>
      </c>
      <c r="S319" t="s">
        <v>2972</v>
      </c>
      <c r="T319">
        <v>25</v>
      </c>
      <c r="W319" t="s">
        <v>817</v>
      </c>
      <c r="X319">
        <v>110017942</v>
      </c>
      <c r="Y319" t="s">
        <v>2973</v>
      </c>
      <c r="Z319" s="2" t="s">
        <v>2974</v>
      </c>
      <c r="AA319" t="s">
        <v>1935</v>
      </c>
      <c r="AB319" s="2" t="s">
        <v>2975</v>
      </c>
      <c r="AC319" t="s">
        <v>2976</v>
      </c>
      <c r="AG319" t="s">
        <v>2977</v>
      </c>
      <c r="AH319" t="s">
        <v>2978</v>
      </c>
      <c r="AI319" t="s">
        <v>2979</v>
      </c>
    </row>
    <row r="320" spans="2:35" ht="409.5">
      <c r="B320" s="1">
        <v>46083</v>
      </c>
      <c r="C320" s="1">
        <v>46072</v>
      </c>
      <c r="D320" t="s">
        <v>2980</v>
      </c>
      <c r="E320" t="s">
        <v>2981</v>
      </c>
      <c r="F320">
        <v>5</v>
      </c>
      <c r="G320" t="s">
        <v>839</v>
      </c>
      <c r="H320" t="s">
        <v>39</v>
      </c>
      <c r="I320" t="s">
        <v>40</v>
      </c>
      <c r="J320" s="2" t="s">
        <v>1309</v>
      </c>
      <c r="K320" t="s">
        <v>42</v>
      </c>
      <c r="L320" t="s">
        <v>761</v>
      </c>
      <c r="N320" t="s">
        <v>762</v>
      </c>
      <c r="Q320">
        <v>32228</v>
      </c>
      <c r="R320" t="s">
        <v>45</v>
      </c>
      <c r="S320" t="s">
        <v>2982</v>
      </c>
      <c r="T320">
        <v>25</v>
      </c>
      <c r="W320" t="s">
        <v>765</v>
      </c>
      <c r="X320">
        <v>808285</v>
      </c>
      <c r="Y320" s="2" t="s">
        <v>2983</v>
      </c>
      <c r="Z320" s="2" t="s">
        <v>2984</v>
      </c>
      <c r="AA320" s="2" t="s">
        <v>2985</v>
      </c>
      <c r="AB320" t="s">
        <v>70</v>
      </c>
      <c r="AC320" t="s">
        <v>2986</v>
      </c>
      <c r="AG320" t="s">
        <v>2987</v>
      </c>
      <c r="AH320" t="s">
        <v>2988</v>
      </c>
      <c r="AI320" t="s">
        <v>2989</v>
      </c>
    </row>
    <row r="321" spans="2:35" ht="270">
      <c r="B321" s="1">
        <v>46083</v>
      </c>
      <c r="C321" s="1">
        <v>46066</v>
      </c>
      <c r="D321" t="s">
        <v>2990</v>
      </c>
      <c r="E321" t="s">
        <v>2991</v>
      </c>
      <c r="F321">
        <v>5</v>
      </c>
      <c r="G321" t="s">
        <v>759</v>
      </c>
      <c r="H321" t="s">
        <v>39</v>
      </c>
      <c r="I321" t="s">
        <v>94</v>
      </c>
      <c r="J321" t="s">
        <v>1422</v>
      </c>
      <c r="K321" t="s">
        <v>42</v>
      </c>
      <c r="L321" t="s">
        <v>761</v>
      </c>
      <c r="N321" t="s">
        <v>762</v>
      </c>
      <c r="Q321">
        <v>32227</v>
      </c>
      <c r="R321" t="s">
        <v>45</v>
      </c>
      <c r="S321" t="s">
        <v>2992</v>
      </c>
      <c r="T321">
        <v>24</v>
      </c>
      <c r="W321" t="s">
        <v>817</v>
      </c>
      <c r="X321">
        <v>110019623</v>
      </c>
      <c r="Y321" t="s">
        <v>2993</v>
      </c>
      <c r="Z321" s="2" t="s">
        <v>2994</v>
      </c>
      <c r="AA321" t="s">
        <v>2995</v>
      </c>
      <c r="AB321" s="2" t="s">
        <v>2996</v>
      </c>
      <c r="AG321" t="s">
        <v>2997</v>
      </c>
      <c r="AH321" t="s">
        <v>2998</v>
      </c>
      <c r="AI321" t="s">
        <v>2999</v>
      </c>
    </row>
    <row r="322" spans="2:35" ht="165">
      <c r="B322" s="1">
        <v>46083</v>
      </c>
      <c r="C322" s="1">
        <v>46064</v>
      </c>
      <c r="D322" t="s">
        <v>837</v>
      </c>
      <c r="E322" t="s">
        <v>838</v>
      </c>
      <c r="F322">
        <v>5</v>
      </c>
      <c r="G322" t="s">
        <v>839</v>
      </c>
      <c r="H322" t="s">
        <v>513</v>
      </c>
      <c r="I322" t="s">
        <v>94</v>
      </c>
      <c r="J322" t="s">
        <v>109</v>
      </c>
      <c r="K322" t="s">
        <v>387</v>
      </c>
      <c r="L322" t="s">
        <v>761</v>
      </c>
      <c r="N322" t="s">
        <v>762</v>
      </c>
      <c r="Q322">
        <v>32226</v>
      </c>
      <c r="R322" t="s">
        <v>322</v>
      </c>
      <c r="S322" t="s">
        <v>3000</v>
      </c>
      <c r="T322">
        <v>25</v>
      </c>
      <c r="W322" t="s">
        <v>390</v>
      </c>
      <c r="X322" t="s">
        <v>841</v>
      </c>
      <c r="Y322" t="s">
        <v>3001</v>
      </c>
      <c r="Z322" s="2" t="s">
        <v>3002</v>
      </c>
      <c r="AA322" t="s">
        <v>820</v>
      </c>
      <c r="AB322" t="s">
        <v>181</v>
      </c>
      <c r="AG322" t="s">
        <v>3003</v>
      </c>
      <c r="AH322" t="s">
        <v>3004</v>
      </c>
      <c r="AI322" t="s">
        <v>3005</v>
      </c>
    </row>
    <row r="323" spans="2:35" ht="330">
      <c r="B323" s="1">
        <v>46083</v>
      </c>
      <c r="C323" s="1">
        <v>46080</v>
      </c>
      <c r="D323" t="s">
        <v>1420</v>
      </c>
      <c r="E323" t="s">
        <v>1456</v>
      </c>
      <c r="F323">
        <v>1</v>
      </c>
      <c r="G323" t="s">
        <v>1046</v>
      </c>
      <c r="H323" t="s">
        <v>1047</v>
      </c>
      <c r="I323" t="s">
        <v>40</v>
      </c>
      <c r="J323" s="2" t="s">
        <v>41</v>
      </c>
      <c r="K323" t="s">
        <v>42</v>
      </c>
      <c r="L323" t="s">
        <v>1048</v>
      </c>
      <c r="N323" t="s">
        <v>1049</v>
      </c>
      <c r="Q323">
        <v>32225</v>
      </c>
      <c r="R323" t="s">
        <v>45</v>
      </c>
      <c r="S323" t="s">
        <v>1423</v>
      </c>
      <c r="T323">
        <v>30</v>
      </c>
      <c r="V323" s="1">
        <v>46080</v>
      </c>
      <c r="W323" t="s">
        <v>1051</v>
      </c>
      <c r="X323">
        <v>807621</v>
      </c>
      <c r="Y323" t="s">
        <v>1924</v>
      </c>
      <c r="Z323" s="2" t="s">
        <v>3006</v>
      </c>
      <c r="AA323" t="s">
        <v>1926</v>
      </c>
      <c r="AB323" t="s">
        <v>1428</v>
      </c>
      <c r="AD323" t="s">
        <v>3007</v>
      </c>
      <c r="AE323" t="s">
        <v>103</v>
      </c>
      <c r="AG323" t="s">
        <v>3008</v>
      </c>
      <c r="AH323" t="s">
        <v>1430</v>
      </c>
      <c r="AI323" t="s">
        <v>3009</v>
      </c>
    </row>
    <row r="324" spans="2:35">
      <c r="B324" s="1">
        <v>46083</v>
      </c>
      <c r="C324" s="1">
        <v>46078</v>
      </c>
      <c r="D324" t="s">
        <v>3010</v>
      </c>
      <c r="E324" t="s">
        <v>3011</v>
      </c>
      <c r="F324">
        <v>1</v>
      </c>
      <c r="G324" t="s">
        <v>1046</v>
      </c>
      <c r="H324" t="s">
        <v>61</v>
      </c>
      <c r="I324" t="s">
        <v>40</v>
      </c>
      <c r="J324" t="s">
        <v>109</v>
      </c>
      <c r="K324" t="s">
        <v>42</v>
      </c>
      <c r="L324" t="s">
        <v>1048</v>
      </c>
      <c r="N324" t="s">
        <v>1049</v>
      </c>
      <c r="Q324">
        <v>32224</v>
      </c>
      <c r="R324" t="s">
        <v>967</v>
      </c>
      <c r="S324" t="s">
        <v>3012</v>
      </c>
      <c r="T324">
        <v>24</v>
      </c>
      <c r="W324" t="s">
        <v>1051</v>
      </c>
      <c r="X324">
        <v>110023501</v>
      </c>
      <c r="Y324" t="s">
        <v>1052</v>
      </c>
      <c r="Z324" t="e">
        <f ca="1">- cleaned cartridge Bays, plunger Rods _xludf.and I-CORE
- generated reports</f>
        <v>#NAME?</v>
      </c>
      <c r="AA324" t="s">
        <v>820</v>
      </c>
      <c r="AB324" t="s">
        <v>1428</v>
      </c>
      <c r="AG324" t="s">
        <v>3013</v>
      </c>
      <c r="AH324" t="s">
        <v>3014</v>
      </c>
      <c r="AI324" t="s">
        <v>3015</v>
      </c>
    </row>
    <row r="325" spans="2:35" ht="255">
      <c r="B325" s="1">
        <v>46083</v>
      </c>
      <c r="C325" s="1">
        <v>46079</v>
      </c>
      <c r="D325" t="s">
        <v>3016</v>
      </c>
      <c r="E325" t="s">
        <v>1066</v>
      </c>
      <c r="F325">
        <v>1</v>
      </c>
      <c r="G325" t="s">
        <v>1046</v>
      </c>
      <c r="H325" t="s">
        <v>1047</v>
      </c>
      <c r="I325" t="s">
        <v>40</v>
      </c>
      <c r="J325" s="2" t="s">
        <v>62</v>
      </c>
      <c r="K325" t="s">
        <v>42</v>
      </c>
      <c r="L325" t="s">
        <v>1048</v>
      </c>
      <c r="N325" t="s">
        <v>1049</v>
      </c>
      <c r="Q325">
        <v>32223</v>
      </c>
      <c r="R325" t="s">
        <v>45</v>
      </c>
      <c r="S325" t="s">
        <v>3017</v>
      </c>
      <c r="T325">
        <v>30</v>
      </c>
      <c r="W325" t="s">
        <v>1051</v>
      </c>
      <c r="X325">
        <v>807598</v>
      </c>
      <c r="Y325" t="s">
        <v>1111</v>
      </c>
      <c r="Z325" s="2" t="s">
        <v>3018</v>
      </c>
      <c r="AA325" t="s">
        <v>999</v>
      </c>
      <c r="AB325" t="s">
        <v>1428</v>
      </c>
      <c r="AG325" t="s">
        <v>3019</v>
      </c>
      <c r="AH325" t="s">
        <v>3020</v>
      </c>
      <c r="AI325" t="s">
        <v>3021</v>
      </c>
    </row>
    <row r="326" spans="2:35" ht="409.5">
      <c r="B326" s="1">
        <v>46083</v>
      </c>
      <c r="C326" s="1">
        <v>46083</v>
      </c>
      <c r="D326" t="s">
        <v>2834</v>
      </c>
      <c r="E326" t="s">
        <v>2835</v>
      </c>
      <c r="F326">
        <v>11</v>
      </c>
      <c r="G326" t="s">
        <v>2836</v>
      </c>
      <c r="H326" t="s">
        <v>662</v>
      </c>
      <c r="I326" t="s">
        <v>40</v>
      </c>
      <c r="J326" s="2" t="s">
        <v>190</v>
      </c>
      <c r="K326" t="s">
        <v>42</v>
      </c>
      <c r="L326" t="s">
        <v>204</v>
      </c>
      <c r="N326" t="s">
        <v>205</v>
      </c>
      <c r="Q326">
        <v>32222</v>
      </c>
      <c r="R326" t="s">
        <v>45</v>
      </c>
      <c r="S326" t="s">
        <v>2837</v>
      </c>
      <c r="T326">
        <v>25.8</v>
      </c>
      <c r="U326" s="2" t="s">
        <v>3022</v>
      </c>
      <c r="W326" t="s">
        <v>3023</v>
      </c>
      <c r="X326">
        <v>838756</v>
      </c>
      <c r="Y326" s="2" t="s">
        <v>3024</v>
      </c>
      <c r="Z326" s="2" t="s">
        <v>3025</v>
      </c>
      <c r="AA326" t="s">
        <v>3026</v>
      </c>
      <c r="AB326" t="s">
        <v>364</v>
      </c>
      <c r="AC326" t="s">
        <v>3027</v>
      </c>
      <c r="AG326" t="s">
        <v>3028</v>
      </c>
      <c r="AH326" t="s">
        <v>2844</v>
      </c>
      <c r="AI326" t="s">
        <v>3029</v>
      </c>
    </row>
    <row r="327" spans="2:35" ht="405">
      <c r="B327" s="1">
        <v>46083</v>
      </c>
      <c r="C327" s="1">
        <v>46080</v>
      </c>
      <c r="D327" t="s">
        <v>3030</v>
      </c>
      <c r="E327" t="s">
        <v>3031</v>
      </c>
      <c r="F327" t="s">
        <v>37</v>
      </c>
      <c r="G327" t="s">
        <v>38</v>
      </c>
      <c r="H327" t="s">
        <v>39</v>
      </c>
      <c r="I327" t="s">
        <v>40</v>
      </c>
      <c r="J327" t="s">
        <v>109</v>
      </c>
      <c r="K327" t="s">
        <v>42</v>
      </c>
      <c r="L327" t="s">
        <v>43</v>
      </c>
      <c r="N327" t="s">
        <v>44</v>
      </c>
      <c r="Q327">
        <v>32221</v>
      </c>
      <c r="R327" t="s">
        <v>967</v>
      </c>
      <c r="S327" t="s">
        <v>3032</v>
      </c>
      <c r="T327">
        <v>24</v>
      </c>
      <c r="U327" s="2" t="s">
        <v>3033</v>
      </c>
      <c r="W327" t="s">
        <v>153</v>
      </c>
      <c r="X327">
        <v>110023496</v>
      </c>
      <c r="Y327" t="s">
        <v>121</v>
      </c>
      <c r="Z327" t="s">
        <v>122</v>
      </c>
      <c r="AA327" s="2" t="s">
        <v>790</v>
      </c>
      <c r="AB327" t="s">
        <v>548</v>
      </c>
      <c r="AG327" t="s">
        <v>3034</v>
      </c>
      <c r="AH327" t="s">
        <v>3035</v>
      </c>
      <c r="AI327" t="s">
        <v>3036</v>
      </c>
    </row>
    <row r="328" spans="2:35" ht="409.5">
      <c r="B328" s="1">
        <v>46083</v>
      </c>
      <c r="C328" s="1">
        <v>46065</v>
      </c>
      <c r="D328" t="s">
        <v>1941</v>
      </c>
      <c r="E328" t="s">
        <v>3037</v>
      </c>
      <c r="F328" t="s">
        <v>148</v>
      </c>
      <c r="G328" t="s">
        <v>310</v>
      </c>
      <c r="H328" t="s">
        <v>39</v>
      </c>
      <c r="I328" t="s">
        <v>40</v>
      </c>
      <c r="J328" s="2" t="s">
        <v>41</v>
      </c>
      <c r="K328" t="s">
        <v>42</v>
      </c>
      <c r="L328" t="s">
        <v>1943</v>
      </c>
      <c r="N328" t="s">
        <v>1944</v>
      </c>
      <c r="Q328">
        <v>32220</v>
      </c>
      <c r="R328" t="s">
        <v>45</v>
      </c>
      <c r="S328" t="s">
        <v>1945</v>
      </c>
      <c r="T328">
        <v>25</v>
      </c>
      <c r="W328" t="s">
        <v>84</v>
      </c>
      <c r="X328">
        <v>805060</v>
      </c>
      <c r="Y328" s="2" t="s">
        <v>3038</v>
      </c>
      <c r="Z328" t="s">
        <v>1947</v>
      </c>
      <c r="AA328" s="2" t="s">
        <v>1948</v>
      </c>
      <c r="AB328" t="s">
        <v>88</v>
      </c>
      <c r="AC328" t="s">
        <v>3039</v>
      </c>
      <c r="AG328" t="s">
        <v>3040</v>
      </c>
      <c r="AH328" t="s">
        <v>1951</v>
      </c>
      <c r="AI328" t="s">
        <v>3041</v>
      </c>
    </row>
    <row r="329" spans="2:35" ht="409.5">
      <c r="B329" s="1">
        <v>46083</v>
      </c>
      <c r="C329" s="1">
        <v>46072</v>
      </c>
      <c r="D329" t="s">
        <v>3042</v>
      </c>
      <c r="E329" t="s">
        <v>3043</v>
      </c>
      <c r="F329" t="s">
        <v>148</v>
      </c>
      <c r="G329" t="s">
        <v>447</v>
      </c>
      <c r="H329" t="s">
        <v>39</v>
      </c>
      <c r="I329" t="s">
        <v>40</v>
      </c>
      <c r="J329" s="2" t="s">
        <v>62</v>
      </c>
      <c r="K329" t="s">
        <v>42</v>
      </c>
      <c r="L329" t="s">
        <v>1943</v>
      </c>
      <c r="N329" t="s">
        <v>1944</v>
      </c>
      <c r="Q329">
        <v>32219</v>
      </c>
      <c r="R329" t="s">
        <v>45</v>
      </c>
      <c r="S329" t="s">
        <v>464</v>
      </c>
      <c r="T329">
        <v>25</v>
      </c>
      <c r="W329" t="s">
        <v>373</v>
      </c>
      <c r="X329">
        <v>120000173</v>
      </c>
      <c r="Y329" s="2" t="s">
        <v>3044</v>
      </c>
      <c r="Z329" t="s">
        <v>3045</v>
      </c>
      <c r="AA329" s="2" t="s">
        <v>3046</v>
      </c>
      <c r="AB329" t="s">
        <v>3047</v>
      </c>
      <c r="AG329" t="s">
        <v>3048</v>
      </c>
      <c r="AH329" t="s">
        <v>470</v>
      </c>
      <c r="AI329" t="s">
        <v>3049</v>
      </c>
    </row>
    <row r="330" spans="2:35" ht="409.5">
      <c r="B330" s="1">
        <v>46083</v>
      </c>
      <c r="C330" s="1">
        <v>46073</v>
      </c>
      <c r="D330" t="s">
        <v>3050</v>
      </c>
      <c r="E330" t="s">
        <v>3051</v>
      </c>
      <c r="F330" t="s">
        <v>148</v>
      </c>
      <c r="G330" t="s">
        <v>371</v>
      </c>
      <c r="H330" t="s">
        <v>39</v>
      </c>
      <c r="I330" t="s">
        <v>40</v>
      </c>
      <c r="J330" s="2" t="s">
        <v>41</v>
      </c>
      <c r="K330" t="s">
        <v>42</v>
      </c>
      <c r="L330" t="s">
        <v>1943</v>
      </c>
      <c r="N330" t="s">
        <v>1944</v>
      </c>
      <c r="Q330">
        <v>32218</v>
      </c>
      <c r="R330" t="s">
        <v>45</v>
      </c>
      <c r="S330" t="s">
        <v>3052</v>
      </c>
      <c r="T330">
        <v>25</v>
      </c>
      <c r="W330" t="s">
        <v>84</v>
      </c>
      <c r="X330">
        <v>805271</v>
      </c>
      <c r="Y330" s="2" t="s">
        <v>3053</v>
      </c>
      <c r="Z330" t="s">
        <v>1947</v>
      </c>
      <c r="AA330" s="2" t="s">
        <v>1948</v>
      </c>
      <c r="AB330" t="s">
        <v>88</v>
      </c>
      <c r="AC330" t="s">
        <v>3054</v>
      </c>
      <c r="AG330" t="s">
        <v>3055</v>
      </c>
      <c r="AH330" t="s">
        <v>3056</v>
      </c>
      <c r="AI330" t="s">
        <v>3057</v>
      </c>
    </row>
    <row r="331" spans="2:35" ht="409.5">
      <c r="B331" s="1">
        <v>46083</v>
      </c>
      <c r="C331" s="1">
        <v>46083</v>
      </c>
      <c r="D331" t="s">
        <v>2834</v>
      </c>
      <c r="E331" t="s">
        <v>2835</v>
      </c>
      <c r="F331">
        <v>11</v>
      </c>
      <c r="G331" t="s">
        <v>2836</v>
      </c>
      <c r="H331" t="s">
        <v>2548</v>
      </c>
      <c r="I331" t="s">
        <v>94</v>
      </c>
      <c r="J331" s="2" t="s">
        <v>41</v>
      </c>
      <c r="K331" t="s">
        <v>42</v>
      </c>
      <c r="L331" t="s">
        <v>204</v>
      </c>
      <c r="N331" t="s">
        <v>205</v>
      </c>
      <c r="O331" t="s">
        <v>2837</v>
      </c>
      <c r="Q331">
        <v>32217</v>
      </c>
      <c r="R331" t="s">
        <v>3058</v>
      </c>
      <c r="S331" t="s">
        <v>3059</v>
      </c>
      <c r="T331">
        <v>25.4</v>
      </c>
      <c r="U331" s="2" t="s">
        <v>3060</v>
      </c>
      <c r="W331" t="s">
        <v>2550</v>
      </c>
      <c r="X331">
        <v>120000127</v>
      </c>
      <c r="Y331" t="s">
        <v>3061</v>
      </c>
      <c r="Z331" s="2" t="s">
        <v>3062</v>
      </c>
      <c r="AA331" t="s">
        <v>2560</v>
      </c>
      <c r="AB331" t="s">
        <v>3063</v>
      </c>
      <c r="AG331" t="s">
        <v>3064</v>
      </c>
      <c r="AH331" t="s">
        <v>3065</v>
      </c>
      <c r="AI331" t="s">
        <v>3066</v>
      </c>
    </row>
    <row r="332" spans="2:35" ht="240">
      <c r="B332" s="1">
        <v>46083</v>
      </c>
      <c r="C332" s="1">
        <v>46080</v>
      </c>
      <c r="D332" t="s">
        <v>3067</v>
      </c>
      <c r="E332" t="s">
        <v>3068</v>
      </c>
      <c r="F332" t="s">
        <v>148</v>
      </c>
      <c r="G332" t="s">
        <v>447</v>
      </c>
      <c r="H332" t="s">
        <v>39</v>
      </c>
      <c r="I332" t="s">
        <v>40</v>
      </c>
      <c r="J332" s="2" t="s">
        <v>62</v>
      </c>
      <c r="K332" t="s">
        <v>42</v>
      </c>
      <c r="L332" t="s">
        <v>448</v>
      </c>
      <c r="N332" t="s">
        <v>650</v>
      </c>
      <c r="Q332">
        <v>32216</v>
      </c>
      <c r="R332" t="s">
        <v>45</v>
      </c>
      <c r="S332" t="s">
        <v>3069</v>
      </c>
      <c r="T332">
        <v>26</v>
      </c>
      <c r="U332" s="2" t="s">
        <v>3070</v>
      </c>
      <c r="W332" t="s">
        <v>453</v>
      </c>
      <c r="X332">
        <v>803089</v>
      </c>
      <c r="Y332" t="s">
        <v>873</v>
      </c>
      <c r="Z332" s="2" t="s">
        <v>3071</v>
      </c>
      <c r="AA332" t="s">
        <v>881</v>
      </c>
      <c r="AB332" s="2" t="s">
        <v>3072</v>
      </c>
      <c r="AG332" t="s">
        <v>3073</v>
      </c>
      <c r="AH332" t="s">
        <v>3074</v>
      </c>
      <c r="AI332" t="s">
        <v>3075</v>
      </c>
    </row>
    <row r="333" spans="2:35" ht="240">
      <c r="B333" s="1">
        <v>46083</v>
      </c>
      <c r="C333" s="1">
        <v>46080</v>
      </c>
      <c r="D333" t="s">
        <v>3076</v>
      </c>
      <c r="E333" t="s">
        <v>3077</v>
      </c>
      <c r="F333" t="s">
        <v>148</v>
      </c>
      <c r="G333" t="s">
        <v>447</v>
      </c>
      <c r="H333" t="s">
        <v>39</v>
      </c>
      <c r="I333" t="s">
        <v>40</v>
      </c>
      <c r="J333" s="2" t="s">
        <v>62</v>
      </c>
      <c r="K333" t="s">
        <v>42</v>
      </c>
      <c r="L333" t="s">
        <v>448</v>
      </c>
      <c r="N333" t="s">
        <v>650</v>
      </c>
      <c r="Q333">
        <v>32215</v>
      </c>
      <c r="R333" t="s">
        <v>322</v>
      </c>
      <c r="S333" t="s">
        <v>3078</v>
      </c>
      <c r="T333">
        <v>29</v>
      </c>
      <c r="U333" s="2" t="s">
        <v>3079</v>
      </c>
      <c r="W333" t="s">
        <v>453</v>
      </c>
      <c r="X333">
        <v>831899</v>
      </c>
      <c r="Y333" t="s">
        <v>3080</v>
      </c>
      <c r="Z333" s="2" t="s">
        <v>3071</v>
      </c>
      <c r="AA333" t="s">
        <v>3081</v>
      </c>
      <c r="AB333" t="s">
        <v>3082</v>
      </c>
      <c r="AG333" t="s">
        <v>3083</v>
      </c>
      <c r="AH333" t="s">
        <v>3084</v>
      </c>
      <c r="AI333" t="s">
        <v>3085</v>
      </c>
    </row>
    <row r="334" spans="2:35" ht="409.5">
      <c r="B334" s="1">
        <v>46083</v>
      </c>
      <c r="C334" s="1">
        <v>46079</v>
      </c>
      <c r="D334" t="s">
        <v>2176</v>
      </c>
      <c r="E334" t="s">
        <v>2580</v>
      </c>
      <c r="F334" t="s">
        <v>148</v>
      </c>
      <c r="G334" t="s">
        <v>447</v>
      </c>
      <c r="H334" t="s">
        <v>662</v>
      </c>
      <c r="I334" t="s">
        <v>40</v>
      </c>
      <c r="J334" t="s">
        <v>109</v>
      </c>
      <c r="K334" t="s">
        <v>42</v>
      </c>
      <c r="L334" t="s">
        <v>448</v>
      </c>
      <c r="N334" t="s">
        <v>650</v>
      </c>
      <c r="Q334">
        <v>32214</v>
      </c>
      <c r="R334" t="s">
        <v>322</v>
      </c>
      <c r="S334" t="s">
        <v>3086</v>
      </c>
      <c r="T334">
        <v>27</v>
      </c>
      <c r="U334" s="2" t="s">
        <v>3087</v>
      </c>
      <c r="W334" t="s">
        <v>1573</v>
      </c>
      <c r="X334">
        <v>110016781</v>
      </c>
      <c r="Y334" t="s">
        <v>485</v>
      </c>
      <c r="Z334" s="2" t="s">
        <v>2011</v>
      </c>
      <c r="AA334" t="s">
        <v>122</v>
      </c>
      <c r="AB334" t="s">
        <v>486</v>
      </c>
      <c r="AG334" t="s">
        <v>3088</v>
      </c>
      <c r="AH334" t="s">
        <v>61</v>
      </c>
      <c r="AI334" t="s">
        <v>3089</v>
      </c>
    </row>
    <row r="335" spans="2:35" ht="375">
      <c r="B335" s="1">
        <v>46083</v>
      </c>
      <c r="C335" s="1">
        <v>46078</v>
      </c>
      <c r="D335" t="s">
        <v>3090</v>
      </c>
      <c r="E335" t="s">
        <v>3091</v>
      </c>
      <c r="F335" t="s">
        <v>37</v>
      </c>
      <c r="G335" t="s">
        <v>38</v>
      </c>
      <c r="H335" t="s">
        <v>39</v>
      </c>
      <c r="I335" t="s">
        <v>40</v>
      </c>
      <c r="J335" t="s">
        <v>525</v>
      </c>
      <c r="K335" t="s">
        <v>42</v>
      </c>
      <c r="L335" t="s">
        <v>448</v>
      </c>
      <c r="N335" t="s">
        <v>450</v>
      </c>
      <c r="Q335">
        <v>32213</v>
      </c>
      <c r="R335" t="s">
        <v>119</v>
      </c>
      <c r="S335" t="s">
        <v>1580</v>
      </c>
      <c r="T335">
        <v>26</v>
      </c>
      <c r="W335" t="s">
        <v>666</v>
      </c>
      <c r="X335">
        <v>831642</v>
      </c>
      <c r="Y335" t="s">
        <v>3092</v>
      </c>
      <c r="Z335" s="2" t="s">
        <v>3093</v>
      </c>
      <c r="AA335" t="s">
        <v>768</v>
      </c>
      <c r="AB335" t="s">
        <v>3094</v>
      </c>
      <c r="AG335" t="s">
        <v>3095</v>
      </c>
      <c r="AH335" t="s">
        <v>3096</v>
      </c>
      <c r="AI335" t="s">
        <v>3097</v>
      </c>
    </row>
    <row r="336" spans="2:35" ht="105">
      <c r="B336" s="1">
        <v>46083</v>
      </c>
      <c r="C336" s="1">
        <v>46083</v>
      </c>
      <c r="D336" t="s">
        <v>3098</v>
      </c>
      <c r="E336" t="s">
        <v>2187</v>
      </c>
      <c r="F336">
        <v>7</v>
      </c>
      <c r="G336" t="s">
        <v>432</v>
      </c>
      <c r="H336" t="s">
        <v>39</v>
      </c>
      <c r="I336" t="s">
        <v>40</v>
      </c>
      <c r="J336" t="s">
        <v>583</v>
      </c>
      <c r="K336" t="s">
        <v>42</v>
      </c>
      <c r="L336" t="s">
        <v>433</v>
      </c>
      <c r="N336" t="s">
        <v>434</v>
      </c>
      <c r="Q336">
        <v>32212</v>
      </c>
      <c r="R336" t="s">
        <v>45</v>
      </c>
      <c r="S336" t="s">
        <v>2189</v>
      </c>
      <c r="T336">
        <v>31</v>
      </c>
      <c r="W336" t="s">
        <v>1008</v>
      </c>
      <c r="X336">
        <v>835189</v>
      </c>
      <c r="Y336" t="s">
        <v>54</v>
      </c>
      <c r="Z336" s="2" t="s">
        <v>3099</v>
      </c>
      <c r="AA336" s="2" t="s">
        <v>3099</v>
      </c>
      <c r="AB336" t="s">
        <v>1011</v>
      </c>
      <c r="AG336" t="s">
        <v>3100</v>
      </c>
      <c r="AH336" t="s">
        <v>3101</v>
      </c>
      <c r="AI336" t="s">
        <v>3102</v>
      </c>
    </row>
    <row r="337" spans="2:35" ht="300">
      <c r="B337" s="1">
        <v>46082</v>
      </c>
      <c r="C337" s="1">
        <v>46078</v>
      </c>
      <c r="D337" t="s">
        <v>3103</v>
      </c>
      <c r="E337" t="s">
        <v>3104</v>
      </c>
      <c r="F337">
        <v>6</v>
      </c>
      <c r="G337" t="s">
        <v>1507</v>
      </c>
      <c r="H337" t="s">
        <v>1498</v>
      </c>
      <c r="I337" t="s">
        <v>40</v>
      </c>
      <c r="J337" s="2" t="s">
        <v>609</v>
      </c>
      <c r="K337" t="s">
        <v>42</v>
      </c>
      <c r="L337" t="s">
        <v>343</v>
      </c>
      <c r="N337" t="s">
        <v>344</v>
      </c>
      <c r="Q337">
        <v>32211</v>
      </c>
      <c r="R337" t="s">
        <v>119</v>
      </c>
      <c r="S337" t="s">
        <v>3105</v>
      </c>
      <c r="T337">
        <v>27</v>
      </c>
      <c r="U337" s="2" t="s">
        <v>3106</v>
      </c>
      <c r="W337" t="s">
        <v>2949</v>
      </c>
      <c r="X337">
        <v>110025134</v>
      </c>
      <c r="Y337" t="s">
        <v>301</v>
      </c>
      <c r="Z337" t="s">
        <v>301</v>
      </c>
      <c r="AA337" t="e">
        <f ca="1">-Preventive Maintenance
-conduct refresher training</f>
        <v>#NAME?</v>
      </c>
      <c r="AB337" t="s">
        <v>1467</v>
      </c>
      <c r="AG337" t="s">
        <v>3107</v>
      </c>
      <c r="AH337" t="s">
        <v>3108</v>
      </c>
      <c r="AI337" t="s">
        <v>3109</v>
      </c>
    </row>
    <row r="338" spans="2:35" ht="409.5">
      <c r="B338" s="1">
        <v>46080</v>
      </c>
      <c r="C338" s="1">
        <v>46080</v>
      </c>
      <c r="D338" t="s">
        <v>638</v>
      </c>
      <c r="E338" t="s">
        <v>639</v>
      </c>
      <c r="F338">
        <v>3</v>
      </c>
      <c r="G338" t="s">
        <v>284</v>
      </c>
      <c r="H338" t="s">
        <v>39</v>
      </c>
      <c r="I338" t="s">
        <v>40</v>
      </c>
      <c r="J338" s="2" t="s">
        <v>62</v>
      </c>
      <c r="K338" t="s">
        <v>42</v>
      </c>
      <c r="L338" t="s">
        <v>135</v>
      </c>
      <c r="N338" t="s">
        <v>136</v>
      </c>
      <c r="Q338">
        <v>32210</v>
      </c>
      <c r="R338" t="s">
        <v>119</v>
      </c>
      <c r="S338" t="s">
        <v>640</v>
      </c>
      <c r="T338">
        <v>25</v>
      </c>
      <c r="W338" t="s">
        <v>138</v>
      </c>
      <c r="X338">
        <v>831894</v>
      </c>
      <c r="Y338" t="s">
        <v>1751</v>
      </c>
      <c r="Z338" s="2" t="s">
        <v>1752</v>
      </c>
      <c r="AA338" s="2" t="s">
        <v>1753</v>
      </c>
      <c r="AB338" s="2" t="s">
        <v>3110</v>
      </c>
      <c r="AG338" t="s">
        <v>3111</v>
      </c>
      <c r="AH338" t="s">
        <v>645</v>
      </c>
      <c r="AI338" t="s">
        <v>3112</v>
      </c>
    </row>
    <row r="339" spans="2:35" ht="300">
      <c r="B339" s="1">
        <v>46080</v>
      </c>
      <c r="C339" s="1">
        <v>46079</v>
      </c>
      <c r="D339" t="s">
        <v>1442</v>
      </c>
      <c r="E339" t="s">
        <v>1443</v>
      </c>
      <c r="F339">
        <v>7</v>
      </c>
      <c r="G339" t="s">
        <v>432</v>
      </c>
      <c r="H339" t="s">
        <v>608</v>
      </c>
      <c r="I339" t="s">
        <v>40</v>
      </c>
      <c r="J339" s="2" t="s">
        <v>760</v>
      </c>
      <c r="K339" t="s">
        <v>42</v>
      </c>
      <c r="L339" t="s">
        <v>610</v>
      </c>
      <c r="N339" t="s">
        <v>611</v>
      </c>
      <c r="O339" t="s">
        <v>1445</v>
      </c>
      <c r="Q339">
        <v>32209</v>
      </c>
      <c r="R339" t="s">
        <v>45</v>
      </c>
      <c r="S339" t="s">
        <v>1445</v>
      </c>
      <c r="T339">
        <v>23</v>
      </c>
      <c r="U339" s="2" t="s">
        <v>2383</v>
      </c>
      <c r="W339" t="s">
        <v>360</v>
      </c>
      <c r="X339">
        <v>808638</v>
      </c>
      <c r="Y339" t="s">
        <v>3113</v>
      </c>
      <c r="Z339" s="2" t="s">
        <v>3114</v>
      </c>
      <c r="AA339" s="2" t="s">
        <v>3114</v>
      </c>
      <c r="AB339" t="s">
        <v>3115</v>
      </c>
      <c r="AC339" t="s">
        <v>3116</v>
      </c>
      <c r="AE339" t="s">
        <v>1451</v>
      </c>
      <c r="AF339" t="s">
        <v>610</v>
      </c>
      <c r="AG339" t="s">
        <v>3117</v>
      </c>
      <c r="AH339" t="s">
        <v>1453</v>
      </c>
      <c r="AI339" t="s">
        <v>3118</v>
      </c>
    </row>
    <row r="340" spans="2:35" ht="409.5">
      <c r="B340" s="1">
        <v>46080</v>
      </c>
      <c r="C340" s="1">
        <v>46080</v>
      </c>
      <c r="D340" t="s">
        <v>3119</v>
      </c>
      <c r="E340" t="s">
        <v>3120</v>
      </c>
      <c r="F340" t="s">
        <v>148</v>
      </c>
      <c r="G340" t="s">
        <v>310</v>
      </c>
      <c r="H340" t="s">
        <v>3121</v>
      </c>
      <c r="I340" t="s">
        <v>40</v>
      </c>
      <c r="J340" t="s">
        <v>109</v>
      </c>
      <c r="K340" t="s">
        <v>42</v>
      </c>
      <c r="L340" t="s">
        <v>356</v>
      </c>
      <c r="N340" t="s">
        <v>3122</v>
      </c>
      <c r="O340" t="s">
        <v>3123</v>
      </c>
      <c r="Q340">
        <v>32208</v>
      </c>
      <c r="R340" t="s">
        <v>95</v>
      </c>
      <c r="S340" t="s">
        <v>3124</v>
      </c>
      <c r="T340">
        <v>20.7</v>
      </c>
      <c r="U340" s="2" t="s">
        <v>3125</v>
      </c>
      <c r="W340" t="s">
        <v>3126</v>
      </c>
      <c r="X340">
        <v>110001648</v>
      </c>
      <c r="Y340" t="s">
        <v>3127</v>
      </c>
      <c r="Z340" t="s">
        <v>3128</v>
      </c>
      <c r="AA340" s="2" t="s">
        <v>3129</v>
      </c>
      <c r="AB340" t="s">
        <v>3063</v>
      </c>
      <c r="AC340" t="s">
        <v>3130</v>
      </c>
      <c r="AG340" t="s">
        <v>3131</v>
      </c>
      <c r="AH340" t="s">
        <v>3132</v>
      </c>
      <c r="AI340" t="s">
        <v>3133</v>
      </c>
    </row>
    <row r="341" spans="2:35" ht="315">
      <c r="B341" s="1">
        <v>46080</v>
      </c>
      <c r="C341" s="1">
        <v>46080</v>
      </c>
      <c r="D341" t="s">
        <v>35</v>
      </c>
      <c r="E341" t="s">
        <v>36</v>
      </c>
      <c r="F341" t="s">
        <v>37</v>
      </c>
      <c r="G341" t="s">
        <v>38</v>
      </c>
      <c r="H341" t="s">
        <v>39</v>
      </c>
      <c r="I341" t="s">
        <v>40</v>
      </c>
      <c r="J341" s="2" t="s">
        <v>62</v>
      </c>
      <c r="K341" t="s">
        <v>42</v>
      </c>
      <c r="L341" t="s">
        <v>43</v>
      </c>
      <c r="N341" t="s">
        <v>44</v>
      </c>
      <c r="Q341">
        <v>32207</v>
      </c>
      <c r="R341" t="s">
        <v>45</v>
      </c>
      <c r="S341" t="s">
        <v>46</v>
      </c>
      <c r="T341">
        <v>22</v>
      </c>
      <c r="U341" s="2" t="s">
        <v>3134</v>
      </c>
      <c r="W341" t="s">
        <v>48</v>
      </c>
      <c r="X341">
        <v>807593</v>
      </c>
      <c r="Y341" t="s">
        <v>1111</v>
      </c>
      <c r="Z341" t="s">
        <v>999</v>
      </c>
      <c r="AA341" s="2" t="s">
        <v>3135</v>
      </c>
      <c r="AB341" t="s">
        <v>3136</v>
      </c>
      <c r="AG341" t="s">
        <v>3137</v>
      </c>
      <c r="AH341" t="s">
        <v>56</v>
      </c>
      <c r="AI341" t="s">
        <v>3138</v>
      </c>
    </row>
    <row r="342" spans="2:35" ht="90">
      <c r="B342" s="1">
        <v>46080</v>
      </c>
      <c r="C342" s="1">
        <v>46080</v>
      </c>
      <c r="D342" t="s">
        <v>3139</v>
      </c>
      <c r="E342" t="s">
        <v>3140</v>
      </c>
      <c r="F342">
        <v>3</v>
      </c>
      <c r="G342" t="s">
        <v>174</v>
      </c>
      <c r="H342" t="s">
        <v>39</v>
      </c>
      <c r="I342" t="s">
        <v>40</v>
      </c>
      <c r="J342" s="2" t="s">
        <v>62</v>
      </c>
      <c r="K342" t="s">
        <v>42</v>
      </c>
      <c r="L342" t="s">
        <v>175</v>
      </c>
      <c r="N342" t="s">
        <v>176</v>
      </c>
      <c r="Q342">
        <v>32206</v>
      </c>
      <c r="R342" t="s">
        <v>45</v>
      </c>
      <c r="S342" t="s">
        <v>3141</v>
      </c>
      <c r="T342">
        <v>27</v>
      </c>
      <c r="W342" t="s">
        <v>84</v>
      </c>
      <c r="X342">
        <v>805112</v>
      </c>
      <c r="Y342" t="s">
        <v>998</v>
      </c>
      <c r="Z342" s="2" t="s">
        <v>3142</v>
      </c>
      <c r="AA342" t="e">
        <f ca="1">- checked _xludf.and cleaned cartridge bay, plunger rod, _xludf.filter, icore slot
- performed XpertCheck
- generated reports
- performed self test</f>
        <v>#NAME?</v>
      </c>
      <c r="AB342" s="2" t="s">
        <v>3143</v>
      </c>
      <c r="AG342" t="s">
        <v>3144</v>
      </c>
      <c r="AH342" t="s">
        <v>3145</v>
      </c>
      <c r="AI342" t="s">
        <v>3146</v>
      </c>
    </row>
    <row r="343" spans="2:35" ht="390">
      <c r="B343" s="1">
        <v>46080</v>
      </c>
      <c r="C343" s="1">
        <v>46080</v>
      </c>
      <c r="D343" t="s">
        <v>684</v>
      </c>
      <c r="E343" t="s">
        <v>3147</v>
      </c>
      <c r="F343">
        <v>3</v>
      </c>
      <c r="G343" t="s">
        <v>284</v>
      </c>
      <c r="H343" t="s">
        <v>39</v>
      </c>
      <c r="I343" t="s">
        <v>40</v>
      </c>
      <c r="J343" s="2" t="s">
        <v>1309</v>
      </c>
      <c r="K343" t="s">
        <v>42</v>
      </c>
      <c r="L343" t="s">
        <v>135</v>
      </c>
      <c r="N343" t="s">
        <v>136</v>
      </c>
      <c r="Q343">
        <v>32205</v>
      </c>
      <c r="R343" t="s">
        <v>119</v>
      </c>
      <c r="S343" t="s">
        <v>686</v>
      </c>
      <c r="T343">
        <v>25</v>
      </c>
      <c r="W343" t="s">
        <v>138</v>
      </c>
      <c r="X343">
        <v>805124</v>
      </c>
      <c r="Y343" s="2" t="s">
        <v>3148</v>
      </c>
      <c r="Z343" s="2" t="s">
        <v>3149</v>
      </c>
      <c r="AA343" s="2" t="s">
        <v>3150</v>
      </c>
      <c r="AB343" s="2" t="s">
        <v>3151</v>
      </c>
      <c r="AG343" t="s">
        <v>3152</v>
      </c>
      <c r="AH343" t="s">
        <v>690</v>
      </c>
      <c r="AI343" t="s">
        <v>3153</v>
      </c>
    </row>
    <row r="344" spans="2:35" ht="105">
      <c r="B344" s="1">
        <v>46080</v>
      </c>
      <c r="C344" s="1">
        <v>46080</v>
      </c>
      <c r="D344" t="s">
        <v>3154</v>
      </c>
      <c r="E344" t="s">
        <v>3155</v>
      </c>
      <c r="F344">
        <v>9</v>
      </c>
      <c r="G344" t="s">
        <v>2197</v>
      </c>
      <c r="H344" t="s">
        <v>39</v>
      </c>
      <c r="I344" t="s">
        <v>94</v>
      </c>
      <c r="J344" s="2" t="s">
        <v>62</v>
      </c>
      <c r="K344" t="s">
        <v>42</v>
      </c>
      <c r="L344" t="s">
        <v>1257</v>
      </c>
      <c r="N344" t="s">
        <v>2199</v>
      </c>
      <c r="O344" t="s">
        <v>1258</v>
      </c>
      <c r="Q344">
        <v>32204</v>
      </c>
      <c r="R344" t="s">
        <v>45</v>
      </c>
      <c r="S344" t="s">
        <v>3156</v>
      </c>
      <c r="T344">
        <v>27</v>
      </c>
      <c r="U344" s="2" t="s">
        <v>3157</v>
      </c>
      <c r="V344" s="1">
        <v>46080</v>
      </c>
      <c r="W344" t="s">
        <v>3158</v>
      </c>
      <c r="X344">
        <v>818902</v>
      </c>
      <c r="Y344" t="s">
        <v>301</v>
      </c>
      <c r="Z344" t="s">
        <v>3159</v>
      </c>
      <c r="AA344" t="s">
        <v>3160</v>
      </c>
      <c r="AB344" t="s">
        <v>3161</v>
      </c>
      <c r="AC344" t="s">
        <v>301</v>
      </c>
      <c r="AD344" t="s">
        <v>54</v>
      </c>
      <c r="AE344" t="s">
        <v>54</v>
      </c>
      <c r="AG344" t="s">
        <v>3162</v>
      </c>
      <c r="AH344" t="s">
        <v>3163</v>
      </c>
      <c r="AI344" t="s">
        <v>3164</v>
      </c>
    </row>
    <row r="345" spans="2:35" ht="390">
      <c r="B345" s="1">
        <v>46080</v>
      </c>
      <c r="C345" s="1">
        <v>46080</v>
      </c>
      <c r="D345" t="s">
        <v>3165</v>
      </c>
      <c r="E345" t="s">
        <v>3166</v>
      </c>
      <c r="F345">
        <v>12</v>
      </c>
      <c r="G345" t="s">
        <v>294</v>
      </c>
      <c r="H345" t="s">
        <v>39</v>
      </c>
      <c r="I345" t="s">
        <v>94</v>
      </c>
      <c r="J345" s="2" t="s">
        <v>3167</v>
      </c>
      <c r="K345" t="s">
        <v>42</v>
      </c>
      <c r="L345" t="s">
        <v>296</v>
      </c>
      <c r="N345" t="s">
        <v>297</v>
      </c>
      <c r="Q345">
        <v>32203</v>
      </c>
      <c r="R345" t="s">
        <v>45</v>
      </c>
      <c r="S345" t="s">
        <v>3168</v>
      </c>
      <c r="T345">
        <v>27.8</v>
      </c>
      <c r="U345" s="2" t="s">
        <v>3169</v>
      </c>
      <c r="V345" s="1">
        <v>46080</v>
      </c>
      <c r="W345" t="s">
        <v>970</v>
      </c>
      <c r="X345">
        <v>110013958</v>
      </c>
      <c r="Y345" t="s">
        <v>2060</v>
      </c>
      <c r="Z345" s="2" t="s">
        <v>3170</v>
      </c>
      <c r="AA345" s="2" t="s">
        <v>3171</v>
      </c>
      <c r="AB345" s="2" t="s">
        <v>3172</v>
      </c>
      <c r="AD345" t="s">
        <v>3173</v>
      </c>
      <c r="AE345">
        <v>334779</v>
      </c>
      <c r="AG345" t="s">
        <v>3174</v>
      </c>
      <c r="AH345" t="s">
        <v>3175</v>
      </c>
      <c r="AI345" t="s">
        <v>3176</v>
      </c>
    </row>
    <row r="346" spans="2:35" ht="315">
      <c r="B346" s="1">
        <v>46080</v>
      </c>
      <c r="C346" s="1">
        <v>46080</v>
      </c>
      <c r="D346" t="s">
        <v>3030</v>
      </c>
      <c r="E346" t="s">
        <v>3031</v>
      </c>
      <c r="F346" t="s">
        <v>37</v>
      </c>
      <c r="G346" t="s">
        <v>38</v>
      </c>
      <c r="H346" t="s">
        <v>39</v>
      </c>
      <c r="I346" t="s">
        <v>40</v>
      </c>
      <c r="J346" t="s">
        <v>109</v>
      </c>
      <c r="K346" t="s">
        <v>42</v>
      </c>
      <c r="L346" t="s">
        <v>43</v>
      </c>
      <c r="N346" t="s">
        <v>44</v>
      </c>
      <c r="Q346">
        <v>32201</v>
      </c>
      <c r="R346" t="s">
        <v>45</v>
      </c>
      <c r="S346" t="s">
        <v>3032</v>
      </c>
      <c r="T346">
        <v>24</v>
      </c>
      <c r="U346" s="2" t="s">
        <v>3177</v>
      </c>
      <c r="W346" t="s">
        <v>3178</v>
      </c>
      <c r="X346">
        <v>842226</v>
      </c>
      <c r="Y346" t="s">
        <v>121</v>
      </c>
      <c r="Z346" t="s">
        <v>122</v>
      </c>
      <c r="AA346" s="2" t="s">
        <v>3179</v>
      </c>
      <c r="AB346" t="s">
        <v>3180</v>
      </c>
      <c r="AG346" t="s">
        <v>3181</v>
      </c>
      <c r="AH346" t="s">
        <v>3035</v>
      </c>
      <c r="AI346" t="s">
        <v>3182</v>
      </c>
    </row>
    <row r="347" spans="2:35" ht="345">
      <c r="B347" s="1">
        <v>46080</v>
      </c>
      <c r="C347" s="1">
        <v>46080</v>
      </c>
      <c r="D347" t="s">
        <v>3030</v>
      </c>
      <c r="E347" t="s">
        <v>3031</v>
      </c>
      <c r="F347" t="s">
        <v>37</v>
      </c>
      <c r="G347" t="s">
        <v>38</v>
      </c>
      <c r="H347" t="s">
        <v>39</v>
      </c>
      <c r="I347" t="s">
        <v>40</v>
      </c>
      <c r="J347" s="2" t="s">
        <v>62</v>
      </c>
      <c r="K347" t="s">
        <v>42</v>
      </c>
      <c r="L347" t="s">
        <v>43</v>
      </c>
      <c r="N347" t="s">
        <v>44</v>
      </c>
      <c r="Q347">
        <v>32202</v>
      </c>
      <c r="R347" t="s">
        <v>45</v>
      </c>
      <c r="S347" t="s">
        <v>3032</v>
      </c>
      <c r="T347">
        <v>24</v>
      </c>
      <c r="W347" t="s">
        <v>48</v>
      </c>
      <c r="X347">
        <v>808629</v>
      </c>
      <c r="Y347" t="s">
        <v>1111</v>
      </c>
      <c r="Z347" t="s">
        <v>999</v>
      </c>
      <c r="AA347" s="2" t="s">
        <v>3183</v>
      </c>
      <c r="AB347" t="s">
        <v>1521</v>
      </c>
      <c r="AG347" t="s">
        <v>3184</v>
      </c>
      <c r="AH347" t="s">
        <v>3035</v>
      </c>
      <c r="AI347" t="s">
        <v>3185</v>
      </c>
    </row>
    <row r="348" spans="2:35" ht="345">
      <c r="B348" s="1">
        <v>46080</v>
      </c>
      <c r="C348" s="1">
        <v>46080</v>
      </c>
      <c r="D348" t="s">
        <v>3030</v>
      </c>
      <c r="E348" t="s">
        <v>3031</v>
      </c>
      <c r="F348" t="s">
        <v>37</v>
      </c>
      <c r="G348" t="s">
        <v>38</v>
      </c>
      <c r="H348" t="s">
        <v>39</v>
      </c>
      <c r="I348" t="s">
        <v>40</v>
      </c>
      <c r="J348" s="2" t="s">
        <v>62</v>
      </c>
      <c r="K348" t="s">
        <v>42</v>
      </c>
      <c r="L348" t="s">
        <v>43</v>
      </c>
      <c r="N348" t="s">
        <v>44</v>
      </c>
      <c r="Q348">
        <v>32200</v>
      </c>
      <c r="R348" t="s">
        <v>45</v>
      </c>
      <c r="S348" t="s">
        <v>3032</v>
      </c>
      <c r="T348">
        <v>24</v>
      </c>
      <c r="W348" t="s">
        <v>48</v>
      </c>
      <c r="X348">
        <v>808629</v>
      </c>
      <c r="Y348" t="s">
        <v>1111</v>
      </c>
      <c r="Z348" t="s">
        <v>999</v>
      </c>
      <c r="AA348" s="2" t="s">
        <v>3183</v>
      </c>
      <c r="AB348" t="s">
        <v>1521</v>
      </c>
      <c r="AG348" t="s">
        <v>3186</v>
      </c>
      <c r="AH348" t="s">
        <v>3035</v>
      </c>
      <c r="AI348" t="s">
        <v>3187</v>
      </c>
    </row>
    <row r="349" spans="2:35" ht="315">
      <c r="B349" s="1">
        <v>46080</v>
      </c>
      <c r="C349" s="1">
        <v>46080</v>
      </c>
      <c r="D349" t="s">
        <v>3030</v>
      </c>
      <c r="E349" t="s">
        <v>3031</v>
      </c>
      <c r="F349" t="s">
        <v>37</v>
      </c>
      <c r="G349" t="s">
        <v>38</v>
      </c>
      <c r="H349" t="s">
        <v>39</v>
      </c>
      <c r="I349" t="s">
        <v>40</v>
      </c>
      <c r="J349" t="s">
        <v>109</v>
      </c>
      <c r="K349" t="s">
        <v>42</v>
      </c>
      <c r="L349" t="s">
        <v>43</v>
      </c>
      <c r="N349" t="s">
        <v>44</v>
      </c>
      <c r="Q349">
        <v>32199</v>
      </c>
      <c r="R349" t="s">
        <v>45</v>
      </c>
      <c r="S349" t="s">
        <v>3032</v>
      </c>
      <c r="T349">
        <v>24</v>
      </c>
      <c r="U349" s="2" t="s">
        <v>3177</v>
      </c>
      <c r="W349" t="s">
        <v>3178</v>
      </c>
      <c r="X349">
        <v>842226</v>
      </c>
      <c r="Y349" t="s">
        <v>121</v>
      </c>
      <c r="Z349" t="s">
        <v>122</v>
      </c>
      <c r="AA349" s="2" t="s">
        <v>3179</v>
      </c>
      <c r="AB349" t="s">
        <v>3180</v>
      </c>
      <c r="AG349" t="s">
        <v>3188</v>
      </c>
      <c r="AH349" t="s">
        <v>3035</v>
      </c>
      <c r="AI349" t="s">
        <v>3189</v>
      </c>
    </row>
    <row r="350" spans="2:35" ht="300">
      <c r="B350" s="1">
        <v>46080</v>
      </c>
      <c r="C350" s="1">
        <v>46078</v>
      </c>
      <c r="D350" t="s">
        <v>3165</v>
      </c>
      <c r="E350" t="s">
        <v>3166</v>
      </c>
      <c r="F350">
        <v>12</v>
      </c>
      <c r="G350" t="s">
        <v>294</v>
      </c>
      <c r="H350" t="s">
        <v>39</v>
      </c>
      <c r="I350" t="s">
        <v>40</v>
      </c>
      <c r="J350" t="s">
        <v>109</v>
      </c>
      <c r="K350" t="s">
        <v>42</v>
      </c>
      <c r="L350" t="s">
        <v>296</v>
      </c>
      <c r="N350" t="s">
        <v>297</v>
      </c>
      <c r="Q350">
        <v>32198</v>
      </c>
      <c r="R350" t="s">
        <v>45</v>
      </c>
      <c r="S350" t="s">
        <v>3168</v>
      </c>
      <c r="T350">
        <v>26.4</v>
      </c>
      <c r="U350" s="2" t="s">
        <v>3190</v>
      </c>
      <c r="W350" t="s">
        <v>970</v>
      </c>
      <c r="X350">
        <v>110013958</v>
      </c>
      <c r="Y350" t="s">
        <v>3191</v>
      </c>
      <c r="Z350" s="2" t="s">
        <v>3192</v>
      </c>
      <c r="AA350" t="s">
        <v>303</v>
      </c>
      <c r="AB350" s="2" t="s">
        <v>3193</v>
      </c>
      <c r="AG350" t="s">
        <v>3194</v>
      </c>
      <c r="AH350" t="s">
        <v>3175</v>
      </c>
      <c r="AI350" t="s">
        <v>3195</v>
      </c>
    </row>
    <row r="351" spans="2:35" ht="405">
      <c r="B351" s="1">
        <v>46080</v>
      </c>
      <c r="C351" s="1">
        <v>46077</v>
      </c>
      <c r="D351" t="s">
        <v>3196</v>
      </c>
      <c r="E351" t="s">
        <v>3197</v>
      </c>
      <c r="F351">
        <v>12</v>
      </c>
      <c r="G351" t="s">
        <v>2137</v>
      </c>
      <c r="H351" t="s">
        <v>39</v>
      </c>
      <c r="I351" t="s">
        <v>94</v>
      </c>
      <c r="J351" s="2" t="s">
        <v>3198</v>
      </c>
      <c r="K351" t="s">
        <v>42</v>
      </c>
      <c r="L351" t="s">
        <v>296</v>
      </c>
      <c r="N351" t="s">
        <v>297</v>
      </c>
      <c r="Q351">
        <v>32197</v>
      </c>
      <c r="R351" t="s">
        <v>45</v>
      </c>
      <c r="S351" t="s">
        <v>3199</v>
      </c>
      <c r="T351">
        <v>28.4</v>
      </c>
      <c r="U351" s="2" t="s">
        <v>3200</v>
      </c>
      <c r="V351" s="1">
        <v>46077</v>
      </c>
      <c r="W351" t="s">
        <v>981</v>
      </c>
      <c r="X351">
        <v>807615</v>
      </c>
      <c r="Y351" t="s">
        <v>2060</v>
      </c>
      <c r="Z351" s="2" t="s">
        <v>3201</v>
      </c>
      <c r="AA351" s="2" t="s">
        <v>2369</v>
      </c>
      <c r="AB351" s="2" t="s">
        <v>3202</v>
      </c>
      <c r="AD351" t="s">
        <v>3203</v>
      </c>
      <c r="AE351">
        <v>332624</v>
      </c>
      <c r="AG351" t="s">
        <v>3204</v>
      </c>
      <c r="AH351" t="s">
        <v>3205</v>
      </c>
      <c r="AI351" t="s">
        <v>3206</v>
      </c>
    </row>
    <row r="352" spans="2:35" ht="120">
      <c r="B352" s="1">
        <v>46079</v>
      </c>
      <c r="C352" s="1">
        <v>46079</v>
      </c>
      <c r="D352" t="s">
        <v>172</v>
      </c>
      <c r="E352" t="s">
        <v>1308</v>
      </c>
      <c r="F352">
        <v>3</v>
      </c>
      <c r="G352" t="s">
        <v>174</v>
      </c>
      <c r="H352" t="s">
        <v>39</v>
      </c>
      <c r="I352" t="s">
        <v>40</v>
      </c>
      <c r="J352" t="s">
        <v>525</v>
      </c>
      <c r="K352" t="s">
        <v>42</v>
      </c>
      <c r="L352" t="s">
        <v>175</v>
      </c>
      <c r="N352" t="s">
        <v>176</v>
      </c>
      <c r="Q352">
        <v>32196</v>
      </c>
      <c r="R352" t="s">
        <v>119</v>
      </c>
      <c r="S352" t="s">
        <v>177</v>
      </c>
      <c r="T352">
        <v>27</v>
      </c>
      <c r="W352" t="s">
        <v>84</v>
      </c>
      <c r="X352">
        <v>831692</v>
      </c>
      <c r="Y352" t="s">
        <v>3207</v>
      </c>
      <c r="Z352" t="s">
        <v>3208</v>
      </c>
      <c r="AA352" t="e">
        <f ca="1">- replaced BIOS battery
- adjusted boot settings
- performed self test</f>
        <v>#NAME?</v>
      </c>
      <c r="AB352" s="2" t="s">
        <v>3209</v>
      </c>
      <c r="AG352" t="s">
        <v>3210</v>
      </c>
      <c r="AH352" t="s">
        <v>3211</v>
      </c>
      <c r="AI352" t="s">
        <v>3212</v>
      </c>
    </row>
    <row r="353" spans="2:35" ht="409.5">
      <c r="B353" s="1">
        <v>46079</v>
      </c>
      <c r="C353" s="1">
        <v>46079</v>
      </c>
      <c r="D353" t="s">
        <v>728</v>
      </c>
      <c r="E353" t="s">
        <v>3213</v>
      </c>
      <c r="F353">
        <v>3</v>
      </c>
      <c r="G353" t="s">
        <v>730</v>
      </c>
      <c r="H353" t="s">
        <v>39</v>
      </c>
      <c r="I353" t="s">
        <v>40</v>
      </c>
      <c r="J353" s="2" t="s">
        <v>1309</v>
      </c>
      <c r="K353" t="s">
        <v>42</v>
      </c>
      <c r="L353" t="s">
        <v>135</v>
      </c>
      <c r="N353" t="s">
        <v>136</v>
      </c>
      <c r="Q353">
        <v>32195</v>
      </c>
      <c r="R353" t="s">
        <v>119</v>
      </c>
      <c r="S353" t="s">
        <v>731</v>
      </c>
      <c r="T353">
        <v>25</v>
      </c>
      <c r="W353" t="s">
        <v>138</v>
      </c>
      <c r="X353">
        <v>831721</v>
      </c>
      <c r="Y353" s="2" t="s">
        <v>3214</v>
      </c>
      <c r="Z353" s="2" t="s">
        <v>3215</v>
      </c>
      <c r="AA353" s="2" t="s">
        <v>3216</v>
      </c>
      <c r="AB353" s="2" t="s">
        <v>3217</v>
      </c>
      <c r="AG353" t="s">
        <v>3218</v>
      </c>
      <c r="AH353" t="s">
        <v>735</v>
      </c>
      <c r="AI353" t="s">
        <v>3219</v>
      </c>
    </row>
    <row r="354" spans="2:35" ht="225">
      <c r="B354" s="1">
        <v>46079</v>
      </c>
      <c r="C354" s="1">
        <v>46079</v>
      </c>
      <c r="D354" t="s">
        <v>3220</v>
      </c>
      <c r="E354" t="s">
        <v>3221</v>
      </c>
      <c r="F354" t="s">
        <v>37</v>
      </c>
      <c r="G354" t="s">
        <v>2499</v>
      </c>
      <c r="H354" t="s">
        <v>39</v>
      </c>
      <c r="I354" t="s">
        <v>40</v>
      </c>
      <c r="J354" t="s">
        <v>109</v>
      </c>
      <c r="K354" t="s">
        <v>42</v>
      </c>
      <c r="L354" t="s">
        <v>43</v>
      </c>
      <c r="N354" t="s">
        <v>44</v>
      </c>
      <c r="Q354">
        <v>32194</v>
      </c>
      <c r="R354" t="s">
        <v>45</v>
      </c>
      <c r="S354" t="s">
        <v>3222</v>
      </c>
      <c r="T354">
        <v>22</v>
      </c>
      <c r="U354" s="2" t="s">
        <v>3223</v>
      </c>
      <c r="W354" t="s">
        <v>48</v>
      </c>
      <c r="X354">
        <v>814375</v>
      </c>
      <c r="Y354" t="s">
        <v>121</v>
      </c>
      <c r="Z354" t="s">
        <v>122</v>
      </c>
      <c r="AA354" s="2" t="s">
        <v>547</v>
      </c>
      <c r="AB354" t="s">
        <v>3224</v>
      </c>
      <c r="AG354" t="s">
        <v>3225</v>
      </c>
      <c r="AH354" t="s">
        <v>3226</v>
      </c>
      <c r="AI354" t="s">
        <v>3227</v>
      </c>
    </row>
    <row r="355" spans="2:35" ht="270">
      <c r="B355" s="1">
        <v>46079</v>
      </c>
      <c r="C355" s="1">
        <v>46079</v>
      </c>
      <c r="D355" t="s">
        <v>3220</v>
      </c>
      <c r="E355" t="s">
        <v>3221</v>
      </c>
      <c r="F355" t="s">
        <v>37</v>
      </c>
      <c r="G355" t="s">
        <v>2499</v>
      </c>
      <c r="H355" t="s">
        <v>39</v>
      </c>
      <c r="I355" t="s">
        <v>40</v>
      </c>
      <c r="J355" s="2" t="s">
        <v>62</v>
      </c>
      <c r="K355" t="s">
        <v>42</v>
      </c>
      <c r="L355" t="s">
        <v>43</v>
      </c>
      <c r="N355" t="s">
        <v>44</v>
      </c>
      <c r="Q355">
        <v>32193</v>
      </c>
      <c r="R355" t="s">
        <v>322</v>
      </c>
      <c r="S355" t="s">
        <v>3222</v>
      </c>
      <c r="T355">
        <v>22</v>
      </c>
      <c r="U355" s="2" t="s">
        <v>3228</v>
      </c>
      <c r="W355" t="s">
        <v>153</v>
      </c>
      <c r="X355">
        <v>110015487</v>
      </c>
      <c r="Y355" t="s">
        <v>1111</v>
      </c>
      <c r="Z355" t="s">
        <v>1519</v>
      </c>
      <c r="AA355" s="2" t="s">
        <v>3229</v>
      </c>
      <c r="AB355" t="s">
        <v>3230</v>
      </c>
      <c r="AG355" t="s">
        <v>3231</v>
      </c>
      <c r="AH355" t="s">
        <v>3226</v>
      </c>
      <c r="AI355" t="s">
        <v>3232</v>
      </c>
    </row>
    <row r="356" spans="2:35" ht="120">
      <c r="B356" s="1">
        <v>46079</v>
      </c>
      <c r="C356" s="1">
        <v>46079</v>
      </c>
      <c r="D356" t="s">
        <v>3233</v>
      </c>
      <c r="E356" t="s">
        <v>3234</v>
      </c>
      <c r="F356">
        <v>3</v>
      </c>
      <c r="G356" t="s">
        <v>174</v>
      </c>
      <c r="H356" t="s">
        <v>39</v>
      </c>
      <c r="I356" t="s">
        <v>40</v>
      </c>
      <c r="J356" s="2" t="s">
        <v>62</v>
      </c>
      <c r="K356" t="s">
        <v>42</v>
      </c>
      <c r="L356" t="s">
        <v>175</v>
      </c>
      <c r="N356" t="s">
        <v>176</v>
      </c>
      <c r="Q356">
        <v>32192</v>
      </c>
      <c r="R356" t="s">
        <v>119</v>
      </c>
      <c r="S356" t="s">
        <v>3235</v>
      </c>
      <c r="T356">
        <v>27</v>
      </c>
      <c r="W356" t="s">
        <v>84</v>
      </c>
      <c r="X356">
        <v>831904</v>
      </c>
      <c r="Y356" t="s">
        <v>998</v>
      </c>
      <c r="Z356" s="2" t="s">
        <v>3236</v>
      </c>
      <c r="AA356" t="e">
        <f ca="1">- checked _xludf.and cleaned cartridge bay, plunger rod, _xludf.filter, icore slot
- performed XpertCheck
- generated reports
- performed self test</f>
        <v>#NAME?</v>
      </c>
      <c r="AB356" s="2" t="s">
        <v>3237</v>
      </c>
      <c r="AG356" t="s">
        <v>3238</v>
      </c>
      <c r="AH356" t="s">
        <v>3239</v>
      </c>
      <c r="AI356" t="s">
        <v>3240</v>
      </c>
    </row>
    <row r="357" spans="2:35">
      <c r="B357" s="1">
        <v>46079</v>
      </c>
      <c r="C357" s="1">
        <v>46079</v>
      </c>
      <c r="D357" t="s">
        <v>3241</v>
      </c>
      <c r="E357" t="s">
        <v>3242</v>
      </c>
      <c r="F357">
        <v>7</v>
      </c>
      <c r="G357" t="s">
        <v>432</v>
      </c>
      <c r="H357" t="s">
        <v>258</v>
      </c>
      <c r="I357" t="s">
        <v>40</v>
      </c>
      <c r="J357" t="s">
        <v>525</v>
      </c>
      <c r="K357" t="s">
        <v>42</v>
      </c>
      <c r="L357" t="s">
        <v>594</v>
      </c>
      <c r="N357" t="s">
        <v>595</v>
      </c>
      <c r="O357" t="s">
        <v>595</v>
      </c>
      <c r="Q357">
        <v>32191</v>
      </c>
      <c r="R357" t="s">
        <v>45</v>
      </c>
      <c r="S357" t="s">
        <v>3243</v>
      </c>
      <c r="T357">
        <v>23</v>
      </c>
      <c r="W357" t="s">
        <v>3244</v>
      </c>
      <c r="X357">
        <v>808640</v>
      </c>
      <c r="Y357" t="s">
        <v>3245</v>
      </c>
      <c r="Z357" t="s">
        <v>3246</v>
      </c>
      <c r="AA357" t="s">
        <v>3247</v>
      </c>
      <c r="AB357" t="s">
        <v>3248</v>
      </c>
      <c r="AG357" t="s">
        <v>3249</v>
      </c>
      <c r="AH357" t="s">
        <v>3250</v>
      </c>
      <c r="AI357" t="s">
        <v>3251</v>
      </c>
    </row>
    <row r="358" spans="2:35" ht="105">
      <c r="B358" s="1">
        <v>46079</v>
      </c>
      <c r="C358" s="1">
        <v>46079</v>
      </c>
      <c r="D358" t="s">
        <v>3252</v>
      </c>
      <c r="E358" t="s">
        <v>3253</v>
      </c>
      <c r="F358">
        <v>8</v>
      </c>
      <c r="G358" t="s">
        <v>257</v>
      </c>
      <c r="H358" t="s">
        <v>258</v>
      </c>
      <c r="I358" t="s">
        <v>94</v>
      </c>
      <c r="J358" s="2" t="s">
        <v>1592</v>
      </c>
      <c r="K358" t="s">
        <v>42</v>
      </c>
      <c r="L358" t="s">
        <v>259</v>
      </c>
      <c r="N358" t="s">
        <v>3254</v>
      </c>
      <c r="Q358">
        <v>32190</v>
      </c>
      <c r="R358" t="s">
        <v>45</v>
      </c>
      <c r="S358" t="s">
        <v>3255</v>
      </c>
      <c r="T358">
        <v>28</v>
      </c>
      <c r="U358" s="2" t="s">
        <v>3256</v>
      </c>
      <c r="V358" s="1">
        <v>46079</v>
      </c>
      <c r="W358" t="s">
        <v>3257</v>
      </c>
      <c r="X358">
        <v>835099</v>
      </c>
      <c r="Y358" t="s">
        <v>3258</v>
      </c>
      <c r="Z358" t="e">
        <f ca="1">- Set up network system
- Data Collection
- Preventive Maintenance</f>
        <v>#NAME?</v>
      </c>
      <c r="AA358" t="e">
        <f ca="1">- Preformed Troubleshooting
- Preventive Maintenance
- Repair</f>
        <v>#NAME?</v>
      </c>
      <c r="AB358" t="s">
        <v>3259</v>
      </c>
      <c r="AG358" t="s">
        <v>3260</v>
      </c>
      <c r="AH358" t="s">
        <v>3261</v>
      </c>
      <c r="AI358" t="s">
        <v>3262</v>
      </c>
    </row>
    <row r="359" spans="2:35" ht="195">
      <c r="B359" s="1">
        <v>46079</v>
      </c>
      <c r="C359" s="1">
        <v>46079</v>
      </c>
      <c r="D359" t="s">
        <v>498</v>
      </c>
      <c r="E359" t="s">
        <v>3263</v>
      </c>
      <c r="F359">
        <v>7</v>
      </c>
      <c r="G359" t="s">
        <v>432</v>
      </c>
      <c r="H359" t="s">
        <v>39</v>
      </c>
      <c r="I359" t="s">
        <v>40</v>
      </c>
      <c r="J359" t="s">
        <v>79</v>
      </c>
      <c r="K359" t="s">
        <v>42</v>
      </c>
      <c r="L359" t="s">
        <v>433</v>
      </c>
      <c r="N359" t="s">
        <v>434</v>
      </c>
      <c r="Q359">
        <v>32189</v>
      </c>
      <c r="R359" t="s">
        <v>45</v>
      </c>
      <c r="S359" t="s">
        <v>3264</v>
      </c>
      <c r="T359">
        <v>28</v>
      </c>
      <c r="W359" t="s">
        <v>1008</v>
      </c>
      <c r="X359">
        <v>838510</v>
      </c>
      <c r="Y359" s="2" t="s">
        <v>3265</v>
      </c>
      <c r="Z359" s="2" t="s">
        <v>3266</v>
      </c>
      <c r="AA359" s="2" t="s">
        <v>3266</v>
      </c>
      <c r="AB359" t="s">
        <v>441</v>
      </c>
      <c r="AG359" t="s">
        <v>3267</v>
      </c>
      <c r="AH359" t="s">
        <v>3268</v>
      </c>
      <c r="AI359" t="s">
        <v>3269</v>
      </c>
    </row>
    <row r="360" spans="2:35" ht="210">
      <c r="B360" s="1">
        <v>46079</v>
      </c>
      <c r="C360" s="1">
        <v>46079</v>
      </c>
      <c r="D360" t="s">
        <v>3270</v>
      </c>
      <c r="E360" t="s">
        <v>3271</v>
      </c>
      <c r="F360">
        <v>3</v>
      </c>
      <c r="G360" t="s">
        <v>1722</v>
      </c>
      <c r="H360" t="s">
        <v>39</v>
      </c>
      <c r="I360" t="s">
        <v>40</v>
      </c>
      <c r="J360" s="2" t="s">
        <v>1157</v>
      </c>
      <c r="K360" t="s">
        <v>42</v>
      </c>
      <c r="L360" t="s">
        <v>63</v>
      </c>
      <c r="N360" t="s">
        <v>64</v>
      </c>
      <c r="Q360">
        <v>32188</v>
      </c>
      <c r="R360" t="s">
        <v>45</v>
      </c>
      <c r="S360" t="s">
        <v>3272</v>
      </c>
      <c r="T360">
        <v>28</v>
      </c>
      <c r="U360" s="2" t="s">
        <v>3273</v>
      </c>
      <c r="W360" t="s">
        <v>66</v>
      </c>
      <c r="X360">
        <v>846042</v>
      </c>
      <c r="Y360" s="2" t="s">
        <v>3274</v>
      </c>
      <c r="Z360" s="2" t="s">
        <v>3275</v>
      </c>
      <c r="AA360" s="2" t="s">
        <v>2726</v>
      </c>
      <c r="AB360" t="s">
        <v>70</v>
      </c>
      <c r="AG360" t="s">
        <v>3276</v>
      </c>
      <c r="AH360" t="s">
        <v>3277</v>
      </c>
      <c r="AI360" t="s">
        <v>3278</v>
      </c>
    </row>
    <row r="361" spans="2:35" ht="409.5">
      <c r="B361" s="1">
        <v>46079</v>
      </c>
      <c r="C361" s="1">
        <v>46079</v>
      </c>
      <c r="D361" t="s">
        <v>3279</v>
      </c>
      <c r="E361" t="s">
        <v>3280</v>
      </c>
      <c r="F361">
        <v>3</v>
      </c>
      <c r="G361" t="s">
        <v>1722</v>
      </c>
      <c r="H361" t="s">
        <v>39</v>
      </c>
      <c r="I361" t="s">
        <v>40</v>
      </c>
      <c r="J361" s="2" t="s">
        <v>62</v>
      </c>
      <c r="K361" t="s">
        <v>42</v>
      </c>
      <c r="L361" t="s">
        <v>135</v>
      </c>
      <c r="N361" t="s">
        <v>136</v>
      </c>
      <c r="Q361">
        <v>32187</v>
      </c>
      <c r="R361" t="s">
        <v>119</v>
      </c>
      <c r="S361" t="s">
        <v>3281</v>
      </c>
      <c r="T361">
        <v>26</v>
      </c>
      <c r="W361" t="s">
        <v>138</v>
      </c>
      <c r="X361">
        <v>831672</v>
      </c>
      <c r="Y361" t="s">
        <v>1751</v>
      </c>
      <c r="Z361" s="2" t="s">
        <v>1752</v>
      </c>
      <c r="AA361" s="2" t="s">
        <v>1753</v>
      </c>
      <c r="AB361" s="2" t="s">
        <v>3282</v>
      </c>
      <c r="AG361" t="s">
        <v>3283</v>
      </c>
      <c r="AH361" t="s">
        <v>3284</v>
      </c>
      <c r="AI361" t="s">
        <v>3285</v>
      </c>
    </row>
    <row r="362" spans="2:35" ht="409.5">
      <c r="B362" s="1">
        <v>46079</v>
      </c>
      <c r="C362" s="1">
        <v>46078</v>
      </c>
      <c r="D362" t="s">
        <v>3286</v>
      </c>
      <c r="E362" t="s">
        <v>3287</v>
      </c>
      <c r="F362">
        <v>11</v>
      </c>
      <c r="G362" t="s">
        <v>1205</v>
      </c>
      <c r="H362" t="s">
        <v>202</v>
      </c>
      <c r="I362" t="s">
        <v>94</v>
      </c>
      <c r="J362" s="2" t="s">
        <v>2556</v>
      </c>
      <c r="K362" t="s">
        <v>42</v>
      </c>
      <c r="L362" t="s">
        <v>204</v>
      </c>
      <c r="N362" t="s">
        <v>205</v>
      </c>
      <c r="Q362">
        <v>32186</v>
      </c>
      <c r="R362" t="s">
        <v>45</v>
      </c>
      <c r="S362" t="s">
        <v>3288</v>
      </c>
      <c r="T362">
        <v>26.5</v>
      </c>
      <c r="U362" s="2" t="s">
        <v>3289</v>
      </c>
      <c r="W362" t="s">
        <v>208</v>
      </c>
      <c r="X362">
        <v>847254</v>
      </c>
      <c r="Y362" t="s">
        <v>3290</v>
      </c>
      <c r="Z362" s="2" t="s">
        <v>3291</v>
      </c>
      <c r="AA362" t="s">
        <v>2560</v>
      </c>
      <c r="AB362" t="s">
        <v>1211</v>
      </c>
      <c r="AG362" t="s">
        <v>3292</v>
      </c>
      <c r="AH362" t="s">
        <v>3293</v>
      </c>
      <c r="AI362" t="s">
        <v>3294</v>
      </c>
    </row>
    <row r="363" spans="2:35" ht="240">
      <c r="B363" s="1">
        <v>46078</v>
      </c>
      <c r="C363" s="1">
        <v>46078</v>
      </c>
      <c r="D363" t="s">
        <v>3295</v>
      </c>
      <c r="E363" t="s">
        <v>3296</v>
      </c>
      <c r="F363" t="s">
        <v>37</v>
      </c>
      <c r="G363" t="s">
        <v>748</v>
      </c>
      <c r="H363" t="s">
        <v>39</v>
      </c>
      <c r="I363" t="s">
        <v>40</v>
      </c>
      <c r="J363" t="s">
        <v>109</v>
      </c>
      <c r="K363" t="s">
        <v>42</v>
      </c>
      <c r="L363" t="s">
        <v>1028</v>
      </c>
      <c r="N363" t="s">
        <v>1029</v>
      </c>
      <c r="Q363">
        <v>32184</v>
      </c>
      <c r="R363" t="s">
        <v>703</v>
      </c>
      <c r="S363" t="s">
        <v>3297</v>
      </c>
      <c r="T363">
        <v>24</v>
      </c>
      <c r="U363" s="2" t="s">
        <v>3298</v>
      </c>
      <c r="W363" t="s">
        <v>3299</v>
      </c>
      <c r="X363">
        <v>842166</v>
      </c>
      <c r="Y363" t="s">
        <v>1978</v>
      </c>
      <c r="Z363" t="s">
        <v>1548</v>
      </c>
      <c r="AA363" s="2" t="s">
        <v>1979</v>
      </c>
      <c r="AB363" t="s">
        <v>3300</v>
      </c>
      <c r="AG363" t="s">
        <v>3301</v>
      </c>
      <c r="AH363" t="s">
        <v>3302</v>
      </c>
      <c r="AI363" t="s">
        <v>3303</v>
      </c>
    </row>
    <row r="364" spans="2:35" ht="195">
      <c r="B364" s="1">
        <v>46078</v>
      </c>
      <c r="C364" s="1">
        <v>46078</v>
      </c>
      <c r="D364" t="s">
        <v>3295</v>
      </c>
      <c r="E364" t="s">
        <v>3304</v>
      </c>
      <c r="F364" t="s">
        <v>37</v>
      </c>
      <c r="G364" t="s">
        <v>748</v>
      </c>
      <c r="H364" t="s">
        <v>39</v>
      </c>
      <c r="I364" t="s">
        <v>40</v>
      </c>
      <c r="J364" t="s">
        <v>109</v>
      </c>
      <c r="K364" t="s">
        <v>42</v>
      </c>
      <c r="L364" t="s">
        <v>1028</v>
      </c>
      <c r="N364" t="s">
        <v>1029</v>
      </c>
      <c r="Q364">
        <v>32185</v>
      </c>
      <c r="R364" t="s">
        <v>45</v>
      </c>
      <c r="S364" t="s">
        <v>3305</v>
      </c>
      <c r="T364">
        <v>22</v>
      </c>
      <c r="U364" s="2" t="s">
        <v>3306</v>
      </c>
      <c r="W364" t="s">
        <v>2441</v>
      </c>
      <c r="X364">
        <v>707514</v>
      </c>
      <c r="Y364" t="s">
        <v>3307</v>
      </c>
      <c r="Z364" t="s">
        <v>1548</v>
      </c>
      <c r="AA364" s="2" t="s">
        <v>3308</v>
      </c>
      <c r="AB364" s="2" t="s">
        <v>3309</v>
      </c>
      <c r="AG364" t="s">
        <v>3310</v>
      </c>
      <c r="AH364" t="s">
        <v>3311</v>
      </c>
      <c r="AI364" t="s">
        <v>3312</v>
      </c>
    </row>
    <row r="365" spans="2:35" ht="345">
      <c r="B365" s="1">
        <v>46078</v>
      </c>
      <c r="C365" s="1">
        <v>46078</v>
      </c>
      <c r="D365" t="s">
        <v>3295</v>
      </c>
      <c r="E365" t="s">
        <v>3304</v>
      </c>
      <c r="F365" t="s">
        <v>37</v>
      </c>
      <c r="G365" t="s">
        <v>748</v>
      </c>
      <c r="H365" t="s">
        <v>39</v>
      </c>
      <c r="I365" t="s">
        <v>40</v>
      </c>
      <c r="J365" s="2" t="s">
        <v>190</v>
      </c>
      <c r="K365" t="s">
        <v>42</v>
      </c>
      <c r="L365" t="s">
        <v>1028</v>
      </c>
      <c r="N365" t="s">
        <v>1029</v>
      </c>
      <c r="Q365">
        <v>32183</v>
      </c>
      <c r="R365" t="s">
        <v>703</v>
      </c>
      <c r="S365" t="s">
        <v>3305</v>
      </c>
      <c r="T365">
        <v>26</v>
      </c>
      <c r="U365" s="2" t="s">
        <v>3313</v>
      </c>
      <c r="W365" t="s">
        <v>1967</v>
      </c>
      <c r="X365">
        <v>812380</v>
      </c>
      <c r="Y365" t="s">
        <v>3314</v>
      </c>
      <c r="Z365" s="2" t="s">
        <v>3315</v>
      </c>
      <c r="AA365" s="2" t="s">
        <v>3316</v>
      </c>
      <c r="AB365" s="2" t="s">
        <v>3317</v>
      </c>
      <c r="AG365" t="s">
        <v>3318</v>
      </c>
      <c r="AH365" t="s">
        <v>3319</v>
      </c>
      <c r="AI365" t="s">
        <v>3320</v>
      </c>
    </row>
    <row r="366" spans="2:35" ht="409.5">
      <c r="B366" s="1">
        <v>46078</v>
      </c>
      <c r="C366" s="1">
        <v>46078</v>
      </c>
      <c r="D366" t="s">
        <v>217</v>
      </c>
      <c r="E366" t="s">
        <v>3321</v>
      </c>
      <c r="F366">
        <v>3</v>
      </c>
      <c r="G366" t="s">
        <v>219</v>
      </c>
      <c r="H366" t="s">
        <v>39</v>
      </c>
      <c r="I366" t="s">
        <v>40</v>
      </c>
      <c r="J366" s="2" t="s">
        <v>62</v>
      </c>
      <c r="K366" t="s">
        <v>42</v>
      </c>
      <c r="L366" t="s">
        <v>135</v>
      </c>
      <c r="N366" t="s">
        <v>136</v>
      </c>
      <c r="Q366">
        <v>32182</v>
      </c>
      <c r="R366" t="s">
        <v>45</v>
      </c>
      <c r="S366" t="s">
        <v>221</v>
      </c>
      <c r="T366">
        <v>25</v>
      </c>
      <c r="W366" t="s">
        <v>138</v>
      </c>
      <c r="X366">
        <v>804700</v>
      </c>
      <c r="Y366" t="s">
        <v>1751</v>
      </c>
      <c r="Z366" s="2" t="s">
        <v>3322</v>
      </c>
      <c r="AA366" s="2" t="s">
        <v>1753</v>
      </c>
      <c r="AB366" s="2" t="s">
        <v>3323</v>
      </c>
      <c r="AG366" t="s">
        <v>3324</v>
      </c>
      <c r="AH366" t="s">
        <v>402</v>
      </c>
      <c r="AI366" t="s">
        <v>3325</v>
      </c>
    </row>
    <row r="367" spans="2:35" ht="345">
      <c r="B367" s="1">
        <v>46078</v>
      </c>
      <c r="C367" s="1">
        <v>46078</v>
      </c>
      <c r="D367" t="s">
        <v>3326</v>
      </c>
      <c r="E367" t="s">
        <v>582</v>
      </c>
      <c r="F367" t="s">
        <v>148</v>
      </c>
      <c r="G367" t="s">
        <v>447</v>
      </c>
      <c r="H367" t="s">
        <v>39</v>
      </c>
      <c r="I367" t="s">
        <v>40</v>
      </c>
      <c r="J367" s="2" t="s">
        <v>62</v>
      </c>
      <c r="K367" t="s">
        <v>42</v>
      </c>
      <c r="L367" t="s">
        <v>175</v>
      </c>
      <c r="N367" t="s">
        <v>176</v>
      </c>
      <c r="Q367">
        <v>32181</v>
      </c>
      <c r="R367" t="s">
        <v>703</v>
      </c>
      <c r="S367" t="s">
        <v>3327</v>
      </c>
      <c r="T367">
        <v>25</v>
      </c>
      <c r="V367" s="1">
        <v>46077</v>
      </c>
      <c r="W367" t="s">
        <v>84</v>
      </c>
      <c r="X367">
        <v>847578</v>
      </c>
      <c r="Y367" s="2" t="s">
        <v>3328</v>
      </c>
      <c r="Z367" t="s">
        <v>999</v>
      </c>
      <c r="AA367" t="e">
        <f ca="1">- checked _xludf.and cleaned cartridge bay, plunger rod, _xludf.filter, icore slot
- performed XpertCheck
- generated reports
- performed self test</f>
        <v>#NAME?</v>
      </c>
      <c r="AB367" s="2" t="s">
        <v>3329</v>
      </c>
      <c r="AD367" s="2" t="s">
        <v>3330</v>
      </c>
      <c r="AE367">
        <v>102196</v>
      </c>
      <c r="AG367" t="s">
        <v>3331</v>
      </c>
      <c r="AH367" t="s">
        <v>3332</v>
      </c>
      <c r="AI367" t="s">
        <v>3333</v>
      </c>
    </row>
    <row r="368" spans="2:35" ht="409.5">
      <c r="B368" s="1">
        <v>46078</v>
      </c>
      <c r="C368" s="1">
        <v>46078</v>
      </c>
      <c r="D368" t="s">
        <v>217</v>
      </c>
      <c r="E368" t="s">
        <v>3334</v>
      </c>
      <c r="F368">
        <v>3</v>
      </c>
      <c r="G368" t="s">
        <v>219</v>
      </c>
      <c r="H368" t="s">
        <v>39</v>
      </c>
      <c r="I368" t="s">
        <v>40</v>
      </c>
      <c r="J368" s="2" t="s">
        <v>62</v>
      </c>
      <c r="K368" t="s">
        <v>42</v>
      </c>
      <c r="L368" t="s">
        <v>135</v>
      </c>
      <c r="N368" t="s">
        <v>136</v>
      </c>
      <c r="Q368">
        <v>32180</v>
      </c>
      <c r="R368" t="s">
        <v>45</v>
      </c>
      <c r="S368" t="s">
        <v>221</v>
      </c>
      <c r="T368">
        <v>25</v>
      </c>
      <c r="W368" t="s">
        <v>3335</v>
      </c>
      <c r="X368">
        <v>120000606</v>
      </c>
      <c r="Y368" t="s">
        <v>1751</v>
      </c>
      <c r="Z368" s="2" t="s">
        <v>1752</v>
      </c>
      <c r="AA368" s="2" t="s">
        <v>3336</v>
      </c>
      <c r="AB368" s="2" t="s">
        <v>3337</v>
      </c>
      <c r="AG368" t="s">
        <v>3338</v>
      </c>
      <c r="AH368" t="s">
        <v>402</v>
      </c>
      <c r="AI368" t="s">
        <v>3339</v>
      </c>
    </row>
    <row r="369" spans="2:35" ht="270">
      <c r="B369" s="1">
        <v>46078</v>
      </c>
      <c r="C369" s="1">
        <v>46078</v>
      </c>
      <c r="D369" t="s">
        <v>1222</v>
      </c>
      <c r="E369" t="s">
        <v>1223</v>
      </c>
      <c r="F369" t="s">
        <v>37</v>
      </c>
      <c r="G369" t="s">
        <v>38</v>
      </c>
      <c r="H369" t="s">
        <v>39</v>
      </c>
      <c r="I369" t="s">
        <v>94</v>
      </c>
      <c r="J369" s="2" t="s">
        <v>62</v>
      </c>
      <c r="K369" t="s">
        <v>42</v>
      </c>
      <c r="L369" t="s">
        <v>43</v>
      </c>
      <c r="N369" t="s">
        <v>44</v>
      </c>
      <c r="Q369">
        <v>32179</v>
      </c>
      <c r="R369" t="s">
        <v>119</v>
      </c>
      <c r="S369" t="s">
        <v>1224</v>
      </c>
      <c r="T369">
        <v>24</v>
      </c>
      <c r="U369" s="2" t="s">
        <v>3340</v>
      </c>
      <c r="W369" t="s">
        <v>48</v>
      </c>
      <c r="X369">
        <v>821213</v>
      </c>
      <c r="Y369" t="s">
        <v>1111</v>
      </c>
      <c r="Z369" t="s">
        <v>1519</v>
      </c>
      <c r="AA369" s="2" t="s">
        <v>3341</v>
      </c>
      <c r="AB369" t="s">
        <v>1521</v>
      </c>
      <c r="AG369" t="s">
        <v>3342</v>
      </c>
      <c r="AH369" t="s">
        <v>1230</v>
      </c>
      <c r="AI369" t="s">
        <v>3343</v>
      </c>
    </row>
    <row r="370" spans="2:35" ht="105">
      <c r="B370" s="1">
        <v>46078</v>
      </c>
      <c r="C370" s="1">
        <v>46078</v>
      </c>
      <c r="D370" t="s">
        <v>3344</v>
      </c>
      <c r="E370" t="s">
        <v>3345</v>
      </c>
      <c r="F370" t="s">
        <v>1255</v>
      </c>
      <c r="G370" t="s">
        <v>3346</v>
      </c>
      <c r="H370" t="s">
        <v>39</v>
      </c>
      <c r="I370" t="s">
        <v>94</v>
      </c>
      <c r="J370" s="2" t="s">
        <v>190</v>
      </c>
      <c r="K370" t="s">
        <v>42</v>
      </c>
      <c r="L370" t="s">
        <v>1257</v>
      </c>
      <c r="N370" t="s">
        <v>1258</v>
      </c>
      <c r="O370" t="s">
        <v>1258</v>
      </c>
      <c r="Q370">
        <v>32178</v>
      </c>
      <c r="R370" t="s">
        <v>45</v>
      </c>
      <c r="S370" t="s">
        <v>3347</v>
      </c>
      <c r="T370">
        <v>29</v>
      </c>
      <c r="U370" s="2" t="s">
        <v>3348</v>
      </c>
      <c r="V370" s="1">
        <v>46078</v>
      </c>
      <c r="W370" t="s">
        <v>1261</v>
      </c>
      <c r="X370">
        <v>807460</v>
      </c>
      <c r="Y370" t="s">
        <v>3349</v>
      </c>
      <c r="Z370" t="s">
        <v>3350</v>
      </c>
      <c r="AA370" t="s">
        <v>3351</v>
      </c>
      <c r="AB370" t="s">
        <v>3352</v>
      </c>
      <c r="AC370" t="s">
        <v>3353</v>
      </c>
      <c r="AD370" t="s">
        <v>54</v>
      </c>
      <c r="AE370" t="s">
        <v>54</v>
      </c>
      <c r="AG370" t="s">
        <v>3354</v>
      </c>
      <c r="AH370" t="s">
        <v>3355</v>
      </c>
      <c r="AI370" t="s">
        <v>3356</v>
      </c>
    </row>
    <row r="371" spans="2:35" ht="409.5">
      <c r="B371" s="1">
        <v>46078</v>
      </c>
      <c r="C371" s="1">
        <v>46078</v>
      </c>
      <c r="D371" t="s">
        <v>3357</v>
      </c>
      <c r="E371" t="s">
        <v>3358</v>
      </c>
      <c r="F371">
        <v>3</v>
      </c>
      <c r="G371" t="s">
        <v>134</v>
      </c>
      <c r="H371" t="s">
        <v>39</v>
      </c>
      <c r="I371" t="s">
        <v>40</v>
      </c>
      <c r="J371" s="2" t="s">
        <v>62</v>
      </c>
      <c r="K371" t="s">
        <v>42</v>
      </c>
      <c r="L371" t="s">
        <v>135</v>
      </c>
      <c r="N371" t="s">
        <v>136</v>
      </c>
      <c r="Q371">
        <v>32177</v>
      </c>
      <c r="R371" t="s">
        <v>119</v>
      </c>
      <c r="S371" t="s">
        <v>3359</v>
      </c>
      <c r="T371">
        <v>25</v>
      </c>
      <c r="W371" t="s">
        <v>2680</v>
      </c>
      <c r="X371">
        <v>831912</v>
      </c>
      <c r="Y371" t="s">
        <v>67</v>
      </c>
      <c r="Z371" s="2" t="s">
        <v>1752</v>
      </c>
      <c r="AA371" s="2" t="s">
        <v>1753</v>
      </c>
      <c r="AB371" s="2" t="s">
        <v>3360</v>
      </c>
      <c r="AG371" t="s">
        <v>3361</v>
      </c>
      <c r="AH371" t="s">
        <v>3362</v>
      </c>
      <c r="AI371" t="s">
        <v>3363</v>
      </c>
    </row>
    <row r="372" spans="2:35" ht="240">
      <c r="B372" s="1">
        <v>46078</v>
      </c>
      <c r="C372" s="1">
        <v>46077</v>
      </c>
      <c r="D372" t="s">
        <v>3364</v>
      </c>
      <c r="E372" t="s">
        <v>3365</v>
      </c>
      <c r="F372">
        <v>6</v>
      </c>
      <c r="G372" t="s">
        <v>1286</v>
      </c>
      <c r="H372" t="s">
        <v>39</v>
      </c>
      <c r="I372" t="s">
        <v>40</v>
      </c>
      <c r="J372" t="s">
        <v>79</v>
      </c>
      <c r="K372" t="s">
        <v>42</v>
      </c>
      <c r="L372" t="s">
        <v>343</v>
      </c>
      <c r="N372" t="s">
        <v>344</v>
      </c>
      <c r="Q372">
        <v>32176</v>
      </c>
      <c r="R372" t="s">
        <v>967</v>
      </c>
      <c r="S372" t="s">
        <v>3366</v>
      </c>
      <c r="T372">
        <v>25</v>
      </c>
      <c r="V372" s="1">
        <v>46064</v>
      </c>
      <c r="W372" t="s">
        <v>2949</v>
      </c>
      <c r="X372">
        <v>110023526</v>
      </c>
      <c r="Y372" t="s">
        <v>3367</v>
      </c>
      <c r="Z372" s="2" t="s">
        <v>3368</v>
      </c>
      <c r="AA372" t="e">
        <f ca="1">-module Replacement
-Preventive Maintenance</f>
        <v>#NAME?</v>
      </c>
      <c r="AB372" t="s">
        <v>3369</v>
      </c>
      <c r="AD372" t="s">
        <v>3370</v>
      </c>
      <c r="AE372" t="s">
        <v>3371</v>
      </c>
      <c r="AG372" t="s">
        <v>3372</v>
      </c>
      <c r="AH372" t="s">
        <v>3373</v>
      </c>
      <c r="AI372" t="s">
        <v>3374</v>
      </c>
    </row>
    <row r="373" spans="2:35" ht="409.5">
      <c r="B373" s="1">
        <v>46078</v>
      </c>
      <c r="C373" s="1">
        <v>46078</v>
      </c>
      <c r="D373" t="s">
        <v>3375</v>
      </c>
      <c r="E373" t="s">
        <v>3376</v>
      </c>
      <c r="F373">
        <v>3</v>
      </c>
      <c r="G373" t="s">
        <v>134</v>
      </c>
      <c r="H373" t="s">
        <v>39</v>
      </c>
      <c r="I373" t="s">
        <v>40</v>
      </c>
      <c r="J373" s="2" t="s">
        <v>62</v>
      </c>
      <c r="K373" t="s">
        <v>42</v>
      </c>
      <c r="L373" t="s">
        <v>135</v>
      </c>
      <c r="N373" t="s">
        <v>136</v>
      </c>
      <c r="Q373">
        <v>32175</v>
      </c>
      <c r="R373" t="s">
        <v>45</v>
      </c>
      <c r="S373" t="s">
        <v>3377</v>
      </c>
      <c r="T373">
        <v>25</v>
      </c>
      <c r="W373" t="s">
        <v>2680</v>
      </c>
      <c r="X373">
        <v>807569</v>
      </c>
      <c r="Y373" t="s">
        <v>1751</v>
      </c>
      <c r="Z373" s="2" t="s">
        <v>1752</v>
      </c>
      <c r="AA373" s="2" t="s">
        <v>1753</v>
      </c>
      <c r="AB373" s="2" t="s">
        <v>3378</v>
      </c>
      <c r="AC373" t="s">
        <v>3379</v>
      </c>
      <c r="AG373" t="s">
        <v>3380</v>
      </c>
      <c r="AH373" t="s">
        <v>3381</v>
      </c>
      <c r="AI373" t="s">
        <v>3382</v>
      </c>
    </row>
    <row r="374" spans="2:35" ht="210">
      <c r="B374" s="1">
        <v>46078</v>
      </c>
      <c r="C374" s="1">
        <v>46078</v>
      </c>
      <c r="D374" t="s">
        <v>3383</v>
      </c>
      <c r="E374" t="s">
        <v>3384</v>
      </c>
      <c r="F374">
        <v>6</v>
      </c>
      <c r="G374" t="s">
        <v>1286</v>
      </c>
      <c r="H374" t="s">
        <v>39</v>
      </c>
      <c r="I374" t="s">
        <v>40</v>
      </c>
      <c r="J374" s="2" t="s">
        <v>3385</v>
      </c>
      <c r="K374" t="s">
        <v>42</v>
      </c>
      <c r="L374" t="s">
        <v>1288</v>
      </c>
      <c r="N374" t="s">
        <v>1289</v>
      </c>
      <c r="Q374">
        <v>32174</v>
      </c>
      <c r="R374" t="s">
        <v>119</v>
      </c>
      <c r="S374" t="s">
        <v>3386</v>
      </c>
      <c r="T374">
        <v>27</v>
      </c>
      <c r="U374" s="2" t="s">
        <v>3387</v>
      </c>
      <c r="W374" t="s">
        <v>1292</v>
      </c>
      <c r="X374">
        <v>838289</v>
      </c>
      <c r="Y374" t="e">
        <f ca="1">-_xludf.For machine transfer
-Preventive Maintenance</f>
        <v>#NAME?</v>
      </c>
      <c r="Z374" t="e">
        <f ca="1">-COLLECT IQR, system _xludf.Log, _xludf.and ARCHIVE</f>
        <v>#NAME?</v>
      </c>
      <c r="AA374" t="e">
        <f ca="1">-transfer GeneXpert machine _xludf.and peripherals FROM TB DOTS to MOLECULAR LABORATORY
-PERFORM functionality test, passed
-PERFORM Preventive Maintenance PROCEDURE, _xludf.Clean FAN _xludf.filter , plunger rod, _xludf.and cartridge bay</f>
        <v>#NAME?</v>
      </c>
      <c r="AB374" t="s">
        <v>1293</v>
      </c>
      <c r="AG374" t="s">
        <v>3388</v>
      </c>
      <c r="AH374" t="s">
        <v>3389</v>
      </c>
      <c r="AI374" t="s">
        <v>3390</v>
      </c>
    </row>
    <row r="375" spans="2:35" ht="105">
      <c r="B375" s="1">
        <v>46077</v>
      </c>
      <c r="C375" s="1">
        <v>46073</v>
      </c>
      <c r="D375" t="s">
        <v>1057</v>
      </c>
      <c r="E375" t="s">
        <v>1058</v>
      </c>
      <c r="F375">
        <v>1</v>
      </c>
      <c r="G375" t="s">
        <v>1046</v>
      </c>
      <c r="H375" t="s">
        <v>39</v>
      </c>
      <c r="I375" t="s">
        <v>40</v>
      </c>
      <c r="J375" t="s">
        <v>109</v>
      </c>
      <c r="K375" t="s">
        <v>42</v>
      </c>
      <c r="L375" t="s">
        <v>1048</v>
      </c>
      <c r="N375" t="s">
        <v>1049</v>
      </c>
      <c r="Q375">
        <v>32173</v>
      </c>
      <c r="R375" t="s">
        <v>95</v>
      </c>
      <c r="S375" t="s">
        <v>1059</v>
      </c>
      <c r="T375">
        <v>30</v>
      </c>
      <c r="W375" t="s">
        <v>1060</v>
      </c>
      <c r="X375">
        <v>820303</v>
      </c>
      <c r="Y375" t="s">
        <v>1052</v>
      </c>
      <c r="Z375" t="e">
        <f ca="1">- cleaned cartridge Bays, plunger Rods _xludf.and I-CORE
- cleaned _xludf.filter
- generated reports</f>
        <v>#NAME?</v>
      </c>
      <c r="AA375" t="s">
        <v>820</v>
      </c>
      <c r="AB375" s="2" t="s">
        <v>3391</v>
      </c>
      <c r="AG375" t="s">
        <v>3392</v>
      </c>
      <c r="AH375" t="s">
        <v>3393</v>
      </c>
      <c r="AI375" t="s">
        <v>3394</v>
      </c>
    </row>
    <row r="376" spans="2:35" ht="225">
      <c r="B376" s="1">
        <v>46077</v>
      </c>
      <c r="C376" s="1">
        <v>46077</v>
      </c>
      <c r="D376" t="s">
        <v>542</v>
      </c>
      <c r="E376" t="s">
        <v>552</v>
      </c>
      <c r="F376" t="s">
        <v>148</v>
      </c>
      <c r="G376" t="s">
        <v>544</v>
      </c>
      <c r="H376" t="s">
        <v>39</v>
      </c>
      <c r="I376" t="s">
        <v>40</v>
      </c>
      <c r="J376" t="s">
        <v>109</v>
      </c>
      <c r="K376" t="s">
        <v>42</v>
      </c>
      <c r="L376" t="s">
        <v>43</v>
      </c>
      <c r="N376" t="s">
        <v>44</v>
      </c>
      <c r="Q376">
        <v>32170</v>
      </c>
      <c r="R376" t="s">
        <v>322</v>
      </c>
      <c r="S376" t="s">
        <v>545</v>
      </c>
      <c r="T376">
        <v>22</v>
      </c>
      <c r="U376" s="2" t="s">
        <v>3395</v>
      </c>
      <c r="W376" t="s">
        <v>153</v>
      </c>
      <c r="X376">
        <v>120000613</v>
      </c>
      <c r="Y376" t="s">
        <v>121</v>
      </c>
      <c r="Z376" t="s">
        <v>122</v>
      </c>
      <c r="AA376" s="2" t="s">
        <v>1710</v>
      </c>
      <c r="AB376" t="s">
        <v>3396</v>
      </c>
      <c r="AG376" t="s">
        <v>3397</v>
      </c>
      <c r="AH376" t="s">
        <v>575</v>
      </c>
      <c r="AI376" t="s">
        <v>3398</v>
      </c>
    </row>
    <row r="377" spans="2:35" ht="225">
      <c r="B377" s="1">
        <v>46077</v>
      </c>
      <c r="C377" s="1">
        <v>46077</v>
      </c>
      <c r="D377" t="s">
        <v>542</v>
      </c>
      <c r="E377" t="s">
        <v>552</v>
      </c>
      <c r="F377" t="s">
        <v>148</v>
      </c>
      <c r="G377" t="s">
        <v>544</v>
      </c>
      <c r="H377" t="s">
        <v>39</v>
      </c>
      <c r="I377" t="s">
        <v>40</v>
      </c>
      <c r="J377" t="s">
        <v>109</v>
      </c>
      <c r="K377" t="s">
        <v>42</v>
      </c>
      <c r="L377" t="s">
        <v>43</v>
      </c>
      <c r="N377" t="s">
        <v>44</v>
      </c>
      <c r="Q377">
        <v>32172</v>
      </c>
      <c r="R377" t="s">
        <v>45</v>
      </c>
      <c r="S377" t="s">
        <v>545</v>
      </c>
      <c r="T377">
        <v>22</v>
      </c>
      <c r="U377" s="2" t="s">
        <v>3399</v>
      </c>
      <c r="W377" t="s">
        <v>153</v>
      </c>
      <c r="X377">
        <v>110020361</v>
      </c>
      <c r="Y377" t="s">
        <v>121</v>
      </c>
      <c r="Z377" t="s">
        <v>122</v>
      </c>
      <c r="AA377" s="2" t="s">
        <v>1710</v>
      </c>
      <c r="AB377" t="s">
        <v>548</v>
      </c>
      <c r="AG377" t="s">
        <v>3400</v>
      </c>
      <c r="AH377" t="s">
        <v>575</v>
      </c>
      <c r="AI377" t="s">
        <v>3401</v>
      </c>
    </row>
    <row r="378" spans="2:35" ht="225">
      <c r="B378" s="1">
        <v>46077</v>
      </c>
      <c r="C378" s="1">
        <v>46077</v>
      </c>
      <c r="D378" t="s">
        <v>542</v>
      </c>
      <c r="E378" t="s">
        <v>552</v>
      </c>
      <c r="F378" t="s">
        <v>148</v>
      </c>
      <c r="G378" t="s">
        <v>544</v>
      </c>
      <c r="H378" t="s">
        <v>39</v>
      </c>
      <c r="I378" t="s">
        <v>40</v>
      </c>
      <c r="J378" t="s">
        <v>109</v>
      </c>
      <c r="K378" t="s">
        <v>42</v>
      </c>
      <c r="L378" t="s">
        <v>43</v>
      </c>
      <c r="N378" t="s">
        <v>44</v>
      </c>
      <c r="Q378">
        <v>32169</v>
      </c>
      <c r="R378" t="s">
        <v>119</v>
      </c>
      <c r="S378" t="s">
        <v>545</v>
      </c>
      <c r="T378">
        <v>22</v>
      </c>
      <c r="W378" t="s">
        <v>48</v>
      </c>
      <c r="X378">
        <v>831588</v>
      </c>
      <c r="Y378" t="s">
        <v>121</v>
      </c>
      <c r="Z378" t="s">
        <v>122</v>
      </c>
      <c r="AA378" s="2" t="s">
        <v>1710</v>
      </c>
      <c r="AB378" t="s">
        <v>548</v>
      </c>
      <c r="AG378" t="s">
        <v>3402</v>
      </c>
      <c r="AH378" t="s">
        <v>575</v>
      </c>
      <c r="AI378" t="s">
        <v>3403</v>
      </c>
    </row>
    <row r="379" spans="2:35" ht="390">
      <c r="B379" s="1">
        <v>46077</v>
      </c>
      <c r="C379" s="1">
        <v>46077</v>
      </c>
      <c r="D379" t="s">
        <v>542</v>
      </c>
      <c r="E379" t="s">
        <v>552</v>
      </c>
      <c r="F379" t="s">
        <v>148</v>
      </c>
      <c r="G379" t="s">
        <v>544</v>
      </c>
      <c r="H379" t="s">
        <v>39</v>
      </c>
      <c r="I379" t="s">
        <v>40</v>
      </c>
      <c r="J379" s="2" t="s">
        <v>1309</v>
      </c>
      <c r="K379" t="s">
        <v>42</v>
      </c>
      <c r="L379" t="s">
        <v>43</v>
      </c>
      <c r="N379" t="s">
        <v>44</v>
      </c>
      <c r="Q379">
        <v>32171</v>
      </c>
      <c r="R379" t="s">
        <v>45</v>
      </c>
      <c r="S379" t="s">
        <v>545</v>
      </c>
      <c r="T379">
        <v>22</v>
      </c>
      <c r="U379" s="2" t="s">
        <v>3404</v>
      </c>
      <c r="W379" t="s">
        <v>48</v>
      </c>
      <c r="X379">
        <v>805211</v>
      </c>
      <c r="Y379" s="2" t="s">
        <v>3405</v>
      </c>
      <c r="Z379" s="2" t="s">
        <v>3406</v>
      </c>
      <c r="AA379" s="2" t="s">
        <v>3407</v>
      </c>
      <c r="AB379" t="s">
        <v>3408</v>
      </c>
      <c r="AG379" t="s">
        <v>3409</v>
      </c>
      <c r="AH379" t="s">
        <v>575</v>
      </c>
      <c r="AI379" t="s">
        <v>3410</v>
      </c>
    </row>
    <row r="380" spans="2:35" ht="225">
      <c r="B380" s="1">
        <v>46077</v>
      </c>
      <c r="C380" s="1">
        <v>46077</v>
      </c>
      <c r="D380" t="s">
        <v>542</v>
      </c>
      <c r="E380" t="s">
        <v>552</v>
      </c>
      <c r="F380" t="s">
        <v>148</v>
      </c>
      <c r="G380" t="s">
        <v>544</v>
      </c>
      <c r="H380" t="s">
        <v>39</v>
      </c>
      <c r="I380" t="s">
        <v>40</v>
      </c>
      <c r="J380" t="s">
        <v>109</v>
      </c>
      <c r="K380" t="s">
        <v>42</v>
      </c>
      <c r="L380" t="s">
        <v>43</v>
      </c>
      <c r="N380" t="s">
        <v>44</v>
      </c>
      <c r="Q380">
        <v>32168</v>
      </c>
      <c r="R380" t="s">
        <v>322</v>
      </c>
      <c r="S380" t="s">
        <v>545</v>
      </c>
      <c r="T380">
        <v>22</v>
      </c>
      <c r="U380" s="2" t="s">
        <v>3411</v>
      </c>
      <c r="W380" t="s">
        <v>48</v>
      </c>
      <c r="X380">
        <v>110016107</v>
      </c>
      <c r="Y380" t="s">
        <v>121</v>
      </c>
      <c r="Z380" t="s">
        <v>122</v>
      </c>
      <c r="AA380" s="2" t="s">
        <v>1710</v>
      </c>
      <c r="AB380" t="s">
        <v>3412</v>
      </c>
      <c r="AG380" t="s">
        <v>3413</v>
      </c>
      <c r="AH380" t="s">
        <v>575</v>
      </c>
      <c r="AI380" t="s">
        <v>3414</v>
      </c>
    </row>
    <row r="381" spans="2:35" ht="409.5">
      <c r="B381" s="1">
        <v>46077</v>
      </c>
      <c r="C381" s="1">
        <v>46077</v>
      </c>
      <c r="D381" t="s">
        <v>3415</v>
      </c>
      <c r="E381" t="s">
        <v>3416</v>
      </c>
      <c r="F381">
        <v>3</v>
      </c>
      <c r="G381" t="s">
        <v>284</v>
      </c>
      <c r="H381" t="s">
        <v>39</v>
      </c>
      <c r="I381" t="s">
        <v>94</v>
      </c>
      <c r="J381" s="2" t="s">
        <v>62</v>
      </c>
      <c r="K381" t="s">
        <v>42</v>
      </c>
      <c r="L381" t="s">
        <v>135</v>
      </c>
      <c r="N381" t="s">
        <v>136</v>
      </c>
      <c r="Q381">
        <v>32167</v>
      </c>
      <c r="R381" t="s">
        <v>45</v>
      </c>
      <c r="S381" t="s">
        <v>3417</v>
      </c>
      <c r="T381">
        <v>25</v>
      </c>
      <c r="W381" t="s">
        <v>3418</v>
      </c>
      <c r="X381">
        <v>835173</v>
      </c>
      <c r="Y381" t="s">
        <v>1751</v>
      </c>
      <c r="Z381" s="2" t="s">
        <v>1752</v>
      </c>
      <c r="AA381" s="2" t="s">
        <v>1753</v>
      </c>
      <c r="AB381" s="2" t="s">
        <v>3419</v>
      </c>
      <c r="AG381" t="s">
        <v>3420</v>
      </c>
      <c r="AH381" t="s">
        <v>3421</v>
      </c>
      <c r="AI381" t="s">
        <v>3422</v>
      </c>
    </row>
    <row r="382" spans="2:35">
      <c r="B382" s="1">
        <v>46077</v>
      </c>
      <c r="C382" s="1">
        <v>46077</v>
      </c>
      <c r="D382" t="s">
        <v>3423</v>
      </c>
      <c r="E382" t="s">
        <v>3116</v>
      </c>
      <c r="F382">
        <v>7</v>
      </c>
      <c r="G382" t="s">
        <v>432</v>
      </c>
      <c r="H382" t="s">
        <v>386</v>
      </c>
      <c r="I382" t="s">
        <v>40</v>
      </c>
      <c r="J382" t="s">
        <v>79</v>
      </c>
      <c r="K382" t="s">
        <v>387</v>
      </c>
      <c r="L382" t="s">
        <v>610</v>
      </c>
      <c r="N382" t="s">
        <v>611</v>
      </c>
      <c r="O382" t="s">
        <v>3424</v>
      </c>
      <c r="Q382">
        <v>32166</v>
      </c>
      <c r="R382" t="s">
        <v>95</v>
      </c>
      <c r="S382" t="s">
        <v>3424</v>
      </c>
      <c r="T382">
        <v>19</v>
      </c>
      <c r="W382" t="s">
        <v>390</v>
      </c>
      <c r="X382" t="s">
        <v>3425</v>
      </c>
      <c r="Y382" t="s">
        <v>3426</v>
      </c>
      <c r="Z382" t="s">
        <v>3427</v>
      </c>
      <c r="AA382" t="s">
        <v>3427</v>
      </c>
      <c r="AB382" t="s">
        <v>88</v>
      </c>
      <c r="AC382" t="s">
        <v>3116</v>
      </c>
      <c r="AE382" t="s">
        <v>1451</v>
      </c>
      <c r="AG382" t="s">
        <v>3428</v>
      </c>
      <c r="AH382" t="s">
        <v>3429</v>
      </c>
      <c r="AI382" t="s">
        <v>3430</v>
      </c>
    </row>
    <row r="383" spans="2:35" ht="360">
      <c r="B383" s="1">
        <v>46077</v>
      </c>
      <c r="C383" s="1">
        <v>46071</v>
      </c>
      <c r="D383" t="s">
        <v>3431</v>
      </c>
      <c r="E383" t="s">
        <v>3432</v>
      </c>
      <c r="F383">
        <v>7</v>
      </c>
      <c r="G383" t="s">
        <v>432</v>
      </c>
      <c r="H383" t="s">
        <v>608</v>
      </c>
      <c r="I383" t="s">
        <v>94</v>
      </c>
      <c r="J383" s="2" t="s">
        <v>62</v>
      </c>
      <c r="K383" t="s">
        <v>42</v>
      </c>
      <c r="L383" t="s">
        <v>610</v>
      </c>
      <c r="N383" t="s">
        <v>611</v>
      </c>
      <c r="O383" t="s">
        <v>3433</v>
      </c>
      <c r="Q383">
        <v>32165</v>
      </c>
      <c r="R383" t="s">
        <v>45</v>
      </c>
      <c r="S383" t="s">
        <v>3433</v>
      </c>
      <c r="T383">
        <v>23</v>
      </c>
      <c r="U383" s="2" t="s">
        <v>3434</v>
      </c>
      <c r="W383" t="s">
        <v>360</v>
      </c>
      <c r="X383">
        <v>807588</v>
      </c>
      <c r="Y383" t="s">
        <v>3435</v>
      </c>
      <c r="Z383" s="2" t="s">
        <v>3436</v>
      </c>
      <c r="AA383" s="2" t="s">
        <v>3436</v>
      </c>
      <c r="AB383" t="s">
        <v>3437</v>
      </c>
      <c r="AG383" t="s">
        <v>3438</v>
      </c>
      <c r="AH383" t="s">
        <v>3439</v>
      </c>
      <c r="AI383" t="s">
        <v>3440</v>
      </c>
    </row>
    <row r="384" spans="2:35" ht="210">
      <c r="B384" s="1">
        <v>46077</v>
      </c>
      <c r="C384" s="1">
        <v>46077</v>
      </c>
      <c r="D384" t="s">
        <v>2390</v>
      </c>
      <c r="E384" t="s">
        <v>2391</v>
      </c>
      <c r="F384">
        <v>10</v>
      </c>
      <c r="G384" t="s">
        <v>2392</v>
      </c>
      <c r="H384" t="s">
        <v>2125</v>
      </c>
      <c r="I384" t="s">
        <v>40</v>
      </c>
      <c r="J384" s="2" t="s">
        <v>41</v>
      </c>
      <c r="K384" t="s">
        <v>42</v>
      </c>
      <c r="L384" t="s">
        <v>933</v>
      </c>
      <c r="N384" t="s">
        <v>934</v>
      </c>
      <c r="Q384">
        <v>32164</v>
      </c>
      <c r="R384" t="s">
        <v>45</v>
      </c>
      <c r="S384" t="s">
        <v>2393</v>
      </c>
      <c r="T384">
        <v>25</v>
      </c>
      <c r="W384" t="s">
        <v>3441</v>
      </c>
      <c r="X384">
        <v>815272</v>
      </c>
      <c r="Y384" s="2" t="s">
        <v>3442</v>
      </c>
      <c r="Z384" t="s">
        <v>301</v>
      </c>
      <c r="AA384" s="2" t="s">
        <v>3443</v>
      </c>
      <c r="AB384" t="s">
        <v>938</v>
      </c>
      <c r="AG384" t="s">
        <v>3444</v>
      </c>
      <c r="AH384" t="s">
        <v>2400</v>
      </c>
      <c r="AI384" t="s">
        <v>3445</v>
      </c>
    </row>
    <row r="385" spans="2:35" ht="195">
      <c r="B385" s="1">
        <v>46077</v>
      </c>
      <c r="C385" s="1">
        <v>46072</v>
      </c>
      <c r="D385" t="s">
        <v>1825</v>
      </c>
      <c r="E385" t="s">
        <v>3446</v>
      </c>
      <c r="F385">
        <v>7</v>
      </c>
      <c r="G385" t="s">
        <v>432</v>
      </c>
      <c r="H385" t="s">
        <v>39</v>
      </c>
      <c r="I385" t="s">
        <v>40</v>
      </c>
      <c r="J385" s="2" t="s">
        <v>62</v>
      </c>
      <c r="K385" t="s">
        <v>42</v>
      </c>
      <c r="L385" t="s">
        <v>433</v>
      </c>
      <c r="N385" t="s">
        <v>434</v>
      </c>
      <c r="Q385">
        <v>32163</v>
      </c>
      <c r="R385" t="s">
        <v>45</v>
      </c>
      <c r="S385" t="s">
        <v>1818</v>
      </c>
      <c r="T385">
        <v>28</v>
      </c>
      <c r="W385" t="s">
        <v>502</v>
      </c>
      <c r="X385">
        <v>120000180</v>
      </c>
      <c r="Y385" s="2" t="s">
        <v>3447</v>
      </c>
      <c r="Z385" s="2" t="s">
        <v>3447</v>
      </c>
      <c r="AA385" s="2" t="s">
        <v>3447</v>
      </c>
      <c r="AB385" s="2" t="s">
        <v>3448</v>
      </c>
      <c r="AG385" t="s">
        <v>3449</v>
      </c>
      <c r="AH385" t="s">
        <v>1823</v>
      </c>
      <c r="AI385" t="s">
        <v>3450</v>
      </c>
    </row>
    <row r="386" spans="2:35" ht="195">
      <c r="B386" s="1">
        <v>46077</v>
      </c>
      <c r="C386" s="1">
        <v>46072</v>
      </c>
      <c r="D386" t="s">
        <v>1825</v>
      </c>
      <c r="E386" t="s">
        <v>3446</v>
      </c>
      <c r="F386">
        <v>7</v>
      </c>
      <c r="G386" t="s">
        <v>432</v>
      </c>
      <c r="H386" t="s">
        <v>39</v>
      </c>
      <c r="I386" t="s">
        <v>40</v>
      </c>
      <c r="J386" s="2" t="s">
        <v>62</v>
      </c>
      <c r="K386" t="s">
        <v>42</v>
      </c>
      <c r="L386" t="s">
        <v>433</v>
      </c>
      <c r="N386" t="s">
        <v>434</v>
      </c>
      <c r="Q386">
        <v>32162</v>
      </c>
      <c r="R386" t="s">
        <v>45</v>
      </c>
      <c r="S386" t="s">
        <v>1818</v>
      </c>
      <c r="T386">
        <v>28</v>
      </c>
      <c r="W386" t="s">
        <v>502</v>
      </c>
      <c r="X386">
        <v>120000180</v>
      </c>
      <c r="Y386" s="2" t="s">
        <v>3447</v>
      </c>
      <c r="Z386" s="2" t="s">
        <v>3447</v>
      </c>
      <c r="AA386" s="2" t="s">
        <v>3447</v>
      </c>
      <c r="AB386" s="2" t="s">
        <v>3448</v>
      </c>
      <c r="AG386" t="s">
        <v>3451</v>
      </c>
      <c r="AH386" t="s">
        <v>1823</v>
      </c>
      <c r="AI386" t="s">
        <v>3452</v>
      </c>
    </row>
    <row r="387" spans="2:35" ht="225">
      <c r="B387" s="1">
        <v>46077</v>
      </c>
      <c r="C387" s="1">
        <v>46073</v>
      </c>
      <c r="D387" t="s">
        <v>3453</v>
      </c>
      <c r="E387" t="s">
        <v>3454</v>
      </c>
      <c r="F387">
        <v>7</v>
      </c>
      <c r="G387" t="s">
        <v>432</v>
      </c>
      <c r="H387" t="s">
        <v>39</v>
      </c>
      <c r="I387" t="s">
        <v>40</v>
      </c>
      <c r="J387" s="2" t="s">
        <v>1370</v>
      </c>
      <c r="K387" t="s">
        <v>42</v>
      </c>
      <c r="L387" t="s">
        <v>610</v>
      </c>
      <c r="N387" t="s">
        <v>611</v>
      </c>
      <c r="Q387">
        <v>32161</v>
      </c>
      <c r="R387" t="s">
        <v>45</v>
      </c>
      <c r="S387" t="s">
        <v>1378</v>
      </c>
      <c r="T387">
        <v>28</v>
      </c>
      <c r="W387" t="s">
        <v>502</v>
      </c>
      <c r="X387">
        <v>805214</v>
      </c>
      <c r="Y387" s="2" t="s">
        <v>3455</v>
      </c>
      <c r="Z387" s="2" t="s">
        <v>3456</v>
      </c>
      <c r="AA387" s="2" t="s">
        <v>3456</v>
      </c>
      <c r="AB387" t="s">
        <v>1011</v>
      </c>
      <c r="AG387" t="s">
        <v>3457</v>
      </c>
      <c r="AH387" t="s">
        <v>1383</v>
      </c>
      <c r="AI387" t="s">
        <v>3458</v>
      </c>
    </row>
    <row r="388" spans="2:35" ht="195">
      <c r="B388" s="1">
        <v>46077</v>
      </c>
      <c r="C388" s="1">
        <v>46077</v>
      </c>
      <c r="D388" t="s">
        <v>3459</v>
      </c>
      <c r="E388" t="s">
        <v>3460</v>
      </c>
      <c r="F388">
        <v>9</v>
      </c>
      <c r="G388" t="s">
        <v>2197</v>
      </c>
      <c r="H388" t="s">
        <v>39</v>
      </c>
      <c r="I388" t="s">
        <v>94</v>
      </c>
      <c r="J388" t="s">
        <v>109</v>
      </c>
      <c r="K388" t="s">
        <v>42</v>
      </c>
      <c r="L388" t="s">
        <v>1257</v>
      </c>
      <c r="N388" t="s">
        <v>1258</v>
      </c>
      <c r="O388" t="s">
        <v>1258</v>
      </c>
      <c r="Q388">
        <v>32160</v>
      </c>
      <c r="R388" t="s">
        <v>45</v>
      </c>
      <c r="S388" t="s">
        <v>3156</v>
      </c>
      <c r="T388">
        <v>27</v>
      </c>
      <c r="U388" s="2" t="s">
        <v>3461</v>
      </c>
      <c r="V388" s="1">
        <v>46077</v>
      </c>
      <c r="W388" t="s">
        <v>1261</v>
      </c>
      <c r="X388">
        <v>807599</v>
      </c>
      <c r="Y388" t="s">
        <v>301</v>
      </c>
      <c r="Z388" t="s">
        <v>3462</v>
      </c>
      <c r="AA388" t="s">
        <v>3462</v>
      </c>
      <c r="AB388" t="s">
        <v>3463</v>
      </c>
      <c r="AC388" t="s">
        <v>301</v>
      </c>
      <c r="AD388" t="s">
        <v>54</v>
      </c>
      <c r="AE388" t="s">
        <v>54</v>
      </c>
      <c r="AG388" t="s">
        <v>3464</v>
      </c>
      <c r="AH388" t="s">
        <v>3163</v>
      </c>
      <c r="AI388" t="s">
        <v>3465</v>
      </c>
    </row>
    <row r="389" spans="2:35" ht="409.5">
      <c r="B389" s="1">
        <v>46077</v>
      </c>
      <c r="C389" s="1">
        <v>46077</v>
      </c>
      <c r="D389" t="s">
        <v>692</v>
      </c>
      <c r="E389" t="s">
        <v>3466</v>
      </c>
      <c r="F389">
        <v>3</v>
      </c>
      <c r="G389" t="s">
        <v>284</v>
      </c>
      <c r="H389" t="s">
        <v>39</v>
      </c>
      <c r="I389" t="s">
        <v>40</v>
      </c>
      <c r="J389" s="2" t="s">
        <v>62</v>
      </c>
      <c r="K389" t="s">
        <v>42</v>
      </c>
      <c r="L389" t="s">
        <v>135</v>
      </c>
      <c r="N389" t="s">
        <v>136</v>
      </c>
      <c r="Q389">
        <v>32159</v>
      </c>
      <c r="R389" t="s">
        <v>119</v>
      </c>
      <c r="S389" t="s">
        <v>695</v>
      </c>
      <c r="T389">
        <v>25</v>
      </c>
      <c r="W389" t="s">
        <v>138</v>
      </c>
      <c r="X389">
        <v>831729</v>
      </c>
      <c r="Y389" t="s">
        <v>67</v>
      </c>
      <c r="Z389" s="2" t="s">
        <v>1752</v>
      </c>
      <c r="AA389" s="2" t="s">
        <v>1753</v>
      </c>
      <c r="AB389" s="2" t="s">
        <v>3467</v>
      </c>
      <c r="AG389" t="s">
        <v>3468</v>
      </c>
      <c r="AH389" t="s">
        <v>700</v>
      </c>
      <c r="AI389" t="s">
        <v>3469</v>
      </c>
    </row>
    <row r="390" spans="2:35" ht="409.5">
      <c r="B390" s="1">
        <v>46076</v>
      </c>
      <c r="C390" s="1">
        <v>46071</v>
      </c>
      <c r="D390" t="s">
        <v>3470</v>
      </c>
      <c r="E390" t="s">
        <v>3471</v>
      </c>
      <c r="F390">
        <v>12</v>
      </c>
      <c r="G390" t="s">
        <v>294</v>
      </c>
      <c r="H390" t="s">
        <v>39</v>
      </c>
      <c r="I390" t="s">
        <v>94</v>
      </c>
      <c r="J390" s="2" t="s">
        <v>41</v>
      </c>
      <c r="K390" t="s">
        <v>42</v>
      </c>
      <c r="L390" t="s">
        <v>296</v>
      </c>
      <c r="N390" t="s">
        <v>297</v>
      </c>
      <c r="Q390">
        <v>32157</v>
      </c>
      <c r="R390" t="s">
        <v>45</v>
      </c>
      <c r="S390" t="s">
        <v>3472</v>
      </c>
      <c r="T390">
        <v>24.6</v>
      </c>
      <c r="U390" s="2" t="s">
        <v>3473</v>
      </c>
      <c r="V390" s="1">
        <v>46071</v>
      </c>
      <c r="W390" t="s">
        <v>981</v>
      </c>
      <c r="X390">
        <v>838159</v>
      </c>
      <c r="Y390" t="s">
        <v>3474</v>
      </c>
      <c r="Z390" s="2" t="s">
        <v>3475</v>
      </c>
      <c r="AA390" s="2" t="s">
        <v>1490</v>
      </c>
      <c r="AB390" t="s">
        <v>972</v>
      </c>
      <c r="AD390" t="s">
        <v>3476</v>
      </c>
      <c r="AE390">
        <v>331870</v>
      </c>
      <c r="AG390" t="s">
        <v>3477</v>
      </c>
      <c r="AH390" t="s">
        <v>3478</v>
      </c>
      <c r="AI390" t="s">
        <v>3479</v>
      </c>
    </row>
    <row r="391" spans="2:35" ht="409.5">
      <c r="B391" s="1">
        <v>46076</v>
      </c>
      <c r="C391" s="1">
        <v>46069</v>
      </c>
      <c r="D391" t="s">
        <v>3480</v>
      </c>
      <c r="E391" t="s">
        <v>3481</v>
      </c>
      <c r="F391">
        <v>12</v>
      </c>
      <c r="G391" t="s">
        <v>978</v>
      </c>
      <c r="H391" t="s">
        <v>39</v>
      </c>
      <c r="I391" t="s">
        <v>94</v>
      </c>
      <c r="J391" s="2" t="s">
        <v>41</v>
      </c>
      <c r="K391" t="s">
        <v>42</v>
      </c>
      <c r="L391" t="s">
        <v>296</v>
      </c>
      <c r="N391" t="s">
        <v>297</v>
      </c>
      <c r="Q391">
        <v>32158</v>
      </c>
      <c r="R391" t="s">
        <v>45</v>
      </c>
      <c r="S391" t="s">
        <v>3482</v>
      </c>
      <c r="T391">
        <v>25.4</v>
      </c>
      <c r="U391" s="2" t="s">
        <v>3483</v>
      </c>
      <c r="V391" s="1">
        <v>46069</v>
      </c>
      <c r="W391" t="s">
        <v>981</v>
      </c>
      <c r="X391">
        <v>815432</v>
      </c>
      <c r="Y391" t="s">
        <v>3484</v>
      </c>
      <c r="Z391" s="2" t="s">
        <v>3485</v>
      </c>
      <c r="AA391" s="2" t="s">
        <v>3486</v>
      </c>
      <c r="AB391" t="s">
        <v>972</v>
      </c>
      <c r="AD391" t="s">
        <v>3487</v>
      </c>
      <c r="AE391">
        <v>331856</v>
      </c>
      <c r="AG391" t="s">
        <v>3488</v>
      </c>
      <c r="AH391" t="s">
        <v>3489</v>
      </c>
      <c r="AI391" t="s">
        <v>3490</v>
      </c>
    </row>
    <row r="392" spans="2:35">
      <c r="B392" s="1">
        <v>46076</v>
      </c>
      <c r="C392" s="1">
        <v>46076</v>
      </c>
      <c r="D392" t="s">
        <v>3491</v>
      </c>
      <c r="E392" t="s">
        <v>3104</v>
      </c>
      <c r="F392">
        <v>6</v>
      </c>
      <c r="G392" t="s">
        <v>1507</v>
      </c>
      <c r="H392" t="s">
        <v>1498</v>
      </c>
      <c r="I392" t="s">
        <v>40</v>
      </c>
      <c r="J392" t="s">
        <v>321</v>
      </c>
      <c r="K392" t="s">
        <v>42</v>
      </c>
      <c r="L392" t="s">
        <v>343</v>
      </c>
      <c r="N392" t="s">
        <v>344</v>
      </c>
      <c r="Q392">
        <v>32156</v>
      </c>
      <c r="R392" t="s">
        <v>322</v>
      </c>
      <c r="S392" t="s">
        <v>3492</v>
      </c>
      <c r="T392">
        <v>26</v>
      </c>
      <c r="V392" s="1">
        <v>46034</v>
      </c>
      <c r="W392" t="s">
        <v>2949</v>
      </c>
      <c r="X392">
        <v>120007067</v>
      </c>
      <c r="Y392" t="s">
        <v>750</v>
      </c>
      <c r="Z392" t="e">
        <f ca="1">-GeneXpert Unit Installation with peripherals</f>
        <v>#NAME?</v>
      </c>
      <c r="AA392" t="s">
        <v>3493</v>
      </c>
      <c r="AB392" t="s">
        <v>1467</v>
      </c>
      <c r="AE392" t="s">
        <v>3494</v>
      </c>
      <c r="AG392" t="s">
        <v>3495</v>
      </c>
      <c r="AH392" t="s">
        <v>3496</v>
      </c>
      <c r="AI392" t="s">
        <v>3497</v>
      </c>
    </row>
    <row r="393" spans="2:35">
      <c r="B393" s="1">
        <v>46076</v>
      </c>
      <c r="C393" s="1">
        <v>46076</v>
      </c>
      <c r="D393" t="s">
        <v>855</v>
      </c>
      <c r="E393" t="s">
        <v>856</v>
      </c>
      <c r="F393" t="s">
        <v>148</v>
      </c>
      <c r="G393" t="s">
        <v>310</v>
      </c>
      <c r="H393" t="s">
        <v>39</v>
      </c>
      <c r="I393" t="s">
        <v>40</v>
      </c>
      <c r="J393" t="s">
        <v>525</v>
      </c>
      <c r="K393" t="s">
        <v>42</v>
      </c>
      <c r="L393" t="s">
        <v>857</v>
      </c>
      <c r="N393" t="s">
        <v>858</v>
      </c>
      <c r="Q393">
        <v>32155</v>
      </c>
      <c r="R393" t="s">
        <v>322</v>
      </c>
      <c r="S393" t="s">
        <v>859</v>
      </c>
      <c r="T393">
        <v>22</v>
      </c>
      <c r="W393" t="s">
        <v>860</v>
      </c>
      <c r="X393">
        <v>809643</v>
      </c>
      <c r="Y393" t="s">
        <v>861</v>
      </c>
      <c r="Z393" t="s">
        <v>862</v>
      </c>
      <c r="AA393" t="s">
        <v>863</v>
      </c>
      <c r="AB393" t="s">
        <v>864</v>
      </c>
      <c r="AG393" t="s">
        <v>3498</v>
      </c>
      <c r="AH393" t="s">
        <v>866</v>
      </c>
      <c r="AI393" t="s">
        <v>3499</v>
      </c>
    </row>
    <row r="394" spans="2:35">
      <c r="B394" s="1">
        <v>46076</v>
      </c>
      <c r="C394" s="1">
        <v>46076</v>
      </c>
      <c r="D394" t="s">
        <v>855</v>
      </c>
      <c r="E394" t="s">
        <v>856</v>
      </c>
      <c r="F394" t="s">
        <v>148</v>
      </c>
      <c r="G394" t="s">
        <v>310</v>
      </c>
      <c r="H394" t="s">
        <v>39</v>
      </c>
      <c r="I394" t="s">
        <v>40</v>
      </c>
      <c r="J394" t="s">
        <v>525</v>
      </c>
      <c r="K394" t="s">
        <v>42</v>
      </c>
      <c r="L394" t="s">
        <v>857</v>
      </c>
      <c r="N394" t="s">
        <v>858</v>
      </c>
      <c r="Q394">
        <v>32154</v>
      </c>
      <c r="R394" t="s">
        <v>322</v>
      </c>
      <c r="S394" t="s">
        <v>859</v>
      </c>
      <c r="T394">
        <v>22</v>
      </c>
      <c r="W394" t="s">
        <v>860</v>
      </c>
      <c r="X394">
        <v>809643</v>
      </c>
      <c r="Y394" t="s">
        <v>861</v>
      </c>
      <c r="Z394" t="s">
        <v>862</v>
      </c>
      <c r="AA394" t="s">
        <v>863</v>
      </c>
      <c r="AB394" t="s">
        <v>864</v>
      </c>
      <c r="AG394" t="s">
        <v>3500</v>
      </c>
      <c r="AH394" t="s">
        <v>866</v>
      </c>
      <c r="AI394" t="s">
        <v>3501</v>
      </c>
    </row>
    <row r="395" spans="2:35" ht="105">
      <c r="B395" s="1">
        <v>46076</v>
      </c>
      <c r="C395" s="1">
        <v>46076</v>
      </c>
      <c r="D395" t="s">
        <v>3502</v>
      </c>
      <c r="E395" t="s">
        <v>3503</v>
      </c>
      <c r="F395">
        <v>6</v>
      </c>
      <c r="G395" t="s">
        <v>1507</v>
      </c>
      <c r="H395" t="s">
        <v>1498</v>
      </c>
      <c r="I395" t="s">
        <v>40</v>
      </c>
      <c r="J395" s="2" t="s">
        <v>190</v>
      </c>
      <c r="K395" t="s">
        <v>42</v>
      </c>
      <c r="L395" t="s">
        <v>343</v>
      </c>
      <c r="N395" t="s">
        <v>344</v>
      </c>
      <c r="Q395">
        <v>32153</v>
      </c>
      <c r="R395" t="s">
        <v>45</v>
      </c>
      <c r="S395" t="s">
        <v>3504</v>
      </c>
      <c r="T395">
        <v>28</v>
      </c>
      <c r="U395" s="2" t="s">
        <v>3505</v>
      </c>
      <c r="W395" t="s">
        <v>1501</v>
      </c>
      <c r="X395">
        <v>815280</v>
      </c>
      <c r="Y395" t="s">
        <v>3506</v>
      </c>
      <c r="Z395" t="s">
        <v>301</v>
      </c>
      <c r="AA395" t="e">
        <f ca="1">-Preventive Maintenance</f>
        <v>#NAME?</v>
      </c>
      <c r="AB395" t="s">
        <v>3507</v>
      </c>
      <c r="AG395" t="s">
        <v>3508</v>
      </c>
      <c r="AH395" t="s">
        <v>3509</v>
      </c>
      <c r="AI395" t="s">
        <v>3510</v>
      </c>
    </row>
    <row r="396" spans="2:35" ht="165">
      <c r="B396" s="1">
        <v>46076</v>
      </c>
      <c r="C396" s="1">
        <v>46064</v>
      </c>
      <c r="D396" t="s">
        <v>837</v>
      </c>
      <c r="E396" t="s">
        <v>838</v>
      </c>
      <c r="F396">
        <v>5</v>
      </c>
      <c r="G396" t="s">
        <v>839</v>
      </c>
      <c r="H396" t="s">
        <v>513</v>
      </c>
      <c r="I396" t="s">
        <v>94</v>
      </c>
      <c r="J396" t="s">
        <v>109</v>
      </c>
      <c r="K396" t="s">
        <v>387</v>
      </c>
      <c r="L396" t="s">
        <v>761</v>
      </c>
      <c r="N396" t="s">
        <v>762</v>
      </c>
      <c r="Q396">
        <v>32152</v>
      </c>
      <c r="R396" t="s">
        <v>322</v>
      </c>
      <c r="S396" t="s">
        <v>3000</v>
      </c>
      <c r="T396">
        <v>25</v>
      </c>
      <c r="W396" t="s">
        <v>390</v>
      </c>
      <c r="X396" t="s">
        <v>847</v>
      </c>
      <c r="Y396" t="s">
        <v>3511</v>
      </c>
      <c r="Z396" s="2" t="s">
        <v>3002</v>
      </c>
      <c r="AA396" t="s">
        <v>820</v>
      </c>
      <c r="AB396" t="s">
        <v>181</v>
      </c>
      <c r="AG396" t="s">
        <v>3512</v>
      </c>
      <c r="AH396" t="s">
        <v>3004</v>
      </c>
      <c r="AI396" t="s">
        <v>3513</v>
      </c>
    </row>
    <row r="397" spans="2:35" ht="240">
      <c r="B397" s="1">
        <v>46076</v>
      </c>
      <c r="C397" s="1">
        <v>46064</v>
      </c>
      <c r="D397" t="s">
        <v>837</v>
      </c>
      <c r="E397" t="s">
        <v>838</v>
      </c>
      <c r="F397">
        <v>5</v>
      </c>
      <c r="G397" t="s">
        <v>839</v>
      </c>
      <c r="H397" t="s">
        <v>513</v>
      </c>
      <c r="I397" t="s">
        <v>94</v>
      </c>
      <c r="J397" s="2" t="s">
        <v>190</v>
      </c>
      <c r="K397" t="s">
        <v>387</v>
      </c>
      <c r="L397" t="s">
        <v>761</v>
      </c>
      <c r="N397" t="s">
        <v>762</v>
      </c>
      <c r="Q397">
        <v>32151</v>
      </c>
      <c r="R397" t="s">
        <v>322</v>
      </c>
      <c r="S397" t="s">
        <v>3000</v>
      </c>
      <c r="T397">
        <v>25</v>
      </c>
      <c r="W397" t="s">
        <v>390</v>
      </c>
      <c r="X397" t="s">
        <v>3514</v>
      </c>
      <c r="Y397" t="s">
        <v>3515</v>
      </c>
      <c r="Z397" s="2" t="s">
        <v>3516</v>
      </c>
      <c r="AA397" s="2" t="s">
        <v>3517</v>
      </c>
      <c r="AB397" s="2" t="s">
        <v>3518</v>
      </c>
      <c r="AG397" t="s">
        <v>3519</v>
      </c>
      <c r="AH397" t="s">
        <v>3004</v>
      </c>
      <c r="AI397" t="s">
        <v>3520</v>
      </c>
    </row>
    <row r="398" spans="2:35" ht="105">
      <c r="B398" s="1">
        <v>46076</v>
      </c>
      <c r="C398" s="1">
        <v>46076</v>
      </c>
      <c r="D398" t="s">
        <v>3521</v>
      </c>
      <c r="E398" t="s">
        <v>3522</v>
      </c>
      <c r="F398">
        <v>7</v>
      </c>
      <c r="G398" t="s">
        <v>269</v>
      </c>
      <c r="H398" t="s">
        <v>39</v>
      </c>
      <c r="I398" t="s">
        <v>40</v>
      </c>
      <c r="J398" s="2" t="s">
        <v>41</v>
      </c>
      <c r="K398" t="s">
        <v>42</v>
      </c>
      <c r="L398" t="s">
        <v>270</v>
      </c>
      <c r="N398" t="s">
        <v>2481</v>
      </c>
      <c r="Q398">
        <v>32150</v>
      </c>
      <c r="R398" t="s">
        <v>967</v>
      </c>
      <c r="S398" t="s">
        <v>3523</v>
      </c>
      <c r="T398">
        <v>25</v>
      </c>
      <c r="U398" s="2" t="s">
        <v>3524</v>
      </c>
      <c r="V398" s="1">
        <v>46064</v>
      </c>
      <c r="W398" t="s">
        <v>2484</v>
      </c>
      <c r="X398">
        <v>110023502</v>
      </c>
      <c r="Y398" t="s">
        <v>3525</v>
      </c>
      <c r="Z398" t="s">
        <v>449</v>
      </c>
      <c r="AA398" t="s">
        <v>3526</v>
      </c>
      <c r="AB398" t="s">
        <v>3527</v>
      </c>
      <c r="AD398" t="s">
        <v>3528</v>
      </c>
      <c r="AE398" t="s">
        <v>3529</v>
      </c>
      <c r="AG398" t="s">
        <v>3530</v>
      </c>
      <c r="AH398" t="s">
        <v>3531</v>
      </c>
      <c r="AI398" t="s">
        <v>3532</v>
      </c>
    </row>
    <row r="399" spans="2:35" ht="270">
      <c r="B399" s="1">
        <v>46076</v>
      </c>
      <c r="C399" s="1">
        <v>46037</v>
      </c>
      <c r="D399" t="s">
        <v>107</v>
      </c>
      <c r="E399" t="s">
        <v>3533</v>
      </c>
      <c r="F399" t="s">
        <v>37</v>
      </c>
      <c r="G399" t="s">
        <v>38</v>
      </c>
      <c r="H399" t="s">
        <v>39</v>
      </c>
      <c r="I399" t="s">
        <v>40</v>
      </c>
      <c r="J399" t="s">
        <v>109</v>
      </c>
      <c r="K399" t="s">
        <v>42</v>
      </c>
      <c r="L399" t="s">
        <v>43</v>
      </c>
      <c r="N399" t="s">
        <v>44</v>
      </c>
      <c r="Q399">
        <v>32149</v>
      </c>
      <c r="R399" t="s">
        <v>119</v>
      </c>
      <c r="S399" t="s">
        <v>111</v>
      </c>
      <c r="T399">
        <v>22</v>
      </c>
      <c r="U399" s="2" t="s">
        <v>3534</v>
      </c>
      <c r="W399" t="s">
        <v>48</v>
      </c>
      <c r="X399">
        <v>831623</v>
      </c>
      <c r="Y399" t="s">
        <v>121</v>
      </c>
      <c r="Z399" t="s">
        <v>122</v>
      </c>
      <c r="AA399" s="2" t="s">
        <v>3535</v>
      </c>
      <c r="AB399" t="s">
        <v>548</v>
      </c>
      <c r="AG399" t="s">
        <v>3536</v>
      </c>
      <c r="AH399" t="s">
        <v>117</v>
      </c>
      <c r="AI399" t="s">
        <v>3537</v>
      </c>
    </row>
    <row r="400" spans="2:35" ht="225">
      <c r="B400" s="1">
        <v>46076</v>
      </c>
      <c r="C400" s="1">
        <v>46037</v>
      </c>
      <c r="D400" t="s">
        <v>107</v>
      </c>
      <c r="E400" t="s">
        <v>3533</v>
      </c>
      <c r="F400" t="s">
        <v>37</v>
      </c>
      <c r="G400" t="s">
        <v>38</v>
      </c>
      <c r="H400" t="s">
        <v>39</v>
      </c>
      <c r="I400" t="s">
        <v>40</v>
      </c>
      <c r="J400" t="s">
        <v>109</v>
      </c>
      <c r="K400" t="s">
        <v>42</v>
      </c>
      <c r="L400" t="s">
        <v>43</v>
      </c>
      <c r="N400" t="s">
        <v>44</v>
      </c>
      <c r="Q400">
        <v>32148</v>
      </c>
      <c r="R400" t="s">
        <v>45</v>
      </c>
      <c r="S400" t="s">
        <v>111</v>
      </c>
      <c r="T400">
        <v>22</v>
      </c>
      <c r="U400" s="2" t="s">
        <v>3538</v>
      </c>
      <c r="W400" t="s">
        <v>48</v>
      </c>
      <c r="X400">
        <v>804687</v>
      </c>
      <c r="Y400" t="s">
        <v>121</v>
      </c>
      <c r="Z400" t="s">
        <v>122</v>
      </c>
      <c r="AA400" s="2" t="s">
        <v>3535</v>
      </c>
      <c r="AB400" t="s">
        <v>3539</v>
      </c>
      <c r="AG400" t="s">
        <v>3540</v>
      </c>
      <c r="AH400" t="s">
        <v>117</v>
      </c>
      <c r="AI400" t="s">
        <v>3541</v>
      </c>
    </row>
    <row r="401" spans="2:35" ht="270">
      <c r="B401" s="1">
        <v>46076</v>
      </c>
      <c r="C401" s="1">
        <v>46037</v>
      </c>
      <c r="D401" t="s">
        <v>107</v>
      </c>
      <c r="E401" t="s">
        <v>3533</v>
      </c>
      <c r="F401" t="s">
        <v>37</v>
      </c>
      <c r="G401" t="s">
        <v>38</v>
      </c>
      <c r="H401" t="s">
        <v>39</v>
      </c>
      <c r="I401" t="s">
        <v>40</v>
      </c>
      <c r="J401" t="s">
        <v>109</v>
      </c>
      <c r="K401" t="s">
        <v>42</v>
      </c>
      <c r="L401" t="s">
        <v>43</v>
      </c>
      <c r="N401" t="s">
        <v>44</v>
      </c>
      <c r="Q401">
        <v>32147</v>
      </c>
      <c r="R401" t="s">
        <v>45</v>
      </c>
      <c r="S401" t="s">
        <v>111</v>
      </c>
      <c r="T401">
        <v>22</v>
      </c>
      <c r="U401" s="2" t="s">
        <v>3542</v>
      </c>
      <c r="W401" t="s">
        <v>48</v>
      </c>
      <c r="X401">
        <v>838182</v>
      </c>
      <c r="Y401" t="s">
        <v>121</v>
      </c>
      <c r="Z401" t="s">
        <v>122</v>
      </c>
      <c r="AA401" s="2" t="s">
        <v>3535</v>
      </c>
      <c r="AB401" t="s">
        <v>3543</v>
      </c>
      <c r="AG401" t="s">
        <v>3544</v>
      </c>
      <c r="AH401" t="s">
        <v>3545</v>
      </c>
      <c r="AI401" t="s">
        <v>3546</v>
      </c>
    </row>
    <row r="402" spans="2:35" ht="270">
      <c r="B402" s="1">
        <v>46076</v>
      </c>
      <c r="C402" s="1">
        <v>46072</v>
      </c>
      <c r="D402" t="s">
        <v>3547</v>
      </c>
      <c r="E402" t="s">
        <v>3548</v>
      </c>
      <c r="F402" t="s">
        <v>37</v>
      </c>
      <c r="G402" t="s">
        <v>38</v>
      </c>
      <c r="H402" t="s">
        <v>39</v>
      </c>
      <c r="I402" t="s">
        <v>40</v>
      </c>
      <c r="J402" s="2" t="s">
        <v>62</v>
      </c>
      <c r="K402" t="s">
        <v>42</v>
      </c>
      <c r="L402" t="s">
        <v>43</v>
      </c>
      <c r="N402" t="s">
        <v>44</v>
      </c>
      <c r="Q402">
        <v>32146</v>
      </c>
      <c r="R402" t="s">
        <v>119</v>
      </c>
      <c r="S402" t="s">
        <v>3549</v>
      </c>
      <c r="T402">
        <v>24</v>
      </c>
      <c r="U402" s="2" t="s">
        <v>3550</v>
      </c>
      <c r="W402" t="s">
        <v>48</v>
      </c>
      <c r="X402">
        <v>820184</v>
      </c>
      <c r="Y402" t="s">
        <v>1111</v>
      </c>
      <c r="Z402" t="s">
        <v>999</v>
      </c>
      <c r="AA402" s="2" t="s">
        <v>3551</v>
      </c>
      <c r="AB402" t="s">
        <v>1521</v>
      </c>
      <c r="AG402" t="s">
        <v>3552</v>
      </c>
      <c r="AH402" t="s">
        <v>3553</v>
      </c>
      <c r="AI402" t="s">
        <v>3554</v>
      </c>
    </row>
    <row r="403" spans="2:35" ht="225">
      <c r="B403" s="1">
        <v>46076</v>
      </c>
      <c r="C403" s="1">
        <v>46072</v>
      </c>
      <c r="D403" t="s">
        <v>2148</v>
      </c>
      <c r="E403" t="s">
        <v>2149</v>
      </c>
      <c r="F403" t="s">
        <v>37</v>
      </c>
      <c r="G403" t="s">
        <v>38</v>
      </c>
      <c r="H403" t="s">
        <v>39</v>
      </c>
      <c r="I403" t="s">
        <v>40</v>
      </c>
      <c r="J403" t="s">
        <v>109</v>
      </c>
      <c r="K403" t="s">
        <v>42</v>
      </c>
      <c r="L403" t="s">
        <v>43</v>
      </c>
      <c r="N403" t="s">
        <v>44</v>
      </c>
      <c r="Q403">
        <v>32145</v>
      </c>
      <c r="R403" t="s">
        <v>119</v>
      </c>
      <c r="S403" t="s">
        <v>3555</v>
      </c>
      <c r="T403">
        <v>24</v>
      </c>
      <c r="U403" s="2" t="s">
        <v>3556</v>
      </c>
      <c r="W403" t="s">
        <v>48</v>
      </c>
      <c r="X403">
        <v>820710</v>
      </c>
      <c r="Y403" t="s">
        <v>121</v>
      </c>
      <c r="Z403" t="s">
        <v>122</v>
      </c>
      <c r="AA403" s="2" t="s">
        <v>3557</v>
      </c>
      <c r="AB403" t="s">
        <v>548</v>
      </c>
      <c r="AG403" t="s">
        <v>3558</v>
      </c>
      <c r="AH403" t="s">
        <v>3559</v>
      </c>
      <c r="AI403" t="s">
        <v>3560</v>
      </c>
    </row>
    <row r="404" spans="2:35" ht="165">
      <c r="B404" s="1">
        <v>46076</v>
      </c>
      <c r="C404" s="1">
        <v>46038</v>
      </c>
      <c r="D404" t="s">
        <v>985</v>
      </c>
      <c r="E404" t="s">
        <v>3561</v>
      </c>
      <c r="F404" t="s">
        <v>148</v>
      </c>
      <c r="G404" t="s">
        <v>785</v>
      </c>
      <c r="H404" t="s">
        <v>39</v>
      </c>
      <c r="I404" t="s">
        <v>40</v>
      </c>
      <c r="J404" t="s">
        <v>525</v>
      </c>
      <c r="K404" t="s">
        <v>42</v>
      </c>
      <c r="L404" t="s">
        <v>43</v>
      </c>
      <c r="N404" t="s">
        <v>44</v>
      </c>
      <c r="Q404">
        <v>32144</v>
      </c>
      <c r="R404" t="s">
        <v>45</v>
      </c>
      <c r="S404" t="s">
        <v>3562</v>
      </c>
      <c r="T404">
        <v>24</v>
      </c>
      <c r="W404" t="s">
        <v>48</v>
      </c>
      <c r="X404">
        <v>805010</v>
      </c>
      <c r="Y404" t="s">
        <v>3563</v>
      </c>
      <c r="Z404" t="s">
        <v>2322</v>
      </c>
      <c r="AA404" s="2" t="s">
        <v>3564</v>
      </c>
      <c r="AB404" t="s">
        <v>3565</v>
      </c>
      <c r="AG404" t="s">
        <v>3566</v>
      </c>
      <c r="AH404" t="s">
        <v>3567</v>
      </c>
      <c r="AI404" t="s">
        <v>3568</v>
      </c>
    </row>
    <row r="405" spans="2:35" ht="165">
      <c r="B405" s="1">
        <v>46073</v>
      </c>
      <c r="C405" s="1">
        <v>46073</v>
      </c>
      <c r="D405" t="s">
        <v>3569</v>
      </c>
      <c r="E405" t="s">
        <v>3570</v>
      </c>
      <c r="F405">
        <v>3</v>
      </c>
      <c r="G405" t="s">
        <v>174</v>
      </c>
      <c r="H405" t="s">
        <v>39</v>
      </c>
      <c r="I405" t="s">
        <v>40</v>
      </c>
      <c r="J405" s="2" t="s">
        <v>62</v>
      </c>
      <c r="K405" t="s">
        <v>42</v>
      </c>
      <c r="L405" t="s">
        <v>175</v>
      </c>
      <c r="N405" t="s">
        <v>176</v>
      </c>
      <c r="Q405">
        <v>32143</v>
      </c>
      <c r="R405" t="s">
        <v>45</v>
      </c>
      <c r="S405" t="s">
        <v>3571</v>
      </c>
      <c r="T405">
        <v>28</v>
      </c>
      <c r="W405" t="s">
        <v>84</v>
      </c>
      <c r="X405">
        <v>807624</v>
      </c>
      <c r="Y405" t="s">
        <v>998</v>
      </c>
      <c r="Z405" s="2" t="s">
        <v>3142</v>
      </c>
      <c r="AA405" t="e">
        <f ca="1">- checked _xludf.and cleaned cartridge bay, plunger rod, _xludf.filter, icore slot
- performed XpertCheck
- generated reports
- performed self test</f>
        <v>#NAME?</v>
      </c>
      <c r="AB405" s="2" t="s">
        <v>3572</v>
      </c>
      <c r="AG405" t="s">
        <v>3573</v>
      </c>
      <c r="AH405" t="s">
        <v>3574</v>
      </c>
      <c r="AI405" t="s">
        <v>3575</v>
      </c>
    </row>
    <row r="406" spans="2:35" ht="210">
      <c r="B406" s="1">
        <v>46073</v>
      </c>
      <c r="C406" s="1">
        <v>46073</v>
      </c>
      <c r="D406" t="s">
        <v>3576</v>
      </c>
      <c r="E406" t="s">
        <v>1456</v>
      </c>
      <c r="F406" t="s">
        <v>511</v>
      </c>
      <c r="G406" t="s">
        <v>512</v>
      </c>
      <c r="H406" t="s">
        <v>513</v>
      </c>
      <c r="I406" t="s">
        <v>40</v>
      </c>
      <c r="J406" t="s">
        <v>79</v>
      </c>
      <c r="K406" t="s">
        <v>387</v>
      </c>
      <c r="L406" t="s">
        <v>80</v>
      </c>
      <c r="N406" t="s">
        <v>81</v>
      </c>
      <c r="O406" t="s">
        <v>3577</v>
      </c>
      <c r="Q406">
        <v>32142</v>
      </c>
      <c r="R406" t="s">
        <v>322</v>
      </c>
      <c r="S406" t="s">
        <v>3578</v>
      </c>
      <c r="T406">
        <v>28</v>
      </c>
      <c r="V406" s="1">
        <v>46073</v>
      </c>
      <c r="W406" t="s">
        <v>476</v>
      </c>
      <c r="X406" t="s">
        <v>3579</v>
      </c>
      <c r="Y406" t="s">
        <v>3580</v>
      </c>
      <c r="Z406" s="2" t="s">
        <v>3581</v>
      </c>
      <c r="AA406" s="2" t="s">
        <v>3582</v>
      </c>
      <c r="AB406" t="s">
        <v>88</v>
      </c>
      <c r="AC406" t="s">
        <v>103</v>
      </c>
      <c r="AD406" t="s">
        <v>103</v>
      </c>
      <c r="AE406" t="s">
        <v>103</v>
      </c>
      <c r="AG406" t="s">
        <v>3583</v>
      </c>
      <c r="AH406" t="s">
        <v>3584</v>
      </c>
      <c r="AI406" t="s">
        <v>3585</v>
      </c>
    </row>
    <row r="407" spans="2:35" ht="210">
      <c r="B407" s="1">
        <v>46073</v>
      </c>
      <c r="C407" s="1">
        <v>46073</v>
      </c>
      <c r="D407" t="s">
        <v>3586</v>
      </c>
      <c r="E407" t="s">
        <v>3587</v>
      </c>
      <c r="F407" t="s">
        <v>148</v>
      </c>
      <c r="G407" t="s">
        <v>2007</v>
      </c>
      <c r="H407" t="s">
        <v>3588</v>
      </c>
      <c r="I407" t="s">
        <v>40</v>
      </c>
      <c r="J407" t="s">
        <v>3589</v>
      </c>
      <c r="K407" t="s">
        <v>42</v>
      </c>
      <c r="L407" t="s">
        <v>43</v>
      </c>
      <c r="N407" t="s">
        <v>44</v>
      </c>
      <c r="Q407">
        <v>32141</v>
      </c>
      <c r="R407" t="s">
        <v>119</v>
      </c>
      <c r="S407" t="s">
        <v>2312</v>
      </c>
      <c r="T407">
        <v>22</v>
      </c>
      <c r="W407" t="s">
        <v>48</v>
      </c>
      <c r="X407">
        <v>831712</v>
      </c>
      <c r="Y407" t="s">
        <v>3590</v>
      </c>
      <c r="Z407" t="s">
        <v>3591</v>
      </c>
      <c r="AA407" s="2" t="s">
        <v>3592</v>
      </c>
      <c r="AB407" t="s">
        <v>3593</v>
      </c>
      <c r="AG407" t="s">
        <v>3594</v>
      </c>
      <c r="AH407" t="s">
        <v>3595</v>
      </c>
      <c r="AI407" t="s">
        <v>3596</v>
      </c>
    </row>
    <row r="408" spans="2:35" ht="120">
      <c r="B408" s="1">
        <v>46073</v>
      </c>
      <c r="C408" s="1">
        <v>46073</v>
      </c>
      <c r="D408" t="s">
        <v>3597</v>
      </c>
      <c r="E408" t="s">
        <v>3587</v>
      </c>
      <c r="F408" t="s">
        <v>148</v>
      </c>
      <c r="G408" t="s">
        <v>2007</v>
      </c>
      <c r="H408" t="s">
        <v>3598</v>
      </c>
      <c r="I408" t="s">
        <v>40</v>
      </c>
      <c r="J408" t="s">
        <v>109</v>
      </c>
      <c r="K408" t="s">
        <v>42</v>
      </c>
      <c r="L408" t="s">
        <v>43</v>
      </c>
      <c r="N408" t="s">
        <v>44</v>
      </c>
      <c r="Q408">
        <v>32140</v>
      </c>
      <c r="R408" t="s">
        <v>45</v>
      </c>
      <c r="S408" t="s">
        <v>2312</v>
      </c>
      <c r="T408">
        <v>24</v>
      </c>
      <c r="W408" t="s">
        <v>48</v>
      </c>
      <c r="X408">
        <v>807591</v>
      </c>
      <c r="Y408" t="s">
        <v>3590</v>
      </c>
      <c r="Z408" t="s">
        <v>3599</v>
      </c>
      <c r="AA408" s="2" t="s">
        <v>3600</v>
      </c>
      <c r="AB408" t="s">
        <v>3601</v>
      </c>
      <c r="AG408" t="s">
        <v>3602</v>
      </c>
      <c r="AH408" t="s">
        <v>3595</v>
      </c>
      <c r="AI408" t="s">
        <v>3603</v>
      </c>
    </row>
    <row r="409" spans="2:35" ht="270">
      <c r="B409" s="1">
        <v>46073</v>
      </c>
      <c r="C409" s="1">
        <v>46073</v>
      </c>
      <c r="D409" t="s">
        <v>3604</v>
      </c>
      <c r="E409" t="s">
        <v>3605</v>
      </c>
      <c r="F409" t="s">
        <v>148</v>
      </c>
      <c r="G409" t="s">
        <v>2007</v>
      </c>
      <c r="H409" t="s">
        <v>39</v>
      </c>
      <c r="I409" t="s">
        <v>40</v>
      </c>
      <c r="J409" s="2" t="s">
        <v>62</v>
      </c>
      <c r="K409" t="s">
        <v>42</v>
      </c>
      <c r="L409" t="s">
        <v>43</v>
      </c>
      <c r="N409" t="s">
        <v>44</v>
      </c>
      <c r="Q409">
        <v>32138</v>
      </c>
      <c r="R409" t="s">
        <v>119</v>
      </c>
      <c r="S409" t="s">
        <v>3606</v>
      </c>
      <c r="T409">
        <v>24</v>
      </c>
      <c r="U409" s="2" t="s">
        <v>3607</v>
      </c>
      <c r="W409" t="s">
        <v>48</v>
      </c>
      <c r="X409">
        <v>831875</v>
      </c>
      <c r="Y409" t="s">
        <v>1111</v>
      </c>
      <c r="Z409" t="s">
        <v>999</v>
      </c>
      <c r="AA409" s="2" t="s">
        <v>3608</v>
      </c>
      <c r="AB409" t="s">
        <v>1521</v>
      </c>
      <c r="AG409" t="s">
        <v>3609</v>
      </c>
      <c r="AH409" t="s">
        <v>3610</v>
      </c>
      <c r="AI409" t="s">
        <v>3611</v>
      </c>
    </row>
    <row r="410" spans="2:35" ht="225">
      <c r="B410" s="1">
        <v>46073</v>
      </c>
      <c r="C410" s="1">
        <v>46073</v>
      </c>
      <c r="D410" t="s">
        <v>3604</v>
      </c>
      <c r="E410" t="s">
        <v>3605</v>
      </c>
      <c r="F410" t="s">
        <v>148</v>
      </c>
      <c r="G410" t="s">
        <v>2007</v>
      </c>
      <c r="H410" t="s">
        <v>39</v>
      </c>
      <c r="I410" t="s">
        <v>40</v>
      </c>
      <c r="J410" t="s">
        <v>109</v>
      </c>
      <c r="K410" t="s">
        <v>42</v>
      </c>
      <c r="L410" t="s">
        <v>43</v>
      </c>
      <c r="N410" t="s">
        <v>44</v>
      </c>
      <c r="Q410">
        <v>32139</v>
      </c>
      <c r="R410" t="s">
        <v>45</v>
      </c>
      <c r="S410" t="s">
        <v>3606</v>
      </c>
      <c r="T410">
        <v>24</v>
      </c>
      <c r="W410" t="s">
        <v>153</v>
      </c>
      <c r="X410">
        <v>120000499</v>
      </c>
      <c r="Y410" t="s">
        <v>121</v>
      </c>
      <c r="Z410" t="s">
        <v>122</v>
      </c>
      <c r="AA410" s="2" t="s">
        <v>2019</v>
      </c>
      <c r="AB410" t="s">
        <v>548</v>
      </c>
      <c r="AG410" t="s">
        <v>3612</v>
      </c>
      <c r="AH410" t="s">
        <v>3613</v>
      </c>
      <c r="AI410" t="s">
        <v>3614</v>
      </c>
    </row>
    <row r="411" spans="2:35" ht="105">
      <c r="B411" s="1">
        <v>46073</v>
      </c>
      <c r="C411" s="1">
        <v>46073</v>
      </c>
      <c r="D411" t="s">
        <v>3615</v>
      </c>
      <c r="E411" t="s">
        <v>3616</v>
      </c>
      <c r="F411">
        <v>3</v>
      </c>
      <c r="G411" t="s">
        <v>174</v>
      </c>
      <c r="H411" t="s">
        <v>39</v>
      </c>
      <c r="I411" t="s">
        <v>40</v>
      </c>
      <c r="J411" s="2" t="s">
        <v>62</v>
      </c>
      <c r="K411" t="s">
        <v>42</v>
      </c>
      <c r="L411" t="s">
        <v>175</v>
      </c>
      <c r="N411" t="s">
        <v>176</v>
      </c>
      <c r="Q411">
        <v>32137</v>
      </c>
      <c r="R411" t="s">
        <v>119</v>
      </c>
      <c r="S411" t="s">
        <v>3617</v>
      </c>
      <c r="T411">
        <v>27</v>
      </c>
      <c r="W411" t="s">
        <v>84</v>
      </c>
      <c r="X411">
        <v>831641</v>
      </c>
      <c r="Y411" t="s">
        <v>998</v>
      </c>
      <c r="Z411" s="2" t="s">
        <v>3142</v>
      </c>
      <c r="AA411" t="e">
        <f ca="1">- checked _xludf.and cleaned cartridge bay, plunger rod, _xludf.filter, icore slot
- performed XpertCheck
- generated reports
- performed self test</f>
        <v>#NAME?</v>
      </c>
      <c r="AB411" s="2" t="s">
        <v>3618</v>
      </c>
      <c r="AG411" t="s">
        <v>3619</v>
      </c>
      <c r="AH411" t="s">
        <v>3620</v>
      </c>
      <c r="AI411" t="s">
        <v>3621</v>
      </c>
    </row>
    <row r="412" spans="2:35" ht="300">
      <c r="B412" s="1">
        <v>46073</v>
      </c>
      <c r="C412" s="1">
        <v>46073</v>
      </c>
      <c r="D412" t="s">
        <v>702</v>
      </c>
      <c r="E412" t="s">
        <v>3622</v>
      </c>
      <c r="F412" t="s">
        <v>148</v>
      </c>
      <c r="G412" t="s">
        <v>230</v>
      </c>
      <c r="H412" t="s">
        <v>39</v>
      </c>
      <c r="I412" t="s">
        <v>40</v>
      </c>
      <c r="J412" s="2" t="s">
        <v>62</v>
      </c>
      <c r="K412" t="s">
        <v>42</v>
      </c>
      <c r="L412" t="s">
        <v>448</v>
      </c>
      <c r="N412" t="s">
        <v>450</v>
      </c>
      <c r="Q412">
        <v>32136</v>
      </c>
      <c r="R412" t="s">
        <v>322</v>
      </c>
      <c r="S412" t="s">
        <v>704</v>
      </c>
      <c r="T412">
        <v>28</v>
      </c>
      <c r="U412" s="2" t="s">
        <v>3623</v>
      </c>
      <c r="V412" s="1">
        <v>46071</v>
      </c>
      <c r="W412" t="s">
        <v>453</v>
      </c>
      <c r="X412">
        <v>110008420</v>
      </c>
      <c r="Y412" s="2" t="s">
        <v>3624</v>
      </c>
      <c r="Z412" s="2" t="s">
        <v>3625</v>
      </c>
      <c r="AA412" s="2" t="s">
        <v>3626</v>
      </c>
      <c r="AB412" s="2" t="s">
        <v>3627</v>
      </c>
      <c r="AD412" t="s">
        <v>3628</v>
      </c>
      <c r="AE412">
        <v>102168</v>
      </c>
      <c r="AG412" t="s">
        <v>3629</v>
      </c>
      <c r="AH412" t="s">
        <v>709</v>
      </c>
      <c r="AI412" t="s">
        <v>3630</v>
      </c>
    </row>
    <row r="413" spans="2:35" ht="270">
      <c r="B413" s="1">
        <v>46073</v>
      </c>
      <c r="C413" s="1">
        <v>46073</v>
      </c>
      <c r="D413" t="s">
        <v>702</v>
      </c>
      <c r="E413" t="s">
        <v>3631</v>
      </c>
      <c r="F413" t="s">
        <v>148</v>
      </c>
      <c r="G413" t="s">
        <v>230</v>
      </c>
      <c r="H413" t="s">
        <v>39</v>
      </c>
      <c r="I413" t="s">
        <v>40</v>
      </c>
      <c r="J413" s="2" t="s">
        <v>62</v>
      </c>
      <c r="K413" t="s">
        <v>42</v>
      </c>
      <c r="L413" t="s">
        <v>448</v>
      </c>
      <c r="N413" t="s">
        <v>450</v>
      </c>
      <c r="Q413">
        <v>32135</v>
      </c>
      <c r="R413" t="s">
        <v>322</v>
      </c>
      <c r="S413" t="s">
        <v>704</v>
      </c>
      <c r="T413">
        <v>30</v>
      </c>
      <c r="U413" s="2" t="s">
        <v>3632</v>
      </c>
      <c r="V413" s="1">
        <v>46071</v>
      </c>
      <c r="W413" t="s">
        <v>453</v>
      </c>
      <c r="X413">
        <v>110008415</v>
      </c>
      <c r="Y413" s="2" t="s">
        <v>3633</v>
      </c>
      <c r="Z413" s="2" t="s">
        <v>3625</v>
      </c>
      <c r="AA413" s="2" t="s">
        <v>3634</v>
      </c>
      <c r="AB413" s="2" t="s">
        <v>3635</v>
      </c>
      <c r="AD413" t="s">
        <v>3628</v>
      </c>
      <c r="AE413">
        <v>102168</v>
      </c>
      <c r="AG413" t="s">
        <v>3636</v>
      </c>
      <c r="AH413" t="s">
        <v>3637</v>
      </c>
      <c r="AI413" t="s">
        <v>3638</v>
      </c>
    </row>
    <row r="414" spans="2:35" ht="165">
      <c r="B414" s="1">
        <v>46072</v>
      </c>
      <c r="C414" s="1">
        <v>46072</v>
      </c>
      <c r="D414" t="s">
        <v>3639</v>
      </c>
      <c r="E414" t="s">
        <v>309</v>
      </c>
      <c r="F414" t="s">
        <v>148</v>
      </c>
      <c r="G414" t="s">
        <v>310</v>
      </c>
      <c r="H414" t="s">
        <v>39</v>
      </c>
      <c r="I414" t="s">
        <v>40</v>
      </c>
      <c r="J414" s="2" t="s">
        <v>62</v>
      </c>
      <c r="K414" t="s">
        <v>42</v>
      </c>
      <c r="L414" t="s">
        <v>175</v>
      </c>
      <c r="N414" t="s">
        <v>176</v>
      </c>
      <c r="Q414">
        <v>32134</v>
      </c>
      <c r="R414" t="s">
        <v>322</v>
      </c>
      <c r="S414" t="s">
        <v>3640</v>
      </c>
      <c r="T414">
        <v>27</v>
      </c>
      <c r="W414" t="s">
        <v>84</v>
      </c>
      <c r="X414">
        <v>847726</v>
      </c>
      <c r="Y414" t="s">
        <v>998</v>
      </c>
      <c r="Z414" s="2" t="s">
        <v>3641</v>
      </c>
      <c r="AA414" t="e">
        <f ca="1">- checked _xludf.and cleaned cartridge bay, plunger rod, _xludf.filter, icore slot
- performed XpertCheck
- generated reports
- performed self test</f>
        <v>#NAME?</v>
      </c>
      <c r="AB414" s="2" t="s">
        <v>3642</v>
      </c>
      <c r="AG414" t="s">
        <v>3643</v>
      </c>
      <c r="AH414" t="s">
        <v>3644</v>
      </c>
      <c r="AI414" t="s">
        <v>3645</v>
      </c>
    </row>
    <row r="415" spans="2:35" ht="165">
      <c r="B415" s="1">
        <v>46072</v>
      </c>
      <c r="C415" s="1">
        <v>46072</v>
      </c>
      <c r="D415" t="s">
        <v>228</v>
      </c>
      <c r="E415" t="s">
        <v>229</v>
      </c>
      <c r="F415" t="s">
        <v>148</v>
      </c>
      <c r="G415" t="s">
        <v>230</v>
      </c>
      <c r="H415" t="s">
        <v>39</v>
      </c>
      <c r="I415" t="s">
        <v>40</v>
      </c>
      <c r="J415" s="2" t="s">
        <v>62</v>
      </c>
      <c r="K415" t="s">
        <v>42</v>
      </c>
      <c r="L415" t="s">
        <v>175</v>
      </c>
      <c r="N415" t="s">
        <v>176</v>
      </c>
      <c r="O415" t="s">
        <v>3646</v>
      </c>
      <c r="Q415">
        <v>32133</v>
      </c>
      <c r="R415" t="s">
        <v>45</v>
      </c>
      <c r="S415" t="s">
        <v>231</v>
      </c>
      <c r="T415">
        <v>23</v>
      </c>
      <c r="W415" t="s">
        <v>84</v>
      </c>
      <c r="X415">
        <v>831596</v>
      </c>
      <c r="Y415" t="s">
        <v>998</v>
      </c>
      <c r="Z415" s="2" t="s">
        <v>3236</v>
      </c>
      <c r="AA415" t="e">
        <f ca="1">- checked _xludf.and cleaned cartridge bay, plunger rod, _xludf.filter, icore slot
- performed XpertCheck
- generated reports
- performed self test</f>
        <v>#NAME?</v>
      </c>
      <c r="AB415" s="2" t="s">
        <v>3647</v>
      </c>
      <c r="AG415" t="s">
        <v>3648</v>
      </c>
      <c r="AH415" t="s">
        <v>3649</v>
      </c>
      <c r="AI415" t="s">
        <v>3650</v>
      </c>
    </row>
    <row r="416" spans="2:35" ht="180">
      <c r="B416" s="1">
        <v>46072</v>
      </c>
      <c r="C416" s="1">
        <v>46059</v>
      </c>
      <c r="D416" t="s">
        <v>2032</v>
      </c>
      <c r="E416" t="s">
        <v>370</v>
      </c>
      <c r="F416" t="s">
        <v>148</v>
      </c>
      <c r="G416" t="s">
        <v>371</v>
      </c>
      <c r="H416" t="s">
        <v>39</v>
      </c>
      <c r="I416" t="s">
        <v>40</v>
      </c>
      <c r="J416" s="2" t="s">
        <v>62</v>
      </c>
      <c r="K416" t="s">
        <v>42</v>
      </c>
      <c r="L416" t="s">
        <v>175</v>
      </c>
      <c r="N416" t="s">
        <v>176</v>
      </c>
      <c r="Q416">
        <v>32132</v>
      </c>
      <c r="R416" t="s">
        <v>45</v>
      </c>
      <c r="S416" t="s">
        <v>2033</v>
      </c>
      <c r="T416">
        <v>25</v>
      </c>
      <c r="W416" t="s">
        <v>84</v>
      </c>
      <c r="X416">
        <v>831677</v>
      </c>
      <c r="Y416" s="2" t="s">
        <v>3651</v>
      </c>
      <c r="Z416" t="s">
        <v>999</v>
      </c>
      <c r="AA416" t="e">
        <f ca="1">- checked _xludf.and cleaned cartridge bay, plunger rod, _xludf.filter, icore slot
- performed XpertCheck
- generated reports
- performed self test</f>
        <v>#NAME?</v>
      </c>
      <c r="AB416" s="2" t="s">
        <v>3652</v>
      </c>
      <c r="AG416" t="s">
        <v>3653</v>
      </c>
      <c r="AH416" t="s">
        <v>3654</v>
      </c>
      <c r="AI416" t="s">
        <v>3655</v>
      </c>
    </row>
    <row r="417" spans="2:35" ht="195">
      <c r="B417" s="1">
        <v>46072</v>
      </c>
      <c r="C417" s="1">
        <v>46072</v>
      </c>
      <c r="D417" t="s">
        <v>3656</v>
      </c>
      <c r="E417" t="s">
        <v>3657</v>
      </c>
      <c r="F417" t="s">
        <v>148</v>
      </c>
      <c r="G417" t="s">
        <v>447</v>
      </c>
      <c r="H417" t="s">
        <v>3658</v>
      </c>
      <c r="I417" t="s">
        <v>40</v>
      </c>
      <c r="J417" s="2" t="s">
        <v>3659</v>
      </c>
      <c r="K417" t="s">
        <v>42</v>
      </c>
      <c r="L417" t="s">
        <v>356</v>
      </c>
      <c r="N417" t="s">
        <v>357</v>
      </c>
      <c r="O417" t="s">
        <v>3660</v>
      </c>
      <c r="Q417">
        <v>32131</v>
      </c>
      <c r="R417" t="s">
        <v>322</v>
      </c>
      <c r="S417" t="s">
        <v>3661</v>
      </c>
      <c r="T417">
        <v>25</v>
      </c>
      <c r="W417" t="s">
        <v>3662</v>
      </c>
      <c r="X417" t="s">
        <v>3663</v>
      </c>
      <c r="Y417" t="s">
        <v>3664</v>
      </c>
      <c r="Z417" t="s">
        <v>54</v>
      </c>
      <c r="AA417" t="s">
        <v>3665</v>
      </c>
      <c r="AB417" t="s">
        <v>364</v>
      </c>
      <c r="AG417" t="s">
        <v>3666</v>
      </c>
      <c r="AH417" t="s">
        <v>3667</v>
      </c>
      <c r="AI417" t="s">
        <v>3668</v>
      </c>
    </row>
    <row r="418" spans="2:35" ht="360">
      <c r="B418" s="1">
        <v>46072</v>
      </c>
      <c r="C418" s="1">
        <v>46071</v>
      </c>
      <c r="D418" t="s">
        <v>3669</v>
      </c>
      <c r="E418" t="s">
        <v>3670</v>
      </c>
      <c r="F418" t="s">
        <v>37</v>
      </c>
      <c r="G418" t="s">
        <v>38</v>
      </c>
      <c r="H418" t="s">
        <v>39</v>
      </c>
      <c r="I418" t="s">
        <v>94</v>
      </c>
      <c r="J418" s="2" t="s">
        <v>62</v>
      </c>
      <c r="K418" t="s">
        <v>42</v>
      </c>
      <c r="L418" t="s">
        <v>43</v>
      </c>
      <c r="N418" t="s">
        <v>44</v>
      </c>
      <c r="Q418">
        <v>32130</v>
      </c>
      <c r="R418" t="s">
        <v>95</v>
      </c>
      <c r="S418" t="s">
        <v>3671</v>
      </c>
      <c r="T418">
        <v>22</v>
      </c>
      <c r="U418" s="2" t="s">
        <v>3672</v>
      </c>
      <c r="W418" t="s">
        <v>48</v>
      </c>
      <c r="X418">
        <v>110005265</v>
      </c>
      <c r="Y418" t="s">
        <v>1111</v>
      </c>
      <c r="Z418" t="s">
        <v>1519</v>
      </c>
      <c r="AA418" s="2" t="s">
        <v>3673</v>
      </c>
      <c r="AB418" t="s">
        <v>3674</v>
      </c>
      <c r="AC418" t="s">
        <v>3675</v>
      </c>
      <c r="AG418" t="s">
        <v>3676</v>
      </c>
      <c r="AH418" t="s">
        <v>3677</v>
      </c>
      <c r="AI418" t="s">
        <v>3678</v>
      </c>
    </row>
    <row r="419" spans="2:35" ht="409.5">
      <c r="B419" s="1">
        <v>46072</v>
      </c>
      <c r="C419" s="1">
        <v>46071</v>
      </c>
      <c r="D419" t="s">
        <v>3679</v>
      </c>
      <c r="E419" t="s">
        <v>2580</v>
      </c>
      <c r="F419" t="s">
        <v>148</v>
      </c>
      <c r="G419" t="s">
        <v>447</v>
      </c>
      <c r="H419" t="s">
        <v>662</v>
      </c>
      <c r="I419" t="s">
        <v>40</v>
      </c>
      <c r="J419" t="s">
        <v>109</v>
      </c>
      <c r="K419" t="s">
        <v>42</v>
      </c>
      <c r="L419" t="s">
        <v>448</v>
      </c>
      <c r="N419" t="s">
        <v>650</v>
      </c>
      <c r="Q419">
        <v>32129</v>
      </c>
      <c r="R419" t="s">
        <v>322</v>
      </c>
      <c r="S419" t="s">
        <v>3680</v>
      </c>
      <c r="T419">
        <v>29</v>
      </c>
      <c r="U419" s="2" t="s">
        <v>3681</v>
      </c>
      <c r="W419" t="s">
        <v>3682</v>
      </c>
      <c r="X419">
        <v>838655</v>
      </c>
      <c r="Y419" s="2" t="s">
        <v>3683</v>
      </c>
      <c r="Z419" s="2" t="s">
        <v>3684</v>
      </c>
      <c r="AA419" t="s">
        <v>122</v>
      </c>
      <c r="AB419" s="2" t="s">
        <v>3685</v>
      </c>
      <c r="AG419" t="s">
        <v>3686</v>
      </c>
      <c r="AH419" t="s">
        <v>3687</v>
      </c>
      <c r="AI419" t="s">
        <v>3688</v>
      </c>
    </row>
    <row r="420" spans="2:35" ht="330">
      <c r="B420" s="1">
        <v>46072</v>
      </c>
      <c r="C420" s="1">
        <v>46071</v>
      </c>
      <c r="D420" t="s">
        <v>3679</v>
      </c>
      <c r="E420" t="s">
        <v>2580</v>
      </c>
      <c r="F420" t="s">
        <v>148</v>
      </c>
      <c r="G420" t="s">
        <v>447</v>
      </c>
      <c r="H420" t="s">
        <v>386</v>
      </c>
      <c r="I420" t="s">
        <v>40</v>
      </c>
      <c r="J420" t="s">
        <v>525</v>
      </c>
      <c r="K420" t="s">
        <v>387</v>
      </c>
      <c r="L420" t="s">
        <v>448</v>
      </c>
      <c r="N420" t="s">
        <v>450</v>
      </c>
      <c r="Q420">
        <v>32128</v>
      </c>
      <c r="R420" t="s">
        <v>322</v>
      </c>
      <c r="S420" t="s">
        <v>3689</v>
      </c>
      <c r="T420">
        <v>26</v>
      </c>
      <c r="W420" t="s">
        <v>476</v>
      </c>
      <c r="X420" t="s">
        <v>3690</v>
      </c>
      <c r="Y420" t="s">
        <v>3691</v>
      </c>
      <c r="Z420" s="2" t="s">
        <v>3692</v>
      </c>
      <c r="AA420" t="s">
        <v>1882</v>
      </c>
      <c r="AB420" t="s">
        <v>486</v>
      </c>
      <c r="AG420" t="s">
        <v>3693</v>
      </c>
      <c r="AH420" t="s">
        <v>3694</v>
      </c>
      <c r="AI420" t="s">
        <v>3695</v>
      </c>
    </row>
    <row r="421" spans="2:35" ht="409.5">
      <c r="B421" s="1">
        <v>46071</v>
      </c>
      <c r="C421" s="1">
        <v>46071</v>
      </c>
      <c r="D421" t="s">
        <v>3696</v>
      </c>
      <c r="E421" t="s">
        <v>3697</v>
      </c>
      <c r="F421" t="s">
        <v>148</v>
      </c>
      <c r="G421" t="s">
        <v>447</v>
      </c>
      <c r="H421" t="s">
        <v>295</v>
      </c>
      <c r="I421" t="s">
        <v>40</v>
      </c>
      <c r="J421" t="s">
        <v>109</v>
      </c>
      <c r="K421" t="s">
        <v>42</v>
      </c>
      <c r="L421" t="s">
        <v>1943</v>
      </c>
      <c r="N421" t="s">
        <v>1944</v>
      </c>
      <c r="Q421">
        <v>32127</v>
      </c>
      <c r="R421" t="s">
        <v>703</v>
      </c>
      <c r="S421" t="s">
        <v>3698</v>
      </c>
      <c r="T421">
        <v>25</v>
      </c>
      <c r="W421" t="s">
        <v>84</v>
      </c>
      <c r="X421">
        <v>835601</v>
      </c>
      <c r="Y421" t="s">
        <v>2099</v>
      </c>
      <c r="Z421" t="s">
        <v>2100</v>
      </c>
      <c r="AA421" s="2" t="s">
        <v>2101</v>
      </c>
      <c r="AB421" t="s">
        <v>88</v>
      </c>
      <c r="AG421" t="s">
        <v>3699</v>
      </c>
      <c r="AH421" t="s">
        <v>3700</v>
      </c>
      <c r="AI421" t="s">
        <v>3701</v>
      </c>
    </row>
    <row r="422" spans="2:35" ht="409.5">
      <c r="B422" s="1">
        <v>46071</v>
      </c>
      <c r="C422" s="1">
        <v>46071</v>
      </c>
      <c r="D422" t="s">
        <v>3696</v>
      </c>
      <c r="E422" t="s">
        <v>3702</v>
      </c>
      <c r="F422" t="s">
        <v>148</v>
      </c>
      <c r="G422" t="s">
        <v>447</v>
      </c>
      <c r="H422" t="s">
        <v>61</v>
      </c>
      <c r="I422" t="s">
        <v>40</v>
      </c>
      <c r="J422" t="s">
        <v>109</v>
      </c>
      <c r="K422" t="s">
        <v>42</v>
      </c>
      <c r="L422" t="s">
        <v>1943</v>
      </c>
      <c r="N422" t="s">
        <v>1944</v>
      </c>
      <c r="Q422">
        <v>32126</v>
      </c>
      <c r="R422" t="s">
        <v>703</v>
      </c>
      <c r="S422" t="s">
        <v>3698</v>
      </c>
      <c r="T422">
        <v>25</v>
      </c>
      <c r="W422" t="s">
        <v>84</v>
      </c>
      <c r="X422">
        <v>835602</v>
      </c>
      <c r="Y422" t="s">
        <v>2099</v>
      </c>
      <c r="Z422" t="s">
        <v>2100</v>
      </c>
      <c r="AA422" s="2" t="s">
        <v>2101</v>
      </c>
      <c r="AB422" t="s">
        <v>88</v>
      </c>
      <c r="AG422" t="s">
        <v>3703</v>
      </c>
      <c r="AH422" t="s">
        <v>3700</v>
      </c>
      <c r="AI422" t="s">
        <v>3704</v>
      </c>
    </row>
    <row r="423" spans="2:35" ht="180">
      <c r="B423" s="1">
        <v>46071</v>
      </c>
      <c r="C423" s="1">
        <v>46071</v>
      </c>
      <c r="D423" t="s">
        <v>3705</v>
      </c>
      <c r="E423" t="s">
        <v>3706</v>
      </c>
      <c r="F423">
        <v>3</v>
      </c>
      <c r="G423" t="s">
        <v>174</v>
      </c>
      <c r="H423" t="s">
        <v>39</v>
      </c>
      <c r="I423" t="s">
        <v>40</v>
      </c>
      <c r="J423" s="2" t="s">
        <v>62</v>
      </c>
      <c r="K423" t="s">
        <v>42</v>
      </c>
      <c r="L423" t="s">
        <v>175</v>
      </c>
      <c r="N423" t="s">
        <v>176</v>
      </c>
      <c r="Q423">
        <v>32125</v>
      </c>
      <c r="R423" t="s">
        <v>119</v>
      </c>
      <c r="S423" t="s">
        <v>3707</v>
      </c>
      <c r="T423">
        <v>27</v>
      </c>
      <c r="W423" t="s">
        <v>84</v>
      </c>
      <c r="X423">
        <v>831897</v>
      </c>
      <c r="Y423" s="2" t="s">
        <v>3651</v>
      </c>
      <c r="Z423" s="2" t="s">
        <v>3236</v>
      </c>
      <c r="AA423" t="e">
        <f ca="1">- checked _xludf.and cleaned cartridge bay, plunger rod, _xludf.filter, icore slot
- performed XpertCheck
- generated reports
- performed self test</f>
        <v>#NAME?</v>
      </c>
      <c r="AB423" s="2" t="s">
        <v>3708</v>
      </c>
      <c r="AG423" t="s">
        <v>3709</v>
      </c>
      <c r="AH423" t="s">
        <v>3710</v>
      </c>
      <c r="AI423" t="s">
        <v>3711</v>
      </c>
    </row>
    <row r="424" spans="2:35" ht="315">
      <c r="B424" s="1">
        <v>46071</v>
      </c>
      <c r="C424" s="1">
        <v>46059</v>
      </c>
      <c r="D424" t="s">
        <v>3712</v>
      </c>
      <c r="E424" t="s">
        <v>3713</v>
      </c>
      <c r="F424" t="s">
        <v>148</v>
      </c>
      <c r="G424" t="s">
        <v>310</v>
      </c>
      <c r="H424" t="s">
        <v>2274</v>
      </c>
      <c r="I424" t="s">
        <v>40</v>
      </c>
      <c r="J424" t="s">
        <v>109</v>
      </c>
      <c r="K424" t="s">
        <v>387</v>
      </c>
      <c r="L424" t="s">
        <v>1943</v>
      </c>
      <c r="N424" t="s">
        <v>1944</v>
      </c>
      <c r="Q424">
        <v>32124</v>
      </c>
      <c r="R424" t="s">
        <v>322</v>
      </c>
      <c r="S424" t="s">
        <v>3714</v>
      </c>
      <c r="T424">
        <v>25</v>
      </c>
      <c r="W424" t="s">
        <v>390</v>
      </c>
      <c r="X424" t="s">
        <v>3715</v>
      </c>
      <c r="Y424" t="s">
        <v>2099</v>
      </c>
      <c r="Z424" t="s">
        <v>2100</v>
      </c>
      <c r="AA424" s="2" t="s">
        <v>2278</v>
      </c>
      <c r="AB424" t="s">
        <v>88</v>
      </c>
      <c r="AG424" t="s">
        <v>3716</v>
      </c>
      <c r="AH424" t="s">
        <v>3717</v>
      </c>
      <c r="AI424" t="s">
        <v>3718</v>
      </c>
    </row>
    <row r="425" spans="2:35" ht="409.5">
      <c r="B425" s="1">
        <v>46071</v>
      </c>
      <c r="C425" s="1">
        <v>46071</v>
      </c>
      <c r="D425" t="s">
        <v>3719</v>
      </c>
      <c r="E425" t="s">
        <v>3720</v>
      </c>
      <c r="F425" t="s">
        <v>148</v>
      </c>
      <c r="G425" t="s">
        <v>310</v>
      </c>
      <c r="H425" t="s">
        <v>39</v>
      </c>
      <c r="I425" t="s">
        <v>40</v>
      </c>
      <c r="J425" s="2" t="s">
        <v>62</v>
      </c>
      <c r="K425" t="s">
        <v>42</v>
      </c>
      <c r="L425" t="s">
        <v>1943</v>
      </c>
      <c r="N425" t="s">
        <v>1944</v>
      </c>
      <c r="Q425">
        <v>32123</v>
      </c>
      <c r="R425" t="s">
        <v>119</v>
      </c>
      <c r="S425" t="s">
        <v>3721</v>
      </c>
      <c r="T425">
        <v>25</v>
      </c>
      <c r="W425" t="s">
        <v>84</v>
      </c>
      <c r="X425">
        <v>831644</v>
      </c>
      <c r="Y425" s="2" t="s">
        <v>3044</v>
      </c>
      <c r="Z425" t="s">
        <v>3045</v>
      </c>
      <c r="AA425" s="2" t="s">
        <v>3046</v>
      </c>
      <c r="AB425" t="s">
        <v>88</v>
      </c>
      <c r="AG425" t="s">
        <v>3722</v>
      </c>
      <c r="AH425" t="s">
        <v>3723</v>
      </c>
      <c r="AI425" t="s">
        <v>3724</v>
      </c>
    </row>
    <row r="426" spans="2:35">
      <c r="B426" s="1">
        <v>46071</v>
      </c>
      <c r="C426" s="1">
        <v>46066</v>
      </c>
      <c r="D426" t="s">
        <v>1455</v>
      </c>
      <c r="E426" t="s">
        <v>1456</v>
      </c>
      <c r="F426" t="s">
        <v>511</v>
      </c>
      <c r="G426" t="s">
        <v>512</v>
      </c>
      <c r="H426" t="s">
        <v>61</v>
      </c>
      <c r="I426" t="s">
        <v>40</v>
      </c>
      <c r="J426" t="s">
        <v>321</v>
      </c>
      <c r="K426" t="s">
        <v>42</v>
      </c>
      <c r="L426" t="s">
        <v>1048</v>
      </c>
      <c r="N426" t="s">
        <v>1049</v>
      </c>
      <c r="Q426">
        <v>32122</v>
      </c>
      <c r="R426" t="s">
        <v>322</v>
      </c>
      <c r="S426" t="s">
        <v>1457</v>
      </c>
      <c r="T426">
        <v>28</v>
      </c>
      <c r="V426" s="1">
        <v>46063</v>
      </c>
      <c r="W426" t="s">
        <v>1424</v>
      </c>
      <c r="X426">
        <v>120007537</v>
      </c>
      <c r="Y426" t="s">
        <v>3725</v>
      </c>
      <c r="Z426" t="e">
        <f ca="1">- installed GeneXpert
- Set user Accounts
- installed Assays
- generated reports</f>
        <v>#NAME?</v>
      </c>
      <c r="AA426" t="s">
        <v>3726</v>
      </c>
      <c r="AB426" t="s">
        <v>1428</v>
      </c>
      <c r="AD426" t="s">
        <v>3727</v>
      </c>
      <c r="AE426" t="s">
        <v>3728</v>
      </c>
      <c r="AG426" t="s">
        <v>3729</v>
      </c>
      <c r="AH426" t="s">
        <v>3730</v>
      </c>
      <c r="AI426" t="s">
        <v>3731</v>
      </c>
    </row>
    <row r="427" spans="2:35">
      <c r="B427" s="1">
        <v>46071</v>
      </c>
      <c r="C427" s="1">
        <v>46063</v>
      </c>
      <c r="D427" t="s">
        <v>3732</v>
      </c>
      <c r="E427" t="s">
        <v>3733</v>
      </c>
      <c r="F427">
        <v>1</v>
      </c>
      <c r="G427" t="s">
        <v>1046</v>
      </c>
      <c r="H427" t="s">
        <v>1047</v>
      </c>
      <c r="I427" t="s">
        <v>40</v>
      </c>
      <c r="J427" t="s">
        <v>109</v>
      </c>
      <c r="K427" t="s">
        <v>42</v>
      </c>
      <c r="L427" t="s">
        <v>1048</v>
      </c>
      <c r="N427" t="s">
        <v>1049</v>
      </c>
      <c r="Q427">
        <v>32121</v>
      </c>
      <c r="R427" t="s">
        <v>119</v>
      </c>
      <c r="S427" t="s">
        <v>3734</v>
      </c>
      <c r="T427">
        <v>22</v>
      </c>
      <c r="W427" t="s">
        <v>1051</v>
      </c>
      <c r="X427">
        <v>838473</v>
      </c>
      <c r="Y427" t="s">
        <v>1052</v>
      </c>
      <c r="Z427" t="e">
        <f ca="1">- cleaned cartridge Bays, plunger Rods _xludf.and I-CORE
- generated reports</f>
        <v>#NAME?</v>
      </c>
      <c r="AA427" t="s">
        <v>820</v>
      </c>
      <c r="AB427" t="s">
        <v>1428</v>
      </c>
      <c r="AG427" t="s">
        <v>3735</v>
      </c>
      <c r="AH427" t="s">
        <v>3736</v>
      </c>
      <c r="AI427" t="s">
        <v>3737</v>
      </c>
    </row>
    <row r="428" spans="2:35">
      <c r="B428" s="1">
        <v>46071</v>
      </c>
      <c r="C428" s="1">
        <v>46059</v>
      </c>
      <c r="D428" t="s">
        <v>3738</v>
      </c>
      <c r="E428" t="s">
        <v>3739</v>
      </c>
      <c r="F428">
        <v>1</v>
      </c>
      <c r="G428" t="s">
        <v>1046</v>
      </c>
      <c r="H428" t="s">
        <v>39</v>
      </c>
      <c r="I428" t="s">
        <v>40</v>
      </c>
      <c r="J428" t="s">
        <v>109</v>
      </c>
      <c r="K428" t="s">
        <v>42</v>
      </c>
      <c r="L428" t="s">
        <v>1048</v>
      </c>
      <c r="N428" t="s">
        <v>1049</v>
      </c>
      <c r="Q428">
        <v>32120</v>
      </c>
      <c r="R428" t="s">
        <v>119</v>
      </c>
      <c r="S428" t="s">
        <v>3740</v>
      </c>
      <c r="T428">
        <v>28</v>
      </c>
      <c r="W428" t="s">
        <v>1051</v>
      </c>
      <c r="X428">
        <v>838438</v>
      </c>
      <c r="Y428" t="s">
        <v>1052</v>
      </c>
      <c r="Z428" t="e">
        <f ca="1">- cleaned cartridge Bays, plunger Rods _xludf.and I-CORE
- generated reports</f>
        <v>#NAME?</v>
      </c>
      <c r="AA428" t="s">
        <v>820</v>
      </c>
      <c r="AB428" t="s">
        <v>1428</v>
      </c>
      <c r="AG428" t="s">
        <v>3741</v>
      </c>
      <c r="AH428" t="s">
        <v>3742</v>
      </c>
      <c r="AI428" t="s">
        <v>3743</v>
      </c>
    </row>
    <row r="429" spans="2:35" ht="105">
      <c r="B429" s="1">
        <v>46071</v>
      </c>
      <c r="C429" s="1">
        <v>46059</v>
      </c>
      <c r="D429" t="s">
        <v>1057</v>
      </c>
      <c r="E429" t="s">
        <v>1058</v>
      </c>
      <c r="F429">
        <v>1</v>
      </c>
      <c r="G429" t="s">
        <v>1046</v>
      </c>
      <c r="H429" t="s">
        <v>39</v>
      </c>
      <c r="I429" t="s">
        <v>40</v>
      </c>
      <c r="J429" t="s">
        <v>109</v>
      </c>
      <c r="K429" t="s">
        <v>42</v>
      </c>
      <c r="L429" t="s">
        <v>1048</v>
      </c>
      <c r="N429" t="s">
        <v>1049</v>
      </c>
      <c r="Q429">
        <v>32119</v>
      </c>
      <c r="R429" t="s">
        <v>95</v>
      </c>
      <c r="S429" t="s">
        <v>1059</v>
      </c>
      <c r="T429">
        <v>30</v>
      </c>
      <c r="W429" t="s">
        <v>1060</v>
      </c>
      <c r="X429">
        <v>820303</v>
      </c>
      <c r="Y429" t="s">
        <v>1052</v>
      </c>
      <c r="Z429" t="e">
        <f ca="1">- cleaned cartridge Bays, plunger Rods _xludf.and I-CORE
- generated reports</f>
        <v>#NAME?</v>
      </c>
      <c r="AA429" t="s">
        <v>820</v>
      </c>
      <c r="AB429" s="2" t="s">
        <v>3391</v>
      </c>
      <c r="AG429" t="s">
        <v>3744</v>
      </c>
      <c r="AH429" t="s">
        <v>3393</v>
      </c>
      <c r="AI429" t="s">
        <v>3745</v>
      </c>
    </row>
    <row r="430" spans="2:35" ht="135">
      <c r="B430" s="1">
        <v>46071</v>
      </c>
      <c r="C430" s="1">
        <v>46071</v>
      </c>
      <c r="D430" t="s">
        <v>3746</v>
      </c>
      <c r="E430" t="s">
        <v>420</v>
      </c>
      <c r="F430" t="s">
        <v>148</v>
      </c>
      <c r="G430" t="s">
        <v>421</v>
      </c>
      <c r="H430" t="s">
        <v>39</v>
      </c>
      <c r="I430" t="s">
        <v>40</v>
      </c>
      <c r="J430" s="2" t="s">
        <v>62</v>
      </c>
      <c r="K430" t="s">
        <v>42</v>
      </c>
      <c r="L430" t="s">
        <v>175</v>
      </c>
      <c r="N430" t="s">
        <v>176</v>
      </c>
      <c r="Q430">
        <v>32118</v>
      </c>
      <c r="R430" t="s">
        <v>119</v>
      </c>
      <c r="S430" t="s">
        <v>3747</v>
      </c>
      <c r="T430">
        <v>27</v>
      </c>
      <c r="W430" t="s">
        <v>84</v>
      </c>
      <c r="X430">
        <v>831696</v>
      </c>
      <c r="Y430" t="s">
        <v>998</v>
      </c>
      <c r="Z430" s="2" t="s">
        <v>3641</v>
      </c>
      <c r="AA430" t="e">
        <f ca="1">- checked _xludf.and cleaned cartridge bay, plunger rod, _xludf.filter, icore slot
- performed XpertCheck
- generated reports
- performed self test</f>
        <v>#NAME?</v>
      </c>
      <c r="AB430" s="2" t="s">
        <v>3748</v>
      </c>
      <c r="AG430" t="s">
        <v>3749</v>
      </c>
      <c r="AH430" t="s">
        <v>3750</v>
      </c>
      <c r="AI430" t="s">
        <v>3751</v>
      </c>
    </row>
    <row r="431" spans="2:35" ht="409.5">
      <c r="B431" s="1">
        <v>46070</v>
      </c>
      <c r="C431" s="1">
        <v>46070</v>
      </c>
      <c r="D431" t="s">
        <v>3752</v>
      </c>
      <c r="E431" t="s">
        <v>3753</v>
      </c>
      <c r="F431" t="s">
        <v>1181</v>
      </c>
      <c r="G431" t="s">
        <v>3753</v>
      </c>
      <c r="H431" t="s">
        <v>295</v>
      </c>
      <c r="I431" t="s">
        <v>40</v>
      </c>
      <c r="J431" s="2" t="s">
        <v>62</v>
      </c>
      <c r="K431" t="s">
        <v>42</v>
      </c>
      <c r="L431" t="s">
        <v>1943</v>
      </c>
      <c r="N431" t="s">
        <v>1944</v>
      </c>
      <c r="Q431">
        <v>32117</v>
      </c>
      <c r="R431" t="s">
        <v>45</v>
      </c>
      <c r="S431" t="s">
        <v>3754</v>
      </c>
      <c r="T431">
        <v>25</v>
      </c>
      <c r="W431" t="s">
        <v>373</v>
      </c>
      <c r="X431">
        <v>120000741</v>
      </c>
      <c r="Y431" s="2" t="s">
        <v>3755</v>
      </c>
      <c r="Z431" t="s">
        <v>3756</v>
      </c>
      <c r="AA431" s="2" t="s">
        <v>3046</v>
      </c>
      <c r="AB431" t="s">
        <v>88</v>
      </c>
      <c r="AG431" t="s">
        <v>3757</v>
      </c>
      <c r="AH431" t="s">
        <v>3758</v>
      </c>
      <c r="AI431" t="s">
        <v>3759</v>
      </c>
    </row>
    <row r="432" spans="2:35" ht="150">
      <c r="B432" s="1">
        <v>46069</v>
      </c>
      <c r="C432" s="1">
        <v>46006</v>
      </c>
      <c r="D432" t="s">
        <v>3760</v>
      </c>
      <c r="E432" t="s">
        <v>3761</v>
      </c>
      <c r="F432" t="s">
        <v>37</v>
      </c>
      <c r="G432" t="s">
        <v>748</v>
      </c>
      <c r="H432" t="s">
        <v>39</v>
      </c>
      <c r="I432" t="s">
        <v>40</v>
      </c>
      <c r="J432" t="s">
        <v>321</v>
      </c>
      <c r="K432" t="s">
        <v>42</v>
      </c>
      <c r="L432" t="s">
        <v>1028</v>
      </c>
      <c r="N432" t="s">
        <v>1029</v>
      </c>
      <c r="Q432">
        <v>32116</v>
      </c>
      <c r="R432" t="s">
        <v>322</v>
      </c>
      <c r="S432" t="s">
        <v>3762</v>
      </c>
      <c r="T432">
        <v>24</v>
      </c>
      <c r="V432" s="1">
        <v>46006</v>
      </c>
      <c r="W432" t="s">
        <v>1032</v>
      </c>
      <c r="X432">
        <v>110027247</v>
      </c>
      <c r="Y432" t="s">
        <v>3763</v>
      </c>
      <c r="Z432" t="s">
        <v>3764</v>
      </c>
      <c r="AA432" s="2" t="s">
        <v>3765</v>
      </c>
      <c r="AB432" s="2" t="s">
        <v>3766</v>
      </c>
      <c r="AD432" t="s">
        <v>3727</v>
      </c>
      <c r="AE432" t="s">
        <v>3767</v>
      </c>
      <c r="AG432" t="s">
        <v>3768</v>
      </c>
      <c r="AH432" t="s">
        <v>3769</v>
      </c>
      <c r="AI432" t="s">
        <v>3770</v>
      </c>
    </row>
    <row r="433" spans="2:35" ht="240">
      <c r="B433" s="1">
        <v>46069</v>
      </c>
      <c r="C433" s="1">
        <v>46063</v>
      </c>
      <c r="D433" t="s">
        <v>1026</v>
      </c>
      <c r="E433" t="s">
        <v>1027</v>
      </c>
      <c r="F433" t="s">
        <v>148</v>
      </c>
      <c r="G433" t="s">
        <v>774</v>
      </c>
      <c r="H433" t="s">
        <v>513</v>
      </c>
      <c r="I433" t="s">
        <v>40</v>
      </c>
      <c r="J433" t="s">
        <v>525</v>
      </c>
      <c r="K433" t="s">
        <v>387</v>
      </c>
      <c r="L433" t="s">
        <v>1028</v>
      </c>
      <c r="N433" t="s">
        <v>1029</v>
      </c>
      <c r="O433" t="s">
        <v>3771</v>
      </c>
      <c r="Q433">
        <v>32115</v>
      </c>
      <c r="R433" t="s">
        <v>95</v>
      </c>
      <c r="S433" t="s">
        <v>3772</v>
      </c>
      <c r="T433">
        <v>25</v>
      </c>
      <c r="W433" t="s">
        <v>390</v>
      </c>
      <c r="X433" t="s">
        <v>3773</v>
      </c>
      <c r="Y433" t="s">
        <v>3774</v>
      </c>
      <c r="Z433" t="s">
        <v>3775</v>
      </c>
      <c r="AA433" s="2" t="s">
        <v>3776</v>
      </c>
      <c r="AB433" t="s">
        <v>3777</v>
      </c>
      <c r="AC433" t="s">
        <v>3778</v>
      </c>
      <c r="AG433" t="s">
        <v>3779</v>
      </c>
      <c r="AH433" t="s">
        <v>3780</v>
      </c>
      <c r="AI433" t="s">
        <v>3781</v>
      </c>
    </row>
    <row r="434" spans="2:35" ht="270">
      <c r="B434" s="1">
        <v>46069</v>
      </c>
      <c r="C434" s="1">
        <v>46065</v>
      </c>
      <c r="D434" t="s">
        <v>3782</v>
      </c>
      <c r="E434" t="s">
        <v>3783</v>
      </c>
      <c r="F434" t="s">
        <v>37</v>
      </c>
      <c r="G434" t="s">
        <v>748</v>
      </c>
      <c r="H434" t="s">
        <v>39</v>
      </c>
      <c r="I434" t="s">
        <v>40</v>
      </c>
      <c r="J434" s="2" t="s">
        <v>1544</v>
      </c>
      <c r="K434" t="s">
        <v>42</v>
      </c>
      <c r="L434" t="s">
        <v>1028</v>
      </c>
      <c r="N434" t="s">
        <v>1029</v>
      </c>
      <c r="O434" t="s">
        <v>3784</v>
      </c>
      <c r="Q434">
        <v>32114</v>
      </c>
      <c r="R434" t="s">
        <v>45</v>
      </c>
      <c r="S434" t="s">
        <v>3785</v>
      </c>
      <c r="T434">
        <v>28</v>
      </c>
      <c r="U434" s="2" t="s">
        <v>3786</v>
      </c>
      <c r="W434" t="s">
        <v>1967</v>
      </c>
      <c r="X434">
        <v>804691</v>
      </c>
      <c r="Y434" t="s">
        <v>1547</v>
      </c>
      <c r="Z434" s="2" t="s">
        <v>3787</v>
      </c>
      <c r="AA434" s="2" t="s">
        <v>3788</v>
      </c>
      <c r="AB434" t="s">
        <v>3789</v>
      </c>
      <c r="AC434" t="s">
        <v>3790</v>
      </c>
      <c r="AG434" t="s">
        <v>3791</v>
      </c>
      <c r="AH434" t="s">
        <v>3792</v>
      </c>
      <c r="AI434" t="s">
        <v>3793</v>
      </c>
    </row>
    <row r="435" spans="2:35" ht="195">
      <c r="B435" s="1">
        <v>46069</v>
      </c>
      <c r="C435" s="1">
        <v>46069</v>
      </c>
      <c r="D435" t="s">
        <v>3794</v>
      </c>
      <c r="E435" t="s">
        <v>1233</v>
      </c>
      <c r="F435">
        <v>6</v>
      </c>
      <c r="G435" t="s">
        <v>1234</v>
      </c>
      <c r="H435" t="s">
        <v>39</v>
      </c>
      <c r="I435" t="s">
        <v>94</v>
      </c>
      <c r="J435" s="2" t="s">
        <v>62</v>
      </c>
      <c r="K435" t="s">
        <v>42</v>
      </c>
      <c r="L435" t="s">
        <v>270</v>
      </c>
      <c r="N435" t="s">
        <v>2481</v>
      </c>
      <c r="Q435">
        <v>32113</v>
      </c>
      <c r="R435" t="s">
        <v>719</v>
      </c>
      <c r="S435" t="s">
        <v>3795</v>
      </c>
      <c r="T435">
        <v>24</v>
      </c>
      <c r="U435" s="2" t="s">
        <v>3796</v>
      </c>
      <c r="W435" t="s">
        <v>274</v>
      </c>
      <c r="X435">
        <v>847255</v>
      </c>
      <c r="Y435" t="s">
        <v>3797</v>
      </c>
      <c r="Z435" s="2" t="s">
        <v>3798</v>
      </c>
      <c r="AA435" s="2" t="s">
        <v>3799</v>
      </c>
      <c r="AB435" s="2" t="s">
        <v>3800</v>
      </c>
      <c r="AG435" t="s">
        <v>3801</v>
      </c>
      <c r="AH435" t="s">
        <v>3802</v>
      </c>
      <c r="AI435" t="s">
        <v>3803</v>
      </c>
    </row>
    <row r="436" spans="2:35" ht="330">
      <c r="B436" s="1">
        <v>46069</v>
      </c>
      <c r="C436" s="1">
        <v>46066</v>
      </c>
      <c r="D436" t="s">
        <v>3804</v>
      </c>
      <c r="E436" t="s">
        <v>3805</v>
      </c>
      <c r="F436">
        <v>6</v>
      </c>
      <c r="G436" t="s">
        <v>1234</v>
      </c>
      <c r="H436" t="s">
        <v>258</v>
      </c>
      <c r="I436" t="s">
        <v>94</v>
      </c>
      <c r="J436" s="2" t="s">
        <v>1309</v>
      </c>
      <c r="K436" t="s">
        <v>42</v>
      </c>
      <c r="L436" t="s">
        <v>270</v>
      </c>
      <c r="N436" t="s">
        <v>2481</v>
      </c>
      <c r="Q436">
        <v>32112</v>
      </c>
      <c r="R436" t="s">
        <v>45</v>
      </c>
      <c r="S436" t="s">
        <v>3806</v>
      </c>
      <c r="T436">
        <v>25</v>
      </c>
      <c r="U436" s="2" t="s">
        <v>3807</v>
      </c>
      <c r="W436" t="s">
        <v>666</v>
      </c>
      <c r="X436">
        <v>807455</v>
      </c>
      <c r="Y436" t="s">
        <v>3808</v>
      </c>
      <c r="Z436" t="s">
        <v>3809</v>
      </c>
      <c r="AA436" s="2" t="s">
        <v>3810</v>
      </c>
      <c r="AB436" s="2" t="s">
        <v>3811</v>
      </c>
      <c r="AG436" t="s">
        <v>3812</v>
      </c>
      <c r="AH436" t="s">
        <v>3813</v>
      </c>
      <c r="AI436" t="s">
        <v>3814</v>
      </c>
    </row>
    <row r="437" spans="2:35" ht="150">
      <c r="B437" s="1">
        <v>46069</v>
      </c>
      <c r="C437" s="1">
        <v>46066</v>
      </c>
      <c r="D437" t="s">
        <v>3656</v>
      </c>
      <c r="E437" t="s">
        <v>3815</v>
      </c>
      <c r="F437" t="s">
        <v>148</v>
      </c>
      <c r="G437" t="s">
        <v>447</v>
      </c>
      <c r="H437" t="s">
        <v>662</v>
      </c>
      <c r="I437" t="s">
        <v>40</v>
      </c>
      <c r="J437" t="s">
        <v>321</v>
      </c>
      <c r="K437" t="s">
        <v>42</v>
      </c>
      <c r="L437" t="s">
        <v>448</v>
      </c>
      <c r="N437" t="s">
        <v>650</v>
      </c>
      <c r="O437" t="s">
        <v>3660</v>
      </c>
      <c r="Q437">
        <v>32111</v>
      </c>
      <c r="R437" t="s">
        <v>322</v>
      </c>
      <c r="S437" t="s">
        <v>3661</v>
      </c>
      <c r="T437">
        <v>25</v>
      </c>
      <c r="W437" t="s">
        <v>2591</v>
      </c>
      <c r="X437">
        <v>120007529</v>
      </c>
      <c r="Y437" t="s">
        <v>750</v>
      </c>
      <c r="Z437" s="2" t="s">
        <v>3816</v>
      </c>
      <c r="AA437" t="s">
        <v>2593</v>
      </c>
      <c r="AB437" t="s">
        <v>486</v>
      </c>
      <c r="AG437" t="s">
        <v>3817</v>
      </c>
      <c r="AH437" t="s">
        <v>3818</v>
      </c>
      <c r="AI437" t="s">
        <v>3819</v>
      </c>
    </row>
    <row r="438" spans="2:35" ht="150">
      <c r="B438" s="1">
        <v>46069</v>
      </c>
      <c r="C438" s="1">
        <v>46066</v>
      </c>
      <c r="D438" t="s">
        <v>3656</v>
      </c>
      <c r="E438" t="s">
        <v>3815</v>
      </c>
      <c r="F438" t="s">
        <v>148</v>
      </c>
      <c r="G438" t="s">
        <v>447</v>
      </c>
      <c r="H438" t="s">
        <v>662</v>
      </c>
      <c r="I438" t="s">
        <v>40</v>
      </c>
      <c r="J438" t="s">
        <v>321</v>
      </c>
      <c r="K438" t="s">
        <v>42</v>
      </c>
      <c r="L438" t="s">
        <v>448</v>
      </c>
      <c r="N438" t="s">
        <v>650</v>
      </c>
      <c r="O438" t="s">
        <v>3660</v>
      </c>
      <c r="Q438">
        <v>32110</v>
      </c>
      <c r="R438" t="s">
        <v>322</v>
      </c>
      <c r="S438" t="s">
        <v>3661</v>
      </c>
      <c r="T438">
        <v>25</v>
      </c>
      <c r="W438" t="s">
        <v>466</v>
      </c>
      <c r="X438">
        <v>120007530</v>
      </c>
      <c r="Y438" t="s">
        <v>750</v>
      </c>
      <c r="Z438" s="2" t="s">
        <v>3820</v>
      </c>
      <c r="AA438" t="s">
        <v>2593</v>
      </c>
      <c r="AB438" t="s">
        <v>486</v>
      </c>
      <c r="AG438" t="s">
        <v>3821</v>
      </c>
      <c r="AH438" t="s">
        <v>3818</v>
      </c>
      <c r="AI438" t="s">
        <v>3822</v>
      </c>
    </row>
    <row r="439" spans="2:35" ht="345">
      <c r="B439" s="1">
        <v>46069</v>
      </c>
      <c r="C439" s="1">
        <v>46067</v>
      </c>
      <c r="D439" t="s">
        <v>3712</v>
      </c>
      <c r="E439" t="s">
        <v>3823</v>
      </c>
      <c r="F439" t="s">
        <v>148</v>
      </c>
      <c r="G439" t="s">
        <v>310</v>
      </c>
      <c r="H439" t="s">
        <v>386</v>
      </c>
      <c r="I439" t="s">
        <v>40</v>
      </c>
      <c r="J439" t="s">
        <v>525</v>
      </c>
      <c r="K439" t="s">
        <v>387</v>
      </c>
      <c r="L439" t="s">
        <v>448</v>
      </c>
      <c r="N439" t="s">
        <v>650</v>
      </c>
      <c r="Q439">
        <v>32109</v>
      </c>
      <c r="R439" t="s">
        <v>322</v>
      </c>
      <c r="S439" t="s">
        <v>3824</v>
      </c>
      <c r="T439">
        <v>27</v>
      </c>
      <c r="W439" t="s">
        <v>476</v>
      </c>
      <c r="X439" t="s">
        <v>3715</v>
      </c>
      <c r="Y439" t="s">
        <v>3825</v>
      </c>
      <c r="Z439" s="2" t="s">
        <v>3826</v>
      </c>
      <c r="AA439" t="s">
        <v>768</v>
      </c>
      <c r="AB439" t="s">
        <v>486</v>
      </c>
      <c r="AG439" t="s">
        <v>3827</v>
      </c>
      <c r="AH439" t="s">
        <v>3717</v>
      </c>
      <c r="AI439" t="s">
        <v>3828</v>
      </c>
    </row>
    <row r="440" spans="2:35" ht="409.5">
      <c r="B440" s="1">
        <v>46069</v>
      </c>
      <c r="C440" s="1">
        <v>46065</v>
      </c>
      <c r="D440" t="s">
        <v>308</v>
      </c>
      <c r="E440" t="s">
        <v>3829</v>
      </c>
      <c r="F440" t="s">
        <v>148</v>
      </c>
      <c r="G440" t="s">
        <v>310</v>
      </c>
      <c r="H440" t="s">
        <v>39</v>
      </c>
      <c r="I440" t="s">
        <v>40</v>
      </c>
      <c r="J440" s="2" t="s">
        <v>62</v>
      </c>
      <c r="K440" t="s">
        <v>42</v>
      </c>
      <c r="L440" t="s">
        <v>1943</v>
      </c>
      <c r="N440" t="s">
        <v>1944</v>
      </c>
      <c r="Q440">
        <v>32108</v>
      </c>
      <c r="R440" t="s">
        <v>119</v>
      </c>
      <c r="S440" t="s">
        <v>311</v>
      </c>
      <c r="T440">
        <v>25</v>
      </c>
      <c r="W440" t="s">
        <v>84</v>
      </c>
      <c r="X440">
        <v>812534</v>
      </c>
      <c r="Y440" s="2" t="s">
        <v>3830</v>
      </c>
      <c r="Z440" t="s">
        <v>3045</v>
      </c>
      <c r="AA440" s="2" t="s">
        <v>3046</v>
      </c>
      <c r="AB440" t="s">
        <v>88</v>
      </c>
      <c r="AG440" t="s">
        <v>3831</v>
      </c>
      <c r="AH440" t="s">
        <v>317</v>
      </c>
      <c r="AI440" t="s">
        <v>3832</v>
      </c>
    </row>
    <row r="441" spans="2:35" ht="150">
      <c r="B441" s="1">
        <v>46069</v>
      </c>
      <c r="C441" s="1">
        <v>46066</v>
      </c>
      <c r="D441" t="s">
        <v>3833</v>
      </c>
      <c r="E441" t="s">
        <v>3834</v>
      </c>
      <c r="F441" t="s">
        <v>511</v>
      </c>
      <c r="G441" t="s">
        <v>512</v>
      </c>
      <c r="H441" t="s">
        <v>513</v>
      </c>
      <c r="I441" t="s">
        <v>40</v>
      </c>
      <c r="J441" s="2" t="s">
        <v>62</v>
      </c>
      <c r="K441" t="s">
        <v>387</v>
      </c>
      <c r="L441" t="s">
        <v>175</v>
      </c>
      <c r="N441" t="s">
        <v>176</v>
      </c>
      <c r="Q441">
        <v>32107</v>
      </c>
      <c r="R441" t="s">
        <v>322</v>
      </c>
      <c r="S441" t="s">
        <v>3578</v>
      </c>
      <c r="T441">
        <v>20</v>
      </c>
      <c r="V441" s="1">
        <v>46064</v>
      </c>
      <c r="W441" t="s">
        <v>390</v>
      </c>
      <c r="X441" t="s">
        <v>3835</v>
      </c>
      <c r="Y441" t="s">
        <v>998</v>
      </c>
      <c r="Z441" s="2" t="s">
        <v>3836</v>
      </c>
      <c r="AA441" t="e">
        <f ca="1">- checked rotor roller pumps
- replaced rotor roller rubbers
- checked CALIBRATION parameters
- adjusted centrifuge full scale _xludf.value
- performed self test</f>
        <v>#NAME?</v>
      </c>
      <c r="AB441" s="2" t="s">
        <v>3837</v>
      </c>
      <c r="AD441" t="s">
        <v>3838</v>
      </c>
      <c r="AE441">
        <v>13739</v>
      </c>
      <c r="AG441" t="s">
        <v>3839</v>
      </c>
      <c r="AH441" t="s">
        <v>3840</v>
      </c>
      <c r="AI441" t="s">
        <v>3841</v>
      </c>
    </row>
    <row r="442" spans="2:35" ht="150">
      <c r="B442" s="1">
        <v>46069</v>
      </c>
      <c r="C442" s="1">
        <v>46066</v>
      </c>
      <c r="D442" t="s">
        <v>3833</v>
      </c>
      <c r="E442" t="s">
        <v>3834</v>
      </c>
      <c r="F442" t="s">
        <v>511</v>
      </c>
      <c r="G442" t="s">
        <v>512</v>
      </c>
      <c r="H442" t="s">
        <v>513</v>
      </c>
      <c r="I442" t="s">
        <v>40</v>
      </c>
      <c r="J442" s="2" t="s">
        <v>62</v>
      </c>
      <c r="K442" t="s">
        <v>387</v>
      </c>
      <c r="L442" t="s">
        <v>175</v>
      </c>
      <c r="N442" t="s">
        <v>176</v>
      </c>
      <c r="Q442">
        <v>32106</v>
      </c>
      <c r="R442" t="s">
        <v>322</v>
      </c>
      <c r="S442" t="s">
        <v>3578</v>
      </c>
      <c r="T442">
        <v>20</v>
      </c>
      <c r="V442" s="1">
        <v>46064</v>
      </c>
      <c r="W442" t="s">
        <v>390</v>
      </c>
      <c r="X442" t="s">
        <v>3835</v>
      </c>
      <c r="Y442" t="s">
        <v>998</v>
      </c>
      <c r="Z442" s="2" t="s">
        <v>3836</v>
      </c>
      <c r="AA442" t="e">
        <f ca="1">- checked rotor roller pumps
- replaced rotor roller rubbers
- checked CALIBRATION parameters
- adjusted centrifuge full scale _xludf.value
- performed self test</f>
        <v>#NAME?</v>
      </c>
      <c r="AB442" s="2" t="s">
        <v>3837</v>
      </c>
      <c r="AD442" t="s">
        <v>3838</v>
      </c>
      <c r="AE442">
        <v>13739</v>
      </c>
      <c r="AG442" t="s">
        <v>3842</v>
      </c>
      <c r="AH442" t="s">
        <v>3840</v>
      </c>
      <c r="AI442" t="s">
        <v>3843</v>
      </c>
    </row>
    <row r="443" spans="2:35" ht="255">
      <c r="B443" s="1">
        <v>46069</v>
      </c>
      <c r="C443" s="1">
        <v>46066</v>
      </c>
      <c r="D443" t="s">
        <v>3844</v>
      </c>
      <c r="E443" t="s">
        <v>3845</v>
      </c>
      <c r="F443" t="s">
        <v>148</v>
      </c>
      <c r="G443" t="s">
        <v>447</v>
      </c>
      <c r="H443" t="s">
        <v>39</v>
      </c>
      <c r="I443" t="s">
        <v>40</v>
      </c>
      <c r="J443" t="s">
        <v>109</v>
      </c>
      <c r="K443" t="s">
        <v>42</v>
      </c>
      <c r="L443" t="s">
        <v>43</v>
      </c>
      <c r="N443" t="s">
        <v>44</v>
      </c>
      <c r="O443" t="s">
        <v>3846</v>
      </c>
      <c r="Q443">
        <v>32105</v>
      </c>
      <c r="R443" t="s">
        <v>703</v>
      </c>
      <c r="S443" t="s">
        <v>3847</v>
      </c>
      <c r="T443">
        <v>23</v>
      </c>
      <c r="U443" s="2" t="s">
        <v>3848</v>
      </c>
      <c r="W443" t="s">
        <v>48</v>
      </c>
      <c r="X443">
        <v>840975</v>
      </c>
      <c r="Y443" t="s">
        <v>121</v>
      </c>
      <c r="Z443" t="s">
        <v>122</v>
      </c>
      <c r="AA443" s="2" t="s">
        <v>3849</v>
      </c>
      <c r="AB443" t="s">
        <v>548</v>
      </c>
      <c r="AG443" t="s">
        <v>3850</v>
      </c>
      <c r="AH443" t="s">
        <v>3851</v>
      </c>
      <c r="AI443" t="s">
        <v>3852</v>
      </c>
    </row>
    <row r="444" spans="2:35" ht="300">
      <c r="B444" s="1">
        <v>46068</v>
      </c>
      <c r="C444" s="1">
        <v>46065</v>
      </c>
      <c r="D444" t="s">
        <v>3853</v>
      </c>
      <c r="E444" t="s">
        <v>3854</v>
      </c>
      <c r="F444">
        <v>12</v>
      </c>
      <c r="G444" t="s">
        <v>2137</v>
      </c>
      <c r="H444" t="s">
        <v>39</v>
      </c>
      <c r="I444" t="s">
        <v>94</v>
      </c>
      <c r="J444" s="2" t="s">
        <v>62</v>
      </c>
      <c r="K444" t="s">
        <v>42</v>
      </c>
      <c r="L444" t="s">
        <v>296</v>
      </c>
      <c r="N444" t="s">
        <v>297</v>
      </c>
      <c r="Q444">
        <v>32103</v>
      </c>
      <c r="R444" t="s">
        <v>45</v>
      </c>
      <c r="S444" t="s">
        <v>3855</v>
      </c>
      <c r="T444">
        <v>23.4</v>
      </c>
      <c r="U444" s="2" t="s">
        <v>3856</v>
      </c>
      <c r="W444" t="s">
        <v>970</v>
      </c>
      <c r="X444">
        <v>120000483</v>
      </c>
      <c r="Y444" t="s">
        <v>2060</v>
      </c>
      <c r="Z444" s="2" t="s">
        <v>3857</v>
      </c>
      <c r="AA444" s="2" t="s">
        <v>3858</v>
      </c>
      <c r="AB444" s="2" t="s">
        <v>3859</v>
      </c>
      <c r="AG444" t="s">
        <v>3860</v>
      </c>
      <c r="AH444" t="s">
        <v>3861</v>
      </c>
      <c r="AI444" t="s">
        <v>3862</v>
      </c>
    </row>
    <row r="445" spans="2:35" ht="285">
      <c r="B445" s="1">
        <v>46068</v>
      </c>
      <c r="C445" s="1">
        <v>46064</v>
      </c>
      <c r="D445" t="s">
        <v>1471</v>
      </c>
      <c r="E445" t="s">
        <v>3863</v>
      </c>
      <c r="F445">
        <v>12</v>
      </c>
      <c r="G445" t="s">
        <v>978</v>
      </c>
      <c r="H445" t="s">
        <v>1473</v>
      </c>
      <c r="I445" t="s">
        <v>40</v>
      </c>
      <c r="J445" s="2" t="s">
        <v>41</v>
      </c>
      <c r="K445" t="s">
        <v>42</v>
      </c>
      <c r="L445" t="s">
        <v>296</v>
      </c>
      <c r="N445" t="s">
        <v>297</v>
      </c>
      <c r="Q445">
        <v>32104</v>
      </c>
      <c r="R445" t="s">
        <v>45</v>
      </c>
      <c r="S445" t="s">
        <v>1475</v>
      </c>
      <c r="T445">
        <v>25.6</v>
      </c>
      <c r="U445" s="2" t="s">
        <v>3864</v>
      </c>
      <c r="W445" t="s">
        <v>981</v>
      </c>
      <c r="X445">
        <v>707529</v>
      </c>
      <c r="Y445" t="s">
        <v>3865</v>
      </c>
      <c r="Z445" s="2" t="s">
        <v>3866</v>
      </c>
      <c r="AA445" t="s">
        <v>303</v>
      </c>
      <c r="AB445" t="s">
        <v>1480</v>
      </c>
      <c r="AG445" t="s">
        <v>3867</v>
      </c>
      <c r="AH445" t="s">
        <v>1482</v>
      </c>
      <c r="AI445" t="s">
        <v>3868</v>
      </c>
    </row>
    <row r="446" spans="2:35" ht="165">
      <c r="B446" s="1">
        <v>46066</v>
      </c>
      <c r="C446" s="1">
        <v>46066</v>
      </c>
      <c r="D446" t="s">
        <v>3869</v>
      </c>
      <c r="E446" t="s">
        <v>3870</v>
      </c>
      <c r="F446">
        <v>7</v>
      </c>
      <c r="G446" t="s">
        <v>432</v>
      </c>
      <c r="H446" t="s">
        <v>39</v>
      </c>
      <c r="I446" t="s">
        <v>40</v>
      </c>
      <c r="J446" s="2" t="s">
        <v>3871</v>
      </c>
      <c r="K446" t="s">
        <v>42</v>
      </c>
      <c r="L446" t="s">
        <v>433</v>
      </c>
      <c r="N446" t="s">
        <v>434</v>
      </c>
      <c r="Q446">
        <v>32102</v>
      </c>
      <c r="R446" t="s">
        <v>45</v>
      </c>
      <c r="S446" t="s">
        <v>3872</v>
      </c>
      <c r="T446">
        <v>28</v>
      </c>
      <c r="W446" t="s">
        <v>502</v>
      </c>
      <c r="X446">
        <v>805270</v>
      </c>
      <c r="Y446" t="s">
        <v>54</v>
      </c>
      <c r="Z446" s="2" t="s">
        <v>3873</v>
      </c>
      <c r="AA446" s="2" t="s">
        <v>3873</v>
      </c>
      <c r="AB446" t="s">
        <v>441</v>
      </c>
      <c r="AG446" t="s">
        <v>3874</v>
      </c>
      <c r="AH446" t="s">
        <v>3875</v>
      </c>
      <c r="AI446" t="s">
        <v>3876</v>
      </c>
    </row>
    <row r="447" spans="2:35" ht="225">
      <c r="B447" s="1">
        <v>46066</v>
      </c>
      <c r="C447" s="1">
        <v>46066</v>
      </c>
      <c r="D447" t="s">
        <v>3877</v>
      </c>
      <c r="E447" t="s">
        <v>3878</v>
      </c>
      <c r="F447" t="s">
        <v>1181</v>
      </c>
      <c r="G447" t="s">
        <v>1182</v>
      </c>
      <c r="H447" t="s">
        <v>1047</v>
      </c>
      <c r="I447" t="s">
        <v>40</v>
      </c>
      <c r="J447" s="2" t="s">
        <v>41</v>
      </c>
      <c r="K447" t="s">
        <v>42</v>
      </c>
      <c r="L447" t="s">
        <v>80</v>
      </c>
      <c r="N447" t="s">
        <v>81</v>
      </c>
      <c r="Q447">
        <v>32101</v>
      </c>
      <c r="R447" t="s">
        <v>45</v>
      </c>
      <c r="S447" t="s">
        <v>3879</v>
      </c>
      <c r="T447">
        <v>25</v>
      </c>
      <c r="U447" s="2" t="s">
        <v>3880</v>
      </c>
      <c r="V447" s="1">
        <v>46066</v>
      </c>
      <c r="W447" t="s">
        <v>84</v>
      </c>
      <c r="X447">
        <v>807454</v>
      </c>
      <c r="Y447" s="2" t="s">
        <v>3881</v>
      </c>
      <c r="Z447" t="s">
        <v>3882</v>
      </c>
      <c r="AA447" s="2" t="s">
        <v>3883</v>
      </c>
      <c r="AB447" t="s">
        <v>1188</v>
      </c>
      <c r="AD447" t="s">
        <v>3884</v>
      </c>
      <c r="AE447" t="s">
        <v>103</v>
      </c>
      <c r="AG447" t="s">
        <v>3885</v>
      </c>
      <c r="AH447" t="s">
        <v>3886</v>
      </c>
      <c r="AI447" t="s">
        <v>3887</v>
      </c>
    </row>
    <row r="448" spans="2:35" ht="180">
      <c r="B448" s="1">
        <v>46066</v>
      </c>
      <c r="C448" s="1">
        <v>46066</v>
      </c>
      <c r="D448" t="s">
        <v>1071</v>
      </c>
      <c r="E448" t="s">
        <v>1555</v>
      </c>
      <c r="F448">
        <v>7</v>
      </c>
      <c r="G448" t="s">
        <v>432</v>
      </c>
      <c r="H448" t="s">
        <v>150</v>
      </c>
      <c r="I448" t="s">
        <v>40</v>
      </c>
      <c r="J448" s="2" t="s">
        <v>3888</v>
      </c>
      <c r="K448" t="s">
        <v>42</v>
      </c>
      <c r="L448" t="s">
        <v>343</v>
      </c>
      <c r="N448" t="s">
        <v>344</v>
      </c>
      <c r="Q448">
        <v>32100</v>
      </c>
      <c r="R448" t="s">
        <v>119</v>
      </c>
      <c r="S448" t="s">
        <v>3889</v>
      </c>
      <c r="T448">
        <v>27</v>
      </c>
      <c r="U448" s="2" t="s">
        <v>3890</v>
      </c>
      <c r="W448" t="s">
        <v>1501</v>
      </c>
      <c r="X448">
        <v>838285</v>
      </c>
      <c r="Y448" t="s">
        <v>3891</v>
      </c>
      <c r="Z448" t="s">
        <v>301</v>
      </c>
      <c r="AA448" t="e">
        <f ca="1">-ARCHIVE tests
-Gather gxx Data</f>
        <v>#NAME?</v>
      </c>
      <c r="AB448" t="s">
        <v>1467</v>
      </c>
      <c r="AG448" t="s">
        <v>3892</v>
      </c>
      <c r="AH448" t="s">
        <v>3893</v>
      </c>
      <c r="AI448" t="s">
        <v>3894</v>
      </c>
    </row>
    <row r="449" spans="2:35" ht="180">
      <c r="B449" s="1">
        <v>46066</v>
      </c>
      <c r="C449" s="1">
        <v>46066</v>
      </c>
      <c r="D449" t="s">
        <v>1071</v>
      </c>
      <c r="E449" t="s">
        <v>1555</v>
      </c>
      <c r="F449">
        <v>7</v>
      </c>
      <c r="G449" t="s">
        <v>432</v>
      </c>
      <c r="H449" t="s">
        <v>150</v>
      </c>
      <c r="I449" t="s">
        <v>40</v>
      </c>
      <c r="J449" s="2" t="s">
        <v>3888</v>
      </c>
      <c r="K449" t="s">
        <v>42</v>
      </c>
      <c r="L449" t="s">
        <v>343</v>
      </c>
      <c r="N449" t="s">
        <v>344</v>
      </c>
      <c r="Q449">
        <v>32099</v>
      </c>
      <c r="R449" t="s">
        <v>119</v>
      </c>
      <c r="S449" t="s">
        <v>3889</v>
      </c>
      <c r="T449">
        <v>27</v>
      </c>
      <c r="U449" s="2" t="s">
        <v>3890</v>
      </c>
      <c r="W449" t="s">
        <v>1501</v>
      </c>
      <c r="X449">
        <v>838285</v>
      </c>
      <c r="Y449" t="s">
        <v>3891</v>
      </c>
      <c r="Z449" t="s">
        <v>301</v>
      </c>
      <c r="AA449" t="e">
        <f ca="1">-Gather gxx file</f>
        <v>#NAME?</v>
      </c>
      <c r="AB449" t="s">
        <v>1467</v>
      </c>
      <c r="AG449" t="s">
        <v>3895</v>
      </c>
      <c r="AH449" t="s">
        <v>3893</v>
      </c>
      <c r="AI449" t="s">
        <v>3896</v>
      </c>
    </row>
    <row r="450" spans="2:35" ht="255">
      <c r="B450" s="1">
        <v>46066</v>
      </c>
      <c r="C450" s="1">
        <v>46064</v>
      </c>
      <c r="D450" t="s">
        <v>3897</v>
      </c>
      <c r="E450" t="s">
        <v>174</v>
      </c>
      <c r="F450">
        <v>3</v>
      </c>
      <c r="G450" t="s">
        <v>174</v>
      </c>
      <c r="H450" t="s">
        <v>39</v>
      </c>
      <c r="I450" t="s">
        <v>40</v>
      </c>
      <c r="J450" t="s">
        <v>525</v>
      </c>
      <c r="K450" t="s">
        <v>42</v>
      </c>
      <c r="L450" t="s">
        <v>175</v>
      </c>
      <c r="N450" t="s">
        <v>176</v>
      </c>
      <c r="Q450">
        <v>32098</v>
      </c>
      <c r="R450" t="s">
        <v>95</v>
      </c>
      <c r="S450" t="s">
        <v>3898</v>
      </c>
      <c r="T450">
        <v>27</v>
      </c>
      <c r="W450" t="s">
        <v>84</v>
      </c>
      <c r="X450">
        <v>11008530</v>
      </c>
      <c r="Y450" t="s">
        <v>3899</v>
      </c>
      <c r="Z450" t="s">
        <v>3900</v>
      </c>
      <c r="AA450" t="e">
        <f ca="1">- re-installed printer driver
- Reset ink cartridges
- uninstalled colored cartridge
- print test page</f>
        <v>#NAME?</v>
      </c>
      <c r="AB450" s="2" t="s">
        <v>3901</v>
      </c>
      <c r="AG450" t="s">
        <v>3902</v>
      </c>
      <c r="AH450" t="s">
        <v>3903</v>
      </c>
      <c r="AI450" t="s">
        <v>3904</v>
      </c>
    </row>
    <row r="451" spans="2:35" ht="225">
      <c r="B451" s="1">
        <v>46066</v>
      </c>
      <c r="C451" s="1">
        <v>46065</v>
      </c>
      <c r="D451" t="s">
        <v>3905</v>
      </c>
      <c r="E451" t="s">
        <v>2347</v>
      </c>
      <c r="F451" t="s">
        <v>148</v>
      </c>
      <c r="G451" t="s">
        <v>406</v>
      </c>
      <c r="H451" t="s">
        <v>39</v>
      </c>
      <c r="I451" t="s">
        <v>40</v>
      </c>
      <c r="J451" t="s">
        <v>109</v>
      </c>
      <c r="K451" t="s">
        <v>42</v>
      </c>
      <c r="L451" t="s">
        <v>43</v>
      </c>
      <c r="N451" t="s">
        <v>44</v>
      </c>
      <c r="Q451">
        <v>32097</v>
      </c>
      <c r="R451" t="s">
        <v>45</v>
      </c>
      <c r="S451" t="s">
        <v>3906</v>
      </c>
      <c r="T451">
        <v>24</v>
      </c>
      <c r="U451" s="2" t="s">
        <v>3907</v>
      </c>
      <c r="W451" t="s">
        <v>48</v>
      </c>
      <c r="X451">
        <v>814372</v>
      </c>
      <c r="Y451" t="s">
        <v>121</v>
      </c>
      <c r="Z451" t="s">
        <v>122</v>
      </c>
      <c r="AA451" s="2" t="s">
        <v>3908</v>
      </c>
      <c r="AB451" t="s">
        <v>548</v>
      </c>
      <c r="AG451" t="s">
        <v>3909</v>
      </c>
      <c r="AH451" t="s">
        <v>3910</v>
      </c>
      <c r="AI451" t="s">
        <v>3911</v>
      </c>
    </row>
    <row r="452" spans="2:35" ht="330">
      <c r="B452" s="1">
        <v>46065</v>
      </c>
      <c r="C452" s="1">
        <v>46064</v>
      </c>
      <c r="D452" t="s">
        <v>3912</v>
      </c>
      <c r="E452" t="s">
        <v>3913</v>
      </c>
      <c r="F452">
        <v>6</v>
      </c>
      <c r="G452" t="s">
        <v>1234</v>
      </c>
      <c r="H452" t="s">
        <v>258</v>
      </c>
      <c r="I452" t="s">
        <v>94</v>
      </c>
      <c r="J452" s="2" t="s">
        <v>41</v>
      </c>
      <c r="K452" t="s">
        <v>42</v>
      </c>
      <c r="L452" t="s">
        <v>594</v>
      </c>
      <c r="N452" t="s">
        <v>595</v>
      </c>
      <c r="O452" t="s">
        <v>595</v>
      </c>
      <c r="Q452">
        <v>32096</v>
      </c>
      <c r="R452" t="s">
        <v>45</v>
      </c>
      <c r="S452" t="s">
        <v>3914</v>
      </c>
      <c r="T452">
        <v>23</v>
      </c>
      <c r="W452" t="s">
        <v>3915</v>
      </c>
      <c r="X452">
        <v>807614</v>
      </c>
      <c r="Y452" t="s">
        <v>3916</v>
      </c>
      <c r="Z452" s="2" t="s">
        <v>3917</v>
      </c>
      <c r="AA452" t="s">
        <v>3918</v>
      </c>
      <c r="AB452" t="s">
        <v>1813</v>
      </c>
      <c r="AG452" t="s">
        <v>3919</v>
      </c>
      <c r="AH452" t="s">
        <v>3920</v>
      </c>
      <c r="AI452" t="s">
        <v>3921</v>
      </c>
    </row>
    <row r="453" spans="2:35" ht="409.5">
      <c r="B453" s="1">
        <v>46065</v>
      </c>
      <c r="C453" s="1">
        <v>46065</v>
      </c>
      <c r="D453" t="s">
        <v>647</v>
      </c>
      <c r="E453" t="s">
        <v>661</v>
      </c>
      <c r="F453" t="s">
        <v>148</v>
      </c>
      <c r="G453" t="s">
        <v>447</v>
      </c>
      <c r="H453" t="s">
        <v>39</v>
      </c>
      <c r="I453" t="s">
        <v>40</v>
      </c>
      <c r="J453" s="2" t="s">
        <v>190</v>
      </c>
      <c r="K453" t="s">
        <v>42</v>
      </c>
      <c r="L453" t="s">
        <v>448</v>
      </c>
      <c r="N453" t="s">
        <v>650</v>
      </c>
      <c r="Q453">
        <v>32095</v>
      </c>
      <c r="R453" t="s">
        <v>95</v>
      </c>
      <c r="S453" t="s">
        <v>3922</v>
      </c>
      <c r="T453">
        <v>26</v>
      </c>
      <c r="U453" s="2" t="s">
        <v>3923</v>
      </c>
      <c r="W453" t="s">
        <v>3924</v>
      </c>
      <c r="X453">
        <v>839306</v>
      </c>
      <c r="Y453" s="2" t="s">
        <v>3925</v>
      </c>
      <c r="Z453" s="2" t="s">
        <v>3926</v>
      </c>
      <c r="AA453" s="2" t="s">
        <v>3927</v>
      </c>
      <c r="AB453" s="2" t="s">
        <v>3928</v>
      </c>
      <c r="AC453" t="s">
        <v>3929</v>
      </c>
      <c r="AG453" t="s">
        <v>3930</v>
      </c>
      <c r="AH453" t="s">
        <v>3931</v>
      </c>
      <c r="AI453" t="s">
        <v>3932</v>
      </c>
    </row>
    <row r="454" spans="2:35" ht="165">
      <c r="B454" s="1">
        <v>46065</v>
      </c>
      <c r="C454" s="1">
        <v>46065</v>
      </c>
      <c r="D454" t="s">
        <v>1179</v>
      </c>
      <c r="E454" t="s">
        <v>1180</v>
      </c>
      <c r="F454" t="s">
        <v>1181</v>
      </c>
      <c r="G454" t="s">
        <v>1182</v>
      </c>
      <c r="H454" t="s">
        <v>39</v>
      </c>
      <c r="I454" t="s">
        <v>40</v>
      </c>
      <c r="J454" s="2" t="s">
        <v>1006</v>
      </c>
      <c r="K454" t="s">
        <v>42</v>
      </c>
      <c r="L454" t="s">
        <v>80</v>
      </c>
      <c r="N454" t="s">
        <v>1641</v>
      </c>
      <c r="Q454">
        <v>32094</v>
      </c>
      <c r="R454" t="s">
        <v>45</v>
      </c>
      <c r="S454" t="s">
        <v>3933</v>
      </c>
      <c r="T454">
        <v>24</v>
      </c>
      <c r="U454" s="2" t="s">
        <v>3934</v>
      </c>
      <c r="V454" s="1">
        <v>46065</v>
      </c>
      <c r="W454" t="s">
        <v>84</v>
      </c>
      <c r="X454">
        <v>807671</v>
      </c>
      <c r="Y454" t="s">
        <v>3935</v>
      </c>
      <c r="Z454" t="s">
        <v>99</v>
      </c>
      <c r="AA454" s="2" t="s">
        <v>3936</v>
      </c>
      <c r="AB454" s="2" t="s">
        <v>3937</v>
      </c>
      <c r="AD454" t="s">
        <v>948</v>
      </c>
      <c r="AE454" t="s">
        <v>103</v>
      </c>
      <c r="AG454" t="s">
        <v>3938</v>
      </c>
      <c r="AH454" t="s">
        <v>1191</v>
      </c>
      <c r="AI454" t="s">
        <v>3939</v>
      </c>
    </row>
    <row r="455" spans="2:35" ht="360">
      <c r="B455" s="1">
        <v>46065</v>
      </c>
      <c r="C455" s="1">
        <v>46065</v>
      </c>
      <c r="D455" t="s">
        <v>1757</v>
      </c>
      <c r="E455" t="s">
        <v>3940</v>
      </c>
      <c r="F455">
        <v>11</v>
      </c>
      <c r="G455" t="s">
        <v>1759</v>
      </c>
      <c r="H455" t="s">
        <v>202</v>
      </c>
      <c r="I455" t="s">
        <v>94</v>
      </c>
      <c r="J455" s="2" t="s">
        <v>62</v>
      </c>
      <c r="K455" t="s">
        <v>42</v>
      </c>
      <c r="L455" t="s">
        <v>204</v>
      </c>
      <c r="N455" t="s">
        <v>205</v>
      </c>
      <c r="Q455">
        <v>32093</v>
      </c>
      <c r="R455" t="s">
        <v>45</v>
      </c>
      <c r="S455" t="s">
        <v>1760</v>
      </c>
      <c r="T455">
        <v>28.6</v>
      </c>
      <c r="U455" s="2" t="s">
        <v>3941</v>
      </c>
      <c r="W455" t="s">
        <v>208</v>
      </c>
      <c r="X455">
        <v>808624</v>
      </c>
      <c r="Y455" t="s">
        <v>1618</v>
      </c>
      <c r="Z455" s="2" t="s">
        <v>3942</v>
      </c>
      <c r="AA455" t="s">
        <v>1620</v>
      </c>
      <c r="AB455" s="2" t="s">
        <v>3943</v>
      </c>
      <c r="AC455" t="s">
        <v>3944</v>
      </c>
      <c r="AG455" t="s">
        <v>3945</v>
      </c>
      <c r="AH455" t="s">
        <v>3946</v>
      </c>
      <c r="AI455" t="s">
        <v>3947</v>
      </c>
    </row>
    <row r="456" spans="2:35" ht="409.5">
      <c r="B456" s="1">
        <v>46065</v>
      </c>
      <c r="C456" s="1">
        <v>46064</v>
      </c>
      <c r="D456" t="s">
        <v>1442</v>
      </c>
      <c r="E456" t="s">
        <v>1443</v>
      </c>
      <c r="F456">
        <v>7</v>
      </c>
      <c r="G456" t="s">
        <v>432</v>
      </c>
      <c r="H456" t="s">
        <v>608</v>
      </c>
      <c r="I456" t="s">
        <v>40</v>
      </c>
      <c r="J456" t="s">
        <v>79</v>
      </c>
      <c r="K456" t="s">
        <v>42</v>
      </c>
      <c r="L456" t="s">
        <v>610</v>
      </c>
      <c r="N456" t="s">
        <v>611</v>
      </c>
      <c r="O456" t="s">
        <v>1445</v>
      </c>
      <c r="Q456">
        <v>32092</v>
      </c>
      <c r="R456" t="s">
        <v>45</v>
      </c>
      <c r="S456" t="s">
        <v>1445</v>
      </c>
      <c r="T456">
        <v>23</v>
      </c>
      <c r="U456" s="2" t="s">
        <v>3948</v>
      </c>
      <c r="W456" t="s">
        <v>360</v>
      </c>
      <c r="X456">
        <v>808638</v>
      </c>
      <c r="Y456" s="2" t="s">
        <v>3949</v>
      </c>
      <c r="Z456" s="2" t="s">
        <v>3950</v>
      </c>
      <c r="AA456" t="s">
        <v>3951</v>
      </c>
      <c r="AB456" t="s">
        <v>3952</v>
      </c>
      <c r="AG456" t="s">
        <v>3953</v>
      </c>
      <c r="AH456" t="s">
        <v>1453</v>
      </c>
      <c r="AI456" t="s">
        <v>3954</v>
      </c>
    </row>
    <row r="457" spans="2:35" ht="315">
      <c r="B457" s="1">
        <v>46065</v>
      </c>
      <c r="C457" s="1">
        <v>46065</v>
      </c>
      <c r="D457" t="s">
        <v>556</v>
      </c>
      <c r="E457" t="s">
        <v>2347</v>
      </c>
      <c r="F457" t="s">
        <v>148</v>
      </c>
      <c r="G457" t="s">
        <v>406</v>
      </c>
      <c r="H457" t="s">
        <v>39</v>
      </c>
      <c r="I457" t="s">
        <v>40</v>
      </c>
      <c r="J457" t="s">
        <v>109</v>
      </c>
      <c r="K457" t="s">
        <v>42</v>
      </c>
      <c r="L457" t="s">
        <v>43</v>
      </c>
      <c r="N457" t="s">
        <v>44</v>
      </c>
      <c r="Q457">
        <v>32091</v>
      </c>
      <c r="R457" t="s">
        <v>119</v>
      </c>
      <c r="S457" t="s">
        <v>558</v>
      </c>
      <c r="T457">
        <v>22</v>
      </c>
      <c r="U457" s="2" t="s">
        <v>3955</v>
      </c>
      <c r="W457" t="s">
        <v>48</v>
      </c>
      <c r="X457">
        <v>831638</v>
      </c>
      <c r="Y457" t="s">
        <v>121</v>
      </c>
      <c r="Z457" t="s">
        <v>122</v>
      </c>
      <c r="AA457" s="2" t="s">
        <v>3908</v>
      </c>
      <c r="AB457" t="s">
        <v>3956</v>
      </c>
      <c r="AG457" t="s">
        <v>3957</v>
      </c>
      <c r="AH457" t="s">
        <v>563</v>
      </c>
      <c r="AI457" t="s">
        <v>3958</v>
      </c>
    </row>
    <row r="458" spans="2:35" ht="225">
      <c r="B458" s="1">
        <v>46065</v>
      </c>
      <c r="C458" s="1">
        <v>46064</v>
      </c>
      <c r="D458" t="s">
        <v>3959</v>
      </c>
      <c r="E458" t="s">
        <v>3960</v>
      </c>
      <c r="F458">
        <v>9</v>
      </c>
      <c r="G458" t="s">
        <v>2197</v>
      </c>
      <c r="H458" t="s">
        <v>39</v>
      </c>
      <c r="I458" t="s">
        <v>94</v>
      </c>
      <c r="J458" s="2" t="s">
        <v>62</v>
      </c>
      <c r="K458" t="s">
        <v>42</v>
      </c>
      <c r="L458" t="s">
        <v>1257</v>
      </c>
      <c r="N458" t="s">
        <v>1258</v>
      </c>
      <c r="O458" t="s">
        <v>1258</v>
      </c>
      <c r="Q458">
        <v>32090</v>
      </c>
      <c r="R458" t="s">
        <v>45</v>
      </c>
      <c r="S458" t="s">
        <v>3961</v>
      </c>
      <c r="T458">
        <v>27</v>
      </c>
      <c r="U458" s="2" t="s">
        <v>3962</v>
      </c>
      <c r="V458" s="1">
        <v>46064</v>
      </c>
      <c r="W458" t="s">
        <v>1261</v>
      </c>
      <c r="X458">
        <v>808626</v>
      </c>
      <c r="Y458" t="s">
        <v>3963</v>
      </c>
      <c r="Z458" s="2" t="s">
        <v>3964</v>
      </c>
      <c r="AA458" s="2" t="s">
        <v>3964</v>
      </c>
      <c r="AB458" t="s">
        <v>3965</v>
      </c>
      <c r="AC458" t="s">
        <v>3966</v>
      </c>
      <c r="AD458" t="s">
        <v>1716</v>
      </c>
      <c r="AE458" t="s">
        <v>54</v>
      </c>
      <c r="AG458" t="s">
        <v>3967</v>
      </c>
      <c r="AH458" t="s">
        <v>3968</v>
      </c>
      <c r="AI458" t="s">
        <v>3969</v>
      </c>
    </row>
    <row r="459" spans="2:35" ht="165">
      <c r="B459" s="1">
        <v>46065</v>
      </c>
      <c r="C459" s="1">
        <v>46065</v>
      </c>
      <c r="D459" t="s">
        <v>3970</v>
      </c>
      <c r="E459" t="s">
        <v>3971</v>
      </c>
      <c r="F459">
        <v>9</v>
      </c>
      <c r="G459" t="s">
        <v>2197</v>
      </c>
      <c r="H459" t="s">
        <v>39</v>
      </c>
      <c r="I459" t="s">
        <v>40</v>
      </c>
      <c r="J459" s="2" t="s">
        <v>41</v>
      </c>
      <c r="K459" t="s">
        <v>42</v>
      </c>
      <c r="L459" t="s">
        <v>1257</v>
      </c>
      <c r="N459" t="s">
        <v>1258</v>
      </c>
      <c r="O459" t="s">
        <v>1258</v>
      </c>
      <c r="Q459">
        <v>32089</v>
      </c>
      <c r="R459" t="s">
        <v>119</v>
      </c>
      <c r="S459" t="s">
        <v>3972</v>
      </c>
      <c r="T459">
        <v>22</v>
      </c>
      <c r="U459" s="2" t="s">
        <v>3973</v>
      </c>
      <c r="V459" s="1">
        <v>46065</v>
      </c>
      <c r="W459" t="s">
        <v>3974</v>
      </c>
      <c r="X459">
        <v>838233</v>
      </c>
      <c r="Y459" t="s">
        <v>3975</v>
      </c>
      <c r="Z459" t="s">
        <v>3976</v>
      </c>
      <c r="AA459" t="s">
        <v>3976</v>
      </c>
      <c r="AB459" s="2" t="s">
        <v>3977</v>
      </c>
      <c r="AC459" t="s">
        <v>301</v>
      </c>
      <c r="AD459" t="s">
        <v>54</v>
      </c>
      <c r="AE459" t="s">
        <v>54</v>
      </c>
      <c r="AG459" t="s">
        <v>3978</v>
      </c>
      <c r="AH459" t="s">
        <v>3979</v>
      </c>
      <c r="AI459" t="s">
        <v>3980</v>
      </c>
    </row>
    <row r="460" spans="2:35" ht="330">
      <c r="B460" s="1">
        <v>46065</v>
      </c>
      <c r="C460" s="1">
        <v>46064</v>
      </c>
      <c r="D460" t="s">
        <v>660</v>
      </c>
      <c r="E460" t="s">
        <v>2569</v>
      </c>
      <c r="F460" t="s">
        <v>148</v>
      </c>
      <c r="G460" t="s">
        <v>447</v>
      </c>
      <c r="H460" t="s">
        <v>662</v>
      </c>
      <c r="I460" t="s">
        <v>94</v>
      </c>
      <c r="J460" t="s">
        <v>79</v>
      </c>
      <c r="K460" t="s">
        <v>42</v>
      </c>
      <c r="L460" t="s">
        <v>448</v>
      </c>
      <c r="N460" t="s">
        <v>650</v>
      </c>
      <c r="O460" t="s">
        <v>663</v>
      </c>
      <c r="Q460">
        <v>32088</v>
      </c>
      <c r="R460" t="s">
        <v>45</v>
      </c>
      <c r="S460" t="s">
        <v>664</v>
      </c>
      <c r="T460">
        <v>26</v>
      </c>
      <c r="U460" s="2" t="s">
        <v>3981</v>
      </c>
      <c r="W460" t="s">
        <v>666</v>
      </c>
      <c r="X460">
        <v>803109</v>
      </c>
      <c r="Y460" s="2" t="s">
        <v>3982</v>
      </c>
      <c r="Z460" s="2" t="s">
        <v>3983</v>
      </c>
      <c r="AA460" t="s">
        <v>456</v>
      </c>
      <c r="AB460" s="2" t="s">
        <v>3984</v>
      </c>
      <c r="AG460" t="s">
        <v>3985</v>
      </c>
      <c r="AH460" t="s">
        <v>672</v>
      </c>
      <c r="AI460" t="s">
        <v>3986</v>
      </c>
    </row>
    <row r="461" spans="2:35" ht="240">
      <c r="B461" s="1">
        <v>46065</v>
      </c>
      <c r="C461" s="1">
        <v>46064</v>
      </c>
      <c r="D461" t="s">
        <v>660</v>
      </c>
      <c r="E461" t="s">
        <v>2569</v>
      </c>
      <c r="F461" t="s">
        <v>148</v>
      </c>
      <c r="G461" t="s">
        <v>447</v>
      </c>
      <c r="H461" t="s">
        <v>662</v>
      </c>
      <c r="I461" t="s">
        <v>40</v>
      </c>
      <c r="J461" t="s">
        <v>109</v>
      </c>
      <c r="K461" t="s">
        <v>649</v>
      </c>
      <c r="L461" t="s">
        <v>448</v>
      </c>
      <c r="N461" t="s">
        <v>650</v>
      </c>
      <c r="Q461">
        <v>32087</v>
      </c>
      <c r="R461" t="s">
        <v>322</v>
      </c>
      <c r="S461" t="s">
        <v>3987</v>
      </c>
      <c r="T461">
        <v>26</v>
      </c>
      <c r="W461" t="s">
        <v>3988</v>
      </c>
      <c r="X461">
        <v>75004081</v>
      </c>
      <c r="Y461" t="s">
        <v>485</v>
      </c>
      <c r="Z461" s="2" t="s">
        <v>3989</v>
      </c>
      <c r="AA461" t="s">
        <v>122</v>
      </c>
      <c r="AB461" t="s">
        <v>486</v>
      </c>
      <c r="AG461" t="s">
        <v>3990</v>
      </c>
      <c r="AH461" t="s">
        <v>3991</v>
      </c>
      <c r="AI461" t="s">
        <v>3992</v>
      </c>
    </row>
    <row r="462" spans="2:35" ht="409.5">
      <c r="B462" s="1">
        <v>46064</v>
      </c>
      <c r="C462" s="1">
        <v>46064</v>
      </c>
      <c r="D462" t="s">
        <v>1099</v>
      </c>
      <c r="E462" t="s">
        <v>3993</v>
      </c>
      <c r="F462" t="s">
        <v>148</v>
      </c>
      <c r="G462" t="s">
        <v>406</v>
      </c>
      <c r="H462" t="s">
        <v>3994</v>
      </c>
      <c r="I462" t="s">
        <v>94</v>
      </c>
      <c r="J462" s="2" t="s">
        <v>62</v>
      </c>
      <c r="K462" t="s">
        <v>42</v>
      </c>
      <c r="L462" t="s">
        <v>43</v>
      </c>
      <c r="N462" t="s">
        <v>44</v>
      </c>
      <c r="O462" t="s">
        <v>1091</v>
      </c>
      <c r="Q462">
        <v>32085</v>
      </c>
      <c r="R462" t="s">
        <v>95</v>
      </c>
      <c r="S462" t="s">
        <v>1092</v>
      </c>
      <c r="T462">
        <v>24</v>
      </c>
      <c r="U462" s="2" t="s">
        <v>3995</v>
      </c>
      <c r="V462" s="1">
        <v>46058</v>
      </c>
      <c r="W462" t="s">
        <v>48</v>
      </c>
      <c r="X462">
        <v>839231</v>
      </c>
      <c r="Y462" t="s">
        <v>1111</v>
      </c>
      <c r="Z462" t="s">
        <v>1519</v>
      </c>
      <c r="AA462" s="2" t="s">
        <v>3341</v>
      </c>
      <c r="AB462" t="s">
        <v>3996</v>
      </c>
      <c r="AD462" t="s">
        <v>3997</v>
      </c>
      <c r="AE462" t="s">
        <v>3998</v>
      </c>
      <c r="AF462" t="s">
        <v>43</v>
      </c>
      <c r="AG462" t="s">
        <v>3999</v>
      </c>
      <c r="AH462" t="s">
        <v>4000</v>
      </c>
      <c r="AI462" t="s">
        <v>4001</v>
      </c>
    </row>
    <row r="463" spans="2:35" ht="409.5">
      <c r="B463" s="1">
        <v>46064</v>
      </c>
      <c r="C463" s="1">
        <v>46064</v>
      </c>
      <c r="D463" t="s">
        <v>1099</v>
      </c>
      <c r="E463" t="s">
        <v>4002</v>
      </c>
      <c r="F463" t="s">
        <v>148</v>
      </c>
      <c r="G463" t="s">
        <v>406</v>
      </c>
      <c r="H463" t="s">
        <v>3994</v>
      </c>
      <c r="I463" t="s">
        <v>40</v>
      </c>
      <c r="J463" s="2" t="s">
        <v>62</v>
      </c>
      <c r="K463" t="s">
        <v>42</v>
      </c>
      <c r="L463" t="s">
        <v>43</v>
      </c>
      <c r="N463" t="s">
        <v>44</v>
      </c>
      <c r="O463" t="s">
        <v>1091</v>
      </c>
      <c r="Q463">
        <v>32086</v>
      </c>
      <c r="R463" t="s">
        <v>95</v>
      </c>
      <c r="S463" t="s">
        <v>1092</v>
      </c>
      <c r="T463">
        <v>24</v>
      </c>
      <c r="U463" s="2" t="s">
        <v>4003</v>
      </c>
      <c r="V463" s="1">
        <v>46058</v>
      </c>
      <c r="W463" t="s">
        <v>153</v>
      </c>
      <c r="X463">
        <v>120002383</v>
      </c>
      <c r="Y463" t="s">
        <v>1111</v>
      </c>
      <c r="Z463" t="s">
        <v>999</v>
      </c>
      <c r="AA463" s="2" t="s">
        <v>3341</v>
      </c>
      <c r="AB463" t="s">
        <v>1521</v>
      </c>
      <c r="AD463" t="s">
        <v>3997</v>
      </c>
      <c r="AE463" t="s">
        <v>3998</v>
      </c>
      <c r="AF463" t="s">
        <v>43</v>
      </c>
      <c r="AG463" t="s">
        <v>4004</v>
      </c>
      <c r="AH463" t="s">
        <v>4000</v>
      </c>
      <c r="AI463" t="s">
        <v>4005</v>
      </c>
    </row>
    <row r="464" spans="2:35" ht="60">
      <c r="B464" s="1">
        <v>46064</v>
      </c>
      <c r="C464" s="1">
        <v>46064</v>
      </c>
      <c r="D464" t="s">
        <v>4006</v>
      </c>
      <c r="E464" t="s">
        <v>4007</v>
      </c>
      <c r="F464">
        <v>6</v>
      </c>
      <c r="G464" t="s">
        <v>1286</v>
      </c>
      <c r="H464" t="s">
        <v>1498</v>
      </c>
      <c r="I464" t="s">
        <v>40</v>
      </c>
      <c r="J464" s="2" t="s">
        <v>62</v>
      </c>
      <c r="K464" t="s">
        <v>42</v>
      </c>
      <c r="L464" t="s">
        <v>343</v>
      </c>
      <c r="N464" t="s">
        <v>344</v>
      </c>
      <c r="Q464">
        <v>32084</v>
      </c>
      <c r="R464" t="s">
        <v>45</v>
      </c>
      <c r="S464" t="s">
        <v>4008</v>
      </c>
      <c r="T464">
        <v>27</v>
      </c>
      <c r="W464" t="s">
        <v>1501</v>
      </c>
      <c r="X464">
        <v>805079</v>
      </c>
      <c r="Y464" t="s">
        <v>3191</v>
      </c>
      <c r="Z464" t="e">
        <f ca="1">-run XpertCheck on ALL four modules</f>
        <v>#NAME?</v>
      </c>
      <c r="AA464" t="e">
        <f ca="1">-Preventive Maintenance
-XpertCheck CALIBRATION</f>
        <v>#NAME?</v>
      </c>
      <c r="AB464" t="s">
        <v>4009</v>
      </c>
      <c r="AG464" t="s">
        <v>4010</v>
      </c>
      <c r="AH464" t="s">
        <v>4011</v>
      </c>
      <c r="AI464" t="s">
        <v>4012</v>
      </c>
    </row>
    <row r="465" spans="2:35" ht="120">
      <c r="B465" s="1">
        <v>46064</v>
      </c>
      <c r="C465" s="1">
        <v>46064</v>
      </c>
      <c r="D465" t="s">
        <v>4013</v>
      </c>
      <c r="E465" t="s">
        <v>4014</v>
      </c>
      <c r="F465">
        <v>13</v>
      </c>
      <c r="G465" t="s">
        <v>4015</v>
      </c>
      <c r="H465" t="s">
        <v>2125</v>
      </c>
      <c r="I465" t="s">
        <v>40</v>
      </c>
      <c r="J465" s="2" t="s">
        <v>62</v>
      </c>
      <c r="K465" t="s">
        <v>42</v>
      </c>
      <c r="L465" t="s">
        <v>933</v>
      </c>
      <c r="N465" t="s">
        <v>934</v>
      </c>
      <c r="Q465">
        <v>32083</v>
      </c>
      <c r="R465" t="s">
        <v>45</v>
      </c>
      <c r="S465" t="s">
        <v>4016</v>
      </c>
      <c r="T465">
        <v>27</v>
      </c>
      <c r="W465" t="s">
        <v>2591</v>
      </c>
      <c r="X465">
        <v>110013918</v>
      </c>
      <c r="Y465" t="s">
        <v>301</v>
      </c>
      <c r="Z465" t="s">
        <v>301</v>
      </c>
      <c r="AA465" s="2" t="s">
        <v>2397</v>
      </c>
      <c r="AB465" t="s">
        <v>2131</v>
      </c>
      <c r="AG465" t="s">
        <v>4017</v>
      </c>
      <c r="AH465" t="s">
        <v>4018</v>
      </c>
      <c r="AI465" t="s">
        <v>4019</v>
      </c>
    </row>
    <row r="466" spans="2:35" ht="409.5">
      <c r="B466" s="1">
        <v>46064</v>
      </c>
      <c r="C466" s="1">
        <v>46064</v>
      </c>
      <c r="D466" t="s">
        <v>4020</v>
      </c>
      <c r="E466" t="s">
        <v>4021</v>
      </c>
      <c r="F466">
        <v>11</v>
      </c>
      <c r="G466" t="s">
        <v>1205</v>
      </c>
      <c r="H466" t="s">
        <v>202</v>
      </c>
      <c r="I466" t="s">
        <v>94</v>
      </c>
      <c r="J466" s="2" t="s">
        <v>41</v>
      </c>
      <c r="K466" t="s">
        <v>42</v>
      </c>
      <c r="L466" t="s">
        <v>204</v>
      </c>
      <c r="N466" t="s">
        <v>205</v>
      </c>
      <c r="Q466">
        <v>32082</v>
      </c>
      <c r="R466" t="s">
        <v>45</v>
      </c>
      <c r="S466" t="s">
        <v>4022</v>
      </c>
      <c r="T466">
        <v>22.5</v>
      </c>
      <c r="U466" s="2" t="s">
        <v>4023</v>
      </c>
      <c r="V466" s="1">
        <v>46050</v>
      </c>
      <c r="W466" t="s">
        <v>208</v>
      </c>
      <c r="X466">
        <v>807464</v>
      </c>
      <c r="Y466" s="2" t="s">
        <v>4024</v>
      </c>
      <c r="Z466" s="2" t="s">
        <v>4025</v>
      </c>
      <c r="AA466" s="2" t="s">
        <v>4026</v>
      </c>
      <c r="AB466" s="2" t="s">
        <v>4027</v>
      </c>
      <c r="AC466" t="s">
        <v>4028</v>
      </c>
      <c r="AD466" t="s">
        <v>4029</v>
      </c>
      <c r="AE466" t="s">
        <v>4030</v>
      </c>
      <c r="AG466" t="s">
        <v>4031</v>
      </c>
      <c r="AH466" t="s">
        <v>4032</v>
      </c>
      <c r="AI466" t="s">
        <v>4033</v>
      </c>
    </row>
    <row r="467" spans="2:35" ht="255">
      <c r="B467" s="1">
        <v>46064</v>
      </c>
      <c r="C467" s="1">
        <v>46064</v>
      </c>
      <c r="D467" t="s">
        <v>4034</v>
      </c>
      <c r="E467" t="s">
        <v>4035</v>
      </c>
      <c r="F467">
        <v>9</v>
      </c>
      <c r="G467" t="s">
        <v>2197</v>
      </c>
      <c r="H467" t="s">
        <v>39</v>
      </c>
      <c r="I467" t="s">
        <v>94</v>
      </c>
      <c r="J467" s="2" t="s">
        <v>62</v>
      </c>
      <c r="K467" t="s">
        <v>42</v>
      </c>
      <c r="L467" t="s">
        <v>1257</v>
      </c>
      <c r="N467" t="s">
        <v>1258</v>
      </c>
      <c r="O467" t="s">
        <v>1258</v>
      </c>
      <c r="Q467">
        <v>32081</v>
      </c>
      <c r="R467" t="s">
        <v>45</v>
      </c>
      <c r="S467" t="s">
        <v>3961</v>
      </c>
      <c r="T467">
        <v>28</v>
      </c>
      <c r="U467" s="2" t="s">
        <v>3962</v>
      </c>
      <c r="V467" s="1">
        <v>46064</v>
      </c>
      <c r="W467" t="s">
        <v>1261</v>
      </c>
      <c r="X467">
        <v>808626</v>
      </c>
      <c r="Y467" t="s">
        <v>4036</v>
      </c>
      <c r="Z467" s="2" t="s">
        <v>4037</v>
      </c>
      <c r="AA467" s="2" t="s">
        <v>4037</v>
      </c>
      <c r="AB467" s="2" t="s">
        <v>4038</v>
      </c>
      <c r="AC467" t="s">
        <v>4039</v>
      </c>
      <c r="AD467" t="s">
        <v>54</v>
      </c>
      <c r="AE467" t="s">
        <v>54</v>
      </c>
      <c r="AG467" t="s">
        <v>4040</v>
      </c>
      <c r="AH467" t="s">
        <v>3968</v>
      </c>
      <c r="AI467" t="s">
        <v>4041</v>
      </c>
    </row>
    <row r="468" spans="2:35" ht="120">
      <c r="B468" s="1">
        <v>46064</v>
      </c>
      <c r="C468" s="1">
        <v>46064</v>
      </c>
      <c r="D468" t="s">
        <v>1284</v>
      </c>
      <c r="E468" t="s">
        <v>1285</v>
      </c>
      <c r="F468">
        <v>6</v>
      </c>
      <c r="G468" t="s">
        <v>1286</v>
      </c>
      <c r="H468" t="s">
        <v>4042</v>
      </c>
      <c r="I468" t="s">
        <v>40</v>
      </c>
      <c r="J468" s="2" t="s">
        <v>4043</v>
      </c>
      <c r="K468" t="s">
        <v>42</v>
      </c>
      <c r="L468" t="s">
        <v>343</v>
      </c>
      <c r="N468" t="s">
        <v>344</v>
      </c>
      <c r="Q468">
        <v>32080</v>
      </c>
      <c r="R468" t="s">
        <v>967</v>
      </c>
      <c r="S468" t="s">
        <v>4044</v>
      </c>
      <c r="T468">
        <v>24</v>
      </c>
      <c r="U468" s="2" t="s">
        <v>4045</v>
      </c>
      <c r="W468" t="s">
        <v>2949</v>
      </c>
      <c r="X468">
        <v>110023529</v>
      </c>
      <c r="Y468" t="e">
        <f ca="1">-GeneXpert transfer</f>
        <v>#NAME?</v>
      </c>
      <c r="Z468" t="e">
        <f ca="1">-transfer GeneXpert machine FROM rHIVda to Sub National LABORATORY - PCR</f>
        <v>#NAME?</v>
      </c>
      <c r="AA468" t="e">
        <f ca="1">-transfer GeneXpert machine FROM rHIVda to Sub National LABORATORY - PCR
-Preventive Maintenance</f>
        <v>#NAME?</v>
      </c>
      <c r="AB468" t="s">
        <v>1467</v>
      </c>
      <c r="AG468" t="s">
        <v>4046</v>
      </c>
      <c r="AH468" t="s">
        <v>4047</v>
      </c>
      <c r="AI468" t="s">
        <v>4048</v>
      </c>
    </row>
    <row r="469" spans="2:35" ht="225">
      <c r="B469" s="1">
        <v>46064</v>
      </c>
      <c r="C469" s="1">
        <v>46064</v>
      </c>
      <c r="D469" t="s">
        <v>1832</v>
      </c>
      <c r="E469" t="s">
        <v>4049</v>
      </c>
      <c r="F469">
        <v>6</v>
      </c>
      <c r="G469" t="s">
        <v>1234</v>
      </c>
      <c r="H469" t="s">
        <v>258</v>
      </c>
      <c r="I469" t="s">
        <v>40</v>
      </c>
      <c r="J469" s="2" t="s">
        <v>190</v>
      </c>
      <c r="K469" t="s">
        <v>42</v>
      </c>
      <c r="L469" t="s">
        <v>594</v>
      </c>
      <c r="N469" t="s">
        <v>595</v>
      </c>
      <c r="O469" t="s">
        <v>595</v>
      </c>
      <c r="Q469">
        <v>32079</v>
      </c>
      <c r="R469" t="s">
        <v>45</v>
      </c>
      <c r="S469" t="s">
        <v>1833</v>
      </c>
      <c r="T469">
        <v>23</v>
      </c>
      <c r="W469" t="s">
        <v>4050</v>
      </c>
      <c r="X469">
        <v>805093</v>
      </c>
      <c r="Y469" t="s">
        <v>4051</v>
      </c>
      <c r="Z469" s="2" t="s">
        <v>4052</v>
      </c>
      <c r="AA469" s="2" t="s">
        <v>4053</v>
      </c>
      <c r="AB469" s="2" t="s">
        <v>4054</v>
      </c>
      <c r="AG469" t="s">
        <v>4055</v>
      </c>
      <c r="AH469" t="s">
        <v>4056</v>
      </c>
      <c r="AI469" t="s">
        <v>4057</v>
      </c>
    </row>
    <row r="470" spans="2:35" ht="409.5">
      <c r="B470" s="1">
        <v>46064</v>
      </c>
      <c r="C470" s="1">
        <v>46064</v>
      </c>
      <c r="D470" t="s">
        <v>524</v>
      </c>
      <c r="E470" t="s">
        <v>4058</v>
      </c>
      <c r="F470" t="s">
        <v>148</v>
      </c>
      <c r="G470" t="s">
        <v>310</v>
      </c>
      <c r="H470" t="s">
        <v>39</v>
      </c>
      <c r="I470" t="s">
        <v>40</v>
      </c>
      <c r="J470" s="2" t="s">
        <v>62</v>
      </c>
      <c r="K470" t="s">
        <v>42</v>
      </c>
      <c r="L470" t="s">
        <v>1943</v>
      </c>
      <c r="N470" t="s">
        <v>1944</v>
      </c>
      <c r="Q470">
        <v>32078</v>
      </c>
      <c r="R470" t="s">
        <v>119</v>
      </c>
      <c r="S470" t="s">
        <v>526</v>
      </c>
      <c r="T470">
        <v>25</v>
      </c>
      <c r="W470" t="s">
        <v>84</v>
      </c>
      <c r="X470">
        <v>831892</v>
      </c>
      <c r="Y470" s="2" t="s">
        <v>3044</v>
      </c>
      <c r="Z470" t="s">
        <v>3045</v>
      </c>
      <c r="AA470" s="2" t="s">
        <v>3046</v>
      </c>
      <c r="AB470" t="s">
        <v>4059</v>
      </c>
      <c r="AG470" t="s">
        <v>4060</v>
      </c>
      <c r="AH470" t="s">
        <v>4061</v>
      </c>
      <c r="AI470" t="s">
        <v>4062</v>
      </c>
    </row>
    <row r="471" spans="2:35">
      <c r="B471" s="1">
        <v>46064</v>
      </c>
      <c r="C471" s="1">
        <v>46064</v>
      </c>
      <c r="D471" t="s">
        <v>4063</v>
      </c>
      <c r="E471" t="s">
        <v>1285</v>
      </c>
      <c r="F471">
        <v>6</v>
      </c>
      <c r="G471" t="s">
        <v>1286</v>
      </c>
      <c r="H471" t="s">
        <v>1498</v>
      </c>
      <c r="I471" t="s">
        <v>40</v>
      </c>
      <c r="J471" t="s">
        <v>321</v>
      </c>
      <c r="K471" t="s">
        <v>42</v>
      </c>
      <c r="L471" t="s">
        <v>343</v>
      </c>
      <c r="N471" t="s">
        <v>344</v>
      </c>
      <c r="Q471">
        <v>32077</v>
      </c>
      <c r="R471" t="s">
        <v>322</v>
      </c>
      <c r="S471" t="s">
        <v>4064</v>
      </c>
      <c r="T471">
        <v>24</v>
      </c>
      <c r="W471" t="s">
        <v>2949</v>
      </c>
      <c r="X471">
        <v>120006949</v>
      </c>
      <c r="Y471" t="s">
        <v>301</v>
      </c>
      <c r="Z471" t="s">
        <v>301</v>
      </c>
      <c r="AA471" t="e">
        <f ca="1">-Install new GeneXpert machine with peripherals
-conduct basic orientation on usage _xludf.and Maintenance</f>
        <v>#NAME?</v>
      </c>
      <c r="AB471" t="s">
        <v>1467</v>
      </c>
      <c r="AG471" t="s">
        <v>4065</v>
      </c>
      <c r="AH471" t="s">
        <v>4066</v>
      </c>
      <c r="AI471" t="s">
        <v>4067</v>
      </c>
    </row>
    <row r="472" spans="2:35" ht="240">
      <c r="B472" s="1">
        <v>46063</v>
      </c>
      <c r="C472" s="1">
        <v>46063</v>
      </c>
      <c r="D472" t="s">
        <v>1825</v>
      </c>
      <c r="E472" t="s">
        <v>4068</v>
      </c>
      <c r="F472">
        <v>7</v>
      </c>
      <c r="G472" t="s">
        <v>432</v>
      </c>
      <c r="H472" t="s">
        <v>39</v>
      </c>
      <c r="I472" t="s">
        <v>40</v>
      </c>
      <c r="J472" s="2" t="s">
        <v>62</v>
      </c>
      <c r="K472" t="s">
        <v>42</v>
      </c>
      <c r="L472" t="s">
        <v>433</v>
      </c>
      <c r="N472" t="s">
        <v>434</v>
      </c>
      <c r="Q472">
        <v>32076</v>
      </c>
      <c r="R472" t="s">
        <v>45</v>
      </c>
      <c r="S472" t="s">
        <v>1818</v>
      </c>
      <c r="T472">
        <v>21</v>
      </c>
      <c r="W472" t="s">
        <v>502</v>
      </c>
      <c r="X472">
        <v>120000133</v>
      </c>
      <c r="Y472" t="s">
        <v>2303</v>
      </c>
      <c r="Z472" s="2" t="s">
        <v>4069</v>
      </c>
      <c r="AA472" s="2" t="s">
        <v>4070</v>
      </c>
      <c r="AB472" t="s">
        <v>4071</v>
      </c>
      <c r="AG472" t="s">
        <v>4072</v>
      </c>
      <c r="AH472" t="s">
        <v>4073</v>
      </c>
      <c r="AI472" t="s">
        <v>4074</v>
      </c>
    </row>
    <row r="473" spans="2:35" ht="409.5">
      <c r="B473" s="1">
        <v>46063</v>
      </c>
      <c r="C473" s="1">
        <v>46063</v>
      </c>
      <c r="D473" t="s">
        <v>4075</v>
      </c>
      <c r="E473" t="s">
        <v>4076</v>
      </c>
      <c r="F473">
        <v>5</v>
      </c>
      <c r="G473" t="s">
        <v>814</v>
      </c>
      <c r="H473" t="s">
        <v>39</v>
      </c>
      <c r="I473" t="s">
        <v>40</v>
      </c>
      <c r="J473" t="s">
        <v>109</v>
      </c>
      <c r="K473" t="s">
        <v>42</v>
      </c>
      <c r="L473" t="s">
        <v>761</v>
      </c>
      <c r="N473" t="s">
        <v>762</v>
      </c>
      <c r="Q473">
        <v>32075</v>
      </c>
      <c r="R473" t="s">
        <v>95</v>
      </c>
      <c r="S473" t="s">
        <v>4077</v>
      </c>
      <c r="T473">
        <v>26</v>
      </c>
      <c r="U473" s="2" t="s">
        <v>4078</v>
      </c>
      <c r="W473" t="s">
        <v>817</v>
      </c>
      <c r="X473">
        <v>120002716</v>
      </c>
      <c r="Y473" t="s">
        <v>818</v>
      </c>
      <c r="Z473" s="2" t="s">
        <v>1415</v>
      </c>
      <c r="AA473" t="s">
        <v>820</v>
      </c>
      <c r="AB473" s="2" t="s">
        <v>4079</v>
      </c>
      <c r="AG473" t="s">
        <v>4080</v>
      </c>
      <c r="AH473" t="s">
        <v>4081</v>
      </c>
      <c r="AI473" t="s">
        <v>4082</v>
      </c>
    </row>
    <row r="474" spans="2:35" ht="240">
      <c r="B474" s="1">
        <v>46063</v>
      </c>
      <c r="C474" s="1">
        <v>46059</v>
      </c>
      <c r="D474" t="s">
        <v>4083</v>
      </c>
      <c r="E474" t="s">
        <v>4084</v>
      </c>
      <c r="F474" t="s">
        <v>37</v>
      </c>
      <c r="G474" t="s">
        <v>38</v>
      </c>
      <c r="H474" t="s">
        <v>39</v>
      </c>
      <c r="I474" t="s">
        <v>94</v>
      </c>
      <c r="J474" s="2" t="s">
        <v>62</v>
      </c>
      <c r="K474" t="s">
        <v>42</v>
      </c>
      <c r="L474" t="s">
        <v>448</v>
      </c>
      <c r="N474" t="s">
        <v>650</v>
      </c>
      <c r="Q474">
        <v>32074</v>
      </c>
      <c r="R474" t="s">
        <v>45</v>
      </c>
      <c r="S474" t="s">
        <v>1580</v>
      </c>
      <c r="T474">
        <v>27</v>
      </c>
      <c r="W474" t="s">
        <v>666</v>
      </c>
      <c r="X474">
        <v>831642</v>
      </c>
      <c r="Y474" s="2" t="s">
        <v>4085</v>
      </c>
      <c r="Z474" s="2" t="s">
        <v>4086</v>
      </c>
      <c r="AA474" t="s">
        <v>768</v>
      </c>
      <c r="AB474" t="s">
        <v>4087</v>
      </c>
      <c r="AG474" t="s">
        <v>4088</v>
      </c>
      <c r="AH474" t="s">
        <v>4089</v>
      </c>
      <c r="AI474" t="s">
        <v>4090</v>
      </c>
    </row>
    <row r="475" spans="2:35" ht="315">
      <c r="B475" s="1">
        <v>46063</v>
      </c>
      <c r="C475" s="1">
        <v>46063</v>
      </c>
      <c r="D475" t="s">
        <v>4091</v>
      </c>
      <c r="E475" t="s">
        <v>4092</v>
      </c>
      <c r="F475">
        <v>12</v>
      </c>
      <c r="G475" t="s">
        <v>294</v>
      </c>
      <c r="H475" t="s">
        <v>39</v>
      </c>
      <c r="I475" t="s">
        <v>94</v>
      </c>
      <c r="J475" s="2" t="s">
        <v>62</v>
      </c>
      <c r="K475" t="s">
        <v>42</v>
      </c>
      <c r="L475" t="s">
        <v>296</v>
      </c>
      <c r="N475" t="s">
        <v>297</v>
      </c>
      <c r="Q475">
        <v>32073</v>
      </c>
      <c r="R475" t="s">
        <v>45</v>
      </c>
      <c r="S475" t="s">
        <v>4093</v>
      </c>
      <c r="T475">
        <v>27.5</v>
      </c>
      <c r="U475" s="2" t="s">
        <v>4094</v>
      </c>
      <c r="W475" t="s">
        <v>4095</v>
      </c>
      <c r="X475">
        <v>807405</v>
      </c>
      <c r="Y475" t="s">
        <v>3191</v>
      </c>
      <c r="Z475" s="2" t="s">
        <v>4096</v>
      </c>
      <c r="AA475" s="2" t="s">
        <v>4097</v>
      </c>
      <c r="AB475" t="s">
        <v>972</v>
      </c>
      <c r="AG475" t="s">
        <v>4098</v>
      </c>
      <c r="AH475" t="s">
        <v>4099</v>
      </c>
      <c r="AI475" t="s">
        <v>4100</v>
      </c>
    </row>
    <row r="476" spans="2:35" ht="120">
      <c r="B476" s="1">
        <v>46063</v>
      </c>
      <c r="C476" s="1">
        <v>46063</v>
      </c>
      <c r="D476" t="s">
        <v>4101</v>
      </c>
      <c r="E476" t="s">
        <v>4102</v>
      </c>
      <c r="F476">
        <v>3</v>
      </c>
      <c r="G476" t="s">
        <v>730</v>
      </c>
      <c r="H476" t="s">
        <v>39</v>
      </c>
      <c r="I476" t="s">
        <v>40</v>
      </c>
      <c r="J476" s="2" t="s">
        <v>190</v>
      </c>
      <c r="K476" t="s">
        <v>42</v>
      </c>
      <c r="L476" t="s">
        <v>135</v>
      </c>
      <c r="N476" t="s">
        <v>136</v>
      </c>
      <c r="Q476">
        <v>32072</v>
      </c>
      <c r="R476" t="s">
        <v>95</v>
      </c>
      <c r="S476" t="s">
        <v>4103</v>
      </c>
      <c r="T476">
        <v>25</v>
      </c>
      <c r="W476" t="s">
        <v>138</v>
      </c>
      <c r="X476">
        <v>839232</v>
      </c>
      <c r="Y476" s="2" t="s">
        <v>4104</v>
      </c>
      <c r="Z476" t="s">
        <v>4105</v>
      </c>
      <c r="AA476" s="2" t="s">
        <v>4106</v>
      </c>
      <c r="AB476" t="s">
        <v>4107</v>
      </c>
      <c r="AC476" t="s">
        <v>4108</v>
      </c>
      <c r="AG476" t="s">
        <v>4109</v>
      </c>
      <c r="AH476" t="s">
        <v>4110</v>
      </c>
      <c r="AI476" t="s">
        <v>4111</v>
      </c>
    </row>
    <row r="477" spans="2:35" ht="195">
      <c r="B477" s="1">
        <v>46062</v>
      </c>
      <c r="C477" s="1">
        <v>46059</v>
      </c>
      <c r="D477" t="s">
        <v>4112</v>
      </c>
      <c r="E477" t="s">
        <v>4076</v>
      </c>
      <c r="F477">
        <v>5</v>
      </c>
      <c r="G477" t="s">
        <v>814</v>
      </c>
      <c r="H477" t="s">
        <v>39</v>
      </c>
      <c r="I477" t="s">
        <v>94</v>
      </c>
      <c r="J477" t="s">
        <v>109</v>
      </c>
      <c r="K477" t="s">
        <v>42</v>
      </c>
      <c r="L477" t="s">
        <v>761</v>
      </c>
      <c r="N477" t="s">
        <v>762</v>
      </c>
      <c r="Q477">
        <v>32071</v>
      </c>
      <c r="R477" t="s">
        <v>45</v>
      </c>
      <c r="S477" t="s">
        <v>4113</v>
      </c>
      <c r="T477">
        <v>24</v>
      </c>
      <c r="U477" s="2" t="s">
        <v>4114</v>
      </c>
      <c r="W477" t="s">
        <v>817</v>
      </c>
      <c r="X477">
        <v>110020680</v>
      </c>
      <c r="Y477" t="s">
        <v>818</v>
      </c>
      <c r="Z477" s="2" t="s">
        <v>1415</v>
      </c>
      <c r="AA477" t="s">
        <v>820</v>
      </c>
      <c r="AB477" s="2" t="s">
        <v>2996</v>
      </c>
      <c r="AG477" t="s">
        <v>4115</v>
      </c>
      <c r="AH477" t="s">
        <v>4116</v>
      </c>
      <c r="AI477" t="s">
        <v>4117</v>
      </c>
    </row>
    <row r="478" spans="2:35" ht="409.5">
      <c r="B478" s="1">
        <v>46062</v>
      </c>
      <c r="C478" s="1">
        <v>46058</v>
      </c>
      <c r="D478" t="s">
        <v>4118</v>
      </c>
      <c r="E478" t="s">
        <v>2971</v>
      </c>
      <c r="F478">
        <v>5</v>
      </c>
      <c r="G478" t="s">
        <v>759</v>
      </c>
      <c r="H478" t="s">
        <v>39</v>
      </c>
      <c r="I478" t="s">
        <v>94</v>
      </c>
      <c r="J478" t="s">
        <v>109</v>
      </c>
      <c r="K478" t="s">
        <v>42</v>
      </c>
      <c r="L478" t="s">
        <v>761</v>
      </c>
      <c r="N478" t="s">
        <v>762</v>
      </c>
      <c r="Q478">
        <v>32070</v>
      </c>
      <c r="R478" t="s">
        <v>95</v>
      </c>
      <c r="S478" t="s">
        <v>4119</v>
      </c>
      <c r="T478">
        <v>24</v>
      </c>
      <c r="U478" s="2" t="s">
        <v>4120</v>
      </c>
      <c r="W478" t="s">
        <v>817</v>
      </c>
      <c r="X478">
        <v>110017942</v>
      </c>
      <c r="Y478" t="s">
        <v>818</v>
      </c>
      <c r="Z478" s="2" t="s">
        <v>4121</v>
      </c>
      <c r="AA478" t="s">
        <v>820</v>
      </c>
      <c r="AB478" t="s">
        <v>181</v>
      </c>
      <c r="AG478" t="s">
        <v>4122</v>
      </c>
      <c r="AH478" t="s">
        <v>4123</v>
      </c>
      <c r="AI478" t="s">
        <v>4124</v>
      </c>
    </row>
    <row r="479" spans="2:35" ht="409.5">
      <c r="B479" s="1">
        <v>46062</v>
      </c>
      <c r="C479" s="1">
        <v>46057</v>
      </c>
      <c r="D479" t="s">
        <v>4125</v>
      </c>
      <c r="E479" t="s">
        <v>4126</v>
      </c>
      <c r="F479">
        <v>5</v>
      </c>
      <c r="G479" t="s">
        <v>759</v>
      </c>
      <c r="H479" t="s">
        <v>39</v>
      </c>
      <c r="I479" t="s">
        <v>94</v>
      </c>
      <c r="J479" t="s">
        <v>109</v>
      </c>
      <c r="K479" t="s">
        <v>42</v>
      </c>
      <c r="L479" t="s">
        <v>761</v>
      </c>
      <c r="N479" t="s">
        <v>762</v>
      </c>
      <c r="Q479">
        <v>32069</v>
      </c>
      <c r="R479" t="s">
        <v>322</v>
      </c>
      <c r="S479" t="s">
        <v>4127</v>
      </c>
      <c r="T479">
        <v>24</v>
      </c>
      <c r="U479" s="2" t="s">
        <v>4128</v>
      </c>
      <c r="W479" t="s">
        <v>765</v>
      </c>
      <c r="X479">
        <v>110026767</v>
      </c>
      <c r="Y479" t="s">
        <v>818</v>
      </c>
      <c r="Z479" s="2" t="s">
        <v>1415</v>
      </c>
      <c r="AA479" t="s">
        <v>820</v>
      </c>
      <c r="AB479" t="s">
        <v>70</v>
      </c>
      <c r="AG479" t="s">
        <v>4129</v>
      </c>
      <c r="AH479" t="s">
        <v>4130</v>
      </c>
      <c r="AI479" t="s">
        <v>4131</v>
      </c>
    </row>
    <row r="480" spans="2:35" ht="390">
      <c r="B480" s="1">
        <v>46062</v>
      </c>
      <c r="C480" s="1">
        <v>46059</v>
      </c>
      <c r="D480" t="s">
        <v>4132</v>
      </c>
      <c r="E480" t="s">
        <v>4133</v>
      </c>
      <c r="F480" t="s">
        <v>148</v>
      </c>
      <c r="G480" t="s">
        <v>447</v>
      </c>
      <c r="H480" t="s">
        <v>386</v>
      </c>
      <c r="I480" t="s">
        <v>40</v>
      </c>
      <c r="J480" t="s">
        <v>109</v>
      </c>
      <c r="K480" t="s">
        <v>387</v>
      </c>
      <c r="L480" t="s">
        <v>448</v>
      </c>
      <c r="N480" t="s">
        <v>650</v>
      </c>
      <c r="Q480">
        <v>32068</v>
      </c>
      <c r="R480" t="s">
        <v>322</v>
      </c>
      <c r="S480" t="s">
        <v>4134</v>
      </c>
      <c r="T480">
        <v>27</v>
      </c>
      <c r="W480" t="s">
        <v>476</v>
      </c>
      <c r="X480" t="s">
        <v>4135</v>
      </c>
      <c r="Y480" t="s">
        <v>485</v>
      </c>
      <c r="Z480" s="2" t="s">
        <v>4136</v>
      </c>
      <c r="AA480" t="s">
        <v>122</v>
      </c>
      <c r="AB480" t="s">
        <v>486</v>
      </c>
      <c r="AG480" t="s">
        <v>4137</v>
      </c>
      <c r="AH480" t="s">
        <v>4138</v>
      </c>
      <c r="AI480" t="s">
        <v>4139</v>
      </c>
    </row>
    <row r="481" spans="2:35" ht="409.5">
      <c r="B481" s="1">
        <v>46062</v>
      </c>
      <c r="C481" s="1">
        <v>46058</v>
      </c>
      <c r="D481" t="s">
        <v>2580</v>
      </c>
      <c r="E481" t="s">
        <v>2580</v>
      </c>
      <c r="F481" t="s">
        <v>148</v>
      </c>
      <c r="G481" t="s">
        <v>447</v>
      </c>
      <c r="H481" t="s">
        <v>474</v>
      </c>
      <c r="I481" t="s">
        <v>40</v>
      </c>
      <c r="J481" s="2" t="s">
        <v>62</v>
      </c>
      <c r="K481" t="s">
        <v>387</v>
      </c>
      <c r="L481" t="s">
        <v>448</v>
      </c>
      <c r="N481" t="s">
        <v>650</v>
      </c>
      <c r="O481" t="s">
        <v>4140</v>
      </c>
      <c r="Q481">
        <v>32067</v>
      </c>
      <c r="R481" t="s">
        <v>322</v>
      </c>
      <c r="S481" t="s">
        <v>4141</v>
      </c>
      <c r="T481">
        <v>26</v>
      </c>
      <c r="W481" t="s">
        <v>390</v>
      </c>
      <c r="X481" t="s">
        <v>4142</v>
      </c>
      <c r="Y481" t="s">
        <v>4143</v>
      </c>
      <c r="Z481" s="2" t="s">
        <v>4144</v>
      </c>
      <c r="AA481" t="s">
        <v>4145</v>
      </c>
      <c r="AB481" t="s">
        <v>486</v>
      </c>
      <c r="AG481" t="s">
        <v>4146</v>
      </c>
      <c r="AH481" t="s">
        <v>4147</v>
      </c>
      <c r="AI481" t="s">
        <v>4148</v>
      </c>
    </row>
    <row r="482" spans="2:35" ht="240">
      <c r="B482" s="1">
        <v>46062</v>
      </c>
      <c r="C482" s="1">
        <v>46062</v>
      </c>
      <c r="D482" t="s">
        <v>4149</v>
      </c>
      <c r="E482" t="s">
        <v>4150</v>
      </c>
      <c r="F482">
        <v>7</v>
      </c>
      <c r="G482" t="s">
        <v>432</v>
      </c>
      <c r="H482" t="s">
        <v>39</v>
      </c>
      <c r="I482" t="s">
        <v>94</v>
      </c>
      <c r="J482" s="2" t="s">
        <v>4151</v>
      </c>
      <c r="K482" t="s">
        <v>42</v>
      </c>
      <c r="L482" t="s">
        <v>433</v>
      </c>
      <c r="N482" t="s">
        <v>434</v>
      </c>
      <c r="Q482">
        <v>32066</v>
      </c>
      <c r="R482" t="s">
        <v>45</v>
      </c>
      <c r="S482" t="s">
        <v>4152</v>
      </c>
      <c r="T482">
        <v>25</v>
      </c>
      <c r="W482" t="s">
        <v>1008</v>
      </c>
      <c r="X482">
        <v>808630</v>
      </c>
      <c r="Y482" t="s">
        <v>4153</v>
      </c>
      <c r="Z482" s="2" t="s">
        <v>4154</v>
      </c>
      <c r="AA482" s="2" t="s">
        <v>4154</v>
      </c>
      <c r="AB482" t="s">
        <v>1011</v>
      </c>
      <c r="AG482" t="s">
        <v>4155</v>
      </c>
      <c r="AH482" t="s">
        <v>4156</v>
      </c>
      <c r="AI482" t="s">
        <v>4157</v>
      </c>
    </row>
    <row r="483" spans="2:35" ht="375">
      <c r="B483" s="1">
        <v>46062</v>
      </c>
      <c r="C483" s="1">
        <v>46062</v>
      </c>
      <c r="D483" t="s">
        <v>1484</v>
      </c>
      <c r="E483" t="s">
        <v>1485</v>
      </c>
      <c r="F483">
        <v>12</v>
      </c>
      <c r="G483" t="s">
        <v>978</v>
      </c>
      <c r="H483" t="s">
        <v>39</v>
      </c>
      <c r="I483" t="s">
        <v>40</v>
      </c>
      <c r="J483" t="s">
        <v>109</v>
      </c>
      <c r="K483" t="s">
        <v>42</v>
      </c>
      <c r="L483" t="s">
        <v>296</v>
      </c>
      <c r="N483" t="s">
        <v>297</v>
      </c>
      <c r="Q483">
        <v>32065</v>
      </c>
      <c r="R483" t="s">
        <v>45</v>
      </c>
      <c r="S483" t="s">
        <v>4158</v>
      </c>
      <c r="T483">
        <v>25.4</v>
      </c>
      <c r="U483" s="2" t="s">
        <v>4159</v>
      </c>
      <c r="W483" t="s">
        <v>970</v>
      </c>
      <c r="X483">
        <v>120000172</v>
      </c>
      <c r="Y483" t="s">
        <v>301</v>
      </c>
      <c r="Z483" s="2" t="s">
        <v>4160</v>
      </c>
      <c r="AA483" t="s">
        <v>303</v>
      </c>
      <c r="AB483" t="s">
        <v>4161</v>
      </c>
      <c r="AG483" t="s">
        <v>4162</v>
      </c>
      <c r="AH483" t="s">
        <v>4163</v>
      </c>
      <c r="AI483" t="s">
        <v>4164</v>
      </c>
    </row>
    <row r="484" spans="2:35" ht="120">
      <c r="B484" s="1">
        <v>46062</v>
      </c>
      <c r="C484" s="1">
        <v>46059</v>
      </c>
      <c r="D484" t="s">
        <v>4149</v>
      </c>
      <c r="E484" t="s">
        <v>4165</v>
      </c>
      <c r="F484">
        <v>7</v>
      </c>
      <c r="G484" t="s">
        <v>432</v>
      </c>
      <c r="H484" t="s">
        <v>39</v>
      </c>
      <c r="I484" t="s">
        <v>40</v>
      </c>
      <c r="J484" s="2" t="s">
        <v>760</v>
      </c>
      <c r="K484" t="s">
        <v>42</v>
      </c>
      <c r="L484" t="s">
        <v>433</v>
      </c>
      <c r="N484" t="s">
        <v>434</v>
      </c>
      <c r="Q484">
        <v>32064</v>
      </c>
      <c r="R484" t="s">
        <v>45</v>
      </c>
      <c r="S484" t="s">
        <v>4152</v>
      </c>
      <c r="T484">
        <v>28</v>
      </c>
      <c r="W484" t="s">
        <v>502</v>
      </c>
      <c r="X484">
        <v>808630</v>
      </c>
      <c r="Y484" s="2" t="s">
        <v>4166</v>
      </c>
      <c r="Z484" s="2" t="s">
        <v>4167</v>
      </c>
      <c r="AA484" s="2" t="s">
        <v>4168</v>
      </c>
      <c r="AB484" t="s">
        <v>4169</v>
      </c>
      <c r="AG484" t="s">
        <v>4170</v>
      </c>
      <c r="AH484" t="s">
        <v>4156</v>
      </c>
      <c r="AI484" t="s">
        <v>4171</v>
      </c>
    </row>
    <row r="485" spans="2:35" ht="285">
      <c r="B485" s="1">
        <v>46062</v>
      </c>
      <c r="C485" s="1">
        <v>46062</v>
      </c>
      <c r="D485" t="s">
        <v>4172</v>
      </c>
      <c r="E485" t="s">
        <v>4173</v>
      </c>
      <c r="F485">
        <v>12</v>
      </c>
      <c r="G485" t="s">
        <v>294</v>
      </c>
      <c r="H485" t="s">
        <v>61</v>
      </c>
      <c r="I485" t="s">
        <v>40</v>
      </c>
      <c r="J485" t="s">
        <v>109</v>
      </c>
      <c r="K485" t="s">
        <v>42</v>
      </c>
      <c r="L485" t="s">
        <v>204</v>
      </c>
      <c r="N485" t="s">
        <v>205</v>
      </c>
      <c r="Q485">
        <v>32063</v>
      </c>
      <c r="R485" t="s">
        <v>95</v>
      </c>
      <c r="S485" t="s">
        <v>298</v>
      </c>
      <c r="T485">
        <v>22.8</v>
      </c>
      <c r="U485" s="2" t="s">
        <v>4174</v>
      </c>
      <c r="W485" t="s">
        <v>2550</v>
      </c>
      <c r="X485">
        <v>110024270</v>
      </c>
      <c r="Y485" t="s">
        <v>1052</v>
      </c>
      <c r="Z485" s="2" t="s">
        <v>1892</v>
      </c>
      <c r="AA485" t="s">
        <v>2551</v>
      </c>
      <c r="AB485" t="s">
        <v>1211</v>
      </c>
      <c r="AG485" t="s">
        <v>4175</v>
      </c>
      <c r="AH485" t="s">
        <v>4176</v>
      </c>
      <c r="AI485" t="s">
        <v>4177</v>
      </c>
    </row>
    <row r="486" spans="2:35" ht="315">
      <c r="B486" s="1">
        <v>46059</v>
      </c>
      <c r="C486" s="1">
        <v>46059</v>
      </c>
      <c r="D486" t="s">
        <v>3712</v>
      </c>
      <c r="E486" t="s">
        <v>3713</v>
      </c>
      <c r="F486" t="s">
        <v>148</v>
      </c>
      <c r="G486" t="s">
        <v>310</v>
      </c>
      <c r="H486" t="s">
        <v>2274</v>
      </c>
      <c r="I486" t="s">
        <v>40</v>
      </c>
      <c r="J486" t="s">
        <v>109</v>
      </c>
      <c r="K486" t="s">
        <v>387</v>
      </c>
      <c r="L486" t="s">
        <v>1943</v>
      </c>
      <c r="N486" t="s">
        <v>1944</v>
      </c>
      <c r="Q486">
        <v>32062</v>
      </c>
      <c r="R486" t="s">
        <v>322</v>
      </c>
      <c r="S486" t="s">
        <v>3824</v>
      </c>
      <c r="T486">
        <v>25</v>
      </c>
      <c r="W486" t="s">
        <v>390</v>
      </c>
      <c r="X486" t="s">
        <v>3715</v>
      </c>
      <c r="Y486" t="s">
        <v>2099</v>
      </c>
      <c r="Z486" t="s">
        <v>2100</v>
      </c>
      <c r="AA486" s="2" t="s">
        <v>2278</v>
      </c>
      <c r="AB486" t="s">
        <v>88</v>
      </c>
      <c r="AG486" t="s">
        <v>4178</v>
      </c>
      <c r="AH486" t="s">
        <v>3717</v>
      </c>
      <c r="AI486" t="s">
        <v>4179</v>
      </c>
    </row>
    <row r="487" spans="2:35" ht="315">
      <c r="B487" s="1">
        <v>46059</v>
      </c>
      <c r="C487" s="1">
        <v>46059</v>
      </c>
      <c r="D487" t="s">
        <v>3712</v>
      </c>
      <c r="E487" t="s">
        <v>3713</v>
      </c>
      <c r="F487" t="s">
        <v>148</v>
      </c>
      <c r="G487" t="s">
        <v>310</v>
      </c>
      <c r="H487" t="s">
        <v>2274</v>
      </c>
      <c r="I487" t="s">
        <v>40</v>
      </c>
      <c r="J487" t="s">
        <v>109</v>
      </c>
      <c r="K487" t="s">
        <v>387</v>
      </c>
      <c r="L487" t="s">
        <v>1943</v>
      </c>
      <c r="N487" t="s">
        <v>1944</v>
      </c>
      <c r="Q487">
        <v>32061</v>
      </c>
      <c r="R487" t="s">
        <v>322</v>
      </c>
      <c r="S487" t="s">
        <v>3824</v>
      </c>
      <c r="T487">
        <v>25</v>
      </c>
      <c r="W487" t="s">
        <v>390</v>
      </c>
      <c r="X487" t="s">
        <v>4180</v>
      </c>
      <c r="Y487" t="s">
        <v>2099</v>
      </c>
      <c r="Z487" t="s">
        <v>2100</v>
      </c>
      <c r="AA487" s="2" t="s">
        <v>2278</v>
      </c>
      <c r="AB487" t="s">
        <v>88</v>
      </c>
      <c r="AG487" t="s">
        <v>4181</v>
      </c>
      <c r="AH487" t="s">
        <v>3717</v>
      </c>
      <c r="AI487" t="s">
        <v>4182</v>
      </c>
    </row>
    <row r="488" spans="2:35" ht="409.5">
      <c r="B488" s="1">
        <v>46059</v>
      </c>
      <c r="C488" s="1">
        <v>46059</v>
      </c>
      <c r="D488" t="s">
        <v>4183</v>
      </c>
      <c r="E488" t="s">
        <v>4184</v>
      </c>
      <c r="F488">
        <v>3</v>
      </c>
      <c r="G488" t="s">
        <v>134</v>
      </c>
      <c r="H488" t="s">
        <v>61</v>
      </c>
      <c r="I488" t="s">
        <v>40</v>
      </c>
      <c r="J488" s="2" t="s">
        <v>62</v>
      </c>
      <c r="K488" t="s">
        <v>42</v>
      </c>
      <c r="L488" t="s">
        <v>135</v>
      </c>
      <c r="N488" t="s">
        <v>136</v>
      </c>
      <c r="Q488">
        <v>32060</v>
      </c>
      <c r="R488" t="s">
        <v>45</v>
      </c>
      <c r="S488" t="s">
        <v>4185</v>
      </c>
      <c r="T488">
        <v>25</v>
      </c>
      <c r="W488" t="s">
        <v>138</v>
      </c>
      <c r="X488">
        <v>804763</v>
      </c>
      <c r="Y488" t="s">
        <v>1751</v>
      </c>
      <c r="Z488" s="2" t="s">
        <v>1752</v>
      </c>
      <c r="AA488" s="2" t="s">
        <v>1753</v>
      </c>
      <c r="AB488" s="2" t="s">
        <v>4186</v>
      </c>
      <c r="AG488" t="s">
        <v>4187</v>
      </c>
      <c r="AH488" t="s">
        <v>4188</v>
      </c>
      <c r="AI488" t="s">
        <v>4189</v>
      </c>
    </row>
    <row r="489" spans="2:35" ht="270">
      <c r="B489" s="1">
        <v>46059</v>
      </c>
      <c r="C489" s="1">
        <v>46059</v>
      </c>
      <c r="D489" t="s">
        <v>4190</v>
      </c>
      <c r="E489" t="s">
        <v>4191</v>
      </c>
      <c r="F489" t="s">
        <v>37</v>
      </c>
      <c r="G489" t="s">
        <v>38</v>
      </c>
      <c r="H489" t="s">
        <v>39</v>
      </c>
      <c r="I489" t="s">
        <v>40</v>
      </c>
      <c r="J489" s="2" t="s">
        <v>62</v>
      </c>
      <c r="K489" t="s">
        <v>42</v>
      </c>
      <c r="L489" t="s">
        <v>43</v>
      </c>
      <c r="N489" t="s">
        <v>44</v>
      </c>
      <c r="Q489">
        <v>32059</v>
      </c>
      <c r="R489" t="s">
        <v>119</v>
      </c>
      <c r="S489" t="s">
        <v>4192</v>
      </c>
      <c r="T489">
        <v>24</v>
      </c>
      <c r="U489" s="2" t="s">
        <v>4193</v>
      </c>
      <c r="W489" t="s">
        <v>48</v>
      </c>
      <c r="X489">
        <v>821293</v>
      </c>
      <c r="Y489" t="s">
        <v>1111</v>
      </c>
      <c r="Z489" t="s">
        <v>122</v>
      </c>
      <c r="AA489" s="2" t="s">
        <v>2082</v>
      </c>
      <c r="AB489" t="s">
        <v>1521</v>
      </c>
      <c r="AG489" t="s">
        <v>4194</v>
      </c>
      <c r="AH489" t="s">
        <v>4195</v>
      </c>
      <c r="AI489" t="s">
        <v>4196</v>
      </c>
    </row>
    <row r="490" spans="2:35" ht="270">
      <c r="B490" s="1">
        <v>46059</v>
      </c>
      <c r="C490" s="1">
        <v>46058</v>
      </c>
      <c r="D490" t="s">
        <v>4197</v>
      </c>
      <c r="E490" t="s">
        <v>4198</v>
      </c>
      <c r="F490" t="s">
        <v>37</v>
      </c>
      <c r="G490" t="s">
        <v>38</v>
      </c>
      <c r="H490" t="s">
        <v>39</v>
      </c>
      <c r="I490" t="s">
        <v>40</v>
      </c>
      <c r="J490" s="2" t="s">
        <v>62</v>
      </c>
      <c r="K490" t="s">
        <v>42</v>
      </c>
      <c r="L490" t="s">
        <v>43</v>
      </c>
      <c r="N490" t="s">
        <v>44</v>
      </c>
      <c r="Q490">
        <v>32057</v>
      </c>
      <c r="R490" t="s">
        <v>119</v>
      </c>
      <c r="S490" t="s">
        <v>111</v>
      </c>
      <c r="T490">
        <v>22</v>
      </c>
      <c r="U490" s="2" t="s">
        <v>4199</v>
      </c>
      <c r="W490" t="s">
        <v>48</v>
      </c>
      <c r="X490">
        <v>831623</v>
      </c>
      <c r="Y490" t="s">
        <v>1111</v>
      </c>
      <c r="Z490" t="s">
        <v>122</v>
      </c>
      <c r="AA490" s="2" t="s">
        <v>3341</v>
      </c>
      <c r="AB490" t="s">
        <v>548</v>
      </c>
      <c r="AG490" t="s">
        <v>4200</v>
      </c>
      <c r="AH490" t="s">
        <v>117</v>
      </c>
      <c r="AI490" t="s">
        <v>4201</v>
      </c>
    </row>
    <row r="491" spans="2:35" ht="270">
      <c r="B491" s="1">
        <v>46059</v>
      </c>
      <c r="C491" s="1">
        <v>46058</v>
      </c>
      <c r="D491" t="s">
        <v>4197</v>
      </c>
      <c r="E491" t="s">
        <v>4198</v>
      </c>
      <c r="F491" t="s">
        <v>37</v>
      </c>
      <c r="G491" t="s">
        <v>38</v>
      </c>
      <c r="H491" t="s">
        <v>39</v>
      </c>
      <c r="I491" t="s">
        <v>40</v>
      </c>
      <c r="J491" s="2" t="s">
        <v>62</v>
      </c>
      <c r="K491" t="s">
        <v>42</v>
      </c>
      <c r="L491" t="s">
        <v>43</v>
      </c>
      <c r="N491" t="s">
        <v>44</v>
      </c>
      <c r="Q491">
        <v>32058</v>
      </c>
      <c r="R491" t="s">
        <v>45</v>
      </c>
      <c r="S491" t="s">
        <v>111</v>
      </c>
      <c r="T491">
        <v>22</v>
      </c>
      <c r="U491" s="2" t="s">
        <v>1681</v>
      </c>
      <c r="W491" t="s">
        <v>48</v>
      </c>
      <c r="X491">
        <v>804687</v>
      </c>
      <c r="Y491" t="s">
        <v>121</v>
      </c>
      <c r="Z491" t="s">
        <v>122</v>
      </c>
      <c r="AA491" s="2" t="s">
        <v>4202</v>
      </c>
      <c r="AB491" t="s">
        <v>1521</v>
      </c>
      <c r="AG491" t="s">
        <v>4203</v>
      </c>
      <c r="AH491" t="s">
        <v>4204</v>
      </c>
      <c r="AI491" t="s">
        <v>4205</v>
      </c>
    </row>
    <row r="492" spans="2:35" ht="345">
      <c r="B492" s="1">
        <v>46059</v>
      </c>
      <c r="C492" s="1">
        <v>46059</v>
      </c>
      <c r="D492" t="s">
        <v>4206</v>
      </c>
      <c r="E492" t="s">
        <v>4207</v>
      </c>
      <c r="F492">
        <v>11</v>
      </c>
      <c r="G492" t="s">
        <v>2836</v>
      </c>
      <c r="H492" t="s">
        <v>202</v>
      </c>
      <c r="I492" t="s">
        <v>40</v>
      </c>
      <c r="J492" s="2" t="s">
        <v>4208</v>
      </c>
      <c r="K492" t="s">
        <v>42</v>
      </c>
      <c r="L492" t="s">
        <v>204</v>
      </c>
      <c r="N492" t="s">
        <v>205</v>
      </c>
      <c r="Q492">
        <v>32056</v>
      </c>
      <c r="R492" t="s">
        <v>119</v>
      </c>
      <c r="S492" t="s">
        <v>4209</v>
      </c>
      <c r="T492">
        <v>24.1</v>
      </c>
      <c r="U492" s="2" t="s">
        <v>4210</v>
      </c>
      <c r="W492" t="s">
        <v>208</v>
      </c>
      <c r="X492">
        <v>838295</v>
      </c>
      <c r="Y492" s="2" t="s">
        <v>4211</v>
      </c>
      <c r="Z492" s="2" t="s">
        <v>4212</v>
      </c>
      <c r="AA492" t="s">
        <v>4213</v>
      </c>
      <c r="AB492" s="2" t="s">
        <v>4214</v>
      </c>
      <c r="AG492" t="s">
        <v>4215</v>
      </c>
      <c r="AH492" t="s">
        <v>4216</v>
      </c>
      <c r="AI492" t="s">
        <v>4217</v>
      </c>
    </row>
    <row r="493" spans="2:35" ht="165">
      <c r="B493" s="1">
        <v>46059</v>
      </c>
      <c r="C493" s="1">
        <v>46059</v>
      </c>
      <c r="D493" t="s">
        <v>4218</v>
      </c>
      <c r="E493" t="s">
        <v>4219</v>
      </c>
      <c r="F493">
        <v>3</v>
      </c>
      <c r="G493" t="s">
        <v>1722</v>
      </c>
      <c r="H493" t="s">
        <v>39</v>
      </c>
      <c r="I493" t="s">
        <v>40</v>
      </c>
      <c r="J493" s="2" t="s">
        <v>62</v>
      </c>
      <c r="K493" t="s">
        <v>42</v>
      </c>
      <c r="L493" t="s">
        <v>63</v>
      </c>
      <c r="N493" t="s">
        <v>64</v>
      </c>
      <c r="Q493">
        <v>32055</v>
      </c>
      <c r="R493" t="s">
        <v>119</v>
      </c>
      <c r="S493" t="s">
        <v>4220</v>
      </c>
      <c r="T493">
        <v>25</v>
      </c>
      <c r="U493" s="2" t="s">
        <v>4221</v>
      </c>
      <c r="W493" t="s">
        <v>66</v>
      </c>
      <c r="X493">
        <v>831637</v>
      </c>
      <c r="Y493" t="s">
        <v>67</v>
      </c>
      <c r="Z493" s="2" t="s">
        <v>4222</v>
      </c>
      <c r="AA493" s="2" t="s">
        <v>1727</v>
      </c>
      <c r="AB493" t="s">
        <v>70</v>
      </c>
      <c r="AG493" t="s">
        <v>4223</v>
      </c>
      <c r="AH493" t="s">
        <v>4224</v>
      </c>
      <c r="AI493" t="s">
        <v>4225</v>
      </c>
    </row>
    <row r="494" spans="2:35" ht="120">
      <c r="B494" s="1">
        <v>46059</v>
      </c>
      <c r="C494" s="1">
        <v>46059</v>
      </c>
      <c r="D494" t="s">
        <v>4149</v>
      </c>
      <c r="E494" t="s">
        <v>4165</v>
      </c>
      <c r="F494">
        <v>7</v>
      </c>
      <c r="G494" t="s">
        <v>432</v>
      </c>
      <c r="H494" t="s">
        <v>39</v>
      </c>
      <c r="I494" t="s">
        <v>40</v>
      </c>
      <c r="J494" s="2" t="s">
        <v>760</v>
      </c>
      <c r="K494" t="s">
        <v>42</v>
      </c>
      <c r="L494" t="s">
        <v>433</v>
      </c>
      <c r="N494" t="s">
        <v>434</v>
      </c>
      <c r="Q494">
        <v>32054</v>
      </c>
      <c r="R494" t="s">
        <v>45</v>
      </c>
      <c r="S494" t="s">
        <v>4152</v>
      </c>
      <c r="T494">
        <v>28</v>
      </c>
      <c r="W494" t="s">
        <v>502</v>
      </c>
      <c r="X494">
        <v>808630</v>
      </c>
      <c r="Y494" s="2" t="s">
        <v>4166</v>
      </c>
      <c r="Z494" s="2" t="s">
        <v>4167</v>
      </c>
      <c r="AA494" s="2" t="s">
        <v>4168</v>
      </c>
      <c r="AB494" t="s">
        <v>4169</v>
      </c>
      <c r="AG494" t="s">
        <v>4226</v>
      </c>
      <c r="AH494" t="s">
        <v>4156</v>
      </c>
      <c r="AI494" t="s">
        <v>4227</v>
      </c>
    </row>
    <row r="495" spans="2:35" ht="180">
      <c r="B495" s="1">
        <v>46059</v>
      </c>
      <c r="C495" s="1">
        <v>46057</v>
      </c>
      <c r="D495" t="s">
        <v>4228</v>
      </c>
      <c r="E495" t="s">
        <v>4229</v>
      </c>
      <c r="F495">
        <v>7</v>
      </c>
      <c r="G495" t="s">
        <v>432</v>
      </c>
      <c r="H495" t="s">
        <v>39</v>
      </c>
      <c r="I495" t="s">
        <v>40</v>
      </c>
      <c r="J495" s="2" t="s">
        <v>609</v>
      </c>
      <c r="K495" t="s">
        <v>42</v>
      </c>
      <c r="L495" t="s">
        <v>433</v>
      </c>
      <c r="N495" t="s">
        <v>434</v>
      </c>
      <c r="Q495">
        <v>32053</v>
      </c>
      <c r="R495" t="s">
        <v>95</v>
      </c>
      <c r="S495" t="s">
        <v>1818</v>
      </c>
      <c r="T495">
        <v>28</v>
      </c>
      <c r="W495" t="s">
        <v>1008</v>
      </c>
      <c r="X495">
        <v>120000133</v>
      </c>
      <c r="Y495" t="s">
        <v>4230</v>
      </c>
      <c r="Z495" s="2" t="s">
        <v>4231</v>
      </c>
      <c r="AA495" s="2" t="s">
        <v>4231</v>
      </c>
      <c r="AB495" s="2" t="s">
        <v>4232</v>
      </c>
      <c r="AG495" t="s">
        <v>4233</v>
      </c>
      <c r="AH495" t="s">
        <v>4234</v>
      </c>
      <c r="AI495" t="s">
        <v>4235</v>
      </c>
    </row>
    <row r="496" spans="2:35" ht="135">
      <c r="B496" s="1">
        <v>46058</v>
      </c>
      <c r="C496" s="1">
        <v>46058</v>
      </c>
      <c r="D496" t="s">
        <v>4236</v>
      </c>
      <c r="E496" t="s">
        <v>174</v>
      </c>
      <c r="F496">
        <v>3</v>
      </c>
      <c r="G496" t="s">
        <v>174</v>
      </c>
      <c r="H496" t="s">
        <v>39</v>
      </c>
      <c r="I496" t="s">
        <v>40</v>
      </c>
      <c r="J496" t="s">
        <v>109</v>
      </c>
      <c r="K496" t="s">
        <v>42</v>
      </c>
      <c r="L496" t="s">
        <v>175</v>
      </c>
      <c r="N496" t="s">
        <v>176</v>
      </c>
      <c r="Q496">
        <v>32052</v>
      </c>
      <c r="R496" t="s">
        <v>45</v>
      </c>
      <c r="S496" t="s">
        <v>4237</v>
      </c>
      <c r="T496">
        <v>25</v>
      </c>
      <c r="W496" t="s">
        <v>84</v>
      </c>
      <c r="X496">
        <v>812770</v>
      </c>
      <c r="Y496" t="s">
        <v>374</v>
      </c>
      <c r="Z496" t="s">
        <v>1610</v>
      </c>
      <c r="AA496" t="e">
        <f ca="1">- checked _xludf.and cleaned cartridge bay, plunger rod, _xludf.filter
- generated reports
- performed self test</f>
        <v>#NAME?</v>
      </c>
      <c r="AB496" s="2" t="s">
        <v>4238</v>
      </c>
      <c r="AG496" t="s">
        <v>4239</v>
      </c>
      <c r="AH496" t="s">
        <v>4240</v>
      </c>
      <c r="AI496" t="s">
        <v>4241</v>
      </c>
    </row>
    <row r="497" spans="2:35" ht="195">
      <c r="B497" s="1">
        <v>46058</v>
      </c>
      <c r="C497" s="1">
        <v>46058</v>
      </c>
      <c r="D497" t="s">
        <v>172</v>
      </c>
      <c r="E497" t="s">
        <v>1308</v>
      </c>
      <c r="F497">
        <v>3</v>
      </c>
      <c r="G497" t="s">
        <v>174</v>
      </c>
      <c r="H497" t="s">
        <v>39</v>
      </c>
      <c r="I497" t="s">
        <v>40</v>
      </c>
      <c r="J497" s="2" t="s">
        <v>62</v>
      </c>
      <c r="K497" t="s">
        <v>42</v>
      </c>
      <c r="L497" t="s">
        <v>175</v>
      </c>
      <c r="N497" t="s">
        <v>176</v>
      </c>
      <c r="Q497">
        <v>32051</v>
      </c>
      <c r="R497" t="s">
        <v>119</v>
      </c>
      <c r="S497" t="s">
        <v>177</v>
      </c>
      <c r="T497">
        <v>25</v>
      </c>
      <c r="W497" t="s">
        <v>84</v>
      </c>
      <c r="X497">
        <v>832692</v>
      </c>
      <c r="Y497" t="s">
        <v>998</v>
      </c>
      <c r="Z497" t="s">
        <v>4242</v>
      </c>
      <c r="AA497" t="e">
        <f ca="1">- checked Unit workstation
- performed initial Troubleshooting</f>
        <v>#NAME?</v>
      </c>
      <c r="AB497" s="2" t="s">
        <v>4243</v>
      </c>
      <c r="AG497" t="s">
        <v>4244</v>
      </c>
      <c r="AH497" t="s">
        <v>3211</v>
      </c>
      <c r="AI497" t="s">
        <v>4245</v>
      </c>
    </row>
    <row r="498" spans="2:35" ht="195">
      <c r="B498" s="1">
        <v>46058</v>
      </c>
      <c r="C498" s="1">
        <v>46058</v>
      </c>
      <c r="D498" t="s">
        <v>4246</v>
      </c>
      <c r="E498" t="s">
        <v>4247</v>
      </c>
      <c r="F498">
        <v>7</v>
      </c>
      <c r="G498" t="s">
        <v>432</v>
      </c>
      <c r="H498" t="s">
        <v>258</v>
      </c>
      <c r="I498" t="s">
        <v>40</v>
      </c>
      <c r="J498" s="2" t="s">
        <v>190</v>
      </c>
      <c r="K498" t="s">
        <v>42</v>
      </c>
      <c r="L498" t="s">
        <v>594</v>
      </c>
      <c r="N498" t="s">
        <v>595</v>
      </c>
      <c r="O498" t="s">
        <v>595</v>
      </c>
      <c r="Q498">
        <v>32050</v>
      </c>
      <c r="R498" t="s">
        <v>45</v>
      </c>
      <c r="S498" t="s">
        <v>4248</v>
      </c>
      <c r="T498">
        <v>23</v>
      </c>
      <c r="V498" s="1">
        <v>46058</v>
      </c>
      <c r="W498" t="s">
        <v>4249</v>
      </c>
      <c r="X498">
        <v>815485</v>
      </c>
      <c r="Y498" t="s">
        <v>4250</v>
      </c>
      <c r="Z498" s="2" t="s">
        <v>4251</v>
      </c>
      <c r="AA498" t="s">
        <v>4252</v>
      </c>
      <c r="AB498" t="s">
        <v>4253</v>
      </c>
      <c r="AG498" t="s">
        <v>4254</v>
      </c>
      <c r="AH498" t="s">
        <v>4255</v>
      </c>
      <c r="AI498" t="s">
        <v>4256</v>
      </c>
    </row>
    <row r="499" spans="2:35" ht="195">
      <c r="B499" s="1">
        <v>46058</v>
      </c>
      <c r="C499" s="1">
        <v>46058</v>
      </c>
      <c r="D499" t="s">
        <v>4246</v>
      </c>
      <c r="E499" t="s">
        <v>4247</v>
      </c>
      <c r="F499">
        <v>7</v>
      </c>
      <c r="G499" t="s">
        <v>432</v>
      </c>
      <c r="H499" t="s">
        <v>258</v>
      </c>
      <c r="I499" t="s">
        <v>40</v>
      </c>
      <c r="J499" s="2" t="s">
        <v>190</v>
      </c>
      <c r="K499" t="s">
        <v>42</v>
      </c>
      <c r="L499" t="s">
        <v>594</v>
      </c>
      <c r="N499" t="s">
        <v>595</v>
      </c>
      <c r="O499" t="s">
        <v>595</v>
      </c>
      <c r="Q499">
        <v>32049</v>
      </c>
      <c r="R499" t="s">
        <v>45</v>
      </c>
      <c r="S499" t="s">
        <v>4248</v>
      </c>
      <c r="T499">
        <v>23</v>
      </c>
      <c r="V499" s="1">
        <v>46058</v>
      </c>
      <c r="W499" t="s">
        <v>4249</v>
      </c>
      <c r="X499">
        <v>815485</v>
      </c>
      <c r="Y499" t="s">
        <v>4250</v>
      </c>
      <c r="Z499" s="2" t="s">
        <v>4251</v>
      </c>
      <c r="AA499" t="s">
        <v>4252</v>
      </c>
      <c r="AB499" t="s">
        <v>4253</v>
      </c>
      <c r="AG499" t="s">
        <v>4257</v>
      </c>
      <c r="AH499" t="s">
        <v>4255</v>
      </c>
      <c r="AI499" t="s">
        <v>4258</v>
      </c>
    </row>
    <row r="500" spans="2:35" ht="300">
      <c r="B500" s="1">
        <v>46058</v>
      </c>
      <c r="C500" s="1">
        <v>46057</v>
      </c>
      <c r="D500" t="s">
        <v>4259</v>
      </c>
      <c r="E500" t="s">
        <v>4260</v>
      </c>
      <c r="F500" t="s">
        <v>148</v>
      </c>
      <c r="G500" t="s">
        <v>2007</v>
      </c>
      <c r="H500" t="s">
        <v>39</v>
      </c>
      <c r="I500" t="s">
        <v>40</v>
      </c>
      <c r="J500" t="s">
        <v>109</v>
      </c>
      <c r="K500" t="s">
        <v>42</v>
      </c>
      <c r="L500" t="s">
        <v>448</v>
      </c>
      <c r="N500" t="s">
        <v>650</v>
      </c>
      <c r="O500" t="s">
        <v>4261</v>
      </c>
      <c r="Q500">
        <v>32048</v>
      </c>
      <c r="R500" t="s">
        <v>95</v>
      </c>
      <c r="S500" t="s">
        <v>4262</v>
      </c>
      <c r="T500">
        <v>23</v>
      </c>
      <c r="U500" s="2" t="s">
        <v>4263</v>
      </c>
      <c r="W500" t="s">
        <v>2591</v>
      </c>
      <c r="X500">
        <v>110026840</v>
      </c>
      <c r="Y500" t="s">
        <v>485</v>
      </c>
      <c r="Z500" t="s">
        <v>486</v>
      </c>
      <c r="AA500" s="2" t="s">
        <v>2011</v>
      </c>
      <c r="AB500" t="s">
        <v>486</v>
      </c>
      <c r="AG500" t="s">
        <v>4264</v>
      </c>
      <c r="AH500" t="s">
        <v>4265</v>
      </c>
      <c r="AI500" t="s">
        <v>4266</v>
      </c>
    </row>
    <row r="501" spans="2:35" ht="270">
      <c r="B501" s="1">
        <v>46058</v>
      </c>
      <c r="C501" s="1">
        <v>46058</v>
      </c>
      <c r="D501" t="s">
        <v>1145</v>
      </c>
      <c r="E501" t="s">
        <v>4267</v>
      </c>
      <c r="F501" t="s">
        <v>148</v>
      </c>
      <c r="G501" t="s">
        <v>447</v>
      </c>
      <c r="H501" t="s">
        <v>150</v>
      </c>
      <c r="I501" t="s">
        <v>40</v>
      </c>
      <c r="J501" t="s">
        <v>321</v>
      </c>
      <c r="K501" t="s">
        <v>42</v>
      </c>
      <c r="L501" t="s">
        <v>448</v>
      </c>
      <c r="N501" t="s">
        <v>650</v>
      </c>
      <c r="Q501">
        <v>32047</v>
      </c>
      <c r="R501" t="s">
        <v>322</v>
      </c>
      <c r="S501" t="s">
        <v>1147</v>
      </c>
      <c r="T501">
        <v>26</v>
      </c>
      <c r="W501" t="s">
        <v>4268</v>
      </c>
      <c r="X501">
        <v>110027386</v>
      </c>
      <c r="Y501" t="s">
        <v>750</v>
      </c>
      <c r="Z501" s="2" t="s">
        <v>4269</v>
      </c>
      <c r="AA501" t="s">
        <v>2593</v>
      </c>
      <c r="AB501" t="s">
        <v>486</v>
      </c>
      <c r="AG501" t="s">
        <v>4270</v>
      </c>
      <c r="AH501" t="s">
        <v>1153</v>
      </c>
      <c r="AI501" t="s">
        <v>4271</v>
      </c>
    </row>
    <row r="502" spans="2:35" ht="409.5">
      <c r="B502" s="1">
        <v>46058</v>
      </c>
      <c r="C502" s="1">
        <v>46057</v>
      </c>
      <c r="D502" t="s">
        <v>2005</v>
      </c>
      <c r="E502" t="s">
        <v>4272</v>
      </c>
      <c r="F502" t="s">
        <v>148</v>
      </c>
      <c r="G502" t="s">
        <v>2007</v>
      </c>
      <c r="H502" t="s">
        <v>662</v>
      </c>
      <c r="I502" t="s">
        <v>40</v>
      </c>
      <c r="J502" t="s">
        <v>109</v>
      </c>
      <c r="K502" t="s">
        <v>42</v>
      </c>
      <c r="L502" t="s">
        <v>448</v>
      </c>
      <c r="N502" t="s">
        <v>650</v>
      </c>
      <c r="Q502">
        <v>32046</v>
      </c>
      <c r="R502" t="s">
        <v>95</v>
      </c>
      <c r="S502" t="s">
        <v>4273</v>
      </c>
      <c r="T502">
        <v>26</v>
      </c>
      <c r="U502" s="2" t="s">
        <v>4274</v>
      </c>
      <c r="W502" t="s">
        <v>4275</v>
      </c>
      <c r="X502">
        <v>110026448</v>
      </c>
      <c r="Y502" t="s">
        <v>485</v>
      </c>
      <c r="Z502" s="2" t="s">
        <v>2011</v>
      </c>
      <c r="AA502" t="s">
        <v>122</v>
      </c>
      <c r="AB502" s="2" t="s">
        <v>4276</v>
      </c>
      <c r="AG502" t="s">
        <v>4277</v>
      </c>
      <c r="AH502" t="s">
        <v>4278</v>
      </c>
      <c r="AI502" t="s">
        <v>4279</v>
      </c>
    </row>
    <row r="503" spans="2:35" ht="409.5">
      <c r="B503" s="1">
        <v>46058</v>
      </c>
      <c r="C503" s="1">
        <v>46058</v>
      </c>
      <c r="D503" t="s">
        <v>2408</v>
      </c>
      <c r="E503" t="s">
        <v>2409</v>
      </c>
      <c r="F503">
        <v>3</v>
      </c>
      <c r="G503" t="s">
        <v>730</v>
      </c>
      <c r="H503" t="s">
        <v>39</v>
      </c>
      <c r="I503" t="s">
        <v>40</v>
      </c>
      <c r="J503" s="2" t="s">
        <v>62</v>
      </c>
      <c r="K503" t="s">
        <v>42</v>
      </c>
      <c r="L503" t="s">
        <v>135</v>
      </c>
      <c r="N503" t="s">
        <v>136</v>
      </c>
      <c r="Q503">
        <v>32045</v>
      </c>
      <c r="R503" t="s">
        <v>45</v>
      </c>
      <c r="S503" t="s">
        <v>2410</v>
      </c>
      <c r="T503">
        <v>25</v>
      </c>
      <c r="W503" t="s">
        <v>138</v>
      </c>
      <c r="X503">
        <v>807562</v>
      </c>
      <c r="Y503" t="s">
        <v>67</v>
      </c>
      <c r="Z503" s="2" t="s">
        <v>4280</v>
      </c>
      <c r="AA503" s="2" t="s">
        <v>1753</v>
      </c>
      <c r="AB503" s="2" t="s">
        <v>4281</v>
      </c>
      <c r="AC503" t="s">
        <v>4282</v>
      </c>
      <c r="AG503" t="s">
        <v>4283</v>
      </c>
      <c r="AH503" t="s">
        <v>4284</v>
      </c>
      <c r="AI503" t="s">
        <v>4285</v>
      </c>
    </row>
    <row r="504" spans="2:35" ht="135">
      <c r="B504" s="1">
        <v>46058</v>
      </c>
      <c r="C504" s="1">
        <v>46058</v>
      </c>
      <c r="D504" t="s">
        <v>4286</v>
      </c>
      <c r="E504" t="s">
        <v>2956</v>
      </c>
      <c r="F504">
        <v>9</v>
      </c>
      <c r="G504" t="s">
        <v>2197</v>
      </c>
      <c r="H504" t="s">
        <v>39</v>
      </c>
      <c r="I504" t="s">
        <v>40</v>
      </c>
      <c r="J504" s="2" t="s">
        <v>4287</v>
      </c>
      <c r="K504" t="s">
        <v>42</v>
      </c>
      <c r="L504" t="s">
        <v>1257</v>
      </c>
      <c r="N504" t="s">
        <v>1258</v>
      </c>
      <c r="O504" t="s">
        <v>1258</v>
      </c>
      <c r="Q504">
        <v>32044</v>
      </c>
      <c r="R504" t="s">
        <v>45</v>
      </c>
      <c r="S504" t="s">
        <v>2958</v>
      </c>
      <c r="T504">
        <v>22</v>
      </c>
      <c r="V504" s="1">
        <v>46058</v>
      </c>
      <c r="W504" t="s">
        <v>2384</v>
      </c>
      <c r="X504">
        <v>821214</v>
      </c>
      <c r="Y504" t="s">
        <v>4288</v>
      </c>
      <c r="Z504" t="s">
        <v>4289</v>
      </c>
      <c r="AA504" t="s">
        <v>4290</v>
      </c>
      <c r="AB504" t="s">
        <v>4291</v>
      </c>
      <c r="AC504" t="s">
        <v>4292</v>
      </c>
      <c r="AD504" t="s">
        <v>54</v>
      </c>
      <c r="AE504" t="s">
        <v>54</v>
      </c>
      <c r="AF504" t="s">
        <v>1257</v>
      </c>
      <c r="AG504" t="s">
        <v>4293</v>
      </c>
      <c r="AH504" t="s">
        <v>2968</v>
      </c>
      <c r="AI504" t="s">
        <v>4294</v>
      </c>
    </row>
    <row r="505" spans="2:35" ht="315">
      <c r="B505" s="1">
        <v>46057</v>
      </c>
      <c r="C505" s="1">
        <v>46057</v>
      </c>
      <c r="D505" t="s">
        <v>4295</v>
      </c>
      <c r="E505" t="s">
        <v>4296</v>
      </c>
      <c r="F505">
        <v>11</v>
      </c>
      <c r="G505" t="s">
        <v>4297</v>
      </c>
      <c r="H505" t="s">
        <v>202</v>
      </c>
      <c r="I505" t="s">
        <v>40</v>
      </c>
      <c r="J505" s="2" t="s">
        <v>4208</v>
      </c>
      <c r="K505" t="s">
        <v>42</v>
      </c>
      <c r="L505" t="s">
        <v>204</v>
      </c>
      <c r="N505" t="s">
        <v>205</v>
      </c>
      <c r="O505" t="s">
        <v>4298</v>
      </c>
      <c r="Q505">
        <v>32043</v>
      </c>
      <c r="R505" t="s">
        <v>45</v>
      </c>
      <c r="S505" t="s">
        <v>4299</v>
      </c>
      <c r="T505">
        <v>27.5</v>
      </c>
      <c r="U505" s="2" t="s">
        <v>3538</v>
      </c>
      <c r="W505" t="s">
        <v>208</v>
      </c>
      <c r="X505">
        <v>805258</v>
      </c>
      <c r="Y505" s="2" t="s">
        <v>4300</v>
      </c>
      <c r="Z505" s="2" t="s">
        <v>1321</v>
      </c>
      <c r="AA505" t="s">
        <v>2924</v>
      </c>
      <c r="AB505" s="2" t="s">
        <v>4301</v>
      </c>
      <c r="AC505" t="s">
        <v>4302</v>
      </c>
      <c r="AG505" t="s">
        <v>4303</v>
      </c>
      <c r="AH505" t="s">
        <v>4304</v>
      </c>
      <c r="AI505" t="s">
        <v>4305</v>
      </c>
    </row>
    <row r="506" spans="2:35" ht="150">
      <c r="B506" s="1">
        <v>46057</v>
      </c>
      <c r="C506" s="1">
        <v>46057</v>
      </c>
      <c r="D506" t="s">
        <v>3326</v>
      </c>
      <c r="E506" t="s">
        <v>582</v>
      </c>
      <c r="F506" t="s">
        <v>148</v>
      </c>
      <c r="G506" t="s">
        <v>447</v>
      </c>
      <c r="H506" t="s">
        <v>513</v>
      </c>
      <c r="I506" t="s">
        <v>40</v>
      </c>
      <c r="J506" t="s">
        <v>109</v>
      </c>
      <c r="K506" t="s">
        <v>387</v>
      </c>
      <c r="L506" t="s">
        <v>175</v>
      </c>
      <c r="N506" t="s">
        <v>176</v>
      </c>
      <c r="O506" t="s">
        <v>4306</v>
      </c>
      <c r="Q506">
        <v>32042</v>
      </c>
      <c r="R506" t="s">
        <v>322</v>
      </c>
      <c r="S506" t="s">
        <v>3327</v>
      </c>
      <c r="T506">
        <v>25</v>
      </c>
      <c r="W506" t="s">
        <v>390</v>
      </c>
      <c r="X506" t="s">
        <v>4307</v>
      </c>
      <c r="Y506" t="s">
        <v>374</v>
      </c>
      <c r="Z506" t="s">
        <v>103</v>
      </c>
      <c r="AA506" t="e">
        <f ca="1">- checked rotor roller pumps
- checked CALIBRATION parameters
- performed self test</f>
        <v>#NAME?</v>
      </c>
      <c r="AB506" s="2" t="s">
        <v>4308</v>
      </c>
      <c r="AG506" t="s">
        <v>4309</v>
      </c>
      <c r="AH506" t="s">
        <v>4310</v>
      </c>
      <c r="AI506" t="s">
        <v>4311</v>
      </c>
    </row>
    <row r="507" spans="2:35" ht="360">
      <c r="B507" s="1">
        <v>46057</v>
      </c>
      <c r="C507" s="1">
        <v>46065</v>
      </c>
      <c r="D507" t="s">
        <v>4312</v>
      </c>
      <c r="E507" t="s">
        <v>4313</v>
      </c>
      <c r="F507">
        <v>3</v>
      </c>
      <c r="G507" t="s">
        <v>730</v>
      </c>
      <c r="H507" t="s">
        <v>39</v>
      </c>
      <c r="I507" t="s">
        <v>40</v>
      </c>
      <c r="J507" t="s">
        <v>109</v>
      </c>
      <c r="K507" t="s">
        <v>42</v>
      </c>
      <c r="L507" t="s">
        <v>135</v>
      </c>
      <c r="N507" t="s">
        <v>136</v>
      </c>
      <c r="Q507">
        <v>32041</v>
      </c>
      <c r="R507" t="s">
        <v>95</v>
      </c>
      <c r="S507" t="s">
        <v>4103</v>
      </c>
      <c r="T507">
        <v>25</v>
      </c>
      <c r="W507" t="s">
        <v>3418</v>
      </c>
      <c r="X507">
        <v>830841</v>
      </c>
      <c r="Y507" t="s">
        <v>4314</v>
      </c>
      <c r="Z507" t="s">
        <v>4315</v>
      </c>
      <c r="AA507" s="2" t="s">
        <v>4316</v>
      </c>
      <c r="AB507" t="s">
        <v>4317</v>
      </c>
      <c r="AG507" t="s">
        <v>4318</v>
      </c>
      <c r="AH507" t="s">
        <v>4110</v>
      </c>
      <c r="AI507" t="s">
        <v>4319</v>
      </c>
    </row>
    <row r="508" spans="2:35" ht="360">
      <c r="B508" s="1">
        <v>46057</v>
      </c>
      <c r="C508" s="1">
        <v>46057</v>
      </c>
      <c r="D508" t="s">
        <v>4101</v>
      </c>
      <c r="E508" t="s">
        <v>4320</v>
      </c>
      <c r="F508">
        <v>3</v>
      </c>
      <c r="G508" t="s">
        <v>730</v>
      </c>
      <c r="H508" t="s">
        <v>39</v>
      </c>
      <c r="I508" t="s">
        <v>40</v>
      </c>
      <c r="J508" t="s">
        <v>109</v>
      </c>
      <c r="K508" t="s">
        <v>42</v>
      </c>
      <c r="L508" t="s">
        <v>135</v>
      </c>
      <c r="N508" t="s">
        <v>136</v>
      </c>
      <c r="Q508">
        <v>32040</v>
      </c>
      <c r="R508" t="s">
        <v>95</v>
      </c>
      <c r="S508" t="s">
        <v>4103</v>
      </c>
      <c r="T508">
        <v>25</v>
      </c>
      <c r="W508" t="s">
        <v>138</v>
      </c>
      <c r="X508">
        <v>839232</v>
      </c>
      <c r="Y508" t="s">
        <v>4314</v>
      </c>
      <c r="Z508" t="s">
        <v>4315</v>
      </c>
      <c r="AA508" s="2" t="s">
        <v>4316</v>
      </c>
      <c r="AB508" t="s">
        <v>4321</v>
      </c>
      <c r="AG508" t="s">
        <v>4322</v>
      </c>
      <c r="AH508" t="s">
        <v>4110</v>
      </c>
      <c r="AI508" t="s">
        <v>4323</v>
      </c>
    </row>
    <row r="509" spans="2:35" ht="195">
      <c r="B509" s="1">
        <v>46057</v>
      </c>
      <c r="C509" s="1">
        <v>46057</v>
      </c>
      <c r="D509" t="s">
        <v>3241</v>
      </c>
      <c r="E509" t="s">
        <v>4324</v>
      </c>
      <c r="F509">
        <v>7</v>
      </c>
      <c r="G509" t="s">
        <v>432</v>
      </c>
      <c r="H509" t="s">
        <v>258</v>
      </c>
      <c r="I509" t="s">
        <v>40</v>
      </c>
      <c r="J509" s="2" t="s">
        <v>190</v>
      </c>
      <c r="K509" t="s">
        <v>42</v>
      </c>
      <c r="L509" t="s">
        <v>594</v>
      </c>
      <c r="N509" t="s">
        <v>595</v>
      </c>
      <c r="O509" t="s">
        <v>595</v>
      </c>
      <c r="Q509">
        <v>32039</v>
      </c>
      <c r="R509" t="s">
        <v>45</v>
      </c>
      <c r="S509" t="s">
        <v>4325</v>
      </c>
      <c r="T509">
        <v>24.4</v>
      </c>
      <c r="V509" s="1">
        <v>338220</v>
      </c>
      <c r="W509" t="s">
        <v>666</v>
      </c>
      <c r="X509">
        <v>808640</v>
      </c>
      <c r="Y509" t="s">
        <v>4326</v>
      </c>
      <c r="Z509" s="2" t="s">
        <v>4327</v>
      </c>
      <c r="AA509" t="s">
        <v>4328</v>
      </c>
      <c r="AB509" s="2" t="s">
        <v>4329</v>
      </c>
      <c r="AG509" t="s">
        <v>4330</v>
      </c>
      <c r="AH509" t="s">
        <v>4331</v>
      </c>
      <c r="AI509" t="s">
        <v>4332</v>
      </c>
    </row>
    <row r="510" spans="2:35" ht="120">
      <c r="B510" s="1">
        <v>46057</v>
      </c>
      <c r="C510" s="1">
        <v>46057</v>
      </c>
      <c r="D510" t="s">
        <v>4333</v>
      </c>
      <c r="E510" t="s">
        <v>4334</v>
      </c>
      <c r="F510">
        <v>9</v>
      </c>
      <c r="G510" t="s">
        <v>2197</v>
      </c>
      <c r="H510" t="s">
        <v>39</v>
      </c>
      <c r="I510" t="s">
        <v>40</v>
      </c>
      <c r="J510" s="2" t="s">
        <v>4335</v>
      </c>
      <c r="K510" t="s">
        <v>42</v>
      </c>
      <c r="L510" t="s">
        <v>1257</v>
      </c>
      <c r="N510" t="s">
        <v>1258</v>
      </c>
      <c r="O510" t="s">
        <v>2867</v>
      </c>
      <c r="Q510">
        <v>32038</v>
      </c>
      <c r="R510" t="s">
        <v>45</v>
      </c>
      <c r="S510" t="s">
        <v>4336</v>
      </c>
      <c r="T510">
        <v>25</v>
      </c>
      <c r="U510" s="2" t="s">
        <v>4337</v>
      </c>
      <c r="V510" s="1">
        <v>46057</v>
      </c>
      <c r="W510" t="s">
        <v>2384</v>
      </c>
      <c r="X510">
        <v>807595</v>
      </c>
      <c r="Y510" t="s">
        <v>4338</v>
      </c>
      <c r="Z510" t="s">
        <v>4339</v>
      </c>
      <c r="AA510" t="s">
        <v>4339</v>
      </c>
      <c r="AB510" t="s">
        <v>4340</v>
      </c>
      <c r="AC510" t="s">
        <v>301</v>
      </c>
      <c r="AD510" t="s">
        <v>54</v>
      </c>
      <c r="AE510" t="s">
        <v>54</v>
      </c>
      <c r="AG510" t="s">
        <v>4341</v>
      </c>
      <c r="AH510" t="s">
        <v>4342</v>
      </c>
      <c r="AI510" t="s">
        <v>4343</v>
      </c>
    </row>
    <row r="511" spans="2:35" ht="105">
      <c r="B511" s="1">
        <v>46057</v>
      </c>
      <c r="C511" s="1">
        <v>46057</v>
      </c>
      <c r="D511" t="s">
        <v>4344</v>
      </c>
      <c r="E511" t="s">
        <v>4345</v>
      </c>
      <c r="F511">
        <v>8</v>
      </c>
      <c r="G511" t="s">
        <v>342</v>
      </c>
      <c r="H511" t="s">
        <v>258</v>
      </c>
      <c r="I511" t="s">
        <v>40</v>
      </c>
      <c r="J511" s="2" t="s">
        <v>1592</v>
      </c>
      <c r="K511" t="s">
        <v>42</v>
      </c>
      <c r="L511" t="s">
        <v>259</v>
      </c>
      <c r="N511" t="s">
        <v>260</v>
      </c>
      <c r="Q511">
        <v>32037</v>
      </c>
      <c r="R511" t="s">
        <v>45</v>
      </c>
      <c r="S511" t="s">
        <v>4346</v>
      </c>
      <c r="T511">
        <v>28</v>
      </c>
      <c r="U511" s="2" t="s">
        <v>4347</v>
      </c>
      <c r="W511" t="s">
        <v>4348</v>
      </c>
      <c r="X511">
        <v>834817</v>
      </c>
      <c r="Y511" t="s">
        <v>4349</v>
      </c>
      <c r="Z511" t="e">
        <f ca="1">- Troubleshooting
- Replaces CMOS battery
- Reset BIOS system
- performed selftest
- Generate IQR _xludf.and system _xludf.Log</f>
        <v>#NAME?</v>
      </c>
      <c r="AA511" t="e">
        <f ca="1">- Preventive Maintenance
- Repair
- Troubleshooting</f>
        <v>#NAME?</v>
      </c>
      <c r="AB511" t="s">
        <v>3259</v>
      </c>
      <c r="AG511" t="s">
        <v>4350</v>
      </c>
      <c r="AH511" t="s">
        <v>4351</v>
      </c>
      <c r="AI511" t="s">
        <v>4352</v>
      </c>
    </row>
    <row r="512" spans="2:35" ht="105">
      <c r="B512" s="1">
        <v>46057</v>
      </c>
      <c r="C512" s="1">
        <v>46057</v>
      </c>
      <c r="D512" t="s">
        <v>4353</v>
      </c>
      <c r="E512" t="s">
        <v>4353</v>
      </c>
      <c r="F512">
        <v>9</v>
      </c>
      <c r="G512" t="s">
        <v>3346</v>
      </c>
      <c r="H512" t="s">
        <v>39</v>
      </c>
      <c r="I512" t="s">
        <v>40</v>
      </c>
      <c r="J512" t="s">
        <v>109</v>
      </c>
      <c r="K512" t="s">
        <v>42</v>
      </c>
      <c r="L512" t="s">
        <v>1257</v>
      </c>
      <c r="N512" t="s">
        <v>1258</v>
      </c>
      <c r="O512" t="s">
        <v>2867</v>
      </c>
      <c r="Q512">
        <v>32036</v>
      </c>
      <c r="R512" t="s">
        <v>45</v>
      </c>
      <c r="S512" t="s">
        <v>4354</v>
      </c>
      <c r="T512">
        <v>22</v>
      </c>
      <c r="U512" s="2" t="s">
        <v>2523</v>
      </c>
      <c r="V512" s="1">
        <v>46057</v>
      </c>
      <c r="W512" t="s">
        <v>2384</v>
      </c>
      <c r="X512">
        <v>707515</v>
      </c>
      <c r="Y512" t="s">
        <v>4355</v>
      </c>
      <c r="Z512" t="s">
        <v>4356</v>
      </c>
      <c r="AA512" t="s">
        <v>4357</v>
      </c>
      <c r="AB512" t="s">
        <v>4358</v>
      </c>
      <c r="AC512" t="s">
        <v>4359</v>
      </c>
      <c r="AD512" t="s">
        <v>54</v>
      </c>
      <c r="AE512" t="s">
        <v>54</v>
      </c>
      <c r="AG512" t="s">
        <v>4360</v>
      </c>
      <c r="AH512" t="s">
        <v>4361</v>
      </c>
      <c r="AI512" t="s">
        <v>4362</v>
      </c>
    </row>
    <row r="513" spans="2:35" ht="195">
      <c r="B513" s="1">
        <v>46057</v>
      </c>
      <c r="C513" s="1">
        <v>46056</v>
      </c>
      <c r="D513" t="s">
        <v>4363</v>
      </c>
      <c r="E513" t="s">
        <v>4364</v>
      </c>
      <c r="F513" t="s">
        <v>148</v>
      </c>
      <c r="G513" t="s">
        <v>447</v>
      </c>
      <c r="H513" t="s">
        <v>150</v>
      </c>
      <c r="I513" t="s">
        <v>40</v>
      </c>
      <c r="J513" t="s">
        <v>525</v>
      </c>
      <c r="K513" t="s">
        <v>42</v>
      </c>
      <c r="L513" t="s">
        <v>448</v>
      </c>
      <c r="N513" t="s">
        <v>650</v>
      </c>
      <c r="O513" t="s">
        <v>2808</v>
      </c>
      <c r="Q513">
        <v>32035</v>
      </c>
      <c r="R513" t="s">
        <v>95</v>
      </c>
      <c r="S513" t="s">
        <v>2809</v>
      </c>
      <c r="T513">
        <v>25</v>
      </c>
      <c r="U513" s="2" t="s">
        <v>4365</v>
      </c>
      <c r="W513" t="s">
        <v>666</v>
      </c>
      <c r="X513">
        <v>839234</v>
      </c>
      <c r="Y513" t="s">
        <v>4366</v>
      </c>
      <c r="Z513" s="2" t="s">
        <v>4367</v>
      </c>
      <c r="AA513" t="s">
        <v>768</v>
      </c>
      <c r="AB513" s="2" t="s">
        <v>4368</v>
      </c>
      <c r="AG513" t="s">
        <v>4369</v>
      </c>
      <c r="AH513" t="s">
        <v>2814</v>
      </c>
      <c r="AI513" t="s">
        <v>4370</v>
      </c>
    </row>
    <row r="514" spans="2:35" ht="195">
      <c r="B514" s="1">
        <v>46057</v>
      </c>
      <c r="C514" s="1">
        <v>46057</v>
      </c>
      <c r="D514" t="s">
        <v>3241</v>
      </c>
      <c r="E514" t="s">
        <v>4324</v>
      </c>
      <c r="F514">
        <v>7</v>
      </c>
      <c r="G514" t="s">
        <v>432</v>
      </c>
      <c r="H514" t="s">
        <v>258</v>
      </c>
      <c r="I514" t="s">
        <v>40</v>
      </c>
      <c r="J514" s="2" t="s">
        <v>190</v>
      </c>
      <c r="K514" t="s">
        <v>42</v>
      </c>
      <c r="L514" t="s">
        <v>594</v>
      </c>
      <c r="N514" t="s">
        <v>595</v>
      </c>
      <c r="O514" t="s">
        <v>595</v>
      </c>
      <c r="Q514">
        <v>32034</v>
      </c>
      <c r="R514" t="s">
        <v>45</v>
      </c>
      <c r="S514" t="s">
        <v>4325</v>
      </c>
      <c r="T514">
        <v>24.4</v>
      </c>
      <c r="V514" s="1">
        <v>338220</v>
      </c>
      <c r="W514" t="s">
        <v>666</v>
      </c>
      <c r="X514">
        <v>808640</v>
      </c>
      <c r="Y514" t="s">
        <v>4326</v>
      </c>
      <c r="Z514" s="2" t="s">
        <v>4327</v>
      </c>
      <c r="AA514" t="s">
        <v>4328</v>
      </c>
      <c r="AB514" s="2" t="s">
        <v>4329</v>
      </c>
      <c r="AG514" t="s">
        <v>4371</v>
      </c>
      <c r="AH514" t="s">
        <v>4331</v>
      </c>
      <c r="AI514" t="s">
        <v>4372</v>
      </c>
    </row>
    <row r="515" spans="2:35" ht="195">
      <c r="B515" s="1">
        <v>46057</v>
      </c>
      <c r="C515" s="1">
        <v>46056</v>
      </c>
      <c r="D515" t="s">
        <v>952</v>
      </c>
      <c r="E515" t="s">
        <v>953</v>
      </c>
      <c r="F515">
        <v>7</v>
      </c>
      <c r="G515" t="s">
        <v>432</v>
      </c>
      <c r="H515" t="s">
        <v>258</v>
      </c>
      <c r="I515" t="s">
        <v>40</v>
      </c>
      <c r="J515" s="2" t="s">
        <v>4373</v>
      </c>
      <c r="K515" t="s">
        <v>42</v>
      </c>
      <c r="L515" t="s">
        <v>594</v>
      </c>
      <c r="N515" t="s">
        <v>595</v>
      </c>
      <c r="O515" t="s">
        <v>595</v>
      </c>
      <c r="Q515">
        <v>32033</v>
      </c>
      <c r="R515" t="s">
        <v>45</v>
      </c>
      <c r="S515" t="s">
        <v>955</v>
      </c>
      <c r="T515">
        <v>23</v>
      </c>
      <c r="W515" t="s">
        <v>666</v>
      </c>
      <c r="X515">
        <v>808620</v>
      </c>
      <c r="Y515" t="s">
        <v>4374</v>
      </c>
      <c r="Z515" s="2" t="s">
        <v>4375</v>
      </c>
      <c r="AA515" s="2" t="s">
        <v>4376</v>
      </c>
      <c r="AB515" t="s">
        <v>4253</v>
      </c>
      <c r="AG515" t="s">
        <v>4377</v>
      </c>
      <c r="AH515" t="s">
        <v>960</v>
      </c>
      <c r="AI515" t="s">
        <v>4378</v>
      </c>
    </row>
    <row r="516" spans="2:35" ht="285">
      <c r="B516" s="1">
        <v>46057</v>
      </c>
      <c r="C516" s="1">
        <v>46056</v>
      </c>
      <c r="D516" t="s">
        <v>4379</v>
      </c>
      <c r="E516" t="s">
        <v>4380</v>
      </c>
      <c r="F516" t="s">
        <v>148</v>
      </c>
      <c r="G516" t="s">
        <v>785</v>
      </c>
      <c r="H516" t="s">
        <v>39</v>
      </c>
      <c r="I516" t="s">
        <v>40</v>
      </c>
      <c r="J516" t="s">
        <v>109</v>
      </c>
      <c r="K516" t="s">
        <v>42</v>
      </c>
      <c r="L516" t="s">
        <v>43</v>
      </c>
      <c r="N516" t="s">
        <v>44</v>
      </c>
      <c r="O516" t="s">
        <v>4381</v>
      </c>
      <c r="Q516">
        <v>32030</v>
      </c>
      <c r="R516" t="s">
        <v>45</v>
      </c>
      <c r="S516" t="s">
        <v>4382</v>
      </c>
      <c r="T516">
        <v>24</v>
      </c>
      <c r="U516" s="2" t="s">
        <v>4383</v>
      </c>
      <c r="W516" t="s">
        <v>48</v>
      </c>
      <c r="X516">
        <v>814374</v>
      </c>
      <c r="Y516" s="2" t="s">
        <v>4384</v>
      </c>
      <c r="Z516" t="s">
        <v>122</v>
      </c>
      <c r="AA516" s="2" t="s">
        <v>547</v>
      </c>
      <c r="AB516" t="s">
        <v>4385</v>
      </c>
      <c r="AG516" t="s">
        <v>4386</v>
      </c>
      <c r="AH516" t="s">
        <v>4387</v>
      </c>
      <c r="AI516" t="s">
        <v>4388</v>
      </c>
    </row>
    <row r="517" spans="2:35" ht="195">
      <c r="B517" s="1">
        <v>46057</v>
      </c>
      <c r="C517" s="1">
        <v>46056</v>
      </c>
      <c r="D517" t="s">
        <v>4379</v>
      </c>
      <c r="E517" t="s">
        <v>4380</v>
      </c>
      <c r="F517" t="s">
        <v>148</v>
      </c>
      <c r="G517" t="s">
        <v>785</v>
      </c>
      <c r="H517" t="s">
        <v>39</v>
      </c>
      <c r="I517" t="s">
        <v>40</v>
      </c>
      <c r="J517" t="s">
        <v>109</v>
      </c>
      <c r="K517" t="s">
        <v>387</v>
      </c>
      <c r="L517" t="s">
        <v>43</v>
      </c>
      <c r="N517" t="s">
        <v>44</v>
      </c>
      <c r="O517" t="s">
        <v>4381</v>
      </c>
      <c r="Q517">
        <v>32031</v>
      </c>
      <c r="R517" t="s">
        <v>95</v>
      </c>
      <c r="S517" t="s">
        <v>4389</v>
      </c>
      <c r="T517">
        <v>24</v>
      </c>
      <c r="W517" t="s">
        <v>390</v>
      </c>
      <c r="X517" t="s">
        <v>4390</v>
      </c>
      <c r="Y517" t="s">
        <v>121</v>
      </c>
      <c r="Z517" t="s">
        <v>122</v>
      </c>
      <c r="AA517" s="2" t="s">
        <v>4391</v>
      </c>
      <c r="AB517" t="s">
        <v>88</v>
      </c>
      <c r="AG517" t="s">
        <v>4392</v>
      </c>
      <c r="AH517" t="s">
        <v>4393</v>
      </c>
      <c r="AI517" t="s">
        <v>4394</v>
      </c>
    </row>
    <row r="518" spans="2:35" ht="409.5">
      <c r="B518" s="1">
        <v>46057</v>
      </c>
      <c r="C518" s="1">
        <v>46056</v>
      </c>
      <c r="D518" t="s">
        <v>4379</v>
      </c>
      <c r="E518" t="s">
        <v>4380</v>
      </c>
      <c r="F518" t="s">
        <v>148</v>
      </c>
      <c r="G518" t="s">
        <v>785</v>
      </c>
      <c r="H518" t="s">
        <v>39</v>
      </c>
      <c r="I518" t="s">
        <v>40</v>
      </c>
      <c r="J518" t="s">
        <v>109</v>
      </c>
      <c r="K518" t="s">
        <v>42</v>
      </c>
      <c r="L518" t="s">
        <v>43</v>
      </c>
      <c r="N518" t="s">
        <v>44</v>
      </c>
      <c r="O518" t="s">
        <v>4381</v>
      </c>
      <c r="Q518">
        <v>32032</v>
      </c>
      <c r="R518" t="s">
        <v>322</v>
      </c>
      <c r="S518" t="s">
        <v>4382</v>
      </c>
      <c r="T518">
        <v>24</v>
      </c>
      <c r="U518" s="2" t="s">
        <v>4395</v>
      </c>
      <c r="W518" t="s">
        <v>3178</v>
      </c>
      <c r="X518">
        <v>838627</v>
      </c>
      <c r="Y518" s="2" t="s">
        <v>4396</v>
      </c>
      <c r="Z518" t="s">
        <v>122</v>
      </c>
      <c r="AA518" s="2" t="s">
        <v>547</v>
      </c>
      <c r="AB518" t="s">
        <v>4397</v>
      </c>
      <c r="AG518" t="s">
        <v>4398</v>
      </c>
      <c r="AH518" t="s">
        <v>4399</v>
      </c>
      <c r="AI518" t="s">
        <v>4400</v>
      </c>
    </row>
    <row r="519" spans="2:35" ht="409.5">
      <c r="B519" s="1">
        <v>46057</v>
      </c>
      <c r="C519" s="1">
        <v>46057</v>
      </c>
      <c r="D519" t="s">
        <v>1941</v>
      </c>
      <c r="E519" t="s">
        <v>1942</v>
      </c>
      <c r="F519" t="s">
        <v>148</v>
      </c>
      <c r="G519" t="s">
        <v>310</v>
      </c>
      <c r="H519" t="s">
        <v>39</v>
      </c>
      <c r="I519" t="s">
        <v>40</v>
      </c>
      <c r="J519" s="2" t="s">
        <v>190</v>
      </c>
      <c r="K519" t="s">
        <v>42</v>
      </c>
      <c r="L519" t="s">
        <v>1943</v>
      </c>
      <c r="N519" t="s">
        <v>1944</v>
      </c>
      <c r="Q519">
        <v>32029</v>
      </c>
      <c r="R519" t="s">
        <v>45</v>
      </c>
      <c r="S519" t="s">
        <v>1945</v>
      </c>
      <c r="T519">
        <v>25</v>
      </c>
      <c r="W519" t="s">
        <v>84</v>
      </c>
      <c r="X519">
        <v>805060</v>
      </c>
      <c r="Y519" s="2" t="s">
        <v>4401</v>
      </c>
      <c r="Z519" t="s">
        <v>4402</v>
      </c>
      <c r="AA519" s="2" t="s">
        <v>4403</v>
      </c>
      <c r="AB519" t="s">
        <v>4404</v>
      </c>
      <c r="AG519" t="s">
        <v>4405</v>
      </c>
      <c r="AH519" t="s">
        <v>1951</v>
      </c>
      <c r="AI519" t="s">
        <v>4406</v>
      </c>
    </row>
    <row r="520" spans="2:35" ht="180">
      <c r="B520" s="1">
        <v>46057</v>
      </c>
      <c r="C520" s="1">
        <v>46057</v>
      </c>
      <c r="D520" t="s">
        <v>1071</v>
      </c>
      <c r="E520" t="s">
        <v>1555</v>
      </c>
      <c r="F520">
        <v>7</v>
      </c>
      <c r="G520" t="s">
        <v>432</v>
      </c>
      <c r="H520" t="s">
        <v>1498</v>
      </c>
      <c r="I520" t="s">
        <v>40</v>
      </c>
      <c r="J520" s="2" t="s">
        <v>190</v>
      </c>
      <c r="K520" t="s">
        <v>42</v>
      </c>
      <c r="L520" t="s">
        <v>343</v>
      </c>
      <c r="N520" t="s">
        <v>344</v>
      </c>
      <c r="Q520">
        <v>32028</v>
      </c>
      <c r="R520" t="s">
        <v>119</v>
      </c>
      <c r="S520" t="s">
        <v>4407</v>
      </c>
      <c r="T520">
        <v>28</v>
      </c>
      <c r="U520" s="2" t="s">
        <v>4408</v>
      </c>
      <c r="W520" t="s">
        <v>1501</v>
      </c>
      <c r="X520">
        <v>820206</v>
      </c>
      <c r="Y520" t="s">
        <v>4409</v>
      </c>
      <c r="Z520" t="e">
        <f ca="1">-Troubleshoot module
-Analyze _xludf.and Gather Data</f>
        <v>#NAME?</v>
      </c>
      <c r="AA520" t="e">
        <f ca="1">-Preventive Maintenance
-Enable modules</f>
        <v>#NAME?</v>
      </c>
      <c r="AB520" t="s">
        <v>348</v>
      </c>
      <c r="AG520" t="s">
        <v>4410</v>
      </c>
      <c r="AH520" t="s">
        <v>4411</v>
      </c>
      <c r="AI520" t="s">
        <v>4412</v>
      </c>
    </row>
    <row r="521" spans="2:35" ht="360">
      <c r="B521" s="1">
        <v>46056</v>
      </c>
      <c r="C521" s="1">
        <v>46051</v>
      </c>
      <c r="D521" t="s">
        <v>4413</v>
      </c>
      <c r="E521" t="s">
        <v>4414</v>
      </c>
      <c r="F521">
        <v>12</v>
      </c>
      <c r="G521" t="s">
        <v>978</v>
      </c>
      <c r="H521" t="s">
        <v>1473</v>
      </c>
      <c r="I521" t="s">
        <v>40</v>
      </c>
      <c r="J521" t="s">
        <v>109</v>
      </c>
      <c r="K521" t="s">
        <v>42</v>
      </c>
      <c r="L521" t="s">
        <v>296</v>
      </c>
      <c r="N521" t="s">
        <v>297</v>
      </c>
      <c r="Q521">
        <v>32027</v>
      </c>
      <c r="R521" t="s">
        <v>119</v>
      </c>
      <c r="S521" t="s">
        <v>4415</v>
      </c>
      <c r="T521">
        <v>27.8</v>
      </c>
      <c r="U521" s="2" t="s">
        <v>4416</v>
      </c>
      <c r="W521" t="s">
        <v>4417</v>
      </c>
      <c r="X521">
        <v>838544</v>
      </c>
      <c r="Y521" t="s">
        <v>301</v>
      </c>
      <c r="Z521" s="2" t="s">
        <v>4418</v>
      </c>
      <c r="AA521" t="s">
        <v>4419</v>
      </c>
      <c r="AB521" t="s">
        <v>972</v>
      </c>
      <c r="AG521" t="s">
        <v>4420</v>
      </c>
      <c r="AH521" t="s">
        <v>4421</v>
      </c>
      <c r="AI521" t="s">
        <v>4422</v>
      </c>
    </row>
    <row r="522" spans="2:35" ht="409.5">
      <c r="B522" s="1">
        <v>46056</v>
      </c>
      <c r="C522" s="1">
        <v>46056</v>
      </c>
      <c r="D522" t="s">
        <v>4423</v>
      </c>
      <c r="E522" t="s">
        <v>4424</v>
      </c>
      <c r="F522">
        <v>8</v>
      </c>
      <c r="G522" t="s">
        <v>342</v>
      </c>
      <c r="H522" t="s">
        <v>258</v>
      </c>
      <c r="I522" t="s">
        <v>40</v>
      </c>
      <c r="J522" s="2" t="s">
        <v>190</v>
      </c>
      <c r="K522" t="s">
        <v>42</v>
      </c>
      <c r="L522" t="s">
        <v>259</v>
      </c>
      <c r="N522" t="s">
        <v>260</v>
      </c>
      <c r="Q522">
        <v>32026</v>
      </c>
      <c r="R522" t="s">
        <v>719</v>
      </c>
      <c r="S522" t="s">
        <v>4425</v>
      </c>
      <c r="T522">
        <v>28</v>
      </c>
      <c r="U522" s="2" t="s">
        <v>4426</v>
      </c>
      <c r="W522" t="s">
        <v>84</v>
      </c>
      <c r="X522">
        <v>847249</v>
      </c>
      <c r="Y522" t="s">
        <v>4427</v>
      </c>
      <c r="Z522" s="2" t="s">
        <v>4428</v>
      </c>
      <c r="AA522" t="e">
        <f ca="1">- Preventive Maintenance
- Troubleshoot</f>
        <v>#NAME?</v>
      </c>
      <c r="AB522" t="s">
        <v>70</v>
      </c>
      <c r="AC522" t="s">
        <v>4429</v>
      </c>
      <c r="AG522" t="s">
        <v>4430</v>
      </c>
      <c r="AH522" t="s">
        <v>4431</v>
      </c>
      <c r="AI522" t="s">
        <v>4432</v>
      </c>
    </row>
    <row r="523" spans="2:35" ht="105">
      <c r="B523" s="1">
        <v>46056</v>
      </c>
      <c r="C523" s="1">
        <v>46056</v>
      </c>
      <c r="D523" t="s">
        <v>4149</v>
      </c>
      <c r="E523" t="s">
        <v>4150</v>
      </c>
      <c r="F523">
        <v>7</v>
      </c>
      <c r="G523" t="s">
        <v>432</v>
      </c>
      <c r="H523" t="s">
        <v>39</v>
      </c>
      <c r="I523" t="s">
        <v>40</v>
      </c>
      <c r="J523" s="2" t="s">
        <v>609</v>
      </c>
      <c r="K523" t="s">
        <v>42</v>
      </c>
      <c r="L523" t="s">
        <v>433</v>
      </c>
      <c r="N523" t="s">
        <v>434</v>
      </c>
      <c r="Q523">
        <v>32025</v>
      </c>
      <c r="R523" t="s">
        <v>45</v>
      </c>
      <c r="S523" t="s">
        <v>4152</v>
      </c>
      <c r="T523">
        <v>27</v>
      </c>
      <c r="W523" t="s">
        <v>502</v>
      </c>
      <c r="X523">
        <v>808630</v>
      </c>
      <c r="Y523" t="s">
        <v>54</v>
      </c>
      <c r="Z523" t="s">
        <v>4433</v>
      </c>
      <c r="AA523" s="2" t="s">
        <v>4434</v>
      </c>
      <c r="AB523" s="2" t="s">
        <v>4435</v>
      </c>
      <c r="AG523" t="s">
        <v>4436</v>
      </c>
      <c r="AH523" t="s">
        <v>4156</v>
      </c>
      <c r="AI523" t="s">
        <v>4437</v>
      </c>
    </row>
    <row r="524" spans="2:35" ht="270">
      <c r="B524" s="1">
        <v>46056</v>
      </c>
      <c r="C524" s="1">
        <v>46056</v>
      </c>
      <c r="D524" t="s">
        <v>1316</v>
      </c>
      <c r="E524" t="s">
        <v>4438</v>
      </c>
      <c r="F524">
        <v>11</v>
      </c>
      <c r="G524" t="s">
        <v>1205</v>
      </c>
      <c r="H524" t="s">
        <v>1317</v>
      </c>
      <c r="I524" t="s">
        <v>40</v>
      </c>
      <c r="J524" t="s">
        <v>109</v>
      </c>
      <c r="K524" t="s">
        <v>42</v>
      </c>
      <c r="L524" t="s">
        <v>204</v>
      </c>
      <c r="N524" t="s">
        <v>205</v>
      </c>
      <c r="Q524">
        <v>32024</v>
      </c>
      <c r="R524" t="s">
        <v>322</v>
      </c>
      <c r="S524" t="s">
        <v>1318</v>
      </c>
      <c r="T524">
        <v>25.8</v>
      </c>
      <c r="U524" s="2" t="s">
        <v>4439</v>
      </c>
      <c r="W524" t="s">
        <v>208</v>
      </c>
      <c r="X524">
        <v>839236</v>
      </c>
      <c r="Y524" t="s">
        <v>1052</v>
      </c>
      <c r="Z524" s="2" t="s">
        <v>1892</v>
      </c>
      <c r="AA524" t="s">
        <v>2551</v>
      </c>
      <c r="AB524" s="2" t="s">
        <v>4440</v>
      </c>
      <c r="AG524" t="s">
        <v>4441</v>
      </c>
      <c r="AH524" t="s">
        <v>4442</v>
      </c>
      <c r="AI524" t="s">
        <v>4443</v>
      </c>
    </row>
    <row r="525" spans="2:35" ht="255">
      <c r="B525" s="1">
        <v>46056</v>
      </c>
      <c r="C525" s="1">
        <v>46056</v>
      </c>
      <c r="D525" t="s">
        <v>1316</v>
      </c>
      <c r="E525" t="s">
        <v>2916</v>
      </c>
      <c r="F525">
        <v>11</v>
      </c>
      <c r="G525" t="s">
        <v>1205</v>
      </c>
      <c r="H525" t="s">
        <v>1317</v>
      </c>
      <c r="I525" t="s">
        <v>40</v>
      </c>
      <c r="J525" t="s">
        <v>109</v>
      </c>
      <c r="K525" t="s">
        <v>42</v>
      </c>
      <c r="L525" t="s">
        <v>204</v>
      </c>
      <c r="N525" t="s">
        <v>205</v>
      </c>
      <c r="Q525">
        <v>32023</v>
      </c>
      <c r="R525" t="s">
        <v>119</v>
      </c>
      <c r="S525" t="s">
        <v>1318</v>
      </c>
      <c r="T525">
        <v>25.8</v>
      </c>
      <c r="U525" s="2" t="s">
        <v>4439</v>
      </c>
      <c r="W525" t="s">
        <v>208</v>
      </c>
      <c r="X525">
        <v>838262</v>
      </c>
      <c r="Y525" t="s">
        <v>2851</v>
      </c>
      <c r="Z525" s="2" t="s">
        <v>1892</v>
      </c>
      <c r="AA525" t="s">
        <v>2551</v>
      </c>
      <c r="AB525" t="s">
        <v>1211</v>
      </c>
      <c r="AG525" t="s">
        <v>4444</v>
      </c>
      <c r="AH525" t="s">
        <v>4442</v>
      </c>
      <c r="AI525" t="s">
        <v>4445</v>
      </c>
    </row>
    <row r="526" spans="2:35" ht="135">
      <c r="B526" s="1">
        <v>46056</v>
      </c>
      <c r="C526" s="1">
        <v>46056</v>
      </c>
      <c r="D526" t="s">
        <v>4446</v>
      </c>
      <c r="E526" t="s">
        <v>582</v>
      </c>
      <c r="F526" t="s">
        <v>148</v>
      </c>
      <c r="G526" t="s">
        <v>447</v>
      </c>
      <c r="H526" t="s">
        <v>39</v>
      </c>
      <c r="I526" t="s">
        <v>40</v>
      </c>
      <c r="J526" t="s">
        <v>109</v>
      </c>
      <c r="K526" t="s">
        <v>42</v>
      </c>
      <c r="L526" t="s">
        <v>175</v>
      </c>
      <c r="N526" t="s">
        <v>176</v>
      </c>
      <c r="Q526">
        <v>32022</v>
      </c>
      <c r="R526" t="s">
        <v>322</v>
      </c>
      <c r="S526" t="s">
        <v>4447</v>
      </c>
      <c r="T526">
        <v>25</v>
      </c>
      <c r="W526" t="s">
        <v>423</v>
      </c>
      <c r="X526">
        <v>110025174</v>
      </c>
      <c r="Y526" t="s">
        <v>374</v>
      </c>
      <c r="Z526" t="s">
        <v>4448</v>
      </c>
      <c r="AA526" t="e">
        <f ca="1">- checked _xludf.and cleaned cartridge bay, plunger rod, _xludf.filter, icore slot
- generated reports
- performed self test</f>
        <v>#NAME?</v>
      </c>
      <c r="AB526" s="2" t="s">
        <v>4449</v>
      </c>
      <c r="AG526" t="s">
        <v>4450</v>
      </c>
      <c r="AH526" t="s">
        <v>4451</v>
      </c>
      <c r="AI526" t="s">
        <v>4452</v>
      </c>
    </row>
    <row r="527" spans="2:35" ht="195">
      <c r="B527" s="1">
        <v>46056</v>
      </c>
      <c r="C527" s="1">
        <v>46056</v>
      </c>
      <c r="D527" t="s">
        <v>952</v>
      </c>
      <c r="E527" t="s">
        <v>953</v>
      </c>
      <c r="F527">
        <v>7</v>
      </c>
      <c r="G527" t="s">
        <v>432</v>
      </c>
      <c r="H527" t="s">
        <v>258</v>
      </c>
      <c r="I527" t="s">
        <v>40</v>
      </c>
      <c r="J527" s="2" t="s">
        <v>4373</v>
      </c>
      <c r="K527" t="s">
        <v>42</v>
      </c>
      <c r="L527" t="s">
        <v>594</v>
      </c>
      <c r="N527" t="s">
        <v>595</v>
      </c>
      <c r="O527" t="s">
        <v>595</v>
      </c>
      <c r="Q527">
        <v>32021</v>
      </c>
      <c r="R527" t="s">
        <v>45</v>
      </c>
      <c r="S527" t="s">
        <v>955</v>
      </c>
      <c r="T527">
        <v>23</v>
      </c>
      <c r="W527" t="s">
        <v>666</v>
      </c>
      <c r="X527">
        <v>808620</v>
      </c>
      <c r="Y527" t="s">
        <v>4374</v>
      </c>
      <c r="Z527" s="2" t="s">
        <v>4375</v>
      </c>
      <c r="AA527" s="2" t="s">
        <v>4376</v>
      </c>
      <c r="AB527" t="s">
        <v>4253</v>
      </c>
      <c r="AG527" t="s">
        <v>4453</v>
      </c>
      <c r="AH527" t="s">
        <v>960</v>
      </c>
      <c r="AI527" t="s">
        <v>4454</v>
      </c>
    </row>
    <row r="528" spans="2:35" ht="285">
      <c r="B528" s="1">
        <v>46056</v>
      </c>
      <c r="C528" s="1">
        <v>46051</v>
      </c>
      <c r="D528" t="s">
        <v>4455</v>
      </c>
      <c r="E528" t="s">
        <v>4456</v>
      </c>
      <c r="F528">
        <v>6</v>
      </c>
      <c r="G528" t="s">
        <v>4457</v>
      </c>
      <c r="H528" t="s">
        <v>39</v>
      </c>
      <c r="I528" t="s">
        <v>40</v>
      </c>
      <c r="J528" s="2" t="s">
        <v>1592</v>
      </c>
      <c r="K528" t="s">
        <v>42</v>
      </c>
      <c r="L528" t="s">
        <v>270</v>
      </c>
      <c r="N528" t="s">
        <v>2481</v>
      </c>
      <c r="Q528">
        <v>32020</v>
      </c>
      <c r="R528" t="s">
        <v>119</v>
      </c>
      <c r="S528" t="s">
        <v>4458</v>
      </c>
      <c r="T528">
        <v>26</v>
      </c>
      <c r="W528" t="s">
        <v>666</v>
      </c>
      <c r="X528">
        <v>838540</v>
      </c>
      <c r="Y528" t="e">
        <f ca="1">- defective LCD monitor
- Defense UPS</f>
        <v>#NAME?</v>
      </c>
      <c r="Z528" t="s">
        <v>449</v>
      </c>
      <c r="AA528" s="2" t="s">
        <v>4459</v>
      </c>
      <c r="AB528" s="2" t="s">
        <v>4460</v>
      </c>
      <c r="AG528" t="s">
        <v>4461</v>
      </c>
      <c r="AH528" t="s">
        <v>4462</v>
      </c>
      <c r="AI528" t="s">
        <v>4463</v>
      </c>
    </row>
    <row r="529" spans="2:35" ht="195">
      <c r="B529" s="1">
        <v>46055</v>
      </c>
      <c r="C529" s="1">
        <v>46050</v>
      </c>
      <c r="D529" t="s">
        <v>2990</v>
      </c>
      <c r="E529" t="s">
        <v>4464</v>
      </c>
      <c r="F529">
        <v>5</v>
      </c>
      <c r="G529" t="s">
        <v>759</v>
      </c>
      <c r="H529" t="s">
        <v>39</v>
      </c>
      <c r="I529" t="s">
        <v>40</v>
      </c>
      <c r="J529" t="s">
        <v>109</v>
      </c>
      <c r="K529" t="s">
        <v>42</v>
      </c>
      <c r="L529" t="s">
        <v>761</v>
      </c>
      <c r="N529" t="s">
        <v>762</v>
      </c>
      <c r="Q529">
        <v>32019</v>
      </c>
      <c r="R529" t="s">
        <v>45</v>
      </c>
      <c r="S529" t="s">
        <v>2992</v>
      </c>
      <c r="T529">
        <v>24</v>
      </c>
      <c r="U529" s="2" t="s">
        <v>4465</v>
      </c>
      <c r="W529" t="s">
        <v>817</v>
      </c>
      <c r="X529">
        <v>110019623</v>
      </c>
      <c r="Y529" t="s">
        <v>818</v>
      </c>
      <c r="Z529" s="2" t="s">
        <v>4466</v>
      </c>
      <c r="AA529" t="s">
        <v>820</v>
      </c>
      <c r="AB529" s="2" t="s">
        <v>4467</v>
      </c>
      <c r="AG529" t="s">
        <v>4468</v>
      </c>
      <c r="AH529" t="s">
        <v>4469</v>
      </c>
      <c r="AI529" t="s">
        <v>4470</v>
      </c>
    </row>
    <row r="530" spans="2:35" ht="390">
      <c r="B530" s="1">
        <v>46055</v>
      </c>
      <c r="C530" s="1">
        <v>46042</v>
      </c>
      <c r="D530" t="s">
        <v>4471</v>
      </c>
      <c r="E530" t="s">
        <v>4472</v>
      </c>
      <c r="F530">
        <v>5</v>
      </c>
      <c r="G530" t="s">
        <v>827</v>
      </c>
      <c r="H530" t="s">
        <v>39</v>
      </c>
      <c r="I530" t="s">
        <v>94</v>
      </c>
      <c r="J530" s="2" t="s">
        <v>62</v>
      </c>
      <c r="K530" t="s">
        <v>42</v>
      </c>
      <c r="L530" t="s">
        <v>761</v>
      </c>
      <c r="N530" t="s">
        <v>762</v>
      </c>
      <c r="Q530">
        <v>32018</v>
      </c>
      <c r="R530" t="s">
        <v>967</v>
      </c>
      <c r="S530" t="s">
        <v>4473</v>
      </c>
      <c r="T530">
        <v>27</v>
      </c>
      <c r="U530" s="2" t="s">
        <v>4474</v>
      </c>
      <c r="W530" t="s">
        <v>817</v>
      </c>
      <c r="X530">
        <v>110023512</v>
      </c>
      <c r="Y530" s="2" t="s">
        <v>4475</v>
      </c>
      <c r="Z530" s="2" t="s">
        <v>4476</v>
      </c>
      <c r="AA530" s="2" t="s">
        <v>4477</v>
      </c>
      <c r="AB530" s="2" t="s">
        <v>2996</v>
      </c>
      <c r="AC530" t="s">
        <v>4478</v>
      </c>
      <c r="AG530" t="s">
        <v>4479</v>
      </c>
      <c r="AH530" t="s">
        <v>4480</v>
      </c>
      <c r="AI530" t="s">
        <v>4481</v>
      </c>
    </row>
    <row r="531" spans="2:35" ht="150">
      <c r="B531" s="1">
        <v>46055</v>
      </c>
      <c r="C531" s="1">
        <v>46055</v>
      </c>
      <c r="D531" t="s">
        <v>4482</v>
      </c>
      <c r="E531" t="s">
        <v>4483</v>
      </c>
      <c r="F531">
        <v>13</v>
      </c>
      <c r="G531" t="s">
        <v>4484</v>
      </c>
      <c r="H531" t="s">
        <v>61</v>
      </c>
      <c r="I531" t="s">
        <v>40</v>
      </c>
      <c r="J531" s="2" t="s">
        <v>355</v>
      </c>
      <c r="K531" t="s">
        <v>42</v>
      </c>
      <c r="L531" t="s">
        <v>933</v>
      </c>
      <c r="N531" t="s">
        <v>934</v>
      </c>
      <c r="Q531">
        <v>32017</v>
      </c>
      <c r="R531" t="s">
        <v>119</v>
      </c>
      <c r="S531" t="s">
        <v>4485</v>
      </c>
      <c r="T531">
        <v>23</v>
      </c>
      <c r="W531" t="s">
        <v>2394</v>
      </c>
      <c r="X531">
        <v>831292</v>
      </c>
      <c r="Y531" t="s">
        <v>4486</v>
      </c>
      <c r="Z531" t="s">
        <v>301</v>
      </c>
      <c r="AA531" t="s">
        <v>4487</v>
      </c>
      <c r="AB531" s="2" t="s">
        <v>4488</v>
      </c>
      <c r="AC531" t="s">
        <v>4489</v>
      </c>
      <c r="AG531" t="s">
        <v>4490</v>
      </c>
      <c r="AH531" t="s">
        <v>449</v>
      </c>
      <c r="AI531" t="s">
        <v>4491</v>
      </c>
    </row>
    <row r="532" spans="2:35" ht="409.5">
      <c r="B532" s="1">
        <v>46055</v>
      </c>
      <c r="C532" s="1">
        <v>46052</v>
      </c>
      <c r="D532" t="s">
        <v>4492</v>
      </c>
      <c r="E532" t="s">
        <v>4493</v>
      </c>
      <c r="F532" t="s">
        <v>148</v>
      </c>
      <c r="G532" t="s">
        <v>447</v>
      </c>
      <c r="H532" t="s">
        <v>39</v>
      </c>
      <c r="I532" t="s">
        <v>40</v>
      </c>
      <c r="J532" s="2" t="s">
        <v>190</v>
      </c>
      <c r="K532" t="s">
        <v>42</v>
      </c>
      <c r="L532" t="s">
        <v>448</v>
      </c>
      <c r="N532" t="s">
        <v>450</v>
      </c>
      <c r="Q532">
        <v>32016</v>
      </c>
      <c r="R532" t="s">
        <v>95</v>
      </c>
      <c r="S532" t="s">
        <v>4494</v>
      </c>
      <c r="T532">
        <v>25</v>
      </c>
      <c r="U532" s="2" t="s">
        <v>4495</v>
      </c>
      <c r="W532" t="s">
        <v>666</v>
      </c>
      <c r="X532">
        <v>110008529</v>
      </c>
      <c r="Y532" t="s">
        <v>4496</v>
      </c>
      <c r="Z532" s="2" t="s">
        <v>4497</v>
      </c>
      <c r="AA532" t="s">
        <v>4498</v>
      </c>
      <c r="AB532" t="s">
        <v>4499</v>
      </c>
      <c r="AG532" t="s">
        <v>4500</v>
      </c>
      <c r="AH532" t="s">
        <v>4501</v>
      </c>
      <c r="AI532" t="s">
        <v>4502</v>
      </c>
    </row>
    <row r="533" spans="2:35">
      <c r="B533" s="1">
        <v>46055</v>
      </c>
      <c r="C533" s="1">
        <v>46052</v>
      </c>
      <c r="D533" t="s">
        <v>4503</v>
      </c>
      <c r="E533" t="s">
        <v>4504</v>
      </c>
      <c r="F533">
        <v>1</v>
      </c>
      <c r="G533" t="s">
        <v>1046</v>
      </c>
      <c r="H533" t="s">
        <v>1047</v>
      </c>
      <c r="I533" t="s">
        <v>40</v>
      </c>
      <c r="J533" t="s">
        <v>109</v>
      </c>
      <c r="K533" t="s">
        <v>42</v>
      </c>
      <c r="L533" t="s">
        <v>1048</v>
      </c>
      <c r="N533" t="s">
        <v>1049</v>
      </c>
      <c r="Q533">
        <v>32015</v>
      </c>
      <c r="R533" t="s">
        <v>119</v>
      </c>
      <c r="S533" t="s">
        <v>4505</v>
      </c>
      <c r="T533">
        <v>28</v>
      </c>
      <c r="W533" t="s">
        <v>1051</v>
      </c>
      <c r="X533">
        <v>838516</v>
      </c>
      <c r="Y533" t="s">
        <v>1052</v>
      </c>
      <c r="Z533" t="e">
        <f ca="1">- cleaned cartridge Bays, plunger Rods _xludf.and I-CORE
- generated reports</f>
        <v>#NAME?</v>
      </c>
      <c r="AA533" t="s">
        <v>820</v>
      </c>
      <c r="AB533" t="s">
        <v>1428</v>
      </c>
      <c r="AG533" t="s">
        <v>4506</v>
      </c>
      <c r="AH533" t="s">
        <v>4507</v>
      </c>
      <c r="AI533" t="s">
        <v>4508</v>
      </c>
    </row>
    <row r="534" spans="2:35" ht="105">
      <c r="B534" s="1">
        <v>46055</v>
      </c>
      <c r="C534" s="1">
        <v>46052</v>
      </c>
      <c r="D534" t="s">
        <v>1057</v>
      </c>
      <c r="E534" t="s">
        <v>1058</v>
      </c>
      <c r="F534">
        <v>1</v>
      </c>
      <c r="G534" t="s">
        <v>1046</v>
      </c>
      <c r="H534" t="s">
        <v>39</v>
      </c>
      <c r="I534" t="s">
        <v>40</v>
      </c>
      <c r="J534" t="s">
        <v>109</v>
      </c>
      <c r="K534" t="s">
        <v>42</v>
      </c>
      <c r="L534" t="s">
        <v>1048</v>
      </c>
      <c r="N534" t="s">
        <v>1049</v>
      </c>
      <c r="Q534">
        <v>32014</v>
      </c>
      <c r="R534" t="s">
        <v>95</v>
      </c>
      <c r="S534" t="s">
        <v>1059</v>
      </c>
      <c r="T534">
        <v>30</v>
      </c>
      <c r="W534" t="s">
        <v>1051</v>
      </c>
      <c r="X534">
        <v>820303</v>
      </c>
      <c r="Y534" t="s">
        <v>1052</v>
      </c>
      <c r="Z534" t="e">
        <f ca="1">- cleaned cartridge Bays, plunger Rods _xludf.and I-CORE
- generated reports</f>
        <v>#NAME?</v>
      </c>
      <c r="AA534" t="s">
        <v>820</v>
      </c>
      <c r="AB534" s="2" t="s">
        <v>3391</v>
      </c>
      <c r="AG534" t="s">
        <v>4509</v>
      </c>
      <c r="AH534" t="s">
        <v>3393</v>
      </c>
      <c r="AI534" t="s">
        <v>4510</v>
      </c>
    </row>
    <row r="535" spans="2:35">
      <c r="B535" s="1">
        <v>46055</v>
      </c>
      <c r="C535" s="1">
        <v>46051</v>
      </c>
      <c r="D535" t="s">
        <v>4511</v>
      </c>
      <c r="E535" t="s">
        <v>4512</v>
      </c>
      <c r="F535">
        <v>1</v>
      </c>
      <c r="G535" t="s">
        <v>1046</v>
      </c>
      <c r="H535" t="s">
        <v>1047</v>
      </c>
      <c r="I535" t="s">
        <v>40</v>
      </c>
      <c r="J535" t="s">
        <v>109</v>
      </c>
      <c r="K535" t="s">
        <v>42</v>
      </c>
      <c r="L535" t="s">
        <v>1048</v>
      </c>
      <c r="N535" t="s">
        <v>1049</v>
      </c>
      <c r="Q535">
        <v>32013</v>
      </c>
      <c r="R535" t="s">
        <v>119</v>
      </c>
      <c r="S535" t="s">
        <v>4513</v>
      </c>
      <c r="T535">
        <v>28</v>
      </c>
      <c r="W535" t="s">
        <v>1051</v>
      </c>
      <c r="X535">
        <v>838288</v>
      </c>
      <c r="Y535" t="s">
        <v>1052</v>
      </c>
      <c r="Z535" t="e">
        <f ca="1">- cleaned cartridge Bays, plunger Rods _xludf.and I-CORE
- generated reports</f>
        <v>#NAME?</v>
      </c>
      <c r="AA535" t="s">
        <v>820</v>
      </c>
      <c r="AB535" t="s">
        <v>1428</v>
      </c>
      <c r="AG535" t="s">
        <v>4514</v>
      </c>
      <c r="AH535" t="s">
        <v>4515</v>
      </c>
      <c r="AI535" t="s">
        <v>4516</v>
      </c>
    </row>
    <row r="536" spans="2:35">
      <c r="B536" s="1">
        <v>46055</v>
      </c>
      <c r="C536" s="1">
        <v>46051</v>
      </c>
      <c r="D536" t="s">
        <v>4517</v>
      </c>
      <c r="E536" t="s">
        <v>4518</v>
      </c>
      <c r="F536">
        <v>1</v>
      </c>
      <c r="G536" t="s">
        <v>1046</v>
      </c>
      <c r="H536" t="s">
        <v>39</v>
      </c>
      <c r="I536" t="s">
        <v>40</v>
      </c>
      <c r="J536" t="s">
        <v>109</v>
      </c>
      <c r="K536" t="s">
        <v>42</v>
      </c>
      <c r="L536" t="s">
        <v>1048</v>
      </c>
      <c r="N536" t="s">
        <v>1049</v>
      </c>
      <c r="Q536">
        <v>32012</v>
      </c>
      <c r="R536" t="s">
        <v>119</v>
      </c>
      <c r="S536" t="s">
        <v>4519</v>
      </c>
      <c r="T536">
        <v>30</v>
      </c>
      <c r="W536" t="s">
        <v>1051</v>
      </c>
      <c r="X536">
        <v>838467</v>
      </c>
      <c r="Y536" t="s">
        <v>1052</v>
      </c>
      <c r="Z536" t="e">
        <f ca="1">- cleaned cartridge Bays, plunger Rods _xludf.and I-CORE
- generated reports</f>
        <v>#NAME?</v>
      </c>
      <c r="AA536" t="s">
        <v>820</v>
      </c>
      <c r="AB536" t="s">
        <v>1428</v>
      </c>
      <c r="AG536" t="s">
        <v>4520</v>
      </c>
      <c r="AH536" t="s">
        <v>4521</v>
      </c>
      <c r="AI536" t="s">
        <v>4522</v>
      </c>
    </row>
    <row r="537" spans="2:35">
      <c r="B537" s="1">
        <v>46055</v>
      </c>
      <c r="C537" s="1">
        <v>46050</v>
      </c>
      <c r="D537" t="s">
        <v>4523</v>
      </c>
      <c r="E537" t="s">
        <v>3011</v>
      </c>
      <c r="F537">
        <v>1</v>
      </c>
      <c r="G537" t="s">
        <v>1046</v>
      </c>
      <c r="H537" t="s">
        <v>39</v>
      </c>
      <c r="I537" t="s">
        <v>40</v>
      </c>
      <c r="J537" t="s">
        <v>109</v>
      </c>
      <c r="K537" t="s">
        <v>42</v>
      </c>
      <c r="L537" t="s">
        <v>1048</v>
      </c>
      <c r="N537" t="s">
        <v>1049</v>
      </c>
      <c r="Q537">
        <v>32011</v>
      </c>
      <c r="R537" t="s">
        <v>119</v>
      </c>
      <c r="S537" t="s">
        <v>4524</v>
      </c>
      <c r="T537">
        <v>26</v>
      </c>
      <c r="W537" t="s">
        <v>1051</v>
      </c>
      <c r="X537">
        <v>838286</v>
      </c>
      <c r="Y537" t="s">
        <v>1052</v>
      </c>
      <c r="Z537" t="e">
        <f ca="1">- cleaned cartridge Bays, plunger Rods _xludf.and I-CORE
- generated reports</f>
        <v>#NAME?</v>
      </c>
      <c r="AA537" t="s">
        <v>820</v>
      </c>
      <c r="AB537" t="s">
        <v>1428</v>
      </c>
      <c r="AG537" t="s">
        <v>4525</v>
      </c>
      <c r="AH537" t="s">
        <v>4526</v>
      </c>
      <c r="AI537" t="s">
        <v>4527</v>
      </c>
    </row>
    <row r="538" spans="2:35">
      <c r="B538" s="1">
        <v>46055</v>
      </c>
      <c r="C538" s="1">
        <v>46049</v>
      </c>
      <c r="D538" t="s">
        <v>4528</v>
      </c>
      <c r="E538" t="s">
        <v>4529</v>
      </c>
      <c r="F538">
        <v>1</v>
      </c>
      <c r="G538" t="s">
        <v>1046</v>
      </c>
      <c r="H538" t="s">
        <v>1047</v>
      </c>
      <c r="I538" t="s">
        <v>40</v>
      </c>
      <c r="J538" t="s">
        <v>109</v>
      </c>
      <c r="K538" t="s">
        <v>42</v>
      </c>
      <c r="L538" t="s">
        <v>1048</v>
      </c>
      <c r="N538" t="s">
        <v>1049</v>
      </c>
      <c r="Q538">
        <v>32010</v>
      </c>
      <c r="R538" t="s">
        <v>119</v>
      </c>
      <c r="S538" t="s">
        <v>4530</v>
      </c>
      <c r="T538">
        <v>30</v>
      </c>
      <c r="W538" t="s">
        <v>1051</v>
      </c>
      <c r="X538">
        <v>838472</v>
      </c>
      <c r="Y538" t="s">
        <v>1052</v>
      </c>
      <c r="Z538" t="e">
        <f ca="1">- cleaned cartridge Bays, plunger Rods _xludf.and I-CORE
- generated reports</f>
        <v>#NAME?</v>
      </c>
      <c r="AA538" t="s">
        <v>820</v>
      </c>
      <c r="AB538" t="s">
        <v>1428</v>
      </c>
      <c r="AG538" t="s">
        <v>4531</v>
      </c>
      <c r="AH538" t="s">
        <v>4532</v>
      </c>
      <c r="AI538" t="s">
        <v>4533</v>
      </c>
    </row>
    <row r="539" spans="2:35">
      <c r="B539" s="1">
        <v>46055</v>
      </c>
      <c r="C539" s="1">
        <v>46045</v>
      </c>
      <c r="D539" t="s">
        <v>4534</v>
      </c>
      <c r="E539" t="s">
        <v>4535</v>
      </c>
      <c r="F539">
        <v>1</v>
      </c>
      <c r="G539" t="s">
        <v>1046</v>
      </c>
      <c r="H539" t="s">
        <v>1047</v>
      </c>
      <c r="I539" t="s">
        <v>40</v>
      </c>
      <c r="J539" t="s">
        <v>109</v>
      </c>
      <c r="K539" t="s">
        <v>42</v>
      </c>
      <c r="L539" t="s">
        <v>1048</v>
      </c>
      <c r="N539" t="s">
        <v>1049</v>
      </c>
      <c r="Q539">
        <v>32009</v>
      </c>
      <c r="R539" t="s">
        <v>45</v>
      </c>
      <c r="S539" t="s">
        <v>4536</v>
      </c>
      <c r="T539">
        <v>28</v>
      </c>
      <c r="W539" t="s">
        <v>1424</v>
      </c>
      <c r="X539">
        <v>120000484</v>
      </c>
      <c r="Y539" t="s">
        <v>1052</v>
      </c>
      <c r="Z539" t="e">
        <f ca="1">- cleaned cartridge Bays, plunger Rods _xludf.and I-CORE
- generated reports</f>
        <v>#NAME?</v>
      </c>
      <c r="AA539" t="s">
        <v>820</v>
      </c>
      <c r="AB539" t="s">
        <v>1428</v>
      </c>
      <c r="AG539" t="s">
        <v>4537</v>
      </c>
      <c r="AH539" t="s">
        <v>4538</v>
      </c>
      <c r="AI539" t="s">
        <v>4539</v>
      </c>
    </row>
    <row r="540" spans="2:35" ht="120">
      <c r="B540" s="1">
        <v>46055</v>
      </c>
      <c r="C540" s="1">
        <v>46044</v>
      </c>
      <c r="D540" t="s">
        <v>3010</v>
      </c>
      <c r="E540" t="s">
        <v>4540</v>
      </c>
      <c r="F540">
        <v>1</v>
      </c>
      <c r="G540" t="s">
        <v>1046</v>
      </c>
      <c r="H540" t="s">
        <v>61</v>
      </c>
      <c r="I540" t="s">
        <v>40</v>
      </c>
      <c r="J540" t="s">
        <v>109</v>
      </c>
      <c r="K540" t="s">
        <v>42</v>
      </c>
      <c r="L540" t="s">
        <v>1048</v>
      </c>
      <c r="N540" t="s">
        <v>1049</v>
      </c>
      <c r="Q540">
        <v>32008</v>
      </c>
      <c r="R540" t="s">
        <v>45</v>
      </c>
      <c r="S540" t="s">
        <v>3012</v>
      </c>
      <c r="T540">
        <v>23</v>
      </c>
      <c r="W540" t="s">
        <v>895</v>
      </c>
      <c r="X540">
        <v>842230</v>
      </c>
      <c r="Y540" t="s">
        <v>1052</v>
      </c>
      <c r="Z540" t="e">
        <f ca="1">- cleaned cartridge Bays, plunger Rods _xludf.and I-CORE
- generated reports</f>
        <v>#NAME?</v>
      </c>
      <c r="AA540" t="s">
        <v>820</v>
      </c>
      <c r="AB540" s="2" t="s">
        <v>4541</v>
      </c>
      <c r="AC540" t="s">
        <v>4542</v>
      </c>
      <c r="AG540" t="s">
        <v>4543</v>
      </c>
      <c r="AH540" t="s">
        <v>4544</v>
      </c>
      <c r="AI540" t="s">
        <v>4545</v>
      </c>
    </row>
    <row r="541" spans="2:35" ht="135">
      <c r="B541" s="1">
        <v>46055</v>
      </c>
      <c r="C541" s="1">
        <v>46044</v>
      </c>
      <c r="D541" t="s">
        <v>3010</v>
      </c>
      <c r="E541" t="s">
        <v>4540</v>
      </c>
      <c r="F541">
        <v>1</v>
      </c>
      <c r="G541" t="s">
        <v>1046</v>
      </c>
      <c r="H541" t="s">
        <v>61</v>
      </c>
      <c r="I541" t="s">
        <v>40</v>
      </c>
      <c r="J541" s="2" t="s">
        <v>62</v>
      </c>
      <c r="K541" t="s">
        <v>42</v>
      </c>
      <c r="L541" t="s">
        <v>1048</v>
      </c>
      <c r="N541" t="s">
        <v>1049</v>
      </c>
      <c r="Q541">
        <v>32007</v>
      </c>
      <c r="R541" t="s">
        <v>967</v>
      </c>
      <c r="S541" t="s">
        <v>3012</v>
      </c>
      <c r="T541">
        <v>24</v>
      </c>
      <c r="V541" s="1">
        <v>46028</v>
      </c>
      <c r="W541" t="s">
        <v>1424</v>
      </c>
      <c r="X541">
        <v>110023501</v>
      </c>
      <c r="Y541" t="s">
        <v>4546</v>
      </c>
      <c r="Z541" t="e">
        <f ca="1">- cleaned cartridge Bays, plunger Rods _xludf.and I-CORE
- performed XpertCheck
- generated reports</f>
        <v>#NAME?</v>
      </c>
      <c r="AA541" t="s">
        <v>4547</v>
      </c>
      <c r="AB541" s="2" t="s">
        <v>4548</v>
      </c>
      <c r="AD541" t="s">
        <v>1958</v>
      </c>
      <c r="AE541" t="s">
        <v>4549</v>
      </c>
      <c r="AG541" t="s">
        <v>4550</v>
      </c>
      <c r="AH541" t="s">
        <v>4551</v>
      </c>
      <c r="AI541" t="s">
        <v>4552</v>
      </c>
    </row>
    <row r="542" spans="2:35" ht="270">
      <c r="B542" s="1">
        <v>46055</v>
      </c>
      <c r="C542" s="1">
        <v>46052</v>
      </c>
      <c r="D542" t="s">
        <v>4553</v>
      </c>
      <c r="E542" t="s">
        <v>4554</v>
      </c>
      <c r="F542" t="s">
        <v>148</v>
      </c>
      <c r="G542" t="s">
        <v>149</v>
      </c>
      <c r="H542" t="s">
        <v>39</v>
      </c>
      <c r="I542" t="s">
        <v>40</v>
      </c>
      <c r="J542" t="s">
        <v>109</v>
      </c>
      <c r="K542" t="s">
        <v>42</v>
      </c>
      <c r="L542" t="s">
        <v>43</v>
      </c>
      <c r="N542" t="s">
        <v>44</v>
      </c>
      <c r="Q542">
        <v>32006</v>
      </c>
      <c r="R542" t="s">
        <v>119</v>
      </c>
      <c r="S542" t="s">
        <v>4555</v>
      </c>
      <c r="T542">
        <v>24</v>
      </c>
      <c r="U542" s="2" t="s">
        <v>4556</v>
      </c>
      <c r="W542" t="s">
        <v>48</v>
      </c>
      <c r="X542">
        <v>831598</v>
      </c>
      <c r="Y542" t="s">
        <v>121</v>
      </c>
      <c r="Z542" t="s">
        <v>122</v>
      </c>
      <c r="AA542" s="2" t="s">
        <v>1682</v>
      </c>
      <c r="AB542" t="s">
        <v>4557</v>
      </c>
      <c r="AG542" t="s">
        <v>4558</v>
      </c>
      <c r="AH542" t="s">
        <v>4559</v>
      </c>
      <c r="AI542" t="s">
        <v>4560</v>
      </c>
    </row>
    <row r="543" spans="2:35" ht="195">
      <c r="B543" s="1">
        <v>46055</v>
      </c>
      <c r="C543" s="1">
        <v>46052</v>
      </c>
      <c r="D543" t="s">
        <v>4561</v>
      </c>
      <c r="E543" t="s">
        <v>4562</v>
      </c>
      <c r="F543" t="s">
        <v>148</v>
      </c>
      <c r="G543" t="s">
        <v>447</v>
      </c>
      <c r="H543" t="s">
        <v>2210</v>
      </c>
      <c r="I543" t="s">
        <v>40</v>
      </c>
      <c r="J543" t="s">
        <v>525</v>
      </c>
      <c r="K543" t="s">
        <v>42</v>
      </c>
      <c r="L543" t="s">
        <v>448</v>
      </c>
      <c r="N543" t="s">
        <v>650</v>
      </c>
      <c r="Q543">
        <v>32005</v>
      </c>
      <c r="R543" t="s">
        <v>45</v>
      </c>
      <c r="S543" t="s">
        <v>621</v>
      </c>
      <c r="T543">
        <v>28</v>
      </c>
      <c r="W543" t="s">
        <v>666</v>
      </c>
      <c r="X543">
        <v>804688</v>
      </c>
      <c r="Y543" t="s">
        <v>4563</v>
      </c>
      <c r="Z543" s="2" t="s">
        <v>4564</v>
      </c>
      <c r="AA543" t="s">
        <v>4565</v>
      </c>
      <c r="AB543" s="2" t="s">
        <v>4566</v>
      </c>
      <c r="AG543" t="s">
        <v>4567</v>
      </c>
      <c r="AH543" t="s">
        <v>626</v>
      </c>
      <c r="AI543" t="s">
        <v>4568</v>
      </c>
    </row>
    <row r="544" spans="2:35" ht="345">
      <c r="B544" s="1">
        <v>46054</v>
      </c>
      <c r="C544" s="1">
        <v>46052</v>
      </c>
      <c r="D544" t="s">
        <v>4569</v>
      </c>
      <c r="E544" t="s">
        <v>4570</v>
      </c>
      <c r="F544">
        <v>11</v>
      </c>
      <c r="G544" t="s">
        <v>1395</v>
      </c>
      <c r="H544" t="s">
        <v>513</v>
      </c>
      <c r="I544" t="s">
        <v>40</v>
      </c>
      <c r="J544" s="2" t="s">
        <v>4571</v>
      </c>
      <c r="K544" t="s">
        <v>387</v>
      </c>
      <c r="L544" t="s">
        <v>204</v>
      </c>
      <c r="N544" t="s">
        <v>205</v>
      </c>
      <c r="O544" t="s">
        <v>2867</v>
      </c>
      <c r="Q544">
        <v>32004</v>
      </c>
      <c r="R544" t="s">
        <v>95</v>
      </c>
      <c r="S544" t="s">
        <v>4572</v>
      </c>
      <c r="T544">
        <v>25</v>
      </c>
      <c r="W544" t="s">
        <v>390</v>
      </c>
      <c r="X544" t="s">
        <v>4573</v>
      </c>
      <c r="Y544" t="s">
        <v>4574</v>
      </c>
      <c r="Z544" s="2" t="s">
        <v>4575</v>
      </c>
      <c r="AA544" t="s">
        <v>4576</v>
      </c>
      <c r="AB544" t="s">
        <v>364</v>
      </c>
      <c r="AG544" t="s">
        <v>4577</v>
      </c>
      <c r="AH544" t="s">
        <v>4578</v>
      </c>
      <c r="AI544" t="s">
        <v>4579</v>
      </c>
    </row>
    <row r="545" spans="2:35" ht="345">
      <c r="B545" s="1">
        <v>46054</v>
      </c>
      <c r="C545" s="1">
        <v>46052</v>
      </c>
      <c r="D545" t="s">
        <v>4569</v>
      </c>
      <c r="E545" t="s">
        <v>4570</v>
      </c>
      <c r="F545">
        <v>11</v>
      </c>
      <c r="G545" t="s">
        <v>1395</v>
      </c>
      <c r="H545" t="s">
        <v>513</v>
      </c>
      <c r="I545" t="s">
        <v>40</v>
      </c>
      <c r="J545" s="2" t="s">
        <v>4571</v>
      </c>
      <c r="K545" t="s">
        <v>387</v>
      </c>
      <c r="L545" t="s">
        <v>204</v>
      </c>
      <c r="N545" t="s">
        <v>205</v>
      </c>
      <c r="O545" t="s">
        <v>2867</v>
      </c>
      <c r="Q545">
        <v>32003</v>
      </c>
      <c r="R545" t="s">
        <v>95</v>
      </c>
      <c r="S545" t="s">
        <v>4572</v>
      </c>
      <c r="T545">
        <v>25</v>
      </c>
      <c r="W545" t="s">
        <v>390</v>
      </c>
      <c r="X545" t="s">
        <v>4573</v>
      </c>
      <c r="Y545" t="s">
        <v>4574</v>
      </c>
      <c r="Z545" s="2" t="s">
        <v>4575</v>
      </c>
      <c r="AA545" t="s">
        <v>4576</v>
      </c>
      <c r="AB545" t="s">
        <v>364</v>
      </c>
      <c r="AG545" t="s">
        <v>4580</v>
      </c>
      <c r="AH545" t="s">
        <v>4578</v>
      </c>
      <c r="AI545" t="s">
        <v>4581</v>
      </c>
    </row>
    <row r="546" spans="2:35" ht="225">
      <c r="B546" s="1">
        <v>46052</v>
      </c>
      <c r="C546" s="1">
        <v>46051</v>
      </c>
      <c r="D546" t="s">
        <v>542</v>
      </c>
      <c r="E546" t="s">
        <v>552</v>
      </c>
      <c r="F546" t="s">
        <v>148</v>
      </c>
      <c r="G546" t="s">
        <v>544</v>
      </c>
      <c r="H546" t="s">
        <v>39</v>
      </c>
      <c r="I546" t="s">
        <v>40</v>
      </c>
      <c r="J546" t="s">
        <v>109</v>
      </c>
      <c r="K546" t="s">
        <v>42</v>
      </c>
      <c r="L546" t="s">
        <v>43</v>
      </c>
      <c r="N546" t="s">
        <v>44</v>
      </c>
      <c r="Q546">
        <v>32002</v>
      </c>
      <c r="R546" t="s">
        <v>322</v>
      </c>
      <c r="S546" t="s">
        <v>545</v>
      </c>
      <c r="T546">
        <v>24</v>
      </c>
      <c r="U546" s="2" t="s">
        <v>4582</v>
      </c>
      <c r="W546" t="s">
        <v>153</v>
      </c>
      <c r="X546">
        <v>120000613</v>
      </c>
      <c r="Y546" t="s">
        <v>121</v>
      </c>
      <c r="Z546" t="s">
        <v>122</v>
      </c>
      <c r="AA546" s="2" t="s">
        <v>547</v>
      </c>
      <c r="AB546" t="s">
        <v>548</v>
      </c>
      <c r="AG546" t="s">
        <v>4583</v>
      </c>
      <c r="AH546" t="s">
        <v>550</v>
      </c>
      <c r="AI546" t="s">
        <v>4584</v>
      </c>
    </row>
    <row r="547" spans="2:35" ht="225">
      <c r="B547" s="1">
        <v>46052</v>
      </c>
      <c r="C547" s="1">
        <v>46051</v>
      </c>
      <c r="D547" t="s">
        <v>542</v>
      </c>
      <c r="E547" t="s">
        <v>4585</v>
      </c>
      <c r="F547" t="s">
        <v>148</v>
      </c>
      <c r="G547" t="s">
        <v>544</v>
      </c>
      <c r="H547" t="s">
        <v>39</v>
      </c>
      <c r="I547" t="s">
        <v>40</v>
      </c>
      <c r="J547" t="s">
        <v>109</v>
      </c>
      <c r="K547" t="s">
        <v>42</v>
      </c>
      <c r="L547" t="s">
        <v>43</v>
      </c>
      <c r="N547" t="s">
        <v>44</v>
      </c>
      <c r="Q547">
        <v>32001</v>
      </c>
      <c r="R547" t="s">
        <v>45</v>
      </c>
      <c r="S547" t="s">
        <v>545</v>
      </c>
      <c r="T547">
        <v>24</v>
      </c>
      <c r="U547" s="2" t="s">
        <v>4586</v>
      </c>
      <c r="W547" t="s">
        <v>153</v>
      </c>
      <c r="X547">
        <v>110020361</v>
      </c>
      <c r="Y547" t="s">
        <v>121</v>
      </c>
      <c r="Z547" t="s">
        <v>122</v>
      </c>
      <c r="AA547" s="2" t="s">
        <v>547</v>
      </c>
      <c r="AB547" t="s">
        <v>548</v>
      </c>
      <c r="AG547" t="s">
        <v>4587</v>
      </c>
      <c r="AH547" t="s">
        <v>550</v>
      </c>
      <c r="AI547" t="s">
        <v>4588</v>
      </c>
    </row>
    <row r="548" spans="2:35" ht="225">
      <c r="B548" s="1">
        <v>46052</v>
      </c>
      <c r="C548" s="1">
        <v>46051</v>
      </c>
      <c r="D548" t="s">
        <v>542</v>
      </c>
      <c r="E548" t="s">
        <v>4589</v>
      </c>
      <c r="F548" t="s">
        <v>148</v>
      </c>
      <c r="G548" t="s">
        <v>544</v>
      </c>
      <c r="H548" t="s">
        <v>39</v>
      </c>
      <c r="I548" t="s">
        <v>40</v>
      </c>
      <c r="J548" s="2" t="s">
        <v>190</v>
      </c>
      <c r="K548" t="s">
        <v>42</v>
      </c>
      <c r="L548" t="s">
        <v>43</v>
      </c>
      <c r="N548" t="s">
        <v>44</v>
      </c>
      <c r="Q548">
        <v>31998</v>
      </c>
      <c r="R548" t="s">
        <v>45</v>
      </c>
      <c r="S548" t="s">
        <v>545</v>
      </c>
      <c r="T548">
        <v>24</v>
      </c>
      <c r="U548" s="2" t="s">
        <v>4590</v>
      </c>
      <c r="W548" t="s">
        <v>48</v>
      </c>
      <c r="X548">
        <v>805211</v>
      </c>
      <c r="Y548" t="s">
        <v>4591</v>
      </c>
      <c r="Z548" t="s">
        <v>122</v>
      </c>
      <c r="AA548" s="2" t="s">
        <v>547</v>
      </c>
      <c r="AB548" t="s">
        <v>4592</v>
      </c>
      <c r="AG548" t="s">
        <v>4593</v>
      </c>
      <c r="AH548" t="s">
        <v>550</v>
      </c>
      <c r="AI548" t="s">
        <v>4594</v>
      </c>
    </row>
    <row r="549" spans="2:35" ht="225">
      <c r="B549" s="1">
        <v>46052</v>
      </c>
      <c r="C549" s="1">
        <v>46051</v>
      </c>
      <c r="D549" t="s">
        <v>542</v>
      </c>
      <c r="E549" t="s">
        <v>552</v>
      </c>
      <c r="F549" t="s">
        <v>148</v>
      </c>
      <c r="G549" t="s">
        <v>544</v>
      </c>
      <c r="H549" t="s">
        <v>39</v>
      </c>
      <c r="I549" t="s">
        <v>40</v>
      </c>
      <c r="J549" t="s">
        <v>109</v>
      </c>
      <c r="K549" t="s">
        <v>42</v>
      </c>
      <c r="L549" t="s">
        <v>43</v>
      </c>
      <c r="N549" t="s">
        <v>44</v>
      </c>
      <c r="Q549">
        <v>31999</v>
      </c>
      <c r="R549" t="s">
        <v>119</v>
      </c>
      <c r="S549" t="s">
        <v>545</v>
      </c>
      <c r="T549">
        <v>24</v>
      </c>
      <c r="W549" t="s">
        <v>48</v>
      </c>
      <c r="X549">
        <v>831588</v>
      </c>
      <c r="Y549" t="s">
        <v>121</v>
      </c>
      <c r="Z549" t="s">
        <v>122</v>
      </c>
      <c r="AA549" s="2" t="s">
        <v>547</v>
      </c>
      <c r="AB549" t="s">
        <v>548</v>
      </c>
      <c r="AG549" t="s">
        <v>4595</v>
      </c>
      <c r="AH549" t="s">
        <v>550</v>
      </c>
      <c r="AI549" t="s">
        <v>4596</v>
      </c>
    </row>
    <row r="550" spans="2:35" ht="225">
      <c r="B550" s="1">
        <v>46052</v>
      </c>
      <c r="C550" s="1">
        <v>46051</v>
      </c>
      <c r="D550" t="s">
        <v>542</v>
      </c>
      <c r="E550" t="s">
        <v>552</v>
      </c>
      <c r="F550" t="s">
        <v>148</v>
      </c>
      <c r="G550" t="s">
        <v>544</v>
      </c>
      <c r="H550" t="s">
        <v>39</v>
      </c>
      <c r="I550" t="s">
        <v>40</v>
      </c>
      <c r="J550" t="s">
        <v>109</v>
      </c>
      <c r="K550" t="s">
        <v>42</v>
      </c>
      <c r="L550" t="s">
        <v>43</v>
      </c>
      <c r="N550" t="s">
        <v>44</v>
      </c>
      <c r="Q550">
        <v>32000</v>
      </c>
      <c r="R550" t="s">
        <v>322</v>
      </c>
      <c r="S550" t="s">
        <v>545</v>
      </c>
      <c r="T550">
        <v>24</v>
      </c>
      <c r="U550" s="2" t="s">
        <v>4597</v>
      </c>
      <c r="W550" t="s">
        <v>153</v>
      </c>
      <c r="X550">
        <v>110016107</v>
      </c>
      <c r="Y550" t="s">
        <v>4598</v>
      </c>
      <c r="Z550" t="s">
        <v>122</v>
      </c>
      <c r="AA550" s="2" t="s">
        <v>547</v>
      </c>
      <c r="AB550" t="s">
        <v>548</v>
      </c>
      <c r="AG550" t="s">
        <v>4599</v>
      </c>
      <c r="AH550" t="s">
        <v>550</v>
      </c>
      <c r="AI550" t="s">
        <v>4600</v>
      </c>
    </row>
    <row r="551" spans="2:35" ht="315">
      <c r="B551" s="1">
        <v>46051</v>
      </c>
      <c r="C551" s="1">
        <v>46038</v>
      </c>
      <c r="D551" t="s">
        <v>4601</v>
      </c>
      <c r="E551" t="s">
        <v>4602</v>
      </c>
      <c r="F551" t="s">
        <v>37</v>
      </c>
      <c r="G551" t="s">
        <v>748</v>
      </c>
      <c r="H551" t="s">
        <v>1543</v>
      </c>
      <c r="I551" t="s">
        <v>40</v>
      </c>
      <c r="J551" t="s">
        <v>109</v>
      </c>
      <c r="K551" t="s">
        <v>42</v>
      </c>
      <c r="L551" t="s">
        <v>1028</v>
      </c>
      <c r="N551" t="s">
        <v>1029</v>
      </c>
      <c r="Q551">
        <v>31997</v>
      </c>
      <c r="R551" t="s">
        <v>322</v>
      </c>
      <c r="S551" t="s">
        <v>4603</v>
      </c>
      <c r="T551">
        <v>27</v>
      </c>
      <c r="W551" t="s">
        <v>1032</v>
      </c>
      <c r="X551">
        <v>120003582</v>
      </c>
      <c r="Y551" t="s">
        <v>1978</v>
      </c>
      <c r="Z551" t="s">
        <v>1548</v>
      </c>
      <c r="AA551" s="2" t="s">
        <v>4604</v>
      </c>
      <c r="AB551" t="s">
        <v>4605</v>
      </c>
      <c r="AG551" t="s">
        <v>4606</v>
      </c>
      <c r="AH551" t="s">
        <v>4607</v>
      </c>
      <c r="AI551" t="s">
        <v>4608</v>
      </c>
    </row>
    <row r="552" spans="2:35" ht="240">
      <c r="B552" s="1">
        <v>46051</v>
      </c>
      <c r="C552" s="1">
        <v>46050</v>
      </c>
      <c r="D552" t="s">
        <v>1026</v>
      </c>
      <c r="E552" t="s">
        <v>1027</v>
      </c>
      <c r="F552" t="s">
        <v>148</v>
      </c>
      <c r="G552" t="s">
        <v>774</v>
      </c>
      <c r="H552" t="s">
        <v>662</v>
      </c>
      <c r="I552" t="s">
        <v>40</v>
      </c>
      <c r="J552" t="s">
        <v>109</v>
      </c>
      <c r="K552" t="s">
        <v>42</v>
      </c>
      <c r="L552" t="s">
        <v>1028</v>
      </c>
      <c r="N552" t="s">
        <v>1029</v>
      </c>
      <c r="O552" t="s">
        <v>3771</v>
      </c>
      <c r="Q552">
        <v>31996</v>
      </c>
      <c r="R552" t="s">
        <v>95</v>
      </c>
      <c r="S552" t="s">
        <v>4609</v>
      </c>
      <c r="T552">
        <v>25</v>
      </c>
      <c r="W552" t="s">
        <v>1032</v>
      </c>
      <c r="X552">
        <v>110014996</v>
      </c>
      <c r="Y552" t="s">
        <v>1978</v>
      </c>
      <c r="Z552" t="s">
        <v>1548</v>
      </c>
      <c r="AA552" s="2" t="s">
        <v>1979</v>
      </c>
      <c r="AB552" s="2" t="s">
        <v>4610</v>
      </c>
      <c r="AG552" t="s">
        <v>4611</v>
      </c>
      <c r="AH552" t="s">
        <v>4612</v>
      </c>
      <c r="AI552" t="s">
        <v>4613</v>
      </c>
    </row>
    <row r="553" spans="2:35" ht="120">
      <c r="B553" s="1">
        <v>46051</v>
      </c>
      <c r="C553" s="1">
        <v>46051</v>
      </c>
      <c r="D553" t="s">
        <v>472</v>
      </c>
      <c r="E553" t="s">
        <v>473</v>
      </c>
      <c r="F553" t="s">
        <v>148</v>
      </c>
      <c r="G553" t="s">
        <v>447</v>
      </c>
      <c r="H553" t="s">
        <v>4614</v>
      </c>
      <c r="I553" t="s">
        <v>40</v>
      </c>
      <c r="J553" t="s">
        <v>525</v>
      </c>
      <c r="K553" t="s">
        <v>387</v>
      </c>
      <c r="L553" t="s">
        <v>448</v>
      </c>
      <c r="N553" t="s">
        <v>650</v>
      </c>
      <c r="Q553">
        <v>31995</v>
      </c>
      <c r="R553" t="s">
        <v>322</v>
      </c>
      <c r="S553" t="s">
        <v>475</v>
      </c>
      <c r="T553">
        <v>28</v>
      </c>
      <c r="W553" t="s">
        <v>476</v>
      </c>
      <c r="X553" t="s">
        <v>492</v>
      </c>
      <c r="Y553" t="s">
        <v>4615</v>
      </c>
      <c r="Z553" s="2" t="s">
        <v>4616</v>
      </c>
      <c r="AA553" t="s">
        <v>768</v>
      </c>
      <c r="AB553" t="s">
        <v>4617</v>
      </c>
      <c r="AG553" t="s">
        <v>4618</v>
      </c>
      <c r="AH553" t="s">
        <v>4619</v>
      </c>
      <c r="AI553" t="s">
        <v>4620</v>
      </c>
    </row>
    <row r="554" spans="2:35" ht="120">
      <c r="B554" s="1">
        <v>46051</v>
      </c>
      <c r="C554" s="1">
        <v>46051</v>
      </c>
      <c r="D554" t="s">
        <v>472</v>
      </c>
      <c r="E554" t="s">
        <v>473</v>
      </c>
      <c r="F554" t="s">
        <v>148</v>
      </c>
      <c r="G554" t="s">
        <v>447</v>
      </c>
      <c r="H554" t="s">
        <v>4614</v>
      </c>
      <c r="I554" t="s">
        <v>40</v>
      </c>
      <c r="J554" t="s">
        <v>525</v>
      </c>
      <c r="K554" t="s">
        <v>387</v>
      </c>
      <c r="L554" t="s">
        <v>448</v>
      </c>
      <c r="N554" t="s">
        <v>650</v>
      </c>
      <c r="Q554">
        <v>31994</v>
      </c>
      <c r="R554" t="s">
        <v>322</v>
      </c>
      <c r="S554" t="s">
        <v>475</v>
      </c>
      <c r="T554">
        <v>28</v>
      </c>
      <c r="W554" t="s">
        <v>476</v>
      </c>
      <c r="X554" t="s">
        <v>477</v>
      </c>
      <c r="Y554" t="s">
        <v>4621</v>
      </c>
      <c r="Z554" s="2" t="s">
        <v>4622</v>
      </c>
      <c r="AA554" t="s">
        <v>768</v>
      </c>
      <c r="AB554" t="s">
        <v>4617</v>
      </c>
      <c r="AG554" t="s">
        <v>4623</v>
      </c>
      <c r="AH554" t="s">
        <v>4619</v>
      </c>
      <c r="AI554" t="s">
        <v>4624</v>
      </c>
    </row>
    <row r="555" spans="2:35" ht="409.5">
      <c r="B555" s="1">
        <v>46051</v>
      </c>
      <c r="C555" s="1">
        <v>46050</v>
      </c>
      <c r="D555" t="s">
        <v>4625</v>
      </c>
      <c r="E555" t="s">
        <v>2569</v>
      </c>
      <c r="F555" t="s">
        <v>148</v>
      </c>
      <c r="G555" t="s">
        <v>447</v>
      </c>
      <c r="H555" t="s">
        <v>2570</v>
      </c>
      <c r="I555" t="s">
        <v>40</v>
      </c>
      <c r="J555" t="s">
        <v>109</v>
      </c>
      <c r="K555" t="s">
        <v>42</v>
      </c>
      <c r="L555" t="s">
        <v>448</v>
      </c>
      <c r="N555" t="s">
        <v>650</v>
      </c>
      <c r="O555" t="s">
        <v>2808</v>
      </c>
      <c r="Q555">
        <v>31993</v>
      </c>
      <c r="R555" t="s">
        <v>95</v>
      </c>
      <c r="S555" t="s">
        <v>2571</v>
      </c>
      <c r="T555">
        <v>24</v>
      </c>
      <c r="U555" s="2" t="s">
        <v>4626</v>
      </c>
      <c r="W555" t="s">
        <v>666</v>
      </c>
      <c r="X555">
        <v>807155</v>
      </c>
      <c r="Y555" s="2" t="s">
        <v>4627</v>
      </c>
      <c r="Z555" s="2" t="s">
        <v>2011</v>
      </c>
      <c r="AA555" t="s">
        <v>122</v>
      </c>
      <c r="AB555" s="2" t="s">
        <v>4628</v>
      </c>
      <c r="AG555" t="s">
        <v>4629</v>
      </c>
      <c r="AH555" t="s">
        <v>4630</v>
      </c>
      <c r="AI555" t="s">
        <v>4631</v>
      </c>
    </row>
    <row r="556" spans="2:35" ht="210">
      <c r="B556" s="1">
        <v>46051</v>
      </c>
      <c r="C556" s="1">
        <v>46050</v>
      </c>
      <c r="D556" t="s">
        <v>4632</v>
      </c>
      <c r="E556" t="s">
        <v>2569</v>
      </c>
      <c r="F556" t="s">
        <v>148</v>
      </c>
      <c r="G556" t="s">
        <v>447</v>
      </c>
      <c r="H556" t="s">
        <v>150</v>
      </c>
      <c r="I556" t="s">
        <v>40</v>
      </c>
      <c r="J556" t="s">
        <v>109</v>
      </c>
      <c r="K556" t="s">
        <v>42</v>
      </c>
      <c r="L556" t="s">
        <v>448</v>
      </c>
      <c r="N556" t="s">
        <v>650</v>
      </c>
      <c r="O556" t="s">
        <v>2808</v>
      </c>
      <c r="Q556">
        <v>31992</v>
      </c>
      <c r="R556" t="s">
        <v>95</v>
      </c>
      <c r="S556" t="s">
        <v>2809</v>
      </c>
      <c r="T556">
        <v>22</v>
      </c>
      <c r="U556" s="2" t="s">
        <v>4633</v>
      </c>
      <c r="W556" t="s">
        <v>666</v>
      </c>
      <c r="X556">
        <v>839234</v>
      </c>
      <c r="Y556" s="2" t="s">
        <v>4634</v>
      </c>
      <c r="Z556" s="2" t="s">
        <v>3684</v>
      </c>
      <c r="AA556" t="s">
        <v>122</v>
      </c>
      <c r="AB556" s="2" t="s">
        <v>4635</v>
      </c>
      <c r="AG556" t="s">
        <v>4636</v>
      </c>
      <c r="AH556" t="s">
        <v>2814</v>
      </c>
      <c r="AI556" t="s">
        <v>4637</v>
      </c>
    </row>
    <row r="557" spans="2:35" ht="390">
      <c r="B557" s="1">
        <v>46051</v>
      </c>
      <c r="C557" s="1">
        <v>46049</v>
      </c>
      <c r="D557" t="s">
        <v>1145</v>
      </c>
      <c r="E557" t="s">
        <v>473</v>
      </c>
      <c r="F557" t="s">
        <v>148</v>
      </c>
      <c r="G557" t="s">
        <v>447</v>
      </c>
      <c r="H557" t="s">
        <v>150</v>
      </c>
      <c r="I557" t="s">
        <v>94</v>
      </c>
      <c r="J557" t="s">
        <v>525</v>
      </c>
      <c r="K557" t="s">
        <v>42</v>
      </c>
      <c r="L557" t="s">
        <v>448</v>
      </c>
      <c r="N557" t="s">
        <v>650</v>
      </c>
      <c r="Q557">
        <v>31991</v>
      </c>
      <c r="R557" t="s">
        <v>322</v>
      </c>
      <c r="S557" t="s">
        <v>1147</v>
      </c>
      <c r="T557">
        <v>26</v>
      </c>
      <c r="U557" s="2" t="s">
        <v>4638</v>
      </c>
      <c r="W557" t="s">
        <v>4639</v>
      </c>
      <c r="X557">
        <v>838837</v>
      </c>
      <c r="Y557" t="s">
        <v>4640</v>
      </c>
      <c r="Z557" s="2" t="s">
        <v>4641</v>
      </c>
      <c r="AA557" t="s">
        <v>768</v>
      </c>
      <c r="AB557" s="2" t="s">
        <v>4642</v>
      </c>
      <c r="AG557" t="s">
        <v>4643</v>
      </c>
      <c r="AH557" t="s">
        <v>1153</v>
      </c>
      <c r="AI557" t="s">
        <v>4644</v>
      </c>
    </row>
    <row r="558" spans="2:35" ht="360">
      <c r="B558" s="1">
        <v>46051</v>
      </c>
      <c r="C558" s="1">
        <v>46051</v>
      </c>
      <c r="D558" t="s">
        <v>3669</v>
      </c>
      <c r="E558" t="s">
        <v>4645</v>
      </c>
      <c r="F558" t="s">
        <v>37</v>
      </c>
      <c r="G558" t="s">
        <v>38</v>
      </c>
      <c r="H558" t="s">
        <v>39</v>
      </c>
      <c r="I558" t="s">
        <v>40</v>
      </c>
      <c r="J558" s="2" t="s">
        <v>190</v>
      </c>
      <c r="K558" t="s">
        <v>42</v>
      </c>
      <c r="L558" t="s">
        <v>43</v>
      </c>
      <c r="N558" t="s">
        <v>44</v>
      </c>
      <c r="O558" t="s">
        <v>4646</v>
      </c>
      <c r="Q558">
        <v>31990</v>
      </c>
      <c r="R558" t="s">
        <v>95</v>
      </c>
      <c r="S558" t="s">
        <v>4647</v>
      </c>
      <c r="T558">
        <v>22</v>
      </c>
      <c r="U558" s="2" t="s">
        <v>4648</v>
      </c>
      <c r="W558" t="s">
        <v>48</v>
      </c>
      <c r="X558">
        <v>110005265</v>
      </c>
      <c r="Y558" t="s">
        <v>4649</v>
      </c>
      <c r="Z558" t="s">
        <v>122</v>
      </c>
      <c r="AA558" s="2" t="s">
        <v>547</v>
      </c>
      <c r="AB558" t="s">
        <v>4650</v>
      </c>
      <c r="AG558" t="s">
        <v>4651</v>
      </c>
      <c r="AH558" t="s">
        <v>4652</v>
      </c>
      <c r="AI558" t="s">
        <v>4653</v>
      </c>
    </row>
    <row r="559" spans="2:35" ht="240">
      <c r="B559" s="1">
        <v>46051</v>
      </c>
      <c r="C559" s="1">
        <v>46051</v>
      </c>
      <c r="D559" t="s">
        <v>4654</v>
      </c>
      <c r="E559" t="s">
        <v>4655</v>
      </c>
      <c r="F559">
        <v>10</v>
      </c>
      <c r="G559" t="s">
        <v>1395</v>
      </c>
      <c r="H559" t="s">
        <v>2138</v>
      </c>
      <c r="I559" t="s">
        <v>40</v>
      </c>
      <c r="J559" s="2" t="s">
        <v>760</v>
      </c>
      <c r="K559" t="s">
        <v>387</v>
      </c>
      <c r="L559" t="s">
        <v>933</v>
      </c>
      <c r="N559" t="s">
        <v>934</v>
      </c>
      <c r="Q559">
        <v>31989</v>
      </c>
      <c r="R559" t="s">
        <v>95</v>
      </c>
      <c r="S559" t="s">
        <v>4572</v>
      </c>
      <c r="T559">
        <v>27</v>
      </c>
      <c r="W559" t="s">
        <v>390</v>
      </c>
      <c r="X559" t="s">
        <v>4573</v>
      </c>
      <c r="Y559" t="s">
        <v>4656</v>
      </c>
      <c r="Z559" t="s">
        <v>4657</v>
      </c>
      <c r="AA559" s="2" t="s">
        <v>4658</v>
      </c>
      <c r="AB559" t="s">
        <v>4659</v>
      </c>
      <c r="AC559" t="s">
        <v>4660</v>
      </c>
      <c r="AG559" t="s">
        <v>4661</v>
      </c>
      <c r="AH559" t="s">
        <v>4578</v>
      </c>
      <c r="AI559" t="s">
        <v>4662</v>
      </c>
    </row>
    <row r="560" spans="2:35" ht="105">
      <c r="B560" s="1">
        <v>46051</v>
      </c>
      <c r="C560" s="1">
        <v>46051</v>
      </c>
      <c r="D560" t="s">
        <v>4663</v>
      </c>
      <c r="E560" t="s">
        <v>4664</v>
      </c>
      <c r="F560">
        <v>6</v>
      </c>
      <c r="G560" t="s">
        <v>4457</v>
      </c>
      <c r="H560" t="s">
        <v>39</v>
      </c>
      <c r="I560" t="s">
        <v>40</v>
      </c>
      <c r="J560" s="2" t="s">
        <v>41</v>
      </c>
      <c r="K560" t="s">
        <v>42</v>
      </c>
      <c r="L560" t="s">
        <v>270</v>
      </c>
      <c r="N560" t="s">
        <v>2481</v>
      </c>
      <c r="Q560">
        <v>31988</v>
      </c>
      <c r="R560" t="s">
        <v>119</v>
      </c>
      <c r="S560" t="s">
        <v>4665</v>
      </c>
      <c r="T560">
        <v>24</v>
      </c>
      <c r="U560" s="2" t="s">
        <v>2027</v>
      </c>
      <c r="V560" s="1">
        <v>46013</v>
      </c>
      <c r="W560" t="s">
        <v>360</v>
      </c>
      <c r="X560">
        <v>838458</v>
      </c>
      <c r="Y560" t="s">
        <v>4666</v>
      </c>
      <c r="Z560" t="s">
        <v>3128</v>
      </c>
      <c r="AA560" t="s">
        <v>4667</v>
      </c>
      <c r="AB560" t="s">
        <v>4668</v>
      </c>
      <c r="AD560" t="s">
        <v>4669</v>
      </c>
      <c r="AE560">
        <v>13626</v>
      </c>
      <c r="AG560" t="s">
        <v>4670</v>
      </c>
      <c r="AH560" t="s">
        <v>4671</v>
      </c>
      <c r="AI560" t="s">
        <v>4672</v>
      </c>
    </row>
    <row r="561" spans="2:35" ht="409.5">
      <c r="B561" s="1">
        <v>46050</v>
      </c>
      <c r="C561" s="1">
        <v>46050</v>
      </c>
      <c r="D561" t="s">
        <v>4673</v>
      </c>
      <c r="E561" t="s">
        <v>4674</v>
      </c>
      <c r="F561">
        <v>11</v>
      </c>
      <c r="G561" t="s">
        <v>1205</v>
      </c>
      <c r="H561" t="s">
        <v>386</v>
      </c>
      <c r="I561" t="s">
        <v>40</v>
      </c>
      <c r="J561" s="2" t="s">
        <v>2170</v>
      </c>
      <c r="K561" t="s">
        <v>387</v>
      </c>
      <c r="L561" t="s">
        <v>204</v>
      </c>
      <c r="N561" t="s">
        <v>205</v>
      </c>
      <c r="O561" t="s">
        <v>2867</v>
      </c>
      <c r="Q561">
        <v>31987</v>
      </c>
      <c r="R561" t="s">
        <v>95</v>
      </c>
      <c r="S561" t="s">
        <v>4675</v>
      </c>
      <c r="T561">
        <v>24</v>
      </c>
      <c r="W561" t="s">
        <v>390</v>
      </c>
      <c r="X561" t="s">
        <v>4676</v>
      </c>
      <c r="Y561" t="s">
        <v>4677</v>
      </c>
      <c r="Z561" s="2" t="s">
        <v>4678</v>
      </c>
      <c r="AA561" s="2" t="s">
        <v>4679</v>
      </c>
      <c r="AB561" t="s">
        <v>364</v>
      </c>
      <c r="AG561" t="s">
        <v>4680</v>
      </c>
      <c r="AH561" t="s">
        <v>4681</v>
      </c>
      <c r="AI561" t="s">
        <v>4682</v>
      </c>
    </row>
    <row r="562" spans="2:35" ht="255">
      <c r="B562" s="1">
        <v>46050</v>
      </c>
      <c r="C562" s="1">
        <v>46050</v>
      </c>
      <c r="D562" t="s">
        <v>4683</v>
      </c>
      <c r="E562" t="s">
        <v>4684</v>
      </c>
      <c r="F562">
        <v>10</v>
      </c>
      <c r="G562" t="s">
        <v>4685</v>
      </c>
      <c r="H562" t="s">
        <v>39</v>
      </c>
      <c r="I562" t="s">
        <v>40</v>
      </c>
      <c r="J562" s="2" t="s">
        <v>1370</v>
      </c>
      <c r="K562" t="s">
        <v>42</v>
      </c>
      <c r="L562" t="s">
        <v>433</v>
      </c>
      <c r="N562" t="s">
        <v>434</v>
      </c>
      <c r="Q562">
        <v>31986</v>
      </c>
      <c r="R562" t="s">
        <v>119</v>
      </c>
      <c r="S562" t="s">
        <v>4686</v>
      </c>
      <c r="T562">
        <v>28</v>
      </c>
      <c r="W562" t="s">
        <v>1008</v>
      </c>
      <c r="X562">
        <v>838298</v>
      </c>
      <c r="Y562" t="s">
        <v>4687</v>
      </c>
      <c r="Z562" s="2" t="s">
        <v>4688</v>
      </c>
      <c r="AA562" s="2" t="s">
        <v>4689</v>
      </c>
      <c r="AB562" s="2" t="s">
        <v>4690</v>
      </c>
      <c r="AG562" t="s">
        <v>4691</v>
      </c>
      <c r="AH562" t="s">
        <v>4692</v>
      </c>
      <c r="AI562" t="s">
        <v>4693</v>
      </c>
    </row>
    <row r="563" spans="2:35" ht="375">
      <c r="B563" s="1">
        <v>46050</v>
      </c>
      <c r="C563" s="1">
        <v>46050</v>
      </c>
      <c r="D563" t="s">
        <v>4694</v>
      </c>
      <c r="E563" t="s">
        <v>4695</v>
      </c>
      <c r="F563">
        <v>12</v>
      </c>
      <c r="G563" t="s">
        <v>2137</v>
      </c>
      <c r="H563" t="s">
        <v>1473</v>
      </c>
      <c r="I563" t="s">
        <v>40</v>
      </c>
      <c r="J563" t="s">
        <v>109</v>
      </c>
      <c r="K563" t="s">
        <v>42</v>
      </c>
      <c r="L563" t="s">
        <v>296</v>
      </c>
      <c r="N563" t="s">
        <v>297</v>
      </c>
      <c r="Q563">
        <v>31985</v>
      </c>
      <c r="R563" t="s">
        <v>119</v>
      </c>
      <c r="S563" t="s">
        <v>4696</v>
      </c>
      <c r="T563">
        <v>26.4</v>
      </c>
      <c r="U563" s="2" t="s">
        <v>4697</v>
      </c>
      <c r="W563" t="s">
        <v>981</v>
      </c>
      <c r="X563">
        <v>838545</v>
      </c>
      <c r="Y563" t="s">
        <v>301</v>
      </c>
      <c r="Z563" s="2" t="s">
        <v>4698</v>
      </c>
      <c r="AA563" t="s">
        <v>303</v>
      </c>
      <c r="AB563" t="s">
        <v>4161</v>
      </c>
      <c r="AG563" t="s">
        <v>4699</v>
      </c>
      <c r="AH563" t="s">
        <v>4700</v>
      </c>
      <c r="AI563" t="s">
        <v>4701</v>
      </c>
    </row>
    <row r="564" spans="2:35" ht="225">
      <c r="B564" s="1">
        <v>46050</v>
      </c>
      <c r="C564" s="1">
        <v>46049</v>
      </c>
      <c r="D564" t="s">
        <v>4702</v>
      </c>
      <c r="E564" t="s">
        <v>4703</v>
      </c>
      <c r="F564" t="s">
        <v>148</v>
      </c>
      <c r="G564" t="s">
        <v>785</v>
      </c>
      <c r="H564" t="s">
        <v>39</v>
      </c>
      <c r="I564" t="s">
        <v>40</v>
      </c>
      <c r="J564" t="s">
        <v>109</v>
      </c>
      <c r="K564" t="s">
        <v>42</v>
      </c>
      <c r="L564" t="s">
        <v>43</v>
      </c>
      <c r="N564" t="s">
        <v>44</v>
      </c>
      <c r="Q564">
        <v>31984</v>
      </c>
      <c r="R564" t="s">
        <v>322</v>
      </c>
      <c r="S564" t="s">
        <v>4704</v>
      </c>
      <c r="T564">
        <v>26</v>
      </c>
      <c r="W564" t="s">
        <v>153</v>
      </c>
      <c r="X564">
        <v>110026463</v>
      </c>
      <c r="Y564" t="s">
        <v>121</v>
      </c>
      <c r="Z564" t="s">
        <v>122</v>
      </c>
      <c r="AA564" s="2" t="s">
        <v>547</v>
      </c>
      <c r="AB564" t="s">
        <v>88</v>
      </c>
      <c r="AG564" t="s">
        <v>4705</v>
      </c>
      <c r="AH564" t="s">
        <v>4706</v>
      </c>
      <c r="AI564" t="s">
        <v>4707</v>
      </c>
    </row>
    <row r="565" spans="2:35" ht="330">
      <c r="B565" s="1">
        <v>46050</v>
      </c>
      <c r="C565" s="1">
        <v>46049</v>
      </c>
      <c r="D565" t="s">
        <v>4702</v>
      </c>
      <c r="E565" t="s">
        <v>4703</v>
      </c>
      <c r="F565" t="s">
        <v>148</v>
      </c>
      <c r="G565" t="s">
        <v>785</v>
      </c>
      <c r="H565" t="s">
        <v>39</v>
      </c>
      <c r="I565" t="s">
        <v>40</v>
      </c>
      <c r="J565" t="s">
        <v>1422</v>
      </c>
      <c r="K565" t="s">
        <v>42</v>
      </c>
      <c r="L565" t="s">
        <v>43</v>
      </c>
      <c r="N565" t="s">
        <v>44</v>
      </c>
      <c r="Q565">
        <v>31983</v>
      </c>
      <c r="R565" t="s">
        <v>322</v>
      </c>
      <c r="S565" t="s">
        <v>4704</v>
      </c>
      <c r="T565">
        <v>26</v>
      </c>
      <c r="U565" s="2" t="s">
        <v>4708</v>
      </c>
      <c r="W565" t="s">
        <v>153</v>
      </c>
      <c r="X565">
        <v>110024245</v>
      </c>
      <c r="Y565" t="s">
        <v>4709</v>
      </c>
      <c r="Z565" t="s">
        <v>2931</v>
      </c>
      <c r="AA565" s="2" t="s">
        <v>4710</v>
      </c>
      <c r="AB565" t="s">
        <v>4711</v>
      </c>
      <c r="AG565" t="s">
        <v>4712</v>
      </c>
      <c r="AH565" t="s">
        <v>4706</v>
      </c>
      <c r="AI565" t="s">
        <v>4713</v>
      </c>
    </row>
    <row r="566" spans="2:35" ht="390">
      <c r="B566" s="1">
        <v>46049</v>
      </c>
      <c r="C566" s="1">
        <v>46049</v>
      </c>
      <c r="D566" t="s">
        <v>3853</v>
      </c>
      <c r="E566" t="s">
        <v>4714</v>
      </c>
      <c r="F566">
        <v>12</v>
      </c>
      <c r="G566" t="s">
        <v>2137</v>
      </c>
      <c r="H566" t="s">
        <v>39</v>
      </c>
      <c r="I566" t="s">
        <v>40</v>
      </c>
      <c r="J566" t="s">
        <v>109</v>
      </c>
      <c r="K566" t="s">
        <v>42</v>
      </c>
      <c r="L566" t="s">
        <v>296</v>
      </c>
      <c r="N566" t="s">
        <v>297</v>
      </c>
      <c r="Q566">
        <v>31982</v>
      </c>
      <c r="R566" t="s">
        <v>322</v>
      </c>
      <c r="S566" t="s">
        <v>3855</v>
      </c>
      <c r="T566">
        <v>23.4</v>
      </c>
      <c r="U566" s="2" t="s">
        <v>4715</v>
      </c>
      <c r="W566" t="s">
        <v>4716</v>
      </c>
      <c r="X566">
        <v>110026514</v>
      </c>
      <c r="Y566" t="s">
        <v>301</v>
      </c>
      <c r="Z566" s="2" t="s">
        <v>4717</v>
      </c>
      <c r="AA566" t="s">
        <v>303</v>
      </c>
      <c r="AB566" t="s">
        <v>4161</v>
      </c>
      <c r="AG566" t="s">
        <v>4718</v>
      </c>
      <c r="AH566" t="s">
        <v>3861</v>
      </c>
      <c r="AI566" t="s">
        <v>4719</v>
      </c>
    </row>
    <row r="567" spans="2:35" ht="390">
      <c r="B567" s="1">
        <v>46049</v>
      </c>
      <c r="C567" s="1">
        <v>46049</v>
      </c>
      <c r="D567" t="s">
        <v>3853</v>
      </c>
      <c r="E567" t="s">
        <v>4714</v>
      </c>
      <c r="F567">
        <v>12</v>
      </c>
      <c r="G567" t="s">
        <v>2137</v>
      </c>
      <c r="H567" t="s">
        <v>39</v>
      </c>
      <c r="I567" t="s">
        <v>40</v>
      </c>
      <c r="J567" t="s">
        <v>109</v>
      </c>
      <c r="K567" t="s">
        <v>42</v>
      </c>
      <c r="L567" t="s">
        <v>296</v>
      </c>
      <c r="N567" t="s">
        <v>297</v>
      </c>
      <c r="Q567">
        <v>31981</v>
      </c>
      <c r="R567" t="s">
        <v>322</v>
      </c>
      <c r="S567" t="s">
        <v>3855</v>
      </c>
      <c r="T567">
        <v>23.4</v>
      </c>
      <c r="U567" s="2" t="s">
        <v>4715</v>
      </c>
      <c r="W567" t="s">
        <v>4716</v>
      </c>
      <c r="X567">
        <v>110026514</v>
      </c>
      <c r="Y567" t="s">
        <v>301</v>
      </c>
      <c r="Z567" s="2" t="s">
        <v>4717</v>
      </c>
      <c r="AA567" t="s">
        <v>303</v>
      </c>
      <c r="AB567" t="s">
        <v>4161</v>
      </c>
      <c r="AG567" t="s">
        <v>4720</v>
      </c>
      <c r="AH567" t="s">
        <v>3861</v>
      </c>
      <c r="AI567" t="s">
        <v>4721</v>
      </c>
    </row>
    <row r="568" spans="2:35">
      <c r="B568" s="1">
        <v>46049</v>
      </c>
      <c r="C568" s="1">
        <v>46049</v>
      </c>
      <c r="D568" t="s">
        <v>3423</v>
      </c>
      <c r="E568" t="s">
        <v>3116</v>
      </c>
      <c r="F568">
        <v>7</v>
      </c>
      <c r="G568" t="s">
        <v>432</v>
      </c>
      <c r="H568" t="s">
        <v>386</v>
      </c>
      <c r="I568" t="s">
        <v>40</v>
      </c>
      <c r="J568" t="s">
        <v>79</v>
      </c>
      <c r="K568" t="s">
        <v>387</v>
      </c>
      <c r="L568" t="s">
        <v>610</v>
      </c>
      <c r="N568" t="s">
        <v>611</v>
      </c>
      <c r="O568" t="s">
        <v>3424</v>
      </c>
      <c r="Q568">
        <v>31980</v>
      </c>
      <c r="R568" t="s">
        <v>95</v>
      </c>
      <c r="S568" t="s">
        <v>3424</v>
      </c>
      <c r="T568">
        <v>19</v>
      </c>
      <c r="W568" t="s">
        <v>390</v>
      </c>
      <c r="X568" t="s">
        <v>3425</v>
      </c>
      <c r="Y568" t="s">
        <v>4722</v>
      </c>
      <c r="Z568" t="s">
        <v>4723</v>
      </c>
      <c r="AA568" t="s">
        <v>4723</v>
      </c>
      <c r="AB568" t="s">
        <v>88</v>
      </c>
      <c r="AC568" t="s">
        <v>3116</v>
      </c>
      <c r="AE568" t="s">
        <v>1451</v>
      </c>
      <c r="AG568" t="s">
        <v>4724</v>
      </c>
      <c r="AH568" t="s">
        <v>3429</v>
      </c>
      <c r="AI568" t="s">
        <v>4725</v>
      </c>
    </row>
    <row r="569" spans="2:35" ht="120">
      <c r="B569" s="1">
        <v>46049</v>
      </c>
      <c r="C569" s="1">
        <v>46049</v>
      </c>
      <c r="D569" t="s">
        <v>757</v>
      </c>
      <c r="E569" t="s">
        <v>4726</v>
      </c>
      <c r="F569">
        <v>5</v>
      </c>
      <c r="G569" t="s">
        <v>759</v>
      </c>
      <c r="H569" t="s">
        <v>39</v>
      </c>
      <c r="I569" t="s">
        <v>94</v>
      </c>
      <c r="J569" t="s">
        <v>109</v>
      </c>
      <c r="K569" t="s">
        <v>42</v>
      </c>
      <c r="L569" t="s">
        <v>761</v>
      </c>
      <c r="N569" t="s">
        <v>762</v>
      </c>
      <c r="Q569">
        <v>31979</v>
      </c>
      <c r="R569" t="s">
        <v>45</v>
      </c>
      <c r="S569" t="s">
        <v>4727</v>
      </c>
      <c r="T569">
        <v>29</v>
      </c>
      <c r="U569" s="2" t="s">
        <v>4728</v>
      </c>
      <c r="W569" t="s">
        <v>765</v>
      </c>
      <c r="X569">
        <v>808280</v>
      </c>
      <c r="Y569" t="s">
        <v>818</v>
      </c>
      <c r="Z569" s="2" t="s">
        <v>4729</v>
      </c>
      <c r="AA569" t="s">
        <v>820</v>
      </c>
      <c r="AB569" t="s">
        <v>181</v>
      </c>
      <c r="AG569" t="s">
        <v>4730</v>
      </c>
      <c r="AH569" t="s">
        <v>4731</v>
      </c>
      <c r="AI569" t="s">
        <v>4732</v>
      </c>
    </row>
    <row r="570" spans="2:35" ht="255">
      <c r="B570" s="1">
        <v>46049</v>
      </c>
      <c r="C570" s="1">
        <v>46048</v>
      </c>
      <c r="D570" t="s">
        <v>4733</v>
      </c>
      <c r="E570" t="s">
        <v>4734</v>
      </c>
      <c r="F570" t="s">
        <v>148</v>
      </c>
      <c r="G570" t="s">
        <v>447</v>
      </c>
      <c r="H570" t="s">
        <v>4735</v>
      </c>
      <c r="I570" t="s">
        <v>40</v>
      </c>
      <c r="J570" t="s">
        <v>79</v>
      </c>
      <c r="K570" t="s">
        <v>408</v>
      </c>
      <c r="L570" t="s">
        <v>448</v>
      </c>
      <c r="N570" t="s">
        <v>650</v>
      </c>
      <c r="O570" t="s">
        <v>650</v>
      </c>
      <c r="P570" t="s">
        <v>4736</v>
      </c>
      <c r="Q570">
        <v>31978</v>
      </c>
      <c r="R570" t="s">
        <v>95</v>
      </c>
      <c r="S570" t="s">
        <v>650</v>
      </c>
      <c r="T570">
        <v>26</v>
      </c>
      <c r="V570" s="1">
        <v>46048</v>
      </c>
      <c r="W570" t="s">
        <v>4737</v>
      </c>
      <c r="X570" t="s">
        <v>4738</v>
      </c>
      <c r="Y570" t="s">
        <v>4739</v>
      </c>
      <c r="Z570" s="2" t="s">
        <v>4740</v>
      </c>
      <c r="AA570" t="s">
        <v>914</v>
      </c>
      <c r="AB570" t="s">
        <v>4741</v>
      </c>
      <c r="AC570" t="s">
        <v>4742</v>
      </c>
      <c r="AD570" t="s">
        <v>4743</v>
      </c>
      <c r="AE570" t="s">
        <v>449</v>
      </c>
      <c r="AG570" t="s">
        <v>4744</v>
      </c>
      <c r="AH570" t="s">
        <v>4733</v>
      </c>
      <c r="AI570" t="s">
        <v>4745</v>
      </c>
    </row>
    <row r="571" spans="2:35" ht="240">
      <c r="B571" s="1">
        <v>46049</v>
      </c>
      <c r="C571" s="1">
        <v>46049</v>
      </c>
      <c r="D571" t="s">
        <v>4746</v>
      </c>
      <c r="E571" t="s">
        <v>4747</v>
      </c>
      <c r="F571">
        <v>6</v>
      </c>
      <c r="G571" t="s">
        <v>1286</v>
      </c>
      <c r="H571" t="s">
        <v>258</v>
      </c>
      <c r="I571" t="s">
        <v>94</v>
      </c>
      <c r="J571" s="2" t="s">
        <v>41</v>
      </c>
      <c r="K571" t="s">
        <v>42</v>
      </c>
      <c r="L571" t="s">
        <v>1288</v>
      </c>
      <c r="N571" t="s">
        <v>1289</v>
      </c>
      <c r="Q571">
        <v>31975</v>
      </c>
      <c r="R571" t="s">
        <v>119</v>
      </c>
      <c r="S571" t="s">
        <v>4748</v>
      </c>
      <c r="T571">
        <v>25</v>
      </c>
      <c r="U571" s="2" t="s">
        <v>4749</v>
      </c>
      <c r="W571" t="s">
        <v>666</v>
      </c>
      <c r="X571">
        <v>838501</v>
      </c>
      <c r="Y571" t="s">
        <v>4750</v>
      </c>
      <c r="Z571" t="s">
        <v>4751</v>
      </c>
      <c r="AA571" t="s">
        <v>4752</v>
      </c>
      <c r="AB571" s="2" t="s">
        <v>4753</v>
      </c>
      <c r="AG571" t="s">
        <v>4754</v>
      </c>
      <c r="AH571" t="s">
        <v>4755</v>
      </c>
      <c r="AI571" t="s">
        <v>4756</v>
      </c>
    </row>
    <row r="572" spans="2:35" ht="255">
      <c r="B572" s="1">
        <v>46049</v>
      </c>
      <c r="C572" s="1">
        <v>46045</v>
      </c>
      <c r="D572" t="s">
        <v>4757</v>
      </c>
      <c r="E572" t="s">
        <v>4758</v>
      </c>
      <c r="F572" t="s">
        <v>148</v>
      </c>
      <c r="G572" t="s">
        <v>785</v>
      </c>
      <c r="H572" t="s">
        <v>39</v>
      </c>
      <c r="I572" t="s">
        <v>40</v>
      </c>
      <c r="J572" s="2" t="s">
        <v>609</v>
      </c>
      <c r="K572" t="s">
        <v>42</v>
      </c>
      <c r="L572" t="s">
        <v>43</v>
      </c>
      <c r="N572" t="s">
        <v>44</v>
      </c>
      <c r="Q572">
        <v>31973</v>
      </c>
      <c r="R572" t="s">
        <v>119</v>
      </c>
      <c r="S572" t="s">
        <v>4759</v>
      </c>
      <c r="T572">
        <v>24</v>
      </c>
      <c r="U572" s="2" t="s">
        <v>2420</v>
      </c>
      <c r="W572" t="s">
        <v>48</v>
      </c>
      <c r="X572">
        <v>831905</v>
      </c>
      <c r="Y572" s="2" t="s">
        <v>4760</v>
      </c>
      <c r="Z572" t="s">
        <v>122</v>
      </c>
      <c r="AA572" s="2" t="s">
        <v>4761</v>
      </c>
      <c r="AB572" t="s">
        <v>548</v>
      </c>
      <c r="AG572" t="s">
        <v>4762</v>
      </c>
      <c r="AH572" t="s">
        <v>4763</v>
      </c>
      <c r="AI572" t="s">
        <v>4764</v>
      </c>
    </row>
    <row r="573" spans="2:35" ht="345">
      <c r="B573" s="1">
        <v>46049</v>
      </c>
      <c r="C573" s="1">
        <v>46045</v>
      </c>
      <c r="D573" t="s">
        <v>4765</v>
      </c>
      <c r="E573" t="s">
        <v>4766</v>
      </c>
      <c r="F573" t="s">
        <v>148</v>
      </c>
      <c r="G573" t="s">
        <v>785</v>
      </c>
      <c r="H573" t="s">
        <v>39</v>
      </c>
      <c r="I573" t="s">
        <v>40</v>
      </c>
      <c r="J573" t="s">
        <v>4767</v>
      </c>
      <c r="K573" t="s">
        <v>42</v>
      </c>
      <c r="L573" t="s">
        <v>43</v>
      </c>
      <c r="N573" t="s">
        <v>44</v>
      </c>
      <c r="Q573">
        <v>31974</v>
      </c>
      <c r="R573" t="s">
        <v>322</v>
      </c>
      <c r="S573" t="s">
        <v>4704</v>
      </c>
      <c r="T573">
        <v>24</v>
      </c>
      <c r="W573" t="s">
        <v>153</v>
      </c>
      <c r="X573">
        <v>110024245</v>
      </c>
      <c r="Y573" t="s">
        <v>4768</v>
      </c>
      <c r="Z573" t="s">
        <v>4769</v>
      </c>
      <c r="AA573" s="2" t="s">
        <v>4770</v>
      </c>
      <c r="AB573" t="s">
        <v>4771</v>
      </c>
      <c r="AG573" t="s">
        <v>4772</v>
      </c>
      <c r="AH573" t="s">
        <v>4773</v>
      </c>
      <c r="AI573" t="s">
        <v>4774</v>
      </c>
    </row>
    <row r="574" spans="2:35" ht="105">
      <c r="B574" s="1">
        <v>46048</v>
      </c>
      <c r="C574" s="1">
        <v>46043</v>
      </c>
      <c r="D574" t="s">
        <v>1057</v>
      </c>
      <c r="E574" t="s">
        <v>1058</v>
      </c>
      <c r="F574">
        <v>1</v>
      </c>
      <c r="G574" t="s">
        <v>1046</v>
      </c>
      <c r="H574" t="s">
        <v>39</v>
      </c>
      <c r="I574" t="s">
        <v>40</v>
      </c>
      <c r="J574" t="s">
        <v>109</v>
      </c>
      <c r="K574" t="s">
        <v>42</v>
      </c>
      <c r="L574" t="s">
        <v>1048</v>
      </c>
      <c r="N574" t="s">
        <v>1049</v>
      </c>
      <c r="Q574">
        <v>31972</v>
      </c>
      <c r="R574" t="s">
        <v>95</v>
      </c>
      <c r="S574" t="s">
        <v>1059</v>
      </c>
      <c r="T574">
        <v>30</v>
      </c>
      <c r="W574" t="s">
        <v>4775</v>
      </c>
      <c r="X574">
        <v>820303</v>
      </c>
      <c r="Y574" t="s">
        <v>1052</v>
      </c>
      <c r="Z574" t="e">
        <f ca="1">- cleaned cartridge Bays, plunger Rods _xludf.and I-CORE
- generated reports</f>
        <v>#NAME?</v>
      </c>
      <c r="AA574" t="s">
        <v>820</v>
      </c>
      <c r="AB574" s="2" t="s">
        <v>3391</v>
      </c>
      <c r="AG574" t="s">
        <v>4776</v>
      </c>
      <c r="AH574" t="s">
        <v>3393</v>
      </c>
      <c r="AI574" t="s">
        <v>4777</v>
      </c>
    </row>
    <row r="575" spans="2:35" ht="409.5">
      <c r="B575" s="1">
        <v>46045</v>
      </c>
      <c r="C575" s="1">
        <v>46045</v>
      </c>
      <c r="D575" t="s">
        <v>3423</v>
      </c>
      <c r="E575" t="s">
        <v>3116</v>
      </c>
      <c r="F575">
        <v>7</v>
      </c>
      <c r="G575" t="s">
        <v>432</v>
      </c>
      <c r="H575" t="s">
        <v>386</v>
      </c>
      <c r="I575" t="s">
        <v>40</v>
      </c>
      <c r="J575" s="2" t="s">
        <v>4778</v>
      </c>
      <c r="K575" t="s">
        <v>387</v>
      </c>
      <c r="L575" t="s">
        <v>610</v>
      </c>
      <c r="N575" t="s">
        <v>611</v>
      </c>
      <c r="O575" t="s">
        <v>3424</v>
      </c>
      <c r="Q575">
        <v>31971</v>
      </c>
      <c r="R575" t="s">
        <v>95</v>
      </c>
      <c r="S575" t="s">
        <v>3424</v>
      </c>
      <c r="T575">
        <v>19</v>
      </c>
      <c r="W575" t="s">
        <v>390</v>
      </c>
      <c r="X575" t="s">
        <v>4779</v>
      </c>
      <c r="Y575" s="2" t="s">
        <v>4780</v>
      </c>
      <c r="Z575" s="2" t="s">
        <v>4781</v>
      </c>
      <c r="AA575" s="2" t="s">
        <v>4781</v>
      </c>
      <c r="AB575" t="s">
        <v>88</v>
      </c>
      <c r="AC575" t="s">
        <v>3116</v>
      </c>
      <c r="AE575" t="s">
        <v>1451</v>
      </c>
      <c r="AG575" t="s">
        <v>4782</v>
      </c>
      <c r="AH575" t="s">
        <v>3429</v>
      </c>
      <c r="AI575" t="s">
        <v>4783</v>
      </c>
    </row>
    <row r="576" spans="2:35" ht="330">
      <c r="B576" s="1">
        <v>46045</v>
      </c>
      <c r="C576" s="1">
        <v>46045</v>
      </c>
      <c r="D576" t="s">
        <v>4784</v>
      </c>
      <c r="E576" t="s">
        <v>4785</v>
      </c>
      <c r="F576" t="s">
        <v>148</v>
      </c>
      <c r="G576" t="s">
        <v>4786</v>
      </c>
      <c r="H576" t="s">
        <v>61</v>
      </c>
      <c r="I576" t="s">
        <v>40</v>
      </c>
      <c r="J576" s="2" t="s">
        <v>41</v>
      </c>
      <c r="K576" t="s">
        <v>42</v>
      </c>
      <c r="L576" t="s">
        <v>175</v>
      </c>
      <c r="N576" t="s">
        <v>176</v>
      </c>
      <c r="Q576">
        <v>31970</v>
      </c>
      <c r="R576" t="s">
        <v>95</v>
      </c>
      <c r="S576" t="s">
        <v>4787</v>
      </c>
      <c r="T576">
        <v>23</v>
      </c>
      <c r="W576" t="s">
        <v>84</v>
      </c>
      <c r="X576">
        <v>831316</v>
      </c>
      <c r="Y576" t="s">
        <v>4788</v>
      </c>
      <c r="Z576" t="s">
        <v>4789</v>
      </c>
      <c r="AA576" s="2" t="s">
        <v>4790</v>
      </c>
      <c r="AB576" s="2" t="s">
        <v>4791</v>
      </c>
      <c r="AG576" t="s">
        <v>4792</v>
      </c>
      <c r="AH576" t="s">
        <v>4793</v>
      </c>
      <c r="AI576" t="s">
        <v>4794</v>
      </c>
    </row>
    <row r="577" spans="2:35" ht="210">
      <c r="B577" s="1">
        <v>46045</v>
      </c>
      <c r="C577" s="1">
        <v>46045</v>
      </c>
      <c r="D577" t="s">
        <v>4795</v>
      </c>
      <c r="E577" t="s">
        <v>4796</v>
      </c>
      <c r="F577">
        <v>10</v>
      </c>
      <c r="G577" t="s">
        <v>2392</v>
      </c>
      <c r="H577" t="s">
        <v>1498</v>
      </c>
      <c r="I577" t="s">
        <v>94</v>
      </c>
      <c r="J577" s="2" t="s">
        <v>190</v>
      </c>
      <c r="K577" t="s">
        <v>42</v>
      </c>
      <c r="L577" t="s">
        <v>343</v>
      </c>
      <c r="N577" t="s">
        <v>344</v>
      </c>
      <c r="Q577">
        <v>31969</v>
      </c>
      <c r="R577" t="s">
        <v>45</v>
      </c>
      <c r="S577" t="s">
        <v>4797</v>
      </c>
      <c r="T577">
        <v>26</v>
      </c>
      <c r="U577" s="2" t="s">
        <v>4798</v>
      </c>
      <c r="W577" t="s">
        <v>1501</v>
      </c>
      <c r="X577">
        <v>805090</v>
      </c>
      <c r="Y577" t="s">
        <v>4799</v>
      </c>
      <c r="Z577" t="e">
        <f ca="1">-_xludf.Replace _xludf.filter
-_xludf.Clean internal of Unit</f>
        <v>#NAME?</v>
      </c>
      <c r="AA577" t="e">
        <f ca="1">-Preventive Maintenance</f>
        <v>#NAME?</v>
      </c>
      <c r="AB577" t="s">
        <v>348</v>
      </c>
      <c r="AC577" t="s">
        <v>4800</v>
      </c>
      <c r="AG577" t="s">
        <v>4801</v>
      </c>
      <c r="AH577" t="s">
        <v>4802</v>
      </c>
      <c r="AI577" t="s">
        <v>4803</v>
      </c>
    </row>
    <row r="578" spans="2:35" ht="180">
      <c r="B578" s="1">
        <v>46045</v>
      </c>
      <c r="C578" s="1">
        <v>46045</v>
      </c>
      <c r="D578" t="s">
        <v>4804</v>
      </c>
      <c r="E578" t="s">
        <v>4805</v>
      </c>
      <c r="F578" t="s">
        <v>1181</v>
      </c>
      <c r="G578" t="s">
        <v>1182</v>
      </c>
      <c r="H578" t="s">
        <v>1047</v>
      </c>
      <c r="I578" t="s">
        <v>40</v>
      </c>
      <c r="J578" s="2" t="s">
        <v>62</v>
      </c>
      <c r="K578" t="s">
        <v>42</v>
      </c>
      <c r="L578" t="s">
        <v>80</v>
      </c>
      <c r="N578" t="s">
        <v>81</v>
      </c>
      <c r="Q578">
        <v>31968</v>
      </c>
      <c r="R578" t="s">
        <v>967</v>
      </c>
      <c r="S578" t="s">
        <v>2211</v>
      </c>
      <c r="T578">
        <v>25</v>
      </c>
      <c r="U578" s="2" t="s">
        <v>4806</v>
      </c>
      <c r="W578" t="s">
        <v>84</v>
      </c>
      <c r="X578">
        <v>110023510</v>
      </c>
      <c r="Y578" t="s">
        <v>4807</v>
      </c>
      <c r="Z578" s="2" t="s">
        <v>4808</v>
      </c>
      <c r="AA578" t="s">
        <v>4809</v>
      </c>
      <c r="AB578" s="2" t="s">
        <v>4810</v>
      </c>
      <c r="AG578" t="s">
        <v>4811</v>
      </c>
      <c r="AH578" t="s">
        <v>4812</v>
      </c>
      <c r="AI578" t="s">
        <v>4813</v>
      </c>
    </row>
    <row r="579" spans="2:35" ht="225">
      <c r="B579" s="1">
        <v>46045</v>
      </c>
      <c r="C579" s="1">
        <v>46044</v>
      </c>
      <c r="D579" t="s">
        <v>4814</v>
      </c>
      <c r="E579" t="s">
        <v>4815</v>
      </c>
      <c r="F579" t="s">
        <v>148</v>
      </c>
      <c r="G579" t="s">
        <v>785</v>
      </c>
      <c r="H579" t="s">
        <v>39</v>
      </c>
      <c r="I579" t="s">
        <v>40</v>
      </c>
      <c r="J579" t="s">
        <v>109</v>
      </c>
      <c r="K579" t="s">
        <v>42</v>
      </c>
      <c r="L579" t="s">
        <v>43</v>
      </c>
      <c r="N579" t="s">
        <v>44</v>
      </c>
      <c r="Q579">
        <v>31967</v>
      </c>
      <c r="R579" t="s">
        <v>45</v>
      </c>
      <c r="S579" t="s">
        <v>4816</v>
      </c>
      <c r="T579">
        <v>24</v>
      </c>
      <c r="U579" s="2" t="s">
        <v>4817</v>
      </c>
      <c r="W579" t="s">
        <v>153</v>
      </c>
      <c r="X579">
        <v>1200000495</v>
      </c>
      <c r="Y579" t="s">
        <v>121</v>
      </c>
      <c r="Z579" t="s">
        <v>122</v>
      </c>
      <c r="AA579" s="2" t="s">
        <v>1094</v>
      </c>
      <c r="AB579" t="s">
        <v>4818</v>
      </c>
      <c r="AG579" t="s">
        <v>4819</v>
      </c>
      <c r="AH579" t="s">
        <v>4820</v>
      </c>
      <c r="AI579" t="s">
        <v>4821</v>
      </c>
    </row>
    <row r="580" spans="2:35" ht="285">
      <c r="B580" s="1">
        <v>46045</v>
      </c>
      <c r="C580" s="1">
        <v>46043</v>
      </c>
      <c r="D580" t="s">
        <v>146</v>
      </c>
      <c r="E580" t="s">
        <v>4822</v>
      </c>
      <c r="F580" t="s">
        <v>148</v>
      </c>
      <c r="G580" t="s">
        <v>149</v>
      </c>
      <c r="H580" t="s">
        <v>386</v>
      </c>
      <c r="I580" t="s">
        <v>40</v>
      </c>
      <c r="J580" t="s">
        <v>109</v>
      </c>
      <c r="K580" t="s">
        <v>387</v>
      </c>
      <c r="L580" t="s">
        <v>43</v>
      </c>
      <c r="N580" t="s">
        <v>44</v>
      </c>
      <c r="O580" t="s">
        <v>388</v>
      </c>
      <c r="Q580">
        <v>31962</v>
      </c>
      <c r="R580" t="s">
        <v>95</v>
      </c>
      <c r="S580" t="s">
        <v>4823</v>
      </c>
      <c r="T580">
        <v>24</v>
      </c>
      <c r="W580" t="s">
        <v>390</v>
      </c>
      <c r="X580" t="s">
        <v>391</v>
      </c>
      <c r="Y580" s="2" t="s">
        <v>4824</v>
      </c>
      <c r="Z580" t="s">
        <v>122</v>
      </c>
      <c r="AA580" s="2" t="s">
        <v>4825</v>
      </c>
      <c r="AB580" t="s">
        <v>88</v>
      </c>
      <c r="AC580" t="s">
        <v>4826</v>
      </c>
      <c r="AG580" t="s">
        <v>4827</v>
      </c>
      <c r="AH580" t="s">
        <v>4828</v>
      </c>
      <c r="AI580" t="s">
        <v>4829</v>
      </c>
    </row>
    <row r="581" spans="2:35" ht="255">
      <c r="B581" s="1">
        <v>46045</v>
      </c>
      <c r="C581" s="1">
        <v>46043</v>
      </c>
      <c r="D581" t="s">
        <v>146</v>
      </c>
      <c r="E581" t="s">
        <v>4822</v>
      </c>
      <c r="F581" t="s">
        <v>148</v>
      </c>
      <c r="G581" t="s">
        <v>149</v>
      </c>
      <c r="H581" t="s">
        <v>39</v>
      </c>
      <c r="I581" t="s">
        <v>40</v>
      </c>
      <c r="J581" t="s">
        <v>109</v>
      </c>
      <c r="K581" t="s">
        <v>42</v>
      </c>
      <c r="L581" t="s">
        <v>43</v>
      </c>
      <c r="N581" t="s">
        <v>44</v>
      </c>
      <c r="Q581">
        <v>31963</v>
      </c>
      <c r="R581" t="s">
        <v>95</v>
      </c>
      <c r="S581" t="s">
        <v>151</v>
      </c>
      <c r="T581">
        <v>22</v>
      </c>
      <c r="U581" s="2" t="s">
        <v>4830</v>
      </c>
      <c r="W581" t="s">
        <v>153</v>
      </c>
      <c r="X581">
        <v>110003714</v>
      </c>
      <c r="Y581" t="s">
        <v>121</v>
      </c>
      <c r="Z581" t="s">
        <v>122</v>
      </c>
      <c r="AA581" s="2" t="s">
        <v>4831</v>
      </c>
      <c r="AB581" t="s">
        <v>88</v>
      </c>
      <c r="AG581" t="s">
        <v>4832</v>
      </c>
      <c r="AH581" t="s">
        <v>157</v>
      </c>
      <c r="AI581" t="s">
        <v>4833</v>
      </c>
    </row>
    <row r="582" spans="2:35" ht="225">
      <c r="B582" s="1">
        <v>46045</v>
      </c>
      <c r="C582" s="1">
        <v>46044</v>
      </c>
      <c r="D582" t="s">
        <v>783</v>
      </c>
      <c r="E582" t="s">
        <v>4834</v>
      </c>
      <c r="F582" t="s">
        <v>148</v>
      </c>
      <c r="G582" t="s">
        <v>785</v>
      </c>
      <c r="H582" t="s">
        <v>39</v>
      </c>
      <c r="I582" t="s">
        <v>40</v>
      </c>
      <c r="J582" t="s">
        <v>109</v>
      </c>
      <c r="K582" t="s">
        <v>42</v>
      </c>
      <c r="L582" t="s">
        <v>43</v>
      </c>
      <c r="N582" t="s">
        <v>44</v>
      </c>
      <c r="Q582">
        <v>31964</v>
      </c>
      <c r="R582" t="s">
        <v>322</v>
      </c>
      <c r="S582" t="s">
        <v>786</v>
      </c>
      <c r="T582">
        <v>22</v>
      </c>
      <c r="U582" s="2" t="s">
        <v>4835</v>
      </c>
      <c r="W582" t="s">
        <v>390</v>
      </c>
      <c r="X582">
        <v>110025128</v>
      </c>
      <c r="Y582" t="s">
        <v>121</v>
      </c>
      <c r="Z582" t="s">
        <v>122</v>
      </c>
      <c r="AA582" s="2" t="s">
        <v>3179</v>
      </c>
      <c r="AB582" t="s">
        <v>548</v>
      </c>
      <c r="AG582" t="s">
        <v>4836</v>
      </c>
      <c r="AH582" t="s">
        <v>4837</v>
      </c>
      <c r="AI582" t="s">
        <v>4838</v>
      </c>
    </row>
    <row r="583" spans="2:35" ht="225">
      <c r="B583" s="1">
        <v>46045</v>
      </c>
      <c r="C583" s="1">
        <v>46044</v>
      </c>
      <c r="D583" t="s">
        <v>4839</v>
      </c>
      <c r="E583" t="s">
        <v>4840</v>
      </c>
      <c r="F583" t="s">
        <v>148</v>
      </c>
      <c r="G583" t="s">
        <v>785</v>
      </c>
      <c r="H583" t="s">
        <v>39</v>
      </c>
      <c r="I583" t="s">
        <v>40</v>
      </c>
      <c r="J583" t="s">
        <v>109</v>
      </c>
      <c r="K583" t="s">
        <v>42</v>
      </c>
      <c r="L583" t="s">
        <v>43</v>
      </c>
      <c r="N583" t="s">
        <v>44</v>
      </c>
      <c r="O583" t="s">
        <v>787</v>
      </c>
      <c r="Q583">
        <v>31965</v>
      </c>
      <c r="R583" t="s">
        <v>322</v>
      </c>
      <c r="S583" t="s">
        <v>786</v>
      </c>
      <c r="T583">
        <v>24</v>
      </c>
      <c r="U583" s="2" t="s">
        <v>4841</v>
      </c>
      <c r="W583" t="s">
        <v>153</v>
      </c>
      <c r="X583">
        <v>110025127</v>
      </c>
      <c r="Y583" t="s">
        <v>121</v>
      </c>
      <c r="Z583" t="s">
        <v>122</v>
      </c>
      <c r="AA583" s="2" t="s">
        <v>547</v>
      </c>
      <c r="AB583" t="s">
        <v>548</v>
      </c>
      <c r="AG583" t="s">
        <v>4842</v>
      </c>
      <c r="AH583" t="s">
        <v>4843</v>
      </c>
      <c r="AI583" t="s">
        <v>4844</v>
      </c>
    </row>
    <row r="584" spans="2:35" ht="225">
      <c r="B584" s="1">
        <v>46045</v>
      </c>
      <c r="C584" s="1">
        <v>46044</v>
      </c>
      <c r="D584" t="s">
        <v>4814</v>
      </c>
      <c r="E584" t="s">
        <v>4834</v>
      </c>
      <c r="F584" t="s">
        <v>148</v>
      </c>
      <c r="G584" t="s">
        <v>785</v>
      </c>
      <c r="H584" t="s">
        <v>39</v>
      </c>
      <c r="I584" t="s">
        <v>40</v>
      </c>
      <c r="J584" t="s">
        <v>109</v>
      </c>
      <c r="K584" t="s">
        <v>42</v>
      </c>
      <c r="L584" t="s">
        <v>43</v>
      </c>
      <c r="N584" t="s">
        <v>44</v>
      </c>
      <c r="Q584">
        <v>31966</v>
      </c>
      <c r="R584" t="s">
        <v>45</v>
      </c>
      <c r="S584" t="s">
        <v>4816</v>
      </c>
      <c r="T584">
        <v>24</v>
      </c>
      <c r="U584" s="2" t="s">
        <v>4845</v>
      </c>
      <c r="W584" t="s">
        <v>48</v>
      </c>
      <c r="X584">
        <v>814163</v>
      </c>
      <c r="Y584" t="s">
        <v>121</v>
      </c>
      <c r="Z584" t="s">
        <v>122</v>
      </c>
      <c r="AA584" s="2" t="s">
        <v>1094</v>
      </c>
      <c r="AB584" t="s">
        <v>4846</v>
      </c>
      <c r="AG584" t="s">
        <v>4847</v>
      </c>
      <c r="AH584" t="s">
        <v>4820</v>
      </c>
      <c r="AI584" t="s">
        <v>4848</v>
      </c>
    </row>
    <row r="585" spans="2:35" ht="60">
      <c r="B585" s="1">
        <v>46044</v>
      </c>
      <c r="C585" s="1">
        <v>46044</v>
      </c>
      <c r="D585" t="s">
        <v>4849</v>
      </c>
      <c r="E585" t="s">
        <v>4850</v>
      </c>
      <c r="F585" t="s">
        <v>1255</v>
      </c>
      <c r="G585" t="s">
        <v>4685</v>
      </c>
      <c r="H585" t="s">
        <v>39</v>
      </c>
      <c r="I585" t="s">
        <v>40</v>
      </c>
      <c r="J585" s="2" t="s">
        <v>62</v>
      </c>
      <c r="K585" t="s">
        <v>42</v>
      </c>
      <c r="L585" t="s">
        <v>343</v>
      </c>
      <c r="N585" t="s">
        <v>344</v>
      </c>
      <c r="Q585">
        <v>31961</v>
      </c>
      <c r="R585" t="s">
        <v>1268</v>
      </c>
      <c r="S585" t="s">
        <v>4851</v>
      </c>
      <c r="T585">
        <v>27</v>
      </c>
      <c r="V585" s="1">
        <v>46029</v>
      </c>
      <c r="W585" t="s">
        <v>2949</v>
      </c>
      <c r="X585">
        <v>110023525</v>
      </c>
      <c r="Y585" t="e">
        <f ca="1">-DUE _xludf.For XPC
-CPU frequent shut down</f>
        <v>#NAME?</v>
      </c>
      <c r="Z585" t="e">
        <f ca="1">-XpertCheck CALIBRATION on ALL modules
-Reset internal RAM memory</f>
        <v>#NAME?</v>
      </c>
      <c r="AA585" t="e">
        <f ca="1">-Preventive Maintenance</f>
        <v>#NAME?</v>
      </c>
      <c r="AB585" t="s">
        <v>1467</v>
      </c>
      <c r="AE585" t="s">
        <v>4852</v>
      </c>
      <c r="AG585" t="s">
        <v>4853</v>
      </c>
      <c r="AH585" t="s">
        <v>4854</v>
      </c>
      <c r="AI585" t="s">
        <v>4855</v>
      </c>
    </row>
    <row r="586" spans="2:35" ht="255">
      <c r="B586" s="1">
        <v>46044</v>
      </c>
      <c r="C586" s="1">
        <v>46044</v>
      </c>
      <c r="D586" t="s">
        <v>3423</v>
      </c>
      <c r="E586" t="s">
        <v>3116</v>
      </c>
      <c r="F586">
        <v>7</v>
      </c>
      <c r="G586" t="s">
        <v>432</v>
      </c>
      <c r="H586" t="s">
        <v>386</v>
      </c>
      <c r="I586" t="s">
        <v>40</v>
      </c>
      <c r="J586" t="s">
        <v>79</v>
      </c>
      <c r="K586" t="s">
        <v>387</v>
      </c>
      <c r="L586" t="s">
        <v>610</v>
      </c>
      <c r="N586" t="s">
        <v>611</v>
      </c>
      <c r="O586" t="s">
        <v>3424</v>
      </c>
      <c r="Q586">
        <v>31960</v>
      </c>
      <c r="R586" t="s">
        <v>95</v>
      </c>
      <c r="S586" t="s">
        <v>3424</v>
      </c>
      <c r="T586">
        <v>19</v>
      </c>
      <c r="W586" t="s">
        <v>390</v>
      </c>
      <c r="X586" t="s">
        <v>4856</v>
      </c>
      <c r="Y586" t="s">
        <v>4857</v>
      </c>
      <c r="Z586" s="2" t="s">
        <v>4858</v>
      </c>
      <c r="AA586" s="2" t="s">
        <v>4859</v>
      </c>
      <c r="AB586" t="s">
        <v>4860</v>
      </c>
      <c r="AC586" t="s">
        <v>3116</v>
      </c>
      <c r="AE586" t="s">
        <v>1451</v>
      </c>
      <c r="AG586" t="s">
        <v>4861</v>
      </c>
      <c r="AH586" t="s">
        <v>3429</v>
      </c>
      <c r="AI586" t="s">
        <v>4862</v>
      </c>
    </row>
    <row r="587" spans="2:35" ht="105">
      <c r="B587" s="1">
        <v>46044</v>
      </c>
      <c r="C587" s="1">
        <v>46044</v>
      </c>
      <c r="D587" t="s">
        <v>4863</v>
      </c>
      <c r="E587" t="s">
        <v>4864</v>
      </c>
      <c r="F587" t="s">
        <v>1181</v>
      </c>
      <c r="G587" t="s">
        <v>1182</v>
      </c>
      <c r="H587" t="s">
        <v>61</v>
      </c>
      <c r="I587" t="s">
        <v>40</v>
      </c>
      <c r="J587" s="2" t="s">
        <v>62</v>
      </c>
      <c r="K587" t="s">
        <v>42</v>
      </c>
      <c r="L587" t="s">
        <v>80</v>
      </c>
      <c r="N587" t="s">
        <v>81</v>
      </c>
      <c r="Q587">
        <v>31959</v>
      </c>
      <c r="R587" t="s">
        <v>967</v>
      </c>
      <c r="S587" t="s">
        <v>4865</v>
      </c>
      <c r="T587">
        <v>28</v>
      </c>
      <c r="U587" s="2" t="s">
        <v>4866</v>
      </c>
      <c r="V587" s="1">
        <v>46029</v>
      </c>
      <c r="W587" t="s">
        <v>84</v>
      </c>
      <c r="X587">
        <v>110023509</v>
      </c>
      <c r="Y587" s="2" t="s">
        <v>4867</v>
      </c>
      <c r="Z587" t="s">
        <v>4868</v>
      </c>
      <c r="AA587" s="2" t="s">
        <v>4869</v>
      </c>
      <c r="AB587" s="2" t="s">
        <v>4870</v>
      </c>
      <c r="AC587" t="s">
        <v>103</v>
      </c>
      <c r="AD587" t="s">
        <v>948</v>
      </c>
      <c r="AE587" t="s">
        <v>4871</v>
      </c>
      <c r="AG587" t="s">
        <v>4872</v>
      </c>
      <c r="AH587" t="s">
        <v>4873</v>
      </c>
      <c r="AI587" t="s">
        <v>4874</v>
      </c>
    </row>
    <row r="588" spans="2:35">
      <c r="B588" s="1">
        <v>46044</v>
      </c>
      <c r="C588" s="1">
        <v>46044</v>
      </c>
      <c r="D588" t="s">
        <v>4875</v>
      </c>
      <c r="E588" t="s">
        <v>229</v>
      </c>
      <c r="F588" t="s">
        <v>148</v>
      </c>
      <c r="G588" t="s">
        <v>230</v>
      </c>
      <c r="H588" t="s">
        <v>39</v>
      </c>
      <c r="I588" t="s">
        <v>40</v>
      </c>
      <c r="J588" t="s">
        <v>109</v>
      </c>
      <c r="K588" t="s">
        <v>42</v>
      </c>
      <c r="L588" t="s">
        <v>175</v>
      </c>
      <c r="N588" t="s">
        <v>176</v>
      </c>
      <c r="Q588">
        <v>31958</v>
      </c>
      <c r="R588" t="s">
        <v>45</v>
      </c>
      <c r="S588" t="s">
        <v>4876</v>
      </c>
      <c r="T588">
        <v>27</v>
      </c>
      <c r="W588" t="s">
        <v>84</v>
      </c>
      <c r="X588">
        <v>808625</v>
      </c>
      <c r="Y588" t="s">
        <v>374</v>
      </c>
      <c r="Z588" t="s">
        <v>103</v>
      </c>
      <c r="AA588" t="e">
        <f ca="1">- checked _xludf.and cleaned cartridge bay, plunger rod, _xludf.filter, icore slot
- generated reports
- performed self test</f>
        <v>#NAME?</v>
      </c>
      <c r="AB588" t="s">
        <v>181</v>
      </c>
      <c r="AG588" t="s">
        <v>4877</v>
      </c>
      <c r="AH588" t="s">
        <v>4878</v>
      </c>
      <c r="AI588" t="s">
        <v>4879</v>
      </c>
    </row>
    <row r="589" spans="2:35">
      <c r="B589" s="1">
        <v>46044</v>
      </c>
      <c r="C589" s="1">
        <v>46044</v>
      </c>
      <c r="D589" t="s">
        <v>4875</v>
      </c>
      <c r="E589" t="s">
        <v>229</v>
      </c>
      <c r="F589" t="s">
        <v>148</v>
      </c>
      <c r="G589" t="s">
        <v>230</v>
      </c>
      <c r="H589" t="s">
        <v>39</v>
      </c>
      <c r="I589" t="s">
        <v>40</v>
      </c>
      <c r="J589" t="s">
        <v>109</v>
      </c>
      <c r="K589" t="s">
        <v>42</v>
      </c>
      <c r="L589" t="s">
        <v>175</v>
      </c>
      <c r="N589" t="s">
        <v>176</v>
      </c>
      <c r="Q589">
        <v>31957</v>
      </c>
      <c r="R589" t="s">
        <v>967</v>
      </c>
      <c r="S589" t="s">
        <v>4880</v>
      </c>
      <c r="T589">
        <v>24</v>
      </c>
      <c r="W589" t="s">
        <v>373</v>
      </c>
      <c r="X589">
        <v>120003480</v>
      </c>
      <c r="Y589" t="s">
        <v>374</v>
      </c>
      <c r="Z589" t="s">
        <v>103</v>
      </c>
      <c r="AA589" t="e">
        <f ca="1">- checked _xludf.and cleaned cartridge bay, plunger rod, _xludf.filter
- generated reports
- performed self test</f>
        <v>#NAME?</v>
      </c>
      <c r="AB589" t="s">
        <v>181</v>
      </c>
      <c r="AG589" t="s">
        <v>4881</v>
      </c>
      <c r="AH589" t="s">
        <v>4878</v>
      </c>
      <c r="AI589" t="s">
        <v>4882</v>
      </c>
    </row>
    <row r="590" spans="2:35" ht="270">
      <c r="B590" s="1">
        <v>46043</v>
      </c>
      <c r="C590" s="1">
        <v>46043</v>
      </c>
      <c r="D590" t="s">
        <v>4883</v>
      </c>
      <c r="E590" t="s">
        <v>4884</v>
      </c>
      <c r="F590">
        <v>7</v>
      </c>
      <c r="G590" t="s">
        <v>432</v>
      </c>
      <c r="H590" t="s">
        <v>4885</v>
      </c>
      <c r="I590" t="s">
        <v>40</v>
      </c>
      <c r="J590" t="s">
        <v>321</v>
      </c>
      <c r="K590" t="s">
        <v>42</v>
      </c>
      <c r="L590" t="s">
        <v>594</v>
      </c>
      <c r="N590" t="s">
        <v>595</v>
      </c>
      <c r="O590" t="s">
        <v>595</v>
      </c>
      <c r="Q590">
        <v>31956</v>
      </c>
      <c r="R590" t="s">
        <v>95</v>
      </c>
      <c r="S590" t="s">
        <v>4886</v>
      </c>
      <c r="T590">
        <v>22</v>
      </c>
      <c r="W590" t="s">
        <v>2591</v>
      </c>
      <c r="X590">
        <v>110026843</v>
      </c>
      <c r="Y590" s="2" t="s">
        <v>4887</v>
      </c>
      <c r="Z590" s="2" t="s">
        <v>4888</v>
      </c>
      <c r="AA590" s="2" t="s">
        <v>4889</v>
      </c>
      <c r="AB590" t="s">
        <v>4890</v>
      </c>
      <c r="AG590" t="s">
        <v>4891</v>
      </c>
      <c r="AH590" t="s">
        <v>4892</v>
      </c>
      <c r="AI590" t="s">
        <v>4893</v>
      </c>
    </row>
    <row r="591" spans="2:35" ht="345">
      <c r="B591" s="1">
        <v>46043</v>
      </c>
      <c r="C591" s="1">
        <v>46043</v>
      </c>
      <c r="D591" t="s">
        <v>2470</v>
      </c>
      <c r="E591" t="s">
        <v>229</v>
      </c>
      <c r="F591" t="s">
        <v>148</v>
      </c>
      <c r="G591" t="s">
        <v>230</v>
      </c>
      <c r="H591" t="s">
        <v>513</v>
      </c>
      <c r="I591" t="s">
        <v>40</v>
      </c>
      <c r="J591" t="s">
        <v>109</v>
      </c>
      <c r="K591" t="s">
        <v>387</v>
      </c>
      <c r="L591" t="s">
        <v>175</v>
      </c>
      <c r="N591" t="s">
        <v>176</v>
      </c>
      <c r="Q591">
        <v>31955</v>
      </c>
      <c r="R591" t="s">
        <v>322</v>
      </c>
      <c r="S591" t="s">
        <v>4894</v>
      </c>
      <c r="T591">
        <v>25</v>
      </c>
      <c r="W591" t="s">
        <v>390</v>
      </c>
      <c r="X591" t="s">
        <v>2472</v>
      </c>
      <c r="Y591" t="s">
        <v>374</v>
      </c>
      <c r="Z591" t="s">
        <v>4895</v>
      </c>
      <c r="AA591" s="2" t="s">
        <v>4896</v>
      </c>
      <c r="AB591" t="s">
        <v>181</v>
      </c>
      <c r="AG591" t="s">
        <v>4897</v>
      </c>
      <c r="AH591" t="s">
        <v>4898</v>
      </c>
      <c r="AI591" t="s">
        <v>4899</v>
      </c>
    </row>
    <row r="592" spans="2:35" ht="405">
      <c r="B592" s="1">
        <v>46043</v>
      </c>
      <c r="C592" s="1">
        <v>46043</v>
      </c>
      <c r="D592" t="s">
        <v>4900</v>
      </c>
      <c r="E592" t="s">
        <v>4901</v>
      </c>
      <c r="F592">
        <v>9</v>
      </c>
      <c r="G592" t="s">
        <v>2197</v>
      </c>
      <c r="H592" t="s">
        <v>39</v>
      </c>
      <c r="I592" t="s">
        <v>40</v>
      </c>
      <c r="J592" t="s">
        <v>109</v>
      </c>
      <c r="K592" t="s">
        <v>42</v>
      </c>
      <c r="L592" t="s">
        <v>1257</v>
      </c>
      <c r="N592" t="s">
        <v>1258</v>
      </c>
      <c r="O592" t="s">
        <v>1258</v>
      </c>
      <c r="Q592">
        <v>31954</v>
      </c>
      <c r="R592" t="s">
        <v>95</v>
      </c>
      <c r="S592" t="s">
        <v>4902</v>
      </c>
      <c r="T592">
        <v>26</v>
      </c>
      <c r="U592" s="2" t="s">
        <v>4903</v>
      </c>
      <c r="V592" s="1">
        <v>46043</v>
      </c>
      <c r="W592" t="s">
        <v>4904</v>
      </c>
      <c r="X592">
        <v>834128</v>
      </c>
      <c r="Y592" t="s">
        <v>301</v>
      </c>
      <c r="Z592" t="s">
        <v>4905</v>
      </c>
      <c r="AA592" t="s">
        <v>4905</v>
      </c>
      <c r="AB592" t="s">
        <v>3161</v>
      </c>
      <c r="AC592" t="s">
        <v>301</v>
      </c>
      <c r="AD592" t="s">
        <v>54</v>
      </c>
      <c r="AE592" t="s">
        <v>54</v>
      </c>
      <c r="AG592" t="s">
        <v>4906</v>
      </c>
      <c r="AH592" t="s">
        <v>4907</v>
      </c>
      <c r="AI592" t="s">
        <v>4908</v>
      </c>
    </row>
    <row r="593" spans="2:35" ht="345">
      <c r="B593" s="1">
        <v>46043</v>
      </c>
      <c r="C593" s="1">
        <v>46042</v>
      </c>
      <c r="D593" t="s">
        <v>4909</v>
      </c>
      <c r="E593" t="s">
        <v>4910</v>
      </c>
      <c r="F593" t="s">
        <v>148</v>
      </c>
      <c r="G593" t="s">
        <v>785</v>
      </c>
      <c r="H593" t="s">
        <v>39</v>
      </c>
      <c r="I593" t="s">
        <v>40</v>
      </c>
      <c r="J593" s="2" t="s">
        <v>609</v>
      </c>
      <c r="K593" t="s">
        <v>42</v>
      </c>
      <c r="L593" t="s">
        <v>43</v>
      </c>
      <c r="N593" t="s">
        <v>44</v>
      </c>
      <c r="Q593">
        <v>31953</v>
      </c>
      <c r="R593" t="s">
        <v>322</v>
      </c>
      <c r="S593" t="s">
        <v>4911</v>
      </c>
      <c r="T593">
        <v>22</v>
      </c>
      <c r="U593" s="2" t="s">
        <v>4912</v>
      </c>
      <c r="W593" t="s">
        <v>48</v>
      </c>
      <c r="X593">
        <v>821648</v>
      </c>
      <c r="Y593" t="s">
        <v>4913</v>
      </c>
      <c r="Z593" t="s">
        <v>4914</v>
      </c>
      <c r="AA593" s="2" t="s">
        <v>4915</v>
      </c>
      <c r="AB593" t="s">
        <v>4916</v>
      </c>
      <c r="AG593" t="s">
        <v>4917</v>
      </c>
      <c r="AH593" t="s">
        <v>4918</v>
      </c>
      <c r="AI593" t="s">
        <v>4919</v>
      </c>
    </row>
    <row r="594" spans="2:35" ht="225">
      <c r="B594" s="1">
        <v>46043</v>
      </c>
      <c r="C594" s="1">
        <v>46042</v>
      </c>
      <c r="D594" t="s">
        <v>4920</v>
      </c>
      <c r="E594" t="s">
        <v>4921</v>
      </c>
      <c r="F594" t="s">
        <v>148</v>
      </c>
      <c r="G594" t="s">
        <v>785</v>
      </c>
      <c r="H594" t="s">
        <v>39</v>
      </c>
      <c r="I594" t="s">
        <v>40</v>
      </c>
      <c r="J594" t="s">
        <v>109</v>
      </c>
      <c r="K594" t="s">
        <v>42</v>
      </c>
      <c r="L594" t="s">
        <v>43</v>
      </c>
      <c r="N594" t="s">
        <v>44</v>
      </c>
      <c r="Q594">
        <v>31952</v>
      </c>
      <c r="R594" t="s">
        <v>322</v>
      </c>
      <c r="S594" t="s">
        <v>4922</v>
      </c>
      <c r="T594">
        <v>24</v>
      </c>
      <c r="U594" s="2" t="s">
        <v>4923</v>
      </c>
      <c r="W594" t="s">
        <v>153</v>
      </c>
      <c r="X594">
        <v>110026461</v>
      </c>
      <c r="Y594" t="s">
        <v>121</v>
      </c>
      <c r="Z594" t="s">
        <v>122</v>
      </c>
      <c r="AA594" s="2" t="s">
        <v>1094</v>
      </c>
      <c r="AB594" t="s">
        <v>2887</v>
      </c>
      <c r="AG594" t="s">
        <v>4924</v>
      </c>
      <c r="AH594" t="s">
        <v>4925</v>
      </c>
      <c r="AI594" t="s">
        <v>4926</v>
      </c>
    </row>
    <row r="595" spans="2:35" ht="135">
      <c r="B595" s="1">
        <v>46042</v>
      </c>
      <c r="C595" s="1">
        <v>46038</v>
      </c>
      <c r="D595" t="s">
        <v>4927</v>
      </c>
      <c r="E595" t="s">
        <v>4928</v>
      </c>
      <c r="F595">
        <v>1</v>
      </c>
      <c r="G595" t="s">
        <v>1922</v>
      </c>
      <c r="H595" t="s">
        <v>39</v>
      </c>
      <c r="I595" t="s">
        <v>40</v>
      </c>
      <c r="J595" s="2" t="s">
        <v>62</v>
      </c>
      <c r="K595" t="s">
        <v>42</v>
      </c>
      <c r="L595" t="s">
        <v>1048</v>
      </c>
      <c r="N595" t="s">
        <v>1049</v>
      </c>
      <c r="Q595">
        <v>31951</v>
      </c>
      <c r="R595" t="s">
        <v>967</v>
      </c>
      <c r="S595" t="s">
        <v>4929</v>
      </c>
      <c r="T595">
        <v>27</v>
      </c>
      <c r="V595" s="1">
        <v>46038</v>
      </c>
      <c r="W595" t="s">
        <v>1424</v>
      </c>
      <c r="X595">
        <v>110023500</v>
      </c>
      <c r="Y595" t="s">
        <v>4546</v>
      </c>
      <c r="Z595" t="e">
        <f ca="1">- cleaned cartridge Bays, plunger Rods _xludf.and I-CORE
- performed XpertCheck
- generated reports</f>
        <v>#NAME?</v>
      </c>
      <c r="AA595" t="s">
        <v>4930</v>
      </c>
      <c r="AB595" s="2" t="s">
        <v>4931</v>
      </c>
      <c r="AD595" t="s">
        <v>1958</v>
      </c>
      <c r="AE595" t="s">
        <v>4932</v>
      </c>
      <c r="AG595" t="s">
        <v>4933</v>
      </c>
      <c r="AH595" t="s">
        <v>4934</v>
      </c>
      <c r="AI595" t="s">
        <v>4935</v>
      </c>
    </row>
    <row r="596" spans="2:35">
      <c r="B596" s="1">
        <v>46042</v>
      </c>
      <c r="C596" s="1">
        <v>46038</v>
      </c>
      <c r="D596" t="s">
        <v>4936</v>
      </c>
      <c r="E596" t="s">
        <v>4937</v>
      </c>
      <c r="F596" t="s">
        <v>511</v>
      </c>
      <c r="G596" t="s">
        <v>4938</v>
      </c>
      <c r="H596" t="s">
        <v>39</v>
      </c>
      <c r="I596" t="s">
        <v>40</v>
      </c>
      <c r="J596" t="s">
        <v>109</v>
      </c>
      <c r="K596" t="s">
        <v>42</v>
      </c>
      <c r="L596" t="s">
        <v>1048</v>
      </c>
      <c r="N596" t="s">
        <v>1049</v>
      </c>
      <c r="Q596">
        <v>31950</v>
      </c>
      <c r="R596" t="s">
        <v>45</v>
      </c>
      <c r="S596" t="s">
        <v>4939</v>
      </c>
      <c r="T596">
        <v>26</v>
      </c>
      <c r="W596" t="s">
        <v>1424</v>
      </c>
      <c r="X596">
        <v>110019619</v>
      </c>
      <c r="Y596" t="s">
        <v>1052</v>
      </c>
      <c r="Z596" t="e">
        <f ca="1">- cleaned cartridge Bays, plunger Rods _xludf.and I-CORE
- generated reports</f>
        <v>#NAME?</v>
      </c>
      <c r="AA596" t="s">
        <v>820</v>
      </c>
      <c r="AB596" t="s">
        <v>1428</v>
      </c>
      <c r="AG596" t="s">
        <v>4940</v>
      </c>
      <c r="AH596" t="s">
        <v>4941</v>
      </c>
      <c r="AI596" t="s">
        <v>4942</v>
      </c>
    </row>
    <row r="597" spans="2:35" ht="135">
      <c r="B597" s="1">
        <v>46042</v>
      </c>
      <c r="C597" s="1">
        <v>46038</v>
      </c>
      <c r="D597" t="s">
        <v>4936</v>
      </c>
      <c r="E597" t="s">
        <v>4937</v>
      </c>
      <c r="F597" t="s">
        <v>511</v>
      </c>
      <c r="G597" t="s">
        <v>4938</v>
      </c>
      <c r="H597" t="s">
        <v>39</v>
      </c>
      <c r="I597" t="s">
        <v>40</v>
      </c>
      <c r="J597" s="2" t="s">
        <v>62</v>
      </c>
      <c r="K597" t="s">
        <v>42</v>
      </c>
      <c r="L597" t="s">
        <v>1048</v>
      </c>
      <c r="N597" t="s">
        <v>1049</v>
      </c>
      <c r="Q597">
        <v>31949</v>
      </c>
      <c r="R597" t="s">
        <v>967</v>
      </c>
      <c r="S597" t="s">
        <v>4939</v>
      </c>
      <c r="T597">
        <v>28</v>
      </c>
      <c r="V597" s="1">
        <v>46028</v>
      </c>
      <c r="W597" t="s">
        <v>1424</v>
      </c>
      <c r="X597">
        <v>110023499</v>
      </c>
      <c r="Y597" t="s">
        <v>4546</v>
      </c>
      <c r="Z597" t="e">
        <f ca="1">- cleaned cartridge Bays, plunger Rods _xludf.and I-CORE
- performed XpertCheck
- generated reports</f>
        <v>#NAME?</v>
      </c>
      <c r="AA597" t="s">
        <v>4930</v>
      </c>
      <c r="AB597" s="2" t="s">
        <v>4931</v>
      </c>
      <c r="AD597" t="s">
        <v>1958</v>
      </c>
      <c r="AE597" t="s">
        <v>4943</v>
      </c>
      <c r="AG597" t="s">
        <v>4944</v>
      </c>
      <c r="AH597" t="s">
        <v>4941</v>
      </c>
      <c r="AI597" t="s">
        <v>4945</v>
      </c>
    </row>
    <row r="598" spans="2:35" ht="60">
      <c r="B598" s="1">
        <v>46042</v>
      </c>
      <c r="C598" s="1">
        <v>46037</v>
      </c>
      <c r="D598" t="s">
        <v>1420</v>
      </c>
      <c r="E598" t="s">
        <v>1456</v>
      </c>
      <c r="F598" t="s">
        <v>511</v>
      </c>
      <c r="G598" t="s">
        <v>512</v>
      </c>
      <c r="H598" t="s">
        <v>1047</v>
      </c>
      <c r="I598" t="s">
        <v>40</v>
      </c>
      <c r="J598" s="2" t="s">
        <v>62</v>
      </c>
      <c r="K598" t="s">
        <v>42</v>
      </c>
      <c r="L598" t="s">
        <v>1048</v>
      </c>
      <c r="N598" t="s">
        <v>1049</v>
      </c>
      <c r="Q598">
        <v>31948</v>
      </c>
      <c r="R598" t="s">
        <v>967</v>
      </c>
      <c r="S598" t="s">
        <v>1423</v>
      </c>
      <c r="T598">
        <v>28</v>
      </c>
      <c r="V598" s="1">
        <v>46028</v>
      </c>
      <c r="W598" t="s">
        <v>1424</v>
      </c>
      <c r="X598">
        <v>110023498</v>
      </c>
      <c r="Y598" t="s">
        <v>4546</v>
      </c>
      <c r="Z598" t="e">
        <f ca="1">- cleaned cartridge Bays, plunger Rods _xludf.and I-CORE
- performed XpertCheck
- generated reports</f>
        <v>#NAME?</v>
      </c>
      <c r="AA598" t="s">
        <v>4930</v>
      </c>
      <c r="AB598" t="e">
        <f ca="1">- ALL modules passed XpertCheck
- Unit is Fully operational</f>
        <v>#NAME?</v>
      </c>
      <c r="AD598" t="s">
        <v>1958</v>
      </c>
      <c r="AE598" t="s">
        <v>4946</v>
      </c>
      <c r="AG598" t="s">
        <v>4947</v>
      </c>
      <c r="AH598" t="s">
        <v>1430</v>
      </c>
      <c r="AI598" t="s">
        <v>4948</v>
      </c>
    </row>
    <row r="599" spans="2:35">
      <c r="B599" s="1">
        <v>46042</v>
      </c>
      <c r="C599" s="1">
        <v>46037</v>
      </c>
      <c r="D599" t="s">
        <v>1420</v>
      </c>
      <c r="E599" t="s">
        <v>1456</v>
      </c>
      <c r="F599">
        <v>1</v>
      </c>
      <c r="G599" t="s">
        <v>512</v>
      </c>
      <c r="H599" t="s">
        <v>1047</v>
      </c>
      <c r="I599" t="s">
        <v>40</v>
      </c>
      <c r="J599" t="s">
        <v>109</v>
      </c>
      <c r="K599" t="s">
        <v>42</v>
      </c>
      <c r="L599" t="s">
        <v>1048</v>
      </c>
      <c r="N599" t="s">
        <v>1049</v>
      </c>
      <c r="Q599">
        <v>31947</v>
      </c>
      <c r="R599" t="s">
        <v>45</v>
      </c>
      <c r="S599" t="s">
        <v>1423</v>
      </c>
      <c r="T599">
        <v>29</v>
      </c>
      <c r="W599" t="s">
        <v>1051</v>
      </c>
      <c r="X599">
        <v>807621</v>
      </c>
      <c r="Y599" t="s">
        <v>1052</v>
      </c>
      <c r="Z599" t="e">
        <f ca="1">- cleaned cartridge Bays, plunger Rods _xludf.and I-CORE
- generated reports</f>
        <v>#NAME?</v>
      </c>
      <c r="AA599" t="s">
        <v>4949</v>
      </c>
      <c r="AB599" t="s">
        <v>4950</v>
      </c>
      <c r="AG599" t="s">
        <v>4951</v>
      </c>
      <c r="AH599" t="s">
        <v>1430</v>
      </c>
      <c r="AI599" t="s">
        <v>4952</v>
      </c>
    </row>
    <row r="600" spans="2:35" ht="120">
      <c r="B600" s="1">
        <v>46042</v>
      </c>
      <c r="C600" s="1">
        <v>46035</v>
      </c>
      <c r="D600" t="s">
        <v>4953</v>
      </c>
      <c r="E600" t="s">
        <v>4954</v>
      </c>
      <c r="F600">
        <v>1</v>
      </c>
      <c r="G600" t="s">
        <v>1046</v>
      </c>
      <c r="H600" t="s">
        <v>39</v>
      </c>
      <c r="I600" t="s">
        <v>40</v>
      </c>
      <c r="J600" t="s">
        <v>109</v>
      </c>
      <c r="K600" t="s">
        <v>42</v>
      </c>
      <c r="L600" t="s">
        <v>1048</v>
      </c>
      <c r="N600" t="s">
        <v>1049</v>
      </c>
      <c r="Q600">
        <v>31946</v>
      </c>
      <c r="R600" t="s">
        <v>119</v>
      </c>
      <c r="S600" t="s">
        <v>4955</v>
      </c>
      <c r="T600">
        <v>29</v>
      </c>
      <c r="W600" t="s">
        <v>1051</v>
      </c>
      <c r="X600">
        <v>838437</v>
      </c>
      <c r="Y600" t="s">
        <v>1052</v>
      </c>
      <c r="Z600" t="e">
        <f ca="1">- cleaned cartridge Bays, plunger Rods _xludf.and I-CORE
- generated reports</f>
        <v>#NAME?</v>
      </c>
      <c r="AA600" t="s">
        <v>820</v>
      </c>
      <c r="AB600" s="2" t="s">
        <v>4956</v>
      </c>
      <c r="AG600" t="s">
        <v>4957</v>
      </c>
      <c r="AH600" t="s">
        <v>4958</v>
      </c>
      <c r="AI600" t="s">
        <v>4959</v>
      </c>
    </row>
    <row r="601" spans="2:35" ht="105">
      <c r="B601" s="1">
        <v>46042</v>
      </c>
      <c r="C601" s="1">
        <v>46030</v>
      </c>
      <c r="D601" t="s">
        <v>1057</v>
      </c>
      <c r="E601" t="s">
        <v>1058</v>
      </c>
      <c r="F601">
        <v>1</v>
      </c>
      <c r="G601" t="s">
        <v>1046</v>
      </c>
      <c r="H601" t="s">
        <v>39</v>
      </c>
      <c r="I601" t="s">
        <v>40</v>
      </c>
      <c r="J601" t="s">
        <v>109</v>
      </c>
      <c r="K601" t="s">
        <v>42</v>
      </c>
      <c r="L601" t="s">
        <v>1048</v>
      </c>
      <c r="N601" t="s">
        <v>1049</v>
      </c>
      <c r="Q601">
        <v>31945</v>
      </c>
      <c r="R601" t="s">
        <v>95</v>
      </c>
      <c r="S601" t="s">
        <v>1059</v>
      </c>
      <c r="T601">
        <v>30</v>
      </c>
      <c r="W601" t="s">
        <v>1051</v>
      </c>
      <c r="X601">
        <v>820303</v>
      </c>
      <c r="Y601" t="s">
        <v>1052</v>
      </c>
      <c r="Z601" t="e">
        <f ca="1">- cleaned cartridge Bays, plunger Rods _xludf.and I-CORE
- generated reports</f>
        <v>#NAME?</v>
      </c>
      <c r="AA601" t="s">
        <v>820</v>
      </c>
      <c r="AB601" s="2" t="s">
        <v>3391</v>
      </c>
      <c r="AG601" t="s">
        <v>4960</v>
      </c>
      <c r="AH601" t="s">
        <v>3393</v>
      </c>
      <c r="AI601" t="s">
        <v>4961</v>
      </c>
    </row>
    <row r="602" spans="2:35" ht="409.5">
      <c r="B602" s="1">
        <v>46042</v>
      </c>
      <c r="C602" s="1">
        <v>46042</v>
      </c>
      <c r="D602" t="s">
        <v>3897</v>
      </c>
      <c r="E602" t="s">
        <v>3140</v>
      </c>
      <c r="F602">
        <v>3</v>
      </c>
      <c r="G602" t="s">
        <v>174</v>
      </c>
      <c r="H602" t="s">
        <v>39</v>
      </c>
      <c r="I602" t="s">
        <v>40</v>
      </c>
      <c r="J602" t="s">
        <v>79</v>
      </c>
      <c r="K602" t="s">
        <v>42</v>
      </c>
      <c r="L602" t="s">
        <v>175</v>
      </c>
      <c r="N602" t="s">
        <v>176</v>
      </c>
      <c r="Q602">
        <v>31944</v>
      </c>
      <c r="R602" t="s">
        <v>95</v>
      </c>
      <c r="S602" t="s">
        <v>3898</v>
      </c>
      <c r="T602">
        <v>25</v>
      </c>
      <c r="W602" t="s">
        <v>84</v>
      </c>
      <c r="X602">
        <v>11008530</v>
      </c>
      <c r="Y602" t="s">
        <v>4962</v>
      </c>
      <c r="Z602" s="2" t="s">
        <v>4963</v>
      </c>
      <c r="AA602" s="2" t="s">
        <v>4964</v>
      </c>
      <c r="AB602" s="2" t="s">
        <v>4965</v>
      </c>
      <c r="AG602" t="s">
        <v>4966</v>
      </c>
      <c r="AH602" t="s">
        <v>3903</v>
      </c>
      <c r="AI602" t="s">
        <v>4967</v>
      </c>
    </row>
    <row r="603" spans="2:35" ht="409.5">
      <c r="B603" s="1">
        <v>46042</v>
      </c>
      <c r="C603" s="1">
        <v>46042</v>
      </c>
      <c r="D603" t="s">
        <v>4968</v>
      </c>
      <c r="E603" t="s">
        <v>4969</v>
      </c>
      <c r="F603">
        <v>11</v>
      </c>
      <c r="G603" t="s">
        <v>4297</v>
      </c>
      <c r="H603" t="s">
        <v>202</v>
      </c>
      <c r="I603" t="s">
        <v>40</v>
      </c>
      <c r="J603" s="2" t="s">
        <v>41</v>
      </c>
      <c r="K603" t="s">
        <v>42</v>
      </c>
      <c r="L603" t="s">
        <v>204</v>
      </c>
      <c r="N603" t="s">
        <v>205</v>
      </c>
      <c r="O603" t="s">
        <v>4970</v>
      </c>
      <c r="Q603">
        <v>31943</v>
      </c>
      <c r="R603" t="s">
        <v>119</v>
      </c>
      <c r="S603" t="s">
        <v>4970</v>
      </c>
      <c r="T603">
        <v>29.5</v>
      </c>
      <c r="U603" s="2" t="s">
        <v>4971</v>
      </c>
      <c r="V603" s="1">
        <v>45975</v>
      </c>
      <c r="W603" t="s">
        <v>208</v>
      </c>
      <c r="X603">
        <v>837614</v>
      </c>
      <c r="Y603" t="s">
        <v>4972</v>
      </c>
      <c r="Z603" s="2" t="s">
        <v>4973</v>
      </c>
      <c r="AA603" s="2" t="s">
        <v>4974</v>
      </c>
      <c r="AB603" t="s">
        <v>4975</v>
      </c>
      <c r="AC603" t="s">
        <v>4976</v>
      </c>
      <c r="AD603" t="s">
        <v>4977</v>
      </c>
      <c r="AE603" t="s">
        <v>4978</v>
      </c>
      <c r="AG603" t="s">
        <v>4979</v>
      </c>
      <c r="AH603" t="s">
        <v>4980</v>
      </c>
      <c r="AI603" t="s">
        <v>4981</v>
      </c>
    </row>
    <row r="604" spans="2:35" ht="195">
      <c r="B604" s="1">
        <v>46041</v>
      </c>
      <c r="C604" s="1">
        <v>46035</v>
      </c>
      <c r="D604" t="s">
        <v>4982</v>
      </c>
      <c r="E604" t="s">
        <v>4126</v>
      </c>
      <c r="F604">
        <v>5</v>
      </c>
      <c r="G604" t="s">
        <v>759</v>
      </c>
      <c r="H604" t="s">
        <v>39</v>
      </c>
      <c r="I604" t="s">
        <v>94</v>
      </c>
      <c r="J604" t="s">
        <v>109</v>
      </c>
      <c r="K604" t="s">
        <v>42</v>
      </c>
      <c r="L604" t="s">
        <v>761</v>
      </c>
      <c r="N604" t="s">
        <v>762</v>
      </c>
      <c r="Q604">
        <v>31942</v>
      </c>
      <c r="R604" t="s">
        <v>45</v>
      </c>
      <c r="S604" t="s">
        <v>4983</v>
      </c>
      <c r="T604">
        <v>27</v>
      </c>
      <c r="U604" s="2" t="s">
        <v>4984</v>
      </c>
      <c r="W604" t="s">
        <v>817</v>
      </c>
      <c r="X604">
        <v>110016954</v>
      </c>
      <c r="Y604" t="s">
        <v>818</v>
      </c>
      <c r="Z604" s="2" t="s">
        <v>1415</v>
      </c>
      <c r="AA604" t="s">
        <v>820</v>
      </c>
      <c r="AB604" s="2" t="s">
        <v>2996</v>
      </c>
      <c r="AG604" t="s">
        <v>4985</v>
      </c>
      <c r="AH604" t="s">
        <v>4986</v>
      </c>
      <c r="AI604" t="s">
        <v>4987</v>
      </c>
    </row>
    <row r="605" spans="2:35" ht="210">
      <c r="B605" s="1">
        <v>46041</v>
      </c>
      <c r="C605" s="1">
        <v>46035</v>
      </c>
      <c r="D605" t="s">
        <v>4982</v>
      </c>
      <c r="E605" t="s">
        <v>4126</v>
      </c>
      <c r="F605">
        <v>5</v>
      </c>
      <c r="G605" t="s">
        <v>759</v>
      </c>
      <c r="H605" t="s">
        <v>39</v>
      </c>
      <c r="I605" t="s">
        <v>94</v>
      </c>
      <c r="J605" t="s">
        <v>109</v>
      </c>
      <c r="K605" t="s">
        <v>42</v>
      </c>
      <c r="L605" t="s">
        <v>761</v>
      </c>
      <c r="N605" t="s">
        <v>762</v>
      </c>
      <c r="Q605">
        <v>31941</v>
      </c>
      <c r="R605" t="s">
        <v>45</v>
      </c>
      <c r="S605" t="s">
        <v>4983</v>
      </c>
      <c r="T605">
        <v>28</v>
      </c>
      <c r="U605" s="2" t="s">
        <v>4988</v>
      </c>
      <c r="W605" t="s">
        <v>765</v>
      </c>
      <c r="X605">
        <v>808636</v>
      </c>
      <c r="Y605" t="s">
        <v>818</v>
      </c>
      <c r="Z605" s="2" t="s">
        <v>1415</v>
      </c>
      <c r="AA605" t="s">
        <v>820</v>
      </c>
      <c r="AB605" s="2" t="s">
        <v>2996</v>
      </c>
      <c r="AG605" t="s">
        <v>4989</v>
      </c>
      <c r="AH605" t="s">
        <v>4986</v>
      </c>
      <c r="AI605" t="s">
        <v>4990</v>
      </c>
    </row>
    <row r="606" spans="2:35" ht="210">
      <c r="B606" s="1">
        <v>46041</v>
      </c>
      <c r="C606" s="1">
        <v>46035</v>
      </c>
      <c r="D606" t="s">
        <v>4982</v>
      </c>
      <c r="E606" t="s">
        <v>4126</v>
      </c>
      <c r="F606">
        <v>5</v>
      </c>
      <c r="G606" t="s">
        <v>759</v>
      </c>
      <c r="H606" t="s">
        <v>39</v>
      </c>
      <c r="I606" t="s">
        <v>94</v>
      </c>
      <c r="J606" t="s">
        <v>109</v>
      </c>
      <c r="K606" t="s">
        <v>42</v>
      </c>
      <c r="L606" t="s">
        <v>761</v>
      </c>
      <c r="N606" t="s">
        <v>762</v>
      </c>
      <c r="Q606">
        <v>31940</v>
      </c>
      <c r="R606" t="s">
        <v>45</v>
      </c>
      <c r="S606" t="s">
        <v>4983</v>
      </c>
      <c r="T606">
        <v>27</v>
      </c>
      <c r="U606" s="2" t="s">
        <v>4991</v>
      </c>
      <c r="W606" t="s">
        <v>765</v>
      </c>
      <c r="X606">
        <v>807579</v>
      </c>
      <c r="Y606" t="s">
        <v>818</v>
      </c>
      <c r="Z606" s="2" t="s">
        <v>4992</v>
      </c>
      <c r="AA606" t="s">
        <v>820</v>
      </c>
      <c r="AB606" s="2" t="s">
        <v>2996</v>
      </c>
      <c r="AG606" t="s">
        <v>4993</v>
      </c>
      <c r="AH606" t="s">
        <v>4986</v>
      </c>
      <c r="AI606" t="s">
        <v>4994</v>
      </c>
    </row>
    <row r="607" spans="2:35" ht="225">
      <c r="B607" s="1">
        <v>46041</v>
      </c>
      <c r="C607" s="1">
        <v>46036</v>
      </c>
      <c r="D607" t="s">
        <v>4995</v>
      </c>
      <c r="E607" t="s">
        <v>4996</v>
      </c>
      <c r="F607">
        <v>5</v>
      </c>
      <c r="G607" t="s">
        <v>759</v>
      </c>
      <c r="H607" t="s">
        <v>39</v>
      </c>
      <c r="I607" t="s">
        <v>94</v>
      </c>
      <c r="J607" s="2" t="s">
        <v>190</v>
      </c>
      <c r="K607" t="s">
        <v>42</v>
      </c>
      <c r="L607" t="s">
        <v>761</v>
      </c>
      <c r="N607" t="s">
        <v>762</v>
      </c>
      <c r="Q607">
        <v>31939</v>
      </c>
      <c r="R607" t="s">
        <v>719</v>
      </c>
      <c r="S607" t="s">
        <v>4997</v>
      </c>
      <c r="T607">
        <v>27</v>
      </c>
      <c r="U607" s="2" t="s">
        <v>4998</v>
      </c>
      <c r="W607" t="s">
        <v>765</v>
      </c>
      <c r="X607">
        <v>846354</v>
      </c>
      <c r="Y607" s="2" t="s">
        <v>4999</v>
      </c>
      <c r="Z607" s="2" t="s">
        <v>5000</v>
      </c>
      <c r="AA607" s="2" t="s">
        <v>3517</v>
      </c>
      <c r="AB607" s="2" t="s">
        <v>2996</v>
      </c>
      <c r="AG607" t="s">
        <v>5001</v>
      </c>
      <c r="AH607" t="s">
        <v>5002</v>
      </c>
      <c r="AI607" t="s">
        <v>5003</v>
      </c>
    </row>
    <row r="608" spans="2:35" ht="390">
      <c r="B608" s="1">
        <v>46041</v>
      </c>
      <c r="C608" s="1">
        <v>46038</v>
      </c>
      <c r="D608" t="s">
        <v>1145</v>
      </c>
      <c r="E608" t="s">
        <v>473</v>
      </c>
      <c r="F608" t="s">
        <v>148</v>
      </c>
      <c r="G608" t="s">
        <v>447</v>
      </c>
      <c r="H608" t="s">
        <v>386</v>
      </c>
      <c r="I608" t="s">
        <v>40</v>
      </c>
      <c r="J608" t="s">
        <v>109</v>
      </c>
      <c r="K608" t="s">
        <v>387</v>
      </c>
      <c r="L608" t="s">
        <v>448</v>
      </c>
      <c r="N608" t="s">
        <v>650</v>
      </c>
      <c r="Q608">
        <v>31938</v>
      </c>
      <c r="R608" t="s">
        <v>322</v>
      </c>
      <c r="S608" t="s">
        <v>5004</v>
      </c>
      <c r="T608">
        <v>26</v>
      </c>
      <c r="W608" t="s">
        <v>476</v>
      </c>
      <c r="X608" t="s">
        <v>5005</v>
      </c>
      <c r="Y608" s="2" t="s">
        <v>5006</v>
      </c>
      <c r="Z608" s="2" t="s">
        <v>5007</v>
      </c>
      <c r="AA608" t="s">
        <v>122</v>
      </c>
      <c r="AB608" t="s">
        <v>5008</v>
      </c>
      <c r="AG608" t="s">
        <v>5009</v>
      </c>
      <c r="AH608" t="s">
        <v>5010</v>
      </c>
      <c r="AI608" t="s">
        <v>5011</v>
      </c>
    </row>
    <row r="609" spans="2:35" ht="285">
      <c r="B609" s="1">
        <v>46041</v>
      </c>
      <c r="C609" s="1">
        <v>46037</v>
      </c>
      <c r="D609" t="s">
        <v>472</v>
      </c>
      <c r="E609" t="s">
        <v>473</v>
      </c>
      <c r="F609" t="s">
        <v>148</v>
      </c>
      <c r="G609" t="s">
        <v>447</v>
      </c>
      <c r="H609" t="s">
        <v>5012</v>
      </c>
      <c r="I609" t="s">
        <v>40</v>
      </c>
      <c r="J609" t="s">
        <v>525</v>
      </c>
      <c r="K609" t="s">
        <v>387</v>
      </c>
      <c r="L609" t="s">
        <v>448</v>
      </c>
      <c r="N609" t="s">
        <v>650</v>
      </c>
      <c r="Q609">
        <v>31937</v>
      </c>
      <c r="R609" t="s">
        <v>322</v>
      </c>
      <c r="S609" t="s">
        <v>475</v>
      </c>
      <c r="T609">
        <v>26</v>
      </c>
      <c r="W609" t="s">
        <v>390</v>
      </c>
      <c r="X609" t="s">
        <v>484</v>
      </c>
      <c r="Y609" t="s">
        <v>5013</v>
      </c>
      <c r="Z609" s="2" t="s">
        <v>5014</v>
      </c>
      <c r="AA609" t="s">
        <v>768</v>
      </c>
      <c r="AB609" t="s">
        <v>4741</v>
      </c>
      <c r="AG609" t="s">
        <v>5015</v>
      </c>
      <c r="AH609" t="s">
        <v>482</v>
      </c>
      <c r="AI609" t="s">
        <v>5016</v>
      </c>
    </row>
    <row r="610" spans="2:35" ht="409.5">
      <c r="B610" s="1">
        <v>46040</v>
      </c>
      <c r="C610" s="1">
        <v>46036</v>
      </c>
      <c r="D610" t="s">
        <v>5017</v>
      </c>
      <c r="E610" t="s">
        <v>5018</v>
      </c>
      <c r="F610">
        <v>12</v>
      </c>
      <c r="G610" t="s">
        <v>978</v>
      </c>
      <c r="H610" t="s">
        <v>1473</v>
      </c>
      <c r="I610" t="s">
        <v>40</v>
      </c>
      <c r="J610" s="2" t="s">
        <v>41</v>
      </c>
      <c r="K610" t="s">
        <v>42</v>
      </c>
      <c r="L610" t="s">
        <v>296</v>
      </c>
      <c r="N610" t="s">
        <v>297</v>
      </c>
      <c r="Q610">
        <v>31936</v>
      </c>
      <c r="R610" t="s">
        <v>119</v>
      </c>
      <c r="S610" t="s">
        <v>5019</v>
      </c>
      <c r="T610">
        <v>24.7</v>
      </c>
      <c r="U610" s="2" t="s">
        <v>5020</v>
      </c>
      <c r="V610" s="1">
        <v>46036</v>
      </c>
      <c r="W610" t="s">
        <v>981</v>
      </c>
      <c r="X610">
        <v>838569</v>
      </c>
      <c r="Y610" t="s">
        <v>301</v>
      </c>
      <c r="Z610" s="2" t="s">
        <v>5021</v>
      </c>
      <c r="AA610" s="2" t="s">
        <v>5022</v>
      </c>
      <c r="AB610" t="s">
        <v>972</v>
      </c>
      <c r="AD610" s="2" t="s">
        <v>5023</v>
      </c>
      <c r="AE610" t="s">
        <v>5024</v>
      </c>
      <c r="AG610" t="s">
        <v>5025</v>
      </c>
      <c r="AH610" t="s">
        <v>5026</v>
      </c>
      <c r="AI610" t="s">
        <v>5027</v>
      </c>
    </row>
    <row r="611" spans="2:35" ht="409.5">
      <c r="B611" s="1">
        <v>46040</v>
      </c>
      <c r="C611" s="1">
        <v>46035</v>
      </c>
      <c r="D611" t="s">
        <v>5028</v>
      </c>
      <c r="E611" t="s">
        <v>5029</v>
      </c>
      <c r="F611">
        <v>12</v>
      </c>
      <c r="G611" t="s">
        <v>978</v>
      </c>
      <c r="H611" t="s">
        <v>1473</v>
      </c>
      <c r="I611" t="s">
        <v>40</v>
      </c>
      <c r="J611" s="2" t="s">
        <v>190</v>
      </c>
      <c r="K611" t="s">
        <v>42</v>
      </c>
      <c r="L611" t="s">
        <v>296</v>
      </c>
      <c r="N611" t="s">
        <v>297</v>
      </c>
      <c r="Q611">
        <v>31935</v>
      </c>
      <c r="R611" t="s">
        <v>322</v>
      </c>
      <c r="S611" t="s">
        <v>5030</v>
      </c>
      <c r="T611">
        <v>29.4</v>
      </c>
      <c r="U611" s="2" t="s">
        <v>5031</v>
      </c>
      <c r="W611" t="s">
        <v>5032</v>
      </c>
      <c r="X611">
        <v>839314</v>
      </c>
      <c r="Y611" t="s">
        <v>5033</v>
      </c>
      <c r="Z611" s="2" t="s">
        <v>5034</v>
      </c>
      <c r="AA611" s="2" t="s">
        <v>5035</v>
      </c>
      <c r="AB611" t="s">
        <v>5036</v>
      </c>
      <c r="AG611" t="s">
        <v>5037</v>
      </c>
      <c r="AH611" t="s">
        <v>5038</v>
      </c>
      <c r="AI611" t="s">
        <v>5039</v>
      </c>
    </row>
    <row r="612" spans="2:35" ht="375">
      <c r="B612" s="1">
        <v>46040</v>
      </c>
      <c r="C612" s="1">
        <v>46037</v>
      </c>
      <c r="D612" t="s">
        <v>5040</v>
      </c>
      <c r="E612" t="s">
        <v>5041</v>
      </c>
      <c r="F612">
        <v>12</v>
      </c>
      <c r="G612" t="s">
        <v>978</v>
      </c>
      <c r="H612" t="s">
        <v>5042</v>
      </c>
      <c r="I612" t="s">
        <v>40</v>
      </c>
      <c r="J612" t="s">
        <v>109</v>
      </c>
      <c r="K612" t="s">
        <v>42</v>
      </c>
      <c r="L612" t="s">
        <v>296</v>
      </c>
      <c r="N612" t="s">
        <v>297</v>
      </c>
      <c r="Q612">
        <v>31934</v>
      </c>
      <c r="R612" t="s">
        <v>95</v>
      </c>
      <c r="S612" t="s">
        <v>5043</v>
      </c>
      <c r="T612">
        <v>23.4</v>
      </c>
      <c r="U612" s="2" t="s">
        <v>5044</v>
      </c>
      <c r="W612" t="s">
        <v>981</v>
      </c>
      <c r="X612">
        <v>831313</v>
      </c>
      <c r="Y612" t="s">
        <v>5045</v>
      </c>
      <c r="Z612" s="2" t="s">
        <v>5046</v>
      </c>
      <c r="AA612" t="s">
        <v>303</v>
      </c>
      <c r="AB612" t="s">
        <v>5047</v>
      </c>
      <c r="AG612" t="s">
        <v>5048</v>
      </c>
      <c r="AH612" t="s">
        <v>5049</v>
      </c>
      <c r="AI612" t="s">
        <v>5050</v>
      </c>
    </row>
    <row r="613" spans="2:35" ht="195">
      <c r="B613" s="1">
        <v>46039</v>
      </c>
      <c r="C613" s="1">
        <v>46038</v>
      </c>
      <c r="D613" t="s">
        <v>3521</v>
      </c>
      <c r="E613" t="s">
        <v>3522</v>
      </c>
      <c r="F613">
        <v>7</v>
      </c>
      <c r="G613" t="s">
        <v>269</v>
      </c>
      <c r="H613" t="s">
        <v>39</v>
      </c>
      <c r="I613" t="s">
        <v>40</v>
      </c>
      <c r="J613" s="2" t="s">
        <v>62</v>
      </c>
      <c r="K613" t="s">
        <v>42</v>
      </c>
      <c r="L613" t="s">
        <v>270</v>
      </c>
      <c r="N613" t="s">
        <v>2481</v>
      </c>
      <c r="O613" t="s">
        <v>2481</v>
      </c>
      <c r="Q613">
        <v>31933</v>
      </c>
      <c r="R613" t="s">
        <v>967</v>
      </c>
      <c r="S613" t="s">
        <v>5051</v>
      </c>
      <c r="T613">
        <v>25</v>
      </c>
      <c r="U613" s="2" t="s">
        <v>5052</v>
      </c>
      <c r="V613" s="1">
        <v>46029</v>
      </c>
      <c r="W613" t="s">
        <v>2591</v>
      </c>
      <c r="X613">
        <v>110023502</v>
      </c>
      <c r="Y613" t="s">
        <v>67</v>
      </c>
      <c r="Z613" t="s">
        <v>5053</v>
      </c>
      <c r="AA613" t="s">
        <v>5054</v>
      </c>
      <c r="AB613" s="2" t="s">
        <v>5055</v>
      </c>
      <c r="AD613" t="s">
        <v>5056</v>
      </c>
      <c r="AE613">
        <v>5470</v>
      </c>
      <c r="AG613" t="s">
        <v>5057</v>
      </c>
      <c r="AH613" t="s">
        <v>5058</v>
      </c>
      <c r="AI613" t="s">
        <v>5059</v>
      </c>
    </row>
    <row r="614" spans="2:35" ht="360">
      <c r="B614" s="1">
        <v>46038</v>
      </c>
      <c r="C614" s="1">
        <v>46038</v>
      </c>
      <c r="D614" t="s">
        <v>5060</v>
      </c>
      <c r="E614" t="s">
        <v>5061</v>
      </c>
      <c r="F614">
        <v>3</v>
      </c>
      <c r="G614" t="s">
        <v>284</v>
      </c>
      <c r="H614" t="s">
        <v>61</v>
      </c>
      <c r="I614" t="s">
        <v>40</v>
      </c>
      <c r="J614" t="s">
        <v>109</v>
      </c>
      <c r="K614" t="s">
        <v>42</v>
      </c>
      <c r="L614" t="s">
        <v>135</v>
      </c>
      <c r="N614" t="s">
        <v>136</v>
      </c>
      <c r="Q614">
        <v>31932</v>
      </c>
      <c r="R614" t="s">
        <v>322</v>
      </c>
      <c r="S614" t="s">
        <v>5062</v>
      </c>
      <c r="T614">
        <v>25</v>
      </c>
      <c r="W614" t="s">
        <v>3335</v>
      </c>
      <c r="X614">
        <v>120003587</v>
      </c>
      <c r="Y614" t="s">
        <v>485</v>
      </c>
      <c r="Z614" t="s">
        <v>4315</v>
      </c>
      <c r="AA614" s="2" t="s">
        <v>4316</v>
      </c>
      <c r="AB614" t="s">
        <v>181</v>
      </c>
      <c r="AG614" t="s">
        <v>5063</v>
      </c>
      <c r="AH614" t="s">
        <v>5064</v>
      </c>
      <c r="AI614" t="s">
        <v>5065</v>
      </c>
    </row>
    <row r="615" spans="2:35" ht="255">
      <c r="B615" s="1">
        <v>46038</v>
      </c>
      <c r="C615" s="1">
        <v>46038</v>
      </c>
      <c r="D615" t="s">
        <v>855</v>
      </c>
      <c r="E615" t="s">
        <v>1169</v>
      </c>
      <c r="F615" t="s">
        <v>148</v>
      </c>
      <c r="G615" t="s">
        <v>310</v>
      </c>
      <c r="H615" t="s">
        <v>39</v>
      </c>
      <c r="I615" t="s">
        <v>40</v>
      </c>
      <c r="J615" t="s">
        <v>79</v>
      </c>
      <c r="K615" t="s">
        <v>42</v>
      </c>
      <c r="L615" t="s">
        <v>857</v>
      </c>
      <c r="N615" t="s">
        <v>858</v>
      </c>
      <c r="Q615">
        <v>31931</v>
      </c>
      <c r="R615" t="s">
        <v>322</v>
      </c>
      <c r="S615" t="s">
        <v>859</v>
      </c>
      <c r="T615">
        <v>22</v>
      </c>
      <c r="V615" s="1">
        <v>46037</v>
      </c>
      <c r="W615" t="s">
        <v>860</v>
      </c>
      <c r="X615">
        <v>809643</v>
      </c>
      <c r="Y615" t="s">
        <v>5066</v>
      </c>
      <c r="Z615" t="s">
        <v>5067</v>
      </c>
      <c r="AA615" s="2" t="s">
        <v>5068</v>
      </c>
      <c r="AB615" t="s">
        <v>181</v>
      </c>
      <c r="AD615" s="2" t="s">
        <v>5069</v>
      </c>
      <c r="AE615" t="s">
        <v>5070</v>
      </c>
      <c r="AG615" t="s">
        <v>5071</v>
      </c>
      <c r="AH615" t="s">
        <v>866</v>
      </c>
      <c r="AI615" t="s">
        <v>5072</v>
      </c>
    </row>
    <row r="616" spans="2:35" ht="270">
      <c r="B616" s="1">
        <v>46038</v>
      </c>
      <c r="C616" s="1">
        <v>46038</v>
      </c>
      <c r="D616" t="s">
        <v>5073</v>
      </c>
      <c r="E616" t="s">
        <v>4674</v>
      </c>
      <c r="F616">
        <v>11</v>
      </c>
      <c r="G616" t="s">
        <v>1205</v>
      </c>
      <c r="H616" t="s">
        <v>513</v>
      </c>
      <c r="I616" t="s">
        <v>40</v>
      </c>
      <c r="J616" s="2" t="s">
        <v>4208</v>
      </c>
      <c r="K616" t="s">
        <v>387</v>
      </c>
      <c r="L616" t="s">
        <v>204</v>
      </c>
      <c r="N616" t="s">
        <v>205</v>
      </c>
      <c r="O616" t="s">
        <v>2867</v>
      </c>
      <c r="Q616">
        <v>31930</v>
      </c>
      <c r="R616" t="s">
        <v>95</v>
      </c>
      <c r="S616" t="s">
        <v>4675</v>
      </c>
      <c r="T616">
        <v>24.5</v>
      </c>
      <c r="W616" t="s">
        <v>390</v>
      </c>
      <c r="X616" t="s">
        <v>4676</v>
      </c>
      <c r="Y616" t="s">
        <v>5074</v>
      </c>
      <c r="Z616" s="2" t="s">
        <v>5075</v>
      </c>
      <c r="AA616" t="s">
        <v>5076</v>
      </c>
      <c r="AB616" s="2" t="s">
        <v>5077</v>
      </c>
      <c r="AC616" t="s">
        <v>5078</v>
      </c>
      <c r="AG616" t="s">
        <v>5079</v>
      </c>
      <c r="AH616" t="s">
        <v>5080</v>
      </c>
      <c r="AI616" t="s">
        <v>5081</v>
      </c>
    </row>
    <row r="617" spans="2:35" ht="285">
      <c r="B617" s="1">
        <v>46038</v>
      </c>
      <c r="C617" s="1">
        <v>46038</v>
      </c>
      <c r="D617" t="s">
        <v>4733</v>
      </c>
      <c r="E617" t="s">
        <v>5082</v>
      </c>
      <c r="F617" t="s">
        <v>148</v>
      </c>
      <c r="G617" t="s">
        <v>447</v>
      </c>
      <c r="H617" t="s">
        <v>1855</v>
      </c>
      <c r="I617" t="s">
        <v>40</v>
      </c>
      <c r="J617" t="s">
        <v>79</v>
      </c>
      <c r="K617" t="s">
        <v>387</v>
      </c>
      <c r="L617" t="s">
        <v>448</v>
      </c>
      <c r="N617" t="s">
        <v>650</v>
      </c>
      <c r="O617" t="s">
        <v>650</v>
      </c>
      <c r="Q617">
        <v>31929</v>
      </c>
      <c r="R617" t="s">
        <v>322</v>
      </c>
      <c r="S617" t="s">
        <v>650</v>
      </c>
      <c r="T617">
        <v>26</v>
      </c>
      <c r="W617" t="s">
        <v>476</v>
      </c>
      <c r="X617" t="s">
        <v>5083</v>
      </c>
      <c r="Y617" s="2" t="s">
        <v>5084</v>
      </c>
      <c r="Z617" t="s">
        <v>5085</v>
      </c>
      <c r="AA617" t="s">
        <v>914</v>
      </c>
      <c r="AB617" t="s">
        <v>4087</v>
      </c>
      <c r="AG617" t="s">
        <v>5086</v>
      </c>
      <c r="AH617" t="s">
        <v>5087</v>
      </c>
      <c r="AI617" t="s">
        <v>5088</v>
      </c>
    </row>
    <row r="618" spans="2:35" ht="409.5">
      <c r="B618" s="1">
        <v>46038</v>
      </c>
      <c r="C618" s="1">
        <v>46038</v>
      </c>
      <c r="D618" t="s">
        <v>5089</v>
      </c>
      <c r="E618" t="s">
        <v>5090</v>
      </c>
      <c r="F618">
        <v>3</v>
      </c>
      <c r="G618" t="s">
        <v>1722</v>
      </c>
      <c r="H618" t="s">
        <v>61</v>
      </c>
      <c r="I618" t="s">
        <v>40</v>
      </c>
      <c r="J618" s="2" t="s">
        <v>62</v>
      </c>
      <c r="K618" t="s">
        <v>42</v>
      </c>
      <c r="L618" t="s">
        <v>63</v>
      </c>
      <c r="N618" t="s">
        <v>64</v>
      </c>
      <c r="Q618">
        <v>31928</v>
      </c>
      <c r="R618" t="s">
        <v>967</v>
      </c>
      <c r="S618" t="s">
        <v>5091</v>
      </c>
      <c r="T618">
        <v>28</v>
      </c>
      <c r="U618" s="2" t="s">
        <v>5092</v>
      </c>
      <c r="V618" s="1">
        <v>46028</v>
      </c>
      <c r="W618" t="s">
        <v>373</v>
      </c>
      <c r="X618">
        <v>110023508</v>
      </c>
      <c r="Y618" t="s">
        <v>67</v>
      </c>
      <c r="Z618" s="2" t="s">
        <v>5093</v>
      </c>
      <c r="AA618" s="2" t="s">
        <v>2726</v>
      </c>
      <c r="AB618" t="s">
        <v>70</v>
      </c>
      <c r="AD618" t="s">
        <v>5056</v>
      </c>
      <c r="AE618">
        <v>13645</v>
      </c>
      <c r="AG618" t="s">
        <v>5094</v>
      </c>
      <c r="AH618" t="s">
        <v>5095</v>
      </c>
      <c r="AI618" t="s">
        <v>5096</v>
      </c>
    </row>
    <row r="619" spans="2:35" ht="240">
      <c r="B619" s="1">
        <v>46037</v>
      </c>
      <c r="C619" s="1">
        <v>46037</v>
      </c>
      <c r="D619" t="s">
        <v>5097</v>
      </c>
      <c r="E619" t="s">
        <v>5098</v>
      </c>
      <c r="F619" t="s">
        <v>37</v>
      </c>
      <c r="G619" t="s">
        <v>748</v>
      </c>
      <c r="H619" t="s">
        <v>39</v>
      </c>
      <c r="I619" t="s">
        <v>40</v>
      </c>
      <c r="J619" t="s">
        <v>109</v>
      </c>
      <c r="K619" t="s">
        <v>42</v>
      </c>
      <c r="L619" t="s">
        <v>1028</v>
      </c>
      <c r="N619" t="s">
        <v>1029</v>
      </c>
      <c r="Q619">
        <v>31927</v>
      </c>
      <c r="R619" t="s">
        <v>119</v>
      </c>
      <c r="S619" t="s">
        <v>5099</v>
      </c>
      <c r="T619">
        <v>23</v>
      </c>
      <c r="W619" t="s">
        <v>1967</v>
      </c>
      <c r="X619">
        <v>820708</v>
      </c>
      <c r="Y619" t="s">
        <v>1978</v>
      </c>
      <c r="Z619" t="s">
        <v>1548</v>
      </c>
      <c r="AA619" s="2" t="s">
        <v>1979</v>
      </c>
      <c r="AB619" s="2" t="s">
        <v>5100</v>
      </c>
      <c r="AC619" t="s">
        <v>5101</v>
      </c>
      <c r="AG619" t="s">
        <v>5102</v>
      </c>
      <c r="AH619" t="s">
        <v>5103</v>
      </c>
      <c r="AI619" t="s">
        <v>5104</v>
      </c>
    </row>
    <row r="620" spans="2:35" ht="409.5">
      <c r="B620" s="1">
        <v>46037</v>
      </c>
      <c r="C620" s="1">
        <v>46037</v>
      </c>
      <c r="D620" t="s">
        <v>5105</v>
      </c>
      <c r="E620" t="s">
        <v>5106</v>
      </c>
      <c r="F620" t="s">
        <v>37</v>
      </c>
      <c r="G620" t="s">
        <v>78</v>
      </c>
      <c r="H620" t="s">
        <v>39</v>
      </c>
      <c r="I620" t="s">
        <v>40</v>
      </c>
      <c r="J620" s="2" t="s">
        <v>62</v>
      </c>
      <c r="K620" t="s">
        <v>42</v>
      </c>
      <c r="L620" t="s">
        <v>1943</v>
      </c>
      <c r="N620" t="s">
        <v>1944</v>
      </c>
      <c r="Q620">
        <v>31926</v>
      </c>
      <c r="R620" t="s">
        <v>967</v>
      </c>
      <c r="S620" t="s">
        <v>5107</v>
      </c>
      <c r="T620">
        <v>25</v>
      </c>
      <c r="V620" s="1">
        <v>46029</v>
      </c>
      <c r="W620" t="s">
        <v>373</v>
      </c>
      <c r="X620">
        <v>110023497</v>
      </c>
      <c r="Y620" s="2" t="s">
        <v>3044</v>
      </c>
      <c r="Z620" t="s">
        <v>3045</v>
      </c>
      <c r="AA620" s="2" t="s">
        <v>3046</v>
      </c>
      <c r="AB620" t="s">
        <v>88</v>
      </c>
      <c r="AD620" t="s">
        <v>5056</v>
      </c>
      <c r="AE620" t="s">
        <v>5108</v>
      </c>
      <c r="AG620" t="s">
        <v>5109</v>
      </c>
      <c r="AH620" t="s">
        <v>5110</v>
      </c>
      <c r="AI620" t="s">
        <v>5111</v>
      </c>
    </row>
    <row r="621" spans="2:35" ht="409.5">
      <c r="B621" s="1">
        <v>46037</v>
      </c>
      <c r="C621" s="1">
        <v>46037</v>
      </c>
      <c r="D621" t="s">
        <v>5105</v>
      </c>
      <c r="E621" t="s">
        <v>5106</v>
      </c>
      <c r="F621" t="s">
        <v>37</v>
      </c>
      <c r="G621" t="s">
        <v>78</v>
      </c>
      <c r="H621" t="s">
        <v>39</v>
      </c>
      <c r="I621" t="s">
        <v>40</v>
      </c>
      <c r="J621" t="s">
        <v>109</v>
      </c>
      <c r="K621" t="s">
        <v>42</v>
      </c>
      <c r="L621" t="s">
        <v>1943</v>
      </c>
      <c r="N621" t="s">
        <v>1944</v>
      </c>
      <c r="Q621">
        <v>31925</v>
      </c>
      <c r="R621" t="s">
        <v>45</v>
      </c>
      <c r="S621" t="s">
        <v>5107</v>
      </c>
      <c r="T621">
        <v>25</v>
      </c>
      <c r="W621" t="s">
        <v>84</v>
      </c>
      <c r="X621">
        <v>804839</v>
      </c>
      <c r="Y621" t="s">
        <v>2099</v>
      </c>
      <c r="Z621" t="s">
        <v>2100</v>
      </c>
      <c r="AA621" s="2" t="s">
        <v>2101</v>
      </c>
      <c r="AB621" t="s">
        <v>88</v>
      </c>
      <c r="AG621" t="s">
        <v>5112</v>
      </c>
      <c r="AH621" t="s">
        <v>5110</v>
      </c>
      <c r="AI621" t="s">
        <v>5113</v>
      </c>
    </row>
    <row r="622" spans="2:35" ht="409.5">
      <c r="B622" s="1">
        <v>46037</v>
      </c>
      <c r="C622" s="1">
        <v>46037</v>
      </c>
      <c r="D622" t="s">
        <v>5105</v>
      </c>
      <c r="E622" t="s">
        <v>5106</v>
      </c>
      <c r="F622" t="s">
        <v>37</v>
      </c>
      <c r="G622" t="s">
        <v>78</v>
      </c>
      <c r="H622" t="s">
        <v>39</v>
      </c>
      <c r="I622" t="s">
        <v>40</v>
      </c>
      <c r="J622" t="s">
        <v>109</v>
      </c>
      <c r="K622" t="s">
        <v>42</v>
      </c>
      <c r="L622" t="s">
        <v>1943</v>
      </c>
      <c r="N622" t="s">
        <v>1944</v>
      </c>
      <c r="Q622">
        <v>31924</v>
      </c>
      <c r="R622" t="s">
        <v>967</v>
      </c>
      <c r="S622" t="s">
        <v>5107</v>
      </c>
      <c r="T622">
        <v>25</v>
      </c>
      <c r="W622" t="s">
        <v>84</v>
      </c>
      <c r="X622">
        <v>838519</v>
      </c>
      <c r="Y622" t="s">
        <v>2099</v>
      </c>
      <c r="Z622" t="s">
        <v>2100</v>
      </c>
      <c r="AA622" s="2" t="s">
        <v>2101</v>
      </c>
      <c r="AB622" t="s">
        <v>88</v>
      </c>
      <c r="AG622" t="s">
        <v>5114</v>
      </c>
      <c r="AH622" t="s">
        <v>5110</v>
      </c>
      <c r="AI622" t="s">
        <v>5115</v>
      </c>
    </row>
    <row r="623" spans="2:35" ht="300">
      <c r="B623" s="1">
        <v>46037</v>
      </c>
      <c r="C623" s="1">
        <v>46037</v>
      </c>
      <c r="D623" t="s">
        <v>3030</v>
      </c>
      <c r="E623" t="s">
        <v>3031</v>
      </c>
      <c r="F623" t="s">
        <v>37</v>
      </c>
      <c r="G623" t="s">
        <v>38</v>
      </c>
      <c r="H623" t="s">
        <v>39</v>
      </c>
      <c r="I623" t="s">
        <v>40</v>
      </c>
      <c r="J623" s="2" t="s">
        <v>62</v>
      </c>
      <c r="K623" t="s">
        <v>42</v>
      </c>
      <c r="L623" t="s">
        <v>43</v>
      </c>
      <c r="N623" t="s">
        <v>44</v>
      </c>
      <c r="Q623">
        <v>31923</v>
      </c>
      <c r="R623" t="s">
        <v>967</v>
      </c>
      <c r="S623" t="s">
        <v>3032</v>
      </c>
      <c r="T623">
        <v>23</v>
      </c>
      <c r="U623" s="2" t="s">
        <v>5116</v>
      </c>
      <c r="V623" s="1">
        <v>46028</v>
      </c>
      <c r="W623" t="s">
        <v>153</v>
      </c>
      <c r="X623">
        <v>110023496</v>
      </c>
      <c r="Y623" t="s">
        <v>1111</v>
      </c>
      <c r="Z623" t="s">
        <v>999</v>
      </c>
      <c r="AA623" s="2" t="s">
        <v>2082</v>
      </c>
      <c r="AB623" t="s">
        <v>2083</v>
      </c>
      <c r="AD623" t="s">
        <v>5117</v>
      </c>
      <c r="AE623" t="s">
        <v>5118</v>
      </c>
      <c r="AG623" t="s">
        <v>5119</v>
      </c>
      <c r="AH623" t="s">
        <v>3035</v>
      </c>
      <c r="AI623" t="s">
        <v>5120</v>
      </c>
    </row>
    <row r="624" spans="2:35" ht="225">
      <c r="B624" s="1">
        <v>46037</v>
      </c>
      <c r="C624" s="1">
        <v>46035</v>
      </c>
      <c r="D624" t="s">
        <v>4765</v>
      </c>
      <c r="E624" t="s">
        <v>5121</v>
      </c>
      <c r="F624" t="s">
        <v>148</v>
      </c>
      <c r="G624" t="s">
        <v>785</v>
      </c>
      <c r="H624" t="s">
        <v>39</v>
      </c>
      <c r="I624" t="s">
        <v>40</v>
      </c>
      <c r="J624" t="s">
        <v>109</v>
      </c>
      <c r="K624" t="s">
        <v>42</v>
      </c>
      <c r="L624" t="s">
        <v>43</v>
      </c>
      <c r="N624" t="s">
        <v>44</v>
      </c>
      <c r="Q624">
        <v>31920</v>
      </c>
      <c r="R624" t="s">
        <v>322</v>
      </c>
      <c r="S624" t="s">
        <v>4704</v>
      </c>
      <c r="T624">
        <v>22</v>
      </c>
      <c r="U624" s="2" t="s">
        <v>5122</v>
      </c>
      <c r="W624" t="s">
        <v>153</v>
      </c>
      <c r="X624">
        <v>110024245</v>
      </c>
      <c r="Y624" t="s">
        <v>121</v>
      </c>
      <c r="Z624" t="s">
        <v>122</v>
      </c>
      <c r="AA624" s="2" t="s">
        <v>547</v>
      </c>
      <c r="AB624" t="s">
        <v>548</v>
      </c>
      <c r="AG624" t="s">
        <v>5123</v>
      </c>
      <c r="AH624" t="s">
        <v>4773</v>
      </c>
      <c r="AI624" t="s">
        <v>5124</v>
      </c>
    </row>
    <row r="625" spans="2:35" ht="315">
      <c r="B625" s="1">
        <v>46037</v>
      </c>
      <c r="C625" s="1">
        <v>46035</v>
      </c>
      <c r="D625" t="s">
        <v>5125</v>
      </c>
      <c r="E625" t="s">
        <v>5126</v>
      </c>
      <c r="F625" t="s">
        <v>148</v>
      </c>
      <c r="G625" t="s">
        <v>447</v>
      </c>
      <c r="H625" t="s">
        <v>39</v>
      </c>
      <c r="I625" t="s">
        <v>40</v>
      </c>
      <c r="J625" t="s">
        <v>109</v>
      </c>
      <c r="K625" t="s">
        <v>42</v>
      </c>
      <c r="L625" t="s">
        <v>43</v>
      </c>
      <c r="N625" t="s">
        <v>44</v>
      </c>
      <c r="Q625">
        <v>31919</v>
      </c>
      <c r="R625" t="s">
        <v>322</v>
      </c>
      <c r="S625" t="s">
        <v>5127</v>
      </c>
      <c r="T625">
        <v>20</v>
      </c>
      <c r="U625" s="2" t="s">
        <v>5128</v>
      </c>
      <c r="W625" t="s">
        <v>153</v>
      </c>
      <c r="X625">
        <v>110020698</v>
      </c>
      <c r="Y625" t="s">
        <v>5129</v>
      </c>
      <c r="Z625" t="s">
        <v>5130</v>
      </c>
      <c r="AA625" s="2" t="s">
        <v>5131</v>
      </c>
      <c r="AB625" t="s">
        <v>548</v>
      </c>
      <c r="AG625" t="s">
        <v>5132</v>
      </c>
      <c r="AH625" t="s">
        <v>5133</v>
      </c>
      <c r="AI625" t="s">
        <v>5134</v>
      </c>
    </row>
    <row r="626" spans="2:35" ht="409.5">
      <c r="B626" s="1">
        <v>46037</v>
      </c>
      <c r="C626" s="1">
        <v>46036</v>
      </c>
      <c r="D626" t="s">
        <v>1081</v>
      </c>
      <c r="E626" t="s">
        <v>2073</v>
      </c>
      <c r="F626" t="s">
        <v>148</v>
      </c>
      <c r="G626" t="s">
        <v>785</v>
      </c>
      <c r="H626" t="s">
        <v>39</v>
      </c>
      <c r="I626" t="s">
        <v>40</v>
      </c>
      <c r="J626" t="s">
        <v>109</v>
      </c>
      <c r="K626" t="s">
        <v>42</v>
      </c>
      <c r="L626" t="s">
        <v>43</v>
      </c>
      <c r="N626" t="s">
        <v>44</v>
      </c>
      <c r="O626" t="s">
        <v>2015</v>
      </c>
      <c r="Q626">
        <v>31921</v>
      </c>
      <c r="R626" t="s">
        <v>95</v>
      </c>
      <c r="S626" t="s">
        <v>2016</v>
      </c>
      <c r="T626">
        <v>22</v>
      </c>
      <c r="U626" s="2" t="s">
        <v>5135</v>
      </c>
      <c r="W626" t="s">
        <v>5136</v>
      </c>
      <c r="X626">
        <v>110015767</v>
      </c>
      <c r="Y626" t="s">
        <v>121</v>
      </c>
      <c r="Z626" t="s">
        <v>122</v>
      </c>
      <c r="AA626" s="2" t="s">
        <v>5137</v>
      </c>
      <c r="AB626" t="s">
        <v>5138</v>
      </c>
      <c r="AG626" t="s">
        <v>5139</v>
      </c>
      <c r="AH626" t="s">
        <v>2022</v>
      </c>
      <c r="AI626" t="s">
        <v>5140</v>
      </c>
    </row>
    <row r="627" spans="2:35" ht="255">
      <c r="B627" s="1">
        <v>46037</v>
      </c>
      <c r="C627" s="1">
        <v>46036</v>
      </c>
      <c r="D627" t="s">
        <v>1081</v>
      </c>
      <c r="E627" t="s">
        <v>5141</v>
      </c>
      <c r="F627" t="s">
        <v>148</v>
      </c>
      <c r="G627" t="s">
        <v>785</v>
      </c>
      <c r="H627" t="s">
        <v>386</v>
      </c>
      <c r="I627" t="s">
        <v>40</v>
      </c>
      <c r="J627" t="s">
        <v>109</v>
      </c>
      <c r="K627" t="s">
        <v>387</v>
      </c>
      <c r="L627" t="s">
        <v>43</v>
      </c>
      <c r="N627" t="s">
        <v>44</v>
      </c>
      <c r="O627" t="s">
        <v>2015</v>
      </c>
      <c r="Q627">
        <v>31922</v>
      </c>
      <c r="R627" t="s">
        <v>95</v>
      </c>
      <c r="S627" t="s">
        <v>2074</v>
      </c>
      <c r="T627">
        <v>24</v>
      </c>
      <c r="W627" t="s">
        <v>390</v>
      </c>
      <c r="X627" t="s">
        <v>2075</v>
      </c>
      <c r="Y627" t="s">
        <v>121</v>
      </c>
      <c r="Z627" t="s">
        <v>122</v>
      </c>
      <c r="AA627" s="2" t="s">
        <v>2076</v>
      </c>
      <c r="AB627" t="s">
        <v>88</v>
      </c>
      <c r="AC627" t="s">
        <v>4826</v>
      </c>
      <c r="AG627" t="s">
        <v>5142</v>
      </c>
      <c r="AH627" t="s">
        <v>5143</v>
      </c>
      <c r="AI627" t="s">
        <v>5144</v>
      </c>
    </row>
    <row r="628" spans="2:35" ht="345">
      <c r="B628" s="1">
        <v>46037</v>
      </c>
      <c r="C628" s="1">
        <v>46036</v>
      </c>
      <c r="D628" t="s">
        <v>5145</v>
      </c>
      <c r="E628" t="s">
        <v>5146</v>
      </c>
      <c r="F628" t="s">
        <v>148</v>
      </c>
      <c r="G628" t="s">
        <v>774</v>
      </c>
      <c r="H628" t="s">
        <v>39</v>
      </c>
      <c r="I628" t="s">
        <v>40</v>
      </c>
      <c r="J628" s="2" t="s">
        <v>1544</v>
      </c>
      <c r="K628" t="s">
        <v>42</v>
      </c>
      <c r="L628" t="s">
        <v>1028</v>
      </c>
      <c r="N628" t="s">
        <v>1029</v>
      </c>
      <c r="O628" t="s">
        <v>5147</v>
      </c>
      <c r="Q628">
        <v>31918</v>
      </c>
      <c r="R628" t="s">
        <v>967</v>
      </c>
      <c r="S628" t="s">
        <v>5148</v>
      </c>
      <c r="T628">
        <v>23</v>
      </c>
      <c r="U628" s="2" t="s">
        <v>5149</v>
      </c>
      <c r="V628" s="1">
        <v>46029</v>
      </c>
      <c r="W628" t="s">
        <v>1032</v>
      </c>
      <c r="X628">
        <v>110023494</v>
      </c>
      <c r="Y628" t="s">
        <v>1547</v>
      </c>
      <c r="Z628" t="s">
        <v>5150</v>
      </c>
      <c r="AA628" s="2" t="s">
        <v>5151</v>
      </c>
      <c r="AB628" s="2" t="s">
        <v>5152</v>
      </c>
      <c r="AD628" t="s">
        <v>5153</v>
      </c>
      <c r="AE628" t="s">
        <v>5154</v>
      </c>
      <c r="AG628" t="s">
        <v>5155</v>
      </c>
      <c r="AH628" t="s">
        <v>5156</v>
      </c>
      <c r="AI628" t="s">
        <v>5157</v>
      </c>
    </row>
    <row r="629" spans="2:35" ht="225">
      <c r="B629" s="1">
        <v>46037</v>
      </c>
      <c r="C629" s="1">
        <v>46035</v>
      </c>
      <c r="D629" t="s">
        <v>5158</v>
      </c>
      <c r="E629" t="s">
        <v>5159</v>
      </c>
      <c r="F629" t="s">
        <v>148</v>
      </c>
      <c r="G629" t="s">
        <v>310</v>
      </c>
      <c r="H629" t="s">
        <v>662</v>
      </c>
      <c r="I629" t="s">
        <v>40</v>
      </c>
      <c r="J629" t="s">
        <v>109</v>
      </c>
      <c r="K629" t="s">
        <v>42</v>
      </c>
      <c r="L629" t="s">
        <v>1028</v>
      </c>
      <c r="N629" t="s">
        <v>1029</v>
      </c>
      <c r="Q629">
        <v>31917</v>
      </c>
      <c r="R629" t="s">
        <v>322</v>
      </c>
      <c r="S629" t="s">
        <v>5160</v>
      </c>
      <c r="T629">
        <v>21</v>
      </c>
      <c r="U629" s="2" t="s">
        <v>5161</v>
      </c>
      <c r="W629" t="s">
        <v>1032</v>
      </c>
      <c r="X629">
        <v>110014099</v>
      </c>
      <c r="Y629" t="s">
        <v>3127</v>
      </c>
      <c r="Z629" t="s">
        <v>1548</v>
      </c>
      <c r="AA629" s="2" t="s">
        <v>5162</v>
      </c>
      <c r="AB629" s="2" t="s">
        <v>5163</v>
      </c>
      <c r="AG629" t="s">
        <v>5164</v>
      </c>
      <c r="AH629" t="s">
        <v>5165</v>
      </c>
      <c r="AI629" t="s">
        <v>5166</v>
      </c>
    </row>
    <row r="630" spans="2:35" ht="270">
      <c r="B630" s="1">
        <v>46037</v>
      </c>
      <c r="C630" s="1">
        <v>46035</v>
      </c>
      <c r="D630" t="s">
        <v>5158</v>
      </c>
      <c r="E630" t="s">
        <v>5167</v>
      </c>
      <c r="F630" t="s">
        <v>148</v>
      </c>
      <c r="G630" t="s">
        <v>310</v>
      </c>
      <c r="H630" t="s">
        <v>662</v>
      </c>
      <c r="I630" t="s">
        <v>40</v>
      </c>
      <c r="J630" t="s">
        <v>109</v>
      </c>
      <c r="K630" t="s">
        <v>42</v>
      </c>
      <c r="L630" t="s">
        <v>1028</v>
      </c>
      <c r="N630" t="s">
        <v>1029</v>
      </c>
      <c r="Q630">
        <v>31916</v>
      </c>
      <c r="R630" t="s">
        <v>322</v>
      </c>
      <c r="S630" t="s">
        <v>5160</v>
      </c>
      <c r="T630">
        <v>25</v>
      </c>
      <c r="U630" s="2" t="s">
        <v>5168</v>
      </c>
      <c r="W630" t="s">
        <v>5169</v>
      </c>
      <c r="X630">
        <v>110013856</v>
      </c>
      <c r="Y630" t="s">
        <v>1978</v>
      </c>
      <c r="Z630" t="s">
        <v>3128</v>
      </c>
      <c r="AA630" s="2" t="s">
        <v>5170</v>
      </c>
      <c r="AB630" t="s">
        <v>5171</v>
      </c>
      <c r="AG630" t="s">
        <v>5172</v>
      </c>
      <c r="AH630" t="s">
        <v>5165</v>
      </c>
      <c r="AI630" t="s">
        <v>5173</v>
      </c>
    </row>
    <row r="631" spans="2:35" ht="105">
      <c r="B631" s="1">
        <v>46037</v>
      </c>
      <c r="C631" s="1">
        <v>46014</v>
      </c>
      <c r="D631" t="s">
        <v>5174</v>
      </c>
      <c r="E631" t="s">
        <v>5175</v>
      </c>
      <c r="F631" t="s">
        <v>37</v>
      </c>
      <c r="G631" t="s">
        <v>748</v>
      </c>
      <c r="H631" t="s">
        <v>39</v>
      </c>
      <c r="I631" t="s">
        <v>40</v>
      </c>
      <c r="J631" t="s">
        <v>321</v>
      </c>
      <c r="K631" t="s">
        <v>42</v>
      </c>
      <c r="L631" t="s">
        <v>1028</v>
      </c>
      <c r="N631" t="s">
        <v>1029</v>
      </c>
      <c r="Q631">
        <v>31913</v>
      </c>
      <c r="R631" t="s">
        <v>322</v>
      </c>
      <c r="S631" t="s">
        <v>5176</v>
      </c>
      <c r="T631">
        <v>25</v>
      </c>
      <c r="V631" s="1">
        <v>46010</v>
      </c>
      <c r="W631" t="s">
        <v>1032</v>
      </c>
      <c r="X631">
        <v>110027240</v>
      </c>
      <c r="Y631" t="s">
        <v>3763</v>
      </c>
      <c r="Z631" t="s">
        <v>3764</v>
      </c>
      <c r="AA631" s="2" t="s">
        <v>5177</v>
      </c>
      <c r="AB631" s="2" t="s">
        <v>5178</v>
      </c>
      <c r="AD631" t="s">
        <v>3727</v>
      </c>
      <c r="AE631" t="s">
        <v>5179</v>
      </c>
      <c r="AG631" t="s">
        <v>5180</v>
      </c>
      <c r="AH631" t="s">
        <v>5181</v>
      </c>
      <c r="AI631" t="s">
        <v>5182</v>
      </c>
    </row>
    <row r="632" spans="2:35" ht="195">
      <c r="B632" s="1">
        <v>46037</v>
      </c>
      <c r="C632" s="1">
        <v>46028</v>
      </c>
      <c r="D632" t="s">
        <v>1026</v>
      </c>
      <c r="E632" t="s">
        <v>1027</v>
      </c>
      <c r="F632" t="s">
        <v>148</v>
      </c>
      <c r="G632" t="s">
        <v>774</v>
      </c>
      <c r="H632" t="s">
        <v>513</v>
      </c>
      <c r="I632" t="s">
        <v>40</v>
      </c>
      <c r="J632" s="2" t="s">
        <v>190</v>
      </c>
      <c r="K632" t="s">
        <v>387</v>
      </c>
      <c r="L632" t="s">
        <v>1028</v>
      </c>
      <c r="N632" t="s">
        <v>1029</v>
      </c>
      <c r="O632" t="s">
        <v>3772</v>
      </c>
      <c r="Q632">
        <v>31914</v>
      </c>
      <c r="R632" t="s">
        <v>95</v>
      </c>
      <c r="S632" t="s">
        <v>5183</v>
      </c>
      <c r="T632">
        <v>25</v>
      </c>
      <c r="W632" t="s">
        <v>390</v>
      </c>
      <c r="X632" t="s">
        <v>5184</v>
      </c>
      <c r="Y632" t="s">
        <v>5185</v>
      </c>
      <c r="Z632" t="s">
        <v>5186</v>
      </c>
      <c r="AA632" s="2" t="s">
        <v>5187</v>
      </c>
      <c r="AB632" s="2" t="s">
        <v>5188</v>
      </c>
      <c r="AG632" t="s">
        <v>5189</v>
      </c>
      <c r="AH632" t="s">
        <v>5190</v>
      </c>
      <c r="AI632" t="s">
        <v>5191</v>
      </c>
    </row>
    <row r="633" spans="2:35" ht="210">
      <c r="B633" s="1">
        <v>46037</v>
      </c>
      <c r="C633" s="1">
        <v>46028</v>
      </c>
      <c r="D633" t="s">
        <v>1026</v>
      </c>
      <c r="E633" t="s">
        <v>5146</v>
      </c>
      <c r="F633" t="s">
        <v>148</v>
      </c>
      <c r="G633" t="s">
        <v>774</v>
      </c>
      <c r="H633" t="s">
        <v>513</v>
      </c>
      <c r="I633" t="s">
        <v>40</v>
      </c>
      <c r="J633" s="2" t="s">
        <v>41</v>
      </c>
      <c r="K633" t="s">
        <v>387</v>
      </c>
      <c r="L633" t="s">
        <v>1028</v>
      </c>
      <c r="N633" t="s">
        <v>1029</v>
      </c>
      <c r="O633" t="s">
        <v>3772</v>
      </c>
      <c r="Q633">
        <v>31915</v>
      </c>
      <c r="R633" t="s">
        <v>95</v>
      </c>
      <c r="S633" t="s">
        <v>5183</v>
      </c>
      <c r="T633">
        <v>25</v>
      </c>
      <c r="V633" s="1">
        <v>46027</v>
      </c>
      <c r="W633" t="s">
        <v>390</v>
      </c>
      <c r="X633" t="s">
        <v>3773</v>
      </c>
      <c r="Y633" t="s">
        <v>5192</v>
      </c>
      <c r="Z633" t="s">
        <v>5193</v>
      </c>
      <c r="AA633" s="2" t="s">
        <v>5194</v>
      </c>
      <c r="AB633" t="s">
        <v>3777</v>
      </c>
      <c r="AD633" t="s">
        <v>5195</v>
      </c>
      <c r="AE633" t="s">
        <v>5196</v>
      </c>
      <c r="AG633" t="s">
        <v>5197</v>
      </c>
      <c r="AH633" t="s">
        <v>5190</v>
      </c>
      <c r="AI633" t="s">
        <v>5198</v>
      </c>
    </row>
    <row r="634" spans="2:35" ht="225">
      <c r="B634" s="1">
        <v>46036</v>
      </c>
      <c r="C634" s="1">
        <v>46036</v>
      </c>
      <c r="D634" t="s">
        <v>5199</v>
      </c>
      <c r="E634" t="s">
        <v>5200</v>
      </c>
      <c r="F634">
        <v>2</v>
      </c>
      <c r="G634" t="s">
        <v>2723</v>
      </c>
      <c r="H634" t="s">
        <v>39</v>
      </c>
      <c r="I634" t="s">
        <v>40</v>
      </c>
      <c r="J634" s="2" t="s">
        <v>62</v>
      </c>
      <c r="K634" t="s">
        <v>42</v>
      </c>
      <c r="L634" t="s">
        <v>63</v>
      </c>
      <c r="N634" t="s">
        <v>64</v>
      </c>
      <c r="Q634">
        <v>31912</v>
      </c>
      <c r="R634" t="s">
        <v>967</v>
      </c>
      <c r="S634" t="s">
        <v>5201</v>
      </c>
      <c r="T634">
        <v>28</v>
      </c>
      <c r="U634" s="2" t="s">
        <v>5202</v>
      </c>
      <c r="V634" s="1">
        <v>46029</v>
      </c>
      <c r="W634" t="s">
        <v>373</v>
      </c>
      <c r="X634">
        <v>110023503</v>
      </c>
      <c r="Y634" t="s">
        <v>67</v>
      </c>
      <c r="Z634" s="2" t="s">
        <v>5093</v>
      </c>
      <c r="AA634" s="2" t="s">
        <v>5203</v>
      </c>
      <c r="AB634" t="s">
        <v>70</v>
      </c>
      <c r="AD634" t="s">
        <v>5056</v>
      </c>
      <c r="AE634">
        <v>13651</v>
      </c>
      <c r="AG634" t="s">
        <v>5204</v>
      </c>
      <c r="AH634" t="s">
        <v>5205</v>
      </c>
      <c r="AI634" t="s">
        <v>5206</v>
      </c>
    </row>
    <row r="635" spans="2:35" ht="409.5">
      <c r="B635" s="1">
        <v>46036</v>
      </c>
      <c r="C635" s="1">
        <v>46036</v>
      </c>
      <c r="D635" t="s">
        <v>5207</v>
      </c>
      <c r="E635" t="s">
        <v>5208</v>
      </c>
      <c r="F635" t="s">
        <v>148</v>
      </c>
      <c r="G635" t="s">
        <v>310</v>
      </c>
      <c r="H635" t="s">
        <v>39</v>
      </c>
      <c r="I635" t="s">
        <v>40</v>
      </c>
      <c r="J635" t="s">
        <v>109</v>
      </c>
      <c r="K635" t="s">
        <v>42</v>
      </c>
      <c r="L635" t="s">
        <v>1943</v>
      </c>
      <c r="N635" t="s">
        <v>1944</v>
      </c>
      <c r="O635" t="s">
        <v>5209</v>
      </c>
      <c r="Q635">
        <v>31911</v>
      </c>
      <c r="R635" t="s">
        <v>322</v>
      </c>
      <c r="S635" t="s">
        <v>5210</v>
      </c>
      <c r="T635">
        <v>25</v>
      </c>
      <c r="W635" t="s">
        <v>373</v>
      </c>
      <c r="X635">
        <v>110001650</v>
      </c>
      <c r="Y635" t="s">
        <v>2099</v>
      </c>
      <c r="Z635" t="s">
        <v>2100</v>
      </c>
      <c r="AA635" s="2" t="s">
        <v>2101</v>
      </c>
      <c r="AB635" t="s">
        <v>88</v>
      </c>
      <c r="AG635" t="s">
        <v>5211</v>
      </c>
      <c r="AH635" t="s">
        <v>5212</v>
      </c>
      <c r="AI635" t="s">
        <v>5213</v>
      </c>
    </row>
    <row r="636" spans="2:35" ht="105">
      <c r="B636" s="1">
        <v>46036</v>
      </c>
      <c r="C636" s="1">
        <v>46036</v>
      </c>
      <c r="D636" t="s">
        <v>5214</v>
      </c>
      <c r="E636" t="s">
        <v>5215</v>
      </c>
      <c r="F636">
        <v>6</v>
      </c>
      <c r="G636" t="s">
        <v>5216</v>
      </c>
      <c r="H636" t="s">
        <v>39</v>
      </c>
      <c r="I636" t="s">
        <v>40</v>
      </c>
      <c r="J636" s="2" t="s">
        <v>62</v>
      </c>
      <c r="K636" t="s">
        <v>42</v>
      </c>
      <c r="L636" t="s">
        <v>259</v>
      </c>
      <c r="N636" t="s">
        <v>260</v>
      </c>
      <c r="Q636">
        <v>31910</v>
      </c>
      <c r="R636" t="s">
        <v>967</v>
      </c>
      <c r="S636" t="s">
        <v>5217</v>
      </c>
      <c r="T636">
        <v>24</v>
      </c>
      <c r="U636" s="2" t="s">
        <v>5218</v>
      </c>
      <c r="V636" s="1">
        <v>46036</v>
      </c>
      <c r="W636" t="s">
        <v>84</v>
      </c>
      <c r="X636">
        <v>110023528</v>
      </c>
      <c r="Y636" t="s">
        <v>67</v>
      </c>
      <c r="Z636" t="e">
        <f ca="1">- Preventive Maintenance
- Xpert Check CALIBRATION
- Data Collection
- archived Data</f>
        <v>#NAME?</v>
      </c>
      <c r="AA636" t="e">
        <f ca="1">- Preventive Maintenance
- CALIBRATION</f>
        <v>#NAME?</v>
      </c>
      <c r="AB636" t="s">
        <v>70</v>
      </c>
      <c r="AC636" t="s">
        <v>5219</v>
      </c>
      <c r="AD636" t="s">
        <v>5220</v>
      </c>
      <c r="AE636">
        <v>5485</v>
      </c>
      <c r="AG636" t="s">
        <v>5221</v>
      </c>
      <c r="AH636" t="s">
        <v>5222</v>
      </c>
      <c r="AI636" t="s">
        <v>5223</v>
      </c>
    </row>
    <row r="637" spans="2:35" ht="409.5">
      <c r="B637" s="1">
        <v>46036</v>
      </c>
      <c r="C637" s="1">
        <v>46036</v>
      </c>
      <c r="D637" t="s">
        <v>5224</v>
      </c>
      <c r="E637" t="s">
        <v>5208</v>
      </c>
      <c r="F637" t="s">
        <v>148</v>
      </c>
      <c r="G637" t="s">
        <v>310</v>
      </c>
      <c r="H637" t="s">
        <v>39</v>
      </c>
      <c r="I637" t="s">
        <v>40</v>
      </c>
      <c r="J637" t="s">
        <v>109</v>
      </c>
      <c r="K637" t="s">
        <v>42</v>
      </c>
      <c r="L637" t="s">
        <v>1943</v>
      </c>
      <c r="N637" t="s">
        <v>1944</v>
      </c>
      <c r="O637" t="s">
        <v>5209</v>
      </c>
      <c r="Q637">
        <v>31909</v>
      </c>
      <c r="R637" t="s">
        <v>322</v>
      </c>
      <c r="S637" t="s">
        <v>5210</v>
      </c>
      <c r="T637">
        <v>25</v>
      </c>
      <c r="W637" t="s">
        <v>5225</v>
      </c>
      <c r="X637">
        <v>110016343</v>
      </c>
      <c r="Y637" t="s">
        <v>2099</v>
      </c>
      <c r="Z637" t="s">
        <v>2100</v>
      </c>
      <c r="AA637" s="2" t="s">
        <v>2101</v>
      </c>
      <c r="AB637" t="s">
        <v>88</v>
      </c>
      <c r="AG637" t="s">
        <v>5226</v>
      </c>
      <c r="AH637" t="s">
        <v>5212</v>
      </c>
      <c r="AI637" t="s">
        <v>5227</v>
      </c>
    </row>
    <row r="638" spans="2:35" ht="120">
      <c r="B638" s="1">
        <v>46036</v>
      </c>
      <c r="C638" s="1">
        <v>46036</v>
      </c>
      <c r="D638" t="s">
        <v>5228</v>
      </c>
      <c r="E638" t="s">
        <v>582</v>
      </c>
      <c r="F638" t="s">
        <v>148</v>
      </c>
      <c r="G638" t="s">
        <v>447</v>
      </c>
      <c r="H638" t="s">
        <v>39</v>
      </c>
      <c r="I638" t="s">
        <v>40</v>
      </c>
      <c r="J638" s="2" t="s">
        <v>62</v>
      </c>
      <c r="K638" t="s">
        <v>42</v>
      </c>
      <c r="L638" t="s">
        <v>175</v>
      </c>
      <c r="N638" t="s">
        <v>176</v>
      </c>
      <c r="Q638">
        <v>31908</v>
      </c>
      <c r="R638" t="s">
        <v>967</v>
      </c>
      <c r="S638" t="s">
        <v>5229</v>
      </c>
      <c r="T638">
        <v>27</v>
      </c>
      <c r="V638" s="1">
        <v>46029</v>
      </c>
      <c r="W638" t="s">
        <v>373</v>
      </c>
      <c r="X638">
        <v>110023495</v>
      </c>
      <c r="Y638" t="s">
        <v>998</v>
      </c>
      <c r="Z638" t="s">
        <v>5230</v>
      </c>
      <c r="AA638" t="e">
        <f ca="1">- checked _xludf.and cleaned cartridge bay, plunger rod, _xludf.filter
- performed XpertCheck
- generated reports</f>
        <v>#NAME?</v>
      </c>
      <c r="AB638" s="2" t="s">
        <v>3237</v>
      </c>
      <c r="AD638" s="2" t="s">
        <v>5231</v>
      </c>
      <c r="AE638">
        <v>13653</v>
      </c>
      <c r="AG638" t="s">
        <v>5232</v>
      </c>
      <c r="AH638" t="s">
        <v>5233</v>
      </c>
      <c r="AI638" t="s">
        <v>5234</v>
      </c>
    </row>
    <row r="639" spans="2:35" ht="150">
      <c r="B639" s="1">
        <v>46036</v>
      </c>
      <c r="C639" s="1">
        <v>46036</v>
      </c>
      <c r="D639" t="s">
        <v>5228</v>
      </c>
      <c r="E639" t="s">
        <v>582</v>
      </c>
      <c r="F639" t="s">
        <v>148</v>
      </c>
      <c r="G639" t="s">
        <v>447</v>
      </c>
      <c r="H639" t="s">
        <v>39</v>
      </c>
      <c r="I639" t="s">
        <v>40</v>
      </c>
      <c r="J639" t="s">
        <v>109</v>
      </c>
      <c r="K639" t="s">
        <v>42</v>
      </c>
      <c r="L639" t="s">
        <v>175</v>
      </c>
      <c r="N639" t="s">
        <v>176</v>
      </c>
      <c r="Q639">
        <v>31907</v>
      </c>
      <c r="R639" t="s">
        <v>45</v>
      </c>
      <c r="S639" t="s">
        <v>5235</v>
      </c>
      <c r="T639">
        <v>28</v>
      </c>
      <c r="W639" t="s">
        <v>373</v>
      </c>
      <c r="X639">
        <v>110012766</v>
      </c>
      <c r="Y639" t="s">
        <v>374</v>
      </c>
      <c r="Z639" t="s">
        <v>103</v>
      </c>
      <c r="AA639" t="e">
        <f ca="1">- checked _xludf.and cleaned cartridge bay, plunger rod, _xludf.filter
- generated reports
- performed self test</f>
        <v>#NAME?</v>
      </c>
      <c r="AB639" s="2" t="s">
        <v>5236</v>
      </c>
      <c r="AG639" t="s">
        <v>5237</v>
      </c>
      <c r="AH639" t="s">
        <v>5238</v>
      </c>
      <c r="AI639" t="s">
        <v>5239</v>
      </c>
    </row>
    <row r="640" spans="2:35" ht="105">
      <c r="B640" s="1">
        <v>46036</v>
      </c>
      <c r="C640" s="1">
        <v>46036</v>
      </c>
      <c r="D640" t="s">
        <v>5240</v>
      </c>
      <c r="E640" t="s">
        <v>5215</v>
      </c>
      <c r="F640">
        <v>6</v>
      </c>
      <c r="G640" t="s">
        <v>5216</v>
      </c>
      <c r="H640" t="s">
        <v>258</v>
      </c>
      <c r="I640" t="s">
        <v>40</v>
      </c>
      <c r="J640" s="2" t="s">
        <v>62</v>
      </c>
      <c r="K640" t="s">
        <v>42</v>
      </c>
      <c r="L640" t="s">
        <v>259</v>
      </c>
      <c r="N640" t="s">
        <v>260</v>
      </c>
      <c r="Q640">
        <v>31906</v>
      </c>
      <c r="R640" t="s">
        <v>967</v>
      </c>
      <c r="S640" t="s">
        <v>5241</v>
      </c>
      <c r="T640">
        <v>28</v>
      </c>
      <c r="U640" s="2" t="s">
        <v>5242</v>
      </c>
      <c r="V640" s="1">
        <v>46036</v>
      </c>
      <c r="W640" t="s">
        <v>84</v>
      </c>
      <c r="X640">
        <v>110023540</v>
      </c>
      <c r="Y640" t="s">
        <v>67</v>
      </c>
      <c r="Z640" t="e">
        <f ca="1">- Preventive Maintenance
- Xpert Check CALIBRATION
- Data Collection
- archived Data</f>
        <v>#NAME?</v>
      </c>
      <c r="AA640" t="e">
        <f ca="1">- Preventive Maintenance
- CALIBRATION</f>
        <v>#NAME?</v>
      </c>
      <c r="AB640" t="s">
        <v>70</v>
      </c>
      <c r="AC640" t="s">
        <v>5243</v>
      </c>
      <c r="AD640" t="s">
        <v>5244</v>
      </c>
      <c r="AE640">
        <v>5484</v>
      </c>
      <c r="AG640" t="s">
        <v>5245</v>
      </c>
      <c r="AH640" t="s">
        <v>5246</v>
      </c>
      <c r="AI640" t="s">
        <v>5247</v>
      </c>
    </row>
    <row r="641" spans="2:35" ht="105">
      <c r="B641" s="1">
        <v>46036</v>
      </c>
      <c r="C641" s="1">
        <v>46036</v>
      </c>
      <c r="D641" t="s">
        <v>5248</v>
      </c>
      <c r="E641" t="s">
        <v>5249</v>
      </c>
      <c r="F641">
        <v>9</v>
      </c>
      <c r="G641" t="s">
        <v>1628</v>
      </c>
      <c r="H641" t="s">
        <v>39</v>
      </c>
      <c r="I641" t="s">
        <v>40</v>
      </c>
      <c r="J641" s="2" t="s">
        <v>62</v>
      </c>
      <c r="K641" t="s">
        <v>42</v>
      </c>
      <c r="L641" t="s">
        <v>1257</v>
      </c>
      <c r="N641" t="s">
        <v>1258</v>
      </c>
      <c r="O641" t="s">
        <v>1258</v>
      </c>
      <c r="Q641">
        <v>31905</v>
      </c>
      <c r="R641" t="s">
        <v>967</v>
      </c>
      <c r="S641" t="s">
        <v>5250</v>
      </c>
      <c r="T641">
        <v>22</v>
      </c>
      <c r="U641" s="2" t="s">
        <v>5251</v>
      </c>
      <c r="V641" s="1">
        <v>46002</v>
      </c>
      <c r="W641" t="s">
        <v>1270</v>
      </c>
      <c r="X641">
        <v>110023517</v>
      </c>
      <c r="Y641" t="s">
        <v>301</v>
      </c>
      <c r="Z641" t="s">
        <v>5252</v>
      </c>
      <c r="AA641" t="s">
        <v>5253</v>
      </c>
      <c r="AB641" t="s">
        <v>5254</v>
      </c>
      <c r="AC641" t="s">
        <v>301</v>
      </c>
      <c r="AD641" t="s">
        <v>5255</v>
      </c>
      <c r="AE641">
        <v>13582</v>
      </c>
      <c r="AG641" t="s">
        <v>5256</v>
      </c>
      <c r="AH641" t="s">
        <v>5257</v>
      </c>
      <c r="AI641" t="s">
        <v>5258</v>
      </c>
    </row>
    <row r="642" spans="2:35" ht="60">
      <c r="B642" s="1">
        <v>46036</v>
      </c>
      <c r="C642" s="1">
        <v>46036</v>
      </c>
      <c r="D642" t="s">
        <v>5259</v>
      </c>
      <c r="E642" t="s">
        <v>5260</v>
      </c>
      <c r="F642">
        <v>6</v>
      </c>
      <c r="G642" t="s">
        <v>5216</v>
      </c>
      <c r="H642" t="s">
        <v>258</v>
      </c>
      <c r="I642" t="s">
        <v>40</v>
      </c>
      <c r="J642" s="2" t="s">
        <v>62</v>
      </c>
      <c r="K642" t="s">
        <v>42</v>
      </c>
      <c r="L642" t="s">
        <v>259</v>
      </c>
      <c r="N642" t="s">
        <v>260</v>
      </c>
      <c r="Q642">
        <v>31904</v>
      </c>
      <c r="R642" t="s">
        <v>967</v>
      </c>
      <c r="S642" t="s">
        <v>5261</v>
      </c>
      <c r="T642">
        <v>25</v>
      </c>
      <c r="V642" s="1">
        <v>46036</v>
      </c>
      <c r="W642" t="s">
        <v>84</v>
      </c>
      <c r="X642">
        <v>110023538</v>
      </c>
      <c r="Y642" t="s">
        <v>67</v>
      </c>
      <c r="Z642" t="e">
        <f ca="1">- Preventive Maintenance
- Xpert Check CALIBRATION
- Data Collection
- archived Data</f>
        <v>#NAME?</v>
      </c>
      <c r="AA642" t="e">
        <f ca="1">- Preventive Maintenance
- CALIBRATION</f>
        <v>#NAME?</v>
      </c>
      <c r="AB642" t="s">
        <v>70</v>
      </c>
      <c r="AC642" t="s">
        <v>5243</v>
      </c>
      <c r="AD642" t="s">
        <v>5244</v>
      </c>
      <c r="AE642">
        <v>5487</v>
      </c>
      <c r="AG642" t="s">
        <v>5262</v>
      </c>
      <c r="AH642" t="s">
        <v>5263</v>
      </c>
      <c r="AI642" t="s">
        <v>5264</v>
      </c>
    </row>
    <row r="643" spans="2:35" ht="105">
      <c r="B643" s="1">
        <v>46036</v>
      </c>
      <c r="C643" s="1">
        <v>46036</v>
      </c>
      <c r="D643" t="s">
        <v>5265</v>
      </c>
      <c r="E643" t="s">
        <v>5266</v>
      </c>
      <c r="F643">
        <v>6</v>
      </c>
      <c r="G643" t="s">
        <v>5216</v>
      </c>
      <c r="H643" t="s">
        <v>39</v>
      </c>
      <c r="I643" t="s">
        <v>40</v>
      </c>
      <c r="J643" s="2" t="s">
        <v>62</v>
      </c>
      <c r="K643" t="s">
        <v>42</v>
      </c>
      <c r="L643" t="s">
        <v>259</v>
      </c>
      <c r="N643" t="s">
        <v>260</v>
      </c>
      <c r="Q643">
        <v>31903</v>
      </c>
      <c r="R643" t="s">
        <v>967</v>
      </c>
      <c r="S643" t="s">
        <v>5267</v>
      </c>
      <c r="T643">
        <v>26</v>
      </c>
      <c r="U643" s="2" t="s">
        <v>5268</v>
      </c>
      <c r="V643" s="1">
        <v>46036</v>
      </c>
      <c r="W643" t="s">
        <v>84</v>
      </c>
      <c r="X643">
        <v>110023537</v>
      </c>
      <c r="Y643" t="s">
        <v>67</v>
      </c>
      <c r="Z643" t="e">
        <f ca="1">- Preventive Maintenance
- Xpert Check CALIBRATION
- Data Collection
- archived Data</f>
        <v>#NAME?</v>
      </c>
      <c r="AA643" t="e">
        <f ca="1">- Preventive Maintenance
- CALIBRATION</f>
        <v>#NAME?</v>
      </c>
      <c r="AB643" t="s">
        <v>70</v>
      </c>
      <c r="AC643" t="s">
        <v>5243</v>
      </c>
      <c r="AD643" t="s">
        <v>5244</v>
      </c>
      <c r="AE643">
        <v>5486</v>
      </c>
      <c r="AG643" t="s">
        <v>5269</v>
      </c>
      <c r="AH643" t="s">
        <v>5270</v>
      </c>
      <c r="AI643" t="s">
        <v>5271</v>
      </c>
    </row>
    <row r="644" spans="2:35" ht="210">
      <c r="B644" s="1">
        <v>46036</v>
      </c>
      <c r="C644" s="1">
        <v>46036</v>
      </c>
      <c r="D644" t="s">
        <v>5272</v>
      </c>
      <c r="E644" t="s">
        <v>5273</v>
      </c>
      <c r="F644">
        <v>6</v>
      </c>
      <c r="G644" t="s">
        <v>5216</v>
      </c>
      <c r="H644" t="s">
        <v>39</v>
      </c>
      <c r="I644" t="s">
        <v>40</v>
      </c>
      <c r="J644" s="2" t="s">
        <v>62</v>
      </c>
      <c r="K644" t="s">
        <v>42</v>
      </c>
      <c r="L644" t="s">
        <v>433</v>
      </c>
      <c r="N644" t="s">
        <v>434</v>
      </c>
      <c r="Q644">
        <v>31902</v>
      </c>
      <c r="R644" t="s">
        <v>967</v>
      </c>
      <c r="S644" t="s">
        <v>5274</v>
      </c>
      <c r="T644">
        <v>28</v>
      </c>
      <c r="W644" t="s">
        <v>502</v>
      </c>
      <c r="X644">
        <v>110023539</v>
      </c>
      <c r="Y644" t="s">
        <v>5275</v>
      </c>
      <c r="Z644" s="2" t="s">
        <v>5276</v>
      </c>
      <c r="AA644" s="2" t="s">
        <v>5276</v>
      </c>
      <c r="AB644" s="2" t="s">
        <v>5277</v>
      </c>
      <c r="AG644" t="s">
        <v>5278</v>
      </c>
      <c r="AH644" t="s">
        <v>5279</v>
      </c>
      <c r="AI644" t="s">
        <v>5280</v>
      </c>
    </row>
    <row r="645" spans="2:35" ht="180">
      <c r="B645" s="1">
        <v>46035</v>
      </c>
      <c r="C645" s="1">
        <v>46035</v>
      </c>
      <c r="D645" t="s">
        <v>5281</v>
      </c>
      <c r="E645" t="s">
        <v>661</v>
      </c>
      <c r="F645" t="s">
        <v>148</v>
      </c>
      <c r="G645" t="s">
        <v>447</v>
      </c>
      <c r="H645" t="s">
        <v>39</v>
      </c>
      <c r="I645" t="s">
        <v>40</v>
      </c>
      <c r="J645" t="s">
        <v>321</v>
      </c>
      <c r="K645" t="s">
        <v>42</v>
      </c>
      <c r="L645" t="s">
        <v>448</v>
      </c>
      <c r="N645" t="s">
        <v>650</v>
      </c>
      <c r="Q645">
        <v>31901</v>
      </c>
      <c r="R645" t="s">
        <v>322</v>
      </c>
      <c r="S645" t="s">
        <v>675</v>
      </c>
      <c r="T645">
        <v>26</v>
      </c>
      <c r="W645" t="s">
        <v>2591</v>
      </c>
      <c r="X645">
        <v>110027248</v>
      </c>
      <c r="Y645" t="s">
        <v>750</v>
      </c>
      <c r="Z645" s="2" t="s">
        <v>5282</v>
      </c>
      <c r="AA645" t="s">
        <v>2593</v>
      </c>
      <c r="AB645" t="s">
        <v>486</v>
      </c>
      <c r="AG645" t="s">
        <v>5283</v>
      </c>
      <c r="AH645" t="s">
        <v>5284</v>
      </c>
      <c r="AI645" t="s">
        <v>5285</v>
      </c>
    </row>
    <row r="646" spans="2:35" ht="150">
      <c r="B646" s="1">
        <v>46035</v>
      </c>
      <c r="C646" s="1">
        <v>46035</v>
      </c>
      <c r="D646" t="s">
        <v>1145</v>
      </c>
      <c r="E646" t="s">
        <v>473</v>
      </c>
      <c r="F646" t="s">
        <v>148</v>
      </c>
      <c r="G646" t="s">
        <v>447</v>
      </c>
      <c r="H646" t="s">
        <v>5286</v>
      </c>
      <c r="I646" t="s">
        <v>40</v>
      </c>
      <c r="J646" t="s">
        <v>321</v>
      </c>
      <c r="K646" t="s">
        <v>408</v>
      </c>
      <c r="L646" t="s">
        <v>448</v>
      </c>
      <c r="N646" t="s">
        <v>650</v>
      </c>
      <c r="P646" t="s">
        <v>5287</v>
      </c>
      <c r="Q646">
        <v>31900</v>
      </c>
      <c r="R646" t="s">
        <v>322</v>
      </c>
      <c r="S646" t="s">
        <v>5288</v>
      </c>
      <c r="T646">
        <v>26</v>
      </c>
      <c r="V646" s="1">
        <v>46034</v>
      </c>
      <c r="W646" t="s">
        <v>5289</v>
      </c>
      <c r="X646">
        <v>37020508</v>
      </c>
      <c r="Y646" t="s">
        <v>750</v>
      </c>
      <c r="Z646" s="2" t="s">
        <v>5290</v>
      </c>
      <c r="AA646" t="s">
        <v>2593</v>
      </c>
      <c r="AB646" t="s">
        <v>486</v>
      </c>
      <c r="AC646" t="s">
        <v>5291</v>
      </c>
      <c r="AE646">
        <v>13665</v>
      </c>
      <c r="AG646" t="s">
        <v>5292</v>
      </c>
      <c r="AH646" t="s">
        <v>5293</v>
      </c>
      <c r="AI646" t="s">
        <v>5294</v>
      </c>
    </row>
    <row r="647" spans="2:35" ht="360">
      <c r="B647" s="1">
        <v>46035</v>
      </c>
      <c r="C647" s="1">
        <v>46029</v>
      </c>
      <c r="D647" t="s">
        <v>5295</v>
      </c>
      <c r="E647" t="s">
        <v>4313</v>
      </c>
      <c r="F647">
        <v>3</v>
      </c>
      <c r="G647" t="s">
        <v>730</v>
      </c>
      <c r="H647" t="s">
        <v>39</v>
      </c>
      <c r="I647" t="s">
        <v>40</v>
      </c>
      <c r="J647" t="s">
        <v>109</v>
      </c>
      <c r="K647" t="s">
        <v>42</v>
      </c>
      <c r="L647" t="s">
        <v>135</v>
      </c>
      <c r="N647" t="s">
        <v>136</v>
      </c>
      <c r="Q647">
        <v>31899</v>
      </c>
      <c r="R647" t="s">
        <v>95</v>
      </c>
      <c r="S647" t="s">
        <v>4103</v>
      </c>
      <c r="T647">
        <v>25</v>
      </c>
      <c r="W647" t="s">
        <v>3418</v>
      </c>
      <c r="X647">
        <v>830841</v>
      </c>
      <c r="Y647" t="s">
        <v>4314</v>
      </c>
      <c r="Z647" t="s">
        <v>4315</v>
      </c>
      <c r="AA647" s="2" t="s">
        <v>4316</v>
      </c>
      <c r="AB647" t="s">
        <v>5296</v>
      </c>
      <c r="AG647" t="s">
        <v>5297</v>
      </c>
      <c r="AH647" t="s">
        <v>4110</v>
      </c>
      <c r="AI647" t="s">
        <v>5298</v>
      </c>
    </row>
    <row r="648" spans="2:35" ht="360">
      <c r="B648" s="1">
        <v>46035</v>
      </c>
      <c r="C648" s="1">
        <v>45973</v>
      </c>
      <c r="D648" t="s">
        <v>5299</v>
      </c>
      <c r="E648" t="s">
        <v>5300</v>
      </c>
      <c r="F648">
        <v>3</v>
      </c>
      <c r="G648" t="s">
        <v>730</v>
      </c>
      <c r="H648" t="s">
        <v>39</v>
      </c>
      <c r="I648" t="s">
        <v>40</v>
      </c>
      <c r="J648" t="s">
        <v>109</v>
      </c>
      <c r="K648" t="s">
        <v>42</v>
      </c>
      <c r="L648" t="s">
        <v>135</v>
      </c>
      <c r="N648" t="s">
        <v>136</v>
      </c>
      <c r="Q648">
        <v>31898</v>
      </c>
      <c r="R648" t="s">
        <v>95</v>
      </c>
      <c r="S648" t="s">
        <v>4103</v>
      </c>
      <c r="T648">
        <v>25</v>
      </c>
      <c r="U648" s="2" t="s">
        <v>5301</v>
      </c>
      <c r="W648" t="s">
        <v>2680</v>
      </c>
      <c r="X648">
        <v>839232</v>
      </c>
      <c r="Y648" t="s">
        <v>5302</v>
      </c>
      <c r="Z648" t="s">
        <v>4315</v>
      </c>
      <c r="AA648" s="2" t="s">
        <v>4316</v>
      </c>
      <c r="AB648" t="s">
        <v>5303</v>
      </c>
      <c r="AG648" t="s">
        <v>5304</v>
      </c>
      <c r="AH648" t="s">
        <v>4110</v>
      </c>
      <c r="AI648" t="s">
        <v>5305</v>
      </c>
    </row>
    <row r="649" spans="2:35" ht="165">
      <c r="B649" s="1">
        <v>46035</v>
      </c>
      <c r="C649" s="1">
        <v>46035</v>
      </c>
      <c r="D649" t="s">
        <v>5306</v>
      </c>
      <c r="E649" t="s">
        <v>5307</v>
      </c>
      <c r="F649">
        <v>2</v>
      </c>
      <c r="G649" t="s">
        <v>2668</v>
      </c>
      <c r="H649" t="s">
        <v>39</v>
      </c>
      <c r="I649" t="s">
        <v>40</v>
      </c>
      <c r="J649" s="2" t="s">
        <v>62</v>
      </c>
      <c r="K649" t="s">
        <v>42</v>
      </c>
      <c r="L649" t="s">
        <v>63</v>
      </c>
      <c r="N649" t="s">
        <v>64</v>
      </c>
      <c r="Q649">
        <v>31897</v>
      </c>
      <c r="R649" t="s">
        <v>967</v>
      </c>
      <c r="S649" t="s">
        <v>5308</v>
      </c>
      <c r="T649">
        <v>25</v>
      </c>
      <c r="U649" s="2" t="s">
        <v>5309</v>
      </c>
      <c r="V649" s="1">
        <v>46028</v>
      </c>
      <c r="W649" t="s">
        <v>373</v>
      </c>
      <c r="X649">
        <v>110023504</v>
      </c>
      <c r="Y649" t="s">
        <v>67</v>
      </c>
      <c r="Z649" s="2" t="s">
        <v>5093</v>
      </c>
      <c r="AA649" s="2" t="s">
        <v>1727</v>
      </c>
      <c r="AB649" t="s">
        <v>70</v>
      </c>
      <c r="AD649" t="s">
        <v>948</v>
      </c>
      <c r="AE649">
        <v>13644</v>
      </c>
      <c r="AG649" t="s">
        <v>5310</v>
      </c>
      <c r="AH649" t="s">
        <v>5311</v>
      </c>
      <c r="AI649" t="s">
        <v>5312</v>
      </c>
    </row>
    <row r="650" spans="2:35" ht="165">
      <c r="B650" s="1">
        <v>46035</v>
      </c>
      <c r="C650" s="1">
        <v>46035</v>
      </c>
      <c r="D650" t="s">
        <v>5313</v>
      </c>
      <c r="E650" t="s">
        <v>5314</v>
      </c>
      <c r="F650">
        <v>10</v>
      </c>
      <c r="G650" t="s">
        <v>5315</v>
      </c>
      <c r="H650" t="s">
        <v>5316</v>
      </c>
      <c r="I650" t="s">
        <v>40</v>
      </c>
      <c r="J650" s="2" t="s">
        <v>62</v>
      </c>
      <c r="K650" t="s">
        <v>42</v>
      </c>
      <c r="L650" t="s">
        <v>933</v>
      </c>
      <c r="N650" t="s">
        <v>934</v>
      </c>
      <c r="Q650">
        <v>31896</v>
      </c>
      <c r="R650" t="s">
        <v>967</v>
      </c>
      <c r="S650" t="s">
        <v>5317</v>
      </c>
      <c r="T650">
        <v>30</v>
      </c>
      <c r="V650" s="1">
        <v>46029</v>
      </c>
      <c r="W650" t="s">
        <v>5318</v>
      </c>
      <c r="X650">
        <v>110023519</v>
      </c>
      <c r="Y650" t="s">
        <v>5319</v>
      </c>
      <c r="Z650" t="s">
        <v>5320</v>
      </c>
      <c r="AA650" t="s">
        <v>5321</v>
      </c>
      <c r="AB650" s="2" t="s">
        <v>5322</v>
      </c>
      <c r="AD650" t="s">
        <v>5323</v>
      </c>
      <c r="AE650">
        <v>13658</v>
      </c>
      <c r="AG650" t="s">
        <v>5324</v>
      </c>
      <c r="AH650" t="s">
        <v>5325</v>
      </c>
      <c r="AI650" t="s">
        <v>5326</v>
      </c>
    </row>
    <row r="651" spans="2:35" ht="105">
      <c r="B651" s="1">
        <v>46035</v>
      </c>
      <c r="C651" s="1">
        <v>46035</v>
      </c>
      <c r="D651" t="s">
        <v>5327</v>
      </c>
      <c r="E651" t="s">
        <v>5328</v>
      </c>
      <c r="F651">
        <v>6</v>
      </c>
      <c r="G651" t="s">
        <v>1507</v>
      </c>
      <c r="H651" t="s">
        <v>258</v>
      </c>
      <c r="I651" t="s">
        <v>40</v>
      </c>
      <c r="J651" s="2" t="s">
        <v>62</v>
      </c>
      <c r="K651" t="s">
        <v>42</v>
      </c>
      <c r="L651" t="s">
        <v>259</v>
      </c>
      <c r="N651" t="s">
        <v>260</v>
      </c>
      <c r="Q651">
        <v>31895</v>
      </c>
      <c r="R651" t="s">
        <v>967</v>
      </c>
      <c r="S651" t="s">
        <v>5329</v>
      </c>
      <c r="T651">
        <v>25</v>
      </c>
      <c r="U651" s="2" t="s">
        <v>5330</v>
      </c>
      <c r="V651" s="1">
        <v>46035</v>
      </c>
      <c r="W651" t="s">
        <v>84</v>
      </c>
      <c r="X651">
        <v>110023543</v>
      </c>
      <c r="Y651" t="s">
        <v>67</v>
      </c>
      <c r="Z651" t="e">
        <f ca="1">- Preventive Maintenance
- Xpert Check CALIBRATION
- Data Collection
- archived Data</f>
        <v>#NAME?</v>
      </c>
      <c r="AA651" t="e">
        <f ca="1">- Preventive Maintenance
- CALIBRATION</f>
        <v>#NAME?</v>
      </c>
      <c r="AB651" t="s">
        <v>70</v>
      </c>
      <c r="AC651" t="s">
        <v>5219</v>
      </c>
      <c r="AD651" t="s">
        <v>5244</v>
      </c>
      <c r="AE651">
        <v>5477</v>
      </c>
      <c r="AG651" t="s">
        <v>5331</v>
      </c>
      <c r="AH651" t="s">
        <v>5332</v>
      </c>
      <c r="AI651" t="s">
        <v>5333</v>
      </c>
    </row>
    <row r="652" spans="2:35" ht="225">
      <c r="B652" s="1">
        <v>46035</v>
      </c>
      <c r="C652" s="1">
        <v>46035</v>
      </c>
      <c r="D652" t="s">
        <v>5334</v>
      </c>
      <c r="E652" t="s">
        <v>5335</v>
      </c>
      <c r="F652">
        <v>6</v>
      </c>
      <c r="G652" t="s">
        <v>1286</v>
      </c>
      <c r="H652" t="s">
        <v>39</v>
      </c>
      <c r="I652" t="s">
        <v>40</v>
      </c>
      <c r="J652" s="2" t="s">
        <v>62</v>
      </c>
      <c r="K652" t="s">
        <v>42</v>
      </c>
      <c r="L652" t="s">
        <v>433</v>
      </c>
      <c r="N652" t="s">
        <v>434</v>
      </c>
      <c r="Q652">
        <v>31894</v>
      </c>
      <c r="R652" t="s">
        <v>967</v>
      </c>
      <c r="S652" t="s">
        <v>5336</v>
      </c>
      <c r="T652">
        <v>28</v>
      </c>
      <c r="W652" t="s">
        <v>502</v>
      </c>
      <c r="X652">
        <v>110023532</v>
      </c>
      <c r="Y652" t="s">
        <v>2303</v>
      </c>
      <c r="Z652" s="2" t="s">
        <v>5337</v>
      </c>
      <c r="AA652" s="2" t="s">
        <v>5337</v>
      </c>
      <c r="AB652" s="2" t="s">
        <v>5277</v>
      </c>
      <c r="AG652" t="s">
        <v>5338</v>
      </c>
      <c r="AH652" t="s">
        <v>5339</v>
      </c>
      <c r="AI652" t="s">
        <v>5340</v>
      </c>
    </row>
    <row r="653" spans="2:35" ht="150">
      <c r="B653" s="1">
        <v>46035</v>
      </c>
      <c r="C653" s="1">
        <v>46035</v>
      </c>
      <c r="D653" t="s">
        <v>3139</v>
      </c>
      <c r="E653" t="s">
        <v>3140</v>
      </c>
      <c r="F653">
        <v>3</v>
      </c>
      <c r="G653" t="s">
        <v>174</v>
      </c>
      <c r="H653" t="s">
        <v>39</v>
      </c>
      <c r="I653" t="s">
        <v>40</v>
      </c>
      <c r="J653" t="s">
        <v>109</v>
      </c>
      <c r="K653" t="s">
        <v>42</v>
      </c>
      <c r="L653" t="s">
        <v>175</v>
      </c>
      <c r="N653" t="s">
        <v>176</v>
      </c>
      <c r="Q653">
        <v>31893</v>
      </c>
      <c r="R653" t="s">
        <v>45</v>
      </c>
      <c r="S653" t="s">
        <v>5341</v>
      </c>
      <c r="T653">
        <v>27</v>
      </c>
      <c r="W653" t="s">
        <v>84</v>
      </c>
      <c r="X653">
        <v>805113</v>
      </c>
      <c r="Y653" t="s">
        <v>374</v>
      </c>
      <c r="Z653" t="s">
        <v>103</v>
      </c>
      <c r="AA653" t="e">
        <f ca="1">- checked _xludf.and cleaned cartridge bay, plunger rod, _xludf.filter
- generated reports
- performed self test</f>
        <v>#NAME?</v>
      </c>
      <c r="AB653" s="2" t="s">
        <v>5342</v>
      </c>
      <c r="AG653" t="s">
        <v>5343</v>
      </c>
      <c r="AH653" t="s">
        <v>3145</v>
      </c>
      <c r="AI653" t="s">
        <v>5344</v>
      </c>
    </row>
    <row r="654" spans="2:35" ht="300">
      <c r="B654" s="1">
        <v>46035</v>
      </c>
      <c r="C654" s="1">
        <v>46035</v>
      </c>
      <c r="D654" t="s">
        <v>3139</v>
      </c>
      <c r="E654" t="s">
        <v>3140</v>
      </c>
      <c r="F654">
        <v>3</v>
      </c>
      <c r="G654" t="s">
        <v>174</v>
      </c>
      <c r="H654" t="s">
        <v>39</v>
      </c>
      <c r="I654" t="s">
        <v>40</v>
      </c>
      <c r="J654" t="s">
        <v>109</v>
      </c>
      <c r="K654" t="s">
        <v>42</v>
      </c>
      <c r="L654" t="s">
        <v>175</v>
      </c>
      <c r="N654" t="s">
        <v>176</v>
      </c>
      <c r="Q654">
        <v>31892</v>
      </c>
      <c r="R654" t="s">
        <v>119</v>
      </c>
      <c r="S654" t="s">
        <v>5341</v>
      </c>
      <c r="T654">
        <v>27</v>
      </c>
      <c r="W654" t="s">
        <v>84</v>
      </c>
      <c r="X654">
        <v>834623</v>
      </c>
      <c r="Y654" s="2" t="s">
        <v>5345</v>
      </c>
      <c r="Z654" t="s">
        <v>5346</v>
      </c>
      <c r="AA654" t="e">
        <f ca="1">- checked _xludf.and cleaned cartridge bay, plunger rod, _xludf.filter
- Reset VGA cable
- generated reports
- performed self test</f>
        <v>#NAME?</v>
      </c>
      <c r="AB654" s="2" t="s">
        <v>5347</v>
      </c>
      <c r="AG654" t="s">
        <v>5348</v>
      </c>
      <c r="AH654" t="s">
        <v>3145</v>
      </c>
      <c r="AI654" t="s">
        <v>5349</v>
      </c>
    </row>
    <row r="655" spans="2:35" ht="165">
      <c r="B655" s="1">
        <v>46035</v>
      </c>
      <c r="C655" s="1">
        <v>46035</v>
      </c>
      <c r="D655" t="s">
        <v>3139</v>
      </c>
      <c r="E655" t="s">
        <v>3140</v>
      </c>
      <c r="F655">
        <v>3</v>
      </c>
      <c r="G655" t="s">
        <v>174</v>
      </c>
      <c r="H655" t="s">
        <v>39</v>
      </c>
      <c r="I655" t="s">
        <v>40</v>
      </c>
      <c r="J655" s="2" t="s">
        <v>62</v>
      </c>
      <c r="K655" t="s">
        <v>42</v>
      </c>
      <c r="L655" t="s">
        <v>175</v>
      </c>
      <c r="N655" t="s">
        <v>176</v>
      </c>
      <c r="Q655">
        <v>31891</v>
      </c>
      <c r="R655" t="s">
        <v>967</v>
      </c>
      <c r="S655" t="s">
        <v>5341</v>
      </c>
      <c r="T655">
        <v>25</v>
      </c>
      <c r="V655" s="1">
        <v>46028</v>
      </c>
      <c r="W655" t="s">
        <v>373</v>
      </c>
      <c r="X655">
        <v>110023507</v>
      </c>
      <c r="Y655" t="s">
        <v>998</v>
      </c>
      <c r="Z655" t="s">
        <v>999</v>
      </c>
      <c r="AA655" t="e">
        <f ca="1">- checked _xludf.and cleaned cartridge bay, plunger rod, _xludf.filter, icore slot
- performed XpertCheck
- generated reports
- performed self test</f>
        <v>#NAME?</v>
      </c>
      <c r="AB655" s="2" t="s">
        <v>5350</v>
      </c>
      <c r="AD655" s="2" t="s">
        <v>5231</v>
      </c>
      <c r="AE655">
        <v>13643</v>
      </c>
      <c r="AG655" t="s">
        <v>5351</v>
      </c>
      <c r="AH655" t="s">
        <v>3145</v>
      </c>
      <c r="AI655" t="s">
        <v>5352</v>
      </c>
    </row>
    <row r="656" spans="2:35" ht="105">
      <c r="B656" s="1">
        <v>46035</v>
      </c>
      <c r="C656" s="1">
        <v>46035</v>
      </c>
      <c r="D656" t="s">
        <v>5353</v>
      </c>
      <c r="E656" t="s">
        <v>5354</v>
      </c>
      <c r="F656">
        <v>6</v>
      </c>
      <c r="G656" t="s">
        <v>1507</v>
      </c>
      <c r="H656" t="s">
        <v>39</v>
      </c>
      <c r="I656" t="s">
        <v>40</v>
      </c>
      <c r="J656" s="2" t="s">
        <v>62</v>
      </c>
      <c r="K656" t="s">
        <v>42</v>
      </c>
      <c r="L656" t="s">
        <v>259</v>
      </c>
      <c r="N656" t="s">
        <v>260</v>
      </c>
      <c r="Q656">
        <v>31890</v>
      </c>
      <c r="R656" t="s">
        <v>967</v>
      </c>
      <c r="S656" t="s">
        <v>5355</v>
      </c>
      <c r="T656">
        <v>28</v>
      </c>
      <c r="U656" s="2" t="s">
        <v>5356</v>
      </c>
      <c r="V656" s="1">
        <v>46035</v>
      </c>
      <c r="W656" t="s">
        <v>84</v>
      </c>
      <c r="X656">
        <v>110023541</v>
      </c>
      <c r="Y656" t="s">
        <v>67</v>
      </c>
      <c r="Z656" t="e">
        <f ca="1">- Preventive Maintenance
- Xpert Check CALIBRATION
- Data Collection
- archived Data</f>
        <v>#NAME?</v>
      </c>
      <c r="AA656" t="e">
        <f ca="1">- Preventive Maintenance
- CALIBRATION</f>
        <v>#NAME?</v>
      </c>
      <c r="AB656" t="s">
        <v>70</v>
      </c>
      <c r="AC656" t="s">
        <v>5219</v>
      </c>
      <c r="AD656" t="s">
        <v>5244</v>
      </c>
      <c r="AE656">
        <v>5474</v>
      </c>
      <c r="AG656" t="s">
        <v>5357</v>
      </c>
      <c r="AH656" t="s">
        <v>5358</v>
      </c>
      <c r="AI656" t="s">
        <v>5359</v>
      </c>
    </row>
    <row r="657" spans="2:35" ht="409.5">
      <c r="B657" s="1">
        <v>46035</v>
      </c>
      <c r="C657" s="1">
        <v>46035</v>
      </c>
      <c r="D657" t="s">
        <v>5360</v>
      </c>
      <c r="E657" t="s">
        <v>5361</v>
      </c>
      <c r="F657">
        <v>11</v>
      </c>
      <c r="G657" t="s">
        <v>1205</v>
      </c>
      <c r="H657" t="s">
        <v>2548</v>
      </c>
      <c r="I657" t="s">
        <v>40</v>
      </c>
      <c r="J657" s="2" t="s">
        <v>62</v>
      </c>
      <c r="K657" t="s">
        <v>42</v>
      </c>
      <c r="L657" t="s">
        <v>204</v>
      </c>
      <c r="N657" t="s">
        <v>205</v>
      </c>
      <c r="Q657">
        <v>31889</v>
      </c>
      <c r="R657" t="s">
        <v>967</v>
      </c>
      <c r="S657" t="s">
        <v>1206</v>
      </c>
      <c r="T657">
        <v>26.5</v>
      </c>
      <c r="U657" s="2" t="s">
        <v>5362</v>
      </c>
      <c r="V657" s="1">
        <v>46029</v>
      </c>
      <c r="W657" t="s">
        <v>2550</v>
      </c>
      <c r="X657">
        <v>110023505</v>
      </c>
      <c r="Y657" t="s">
        <v>1618</v>
      </c>
      <c r="Z657" s="2" t="s">
        <v>5363</v>
      </c>
      <c r="AA657" t="s">
        <v>1620</v>
      </c>
      <c r="AB657" s="2" t="s">
        <v>5364</v>
      </c>
      <c r="AD657" t="s">
        <v>5365</v>
      </c>
      <c r="AE657" t="s">
        <v>5366</v>
      </c>
      <c r="AG657" t="s">
        <v>5367</v>
      </c>
      <c r="AH657" t="s">
        <v>1214</v>
      </c>
      <c r="AI657" t="s">
        <v>5368</v>
      </c>
    </row>
    <row r="658" spans="2:35" ht="409.5">
      <c r="B658" s="1">
        <v>46035</v>
      </c>
      <c r="C658" s="1">
        <v>46035</v>
      </c>
      <c r="D658" t="s">
        <v>5360</v>
      </c>
      <c r="E658" t="s">
        <v>5369</v>
      </c>
      <c r="F658">
        <v>11</v>
      </c>
      <c r="G658" t="s">
        <v>1205</v>
      </c>
      <c r="H658" t="s">
        <v>2548</v>
      </c>
      <c r="I658" t="s">
        <v>40</v>
      </c>
      <c r="J658" s="2" t="s">
        <v>1157</v>
      </c>
      <c r="K658" t="s">
        <v>42</v>
      </c>
      <c r="L658" t="s">
        <v>204</v>
      </c>
      <c r="N658" t="s">
        <v>205</v>
      </c>
      <c r="Q658">
        <v>31888</v>
      </c>
      <c r="R658" t="s">
        <v>967</v>
      </c>
      <c r="S658" t="s">
        <v>1206</v>
      </c>
      <c r="T658">
        <v>25.8</v>
      </c>
      <c r="U658" s="2" t="s">
        <v>5370</v>
      </c>
      <c r="V658" s="1">
        <v>46029</v>
      </c>
      <c r="W658" t="s">
        <v>2550</v>
      </c>
      <c r="X658">
        <v>110023506</v>
      </c>
      <c r="Y658" s="2" t="s">
        <v>5371</v>
      </c>
      <c r="Z658" s="2" t="s">
        <v>5372</v>
      </c>
      <c r="AA658" s="2" t="s">
        <v>5373</v>
      </c>
      <c r="AB658" s="2" t="s">
        <v>5374</v>
      </c>
      <c r="AC658" t="s">
        <v>5375</v>
      </c>
      <c r="AD658" t="s">
        <v>5365</v>
      </c>
      <c r="AE658" t="s">
        <v>5366</v>
      </c>
      <c r="AG658" t="s">
        <v>5376</v>
      </c>
      <c r="AH658" t="s">
        <v>1214</v>
      </c>
      <c r="AI658" t="s">
        <v>5377</v>
      </c>
    </row>
    <row r="659" spans="2:35" ht="105">
      <c r="B659" s="1">
        <v>46035</v>
      </c>
      <c r="C659" s="1">
        <v>46035</v>
      </c>
      <c r="D659" t="s">
        <v>5378</v>
      </c>
      <c r="E659" t="s">
        <v>5379</v>
      </c>
      <c r="F659">
        <v>6</v>
      </c>
      <c r="G659" t="s">
        <v>1507</v>
      </c>
      <c r="H659" t="s">
        <v>39</v>
      </c>
      <c r="I659" t="s">
        <v>40</v>
      </c>
      <c r="J659" s="2" t="s">
        <v>62</v>
      </c>
      <c r="K659" t="s">
        <v>42</v>
      </c>
      <c r="L659" t="s">
        <v>259</v>
      </c>
      <c r="N659" t="s">
        <v>260</v>
      </c>
      <c r="Q659">
        <v>31887</v>
      </c>
      <c r="R659" t="s">
        <v>967</v>
      </c>
      <c r="S659" t="s">
        <v>5380</v>
      </c>
      <c r="T659">
        <v>28</v>
      </c>
      <c r="U659" s="2" t="s">
        <v>5020</v>
      </c>
      <c r="V659" s="1">
        <v>46035</v>
      </c>
      <c r="W659" t="s">
        <v>84</v>
      </c>
      <c r="X659">
        <v>110023543</v>
      </c>
      <c r="Y659" t="s">
        <v>67</v>
      </c>
      <c r="Z659" t="e">
        <f ca="1">- Preventive Maintenance
- Xpert Check CALIBRATION
- Data Collection
- archived Data</f>
        <v>#NAME?</v>
      </c>
      <c r="AA659" t="e">
        <f ca="1">- Preventive Maintenance
- CALIBRATION</f>
        <v>#NAME?</v>
      </c>
      <c r="AB659" t="s">
        <v>70</v>
      </c>
      <c r="AC659" t="s">
        <v>5243</v>
      </c>
      <c r="AD659" t="s">
        <v>5244</v>
      </c>
      <c r="AE659">
        <v>5478</v>
      </c>
      <c r="AG659" t="s">
        <v>5381</v>
      </c>
      <c r="AH659" t="s">
        <v>5382</v>
      </c>
      <c r="AI659" t="s">
        <v>5383</v>
      </c>
    </row>
    <row r="660" spans="2:35" ht="225">
      <c r="B660" s="1">
        <v>46035</v>
      </c>
      <c r="C660" s="1">
        <v>46035</v>
      </c>
      <c r="D660" t="s">
        <v>1284</v>
      </c>
      <c r="E660" t="s">
        <v>5384</v>
      </c>
      <c r="F660">
        <v>6</v>
      </c>
      <c r="G660" t="s">
        <v>1286</v>
      </c>
      <c r="H660" t="s">
        <v>39</v>
      </c>
      <c r="I660" t="s">
        <v>40</v>
      </c>
      <c r="J660" s="2" t="s">
        <v>62</v>
      </c>
      <c r="K660" t="s">
        <v>42</v>
      </c>
      <c r="L660" t="s">
        <v>433</v>
      </c>
      <c r="N660" t="s">
        <v>434</v>
      </c>
      <c r="Q660">
        <v>31886</v>
      </c>
      <c r="R660" t="s">
        <v>967</v>
      </c>
      <c r="S660" t="s">
        <v>5385</v>
      </c>
      <c r="T660">
        <v>20</v>
      </c>
      <c r="W660" t="s">
        <v>502</v>
      </c>
      <c r="X660">
        <v>110023529</v>
      </c>
      <c r="Y660" t="s">
        <v>5386</v>
      </c>
      <c r="Z660" s="2" t="s">
        <v>5387</v>
      </c>
      <c r="AA660" s="2" t="s">
        <v>5387</v>
      </c>
      <c r="AB660" s="2" t="s">
        <v>5277</v>
      </c>
      <c r="AG660" t="s">
        <v>5388</v>
      </c>
      <c r="AH660" t="s">
        <v>5389</v>
      </c>
      <c r="AI660" t="s">
        <v>5390</v>
      </c>
    </row>
    <row r="661" spans="2:35" ht="409.5">
      <c r="B661" s="1">
        <v>46034</v>
      </c>
      <c r="C661" s="1">
        <v>46030</v>
      </c>
      <c r="D661" t="s">
        <v>965</v>
      </c>
      <c r="E661" t="s">
        <v>966</v>
      </c>
      <c r="F661" t="s">
        <v>1255</v>
      </c>
      <c r="G661" t="s">
        <v>294</v>
      </c>
      <c r="H661" t="s">
        <v>5391</v>
      </c>
      <c r="I661" t="s">
        <v>40</v>
      </c>
      <c r="J661" s="2" t="s">
        <v>3167</v>
      </c>
      <c r="K661" t="s">
        <v>42</v>
      </c>
      <c r="L661" t="s">
        <v>296</v>
      </c>
      <c r="N661" t="s">
        <v>297</v>
      </c>
      <c r="Q661">
        <v>31885</v>
      </c>
      <c r="R661" t="s">
        <v>967</v>
      </c>
      <c r="S661" t="s">
        <v>5392</v>
      </c>
      <c r="T661">
        <v>25.6</v>
      </c>
      <c r="U661" s="2" t="s">
        <v>5393</v>
      </c>
      <c r="V661" s="1">
        <v>46030</v>
      </c>
      <c r="W661" t="s">
        <v>5394</v>
      </c>
      <c r="X661">
        <v>110023520</v>
      </c>
      <c r="Y661" t="s">
        <v>301</v>
      </c>
      <c r="Z661" s="2" t="s">
        <v>5395</v>
      </c>
      <c r="AA661" s="2" t="s">
        <v>5396</v>
      </c>
      <c r="AB661" s="2" t="s">
        <v>5397</v>
      </c>
      <c r="AD661" t="s">
        <v>3173</v>
      </c>
      <c r="AE661" t="s">
        <v>5398</v>
      </c>
      <c r="AG661" t="s">
        <v>5399</v>
      </c>
      <c r="AH661" t="s">
        <v>5400</v>
      </c>
      <c r="AI661" t="s">
        <v>5401</v>
      </c>
    </row>
    <row r="662" spans="2:35" ht="240">
      <c r="B662" s="1">
        <v>46034</v>
      </c>
      <c r="C662" s="1">
        <v>46034</v>
      </c>
      <c r="D662" t="s">
        <v>5402</v>
      </c>
      <c r="E662" t="s">
        <v>5403</v>
      </c>
      <c r="F662">
        <v>6</v>
      </c>
      <c r="G662" t="s">
        <v>1286</v>
      </c>
      <c r="H662" t="s">
        <v>39</v>
      </c>
      <c r="I662" t="s">
        <v>40</v>
      </c>
      <c r="J662" s="2" t="s">
        <v>62</v>
      </c>
      <c r="K662" t="s">
        <v>42</v>
      </c>
      <c r="L662" t="s">
        <v>433</v>
      </c>
      <c r="N662" t="s">
        <v>434</v>
      </c>
      <c r="Q662">
        <v>31884</v>
      </c>
      <c r="R662" t="s">
        <v>967</v>
      </c>
      <c r="S662" t="s">
        <v>5404</v>
      </c>
      <c r="T662">
        <v>28</v>
      </c>
      <c r="W662" t="s">
        <v>502</v>
      </c>
      <c r="X662">
        <v>110023533</v>
      </c>
      <c r="Y662" t="s">
        <v>2303</v>
      </c>
      <c r="Z662" s="2" t="s">
        <v>5405</v>
      </c>
      <c r="AA662" s="2" t="s">
        <v>5405</v>
      </c>
      <c r="AB662" s="2" t="s">
        <v>5277</v>
      </c>
      <c r="AG662" t="s">
        <v>5406</v>
      </c>
      <c r="AH662" t="s">
        <v>5407</v>
      </c>
      <c r="AI662" t="s">
        <v>5408</v>
      </c>
    </row>
    <row r="663" spans="2:35" ht="240">
      <c r="B663" s="1">
        <v>46034</v>
      </c>
      <c r="C663" s="1">
        <v>46034</v>
      </c>
      <c r="D663" t="s">
        <v>5402</v>
      </c>
      <c r="E663" t="s">
        <v>5403</v>
      </c>
      <c r="F663">
        <v>6</v>
      </c>
      <c r="G663" t="s">
        <v>1286</v>
      </c>
      <c r="H663" t="s">
        <v>39</v>
      </c>
      <c r="I663" t="s">
        <v>40</v>
      </c>
      <c r="J663" s="2" t="s">
        <v>62</v>
      </c>
      <c r="K663" t="s">
        <v>42</v>
      </c>
      <c r="L663" t="s">
        <v>433</v>
      </c>
      <c r="N663" t="s">
        <v>434</v>
      </c>
      <c r="Q663">
        <v>31883</v>
      </c>
      <c r="R663" t="s">
        <v>967</v>
      </c>
      <c r="S663" t="s">
        <v>5404</v>
      </c>
      <c r="T663">
        <v>28</v>
      </c>
      <c r="W663" t="s">
        <v>502</v>
      </c>
      <c r="X663">
        <v>110023533</v>
      </c>
      <c r="Y663" t="s">
        <v>2303</v>
      </c>
      <c r="Z663" s="2" t="s">
        <v>5405</v>
      </c>
      <c r="AA663" s="2" t="s">
        <v>5405</v>
      </c>
      <c r="AB663" s="2" t="s">
        <v>5277</v>
      </c>
      <c r="AG663" t="s">
        <v>5409</v>
      </c>
      <c r="AH663" t="s">
        <v>5407</v>
      </c>
      <c r="AI663" t="s">
        <v>5410</v>
      </c>
    </row>
    <row r="664" spans="2:35" ht="105">
      <c r="B664" s="1">
        <v>46034</v>
      </c>
      <c r="C664" s="1">
        <v>46034</v>
      </c>
      <c r="D664" t="s">
        <v>3364</v>
      </c>
      <c r="E664" t="s">
        <v>3365</v>
      </c>
      <c r="F664">
        <v>6</v>
      </c>
      <c r="G664" t="s">
        <v>1286</v>
      </c>
      <c r="H664" t="s">
        <v>258</v>
      </c>
      <c r="I664" t="s">
        <v>40</v>
      </c>
      <c r="J664" s="2" t="s">
        <v>62</v>
      </c>
      <c r="K664" t="s">
        <v>42</v>
      </c>
      <c r="L664" t="s">
        <v>259</v>
      </c>
      <c r="N664" t="s">
        <v>260</v>
      </c>
      <c r="Q664">
        <v>31882</v>
      </c>
      <c r="R664" t="s">
        <v>967</v>
      </c>
      <c r="S664" t="s">
        <v>3366</v>
      </c>
      <c r="T664">
        <v>25</v>
      </c>
      <c r="U664" s="2" t="s">
        <v>5411</v>
      </c>
      <c r="V664" s="1">
        <v>46034</v>
      </c>
      <c r="W664" t="s">
        <v>84</v>
      </c>
      <c r="X664">
        <v>110023526</v>
      </c>
      <c r="Y664" t="s">
        <v>67</v>
      </c>
      <c r="Z664" t="e">
        <f ca="1">- Preventive Maintenance
- Xpert Check CALIBRATION
- Data Collection
- ARCHIVE Data</f>
        <v>#NAME?</v>
      </c>
      <c r="AA664" t="e">
        <f ca="1">- Preventive Maintenance
- CALIBRATION</f>
        <v>#NAME?</v>
      </c>
      <c r="AB664" t="e">
        <f ca="1">- Unit is operational
- module B1, B2, B3 Retry
- module B2, B3 service required
- module B1 , B4 passed</f>
        <v>#NAME?</v>
      </c>
      <c r="AD664" t="s">
        <v>5244</v>
      </c>
      <c r="AE664">
        <v>5479</v>
      </c>
      <c r="AG664" t="s">
        <v>5412</v>
      </c>
      <c r="AH664" t="s">
        <v>5413</v>
      </c>
      <c r="AI664" t="s">
        <v>5414</v>
      </c>
    </row>
    <row r="665" spans="2:35" ht="195">
      <c r="B665" s="1">
        <v>46034</v>
      </c>
      <c r="C665" s="1">
        <v>46034</v>
      </c>
      <c r="D665" t="s">
        <v>5415</v>
      </c>
      <c r="E665" t="s">
        <v>5416</v>
      </c>
      <c r="F665">
        <v>6</v>
      </c>
      <c r="G665" t="s">
        <v>1286</v>
      </c>
      <c r="H665" t="s">
        <v>39</v>
      </c>
      <c r="I665" t="s">
        <v>40</v>
      </c>
      <c r="J665" s="2" t="s">
        <v>62</v>
      </c>
      <c r="K665" t="s">
        <v>42</v>
      </c>
      <c r="L665" t="s">
        <v>433</v>
      </c>
      <c r="N665" t="s">
        <v>434</v>
      </c>
      <c r="Q665">
        <v>31881</v>
      </c>
      <c r="R665" t="s">
        <v>967</v>
      </c>
      <c r="S665" t="s">
        <v>5417</v>
      </c>
      <c r="T665">
        <v>28</v>
      </c>
      <c r="W665" t="s">
        <v>502</v>
      </c>
      <c r="X665">
        <v>110023530</v>
      </c>
      <c r="Y665" t="s">
        <v>5386</v>
      </c>
      <c r="Z665" s="2" t="s">
        <v>5418</v>
      </c>
      <c r="AA665" s="2" t="s">
        <v>5418</v>
      </c>
      <c r="AB665" t="s">
        <v>1011</v>
      </c>
      <c r="AG665" t="s">
        <v>5419</v>
      </c>
      <c r="AH665" t="s">
        <v>5420</v>
      </c>
      <c r="AI665" t="s">
        <v>5421</v>
      </c>
    </row>
    <row r="666" spans="2:35" ht="150">
      <c r="B666" s="1">
        <v>46034</v>
      </c>
      <c r="C666" s="1">
        <v>46034</v>
      </c>
      <c r="D666" t="s">
        <v>3423</v>
      </c>
      <c r="E666" t="s">
        <v>3116</v>
      </c>
      <c r="F666">
        <v>7</v>
      </c>
      <c r="G666" t="s">
        <v>432</v>
      </c>
      <c r="H666" t="s">
        <v>386</v>
      </c>
      <c r="I666" t="s">
        <v>40</v>
      </c>
      <c r="J666" s="2" t="s">
        <v>41</v>
      </c>
      <c r="K666" t="s">
        <v>387</v>
      </c>
      <c r="L666" t="s">
        <v>610</v>
      </c>
      <c r="N666" t="s">
        <v>611</v>
      </c>
      <c r="O666" t="s">
        <v>3424</v>
      </c>
      <c r="Q666">
        <v>31880</v>
      </c>
      <c r="R666" t="s">
        <v>95</v>
      </c>
      <c r="S666" t="s">
        <v>3424</v>
      </c>
      <c r="T666">
        <v>0</v>
      </c>
      <c r="W666" t="s">
        <v>390</v>
      </c>
      <c r="X666" t="s">
        <v>3425</v>
      </c>
      <c r="Y666" t="s">
        <v>5422</v>
      </c>
      <c r="Z666" s="2" t="s">
        <v>5423</v>
      </c>
      <c r="AA666" s="2" t="s">
        <v>5423</v>
      </c>
      <c r="AB666" t="s">
        <v>5424</v>
      </c>
      <c r="AG666" t="s">
        <v>5425</v>
      </c>
      <c r="AH666" t="s">
        <v>3429</v>
      </c>
      <c r="AI666" t="s">
        <v>5426</v>
      </c>
    </row>
    <row r="667" spans="2:35" ht="60">
      <c r="B667" s="1">
        <v>46034</v>
      </c>
      <c r="C667" s="1">
        <v>46034</v>
      </c>
      <c r="D667" t="s">
        <v>5427</v>
      </c>
      <c r="E667" t="s">
        <v>5428</v>
      </c>
      <c r="F667">
        <v>6</v>
      </c>
      <c r="G667" t="s">
        <v>1286</v>
      </c>
      <c r="H667" t="s">
        <v>258</v>
      </c>
      <c r="I667" t="s">
        <v>40</v>
      </c>
      <c r="J667" s="2" t="s">
        <v>62</v>
      </c>
      <c r="K667" t="s">
        <v>42</v>
      </c>
      <c r="L667" t="s">
        <v>259</v>
      </c>
      <c r="N667" t="s">
        <v>260</v>
      </c>
      <c r="Q667">
        <v>31879</v>
      </c>
      <c r="R667" t="s">
        <v>967</v>
      </c>
      <c r="S667" t="s">
        <v>5429</v>
      </c>
      <c r="T667">
        <v>27</v>
      </c>
      <c r="V667" s="1">
        <v>46034</v>
      </c>
      <c r="W667" t="s">
        <v>84</v>
      </c>
      <c r="X667">
        <v>110023527</v>
      </c>
      <c r="Y667" t="s">
        <v>67</v>
      </c>
      <c r="Z667" t="e">
        <f ca="1">- Preventive Maintenance
- Xpert Check CALIBRATION
- Data Collection
- archived Data</f>
        <v>#NAME?</v>
      </c>
      <c r="AA667" t="e">
        <f ca="1">- Preventive Maintenance
- CALIBRATION</f>
        <v>#NAME?</v>
      </c>
      <c r="AB667" t="s">
        <v>70</v>
      </c>
      <c r="AC667" t="s">
        <v>5430</v>
      </c>
      <c r="AD667" t="s">
        <v>5244</v>
      </c>
      <c r="AE667">
        <v>5490</v>
      </c>
      <c r="AG667" t="s">
        <v>5431</v>
      </c>
      <c r="AH667" t="s">
        <v>5432</v>
      </c>
      <c r="AI667" t="s">
        <v>5433</v>
      </c>
    </row>
    <row r="668" spans="2:35" ht="225">
      <c r="B668" s="1">
        <v>46034</v>
      </c>
      <c r="C668" s="1">
        <v>46034</v>
      </c>
      <c r="D668" t="s">
        <v>5434</v>
      </c>
      <c r="E668" t="s">
        <v>5435</v>
      </c>
      <c r="F668">
        <v>6</v>
      </c>
      <c r="G668" t="s">
        <v>1286</v>
      </c>
      <c r="H668" t="s">
        <v>39</v>
      </c>
      <c r="I668" t="s">
        <v>40</v>
      </c>
      <c r="J668" s="2" t="s">
        <v>62</v>
      </c>
      <c r="K668" t="s">
        <v>42</v>
      </c>
      <c r="L668" t="s">
        <v>433</v>
      </c>
      <c r="N668" t="s">
        <v>434</v>
      </c>
      <c r="Q668">
        <v>31878</v>
      </c>
      <c r="R668" t="s">
        <v>967</v>
      </c>
      <c r="S668" t="s">
        <v>5436</v>
      </c>
      <c r="T668">
        <v>28</v>
      </c>
      <c r="W668" t="s">
        <v>502</v>
      </c>
      <c r="X668">
        <v>110023534</v>
      </c>
      <c r="Y668" t="s">
        <v>2303</v>
      </c>
      <c r="Z668" s="2" t="s">
        <v>5437</v>
      </c>
      <c r="AA668" s="2" t="s">
        <v>5437</v>
      </c>
      <c r="AB668" t="s">
        <v>5438</v>
      </c>
      <c r="AG668" t="s">
        <v>5439</v>
      </c>
      <c r="AH668" t="s">
        <v>5440</v>
      </c>
      <c r="AI668" t="s">
        <v>5441</v>
      </c>
    </row>
    <row r="669" spans="2:35" ht="105">
      <c r="B669" s="1">
        <v>46034</v>
      </c>
      <c r="C669" s="1">
        <v>46034</v>
      </c>
      <c r="D669" t="s">
        <v>172</v>
      </c>
      <c r="E669" t="s">
        <v>5442</v>
      </c>
      <c r="F669">
        <v>6</v>
      </c>
      <c r="G669" t="s">
        <v>1286</v>
      </c>
      <c r="H669" t="s">
        <v>258</v>
      </c>
      <c r="I669" t="s">
        <v>40</v>
      </c>
      <c r="J669" s="2" t="s">
        <v>62</v>
      </c>
      <c r="K669" t="s">
        <v>42</v>
      </c>
      <c r="L669" t="s">
        <v>259</v>
      </c>
      <c r="N669" t="s">
        <v>260</v>
      </c>
      <c r="Q669">
        <v>31877</v>
      </c>
      <c r="R669" t="s">
        <v>967</v>
      </c>
      <c r="S669" t="s">
        <v>1527</v>
      </c>
      <c r="T669">
        <v>31</v>
      </c>
      <c r="U669" s="2" t="s">
        <v>5443</v>
      </c>
      <c r="V669" s="1">
        <v>46034</v>
      </c>
      <c r="W669" t="s">
        <v>84</v>
      </c>
      <c r="X669">
        <v>110023536</v>
      </c>
      <c r="Y669" t="s">
        <v>67</v>
      </c>
      <c r="Z669" t="e">
        <f ca="1">- Preventive Maintenance
- Xpert Check CALIBRATION
- Data Collection
- ARCHIVE Data</f>
        <v>#NAME?</v>
      </c>
      <c r="AA669" t="e">
        <f ca="1">- Preventive Maintenance
- CALIBRATION</f>
        <v>#NAME?</v>
      </c>
      <c r="AB669" t="e">
        <f ca="1">- Unit is operational
- High ambient temperature</f>
        <v>#NAME?</v>
      </c>
      <c r="AC669" t="s">
        <v>5243</v>
      </c>
      <c r="AD669" t="s">
        <v>5244</v>
      </c>
      <c r="AE669">
        <v>5481</v>
      </c>
      <c r="AG669" t="s">
        <v>5444</v>
      </c>
      <c r="AH669" t="s">
        <v>1531</v>
      </c>
      <c r="AI669" t="s">
        <v>5445</v>
      </c>
    </row>
    <row r="670" spans="2:35">
      <c r="B670" s="1">
        <v>46034</v>
      </c>
      <c r="C670" s="1">
        <v>46031</v>
      </c>
      <c r="D670" t="s">
        <v>498</v>
      </c>
      <c r="E670">
        <v>838508</v>
      </c>
      <c r="F670">
        <v>7</v>
      </c>
      <c r="G670" t="s">
        <v>432</v>
      </c>
      <c r="H670" t="s">
        <v>39</v>
      </c>
      <c r="I670" t="s">
        <v>40</v>
      </c>
      <c r="J670" t="s">
        <v>583</v>
      </c>
      <c r="K670" t="s">
        <v>42</v>
      </c>
      <c r="L670" t="s">
        <v>343</v>
      </c>
      <c r="N670" t="s">
        <v>344</v>
      </c>
      <c r="Q670">
        <v>31876</v>
      </c>
      <c r="R670" t="s">
        <v>119</v>
      </c>
      <c r="S670" t="s">
        <v>3264</v>
      </c>
      <c r="T670">
        <v>27</v>
      </c>
      <c r="W670" t="s">
        <v>1501</v>
      </c>
      <c r="X670">
        <v>838508</v>
      </c>
      <c r="Y670" t="s">
        <v>5446</v>
      </c>
      <c r="Z670" t="s">
        <v>5447</v>
      </c>
      <c r="AA670" t="s">
        <v>301</v>
      </c>
      <c r="AB670" t="s">
        <v>1467</v>
      </c>
      <c r="AG670" t="s">
        <v>5448</v>
      </c>
      <c r="AH670" t="s">
        <v>5449</v>
      </c>
      <c r="AI670" t="s">
        <v>5450</v>
      </c>
    </row>
    <row r="671" spans="2:35" ht="195">
      <c r="B671" s="1">
        <v>46034</v>
      </c>
      <c r="C671" s="1">
        <v>46034</v>
      </c>
      <c r="D671" t="s">
        <v>5087</v>
      </c>
      <c r="E671" t="s">
        <v>5451</v>
      </c>
      <c r="F671" t="s">
        <v>148</v>
      </c>
      <c r="G671" t="s">
        <v>447</v>
      </c>
      <c r="H671" t="s">
        <v>5452</v>
      </c>
      <c r="I671" t="s">
        <v>40</v>
      </c>
      <c r="J671" t="s">
        <v>79</v>
      </c>
      <c r="K671" t="s">
        <v>387</v>
      </c>
      <c r="L671" t="s">
        <v>448</v>
      </c>
      <c r="N671" t="s">
        <v>650</v>
      </c>
      <c r="O671" t="s">
        <v>650</v>
      </c>
      <c r="Q671">
        <v>31875</v>
      </c>
      <c r="R671" t="s">
        <v>322</v>
      </c>
      <c r="S671" t="s">
        <v>650</v>
      </c>
      <c r="T671">
        <v>26</v>
      </c>
      <c r="W671" t="s">
        <v>476</v>
      </c>
      <c r="X671" t="s">
        <v>5453</v>
      </c>
      <c r="Y671" t="s">
        <v>5454</v>
      </c>
      <c r="Z671" s="2" t="s">
        <v>5455</v>
      </c>
      <c r="AA671" t="s">
        <v>914</v>
      </c>
      <c r="AB671" s="2" t="s">
        <v>5456</v>
      </c>
      <c r="AG671" t="s">
        <v>5457</v>
      </c>
      <c r="AH671" t="s">
        <v>1855</v>
      </c>
      <c r="AI671" t="s">
        <v>5458</v>
      </c>
    </row>
    <row r="672" spans="2:35" ht="165">
      <c r="B672" s="1">
        <v>46034</v>
      </c>
      <c r="C672" s="1">
        <v>46034</v>
      </c>
      <c r="D672" t="s">
        <v>1855</v>
      </c>
      <c r="E672" t="s">
        <v>5459</v>
      </c>
      <c r="F672" t="s">
        <v>148</v>
      </c>
      <c r="G672" t="s">
        <v>447</v>
      </c>
      <c r="H672" t="s">
        <v>5452</v>
      </c>
      <c r="I672" t="s">
        <v>40</v>
      </c>
      <c r="J672" t="s">
        <v>5460</v>
      </c>
      <c r="K672" t="s">
        <v>387</v>
      </c>
      <c r="L672" t="s">
        <v>448</v>
      </c>
      <c r="N672" t="s">
        <v>650</v>
      </c>
      <c r="O672" t="s">
        <v>650</v>
      </c>
      <c r="Q672">
        <v>31874</v>
      </c>
      <c r="R672" t="s">
        <v>322</v>
      </c>
      <c r="S672" t="s">
        <v>650</v>
      </c>
      <c r="T672">
        <v>26</v>
      </c>
      <c r="W672" t="s">
        <v>476</v>
      </c>
      <c r="X672" t="s">
        <v>5453</v>
      </c>
      <c r="Y672" s="2" t="s">
        <v>5461</v>
      </c>
      <c r="Z672" s="2" t="s">
        <v>5462</v>
      </c>
      <c r="AA672" t="s">
        <v>768</v>
      </c>
      <c r="AB672" s="2" t="s">
        <v>5463</v>
      </c>
      <c r="AG672" t="s">
        <v>5464</v>
      </c>
      <c r="AH672" t="s">
        <v>1855</v>
      </c>
      <c r="AI672" t="s">
        <v>5465</v>
      </c>
    </row>
    <row r="673" spans="2:35" ht="105">
      <c r="B673" s="1">
        <v>46034</v>
      </c>
      <c r="C673" s="1">
        <v>46034</v>
      </c>
      <c r="D673" t="s">
        <v>5466</v>
      </c>
      <c r="E673" t="s">
        <v>5467</v>
      </c>
      <c r="F673">
        <v>6</v>
      </c>
      <c r="G673" t="s">
        <v>1286</v>
      </c>
      <c r="H673" t="s">
        <v>258</v>
      </c>
      <c r="I673" t="s">
        <v>40</v>
      </c>
      <c r="J673" s="2" t="s">
        <v>62</v>
      </c>
      <c r="K673" t="s">
        <v>42</v>
      </c>
      <c r="L673" t="s">
        <v>259</v>
      </c>
      <c r="N673" t="s">
        <v>260</v>
      </c>
      <c r="Q673">
        <v>31873</v>
      </c>
      <c r="R673" t="s">
        <v>967</v>
      </c>
      <c r="S673" t="s">
        <v>5468</v>
      </c>
      <c r="T673">
        <v>24</v>
      </c>
      <c r="U673" s="2" t="s">
        <v>5469</v>
      </c>
      <c r="V673" s="1">
        <v>46034</v>
      </c>
      <c r="W673" t="s">
        <v>84</v>
      </c>
      <c r="X673">
        <v>110023535</v>
      </c>
      <c r="Y673" t="s">
        <v>67</v>
      </c>
      <c r="Z673" t="e">
        <f ca="1">- Preventive Maintenance
- Xpert Check CALIBRATION
- Data Collection
- ARCHIVE Data</f>
        <v>#NAME?</v>
      </c>
      <c r="AA673" t="e">
        <f ca="1">- Preventive Maintenance
- CALIBRATION</f>
        <v>#NAME?</v>
      </c>
      <c r="AB673" t="s">
        <v>70</v>
      </c>
      <c r="AC673" t="s">
        <v>5470</v>
      </c>
      <c r="AD673" t="s">
        <v>5244</v>
      </c>
      <c r="AE673">
        <v>5474</v>
      </c>
      <c r="AG673" t="s">
        <v>5471</v>
      </c>
      <c r="AH673" t="s">
        <v>5472</v>
      </c>
      <c r="AI673" t="s">
        <v>5473</v>
      </c>
    </row>
    <row r="674" spans="2:35" ht="255">
      <c r="B674" s="1">
        <v>46031</v>
      </c>
      <c r="C674" s="1">
        <v>46031</v>
      </c>
      <c r="D674" t="s">
        <v>5474</v>
      </c>
      <c r="E674" t="s">
        <v>5475</v>
      </c>
      <c r="F674" t="s">
        <v>148</v>
      </c>
      <c r="G674" t="s">
        <v>2007</v>
      </c>
      <c r="H674" t="s">
        <v>5476</v>
      </c>
      <c r="I674" t="s">
        <v>94</v>
      </c>
      <c r="J674" t="s">
        <v>109</v>
      </c>
      <c r="K674" t="s">
        <v>408</v>
      </c>
      <c r="L674" t="s">
        <v>448</v>
      </c>
      <c r="N674" t="s">
        <v>650</v>
      </c>
      <c r="O674" t="s">
        <v>5477</v>
      </c>
      <c r="P674" t="s">
        <v>5478</v>
      </c>
      <c r="Q674">
        <v>31872</v>
      </c>
      <c r="R674" t="s">
        <v>95</v>
      </c>
      <c r="S674" t="s">
        <v>5479</v>
      </c>
      <c r="T674">
        <v>29</v>
      </c>
      <c r="V674" s="1">
        <v>46030</v>
      </c>
      <c r="W674" t="s">
        <v>5480</v>
      </c>
      <c r="X674">
        <v>797</v>
      </c>
      <c r="Y674" t="s">
        <v>485</v>
      </c>
      <c r="Z674" s="2" t="s">
        <v>5481</v>
      </c>
      <c r="AA674" t="s">
        <v>122</v>
      </c>
      <c r="AB674" t="s">
        <v>486</v>
      </c>
      <c r="AE674">
        <v>101675</v>
      </c>
      <c r="AG674" t="s">
        <v>5482</v>
      </c>
      <c r="AH674" t="s">
        <v>5483</v>
      </c>
      <c r="AI674" t="s">
        <v>5484</v>
      </c>
    </row>
    <row r="675" spans="2:35" ht="409.5">
      <c r="B675" s="1">
        <v>46031</v>
      </c>
      <c r="C675" s="1">
        <v>46031</v>
      </c>
      <c r="D675" t="s">
        <v>5474</v>
      </c>
      <c r="E675" t="s">
        <v>5485</v>
      </c>
      <c r="F675" t="s">
        <v>148</v>
      </c>
      <c r="G675" t="s">
        <v>2007</v>
      </c>
      <c r="H675" t="s">
        <v>5486</v>
      </c>
      <c r="I675" t="s">
        <v>94</v>
      </c>
      <c r="J675" s="2" t="s">
        <v>62</v>
      </c>
      <c r="K675" t="s">
        <v>387</v>
      </c>
      <c r="L675" t="s">
        <v>448</v>
      </c>
      <c r="N675" t="s">
        <v>650</v>
      </c>
      <c r="O675" t="s">
        <v>5477</v>
      </c>
      <c r="Q675">
        <v>31871</v>
      </c>
      <c r="R675" t="s">
        <v>95</v>
      </c>
      <c r="S675" t="s">
        <v>5487</v>
      </c>
      <c r="T675">
        <v>26</v>
      </c>
      <c r="V675" s="1">
        <v>46030</v>
      </c>
      <c r="W675" t="s">
        <v>390</v>
      </c>
      <c r="X675" t="s">
        <v>5488</v>
      </c>
      <c r="Y675" t="s">
        <v>4143</v>
      </c>
      <c r="Z675" s="2" t="s">
        <v>5489</v>
      </c>
      <c r="AA675" t="s">
        <v>5490</v>
      </c>
      <c r="AB675" t="s">
        <v>486</v>
      </c>
      <c r="AC675" t="s">
        <v>5491</v>
      </c>
      <c r="AD675" t="s">
        <v>5492</v>
      </c>
      <c r="AE675">
        <v>101674</v>
      </c>
      <c r="AG675" t="s">
        <v>5493</v>
      </c>
      <c r="AH675" t="s">
        <v>5494</v>
      </c>
      <c r="AI675" t="s">
        <v>5495</v>
      </c>
    </row>
    <row r="676" spans="2:35" ht="390">
      <c r="B676" s="1">
        <v>46031</v>
      </c>
      <c r="C676" s="1">
        <v>46031</v>
      </c>
      <c r="D676" t="s">
        <v>5496</v>
      </c>
      <c r="E676" t="s">
        <v>5497</v>
      </c>
      <c r="F676">
        <v>5</v>
      </c>
      <c r="G676" t="s">
        <v>839</v>
      </c>
      <c r="H676" t="s">
        <v>39</v>
      </c>
      <c r="I676" t="s">
        <v>94</v>
      </c>
      <c r="J676" s="2" t="s">
        <v>62</v>
      </c>
      <c r="K676" t="s">
        <v>42</v>
      </c>
      <c r="L676" t="s">
        <v>761</v>
      </c>
      <c r="N676" t="s">
        <v>762</v>
      </c>
      <c r="Q676">
        <v>31870</v>
      </c>
      <c r="R676" t="s">
        <v>967</v>
      </c>
      <c r="S676" t="s">
        <v>5498</v>
      </c>
      <c r="T676">
        <v>28</v>
      </c>
      <c r="U676" s="2" t="s">
        <v>5499</v>
      </c>
      <c r="W676" t="s">
        <v>817</v>
      </c>
      <c r="X676">
        <v>110023511</v>
      </c>
      <c r="Y676" t="s">
        <v>5500</v>
      </c>
      <c r="Z676" s="2" t="s">
        <v>5501</v>
      </c>
      <c r="AA676" s="2" t="s">
        <v>4477</v>
      </c>
      <c r="AB676" s="2" t="s">
        <v>2996</v>
      </c>
      <c r="AG676" t="s">
        <v>5502</v>
      </c>
      <c r="AH676" t="s">
        <v>5503</v>
      </c>
      <c r="AI676" t="s">
        <v>5504</v>
      </c>
    </row>
    <row r="677" spans="2:35" ht="225">
      <c r="B677" s="1">
        <v>46031</v>
      </c>
      <c r="C677" s="1">
        <v>46031</v>
      </c>
      <c r="D677" t="s">
        <v>2264</v>
      </c>
      <c r="E677" t="s">
        <v>5505</v>
      </c>
      <c r="F677" t="s">
        <v>148</v>
      </c>
      <c r="G677" t="s">
        <v>2007</v>
      </c>
      <c r="H677" t="s">
        <v>39</v>
      </c>
      <c r="I677" t="s">
        <v>40</v>
      </c>
      <c r="J677" t="s">
        <v>109</v>
      </c>
      <c r="K677" t="s">
        <v>42</v>
      </c>
      <c r="L677" t="s">
        <v>43</v>
      </c>
      <c r="N677" t="s">
        <v>44</v>
      </c>
      <c r="O677" t="s">
        <v>2266</v>
      </c>
      <c r="Q677">
        <v>31869</v>
      </c>
      <c r="R677" t="s">
        <v>322</v>
      </c>
      <c r="S677" t="s">
        <v>5506</v>
      </c>
      <c r="T677">
        <v>24</v>
      </c>
      <c r="U677" s="2" t="s">
        <v>5507</v>
      </c>
      <c r="W677" t="s">
        <v>153</v>
      </c>
      <c r="X677">
        <v>110023460</v>
      </c>
      <c r="Y677" t="s">
        <v>121</v>
      </c>
      <c r="Z677" t="s">
        <v>122</v>
      </c>
      <c r="AA677" s="2" t="s">
        <v>547</v>
      </c>
      <c r="AB677" t="s">
        <v>548</v>
      </c>
      <c r="AG677" t="s">
        <v>5508</v>
      </c>
      <c r="AH677" t="s">
        <v>2270</v>
      </c>
      <c r="AI677" t="s">
        <v>5509</v>
      </c>
    </row>
    <row r="678" spans="2:35" ht="300">
      <c r="B678" s="1">
        <v>46031</v>
      </c>
      <c r="C678" s="1">
        <v>46030</v>
      </c>
      <c r="D678" t="s">
        <v>542</v>
      </c>
      <c r="E678" t="s">
        <v>4585</v>
      </c>
      <c r="F678" t="s">
        <v>148</v>
      </c>
      <c r="G678" t="s">
        <v>544</v>
      </c>
      <c r="H678" t="s">
        <v>39</v>
      </c>
      <c r="I678" t="s">
        <v>40</v>
      </c>
      <c r="J678" t="s">
        <v>109</v>
      </c>
      <c r="K678" t="s">
        <v>42</v>
      </c>
      <c r="L678" t="s">
        <v>43</v>
      </c>
      <c r="N678" t="s">
        <v>44</v>
      </c>
      <c r="Q678">
        <v>31867</v>
      </c>
      <c r="R678" t="s">
        <v>322</v>
      </c>
      <c r="S678" t="s">
        <v>545</v>
      </c>
      <c r="T678">
        <v>24</v>
      </c>
      <c r="U678" s="2" t="s">
        <v>5510</v>
      </c>
      <c r="W678" t="s">
        <v>153</v>
      </c>
      <c r="X678">
        <v>110024073</v>
      </c>
      <c r="Y678" t="s">
        <v>121</v>
      </c>
      <c r="Z678" t="s">
        <v>122</v>
      </c>
      <c r="AA678" s="2" t="s">
        <v>5511</v>
      </c>
      <c r="AB678" t="s">
        <v>548</v>
      </c>
      <c r="AG678" t="s">
        <v>5512</v>
      </c>
      <c r="AH678" t="s">
        <v>550</v>
      </c>
      <c r="AI678" t="s">
        <v>5513</v>
      </c>
    </row>
    <row r="679" spans="2:35" ht="300">
      <c r="B679" s="1">
        <v>46031</v>
      </c>
      <c r="C679" s="1">
        <v>46030</v>
      </c>
      <c r="D679" t="s">
        <v>542</v>
      </c>
      <c r="E679" t="s">
        <v>4585</v>
      </c>
      <c r="F679" t="s">
        <v>148</v>
      </c>
      <c r="G679" t="s">
        <v>544</v>
      </c>
      <c r="H679" t="s">
        <v>39</v>
      </c>
      <c r="I679" t="s">
        <v>40</v>
      </c>
      <c r="J679" t="s">
        <v>109</v>
      </c>
      <c r="K679" t="s">
        <v>42</v>
      </c>
      <c r="L679" t="s">
        <v>43</v>
      </c>
      <c r="N679" t="s">
        <v>44</v>
      </c>
      <c r="O679" t="s">
        <v>545</v>
      </c>
      <c r="Q679">
        <v>31868</v>
      </c>
      <c r="R679" t="s">
        <v>322</v>
      </c>
      <c r="S679" t="s">
        <v>545</v>
      </c>
      <c r="T679">
        <v>24</v>
      </c>
      <c r="U679" s="2" t="s">
        <v>5514</v>
      </c>
      <c r="W679" t="s">
        <v>153</v>
      </c>
      <c r="X679">
        <v>110024072</v>
      </c>
      <c r="Y679" t="s">
        <v>121</v>
      </c>
      <c r="Z679" t="s">
        <v>122</v>
      </c>
      <c r="AA679" s="2" t="s">
        <v>547</v>
      </c>
      <c r="AB679" t="s">
        <v>548</v>
      </c>
      <c r="AG679" t="s">
        <v>5515</v>
      </c>
      <c r="AH679" t="s">
        <v>550</v>
      </c>
      <c r="AI679" t="s">
        <v>5516</v>
      </c>
    </row>
    <row r="680" spans="2:35">
      <c r="B680" s="1">
        <v>46031</v>
      </c>
      <c r="C680" s="1">
        <v>46031</v>
      </c>
      <c r="D680" t="s">
        <v>5517</v>
      </c>
      <c r="E680" t="s">
        <v>370</v>
      </c>
      <c r="F680" t="s">
        <v>148</v>
      </c>
      <c r="G680" t="s">
        <v>371</v>
      </c>
      <c r="H680" t="s">
        <v>39</v>
      </c>
      <c r="I680" t="s">
        <v>40</v>
      </c>
      <c r="J680" t="s">
        <v>109</v>
      </c>
      <c r="K680" t="s">
        <v>42</v>
      </c>
      <c r="L680" t="s">
        <v>175</v>
      </c>
      <c r="N680" t="s">
        <v>176</v>
      </c>
      <c r="O680" t="s">
        <v>5518</v>
      </c>
      <c r="Q680">
        <v>31866</v>
      </c>
      <c r="R680" t="s">
        <v>703</v>
      </c>
      <c r="S680" t="s">
        <v>5519</v>
      </c>
      <c r="T680">
        <v>25</v>
      </c>
      <c r="W680" t="s">
        <v>373</v>
      </c>
      <c r="X680">
        <v>110018008</v>
      </c>
      <c r="Y680" t="s">
        <v>374</v>
      </c>
      <c r="Z680" t="s">
        <v>103</v>
      </c>
      <c r="AA680" t="e">
        <f ca="1">- checked _xludf.and cleaned cartridge bay, plunger rod, _xludf.filter, icore slot
- generated reports
- performed self test</f>
        <v>#NAME?</v>
      </c>
      <c r="AB680" t="s">
        <v>181</v>
      </c>
      <c r="AG680" t="s">
        <v>5520</v>
      </c>
      <c r="AH680" t="s">
        <v>5521</v>
      </c>
      <c r="AI680" t="s">
        <v>5522</v>
      </c>
    </row>
    <row r="681" spans="2:35" ht="375">
      <c r="B681" s="1">
        <v>46031</v>
      </c>
      <c r="C681" s="1">
        <v>46030</v>
      </c>
      <c r="D681" t="s">
        <v>4125</v>
      </c>
      <c r="E681" t="s">
        <v>4126</v>
      </c>
      <c r="F681">
        <v>5</v>
      </c>
      <c r="G681" t="s">
        <v>759</v>
      </c>
      <c r="H681" t="s">
        <v>5523</v>
      </c>
      <c r="I681" t="s">
        <v>94</v>
      </c>
      <c r="J681" t="s">
        <v>525</v>
      </c>
      <c r="K681" t="s">
        <v>42</v>
      </c>
      <c r="L681" t="s">
        <v>761</v>
      </c>
      <c r="N681" t="s">
        <v>762</v>
      </c>
      <c r="Q681">
        <v>31865</v>
      </c>
      <c r="R681" t="s">
        <v>322</v>
      </c>
      <c r="S681" t="s">
        <v>4127</v>
      </c>
      <c r="T681">
        <v>23</v>
      </c>
      <c r="U681" s="2" t="s">
        <v>5524</v>
      </c>
      <c r="W681" t="s">
        <v>817</v>
      </c>
      <c r="X681">
        <v>110026767</v>
      </c>
      <c r="Y681" t="s">
        <v>5525</v>
      </c>
      <c r="Z681" s="2" t="s">
        <v>5526</v>
      </c>
      <c r="AA681" s="2" t="s">
        <v>5527</v>
      </c>
      <c r="AB681" s="2" t="s">
        <v>4079</v>
      </c>
      <c r="AG681" t="s">
        <v>5528</v>
      </c>
      <c r="AH681" t="s">
        <v>5529</v>
      </c>
      <c r="AI681" t="s">
        <v>5530</v>
      </c>
    </row>
    <row r="682" spans="2:35" ht="409.5">
      <c r="B682" s="1">
        <v>46031</v>
      </c>
      <c r="C682" s="1">
        <v>46029</v>
      </c>
      <c r="D682" t="s">
        <v>2970</v>
      </c>
      <c r="E682" t="s">
        <v>5531</v>
      </c>
      <c r="F682">
        <v>5</v>
      </c>
      <c r="G682" t="s">
        <v>759</v>
      </c>
      <c r="H682" t="s">
        <v>39</v>
      </c>
      <c r="I682" t="s">
        <v>94</v>
      </c>
      <c r="J682" t="s">
        <v>109</v>
      </c>
      <c r="K682" t="s">
        <v>42</v>
      </c>
      <c r="L682" t="s">
        <v>761</v>
      </c>
      <c r="N682" t="s">
        <v>762</v>
      </c>
      <c r="Q682">
        <v>31864</v>
      </c>
      <c r="R682" t="s">
        <v>95</v>
      </c>
      <c r="S682" t="s">
        <v>4119</v>
      </c>
      <c r="T682">
        <v>29</v>
      </c>
      <c r="U682" s="2" t="s">
        <v>5532</v>
      </c>
      <c r="W682" t="s">
        <v>817</v>
      </c>
      <c r="X682">
        <v>110017942</v>
      </c>
      <c r="Y682" t="s">
        <v>818</v>
      </c>
      <c r="Z682" s="2" t="s">
        <v>5533</v>
      </c>
      <c r="AA682" t="s">
        <v>820</v>
      </c>
      <c r="AB682" s="2" t="s">
        <v>4079</v>
      </c>
      <c r="AG682" t="s">
        <v>5534</v>
      </c>
      <c r="AH682" t="s">
        <v>5535</v>
      </c>
      <c r="AI682" t="s">
        <v>5536</v>
      </c>
    </row>
    <row r="683" spans="2:35" ht="315">
      <c r="B683" s="1">
        <v>46031</v>
      </c>
      <c r="C683" s="1">
        <v>46031</v>
      </c>
      <c r="D683" t="s">
        <v>1203</v>
      </c>
      <c r="E683" t="s">
        <v>5537</v>
      </c>
      <c r="F683">
        <v>11</v>
      </c>
      <c r="G683" t="s">
        <v>1205</v>
      </c>
      <c r="H683" t="s">
        <v>202</v>
      </c>
      <c r="I683" t="s">
        <v>40</v>
      </c>
      <c r="J683" t="s">
        <v>525</v>
      </c>
      <c r="K683" t="s">
        <v>42</v>
      </c>
      <c r="L683" t="s">
        <v>204</v>
      </c>
      <c r="N683" t="s">
        <v>205</v>
      </c>
      <c r="Q683">
        <v>31863</v>
      </c>
      <c r="R683" t="s">
        <v>967</v>
      </c>
      <c r="S683" t="s">
        <v>1206</v>
      </c>
      <c r="T683">
        <v>25</v>
      </c>
      <c r="U683" s="2" t="s">
        <v>5538</v>
      </c>
      <c r="W683" t="s">
        <v>2550</v>
      </c>
      <c r="X683">
        <v>110023506</v>
      </c>
      <c r="Y683" t="s">
        <v>5539</v>
      </c>
      <c r="Z683" s="2" t="s">
        <v>5540</v>
      </c>
      <c r="AA683" t="s">
        <v>5541</v>
      </c>
      <c r="AB683" s="2" t="s">
        <v>5542</v>
      </c>
      <c r="AG683" t="s">
        <v>5543</v>
      </c>
      <c r="AH683" t="s">
        <v>5544</v>
      </c>
      <c r="AI683" t="s">
        <v>5545</v>
      </c>
    </row>
    <row r="684" spans="2:35" ht="225">
      <c r="B684" s="1">
        <v>46030</v>
      </c>
      <c r="C684" s="1">
        <v>46030</v>
      </c>
      <c r="D684" t="s">
        <v>5546</v>
      </c>
      <c r="E684" t="s">
        <v>5547</v>
      </c>
      <c r="F684">
        <v>7</v>
      </c>
      <c r="G684" t="s">
        <v>432</v>
      </c>
      <c r="H684" t="s">
        <v>39</v>
      </c>
      <c r="I684" t="s">
        <v>40</v>
      </c>
      <c r="J684" t="s">
        <v>109</v>
      </c>
      <c r="K684" t="s">
        <v>42</v>
      </c>
      <c r="L684" t="s">
        <v>433</v>
      </c>
      <c r="N684" t="s">
        <v>434</v>
      </c>
      <c r="Q684">
        <v>31862</v>
      </c>
      <c r="R684" t="s">
        <v>967</v>
      </c>
      <c r="S684" t="s">
        <v>5548</v>
      </c>
      <c r="T684">
        <v>30</v>
      </c>
      <c r="W684" t="s">
        <v>502</v>
      </c>
      <c r="X684">
        <v>110023513</v>
      </c>
      <c r="Y684" t="s">
        <v>54</v>
      </c>
      <c r="Z684" s="2" t="s">
        <v>5549</v>
      </c>
      <c r="AA684" s="2" t="s">
        <v>5549</v>
      </c>
      <c r="AB684" t="s">
        <v>1011</v>
      </c>
      <c r="AG684" t="s">
        <v>5550</v>
      </c>
      <c r="AH684" t="s">
        <v>5551</v>
      </c>
      <c r="AI684" t="s">
        <v>5552</v>
      </c>
    </row>
    <row r="685" spans="2:35" ht="105">
      <c r="B685" s="1">
        <v>46030</v>
      </c>
      <c r="C685" s="1">
        <v>46030</v>
      </c>
      <c r="D685" t="s">
        <v>5553</v>
      </c>
      <c r="E685" t="s">
        <v>5554</v>
      </c>
      <c r="F685">
        <v>8</v>
      </c>
      <c r="G685" t="s">
        <v>2945</v>
      </c>
      <c r="H685" t="s">
        <v>258</v>
      </c>
      <c r="I685" t="s">
        <v>40</v>
      </c>
      <c r="J685" s="2" t="s">
        <v>62</v>
      </c>
      <c r="K685" t="s">
        <v>42</v>
      </c>
      <c r="L685" t="s">
        <v>259</v>
      </c>
      <c r="N685" t="s">
        <v>260</v>
      </c>
      <c r="Q685">
        <v>31861</v>
      </c>
      <c r="R685" t="s">
        <v>967</v>
      </c>
      <c r="S685" t="s">
        <v>5555</v>
      </c>
      <c r="T685">
        <v>25</v>
      </c>
      <c r="U685" s="2" t="s">
        <v>5556</v>
      </c>
      <c r="V685" s="1">
        <v>46030</v>
      </c>
      <c r="W685" t="s">
        <v>84</v>
      </c>
      <c r="X685">
        <v>110023514</v>
      </c>
      <c r="Y685" t="s">
        <v>67</v>
      </c>
      <c r="Z685" t="e">
        <f ca="1">- performed Preventive Maintenance
- Xpert Check CALIBRATION
- Data Collection</f>
        <v>#NAME?</v>
      </c>
      <c r="AA685" t="e">
        <f ca="1">- Preventive Maintenance
- CALIBRATION</f>
        <v>#NAME?</v>
      </c>
      <c r="AB685" t="s">
        <v>70</v>
      </c>
      <c r="AC685" t="s">
        <v>5243</v>
      </c>
      <c r="AD685" t="s">
        <v>5244</v>
      </c>
      <c r="AE685">
        <v>13575</v>
      </c>
      <c r="AG685" t="s">
        <v>5557</v>
      </c>
      <c r="AH685" t="s">
        <v>5558</v>
      </c>
      <c r="AI685" t="s">
        <v>5559</v>
      </c>
    </row>
    <row r="686" spans="2:35" ht="255">
      <c r="B686" s="1">
        <v>46030</v>
      </c>
      <c r="C686" s="1">
        <v>46029</v>
      </c>
      <c r="D686" t="s">
        <v>498</v>
      </c>
      <c r="E686" t="s">
        <v>3263</v>
      </c>
      <c r="F686">
        <v>7</v>
      </c>
      <c r="G686" t="s">
        <v>432</v>
      </c>
      <c r="H686" t="s">
        <v>39</v>
      </c>
      <c r="I686" t="s">
        <v>40</v>
      </c>
      <c r="J686" t="s">
        <v>109</v>
      </c>
      <c r="K686" t="s">
        <v>42</v>
      </c>
      <c r="L686" t="s">
        <v>343</v>
      </c>
      <c r="N686" t="s">
        <v>344</v>
      </c>
      <c r="Q686">
        <v>31860</v>
      </c>
      <c r="R686" t="s">
        <v>45</v>
      </c>
      <c r="S686" t="s">
        <v>3264</v>
      </c>
      <c r="T686">
        <v>27</v>
      </c>
      <c r="U686" s="2" t="s">
        <v>5560</v>
      </c>
      <c r="W686" t="s">
        <v>1501</v>
      </c>
      <c r="X686">
        <v>815275</v>
      </c>
      <c r="Y686" t="s">
        <v>301</v>
      </c>
      <c r="Z686" t="e">
        <f ca="1">-Preventive Maintenance</f>
        <v>#NAME?</v>
      </c>
      <c r="AA686" t="e">
        <f ca="1">-Preventive Maintenance</f>
        <v>#NAME?</v>
      </c>
      <c r="AB686" t="s">
        <v>1467</v>
      </c>
      <c r="AG686" t="s">
        <v>5561</v>
      </c>
      <c r="AH686" t="s">
        <v>3268</v>
      </c>
      <c r="AI686" t="s">
        <v>5562</v>
      </c>
    </row>
    <row r="687" spans="2:35" ht="105">
      <c r="B687" s="1">
        <v>46030</v>
      </c>
      <c r="C687" s="1">
        <v>46030</v>
      </c>
      <c r="D687" t="s">
        <v>5563</v>
      </c>
      <c r="E687" t="s">
        <v>1555</v>
      </c>
      <c r="F687">
        <v>7</v>
      </c>
      <c r="G687" t="s">
        <v>432</v>
      </c>
      <c r="H687" t="s">
        <v>150</v>
      </c>
      <c r="I687" t="s">
        <v>40</v>
      </c>
      <c r="J687" t="s">
        <v>109</v>
      </c>
      <c r="K687" t="s">
        <v>42</v>
      </c>
      <c r="L687" t="s">
        <v>343</v>
      </c>
      <c r="N687" t="s">
        <v>344</v>
      </c>
      <c r="Q687">
        <v>31859</v>
      </c>
      <c r="R687" t="s">
        <v>119</v>
      </c>
      <c r="S687" t="s">
        <v>5564</v>
      </c>
      <c r="T687">
        <v>27</v>
      </c>
      <c r="U687" s="2" t="s">
        <v>5565</v>
      </c>
      <c r="W687" t="s">
        <v>1501</v>
      </c>
      <c r="X687">
        <v>838561</v>
      </c>
      <c r="Y687" t="s">
        <v>301</v>
      </c>
      <c r="Z687" t="e">
        <f ca="1">-Preventive Maintenance</f>
        <v>#NAME?</v>
      </c>
      <c r="AA687" t="e">
        <f ca="1">-Preventive Maintenance</f>
        <v>#NAME?</v>
      </c>
      <c r="AB687" t="s">
        <v>1467</v>
      </c>
      <c r="AG687" t="s">
        <v>5566</v>
      </c>
      <c r="AH687" t="s">
        <v>5567</v>
      </c>
      <c r="AI687" t="s">
        <v>5568</v>
      </c>
    </row>
    <row r="688" spans="2:35" ht="105">
      <c r="B688" s="1">
        <v>46030</v>
      </c>
      <c r="C688" s="1">
        <v>46030</v>
      </c>
      <c r="D688" t="s">
        <v>5569</v>
      </c>
      <c r="E688" t="s">
        <v>5570</v>
      </c>
      <c r="F688">
        <v>10</v>
      </c>
      <c r="G688" t="s">
        <v>5571</v>
      </c>
      <c r="H688" t="s">
        <v>39</v>
      </c>
      <c r="I688" t="s">
        <v>40</v>
      </c>
      <c r="J688" s="2" t="s">
        <v>62</v>
      </c>
      <c r="K688" t="s">
        <v>42</v>
      </c>
      <c r="L688" t="s">
        <v>1257</v>
      </c>
      <c r="N688" t="s">
        <v>1258</v>
      </c>
      <c r="O688" t="s">
        <v>1258</v>
      </c>
      <c r="Q688">
        <v>31858</v>
      </c>
      <c r="R688" t="s">
        <v>967</v>
      </c>
      <c r="S688" t="s">
        <v>5572</v>
      </c>
      <c r="T688">
        <v>25</v>
      </c>
      <c r="U688" s="2" t="s">
        <v>5573</v>
      </c>
      <c r="V688" s="1">
        <v>46002</v>
      </c>
      <c r="W688" t="s">
        <v>1270</v>
      </c>
      <c r="X688">
        <v>110023518</v>
      </c>
      <c r="Y688" t="s">
        <v>301</v>
      </c>
      <c r="Z688" t="s">
        <v>5574</v>
      </c>
      <c r="AA688" t="s">
        <v>5574</v>
      </c>
      <c r="AB688" t="s">
        <v>5575</v>
      </c>
      <c r="AC688" t="s">
        <v>301</v>
      </c>
      <c r="AD688" t="s">
        <v>5255</v>
      </c>
      <c r="AE688">
        <v>13583</v>
      </c>
      <c r="AG688" t="s">
        <v>5576</v>
      </c>
      <c r="AH688" t="s">
        <v>5577</v>
      </c>
      <c r="AI688" t="s">
        <v>5578</v>
      </c>
    </row>
    <row r="689" spans="2:35" ht="360">
      <c r="B689" s="1">
        <v>46030</v>
      </c>
      <c r="C689" s="1">
        <v>46030</v>
      </c>
      <c r="D689" t="s">
        <v>3669</v>
      </c>
      <c r="E689" t="s">
        <v>5579</v>
      </c>
      <c r="F689" t="s">
        <v>37</v>
      </c>
      <c r="G689" t="s">
        <v>38</v>
      </c>
      <c r="H689" t="s">
        <v>39</v>
      </c>
      <c r="I689" t="s">
        <v>40</v>
      </c>
      <c r="J689" t="s">
        <v>109</v>
      </c>
      <c r="K689" t="s">
        <v>42</v>
      </c>
      <c r="L689" t="s">
        <v>43</v>
      </c>
      <c r="N689" t="s">
        <v>44</v>
      </c>
      <c r="Q689">
        <v>31857</v>
      </c>
      <c r="R689" t="s">
        <v>95</v>
      </c>
      <c r="S689" t="s">
        <v>5580</v>
      </c>
      <c r="T689">
        <v>20</v>
      </c>
      <c r="U689" s="2" t="s">
        <v>5581</v>
      </c>
      <c r="W689" t="s">
        <v>48</v>
      </c>
      <c r="X689">
        <v>110005265</v>
      </c>
      <c r="Y689" t="s">
        <v>121</v>
      </c>
      <c r="Z689" t="s">
        <v>122</v>
      </c>
      <c r="AA689" s="2" t="s">
        <v>4831</v>
      </c>
      <c r="AB689" t="s">
        <v>5582</v>
      </c>
      <c r="AG689" t="s">
        <v>5583</v>
      </c>
      <c r="AH689" t="s">
        <v>4652</v>
      </c>
      <c r="AI689" t="s">
        <v>5584</v>
      </c>
    </row>
    <row r="690" spans="2:35" ht="225">
      <c r="B690" s="1">
        <v>46030</v>
      </c>
      <c r="C690" s="1">
        <v>46029</v>
      </c>
      <c r="D690" t="s">
        <v>1686</v>
      </c>
      <c r="E690" t="s">
        <v>5585</v>
      </c>
      <c r="F690" t="s">
        <v>148</v>
      </c>
      <c r="G690" t="s">
        <v>785</v>
      </c>
      <c r="H690" t="s">
        <v>39</v>
      </c>
      <c r="I690" t="s">
        <v>40</v>
      </c>
      <c r="J690" t="s">
        <v>109</v>
      </c>
      <c r="K690" t="s">
        <v>42</v>
      </c>
      <c r="L690" t="s">
        <v>43</v>
      </c>
      <c r="N690" t="s">
        <v>44</v>
      </c>
      <c r="Q690">
        <v>31856</v>
      </c>
      <c r="R690" t="s">
        <v>322</v>
      </c>
      <c r="S690" t="s">
        <v>1688</v>
      </c>
      <c r="T690">
        <v>22</v>
      </c>
      <c r="U690" s="2" t="s">
        <v>5586</v>
      </c>
      <c r="W690" t="s">
        <v>153</v>
      </c>
      <c r="X690">
        <v>110024247</v>
      </c>
      <c r="Y690" t="s">
        <v>121</v>
      </c>
      <c r="Z690" t="s">
        <v>122</v>
      </c>
      <c r="AA690" s="2" t="s">
        <v>5587</v>
      </c>
      <c r="AB690" t="s">
        <v>548</v>
      </c>
      <c r="AG690" t="s">
        <v>5588</v>
      </c>
      <c r="AH690" t="s">
        <v>1692</v>
      </c>
      <c r="AI690" t="s">
        <v>5589</v>
      </c>
    </row>
    <row r="691" spans="2:35" ht="225">
      <c r="B691" s="1">
        <v>46030</v>
      </c>
      <c r="C691" s="1">
        <v>46029</v>
      </c>
      <c r="D691" t="s">
        <v>1678</v>
      </c>
      <c r="E691" t="s">
        <v>5585</v>
      </c>
      <c r="F691" t="s">
        <v>148</v>
      </c>
      <c r="G691" t="s">
        <v>785</v>
      </c>
      <c r="H691" t="s">
        <v>39</v>
      </c>
      <c r="I691" t="s">
        <v>40</v>
      </c>
      <c r="J691" t="s">
        <v>109</v>
      </c>
      <c r="K691" t="s">
        <v>42</v>
      </c>
      <c r="L691" t="s">
        <v>43</v>
      </c>
      <c r="N691" t="s">
        <v>44</v>
      </c>
      <c r="Q691">
        <v>31855</v>
      </c>
      <c r="R691" t="s">
        <v>322</v>
      </c>
      <c r="S691" t="s">
        <v>1680</v>
      </c>
      <c r="T691">
        <v>22</v>
      </c>
      <c r="U691" s="2" t="s">
        <v>5590</v>
      </c>
      <c r="W691" t="s">
        <v>153</v>
      </c>
      <c r="X691">
        <v>110024246</v>
      </c>
      <c r="Y691" t="s">
        <v>121</v>
      </c>
      <c r="Z691" t="s">
        <v>122</v>
      </c>
      <c r="AA691" s="2" t="s">
        <v>5591</v>
      </c>
      <c r="AB691" t="s">
        <v>548</v>
      </c>
      <c r="AG691" t="s">
        <v>5592</v>
      </c>
      <c r="AH691" t="s">
        <v>1684</v>
      </c>
      <c r="AI691" t="s">
        <v>5593</v>
      </c>
    </row>
    <row r="692" spans="2:35" ht="195">
      <c r="B692" s="1">
        <v>46030</v>
      </c>
      <c r="C692" s="1">
        <v>46029</v>
      </c>
      <c r="D692" t="s">
        <v>717</v>
      </c>
      <c r="E692" t="s">
        <v>5594</v>
      </c>
      <c r="F692">
        <v>7</v>
      </c>
      <c r="G692" t="s">
        <v>432</v>
      </c>
      <c r="H692" t="s">
        <v>258</v>
      </c>
      <c r="I692" t="s">
        <v>40</v>
      </c>
      <c r="J692" s="2" t="s">
        <v>190</v>
      </c>
      <c r="K692" t="s">
        <v>42</v>
      </c>
      <c r="L692" t="s">
        <v>594</v>
      </c>
      <c r="N692" t="s">
        <v>595</v>
      </c>
      <c r="O692" t="s">
        <v>595</v>
      </c>
      <c r="Q692">
        <v>31854</v>
      </c>
      <c r="R692" t="s">
        <v>719</v>
      </c>
      <c r="S692" t="s">
        <v>720</v>
      </c>
      <c r="T692">
        <v>23</v>
      </c>
      <c r="W692" t="s">
        <v>5595</v>
      </c>
      <c r="X692">
        <v>847333</v>
      </c>
      <c r="Y692" t="s">
        <v>5596</v>
      </c>
      <c r="Z692" t="s">
        <v>5597</v>
      </c>
      <c r="AA692" s="2" t="s">
        <v>5598</v>
      </c>
      <c r="AB692" t="s">
        <v>5599</v>
      </c>
      <c r="AG692" t="s">
        <v>5600</v>
      </c>
      <c r="AH692" t="s">
        <v>726</v>
      </c>
      <c r="AI692" t="s">
        <v>5601</v>
      </c>
    </row>
    <row r="693" spans="2:35" ht="150">
      <c r="B693" s="1">
        <v>46029</v>
      </c>
      <c r="C693" s="1">
        <v>46029</v>
      </c>
      <c r="D693" t="s">
        <v>5602</v>
      </c>
      <c r="E693" t="s">
        <v>2580</v>
      </c>
      <c r="F693" t="s">
        <v>148</v>
      </c>
      <c r="G693" t="s">
        <v>447</v>
      </c>
      <c r="H693" t="s">
        <v>662</v>
      </c>
      <c r="I693" t="s">
        <v>40</v>
      </c>
      <c r="J693" t="s">
        <v>321</v>
      </c>
      <c r="K693" t="s">
        <v>42</v>
      </c>
      <c r="L693" t="s">
        <v>448</v>
      </c>
      <c r="N693" t="s">
        <v>450</v>
      </c>
      <c r="O693" t="s">
        <v>5603</v>
      </c>
      <c r="Q693">
        <v>31853</v>
      </c>
      <c r="R693" t="s">
        <v>322</v>
      </c>
      <c r="S693" t="s">
        <v>5604</v>
      </c>
      <c r="T693">
        <v>26</v>
      </c>
      <c r="W693" t="s">
        <v>2010</v>
      </c>
      <c r="X693">
        <v>110027030</v>
      </c>
      <c r="Y693" t="s">
        <v>750</v>
      </c>
      <c r="Z693" s="2" t="s">
        <v>5605</v>
      </c>
      <c r="AA693" t="s">
        <v>5606</v>
      </c>
      <c r="AB693" s="2" t="s">
        <v>5607</v>
      </c>
      <c r="AG693" t="s">
        <v>5608</v>
      </c>
      <c r="AH693" t="s">
        <v>5609</v>
      </c>
      <c r="AI693" t="s">
        <v>5610</v>
      </c>
    </row>
    <row r="694" spans="2:35" ht="360">
      <c r="B694" s="1">
        <v>46029</v>
      </c>
      <c r="C694" s="1">
        <v>46029</v>
      </c>
      <c r="D694" t="s">
        <v>4101</v>
      </c>
      <c r="E694" t="s">
        <v>4313</v>
      </c>
      <c r="F694">
        <v>3</v>
      </c>
      <c r="G694" t="s">
        <v>730</v>
      </c>
      <c r="H694" t="s">
        <v>39</v>
      </c>
      <c r="I694" t="s">
        <v>40</v>
      </c>
      <c r="J694" t="s">
        <v>109</v>
      </c>
      <c r="K694" t="s">
        <v>42</v>
      </c>
      <c r="L694" t="s">
        <v>135</v>
      </c>
      <c r="N694" t="s">
        <v>136</v>
      </c>
      <c r="Q694">
        <v>31852</v>
      </c>
      <c r="R694" t="s">
        <v>95</v>
      </c>
      <c r="S694" t="s">
        <v>4103</v>
      </c>
      <c r="T694">
        <v>25</v>
      </c>
      <c r="W694" t="s">
        <v>2680</v>
      </c>
      <c r="X694">
        <v>839232</v>
      </c>
      <c r="Y694" t="s">
        <v>4314</v>
      </c>
      <c r="Z694" t="s">
        <v>4315</v>
      </c>
      <c r="AA694" s="2" t="s">
        <v>4316</v>
      </c>
      <c r="AB694" t="s">
        <v>5611</v>
      </c>
      <c r="AG694" t="s">
        <v>5612</v>
      </c>
      <c r="AH694" t="s">
        <v>4110</v>
      </c>
      <c r="AI694" t="s">
        <v>5613</v>
      </c>
    </row>
    <row r="695" spans="2:35" ht="60">
      <c r="B695" s="1">
        <v>46029</v>
      </c>
      <c r="C695" s="1">
        <v>46029</v>
      </c>
      <c r="D695" t="s">
        <v>5614</v>
      </c>
      <c r="E695" t="s">
        <v>5615</v>
      </c>
      <c r="F695">
        <v>13</v>
      </c>
      <c r="G695" t="s">
        <v>931</v>
      </c>
      <c r="H695" t="s">
        <v>2125</v>
      </c>
      <c r="I695" t="s">
        <v>40</v>
      </c>
      <c r="J695" s="2" t="s">
        <v>62</v>
      </c>
      <c r="K695" t="s">
        <v>42</v>
      </c>
      <c r="L695" t="s">
        <v>933</v>
      </c>
      <c r="N695" t="s">
        <v>934</v>
      </c>
      <c r="Q695">
        <v>31851</v>
      </c>
      <c r="R695" t="s">
        <v>967</v>
      </c>
      <c r="S695" t="s">
        <v>5616</v>
      </c>
      <c r="T695">
        <v>28</v>
      </c>
      <c r="V695" s="1">
        <v>46001</v>
      </c>
      <c r="W695" t="s">
        <v>5617</v>
      </c>
      <c r="X695">
        <v>110023522</v>
      </c>
      <c r="Y695" t="s">
        <v>301</v>
      </c>
      <c r="Z695" t="s">
        <v>301</v>
      </c>
      <c r="AA695" t="s">
        <v>5321</v>
      </c>
      <c r="AB695" t="s">
        <v>938</v>
      </c>
      <c r="AD695" t="s">
        <v>5618</v>
      </c>
      <c r="AE695">
        <v>13573</v>
      </c>
      <c r="AG695" t="s">
        <v>5619</v>
      </c>
      <c r="AH695" t="s">
        <v>5620</v>
      </c>
      <c r="AI695" t="s">
        <v>5621</v>
      </c>
    </row>
    <row r="696" spans="2:35">
      <c r="B696" s="1">
        <v>46029</v>
      </c>
      <c r="C696" s="1">
        <v>46029</v>
      </c>
      <c r="D696" t="s">
        <v>2470</v>
      </c>
      <c r="E696" t="s">
        <v>229</v>
      </c>
      <c r="F696" t="s">
        <v>148</v>
      </c>
      <c r="G696" t="s">
        <v>230</v>
      </c>
      <c r="H696" t="s">
        <v>513</v>
      </c>
      <c r="I696" t="s">
        <v>40</v>
      </c>
      <c r="J696" t="s">
        <v>109</v>
      </c>
      <c r="K696" t="s">
        <v>387</v>
      </c>
      <c r="L696" t="s">
        <v>175</v>
      </c>
      <c r="N696" t="s">
        <v>176</v>
      </c>
      <c r="Q696">
        <v>31850</v>
      </c>
      <c r="R696" t="s">
        <v>322</v>
      </c>
      <c r="S696" t="s">
        <v>4894</v>
      </c>
      <c r="T696">
        <v>27</v>
      </c>
      <c r="W696" t="s">
        <v>390</v>
      </c>
      <c r="X696" t="s">
        <v>5622</v>
      </c>
      <c r="Y696" t="s">
        <v>374</v>
      </c>
      <c r="Z696" t="s">
        <v>5623</v>
      </c>
      <c r="AA696" t="e">
        <f ca="1">- checked rotor roller pumps
- checked CALIBRATION parameters
- Set _xludf.offset values of cuff _xludf.and weigher
- performed self test</f>
        <v>#NAME?</v>
      </c>
      <c r="AB696" t="s">
        <v>181</v>
      </c>
      <c r="AG696" t="s">
        <v>5624</v>
      </c>
      <c r="AH696" t="s">
        <v>4898</v>
      </c>
      <c r="AI696" t="s">
        <v>5625</v>
      </c>
    </row>
    <row r="697" spans="2:35" ht="405">
      <c r="B697" s="1">
        <v>46029</v>
      </c>
      <c r="C697" s="1">
        <v>46029</v>
      </c>
      <c r="D697" t="s">
        <v>5626</v>
      </c>
      <c r="E697" t="s">
        <v>5627</v>
      </c>
      <c r="F697">
        <v>11</v>
      </c>
      <c r="G697" t="s">
        <v>2137</v>
      </c>
      <c r="H697" t="s">
        <v>202</v>
      </c>
      <c r="I697" t="s">
        <v>40</v>
      </c>
      <c r="J697" s="2" t="s">
        <v>62</v>
      </c>
      <c r="K697" t="s">
        <v>42</v>
      </c>
      <c r="L697" t="s">
        <v>204</v>
      </c>
      <c r="N697" t="s">
        <v>205</v>
      </c>
      <c r="Q697">
        <v>31849</v>
      </c>
      <c r="R697" t="s">
        <v>967</v>
      </c>
      <c r="S697" t="s">
        <v>5628</v>
      </c>
      <c r="T697">
        <v>23.5</v>
      </c>
      <c r="U697" s="2" t="s">
        <v>5629</v>
      </c>
      <c r="V697" s="1">
        <v>46001</v>
      </c>
      <c r="W697" t="s">
        <v>2550</v>
      </c>
      <c r="X697">
        <v>110023521</v>
      </c>
      <c r="Y697" t="s">
        <v>2839</v>
      </c>
      <c r="Z697" s="2" t="s">
        <v>5630</v>
      </c>
      <c r="AA697" t="s">
        <v>1620</v>
      </c>
      <c r="AB697" s="2" t="s">
        <v>5631</v>
      </c>
      <c r="AD697" t="s">
        <v>5365</v>
      </c>
      <c r="AE697" t="s">
        <v>5632</v>
      </c>
      <c r="AG697" t="s">
        <v>5633</v>
      </c>
      <c r="AH697" t="s">
        <v>5634</v>
      </c>
      <c r="AI697" t="s">
        <v>5635</v>
      </c>
    </row>
    <row r="698" spans="2:35" ht="210">
      <c r="B698" s="1">
        <v>46029</v>
      </c>
      <c r="C698" s="1">
        <v>46029</v>
      </c>
      <c r="D698" t="s">
        <v>5636</v>
      </c>
      <c r="E698" t="s">
        <v>5637</v>
      </c>
      <c r="F698">
        <v>9</v>
      </c>
      <c r="G698" t="s">
        <v>2903</v>
      </c>
      <c r="H698" t="s">
        <v>39</v>
      </c>
      <c r="I698" t="s">
        <v>40</v>
      </c>
      <c r="J698" s="2" t="s">
        <v>62</v>
      </c>
      <c r="K698" t="s">
        <v>42</v>
      </c>
      <c r="L698" t="s">
        <v>1257</v>
      </c>
      <c r="N698" t="s">
        <v>1258</v>
      </c>
      <c r="O698" t="s">
        <v>1258</v>
      </c>
      <c r="Q698">
        <v>31848</v>
      </c>
      <c r="R698" t="s">
        <v>967</v>
      </c>
      <c r="S698" t="s">
        <v>5638</v>
      </c>
      <c r="T698">
        <v>28</v>
      </c>
      <c r="U698" s="2" t="s">
        <v>5639</v>
      </c>
      <c r="V698" s="1">
        <v>46000</v>
      </c>
      <c r="W698" t="s">
        <v>1270</v>
      </c>
      <c r="X698">
        <v>110023516</v>
      </c>
      <c r="Y698" t="s">
        <v>301</v>
      </c>
      <c r="Z698" t="s">
        <v>5640</v>
      </c>
      <c r="AA698" t="s">
        <v>5640</v>
      </c>
      <c r="AB698" t="s">
        <v>5641</v>
      </c>
      <c r="AC698" t="s">
        <v>301</v>
      </c>
      <c r="AD698" t="s">
        <v>5255</v>
      </c>
      <c r="AE698">
        <v>13571</v>
      </c>
      <c r="AF698" t="s">
        <v>1257</v>
      </c>
      <c r="AG698" t="s">
        <v>5642</v>
      </c>
      <c r="AH698" t="s">
        <v>5643</v>
      </c>
      <c r="AI698" t="s">
        <v>5644</v>
      </c>
    </row>
    <row r="699" spans="2:35" ht="300">
      <c r="B699" s="1">
        <v>46029</v>
      </c>
      <c r="C699" s="1">
        <v>46029</v>
      </c>
      <c r="D699" t="s">
        <v>5645</v>
      </c>
      <c r="E699" t="s">
        <v>2136</v>
      </c>
      <c r="F699" t="s">
        <v>1255</v>
      </c>
      <c r="G699" t="s">
        <v>1887</v>
      </c>
      <c r="H699" t="s">
        <v>1473</v>
      </c>
      <c r="I699" t="s">
        <v>40</v>
      </c>
      <c r="J699" t="s">
        <v>109</v>
      </c>
      <c r="K699" t="s">
        <v>42</v>
      </c>
      <c r="L699" t="s">
        <v>296</v>
      </c>
      <c r="N699" t="s">
        <v>297</v>
      </c>
      <c r="Q699">
        <v>31847</v>
      </c>
      <c r="R699" t="s">
        <v>119</v>
      </c>
      <c r="S699" t="s">
        <v>5646</v>
      </c>
      <c r="T699">
        <v>26.4</v>
      </c>
      <c r="U699" s="2" t="s">
        <v>5647</v>
      </c>
      <c r="W699" t="s">
        <v>981</v>
      </c>
      <c r="X699">
        <v>838528</v>
      </c>
      <c r="Y699" t="s">
        <v>301</v>
      </c>
      <c r="Z699" s="2" t="s">
        <v>5648</v>
      </c>
      <c r="AA699" t="s">
        <v>303</v>
      </c>
      <c r="AB699" t="s">
        <v>972</v>
      </c>
      <c r="AG699" t="s">
        <v>5649</v>
      </c>
      <c r="AH699" t="s">
        <v>5650</v>
      </c>
      <c r="AI699" t="s">
        <v>5651</v>
      </c>
    </row>
    <row r="700" spans="2:35" ht="390">
      <c r="B700" s="1">
        <v>46029</v>
      </c>
      <c r="C700" s="1">
        <v>46029</v>
      </c>
      <c r="D700" t="s">
        <v>5645</v>
      </c>
      <c r="E700" t="s">
        <v>5652</v>
      </c>
      <c r="F700" t="s">
        <v>1255</v>
      </c>
      <c r="G700" t="s">
        <v>1887</v>
      </c>
      <c r="H700" t="s">
        <v>1473</v>
      </c>
      <c r="I700" t="s">
        <v>40</v>
      </c>
      <c r="J700" s="2" t="s">
        <v>62</v>
      </c>
      <c r="K700" t="s">
        <v>42</v>
      </c>
      <c r="L700" t="s">
        <v>296</v>
      </c>
      <c r="N700" t="s">
        <v>297</v>
      </c>
      <c r="Q700">
        <v>31846</v>
      </c>
      <c r="R700" t="s">
        <v>967</v>
      </c>
      <c r="S700" t="s">
        <v>5646</v>
      </c>
      <c r="T700">
        <v>26.4</v>
      </c>
      <c r="U700" s="2" t="s">
        <v>5653</v>
      </c>
      <c r="V700" s="1">
        <v>46029</v>
      </c>
      <c r="W700" t="s">
        <v>970</v>
      </c>
      <c r="X700">
        <v>110023524</v>
      </c>
      <c r="Y700" t="s">
        <v>301</v>
      </c>
      <c r="Z700" s="2" t="s">
        <v>5654</v>
      </c>
      <c r="AA700" s="2" t="s">
        <v>2369</v>
      </c>
      <c r="AB700" s="2" t="s">
        <v>5655</v>
      </c>
      <c r="AD700" s="2" t="s">
        <v>5656</v>
      </c>
      <c r="AE700" t="s">
        <v>5657</v>
      </c>
      <c r="AG700" t="s">
        <v>5658</v>
      </c>
      <c r="AH700" t="s">
        <v>5650</v>
      </c>
      <c r="AI700" t="s">
        <v>5659</v>
      </c>
    </row>
    <row r="701" spans="2:35" ht="60">
      <c r="B701" s="1">
        <v>46029</v>
      </c>
      <c r="C701" s="1">
        <v>46029</v>
      </c>
      <c r="D701" t="s">
        <v>5660</v>
      </c>
      <c r="E701" t="s">
        <v>5661</v>
      </c>
      <c r="F701">
        <v>13</v>
      </c>
      <c r="G701" t="s">
        <v>931</v>
      </c>
      <c r="H701" t="s">
        <v>39</v>
      </c>
      <c r="I701" t="s">
        <v>40</v>
      </c>
      <c r="J701" s="2" t="s">
        <v>62</v>
      </c>
      <c r="K701" t="s">
        <v>42</v>
      </c>
      <c r="L701" t="s">
        <v>933</v>
      </c>
      <c r="N701" t="s">
        <v>934</v>
      </c>
      <c r="Q701">
        <v>31845</v>
      </c>
      <c r="R701" t="s">
        <v>967</v>
      </c>
      <c r="S701" t="s">
        <v>5662</v>
      </c>
      <c r="T701">
        <v>29</v>
      </c>
      <c r="V701" s="1">
        <v>46002</v>
      </c>
      <c r="W701" t="s">
        <v>5617</v>
      </c>
      <c r="X701">
        <v>110023523</v>
      </c>
      <c r="Y701" t="s">
        <v>301</v>
      </c>
      <c r="Z701" t="s">
        <v>301</v>
      </c>
      <c r="AA701" t="s">
        <v>5663</v>
      </c>
      <c r="AB701" t="s">
        <v>938</v>
      </c>
      <c r="AD701" t="s">
        <v>5618</v>
      </c>
      <c r="AE701">
        <v>13580</v>
      </c>
      <c r="AG701" t="s">
        <v>5664</v>
      </c>
      <c r="AH701" t="s">
        <v>5665</v>
      </c>
      <c r="AI701" t="s">
        <v>5666</v>
      </c>
    </row>
    <row r="702" spans="2:35" ht="240">
      <c r="B702" s="1">
        <v>46028</v>
      </c>
      <c r="C702" s="1">
        <v>46028</v>
      </c>
      <c r="D702" t="s">
        <v>2135</v>
      </c>
      <c r="E702" t="s">
        <v>5652</v>
      </c>
      <c r="F702" t="s">
        <v>1255</v>
      </c>
      <c r="G702" t="s">
        <v>1887</v>
      </c>
      <c r="H702" t="s">
        <v>2138</v>
      </c>
      <c r="I702" t="s">
        <v>40</v>
      </c>
      <c r="J702" s="2" t="s">
        <v>41</v>
      </c>
      <c r="K702" t="s">
        <v>387</v>
      </c>
      <c r="L702" t="s">
        <v>296</v>
      </c>
      <c r="N702" t="s">
        <v>297</v>
      </c>
      <c r="Q702">
        <v>31844</v>
      </c>
      <c r="R702" t="s">
        <v>322</v>
      </c>
      <c r="S702" t="s">
        <v>2139</v>
      </c>
      <c r="T702">
        <v>26</v>
      </c>
      <c r="W702" t="s">
        <v>390</v>
      </c>
      <c r="X702" t="s">
        <v>2141</v>
      </c>
      <c r="Y702" t="s">
        <v>5667</v>
      </c>
      <c r="Z702" s="2" t="s">
        <v>5668</v>
      </c>
      <c r="AA702" s="2" t="s">
        <v>5669</v>
      </c>
      <c r="AB702" t="s">
        <v>5670</v>
      </c>
      <c r="AG702" t="s">
        <v>5671</v>
      </c>
      <c r="AH702" t="s">
        <v>5672</v>
      </c>
      <c r="AI702" t="s">
        <v>5673</v>
      </c>
    </row>
    <row r="703" spans="2:35" ht="409.5">
      <c r="B703" s="1">
        <v>46028</v>
      </c>
      <c r="C703" s="1">
        <v>46028</v>
      </c>
      <c r="D703" t="s">
        <v>2272</v>
      </c>
      <c r="E703" t="s">
        <v>2273</v>
      </c>
      <c r="F703" t="s">
        <v>148</v>
      </c>
      <c r="G703" t="s">
        <v>310</v>
      </c>
      <c r="H703" t="s">
        <v>61</v>
      </c>
      <c r="I703" t="s">
        <v>40</v>
      </c>
      <c r="J703" t="s">
        <v>109</v>
      </c>
      <c r="K703" t="s">
        <v>42</v>
      </c>
      <c r="L703" t="s">
        <v>1943</v>
      </c>
      <c r="N703" t="s">
        <v>1944</v>
      </c>
      <c r="O703" t="s">
        <v>2275</v>
      </c>
      <c r="Q703">
        <v>31843</v>
      </c>
      <c r="R703" t="s">
        <v>703</v>
      </c>
      <c r="S703" t="s">
        <v>5674</v>
      </c>
      <c r="T703">
        <v>25</v>
      </c>
      <c r="W703" t="s">
        <v>84</v>
      </c>
      <c r="X703">
        <v>835604</v>
      </c>
      <c r="Y703" t="s">
        <v>2099</v>
      </c>
      <c r="Z703" t="s">
        <v>2100</v>
      </c>
      <c r="AA703" s="2" t="s">
        <v>2101</v>
      </c>
      <c r="AB703" t="s">
        <v>88</v>
      </c>
      <c r="AG703" t="s">
        <v>5675</v>
      </c>
      <c r="AH703" t="s">
        <v>5676</v>
      </c>
      <c r="AI703" t="s">
        <v>5677</v>
      </c>
    </row>
    <row r="704" spans="2:35" ht="409.5">
      <c r="B704" s="1">
        <v>46028</v>
      </c>
      <c r="C704" s="1">
        <v>46028</v>
      </c>
      <c r="D704" t="s">
        <v>2272</v>
      </c>
      <c r="E704" t="s">
        <v>2273</v>
      </c>
      <c r="F704" t="s">
        <v>148</v>
      </c>
      <c r="G704" t="s">
        <v>310</v>
      </c>
      <c r="H704" t="s">
        <v>61</v>
      </c>
      <c r="I704" t="s">
        <v>40</v>
      </c>
      <c r="J704" s="2" t="s">
        <v>1808</v>
      </c>
      <c r="K704" t="s">
        <v>42</v>
      </c>
      <c r="L704" t="s">
        <v>1943</v>
      </c>
      <c r="N704" t="s">
        <v>1944</v>
      </c>
      <c r="O704" t="s">
        <v>2275</v>
      </c>
      <c r="Q704">
        <v>31842</v>
      </c>
      <c r="R704" t="s">
        <v>703</v>
      </c>
      <c r="S704" t="s">
        <v>5674</v>
      </c>
      <c r="T704">
        <v>25</v>
      </c>
      <c r="W704" t="s">
        <v>5678</v>
      </c>
      <c r="X704">
        <v>120002026</v>
      </c>
      <c r="Y704" s="2" t="s">
        <v>5679</v>
      </c>
      <c r="Z704" t="s">
        <v>5680</v>
      </c>
      <c r="AA704" s="2" t="s">
        <v>5681</v>
      </c>
      <c r="AB704" t="s">
        <v>88</v>
      </c>
      <c r="AG704" t="s">
        <v>5682</v>
      </c>
      <c r="AH704" t="s">
        <v>5676</v>
      </c>
      <c r="AI704" t="s">
        <v>5683</v>
      </c>
    </row>
    <row r="705" spans="2:35" ht="409.5">
      <c r="B705" s="1">
        <v>46028</v>
      </c>
      <c r="C705" s="1">
        <v>46028</v>
      </c>
      <c r="D705" t="s">
        <v>4075</v>
      </c>
      <c r="E705" t="s">
        <v>4076</v>
      </c>
      <c r="F705">
        <v>5</v>
      </c>
      <c r="G705" t="s">
        <v>814</v>
      </c>
      <c r="H705" t="s">
        <v>39</v>
      </c>
      <c r="I705" t="s">
        <v>94</v>
      </c>
      <c r="J705" s="2" t="s">
        <v>190</v>
      </c>
      <c r="K705" t="s">
        <v>42</v>
      </c>
      <c r="L705" t="s">
        <v>761</v>
      </c>
      <c r="N705" t="s">
        <v>762</v>
      </c>
      <c r="Q705">
        <v>31841</v>
      </c>
      <c r="R705" t="s">
        <v>95</v>
      </c>
      <c r="S705" t="s">
        <v>4077</v>
      </c>
      <c r="T705">
        <v>23</v>
      </c>
      <c r="U705" s="2" t="s">
        <v>5684</v>
      </c>
      <c r="W705" t="s">
        <v>817</v>
      </c>
      <c r="X705">
        <v>120002716</v>
      </c>
      <c r="Y705" t="s">
        <v>5685</v>
      </c>
      <c r="Z705" s="2" t="s">
        <v>5686</v>
      </c>
      <c r="AA705" s="2" t="s">
        <v>3517</v>
      </c>
      <c r="AB705" s="2" t="s">
        <v>4079</v>
      </c>
      <c r="AG705" t="s">
        <v>5687</v>
      </c>
      <c r="AH705" t="s">
        <v>5688</v>
      </c>
      <c r="AI705" t="s">
        <v>5689</v>
      </c>
    </row>
    <row r="706" spans="2:35" ht="409.5">
      <c r="B706" s="1">
        <v>46028</v>
      </c>
      <c r="C706" s="1">
        <v>46027</v>
      </c>
      <c r="D706" t="s">
        <v>1089</v>
      </c>
      <c r="E706" t="s">
        <v>3993</v>
      </c>
      <c r="F706" t="s">
        <v>148</v>
      </c>
      <c r="G706" t="s">
        <v>406</v>
      </c>
      <c r="H706" t="s">
        <v>3994</v>
      </c>
      <c r="I706" t="s">
        <v>40</v>
      </c>
      <c r="J706" s="2" t="s">
        <v>41</v>
      </c>
      <c r="K706" t="s">
        <v>42</v>
      </c>
      <c r="L706" t="s">
        <v>43</v>
      </c>
      <c r="N706" t="s">
        <v>44</v>
      </c>
      <c r="O706" t="s">
        <v>1091</v>
      </c>
      <c r="Q706">
        <v>31838</v>
      </c>
      <c r="R706" t="s">
        <v>95</v>
      </c>
      <c r="S706" t="s">
        <v>5690</v>
      </c>
      <c r="T706">
        <v>24</v>
      </c>
      <c r="U706" s="2" t="s">
        <v>5691</v>
      </c>
      <c r="W706" t="s">
        <v>153</v>
      </c>
      <c r="X706">
        <v>120002383</v>
      </c>
      <c r="Y706" t="s">
        <v>5692</v>
      </c>
      <c r="Z706" t="s">
        <v>5693</v>
      </c>
      <c r="AA706" s="2" t="s">
        <v>5694</v>
      </c>
      <c r="AB706" t="s">
        <v>548</v>
      </c>
      <c r="AG706" t="s">
        <v>5695</v>
      </c>
      <c r="AH706" t="s">
        <v>5696</v>
      </c>
      <c r="AI706" t="s">
        <v>5697</v>
      </c>
    </row>
    <row r="707" spans="2:35" ht="409.5">
      <c r="B707" s="1">
        <v>46028</v>
      </c>
      <c r="C707" s="1">
        <v>46027</v>
      </c>
      <c r="D707" t="s">
        <v>1089</v>
      </c>
      <c r="E707" t="s">
        <v>3993</v>
      </c>
      <c r="F707" t="s">
        <v>148</v>
      </c>
      <c r="G707" t="s">
        <v>406</v>
      </c>
      <c r="H707" t="s">
        <v>3994</v>
      </c>
      <c r="I707" t="s">
        <v>40</v>
      </c>
      <c r="J707" t="s">
        <v>109</v>
      </c>
      <c r="K707" t="s">
        <v>42</v>
      </c>
      <c r="L707" t="s">
        <v>43</v>
      </c>
      <c r="N707" t="s">
        <v>44</v>
      </c>
      <c r="O707" t="s">
        <v>1091</v>
      </c>
      <c r="Q707">
        <v>31839</v>
      </c>
      <c r="R707" t="s">
        <v>95</v>
      </c>
      <c r="S707" t="s">
        <v>5690</v>
      </c>
      <c r="T707">
        <v>22</v>
      </c>
      <c r="U707" s="2" t="s">
        <v>5698</v>
      </c>
      <c r="W707" t="s">
        <v>48</v>
      </c>
      <c r="X707">
        <v>839232</v>
      </c>
      <c r="Y707" t="s">
        <v>121</v>
      </c>
      <c r="Z707" t="s">
        <v>122</v>
      </c>
      <c r="AA707" s="2" t="s">
        <v>547</v>
      </c>
      <c r="AB707" t="s">
        <v>990</v>
      </c>
      <c r="AG707" t="s">
        <v>5699</v>
      </c>
      <c r="AH707" t="s">
        <v>5696</v>
      </c>
      <c r="AI707" t="s">
        <v>5700</v>
      </c>
    </row>
    <row r="708" spans="2:35" ht="255">
      <c r="B708" s="1">
        <v>46028</v>
      </c>
      <c r="C708" s="1">
        <v>46027</v>
      </c>
      <c r="D708" t="s">
        <v>1099</v>
      </c>
      <c r="E708" t="s">
        <v>3993</v>
      </c>
      <c r="F708" t="s">
        <v>148</v>
      </c>
      <c r="G708" t="s">
        <v>406</v>
      </c>
      <c r="H708" t="s">
        <v>386</v>
      </c>
      <c r="I708" t="s">
        <v>40</v>
      </c>
      <c r="J708" t="s">
        <v>109</v>
      </c>
      <c r="K708" t="s">
        <v>387</v>
      </c>
      <c r="L708" t="s">
        <v>43</v>
      </c>
      <c r="N708" t="s">
        <v>44</v>
      </c>
      <c r="O708" t="s">
        <v>1091</v>
      </c>
      <c r="Q708">
        <v>31840</v>
      </c>
      <c r="R708" t="s">
        <v>95</v>
      </c>
      <c r="S708" t="s">
        <v>5701</v>
      </c>
      <c r="T708">
        <v>22</v>
      </c>
      <c r="W708" t="s">
        <v>390</v>
      </c>
      <c r="X708" t="s">
        <v>5702</v>
      </c>
      <c r="Y708" t="s">
        <v>121</v>
      </c>
      <c r="Z708" t="s">
        <v>122</v>
      </c>
      <c r="AA708" s="2" t="s">
        <v>5703</v>
      </c>
      <c r="AB708" t="s">
        <v>88</v>
      </c>
      <c r="AG708" t="s">
        <v>5704</v>
      </c>
      <c r="AH708" t="s">
        <v>5705</v>
      </c>
      <c r="AI708" t="s">
        <v>5706</v>
      </c>
    </row>
    <row r="709" spans="2:35" ht="390">
      <c r="B709" s="1">
        <v>46028</v>
      </c>
      <c r="C709" s="1">
        <v>46028</v>
      </c>
      <c r="D709" t="s">
        <v>5707</v>
      </c>
      <c r="E709" t="s">
        <v>5708</v>
      </c>
      <c r="F709">
        <v>1</v>
      </c>
      <c r="G709" t="s">
        <v>1922</v>
      </c>
      <c r="H709" t="s">
        <v>39</v>
      </c>
      <c r="I709" t="s">
        <v>40</v>
      </c>
      <c r="J709" s="2" t="s">
        <v>41</v>
      </c>
      <c r="K709" t="s">
        <v>42</v>
      </c>
      <c r="L709" t="s">
        <v>1048</v>
      </c>
      <c r="N709" t="s">
        <v>1049</v>
      </c>
      <c r="Q709">
        <v>31837</v>
      </c>
      <c r="R709" t="s">
        <v>119</v>
      </c>
      <c r="S709" t="s">
        <v>5709</v>
      </c>
      <c r="T709">
        <v>25</v>
      </c>
      <c r="U709" s="2" t="s">
        <v>5710</v>
      </c>
      <c r="V709" s="1">
        <v>46013</v>
      </c>
      <c r="W709" t="s">
        <v>2680</v>
      </c>
      <c r="X709">
        <v>838273</v>
      </c>
      <c r="Y709" t="s">
        <v>5711</v>
      </c>
      <c r="Z709" t="s">
        <v>5712</v>
      </c>
      <c r="AA709" s="2" t="s">
        <v>5713</v>
      </c>
      <c r="AB709" s="2" t="s">
        <v>5714</v>
      </c>
      <c r="AD709" t="s">
        <v>4669</v>
      </c>
      <c r="AE709">
        <v>13629</v>
      </c>
      <c r="AG709" t="s">
        <v>5715</v>
      </c>
      <c r="AH709" t="s">
        <v>5716</v>
      </c>
      <c r="AI709" t="s">
        <v>5717</v>
      </c>
    </row>
    <row r="710" spans="2:35" ht="120">
      <c r="B710" s="1">
        <v>46028</v>
      </c>
      <c r="C710" s="1">
        <v>46028</v>
      </c>
      <c r="D710" t="s">
        <v>5546</v>
      </c>
      <c r="E710" t="s">
        <v>1555</v>
      </c>
      <c r="F710">
        <v>7</v>
      </c>
      <c r="G710" t="s">
        <v>432</v>
      </c>
      <c r="H710" t="s">
        <v>39</v>
      </c>
      <c r="I710" t="s">
        <v>40</v>
      </c>
      <c r="J710" s="2" t="s">
        <v>609</v>
      </c>
      <c r="K710" t="s">
        <v>42</v>
      </c>
      <c r="L710" t="s">
        <v>433</v>
      </c>
      <c r="N710" t="s">
        <v>434</v>
      </c>
      <c r="Q710">
        <v>31836</v>
      </c>
      <c r="R710" t="s">
        <v>967</v>
      </c>
      <c r="S710" t="s">
        <v>5548</v>
      </c>
      <c r="T710">
        <v>28</v>
      </c>
      <c r="W710" t="s">
        <v>502</v>
      </c>
      <c r="X710">
        <v>110023513</v>
      </c>
      <c r="Y710" t="s">
        <v>54</v>
      </c>
      <c r="Z710" s="2" t="s">
        <v>5718</v>
      </c>
      <c r="AA710" s="2" t="s">
        <v>5718</v>
      </c>
      <c r="AB710" t="s">
        <v>1011</v>
      </c>
      <c r="AG710" t="s">
        <v>5719</v>
      </c>
      <c r="AH710" t="s">
        <v>5720</v>
      </c>
      <c r="AI710" t="s">
        <v>5721</v>
      </c>
    </row>
    <row r="711" spans="2:35" ht="105">
      <c r="B711" s="1">
        <v>46028</v>
      </c>
      <c r="C711" s="1">
        <v>46028</v>
      </c>
      <c r="D711" t="s">
        <v>1462</v>
      </c>
      <c r="E711" t="s">
        <v>2892</v>
      </c>
      <c r="F711">
        <v>8</v>
      </c>
      <c r="G711" t="s">
        <v>1663</v>
      </c>
      <c r="H711" t="s">
        <v>258</v>
      </c>
      <c r="I711" t="s">
        <v>40</v>
      </c>
      <c r="J711" s="2" t="s">
        <v>62</v>
      </c>
      <c r="K711" t="s">
        <v>42</v>
      </c>
      <c r="L711" t="s">
        <v>259</v>
      </c>
      <c r="N711" t="s">
        <v>260</v>
      </c>
      <c r="Q711">
        <v>31835</v>
      </c>
      <c r="R711" t="s">
        <v>967</v>
      </c>
      <c r="S711" t="s">
        <v>2893</v>
      </c>
      <c r="T711">
        <v>26</v>
      </c>
      <c r="U711" s="2" t="s">
        <v>5722</v>
      </c>
      <c r="V711" s="1">
        <v>46028</v>
      </c>
      <c r="W711" t="s">
        <v>5723</v>
      </c>
      <c r="X711">
        <v>110023515</v>
      </c>
      <c r="Y711" t="s">
        <v>5724</v>
      </c>
      <c r="Z711" t="e">
        <f ca="1">- PERFORM Xpert Check CALIBRATION
- Preventive Maintenance
- Data Collection</f>
        <v>#NAME?</v>
      </c>
      <c r="AA711" t="e">
        <f ca="1">- Preventive Maintenance
- Xpert Check CALIBRATION</f>
        <v>#NAME?</v>
      </c>
      <c r="AB711" t="s">
        <v>70</v>
      </c>
      <c r="AD711" t="s">
        <v>5725</v>
      </c>
      <c r="AE711">
        <v>13570</v>
      </c>
      <c r="AG711" t="s">
        <v>5726</v>
      </c>
      <c r="AH711" t="s">
        <v>2899</v>
      </c>
      <c r="AI711" t="s">
        <v>5727</v>
      </c>
    </row>
    <row r="712" spans="2:35" ht="105">
      <c r="B712" s="1">
        <v>46027</v>
      </c>
      <c r="C712" s="1">
        <v>46008</v>
      </c>
      <c r="D712" t="s">
        <v>1057</v>
      </c>
      <c r="E712" t="s">
        <v>1058</v>
      </c>
      <c r="F712">
        <v>1</v>
      </c>
      <c r="G712" t="s">
        <v>1046</v>
      </c>
      <c r="H712" t="s">
        <v>39</v>
      </c>
      <c r="I712" t="s">
        <v>40</v>
      </c>
      <c r="J712" t="s">
        <v>109</v>
      </c>
      <c r="K712" t="s">
        <v>42</v>
      </c>
      <c r="L712" t="s">
        <v>1048</v>
      </c>
      <c r="N712" t="s">
        <v>1049</v>
      </c>
      <c r="Q712">
        <v>31834</v>
      </c>
      <c r="R712" t="s">
        <v>95</v>
      </c>
      <c r="S712" t="s">
        <v>1059</v>
      </c>
      <c r="T712">
        <v>30</v>
      </c>
      <c r="W712" t="s">
        <v>1060</v>
      </c>
      <c r="X712">
        <v>820303</v>
      </c>
      <c r="Y712" t="s">
        <v>1052</v>
      </c>
      <c r="Z712" t="e">
        <f ca="1">- cleaned cartridge Bays, plunger Rods _xludf.and I-CORE
- generated reports</f>
        <v>#NAME?</v>
      </c>
      <c r="AA712" t="s">
        <v>820</v>
      </c>
      <c r="AB712" s="2" t="s">
        <v>3391</v>
      </c>
      <c r="AG712" t="s">
        <v>5728</v>
      </c>
      <c r="AH712" t="s">
        <v>3393</v>
      </c>
      <c r="AI712" t="s">
        <v>5729</v>
      </c>
    </row>
    <row r="713" spans="2:35" ht="409.5">
      <c r="B713" s="1">
        <v>46027</v>
      </c>
      <c r="C713" s="1">
        <v>46027</v>
      </c>
      <c r="D713" t="s">
        <v>1155</v>
      </c>
      <c r="E713" t="s">
        <v>229</v>
      </c>
      <c r="F713" t="s">
        <v>148</v>
      </c>
      <c r="G713" t="s">
        <v>230</v>
      </c>
      <c r="H713" t="s">
        <v>39</v>
      </c>
      <c r="I713" t="s">
        <v>40</v>
      </c>
      <c r="J713" s="2" t="s">
        <v>41</v>
      </c>
      <c r="K713" t="s">
        <v>42</v>
      </c>
      <c r="L713" t="s">
        <v>175</v>
      </c>
      <c r="N713" t="s">
        <v>176</v>
      </c>
      <c r="Q713">
        <v>31833</v>
      </c>
      <c r="R713" t="s">
        <v>322</v>
      </c>
      <c r="S713" t="s">
        <v>1159</v>
      </c>
      <c r="T713">
        <v>26</v>
      </c>
      <c r="V713" s="1">
        <v>46020</v>
      </c>
      <c r="W713" t="s">
        <v>373</v>
      </c>
      <c r="X713">
        <v>120002891</v>
      </c>
      <c r="Y713" s="2" t="s">
        <v>5730</v>
      </c>
      <c r="Z713" t="s">
        <v>240</v>
      </c>
      <c r="AA713" s="2" t="s">
        <v>5731</v>
      </c>
      <c r="AB713" t="s">
        <v>181</v>
      </c>
      <c r="AD713" t="s">
        <v>5732</v>
      </c>
      <c r="AE713">
        <v>13634</v>
      </c>
      <c r="AG713" t="s">
        <v>5733</v>
      </c>
      <c r="AH713" t="s">
        <v>1166</v>
      </c>
      <c r="AI713" t="s">
        <v>5734</v>
      </c>
    </row>
    <row r="714" spans="2:35" ht="315">
      <c r="B714" s="1">
        <v>46027</v>
      </c>
      <c r="C714" s="1">
        <v>46017</v>
      </c>
      <c r="D714" t="s">
        <v>4125</v>
      </c>
      <c r="E714" t="s">
        <v>4126</v>
      </c>
      <c r="F714">
        <v>5</v>
      </c>
      <c r="G714" t="s">
        <v>759</v>
      </c>
      <c r="H714" t="s">
        <v>39</v>
      </c>
      <c r="I714" t="s">
        <v>94</v>
      </c>
      <c r="J714" t="s">
        <v>109</v>
      </c>
      <c r="K714" t="s">
        <v>42</v>
      </c>
      <c r="L714" t="s">
        <v>761</v>
      </c>
      <c r="N714" t="s">
        <v>762</v>
      </c>
      <c r="Q714">
        <v>31832</v>
      </c>
      <c r="R714" t="s">
        <v>322</v>
      </c>
      <c r="S714" t="s">
        <v>4127</v>
      </c>
      <c r="T714">
        <v>24</v>
      </c>
      <c r="U714" s="2" t="s">
        <v>5735</v>
      </c>
      <c r="W714" t="s">
        <v>765</v>
      </c>
      <c r="X714">
        <v>110026767</v>
      </c>
      <c r="Y714" t="s">
        <v>818</v>
      </c>
      <c r="Z714" s="2" t="s">
        <v>1415</v>
      </c>
      <c r="AA714" t="s">
        <v>820</v>
      </c>
      <c r="AB714" t="s">
        <v>181</v>
      </c>
      <c r="AG714" t="s">
        <v>5736</v>
      </c>
      <c r="AH714" t="s">
        <v>5737</v>
      </c>
      <c r="AI714" t="s">
        <v>5738</v>
      </c>
    </row>
    <row r="715" spans="2:35" ht="409.5">
      <c r="B715" s="1">
        <v>46026</v>
      </c>
      <c r="C715" s="1">
        <v>46026</v>
      </c>
      <c r="D715" t="s">
        <v>5739</v>
      </c>
      <c r="E715" t="s">
        <v>5740</v>
      </c>
      <c r="F715" t="s">
        <v>148</v>
      </c>
      <c r="G715" t="s">
        <v>406</v>
      </c>
      <c r="H715" t="s">
        <v>2570</v>
      </c>
      <c r="I715" t="s">
        <v>40</v>
      </c>
      <c r="J715" t="s">
        <v>525</v>
      </c>
      <c r="K715" t="s">
        <v>42</v>
      </c>
      <c r="L715" t="s">
        <v>448</v>
      </c>
      <c r="N715" t="s">
        <v>650</v>
      </c>
      <c r="O715" t="s">
        <v>1091</v>
      </c>
      <c r="Q715">
        <v>31831</v>
      </c>
      <c r="R715" t="s">
        <v>95</v>
      </c>
      <c r="S715" t="s">
        <v>5690</v>
      </c>
      <c r="T715">
        <v>22</v>
      </c>
      <c r="U715" s="2" t="s">
        <v>5741</v>
      </c>
      <c r="W715" t="s">
        <v>2591</v>
      </c>
      <c r="X715">
        <v>120002383</v>
      </c>
      <c r="Y715" s="2" t="s">
        <v>5742</v>
      </c>
      <c r="Z715" s="2" t="s">
        <v>5743</v>
      </c>
      <c r="AA715" t="s">
        <v>768</v>
      </c>
      <c r="AB715" t="s">
        <v>5744</v>
      </c>
      <c r="AG715" t="s">
        <v>5745</v>
      </c>
      <c r="AH715" t="s">
        <v>5746</v>
      </c>
      <c r="AI715" t="s">
        <v>5747</v>
      </c>
    </row>
    <row r="716" spans="2:35" ht="195">
      <c r="B716" s="1">
        <v>46024</v>
      </c>
      <c r="C716" s="1">
        <v>46014</v>
      </c>
      <c r="D716" t="s">
        <v>159</v>
      </c>
      <c r="E716" t="s">
        <v>5748</v>
      </c>
      <c r="F716" t="s">
        <v>37</v>
      </c>
      <c r="G716" t="s">
        <v>78</v>
      </c>
      <c r="H716" t="s">
        <v>386</v>
      </c>
      <c r="I716" t="s">
        <v>40</v>
      </c>
      <c r="J716" t="s">
        <v>321</v>
      </c>
      <c r="K716" t="s">
        <v>387</v>
      </c>
      <c r="L716" t="s">
        <v>43</v>
      </c>
      <c r="N716" t="s">
        <v>44</v>
      </c>
      <c r="O716" t="s">
        <v>5749</v>
      </c>
      <c r="Q716">
        <v>31830</v>
      </c>
      <c r="R716" t="s">
        <v>95</v>
      </c>
      <c r="S716" t="s">
        <v>5750</v>
      </c>
      <c r="T716">
        <v>24</v>
      </c>
      <c r="W716" t="s">
        <v>390</v>
      </c>
      <c r="X716" t="s">
        <v>5751</v>
      </c>
      <c r="Y716" t="s">
        <v>750</v>
      </c>
      <c r="Z716" t="s">
        <v>5752</v>
      </c>
      <c r="AA716" s="2" t="s">
        <v>5753</v>
      </c>
      <c r="AB716" t="s">
        <v>88</v>
      </c>
      <c r="AG716" t="s">
        <v>5754</v>
      </c>
      <c r="AH716" t="s">
        <v>5755</v>
      </c>
      <c r="AI716" t="s">
        <v>5756</v>
      </c>
    </row>
    <row r="717" spans="2:35" ht="315">
      <c r="B717" s="1">
        <v>46020</v>
      </c>
      <c r="C717" s="1">
        <v>46020</v>
      </c>
      <c r="D717" t="s">
        <v>2176</v>
      </c>
      <c r="E717" t="s">
        <v>5757</v>
      </c>
      <c r="F717" t="s">
        <v>148</v>
      </c>
      <c r="G717" t="s">
        <v>447</v>
      </c>
      <c r="H717" t="s">
        <v>513</v>
      </c>
      <c r="I717" t="s">
        <v>40</v>
      </c>
      <c r="J717" s="2" t="s">
        <v>760</v>
      </c>
      <c r="K717" t="s">
        <v>387</v>
      </c>
      <c r="L717" t="s">
        <v>80</v>
      </c>
      <c r="N717" t="s">
        <v>81</v>
      </c>
      <c r="Q717">
        <v>31829</v>
      </c>
      <c r="R717" t="s">
        <v>322</v>
      </c>
      <c r="S717" t="s">
        <v>2179</v>
      </c>
      <c r="T717">
        <v>25</v>
      </c>
      <c r="V717" s="1">
        <v>46020</v>
      </c>
      <c r="W717" t="s">
        <v>476</v>
      </c>
      <c r="X717" t="s">
        <v>4142</v>
      </c>
      <c r="Y717" t="s">
        <v>5758</v>
      </c>
      <c r="Z717" s="2" t="s">
        <v>5759</v>
      </c>
      <c r="AA717" s="2" t="s">
        <v>5760</v>
      </c>
      <c r="AB717" t="s">
        <v>181</v>
      </c>
      <c r="AD717" t="s">
        <v>54</v>
      </c>
      <c r="AE717" t="s">
        <v>103</v>
      </c>
      <c r="AG717" t="s">
        <v>5761</v>
      </c>
      <c r="AH717" t="s">
        <v>5762</v>
      </c>
      <c r="AI717" t="s">
        <v>5763</v>
      </c>
    </row>
    <row r="718" spans="2:35" ht="315">
      <c r="B718" s="1">
        <v>46020</v>
      </c>
      <c r="C718" s="1">
        <v>46020</v>
      </c>
      <c r="D718" t="s">
        <v>159</v>
      </c>
      <c r="E718" t="s">
        <v>5764</v>
      </c>
      <c r="F718" t="s">
        <v>37</v>
      </c>
      <c r="G718" t="s">
        <v>78</v>
      </c>
      <c r="H718" t="s">
        <v>2274</v>
      </c>
      <c r="I718" t="s">
        <v>40</v>
      </c>
      <c r="J718" t="s">
        <v>109</v>
      </c>
      <c r="K718" t="s">
        <v>387</v>
      </c>
      <c r="L718" t="s">
        <v>1943</v>
      </c>
      <c r="N718" t="s">
        <v>1944</v>
      </c>
      <c r="O718" t="s">
        <v>5765</v>
      </c>
      <c r="Q718">
        <v>31828</v>
      </c>
      <c r="R718" t="s">
        <v>95</v>
      </c>
      <c r="S718" t="s">
        <v>5766</v>
      </c>
      <c r="T718">
        <v>25</v>
      </c>
      <c r="W718" t="s">
        <v>390</v>
      </c>
      <c r="X718" t="s">
        <v>5751</v>
      </c>
      <c r="Y718" t="s">
        <v>2099</v>
      </c>
      <c r="Z718" t="s">
        <v>2100</v>
      </c>
      <c r="AA718" s="2" t="s">
        <v>2278</v>
      </c>
      <c r="AB718" t="s">
        <v>88</v>
      </c>
      <c r="AG718" t="s">
        <v>5767</v>
      </c>
      <c r="AH718" t="s">
        <v>5768</v>
      </c>
      <c r="AI718" t="s">
        <v>5769</v>
      </c>
    </row>
    <row r="719" spans="2:35" ht="409.5">
      <c r="B719" s="1">
        <v>46020</v>
      </c>
      <c r="C719" s="1">
        <v>46020</v>
      </c>
      <c r="D719" t="s">
        <v>159</v>
      </c>
      <c r="E719" t="s">
        <v>5764</v>
      </c>
      <c r="F719" t="s">
        <v>37</v>
      </c>
      <c r="G719" t="s">
        <v>78</v>
      </c>
      <c r="H719" t="s">
        <v>150</v>
      </c>
      <c r="I719" t="s">
        <v>40</v>
      </c>
      <c r="J719" t="s">
        <v>109</v>
      </c>
      <c r="K719" t="s">
        <v>42</v>
      </c>
      <c r="L719" t="s">
        <v>1943</v>
      </c>
      <c r="N719" t="s">
        <v>1944</v>
      </c>
      <c r="O719" t="s">
        <v>161</v>
      </c>
      <c r="Q719">
        <v>31827</v>
      </c>
      <c r="R719" t="s">
        <v>95</v>
      </c>
      <c r="S719" t="s">
        <v>5770</v>
      </c>
      <c r="T719">
        <v>25</v>
      </c>
      <c r="W719" t="s">
        <v>5771</v>
      </c>
      <c r="X719">
        <v>812916</v>
      </c>
      <c r="Y719" t="s">
        <v>2099</v>
      </c>
      <c r="Z719" t="s">
        <v>2100</v>
      </c>
      <c r="AA719" s="2" t="s">
        <v>2101</v>
      </c>
      <c r="AB719" t="s">
        <v>88</v>
      </c>
      <c r="AG719" t="s">
        <v>5772</v>
      </c>
      <c r="AH719" t="s">
        <v>5773</v>
      </c>
      <c r="AI719" t="s">
        <v>5774</v>
      </c>
    </row>
    <row r="720" spans="2:35" ht="375">
      <c r="B720" s="1">
        <v>46018</v>
      </c>
      <c r="C720" s="1">
        <v>46006</v>
      </c>
      <c r="D720" t="s">
        <v>5775</v>
      </c>
      <c r="E720" t="s">
        <v>293</v>
      </c>
      <c r="F720">
        <v>12</v>
      </c>
      <c r="G720" t="s">
        <v>294</v>
      </c>
      <c r="H720" t="s">
        <v>295</v>
      </c>
      <c r="I720" t="s">
        <v>40</v>
      </c>
      <c r="J720" s="2" t="s">
        <v>5776</v>
      </c>
      <c r="K720" t="s">
        <v>42</v>
      </c>
      <c r="L720" t="s">
        <v>296</v>
      </c>
      <c r="N720" t="s">
        <v>297</v>
      </c>
      <c r="Q720">
        <v>31825</v>
      </c>
      <c r="R720" t="s">
        <v>95</v>
      </c>
      <c r="S720" t="s">
        <v>298</v>
      </c>
      <c r="T720">
        <v>25.3</v>
      </c>
      <c r="U720" s="2" t="s">
        <v>5777</v>
      </c>
      <c r="W720" t="s">
        <v>970</v>
      </c>
      <c r="X720">
        <v>110024270</v>
      </c>
      <c r="Y720" t="s">
        <v>301</v>
      </c>
      <c r="Z720" s="2" t="s">
        <v>5778</v>
      </c>
      <c r="AA720" s="2" t="s">
        <v>5779</v>
      </c>
      <c r="AB720" t="s">
        <v>972</v>
      </c>
      <c r="AG720" t="s">
        <v>5780</v>
      </c>
      <c r="AH720" t="s">
        <v>5781</v>
      </c>
      <c r="AI720" t="s">
        <v>5782</v>
      </c>
    </row>
    <row r="721" spans="2:35" ht="409.5">
      <c r="B721" s="1">
        <v>46018</v>
      </c>
      <c r="C721" s="1">
        <v>46009</v>
      </c>
      <c r="D721" t="s">
        <v>5783</v>
      </c>
      <c r="E721" t="s">
        <v>5784</v>
      </c>
      <c r="F721">
        <v>12</v>
      </c>
      <c r="G721" t="s">
        <v>5785</v>
      </c>
      <c r="H721" t="s">
        <v>1473</v>
      </c>
      <c r="I721" t="s">
        <v>40</v>
      </c>
      <c r="J721" s="2" t="s">
        <v>5786</v>
      </c>
      <c r="K721" t="s">
        <v>42</v>
      </c>
      <c r="L721" t="s">
        <v>296</v>
      </c>
      <c r="N721" t="s">
        <v>297</v>
      </c>
      <c r="Q721">
        <v>31826</v>
      </c>
      <c r="R721" t="s">
        <v>119</v>
      </c>
      <c r="S721" t="s">
        <v>5787</v>
      </c>
      <c r="T721">
        <v>26.4</v>
      </c>
      <c r="W721" t="s">
        <v>981</v>
      </c>
      <c r="X721">
        <v>838546</v>
      </c>
      <c r="Y721" t="s">
        <v>2789</v>
      </c>
      <c r="Z721" s="2" t="s">
        <v>5788</v>
      </c>
      <c r="AA721" s="2" t="s">
        <v>5789</v>
      </c>
      <c r="AB721" t="s">
        <v>972</v>
      </c>
      <c r="AG721" t="s">
        <v>5790</v>
      </c>
      <c r="AH721" t="s">
        <v>5791</v>
      </c>
      <c r="AI721" t="s">
        <v>5792</v>
      </c>
    </row>
    <row r="722" spans="2:35" ht="180">
      <c r="B722" s="1">
        <v>46018</v>
      </c>
      <c r="C722" s="1">
        <v>46018</v>
      </c>
      <c r="D722" t="s">
        <v>5793</v>
      </c>
      <c r="E722" t="s">
        <v>5794</v>
      </c>
      <c r="F722">
        <v>5</v>
      </c>
      <c r="G722" t="s">
        <v>5795</v>
      </c>
      <c r="H722" t="s">
        <v>39</v>
      </c>
      <c r="I722" t="s">
        <v>40</v>
      </c>
      <c r="J722" s="2" t="s">
        <v>41</v>
      </c>
      <c r="K722" t="s">
        <v>42</v>
      </c>
      <c r="L722" t="s">
        <v>80</v>
      </c>
      <c r="N722" t="s">
        <v>1641</v>
      </c>
      <c r="Q722">
        <v>31824</v>
      </c>
      <c r="R722" t="s">
        <v>119</v>
      </c>
      <c r="S722" t="s">
        <v>5796</v>
      </c>
      <c r="T722">
        <v>25</v>
      </c>
      <c r="U722" s="2" t="s">
        <v>5797</v>
      </c>
      <c r="V722" s="1">
        <v>46010</v>
      </c>
      <c r="W722" t="s">
        <v>84</v>
      </c>
      <c r="X722">
        <v>838576</v>
      </c>
      <c r="Y722" t="s">
        <v>5798</v>
      </c>
      <c r="Z722" s="2" t="s">
        <v>5799</v>
      </c>
      <c r="AA722" s="2" t="s">
        <v>5800</v>
      </c>
      <c r="AB722" t="s">
        <v>5801</v>
      </c>
      <c r="AD722" t="s">
        <v>5802</v>
      </c>
      <c r="AE722" t="s">
        <v>5803</v>
      </c>
      <c r="AG722" t="s">
        <v>5804</v>
      </c>
      <c r="AH722" t="s">
        <v>5805</v>
      </c>
      <c r="AI722" t="s">
        <v>5806</v>
      </c>
    </row>
    <row r="723" spans="2:35" ht="270">
      <c r="B723" s="1">
        <v>46017</v>
      </c>
      <c r="C723" s="1">
        <v>46017</v>
      </c>
      <c r="D723" t="s">
        <v>5807</v>
      </c>
      <c r="E723" t="s">
        <v>5808</v>
      </c>
      <c r="F723">
        <v>5</v>
      </c>
      <c r="G723" t="s">
        <v>839</v>
      </c>
      <c r="H723" t="s">
        <v>39</v>
      </c>
      <c r="I723" t="s">
        <v>40</v>
      </c>
      <c r="J723" s="2" t="s">
        <v>41</v>
      </c>
      <c r="K723" t="s">
        <v>42</v>
      </c>
      <c r="L723" t="s">
        <v>80</v>
      </c>
      <c r="N723" t="s">
        <v>1641</v>
      </c>
      <c r="Q723">
        <v>31823</v>
      </c>
      <c r="R723" t="s">
        <v>322</v>
      </c>
      <c r="S723" t="s">
        <v>5809</v>
      </c>
      <c r="T723">
        <v>23</v>
      </c>
      <c r="U723" s="2" t="s">
        <v>5810</v>
      </c>
      <c r="V723" s="1">
        <v>46010</v>
      </c>
      <c r="W723" t="s">
        <v>84</v>
      </c>
      <c r="X723">
        <v>838408</v>
      </c>
      <c r="Y723" t="s">
        <v>5811</v>
      </c>
      <c r="Z723" t="s">
        <v>5812</v>
      </c>
      <c r="AA723" s="2" t="s">
        <v>5813</v>
      </c>
      <c r="AB723" t="s">
        <v>1188</v>
      </c>
      <c r="AD723" s="2" t="s">
        <v>5814</v>
      </c>
      <c r="AE723" t="s">
        <v>5815</v>
      </c>
      <c r="AG723" t="s">
        <v>5816</v>
      </c>
      <c r="AH723" t="s">
        <v>5817</v>
      </c>
      <c r="AI723" t="s">
        <v>5818</v>
      </c>
    </row>
    <row r="724" spans="2:35" ht="165">
      <c r="B724" s="1">
        <v>46016</v>
      </c>
      <c r="C724" s="1">
        <v>46016</v>
      </c>
      <c r="D724" t="s">
        <v>1026</v>
      </c>
      <c r="E724" t="s">
        <v>5819</v>
      </c>
      <c r="F724" t="s">
        <v>148</v>
      </c>
      <c r="G724" t="s">
        <v>774</v>
      </c>
      <c r="H724" t="s">
        <v>513</v>
      </c>
      <c r="I724" t="s">
        <v>40</v>
      </c>
      <c r="J724" t="s">
        <v>525</v>
      </c>
      <c r="K724" t="s">
        <v>387</v>
      </c>
      <c r="L724" t="s">
        <v>175</v>
      </c>
      <c r="N724" t="s">
        <v>176</v>
      </c>
      <c r="Q724">
        <v>31822</v>
      </c>
      <c r="R724" t="s">
        <v>95</v>
      </c>
      <c r="S724" t="s">
        <v>3772</v>
      </c>
      <c r="T724">
        <v>28</v>
      </c>
      <c r="W724" t="s">
        <v>390</v>
      </c>
      <c r="X724" t="s">
        <v>3773</v>
      </c>
      <c r="Y724" t="s">
        <v>5820</v>
      </c>
      <c r="Z724" t="s">
        <v>5821</v>
      </c>
      <c r="AA724">
        <v>0</v>
      </c>
      <c r="AB724" s="2" t="s">
        <v>5822</v>
      </c>
      <c r="AG724" t="s">
        <v>5823</v>
      </c>
      <c r="AH724" t="s">
        <v>5824</v>
      </c>
      <c r="AI724" t="s">
        <v>5825</v>
      </c>
    </row>
    <row r="725" spans="2:35">
      <c r="B725" s="1">
        <v>46015</v>
      </c>
      <c r="C725" s="1">
        <v>46015</v>
      </c>
      <c r="D725" t="s">
        <v>5826</v>
      </c>
      <c r="E725" t="s">
        <v>582</v>
      </c>
      <c r="F725" t="s">
        <v>148</v>
      </c>
      <c r="G725" t="s">
        <v>447</v>
      </c>
      <c r="H725" t="s">
        <v>513</v>
      </c>
      <c r="I725" t="s">
        <v>40</v>
      </c>
      <c r="J725" t="s">
        <v>525</v>
      </c>
      <c r="K725" t="s">
        <v>387</v>
      </c>
      <c r="L725" t="s">
        <v>175</v>
      </c>
      <c r="N725" t="s">
        <v>176</v>
      </c>
      <c r="Q725">
        <v>31821</v>
      </c>
      <c r="R725" t="s">
        <v>95</v>
      </c>
      <c r="S725" t="s">
        <v>4141</v>
      </c>
      <c r="T725">
        <v>28</v>
      </c>
      <c r="W725" t="s">
        <v>390</v>
      </c>
      <c r="X725" t="s">
        <v>5827</v>
      </c>
      <c r="Y725" t="s">
        <v>5828</v>
      </c>
      <c r="Z725" t="s">
        <v>5829</v>
      </c>
      <c r="AA725" t="e">
        <f ca="1">- adjusted centrifuge mechanical position
- adjusted centrifuge lock ball
- checked CALIBRATION parameters
- performed self test</f>
        <v>#NAME?</v>
      </c>
      <c r="AB725" t="s">
        <v>181</v>
      </c>
      <c r="AG725" t="s">
        <v>5830</v>
      </c>
      <c r="AH725" t="s">
        <v>5831</v>
      </c>
      <c r="AI725" t="s">
        <v>5832</v>
      </c>
    </row>
    <row r="726" spans="2:35" ht="300">
      <c r="B726" s="1">
        <v>46015</v>
      </c>
      <c r="C726" s="1">
        <v>46014</v>
      </c>
      <c r="D726" t="s">
        <v>2176</v>
      </c>
      <c r="E726" t="s">
        <v>2177</v>
      </c>
      <c r="F726" t="s">
        <v>148</v>
      </c>
      <c r="G726" t="s">
        <v>447</v>
      </c>
      <c r="H726" t="s">
        <v>5833</v>
      </c>
      <c r="I726" t="s">
        <v>94</v>
      </c>
      <c r="J726" t="s">
        <v>525</v>
      </c>
      <c r="K726" t="s">
        <v>387</v>
      </c>
      <c r="L726" t="s">
        <v>448</v>
      </c>
      <c r="N726" t="s">
        <v>450</v>
      </c>
      <c r="Q726">
        <v>31820</v>
      </c>
      <c r="R726" t="s">
        <v>322</v>
      </c>
      <c r="S726" t="s">
        <v>4141</v>
      </c>
      <c r="T726">
        <v>26</v>
      </c>
      <c r="W726" t="s">
        <v>476</v>
      </c>
      <c r="X726" t="s">
        <v>2180</v>
      </c>
      <c r="Y726" t="s">
        <v>5834</v>
      </c>
      <c r="Z726" s="2" t="s">
        <v>5835</v>
      </c>
      <c r="AA726" t="s">
        <v>768</v>
      </c>
      <c r="AB726" s="2" t="s">
        <v>5836</v>
      </c>
      <c r="AG726" t="s">
        <v>5837</v>
      </c>
      <c r="AH726" t="s">
        <v>5838</v>
      </c>
      <c r="AI726" t="s">
        <v>5839</v>
      </c>
    </row>
    <row r="727" spans="2:35" ht="409.5">
      <c r="B727" s="1">
        <v>46014</v>
      </c>
      <c r="C727" s="1">
        <v>46014</v>
      </c>
      <c r="D727" t="s">
        <v>3119</v>
      </c>
      <c r="E727" t="s">
        <v>5840</v>
      </c>
      <c r="F727" t="s">
        <v>148</v>
      </c>
      <c r="G727" t="s">
        <v>310</v>
      </c>
      <c r="H727" t="s">
        <v>61</v>
      </c>
      <c r="I727" t="s">
        <v>40</v>
      </c>
      <c r="J727" s="2" t="s">
        <v>41</v>
      </c>
      <c r="K727" t="s">
        <v>42</v>
      </c>
      <c r="L727" t="s">
        <v>1943</v>
      </c>
      <c r="N727" t="s">
        <v>1944</v>
      </c>
      <c r="O727" t="s">
        <v>5841</v>
      </c>
      <c r="Q727">
        <v>31819</v>
      </c>
      <c r="R727" t="s">
        <v>95</v>
      </c>
      <c r="S727" t="s">
        <v>3124</v>
      </c>
      <c r="T727">
        <v>25</v>
      </c>
      <c r="V727" s="1">
        <v>46010</v>
      </c>
      <c r="W727" t="s">
        <v>373</v>
      </c>
      <c r="X727">
        <v>110001648</v>
      </c>
      <c r="Y727" s="2" t="s">
        <v>5842</v>
      </c>
      <c r="Z727" t="s">
        <v>1947</v>
      </c>
      <c r="AA727" s="2" t="s">
        <v>1948</v>
      </c>
      <c r="AB727" t="s">
        <v>88</v>
      </c>
      <c r="AD727" t="s">
        <v>5843</v>
      </c>
      <c r="AE727" t="s">
        <v>5844</v>
      </c>
      <c r="AG727" t="s">
        <v>5845</v>
      </c>
      <c r="AH727" t="s">
        <v>5846</v>
      </c>
      <c r="AI727" t="s">
        <v>5847</v>
      </c>
    </row>
    <row r="728" spans="2:35" ht="180">
      <c r="B728" s="1">
        <v>46013</v>
      </c>
      <c r="C728" s="1">
        <v>46013</v>
      </c>
      <c r="D728" t="s">
        <v>159</v>
      </c>
      <c r="E728" t="s">
        <v>5748</v>
      </c>
      <c r="F728" t="s">
        <v>37</v>
      </c>
      <c r="G728" t="s">
        <v>78</v>
      </c>
      <c r="H728" t="s">
        <v>386</v>
      </c>
      <c r="I728" t="s">
        <v>40</v>
      </c>
      <c r="J728" t="s">
        <v>321</v>
      </c>
      <c r="K728" t="s">
        <v>387</v>
      </c>
      <c r="L728" t="s">
        <v>43</v>
      </c>
      <c r="N728" t="s">
        <v>44</v>
      </c>
      <c r="O728" t="s">
        <v>5848</v>
      </c>
      <c r="Q728">
        <v>31818</v>
      </c>
      <c r="R728" t="s">
        <v>95</v>
      </c>
      <c r="S728" t="s">
        <v>5849</v>
      </c>
      <c r="T728">
        <v>24</v>
      </c>
      <c r="W728" t="s">
        <v>390</v>
      </c>
      <c r="X728" t="s">
        <v>5751</v>
      </c>
      <c r="Y728" t="s">
        <v>750</v>
      </c>
      <c r="Z728" t="s">
        <v>5850</v>
      </c>
      <c r="AA728" s="2" t="s">
        <v>5851</v>
      </c>
      <c r="AB728" t="s">
        <v>5852</v>
      </c>
      <c r="AG728" t="s">
        <v>5853</v>
      </c>
      <c r="AH728" t="s">
        <v>5854</v>
      </c>
      <c r="AI728" t="s">
        <v>5855</v>
      </c>
    </row>
    <row r="729" spans="2:35">
      <c r="B729" s="1">
        <v>46013</v>
      </c>
      <c r="C729" s="1">
        <v>46013</v>
      </c>
      <c r="D729" t="s">
        <v>4875</v>
      </c>
      <c r="E729" t="s">
        <v>5856</v>
      </c>
      <c r="F729" t="s">
        <v>148</v>
      </c>
      <c r="G729" t="s">
        <v>230</v>
      </c>
      <c r="H729" t="s">
        <v>39</v>
      </c>
      <c r="I729" t="s">
        <v>40</v>
      </c>
      <c r="J729" t="s">
        <v>109</v>
      </c>
      <c r="K729" t="s">
        <v>42</v>
      </c>
      <c r="L729" t="s">
        <v>175</v>
      </c>
      <c r="N729" t="s">
        <v>176</v>
      </c>
      <c r="Q729">
        <v>31817</v>
      </c>
      <c r="R729" t="s">
        <v>967</v>
      </c>
      <c r="S729" t="s">
        <v>4880</v>
      </c>
      <c r="T729">
        <v>24</v>
      </c>
      <c r="W729" t="s">
        <v>373</v>
      </c>
      <c r="X729">
        <v>120003480</v>
      </c>
      <c r="Y729" t="s">
        <v>374</v>
      </c>
      <c r="Z729" t="s">
        <v>103</v>
      </c>
      <c r="AA729" t="e">
        <f ca="1">- checked _xludf.and cleaned cartridge bay, plunger rod, _xludf.filter
- generated reports
- performed self test</f>
        <v>#NAME?</v>
      </c>
      <c r="AB729" t="s">
        <v>181</v>
      </c>
      <c r="AG729" t="s">
        <v>5857</v>
      </c>
      <c r="AH729" t="s">
        <v>4878</v>
      </c>
      <c r="AI729" t="s">
        <v>5858</v>
      </c>
    </row>
    <row r="730" spans="2:35" ht="285">
      <c r="B730" s="1">
        <v>46013</v>
      </c>
      <c r="C730" s="1">
        <v>45986</v>
      </c>
      <c r="D730" t="s">
        <v>2427</v>
      </c>
      <c r="E730" t="s">
        <v>5859</v>
      </c>
      <c r="F730" t="s">
        <v>148</v>
      </c>
      <c r="G730" t="s">
        <v>447</v>
      </c>
      <c r="H730" t="s">
        <v>39</v>
      </c>
      <c r="I730" t="s">
        <v>40</v>
      </c>
      <c r="J730" t="s">
        <v>109</v>
      </c>
      <c r="K730" t="s">
        <v>42</v>
      </c>
      <c r="L730" t="s">
        <v>1028</v>
      </c>
      <c r="N730" t="s">
        <v>1029</v>
      </c>
      <c r="Q730">
        <v>31816</v>
      </c>
      <c r="R730" t="s">
        <v>95</v>
      </c>
      <c r="S730" t="s">
        <v>5860</v>
      </c>
      <c r="T730">
        <v>25</v>
      </c>
      <c r="U730" s="2" t="s">
        <v>5861</v>
      </c>
      <c r="W730" t="s">
        <v>1032</v>
      </c>
      <c r="X730">
        <v>110024553</v>
      </c>
      <c r="Y730" t="s">
        <v>1978</v>
      </c>
      <c r="Z730" t="s">
        <v>1548</v>
      </c>
      <c r="AA730" s="2" t="s">
        <v>5862</v>
      </c>
      <c r="AB730" s="2" t="s">
        <v>5863</v>
      </c>
      <c r="AG730" t="s">
        <v>5864</v>
      </c>
      <c r="AH730" t="s">
        <v>5865</v>
      </c>
      <c r="AI730" t="s">
        <v>5866</v>
      </c>
    </row>
    <row r="731" spans="2:35" ht="150">
      <c r="B731" s="1">
        <v>46013</v>
      </c>
      <c r="C731" s="1">
        <v>46006</v>
      </c>
      <c r="D731" t="s">
        <v>3760</v>
      </c>
      <c r="E731" t="s">
        <v>3761</v>
      </c>
      <c r="F731" t="s">
        <v>37</v>
      </c>
      <c r="G731" t="s">
        <v>748</v>
      </c>
      <c r="H731" t="s">
        <v>39</v>
      </c>
      <c r="I731" t="s">
        <v>40</v>
      </c>
      <c r="J731" t="s">
        <v>321</v>
      </c>
      <c r="K731" t="s">
        <v>42</v>
      </c>
      <c r="L731" t="s">
        <v>1028</v>
      </c>
      <c r="N731" t="s">
        <v>1029</v>
      </c>
      <c r="Q731">
        <v>31815</v>
      </c>
      <c r="R731" t="s">
        <v>322</v>
      </c>
      <c r="S731" t="s">
        <v>3762</v>
      </c>
      <c r="T731">
        <v>24</v>
      </c>
      <c r="V731" s="1">
        <v>46006</v>
      </c>
      <c r="W731" t="s">
        <v>1032</v>
      </c>
      <c r="X731">
        <v>110027247</v>
      </c>
      <c r="Y731" t="s">
        <v>3763</v>
      </c>
      <c r="Z731" t="s">
        <v>3764</v>
      </c>
      <c r="AA731" s="2" t="s">
        <v>3765</v>
      </c>
      <c r="AB731" s="2" t="s">
        <v>3766</v>
      </c>
      <c r="AD731" t="s">
        <v>3727</v>
      </c>
      <c r="AE731" t="s">
        <v>3767</v>
      </c>
      <c r="AG731" t="s">
        <v>5867</v>
      </c>
      <c r="AH731" t="s">
        <v>3769</v>
      </c>
      <c r="AI731" t="s">
        <v>5868</v>
      </c>
    </row>
    <row r="732" spans="2:35" ht="285">
      <c r="B732" s="1">
        <v>46013</v>
      </c>
      <c r="C732" s="1">
        <v>46008</v>
      </c>
      <c r="D732" t="s">
        <v>5869</v>
      </c>
      <c r="E732" t="s">
        <v>5870</v>
      </c>
      <c r="F732" t="s">
        <v>148</v>
      </c>
      <c r="G732" t="s">
        <v>774</v>
      </c>
      <c r="H732" t="s">
        <v>1543</v>
      </c>
      <c r="I732" t="s">
        <v>40</v>
      </c>
      <c r="J732" s="2" t="s">
        <v>62</v>
      </c>
      <c r="K732" t="s">
        <v>42</v>
      </c>
      <c r="L732" t="s">
        <v>1028</v>
      </c>
      <c r="N732" t="s">
        <v>1029</v>
      </c>
      <c r="Q732">
        <v>31814</v>
      </c>
      <c r="R732" t="s">
        <v>322</v>
      </c>
      <c r="S732" t="s">
        <v>5871</v>
      </c>
      <c r="T732">
        <v>23</v>
      </c>
      <c r="U732" s="2" t="s">
        <v>5872</v>
      </c>
      <c r="V732" s="1">
        <v>45995</v>
      </c>
      <c r="W732" t="s">
        <v>1032</v>
      </c>
      <c r="X732">
        <v>110025706</v>
      </c>
      <c r="Y732" t="s">
        <v>1547</v>
      </c>
      <c r="Z732" t="s">
        <v>1548</v>
      </c>
      <c r="AA732" s="2" t="s">
        <v>5873</v>
      </c>
      <c r="AB732" s="2" t="s">
        <v>5152</v>
      </c>
      <c r="AD732" t="s">
        <v>5153</v>
      </c>
      <c r="AE732" t="s">
        <v>5874</v>
      </c>
      <c r="AG732" t="s">
        <v>5875</v>
      </c>
      <c r="AH732" t="s">
        <v>5876</v>
      </c>
      <c r="AI732" t="s">
        <v>5877</v>
      </c>
    </row>
    <row r="733" spans="2:35" ht="180">
      <c r="B733" s="1">
        <v>46013</v>
      </c>
      <c r="C733" s="1">
        <v>46009</v>
      </c>
      <c r="D733" t="s">
        <v>2427</v>
      </c>
      <c r="E733" t="s">
        <v>2428</v>
      </c>
      <c r="F733" t="s">
        <v>148</v>
      </c>
      <c r="G733" t="s">
        <v>447</v>
      </c>
      <c r="H733" t="s">
        <v>39</v>
      </c>
      <c r="I733" t="s">
        <v>40</v>
      </c>
      <c r="J733" t="s">
        <v>79</v>
      </c>
      <c r="K733" t="s">
        <v>42</v>
      </c>
      <c r="L733" t="s">
        <v>1028</v>
      </c>
      <c r="N733" t="s">
        <v>1029</v>
      </c>
      <c r="Q733">
        <v>31813</v>
      </c>
      <c r="R733" t="s">
        <v>95</v>
      </c>
      <c r="S733" t="s">
        <v>5878</v>
      </c>
      <c r="T733">
        <v>23</v>
      </c>
      <c r="U733" s="2" t="s">
        <v>5879</v>
      </c>
      <c r="V733" s="1">
        <v>46007</v>
      </c>
      <c r="W733" t="s">
        <v>1032</v>
      </c>
      <c r="X733">
        <v>110024553</v>
      </c>
      <c r="Y733" t="s">
        <v>5880</v>
      </c>
      <c r="Z733" t="s">
        <v>1034</v>
      </c>
      <c r="AA733" s="2" t="s">
        <v>5881</v>
      </c>
      <c r="AB733" s="2" t="s">
        <v>5882</v>
      </c>
      <c r="AC733" t="s">
        <v>5883</v>
      </c>
      <c r="AD733" t="s">
        <v>5884</v>
      </c>
      <c r="AE733" t="s">
        <v>5885</v>
      </c>
      <c r="AG733" t="s">
        <v>5886</v>
      </c>
      <c r="AH733" t="s">
        <v>5865</v>
      </c>
      <c r="AI733" t="s">
        <v>5887</v>
      </c>
    </row>
    <row r="734" spans="2:35" ht="150">
      <c r="B734" s="1">
        <v>46013</v>
      </c>
      <c r="C734" s="1">
        <v>46007</v>
      </c>
      <c r="D734" t="s">
        <v>5888</v>
      </c>
      <c r="E734" t="s">
        <v>5889</v>
      </c>
      <c r="F734" t="s">
        <v>37</v>
      </c>
      <c r="G734" t="s">
        <v>748</v>
      </c>
      <c r="H734" t="s">
        <v>39</v>
      </c>
      <c r="I734" t="s">
        <v>40</v>
      </c>
      <c r="J734" t="s">
        <v>321</v>
      </c>
      <c r="K734" t="s">
        <v>42</v>
      </c>
      <c r="L734" t="s">
        <v>1028</v>
      </c>
      <c r="N734" t="s">
        <v>1029</v>
      </c>
      <c r="Q734">
        <v>31811</v>
      </c>
      <c r="R734" t="s">
        <v>322</v>
      </c>
      <c r="S734" t="s">
        <v>5890</v>
      </c>
      <c r="T734">
        <v>26</v>
      </c>
      <c r="V734" s="1">
        <v>46006</v>
      </c>
      <c r="W734" t="s">
        <v>1032</v>
      </c>
      <c r="X734">
        <v>110027249</v>
      </c>
      <c r="Y734" t="s">
        <v>3763</v>
      </c>
      <c r="Z734" t="s">
        <v>3764</v>
      </c>
      <c r="AA734" s="2" t="s">
        <v>5891</v>
      </c>
      <c r="AB734" t="s">
        <v>5892</v>
      </c>
      <c r="AD734" t="s">
        <v>3727</v>
      </c>
      <c r="AE734" t="s">
        <v>5893</v>
      </c>
      <c r="AG734" t="s">
        <v>5894</v>
      </c>
      <c r="AH734" t="s">
        <v>5895</v>
      </c>
      <c r="AI734" t="s">
        <v>5896</v>
      </c>
    </row>
    <row r="735" spans="2:35" ht="345">
      <c r="B735" s="1">
        <v>46013</v>
      </c>
      <c r="C735" s="1">
        <v>46008</v>
      </c>
      <c r="D735" t="s">
        <v>919</v>
      </c>
      <c r="E735" t="s">
        <v>5897</v>
      </c>
      <c r="F735" t="s">
        <v>148</v>
      </c>
      <c r="G735" t="s">
        <v>310</v>
      </c>
      <c r="H735" t="s">
        <v>513</v>
      </c>
      <c r="I735" t="s">
        <v>40</v>
      </c>
      <c r="J735" t="s">
        <v>109</v>
      </c>
      <c r="K735" t="s">
        <v>387</v>
      </c>
      <c r="L735" t="s">
        <v>1028</v>
      </c>
      <c r="N735" t="s">
        <v>1029</v>
      </c>
      <c r="Q735">
        <v>31812</v>
      </c>
      <c r="R735" t="s">
        <v>95</v>
      </c>
      <c r="S735" t="s">
        <v>921</v>
      </c>
      <c r="T735">
        <v>25</v>
      </c>
      <c r="W735" t="s">
        <v>390</v>
      </c>
      <c r="X735" t="s">
        <v>922</v>
      </c>
      <c r="Y735" t="s">
        <v>1978</v>
      </c>
      <c r="Z735" t="s">
        <v>1548</v>
      </c>
      <c r="AA735" s="2" t="s">
        <v>5898</v>
      </c>
      <c r="AB735" s="2" t="s">
        <v>5899</v>
      </c>
      <c r="AG735" t="s">
        <v>5900</v>
      </c>
      <c r="AH735" t="s">
        <v>5901</v>
      </c>
      <c r="AI735" t="s">
        <v>5902</v>
      </c>
    </row>
    <row r="736" spans="2:35" ht="409.5">
      <c r="B736" s="1">
        <v>46013</v>
      </c>
      <c r="C736" s="1">
        <v>46010</v>
      </c>
      <c r="D736" t="s">
        <v>5903</v>
      </c>
      <c r="E736" t="s">
        <v>2569</v>
      </c>
      <c r="F736" t="s">
        <v>148</v>
      </c>
      <c r="G736" t="s">
        <v>447</v>
      </c>
      <c r="H736" t="s">
        <v>474</v>
      </c>
      <c r="I736" t="s">
        <v>94</v>
      </c>
      <c r="J736" t="s">
        <v>79</v>
      </c>
      <c r="K736" t="s">
        <v>387</v>
      </c>
      <c r="L736" t="s">
        <v>448</v>
      </c>
      <c r="N736" t="s">
        <v>650</v>
      </c>
      <c r="O736" t="s">
        <v>5904</v>
      </c>
      <c r="Q736">
        <v>31810</v>
      </c>
      <c r="R736" t="s">
        <v>322</v>
      </c>
      <c r="S736" t="s">
        <v>5905</v>
      </c>
      <c r="T736">
        <v>28</v>
      </c>
      <c r="V736" s="1">
        <v>46007</v>
      </c>
      <c r="W736" t="s">
        <v>476</v>
      </c>
      <c r="X736" t="s">
        <v>5906</v>
      </c>
      <c r="Y736" t="s">
        <v>5907</v>
      </c>
      <c r="Z736" s="2" t="s">
        <v>5908</v>
      </c>
      <c r="AA736" t="s">
        <v>914</v>
      </c>
      <c r="AB736" t="s">
        <v>4741</v>
      </c>
      <c r="AD736" t="s">
        <v>5909</v>
      </c>
      <c r="AE736" t="s">
        <v>5910</v>
      </c>
      <c r="AG736" t="s">
        <v>5911</v>
      </c>
      <c r="AH736" t="s">
        <v>5912</v>
      </c>
      <c r="AI736" t="s">
        <v>5913</v>
      </c>
    </row>
    <row r="737" spans="2:35" ht="409.5">
      <c r="B737" s="1">
        <v>46013</v>
      </c>
      <c r="C737" s="1">
        <v>46009</v>
      </c>
      <c r="D737" t="s">
        <v>2005</v>
      </c>
      <c r="E737" t="s">
        <v>5914</v>
      </c>
      <c r="F737" t="s">
        <v>148</v>
      </c>
      <c r="G737" t="s">
        <v>2007</v>
      </c>
      <c r="H737" t="s">
        <v>662</v>
      </c>
      <c r="I737" t="s">
        <v>40</v>
      </c>
      <c r="J737" t="s">
        <v>79</v>
      </c>
      <c r="K737" t="s">
        <v>42</v>
      </c>
      <c r="L737" t="s">
        <v>448</v>
      </c>
      <c r="N737" t="s">
        <v>450</v>
      </c>
      <c r="Q737">
        <v>31809</v>
      </c>
      <c r="R737" t="s">
        <v>95</v>
      </c>
      <c r="S737" t="s">
        <v>4273</v>
      </c>
      <c r="T737">
        <v>26</v>
      </c>
      <c r="U737" s="2" t="s">
        <v>5915</v>
      </c>
      <c r="V737" s="1">
        <v>46007</v>
      </c>
      <c r="W737" t="s">
        <v>5916</v>
      </c>
      <c r="X737">
        <v>110026448</v>
      </c>
      <c r="Y737" s="2" t="s">
        <v>5917</v>
      </c>
      <c r="Z737" s="2" t="s">
        <v>2585</v>
      </c>
      <c r="AA737" t="s">
        <v>5918</v>
      </c>
      <c r="AB737" t="s">
        <v>486</v>
      </c>
      <c r="AD737" t="s">
        <v>5919</v>
      </c>
      <c r="AE737">
        <v>13604</v>
      </c>
      <c r="AG737" t="s">
        <v>5920</v>
      </c>
      <c r="AH737" t="s">
        <v>4278</v>
      </c>
      <c r="AI737" t="s">
        <v>5921</v>
      </c>
    </row>
    <row r="738" spans="2:35" ht="300">
      <c r="B738" s="1">
        <v>46013</v>
      </c>
      <c r="C738" s="1">
        <v>46008</v>
      </c>
      <c r="D738" t="s">
        <v>3679</v>
      </c>
      <c r="E738" t="s">
        <v>5922</v>
      </c>
      <c r="F738" t="s">
        <v>148</v>
      </c>
      <c r="G738" t="s">
        <v>447</v>
      </c>
      <c r="H738" t="s">
        <v>386</v>
      </c>
      <c r="I738" t="s">
        <v>40</v>
      </c>
      <c r="J738" t="s">
        <v>79</v>
      </c>
      <c r="K738" t="s">
        <v>387</v>
      </c>
      <c r="L738" t="s">
        <v>448</v>
      </c>
      <c r="N738" t="s">
        <v>650</v>
      </c>
      <c r="Q738">
        <v>31808</v>
      </c>
      <c r="R738" t="s">
        <v>322</v>
      </c>
      <c r="S738" t="s">
        <v>3689</v>
      </c>
      <c r="T738">
        <v>28</v>
      </c>
      <c r="V738" s="1">
        <v>45987</v>
      </c>
      <c r="W738" t="s">
        <v>390</v>
      </c>
      <c r="X738" t="s">
        <v>3690</v>
      </c>
      <c r="Y738" s="2" t="s">
        <v>5923</v>
      </c>
      <c r="Z738" s="2" t="s">
        <v>5924</v>
      </c>
      <c r="AA738" t="s">
        <v>914</v>
      </c>
      <c r="AB738" t="s">
        <v>4741</v>
      </c>
      <c r="AD738" t="s">
        <v>5925</v>
      </c>
      <c r="AE738" s="3">
        <v>1352713529</v>
      </c>
      <c r="AG738" t="s">
        <v>5926</v>
      </c>
      <c r="AH738" t="s">
        <v>386</v>
      </c>
      <c r="AI738" t="s">
        <v>5927</v>
      </c>
    </row>
    <row r="739" spans="2:35" ht="135">
      <c r="B739" s="1">
        <v>46010</v>
      </c>
      <c r="C739" s="1">
        <v>46010</v>
      </c>
      <c r="D739" t="s">
        <v>5228</v>
      </c>
      <c r="E739" t="s">
        <v>582</v>
      </c>
      <c r="F739" t="s">
        <v>148</v>
      </c>
      <c r="G739" t="s">
        <v>447</v>
      </c>
      <c r="H739" t="s">
        <v>39</v>
      </c>
      <c r="I739" t="s">
        <v>40</v>
      </c>
      <c r="J739" t="s">
        <v>109</v>
      </c>
      <c r="K739" t="s">
        <v>42</v>
      </c>
      <c r="L739" t="s">
        <v>175</v>
      </c>
      <c r="N739" t="s">
        <v>176</v>
      </c>
      <c r="Q739">
        <v>31807</v>
      </c>
      <c r="R739" t="s">
        <v>967</v>
      </c>
      <c r="S739" t="s">
        <v>5229</v>
      </c>
      <c r="T739">
        <v>23</v>
      </c>
      <c r="W739" t="s">
        <v>373</v>
      </c>
      <c r="X739">
        <v>110023495</v>
      </c>
      <c r="Y739" t="s">
        <v>374</v>
      </c>
      <c r="Z739" t="s">
        <v>103</v>
      </c>
      <c r="AA739" t="e">
        <f ca="1">- checked _xludf.and cleaned cartridge bay, plunger rod, _xludf.filter
- generated filters
- performed self test</f>
        <v>#NAME?</v>
      </c>
      <c r="AB739" s="2" t="s">
        <v>5928</v>
      </c>
      <c r="AG739" t="s">
        <v>5929</v>
      </c>
      <c r="AH739" t="s">
        <v>5930</v>
      </c>
      <c r="AI739" t="s">
        <v>5931</v>
      </c>
    </row>
    <row r="740" spans="2:35" ht="409.5">
      <c r="B740" s="1">
        <v>46010</v>
      </c>
      <c r="C740" s="1">
        <v>46010</v>
      </c>
      <c r="D740" t="s">
        <v>5932</v>
      </c>
      <c r="E740" t="s">
        <v>5933</v>
      </c>
      <c r="F740">
        <v>11</v>
      </c>
      <c r="G740" t="s">
        <v>2836</v>
      </c>
      <c r="H740" t="s">
        <v>202</v>
      </c>
      <c r="I740" t="s">
        <v>40</v>
      </c>
      <c r="J740" t="s">
        <v>79</v>
      </c>
      <c r="K740" t="s">
        <v>42</v>
      </c>
      <c r="L740" t="s">
        <v>204</v>
      </c>
      <c r="N740" t="s">
        <v>205</v>
      </c>
      <c r="Q740">
        <v>31806</v>
      </c>
      <c r="R740" t="s">
        <v>119</v>
      </c>
      <c r="S740" t="s">
        <v>5934</v>
      </c>
      <c r="T740">
        <v>27.5</v>
      </c>
      <c r="U740" s="2" t="s">
        <v>5935</v>
      </c>
      <c r="V740" s="1">
        <v>45980</v>
      </c>
      <c r="W740" t="s">
        <v>208</v>
      </c>
      <c r="X740">
        <v>838553</v>
      </c>
      <c r="Y740" s="2" t="s">
        <v>5936</v>
      </c>
      <c r="Z740" s="2" t="s">
        <v>5937</v>
      </c>
      <c r="AA740" t="s">
        <v>5938</v>
      </c>
      <c r="AB740" s="2" t="s">
        <v>5939</v>
      </c>
      <c r="AD740" s="2" t="s">
        <v>5940</v>
      </c>
      <c r="AE740" t="s">
        <v>5941</v>
      </c>
      <c r="AG740" t="s">
        <v>5942</v>
      </c>
      <c r="AH740" t="s">
        <v>5943</v>
      </c>
      <c r="AI740" t="s">
        <v>5944</v>
      </c>
    </row>
    <row r="741" spans="2:35" ht="409.5">
      <c r="B741" s="1">
        <v>46010</v>
      </c>
      <c r="C741" s="1">
        <v>45925</v>
      </c>
      <c r="D741" t="s">
        <v>3669</v>
      </c>
      <c r="E741" t="s">
        <v>3670</v>
      </c>
      <c r="F741" t="s">
        <v>37</v>
      </c>
      <c r="G741" t="s">
        <v>38</v>
      </c>
      <c r="H741" t="s">
        <v>39</v>
      </c>
      <c r="I741" t="s">
        <v>40</v>
      </c>
      <c r="J741" t="s">
        <v>109</v>
      </c>
      <c r="K741" t="s">
        <v>42</v>
      </c>
      <c r="L741" t="s">
        <v>43</v>
      </c>
      <c r="N741" t="s">
        <v>44</v>
      </c>
      <c r="Q741">
        <v>31805</v>
      </c>
      <c r="R741" t="s">
        <v>95</v>
      </c>
      <c r="S741" t="s">
        <v>5945</v>
      </c>
      <c r="T741">
        <v>22</v>
      </c>
      <c r="U741" s="2" t="s">
        <v>5946</v>
      </c>
      <c r="W741" t="s">
        <v>48</v>
      </c>
      <c r="X741">
        <v>110005265</v>
      </c>
      <c r="Y741" t="s">
        <v>121</v>
      </c>
      <c r="Z741" t="s">
        <v>122</v>
      </c>
      <c r="AA741" s="2" t="s">
        <v>5947</v>
      </c>
      <c r="AB741" t="s">
        <v>5948</v>
      </c>
      <c r="AG741" t="s">
        <v>5949</v>
      </c>
      <c r="AH741" t="s">
        <v>4652</v>
      </c>
      <c r="AI741" t="s">
        <v>5950</v>
      </c>
    </row>
    <row r="742" spans="2:35" ht="330">
      <c r="B742" s="1">
        <v>46010</v>
      </c>
      <c r="C742" s="1">
        <v>46009</v>
      </c>
      <c r="D742" t="s">
        <v>5951</v>
      </c>
      <c r="E742" t="s">
        <v>5952</v>
      </c>
      <c r="F742" t="s">
        <v>37</v>
      </c>
      <c r="G742" t="s">
        <v>78</v>
      </c>
      <c r="H742" t="s">
        <v>386</v>
      </c>
      <c r="I742" t="s">
        <v>40</v>
      </c>
      <c r="J742" s="2" t="s">
        <v>1309</v>
      </c>
      <c r="K742" t="s">
        <v>387</v>
      </c>
      <c r="L742" t="s">
        <v>43</v>
      </c>
      <c r="N742" t="s">
        <v>44</v>
      </c>
      <c r="Q742">
        <v>31804</v>
      </c>
      <c r="R742" t="s">
        <v>322</v>
      </c>
      <c r="S742" t="s">
        <v>5953</v>
      </c>
      <c r="T742">
        <v>24</v>
      </c>
      <c r="W742" t="s">
        <v>390</v>
      </c>
      <c r="X742" t="s">
        <v>5954</v>
      </c>
      <c r="Y742" t="s">
        <v>5955</v>
      </c>
      <c r="Z742" s="2" t="s">
        <v>5956</v>
      </c>
      <c r="AA742" s="2" t="s">
        <v>5957</v>
      </c>
      <c r="AB742" t="s">
        <v>88</v>
      </c>
      <c r="AG742" t="s">
        <v>5958</v>
      </c>
      <c r="AH742" t="s">
        <v>5959</v>
      </c>
      <c r="AI742" t="s">
        <v>5960</v>
      </c>
    </row>
    <row r="743" spans="2:35" ht="409.5">
      <c r="B743" s="1">
        <v>46010</v>
      </c>
      <c r="C743" s="1">
        <v>46008</v>
      </c>
      <c r="D743" t="s">
        <v>1081</v>
      </c>
      <c r="E743" t="s">
        <v>1082</v>
      </c>
      <c r="F743" t="s">
        <v>148</v>
      </c>
      <c r="G743" t="s">
        <v>785</v>
      </c>
      <c r="H743" t="s">
        <v>150</v>
      </c>
      <c r="I743" t="s">
        <v>40</v>
      </c>
      <c r="J743" t="s">
        <v>109</v>
      </c>
      <c r="K743" t="s">
        <v>42</v>
      </c>
      <c r="L743" t="s">
        <v>43</v>
      </c>
      <c r="N743" t="s">
        <v>44</v>
      </c>
      <c r="O743" t="s">
        <v>2015</v>
      </c>
      <c r="Q743">
        <v>31803</v>
      </c>
      <c r="R743" t="s">
        <v>95</v>
      </c>
      <c r="S743" t="s">
        <v>2016</v>
      </c>
      <c r="T743">
        <v>22</v>
      </c>
      <c r="U743" s="2" t="s">
        <v>5961</v>
      </c>
      <c r="W743" t="s">
        <v>5136</v>
      </c>
      <c r="X743">
        <v>110015767</v>
      </c>
      <c r="Y743" t="s">
        <v>121</v>
      </c>
      <c r="Z743" t="s">
        <v>122</v>
      </c>
      <c r="AA743" s="2" t="s">
        <v>5962</v>
      </c>
      <c r="AB743" t="s">
        <v>5138</v>
      </c>
      <c r="AG743" t="s">
        <v>5963</v>
      </c>
      <c r="AH743" t="s">
        <v>5964</v>
      </c>
      <c r="AI743" t="s">
        <v>5965</v>
      </c>
    </row>
    <row r="744" spans="2:35">
      <c r="B744" s="1">
        <v>46008</v>
      </c>
      <c r="C744" s="1">
        <v>46008</v>
      </c>
      <c r="D744" t="s">
        <v>1040</v>
      </c>
      <c r="E744" t="s">
        <v>582</v>
      </c>
      <c r="F744" t="s">
        <v>148</v>
      </c>
      <c r="G744" t="s">
        <v>447</v>
      </c>
      <c r="H744" t="s">
        <v>39</v>
      </c>
      <c r="I744" t="s">
        <v>40</v>
      </c>
      <c r="J744" t="s">
        <v>109</v>
      </c>
      <c r="K744" t="s">
        <v>42</v>
      </c>
      <c r="L744" t="s">
        <v>175</v>
      </c>
      <c r="N744" t="s">
        <v>176</v>
      </c>
      <c r="Q744">
        <v>31802</v>
      </c>
      <c r="R744" t="s">
        <v>967</v>
      </c>
      <c r="S744" t="s">
        <v>1041</v>
      </c>
      <c r="T744">
        <v>28</v>
      </c>
      <c r="W744" t="s">
        <v>373</v>
      </c>
      <c r="X744">
        <v>120003581</v>
      </c>
      <c r="Y744" t="s">
        <v>374</v>
      </c>
      <c r="Z744" t="s">
        <v>4448</v>
      </c>
      <c r="AA744" t="e">
        <f ca="1">- checked _xludf.and cleaned cartridge bay, plunger rod, _xludf.filter
- generated reports
- performed self test</f>
        <v>#NAME?</v>
      </c>
      <c r="AB744" t="s">
        <v>181</v>
      </c>
      <c r="AG744" t="s">
        <v>5966</v>
      </c>
      <c r="AH744" t="s">
        <v>5967</v>
      </c>
      <c r="AI744" t="s">
        <v>5968</v>
      </c>
    </row>
    <row r="745" spans="2:35" ht="300">
      <c r="B745" s="1">
        <v>46008</v>
      </c>
      <c r="C745" s="1">
        <v>46008</v>
      </c>
      <c r="D745" t="s">
        <v>1081</v>
      </c>
      <c r="E745" t="s">
        <v>2073</v>
      </c>
      <c r="F745" t="s">
        <v>148</v>
      </c>
      <c r="G745" t="s">
        <v>785</v>
      </c>
      <c r="H745" t="s">
        <v>1083</v>
      </c>
      <c r="I745" t="s">
        <v>40</v>
      </c>
      <c r="J745" s="2" t="s">
        <v>1309</v>
      </c>
      <c r="K745" t="s">
        <v>387</v>
      </c>
      <c r="L745" t="s">
        <v>43</v>
      </c>
      <c r="N745" t="s">
        <v>44</v>
      </c>
      <c r="O745" t="s">
        <v>2015</v>
      </c>
      <c r="Q745">
        <v>31801</v>
      </c>
      <c r="R745" t="s">
        <v>95</v>
      </c>
      <c r="S745" t="s">
        <v>1084</v>
      </c>
      <c r="T745">
        <v>24</v>
      </c>
      <c r="W745" t="s">
        <v>390</v>
      </c>
      <c r="X745" t="s">
        <v>5969</v>
      </c>
      <c r="Y745" t="s">
        <v>5970</v>
      </c>
      <c r="Z745" s="2" t="s">
        <v>5971</v>
      </c>
      <c r="AA745" s="2" t="s">
        <v>5972</v>
      </c>
      <c r="AB745" t="s">
        <v>88</v>
      </c>
      <c r="AG745" t="s">
        <v>5973</v>
      </c>
      <c r="AH745" t="s">
        <v>5974</v>
      </c>
      <c r="AI745" t="s">
        <v>5975</v>
      </c>
    </row>
    <row r="746" spans="2:35" ht="360">
      <c r="B746" s="1">
        <v>46008</v>
      </c>
      <c r="C746" s="1">
        <v>46008</v>
      </c>
      <c r="D746" t="s">
        <v>4312</v>
      </c>
      <c r="E746" t="s">
        <v>5976</v>
      </c>
      <c r="F746">
        <v>3</v>
      </c>
      <c r="G746" t="s">
        <v>730</v>
      </c>
      <c r="H746" t="s">
        <v>39</v>
      </c>
      <c r="I746" t="s">
        <v>40</v>
      </c>
      <c r="J746" t="s">
        <v>109</v>
      </c>
      <c r="K746" t="s">
        <v>42</v>
      </c>
      <c r="L746" t="s">
        <v>135</v>
      </c>
      <c r="N746" t="s">
        <v>136</v>
      </c>
      <c r="Q746">
        <v>31800</v>
      </c>
      <c r="R746" t="s">
        <v>95</v>
      </c>
      <c r="S746" t="s">
        <v>4103</v>
      </c>
      <c r="T746">
        <v>25</v>
      </c>
      <c r="U746" s="2" t="s">
        <v>5977</v>
      </c>
      <c r="W746" t="s">
        <v>3418</v>
      </c>
      <c r="X746">
        <v>830841</v>
      </c>
      <c r="Y746" t="s">
        <v>4314</v>
      </c>
      <c r="Z746" t="s">
        <v>4315</v>
      </c>
      <c r="AA746" s="2" t="s">
        <v>4316</v>
      </c>
      <c r="AB746" t="s">
        <v>5296</v>
      </c>
      <c r="AG746" t="s">
        <v>5978</v>
      </c>
      <c r="AH746" t="s">
        <v>4110</v>
      </c>
      <c r="AI746" t="s">
        <v>5979</v>
      </c>
    </row>
    <row r="747" spans="2:35" ht="360">
      <c r="B747" s="1">
        <v>46008</v>
      </c>
      <c r="C747" s="1">
        <v>46008</v>
      </c>
      <c r="D747" t="s">
        <v>4312</v>
      </c>
      <c r="E747" t="s">
        <v>5976</v>
      </c>
      <c r="F747">
        <v>3</v>
      </c>
      <c r="G747" t="s">
        <v>730</v>
      </c>
      <c r="H747" t="s">
        <v>39</v>
      </c>
      <c r="I747" t="s">
        <v>40</v>
      </c>
      <c r="J747" t="s">
        <v>109</v>
      </c>
      <c r="K747" t="s">
        <v>42</v>
      </c>
      <c r="L747" t="s">
        <v>135</v>
      </c>
      <c r="N747" t="s">
        <v>136</v>
      </c>
      <c r="Q747">
        <v>31799</v>
      </c>
      <c r="R747" t="s">
        <v>95</v>
      </c>
      <c r="S747" t="s">
        <v>4103</v>
      </c>
      <c r="T747">
        <v>25</v>
      </c>
      <c r="U747" s="2" t="s">
        <v>5977</v>
      </c>
      <c r="W747" t="s">
        <v>2680</v>
      </c>
      <c r="X747">
        <v>839232</v>
      </c>
      <c r="Y747" t="s">
        <v>4314</v>
      </c>
      <c r="Z747" t="s">
        <v>4315</v>
      </c>
      <c r="AA747" s="2" t="s">
        <v>4316</v>
      </c>
      <c r="AB747" t="s">
        <v>5980</v>
      </c>
      <c r="AG747" t="s">
        <v>5981</v>
      </c>
      <c r="AH747" t="s">
        <v>4110</v>
      </c>
      <c r="AI747" t="s">
        <v>5982</v>
      </c>
    </row>
    <row r="748" spans="2:35" ht="195">
      <c r="B748" s="1">
        <v>46008</v>
      </c>
      <c r="C748" s="1">
        <v>46007</v>
      </c>
      <c r="D748" t="s">
        <v>146</v>
      </c>
      <c r="E748" t="s">
        <v>5983</v>
      </c>
      <c r="F748" t="s">
        <v>148</v>
      </c>
      <c r="G748" t="s">
        <v>149</v>
      </c>
      <c r="H748" t="s">
        <v>386</v>
      </c>
      <c r="I748" t="s">
        <v>40</v>
      </c>
      <c r="J748" t="s">
        <v>109</v>
      </c>
      <c r="K748" t="s">
        <v>387</v>
      </c>
      <c r="L748" t="s">
        <v>43</v>
      </c>
      <c r="N748" t="s">
        <v>44</v>
      </c>
      <c r="O748" t="s">
        <v>388</v>
      </c>
      <c r="Q748">
        <v>31798</v>
      </c>
      <c r="R748" t="s">
        <v>95</v>
      </c>
      <c r="S748" t="s">
        <v>5984</v>
      </c>
      <c r="T748">
        <v>24</v>
      </c>
      <c r="W748" t="s">
        <v>390</v>
      </c>
      <c r="X748" t="s">
        <v>391</v>
      </c>
      <c r="Y748" t="s">
        <v>121</v>
      </c>
      <c r="Z748" t="s">
        <v>122</v>
      </c>
      <c r="AA748" s="2" t="s">
        <v>5985</v>
      </c>
      <c r="AB748" t="s">
        <v>88</v>
      </c>
      <c r="AC748" t="s">
        <v>5986</v>
      </c>
      <c r="AG748" t="s">
        <v>5987</v>
      </c>
      <c r="AH748" t="s">
        <v>5988</v>
      </c>
      <c r="AI748" t="s">
        <v>5989</v>
      </c>
    </row>
    <row r="749" spans="2:35">
      <c r="B749" s="1">
        <v>46007</v>
      </c>
      <c r="C749" s="1">
        <v>46007</v>
      </c>
      <c r="D749" t="s">
        <v>3139</v>
      </c>
      <c r="E749" t="s">
        <v>3140</v>
      </c>
      <c r="F749">
        <v>3</v>
      </c>
      <c r="G749" t="s">
        <v>174</v>
      </c>
      <c r="H749" t="s">
        <v>39</v>
      </c>
      <c r="I749" t="s">
        <v>40</v>
      </c>
      <c r="J749" t="s">
        <v>109</v>
      </c>
      <c r="K749" t="s">
        <v>42</v>
      </c>
      <c r="L749" t="s">
        <v>175</v>
      </c>
      <c r="N749" t="s">
        <v>176</v>
      </c>
      <c r="Q749">
        <v>31797</v>
      </c>
      <c r="R749" t="s">
        <v>967</v>
      </c>
      <c r="S749" t="s">
        <v>5341</v>
      </c>
      <c r="T749">
        <v>28</v>
      </c>
      <c r="W749" t="s">
        <v>373</v>
      </c>
      <c r="X749">
        <v>110023507</v>
      </c>
      <c r="Y749" t="s">
        <v>374</v>
      </c>
      <c r="Z749" t="s">
        <v>103</v>
      </c>
      <c r="AA749" t="e">
        <f ca="1">- checked _xludf.and cleaned, cartridge bay, plunger rod, _xludf.filter
- generated reports
- performed self-test</f>
        <v>#NAME?</v>
      </c>
      <c r="AB749" t="s">
        <v>181</v>
      </c>
      <c r="AG749" t="s">
        <v>5990</v>
      </c>
      <c r="AH749" t="s">
        <v>3145</v>
      </c>
      <c r="AI749" t="s">
        <v>5991</v>
      </c>
    </row>
    <row r="750" spans="2:35" ht="255">
      <c r="B750" s="1">
        <v>46007</v>
      </c>
      <c r="C750" s="1">
        <v>46007</v>
      </c>
      <c r="D750" t="s">
        <v>146</v>
      </c>
      <c r="E750" t="s">
        <v>5992</v>
      </c>
      <c r="F750" t="s">
        <v>148</v>
      </c>
      <c r="G750" t="s">
        <v>149</v>
      </c>
      <c r="H750" t="s">
        <v>150</v>
      </c>
      <c r="I750" t="s">
        <v>40</v>
      </c>
      <c r="J750" s="2" t="s">
        <v>190</v>
      </c>
      <c r="K750" t="s">
        <v>42</v>
      </c>
      <c r="L750" t="s">
        <v>43</v>
      </c>
      <c r="N750" t="s">
        <v>44</v>
      </c>
      <c r="Q750">
        <v>31796</v>
      </c>
      <c r="R750" t="s">
        <v>95</v>
      </c>
      <c r="S750" t="s">
        <v>5993</v>
      </c>
      <c r="T750">
        <v>22</v>
      </c>
      <c r="U750" s="2" t="s">
        <v>5994</v>
      </c>
      <c r="W750" t="s">
        <v>153</v>
      </c>
      <c r="X750">
        <v>110003714</v>
      </c>
      <c r="Y750" t="s">
        <v>3891</v>
      </c>
      <c r="Z750" t="s">
        <v>5995</v>
      </c>
      <c r="AA750" s="2" t="s">
        <v>5996</v>
      </c>
      <c r="AB750" t="s">
        <v>5997</v>
      </c>
      <c r="AG750" t="s">
        <v>5998</v>
      </c>
      <c r="AH750" t="s">
        <v>5999</v>
      </c>
      <c r="AI750" t="s">
        <v>6000</v>
      </c>
    </row>
    <row r="751" spans="2:35" ht="300">
      <c r="B751" s="1">
        <v>46007</v>
      </c>
      <c r="C751" s="1">
        <v>46006</v>
      </c>
      <c r="D751" t="s">
        <v>4363</v>
      </c>
      <c r="E751" t="s">
        <v>2569</v>
      </c>
      <c r="F751" t="s">
        <v>148</v>
      </c>
      <c r="G751" t="s">
        <v>447</v>
      </c>
      <c r="H751" t="s">
        <v>150</v>
      </c>
      <c r="I751" t="s">
        <v>40</v>
      </c>
      <c r="J751" t="s">
        <v>525</v>
      </c>
      <c r="K751" t="s">
        <v>42</v>
      </c>
      <c r="L751" t="s">
        <v>448</v>
      </c>
      <c r="N751" t="s">
        <v>450</v>
      </c>
      <c r="O751" t="s">
        <v>2808</v>
      </c>
      <c r="Q751">
        <v>31795</v>
      </c>
      <c r="R751" t="s">
        <v>95</v>
      </c>
      <c r="S751" t="s">
        <v>2809</v>
      </c>
      <c r="T751">
        <v>27</v>
      </c>
      <c r="U751" s="2" t="s">
        <v>6001</v>
      </c>
      <c r="W751" t="s">
        <v>453</v>
      </c>
      <c r="X751">
        <v>839234</v>
      </c>
      <c r="Y751" t="s">
        <v>6002</v>
      </c>
      <c r="Z751" s="2" t="s">
        <v>2575</v>
      </c>
      <c r="AA751" t="s">
        <v>768</v>
      </c>
      <c r="AB751" s="2" t="s">
        <v>6003</v>
      </c>
      <c r="AC751" t="s">
        <v>6004</v>
      </c>
      <c r="AG751" t="s">
        <v>6005</v>
      </c>
      <c r="AH751" t="s">
        <v>6006</v>
      </c>
      <c r="AI751" t="s">
        <v>6007</v>
      </c>
    </row>
    <row r="752" spans="2:35" ht="285">
      <c r="B752" s="1">
        <v>46007</v>
      </c>
      <c r="C752" s="1">
        <v>46007</v>
      </c>
      <c r="D752" t="s">
        <v>4702</v>
      </c>
      <c r="E752" t="s">
        <v>6008</v>
      </c>
      <c r="F752" t="s">
        <v>148</v>
      </c>
      <c r="G752" t="s">
        <v>785</v>
      </c>
      <c r="H752" t="s">
        <v>39</v>
      </c>
      <c r="I752" t="s">
        <v>40</v>
      </c>
      <c r="J752" t="s">
        <v>321</v>
      </c>
      <c r="K752" t="s">
        <v>42</v>
      </c>
      <c r="L752" t="s">
        <v>43</v>
      </c>
      <c r="N752" t="s">
        <v>44</v>
      </c>
      <c r="Q752">
        <v>31794</v>
      </c>
      <c r="R752" t="s">
        <v>322</v>
      </c>
      <c r="S752" t="s">
        <v>6009</v>
      </c>
      <c r="T752">
        <v>30</v>
      </c>
      <c r="W752" t="s">
        <v>153</v>
      </c>
      <c r="X752">
        <v>110026463</v>
      </c>
      <c r="Y752" t="s">
        <v>6010</v>
      </c>
      <c r="Z752" t="s">
        <v>2931</v>
      </c>
      <c r="AA752" s="2" t="s">
        <v>6011</v>
      </c>
      <c r="AB752" t="s">
        <v>88</v>
      </c>
      <c r="AC752" t="s">
        <v>6012</v>
      </c>
      <c r="AG752" t="s">
        <v>6013</v>
      </c>
      <c r="AH752" t="s">
        <v>6014</v>
      </c>
      <c r="AI752" t="s">
        <v>6015</v>
      </c>
    </row>
    <row r="753" spans="2:35" ht="360">
      <c r="B753" s="1">
        <v>46007</v>
      </c>
      <c r="C753" s="1">
        <v>45973</v>
      </c>
      <c r="D753" t="s">
        <v>4312</v>
      </c>
      <c r="E753" t="s">
        <v>6016</v>
      </c>
      <c r="F753">
        <v>3</v>
      </c>
      <c r="G753" t="s">
        <v>730</v>
      </c>
      <c r="H753" t="s">
        <v>39</v>
      </c>
      <c r="I753" t="s">
        <v>40</v>
      </c>
      <c r="J753" t="s">
        <v>109</v>
      </c>
      <c r="K753" t="s">
        <v>42</v>
      </c>
      <c r="L753" t="s">
        <v>135</v>
      </c>
      <c r="N753" t="s">
        <v>136</v>
      </c>
      <c r="Q753">
        <v>31793</v>
      </c>
      <c r="R753" t="s">
        <v>95</v>
      </c>
      <c r="S753" t="s">
        <v>4103</v>
      </c>
      <c r="T753">
        <v>25</v>
      </c>
      <c r="U753" s="2" t="s">
        <v>5301</v>
      </c>
      <c r="W753" t="s">
        <v>3418</v>
      </c>
      <c r="X753">
        <v>830841</v>
      </c>
      <c r="Y753" t="s">
        <v>6017</v>
      </c>
      <c r="Z753" t="s">
        <v>4315</v>
      </c>
      <c r="AA753" s="2" t="s">
        <v>4316</v>
      </c>
      <c r="AB753" t="s">
        <v>6018</v>
      </c>
      <c r="AG753" t="s">
        <v>6019</v>
      </c>
      <c r="AH753" t="s">
        <v>4110</v>
      </c>
      <c r="AI753" t="s">
        <v>6020</v>
      </c>
    </row>
    <row r="754" spans="2:35" ht="409.5">
      <c r="B754" s="1">
        <v>46007</v>
      </c>
      <c r="C754" s="1">
        <v>46007</v>
      </c>
      <c r="D754" t="s">
        <v>5360</v>
      </c>
      <c r="E754" t="s">
        <v>6021</v>
      </c>
      <c r="F754">
        <v>11</v>
      </c>
      <c r="G754" t="s">
        <v>1205</v>
      </c>
      <c r="H754" t="s">
        <v>2548</v>
      </c>
      <c r="I754" t="s">
        <v>40</v>
      </c>
      <c r="J754" t="s">
        <v>109</v>
      </c>
      <c r="K754" t="s">
        <v>42</v>
      </c>
      <c r="L754" t="s">
        <v>204</v>
      </c>
      <c r="N754" t="s">
        <v>205</v>
      </c>
      <c r="Q754">
        <v>31792</v>
      </c>
      <c r="R754" t="s">
        <v>967</v>
      </c>
      <c r="S754" t="s">
        <v>1206</v>
      </c>
      <c r="T754">
        <v>25.8</v>
      </c>
      <c r="U754" s="2" t="s">
        <v>6022</v>
      </c>
      <c r="W754" t="s">
        <v>2550</v>
      </c>
      <c r="X754">
        <v>110023505</v>
      </c>
      <c r="Y754" t="s">
        <v>2851</v>
      </c>
      <c r="Z754" s="2" t="s">
        <v>1892</v>
      </c>
      <c r="AA754" t="s">
        <v>2551</v>
      </c>
      <c r="AB754" t="s">
        <v>1211</v>
      </c>
      <c r="AG754" t="s">
        <v>6023</v>
      </c>
      <c r="AH754" t="s">
        <v>1214</v>
      </c>
      <c r="AI754" t="s">
        <v>6024</v>
      </c>
    </row>
    <row r="755" spans="2:35" ht="300">
      <c r="B755" s="1">
        <v>46007</v>
      </c>
      <c r="C755" s="1">
        <v>46007</v>
      </c>
      <c r="D755" t="s">
        <v>5360</v>
      </c>
      <c r="E755" t="s">
        <v>5369</v>
      </c>
      <c r="F755">
        <v>11</v>
      </c>
      <c r="G755" t="s">
        <v>1205</v>
      </c>
      <c r="H755" t="s">
        <v>2548</v>
      </c>
      <c r="I755" t="s">
        <v>40</v>
      </c>
      <c r="J755" t="s">
        <v>109</v>
      </c>
      <c r="K755" t="s">
        <v>42</v>
      </c>
      <c r="L755" t="s">
        <v>204</v>
      </c>
      <c r="N755" t="s">
        <v>205</v>
      </c>
      <c r="Q755">
        <v>31791</v>
      </c>
      <c r="R755" t="s">
        <v>967</v>
      </c>
      <c r="S755" t="s">
        <v>1206</v>
      </c>
      <c r="T755">
        <v>25.7</v>
      </c>
      <c r="U755" s="2" t="s">
        <v>6025</v>
      </c>
      <c r="W755" t="s">
        <v>2550</v>
      </c>
      <c r="X755">
        <v>110023506</v>
      </c>
      <c r="Y755" t="s">
        <v>1052</v>
      </c>
      <c r="Z755" s="2" t="s">
        <v>1892</v>
      </c>
      <c r="AA755" t="s">
        <v>2551</v>
      </c>
      <c r="AB755" t="s">
        <v>1211</v>
      </c>
      <c r="AG755" t="s">
        <v>6026</v>
      </c>
      <c r="AH755" t="s">
        <v>1214</v>
      </c>
      <c r="AI755" t="s">
        <v>6027</v>
      </c>
    </row>
    <row r="756" spans="2:35" ht="409.5">
      <c r="B756" s="1">
        <v>46006</v>
      </c>
      <c r="C756" s="1">
        <v>46006</v>
      </c>
      <c r="D756" t="s">
        <v>3712</v>
      </c>
      <c r="E756" t="s">
        <v>6028</v>
      </c>
      <c r="F756" t="s">
        <v>148</v>
      </c>
      <c r="G756" t="s">
        <v>310</v>
      </c>
      <c r="H756" t="s">
        <v>2274</v>
      </c>
      <c r="I756" t="s">
        <v>40</v>
      </c>
      <c r="J756" s="2" t="s">
        <v>41</v>
      </c>
      <c r="K756" t="s">
        <v>387</v>
      </c>
      <c r="L756" t="s">
        <v>1943</v>
      </c>
      <c r="N756" t="s">
        <v>1944</v>
      </c>
      <c r="Q756">
        <v>31790</v>
      </c>
      <c r="R756" t="s">
        <v>322</v>
      </c>
      <c r="S756" t="s">
        <v>3824</v>
      </c>
      <c r="T756">
        <v>25</v>
      </c>
      <c r="V756" s="1">
        <v>46006</v>
      </c>
      <c r="W756" t="s">
        <v>390</v>
      </c>
      <c r="X756" t="s">
        <v>3715</v>
      </c>
      <c r="Y756" t="s">
        <v>6029</v>
      </c>
      <c r="Z756" s="2" t="s">
        <v>6030</v>
      </c>
      <c r="AA756" t="s">
        <v>6031</v>
      </c>
      <c r="AB756" t="s">
        <v>6032</v>
      </c>
      <c r="AD756" t="s">
        <v>6033</v>
      </c>
      <c r="AE756" t="s">
        <v>6034</v>
      </c>
      <c r="AG756" t="s">
        <v>6035</v>
      </c>
      <c r="AH756" t="s">
        <v>3717</v>
      </c>
      <c r="AI756" t="s">
        <v>6036</v>
      </c>
    </row>
    <row r="757" spans="2:35">
      <c r="B757" s="1">
        <v>46006</v>
      </c>
      <c r="C757" s="1">
        <v>46003</v>
      </c>
      <c r="D757" t="s">
        <v>6037</v>
      </c>
      <c r="E757" t="s">
        <v>6038</v>
      </c>
      <c r="F757">
        <v>7</v>
      </c>
      <c r="G757" t="s">
        <v>432</v>
      </c>
      <c r="H757" t="s">
        <v>386</v>
      </c>
      <c r="I757" t="s">
        <v>40</v>
      </c>
      <c r="J757" t="s">
        <v>79</v>
      </c>
      <c r="K757" t="s">
        <v>387</v>
      </c>
      <c r="L757" t="s">
        <v>610</v>
      </c>
      <c r="N757" t="s">
        <v>611</v>
      </c>
      <c r="Q757">
        <v>31789</v>
      </c>
      <c r="R757" t="s">
        <v>95</v>
      </c>
      <c r="S757" t="s">
        <v>6039</v>
      </c>
      <c r="T757">
        <v>40</v>
      </c>
      <c r="W757" t="s">
        <v>390</v>
      </c>
      <c r="X757" t="s">
        <v>6040</v>
      </c>
      <c r="Y757" t="s">
        <v>6041</v>
      </c>
      <c r="Z757" t="s">
        <v>6042</v>
      </c>
      <c r="AA757" t="s">
        <v>6042</v>
      </c>
      <c r="AB757" t="s">
        <v>88</v>
      </c>
      <c r="AG757" t="s">
        <v>6043</v>
      </c>
      <c r="AH757" t="s">
        <v>6044</v>
      </c>
      <c r="AI757" t="s">
        <v>6045</v>
      </c>
    </row>
    <row r="758" spans="2:35">
      <c r="B758" s="1">
        <v>46006</v>
      </c>
      <c r="C758" s="1">
        <v>45988</v>
      </c>
      <c r="D758" t="s">
        <v>3423</v>
      </c>
      <c r="E758" t="s">
        <v>3116</v>
      </c>
      <c r="F758">
        <v>7</v>
      </c>
      <c r="G758" t="s">
        <v>432</v>
      </c>
      <c r="H758" t="s">
        <v>386</v>
      </c>
      <c r="I758" t="s">
        <v>40</v>
      </c>
      <c r="J758" t="s">
        <v>79</v>
      </c>
      <c r="K758" t="s">
        <v>387</v>
      </c>
      <c r="L758" t="s">
        <v>610</v>
      </c>
      <c r="N758" t="s">
        <v>611</v>
      </c>
      <c r="Q758">
        <v>31788</v>
      </c>
      <c r="R758" t="s">
        <v>95</v>
      </c>
      <c r="S758" t="s">
        <v>3424</v>
      </c>
      <c r="T758">
        <v>40</v>
      </c>
      <c r="W758" t="s">
        <v>390</v>
      </c>
      <c r="X758" t="s">
        <v>4856</v>
      </c>
      <c r="Y758" t="s">
        <v>6046</v>
      </c>
      <c r="Z758" t="s">
        <v>6047</v>
      </c>
      <c r="AA758" t="s">
        <v>6047</v>
      </c>
      <c r="AB758" t="s">
        <v>88</v>
      </c>
      <c r="AG758" t="s">
        <v>6048</v>
      </c>
      <c r="AH758" t="s">
        <v>6049</v>
      </c>
      <c r="AI758" t="s">
        <v>6050</v>
      </c>
    </row>
    <row r="759" spans="2:35">
      <c r="B759" s="1">
        <v>46006</v>
      </c>
      <c r="C759" s="1">
        <v>45988</v>
      </c>
      <c r="D759" t="s">
        <v>3423</v>
      </c>
      <c r="E759" t="s">
        <v>3116</v>
      </c>
      <c r="F759">
        <v>7</v>
      </c>
      <c r="G759" t="s">
        <v>432</v>
      </c>
      <c r="H759" t="s">
        <v>386</v>
      </c>
      <c r="I759" t="s">
        <v>40</v>
      </c>
      <c r="J759" t="s">
        <v>79</v>
      </c>
      <c r="K759" t="s">
        <v>387</v>
      </c>
      <c r="L759" t="s">
        <v>610</v>
      </c>
      <c r="N759" t="s">
        <v>611</v>
      </c>
      <c r="Q759">
        <v>31787</v>
      </c>
      <c r="R759" t="s">
        <v>95</v>
      </c>
      <c r="S759" t="s">
        <v>3424</v>
      </c>
      <c r="T759">
        <v>40</v>
      </c>
      <c r="W759" t="s">
        <v>390</v>
      </c>
      <c r="X759" t="s">
        <v>3425</v>
      </c>
      <c r="Y759" t="s">
        <v>6046</v>
      </c>
      <c r="Z759" t="s">
        <v>6047</v>
      </c>
      <c r="AA759" t="s">
        <v>6047</v>
      </c>
      <c r="AB759" t="s">
        <v>88</v>
      </c>
      <c r="AG759" t="s">
        <v>6051</v>
      </c>
      <c r="AH759" t="s">
        <v>6049</v>
      </c>
      <c r="AI759" t="s">
        <v>6052</v>
      </c>
    </row>
    <row r="760" spans="2:35" ht="60">
      <c r="B760" s="1">
        <v>46006</v>
      </c>
      <c r="C760" s="1">
        <v>46006</v>
      </c>
      <c r="D760" t="s">
        <v>58</v>
      </c>
      <c r="E760" t="s">
        <v>59</v>
      </c>
      <c r="F760">
        <v>2</v>
      </c>
      <c r="G760" t="s">
        <v>60</v>
      </c>
      <c r="H760" t="s">
        <v>386</v>
      </c>
      <c r="I760" t="s">
        <v>40</v>
      </c>
      <c r="J760" t="s">
        <v>321</v>
      </c>
      <c r="K760" t="s">
        <v>387</v>
      </c>
      <c r="L760" t="s">
        <v>63</v>
      </c>
      <c r="N760" t="s">
        <v>64</v>
      </c>
      <c r="Q760">
        <v>31786</v>
      </c>
      <c r="R760" t="s">
        <v>322</v>
      </c>
      <c r="S760" t="s">
        <v>6053</v>
      </c>
      <c r="T760">
        <v>25</v>
      </c>
      <c r="W760" t="s">
        <v>390</v>
      </c>
      <c r="X760" t="s">
        <v>6054</v>
      </c>
      <c r="Y760" t="s">
        <v>6055</v>
      </c>
      <c r="Z760" s="2" t="s">
        <v>6056</v>
      </c>
      <c r="AA760" t="s">
        <v>6057</v>
      </c>
      <c r="AB760" t="s">
        <v>70</v>
      </c>
      <c r="AG760" t="s">
        <v>6058</v>
      </c>
      <c r="AH760" t="s">
        <v>6059</v>
      </c>
      <c r="AI760" t="s">
        <v>6060</v>
      </c>
    </row>
    <row r="761" spans="2:35" ht="105">
      <c r="B761" s="1">
        <v>46000</v>
      </c>
      <c r="C761" s="1">
        <v>45957</v>
      </c>
      <c r="D761" t="s">
        <v>6061</v>
      </c>
      <c r="E761" t="s">
        <v>6062</v>
      </c>
      <c r="F761" t="s">
        <v>148</v>
      </c>
      <c r="G761" t="s">
        <v>447</v>
      </c>
      <c r="H761" t="s">
        <v>386</v>
      </c>
      <c r="I761" t="s">
        <v>40</v>
      </c>
      <c r="J761" s="2" t="s">
        <v>355</v>
      </c>
      <c r="K761" t="s">
        <v>387</v>
      </c>
      <c r="L761" t="s">
        <v>43</v>
      </c>
      <c r="N761" t="s">
        <v>44</v>
      </c>
      <c r="O761" t="s">
        <v>6063</v>
      </c>
      <c r="Q761">
        <v>31785</v>
      </c>
      <c r="R761" t="s">
        <v>95</v>
      </c>
      <c r="S761" t="s">
        <v>6064</v>
      </c>
      <c r="T761">
        <v>24</v>
      </c>
      <c r="W761" t="s">
        <v>390</v>
      </c>
      <c r="X761" t="s">
        <v>4307</v>
      </c>
      <c r="Y761" t="s">
        <v>6065</v>
      </c>
      <c r="Z761" t="s">
        <v>6066</v>
      </c>
      <c r="AA761" s="2" t="s">
        <v>6067</v>
      </c>
      <c r="AB761" t="s">
        <v>88</v>
      </c>
      <c r="AG761" t="s">
        <v>6068</v>
      </c>
      <c r="AH761" t="s">
        <v>6069</v>
      </c>
      <c r="AI761" t="s">
        <v>6070</v>
      </c>
    </row>
    <row r="762" spans="2:35" ht="225">
      <c r="B762" s="1">
        <v>46000</v>
      </c>
      <c r="C762" s="1">
        <v>45958</v>
      </c>
      <c r="D762" t="s">
        <v>6071</v>
      </c>
      <c r="E762" t="s">
        <v>5121</v>
      </c>
      <c r="F762" t="s">
        <v>148</v>
      </c>
      <c r="G762" t="s">
        <v>785</v>
      </c>
      <c r="H762" t="s">
        <v>39</v>
      </c>
      <c r="I762" t="s">
        <v>40</v>
      </c>
      <c r="J762" t="s">
        <v>109</v>
      </c>
      <c r="K762" t="s">
        <v>42</v>
      </c>
      <c r="L762" t="s">
        <v>43</v>
      </c>
      <c r="N762" t="s">
        <v>44</v>
      </c>
      <c r="Q762">
        <v>31784</v>
      </c>
      <c r="R762" t="s">
        <v>322</v>
      </c>
      <c r="S762" t="s">
        <v>4704</v>
      </c>
      <c r="T762">
        <v>24</v>
      </c>
      <c r="U762" s="2" t="s">
        <v>6072</v>
      </c>
      <c r="W762" t="s">
        <v>153</v>
      </c>
      <c r="X762">
        <v>110024245</v>
      </c>
      <c r="Y762" t="s">
        <v>121</v>
      </c>
      <c r="Z762" t="s">
        <v>122</v>
      </c>
      <c r="AA762" s="2" t="s">
        <v>6073</v>
      </c>
      <c r="AB762" t="s">
        <v>548</v>
      </c>
      <c r="AG762" t="s">
        <v>6074</v>
      </c>
      <c r="AH762" t="s">
        <v>6075</v>
      </c>
      <c r="AI762" t="s">
        <v>6076</v>
      </c>
    </row>
    <row r="763" spans="2:35" ht="270">
      <c r="B763" s="1">
        <v>46000</v>
      </c>
      <c r="C763" s="1">
        <v>45986</v>
      </c>
      <c r="D763" t="s">
        <v>4765</v>
      </c>
      <c r="E763" t="s">
        <v>6077</v>
      </c>
      <c r="F763" t="s">
        <v>148</v>
      </c>
      <c r="G763" t="s">
        <v>785</v>
      </c>
      <c r="H763" t="s">
        <v>39</v>
      </c>
      <c r="I763" t="s">
        <v>40</v>
      </c>
      <c r="J763" t="s">
        <v>109</v>
      </c>
      <c r="K763" t="s">
        <v>42</v>
      </c>
      <c r="L763" t="s">
        <v>43</v>
      </c>
      <c r="N763" t="s">
        <v>44</v>
      </c>
      <c r="Q763">
        <v>31783</v>
      </c>
      <c r="R763" t="s">
        <v>322</v>
      </c>
      <c r="S763" t="s">
        <v>4704</v>
      </c>
      <c r="T763">
        <v>25</v>
      </c>
      <c r="U763" s="2" t="s">
        <v>6078</v>
      </c>
      <c r="W763" t="s">
        <v>153</v>
      </c>
      <c r="X763">
        <v>110024245</v>
      </c>
      <c r="Y763" t="s">
        <v>6079</v>
      </c>
      <c r="Z763" s="2" t="s">
        <v>6080</v>
      </c>
      <c r="AA763" s="2" t="s">
        <v>6081</v>
      </c>
      <c r="AB763" t="s">
        <v>6082</v>
      </c>
      <c r="AG763" t="s">
        <v>6083</v>
      </c>
      <c r="AH763" t="s">
        <v>4773</v>
      </c>
      <c r="AI763" t="s">
        <v>6084</v>
      </c>
    </row>
    <row r="764" spans="2:35" ht="225">
      <c r="B764" s="1">
        <v>46000</v>
      </c>
      <c r="C764" s="1">
        <v>45986</v>
      </c>
      <c r="D764" t="s">
        <v>1678</v>
      </c>
      <c r="E764" t="s">
        <v>6085</v>
      </c>
      <c r="F764" t="s">
        <v>148</v>
      </c>
      <c r="G764" t="s">
        <v>785</v>
      </c>
      <c r="H764" t="s">
        <v>39</v>
      </c>
      <c r="I764" t="s">
        <v>40</v>
      </c>
      <c r="J764" t="s">
        <v>109</v>
      </c>
      <c r="K764" t="s">
        <v>42</v>
      </c>
      <c r="L764" t="s">
        <v>43</v>
      </c>
      <c r="N764" t="s">
        <v>44</v>
      </c>
      <c r="O764" t="s">
        <v>1680</v>
      </c>
      <c r="Q764">
        <v>31782</v>
      </c>
      <c r="R764" t="s">
        <v>322</v>
      </c>
      <c r="S764" t="s">
        <v>1680</v>
      </c>
      <c r="T764">
        <v>22</v>
      </c>
      <c r="U764" s="2" t="s">
        <v>6086</v>
      </c>
      <c r="W764" t="s">
        <v>153</v>
      </c>
      <c r="X764">
        <v>110024246</v>
      </c>
      <c r="Y764" t="s">
        <v>121</v>
      </c>
      <c r="Z764" t="s">
        <v>122</v>
      </c>
      <c r="AA764" s="2" t="s">
        <v>547</v>
      </c>
      <c r="AB764" t="s">
        <v>548</v>
      </c>
      <c r="AG764" t="s">
        <v>6087</v>
      </c>
      <c r="AH764" t="s">
        <v>1684</v>
      </c>
      <c r="AI764" t="s">
        <v>6088</v>
      </c>
    </row>
    <row r="765" spans="2:35" ht="300">
      <c r="B765" s="1">
        <v>46000</v>
      </c>
      <c r="C765" s="1">
        <v>45988</v>
      </c>
      <c r="D765" t="s">
        <v>3030</v>
      </c>
      <c r="E765" t="s">
        <v>3031</v>
      </c>
      <c r="F765" t="s">
        <v>37</v>
      </c>
      <c r="G765" t="s">
        <v>38</v>
      </c>
      <c r="H765" t="s">
        <v>39</v>
      </c>
      <c r="I765" t="s">
        <v>40</v>
      </c>
      <c r="J765" t="s">
        <v>109</v>
      </c>
      <c r="K765" t="s">
        <v>42</v>
      </c>
      <c r="L765" t="s">
        <v>43</v>
      </c>
      <c r="N765" t="s">
        <v>44</v>
      </c>
      <c r="Q765">
        <v>31781</v>
      </c>
      <c r="R765" t="s">
        <v>967</v>
      </c>
      <c r="S765" t="s">
        <v>3032</v>
      </c>
      <c r="T765">
        <v>22</v>
      </c>
      <c r="U765" s="2" t="s">
        <v>6089</v>
      </c>
      <c r="W765" t="s">
        <v>153</v>
      </c>
      <c r="X765">
        <v>110023496</v>
      </c>
      <c r="Y765" t="s">
        <v>121</v>
      </c>
      <c r="Z765" t="s">
        <v>122</v>
      </c>
      <c r="AA765" s="2" t="s">
        <v>547</v>
      </c>
      <c r="AB765" t="s">
        <v>548</v>
      </c>
      <c r="AG765" t="s">
        <v>6090</v>
      </c>
      <c r="AH765" t="s">
        <v>3035</v>
      </c>
      <c r="AI765" t="s">
        <v>6091</v>
      </c>
    </row>
    <row r="766" spans="2:35" ht="409.5">
      <c r="B766" s="1">
        <v>46000</v>
      </c>
      <c r="C766" s="1">
        <v>45994</v>
      </c>
      <c r="D766" t="s">
        <v>3119</v>
      </c>
      <c r="E766" t="s">
        <v>6092</v>
      </c>
      <c r="F766" t="s">
        <v>148</v>
      </c>
      <c r="G766" t="s">
        <v>310</v>
      </c>
      <c r="H766" t="s">
        <v>662</v>
      </c>
      <c r="I766" t="s">
        <v>40</v>
      </c>
      <c r="J766" s="2" t="s">
        <v>190</v>
      </c>
      <c r="K766" t="s">
        <v>42</v>
      </c>
      <c r="L766" t="s">
        <v>1028</v>
      </c>
      <c r="N766" t="s">
        <v>1029</v>
      </c>
      <c r="O766" t="s">
        <v>5841</v>
      </c>
      <c r="Q766">
        <v>31780</v>
      </c>
      <c r="R766" t="s">
        <v>95</v>
      </c>
      <c r="S766" t="s">
        <v>6093</v>
      </c>
      <c r="T766">
        <v>25</v>
      </c>
      <c r="U766" s="2" t="s">
        <v>6094</v>
      </c>
      <c r="W766" t="s">
        <v>1032</v>
      </c>
      <c r="X766">
        <v>110001648</v>
      </c>
      <c r="Y766" s="2" t="s">
        <v>6095</v>
      </c>
      <c r="Z766" t="s">
        <v>1548</v>
      </c>
      <c r="AA766" s="2" t="s">
        <v>6096</v>
      </c>
      <c r="AB766" s="2" t="s">
        <v>6097</v>
      </c>
      <c r="AC766" t="s">
        <v>6098</v>
      </c>
      <c r="AG766" t="s">
        <v>6099</v>
      </c>
      <c r="AH766" t="s">
        <v>6100</v>
      </c>
      <c r="AI766" t="s">
        <v>6101</v>
      </c>
    </row>
    <row r="767" spans="2:35" ht="165">
      <c r="B767" s="1">
        <v>46000</v>
      </c>
      <c r="C767" s="1">
        <v>45995</v>
      </c>
      <c r="D767" t="s">
        <v>6102</v>
      </c>
      <c r="E767" t="s">
        <v>6103</v>
      </c>
      <c r="F767" t="s">
        <v>1255</v>
      </c>
      <c r="G767" t="s">
        <v>4685</v>
      </c>
      <c r="H767" t="s">
        <v>258</v>
      </c>
      <c r="I767" t="s">
        <v>40</v>
      </c>
      <c r="J767" s="2" t="s">
        <v>4373</v>
      </c>
      <c r="K767" t="s">
        <v>42</v>
      </c>
      <c r="L767" t="s">
        <v>594</v>
      </c>
      <c r="N767" t="s">
        <v>595</v>
      </c>
      <c r="Q767">
        <v>31779</v>
      </c>
      <c r="R767" t="s">
        <v>119</v>
      </c>
      <c r="S767" t="s">
        <v>6104</v>
      </c>
      <c r="T767">
        <v>23</v>
      </c>
      <c r="W767" t="s">
        <v>6105</v>
      </c>
      <c r="X767">
        <v>838549</v>
      </c>
      <c r="Y767" t="s">
        <v>6106</v>
      </c>
      <c r="Z767" s="2" t="s">
        <v>6107</v>
      </c>
      <c r="AA767" t="s">
        <v>6108</v>
      </c>
      <c r="AB767" t="s">
        <v>6109</v>
      </c>
      <c r="AG767" t="s">
        <v>6110</v>
      </c>
      <c r="AH767" t="s">
        <v>6111</v>
      </c>
      <c r="AI767" t="s">
        <v>6112</v>
      </c>
    </row>
    <row r="768" spans="2:35" ht="330">
      <c r="B768" s="1">
        <v>45998</v>
      </c>
      <c r="C768" s="1">
        <v>45997</v>
      </c>
      <c r="D768" t="s">
        <v>6113</v>
      </c>
      <c r="E768" t="s">
        <v>3823</v>
      </c>
      <c r="F768" t="s">
        <v>148</v>
      </c>
      <c r="G768" t="s">
        <v>310</v>
      </c>
      <c r="H768" t="s">
        <v>2274</v>
      </c>
      <c r="I768" t="s">
        <v>40</v>
      </c>
      <c r="J768" t="s">
        <v>525</v>
      </c>
      <c r="K768" t="s">
        <v>387</v>
      </c>
      <c r="L768" t="s">
        <v>448</v>
      </c>
      <c r="N768" t="s">
        <v>650</v>
      </c>
      <c r="Q768">
        <v>31778</v>
      </c>
      <c r="R768" t="s">
        <v>322</v>
      </c>
      <c r="S768" t="s">
        <v>3824</v>
      </c>
      <c r="T768">
        <v>28</v>
      </c>
      <c r="W768" t="s">
        <v>476</v>
      </c>
      <c r="X768" t="s">
        <v>3715</v>
      </c>
      <c r="Y768" t="s">
        <v>6114</v>
      </c>
      <c r="Z768" s="2" t="s">
        <v>6115</v>
      </c>
      <c r="AA768" t="s">
        <v>768</v>
      </c>
      <c r="AB768" s="2" t="s">
        <v>6116</v>
      </c>
      <c r="AG768" t="s">
        <v>6117</v>
      </c>
      <c r="AH768" t="s">
        <v>6118</v>
      </c>
      <c r="AI768" t="s">
        <v>6119</v>
      </c>
    </row>
    <row r="769" spans="2:35" ht="210">
      <c r="B769" s="1">
        <v>45998</v>
      </c>
      <c r="C769" s="1">
        <v>45986</v>
      </c>
      <c r="D769" t="s">
        <v>4363</v>
      </c>
      <c r="E769" t="s">
        <v>2569</v>
      </c>
      <c r="F769" t="s">
        <v>148</v>
      </c>
      <c r="G769" t="s">
        <v>447</v>
      </c>
      <c r="H769" t="s">
        <v>150</v>
      </c>
      <c r="I769" t="s">
        <v>40</v>
      </c>
      <c r="J769" s="2" t="s">
        <v>190</v>
      </c>
      <c r="K769" t="s">
        <v>42</v>
      </c>
      <c r="L769" t="s">
        <v>448</v>
      </c>
      <c r="N769" t="s">
        <v>650</v>
      </c>
      <c r="O769" t="s">
        <v>2808</v>
      </c>
      <c r="Q769">
        <v>31777</v>
      </c>
      <c r="R769" t="s">
        <v>95</v>
      </c>
      <c r="S769" t="s">
        <v>2809</v>
      </c>
      <c r="T769">
        <v>26</v>
      </c>
      <c r="U769" s="2" t="s">
        <v>6120</v>
      </c>
      <c r="W769" t="s">
        <v>6121</v>
      </c>
      <c r="X769">
        <v>839234</v>
      </c>
      <c r="Y769" t="s">
        <v>6122</v>
      </c>
      <c r="Z769" s="2" t="s">
        <v>6123</v>
      </c>
      <c r="AA769" t="s">
        <v>6124</v>
      </c>
      <c r="AB769" t="s">
        <v>656</v>
      </c>
      <c r="AG769" t="s">
        <v>6125</v>
      </c>
      <c r="AH769" t="s">
        <v>6006</v>
      </c>
      <c r="AI769" t="s">
        <v>6126</v>
      </c>
    </row>
    <row r="770" spans="2:35" ht="409.5">
      <c r="B770" s="1">
        <v>45998</v>
      </c>
      <c r="C770" s="1">
        <v>45986</v>
      </c>
      <c r="D770" t="s">
        <v>4363</v>
      </c>
      <c r="E770" t="s">
        <v>2569</v>
      </c>
      <c r="F770" t="s">
        <v>148</v>
      </c>
      <c r="G770" t="s">
        <v>447</v>
      </c>
      <c r="H770" t="s">
        <v>2570</v>
      </c>
      <c r="I770" t="s">
        <v>40</v>
      </c>
      <c r="J770" t="s">
        <v>109</v>
      </c>
      <c r="K770" t="s">
        <v>42</v>
      </c>
      <c r="L770" t="s">
        <v>448</v>
      </c>
      <c r="N770" t="s">
        <v>650</v>
      </c>
      <c r="O770" t="s">
        <v>2808</v>
      </c>
      <c r="Q770">
        <v>31776</v>
      </c>
      <c r="R770" t="s">
        <v>95</v>
      </c>
      <c r="S770" t="s">
        <v>2571</v>
      </c>
      <c r="T770">
        <v>23</v>
      </c>
      <c r="U770" s="2" t="s">
        <v>6127</v>
      </c>
      <c r="W770" t="s">
        <v>6128</v>
      </c>
      <c r="X770">
        <v>807155</v>
      </c>
      <c r="Y770" s="2" t="s">
        <v>6129</v>
      </c>
      <c r="Z770" s="2" t="s">
        <v>6130</v>
      </c>
      <c r="AA770" t="s">
        <v>680</v>
      </c>
      <c r="AB770" t="s">
        <v>656</v>
      </c>
      <c r="AG770" t="s">
        <v>6131</v>
      </c>
      <c r="AH770" t="s">
        <v>2578</v>
      </c>
      <c r="AI770" t="s">
        <v>6132</v>
      </c>
    </row>
    <row r="771" spans="2:35" ht="165">
      <c r="B771" s="1">
        <v>45997</v>
      </c>
      <c r="C771" s="1">
        <v>45995</v>
      </c>
      <c r="D771" t="s">
        <v>6133</v>
      </c>
      <c r="E771" t="s">
        <v>6134</v>
      </c>
      <c r="F771">
        <v>8</v>
      </c>
      <c r="G771" t="s">
        <v>4685</v>
      </c>
      <c r="H771" t="s">
        <v>258</v>
      </c>
      <c r="I771" t="s">
        <v>40</v>
      </c>
      <c r="J771" s="2" t="s">
        <v>41</v>
      </c>
      <c r="K771" t="s">
        <v>42</v>
      </c>
      <c r="L771" t="s">
        <v>594</v>
      </c>
      <c r="N771" t="s">
        <v>595</v>
      </c>
      <c r="O771" t="s">
        <v>595</v>
      </c>
      <c r="Q771">
        <v>31775</v>
      </c>
      <c r="R771" t="s">
        <v>119</v>
      </c>
      <c r="S771" t="s">
        <v>595</v>
      </c>
      <c r="T771">
        <v>23</v>
      </c>
      <c r="W771" t="s">
        <v>6135</v>
      </c>
      <c r="X771">
        <v>838298</v>
      </c>
      <c r="Y771" s="2" t="s">
        <v>6136</v>
      </c>
      <c r="Z771" s="2" t="s">
        <v>6137</v>
      </c>
      <c r="AA771" t="s">
        <v>6138</v>
      </c>
      <c r="AB771" s="2" t="s">
        <v>6139</v>
      </c>
      <c r="AG771" t="s">
        <v>6140</v>
      </c>
      <c r="AH771" t="s">
        <v>6141</v>
      </c>
      <c r="AI771" t="s">
        <v>6142</v>
      </c>
    </row>
    <row r="772" spans="2:35" ht="270">
      <c r="B772" s="1">
        <v>45994</v>
      </c>
      <c r="C772" s="1">
        <v>45994</v>
      </c>
      <c r="D772" t="s">
        <v>6143</v>
      </c>
      <c r="E772" t="s">
        <v>5266</v>
      </c>
      <c r="F772">
        <v>6</v>
      </c>
      <c r="G772" t="s">
        <v>5216</v>
      </c>
      <c r="H772" t="s">
        <v>39</v>
      </c>
      <c r="I772" t="s">
        <v>40</v>
      </c>
      <c r="J772" s="2" t="s">
        <v>1899</v>
      </c>
      <c r="K772" t="s">
        <v>42</v>
      </c>
      <c r="L772" t="s">
        <v>433</v>
      </c>
      <c r="N772" t="s">
        <v>434</v>
      </c>
      <c r="Q772">
        <v>31774</v>
      </c>
      <c r="R772" t="s">
        <v>967</v>
      </c>
      <c r="S772" t="s">
        <v>5267</v>
      </c>
      <c r="T772">
        <v>26</v>
      </c>
      <c r="W772" t="s">
        <v>1008</v>
      </c>
      <c r="X772">
        <v>110023537</v>
      </c>
      <c r="Y772" t="s">
        <v>6144</v>
      </c>
      <c r="Z772" t="s">
        <v>6145</v>
      </c>
      <c r="AA772" s="2" t="s">
        <v>6146</v>
      </c>
      <c r="AB772" t="s">
        <v>1011</v>
      </c>
      <c r="AG772" t="s">
        <v>6147</v>
      </c>
      <c r="AH772" t="s">
        <v>6148</v>
      </c>
      <c r="AI772" t="s">
        <v>6149</v>
      </c>
    </row>
    <row r="773" spans="2:35" ht="150">
      <c r="B773" s="1">
        <v>45993</v>
      </c>
      <c r="C773" s="1">
        <v>45993</v>
      </c>
      <c r="D773" t="s">
        <v>6150</v>
      </c>
      <c r="E773" t="s">
        <v>6151</v>
      </c>
      <c r="F773" t="s">
        <v>148</v>
      </c>
      <c r="G773" t="s">
        <v>447</v>
      </c>
      <c r="H773" t="s">
        <v>2628</v>
      </c>
      <c r="I773" t="s">
        <v>94</v>
      </c>
      <c r="J773" t="s">
        <v>321</v>
      </c>
      <c r="K773" t="s">
        <v>2629</v>
      </c>
      <c r="L773" t="s">
        <v>409</v>
      </c>
      <c r="N773" t="s">
        <v>410</v>
      </c>
      <c r="Q773">
        <v>31773</v>
      </c>
      <c r="R773" t="s">
        <v>95</v>
      </c>
      <c r="S773" t="s">
        <v>6152</v>
      </c>
      <c r="T773">
        <v>25</v>
      </c>
      <c r="V773" s="1">
        <v>45989</v>
      </c>
      <c r="W773" t="s">
        <v>6153</v>
      </c>
      <c r="X773">
        <v>3198009534</v>
      </c>
      <c r="Y773" t="s">
        <v>301</v>
      </c>
      <c r="Z773" t="s">
        <v>301</v>
      </c>
      <c r="AA773" s="2" t="s">
        <v>6154</v>
      </c>
      <c r="AB773" t="s">
        <v>181</v>
      </c>
      <c r="AE773" t="s">
        <v>6155</v>
      </c>
      <c r="AG773" t="s">
        <v>6156</v>
      </c>
      <c r="AH773" t="s">
        <v>6157</v>
      </c>
      <c r="AI773" t="s">
        <v>6158</v>
      </c>
    </row>
    <row r="774" spans="2:35" ht="270">
      <c r="B774" s="1">
        <v>45992</v>
      </c>
      <c r="C774" s="1">
        <v>45992</v>
      </c>
      <c r="D774" t="s">
        <v>6159</v>
      </c>
      <c r="E774" t="s">
        <v>6160</v>
      </c>
      <c r="F774" t="s">
        <v>148</v>
      </c>
      <c r="G774" t="s">
        <v>447</v>
      </c>
      <c r="H774" t="s">
        <v>61</v>
      </c>
      <c r="I774" t="s">
        <v>40</v>
      </c>
      <c r="J774" s="2" t="s">
        <v>355</v>
      </c>
      <c r="K774" t="s">
        <v>408</v>
      </c>
      <c r="L774" t="s">
        <v>409</v>
      </c>
      <c r="N774" t="s">
        <v>410</v>
      </c>
      <c r="P774" t="s">
        <v>6161</v>
      </c>
      <c r="Q774">
        <v>31772</v>
      </c>
      <c r="R774" t="s">
        <v>95</v>
      </c>
      <c r="S774" t="s">
        <v>6162</v>
      </c>
      <c r="T774">
        <v>22</v>
      </c>
      <c r="W774" t="s">
        <v>6163</v>
      </c>
      <c r="X774" t="s">
        <v>6164</v>
      </c>
      <c r="Y774" t="s">
        <v>6165</v>
      </c>
      <c r="Z774" t="s">
        <v>6166</v>
      </c>
      <c r="AA774" s="2" t="s">
        <v>6167</v>
      </c>
      <c r="AB774" s="2" t="s">
        <v>6168</v>
      </c>
      <c r="AG774" t="s">
        <v>6169</v>
      </c>
      <c r="AH774" t="s">
        <v>6170</v>
      </c>
      <c r="AI774" t="s">
        <v>6171</v>
      </c>
    </row>
    <row r="775" spans="2:35">
      <c r="B775" s="1">
        <v>45991</v>
      </c>
      <c r="C775" s="1">
        <v>45985</v>
      </c>
      <c r="D775" t="s">
        <v>3010</v>
      </c>
      <c r="E775" t="s">
        <v>6172</v>
      </c>
      <c r="F775">
        <v>1</v>
      </c>
      <c r="G775" t="s">
        <v>1046</v>
      </c>
      <c r="H775" t="s">
        <v>61</v>
      </c>
      <c r="I775" t="s">
        <v>40</v>
      </c>
      <c r="J775" t="s">
        <v>321</v>
      </c>
      <c r="K775" t="s">
        <v>42</v>
      </c>
      <c r="L775" t="s">
        <v>1048</v>
      </c>
      <c r="N775" t="s">
        <v>1049</v>
      </c>
      <c r="Q775">
        <v>31771</v>
      </c>
      <c r="R775" t="s">
        <v>967</v>
      </c>
      <c r="S775" t="s">
        <v>6173</v>
      </c>
      <c r="T775">
        <v>25</v>
      </c>
      <c r="W775" t="s">
        <v>1424</v>
      </c>
      <c r="X775">
        <v>110023501</v>
      </c>
      <c r="Y775" t="s">
        <v>6010</v>
      </c>
      <c r="Z775" t="e">
        <f ca="1">- installed GeneXpert system
- Setup user Accounts
- installed Assays</f>
        <v>#NAME?</v>
      </c>
      <c r="AA775" t="s">
        <v>6174</v>
      </c>
      <c r="AB775" t="s">
        <v>1428</v>
      </c>
      <c r="AC775" t="s">
        <v>6175</v>
      </c>
      <c r="AG775" t="s">
        <v>6176</v>
      </c>
      <c r="AH775" t="s">
        <v>6177</v>
      </c>
      <c r="AI775" t="s">
        <v>6178</v>
      </c>
    </row>
    <row r="776" spans="2:35" ht="105">
      <c r="B776" s="1">
        <v>45991</v>
      </c>
      <c r="C776" s="1">
        <v>45988</v>
      </c>
      <c r="D776" t="s">
        <v>1057</v>
      </c>
      <c r="E776" t="s">
        <v>1058</v>
      </c>
      <c r="F776">
        <v>1</v>
      </c>
      <c r="G776" t="s">
        <v>1046</v>
      </c>
      <c r="H776" t="s">
        <v>39</v>
      </c>
      <c r="I776" t="s">
        <v>40</v>
      </c>
      <c r="J776" t="s">
        <v>109</v>
      </c>
      <c r="K776" t="s">
        <v>42</v>
      </c>
      <c r="L776" t="s">
        <v>1048</v>
      </c>
      <c r="N776" t="s">
        <v>1049</v>
      </c>
      <c r="Q776">
        <v>31770</v>
      </c>
      <c r="R776" t="s">
        <v>95</v>
      </c>
      <c r="S776" t="s">
        <v>1059</v>
      </c>
      <c r="T776">
        <v>29</v>
      </c>
      <c r="W776" t="s">
        <v>1060</v>
      </c>
      <c r="X776">
        <v>820303</v>
      </c>
      <c r="Y776" t="s">
        <v>1052</v>
      </c>
      <c r="Z776" t="e">
        <f ca="1">- cleaned cartridge Bays, plunger Rods _xludf.and I-CORE
- generated reports</f>
        <v>#NAME?</v>
      </c>
      <c r="AA776" t="s">
        <v>820</v>
      </c>
      <c r="AB776" s="2" t="s">
        <v>3391</v>
      </c>
      <c r="AG776" t="s">
        <v>6179</v>
      </c>
      <c r="AH776" t="s">
        <v>3393</v>
      </c>
      <c r="AI776" t="s">
        <v>6180</v>
      </c>
    </row>
    <row r="777" spans="2:35" ht="105">
      <c r="B777" s="1">
        <v>45991</v>
      </c>
      <c r="C777" s="1">
        <v>45988</v>
      </c>
      <c r="D777" t="s">
        <v>1057</v>
      </c>
      <c r="E777" t="s">
        <v>1058</v>
      </c>
      <c r="F777">
        <v>1</v>
      </c>
      <c r="G777" t="s">
        <v>1046</v>
      </c>
      <c r="H777" t="s">
        <v>39</v>
      </c>
      <c r="I777" t="s">
        <v>40</v>
      </c>
      <c r="J777" t="s">
        <v>109</v>
      </c>
      <c r="K777" t="s">
        <v>42</v>
      </c>
      <c r="L777" t="s">
        <v>1048</v>
      </c>
      <c r="N777" t="s">
        <v>1049</v>
      </c>
      <c r="Q777">
        <v>31769</v>
      </c>
      <c r="R777" t="s">
        <v>95</v>
      </c>
      <c r="S777" t="s">
        <v>1059</v>
      </c>
      <c r="T777">
        <v>29</v>
      </c>
      <c r="W777" t="s">
        <v>1060</v>
      </c>
      <c r="X777">
        <v>820303</v>
      </c>
      <c r="Y777" t="s">
        <v>1052</v>
      </c>
      <c r="Z777" t="e">
        <f ca="1">- cleaned cartridge Bays, plunger Rods _xludf.and I-CORE
- generated reports</f>
        <v>#NAME?</v>
      </c>
      <c r="AA777" t="s">
        <v>820</v>
      </c>
      <c r="AB777" s="2" t="s">
        <v>3391</v>
      </c>
      <c r="AG777" t="s">
        <v>6181</v>
      </c>
      <c r="AH777" t="s">
        <v>3393</v>
      </c>
      <c r="AI777" t="s">
        <v>6182</v>
      </c>
    </row>
    <row r="778" spans="2:35" ht="225">
      <c r="B778" s="1">
        <v>45989</v>
      </c>
      <c r="C778" s="1">
        <v>45989</v>
      </c>
      <c r="D778" t="s">
        <v>4259</v>
      </c>
      <c r="E778" t="s">
        <v>6183</v>
      </c>
      <c r="F778" t="s">
        <v>148</v>
      </c>
      <c r="G778" t="s">
        <v>2007</v>
      </c>
      <c r="H778" t="s">
        <v>39</v>
      </c>
      <c r="I778" t="s">
        <v>40</v>
      </c>
      <c r="J778" s="2" t="s">
        <v>6184</v>
      </c>
      <c r="K778" t="s">
        <v>42</v>
      </c>
      <c r="L778" t="s">
        <v>43</v>
      </c>
      <c r="N778" t="s">
        <v>44</v>
      </c>
      <c r="O778" t="s">
        <v>6185</v>
      </c>
      <c r="Q778">
        <v>31768</v>
      </c>
      <c r="R778" t="s">
        <v>322</v>
      </c>
      <c r="S778" t="s">
        <v>4261</v>
      </c>
      <c r="T778">
        <v>22</v>
      </c>
      <c r="W778" t="s">
        <v>48</v>
      </c>
      <c r="X778">
        <v>812560</v>
      </c>
      <c r="Y778" t="s">
        <v>4709</v>
      </c>
      <c r="Z778" t="s">
        <v>6186</v>
      </c>
      <c r="AA778" s="2" t="s">
        <v>6187</v>
      </c>
      <c r="AB778" t="s">
        <v>88</v>
      </c>
      <c r="AG778" t="s">
        <v>6188</v>
      </c>
      <c r="AH778" t="s">
        <v>6189</v>
      </c>
      <c r="AI778" t="s">
        <v>6190</v>
      </c>
    </row>
    <row r="779" spans="2:35" ht="409.5">
      <c r="B779" s="1">
        <v>45989</v>
      </c>
      <c r="C779" s="1">
        <v>45989</v>
      </c>
      <c r="D779" t="s">
        <v>5028</v>
      </c>
      <c r="E779" t="s">
        <v>3863</v>
      </c>
      <c r="F779">
        <v>12</v>
      </c>
      <c r="G779" t="s">
        <v>978</v>
      </c>
      <c r="H779" t="s">
        <v>5391</v>
      </c>
      <c r="I779" t="s">
        <v>40</v>
      </c>
      <c r="J779" t="s">
        <v>321</v>
      </c>
      <c r="K779" t="s">
        <v>42</v>
      </c>
      <c r="L779" t="s">
        <v>296</v>
      </c>
      <c r="N779" t="s">
        <v>297</v>
      </c>
      <c r="Q779">
        <v>31767</v>
      </c>
      <c r="R779" t="s">
        <v>322</v>
      </c>
      <c r="S779" t="s">
        <v>5030</v>
      </c>
      <c r="T779">
        <v>28.1</v>
      </c>
      <c r="U779" s="2" t="s">
        <v>6191</v>
      </c>
      <c r="W779" t="s">
        <v>6192</v>
      </c>
      <c r="X779">
        <v>839314</v>
      </c>
      <c r="Y779" t="s">
        <v>6193</v>
      </c>
      <c r="Z779" s="2" t="s">
        <v>6194</v>
      </c>
      <c r="AA779" t="s">
        <v>6195</v>
      </c>
      <c r="AB779" t="s">
        <v>6196</v>
      </c>
      <c r="AG779" t="s">
        <v>6197</v>
      </c>
      <c r="AH779" t="s">
        <v>5038</v>
      </c>
      <c r="AI779" t="s">
        <v>6198</v>
      </c>
    </row>
    <row r="780" spans="2:35" ht="270">
      <c r="B780" s="1">
        <v>45989</v>
      </c>
      <c r="C780" s="1">
        <v>45989</v>
      </c>
      <c r="D780" t="s">
        <v>4259</v>
      </c>
      <c r="E780" t="s">
        <v>6183</v>
      </c>
      <c r="F780" t="s">
        <v>148</v>
      </c>
      <c r="G780" t="s">
        <v>2007</v>
      </c>
      <c r="H780" t="s">
        <v>39</v>
      </c>
      <c r="I780" t="s">
        <v>40</v>
      </c>
      <c r="J780" t="s">
        <v>321</v>
      </c>
      <c r="K780" t="s">
        <v>42</v>
      </c>
      <c r="L780" t="s">
        <v>43</v>
      </c>
      <c r="N780" t="s">
        <v>44</v>
      </c>
      <c r="O780" t="s">
        <v>6185</v>
      </c>
      <c r="Q780">
        <v>31766</v>
      </c>
      <c r="R780" t="s">
        <v>322</v>
      </c>
      <c r="S780" t="s">
        <v>4261</v>
      </c>
      <c r="T780">
        <v>22</v>
      </c>
      <c r="W780" t="s">
        <v>153</v>
      </c>
      <c r="X780">
        <v>110026840</v>
      </c>
      <c r="Y780" t="s">
        <v>750</v>
      </c>
      <c r="Z780" t="s">
        <v>2931</v>
      </c>
      <c r="AA780" s="2" t="s">
        <v>6199</v>
      </c>
      <c r="AB780" t="s">
        <v>548</v>
      </c>
      <c r="AC780" t="s">
        <v>6200</v>
      </c>
      <c r="AG780" t="s">
        <v>6201</v>
      </c>
      <c r="AH780" t="s">
        <v>6202</v>
      </c>
      <c r="AI780" t="s">
        <v>6203</v>
      </c>
    </row>
    <row r="781" spans="2:35" ht="225">
      <c r="B781" s="1">
        <v>45989</v>
      </c>
      <c r="C781" s="1">
        <v>45988</v>
      </c>
      <c r="D781" t="s">
        <v>6204</v>
      </c>
      <c r="E781" t="s">
        <v>5585</v>
      </c>
      <c r="F781" t="s">
        <v>148</v>
      </c>
      <c r="G781" t="s">
        <v>785</v>
      </c>
      <c r="H781" t="s">
        <v>39</v>
      </c>
      <c r="I781" t="s">
        <v>40</v>
      </c>
      <c r="J781" t="s">
        <v>109</v>
      </c>
      <c r="K781" t="s">
        <v>42</v>
      </c>
      <c r="L781" t="s">
        <v>43</v>
      </c>
      <c r="N781" t="s">
        <v>44</v>
      </c>
      <c r="Q781">
        <v>31765</v>
      </c>
      <c r="R781" t="s">
        <v>322</v>
      </c>
      <c r="S781" t="s">
        <v>1688</v>
      </c>
      <c r="T781">
        <v>22</v>
      </c>
      <c r="U781" s="2" t="s">
        <v>6205</v>
      </c>
      <c r="W781" t="s">
        <v>153</v>
      </c>
      <c r="X781">
        <v>110024247</v>
      </c>
      <c r="Y781" t="s">
        <v>121</v>
      </c>
      <c r="Z781" t="s">
        <v>122</v>
      </c>
      <c r="AA781" s="2" t="s">
        <v>547</v>
      </c>
      <c r="AB781" t="s">
        <v>548</v>
      </c>
      <c r="AG781" t="s">
        <v>6206</v>
      </c>
      <c r="AH781" t="s">
        <v>1692</v>
      </c>
      <c r="AI781" t="s">
        <v>6207</v>
      </c>
    </row>
    <row r="782" spans="2:35" ht="195">
      <c r="B782" s="1">
        <v>45989</v>
      </c>
      <c r="C782" s="1">
        <v>45989</v>
      </c>
      <c r="D782" t="s">
        <v>6208</v>
      </c>
      <c r="E782" t="s">
        <v>6209</v>
      </c>
      <c r="F782">
        <v>7</v>
      </c>
      <c r="G782" t="s">
        <v>432</v>
      </c>
      <c r="H782" t="s">
        <v>39</v>
      </c>
      <c r="I782" t="s">
        <v>40</v>
      </c>
      <c r="J782" s="2" t="s">
        <v>6210</v>
      </c>
      <c r="K782" t="s">
        <v>42</v>
      </c>
      <c r="L782" t="s">
        <v>433</v>
      </c>
      <c r="N782" t="s">
        <v>434</v>
      </c>
      <c r="Q782">
        <v>31764</v>
      </c>
      <c r="R782" t="s">
        <v>119</v>
      </c>
      <c r="S782" t="s">
        <v>6211</v>
      </c>
      <c r="T782">
        <v>27</v>
      </c>
      <c r="W782" t="s">
        <v>1008</v>
      </c>
      <c r="X782">
        <v>838534</v>
      </c>
      <c r="Y782" s="2" t="s">
        <v>6212</v>
      </c>
      <c r="Z782" s="2" t="s">
        <v>6213</v>
      </c>
      <c r="AA782" s="2" t="s">
        <v>6213</v>
      </c>
      <c r="AB782" t="s">
        <v>1011</v>
      </c>
      <c r="AG782" t="s">
        <v>6214</v>
      </c>
      <c r="AH782" t="s">
        <v>6215</v>
      </c>
      <c r="AI782" t="s">
        <v>6216</v>
      </c>
    </row>
    <row r="783" spans="2:35" ht="285">
      <c r="B783" s="1">
        <v>45988</v>
      </c>
      <c r="C783" s="1">
        <v>45988</v>
      </c>
      <c r="D783" t="s">
        <v>1026</v>
      </c>
      <c r="E783" t="s">
        <v>1027</v>
      </c>
      <c r="F783" t="s">
        <v>148</v>
      </c>
      <c r="G783" t="s">
        <v>774</v>
      </c>
      <c r="H783" t="s">
        <v>513</v>
      </c>
      <c r="I783" t="s">
        <v>40</v>
      </c>
      <c r="J783" t="s">
        <v>109</v>
      </c>
      <c r="K783" t="s">
        <v>387</v>
      </c>
      <c r="L783" t="s">
        <v>1028</v>
      </c>
      <c r="N783" t="s">
        <v>1029</v>
      </c>
      <c r="O783" t="s">
        <v>3771</v>
      </c>
      <c r="Q783">
        <v>31762</v>
      </c>
      <c r="R783" t="s">
        <v>95</v>
      </c>
      <c r="S783" t="s">
        <v>3772</v>
      </c>
      <c r="T783">
        <v>25</v>
      </c>
      <c r="W783" t="s">
        <v>390</v>
      </c>
      <c r="X783" t="s">
        <v>5184</v>
      </c>
      <c r="Y783" s="2" t="s">
        <v>6217</v>
      </c>
      <c r="Z783" t="s">
        <v>1548</v>
      </c>
      <c r="AA783" s="2" t="s">
        <v>6218</v>
      </c>
      <c r="AB783" s="2" t="s">
        <v>6219</v>
      </c>
      <c r="AG783" t="s">
        <v>6220</v>
      </c>
      <c r="AH783" t="s">
        <v>5190</v>
      </c>
      <c r="AI783" t="s">
        <v>6221</v>
      </c>
    </row>
    <row r="784" spans="2:35" ht="225">
      <c r="B784" s="1">
        <v>45988</v>
      </c>
      <c r="C784" s="1">
        <v>45988</v>
      </c>
      <c r="D784" t="s">
        <v>1026</v>
      </c>
      <c r="E784" t="s">
        <v>1027</v>
      </c>
      <c r="F784" t="s">
        <v>148</v>
      </c>
      <c r="G784" t="s">
        <v>774</v>
      </c>
      <c r="H784" t="s">
        <v>513</v>
      </c>
      <c r="I784" t="s">
        <v>40</v>
      </c>
      <c r="J784" t="s">
        <v>109</v>
      </c>
      <c r="K784" t="s">
        <v>387</v>
      </c>
      <c r="L784" t="s">
        <v>1028</v>
      </c>
      <c r="N784" t="s">
        <v>1029</v>
      </c>
      <c r="O784" t="s">
        <v>3771</v>
      </c>
      <c r="Q784">
        <v>31763</v>
      </c>
      <c r="R784" t="s">
        <v>95</v>
      </c>
      <c r="S784" t="s">
        <v>3772</v>
      </c>
      <c r="T784">
        <v>25</v>
      </c>
      <c r="W784" t="s">
        <v>390</v>
      </c>
      <c r="X784" t="s">
        <v>3773</v>
      </c>
      <c r="Y784" t="s">
        <v>1978</v>
      </c>
      <c r="Z784" t="s">
        <v>1548</v>
      </c>
      <c r="AA784" s="2" t="s">
        <v>6222</v>
      </c>
      <c r="AB784" t="s">
        <v>6223</v>
      </c>
      <c r="AG784" t="s">
        <v>6224</v>
      </c>
      <c r="AH784" t="s">
        <v>5190</v>
      </c>
      <c r="AI784" t="s">
        <v>6225</v>
      </c>
    </row>
    <row r="785" spans="2:35" ht="105">
      <c r="B785" s="1">
        <v>45987</v>
      </c>
      <c r="C785" s="1">
        <v>45987</v>
      </c>
      <c r="D785" t="s">
        <v>6226</v>
      </c>
      <c r="E785" t="s">
        <v>6227</v>
      </c>
      <c r="F785">
        <v>11</v>
      </c>
      <c r="G785" t="s">
        <v>201</v>
      </c>
      <c r="H785" t="s">
        <v>202</v>
      </c>
      <c r="I785" t="s">
        <v>40</v>
      </c>
      <c r="J785" t="s">
        <v>79</v>
      </c>
      <c r="K785" t="s">
        <v>42</v>
      </c>
      <c r="L785" t="s">
        <v>204</v>
      </c>
      <c r="N785" t="s">
        <v>205</v>
      </c>
      <c r="Q785">
        <v>31761</v>
      </c>
      <c r="R785" t="s">
        <v>119</v>
      </c>
      <c r="S785" t="s">
        <v>6228</v>
      </c>
      <c r="T785">
        <v>25.7</v>
      </c>
      <c r="U785" s="2" t="s">
        <v>2160</v>
      </c>
      <c r="W785" t="s">
        <v>208</v>
      </c>
      <c r="X785">
        <v>838395</v>
      </c>
      <c r="Y785" t="s">
        <v>6229</v>
      </c>
      <c r="Z785" t="s">
        <v>6230</v>
      </c>
      <c r="AA785" t="s">
        <v>6231</v>
      </c>
      <c r="AB785" t="s">
        <v>6232</v>
      </c>
      <c r="AG785" t="s">
        <v>6233</v>
      </c>
      <c r="AH785" t="s">
        <v>6234</v>
      </c>
      <c r="AI785" t="s">
        <v>6235</v>
      </c>
    </row>
    <row r="786" spans="2:35">
      <c r="B786" s="1">
        <v>45987</v>
      </c>
      <c r="C786" s="1">
        <v>45981</v>
      </c>
      <c r="D786" t="s">
        <v>2620</v>
      </c>
      <c r="E786" t="s">
        <v>2621</v>
      </c>
      <c r="F786">
        <v>1</v>
      </c>
      <c r="G786" t="s">
        <v>1046</v>
      </c>
      <c r="H786" t="s">
        <v>39</v>
      </c>
      <c r="I786" t="s">
        <v>40</v>
      </c>
      <c r="J786" t="s">
        <v>6236</v>
      </c>
      <c r="K786" t="s">
        <v>42</v>
      </c>
      <c r="L786" t="s">
        <v>1048</v>
      </c>
      <c r="N786" t="s">
        <v>1049</v>
      </c>
      <c r="Q786">
        <v>31760</v>
      </c>
      <c r="R786" t="s">
        <v>967</v>
      </c>
      <c r="S786" t="s">
        <v>2622</v>
      </c>
      <c r="T786">
        <v>26</v>
      </c>
      <c r="W786" t="s">
        <v>1424</v>
      </c>
      <c r="X786">
        <v>110023501</v>
      </c>
      <c r="Y786" t="s">
        <v>6237</v>
      </c>
      <c r="Z786" t="s">
        <v>6238</v>
      </c>
      <c r="AA786" t="s">
        <v>6238</v>
      </c>
      <c r="AB786" t="s">
        <v>1428</v>
      </c>
      <c r="AG786" t="s">
        <v>6239</v>
      </c>
      <c r="AH786" t="s">
        <v>2624</v>
      </c>
      <c r="AI786" t="s">
        <v>6240</v>
      </c>
    </row>
    <row r="787" spans="2:35" ht="105">
      <c r="B787" s="1">
        <v>45987</v>
      </c>
      <c r="C787" s="1">
        <v>45980</v>
      </c>
      <c r="D787" t="s">
        <v>1057</v>
      </c>
      <c r="E787" t="s">
        <v>1058</v>
      </c>
      <c r="F787">
        <v>1</v>
      </c>
      <c r="G787" t="s">
        <v>1046</v>
      </c>
      <c r="H787" t="s">
        <v>39</v>
      </c>
      <c r="I787" t="s">
        <v>40</v>
      </c>
      <c r="J787" t="s">
        <v>109</v>
      </c>
      <c r="K787" t="s">
        <v>42</v>
      </c>
      <c r="L787" t="s">
        <v>1048</v>
      </c>
      <c r="N787" t="s">
        <v>1049</v>
      </c>
      <c r="Q787">
        <v>31759</v>
      </c>
      <c r="R787" t="s">
        <v>95</v>
      </c>
      <c r="S787" t="s">
        <v>1059</v>
      </c>
      <c r="T787">
        <v>30</v>
      </c>
      <c r="W787" t="s">
        <v>1060</v>
      </c>
      <c r="X787">
        <v>820303</v>
      </c>
      <c r="Y787" t="s">
        <v>1052</v>
      </c>
      <c r="Z787" t="e">
        <f ca="1">- cleaned cartridge Bays, plunger Rods _xludf.and I-CORE
- generated reports</f>
        <v>#NAME?</v>
      </c>
      <c r="AA787" t="s">
        <v>820</v>
      </c>
      <c r="AB787" s="2" t="s">
        <v>6241</v>
      </c>
      <c r="AG787" t="s">
        <v>6242</v>
      </c>
      <c r="AH787" t="s">
        <v>3393</v>
      </c>
      <c r="AI787" t="s">
        <v>6243</v>
      </c>
    </row>
    <row r="788" spans="2:35" ht="105">
      <c r="B788" s="1">
        <v>45987</v>
      </c>
      <c r="C788" s="1">
        <v>45980</v>
      </c>
      <c r="D788" t="s">
        <v>1057</v>
      </c>
      <c r="E788" t="s">
        <v>1058</v>
      </c>
      <c r="F788">
        <v>1</v>
      </c>
      <c r="G788" t="s">
        <v>1046</v>
      </c>
      <c r="H788" t="s">
        <v>39</v>
      </c>
      <c r="I788" t="s">
        <v>40</v>
      </c>
      <c r="J788" t="s">
        <v>109</v>
      </c>
      <c r="K788" t="s">
        <v>42</v>
      </c>
      <c r="L788" t="s">
        <v>1048</v>
      </c>
      <c r="N788" t="s">
        <v>1049</v>
      </c>
      <c r="Q788">
        <v>31758</v>
      </c>
      <c r="R788" t="s">
        <v>95</v>
      </c>
      <c r="S788" t="s">
        <v>1059</v>
      </c>
      <c r="T788">
        <v>30</v>
      </c>
      <c r="W788" t="s">
        <v>1060</v>
      </c>
      <c r="X788">
        <v>820303</v>
      </c>
      <c r="Y788" t="s">
        <v>1052</v>
      </c>
      <c r="Z788" t="e">
        <f ca="1">- cleaned cartridge Bays, plunger Rods _xludf.and I-CORE
- generated reports</f>
        <v>#NAME?</v>
      </c>
      <c r="AA788" t="s">
        <v>820</v>
      </c>
      <c r="AB788" s="2" t="s">
        <v>6241</v>
      </c>
      <c r="AG788" t="s">
        <v>6244</v>
      </c>
      <c r="AH788" t="s">
        <v>3393</v>
      </c>
      <c r="AI788" t="s">
        <v>6245</v>
      </c>
    </row>
    <row r="789" spans="2:35" ht="225">
      <c r="B789" s="1">
        <v>45986</v>
      </c>
      <c r="C789" s="1">
        <v>45986</v>
      </c>
      <c r="D789" t="s">
        <v>1678</v>
      </c>
      <c r="E789" t="s">
        <v>6085</v>
      </c>
      <c r="F789" t="s">
        <v>148</v>
      </c>
      <c r="G789" t="s">
        <v>785</v>
      </c>
      <c r="H789" t="s">
        <v>39</v>
      </c>
      <c r="I789" t="s">
        <v>40</v>
      </c>
      <c r="J789" t="s">
        <v>109</v>
      </c>
      <c r="K789" t="s">
        <v>42</v>
      </c>
      <c r="L789" t="s">
        <v>43</v>
      </c>
      <c r="N789" t="s">
        <v>44</v>
      </c>
      <c r="O789" t="s">
        <v>1680</v>
      </c>
      <c r="Q789">
        <v>31757</v>
      </c>
      <c r="R789" t="s">
        <v>322</v>
      </c>
      <c r="S789" t="s">
        <v>1680</v>
      </c>
      <c r="T789">
        <v>22</v>
      </c>
      <c r="U789" s="2" t="s">
        <v>6086</v>
      </c>
      <c r="W789" t="s">
        <v>153</v>
      </c>
      <c r="X789">
        <v>110024246</v>
      </c>
      <c r="Y789" t="s">
        <v>121</v>
      </c>
      <c r="Z789" t="s">
        <v>122</v>
      </c>
      <c r="AA789" s="2" t="s">
        <v>547</v>
      </c>
      <c r="AB789" t="s">
        <v>548</v>
      </c>
      <c r="AG789" t="s">
        <v>6246</v>
      </c>
      <c r="AH789" t="s">
        <v>1684</v>
      </c>
      <c r="AI789" t="s">
        <v>6247</v>
      </c>
    </row>
    <row r="790" spans="2:35" ht="270">
      <c r="B790" s="1">
        <v>45986</v>
      </c>
      <c r="C790" s="1">
        <v>45986</v>
      </c>
      <c r="D790" t="s">
        <v>4765</v>
      </c>
      <c r="E790" t="s">
        <v>6077</v>
      </c>
      <c r="F790" t="s">
        <v>148</v>
      </c>
      <c r="G790" t="s">
        <v>785</v>
      </c>
      <c r="H790" t="s">
        <v>39</v>
      </c>
      <c r="I790" t="s">
        <v>40</v>
      </c>
      <c r="J790" t="s">
        <v>109</v>
      </c>
      <c r="K790" t="s">
        <v>42</v>
      </c>
      <c r="L790" t="s">
        <v>43</v>
      </c>
      <c r="N790" t="s">
        <v>44</v>
      </c>
      <c r="Q790">
        <v>31756</v>
      </c>
      <c r="R790" t="s">
        <v>322</v>
      </c>
      <c r="S790" t="s">
        <v>4704</v>
      </c>
      <c r="T790">
        <v>25</v>
      </c>
      <c r="U790" s="2" t="s">
        <v>6078</v>
      </c>
      <c r="W790" t="s">
        <v>153</v>
      </c>
      <c r="X790">
        <v>110024245</v>
      </c>
      <c r="Y790" t="s">
        <v>6079</v>
      </c>
      <c r="Z790" s="2" t="s">
        <v>6080</v>
      </c>
      <c r="AA790" s="2" t="s">
        <v>6081</v>
      </c>
      <c r="AB790" t="s">
        <v>6082</v>
      </c>
      <c r="AG790" t="s">
        <v>6248</v>
      </c>
      <c r="AH790" t="s">
        <v>4773</v>
      </c>
      <c r="AI790" t="s">
        <v>6249</v>
      </c>
    </row>
    <row r="791" spans="2:35" ht="120">
      <c r="B791" s="1">
        <v>45986</v>
      </c>
      <c r="C791" s="1">
        <v>45986</v>
      </c>
      <c r="D791" t="s">
        <v>1071</v>
      </c>
      <c r="E791" t="s">
        <v>6250</v>
      </c>
      <c r="F791">
        <v>7</v>
      </c>
      <c r="G791" t="s">
        <v>432</v>
      </c>
      <c r="H791" t="s">
        <v>2274</v>
      </c>
      <c r="I791" t="s">
        <v>94</v>
      </c>
      <c r="J791" t="s">
        <v>79</v>
      </c>
      <c r="K791" t="s">
        <v>387</v>
      </c>
      <c r="L791" t="s">
        <v>594</v>
      </c>
      <c r="N791" t="s">
        <v>595</v>
      </c>
      <c r="O791" t="s">
        <v>595</v>
      </c>
      <c r="Q791">
        <v>31755</v>
      </c>
      <c r="R791" t="s">
        <v>95</v>
      </c>
      <c r="S791" t="s">
        <v>1073</v>
      </c>
      <c r="T791">
        <v>23</v>
      </c>
      <c r="W791" t="s">
        <v>436</v>
      </c>
      <c r="X791" t="s">
        <v>4779</v>
      </c>
      <c r="Y791" t="s">
        <v>6251</v>
      </c>
      <c r="Z791" t="s">
        <v>6252</v>
      </c>
      <c r="AA791" s="2" t="s">
        <v>6253</v>
      </c>
      <c r="AB791" t="s">
        <v>6254</v>
      </c>
      <c r="AG791" t="s">
        <v>6255</v>
      </c>
      <c r="AH791" t="s">
        <v>6256</v>
      </c>
      <c r="AI791" t="s">
        <v>6257</v>
      </c>
    </row>
    <row r="792" spans="2:35" ht="105">
      <c r="B792" s="1">
        <v>45985</v>
      </c>
      <c r="C792" s="1">
        <v>45985</v>
      </c>
      <c r="D792" t="s">
        <v>1855</v>
      </c>
      <c r="E792" t="s">
        <v>6258</v>
      </c>
      <c r="F792" t="s">
        <v>148</v>
      </c>
      <c r="G792" t="s">
        <v>447</v>
      </c>
      <c r="H792" t="s">
        <v>1855</v>
      </c>
      <c r="I792" t="s">
        <v>40</v>
      </c>
      <c r="J792" t="s">
        <v>6259</v>
      </c>
      <c r="K792" t="s">
        <v>387</v>
      </c>
      <c r="L792" t="s">
        <v>448</v>
      </c>
      <c r="N792" t="s">
        <v>650</v>
      </c>
      <c r="O792" t="s">
        <v>650</v>
      </c>
      <c r="Q792">
        <v>31754</v>
      </c>
      <c r="R792" t="s">
        <v>322</v>
      </c>
      <c r="S792" t="s">
        <v>650</v>
      </c>
      <c r="T792">
        <v>26</v>
      </c>
      <c r="W792" t="s">
        <v>476</v>
      </c>
      <c r="X792" t="s">
        <v>5751</v>
      </c>
      <c r="Y792" t="s">
        <v>6260</v>
      </c>
      <c r="Z792" s="2" t="s">
        <v>6261</v>
      </c>
      <c r="AA792" t="s">
        <v>6262</v>
      </c>
      <c r="AB792" t="s">
        <v>6263</v>
      </c>
      <c r="AG792" t="s">
        <v>6264</v>
      </c>
      <c r="AH792" t="s">
        <v>1855</v>
      </c>
      <c r="AI792" t="s">
        <v>6265</v>
      </c>
    </row>
    <row r="793" spans="2:35" ht="390">
      <c r="B793" s="1">
        <v>45985</v>
      </c>
      <c r="C793" s="1">
        <v>45979</v>
      </c>
      <c r="D793" t="s">
        <v>6266</v>
      </c>
      <c r="E793" t="s">
        <v>2797</v>
      </c>
      <c r="F793">
        <v>12</v>
      </c>
      <c r="G793" t="s">
        <v>978</v>
      </c>
      <c r="H793" t="s">
        <v>150</v>
      </c>
      <c r="I793" t="s">
        <v>40</v>
      </c>
      <c r="J793" t="s">
        <v>109</v>
      </c>
      <c r="K793" t="s">
        <v>42</v>
      </c>
      <c r="L793" t="s">
        <v>296</v>
      </c>
      <c r="N793" t="s">
        <v>297</v>
      </c>
      <c r="O793" t="s">
        <v>5043</v>
      </c>
      <c r="Q793">
        <v>31753</v>
      </c>
      <c r="R793" t="s">
        <v>95</v>
      </c>
      <c r="S793" t="s">
        <v>6267</v>
      </c>
      <c r="T793">
        <v>24.7</v>
      </c>
      <c r="U793" s="2" t="s">
        <v>6268</v>
      </c>
      <c r="W793" t="s">
        <v>981</v>
      </c>
      <c r="X793">
        <v>831313</v>
      </c>
      <c r="Y793" t="s">
        <v>5045</v>
      </c>
      <c r="Z793" s="2" t="s">
        <v>6269</v>
      </c>
      <c r="AA793" t="s">
        <v>303</v>
      </c>
      <c r="AB793" t="s">
        <v>6270</v>
      </c>
      <c r="AG793" t="s">
        <v>6271</v>
      </c>
      <c r="AH793" t="s">
        <v>6272</v>
      </c>
      <c r="AI793" t="s">
        <v>6273</v>
      </c>
    </row>
    <row r="794" spans="2:35" ht="300">
      <c r="B794" s="1">
        <v>45985</v>
      </c>
      <c r="C794" s="1">
        <v>45985</v>
      </c>
      <c r="D794" t="s">
        <v>6274</v>
      </c>
      <c r="E794" t="s">
        <v>6275</v>
      </c>
      <c r="F794" t="s">
        <v>148</v>
      </c>
      <c r="G794" t="s">
        <v>447</v>
      </c>
      <c r="H794" t="s">
        <v>39</v>
      </c>
      <c r="I794" t="s">
        <v>40</v>
      </c>
      <c r="J794" s="2" t="s">
        <v>62</v>
      </c>
      <c r="K794" t="s">
        <v>408</v>
      </c>
      <c r="L794" t="s">
        <v>448</v>
      </c>
      <c r="N794" t="s">
        <v>450</v>
      </c>
      <c r="O794" t="s">
        <v>450</v>
      </c>
      <c r="P794" t="s">
        <v>6276</v>
      </c>
      <c r="Q794">
        <v>31752</v>
      </c>
      <c r="R794" t="s">
        <v>95</v>
      </c>
      <c r="S794" t="s">
        <v>650</v>
      </c>
      <c r="T794">
        <v>26</v>
      </c>
      <c r="W794" t="s">
        <v>6277</v>
      </c>
      <c r="X794">
        <v>1101816</v>
      </c>
      <c r="Y794" t="s">
        <v>4143</v>
      </c>
      <c r="Z794" s="2" t="s">
        <v>6278</v>
      </c>
      <c r="AA794" t="s">
        <v>6279</v>
      </c>
      <c r="AB794" t="s">
        <v>486</v>
      </c>
      <c r="AG794" t="s">
        <v>6280</v>
      </c>
      <c r="AH794" t="s">
        <v>449</v>
      </c>
      <c r="AI794" t="s">
        <v>6281</v>
      </c>
    </row>
    <row r="795" spans="2:35" ht="315">
      <c r="B795" s="1">
        <v>45985</v>
      </c>
      <c r="C795" s="1">
        <v>45985</v>
      </c>
      <c r="D795" t="s">
        <v>6274</v>
      </c>
      <c r="E795" t="s">
        <v>6275</v>
      </c>
      <c r="F795" t="s">
        <v>148</v>
      </c>
      <c r="G795" t="s">
        <v>447</v>
      </c>
      <c r="H795" t="s">
        <v>39</v>
      </c>
      <c r="I795" t="s">
        <v>40</v>
      </c>
      <c r="J795" s="2" t="s">
        <v>62</v>
      </c>
      <c r="K795" t="s">
        <v>408</v>
      </c>
      <c r="L795" t="s">
        <v>448</v>
      </c>
      <c r="N795" t="s">
        <v>450</v>
      </c>
      <c r="O795" t="s">
        <v>450</v>
      </c>
      <c r="P795" t="s">
        <v>6276</v>
      </c>
      <c r="Q795">
        <v>31751</v>
      </c>
      <c r="R795" t="s">
        <v>95</v>
      </c>
      <c r="S795" t="s">
        <v>650</v>
      </c>
      <c r="T795">
        <v>26</v>
      </c>
      <c r="W795" t="s">
        <v>6282</v>
      </c>
      <c r="X795">
        <v>118129</v>
      </c>
      <c r="Y795" t="s">
        <v>4143</v>
      </c>
      <c r="Z795" s="2" t="s">
        <v>6283</v>
      </c>
      <c r="AA795" t="s">
        <v>6279</v>
      </c>
      <c r="AB795" t="s">
        <v>486</v>
      </c>
      <c r="AG795" t="s">
        <v>6284</v>
      </c>
      <c r="AH795" t="s">
        <v>6285</v>
      </c>
      <c r="AI795" t="s">
        <v>6286</v>
      </c>
    </row>
    <row r="796" spans="2:35" ht="315">
      <c r="B796" s="1">
        <v>45985</v>
      </c>
      <c r="C796" s="1">
        <v>45985</v>
      </c>
      <c r="D796" t="s">
        <v>6274</v>
      </c>
      <c r="E796" t="s">
        <v>6275</v>
      </c>
      <c r="F796" t="s">
        <v>148</v>
      </c>
      <c r="G796" t="s">
        <v>447</v>
      </c>
      <c r="H796" t="s">
        <v>39</v>
      </c>
      <c r="I796" t="s">
        <v>40</v>
      </c>
      <c r="J796" s="2" t="s">
        <v>62</v>
      </c>
      <c r="K796" t="s">
        <v>408</v>
      </c>
      <c r="L796" t="s">
        <v>448</v>
      </c>
      <c r="N796" t="s">
        <v>450</v>
      </c>
      <c r="O796" t="s">
        <v>450</v>
      </c>
      <c r="P796" t="s">
        <v>6276</v>
      </c>
      <c r="Q796">
        <v>31750</v>
      </c>
      <c r="R796" t="s">
        <v>95</v>
      </c>
      <c r="S796" t="s">
        <v>650</v>
      </c>
      <c r="T796">
        <v>26</v>
      </c>
      <c r="W796" t="s">
        <v>6287</v>
      </c>
      <c r="X796">
        <v>153394</v>
      </c>
      <c r="Y796" t="s">
        <v>4143</v>
      </c>
      <c r="Z796" s="2" t="s">
        <v>6283</v>
      </c>
      <c r="AA796" t="s">
        <v>6279</v>
      </c>
      <c r="AB796" t="s">
        <v>486</v>
      </c>
      <c r="AG796" t="s">
        <v>6288</v>
      </c>
      <c r="AH796" t="s">
        <v>6285</v>
      </c>
      <c r="AI796" t="s">
        <v>6289</v>
      </c>
    </row>
    <row r="797" spans="2:35" ht="409.5">
      <c r="B797" s="1">
        <v>45985</v>
      </c>
      <c r="C797" s="1">
        <v>45981</v>
      </c>
      <c r="D797" t="s">
        <v>4118</v>
      </c>
      <c r="E797" t="s">
        <v>6290</v>
      </c>
      <c r="F797">
        <v>5</v>
      </c>
      <c r="G797" t="s">
        <v>759</v>
      </c>
      <c r="H797" t="s">
        <v>39</v>
      </c>
      <c r="I797" t="s">
        <v>94</v>
      </c>
      <c r="J797" t="s">
        <v>109</v>
      </c>
      <c r="K797" t="s">
        <v>42</v>
      </c>
      <c r="L797" t="s">
        <v>761</v>
      </c>
      <c r="N797" t="s">
        <v>762</v>
      </c>
      <c r="Q797">
        <v>31749</v>
      </c>
      <c r="R797" t="s">
        <v>95</v>
      </c>
      <c r="S797" t="s">
        <v>6291</v>
      </c>
      <c r="T797">
        <v>29</v>
      </c>
      <c r="U797" s="2" t="s">
        <v>6292</v>
      </c>
      <c r="W797" t="s">
        <v>817</v>
      </c>
      <c r="X797">
        <v>110017942</v>
      </c>
      <c r="Y797" t="s">
        <v>818</v>
      </c>
      <c r="Z797" s="2" t="s">
        <v>6293</v>
      </c>
      <c r="AA797" t="s">
        <v>820</v>
      </c>
      <c r="AB797" t="s">
        <v>70</v>
      </c>
      <c r="AG797" t="s">
        <v>6294</v>
      </c>
      <c r="AH797" t="s">
        <v>6295</v>
      </c>
      <c r="AI797" t="s">
        <v>6296</v>
      </c>
    </row>
    <row r="798" spans="2:35" ht="165">
      <c r="B798" s="1">
        <v>45985</v>
      </c>
      <c r="C798" s="1">
        <v>45985</v>
      </c>
      <c r="D798" t="s">
        <v>6297</v>
      </c>
      <c r="E798" t="s">
        <v>1555</v>
      </c>
      <c r="F798">
        <v>7</v>
      </c>
      <c r="G798" t="s">
        <v>432</v>
      </c>
      <c r="H798" t="s">
        <v>513</v>
      </c>
      <c r="I798" t="s">
        <v>40</v>
      </c>
      <c r="J798" s="2" t="s">
        <v>6298</v>
      </c>
      <c r="K798" t="s">
        <v>387</v>
      </c>
      <c r="L798" t="s">
        <v>1288</v>
      </c>
      <c r="N798" t="s">
        <v>1289</v>
      </c>
      <c r="Q798">
        <v>31748</v>
      </c>
      <c r="R798" t="s">
        <v>322</v>
      </c>
      <c r="S798" t="s">
        <v>6299</v>
      </c>
      <c r="T798">
        <v>22</v>
      </c>
      <c r="V798" s="1">
        <v>45985</v>
      </c>
      <c r="W798" t="s">
        <v>390</v>
      </c>
      <c r="X798" t="s">
        <v>5453</v>
      </c>
      <c r="Y798" t="s">
        <v>6300</v>
      </c>
      <c r="Z798" t="e">
        <f ca="1">-COLLECT MCS Data</f>
        <v>#NAME?</v>
      </c>
      <c r="AA798" s="2" t="s">
        <v>6301</v>
      </c>
      <c r="AB798" t="s">
        <v>1293</v>
      </c>
      <c r="AE798">
        <v>5462</v>
      </c>
      <c r="AG798" t="s">
        <v>6302</v>
      </c>
      <c r="AH798" t="s">
        <v>6303</v>
      </c>
      <c r="AI798" t="s">
        <v>6304</v>
      </c>
    </row>
    <row r="799" spans="2:35" ht="409.5">
      <c r="B799" s="1">
        <v>45984</v>
      </c>
      <c r="C799" s="1">
        <v>45984</v>
      </c>
      <c r="D799" t="s">
        <v>6305</v>
      </c>
      <c r="E799" t="s">
        <v>582</v>
      </c>
      <c r="F799" t="s">
        <v>148</v>
      </c>
      <c r="G799" t="s">
        <v>447</v>
      </c>
      <c r="H799" t="s">
        <v>150</v>
      </c>
      <c r="I799" t="s">
        <v>40</v>
      </c>
      <c r="J799" t="s">
        <v>525</v>
      </c>
      <c r="K799" t="s">
        <v>42</v>
      </c>
      <c r="L799" t="s">
        <v>175</v>
      </c>
      <c r="N799" t="s">
        <v>176</v>
      </c>
      <c r="O799" t="s">
        <v>2808</v>
      </c>
      <c r="Q799">
        <v>31747</v>
      </c>
      <c r="R799" t="s">
        <v>322</v>
      </c>
      <c r="S799" t="s">
        <v>2809</v>
      </c>
      <c r="T799">
        <v>27</v>
      </c>
      <c r="W799" t="s">
        <v>84</v>
      </c>
      <c r="X799">
        <v>839234</v>
      </c>
      <c r="Y799" t="s">
        <v>6306</v>
      </c>
      <c r="Z799" t="s">
        <v>6307</v>
      </c>
      <c r="AA799" s="2" t="s">
        <v>6308</v>
      </c>
      <c r="AB799" s="2" t="s">
        <v>6309</v>
      </c>
      <c r="AG799" t="s">
        <v>6310</v>
      </c>
      <c r="AH799" t="s">
        <v>6311</v>
      </c>
      <c r="AI799" t="s">
        <v>6312</v>
      </c>
    </row>
    <row r="800" spans="2:35" ht="90">
      <c r="B800" s="1">
        <v>45983</v>
      </c>
      <c r="C800" s="1">
        <v>45983</v>
      </c>
      <c r="D800" t="s">
        <v>1203</v>
      </c>
      <c r="E800" t="s">
        <v>6313</v>
      </c>
      <c r="F800">
        <v>11</v>
      </c>
      <c r="G800" t="s">
        <v>1205</v>
      </c>
      <c r="H800" t="s">
        <v>6314</v>
      </c>
      <c r="I800" t="s">
        <v>40</v>
      </c>
      <c r="J800" s="2" t="s">
        <v>355</v>
      </c>
      <c r="K800" t="s">
        <v>387</v>
      </c>
      <c r="L800" t="s">
        <v>204</v>
      </c>
      <c r="N800" t="s">
        <v>205</v>
      </c>
      <c r="O800" t="s">
        <v>2867</v>
      </c>
      <c r="Q800">
        <v>31746</v>
      </c>
      <c r="R800" t="s">
        <v>95</v>
      </c>
      <c r="S800" t="s">
        <v>6315</v>
      </c>
      <c r="T800">
        <v>22.5</v>
      </c>
      <c r="W800" t="s">
        <v>390</v>
      </c>
      <c r="X800" t="s">
        <v>6316</v>
      </c>
      <c r="Y800" t="s">
        <v>6317</v>
      </c>
      <c r="Z800" t="s">
        <v>6318</v>
      </c>
      <c r="AA800" t="s">
        <v>6319</v>
      </c>
      <c r="AB800" t="s">
        <v>6320</v>
      </c>
      <c r="AG800" t="s">
        <v>6321</v>
      </c>
      <c r="AH800" t="s">
        <v>6322</v>
      </c>
      <c r="AI800" t="s">
        <v>6323</v>
      </c>
    </row>
    <row r="801" spans="2:35" ht="75">
      <c r="B801" s="1">
        <v>45983</v>
      </c>
      <c r="C801" s="1">
        <v>45983</v>
      </c>
      <c r="D801" t="s">
        <v>146</v>
      </c>
      <c r="E801" t="s">
        <v>6324</v>
      </c>
      <c r="F801" t="s">
        <v>148</v>
      </c>
      <c r="G801" t="s">
        <v>149</v>
      </c>
      <c r="H801" t="s">
        <v>513</v>
      </c>
      <c r="I801" t="s">
        <v>40</v>
      </c>
      <c r="J801" s="2" t="s">
        <v>190</v>
      </c>
      <c r="K801" t="s">
        <v>387</v>
      </c>
      <c r="L801" t="s">
        <v>175</v>
      </c>
      <c r="N801" t="s">
        <v>176</v>
      </c>
      <c r="Q801">
        <v>31745</v>
      </c>
      <c r="R801" t="s">
        <v>322</v>
      </c>
      <c r="S801" t="s">
        <v>6325</v>
      </c>
      <c r="T801">
        <v>27</v>
      </c>
      <c r="W801" t="s">
        <v>390</v>
      </c>
      <c r="X801" t="s">
        <v>391</v>
      </c>
      <c r="Y801" t="s">
        <v>6326</v>
      </c>
      <c r="Z801" t="s">
        <v>103</v>
      </c>
      <c r="AA801" t="e">
        <f ca="1">- checked centrifuge lock
- checked rotor roller pumps
- checked CALIBRATION parameters
- performed self test</f>
        <v>#NAME?</v>
      </c>
      <c r="AB801" t="s">
        <v>181</v>
      </c>
      <c r="AG801" t="s">
        <v>6327</v>
      </c>
      <c r="AH801" t="s">
        <v>6328</v>
      </c>
      <c r="AI801" t="s">
        <v>6329</v>
      </c>
    </row>
    <row r="802" spans="2:35" ht="225">
      <c r="B802" s="1">
        <v>45983</v>
      </c>
      <c r="C802" s="1">
        <v>45982</v>
      </c>
      <c r="D802" t="s">
        <v>472</v>
      </c>
      <c r="E802" t="s">
        <v>473</v>
      </c>
      <c r="F802" t="s">
        <v>148</v>
      </c>
      <c r="G802" t="s">
        <v>447</v>
      </c>
      <c r="H802" t="s">
        <v>4614</v>
      </c>
      <c r="I802" t="s">
        <v>40</v>
      </c>
      <c r="J802" t="s">
        <v>321</v>
      </c>
      <c r="K802" t="s">
        <v>387</v>
      </c>
      <c r="L802" t="s">
        <v>448</v>
      </c>
      <c r="N802" t="s">
        <v>650</v>
      </c>
      <c r="O802" t="s">
        <v>6330</v>
      </c>
      <c r="Q802">
        <v>31744</v>
      </c>
      <c r="R802" t="s">
        <v>322</v>
      </c>
      <c r="S802" t="s">
        <v>6331</v>
      </c>
      <c r="T802">
        <v>26</v>
      </c>
      <c r="W802" t="s">
        <v>476</v>
      </c>
      <c r="X802" t="s">
        <v>484</v>
      </c>
      <c r="Y802" t="s">
        <v>750</v>
      </c>
      <c r="Z802" s="2" t="s">
        <v>6332</v>
      </c>
      <c r="AA802" t="s">
        <v>2593</v>
      </c>
      <c r="AB802" t="s">
        <v>486</v>
      </c>
      <c r="AG802" t="s">
        <v>6333</v>
      </c>
      <c r="AH802" t="s">
        <v>6334</v>
      </c>
      <c r="AI802" t="s">
        <v>6335</v>
      </c>
    </row>
    <row r="803" spans="2:35" ht="225">
      <c r="B803" s="1">
        <v>45983</v>
      </c>
      <c r="C803" s="1">
        <v>45982</v>
      </c>
      <c r="D803" t="s">
        <v>472</v>
      </c>
      <c r="E803" t="s">
        <v>6336</v>
      </c>
      <c r="F803" t="s">
        <v>148</v>
      </c>
      <c r="G803" t="s">
        <v>447</v>
      </c>
      <c r="H803" t="s">
        <v>6337</v>
      </c>
      <c r="I803" t="s">
        <v>40</v>
      </c>
      <c r="J803" t="s">
        <v>321</v>
      </c>
      <c r="K803" t="s">
        <v>387</v>
      </c>
      <c r="L803" t="s">
        <v>448</v>
      </c>
      <c r="N803" t="s">
        <v>450</v>
      </c>
      <c r="O803" t="s">
        <v>6330</v>
      </c>
      <c r="Q803">
        <v>31743</v>
      </c>
      <c r="R803" t="s">
        <v>322</v>
      </c>
      <c r="S803" t="s">
        <v>6331</v>
      </c>
      <c r="T803">
        <v>26</v>
      </c>
      <c r="W803" t="s">
        <v>476</v>
      </c>
      <c r="X803" t="s">
        <v>489</v>
      </c>
      <c r="Y803" t="s">
        <v>750</v>
      </c>
      <c r="Z803" s="2" t="s">
        <v>6338</v>
      </c>
      <c r="AA803" t="s">
        <v>2593</v>
      </c>
      <c r="AB803" t="s">
        <v>486</v>
      </c>
      <c r="AG803" t="s">
        <v>6339</v>
      </c>
      <c r="AH803" t="s">
        <v>6334</v>
      </c>
      <c r="AI803" t="s">
        <v>6340</v>
      </c>
    </row>
    <row r="804" spans="2:35" ht="180">
      <c r="B804" s="1">
        <v>45983</v>
      </c>
      <c r="C804" s="1">
        <v>45982</v>
      </c>
      <c r="D804" t="s">
        <v>1145</v>
      </c>
      <c r="E804" t="s">
        <v>473</v>
      </c>
      <c r="F804" t="s">
        <v>148</v>
      </c>
      <c r="G804" t="s">
        <v>447</v>
      </c>
      <c r="H804" t="s">
        <v>662</v>
      </c>
      <c r="I804" t="s">
        <v>40</v>
      </c>
      <c r="J804" t="s">
        <v>109</v>
      </c>
      <c r="K804" t="s">
        <v>42</v>
      </c>
      <c r="L804" t="s">
        <v>448</v>
      </c>
      <c r="N804" t="s">
        <v>650</v>
      </c>
      <c r="Q804">
        <v>31742</v>
      </c>
      <c r="R804" t="s">
        <v>95</v>
      </c>
      <c r="S804" t="s">
        <v>6341</v>
      </c>
      <c r="T804">
        <v>22</v>
      </c>
      <c r="W804" t="s">
        <v>1139</v>
      </c>
      <c r="X804">
        <v>804205</v>
      </c>
      <c r="Y804" s="2" t="s">
        <v>6342</v>
      </c>
      <c r="Z804" s="2" t="s">
        <v>2011</v>
      </c>
      <c r="AA804" t="s">
        <v>122</v>
      </c>
      <c r="AB804" s="2" t="s">
        <v>6343</v>
      </c>
      <c r="AG804" t="s">
        <v>6344</v>
      </c>
      <c r="AH804" t="s">
        <v>6345</v>
      </c>
      <c r="AI804" t="s">
        <v>6346</v>
      </c>
    </row>
    <row r="805" spans="2:35">
      <c r="B805" s="1">
        <v>45982</v>
      </c>
      <c r="C805" s="1">
        <v>46091</v>
      </c>
      <c r="D805" t="s">
        <v>6347</v>
      </c>
      <c r="E805" t="s">
        <v>229</v>
      </c>
      <c r="F805" t="s">
        <v>148</v>
      </c>
      <c r="G805" t="s">
        <v>230</v>
      </c>
      <c r="H805" t="s">
        <v>39</v>
      </c>
      <c r="I805" t="s">
        <v>40</v>
      </c>
      <c r="J805" t="s">
        <v>109</v>
      </c>
      <c r="K805" t="s">
        <v>42</v>
      </c>
      <c r="L805" t="s">
        <v>175</v>
      </c>
      <c r="M805" t="s">
        <v>449</v>
      </c>
      <c r="N805" t="s">
        <v>176</v>
      </c>
      <c r="Q805">
        <v>31741</v>
      </c>
      <c r="R805" t="s">
        <v>703</v>
      </c>
      <c r="S805" t="s">
        <v>176</v>
      </c>
      <c r="T805">
        <v>26</v>
      </c>
      <c r="W805" t="s">
        <v>84</v>
      </c>
      <c r="X805">
        <v>835600</v>
      </c>
      <c r="Y805" t="s">
        <v>374</v>
      </c>
      <c r="Z805" t="s">
        <v>6348</v>
      </c>
      <c r="AA805" t="e">
        <f ca="1">- checked _xludf.and cleaned cartridge bay, plunger rod, _xludf.filter
- generated reports
- performed self test</f>
        <v>#NAME?</v>
      </c>
      <c r="AB805" t="s">
        <v>181</v>
      </c>
      <c r="AG805" t="s">
        <v>6349</v>
      </c>
      <c r="AH805" t="s">
        <v>449</v>
      </c>
      <c r="AI805" t="s">
        <v>6350</v>
      </c>
    </row>
    <row r="806" spans="2:35" ht="225">
      <c r="B806" s="1">
        <v>45982</v>
      </c>
      <c r="C806" s="1">
        <v>45982</v>
      </c>
      <c r="D806" t="s">
        <v>2264</v>
      </c>
      <c r="E806" t="s">
        <v>5505</v>
      </c>
      <c r="F806" t="s">
        <v>148</v>
      </c>
      <c r="G806" t="s">
        <v>2007</v>
      </c>
      <c r="H806" t="s">
        <v>39</v>
      </c>
      <c r="I806" t="s">
        <v>40</v>
      </c>
      <c r="J806" t="s">
        <v>109</v>
      </c>
      <c r="K806" t="s">
        <v>42</v>
      </c>
      <c r="L806" t="s">
        <v>43</v>
      </c>
      <c r="N806" t="s">
        <v>44</v>
      </c>
      <c r="O806" t="s">
        <v>2266</v>
      </c>
      <c r="Q806">
        <v>31740</v>
      </c>
      <c r="R806" t="s">
        <v>322</v>
      </c>
      <c r="S806" t="s">
        <v>5506</v>
      </c>
      <c r="T806">
        <v>22</v>
      </c>
      <c r="U806" s="2" t="s">
        <v>6351</v>
      </c>
      <c r="W806" t="s">
        <v>153</v>
      </c>
      <c r="X806">
        <v>110023460</v>
      </c>
      <c r="Y806" t="s">
        <v>121</v>
      </c>
      <c r="Z806" t="s">
        <v>122</v>
      </c>
      <c r="AA806" s="2" t="s">
        <v>547</v>
      </c>
      <c r="AB806" t="s">
        <v>548</v>
      </c>
      <c r="AG806" t="s">
        <v>6352</v>
      </c>
      <c r="AH806" t="s">
        <v>6353</v>
      </c>
      <c r="AI806" t="s">
        <v>6354</v>
      </c>
    </row>
    <row r="807" spans="2:35" ht="300">
      <c r="B807" s="1">
        <v>45982</v>
      </c>
      <c r="C807" s="1">
        <v>45982</v>
      </c>
      <c r="D807" t="s">
        <v>6355</v>
      </c>
      <c r="E807" t="s">
        <v>6356</v>
      </c>
      <c r="F807">
        <v>6</v>
      </c>
      <c r="G807" t="s">
        <v>1286</v>
      </c>
      <c r="H807" t="s">
        <v>6357</v>
      </c>
      <c r="I807" t="s">
        <v>40</v>
      </c>
      <c r="J807" s="2" t="s">
        <v>41</v>
      </c>
      <c r="K807" t="s">
        <v>42</v>
      </c>
      <c r="L807" t="s">
        <v>343</v>
      </c>
      <c r="N807" t="s">
        <v>344</v>
      </c>
      <c r="Q807">
        <v>31739</v>
      </c>
      <c r="R807" t="s">
        <v>119</v>
      </c>
      <c r="S807" t="s">
        <v>6358</v>
      </c>
      <c r="T807">
        <v>26</v>
      </c>
      <c r="U807" s="2" t="s">
        <v>6359</v>
      </c>
      <c r="V807" s="1">
        <v>45947</v>
      </c>
      <c r="W807" t="s">
        <v>1501</v>
      </c>
      <c r="X807">
        <v>838393</v>
      </c>
      <c r="Y807" t="s">
        <v>1793</v>
      </c>
      <c r="Z807" s="2" t="s">
        <v>6360</v>
      </c>
      <c r="AA807" t="e">
        <f ca="1">-module Replacement
-Preventive Maintenance</f>
        <v>#NAME?</v>
      </c>
      <c r="AB807" t="s">
        <v>6361</v>
      </c>
      <c r="AD807" s="2" t="s">
        <v>6362</v>
      </c>
      <c r="AE807" t="s">
        <v>6363</v>
      </c>
      <c r="AG807" t="s">
        <v>6364</v>
      </c>
      <c r="AH807" t="s">
        <v>6365</v>
      </c>
      <c r="AI807" t="s">
        <v>6366</v>
      </c>
    </row>
    <row r="808" spans="2:35" ht="75">
      <c r="B808" s="1">
        <v>45982</v>
      </c>
      <c r="C808" s="1">
        <v>45982</v>
      </c>
      <c r="D808" t="s">
        <v>1855</v>
      </c>
      <c r="E808" t="s">
        <v>6367</v>
      </c>
      <c r="F808" t="s">
        <v>148</v>
      </c>
      <c r="G808" t="s">
        <v>447</v>
      </c>
      <c r="H808" t="s">
        <v>1857</v>
      </c>
      <c r="I808" t="s">
        <v>40</v>
      </c>
      <c r="J808" t="s">
        <v>79</v>
      </c>
      <c r="K808" t="s">
        <v>408</v>
      </c>
      <c r="L808" t="s">
        <v>448</v>
      </c>
      <c r="N808" t="s">
        <v>650</v>
      </c>
      <c r="O808" t="s">
        <v>650</v>
      </c>
      <c r="P808" t="s">
        <v>6368</v>
      </c>
      <c r="Q808">
        <v>31738</v>
      </c>
      <c r="R808" t="s">
        <v>322</v>
      </c>
      <c r="S808" t="s">
        <v>650</v>
      </c>
      <c r="T808">
        <v>26</v>
      </c>
      <c r="W808" t="s">
        <v>6369</v>
      </c>
      <c r="X808" t="s">
        <v>6370</v>
      </c>
      <c r="Y808" t="s">
        <v>3825</v>
      </c>
      <c r="Z808" s="2" t="s">
        <v>6371</v>
      </c>
      <c r="AA808" t="s">
        <v>914</v>
      </c>
      <c r="AB808" t="s">
        <v>486</v>
      </c>
      <c r="AG808" t="s">
        <v>6372</v>
      </c>
      <c r="AH808" t="s">
        <v>6373</v>
      </c>
      <c r="AI808" t="s">
        <v>6374</v>
      </c>
    </row>
    <row r="809" spans="2:35" ht="285">
      <c r="B809" s="1">
        <v>45982</v>
      </c>
      <c r="C809" s="1">
        <v>45981</v>
      </c>
      <c r="D809" t="s">
        <v>6375</v>
      </c>
      <c r="E809" t="s">
        <v>6376</v>
      </c>
      <c r="F809" t="s">
        <v>148</v>
      </c>
      <c r="G809" t="s">
        <v>447</v>
      </c>
      <c r="H809" t="s">
        <v>6377</v>
      </c>
      <c r="I809" t="s">
        <v>40</v>
      </c>
      <c r="J809" t="s">
        <v>525</v>
      </c>
      <c r="K809" t="s">
        <v>408</v>
      </c>
      <c r="L809" t="s">
        <v>448</v>
      </c>
      <c r="N809" t="s">
        <v>650</v>
      </c>
      <c r="P809" t="s">
        <v>6378</v>
      </c>
      <c r="Q809">
        <v>31737</v>
      </c>
      <c r="R809" t="s">
        <v>322</v>
      </c>
      <c r="S809" t="s">
        <v>6379</v>
      </c>
      <c r="T809">
        <v>37</v>
      </c>
      <c r="W809" t="s">
        <v>6380</v>
      </c>
      <c r="X809" t="s">
        <v>6381</v>
      </c>
      <c r="Y809" s="2" t="s">
        <v>6382</v>
      </c>
      <c r="Z809" s="2" t="s">
        <v>6383</v>
      </c>
      <c r="AA809" t="s">
        <v>768</v>
      </c>
      <c r="AB809" s="2" t="s">
        <v>6384</v>
      </c>
      <c r="AG809" t="s">
        <v>6385</v>
      </c>
      <c r="AH809" t="s">
        <v>6386</v>
      </c>
      <c r="AI809" t="s">
        <v>6387</v>
      </c>
    </row>
    <row r="810" spans="2:35" ht="210">
      <c r="B810" s="1">
        <v>45982</v>
      </c>
      <c r="C810" s="1">
        <v>45980</v>
      </c>
      <c r="D810" t="s">
        <v>4259</v>
      </c>
      <c r="E810" t="s">
        <v>5914</v>
      </c>
      <c r="F810" t="s">
        <v>148</v>
      </c>
      <c r="G810" t="s">
        <v>2007</v>
      </c>
      <c r="H810" t="s">
        <v>39</v>
      </c>
      <c r="I810" t="s">
        <v>40</v>
      </c>
      <c r="J810" t="s">
        <v>109</v>
      </c>
      <c r="K810" t="s">
        <v>42</v>
      </c>
      <c r="L810" t="s">
        <v>448</v>
      </c>
      <c r="N810" t="s">
        <v>450</v>
      </c>
      <c r="Q810">
        <v>31736</v>
      </c>
      <c r="R810" t="s">
        <v>95</v>
      </c>
      <c r="S810" t="s">
        <v>4261</v>
      </c>
      <c r="T810">
        <v>27</v>
      </c>
      <c r="U810" s="2" t="s">
        <v>6388</v>
      </c>
      <c r="W810" t="s">
        <v>6389</v>
      </c>
      <c r="X810">
        <v>812560</v>
      </c>
      <c r="Y810" t="s">
        <v>485</v>
      </c>
      <c r="Z810" s="2" t="s">
        <v>2011</v>
      </c>
      <c r="AA810" t="s">
        <v>122</v>
      </c>
      <c r="AB810" t="s">
        <v>486</v>
      </c>
      <c r="AG810" t="s">
        <v>6390</v>
      </c>
      <c r="AH810" t="s">
        <v>6189</v>
      </c>
      <c r="AI810" t="s">
        <v>6391</v>
      </c>
    </row>
    <row r="811" spans="2:35" ht="165">
      <c r="B811" s="1">
        <v>45982</v>
      </c>
      <c r="C811" s="1">
        <v>45982</v>
      </c>
      <c r="D811" t="s">
        <v>6392</v>
      </c>
      <c r="E811" t="s">
        <v>6393</v>
      </c>
      <c r="F811">
        <v>2</v>
      </c>
      <c r="G811" t="s">
        <v>2668</v>
      </c>
      <c r="H811" t="s">
        <v>39</v>
      </c>
      <c r="I811" t="s">
        <v>40</v>
      </c>
      <c r="J811" s="2" t="s">
        <v>41</v>
      </c>
      <c r="K811" t="s">
        <v>42</v>
      </c>
      <c r="L811" t="s">
        <v>63</v>
      </c>
      <c r="N811" t="s">
        <v>64</v>
      </c>
      <c r="Q811">
        <v>31735</v>
      </c>
      <c r="R811" t="s">
        <v>119</v>
      </c>
      <c r="S811" t="s">
        <v>6394</v>
      </c>
      <c r="T811">
        <v>29</v>
      </c>
      <c r="U811" s="2" t="s">
        <v>4221</v>
      </c>
      <c r="V811" s="1">
        <v>45967</v>
      </c>
      <c r="W811" t="s">
        <v>66</v>
      </c>
      <c r="X811">
        <v>838484</v>
      </c>
      <c r="Y811" t="s">
        <v>6395</v>
      </c>
      <c r="Z811" s="2" t="s">
        <v>6396</v>
      </c>
      <c r="AA811" s="2" t="s">
        <v>1727</v>
      </c>
      <c r="AB811" t="s">
        <v>70</v>
      </c>
      <c r="AD811" t="s">
        <v>6397</v>
      </c>
      <c r="AE811">
        <v>13472</v>
      </c>
      <c r="AG811" t="s">
        <v>6398</v>
      </c>
      <c r="AH811" t="s">
        <v>6399</v>
      </c>
      <c r="AI811" t="s">
        <v>6400</v>
      </c>
    </row>
    <row r="812" spans="2:35">
      <c r="B812" s="1">
        <v>45982</v>
      </c>
      <c r="C812" s="1">
        <v>45982</v>
      </c>
      <c r="D812" t="s">
        <v>6401</v>
      </c>
      <c r="E812" t="s">
        <v>2598</v>
      </c>
      <c r="F812">
        <v>1</v>
      </c>
      <c r="G812" t="s">
        <v>2599</v>
      </c>
      <c r="H812" t="s">
        <v>61</v>
      </c>
      <c r="I812" t="s">
        <v>40</v>
      </c>
      <c r="J812" t="s">
        <v>321</v>
      </c>
      <c r="K812" t="s">
        <v>42</v>
      </c>
      <c r="L812" t="s">
        <v>80</v>
      </c>
      <c r="N812" t="s">
        <v>81</v>
      </c>
      <c r="Q812">
        <v>31734</v>
      </c>
      <c r="R812" t="s">
        <v>322</v>
      </c>
      <c r="S812" t="s">
        <v>6402</v>
      </c>
      <c r="T812">
        <v>26</v>
      </c>
      <c r="V812" s="1">
        <v>45973</v>
      </c>
      <c r="W812" t="s">
        <v>84</v>
      </c>
      <c r="X812">
        <v>839147</v>
      </c>
      <c r="Y812" t="s">
        <v>326</v>
      </c>
      <c r="Z812" t="s">
        <v>6403</v>
      </c>
      <c r="AA812" t="s">
        <v>6404</v>
      </c>
      <c r="AB812" t="s">
        <v>88</v>
      </c>
      <c r="AD812" t="s">
        <v>301</v>
      </c>
      <c r="AE812" t="s">
        <v>6405</v>
      </c>
      <c r="AG812" t="s">
        <v>6406</v>
      </c>
      <c r="AH812" t="s">
        <v>2612</v>
      </c>
      <c r="AI812" t="s">
        <v>6407</v>
      </c>
    </row>
    <row r="813" spans="2:35" ht="120">
      <c r="B813" s="1">
        <v>45981</v>
      </c>
      <c r="C813" s="1">
        <v>45981</v>
      </c>
      <c r="D813" t="s">
        <v>1554</v>
      </c>
      <c r="E813" t="s">
        <v>1555</v>
      </c>
      <c r="F813">
        <v>7</v>
      </c>
      <c r="G813" t="s">
        <v>432</v>
      </c>
      <c r="H813" t="s">
        <v>386</v>
      </c>
      <c r="I813" t="s">
        <v>40</v>
      </c>
      <c r="J813" s="2" t="s">
        <v>760</v>
      </c>
      <c r="K813" t="s">
        <v>387</v>
      </c>
      <c r="L813" t="s">
        <v>433</v>
      </c>
      <c r="N813" t="s">
        <v>434</v>
      </c>
      <c r="Q813">
        <v>31733</v>
      </c>
      <c r="R813" t="s">
        <v>95</v>
      </c>
      <c r="S813" t="s">
        <v>6408</v>
      </c>
      <c r="T813">
        <v>28</v>
      </c>
      <c r="W813" t="s">
        <v>436</v>
      </c>
      <c r="X813" t="s">
        <v>1557</v>
      </c>
      <c r="Y813" t="s">
        <v>6409</v>
      </c>
      <c r="Z813" t="s">
        <v>6410</v>
      </c>
      <c r="AA813" s="2" t="s">
        <v>6411</v>
      </c>
      <c r="AB813" t="s">
        <v>1011</v>
      </c>
      <c r="AG813" t="s">
        <v>6412</v>
      </c>
      <c r="AH813" t="s">
        <v>1562</v>
      </c>
      <c r="AI813" t="s">
        <v>6413</v>
      </c>
    </row>
    <row r="814" spans="2:35" ht="210">
      <c r="B814" s="1">
        <v>45981</v>
      </c>
      <c r="C814" s="1">
        <v>45981</v>
      </c>
      <c r="D814" t="s">
        <v>6414</v>
      </c>
      <c r="E814" t="s">
        <v>6415</v>
      </c>
      <c r="F814">
        <v>6</v>
      </c>
      <c r="G814" t="s">
        <v>1286</v>
      </c>
      <c r="H814" t="s">
        <v>1498</v>
      </c>
      <c r="I814" t="s">
        <v>40</v>
      </c>
      <c r="J814" s="2" t="s">
        <v>220</v>
      </c>
      <c r="K814" t="s">
        <v>42</v>
      </c>
      <c r="L814" t="s">
        <v>343</v>
      </c>
      <c r="N814" t="s">
        <v>344</v>
      </c>
      <c r="Q814">
        <v>31732</v>
      </c>
      <c r="R814" t="s">
        <v>119</v>
      </c>
      <c r="S814" t="s">
        <v>6416</v>
      </c>
      <c r="T814">
        <v>26</v>
      </c>
      <c r="U814" s="2" t="s">
        <v>6417</v>
      </c>
      <c r="V814" s="1">
        <v>45931</v>
      </c>
      <c r="W814" t="s">
        <v>1501</v>
      </c>
      <c r="X814">
        <v>838289</v>
      </c>
      <c r="Y814" t="s">
        <v>6418</v>
      </c>
      <c r="Z814" t="e">
        <f ca="1">-Install new LED monitor SN: H22V8VL658A250716588</f>
        <v>#NAME?</v>
      </c>
      <c r="AA814" t="e">
        <f ca="1">-monitor Installation
-printer Reinstallation
-Preventive Maintenance</f>
        <v>#NAME?</v>
      </c>
      <c r="AB814" t="s">
        <v>1467</v>
      </c>
      <c r="AD814" s="2" t="s">
        <v>6419</v>
      </c>
      <c r="AE814" t="s">
        <v>6420</v>
      </c>
      <c r="AG814" t="s">
        <v>6421</v>
      </c>
      <c r="AH814" t="s">
        <v>6422</v>
      </c>
      <c r="AI814" t="s">
        <v>6423</v>
      </c>
    </row>
    <row r="815" spans="2:35">
      <c r="B815" s="1">
        <v>45981</v>
      </c>
      <c r="C815" s="1">
        <v>45981</v>
      </c>
      <c r="D815" t="s">
        <v>1155</v>
      </c>
      <c r="E815" t="s">
        <v>229</v>
      </c>
      <c r="F815" t="s">
        <v>148</v>
      </c>
      <c r="G815" t="s">
        <v>230</v>
      </c>
      <c r="H815" t="s">
        <v>39</v>
      </c>
      <c r="I815" t="s">
        <v>40</v>
      </c>
      <c r="J815" t="s">
        <v>109</v>
      </c>
      <c r="K815" t="s">
        <v>42</v>
      </c>
      <c r="L815" t="s">
        <v>175</v>
      </c>
      <c r="N815" t="s">
        <v>176</v>
      </c>
      <c r="Q815">
        <v>31731</v>
      </c>
      <c r="R815" t="s">
        <v>322</v>
      </c>
      <c r="S815" t="s">
        <v>1159</v>
      </c>
      <c r="T815">
        <v>27</v>
      </c>
      <c r="W815" t="s">
        <v>84</v>
      </c>
      <c r="X815">
        <v>844726</v>
      </c>
      <c r="Y815" t="s">
        <v>374</v>
      </c>
      <c r="Z815" t="s">
        <v>103</v>
      </c>
      <c r="AA815" t="e">
        <f ca="1">- checked _xludf.and cleaned cartridge bay, plunger rod, _xludf.filter, icore slot
- generated reports
- performed self test</f>
        <v>#NAME?</v>
      </c>
      <c r="AB815" t="s">
        <v>181</v>
      </c>
      <c r="AG815" t="s">
        <v>6424</v>
      </c>
      <c r="AH815" t="s">
        <v>1166</v>
      </c>
      <c r="AI815" t="s">
        <v>6425</v>
      </c>
    </row>
    <row r="816" spans="2:35">
      <c r="B816" s="1">
        <v>45981</v>
      </c>
      <c r="C816" s="1">
        <v>45981</v>
      </c>
      <c r="D816" t="s">
        <v>1155</v>
      </c>
      <c r="E816" t="s">
        <v>229</v>
      </c>
      <c r="F816" t="s">
        <v>148</v>
      </c>
      <c r="G816" t="s">
        <v>230</v>
      </c>
      <c r="H816" t="s">
        <v>39</v>
      </c>
      <c r="I816" t="s">
        <v>40</v>
      </c>
      <c r="J816" t="s">
        <v>109</v>
      </c>
      <c r="K816" t="s">
        <v>42</v>
      </c>
      <c r="L816" t="s">
        <v>175</v>
      </c>
      <c r="N816" t="s">
        <v>176</v>
      </c>
      <c r="Q816">
        <v>31730</v>
      </c>
      <c r="R816" t="s">
        <v>322</v>
      </c>
      <c r="S816" t="s">
        <v>6426</v>
      </c>
      <c r="T816">
        <v>27</v>
      </c>
      <c r="W816" t="s">
        <v>84</v>
      </c>
      <c r="X816">
        <v>807956</v>
      </c>
      <c r="Y816" t="s">
        <v>374</v>
      </c>
      <c r="Z816" t="e">
        <f ca="1">- checked _xludf.and cleaned cartridge bay, plunger rod, _xludf.filter, icore slot
- generated reports
- performed self test</f>
        <v>#NAME?</v>
      </c>
      <c r="AA816" t="s">
        <v>103</v>
      </c>
      <c r="AB816" t="s">
        <v>181</v>
      </c>
      <c r="AG816" t="s">
        <v>6427</v>
      </c>
      <c r="AH816" t="s">
        <v>1166</v>
      </c>
      <c r="AI816" t="s">
        <v>6428</v>
      </c>
    </row>
    <row r="817" spans="2:35" ht="375">
      <c r="B817" s="1">
        <v>45981</v>
      </c>
      <c r="C817" s="1">
        <v>45981</v>
      </c>
      <c r="D817" t="s">
        <v>1155</v>
      </c>
      <c r="E817" t="s">
        <v>229</v>
      </c>
      <c r="F817" t="s">
        <v>148</v>
      </c>
      <c r="G817" t="s">
        <v>230</v>
      </c>
      <c r="H817" t="s">
        <v>39</v>
      </c>
      <c r="I817" t="s">
        <v>40</v>
      </c>
      <c r="J817" s="2" t="s">
        <v>1808</v>
      </c>
      <c r="K817" t="s">
        <v>42</v>
      </c>
      <c r="L817" t="s">
        <v>175</v>
      </c>
      <c r="N817" t="s">
        <v>176</v>
      </c>
      <c r="Q817">
        <v>31729</v>
      </c>
      <c r="R817" t="s">
        <v>322</v>
      </c>
      <c r="S817" t="s">
        <v>1159</v>
      </c>
      <c r="T817">
        <v>26</v>
      </c>
      <c r="W817" t="s">
        <v>84</v>
      </c>
      <c r="X817">
        <v>807112</v>
      </c>
      <c r="Y817" s="2" t="s">
        <v>6429</v>
      </c>
      <c r="Z817" t="s">
        <v>6430</v>
      </c>
      <c r="AA817" s="2" t="s">
        <v>6431</v>
      </c>
      <c r="AB817" t="s">
        <v>181</v>
      </c>
      <c r="AG817" t="s">
        <v>6432</v>
      </c>
      <c r="AH817" t="s">
        <v>1166</v>
      </c>
      <c r="AI817" t="s">
        <v>6433</v>
      </c>
    </row>
    <row r="818" spans="2:35" ht="195">
      <c r="B818" s="1">
        <v>45981</v>
      </c>
      <c r="C818" s="1">
        <v>45981</v>
      </c>
      <c r="D818" t="s">
        <v>1155</v>
      </c>
      <c r="E818" t="s">
        <v>229</v>
      </c>
      <c r="F818" t="s">
        <v>148</v>
      </c>
      <c r="G818" t="s">
        <v>230</v>
      </c>
      <c r="H818" t="s">
        <v>39</v>
      </c>
      <c r="I818" t="s">
        <v>40</v>
      </c>
      <c r="J818" s="2" t="s">
        <v>62</v>
      </c>
      <c r="K818" t="s">
        <v>42</v>
      </c>
      <c r="L818" t="s">
        <v>175</v>
      </c>
      <c r="N818" t="s">
        <v>176</v>
      </c>
      <c r="Q818">
        <v>31728</v>
      </c>
      <c r="R818" t="s">
        <v>967</v>
      </c>
      <c r="S818" t="s">
        <v>1159</v>
      </c>
      <c r="T818">
        <v>27</v>
      </c>
      <c r="V818" s="1">
        <v>45974</v>
      </c>
      <c r="W818" t="s">
        <v>373</v>
      </c>
      <c r="X818">
        <v>120002891</v>
      </c>
      <c r="Y818" t="s">
        <v>998</v>
      </c>
      <c r="Z818" t="s">
        <v>999</v>
      </c>
      <c r="AA818" t="e">
        <f ca="1">- checked _xludf.and cleaned cartridge bay, plunger rod, _xludf.filter, icore slot
- performed XpertCheck
- generated reports
- performed self test</f>
        <v>#NAME?</v>
      </c>
      <c r="AB818" s="2" t="s">
        <v>6434</v>
      </c>
      <c r="AD818" s="2" t="s">
        <v>6435</v>
      </c>
      <c r="AE818">
        <v>13493</v>
      </c>
      <c r="AG818" t="s">
        <v>6436</v>
      </c>
      <c r="AH818" t="s">
        <v>1166</v>
      </c>
      <c r="AI818" t="s">
        <v>6437</v>
      </c>
    </row>
    <row r="819" spans="2:35" ht="345">
      <c r="B819" s="1">
        <v>45981</v>
      </c>
      <c r="C819" s="1">
        <v>45981</v>
      </c>
      <c r="D819" t="s">
        <v>146</v>
      </c>
      <c r="E819" t="s">
        <v>4822</v>
      </c>
      <c r="F819" t="s">
        <v>148</v>
      </c>
      <c r="G819" t="s">
        <v>149</v>
      </c>
      <c r="H819" t="s">
        <v>150</v>
      </c>
      <c r="I819" t="s">
        <v>40</v>
      </c>
      <c r="J819" t="s">
        <v>1422</v>
      </c>
      <c r="K819" t="s">
        <v>42</v>
      </c>
      <c r="L819" t="s">
        <v>43</v>
      </c>
      <c r="N819" t="s">
        <v>44</v>
      </c>
      <c r="O819" t="s">
        <v>151</v>
      </c>
      <c r="Q819">
        <v>31727</v>
      </c>
      <c r="R819" t="s">
        <v>95</v>
      </c>
      <c r="S819" t="s">
        <v>6438</v>
      </c>
      <c r="T819">
        <v>22</v>
      </c>
      <c r="U819" s="2" t="s">
        <v>6439</v>
      </c>
      <c r="W819" t="s">
        <v>153</v>
      </c>
      <c r="X819">
        <v>110003714</v>
      </c>
      <c r="Y819" t="s">
        <v>4709</v>
      </c>
      <c r="Z819" t="s">
        <v>6440</v>
      </c>
      <c r="AA819" s="2" t="s">
        <v>6441</v>
      </c>
      <c r="AB819" t="s">
        <v>88</v>
      </c>
      <c r="AC819" t="s">
        <v>6442</v>
      </c>
      <c r="AG819" t="s">
        <v>6443</v>
      </c>
      <c r="AH819" t="s">
        <v>6444</v>
      </c>
      <c r="AI819" t="s">
        <v>6445</v>
      </c>
    </row>
    <row r="820" spans="2:35" ht="105">
      <c r="B820" s="1">
        <v>45981</v>
      </c>
      <c r="C820" s="1">
        <v>45981</v>
      </c>
      <c r="D820" t="s">
        <v>5569</v>
      </c>
      <c r="E820" t="s">
        <v>6446</v>
      </c>
      <c r="F820">
        <v>9</v>
      </c>
      <c r="G820" t="s">
        <v>5571</v>
      </c>
      <c r="H820" t="s">
        <v>39</v>
      </c>
      <c r="I820" t="s">
        <v>40</v>
      </c>
      <c r="J820" t="s">
        <v>109</v>
      </c>
      <c r="K820" t="s">
        <v>42</v>
      </c>
      <c r="L820" t="s">
        <v>1257</v>
      </c>
      <c r="N820" t="s">
        <v>1258</v>
      </c>
      <c r="O820" t="s">
        <v>1258</v>
      </c>
      <c r="Q820">
        <v>31726</v>
      </c>
      <c r="R820" t="s">
        <v>967</v>
      </c>
      <c r="S820" t="s">
        <v>5572</v>
      </c>
      <c r="T820">
        <v>27</v>
      </c>
      <c r="U820" s="2" t="s">
        <v>6447</v>
      </c>
      <c r="V820" s="1">
        <v>45981</v>
      </c>
      <c r="W820" t="s">
        <v>2384</v>
      </c>
      <c r="X820">
        <v>110023518</v>
      </c>
      <c r="Y820" t="s">
        <v>301</v>
      </c>
      <c r="Z820" t="s">
        <v>4315</v>
      </c>
      <c r="AA820" t="s">
        <v>4315</v>
      </c>
      <c r="AB820" t="s">
        <v>6448</v>
      </c>
      <c r="AC820" t="s">
        <v>301</v>
      </c>
      <c r="AD820" t="s">
        <v>54</v>
      </c>
      <c r="AE820" t="s">
        <v>54</v>
      </c>
      <c r="AG820" t="s">
        <v>6449</v>
      </c>
      <c r="AH820" t="s">
        <v>6450</v>
      </c>
      <c r="AI820" t="s">
        <v>6451</v>
      </c>
    </row>
    <row r="821" spans="2:35" ht="270">
      <c r="B821" s="1">
        <v>45980</v>
      </c>
      <c r="C821" s="1">
        <v>45980</v>
      </c>
      <c r="D821" t="s">
        <v>1081</v>
      </c>
      <c r="E821" t="s">
        <v>2073</v>
      </c>
      <c r="F821" t="s">
        <v>148</v>
      </c>
      <c r="G821" t="s">
        <v>785</v>
      </c>
      <c r="H821" t="s">
        <v>1083</v>
      </c>
      <c r="I821" t="s">
        <v>40</v>
      </c>
      <c r="J821" t="s">
        <v>109</v>
      </c>
      <c r="K821" t="s">
        <v>387</v>
      </c>
      <c r="L821" t="s">
        <v>43</v>
      </c>
      <c r="N821" t="s">
        <v>44</v>
      </c>
      <c r="O821" t="s">
        <v>2015</v>
      </c>
      <c r="Q821">
        <v>31725</v>
      </c>
      <c r="R821" t="s">
        <v>95</v>
      </c>
      <c r="S821" t="s">
        <v>1084</v>
      </c>
      <c r="T821">
        <v>24</v>
      </c>
      <c r="W821" t="s">
        <v>390</v>
      </c>
      <c r="X821" t="s">
        <v>5969</v>
      </c>
      <c r="Y821" t="s">
        <v>121</v>
      </c>
      <c r="Z821" t="s">
        <v>122</v>
      </c>
      <c r="AA821" s="2" t="s">
        <v>6452</v>
      </c>
      <c r="AB821" t="s">
        <v>181</v>
      </c>
      <c r="AC821" t="s">
        <v>6453</v>
      </c>
      <c r="AG821" t="s">
        <v>6454</v>
      </c>
      <c r="AH821" t="s">
        <v>6455</v>
      </c>
      <c r="AI821" t="s">
        <v>6456</v>
      </c>
    </row>
    <row r="822" spans="2:35" ht="255">
      <c r="B822" s="1">
        <v>45980</v>
      </c>
      <c r="C822" s="1">
        <v>45980</v>
      </c>
      <c r="D822" t="s">
        <v>1081</v>
      </c>
      <c r="E822" t="s">
        <v>2073</v>
      </c>
      <c r="F822" t="s">
        <v>148</v>
      </c>
      <c r="G822" t="s">
        <v>785</v>
      </c>
      <c r="H822" t="s">
        <v>386</v>
      </c>
      <c r="I822" t="s">
        <v>40</v>
      </c>
      <c r="J822" t="s">
        <v>109</v>
      </c>
      <c r="K822" t="s">
        <v>387</v>
      </c>
      <c r="L822" t="s">
        <v>43</v>
      </c>
      <c r="N822" t="s">
        <v>44</v>
      </c>
      <c r="O822" t="s">
        <v>2015</v>
      </c>
      <c r="Q822">
        <v>31724</v>
      </c>
      <c r="R822" t="s">
        <v>95</v>
      </c>
      <c r="S822" t="s">
        <v>6457</v>
      </c>
      <c r="T822">
        <v>24</v>
      </c>
      <c r="W822" t="s">
        <v>390</v>
      </c>
      <c r="X822" t="s">
        <v>2075</v>
      </c>
      <c r="Y822" t="s">
        <v>121</v>
      </c>
      <c r="Z822" t="s">
        <v>122</v>
      </c>
      <c r="AA822" s="2" t="s">
        <v>6458</v>
      </c>
      <c r="AB822" t="s">
        <v>88</v>
      </c>
      <c r="AG822" t="s">
        <v>6459</v>
      </c>
      <c r="AH822" t="s">
        <v>5143</v>
      </c>
      <c r="AI822" t="s">
        <v>6460</v>
      </c>
    </row>
    <row r="823" spans="2:35" ht="409.5">
      <c r="B823" s="1">
        <v>45980</v>
      </c>
      <c r="C823" s="1">
        <v>45980</v>
      </c>
      <c r="D823" t="s">
        <v>1081</v>
      </c>
      <c r="E823" t="s">
        <v>2073</v>
      </c>
      <c r="F823" t="s">
        <v>148</v>
      </c>
      <c r="G823" t="s">
        <v>785</v>
      </c>
      <c r="H823" t="s">
        <v>39</v>
      </c>
      <c r="I823" t="s">
        <v>40</v>
      </c>
      <c r="J823" t="s">
        <v>109</v>
      </c>
      <c r="K823" t="s">
        <v>42</v>
      </c>
      <c r="L823" t="s">
        <v>43</v>
      </c>
      <c r="N823" t="s">
        <v>44</v>
      </c>
      <c r="O823" t="s">
        <v>2015</v>
      </c>
      <c r="Q823">
        <v>31723</v>
      </c>
      <c r="R823" t="s">
        <v>95</v>
      </c>
      <c r="S823" t="s">
        <v>2016</v>
      </c>
      <c r="T823">
        <v>24</v>
      </c>
      <c r="U823" s="2" t="s">
        <v>6461</v>
      </c>
      <c r="W823" t="s">
        <v>5136</v>
      </c>
      <c r="X823">
        <v>110015767</v>
      </c>
      <c r="Y823" t="s">
        <v>121</v>
      </c>
      <c r="Z823" t="s">
        <v>122</v>
      </c>
      <c r="AA823" s="2" t="s">
        <v>1094</v>
      </c>
      <c r="AB823" t="s">
        <v>6462</v>
      </c>
      <c r="AG823" t="s">
        <v>6463</v>
      </c>
      <c r="AH823" t="s">
        <v>5964</v>
      </c>
      <c r="AI823" t="s">
        <v>6464</v>
      </c>
    </row>
    <row r="824" spans="2:35" ht="409.5">
      <c r="B824" s="1">
        <v>45980</v>
      </c>
      <c r="C824" s="1">
        <v>45980</v>
      </c>
      <c r="D824" t="s">
        <v>1081</v>
      </c>
      <c r="E824" t="s">
        <v>2073</v>
      </c>
      <c r="F824" t="s">
        <v>148</v>
      </c>
      <c r="G824" t="s">
        <v>785</v>
      </c>
      <c r="H824" t="s">
        <v>39</v>
      </c>
      <c r="I824" t="s">
        <v>40</v>
      </c>
      <c r="J824" t="s">
        <v>109</v>
      </c>
      <c r="K824" t="s">
        <v>42</v>
      </c>
      <c r="L824" t="s">
        <v>43</v>
      </c>
      <c r="N824" t="s">
        <v>44</v>
      </c>
      <c r="O824" t="s">
        <v>2015</v>
      </c>
      <c r="Q824">
        <v>31722</v>
      </c>
      <c r="R824" t="s">
        <v>95</v>
      </c>
      <c r="S824" t="s">
        <v>2016</v>
      </c>
      <c r="T824">
        <v>24</v>
      </c>
      <c r="U824" s="2" t="s">
        <v>6461</v>
      </c>
      <c r="W824" t="s">
        <v>5136</v>
      </c>
      <c r="X824">
        <v>110015767</v>
      </c>
      <c r="Y824" t="s">
        <v>121</v>
      </c>
      <c r="Z824" t="s">
        <v>122</v>
      </c>
      <c r="AA824" s="2" t="s">
        <v>1094</v>
      </c>
      <c r="AB824" t="s">
        <v>6462</v>
      </c>
      <c r="AG824" t="s">
        <v>6465</v>
      </c>
      <c r="AH824" t="s">
        <v>5964</v>
      </c>
      <c r="AI824" t="s">
        <v>6466</v>
      </c>
    </row>
    <row r="825" spans="2:35" ht="255">
      <c r="B825" s="1">
        <v>45980</v>
      </c>
      <c r="C825" s="1">
        <v>45980</v>
      </c>
      <c r="D825" t="s">
        <v>1081</v>
      </c>
      <c r="E825" t="s">
        <v>2073</v>
      </c>
      <c r="F825" t="s">
        <v>148</v>
      </c>
      <c r="G825" t="s">
        <v>785</v>
      </c>
      <c r="H825" t="s">
        <v>386</v>
      </c>
      <c r="I825" t="s">
        <v>40</v>
      </c>
      <c r="J825" t="s">
        <v>109</v>
      </c>
      <c r="K825" t="s">
        <v>387</v>
      </c>
      <c r="L825" t="s">
        <v>43</v>
      </c>
      <c r="N825" t="s">
        <v>44</v>
      </c>
      <c r="O825" t="s">
        <v>2015</v>
      </c>
      <c r="Q825">
        <v>31720</v>
      </c>
      <c r="R825" t="s">
        <v>95</v>
      </c>
      <c r="S825" t="s">
        <v>6457</v>
      </c>
      <c r="T825">
        <v>24</v>
      </c>
      <c r="W825" t="s">
        <v>390</v>
      </c>
      <c r="X825" t="s">
        <v>2075</v>
      </c>
      <c r="Y825" t="s">
        <v>121</v>
      </c>
      <c r="Z825" t="s">
        <v>122</v>
      </c>
      <c r="AA825" s="2" t="s">
        <v>6458</v>
      </c>
      <c r="AB825" t="s">
        <v>88</v>
      </c>
      <c r="AG825" t="s">
        <v>6467</v>
      </c>
      <c r="AH825" t="s">
        <v>5143</v>
      </c>
      <c r="AI825" t="s">
        <v>6468</v>
      </c>
    </row>
    <row r="826" spans="2:35" ht="270">
      <c r="B826" s="1">
        <v>45980</v>
      </c>
      <c r="C826" s="1">
        <v>45980</v>
      </c>
      <c r="D826" t="s">
        <v>1081</v>
      </c>
      <c r="E826" t="s">
        <v>2073</v>
      </c>
      <c r="F826" t="s">
        <v>148</v>
      </c>
      <c r="G826" t="s">
        <v>785</v>
      </c>
      <c r="H826" t="s">
        <v>1083</v>
      </c>
      <c r="I826" t="s">
        <v>40</v>
      </c>
      <c r="J826" t="s">
        <v>109</v>
      </c>
      <c r="K826" t="s">
        <v>387</v>
      </c>
      <c r="L826" t="s">
        <v>43</v>
      </c>
      <c r="N826" t="s">
        <v>44</v>
      </c>
      <c r="O826" t="s">
        <v>2015</v>
      </c>
      <c r="Q826">
        <v>31721</v>
      </c>
      <c r="R826" t="s">
        <v>95</v>
      </c>
      <c r="S826" t="s">
        <v>1084</v>
      </c>
      <c r="T826">
        <v>24</v>
      </c>
      <c r="W826" t="s">
        <v>390</v>
      </c>
      <c r="X826" t="s">
        <v>5969</v>
      </c>
      <c r="Y826" t="s">
        <v>121</v>
      </c>
      <c r="Z826" t="s">
        <v>122</v>
      </c>
      <c r="AA826" s="2" t="s">
        <v>6452</v>
      </c>
      <c r="AB826" t="s">
        <v>181</v>
      </c>
      <c r="AC826" t="s">
        <v>6453</v>
      </c>
      <c r="AG826" t="s">
        <v>6469</v>
      </c>
      <c r="AH826" t="s">
        <v>6455</v>
      </c>
      <c r="AI826" t="s">
        <v>6470</v>
      </c>
    </row>
    <row r="827" spans="2:35" ht="330">
      <c r="B827" s="1">
        <v>45980</v>
      </c>
      <c r="C827" s="1">
        <v>45980</v>
      </c>
      <c r="D827" t="s">
        <v>6471</v>
      </c>
      <c r="E827" t="s">
        <v>582</v>
      </c>
      <c r="F827" t="s">
        <v>148</v>
      </c>
      <c r="G827" t="s">
        <v>447</v>
      </c>
      <c r="H827" t="s">
        <v>39</v>
      </c>
      <c r="I827" t="s">
        <v>40</v>
      </c>
      <c r="J827" t="s">
        <v>109</v>
      </c>
      <c r="K827" t="s">
        <v>42</v>
      </c>
      <c r="L827" t="s">
        <v>175</v>
      </c>
      <c r="N827" t="s">
        <v>176</v>
      </c>
      <c r="O827" t="s">
        <v>3327</v>
      </c>
      <c r="Q827">
        <v>31719</v>
      </c>
      <c r="R827" t="s">
        <v>703</v>
      </c>
      <c r="S827" t="s">
        <v>6472</v>
      </c>
      <c r="T827">
        <v>26</v>
      </c>
      <c r="W827" t="s">
        <v>84</v>
      </c>
      <c r="X827">
        <v>847578</v>
      </c>
      <c r="Y827" t="s">
        <v>374</v>
      </c>
      <c r="Z827" t="s">
        <v>103</v>
      </c>
      <c r="AA827" t="e">
        <f ca="1">- checked _xludf.and cleaned cartridge bay, plunger rod, _xludf.filter
- generated reports
- performed self test
- performed reliability test on B3</f>
        <v>#NAME?</v>
      </c>
      <c r="AB827" s="2" t="s">
        <v>6473</v>
      </c>
      <c r="AG827" t="s">
        <v>6474</v>
      </c>
      <c r="AH827" t="s">
        <v>3332</v>
      </c>
      <c r="AI827" t="s">
        <v>6475</v>
      </c>
    </row>
    <row r="828" spans="2:35" ht="105">
      <c r="B828" s="1">
        <v>45980</v>
      </c>
      <c r="C828" s="1">
        <v>45980</v>
      </c>
      <c r="D828" t="s">
        <v>5636</v>
      </c>
      <c r="E828" t="s">
        <v>6476</v>
      </c>
      <c r="F828">
        <v>9</v>
      </c>
      <c r="G828" t="s">
        <v>2903</v>
      </c>
      <c r="H828" t="s">
        <v>39</v>
      </c>
      <c r="I828" t="s">
        <v>40</v>
      </c>
      <c r="J828" t="s">
        <v>109</v>
      </c>
      <c r="K828" t="s">
        <v>42</v>
      </c>
      <c r="L828" t="s">
        <v>1257</v>
      </c>
      <c r="N828" t="s">
        <v>1258</v>
      </c>
      <c r="O828" t="s">
        <v>1258</v>
      </c>
      <c r="Q828">
        <v>31718</v>
      </c>
      <c r="R828" t="s">
        <v>967</v>
      </c>
      <c r="S828" t="s">
        <v>6477</v>
      </c>
      <c r="T828">
        <v>26</v>
      </c>
      <c r="U828" s="2" t="s">
        <v>4586</v>
      </c>
      <c r="V828" s="1">
        <v>45980</v>
      </c>
      <c r="W828" t="s">
        <v>2384</v>
      </c>
      <c r="X828">
        <v>110023516</v>
      </c>
      <c r="Y828" t="s">
        <v>301</v>
      </c>
      <c r="Z828" t="s">
        <v>3128</v>
      </c>
      <c r="AA828" t="s">
        <v>3128</v>
      </c>
      <c r="AB828" t="s">
        <v>3161</v>
      </c>
      <c r="AC828" t="s">
        <v>301</v>
      </c>
      <c r="AD828" t="s">
        <v>54</v>
      </c>
      <c r="AE828" t="s">
        <v>54</v>
      </c>
      <c r="AG828" t="s">
        <v>6478</v>
      </c>
      <c r="AH828" t="s">
        <v>6479</v>
      </c>
      <c r="AI828" t="s">
        <v>6480</v>
      </c>
    </row>
    <row r="829" spans="2:35" ht="285">
      <c r="B829" s="1">
        <v>45979</v>
      </c>
      <c r="C829" s="1">
        <v>45979</v>
      </c>
      <c r="D829" t="s">
        <v>6481</v>
      </c>
      <c r="E829" t="s">
        <v>6275</v>
      </c>
      <c r="F829" t="s">
        <v>148</v>
      </c>
      <c r="G829" t="s">
        <v>447</v>
      </c>
      <c r="H829" t="s">
        <v>2210</v>
      </c>
      <c r="I829" t="s">
        <v>40</v>
      </c>
      <c r="J829" s="2" t="s">
        <v>62</v>
      </c>
      <c r="K829" t="s">
        <v>408</v>
      </c>
      <c r="L829" t="s">
        <v>448</v>
      </c>
      <c r="N829" t="s">
        <v>650</v>
      </c>
      <c r="P829" t="s">
        <v>4736</v>
      </c>
      <c r="Q829">
        <v>31717</v>
      </c>
      <c r="R829" t="s">
        <v>95</v>
      </c>
      <c r="S829" t="s">
        <v>6162</v>
      </c>
      <c r="T829">
        <v>26</v>
      </c>
      <c r="W829" t="s">
        <v>6482</v>
      </c>
      <c r="X829" t="s">
        <v>6483</v>
      </c>
      <c r="Y829" t="s">
        <v>4143</v>
      </c>
      <c r="Z829" s="2" t="s">
        <v>6484</v>
      </c>
      <c r="AA829" t="s">
        <v>6279</v>
      </c>
      <c r="AB829" t="s">
        <v>486</v>
      </c>
      <c r="AG829" t="s">
        <v>6485</v>
      </c>
      <c r="AH829" t="s">
        <v>449</v>
      </c>
      <c r="AI829" t="s">
        <v>6486</v>
      </c>
    </row>
    <row r="830" spans="2:35" ht="300">
      <c r="B830" s="1">
        <v>45979</v>
      </c>
      <c r="C830" s="1">
        <v>45979</v>
      </c>
      <c r="D830" t="s">
        <v>6481</v>
      </c>
      <c r="E830" t="s">
        <v>6487</v>
      </c>
      <c r="F830" t="s">
        <v>148</v>
      </c>
      <c r="G830" t="s">
        <v>447</v>
      </c>
      <c r="H830" t="s">
        <v>2210</v>
      </c>
      <c r="I830" t="s">
        <v>40</v>
      </c>
      <c r="J830" s="2" t="s">
        <v>62</v>
      </c>
      <c r="K830" t="s">
        <v>408</v>
      </c>
      <c r="L830" t="s">
        <v>448</v>
      </c>
      <c r="N830" t="s">
        <v>450</v>
      </c>
      <c r="P830" t="s">
        <v>4736</v>
      </c>
      <c r="Q830">
        <v>31716</v>
      </c>
      <c r="R830" t="s">
        <v>95</v>
      </c>
      <c r="S830" t="s">
        <v>6162</v>
      </c>
      <c r="T830">
        <v>26</v>
      </c>
      <c r="W830" t="s">
        <v>4737</v>
      </c>
      <c r="X830" t="s">
        <v>6488</v>
      </c>
      <c r="Y830" t="s">
        <v>4143</v>
      </c>
      <c r="Z830" s="2" t="s">
        <v>6489</v>
      </c>
      <c r="AA830" t="s">
        <v>6279</v>
      </c>
      <c r="AB830" t="s">
        <v>486</v>
      </c>
      <c r="AG830" t="s">
        <v>6490</v>
      </c>
      <c r="AH830" t="s">
        <v>449</v>
      </c>
      <c r="AI830" t="s">
        <v>6491</v>
      </c>
    </row>
    <row r="831" spans="2:35" ht="409.5">
      <c r="B831" s="1">
        <v>45979</v>
      </c>
      <c r="C831" s="1">
        <v>45973</v>
      </c>
      <c r="D831" t="s">
        <v>3679</v>
      </c>
      <c r="E831" t="s">
        <v>2580</v>
      </c>
      <c r="F831" t="s">
        <v>148</v>
      </c>
      <c r="G831" t="s">
        <v>447</v>
      </c>
      <c r="H831" t="s">
        <v>662</v>
      </c>
      <c r="I831" t="s">
        <v>40</v>
      </c>
      <c r="J831" s="2" t="s">
        <v>62</v>
      </c>
      <c r="K831" t="s">
        <v>42</v>
      </c>
      <c r="L831" t="s">
        <v>448</v>
      </c>
      <c r="N831" t="s">
        <v>650</v>
      </c>
      <c r="O831" t="s">
        <v>6492</v>
      </c>
      <c r="Q831">
        <v>31715</v>
      </c>
      <c r="R831" t="s">
        <v>322</v>
      </c>
      <c r="S831" t="s">
        <v>3680</v>
      </c>
      <c r="T831">
        <v>26</v>
      </c>
      <c r="U831" s="2" t="s">
        <v>6493</v>
      </c>
      <c r="V831" s="1">
        <v>45968</v>
      </c>
      <c r="W831" t="s">
        <v>3682</v>
      </c>
      <c r="X831">
        <v>838655</v>
      </c>
      <c r="Y831" t="s">
        <v>6494</v>
      </c>
      <c r="Z831" s="2" t="s">
        <v>3071</v>
      </c>
      <c r="AA831" t="s">
        <v>6495</v>
      </c>
      <c r="AB831" s="2" t="s">
        <v>6496</v>
      </c>
      <c r="AD831" t="s">
        <v>3628</v>
      </c>
      <c r="AE831">
        <v>13482</v>
      </c>
      <c r="AG831" t="s">
        <v>6497</v>
      </c>
      <c r="AH831" t="s">
        <v>3679</v>
      </c>
      <c r="AI831" t="s">
        <v>6498</v>
      </c>
    </row>
    <row r="832" spans="2:35" ht="255">
      <c r="B832" s="1">
        <v>45979</v>
      </c>
      <c r="C832" s="1">
        <v>45974</v>
      </c>
      <c r="D832" t="s">
        <v>6499</v>
      </c>
      <c r="E832" t="s">
        <v>2569</v>
      </c>
      <c r="F832" t="s">
        <v>148</v>
      </c>
      <c r="G832" t="s">
        <v>447</v>
      </c>
      <c r="H832" t="s">
        <v>6500</v>
      </c>
      <c r="I832" t="s">
        <v>40</v>
      </c>
      <c r="J832" t="s">
        <v>109</v>
      </c>
      <c r="K832" t="s">
        <v>42</v>
      </c>
      <c r="L832" t="s">
        <v>448</v>
      </c>
      <c r="N832" t="s">
        <v>650</v>
      </c>
      <c r="O832" t="s">
        <v>6501</v>
      </c>
      <c r="Q832">
        <v>31714</v>
      </c>
      <c r="R832" t="s">
        <v>95</v>
      </c>
      <c r="S832" t="s">
        <v>6502</v>
      </c>
      <c r="T832">
        <v>38</v>
      </c>
      <c r="U832" s="2" t="s">
        <v>6503</v>
      </c>
      <c r="W832" t="s">
        <v>6504</v>
      </c>
      <c r="X832">
        <v>110020700</v>
      </c>
      <c r="Y832" s="2" t="s">
        <v>6505</v>
      </c>
      <c r="Z832" s="2" t="s">
        <v>2011</v>
      </c>
      <c r="AA832" t="s">
        <v>122</v>
      </c>
      <c r="AB832" s="2" t="s">
        <v>6506</v>
      </c>
      <c r="AG832" t="s">
        <v>6507</v>
      </c>
      <c r="AH832" t="s">
        <v>6499</v>
      </c>
      <c r="AI832" t="s">
        <v>6508</v>
      </c>
    </row>
    <row r="833" spans="2:35" ht="330">
      <c r="B833" s="1">
        <v>45979</v>
      </c>
      <c r="C833" s="1">
        <v>45979</v>
      </c>
      <c r="D833" t="s">
        <v>146</v>
      </c>
      <c r="E833" t="s">
        <v>4822</v>
      </c>
      <c r="F833" t="s">
        <v>148</v>
      </c>
      <c r="G833" t="s">
        <v>149</v>
      </c>
      <c r="H833" t="s">
        <v>150</v>
      </c>
      <c r="I833" t="s">
        <v>40</v>
      </c>
      <c r="J833" t="s">
        <v>109</v>
      </c>
      <c r="K833" t="s">
        <v>42</v>
      </c>
      <c r="L833" t="s">
        <v>43</v>
      </c>
      <c r="N833" t="s">
        <v>44</v>
      </c>
      <c r="O833" t="s">
        <v>151</v>
      </c>
      <c r="Q833">
        <v>31713</v>
      </c>
      <c r="R833" t="s">
        <v>95</v>
      </c>
      <c r="S833" t="s">
        <v>6438</v>
      </c>
      <c r="T833">
        <v>22</v>
      </c>
      <c r="U833" s="2" t="s">
        <v>6509</v>
      </c>
      <c r="W833" t="s">
        <v>153</v>
      </c>
      <c r="X833">
        <v>110003714</v>
      </c>
      <c r="Y833" t="s">
        <v>6510</v>
      </c>
      <c r="Z833" t="s">
        <v>6511</v>
      </c>
      <c r="AA833" s="2" t="s">
        <v>6512</v>
      </c>
      <c r="AB833" t="s">
        <v>88</v>
      </c>
      <c r="AC833" t="s">
        <v>6513</v>
      </c>
      <c r="AG833" t="s">
        <v>6514</v>
      </c>
      <c r="AH833" t="s">
        <v>6444</v>
      </c>
      <c r="AI833" t="s">
        <v>6515</v>
      </c>
    </row>
    <row r="834" spans="2:35" ht="105">
      <c r="B834" s="1">
        <v>45979</v>
      </c>
      <c r="C834" s="1">
        <v>45966</v>
      </c>
      <c r="D834" t="s">
        <v>1057</v>
      </c>
      <c r="E834" t="s">
        <v>1058</v>
      </c>
      <c r="F834">
        <v>1</v>
      </c>
      <c r="G834" t="s">
        <v>1046</v>
      </c>
      <c r="H834" t="s">
        <v>39</v>
      </c>
      <c r="I834" t="s">
        <v>40</v>
      </c>
      <c r="J834" t="s">
        <v>109</v>
      </c>
      <c r="K834" t="s">
        <v>42</v>
      </c>
      <c r="L834" t="s">
        <v>1048</v>
      </c>
      <c r="N834" t="s">
        <v>1049</v>
      </c>
      <c r="Q834">
        <v>31712</v>
      </c>
      <c r="R834" t="s">
        <v>95</v>
      </c>
      <c r="S834" t="s">
        <v>1059</v>
      </c>
      <c r="T834">
        <v>30</v>
      </c>
      <c r="W834" t="s">
        <v>1060</v>
      </c>
      <c r="X834">
        <v>820303</v>
      </c>
      <c r="Y834" t="s">
        <v>1052</v>
      </c>
      <c r="Z834" t="e">
        <f ca="1">- cleaned cartridge Bays, plunger Rods _xludf.and I-CORE
- generated reports</f>
        <v>#NAME?</v>
      </c>
      <c r="AA834" t="s">
        <v>820</v>
      </c>
      <c r="AB834" s="2" t="s">
        <v>6241</v>
      </c>
      <c r="AG834" t="s">
        <v>6516</v>
      </c>
      <c r="AH834" t="s">
        <v>3393</v>
      </c>
      <c r="AI834" t="s">
        <v>6517</v>
      </c>
    </row>
    <row r="835" spans="2:35" ht="225">
      <c r="B835" s="1">
        <v>45979</v>
      </c>
      <c r="C835" s="1">
        <v>45979</v>
      </c>
      <c r="D835" t="s">
        <v>6518</v>
      </c>
      <c r="E835" t="s">
        <v>6519</v>
      </c>
      <c r="F835">
        <v>11</v>
      </c>
      <c r="G835" t="s">
        <v>1205</v>
      </c>
      <c r="H835" t="s">
        <v>202</v>
      </c>
      <c r="I835" t="s">
        <v>40</v>
      </c>
      <c r="J835" t="s">
        <v>79</v>
      </c>
      <c r="K835" t="s">
        <v>42</v>
      </c>
      <c r="L835" t="s">
        <v>204</v>
      </c>
      <c r="N835" t="s">
        <v>205</v>
      </c>
      <c r="Q835">
        <v>31711</v>
      </c>
      <c r="R835" t="s">
        <v>119</v>
      </c>
      <c r="S835" t="s">
        <v>6520</v>
      </c>
      <c r="T835">
        <v>26.7</v>
      </c>
      <c r="U835" s="2" t="s">
        <v>5020</v>
      </c>
      <c r="W835" t="s">
        <v>208</v>
      </c>
      <c r="X835">
        <v>838505</v>
      </c>
      <c r="Y835" t="s">
        <v>6229</v>
      </c>
      <c r="Z835" s="2" t="s">
        <v>6521</v>
      </c>
      <c r="AA835" t="s">
        <v>6522</v>
      </c>
      <c r="AB835" s="2" t="s">
        <v>6523</v>
      </c>
      <c r="AG835" t="s">
        <v>6524</v>
      </c>
      <c r="AH835" t="s">
        <v>6525</v>
      </c>
      <c r="AI835" t="s">
        <v>6526</v>
      </c>
    </row>
    <row r="836" spans="2:35" ht="240">
      <c r="B836" s="1">
        <v>45979</v>
      </c>
      <c r="C836" s="1">
        <v>45979</v>
      </c>
      <c r="D836" t="s">
        <v>6527</v>
      </c>
      <c r="E836" t="s">
        <v>6528</v>
      </c>
      <c r="F836">
        <v>7</v>
      </c>
      <c r="G836" t="s">
        <v>6529</v>
      </c>
      <c r="H836" t="s">
        <v>39</v>
      </c>
      <c r="I836" t="s">
        <v>40</v>
      </c>
      <c r="J836" s="2" t="s">
        <v>1370</v>
      </c>
      <c r="K836" t="s">
        <v>42</v>
      </c>
      <c r="L836" t="s">
        <v>433</v>
      </c>
      <c r="N836" t="s">
        <v>434</v>
      </c>
      <c r="Q836">
        <v>31710</v>
      </c>
      <c r="R836" t="s">
        <v>119</v>
      </c>
      <c r="S836" t="s">
        <v>6530</v>
      </c>
      <c r="T836">
        <v>27</v>
      </c>
      <c r="W836" t="s">
        <v>1008</v>
      </c>
      <c r="X836">
        <v>838292</v>
      </c>
      <c r="Y836" t="s">
        <v>2905</v>
      </c>
      <c r="Z836" s="2" t="s">
        <v>6531</v>
      </c>
      <c r="AA836" t="s">
        <v>6532</v>
      </c>
      <c r="AB836" s="2" t="s">
        <v>6533</v>
      </c>
      <c r="AG836" t="s">
        <v>6534</v>
      </c>
      <c r="AH836" t="s">
        <v>6535</v>
      </c>
      <c r="AI836" t="s">
        <v>6536</v>
      </c>
    </row>
    <row r="837" spans="2:35" ht="120">
      <c r="B837" s="1">
        <v>45979</v>
      </c>
      <c r="C837" s="1">
        <v>45979</v>
      </c>
      <c r="D837" t="s">
        <v>6537</v>
      </c>
      <c r="E837" t="s">
        <v>6538</v>
      </c>
      <c r="F837" t="s">
        <v>148</v>
      </c>
      <c r="G837" t="s">
        <v>447</v>
      </c>
      <c r="H837" t="s">
        <v>5452</v>
      </c>
      <c r="I837" t="s">
        <v>40</v>
      </c>
      <c r="J837" t="s">
        <v>525</v>
      </c>
      <c r="K837" t="s">
        <v>408</v>
      </c>
      <c r="L837" t="s">
        <v>409</v>
      </c>
      <c r="N837" t="s">
        <v>410</v>
      </c>
      <c r="P837" t="s">
        <v>6539</v>
      </c>
      <c r="Q837">
        <v>31709</v>
      </c>
      <c r="R837" t="s">
        <v>95</v>
      </c>
      <c r="S837" t="s">
        <v>410</v>
      </c>
      <c r="T837">
        <v>25</v>
      </c>
      <c r="W837" t="s">
        <v>6540</v>
      </c>
      <c r="X837" t="s">
        <v>6541</v>
      </c>
      <c r="Y837" t="s">
        <v>3825</v>
      </c>
      <c r="Z837" t="s">
        <v>301</v>
      </c>
      <c r="AA837" s="2" t="s">
        <v>6542</v>
      </c>
      <c r="AB837" t="s">
        <v>6543</v>
      </c>
      <c r="AG837" t="s">
        <v>6544</v>
      </c>
      <c r="AH837" t="s">
        <v>449</v>
      </c>
      <c r="AI837" t="s">
        <v>6545</v>
      </c>
    </row>
    <row r="838" spans="2:35" ht="120">
      <c r="B838" s="1">
        <v>45979</v>
      </c>
      <c r="C838" s="1">
        <v>45979</v>
      </c>
      <c r="D838" t="s">
        <v>6537</v>
      </c>
      <c r="E838" t="s">
        <v>6538</v>
      </c>
      <c r="F838" t="s">
        <v>148</v>
      </c>
      <c r="G838" t="s">
        <v>447</v>
      </c>
      <c r="H838" t="s">
        <v>5452</v>
      </c>
      <c r="I838" t="s">
        <v>40</v>
      </c>
      <c r="J838" t="s">
        <v>525</v>
      </c>
      <c r="K838" t="s">
        <v>408</v>
      </c>
      <c r="L838" t="s">
        <v>409</v>
      </c>
      <c r="N838" t="s">
        <v>410</v>
      </c>
      <c r="P838" t="s">
        <v>6539</v>
      </c>
      <c r="Q838">
        <v>31708</v>
      </c>
      <c r="R838" t="s">
        <v>95</v>
      </c>
      <c r="S838" t="s">
        <v>410</v>
      </c>
      <c r="T838">
        <v>25</v>
      </c>
      <c r="W838" t="s">
        <v>6540</v>
      </c>
      <c r="X838" t="s">
        <v>6546</v>
      </c>
      <c r="Y838" t="s">
        <v>3825</v>
      </c>
      <c r="Z838" t="s">
        <v>301</v>
      </c>
      <c r="AA838" s="2" t="s">
        <v>6542</v>
      </c>
      <c r="AB838" t="s">
        <v>6543</v>
      </c>
      <c r="AG838" t="s">
        <v>6547</v>
      </c>
      <c r="AH838" t="s">
        <v>449</v>
      </c>
      <c r="AI838" t="s">
        <v>6548</v>
      </c>
    </row>
    <row r="839" spans="2:35" ht="120">
      <c r="B839" s="1">
        <v>45979</v>
      </c>
      <c r="C839" s="1">
        <v>45979</v>
      </c>
      <c r="D839" t="s">
        <v>6537</v>
      </c>
      <c r="E839" t="s">
        <v>6538</v>
      </c>
      <c r="F839" t="s">
        <v>148</v>
      </c>
      <c r="G839" t="s">
        <v>447</v>
      </c>
      <c r="H839" t="s">
        <v>5452</v>
      </c>
      <c r="I839" t="s">
        <v>40</v>
      </c>
      <c r="J839" t="s">
        <v>525</v>
      </c>
      <c r="K839" t="s">
        <v>408</v>
      </c>
      <c r="L839" t="s">
        <v>409</v>
      </c>
      <c r="N839" t="s">
        <v>410</v>
      </c>
      <c r="P839" t="s">
        <v>6539</v>
      </c>
      <c r="Q839">
        <v>31707</v>
      </c>
      <c r="R839" t="s">
        <v>95</v>
      </c>
      <c r="S839" t="s">
        <v>410</v>
      </c>
      <c r="T839">
        <v>25</v>
      </c>
      <c r="W839" t="s">
        <v>6540</v>
      </c>
      <c r="X839" t="s">
        <v>6549</v>
      </c>
      <c r="Y839" t="s">
        <v>3825</v>
      </c>
      <c r="Z839" t="s">
        <v>301</v>
      </c>
      <c r="AA839" s="2" t="s">
        <v>6542</v>
      </c>
      <c r="AB839" t="s">
        <v>6543</v>
      </c>
      <c r="AG839" t="s">
        <v>6550</v>
      </c>
      <c r="AH839" t="s">
        <v>449</v>
      </c>
      <c r="AI839" t="s">
        <v>6551</v>
      </c>
    </row>
    <row r="840" spans="2:35" ht="120">
      <c r="B840" s="1">
        <v>45979</v>
      </c>
      <c r="C840" s="1">
        <v>45979</v>
      </c>
      <c r="D840" t="s">
        <v>6537</v>
      </c>
      <c r="E840" t="s">
        <v>6538</v>
      </c>
      <c r="F840" t="s">
        <v>148</v>
      </c>
      <c r="G840" t="s">
        <v>447</v>
      </c>
      <c r="H840" t="s">
        <v>5452</v>
      </c>
      <c r="I840" t="s">
        <v>40</v>
      </c>
      <c r="J840" t="s">
        <v>525</v>
      </c>
      <c r="K840" t="s">
        <v>408</v>
      </c>
      <c r="L840" t="s">
        <v>409</v>
      </c>
      <c r="N840" t="s">
        <v>410</v>
      </c>
      <c r="P840" t="s">
        <v>6539</v>
      </c>
      <c r="Q840">
        <v>31706</v>
      </c>
      <c r="R840" t="s">
        <v>95</v>
      </c>
      <c r="S840" t="s">
        <v>410</v>
      </c>
      <c r="T840">
        <v>25</v>
      </c>
      <c r="W840" t="s">
        <v>6540</v>
      </c>
      <c r="X840" t="s">
        <v>6552</v>
      </c>
      <c r="Y840" t="s">
        <v>3825</v>
      </c>
      <c r="Z840" t="s">
        <v>301</v>
      </c>
      <c r="AA840" s="2" t="s">
        <v>6542</v>
      </c>
      <c r="AB840" t="s">
        <v>6543</v>
      </c>
      <c r="AG840" t="s">
        <v>6553</v>
      </c>
      <c r="AH840" t="s">
        <v>449</v>
      </c>
      <c r="AI840" t="s">
        <v>6554</v>
      </c>
    </row>
    <row r="841" spans="2:35" ht="120">
      <c r="B841" s="1">
        <v>45978</v>
      </c>
      <c r="C841" s="1">
        <v>45973</v>
      </c>
      <c r="D841" t="s">
        <v>6555</v>
      </c>
      <c r="E841" t="s">
        <v>6556</v>
      </c>
      <c r="F841">
        <v>5</v>
      </c>
      <c r="G841" t="s">
        <v>839</v>
      </c>
      <c r="H841" t="s">
        <v>39</v>
      </c>
      <c r="I841" t="s">
        <v>94</v>
      </c>
      <c r="J841" t="s">
        <v>79</v>
      </c>
      <c r="K841" t="s">
        <v>42</v>
      </c>
      <c r="L841" t="s">
        <v>761</v>
      </c>
      <c r="N841" t="s">
        <v>762</v>
      </c>
      <c r="Q841">
        <v>31705</v>
      </c>
      <c r="R841" t="s">
        <v>119</v>
      </c>
      <c r="S841" t="s">
        <v>6557</v>
      </c>
      <c r="T841">
        <v>25</v>
      </c>
      <c r="W841" t="s">
        <v>765</v>
      </c>
      <c r="X841">
        <v>838398</v>
      </c>
      <c r="Y841" t="s">
        <v>6558</v>
      </c>
      <c r="Z841" s="2" t="s">
        <v>6559</v>
      </c>
      <c r="AA841" t="s">
        <v>1935</v>
      </c>
      <c r="AB841" s="2" t="s">
        <v>6560</v>
      </c>
      <c r="AG841" t="s">
        <v>6561</v>
      </c>
      <c r="AH841" t="s">
        <v>6562</v>
      </c>
      <c r="AI841" t="s">
        <v>6563</v>
      </c>
    </row>
    <row r="842" spans="2:35" ht="300">
      <c r="B842" s="1">
        <v>45978</v>
      </c>
      <c r="C842" s="1">
        <v>45869</v>
      </c>
      <c r="D842" t="s">
        <v>3030</v>
      </c>
      <c r="E842" t="s">
        <v>6564</v>
      </c>
      <c r="F842" t="s">
        <v>37</v>
      </c>
      <c r="G842" t="s">
        <v>38</v>
      </c>
      <c r="H842" t="s">
        <v>39</v>
      </c>
      <c r="I842" t="s">
        <v>40</v>
      </c>
      <c r="J842" t="s">
        <v>109</v>
      </c>
      <c r="K842" t="s">
        <v>42</v>
      </c>
      <c r="L842" t="s">
        <v>43</v>
      </c>
      <c r="N842" t="s">
        <v>44</v>
      </c>
      <c r="Q842">
        <v>31704</v>
      </c>
      <c r="R842" t="s">
        <v>967</v>
      </c>
      <c r="S842" t="s">
        <v>3032</v>
      </c>
      <c r="T842">
        <v>22</v>
      </c>
      <c r="U842" s="2" t="s">
        <v>6565</v>
      </c>
      <c r="W842" t="s">
        <v>153</v>
      </c>
      <c r="X842">
        <v>110023496</v>
      </c>
      <c r="Y842" t="s">
        <v>121</v>
      </c>
      <c r="Z842" t="s">
        <v>122</v>
      </c>
      <c r="AA842" s="2" t="s">
        <v>6566</v>
      </c>
      <c r="AB842" t="s">
        <v>2088</v>
      </c>
      <c r="AG842" t="s">
        <v>6567</v>
      </c>
      <c r="AH842" t="s">
        <v>3035</v>
      </c>
      <c r="AI842" t="s">
        <v>6568</v>
      </c>
    </row>
    <row r="843" spans="2:35" ht="360">
      <c r="B843" s="1">
        <v>45978</v>
      </c>
      <c r="C843" s="1">
        <v>45869</v>
      </c>
      <c r="D843" t="s">
        <v>3669</v>
      </c>
      <c r="E843" t="s">
        <v>4645</v>
      </c>
      <c r="F843" t="s">
        <v>37</v>
      </c>
      <c r="G843" t="s">
        <v>38</v>
      </c>
      <c r="H843" t="s">
        <v>39</v>
      </c>
      <c r="I843" t="s">
        <v>40</v>
      </c>
      <c r="J843" t="s">
        <v>109</v>
      </c>
      <c r="K843" t="s">
        <v>42</v>
      </c>
      <c r="L843" t="s">
        <v>43</v>
      </c>
      <c r="N843" t="s">
        <v>44</v>
      </c>
      <c r="Q843">
        <v>31703</v>
      </c>
      <c r="R843" t="s">
        <v>95</v>
      </c>
      <c r="S843" t="s">
        <v>5945</v>
      </c>
      <c r="T843">
        <v>22</v>
      </c>
      <c r="U843" s="2" t="s">
        <v>6569</v>
      </c>
      <c r="W843" t="s">
        <v>48</v>
      </c>
      <c r="X843">
        <v>110005265</v>
      </c>
      <c r="Y843" t="s">
        <v>121</v>
      </c>
      <c r="Z843" t="s">
        <v>122</v>
      </c>
      <c r="AA843" s="2" t="s">
        <v>123</v>
      </c>
      <c r="AB843" t="s">
        <v>5948</v>
      </c>
      <c r="AG843" t="s">
        <v>6570</v>
      </c>
      <c r="AH843" t="s">
        <v>4652</v>
      </c>
      <c r="AI843" t="s">
        <v>6571</v>
      </c>
    </row>
    <row r="844" spans="2:35" ht="225">
      <c r="B844" s="1">
        <v>45978</v>
      </c>
      <c r="C844" s="1">
        <v>45958</v>
      </c>
      <c r="D844" t="s">
        <v>6071</v>
      </c>
      <c r="E844" t="s">
        <v>5121</v>
      </c>
      <c r="F844" t="s">
        <v>148</v>
      </c>
      <c r="G844" t="s">
        <v>785</v>
      </c>
      <c r="H844" t="s">
        <v>39</v>
      </c>
      <c r="I844" t="s">
        <v>40</v>
      </c>
      <c r="J844" t="s">
        <v>109</v>
      </c>
      <c r="K844" t="s">
        <v>42</v>
      </c>
      <c r="L844" t="s">
        <v>43</v>
      </c>
      <c r="N844" t="s">
        <v>44</v>
      </c>
      <c r="Q844">
        <v>31702</v>
      </c>
      <c r="R844" t="s">
        <v>322</v>
      </c>
      <c r="S844" t="s">
        <v>4704</v>
      </c>
      <c r="T844">
        <v>24</v>
      </c>
      <c r="U844" s="2" t="s">
        <v>6072</v>
      </c>
      <c r="W844" t="s">
        <v>153</v>
      </c>
      <c r="X844">
        <v>110024245</v>
      </c>
      <c r="Y844" t="s">
        <v>121</v>
      </c>
      <c r="Z844" t="s">
        <v>122</v>
      </c>
      <c r="AA844" s="2" t="s">
        <v>6073</v>
      </c>
      <c r="AB844" t="s">
        <v>548</v>
      </c>
      <c r="AG844" t="s">
        <v>6572</v>
      </c>
      <c r="AH844" t="s">
        <v>6075</v>
      </c>
      <c r="AI844" t="s">
        <v>6573</v>
      </c>
    </row>
    <row r="845" spans="2:35" ht="105">
      <c r="B845" s="1">
        <v>45978</v>
      </c>
      <c r="C845" s="1">
        <v>45957</v>
      </c>
      <c r="D845" t="s">
        <v>6061</v>
      </c>
      <c r="E845" t="s">
        <v>6062</v>
      </c>
      <c r="F845" t="s">
        <v>148</v>
      </c>
      <c r="G845" t="s">
        <v>447</v>
      </c>
      <c r="H845" t="s">
        <v>386</v>
      </c>
      <c r="I845" t="s">
        <v>40</v>
      </c>
      <c r="J845" s="2" t="s">
        <v>355</v>
      </c>
      <c r="K845" t="s">
        <v>387</v>
      </c>
      <c r="L845" t="s">
        <v>43</v>
      </c>
      <c r="N845" t="s">
        <v>44</v>
      </c>
      <c r="O845" t="s">
        <v>6063</v>
      </c>
      <c r="Q845">
        <v>31701</v>
      </c>
      <c r="R845" t="s">
        <v>95</v>
      </c>
      <c r="S845" t="s">
        <v>6064</v>
      </c>
      <c r="T845">
        <v>24</v>
      </c>
      <c r="W845" t="s">
        <v>390</v>
      </c>
      <c r="X845" t="s">
        <v>4307</v>
      </c>
      <c r="Y845" t="s">
        <v>6065</v>
      </c>
      <c r="Z845" t="s">
        <v>6066</v>
      </c>
      <c r="AA845" s="2" t="s">
        <v>6067</v>
      </c>
      <c r="AB845" t="s">
        <v>88</v>
      </c>
      <c r="AG845" t="s">
        <v>6574</v>
      </c>
      <c r="AH845" t="s">
        <v>6069</v>
      </c>
      <c r="AI845" t="s">
        <v>6575</v>
      </c>
    </row>
    <row r="846" spans="2:35" ht="409.5">
      <c r="B846" s="1">
        <v>45978</v>
      </c>
      <c r="C846" s="1">
        <v>45925</v>
      </c>
      <c r="D846" t="s">
        <v>3669</v>
      </c>
      <c r="E846" t="s">
        <v>3670</v>
      </c>
      <c r="F846" t="s">
        <v>37</v>
      </c>
      <c r="G846" t="s">
        <v>38</v>
      </c>
      <c r="H846" t="s">
        <v>39</v>
      </c>
      <c r="I846" t="s">
        <v>40</v>
      </c>
      <c r="J846" t="s">
        <v>109</v>
      </c>
      <c r="K846" t="s">
        <v>42</v>
      </c>
      <c r="L846" t="s">
        <v>43</v>
      </c>
      <c r="N846" t="s">
        <v>44</v>
      </c>
      <c r="Q846">
        <v>31700</v>
      </c>
      <c r="R846" t="s">
        <v>95</v>
      </c>
      <c r="S846" t="s">
        <v>5945</v>
      </c>
      <c r="T846">
        <v>22</v>
      </c>
      <c r="U846" s="2" t="s">
        <v>5946</v>
      </c>
      <c r="W846" t="s">
        <v>48</v>
      </c>
      <c r="X846">
        <v>110005265</v>
      </c>
      <c r="Y846" t="s">
        <v>121</v>
      </c>
      <c r="Z846" t="s">
        <v>122</v>
      </c>
      <c r="AA846" s="2" t="s">
        <v>5947</v>
      </c>
      <c r="AB846" t="s">
        <v>5948</v>
      </c>
      <c r="AG846" t="s">
        <v>6576</v>
      </c>
      <c r="AH846" t="s">
        <v>4652</v>
      </c>
      <c r="AI846" t="s">
        <v>6577</v>
      </c>
    </row>
    <row r="847" spans="2:35" ht="255">
      <c r="B847" s="1">
        <v>45978</v>
      </c>
      <c r="C847" s="1">
        <v>45975</v>
      </c>
      <c r="D847" t="s">
        <v>783</v>
      </c>
      <c r="E847" t="s">
        <v>6578</v>
      </c>
      <c r="F847" t="s">
        <v>148</v>
      </c>
      <c r="G847" t="s">
        <v>785</v>
      </c>
      <c r="H847" t="s">
        <v>39</v>
      </c>
      <c r="I847" t="s">
        <v>40</v>
      </c>
      <c r="J847" t="s">
        <v>109</v>
      </c>
      <c r="K847" t="s">
        <v>42</v>
      </c>
      <c r="L847" t="s">
        <v>43</v>
      </c>
      <c r="N847" t="s">
        <v>44</v>
      </c>
      <c r="Q847">
        <v>31699</v>
      </c>
      <c r="R847" t="s">
        <v>322</v>
      </c>
      <c r="S847" t="s">
        <v>6579</v>
      </c>
      <c r="T847">
        <v>24</v>
      </c>
      <c r="U847" s="2" t="s">
        <v>6580</v>
      </c>
      <c r="W847" t="s">
        <v>153</v>
      </c>
      <c r="X847">
        <v>110025128</v>
      </c>
      <c r="Y847" t="s">
        <v>6581</v>
      </c>
      <c r="Z847" t="s">
        <v>122</v>
      </c>
      <c r="AA847" s="2" t="s">
        <v>6582</v>
      </c>
      <c r="AB847" t="s">
        <v>6583</v>
      </c>
      <c r="AG847" t="s">
        <v>6584</v>
      </c>
      <c r="AH847" t="s">
        <v>6585</v>
      </c>
      <c r="AI847" t="s">
        <v>6586</v>
      </c>
    </row>
    <row r="848" spans="2:35" ht="270">
      <c r="B848" s="1">
        <v>45978</v>
      </c>
      <c r="C848" s="1">
        <v>45975</v>
      </c>
      <c r="D848" t="s">
        <v>4839</v>
      </c>
      <c r="E848" t="s">
        <v>6587</v>
      </c>
      <c r="F848" t="s">
        <v>148</v>
      </c>
      <c r="G848" t="s">
        <v>785</v>
      </c>
      <c r="H848" t="s">
        <v>39</v>
      </c>
      <c r="I848" t="s">
        <v>40</v>
      </c>
      <c r="J848" s="2" t="s">
        <v>41</v>
      </c>
      <c r="K848" t="s">
        <v>42</v>
      </c>
      <c r="L848" t="s">
        <v>43</v>
      </c>
      <c r="N848" t="s">
        <v>44</v>
      </c>
      <c r="O848" t="s">
        <v>786</v>
      </c>
      <c r="Q848">
        <v>31698</v>
      </c>
      <c r="R848" t="s">
        <v>322</v>
      </c>
      <c r="S848" t="s">
        <v>6588</v>
      </c>
      <c r="T848">
        <v>24</v>
      </c>
      <c r="U848" s="2" t="s">
        <v>6589</v>
      </c>
      <c r="V848" s="1">
        <v>45975</v>
      </c>
      <c r="W848" t="s">
        <v>153</v>
      </c>
      <c r="X848">
        <v>110025127</v>
      </c>
      <c r="Y848" t="s">
        <v>6590</v>
      </c>
      <c r="Z848" t="s">
        <v>425</v>
      </c>
      <c r="AA848" s="2" t="s">
        <v>6591</v>
      </c>
      <c r="AB848" t="s">
        <v>548</v>
      </c>
      <c r="AD848" s="2" t="s">
        <v>6592</v>
      </c>
      <c r="AE848" t="s">
        <v>6593</v>
      </c>
      <c r="AG848" t="s">
        <v>6594</v>
      </c>
      <c r="AH848" t="s">
        <v>6595</v>
      </c>
      <c r="AI848" t="s">
        <v>6596</v>
      </c>
    </row>
    <row r="849" spans="2:35" ht="60">
      <c r="B849" s="1">
        <v>45978</v>
      </c>
      <c r="C849" s="1">
        <v>45978</v>
      </c>
      <c r="D849" t="s">
        <v>449</v>
      </c>
      <c r="E849" t="s">
        <v>6597</v>
      </c>
      <c r="F849" t="s">
        <v>148</v>
      </c>
      <c r="G849" t="s">
        <v>447</v>
      </c>
      <c r="H849" t="s">
        <v>449</v>
      </c>
      <c r="I849" t="s">
        <v>40</v>
      </c>
      <c r="J849" s="2" t="s">
        <v>62</v>
      </c>
      <c r="K849" t="s">
        <v>408</v>
      </c>
      <c r="L849" t="s">
        <v>448</v>
      </c>
      <c r="N849" t="s">
        <v>450</v>
      </c>
      <c r="O849" t="s">
        <v>450</v>
      </c>
      <c r="P849" t="s">
        <v>449</v>
      </c>
      <c r="Q849">
        <v>31697</v>
      </c>
      <c r="R849" t="s">
        <v>95</v>
      </c>
      <c r="S849" t="s">
        <v>650</v>
      </c>
      <c r="T849">
        <v>26</v>
      </c>
      <c r="W849" t="s">
        <v>449</v>
      </c>
      <c r="X849" t="s">
        <v>449</v>
      </c>
      <c r="Y849" t="s">
        <v>449</v>
      </c>
      <c r="Z849" t="s">
        <v>449</v>
      </c>
      <c r="AA849" t="s">
        <v>449</v>
      </c>
      <c r="AB849" t="s">
        <v>449</v>
      </c>
      <c r="AE849" t="s">
        <v>6598</v>
      </c>
      <c r="AG849" t="s">
        <v>6599</v>
      </c>
      <c r="AH849" t="s">
        <v>449</v>
      </c>
      <c r="AI849" t="s">
        <v>6600</v>
      </c>
    </row>
    <row r="850" spans="2:35" ht="165">
      <c r="B850" s="1">
        <v>45975</v>
      </c>
      <c r="C850" s="1">
        <v>45975</v>
      </c>
      <c r="D850" t="s">
        <v>3897</v>
      </c>
      <c r="E850" t="s">
        <v>3140</v>
      </c>
      <c r="F850">
        <v>3</v>
      </c>
      <c r="G850" t="s">
        <v>174</v>
      </c>
      <c r="H850" t="s">
        <v>39</v>
      </c>
      <c r="I850" t="s">
        <v>40</v>
      </c>
      <c r="J850" t="s">
        <v>109</v>
      </c>
      <c r="K850" t="s">
        <v>42</v>
      </c>
      <c r="L850" t="s">
        <v>175</v>
      </c>
      <c r="N850" t="s">
        <v>176</v>
      </c>
      <c r="Q850">
        <v>31696</v>
      </c>
      <c r="R850" t="s">
        <v>95</v>
      </c>
      <c r="S850" t="s">
        <v>3898</v>
      </c>
      <c r="T850">
        <v>22</v>
      </c>
      <c r="W850" t="s">
        <v>84</v>
      </c>
      <c r="X850">
        <v>110008530</v>
      </c>
      <c r="Y850" t="s">
        <v>374</v>
      </c>
      <c r="Z850" t="s">
        <v>375</v>
      </c>
      <c r="AA850" t="e">
        <f ca="1">- checked _xludf.and cleaned cartridge bay, plunger rod, _xludf.filter
- generated reports
- performed self test</f>
        <v>#NAME?</v>
      </c>
      <c r="AB850" s="2" t="s">
        <v>6601</v>
      </c>
      <c r="AG850" t="s">
        <v>6602</v>
      </c>
      <c r="AH850" t="s">
        <v>3903</v>
      </c>
      <c r="AI850" t="s">
        <v>6603</v>
      </c>
    </row>
    <row r="851" spans="2:35" ht="409.5">
      <c r="B851" s="1">
        <v>45975</v>
      </c>
      <c r="C851" s="1">
        <v>45975</v>
      </c>
      <c r="D851" t="s">
        <v>1026</v>
      </c>
      <c r="E851" t="s">
        <v>1027</v>
      </c>
      <c r="F851" t="s">
        <v>148</v>
      </c>
      <c r="G851" t="s">
        <v>774</v>
      </c>
      <c r="H851" t="s">
        <v>662</v>
      </c>
      <c r="I851" t="s">
        <v>40</v>
      </c>
      <c r="J851" t="s">
        <v>109</v>
      </c>
      <c r="K851" t="s">
        <v>42</v>
      </c>
      <c r="L851" t="s">
        <v>1028</v>
      </c>
      <c r="N851" t="s">
        <v>1029</v>
      </c>
      <c r="Q851">
        <v>31693</v>
      </c>
      <c r="R851" t="s">
        <v>95</v>
      </c>
      <c r="S851" t="s">
        <v>4609</v>
      </c>
      <c r="T851">
        <v>24</v>
      </c>
      <c r="U851" s="2" t="s">
        <v>6604</v>
      </c>
      <c r="W851" t="s">
        <v>1032</v>
      </c>
      <c r="X851">
        <v>110014996</v>
      </c>
      <c r="Y851" t="s">
        <v>1978</v>
      </c>
      <c r="Z851" t="s">
        <v>1548</v>
      </c>
      <c r="AA851" s="2" t="s">
        <v>6605</v>
      </c>
      <c r="AB851" s="2" t="s">
        <v>6606</v>
      </c>
      <c r="AG851" t="s">
        <v>6607</v>
      </c>
      <c r="AH851" t="s">
        <v>6608</v>
      </c>
      <c r="AI851" t="s">
        <v>6609</v>
      </c>
    </row>
    <row r="852" spans="2:35" ht="225">
      <c r="B852" s="1">
        <v>45975</v>
      </c>
      <c r="C852" s="1">
        <v>45954</v>
      </c>
      <c r="D852" t="s">
        <v>6610</v>
      </c>
      <c r="E852" t="s">
        <v>6611</v>
      </c>
      <c r="F852" t="s">
        <v>1181</v>
      </c>
      <c r="G852" t="s">
        <v>6612</v>
      </c>
      <c r="H852" t="s">
        <v>39</v>
      </c>
      <c r="I852" t="s">
        <v>40</v>
      </c>
      <c r="J852" t="s">
        <v>109</v>
      </c>
      <c r="K852" t="s">
        <v>42</v>
      </c>
      <c r="L852" t="s">
        <v>1028</v>
      </c>
      <c r="N852" t="s">
        <v>1029</v>
      </c>
      <c r="Q852">
        <v>31694</v>
      </c>
      <c r="R852" t="s">
        <v>119</v>
      </c>
      <c r="S852" t="s">
        <v>6613</v>
      </c>
      <c r="T852">
        <v>25</v>
      </c>
      <c r="U852" s="2" t="s">
        <v>6614</v>
      </c>
      <c r="W852" t="s">
        <v>1967</v>
      </c>
      <c r="X852">
        <v>838573</v>
      </c>
      <c r="Y852" t="s">
        <v>1978</v>
      </c>
      <c r="Z852" t="s">
        <v>1548</v>
      </c>
      <c r="AA852" s="2" t="s">
        <v>6605</v>
      </c>
      <c r="AB852" s="2" t="s">
        <v>6615</v>
      </c>
      <c r="AG852" t="s">
        <v>6616</v>
      </c>
      <c r="AH852" t="s">
        <v>6617</v>
      </c>
      <c r="AI852" t="s">
        <v>6618</v>
      </c>
    </row>
    <row r="853" spans="2:35" ht="285">
      <c r="B853" s="1">
        <v>45975</v>
      </c>
      <c r="C853" s="1">
        <v>45968</v>
      </c>
      <c r="D853" t="s">
        <v>6619</v>
      </c>
      <c r="E853" t="s">
        <v>6620</v>
      </c>
      <c r="F853" t="s">
        <v>37</v>
      </c>
      <c r="G853" t="s">
        <v>748</v>
      </c>
      <c r="H853" t="s">
        <v>39</v>
      </c>
      <c r="I853" t="s">
        <v>40</v>
      </c>
      <c r="J853" s="2" t="s">
        <v>41</v>
      </c>
      <c r="K853" t="s">
        <v>42</v>
      </c>
      <c r="L853" t="s">
        <v>1028</v>
      </c>
      <c r="N853" t="s">
        <v>1029</v>
      </c>
      <c r="Q853">
        <v>31695</v>
      </c>
      <c r="R853" t="s">
        <v>119</v>
      </c>
      <c r="S853" t="s">
        <v>5176</v>
      </c>
      <c r="T853">
        <v>22</v>
      </c>
      <c r="U853" s="2" t="s">
        <v>6621</v>
      </c>
      <c r="V853" s="1">
        <v>45967</v>
      </c>
      <c r="W853" t="s">
        <v>1967</v>
      </c>
      <c r="X853">
        <v>838535</v>
      </c>
      <c r="Y853" s="2" t="s">
        <v>6622</v>
      </c>
      <c r="Z853" t="s">
        <v>1034</v>
      </c>
      <c r="AA853" s="2" t="s">
        <v>6623</v>
      </c>
      <c r="AB853" s="2" t="s">
        <v>6624</v>
      </c>
      <c r="AC853" t="s">
        <v>6625</v>
      </c>
      <c r="AD853" t="s">
        <v>5884</v>
      </c>
      <c r="AE853" t="s">
        <v>6626</v>
      </c>
      <c r="AG853" t="s">
        <v>6627</v>
      </c>
      <c r="AH853" t="s">
        <v>5181</v>
      </c>
      <c r="AI853" t="s">
        <v>6628</v>
      </c>
    </row>
    <row r="854" spans="2:35">
      <c r="B854" s="1">
        <v>45974</v>
      </c>
      <c r="C854" s="1">
        <v>45974</v>
      </c>
      <c r="D854" t="s">
        <v>1071</v>
      </c>
      <c r="E854" t="s">
        <v>1072</v>
      </c>
      <c r="F854">
        <v>7</v>
      </c>
      <c r="G854" t="s">
        <v>432</v>
      </c>
      <c r="H854" t="s">
        <v>6629</v>
      </c>
      <c r="I854" t="s">
        <v>40</v>
      </c>
      <c r="J854" t="s">
        <v>79</v>
      </c>
      <c r="K854" t="s">
        <v>387</v>
      </c>
      <c r="L854" t="s">
        <v>610</v>
      </c>
      <c r="N854" t="s">
        <v>611</v>
      </c>
      <c r="Q854">
        <v>31692</v>
      </c>
      <c r="R854" t="s">
        <v>95</v>
      </c>
      <c r="S854" t="s">
        <v>1073</v>
      </c>
      <c r="T854">
        <v>24</v>
      </c>
      <c r="W854" t="s">
        <v>390</v>
      </c>
      <c r="X854" t="s">
        <v>1074</v>
      </c>
      <c r="Y854" t="s">
        <v>6630</v>
      </c>
      <c r="Z854" t="s">
        <v>6631</v>
      </c>
      <c r="AA854" t="s">
        <v>6632</v>
      </c>
      <c r="AB854" t="s">
        <v>6633</v>
      </c>
      <c r="AG854" t="s">
        <v>6634</v>
      </c>
      <c r="AH854" t="s">
        <v>1079</v>
      </c>
      <c r="AI854" t="s">
        <v>6635</v>
      </c>
    </row>
    <row r="855" spans="2:35" ht="360">
      <c r="B855" s="1">
        <v>45974</v>
      </c>
      <c r="C855" s="1">
        <v>45974</v>
      </c>
      <c r="D855" t="s">
        <v>3679</v>
      </c>
      <c r="E855" t="s">
        <v>582</v>
      </c>
      <c r="F855" t="s">
        <v>148</v>
      </c>
      <c r="G855" t="s">
        <v>447</v>
      </c>
      <c r="H855" t="s">
        <v>513</v>
      </c>
      <c r="I855" t="s">
        <v>40</v>
      </c>
      <c r="J855" s="2" t="s">
        <v>190</v>
      </c>
      <c r="K855" t="s">
        <v>387</v>
      </c>
      <c r="L855" t="s">
        <v>175</v>
      </c>
      <c r="N855" t="s">
        <v>176</v>
      </c>
      <c r="Q855">
        <v>31691</v>
      </c>
      <c r="R855" t="s">
        <v>322</v>
      </c>
      <c r="S855" t="s">
        <v>6636</v>
      </c>
      <c r="T855">
        <v>28</v>
      </c>
      <c r="W855" t="s">
        <v>390</v>
      </c>
      <c r="X855" t="s">
        <v>6637</v>
      </c>
      <c r="Y855" s="2" t="s">
        <v>6638</v>
      </c>
      <c r="Z855" t="s">
        <v>6639</v>
      </c>
      <c r="AA855" s="2" t="s">
        <v>6640</v>
      </c>
      <c r="AB855" s="2" t="s">
        <v>6641</v>
      </c>
      <c r="AG855" t="s">
        <v>6642</v>
      </c>
      <c r="AH855" t="s">
        <v>6643</v>
      </c>
      <c r="AI855" t="s">
        <v>6644</v>
      </c>
    </row>
    <row r="856" spans="2:35" ht="180">
      <c r="B856" s="1">
        <v>45974</v>
      </c>
      <c r="C856" s="1">
        <v>45973</v>
      </c>
      <c r="D856" t="s">
        <v>1099</v>
      </c>
      <c r="E856" t="s">
        <v>6645</v>
      </c>
      <c r="F856" t="s">
        <v>148</v>
      </c>
      <c r="G856" t="s">
        <v>406</v>
      </c>
      <c r="H856" t="s">
        <v>150</v>
      </c>
      <c r="I856" t="s">
        <v>40</v>
      </c>
      <c r="J856" t="s">
        <v>109</v>
      </c>
      <c r="K856" t="s">
        <v>408</v>
      </c>
      <c r="L856" t="s">
        <v>43</v>
      </c>
      <c r="N856" t="s">
        <v>44</v>
      </c>
      <c r="O856" t="s">
        <v>1091</v>
      </c>
      <c r="P856" t="s">
        <v>5287</v>
      </c>
      <c r="Q856">
        <v>31690</v>
      </c>
      <c r="R856" t="s">
        <v>95</v>
      </c>
      <c r="S856" t="s">
        <v>6646</v>
      </c>
      <c r="T856">
        <v>22</v>
      </c>
      <c r="W856" t="s">
        <v>6647</v>
      </c>
      <c r="X856">
        <v>47020656</v>
      </c>
      <c r="Y856" t="s">
        <v>121</v>
      </c>
      <c r="Z856" t="s">
        <v>122</v>
      </c>
      <c r="AA856" s="2" t="s">
        <v>6648</v>
      </c>
      <c r="AB856" t="s">
        <v>88</v>
      </c>
      <c r="AG856" t="s">
        <v>6649</v>
      </c>
      <c r="AH856" t="s">
        <v>6650</v>
      </c>
      <c r="AI856" t="s">
        <v>6651</v>
      </c>
    </row>
    <row r="857" spans="2:35" ht="409.5">
      <c r="B857" s="1">
        <v>45974</v>
      </c>
      <c r="C857" s="1">
        <v>45973</v>
      </c>
      <c r="D857" t="s">
        <v>1099</v>
      </c>
      <c r="E857" t="s">
        <v>4002</v>
      </c>
      <c r="F857" t="s">
        <v>148</v>
      </c>
      <c r="G857" t="s">
        <v>406</v>
      </c>
      <c r="H857" t="s">
        <v>3994</v>
      </c>
      <c r="I857" t="s">
        <v>40</v>
      </c>
      <c r="J857" t="s">
        <v>109</v>
      </c>
      <c r="K857" t="s">
        <v>42</v>
      </c>
      <c r="L857" t="s">
        <v>43</v>
      </c>
      <c r="N857" t="s">
        <v>44</v>
      </c>
      <c r="O857" t="s">
        <v>1091</v>
      </c>
      <c r="Q857">
        <v>31687</v>
      </c>
      <c r="R857" t="s">
        <v>95</v>
      </c>
      <c r="S857" t="s">
        <v>5690</v>
      </c>
      <c r="T857">
        <v>22</v>
      </c>
      <c r="U857" s="2" t="s">
        <v>6652</v>
      </c>
      <c r="W857" t="s">
        <v>48</v>
      </c>
      <c r="X857">
        <v>839231</v>
      </c>
      <c r="Y857" t="s">
        <v>121</v>
      </c>
      <c r="Z857" t="s">
        <v>122</v>
      </c>
      <c r="AA857" s="2" t="s">
        <v>6653</v>
      </c>
      <c r="AB857" t="s">
        <v>6654</v>
      </c>
      <c r="AG857" t="s">
        <v>6655</v>
      </c>
      <c r="AH857" t="s">
        <v>6656</v>
      </c>
      <c r="AI857" t="s">
        <v>6657</v>
      </c>
    </row>
    <row r="858" spans="2:35" ht="210">
      <c r="B858" s="1">
        <v>45974</v>
      </c>
      <c r="C858" s="1">
        <v>45973</v>
      </c>
      <c r="D858" t="s">
        <v>1099</v>
      </c>
      <c r="E858" t="s">
        <v>6658</v>
      </c>
      <c r="F858" t="s">
        <v>148</v>
      </c>
      <c r="G858" t="s">
        <v>406</v>
      </c>
      <c r="H858" t="s">
        <v>386</v>
      </c>
      <c r="I858" t="s">
        <v>40</v>
      </c>
      <c r="J858" t="s">
        <v>109</v>
      </c>
      <c r="K858" t="s">
        <v>387</v>
      </c>
      <c r="L858" t="s">
        <v>43</v>
      </c>
      <c r="N858" t="s">
        <v>44</v>
      </c>
      <c r="O858" t="s">
        <v>1091</v>
      </c>
      <c r="Q858">
        <v>31689</v>
      </c>
      <c r="R858" t="s">
        <v>95</v>
      </c>
      <c r="S858" t="s">
        <v>6659</v>
      </c>
      <c r="T858">
        <v>22</v>
      </c>
      <c r="W858" t="s">
        <v>390</v>
      </c>
      <c r="X858" t="s">
        <v>5702</v>
      </c>
      <c r="Y858" t="s">
        <v>121</v>
      </c>
      <c r="Z858" t="s">
        <v>122</v>
      </c>
      <c r="AA858" s="2" t="s">
        <v>6660</v>
      </c>
      <c r="AB858" t="s">
        <v>88</v>
      </c>
      <c r="AG858" t="s">
        <v>6661</v>
      </c>
      <c r="AH858" t="s">
        <v>6662</v>
      </c>
      <c r="AI858" t="s">
        <v>6663</v>
      </c>
    </row>
    <row r="859" spans="2:35" ht="409.5">
      <c r="B859" s="1">
        <v>45974</v>
      </c>
      <c r="C859" s="1">
        <v>45973</v>
      </c>
      <c r="D859" t="s">
        <v>1099</v>
      </c>
      <c r="E859" t="s">
        <v>4002</v>
      </c>
      <c r="F859" t="s">
        <v>148</v>
      </c>
      <c r="G859" t="s">
        <v>406</v>
      </c>
      <c r="H859" t="s">
        <v>3994</v>
      </c>
      <c r="I859" t="s">
        <v>40</v>
      </c>
      <c r="J859" t="s">
        <v>109</v>
      </c>
      <c r="K859" t="s">
        <v>42</v>
      </c>
      <c r="L859" t="s">
        <v>43</v>
      </c>
      <c r="N859" t="s">
        <v>44</v>
      </c>
      <c r="O859" t="s">
        <v>1091</v>
      </c>
      <c r="Q859">
        <v>31688</v>
      </c>
      <c r="R859" t="s">
        <v>95</v>
      </c>
      <c r="S859" t="s">
        <v>5690</v>
      </c>
      <c r="T859">
        <v>22</v>
      </c>
      <c r="U859" s="2" t="s">
        <v>6664</v>
      </c>
      <c r="W859" t="s">
        <v>48</v>
      </c>
      <c r="X859">
        <v>120002383</v>
      </c>
      <c r="Y859" t="s">
        <v>121</v>
      </c>
      <c r="Z859" t="s">
        <v>122</v>
      </c>
      <c r="AA859" s="2" t="s">
        <v>547</v>
      </c>
      <c r="AB859" t="s">
        <v>548</v>
      </c>
      <c r="AG859" t="s">
        <v>6665</v>
      </c>
      <c r="AH859" t="s">
        <v>6656</v>
      </c>
      <c r="AI859" t="s">
        <v>6666</v>
      </c>
    </row>
    <row r="860" spans="2:35" ht="135">
      <c r="B860" s="1">
        <v>45974</v>
      </c>
      <c r="C860" s="1">
        <v>45974</v>
      </c>
      <c r="D860" t="s">
        <v>6667</v>
      </c>
      <c r="E860" t="s">
        <v>370</v>
      </c>
      <c r="F860" t="s">
        <v>148</v>
      </c>
      <c r="G860" t="s">
        <v>371</v>
      </c>
      <c r="H860" t="s">
        <v>39</v>
      </c>
      <c r="I860" t="s">
        <v>40</v>
      </c>
      <c r="J860" s="2" t="s">
        <v>62</v>
      </c>
      <c r="K860" t="s">
        <v>42</v>
      </c>
      <c r="L860" t="s">
        <v>175</v>
      </c>
      <c r="N860" t="s">
        <v>176</v>
      </c>
      <c r="O860" t="s">
        <v>5518</v>
      </c>
      <c r="Q860">
        <v>31686</v>
      </c>
      <c r="R860" t="s">
        <v>703</v>
      </c>
      <c r="S860" t="s">
        <v>5519</v>
      </c>
      <c r="T860">
        <v>25</v>
      </c>
      <c r="V860" s="1">
        <v>45966</v>
      </c>
      <c r="W860" t="s">
        <v>373</v>
      </c>
      <c r="X860">
        <v>110018008</v>
      </c>
      <c r="Y860" t="s">
        <v>998</v>
      </c>
      <c r="Z860" t="s">
        <v>999</v>
      </c>
      <c r="AA860" t="e">
        <f ca="1">- checked _xludf.and cleaned cartridge bay, plunger rod, _xludf.filter, icore slot
- performed XpertCheck
- geneted reports
- performed selft test</f>
        <v>#NAME?</v>
      </c>
      <c r="AB860" s="2" t="s">
        <v>6668</v>
      </c>
      <c r="AD860" s="2" t="s">
        <v>6669</v>
      </c>
      <c r="AE860">
        <v>101336</v>
      </c>
      <c r="AG860" t="s">
        <v>6670</v>
      </c>
      <c r="AH860" t="s">
        <v>5521</v>
      </c>
      <c r="AI860" t="s">
        <v>6671</v>
      </c>
    </row>
    <row r="861" spans="2:35" ht="165">
      <c r="B861" s="1">
        <v>45974</v>
      </c>
      <c r="C861" s="1">
        <v>45974</v>
      </c>
      <c r="D861" t="s">
        <v>6672</v>
      </c>
      <c r="E861" t="s">
        <v>6673</v>
      </c>
      <c r="F861">
        <v>8</v>
      </c>
      <c r="G861" t="s">
        <v>1663</v>
      </c>
      <c r="H861" t="s">
        <v>258</v>
      </c>
      <c r="I861" t="s">
        <v>40</v>
      </c>
      <c r="J861" s="2" t="s">
        <v>41</v>
      </c>
      <c r="K861" t="s">
        <v>42</v>
      </c>
      <c r="L861" t="s">
        <v>259</v>
      </c>
      <c r="N861" t="s">
        <v>260</v>
      </c>
      <c r="Q861">
        <v>31685</v>
      </c>
      <c r="R861" t="s">
        <v>119</v>
      </c>
      <c r="S861" t="s">
        <v>6674</v>
      </c>
      <c r="T861">
        <v>26</v>
      </c>
      <c r="U861" s="2" t="s">
        <v>6675</v>
      </c>
      <c r="V861" s="1">
        <v>45974</v>
      </c>
      <c r="W861" t="s">
        <v>84</v>
      </c>
      <c r="X861">
        <v>838202</v>
      </c>
      <c r="Y861" t="s">
        <v>6676</v>
      </c>
      <c r="Z861" t="e">
        <f ca="1">- module Replacement
- Data Collection</f>
        <v>#NAME?</v>
      </c>
      <c r="AA861" s="2" t="s">
        <v>6677</v>
      </c>
      <c r="AB861" s="2" t="s">
        <v>6678</v>
      </c>
      <c r="AE861">
        <v>13417</v>
      </c>
      <c r="AG861" t="s">
        <v>6679</v>
      </c>
      <c r="AH861" t="s">
        <v>6680</v>
      </c>
      <c r="AI861" t="s">
        <v>6681</v>
      </c>
    </row>
    <row r="862" spans="2:35" ht="409.5">
      <c r="B862" s="1">
        <v>45974</v>
      </c>
      <c r="C862" s="1">
        <v>45974</v>
      </c>
      <c r="D862" t="s">
        <v>6682</v>
      </c>
      <c r="E862" t="s">
        <v>5764</v>
      </c>
      <c r="F862" t="s">
        <v>37</v>
      </c>
      <c r="G862" t="s">
        <v>78</v>
      </c>
      <c r="H862" t="s">
        <v>39</v>
      </c>
      <c r="I862" t="s">
        <v>40</v>
      </c>
      <c r="J862" s="2" t="s">
        <v>41</v>
      </c>
      <c r="K862" t="s">
        <v>42</v>
      </c>
      <c r="L862" t="s">
        <v>1943</v>
      </c>
      <c r="N862" t="s">
        <v>1944</v>
      </c>
      <c r="Q862">
        <v>31684</v>
      </c>
      <c r="R862" t="s">
        <v>119</v>
      </c>
      <c r="S862" t="s">
        <v>6683</v>
      </c>
      <c r="T862">
        <v>25</v>
      </c>
      <c r="V862" s="1">
        <v>45967</v>
      </c>
      <c r="W862" t="s">
        <v>84</v>
      </c>
      <c r="X862">
        <v>838225</v>
      </c>
      <c r="Y862" s="2" t="s">
        <v>6684</v>
      </c>
      <c r="Z862" t="s">
        <v>1947</v>
      </c>
      <c r="AA862" s="2" t="s">
        <v>1948</v>
      </c>
      <c r="AB862" t="s">
        <v>88</v>
      </c>
      <c r="AD862" t="s">
        <v>6685</v>
      </c>
      <c r="AE862" t="s">
        <v>6686</v>
      </c>
      <c r="AG862" t="s">
        <v>6687</v>
      </c>
      <c r="AH862" t="s">
        <v>6688</v>
      </c>
      <c r="AI862" t="s">
        <v>6689</v>
      </c>
    </row>
    <row r="863" spans="2:35" ht="409.5">
      <c r="B863" s="1">
        <v>45974</v>
      </c>
      <c r="C863" s="1">
        <v>45974</v>
      </c>
      <c r="D863" t="s">
        <v>6690</v>
      </c>
      <c r="E863" t="s">
        <v>6691</v>
      </c>
      <c r="F863">
        <v>7</v>
      </c>
      <c r="G863" t="s">
        <v>269</v>
      </c>
      <c r="H863" t="s">
        <v>662</v>
      </c>
      <c r="I863" t="s">
        <v>40</v>
      </c>
      <c r="J863" s="2" t="s">
        <v>1899</v>
      </c>
      <c r="K863" t="s">
        <v>42</v>
      </c>
      <c r="L863" t="s">
        <v>270</v>
      </c>
      <c r="N863" t="s">
        <v>2481</v>
      </c>
      <c r="O863" t="s">
        <v>6692</v>
      </c>
      <c r="Q863">
        <v>31683</v>
      </c>
      <c r="R863" t="s">
        <v>95</v>
      </c>
      <c r="S863" t="s">
        <v>596</v>
      </c>
      <c r="T863">
        <v>23</v>
      </c>
      <c r="U863" s="2" t="s">
        <v>6693</v>
      </c>
      <c r="W863" t="s">
        <v>666</v>
      </c>
      <c r="X863">
        <v>821471</v>
      </c>
      <c r="Y863" t="s">
        <v>6694</v>
      </c>
      <c r="Z863" t="s">
        <v>449</v>
      </c>
      <c r="AA863" t="e">
        <f ca="1">- Check _xludf.and Reset LAN cables- internal _xludf.and external.
- replaced internal LAN _xludf.For A4</f>
        <v>#NAME?</v>
      </c>
      <c r="AB863" s="2" t="s">
        <v>6695</v>
      </c>
      <c r="AG863" t="s">
        <v>6696</v>
      </c>
      <c r="AH863" t="s">
        <v>6697</v>
      </c>
      <c r="AI863" t="s">
        <v>6698</v>
      </c>
    </row>
    <row r="864" spans="2:35" ht="409.5">
      <c r="B864" s="1">
        <v>45973</v>
      </c>
      <c r="C864" s="1">
        <v>45973</v>
      </c>
      <c r="D864" t="s">
        <v>3119</v>
      </c>
      <c r="E864" t="s">
        <v>6699</v>
      </c>
      <c r="F864" t="s">
        <v>148</v>
      </c>
      <c r="G864" t="s">
        <v>310</v>
      </c>
      <c r="H864" t="s">
        <v>295</v>
      </c>
      <c r="I864" t="s">
        <v>40</v>
      </c>
      <c r="J864" t="s">
        <v>109</v>
      </c>
      <c r="K864" t="s">
        <v>42</v>
      </c>
      <c r="L864" t="s">
        <v>1943</v>
      </c>
      <c r="N864" t="s">
        <v>1944</v>
      </c>
      <c r="O864" t="s">
        <v>5841</v>
      </c>
      <c r="Q864">
        <v>31682</v>
      </c>
      <c r="R864" t="s">
        <v>95</v>
      </c>
      <c r="S864" t="s">
        <v>3124</v>
      </c>
      <c r="T864">
        <v>25</v>
      </c>
      <c r="W864" t="s">
        <v>373</v>
      </c>
      <c r="X864">
        <v>110001648</v>
      </c>
      <c r="Y864" t="s">
        <v>2099</v>
      </c>
      <c r="Z864" t="s">
        <v>2100</v>
      </c>
      <c r="AA864" s="2" t="s">
        <v>2101</v>
      </c>
      <c r="AB864" t="s">
        <v>88</v>
      </c>
      <c r="AG864" t="s">
        <v>6700</v>
      </c>
      <c r="AH864" t="s">
        <v>6701</v>
      </c>
      <c r="AI864" t="s">
        <v>6702</v>
      </c>
    </row>
    <row r="865" spans="2:35" ht="360">
      <c r="B865" s="1">
        <v>45973</v>
      </c>
      <c r="C865" s="1">
        <v>45973</v>
      </c>
      <c r="D865" t="s">
        <v>4312</v>
      </c>
      <c r="E865" t="s">
        <v>6016</v>
      </c>
      <c r="F865">
        <v>3</v>
      </c>
      <c r="G865" t="s">
        <v>730</v>
      </c>
      <c r="H865" t="s">
        <v>39</v>
      </c>
      <c r="I865" t="s">
        <v>40</v>
      </c>
      <c r="J865" t="s">
        <v>109</v>
      </c>
      <c r="K865" t="s">
        <v>42</v>
      </c>
      <c r="L865" t="s">
        <v>135</v>
      </c>
      <c r="N865" t="s">
        <v>136</v>
      </c>
      <c r="Q865">
        <v>31681</v>
      </c>
      <c r="R865" t="s">
        <v>95</v>
      </c>
      <c r="S865" t="s">
        <v>4103</v>
      </c>
      <c r="T865">
        <v>25</v>
      </c>
      <c r="U865" s="2" t="s">
        <v>5301</v>
      </c>
      <c r="W865" t="s">
        <v>3418</v>
      </c>
      <c r="X865">
        <v>830841</v>
      </c>
      <c r="Y865" t="s">
        <v>6017</v>
      </c>
      <c r="Z865" t="s">
        <v>4315</v>
      </c>
      <c r="AA865" s="2" t="s">
        <v>4316</v>
      </c>
      <c r="AB865" t="s">
        <v>6018</v>
      </c>
      <c r="AG865" t="s">
        <v>6703</v>
      </c>
      <c r="AH865" t="s">
        <v>4110</v>
      </c>
      <c r="AI865" t="s">
        <v>6704</v>
      </c>
    </row>
    <row r="866" spans="2:35" ht="360">
      <c r="B866" s="1">
        <v>45973</v>
      </c>
      <c r="C866" s="1">
        <v>45973</v>
      </c>
      <c r="D866" t="s">
        <v>5299</v>
      </c>
      <c r="E866" t="s">
        <v>5300</v>
      </c>
      <c r="F866">
        <v>3</v>
      </c>
      <c r="G866" t="s">
        <v>730</v>
      </c>
      <c r="H866" t="s">
        <v>39</v>
      </c>
      <c r="I866" t="s">
        <v>40</v>
      </c>
      <c r="J866" t="s">
        <v>109</v>
      </c>
      <c r="K866" t="s">
        <v>42</v>
      </c>
      <c r="L866" t="s">
        <v>135</v>
      </c>
      <c r="N866" t="s">
        <v>136</v>
      </c>
      <c r="Q866">
        <v>31680</v>
      </c>
      <c r="R866" t="s">
        <v>95</v>
      </c>
      <c r="S866" t="s">
        <v>4103</v>
      </c>
      <c r="T866">
        <v>25</v>
      </c>
      <c r="U866" s="2" t="s">
        <v>5301</v>
      </c>
      <c r="W866" t="s">
        <v>2680</v>
      </c>
      <c r="X866">
        <v>839232</v>
      </c>
      <c r="Y866" t="s">
        <v>5302</v>
      </c>
      <c r="Z866" t="s">
        <v>4315</v>
      </c>
      <c r="AA866" s="2" t="s">
        <v>4316</v>
      </c>
      <c r="AB866" t="s">
        <v>5303</v>
      </c>
      <c r="AG866" t="s">
        <v>6705</v>
      </c>
      <c r="AH866" t="s">
        <v>4110</v>
      </c>
      <c r="AI866" t="s">
        <v>6706</v>
      </c>
    </row>
    <row r="867" spans="2:35" ht="375">
      <c r="B867" s="1">
        <v>45973</v>
      </c>
      <c r="C867" s="1">
        <v>45967</v>
      </c>
      <c r="D867" t="s">
        <v>965</v>
      </c>
      <c r="E867" t="s">
        <v>966</v>
      </c>
      <c r="F867">
        <v>12</v>
      </c>
      <c r="G867" t="s">
        <v>294</v>
      </c>
      <c r="H867" t="s">
        <v>1473</v>
      </c>
      <c r="I867" t="s">
        <v>40</v>
      </c>
      <c r="J867" t="s">
        <v>109</v>
      </c>
      <c r="K867" t="s">
        <v>42</v>
      </c>
      <c r="L867" t="s">
        <v>296</v>
      </c>
      <c r="N867" t="s">
        <v>297</v>
      </c>
      <c r="Q867">
        <v>31679</v>
      </c>
      <c r="R867" t="s">
        <v>967</v>
      </c>
      <c r="S867" t="s">
        <v>968</v>
      </c>
      <c r="T867">
        <v>23.4</v>
      </c>
      <c r="U867" s="2" t="s">
        <v>6707</v>
      </c>
      <c r="W867" t="s">
        <v>970</v>
      </c>
      <c r="X867">
        <v>110023520</v>
      </c>
      <c r="Y867" t="s">
        <v>301</v>
      </c>
      <c r="Z867" s="2" t="s">
        <v>6708</v>
      </c>
      <c r="AA867" t="s">
        <v>303</v>
      </c>
      <c r="AB867" t="s">
        <v>972</v>
      </c>
      <c r="AG867" t="s">
        <v>6709</v>
      </c>
      <c r="AH867" t="s">
        <v>6710</v>
      </c>
      <c r="AI867" t="s">
        <v>6711</v>
      </c>
    </row>
    <row r="868" spans="2:35" ht="315">
      <c r="B868" s="1">
        <v>45972</v>
      </c>
      <c r="C868" s="1">
        <v>45968</v>
      </c>
      <c r="D868" t="s">
        <v>4132</v>
      </c>
      <c r="E868" t="s">
        <v>4133</v>
      </c>
      <c r="F868" t="s">
        <v>148</v>
      </c>
      <c r="G868" t="s">
        <v>447</v>
      </c>
      <c r="H868" t="s">
        <v>386</v>
      </c>
      <c r="I868" t="s">
        <v>40</v>
      </c>
      <c r="J868" s="2" t="s">
        <v>62</v>
      </c>
      <c r="K868" t="s">
        <v>387</v>
      </c>
      <c r="L868" t="s">
        <v>448</v>
      </c>
      <c r="N868" t="s">
        <v>650</v>
      </c>
      <c r="Q868">
        <v>31678</v>
      </c>
      <c r="R868" t="s">
        <v>322</v>
      </c>
      <c r="S868" t="s">
        <v>4134</v>
      </c>
      <c r="T868">
        <v>26</v>
      </c>
      <c r="W868" t="s">
        <v>476</v>
      </c>
      <c r="X868" t="s">
        <v>4135</v>
      </c>
      <c r="Y868" t="s">
        <v>6712</v>
      </c>
      <c r="Z868" s="2" t="s">
        <v>6713</v>
      </c>
      <c r="AA868" t="s">
        <v>4145</v>
      </c>
      <c r="AB868" t="s">
        <v>486</v>
      </c>
      <c r="AG868" t="s">
        <v>6714</v>
      </c>
      <c r="AH868" t="s">
        <v>4138</v>
      </c>
      <c r="AI868" t="s">
        <v>6715</v>
      </c>
    </row>
    <row r="869" spans="2:35" ht="405">
      <c r="B869" s="1">
        <v>45972</v>
      </c>
      <c r="C869" s="1">
        <v>45968</v>
      </c>
      <c r="D869" t="s">
        <v>472</v>
      </c>
      <c r="E869" t="s">
        <v>473</v>
      </c>
      <c r="F869" t="s">
        <v>148</v>
      </c>
      <c r="G869" t="s">
        <v>447</v>
      </c>
      <c r="H869" t="s">
        <v>6716</v>
      </c>
      <c r="I869" t="s">
        <v>40</v>
      </c>
      <c r="J869" s="2" t="s">
        <v>62</v>
      </c>
      <c r="K869" t="s">
        <v>387</v>
      </c>
      <c r="L869" t="s">
        <v>448</v>
      </c>
      <c r="N869" t="s">
        <v>450</v>
      </c>
      <c r="O869" t="s">
        <v>6330</v>
      </c>
      <c r="Q869">
        <v>31677</v>
      </c>
      <c r="R869" t="s">
        <v>322</v>
      </c>
      <c r="S869" t="s">
        <v>6331</v>
      </c>
      <c r="T869">
        <v>28</v>
      </c>
      <c r="W869" t="s">
        <v>476</v>
      </c>
      <c r="X869" t="s">
        <v>492</v>
      </c>
      <c r="Y869" s="2" t="s">
        <v>6717</v>
      </c>
      <c r="Z869" s="2" t="s">
        <v>6718</v>
      </c>
      <c r="AA869" t="s">
        <v>4145</v>
      </c>
      <c r="AB869" t="s">
        <v>486</v>
      </c>
      <c r="AG869" t="s">
        <v>6719</v>
      </c>
      <c r="AH869" t="s">
        <v>6334</v>
      </c>
      <c r="AI869" t="s">
        <v>6720</v>
      </c>
    </row>
    <row r="870" spans="2:35" ht="409.5">
      <c r="B870" s="1">
        <v>45972</v>
      </c>
      <c r="C870" s="1">
        <v>45968</v>
      </c>
      <c r="D870" t="s">
        <v>472</v>
      </c>
      <c r="E870" t="s">
        <v>473</v>
      </c>
      <c r="F870" t="s">
        <v>148</v>
      </c>
      <c r="G870" t="s">
        <v>447</v>
      </c>
      <c r="H870" t="s">
        <v>6716</v>
      </c>
      <c r="I870" t="s">
        <v>40</v>
      </c>
      <c r="J870" s="2" t="s">
        <v>62</v>
      </c>
      <c r="K870" t="s">
        <v>387</v>
      </c>
      <c r="L870" t="s">
        <v>448</v>
      </c>
      <c r="N870" t="s">
        <v>450</v>
      </c>
      <c r="O870" t="s">
        <v>6330</v>
      </c>
      <c r="Q870">
        <v>31676</v>
      </c>
      <c r="R870" t="s">
        <v>322</v>
      </c>
      <c r="S870" t="s">
        <v>6331</v>
      </c>
      <c r="T870">
        <v>28</v>
      </c>
      <c r="W870" t="s">
        <v>476</v>
      </c>
      <c r="X870" t="s">
        <v>477</v>
      </c>
      <c r="Y870" s="2" t="s">
        <v>6721</v>
      </c>
      <c r="Z870" s="2" t="s">
        <v>6722</v>
      </c>
      <c r="AA870" t="s">
        <v>4145</v>
      </c>
      <c r="AB870" t="s">
        <v>486</v>
      </c>
      <c r="AG870" t="s">
        <v>6723</v>
      </c>
      <c r="AH870" t="s">
        <v>6334</v>
      </c>
      <c r="AI870" t="s">
        <v>6724</v>
      </c>
    </row>
    <row r="871" spans="2:35" ht="105">
      <c r="B871" s="1">
        <v>45972</v>
      </c>
      <c r="C871" s="1">
        <v>45968</v>
      </c>
      <c r="D871" t="s">
        <v>6725</v>
      </c>
      <c r="E871" t="s">
        <v>6726</v>
      </c>
      <c r="F871" t="s">
        <v>1255</v>
      </c>
      <c r="G871" t="s">
        <v>3346</v>
      </c>
      <c r="H871" t="s">
        <v>39</v>
      </c>
      <c r="I871" t="s">
        <v>40</v>
      </c>
      <c r="J871" t="s">
        <v>109</v>
      </c>
      <c r="K871" t="s">
        <v>42</v>
      </c>
      <c r="L871" t="s">
        <v>1257</v>
      </c>
      <c r="N871" t="s">
        <v>1258</v>
      </c>
      <c r="O871" t="s">
        <v>2199</v>
      </c>
      <c r="Q871">
        <v>31675</v>
      </c>
      <c r="R871" t="s">
        <v>119</v>
      </c>
      <c r="S871" t="s">
        <v>6727</v>
      </c>
      <c r="T871">
        <v>28</v>
      </c>
      <c r="U871" s="2" t="s">
        <v>6728</v>
      </c>
      <c r="V871" s="1">
        <v>45947</v>
      </c>
      <c r="W871" t="s">
        <v>2384</v>
      </c>
      <c r="X871">
        <v>838835</v>
      </c>
      <c r="Y871" t="s">
        <v>6729</v>
      </c>
      <c r="Z871" t="s">
        <v>6730</v>
      </c>
      <c r="AA871" t="s">
        <v>6731</v>
      </c>
      <c r="AB871" t="s">
        <v>6732</v>
      </c>
      <c r="AC871" t="s">
        <v>301</v>
      </c>
      <c r="AD871" t="s">
        <v>6733</v>
      </c>
      <c r="AE871">
        <v>13416</v>
      </c>
      <c r="AG871" t="s">
        <v>6734</v>
      </c>
      <c r="AH871" t="s">
        <v>6735</v>
      </c>
      <c r="AI871" t="s">
        <v>6736</v>
      </c>
    </row>
    <row r="872" spans="2:35" ht="300">
      <c r="B872" s="1">
        <v>45972</v>
      </c>
      <c r="C872" s="1">
        <v>45968</v>
      </c>
      <c r="D872" t="s">
        <v>542</v>
      </c>
      <c r="E872" t="s">
        <v>4585</v>
      </c>
      <c r="F872" t="s">
        <v>148</v>
      </c>
      <c r="G872" t="s">
        <v>544</v>
      </c>
      <c r="H872" t="s">
        <v>39</v>
      </c>
      <c r="I872" t="s">
        <v>40</v>
      </c>
      <c r="J872" t="s">
        <v>109</v>
      </c>
      <c r="K872" t="s">
        <v>42</v>
      </c>
      <c r="L872" t="s">
        <v>43</v>
      </c>
      <c r="N872" t="s">
        <v>44</v>
      </c>
      <c r="Q872">
        <v>31674</v>
      </c>
      <c r="R872" t="s">
        <v>322</v>
      </c>
      <c r="S872" t="s">
        <v>6737</v>
      </c>
      <c r="T872">
        <v>22</v>
      </c>
      <c r="U872" s="2" t="s">
        <v>6738</v>
      </c>
      <c r="W872" t="s">
        <v>153</v>
      </c>
      <c r="X872">
        <v>110024072</v>
      </c>
      <c r="Y872" t="s">
        <v>4598</v>
      </c>
      <c r="Z872" t="s">
        <v>122</v>
      </c>
      <c r="AA872" s="2" t="s">
        <v>6739</v>
      </c>
      <c r="AB872" t="s">
        <v>548</v>
      </c>
      <c r="AG872" t="s">
        <v>6740</v>
      </c>
      <c r="AH872" t="s">
        <v>6741</v>
      </c>
      <c r="AI872" t="s">
        <v>6742</v>
      </c>
    </row>
    <row r="873" spans="2:35" ht="300">
      <c r="B873" s="1">
        <v>45972</v>
      </c>
      <c r="C873" s="1">
        <v>45968</v>
      </c>
      <c r="D873" t="s">
        <v>542</v>
      </c>
      <c r="E873" t="s">
        <v>4585</v>
      </c>
      <c r="F873" t="s">
        <v>148</v>
      </c>
      <c r="G873" t="s">
        <v>544</v>
      </c>
      <c r="H873" t="s">
        <v>39</v>
      </c>
      <c r="I873" t="s">
        <v>40</v>
      </c>
      <c r="J873" t="s">
        <v>109</v>
      </c>
      <c r="K873" t="s">
        <v>42</v>
      </c>
      <c r="L873" t="s">
        <v>43</v>
      </c>
      <c r="N873" t="s">
        <v>44</v>
      </c>
      <c r="Q873">
        <v>31673</v>
      </c>
      <c r="R873" t="s">
        <v>322</v>
      </c>
      <c r="S873" t="s">
        <v>6737</v>
      </c>
      <c r="T873">
        <v>22</v>
      </c>
      <c r="U873" s="2" t="s">
        <v>6743</v>
      </c>
      <c r="W873" t="s">
        <v>153</v>
      </c>
      <c r="X873">
        <v>110024073</v>
      </c>
      <c r="Y873" t="s">
        <v>121</v>
      </c>
      <c r="Z873" t="s">
        <v>122</v>
      </c>
      <c r="AA873" s="2" t="s">
        <v>6739</v>
      </c>
      <c r="AB873" t="s">
        <v>548</v>
      </c>
      <c r="AG873" t="s">
        <v>6744</v>
      </c>
      <c r="AH873" t="s">
        <v>6741</v>
      </c>
      <c r="AI873" t="s">
        <v>6745</v>
      </c>
    </row>
    <row r="874" spans="2:35" ht="360">
      <c r="B874" s="1">
        <v>45972</v>
      </c>
      <c r="C874" s="1">
        <v>45968</v>
      </c>
      <c r="D874" t="s">
        <v>3669</v>
      </c>
      <c r="E874" t="s">
        <v>4645</v>
      </c>
      <c r="F874" t="s">
        <v>37</v>
      </c>
      <c r="G874" t="s">
        <v>38</v>
      </c>
      <c r="H874" t="s">
        <v>39</v>
      </c>
      <c r="I874" t="s">
        <v>40</v>
      </c>
      <c r="J874" t="s">
        <v>109</v>
      </c>
      <c r="K874" t="s">
        <v>42</v>
      </c>
      <c r="L874" t="s">
        <v>43</v>
      </c>
      <c r="N874" t="s">
        <v>44</v>
      </c>
      <c r="Q874">
        <v>31672</v>
      </c>
      <c r="R874" t="s">
        <v>95</v>
      </c>
      <c r="S874" t="s">
        <v>6746</v>
      </c>
      <c r="T874">
        <v>22</v>
      </c>
      <c r="U874" s="2" t="s">
        <v>6747</v>
      </c>
      <c r="W874" t="s">
        <v>48</v>
      </c>
      <c r="X874">
        <v>110005265</v>
      </c>
      <c r="Y874" t="s">
        <v>121</v>
      </c>
      <c r="Z874" t="s">
        <v>122</v>
      </c>
      <c r="AA874" s="2" t="s">
        <v>547</v>
      </c>
      <c r="AB874" t="s">
        <v>5948</v>
      </c>
      <c r="AG874" t="s">
        <v>6748</v>
      </c>
      <c r="AH874" t="s">
        <v>6749</v>
      </c>
      <c r="AI874" t="s">
        <v>6750</v>
      </c>
    </row>
    <row r="875" spans="2:35" ht="255">
      <c r="B875" s="1">
        <v>45968</v>
      </c>
      <c r="C875" s="1">
        <v>45968</v>
      </c>
      <c r="D875" t="s">
        <v>6751</v>
      </c>
      <c r="E875" t="s">
        <v>6752</v>
      </c>
      <c r="F875" t="s">
        <v>148</v>
      </c>
      <c r="G875" t="s">
        <v>310</v>
      </c>
      <c r="H875" t="s">
        <v>39</v>
      </c>
      <c r="I875" t="s">
        <v>40</v>
      </c>
      <c r="J875" s="2" t="s">
        <v>62</v>
      </c>
      <c r="K875" t="s">
        <v>42</v>
      </c>
      <c r="L875" t="s">
        <v>857</v>
      </c>
      <c r="N875" t="s">
        <v>6753</v>
      </c>
      <c r="Q875">
        <v>31671</v>
      </c>
      <c r="R875" t="s">
        <v>322</v>
      </c>
      <c r="S875" t="s">
        <v>859</v>
      </c>
      <c r="T875">
        <v>23</v>
      </c>
      <c r="V875" s="1">
        <v>45967</v>
      </c>
      <c r="W875" t="s">
        <v>6754</v>
      </c>
      <c r="X875">
        <v>809643</v>
      </c>
      <c r="Y875" t="s">
        <v>6755</v>
      </c>
      <c r="Z875" t="s">
        <v>6756</v>
      </c>
      <c r="AA875" s="2" t="s">
        <v>6757</v>
      </c>
      <c r="AB875" s="2" t="s">
        <v>6758</v>
      </c>
      <c r="AD875" t="s">
        <v>6759</v>
      </c>
      <c r="AE875" t="s">
        <v>6760</v>
      </c>
      <c r="AG875" t="s">
        <v>6761</v>
      </c>
      <c r="AH875" t="s">
        <v>6762</v>
      </c>
      <c r="AI875" t="s">
        <v>6763</v>
      </c>
    </row>
    <row r="876" spans="2:35" ht="165">
      <c r="B876" s="1">
        <v>45968</v>
      </c>
      <c r="C876" s="1">
        <v>45968</v>
      </c>
      <c r="D876" t="s">
        <v>855</v>
      </c>
      <c r="E876" t="s">
        <v>6764</v>
      </c>
      <c r="F876" t="s">
        <v>148</v>
      </c>
      <c r="G876" t="s">
        <v>310</v>
      </c>
      <c r="H876" t="s">
        <v>39</v>
      </c>
      <c r="I876" t="s">
        <v>40</v>
      </c>
      <c r="J876" s="2" t="s">
        <v>6765</v>
      </c>
      <c r="K876" t="s">
        <v>42</v>
      </c>
      <c r="L876" t="s">
        <v>857</v>
      </c>
      <c r="N876" t="s">
        <v>858</v>
      </c>
      <c r="Q876">
        <v>31670</v>
      </c>
      <c r="R876" t="s">
        <v>322</v>
      </c>
      <c r="S876" t="s">
        <v>859</v>
      </c>
      <c r="T876">
        <v>24</v>
      </c>
      <c r="W876" t="s">
        <v>84</v>
      </c>
      <c r="X876">
        <v>815686</v>
      </c>
      <c r="Y876" t="s">
        <v>6766</v>
      </c>
      <c r="Z876" t="s">
        <v>301</v>
      </c>
      <c r="AA876" s="2" t="s">
        <v>6767</v>
      </c>
      <c r="AB876" t="s">
        <v>6768</v>
      </c>
      <c r="AG876" t="s">
        <v>6769</v>
      </c>
      <c r="AH876" t="s">
        <v>6770</v>
      </c>
      <c r="AI876" t="s">
        <v>6771</v>
      </c>
    </row>
    <row r="877" spans="2:35" ht="165">
      <c r="B877" s="1">
        <v>45968</v>
      </c>
      <c r="C877" s="1">
        <v>45968</v>
      </c>
      <c r="D877" t="s">
        <v>855</v>
      </c>
      <c r="E877" t="s">
        <v>6772</v>
      </c>
      <c r="F877" t="s">
        <v>148</v>
      </c>
      <c r="G877" t="s">
        <v>310</v>
      </c>
      <c r="H877" t="s">
        <v>39</v>
      </c>
      <c r="I877" t="s">
        <v>40</v>
      </c>
      <c r="J877" s="2" t="s">
        <v>6765</v>
      </c>
      <c r="K877" t="s">
        <v>42</v>
      </c>
      <c r="L877" t="s">
        <v>857</v>
      </c>
      <c r="N877" t="s">
        <v>858</v>
      </c>
      <c r="Q877">
        <v>31669</v>
      </c>
      <c r="R877" t="s">
        <v>322</v>
      </c>
      <c r="S877" t="s">
        <v>859</v>
      </c>
      <c r="T877">
        <v>24</v>
      </c>
      <c r="W877" t="s">
        <v>84</v>
      </c>
      <c r="X877">
        <v>808092</v>
      </c>
      <c r="Y877" t="s">
        <v>6766</v>
      </c>
      <c r="Z877" t="s">
        <v>301</v>
      </c>
      <c r="AA877" s="2" t="s">
        <v>6773</v>
      </c>
      <c r="AB877" t="s">
        <v>6768</v>
      </c>
      <c r="AG877" t="s">
        <v>6774</v>
      </c>
      <c r="AH877" t="s">
        <v>6770</v>
      </c>
      <c r="AI877" t="s">
        <v>6775</v>
      </c>
    </row>
    <row r="878" spans="2:35" ht="195">
      <c r="B878" s="1">
        <v>45968</v>
      </c>
      <c r="C878" s="1">
        <v>45968</v>
      </c>
      <c r="D878" t="s">
        <v>6751</v>
      </c>
      <c r="E878" t="s">
        <v>6752</v>
      </c>
      <c r="F878" t="s">
        <v>148</v>
      </c>
      <c r="G878" t="s">
        <v>310</v>
      </c>
      <c r="H878" t="s">
        <v>39</v>
      </c>
      <c r="I878" t="s">
        <v>40</v>
      </c>
      <c r="J878" s="2" t="s">
        <v>62</v>
      </c>
      <c r="K878" t="s">
        <v>42</v>
      </c>
      <c r="L878" t="s">
        <v>857</v>
      </c>
      <c r="N878" t="s">
        <v>6753</v>
      </c>
      <c r="Q878">
        <v>31668</v>
      </c>
      <c r="R878" t="s">
        <v>322</v>
      </c>
      <c r="S878" t="s">
        <v>859</v>
      </c>
      <c r="T878">
        <v>24</v>
      </c>
      <c r="W878" t="s">
        <v>6776</v>
      </c>
      <c r="X878">
        <v>110016786</v>
      </c>
      <c r="Y878" t="s">
        <v>6777</v>
      </c>
      <c r="Z878" t="s">
        <v>6778</v>
      </c>
      <c r="AA878" s="2" t="s">
        <v>6779</v>
      </c>
      <c r="AB878" t="s">
        <v>6780</v>
      </c>
      <c r="AG878" t="s">
        <v>6781</v>
      </c>
      <c r="AH878" t="s">
        <v>6770</v>
      </c>
      <c r="AI878" t="s">
        <v>6782</v>
      </c>
    </row>
    <row r="879" spans="2:35" ht="409.5">
      <c r="B879" s="1">
        <v>45968</v>
      </c>
      <c r="C879" s="1">
        <v>45967</v>
      </c>
      <c r="D879" t="s">
        <v>6783</v>
      </c>
      <c r="E879" t="s">
        <v>2569</v>
      </c>
      <c r="F879" t="s">
        <v>148</v>
      </c>
      <c r="G879" t="s">
        <v>447</v>
      </c>
      <c r="H879" t="s">
        <v>39</v>
      </c>
      <c r="I879" t="s">
        <v>40</v>
      </c>
      <c r="J879" t="s">
        <v>109</v>
      </c>
      <c r="K879" t="s">
        <v>42</v>
      </c>
      <c r="L879" t="s">
        <v>448</v>
      </c>
      <c r="N879" t="s">
        <v>450</v>
      </c>
      <c r="Q879">
        <v>31667</v>
      </c>
      <c r="R879" t="s">
        <v>95</v>
      </c>
      <c r="S879" t="s">
        <v>6162</v>
      </c>
      <c r="T879">
        <v>30</v>
      </c>
      <c r="U879" s="2" t="s">
        <v>6784</v>
      </c>
      <c r="W879" t="s">
        <v>6785</v>
      </c>
      <c r="X879">
        <v>839306</v>
      </c>
      <c r="Y879" t="s">
        <v>485</v>
      </c>
      <c r="Z879" s="2" t="s">
        <v>2011</v>
      </c>
      <c r="AA879" t="s">
        <v>122</v>
      </c>
      <c r="AB879" s="2" t="s">
        <v>6786</v>
      </c>
      <c r="AG879" t="s">
        <v>6787</v>
      </c>
      <c r="AH879" t="s">
        <v>6788</v>
      </c>
      <c r="AI879" t="s">
        <v>6789</v>
      </c>
    </row>
    <row r="880" spans="2:35" ht="330">
      <c r="B880" s="1">
        <v>45968</v>
      </c>
      <c r="C880" s="1">
        <v>45967</v>
      </c>
      <c r="D880" t="s">
        <v>4492</v>
      </c>
      <c r="E880" t="s">
        <v>6790</v>
      </c>
      <c r="F880" t="s">
        <v>148</v>
      </c>
      <c r="G880" t="s">
        <v>447</v>
      </c>
      <c r="H880" t="s">
        <v>39</v>
      </c>
      <c r="I880" t="s">
        <v>40</v>
      </c>
      <c r="J880" t="s">
        <v>109</v>
      </c>
      <c r="K880" t="s">
        <v>42</v>
      </c>
      <c r="L880" t="s">
        <v>448</v>
      </c>
      <c r="N880" t="s">
        <v>650</v>
      </c>
      <c r="Q880">
        <v>31666</v>
      </c>
      <c r="R880" t="s">
        <v>95</v>
      </c>
      <c r="S880" t="s">
        <v>6791</v>
      </c>
      <c r="T880">
        <v>19</v>
      </c>
      <c r="U880" s="2" t="s">
        <v>6792</v>
      </c>
      <c r="W880" t="s">
        <v>453</v>
      </c>
      <c r="X880">
        <v>110008529</v>
      </c>
      <c r="Y880" t="s">
        <v>485</v>
      </c>
      <c r="Z880" s="2" t="s">
        <v>2011</v>
      </c>
      <c r="AA880" t="s">
        <v>122</v>
      </c>
      <c r="AB880" s="2" t="s">
        <v>6793</v>
      </c>
      <c r="AG880" t="s">
        <v>6794</v>
      </c>
      <c r="AH880" t="s">
        <v>4501</v>
      </c>
      <c r="AI880" t="s">
        <v>6795</v>
      </c>
    </row>
    <row r="881" spans="2:35">
      <c r="B881" s="1">
        <v>45967</v>
      </c>
      <c r="C881" s="1">
        <v>45967</v>
      </c>
      <c r="D881" t="s">
        <v>3139</v>
      </c>
      <c r="E881" t="s">
        <v>3140</v>
      </c>
      <c r="F881">
        <v>3</v>
      </c>
      <c r="G881" t="s">
        <v>174</v>
      </c>
      <c r="H881" t="s">
        <v>39</v>
      </c>
      <c r="I881" t="s">
        <v>40</v>
      </c>
      <c r="J881" t="s">
        <v>109</v>
      </c>
      <c r="K881" t="s">
        <v>42</v>
      </c>
      <c r="L881" t="s">
        <v>175</v>
      </c>
      <c r="N881" t="s">
        <v>176</v>
      </c>
      <c r="Q881">
        <v>31665</v>
      </c>
      <c r="R881" t="s">
        <v>967</v>
      </c>
      <c r="S881" t="s">
        <v>5341</v>
      </c>
      <c r="T881">
        <v>28</v>
      </c>
      <c r="W881" t="s">
        <v>373</v>
      </c>
      <c r="X881">
        <v>110023507</v>
      </c>
      <c r="Y881" t="s">
        <v>374</v>
      </c>
      <c r="Z881" t="s">
        <v>4448</v>
      </c>
      <c r="AA881" t="e">
        <f ca="1">- checked _xludf.and cleaned cartridge bay, plunger rod, _xludf.filter
- generated reports
- scanned system _xludf.Log _xludf.For hardware errors (None)
- performed self test</f>
        <v>#NAME?</v>
      </c>
      <c r="AB881" t="s">
        <v>181</v>
      </c>
      <c r="AG881" t="s">
        <v>6796</v>
      </c>
      <c r="AH881" t="s">
        <v>3145</v>
      </c>
      <c r="AI881" t="s">
        <v>6797</v>
      </c>
    </row>
    <row r="882" spans="2:35" ht="315">
      <c r="B882" s="1">
        <v>45967</v>
      </c>
      <c r="C882" s="1">
        <v>45960</v>
      </c>
      <c r="D882" t="s">
        <v>1145</v>
      </c>
      <c r="E882" t="s">
        <v>473</v>
      </c>
      <c r="F882" t="s">
        <v>148</v>
      </c>
      <c r="G882" t="s">
        <v>447</v>
      </c>
      <c r="H882" t="s">
        <v>386</v>
      </c>
      <c r="I882" t="s">
        <v>40</v>
      </c>
      <c r="J882" t="s">
        <v>109</v>
      </c>
      <c r="K882" t="s">
        <v>387</v>
      </c>
      <c r="L882" t="s">
        <v>448</v>
      </c>
      <c r="N882" t="s">
        <v>450</v>
      </c>
      <c r="Q882">
        <v>31664</v>
      </c>
      <c r="R882" t="s">
        <v>322</v>
      </c>
      <c r="S882" t="s">
        <v>5004</v>
      </c>
      <c r="T882">
        <v>26</v>
      </c>
      <c r="W882" t="s">
        <v>390</v>
      </c>
      <c r="X882" t="s">
        <v>5005</v>
      </c>
      <c r="Y882" s="2" t="s">
        <v>6798</v>
      </c>
      <c r="Z882" s="2" t="s">
        <v>6713</v>
      </c>
      <c r="AA882" t="s">
        <v>122</v>
      </c>
      <c r="AB882" s="2" t="s">
        <v>6799</v>
      </c>
      <c r="AG882" t="s">
        <v>6800</v>
      </c>
      <c r="AH882" t="s">
        <v>6801</v>
      </c>
      <c r="AI882" t="s">
        <v>6802</v>
      </c>
    </row>
    <row r="883" spans="2:35" ht="409.5">
      <c r="B883" s="1">
        <v>45967</v>
      </c>
      <c r="C883" s="1">
        <v>45960</v>
      </c>
      <c r="D883" t="s">
        <v>2176</v>
      </c>
      <c r="E883" t="s">
        <v>2580</v>
      </c>
      <c r="F883" t="s">
        <v>148</v>
      </c>
      <c r="G883" t="s">
        <v>447</v>
      </c>
      <c r="H883" t="s">
        <v>662</v>
      </c>
      <c r="I883" t="s">
        <v>40</v>
      </c>
      <c r="J883" t="s">
        <v>109</v>
      </c>
      <c r="K883" t="s">
        <v>42</v>
      </c>
      <c r="L883" t="s">
        <v>448</v>
      </c>
      <c r="N883" t="s">
        <v>650</v>
      </c>
      <c r="O883" t="s">
        <v>4140</v>
      </c>
      <c r="Q883">
        <v>31663</v>
      </c>
      <c r="R883" t="s">
        <v>967</v>
      </c>
      <c r="S883" t="s">
        <v>3086</v>
      </c>
      <c r="T883">
        <v>27</v>
      </c>
      <c r="U883" s="2" t="s">
        <v>6803</v>
      </c>
      <c r="W883" t="s">
        <v>6804</v>
      </c>
      <c r="X883">
        <v>110016781</v>
      </c>
      <c r="Y883" t="s">
        <v>485</v>
      </c>
      <c r="Z883" s="2" t="s">
        <v>6805</v>
      </c>
      <c r="AA883" t="s">
        <v>122</v>
      </c>
      <c r="AB883" t="s">
        <v>486</v>
      </c>
      <c r="AG883" t="s">
        <v>6806</v>
      </c>
      <c r="AH883" t="s">
        <v>6807</v>
      </c>
      <c r="AI883" t="s">
        <v>6808</v>
      </c>
    </row>
    <row r="884" spans="2:35" ht="409.5">
      <c r="B884" s="1">
        <v>45966</v>
      </c>
      <c r="C884" s="1">
        <v>45966</v>
      </c>
      <c r="D884" t="s">
        <v>6809</v>
      </c>
      <c r="E884" t="s">
        <v>6810</v>
      </c>
      <c r="F884">
        <v>11</v>
      </c>
      <c r="G884" t="s">
        <v>201</v>
      </c>
      <c r="H884" t="s">
        <v>202</v>
      </c>
      <c r="I884" t="s">
        <v>40</v>
      </c>
      <c r="J884" s="2" t="s">
        <v>41</v>
      </c>
      <c r="K884" t="s">
        <v>42</v>
      </c>
      <c r="L884" t="s">
        <v>204</v>
      </c>
      <c r="N884" t="s">
        <v>205</v>
      </c>
      <c r="Q884">
        <v>31662</v>
      </c>
      <c r="R884" t="s">
        <v>119</v>
      </c>
      <c r="S884" t="s">
        <v>6811</v>
      </c>
      <c r="T884">
        <v>27.8</v>
      </c>
      <c r="U884" s="2" t="s">
        <v>6812</v>
      </c>
      <c r="V884" s="1">
        <v>45945</v>
      </c>
      <c r="W884" t="s">
        <v>208</v>
      </c>
      <c r="X884">
        <v>838490</v>
      </c>
      <c r="Y884" s="2" t="s">
        <v>6813</v>
      </c>
      <c r="Z884" s="2" t="s">
        <v>6814</v>
      </c>
      <c r="AA884" t="s">
        <v>2560</v>
      </c>
      <c r="AB884" t="s">
        <v>1211</v>
      </c>
      <c r="AD884" t="s">
        <v>6815</v>
      </c>
      <c r="AE884" t="s">
        <v>6816</v>
      </c>
      <c r="AG884" t="s">
        <v>6817</v>
      </c>
      <c r="AH884" t="s">
        <v>6818</v>
      </c>
      <c r="AI884" t="s">
        <v>6819</v>
      </c>
    </row>
    <row r="885" spans="2:35" ht="375">
      <c r="B885" s="1">
        <v>45966</v>
      </c>
      <c r="C885" s="1">
        <v>45966</v>
      </c>
      <c r="D885" t="s">
        <v>2272</v>
      </c>
      <c r="E885" t="s">
        <v>2282</v>
      </c>
      <c r="F885" t="s">
        <v>148</v>
      </c>
      <c r="G885" t="s">
        <v>310</v>
      </c>
      <c r="H885" t="s">
        <v>2274</v>
      </c>
      <c r="I885" t="s">
        <v>40</v>
      </c>
      <c r="J885" s="2" t="s">
        <v>62</v>
      </c>
      <c r="K885" t="s">
        <v>387</v>
      </c>
      <c r="L885" t="s">
        <v>1943</v>
      </c>
      <c r="N885" t="s">
        <v>1944</v>
      </c>
      <c r="O885" t="s">
        <v>2275</v>
      </c>
      <c r="Q885">
        <v>31661</v>
      </c>
      <c r="R885" t="s">
        <v>95</v>
      </c>
      <c r="S885" t="s">
        <v>2276</v>
      </c>
      <c r="T885">
        <v>25</v>
      </c>
      <c r="W885" t="s">
        <v>390</v>
      </c>
      <c r="X885" t="s">
        <v>2277</v>
      </c>
      <c r="Y885" s="2" t="s">
        <v>6820</v>
      </c>
      <c r="Z885" t="s">
        <v>6821</v>
      </c>
      <c r="AA885" s="2" t="s">
        <v>6822</v>
      </c>
      <c r="AB885" t="s">
        <v>88</v>
      </c>
      <c r="AG885" t="s">
        <v>6823</v>
      </c>
      <c r="AH885" t="s">
        <v>6824</v>
      </c>
      <c r="AI885" t="s">
        <v>6825</v>
      </c>
    </row>
    <row r="886" spans="2:35" ht="409.5">
      <c r="B886" s="1">
        <v>45966</v>
      </c>
      <c r="C886" s="1">
        <v>45966</v>
      </c>
      <c r="D886" t="s">
        <v>2272</v>
      </c>
      <c r="E886" t="s">
        <v>2282</v>
      </c>
      <c r="F886" t="s">
        <v>148</v>
      </c>
      <c r="G886" t="s">
        <v>310</v>
      </c>
      <c r="H886" t="s">
        <v>662</v>
      </c>
      <c r="I886" t="s">
        <v>40</v>
      </c>
      <c r="J886" t="s">
        <v>109</v>
      </c>
      <c r="K886" t="s">
        <v>42</v>
      </c>
      <c r="L886" t="s">
        <v>1943</v>
      </c>
      <c r="N886" t="s">
        <v>1944</v>
      </c>
      <c r="Q886">
        <v>31660</v>
      </c>
      <c r="R886" t="s">
        <v>95</v>
      </c>
      <c r="S886" t="s">
        <v>6826</v>
      </c>
      <c r="T886">
        <v>25</v>
      </c>
      <c r="W886" t="s">
        <v>84</v>
      </c>
      <c r="X886">
        <v>835607</v>
      </c>
      <c r="Y886" t="s">
        <v>2099</v>
      </c>
      <c r="Z886" t="s">
        <v>2100</v>
      </c>
      <c r="AA886" s="2" t="s">
        <v>2101</v>
      </c>
      <c r="AB886" t="s">
        <v>88</v>
      </c>
      <c r="AG886" t="s">
        <v>6827</v>
      </c>
      <c r="AH886" t="s">
        <v>6828</v>
      </c>
      <c r="AI886" t="s">
        <v>6829</v>
      </c>
    </row>
    <row r="887" spans="2:35" ht="409.5">
      <c r="B887" s="1">
        <v>45966</v>
      </c>
      <c r="C887" s="1">
        <v>45966</v>
      </c>
      <c r="D887" t="s">
        <v>2272</v>
      </c>
      <c r="E887" t="s">
        <v>2282</v>
      </c>
      <c r="F887" t="s">
        <v>148</v>
      </c>
      <c r="G887" t="s">
        <v>310</v>
      </c>
      <c r="H887" t="s">
        <v>5042</v>
      </c>
      <c r="I887" t="s">
        <v>40</v>
      </c>
      <c r="J887" t="s">
        <v>109</v>
      </c>
      <c r="K887" t="s">
        <v>42</v>
      </c>
      <c r="L887" t="s">
        <v>1943</v>
      </c>
      <c r="N887" t="s">
        <v>1944</v>
      </c>
      <c r="Q887">
        <v>31659</v>
      </c>
      <c r="R887" t="s">
        <v>95</v>
      </c>
      <c r="S887" t="s">
        <v>6830</v>
      </c>
      <c r="T887">
        <v>25</v>
      </c>
      <c r="W887" t="s">
        <v>373</v>
      </c>
      <c r="X887">
        <v>120002026</v>
      </c>
      <c r="Y887" t="s">
        <v>2099</v>
      </c>
      <c r="Z887" t="s">
        <v>2100</v>
      </c>
      <c r="AA887" s="2" t="s">
        <v>2101</v>
      </c>
      <c r="AB887" t="s">
        <v>6831</v>
      </c>
      <c r="AG887" t="s">
        <v>6832</v>
      </c>
      <c r="AH887" t="s">
        <v>6833</v>
      </c>
      <c r="AI887" t="s">
        <v>6834</v>
      </c>
    </row>
    <row r="888" spans="2:35" ht="409.5">
      <c r="B888" s="1">
        <v>45966</v>
      </c>
      <c r="C888" s="1">
        <v>45966</v>
      </c>
      <c r="D888" t="s">
        <v>6835</v>
      </c>
      <c r="E888" t="s">
        <v>6836</v>
      </c>
      <c r="F888" t="s">
        <v>148</v>
      </c>
      <c r="G888" t="s">
        <v>310</v>
      </c>
      <c r="H888" t="s">
        <v>39</v>
      </c>
      <c r="I888" t="s">
        <v>40</v>
      </c>
      <c r="J888" s="2" t="s">
        <v>609</v>
      </c>
      <c r="K888" t="s">
        <v>42</v>
      </c>
      <c r="L888" t="s">
        <v>1943</v>
      </c>
      <c r="N888" t="s">
        <v>1944</v>
      </c>
      <c r="Q888">
        <v>31658</v>
      </c>
      <c r="R888" t="s">
        <v>95</v>
      </c>
      <c r="S888" t="s">
        <v>6837</v>
      </c>
      <c r="T888">
        <v>25</v>
      </c>
      <c r="W888" t="s">
        <v>84</v>
      </c>
      <c r="X888">
        <v>835540</v>
      </c>
      <c r="Y888" s="2" t="s">
        <v>6838</v>
      </c>
      <c r="Z888" t="s">
        <v>6839</v>
      </c>
      <c r="AA888" s="2" t="s">
        <v>6840</v>
      </c>
      <c r="AB888" t="s">
        <v>88</v>
      </c>
      <c r="AG888" t="s">
        <v>6841</v>
      </c>
      <c r="AH888" t="s">
        <v>6842</v>
      </c>
      <c r="AI888" t="s">
        <v>6843</v>
      </c>
    </row>
    <row r="889" spans="2:35" ht="409.5">
      <c r="B889" s="1">
        <v>45965</v>
      </c>
      <c r="C889" s="1">
        <v>45964</v>
      </c>
      <c r="D889" t="s">
        <v>6844</v>
      </c>
      <c r="E889" t="s">
        <v>6845</v>
      </c>
      <c r="F889">
        <v>12</v>
      </c>
      <c r="G889" t="s">
        <v>294</v>
      </c>
      <c r="H889" t="s">
        <v>1473</v>
      </c>
      <c r="I889" t="s">
        <v>40</v>
      </c>
      <c r="J889" s="2" t="s">
        <v>41</v>
      </c>
      <c r="K889" t="s">
        <v>42</v>
      </c>
      <c r="L889" t="s">
        <v>296</v>
      </c>
      <c r="N889" t="s">
        <v>297</v>
      </c>
      <c r="Q889">
        <v>31657</v>
      </c>
      <c r="R889" t="s">
        <v>119</v>
      </c>
      <c r="S889" t="s">
        <v>6846</v>
      </c>
      <c r="T889">
        <v>26.1</v>
      </c>
      <c r="U889" s="2" t="s">
        <v>6847</v>
      </c>
      <c r="V889" s="1">
        <v>45964</v>
      </c>
      <c r="W889" t="s">
        <v>981</v>
      </c>
      <c r="X889">
        <v>838261</v>
      </c>
      <c r="Y889" t="s">
        <v>6848</v>
      </c>
      <c r="Z889" s="2" t="s">
        <v>6849</v>
      </c>
      <c r="AA889" s="2" t="s">
        <v>1490</v>
      </c>
      <c r="AB889" t="s">
        <v>972</v>
      </c>
      <c r="AD889" t="s">
        <v>6850</v>
      </c>
      <c r="AE889" t="s">
        <v>6851</v>
      </c>
      <c r="AG889" t="s">
        <v>6852</v>
      </c>
      <c r="AH889" t="s">
        <v>6853</v>
      </c>
      <c r="AI889" t="s">
        <v>6854</v>
      </c>
    </row>
    <row r="890" spans="2:35" ht="255">
      <c r="B890" s="1">
        <v>45965</v>
      </c>
      <c r="C890" s="1">
        <v>45959</v>
      </c>
      <c r="D890" t="s">
        <v>4125</v>
      </c>
      <c r="E890" t="s">
        <v>4126</v>
      </c>
      <c r="F890">
        <v>5</v>
      </c>
      <c r="G890" t="s">
        <v>759</v>
      </c>
      <c r="H890" t="s">
        <v>39</v>
      </c>
      <c r="I890" t="s">
        <v>40</v>
      </c>
      <c r="J890" t="s">
        <v>79</v>
      </c>
      <c r="K890" t="s">
        <v>42</v>
      </c>
      <c r="L890" t="s">
        <v>761</v>
      </c>
      <c r="N890" t="s">
        <v>762</v>
      </c>
      <c r="Q890">
        <v>31656</v>
      </c>
      <c r="R890" t="s">
        <v>322</v>
      </c>
      <c r="S890" t="s">
        <v>6855</v>
      </c>
      <c r="T890">
        <v>19</v>
      </c>
      <c r="U890" s="2" t="s">
        <v>6856</v>
      </c>
      <c r="W890" t="s">
        <v>817</v>
      </c>
      <c r="X890">
        <v>110026767</v>
      </c>
      <c r="Y890" t="s">
        <v>6857</v>
      </c>
      <c r="Z890" s="2" t="s">
        <v>6858</v>
      </c>
      <c r="AA890" t="s">
        <v>6859</v>
      </c>
      <c r="AB890" s="2" t="s">
        <v>2996</v>
      </c>
      <c r="AG890" t="s">
        <v>6860</v>
      </c>
      <c r="AH890" t="s">
        <v>6861</v>
      </c>
      <c r="AI890" t="s">
        <v>6862</v>
      </c>
    </row>
    <row r="891" spans="2:35" ht="90">
      <c r="B891" s="1">
        <v>45964</v>
      </c>
      <c r="C891" s="1">
        <v>45964</v>
      </c>
      <c r="D891" t="s">
        <v>6863</v>
      </c>
      <c r="E891" t="s">
        <v>6864</v>
      </c>
      <c r="F891">
        <v>11</v>
      </c>
      <c r="G891" t="s">
        <v>1205</v>
      </c>
      <c r="H891" t="s">
        <v>6865</v>
      </c>
      <c r="I891" t="s">
        <v>40</v>
      </c>
      <c r="J891" s="2" t="s">
        <v>355</v>
      </c>
      <c r="K891" t="s">
        <v>387</v>
      </c>
      <c r="L891" t="s">
        <v>204</v>
      </c>
      <c r="N891" t="s">
        <v>205</v>
      </c>
      <c r="O891" t="s">
        <v>2867</v>
      </c>
      <c r="Q891">
        <v>31655</v>
      </c>
      <c r="R891" t="s">
        <v>95</v>
      </c>
      <c r="S891" t="s">
        <v>6866</v>
      </c>
      <c r="T891">
        <v>25.4</v>
      </c>
      <c r="W891" t="s">
        <v>390</v>
      </c>
      <c r="X891" t="s">
        <v>6867</v>
      </c>
      <c r="Y891" t="s">
        <v>6868</v>
      </c>
      <c r="Z891" t="s">
        <v>6869</v>
      </c>
      <c r="AA891" t="s">
        <v>6319</v>
      </c>
      <c r="AB891" t="s">
        <v>364</v>
      </c>
      <c r="AG891" t="s">
        <v>6870</v>
      </c>
      <c r="AH891" t="s">
        <v>6871</v>
      </c>
      <c r="AI891" t="s">
        <v>6872</v>
      </c>
    </row>
    <row r="892" spans="2:35" ht="285">
      <c r="B892" s="1">
        <v>45964</v>
      </c>
      <c r="C892" s="1">
        <v>45960</v>
      </c>
      <c r="D892" t="s">
        <v>6873</v>
      </c>
      <c r="E892" t="s">
        <v>5952</v>
      </c>
      <c r="F892" t="s">
        <v>37</v>
      </c>
      <c r="G892" t="s">
        <v>78</v>
      </c>
      <c r="H892" t="s">
        <v>386</v>
      </c>
      <c r="I892" t="s">
        <v>40</v>
      </c>
      <c r="J892" t="s">
        <v>109</v>
      </c>
      <c r="K892" t="s">
        <v>387</v>
      </c>
      <c r="L892" t="s">
        <v>43</v>
      </c>
      <c r="N892" t="s">
        <v>44</v>
      </c>
      <c r="Q892">
        <v>31654</v>
      </c>
      <c r="R892" t="s">
        <v>95</v>
      </c>
      <c r="S892" t="s">
        <v>5953</v>
      </c>
      <c r="T892">
        <v>22</v>
      </c>
      <c r="W892" t="s">
        <v>390</v>
      </c>
      <c r="X892" t="s">
        <v>5954</v>
      </c>
      <c r="Y892" t="s">
        <v>121</v>
      </c>
      <c r="Z892" t="s">
        <v>122</v>
      </c>
      <c r="AA892" s="2" t="s">
        <v>6874</v>
      </c>
      <c r="AB892" s="2" t="s">
        <v>6875</v>
      </c>
      <c r="AG892" t="s">
        <v>6876</v>
      </c>
      <c r="AH892" t="s">
        <v>6877</v>
      </c>
      <c r="AI892" t="s">
        <v>6878</v>
      </c>
    </row>
    <row r="893" spans="2:35" ht="105">
      <c r="B893" s="1">
        <v>45964</v>
      </c>
      <c r="C893" s="1">
        <v>45959</v>
      </c>
      <c r="D893" t="s">
        <v>1057</v>
      </c>
      <c r="E893" t="s">
        <v>1058</v>
      </c>
      <c r="F893">
        <v>1</v>
      </c>
      <c r="G893" t="s">
        <v>1046</v>
      </c>
      <c r="H893" t="s">
        <v>39</v>
      </c>
      <c r="I893" t="s">
        <v>40</v>
      </c>
      <c r="J893" t="s">
        <v>109</v>
      </c>
      <c r="K893" t="s">
        <v>42</v>
      </c>
      <c r="L893" t="s">
        <v>1048</v>
      </c>
      <c r="N893" t="s">
        <v>1049</v>
      </c>
      <c r="Q893">
        <v>31653</v>
      </c>
      <c r="R893" t="s">
        <v>95</v>
      </c>
      <c r="S893" t="s">
        <v>1059</v>
      </c>
      <c r="T893">
        <v>30</v>
      </c>
      <c r="W893" t="s">
        <v>1051</v>
      </c>
      <c r="X893">
        <v>820303</v>
      </c>
      <c r="Y893" t="s">
        <v>1052</v>
      </c>
      <c r="Z893" t="e">
        <f ca="1">- cleaned cartridge Bays, plunger Rods _xludf.and I-CORE
- generated reports</f>
        <v>#NAME?</v>
      </c>
      <c r="AA893" t="s">
        <v>820</v>
      </c>
      <c r="AB893" s="2" t="s">
        <v>6879</v>
      </c>
      <c r="AG893" t="s">
        <v>6880</v>
      </c>
      <c r="AH893" t="s">
        <v>3393</v>
      </c>
      <c r="AI893" t="s">
        <v>6881</v>
      </c>
    </row>
    <row r="894" spans="2:35" ht="225">
      <c r="B894" s="1">
        <v>45960</v>
      </c>
      <c r="C894" s="1">
        <v>45960</v>
      </c>
      <c r="D894" t="s">
        <v>6882</v>
      </c>
      <c r="E894" t="s">
        <v>5757</v>
      </c>
      <c r="F894" t="s">
        <v>148</v>
      </c>
      <c r="G894" t="s">
        <v>447</v>
      </c>
      <c r="H894" t="s">
        <v>39</v>
      </c>
      <c r="I894" t="s">
        <v>40</v>
      </c>
      <c r="J894" t="s">
        <v>79</v>
      </c>
      <c r="K894" t="s">
        <v>649</v>
      </c>
      <c r="L894" t="s">
        <v>80</v>
      </c>
      <c r="N894" t="s">
        <v>81</v>
      </c>
      <c r="Q894">
        <v>31652</v>
      </c>
      <c r="R894" t="s">
        <v>95</v>
      </c>
      <c r="S894" t="s">
        <v>6883</v>
      </c>
      <c r="T894">
        <v>25</v>
      </c>
      <c r="V894" s="1">
        <v>45960</v>
      </c>
      <c r="W894" t="s">
        <v>6884</v>
      </c>
      <c r="X894">
        <v>864000000213</v>
      </c>
      <c r="Y894" t="s">
        <v>6885</v>
      </c>
      <c r="Z894" s="2" t="s">
        <v>6886</v>
      </c>
      <c r="AA894" t="s">
        <v>6887</v>
      </c>
      <c r="AB894" t="s">
        <v>88</v>
      </c>
      <c r="AD894" t="s">
        <v>6888</v>
      </c>
      <c r="AE894" t="s">
        <v>6889</v>
      </c>
      <c r="AG894" t="s">
        <v>6890</v>
      </c>
      <c r="AH894" t="s">
        <v>6891</v>
      </c>
      <c r="AI894" t="s">
        <v>6892</v>
      </c>
    </row>
    <row r="895" spans="2:35" ht="345">
      <c r="B895" s="1">
        <v>45960</v>
      </c>
      <c r="C895" s="1">
        <v>45960</v>
      </c>
      <c r="D895" t="s">
        <v>1316</v>
      </c>
      <c r="E895" t="s">
        <v>6893</v>
      </c>
      <c r="F895">
        <v>11</v>
      </c>
      <c r="G895" t="s">
        <v>1205</v>
      </c>
      <c r="H895" t="s">
        <v>1317</v>
      </c>
      <c r="I895" t="s">
        <v>40</v>
      </c>
      <c r="J895" t="s">
        <v>109</v>
      </c>
      <c r="K895" t="s">
        <v>42</v>
      </c>
      <c r="L895" t="s">
        <v>204</v>
      </c>
      <c r="N895" t="s">
        <v>205</v>
      </c>
      <c r="Q895">
        <v>31651</v>
      </c>
      <c r="R895" t="s">
        <v>322</v>
      </c>
      <c r="S895" t="s">
        <v>1318</v>
      </c>
      <c r="T895">
        <v>27.5</v>
      </c>
      <c r="U895" s="2" t="s">
        <v>6894</v>
      </c>
      <c r="W895" t="s">
        <v>208</v>
      </c>
      <c r="X895">
        <v>839236</v>
      </c>
      <c r="Y895" t="s">
        <v>1052</v>
      </c>
      <c r="Z895" s="2" t="s">
        <v>6895</v>
      </c>
      <c r="AA895" t="s">
        <v>2551</v>
      </c>
      <c r="AB895" s="2" t="s">
        <v>6896</v>
      </c>
      <c r="AC895" t="s">
        <v>6897</v>
      </c>
      <c r="AG895" t="s">
        <v>6898</v>
      </c>
      <c r="AH895" t="s">
        <v>6899</v>
      </c>
      <c r="AI895" t="s">
        <v>6900</v>
      </c>
    </row>
    <row r="896" spans="2:35" ht="409.5">
      <c r="B896" s="1">
        <v>45959</v>
      </c>
      <c r="C896" s="1">
        <v>45959</v>
      </c>
      <c r="D896" t="s">
        <v>6751</v>
      </c>
      <c r="E896" t="s">
        <v>6752</v>
      </c>
      <c r="F896" t="s">
        <v>148</v>
      </c>
      <c r="G896" t="s">
        <v>310</v>
      </c>
      <c r="H896" t="s">
        <v>39</v>
      </c>
      <c r="I896" t="s">
        <v>40</v>
      </c>
      <c r="J896" t="s">
        <v>79</v>
      </c>
      <c r="K896" t="s">
        <v>42</v>
      </c>
      <c r="L896" t="s">
        <v>857</v>
      </c>
      <c r="N896" t="s">
        <v>858</v>
      </c>
      <c r="Q896">
        <v>31650</v>
      </c>
      <c r="R896" t="s">
        <v>322</v>
      </c>
      <c r="S896" t="s">
        <v>859</v>
      </c>
      <c r="T896">
        <v>21</v>
      </c>
      <c r="V896" s="1">
        <v>45958</v>
      </c>
      <c r="W896" t="s">
        <v>6901</v>
      </c>
      <c r="X896">
        <v>809643</v>
      </c>
      <c r="Y896" s="2" t="s">
        <v>6902</v>
      </c>
      <c r="Z896" s="2" t="s">
        <v>6903</v>
      </c>
      <c r="AA896" s="2" t="s">
        <v>6904</v>
      </c>
      <c r="AB896" t="s">
        <v>181</v>
      </c>
      <c r="AD896" s="2" t="s">
        <v>6905</v>
      </c>
      <c r="AE896" t="s">
        <v>6906</v>
      </c>
      <c r="AG896" t="s">
        <v>6907</v>
      </c>
      <c r="AH896" t="s">
        <v>6908</v>
      </c>
      <c r="AI896" t="s">
        <v>6909</v>
      </c>
    </row>
    <row r="897" spans="2:35" ht="330">
      <c r="B897" s="1">
        <v>45959</v>
      </c>
      <c r="C897" s="1">
        <v>45959</v>
      </c>
      <c r="D897" t="s">
        <v>146</v>
      </c>
      <c r="E897" t="s">
        <v>4822</v>
      </c>
      <c r="F897" t="s">
        <v>148</v>
      </c>
      <c r="G897" t="s">
        <v>149</v>
      </c>
      <c r="H897" t="s">
        <v>386</v>
      </c>
      <c r="I897" t="s">
        <v>40</v>
      </c>
      <c r="J897" t="s">
        <v>109</v>
      </c>
      <c r="K897" t="s">
        <v>387</v>
      </c>
      <c r="L897" t="s">
        <v>43</v>
      </c>
      <c r="N897" t="s">
        <v>44</v>
      </c>
      <c r="O897" t="s">
        <v>388</v>
      </c>
      <c r="Q897">
        <v>31649</v>
      </c>
      <c r="R897" t="s">
        <v>95</v>
      </c>
      <c r="S897" t="s">
        <v>389</v>
      </c>
      <c r="T897">
        <v>22</v>
      </c>
      <c r="W897" t="s">
        <v>390</v>
      </c>
      <c r="X897" t="s">
        <v>391</v>
      </c>
      <c r="Y897" t="s">
        <v>121</v>
      </c>
      <c r="Z897" t="s">
        <v>122</v>
      </c>
      <c r="AA897" s="2" t="s">
        <v>6910</v>
      </c>
      <c r="AB897" t="s">
        <v>88</v>
      </c>
      <c r="AG897" t="s">
        <v>6911</v>
      </c>
      <c r="AH897" t="s">
        <v>6912</v>
      </c>
      <c r="AI897" t="s">
        <v>6913</v>
      </c>
    </row>
    <row r="898" spans="2:35" ht="409.5">
      <c r="B898" s="1">
        <v>45959</v>
      </c>
      <c r="C898" s="1">
        <v>45958</v>
      </c>
      <c r="D898" t="s">
        <v>5903</v>
      </c>
      <c r="E898" t="s">
        <v>2569</v>
      </c>
      <c r="F898" t="s">
        <v>148</v>
      </c>
      <c r="G898" t="s">
        <v>447</v>
      </c>
      <c r="H898" t="s">
        <v>6914</v>
      </c>
      <c r="I898" t="s">
        <v>40</v>
      </c>
      <c r="J898" t="s">
        <v>109</v>
      </c>
      <c r="K898" t="s">
        <v>387</v>
      </c>
      <c r="L898" t="s">
        <v>448</v>
      </c>
      <c r="N898" t="s">
        <v>650</v>
      </c>
      <c r="O898" t="s">
        <v>5904</v>
      </c>
      <c r="Q898">
        <v>31648</v>
      </c>
      <c r="R898" t="s">
        <v>322</v>
      </c>
      <c r="S898" t="s">
        <v>5905</v>
      </c>
      <c r="T898">
        <v>26</v>
      </c>
      <c r="W898" t="s">
        <v>476</v>
      </c>
      <c r="X898" t="s">
        <v>5906</v>
      </c>
      <c r="Y898" s="2" t="s">
        <v>6915</v>
      </c>
      <c r="Z898" s="2" t="s">
        <v>6718</v>
      </c>
      <c r="AA898" t="s">
        <v>122</v>
      </c>
      <c r="AB898" t="s">
        <v>6916</v>
      </c>
      <c r="AG898" t="s">
        <v>6917</v>
      </c>
      <c r="AH898" t="s">
        <v>5912</v>
      </c>
      <c r="AI898" t="s">
        <v>6918</v>
      </c>
    </row>
    <row r="899" spans="2:35" ht="345">
      <c r="B899" s="1">
        <v>45958</v>
      </c>
      <c r="C899" s="1">
        <v>45953</v>
      </c>
      <c r="D899" t="s">
        <v>6919</v>
      </c>
      <c r="E899" t="s">
        <v>510</v>
      </c>
      <c r="F899" t="s">
        <v>511</v>
      </c>
      <c r="G899" t="s">
        <v>512</v>
      </c>
      <c r="H899" t="s">
        <v>39</v>
      </c>
      <c r="I899" t="s">
        <v>40</v>
      </c>
      <c r="J899" t="s">
        <v>79</v>
      </c>
      <c r="K899" t="s">
        <v>42</v>
      </c>
      <c r="L899" t="s">
        <v>1048</v>
      </c>
      <c r="N899" t="s">
        <v>1049</v>
      </c>
      <c r="Q899">
        <v>31647</v>
      </c>
      <c r="R899" t="s">
        <v>119</v>
      </c>
      <c r="S899" t="s">
        <v>6920</v>
      </c>
      <c r="T899">
        <v>22</v>
      </c>
      <c r="V899" s="1">
        <v>45947</v>
      </c>
      <c r="W899" t="s">
        <v>1051</v>
      </c>
      <c r="X899">
        <v>838281</v>
      </c>
      <c r="Y899" t="s">
        <v>1924</v>
      </c>
      <c r="Z899" s="2" t="s">
        <v>6921</v>
      </c>
      <c r="AA899" t="s">
        <v>1926</v>
      </c>
      <c r="AB899" t="s">
        <v>1428</v>
      </c>
      <c r="AD899" t="s">
        <v>6922</v>
      </c>
      <c r="AE899" t="s">
        <v>6923</v>
      </c>
      <c r="AG899" t="s">
        <v>6924</v>
      </c>
      <c r="AH899" t="s">
        <v>6925</v>
      </c>
      <c r="AI899" t="s">
        <v>6926</v>
      </c>
    </row>
    <row r="900" spans="2:35">
      <c r="B900" s="1">
        <v>45958</v>
      </c>
      <c r="C900" s="1">
        <v>45951</v>
      </c>
      <c r="D900" t="s">
        <v>1907</v>
      </c>
      <c r="E900" t="s">
        <v>6927</v>
      </c>
      <c r="F900">
        <v>1</v>
      </c>
      <c r="G900" t="s">
        <v>1909</v>
      </c>
      <c r="H900" t="s">
        <v>61</v>
      </c>
      <c r="I900" t="s">
        <v>40</v>
      </c>
      <c r="J900" t="s">
        <v>996</v>
      </c>
      <c r="K900" t="s">
        <v>42</v>
      </c>
      <c r="L900" t="s">
        <v>1048</v>
      </c>
      <c r="N900" t="s">
        <v>1049</v>
      </c>
      <c r="Q900">
        <v>31646</v>
      </c>
      <c r="R900" t="s">
        <v>322</v>
      </c>
      <c r="S900" t="s">
        <v>6928</v>
      </c>
      <c r="T900">
        <v>29</v>
      </c>
      <c r="V900" s="1">
        <v>45939</v>
      </c>
      <c r="W900" t="s">
        <v>1424</v>
      </c>
      <c r="X900">
        <v>120003504</v>
      </c>
      <c r="Y900" t="s">
        <v>6929</v>
      </c>
      <c r="Z900" t="e">
        <f ca="1">- cleaned cartridge Bays, plunger Rods _xludf.and I-CORE
- performed XpertCheck
- generated reports</f>
        <v>#NAME?</v>
      </c>
      <c r="AA900" t="s">
        <v>6930</v>
      </c>
      <c r="AB900" t="s">
        <v>6931</v>
      </c>
      <c r="AD900" t="s">
        <v>1958</v>
      </c>
      <c r="AE900" t="s">
        <v>6932</v>
      </c>
      <c r="AG900" t="s">
        <v>6933</v>
      </c>
      <c r="AH900" t="s">
        <v>6934</v>
      </c>
      <c r="AI900" t="s">
        <v>6935</v>
      </c>
    </row>
    <row r="901" spans="2:35" ht="375">
      <c r="B901" s="1">
        <v>45958</v>
      </c>
      <c r="C901" s="1">
        <v>45958</v>
      </c>
      <c r="D901" t="s">
        <v>5645</v>
      </c>
      <c r="E901" t="s">
        <v>5652</v>
      </c>
      <c r="F901" t="s">
        <v>1255</v>
      </c>
      <c r="G901" t="s">
        <v>1887</v>
      </c>
      <c r="H901" t="s">
        <v>1473</v>
      </c>
      <c r="I901" t="s">
        <v>40</v>
      </c>
      <c r="J901" t="s">
        <v>109</v>
      </c>
      <c r="K901" t="s">
        <v>42</v>
      </c>
      <c r="L901" t="s">
        <v>296</v>
      </c>
      <c r="N901" t="s">
        <v>297</v>
      </c>
      <c r="Q901">
        <v>31645</v>
      </c>
      <c r="R901" t="s">
        <v>967</v>
      </c>
      <c r="S901" t="s">
        <v>5646</v>
      </c>
      <c r="T901">
        <v>27.1</v>
      </c>
      <c r="U901" s="2" t="s">
        <v>6936</v>
      </c>
      <c r="W901" t="s">
        <v>970</v>
      </c>
      <c r="X901">
        <v>110023524</v>
      </c>
      <c r="Y901" t="s">
        <v>301</v>
      </c>
      <c r="Z901" s="2" t="s">
        <v>5046</v>
      </c>
      <c r="AA901" t="s">
        <v>303</v>
      </c>
      <c r="AB901" t="s">
        <v>972</v>
      </c>
      <c r="AG901" t="s">
        <v>6937</v>
      </c>
      <c r="AH901" t="s">
        <v>5650</v>
      </c>
      <c r="AI901" t="s">
        <v>6938</v>
      </c>
    </row>
    <row r="902" spans="2:35" ht="375">
      <c r="B902" s="1">
        <v>45958</v>
      </c>
      <c r="C902" s="1">
        <v>45958</v>
      </c>
      <c r="D902" t="s">
        <v>5645</v>
      </c>
      <c r="E902" t="s">
        <v>5652</v>
      </c>
      <c r="F902" t="s">
        <v>1255</v>
      </c>
      <c r="G902" t="s">
        <v>1887</v>
      </c>
      <c r="H902" t="s">
        <v>1473</v>
      </c>
      <c r="I902" t="s">
        <v>40</v>
      </c>
      <c r="J902" t="s">
        <v>109</v>
      </c>
      <c r="K902" t="s">
        <v>42</v>
      </c>
      <c r="L902" t="s">
        <v>296</v>
      </c>
      <c r="N902" t="s">
        <v>297</v>
      </c>
      <c r="Q902">
        <v>31644</v>
      </c>
      <c r="R902" t="s">
        <v>967</v>
      </c>
      <c r="S902" t="s">
        <v>5646</v>
      </c>
      <c r="T902">
        <v>27.1</v>
      </c>
      <c r="U902" s="2" t="s">
        <v>6936</v>
      </c>
      <c r="W902" t="s">
        <v>970</v>
      </c>
      <c r="X902">
        <v>110023524</v>
      </c>
      <c r="Y902" t="s">
        <v>301</v>
      </c>
      <c r="Z902" s="2" t="s">
        <v>5046</v>
      </c>
      <c r="AA902" t="s">
        <v>303</v>
      </c>
      <c r="AB902" t="s">
        <v>972</v>
      </c>
      <c r="AG902" t="s">
        <v>6939</v>
      </c>
      <c r="AH902" t="s">
        <v>5650</v>
      </c>
      <c r="AI902" t="s">
        <v>6940</v>
      </c>
    </row>
    <row r="903" spans="2:35" ht="375">
      <c r="B903" s="1">
        <v>45958</v>
      </c>
      <c r="C903" s="1">
        <v>45958</v>
      </c>
      <c r="D903" t="s">
        <v>5645</v>
      </c>
      <c r="E903" t="s">
        <v>5652</v>
      </c>
      <c r="F903" t="s">
        <v>1255</v>
      </c>
      <c r="G903" t="s">
        <v>1887</v>
      </c>
      <c r="H903" t="s">
        <v>1473</v>
      </c>
      <c r="I903" t="s">
        <v>40</v>
      </c>
      <c r="J903" t="s">
        <v>109</v>
      </c>
      <c r="K903" t="s">
        <v>42</v>
      </c>
      <c r="L903" t="s">
        <v>296</v>
      </c>
      <c r="N903" t="s">
        <v>297</v>
      </c>
      <c r="Q903">
        <v>31643</v>
      </c>
      <c r="R903" t="s">
        <v>967</v>
      </c>
      <c r="S903" t="s">
        <v>5646</v>
      </c>
      <c r="T903">
        <v>27.1</v>
      </c>
      <c r="U903" s="2" t="s">
        <v>6936</v>
      </c>
      <c r="W903" t="s">
        <v>970</v>
      </c>
      <c r="X903">
        <v>110023524</v>
      </c>
      <c r="Y903" t="s">
        <v>301</v>
      </c>
      <c r="Z903" s="2" t="s">
        <v>5046</v>
      </c>
      <c r="AA903" t="s">
        <v>303</v>
      </c>
      <c r="AB903" t="s">
        <v>972</v>
      </c>
      <c r="AG903" t="s">
        <v>6941</v>
      </c>
      <c r="AH903" t="s">
        <v>5650</v>
      </c>
      <c r="AI903" t="s">
        <v>6942</v>
      </c>
    </row>
    <row r="904" spans="2:35" ht="105">
      <c r="B904" s="1">
        <v>45958</v>
      </c>
      <c r="C904" s="1">
        <v>45954</v>
      </c>
      <c r="D904" t="s">
        <v>6943</v>
      </c>
      <c r="E904" t="s">
        <v>6944</v>
      </c>
      <c r="F904">
        <v>5</v>
      </c>
      <c r="G904" t="s">
        <v>5795</v>
      </c>
      <c r="H904" t="s">
        <v>39</v>
      </c>
      <c r="I904" t="s">
        <v>94</v>
      </c>
      <c r="J904" t="s">
        <v>79</v>
      </c>
      <c r="K904" t="s">
        <v>42</v>
      </c>
      <c r="L904" t="s">
        <v>761</v>
      </c>
      <c r="N904" t="s">
        <v>762</v>
      </c>
      <c r="Q904">
        <v>31642</v>
      </c>
      <c r="R904" t="s">
        <v>119</v>
      </c>
      <c r="S904" t="s">
        <v>6945</v>
      </c>
      <c r="T904">
        <v>26</v>
      </c>
      <c r="U904" s="2" t="s">
        <v>6946</v>
      </c>
      <c r="W904" t="s">
        <v>765</v>
      </c>
      <c r="X904">
        <v>838576</v>
      </c>
      <c r="Y904" t="s">
        <v>6947</v>
      </c>
      <c r="Z904" s="2" t="s">
        <v>6948</v>
      </c>
      <c r="AA904" t="s">
        <v>6949</v>
      </c>
      <c r="AB904" t="s">
        <v>70</v>
      </c>
      <c r="AG904" t="s">
        <v>6950</v>
      </c>
      <c r="AH904" t="s">
        <v>6951</v>
      </c>
      <c r="AI904" t="s">
        <v>6952</v>
      </c>
    </row>
    <row r="905" spans="2:35" ht="390">
      <c r="B905" s="1">
        <v>45958</v>
      </c>
      <c r="C905" s="1">
        <v>45953</v>
      </c>
      <c r="D905" t="s">
        <v>6953</v>
      </c>
      <c r="E905" t="s">
        <v>6954</v>
      </c>
      <c r="F905">
        <v>5</v>
      </c>
      <c r="G905" t="s">
        <v>839</v>
      </c>
      <c r="H905" t="s">
        <v>6955</v>
      </c>
      <c r="I905" t="s">
        <v>40</v>
      </c>
      <c r="J905" s="2" t="s">
        <v>62</v>
      </c>
      <c r="K905" t="s">
        <v>42</v>
      </c>
      <c r="L905" t="s">
        <v>761</v>
      </c>
      <c r="N905" t="s">
        <v>762</v>
      </c>
      <c r="O905" t="s">
        <v>6956</v>
      </c>
      <c r="Q905">
        <v>31641</v>
      </c>
      <c r="R905" t="s">
        <v>322</v>
      </c>
      <c r="S905" t="s">
        <v>6957</v>
      </c>
      <c r="T905">
        <v>25</v>
      </c>
      <c r="W905" t="s">
        <v>817</v>
      </c>
      <c r="X905">
        <v>120003510</v>
      </c>
      <c r="Y905" s="2" t="s">
        <v>4475</v>
      </c>
      <c r="Z905" s="2" t="s">
        <v>6958</v>
      </c>
      <c r="AA905" s="2" t="s">
        <v>4477</v>
      </c>
      <c r="AB905" s="2" t="s">
        <v>2996</v>
      </c>
      <c r="AG905" t="s">
        <v>6959</v>
      </c>
      <c r="AH905" t="s">
        <v>6960</v>
      </c>
      <c r="AI905" t="s">
        <v>6961</v>
      </c>
    </row>
    <row r="906" spans="2:35" ht="345">
      <c r="B906" s="1">
        <v>45957</v>
      </c>
      <c r="C906" s="1">
        <v>45957</v>
      </c>
      <c r="D906" t="s">
        <v>6962</v>
      </c>
      <c r="E906" t="s">
        <v>5652</v>
      </c>
      <c r="F906" t="s">
        <v>1255</v>
      </c>
      <c r="G906" t="s">
        <v>1887</v>
      </c>
      <c r="H906" t="s">
        <v>2138</v>
      </c>
      <c r="I906" t="s">
        <v>40</v>
      </c>
      <c r="J906" s="2" t="s">
        <v>190</v>
      </c>
      <c r="K906" t="s">
        <v>42</v>
      </c>
      <c r="L906" t="s">
        <v>296</v>
      </c>
      <c r="N906" t="s">
        <v>297</v>
      </c>
      <c r="O906" t="s">
        <v>2867</v>
      </c>
      <c r="Q906">
        <v>31640</v>
      </c>
      <c r="R906" t="s">
        <v>322</v>
      </c>
      <c r="S906" t="s">
        <v>2139</v>
      </c>
      <c r="T906">
        <v>48</v>
      </c>
      <c r="W906" t="s">
        <v>390</v>
      </c>
      <c r="X906" t="s">
        <v>6963</v>
      </c>
      <c r="Y906" t="s">
        <v>6964</v>
      </c>
      <c r="Z906" s="2" t="s">
        <v>6965</v>
      </c>
      <c r="AA906" t="s">
        <v>6966</v>
      </c>
      <c r="AB906" s="2" t="s">
        <v>6967</v>
      </c>
      <c r="AG906" t="s">
        <v>6968</v>
      </c>
      <c r="AH906" t="s">
        <v>6969</v>
      </c>
      <c r="AI906" t="s">
        <v>6970</v>
      </c>
    </row>
    <row r="907" spans="2:35" ht="315">
      <c r="B907" s="1">
        <v>45957</v>
      </c>
      <c r="C907" s="1">
        <v>45957</v>
      </c>
      <c r="D907" t="s">
        <v>5932</v>
      </c>
      <c r="E907" t="s">
        <v>6971</v>
      </c>
      <c r="F907">
        <v>11</v>
      </c>
      <c r="G907" t="s">
        <v>2836</v>
      </c>
      <c r="H907" t="s">
        <v>202</v>
      </c>
      <c r="I907" t="s">
        <v>40</v>
      </c>
      <c r="J907" s="2" t="s">
        <v>4208</v>
      </c>
      <c r="K907" t="s">
        <v>42</v>
      </c>
      <c r="L907" t="s">
        <v>204</v>
      </c>
      <c r="N907" t="s">
        <v>205</v>
      </c>
      <c r="Q907">
        <v>31639</v>
      </c>
      <c r="R907" t="s">
        <v>119</v>
      </c>
      <c r="S907" t="s">
        <v>5934</v>
      </c>
      <c r="T907">
        <v>26.8</v>
      </c>
      <c r="U907" s="2" t="s">
        <v>6972</v>
      </c>
      <c r="V907" s="1">
        <v>45931</v>
      </c>
      <c r="W907" t="s">
        <v>208</v>
      </c>
      <c r="X907">
        <v>838553</v>
      </c>
      <c r="Y907" t="s">
        <v>6973</v>
      </c>
      <c r="Z907" s="2" t="s">
        <v>6974</v>
      </c>
      <c r="AA907" t="s">
        <v>6975</v>
      </c>
      <c r="AB907" t="s">
        <v>6976</v>
      </c>
      <c r="AE907" t="s">
        <v>6977</v>
      </c>
      <c r="AG907" t="s">
        <v>6978</v>
      </c>
      <c r="AH907" t="s">
        <v>6979</v>
      </c>
      <c r="AI907" t="s">
        <v>6980</v>
      </c>
    </row>
    <row r="908" spans="2:35" ht="60">
      <c r="B908" s="1">
        <v>45957</v>
      </c>
      <c r="C908" s="1">
        <v>45957</v>
      </c>
      <c r="D908" t="s">
        <v>6981</v>
      </c>
      <c r="E908" t="s">
        <v>6982</v>
      </c>
      <c r="F908">
        <v>8</v>
      </c>
      <c r="G908" t="s">
        <v>342</v>
      </c>
      <c r="H908" t="s">
        <v>513</v>
      </c>
      <c r="I908" t="s">
        <v>40</v>
      </c>
      <c r="J908" s="2" t="s">
        <v>62</v>
      </c>
      <c r="K908" t="s">
        <v>387</v>
      </c>
      <c r="L908" t="s">
        <v>259</v>
      </c>
      <c r="N908" t="s">
        <v>260</v>
      </c>
      <c r="O908" t="s">
        <v>6983</v>
      </c>
      <c r="Q908">
        <v>31638</v>
      </c>
      <c r="R908" t="s">
        <v>95</v>
      </c>
      <c r="S908" t="s">
        <v>6984</v>
      </c>
      <c r="T908">
        <v>28</v>
      </c>
      <c r="W908" t="s">
        <v>6985</v>
      </c>
      <c r="X908" t="s">
        <v>6986</v>
      </c>
      <c r="Y908" t="s">
        <v>67</v>
      </c>
      <c r="Z908" t="e">
        <f ca="1">- performed Preventive Maintenance
- Preformed CALIBRATION
- line sensor adjustment</f>
        <v>#NAME?</v>
      </c>
      <c r="AA908" t="e">
        <f ca="1">- Preventive Maintenance
- CALIBRATION</f>
        <v>#NAME?</v>
      </c>
      <c r="AB908" t="s">
        <v>70</v>
      </c>
      <c r="AG908" t="s">
        <v>6987</v>
      </c>
      <c r="AH908" t="s">
        <v>6988</v>
      </c>
      <c r="AI908" t="s">
        <v>6989</v>
      </c>
    </row>
    <row r="909" spans="2:35" ht="409.5">
      <c r="B909" s="1">
        <v>45957</v>
      </c>
      <c r="C909" s="1">
        <v>45954</v>
      </c>
      <c r="D909" t="s">
        <v>2005</v>
      </c>
      <c r="E909" t="s">
        <v>4260</v>
      </c>
      <c r="F909" t="s">
        <v>148</v>
      </c>
      <c r="G909" t="s">
        <v>2007</v>
      </c>
      <c r="H909" t="s">
        <v>662</v>
      </c>
      <c r="I909" t="s">
        <v>40</v>
      </c>
      <c r="J909" s="2" t="s">
        <v>190</v>
      </c>
      <c r="K909" t="s">
        <v>42</v>
      </c>
      <c r="L909" t="s">
        <v>448</v>
      </c>
      <c r="N909" t="s">
        <v>450</v>
      </c>
      <c r="Q909">
        <v>31637</v>
      </c>
      <c r="R909" t="s">
        <v>95</v>
      </c>
      <c r="S909" t="s">
        <v>4273</v>
      </c>
      <c r="T909">
        <v>24</v>
      </c>
      <c r="U909" s="2" t="s">
        <v>6990</v>
      </c>
      <c r="W909" t="s">
        <v>2010</v>
      </c>
      <c r="X909">
        <v>110026448</v>
      </c>
      <c r="Y909" t="s">
        <v>6991</v>
      </c>
      <c r="Z909" s="2" t="s">
        <v>3684</v>
      </c>
      <c r="AA909" t="s">
        <v>6992</v>
      </c>
      <c r="AB909" t="s">
        <v>486</v>
      </c>
      <c r="AG909" t="s">
        <v>6993</v>
      </c>
      <c r="AH909" t="s">
        <v>4278</v>
      </c>
      <c r="AI909" t="s">
        <v>6994</v>
      </c>
    </row>
    <row r="910" spans="2:35" ht="409.5">
      <c r="B910" s="1">
        <v>45957</v>
      </c>
      <c r="C910" s="1">
        <v>45954</v>
      </c>
      <c r="D910" t="s">
        <v>2005</v>
      </c>
      <c r="E910" t="s">
        <v>5914</v>
      </c>
      <c r="F910" t="s">
        <v>148</v>
      </c>
      <c r="G910" t="s">
        <v>2007</v>
      </c>
      <c r="H910" t="s">
        <v>150</v>
      </c>
      <c r="I910" t="s">
        <v>40</v>
      </c>
      <c r="J910" t="s">
        <v>109</v>
      </c>
      <c r="K910" t="s">
        <v>42</v>
      </c>
      <c r="L910" t="s">
        <v>448</v>
      </c>
      <c r="N910" t="s">
        <v>650</v>
      </c>
      <c r="Q910">
        <v>31636</v>
      </c>
      <c r="R910" t="s">
        <v>95</v>
      </c>
      <c r="S910" t="s">
        <v>4273</v>
      </c>
      <c r="T910">
        <v>21</v>
      </c>
      <c r="U910" s="2" t="s">
        <v>6995</v>
      </c>
      <c r="W910" t="s">
        <v>6804</v>
      </c>
      <c r="X910">
        <v>110001647</v>
      </c>
      <c r="Y910" s="2" t="s">
        <v>6996</v>
      </c>
      <c r="Z910" s="2" t="s">
        <v>2011</v>
      </c>
      <c r="AA910" t="s">
        <v>6997</v>
      </c>
      <c r="AB910" t="s">
        <v>6998</v>
      </c>
      <c r="AG910" t="s">
        <v>6999</v>
      </c>
      <c r="AH910" t="s">
        <v>7000</v>
      </c>
      <c r="AI910" t="s">
        <v>7001</v>
      </c>
    </row>
    <row r="911" spans="2:35" ht="409.5">
      <c r="B911" s="1">
        <v>45954</v>
      </c>
      <c r="C911" s="1">
        <v>45953</v>
      </c>
      <c r="D911" t="s">
        <v>4379</v>
      </c>
      <c r="E911" t="s">
        <v>4380</v>
      </c>
      <c r="F911" t="s">
        <v>148</v>
      </c>
      <c r="G911" t="s">
        <v>785</v>
      </c>
      <c r="H911" t="s">
        <v>61</v>
      </c>
      <c r="I911" t="s">
        <v>40</v>
      </c>
      <c r="J911" s="2" t="s">
        <v>41</v>
      </c>
      <c r="K911" t="s">
        <v>42</v>
      </c>
      <c r="L911" t="s">
        <v>43</v>
      </c>
      <c r="N911" t="s">
        <v>44</v>
      </c>
      <c r="O911" t="s">
        <v>7002</v>
      </c>
      <c r="Q911">
        <v>31635</v>
      </c>
      <c r="R911" t="s">
        <v>322</v>
      </c>
      <c r="S911" t="s">
        <v>4382</v>
      </c>
      <c r="T911">
        <v>24</v>
      </c>
      <c r="U911" s="2" t="s">
        <v>7003</v>
      </c>
      <c r="V911" s="1">
        <v>45947</v>
      </c>
      <c r="W911" t="s">
        <v>3178</v>
      </c>
      <c r="X911">
        <v>838627</v>
      </c>
      <c r="Y911" t="s">
        <v>7004</v>
      </c>
      <c r="Z911" t="s">
        <v>233</v>
      </c>
      <c r="AA911" s="2" t="s">
        <v>7005</v>
      </c>
      <c r="AB911" t="s">
        <v>7006</v>
      </c>
      <c r="AD911" s="2" t="s">
        <v>7007</v>
      </c>
      <c r="AE911" t="s">
        <v>7008</v>
      </c>
      <c r="AG911" t="s">
        <v>7009</v>
      </c>
      <c r="AH911" t="s">
        <v>7010</v>
      </c>
      <c r="AI911" t="s">
        <v>7011</v>
      </c>
    </row>
    <row r="912" spans="2:35" ht="180">
      <c r="B912" s="1">
        <v>45954</v>
      </c>
      <c r="C912" s="1">
        <v>45954</v>
      </c>
      <c r="D912" t="s">
        <v>5306</v>
      </c>
      <c r="E912" t="s">
        <v>5307</v>
      </c>
      <c r="F912">
        <v>2</v>
      </c>
      <c r="G912" t="s">
        <v>2668</v>
      </c>
      <c r="H912" t="s">
        <v>7012</v>
      </c>
      <c r="I912" t="s">
        <v>40</v>
      </c>
      <c r="J912" t="s">
        <v>109</v>
      </c>
      <c r="K912" t="s">
        <v>42</v>
      </c>
      <c r="L912" t="s">
        <v>63</v>
      </c>
      <c r="N912" t="s">
        <v>64</v>
      </c>
      <c r="Q912">
        <v>31634</v>
      </c>
      <c r="R912" t="s">
        <v>967</v>
      </c>
      <c r="S912" t="s">
        <v>5308</v>
      </c>
      <c r="T912">
        <v>29</v>
      </c>
      <c r="U912" s="2" t="s">
        <v>7013</v>
      </c>
      <c r="W912" t="s">
        <v>373</v>
      </c>
      <c r="X912">
        <v>110023504</v>
      </c>
      <c r="Y912" t="s">
        <v>2692</v>
      </c>
      <c r="Z912" s="2" t="s">
        <v>7014</v>
      </c>
      <c r="AA912" s="2" t="s">
        <v>7015</v>
      </c>
      <c r="AB912" t="s">
        <v>70</v>
      </c>
      <c r="AG912" t="s">
        <v>7016</v>
      </c>
      <c r="AH912" t="s">
        <v>7017</v>
      </c>
      <c r="AI912" t="s">
        <v>7018</v>
      </c>
    </row>
    <row r="913" spans="2:35" ht="165">
      <c r="B913" s="1">
        <v>45953</v>
      </c>
      <c r="C913" s="1">
        <v>45953</v>
      </c>
      <c r="D913" t="s">
        <v>7019</v>
      </c>
      <c r="E913" t="s">
        <v>7020</v>
      </c>
      <c r="F913" t="s">
        <v>148</v>
      </c>
      <c r="G913" t="s">
        <v>310</v>
      </c>
      <c r="H913" t="s">
        <v>7021</v>
      </c>
      <c r="I913" t="s">
        <v>40</v>
      </c>
      <c r="J913" s="2" t="s">
        <v>355</v>
      </c>
      <c r="K913" t="s">
        <v>42</v>
      </c>
      <c r="L913" t="s">
        <v>1943</v>
      </c>
      <c r="N913" t="s">
        <v>1944</v>
      </c>
      <c r="Q913">
        <v>31633</v>
      </c>
      <c r="R913" t="s">
        <v>322</v>
      </c>
      <c r="S913" t="s">
        <v>7022</v>
      </c>
      <c r="T913">
        <v>25</v>
      </c>
      <c r="W913" t="s">
        <v>84</v>
      </c>
      <c r="X913">
        <v>821257</v>
      </c>
      <c r="Y913" t="s">
        <v>7023</v>
      </c>
      <c r="Z913" t="s">
        <v>3775</v>
      </c>
      <c r="AA913" s="2" t="s">
        <v>7024</v>
      </c>
      <c r="AB913" t="s">
        <v>7025</v>
      </c>
      <c r="AG913" t="s">
        <v>7026</v>
      </c>
      <c r="AH913" t="s">
        <v>7027</v>
      </c>
      <c r="AI913" t="s">
        <v>7028</v>
      </c>
    </row>
    <row r="914" spans="2:35" ht="240">
      <c r="B914" s="1">
        <v>45953</v>
      </c>
      <c r="C914" s="1">
        <v>45953</v>
      </c>
      <c r="D914" t="s">
        <v>7019</v>
      </c>
      <c r="E914" t="s">
        <v>353</v>
      </c>
      <c r="F914" t="s">
        <v>148</v>
      </c>
      <c r="G914" t="s">
        <v>310</v>
      </c>
      <c r="H914" t="s">
        <v>7021</v>
      </c>
      <c r="I914" t="s">
        <v>40</v>
      </c>
      <c r="J914" t="s">
        <v>7029</v>
      </c>
      <c r="K914" t="s">
        <v>42</v>
      </c>
      <c r="L914" t="s">
        <v>1943</v>
      </c>
      <c r="N914" t="s">
        <v>1944</v>
      </c>
      <c r="Q914">
        <v>31632</v>
      </c>
      <c r="R914" t="s">
        <v>322</v>
      </c>
      <c r="S914" t="s">
        <v>7030</v>
      </c>
      <c r="T914">
        <v>25</v>
      </c>
      <c r="W914" t="s">
        <v>84</v>
      </c>
      <c r="X914">
        <v>839147</v>
      </c>
      <c r="Y914" t="s">
        <v>7031</v>
      </c>
      <c r="Z914" t="s">
        <v>7032</v>
      </c>
      <c r="AA914" s="2" t="s">
        <v>7033</v>
      </c>
      <c r="AB914" t="s">
        <v>7034</v>
      </c>
      <c r="AG914" t="s">
        <v>7035</v>
      </c>
      <c r="AH914" t="s">
        <v>7036</v>
      </c>
      <c r="AI914" t="s">
        <v>7037</v>
      </c>
    </row>
    <row r="915" spans="2:35" ht="330">
      <c r="B915" s="1">
        <v>45953</v>
      </c>
      <c r="C915" s="1">
        <v>45953</v>
      </c>
      <c r="D915" t="s">
        <v>7038</v>
      </c>
      <c r="E915" t="s">
        <v>7039</v>
      </c>
      <c r="F915">
        <v>1</v>
      </c>
      <c r="G915" t="s">
        <v>1046</v>
      </c>
      <c r="H915" t="s">
        <v>39</v>
      </c>
      <c r="I915" t="s">
        <v>40</v>
      </c>
      <c r="J915" s="2" t="s">
        <v>41</v>
      </c>
      <c r="K915" t="s">
        <v>42</v>
      </c>
      <c r="L915" t="s">
        <v>135</v>
      </c>
      <c r="N915" t="s">
        <v>136</v>
      </c>
      <c r="Q915">
        <v>31631</v>
      </c>
      <c r="R915" t="s">
        <v>119</v>
      </c>
      <c r="S915" t="s">
        <v>7040</v>
      </c>
      <c r="T915">
        <v>25</v>
      </c>
      <c r="U915" s="2" t="s">
        <v>7041</v>
      </c>
      <c r="V915" s="1">
        <v>45945</v>
      </c>
      <c r="W915" t="s">
        <v>2680</v>
      </c>
      <c r="X915">
        <v>838278</v>
      </c>
      <c r="Y915" t="s">
        <v>7042</v>
      </c>
      <c r="Z915" s="2" t="s">
        <v>7043</v>
      </c>
      <c r="AA915" s="2" t="s">
        <v>7044</v>
      </c>
      <c r="AB915" t="s">
        <v>181</v>
      </c>
      <c r="AC915" t="s">
        <v>7045</v>
      </c>
      <c r="AD915" t="s">
        <v>7046</v>
      </c>
      <c r="AE915">
        <v>13407</v>
      </c>
      <c r="AG915" t="s">
        <v>7047</v>
      </c>
      <c r="AH915" t="s">
        <v>7048</v>
      </c>
      <c r="AI915" t="s">
        <v>7049</v>
      </c>
    </row>
    <row r="916" spans="2:35" ht="45">
      <c r="B916" s="1">
        <v>45953</v>
      </c>
      <c r="C916" s="1">
        <v>45953</v>
      </c>
      <c r="D916" t="s">
        <v>7050</v>
      </c>
      <c r="E916" t="s">
        <v>7051</v>
      </c>
      <c r="F916">
        <v>9</v>
      </c>
      <c r="G916" t="s">
        <v>2197</v>
      </c>
      <c r="H916" t="s">
        <v>39</v>
      </c>
      <c r="I916" t="s">
        <v>40</v>
      </c>
      <c r="J916" s="2" t="s">
        <v>41</v>
      </c>
      <c r="K916" t="s">
        <v>387</v>
      </c>
      <c r="L916" t="s">
        <v>1257</v>
      </c>
      <c r="N916" t="s">
        <v>1258</v>
      </c>
      <c r="O916" t="s">
        <v>1258</v>
      </c>
      <c r="Q916">
        <v>31630</v>
      </c>
      <c r="R916" t="s">
        <v>95</v>
      </c>
      <c r="S916" t="s">
        <v>7052</v>
      </c>
      <c r="T916">
        <v>23</v>
      </c>
      <c r="V916" s="1">
        <v>45953</v>
      </c>
      <c r="W916" t="s">
        <v>476</v>
      </c>
      <c r="X916" t="s">
        <v>7053</v>
      </c>
      <c r="Y916" t="s">
        <v>7054</v>
      </c>
      <c r="Z916" t="s">
        <v>7055</v>
      </c>
      <c r="AA916" t="s">
        <v>7056</v>
      </c>
      <c r="AB916" t="s">
        <v>7057</v>
      </c>
      <c r="AC916" t="s">
        <v>7058</v>
      </c>
      <c r="AD916" t="s">
        <v>54</v>
      </c>
      <c r="AE916" t="s">
        <v>54</v>
      </c>
      <c r="AG916" t="s">
        <v>7059</v>
      </c>
      <c r="AH916" t="s">
        <v>7060</v>
      </c>
      <c r="AI916" t="s">
        <v>7061</v>
      </c>
    </row>
    <row r="917" spans="2:35">
      <c r="B917" s="1">
        <v>45953</v>
      </c>
      <c r="C917" s="1">
        <v>45953</v>
      </c>
      <c r="D917" t="s">
        <v>6981</v>
      </c>
      <c r="E917" t="s">
        <v>6982</v>
      </c>
      <c r="F917">
        <v>8</v>
      </c>
      <c r="G917" t="s">
        <v>342</v>
      </c>
      <c r="H917" t="s">
        <v>513</v>
      </c>
      <c r="I917" t="s">
        <v>40</v>
      </c>
      <c r="J917" t="s">
        <v>109</v>
      </c>
      <c r="K917" t="s">
        <v>387</v>
      </c>
      <c r="L917" t="s">
        <v>259</v>
      </c>
      <c r="N917" t="s">
        <v>260</v>
      </c>
      <c r="Q917">
        <v>31629</v>
      </c>
      <c r="R917" t="s">
        <v>95</v>
      </c>
      <c r="S917" t="s">
        <v>7062</v>
      </c>
      <c r="T917">
        <v>24</v>
      </c>
      <c r="V917" s="1">
        <v>45953</v>
      </c>
      <c r="W917" t="s">
        <v>7063</v>
      </c>
      <c r="X917" t="s">
        <v>6986</v>
      </c>
      <c r="Y917" t="s">
        <v>263</v>
      </c>
      <c r="Z917" t="e">
        <f ca="1">- Preventive Maintenance</f>
        <v>#NAME?</v>
      </c>
      <c r="AA917" t="e">
        <f ca="1">- Preventive Maintenance</f>
        <v>#NAME?</v>
      </c>
      <c r="AB917" t="s">
        <v>70</v>
      </c>
      <c r="AG917" t="s">
        <v>7064</v>
      </c>
      <c r="AH917" t="s">
        <v>7065</v>
      </c>
      <c r="AI917" t="s">
        <v>7066</v>
      </c>
    </row>
    <row r="918" spans="2:35" ht="165">
      <c r="B918" s="1">
        <v>45953</v>
      </c>
      <c r="C918" s="1">
        <v>45953</v>
      </c>
      <c r="D918" t="s">
        <v>7067</v>
      </c>
      <c r="E918" t="s">
        <v>7068</v>
      </c>
      <c r="F918">
        <v>2</v>
      </c>
      <c r="G918" t="s">
        <v>2723</v>
      </c>
      <c r="H918" t="s">
        <v>39</v>
      </c>
      <c r="I918" t="s">
        <v>40</v>
      </c>
      <c r="J918" s="2" t="s">
        <v>41</v>
      </c>
      <c r="K918" t="s">
        <v>42</v>
      </c>
      <c r="L918" t="s">
        <v>63</v>
      </c>
      <c r="N918" t="s">
        <v>64</v>
      </c>
      <c r="Q918">
        <v>31628</v>
      </c>
      <c r="R918" t="s">
        <v>119</v>
      </c>
      <c r="S918" t="s">
        <v>7069</v>
      </c>
      <c r="T918">
        <v>28</v>
      </c>
      <c r="U918" s="2" t="s">
        <v>7070</v>
      </c>
      <c r="W918" t="s">
        <v>66</v>
      </c>
      <c r="X918">
        <v>838465</v>
      </c>
      <c r="Y918" t="s">
        <v>7071</v>
      </c>
      <c r="Z918" s="2" t="s">
        <v>7072</v>
      </c>
      <c r="AA918" s="2" t="s">
        <v>1727</v>
      </c>
      <c r="AB918" t="s">
        <v>70</v>
      </c>
      <c r="AG918" t="s">
        <v>7073</v>
      </c>
      <c r="AH918" t="s">
        <v>7074</v>
      </c>
      <c r="AI918" t="s">
        <v>7075</v>
      </c>
    </row>
    <row r="919" spans="2:35" ht="45">
      <c r="B919" s="1">
        <v>45953</v>
      </c>
      <c r="C919" s="1">
        <v>45953</v>
      </c>
      <c r="D919" t="s">
        <v>7076</v>
      </c>
      <c r="E919" t="s">
        <v>7077</v>
      </c>
      <c r="F919">
        <v>10</v>
      </c>
      <c r="G919" t="s">
        <v>1395</v>
      </c>
      <c r="H919" t="s">
        <v>2125</v>
      </c>
      <c r="I919" t="s">
        <v>40</v>
      </c>
      <c r="J919" s="2" t="s">
        <v>41</v>
      </c>
      <c r="K919" t="s">
        <v>42</v>
      </c>
      <c r="L919" t="s">
        <v>933</v>
      </c>
      <c r="N919" t="s">
        <v>934</v>
      </c>
      <c r="Q919">
        <v>31627</v>
      </c>
      <c r="R919" t="s">
        <v>119</v>
      </c>
      <c r="S919" t="s">
        <v>7078</v>
      </c>
      <c r="T919">
        <v>28</v>
      </c>
      <c r="W919" t="s">
        <v>2127</v>
      </c>
      <c r="X919">
        <v>838575</v>
      </c>
      <c r="Y919" t="s">
        <v>7079</v>
      </c>
      <c r="Z919" t="s">
        <v>7080</v>
      </c>
      <c r="AA919" t="s">
        <v>7081</v>
      </c>
      <c r="AB919" t="s">
        <v>7082</v>
      </c>
      <c r="AG919" t="s">
        <v>7083</v>
      </c>
      <c r="AH919" t="s">
        <v>7084</v>
      </c>
      <c r="AI919" t="s">
        <v>7085</v>
      </c>
    </row>
    <row r="920" spans="2:35" ht="285">
      <c r="B920" s="1">
        <v>45952</v>
      </c>
      <c r="C920" s="1">
        <v>45952</v>
      </c>
      <c r="D920" t="s">
        <v>7086</v>
      </c>
      <c r="E920" t="s">
        <v>7087</v>
      </c>
      <c r="F920">
        <v>3</v>
      </c>
      <c r="G920" t="s">
        <v>134</v>
      </c>
      <c r="H920" t="s">
        <v>513</v>
      </c>
      <c r="I920" t="s">
        <v>94</v>
      </c>
      <c r="J920" s="2" t="s">
        <v>1309</v>
      </c>
      <c r="K920" t="s">
        <v>387</v>
      </c>
      <c r="L920" t="s">
        <v>135</v>
      </c>
      <c r="N920" t="s">
        <v>136</v>
      </c>
      <c r="O920" t="s">
        <v>7088</v>
      </c>
      <c r="Q920">
        <v>31626</v>
      </c>
      <c r="R920" t="s">
        <v>322</v>
      </c>
      <c r="S920" t="s">
        <v>7089</v>
      </c>
      <c r="T920">
        <v>25</v>
      </c>
      <c r="V920" s="1">
        <v>45951</v>
      </c>
      <c r="W920" t="s">
        <v>390</v>
      </c>
      <c r="X920" t="s">
        <v>7090</v>
      </c>
      <c r="Y920" s="2" t="s">
        <v>7091</v>
      </c>
      <c r="Z920" s="2" t="s">
        <v>7092</v>
      </c>
      <c r="AA920" s="2" t="s">
        <v>7093</v>
      </c>
      <c r="AB920" s="2" t="s">
        <v>7094</v>
      </c>
      <c r="AD920" t="s">
        <v>3838</v>
      </c>
      <c r="AE920">
        <v>101246</v>
      </c>
      <c r="AG920" t="s">
        <v>7095</v>
      </c>
      <c r="AH920" t="s">
        <v>7096</v>
      </c>
      <c r="AI920" t="s">
        <v>7097</v>
      </c>
    </row>
    <row r="921" spans="2:35" ht="165">
      <c r="B921" s="1">
        <v>45952</v>
      </c>
      <c r="C921" s="1">
        <v>45952</v>
      </c>
      <c r="D921" t="s">
        <v>5807</v>
      </c>
      <c r="E921" t="s">
        <v>7098</v>
      </c>
      <c r="F921">
        <v>5</v>
      </c>
      <c r="G921" t="s">
        <v>839</v>
      </c>
      <c r="H921" t="s">
        <v>39</v>
      </c>
      <c r="I921" t="s">
        <v>94</v>
      </c>
      <c r="J921" t="s">
        <v>79</v>
      </c>
      <c r="K921" t="s">
        <v>42</v>
      </c>
      <c r="L921" t="s">
        <v>761</v>
      </c>
      <c r="N921" t="s">
        <v>762</v>
      </c>
      <c r="Q921">
        <v>31625</v>
      </c>
      <c r="R921" t="s">
        <v>119</v>
      </c>
      <c r="S921" t="s">
        <v>7099</v>
      </c>
      <c r="T921">
        <v>20</v>
      </c>
      <c r="U921" s="2" t="s">
        <v>7100</v>
      </c>
      <c r="W921" t="s">
        <v>765</v>
      </c>
      <c r="X921">
        <v>838408</v>
      </c>
      <c r="Y921" s="2" t="s">
        <v>7101</v>
      </c>
      <c r="Z921" s="2" t="s">
        <v>7102</v>
      </c>
      <c r="AA921" s="2" t="s">
        <v>7103</v>
      </c>
      <c r="AB921" s="2" t="s">
        <v>7104</v>
      </c>
      <c r="AC921" t="s">
        <v>7105</v>
      </c>
      <c r="AG921" t="s">
        <v>7106</v>
      </c>
      <c r="AH921" t="s">
        <v>7107</v>
      </c>
      <c r="AI921" t="s">
        <v>7108</v>
      </c>
    </row>
    <row r="922" spans="2:35" ht="255">
      <c r="B922" s="1">
        <v>45952</v>
      </c>
      <c r="C922" s="1">
        <v>45952</v>
      </c>
      <c r="D922" t="s">
        <v>5626</v>
      </c>
      <c r="E922" t="s">
        <v>7109</v>
      </c>
      <c r="F922">
        <v>12</v>
      </c>
      <c r="G922" t="s">
        <v>2137</v>
      </c>
      <c r="H922" t="s">
        <v>202</v>
      </c>
      <c r="I922" t="s">
        <v>40</v>
      </c>
      <c r="J922" t="s">
        <v>109</v>
      </c>
      <c r="K922" t="s">
        <v>42</v>
      </c>
      <c r="L922" t="s">
        <v>204</v>
      </c>
      <c r="N922" t="s">
        <v>205</v>
      </c>
      <c r="Q922">
        <v>31624</v>
      </c>
      <c r="R922" t="s">
        <v>967</v>
      </c>
      <c r="S922" t="s">
        <v>5628</v>
      </c>
      <c r="T922">
        <v>23.5</v>
      </c>
      <c r="U922" s="2" t="s">
        <v>7110</v>
      </c>
      <c r="W922" t="s">
        <v>7111</v>
      </c>
      <c r="X922">
        <v>110023521</v>
      </c>
      <c r="Y922" t="s">
        <v>2851</v>
      </c>
      <c r="Z922" s="2" t="s">
        <v>1892</v>
      </c>
      <c r="AA922" t="s">
        <v>2551</v>
      </c>
      <c r="AB922" t="s">
        <v>1211</v>
      </c>
      <c r="AG922" t="s">
        <v>7112</v>
      </c>
      <c r="AH922" t="s">
        <v>7113</v>
      </c>
      <c r="AI922" t="s">
        <v>7114</v>
      </c>
    </row>
    <row r="923" spans="2:35" ht="210">
      <c r="B923" s="1">
        <v>45952</v>
      </c>
      <c r="C923" s="1">
        <v>45952</v>
      </c>
      <c r="D923" t="s">
        <v>5199</v>
      </c>
      <c r="E923" t="s">
        <v>7115</v>
      </c>
      <c r="F923">
        <v>2</v>
      </c>
      <c r="G923" t="s">
        <v>2723</v>
      </c>
      <c r="H923" t="s">
        <v>39</v>
      </c>
      <c r="I923" t="s">
        <v>40</v>
      </c>
      <c r="J923" t="s">
        <v>109</v>
      </c>
      <c r="K923" t="s">
        <v>42</v>
      </c>
      <c r="L923" t="s">
        <v>63</v>
      </c>
      <c r="N923" t="s">
        <v>64</v>
      </c>
      <c r="Q923">
        <v>31623</v>
      </c>
      <c r="R923" t="s">
        <v>967</v>
      </c>
      <c r="S923" t="s">
        <v>7116</v>
      </c>
      <c r="T923">
        <v>28</v>
      </c>
      <c r="U923" s="2" t="s">
        <v>7117</v>
      </c>
      <c r="W923" t="s">
        <v>373</v>
      </c>
      <c r="X923">
        <v>110023503</v>
      </c>
      <c r="Y923" t="s">
        <v>2692</v>
      </c>
      <c r="Z923" s="2" t="s">
        <v>7118</v>
      </c>
      <c r="AA923" s="2" t="s">
        <v>7015</v>
      </c>
      <c r="AB923" t="s">
        <v>70</v>
      </c>
      <c r="AG923" t="s">
        <v>7119</v>
      </c>
      <c r="AH923" t="s">
        <v>5205</v>
      </c>
      <c r="AI923" t="s">
        <v>7120</v>
      </c>
    </row>
    <row r="924" spans="2:35" ht="75">
      <c r="B924" s="1">
        <v>45952</v>
      </c>
      <c r="C924" s="1">
        <v>45952</v>
      </c>
      <c r="D924" t="s">
        <v>5546</v>
      </c>
      <c r="E924" t="s">
        <v>1555</v>
      </c>
      <c r="F924">
        <v>7</v>
      </c>
      <c r="G924" t="s">
        <v>432</v>
      </c>
      <c r="H924" t="s">
        <v>39</v>
      </c>
      <c r="I924" t="s">
        <v>40</v>
      </c>
      <c r="J924" s="2" t="s">
        <v>609</v>
      </c>
      <c r="K924" t="s">
        <v>42</v>
      </c>
      <c r="L924" t="s">
        <v>433</v>
      </c>
      <c r="N924" t="s">
        <v>434</v>
      </c>
      <c r="Q924">
        <v>31622</v>
      </c>
      <c r="R924" t="s">
        <v>95</v>
      </c>
      <c r="S924" t="s">
        <v>7121</v>
      </c>
      <c r="T924">
        <v>26</v>
      </c>
      <c r="W924" t="s">
        <v>1008</v>
      </c>
      <c r="X924">
        <v>829419</v>
      </c>
      <c r="Y924" t="s">
        <v>7122</v>
      </c>
      <c r="Z924" t="s">
        <v>7123</v>
      </c>
      <c r="AA924" t="s">
        <v>7123</v>
      </c>
      <c r="AB924" t="s">
        <v>7124</v>
      </c>
      <c r="AG924" t="s">
        <v>7125</v>
      </c>
      <c r="AH924" t="s">
        <v>7126</v>
      </c>
      <c r="AI924" t="s">
        <v>7127</v>
      </c>
    </row>
    <row r="925" spans="2:35" ht="210">
      <c r="B925" s="1">
        <v>45952</v>
      </c>
      <c r="C925" s="1">
        <v>45952</v>
      </c>
      <c r="D925" t="s">
        <v>5546</v>
      </c>
      <c r="E925" t="s">
        <v>1555</v>
      </c>
      <c r="F925">
        <v>7</v>
      </c>
      <c r="G925" t="s">
        <v>432</v>
      </c>
      <c r="H925" t="s">
        <v>39</v>
      </c>
      <c r="I925" t="s">
        <v>40</v>
      </c>
      <c r="J925" t="s">
        <v>109</v>
      </c>
      <c r="K925" t="s">
        <v>42</v>
      </c>
      <c r="L925" t="s">
        <v>433</v>
      </c>
      <c r="N925" t="s">
        <v>434</v>
      </c>
      <c r="Q925">
        <v>31621</v>
      </c>
      <c r="R925" t="s">
        <v>967</v>
      </c>
      <c r="S925" t="s">
        <v>5548</v>
      </c>
      <c r="T925">
        <v>25</v>
      </c>
      <c r="W925" t="s">
        <v>1008</v>
      </c>
      <c r="X925">
        <v>110023513</v>
      </c>
      <c r="Y925" t="s">
        <v>54</v>
      </c>
      <c r="Z925" s="2" t="s">
        <v>7128</v>
      </c>
      <c r="AA925" s="2" t="s">
        <v>7128</v>
      </c>
      <c r="AB925" t="s">
        <v>1011</v>
      </c>
      <c r="AG925" t="s">
        <v>7129</v>
      </c>
      <c r="AH925" t="s">
        <v>7130</v>
      </c>
      <c r="AI925" t="s">
        <v>7131</v>
      </c>
    </row>
    <row r="926" spans="2:35">
      <c r="B926" s="1">
        <v>45952</v>
      </c>
      <c r="C926" s="1">
        <v>45946</v>
      </c>
      <c r="D926" t="s">
        <v>1057</v>
      </c>
      <c r="E926" t="s">
        <v>1058</v>
      </c>
      <c r="F926">
        <v>1</v>
      </c>
      <c r="G926" t="s">
        <v>1046</v>
      </c>
      <c r="H926" t="s">
        <v>39</v>
      </c>
      <c r="I926" t="s">
        <v>40</v>
      </c>
      <c r="J926" t="s">
        <v>109</v>
      </c>
      <c r="K926" t="s">
        <v>42</v>
      </c>
      <c r="L926" t="s">
        <v>1048</v>
      </c>
      <c r="N926" t="s">
        <v>1049</v>
      </c>
      <c r="Q926">
        <v>31620</v>
      </c>
      <c r="R926" t="s">
        <v>95</v>
      </c>
      <c r="S926" t="s">
        <v>1059</v>
      </c>
      <c r="T926">
        <v>30</v>
      </c>
      <c r="W926" t="s">
        <v>1060</v>
      </c>
      <c r="X926">
        <v>820303</v>
      </c>
      <c r="Y926" t="s">
        <v>1052</v>
      </c>
      <c r="Z926" t="e">
        <f ca="1">- cleaned cartridge Bays, plunger Rods _xludf.and I-CORE
- generated reports</f>
        <v>#NAME?</v>
      </c>
      <c r="AA926" t="s">
        <v>820</v>
      </c>
      <c r="AB926" t="s">
        <v>7132</v>
      </c>
      <c r="AG926" t="s">
        <v>7133</v>
      </c>
      <c r="AH926" t="s">
        <v>3393</v>
      </c>
      <c r="AI926" t="s">
        <v>7134</v>
      </c>
    </row>
    <row r="927" spans="2:35" ht="409.5">
      <c r="B927" s="1">
        <v>45951</v>
      </c>
      <c r="C927" s="1">
        <v>45951</v>
      </c>
      <c r="D927" t="s">
        <v>4632</v>
      </c>
      <c r="E927" t="s">
        <v>7135</v>
      </c>
      <c r="F927" t="s">
        <v>148</v>
      </c>
      <c r="G927" t="s">
        <v>447</v>
      </c>
      <c r="H927" t="s">
        <v>150</v>
      </c>
      <c r="I927" t="s">
        <v>40</v>
      </c>
      <c r="J927" s="2" t="s">
        <v>190</v>
      </c>
      <c r="K927" t="s">
        <v>42</v>
      </c>
      <c r="L927" t="s">
        <v>1943</v>
      </c>
      <c r="N927" t="s">
        <v>1944</v>
      </c>
      <c r="O927" t="s">
        <v>2808</v>
      </c>
      <c r="Q927">
        <v>31619</v>
      </c>
      <c r="R927" t="s">
        <v>95</v>
      </c>
      <c r="S927" t="s">
        <v>2809</v>
      </c>
      <c r="T927">
        <v>25</v>
      </c>
      <c r="W927" t="s">
        <v>84</v>
      </c>
      <c r="X927">
        <v>839234</v>
      </c>
      <c r="Y927" s="2" t="s">
        <v>7136</v>
      </c>
      <c r="Z927" t="s">
        <v>2100</v>
      </c>
      <c r="AA927" s="2" t="s">
        <v>7137</v>
      </c>
      <c r="AB927" t="s">
        <v>7138</v>
      </c>
      <c r="AG927" t="s">
        <v>7139</v>
      </c>
      <c r="AH927" t="s">
        <v>7140</v>
      </c>
      <c r="AI927" t="s">
        <v>7141</v>
      </c>
    </row>
    <row r="928" spans="2:35" ht="300">
      <c r="B928" s="1">
        <v>45951</v>
      </c>
      <c r="C928" s="1">
        <v>45951</v>
      </c>
      <c r="D928" t="s">
        <v>4920</v>
      </c>
      <c r="E928" t="s">
        <v>7142</v>
      </c>
      <c r="F928" t="s">
        <v>148</v>
      </c>
      <c r="G928" t="s">
        <v>785</v>
      </c>
      <c r="H928" t="s">
        <v>39</v>
      </c>
      <c r="I928" t="s">
        <v>40</v>
      </c>
      <c r="J928" t="s">
        <v>321</v>
      </c>
      <c r="K928" t="s">
        <v>42</v>
      </c>
      <c r="L928" t="s">
        <v>43</v>
      </c>
      <c r="N928" t="s">
        <v>44</v>
      </c>
      <c r="Q928">
        <v>31618</v>
      </c>
      <c r="R928" t="s">
        <v>322</v>
      </c>
      <c r="S928" t="s">
        <v>4922</v>
      </c>
      <c r="T928">
        <v>24</v>
      </c>
      <c r="W928" t="s">
        <v>153</v>
      </c>
      <c r="X928">
        <v>110026461</v>
      </c>
      <c r="Y928" t="s">
        <v>750</v>
      </c>
      <c r="Z928" t="s">
        <v>751</v>
      </c>
      <c r="AA928" s="2" t="s">
        <v>7143</v>
      </c>
      <c r="AB928" t="s">
        <v>88</v>
      </c>
      <c r="AG928" t="s">
        <v>7144</v>
      </c>
      <c r="AH928" t="s">
        <v>4925</v>
      </c>
      <c r="AI928" t="s">
        <v>7145</v>
      </c>
    </row>
    <row r="929" spans="2:35" ht="225">
      <c r="B929" s="1">
        <v>45951</v>
      </c>
      <c r="C929" s="1">
        <v>45946</v>
      </c>
      <c r="D929" t="s">
        <v>7146</v>
      </c>
      <c r="E929" t="s">
        <v>7147</v>
      </c>
      <c r="F929" t="s">
        <v>1181</v>
      </c>
      <c r="G929" t="s">
        <v>7148</v>
      </c>
      <c r="H929" t="s">
        <v>39</v>
      </c>
      <c r="I929" t="s">
        <v>40</v>
      </c>
      <c r="J929" t="s">
        <v>109</v>
      </c>
      <c r="K929" t="s">
        <v>42</v>
      </c>
      <c r="L929" t="s">
        <v>43</v>
      </c>
      <c r="N929" t="s">
        <v>44</v>
      </c>
      <c r="Q929">
        <v>31617</v>
      </c>
      <c r="R929" t="s">
        <v>119</v>
      </c>
      <c r="S929" t="s">
        <v>7149</v>
      </c>
      <c r="T929">
        <v>22</v>
      </c>
      <c r="U929" s="2" t="s">
        <v>7150</v>
      </c>
      <c r="W929" t="s">
        <v>3178</v>
      </c>
      <c r="X929">
        <v>838228</v>
      </c>
      <c r="Y929" t="s">
        <v>121</v>
      </c>
      <c r="Z929" t="s">
        <v>122</v>
      </c>
      <c r="AA929" s="2" t="s">
        <v>7151</v>
      </c>
      <c r="AB929" t="s">
        <v>548</v>
      </c>
      <c r="AG929" t="s">
        <v>7152</v>
      </c>
      <c r="AH929" t="s">
        <v>7153</v>
      </c>
      <c r="AI929" t="s">
        <v>7154</v>
      </c>
    </row>
    <row r="930" spans="2:35" ht="120">
      <c r="B930" s="1">
        <v>45950</v>
      </c>
      <c r="C930" s="1">
        <v>45945</v>
      </c>
      <c r="D930" t="s">
        <v>7155</v>
      </c>
      <c r="E930" t="s">
        <v>7156</v>
      </c>
      <c r="F930">
        <v>5</v>
      </c>
      <c r="G930" t="s">
        <v>839</v>
      </c>
      <c r="H930" t="s">
        <v>39</v>
      </c>
      <c r="I930" t="s">
        <v>94</v>
      </c>
      <c r="J930" t="s">
        <v>7157</v>
      </c>
      <c r="K930" t="s">
        <v>42</v>
      </c>
      <c r="L930" t="s">
        <v>761</v>
      </c>
      <c r="N930" t="s">
        <v>762</v>
      </c>
      <c r="Q930">
        <v>31616</v>
      </c>
      <c r="R930" t="s">
        <v>119</v>
      </c>
      <c r="S930" t="s">
        <v>7158</v>
      </c>
      <c r="T930">
        <v>30</v>
      </c>
      <c r="W930" t="s">
        <v>765</v>
      </c>
      <c r="X930">
        <v>838496</v>
      </c>
      <c r="Y930" t="s">
        <v>7157</v>
      </c>
      <c r="Z930" t="s">
        <v>7159</v>
      </c>
      <c r="AA930" t="s">
        <v>7160</v>
      </c>
      <c r="AB930" s="2" t="s">
        <v>2996</v>
      </c>
      <c r="AG930" t="s">
        <v>7161</v>
      </c>
      <c r="AH930" t="s">
        <v>7162</v>
      </c>
      <c r="AI930" t="s">
        <v>7163</v>
      </c>
    </row>
    <row r="931" spans="2:35" ht="255">
      <c r="B931" s="1">
        <v>45948</v>
      </c>
      <c r="C931" s="1">
        <v>45947</v>
      </c>
      <c r="D931" t="s">
        <v>7164</v>
      </c>
      <c r="E931" t="s">
        <v>7165</v>
      </c>
      <c r="F931" t="s">
        <v>148</v>
      </c>
      <c r="G931" t="s">
        <v>149</v>
      </c>
      <c r="H931" t="s">
        <v>150</v>
      </c>
      <c r="I931" t="s">
        <v>40</v>
      </c>
      <c r="J931" t="s">
        <v>996</v>
      </c>
      <c r="K931" t="s">
        <v>42</v>
      </c>
      <c r="L931" t="s">
        <v>448</v>
      </c>
      <c r="N931" t="s">
        <v>650</v>
      </c>
      <c r="Q931">
        <v>31615</v>
      </c>
      <c r="R931" t="s">
        <v>95</v>
      </c>
      <c r="S931" t="s">
        <v>151</v>
      </c>
      <c r="T931">
        <v>20</v>
      </c>
      <c r="U931" s="2" t="s">
        <v>7166</v>
      </c>
      <c r="W931" t="s">
        <v>7167</v>
      </c>
      <c r="X931">
        <v>110003714</v>
      </c>
      <c r="Y931" t="s">
        <v>7168</v>
      </c>
      <c r="Z931" s="2" t="s">
        <v>3071</v>
      </c>
      <c r="AA931" t="s">
        <v>875</v>
      </c>
      <c r="AB931" s="2" t="s">
        <v>7169</v>
      </c>
      <c r="AG931" t="s">
        <v>7170</v>
      </c>
      <c r="AH931" t="s">
        <v>157</v>
      </c>
      <c r="AI931" t="s">
        <v>7171</v>
      </c>
    </row>
    <row r="932" spans="2:35" ht="409.5">
      <c r="B932" s="1">
        <v>45947</v>
      </c>
      <c r="C932" s="1">
        <v>45947</v>
      </c>
      <c r="D932" t="s">
        <v>7172</v>
      </c>
      <c r="E932" t="s">
        <v>2911</v>
      </c>
      <c r="F932" t="s">
        <v>148</v>
      </c>
      <c r="G932" t="s">
        <v>310</v>
      </c>
      <c r="H932" t="s">
        <v>39</v>
      </c>
      <c r="I932" t="s">
        <v>40</v>
      </c>
      <c r="J932" t="s">
        <v>109</v>
      </c>
      <c r="K932" t="s">
        <v>42</v>
      </c>
      <c r="L932" t="s">
        <v>1943</v>
      </c>
      <c r="N932" t="s">
        <v>1944</v>
      </c>
      <c r="Q932">
        <v>31614</v>
      </c>
      <c r="R932" t="s">
        <v>95</v>
      </c>
      <c r="S932" t="s">
        <v>7173</v>
      </c>
      <c r="T932">
        <v>25</v>
      </c>
      <c r="W932" t="s">
        <v>84</v>
      </c>
      <c r="X932">
        <v>835540</v>
      </c>
      <c r="Y932" t="s">
        <v>2099</v>
      </c>
      <c r="Z932" t="s">
        <v>2100</v>
      </c>
      <c r="AA932" s="2" t="s">
        <v>2101</v>
      </c>
      <c r="AB932" t="s">
        <v>88</v>
      </c>
      <c r="AG932" t="s">
        <v>7174</v>
      </c>
      <c r="AH932" t="s">
        <v>7175</v>
      </c>
      <c r="AI932" t="s">
        <v>7176</v>
      </c>
    </row>
    <row r="933" spans="2:35" ht="405">
      <c r="B933" s="1">
        <v>45947</v>
      </c>
      <c r="C933" s="1">
        <v>45946</v>
      </c>
      <c r="D933" t="s">
        <v>3679</v>
      </c>
      <c r="E933" t="s">
        <v>2580</v>
      </c>
      <c r="F933" t="s">
        <v>148</v>
      </c>
      <c r="G933" t="s">
        <v>447</v>
      </c>
      <c r="H933" t="s">
        <v>386</v>
      </c>
      <c r="I933" t="s">
        <v>40</v>
      </c>
      <c r="J933" t="s">
        <v>321</v>
      </c>
      <c r="K933" t="s">
        <v>387</v>
      </c>
      <c r="L933" t="s">
        <v>448</v>
      </c>
      <c r="N933" t="s">
        <v>450</v>
      </c>
      <c r="Q933">
        <v>31613</v>
      </c>
      <c r="R933" t="s">
        <v>322</v>
      </c>
      <c r="S933" t="s">
        <v>3689</v>
      </c>
      <c r="T933">
        <v>26</v>
      </c>
      <c r="V933" s="1">
        <v>45945</v>
      </c>
      <c r="W933" t="s">
        <v>476</v>
      </c>
      <c r="X933" t="s">
        <v>6637</v>
      </c>
      <c r="Y933" t="s">
        <v>7177</v>
      </c>
      <c r="Z933" s="2" t="s">
        <v>7178</v>
      </c>
      <c r="AA933" t="s">
        <v>2593</v>
      </c>
      <c r="AB933" t="s">
        <v>4741</v>
      </c>
      <c r="AD933" t="s">
        <v>7179</v>
      </c>
      <c r="AE933">
        <v>13409</v>
      </c>
      <c r="AG933" t="s">
        <v>7180</v>
      </c>
      <c r="AH933" t="s">
        <v>3679</v>
      </c>
      <c r="AI933" t="s">
        <v>7181</v>
      </c>
    </row>
    <row r="934" spans="2:35" ht="315">
      <c r="B934" s="1">
        <v>45947</v>
      </c>
      <c r="C934" s="1">
        <v>45946</v>
      </c>
      <c r="D934" t="s">
        <v>3712</v>
      </c>
      <c r="E934" t="s">
        <v>3713</v>
      </c>
      <c r="F934" t="s">
        <v>148</v>
      </c>
      <c r="G934" t="s">
        <v>310</v>
      </c>
      <c r="H934" t="s">
        <v>386</v>
      </c>
      <c r="I934" t="s">
        <v>40</v>
      </c>
      <c r="J934" t="s">
        <v>109</v>
      </c>
      <c r="K934" t="s">
        <v>387</v>
      </c>
      <c r="L934" t="s">
        <v>1943</v>
      </c>
      <c r="N934" t="s">
        <v>1944</v>
      </c>
      <c r="Q934">
        <v>31611</v>
      </c>
      <c r="R934" t="s">
        <v>322</v>
      </c>
      <c r="S934" t="s">
        <v>3824</v>
      </c>
      <c r="T934">
        <v>25</v>
      </c>
      <c r="W934" t="s">
        <v>390</v>
      </c>
      <c r="X934" t="s">
        <v>3715</v>
      </c>
      <c r="Y934" t="s">
        <v>2099</v>
      </c>
      <c r="Z934" t="s">
        <v>2100</v>
      </c>
      <c r="AA934" s="2" t="s">
        <v>2278</v>
      </c>
      <c r="AB934" t="s">
        <v>88</v>
      </c>
      <c r="AG934" t="s">
        <v>7182</v>
      </c>
      <c r="AH934" t="s">
        <v>3717</v>
      </c>
      <c r="AI934" t="s">
        <v>7183</v>
      </c>
    </row>
    <row r="935" spans="2:35" ht="375">
      <c r="B935" s="1">
        <v>45947</v>
      </c>
      <c r="C935" s="1">
        <v>45946</v>
      </c>
      <c r="D935" t="s">
        <v>3712</v>
      </c>
      <c r="E935" t="s">
        <v>3713</v>
      </c>
      <c r="F935" t="s">
        <v>148</v>
      </c>
      <c r="G935" t="s">
        <v>310</v>
      </c>
      <c r="H935" t="s">
        <v>386</v>
      </c>
      <c r="I935" t="s">
        <v>40</v>
      </c>
      <c r="J935" t="s">
        <v>109</v>
      </c>
      <c r="K935" t="s">
        <v>387</v>
      </c>
      <c r="L935" t="s">
        <v>1943</v>
      </c>
      <c r="N935" t="s">
        <v>1944</v>
      </c>
      <c r="Q935">
        <v>31612</v>
      </c>
      <c r="R935" t="s">
        <v>322</v>
      </c>
      <c r="S935" t="s">
        <v>3824</v>
      </c>
      <c r="T935">
        <v>25</v>
      </c>
      <c r="W935" t="s">
        <v>390</v>
      </c>
      <c r="X935" t="s">
        <v>4180</v>
      </c>
      <c r="Y935" t="s">
        <v>2099</v>
      </c>
      <c r="Z935" t="s">
        <v>2100</v>
      </c>
      <c r="AA935" s="2" t="s">
        <v>7184</v>
      </c>
      <c r="AB935" t="s">
        <v>88</v>
      </c>
      <c r="AG935" t="s">
        <v>7185</v>
      </c>
      <c r="AH935" t="s">
        <v>3717</v>
      </c>
      <c r="AI935" t="s">
        <v>7186</v>
      </c>
    </row>
    <row r="936" spans="2:35" ht="165">
      <c r="B936" s="1">
        <v>45947</v>
      </c>
      <c r="C936" s="1">
        <v>45947</v>
      </c>
      <c r="D936" t="s">
        <v>6595</v>
      </c>
      <c r="E936" t="s">
        <v>7187</v>
      </c>
      <c r="F936" t="s">
        <v>148</v>
      </c>
      <c r="G936" t="s">
        <v>785</v>
      </c>
      <c r="H936" t="s">
        <v>39</v>
      </c>
      <c r="I936" t="s">
        <v>40</v>
      </c>
      <c r="J936" s="2" t="s">
        <v>62</v>
      </c>
      <c r="K936" t="s">
        <v>42</v>
      </c>
      <c r="L936" t="s">
        <v>175</v>
      </c>
      <c r="N936" t="s">
        <v>176</v>
      </c>
      <c r="Q936">
        <v>31610</v>
      </c>
      <c r="R936" t="s">
        <v>967</v>
      </c>
      <c r="S936" t="s">
        <v>786</v>
      </c>
      <c r="T936">
        <v>28</v>
      </c>
      <c r="V936" s="1">
        <v>45939</v>
      </c>
      <c r="W936" t="s">
        <v>373</v>
      </c>
      <c r="X936">
        <v>110025127</v>
      </c>
      <c r="Y936" t="s">
        <v>998</v>
      </c>
      <c r="Z936" t="s">
        <v>999</v>
      </c>
      <c r="AA936" t="e">
        <f ca="1">- checked _xludf.and cleaned cartridge bay, plunger rod, _xludf.filter, icore slot
- performed XpertCheck
- generated reports
- performed self test</f>
        <v>#NAME?</v>
      </c>
      <c r="AB936" s="2" t="s">
        <v>7188</v>
      </c>
      <c r="AD936" t="s">
        <v>7189</v>
      </c>
      <c r="AE936">
        <v>13389</v>
      </c>
      <c r="AG936" t="s">
        <v>7190</v>
      </c>
      <c r="AH936" t="s">
        <v>7191</v>
      </c>
      <c r="AI936" t="s">
        <v>7192</v>
      </c>
    </row>
    <row r="937" spans="2:35" ht="409.5">
      <c r="B937" s="1">
        <v>45947</v>
      </c>
      <c r="C937" s="1">
        <v>45945</v>
      </c>
      <c r="D937" t="s">
        <v>5783</v>
      </c>
      <c r="E937" t="s">
        <v>5784</v>
      </c>
      <c r="F937">
        <v>12</v>
      </c>
      <c r="G937" t="s">
        <v>5785</v>
      </c>
      <c r="H937" t="s">
        <v>1473</v>
      </c>
      <c r="I937" t="s">
        <v>40</v>
      </c>
      <c r="J937" s="2" t="s">
        <v>1808</v>
      </c>
      <c r="K937" t="s">
        <v>42</v>
      </c>
      <c r="L937" t="s">
        <v>296</v>
      </c>
      <c r="N937" t="s">
        <v>297</v>
      </c>
      <c r="Q937">
        <v>31608</v>
      </c>
      <c r="R937" t="s">
        <v>119</v>
      </c>
      <c r="S937" t="s">
        <v>5787</v>
      </c>
      <c r="T937">
        <v>27.4</v>
      </c>
      <c r="U937" s="2" t="s">
        <v>7193</v>
      </c>
      <c r="W937" t="s">
        <v>981</v>
      </c>
      <c r="X937">
        <v>838546</v>
      </c>
      <c r="Y937" t="s">
        <v>7194</v>
      </c>
      <c r="Z937" s="2" t="s">
        <v>7195</v>
      </c>
      <c r="AA937" s="2" t="s">
        <v>7196</v>
      </c>
      <c r="AB937" t="s">
        <v>972</v>
      </c>
      <c r="AG937" t="s">
        <v>7197</v>
      </c>
      <c r="AH937" t="s">
        <v>7198</v>
      </c>
      <c r="AI937" t="s">
        <v>7199</v>
      </c>
    </row>
    <row r="938" spans="2:35" ht="375">
      <c r="B938" s="1">
        <v>45947</v>
      </c>
      <c r="C938" s="1">
        <v>45946</v>
      </c>
      <c r="D938" t="s">
        <v>7200</v>
      </c>
      <c r="E938" t="s">
        <v>7201</v>
      </c>
      <c r="F938">
        <v>12</v>
      </c>
      <c r="G938" t="s">
        <v>978</v>
      </c>
      <c r="H938" t="s">
        <v>1473</v>
      </c>
      <c r="I938" t="s">
        <v>40</v>
      </c>
      <c r="J938" t="s">
        <v>109</v>
      </c>
      <c r="K938" t="s">
        <v>42</v>
      </c>
      <c r="L938" t="s">
        <v>296</v>
      </c>
      <c r="N938" t="s">
        <v>297</v>
      </c>
      <c r="Q938">
        <v>31609</v>
      </c>
      <c r="R938" t="s">
        <v>119</v>
      </c>
      <c r="S938" t="s">
        <v>7202</v>
      </c>
      <c r="T938">
        <v>26.1</v>
      </c>
      <c r="U938" s="2" t="s">
        <v>7203</v>
      </c>
      <c r="W938" t="s">
        <v>981</v>
      </c>
      <c r="X938">
        <v>838504</v>
      </c>
      <c r="Y938" t="s">
        <v>301</v>
      </c>
      <c r="Z938" s="2" t="s">
        <v>7204</v>
      </c>
      <c r="AA938" t="s">
        <v>303</v>
      </c>
      <c r="AB938" t="s">
        <v>7205</v>
      </c>
      <c r="AG938" t="s">
        <v>7206</v>
      </c>
      <c r="AH938" t="s">
        <v>7207</v>
      </c>
      <c r="AI938" t="s">
        <v>7208</v>
      </c>
    </row>
    <row r="939" spans="2:35" ht="90">
      <c r="B939" s="1">
        <v>45946</v>
      </c>
      <c r="C939" s="1">
        <v>45946</v>
      </c>
      <c r="D939" t="s">
        <v>7209</v>
      </c>
      <c r="E939" t="s">
        <v>229</v>
      </c>
      <c r="F939" t="s">
        <v>148</v>
      </c>
      <c r="G939" t="s">
        <v>230</v>
      </c>
      <c r="H939" t="s">
        <v>39</v>
      </c>
      <c r="I939" t="s">
        <v>40</v>
      </c>
      <c r="J939" s="2" t="s">
        <v>62</v>
      </c>
      <c r="K939" t="s">
        <v>42</v>
      </c>
      <c r="L939" t="s">
        <v>175</v>
      </c>
      <c r="N939" t="s">
        <v>176</v>
      </c>
      <c r="Q939">
        <v>31607</v>
      </c>
      <c r="R939" t="s">
        <v>967</v>
      </c>
      <c r="S939" t="s">
        <v>4880</v>
      </c>
      <c r="T939">
        <v>28</v>
      </c>
      <c r="V939" s="1">
        <v>45939</v>
      </c>
      <c r="W939" t="s">
        <v>373</v>
      </c>
      <c r="X939">
        <v>120003480</v>
      </c>
      <c r="Y939" t="s">
        <v>998</v>
      </c>
      <c r="Z939" t="s">
        <v>999</v>
      </c>
      <c r="AA939" t="e">
        <f ca="1">- checked _xludf.and cleaned cartridge bay, plunger rod, _xludf.filter, icore slot
- performed XpertCheck
- generated reports
- performed self test</f>
        <v>#NAME?</v>
      </c>
      <c r="AB939" s="2" t="s">
        <v>3143</v>
      </c>
      <c r="AC939" t="s">
        <v>7210</v>
      </c>
      <c r="AD939" t="s">
        <v>7189</v>
      </c>
      <c r="AE939">
        <v>13391</v>
      </c>
      <c r="AG939" t="s">
        <v>7211</v>
      </c>
      <c r="AH939" t="s">
        <v>4878</v>
      </c>
      <c r="AI939" t="s">
        <v>7212</v>
      </c>
    </row>
    <row r="940" spans="2:35" ht="105">
      <c r="B940" s="1">
        <v>45946</v>
      </c>
      <c r="C940" s="1">
        <v>45946</v>
      </c>
      <c r="D940" t="s">
        <v>7213</v>
      </c>
      <c r="E940" t="s">
        <v>229</v>
      </c>
      <c r="F940" t="s">
        <v>148</v>
      </c>
      <c r="G940" t="s">
        <v>230</v>
      </c>
      <c r="H940" t="s">
        <v>39</v>
      </c>
      <c r="I940" t="s">
        <v>40</v>
      </c>
      <c r="J940" s="2" t="s">
        <v>62</v>
      </c>
      <c r="K940" t="s">
        <v>42</v>
      </c>
      <c r="L940" t="s">
        <v>175</v>
      </c>
      <c r="N940" t="s">
        <v>176</v>
      </c>
      <c r="Q940">
        <v>31606</v>
      </c>
      <c r="R940" t="s">
        <v>703</v>
      </c>
      <c r="S940" t="s">
        <v>7214</v>
      </c>
      <c r="T940">
        <v>25</v>
      </c>
      <c r="V940" s="1">
        <v>45939</v>
      </c>
      <c r="W940" t="s">
        <v>373</v>
      </c>
      <c r="X940">
        <v>110025111</v>
      </c>
      <c r="Y940" t="s">
        <v>998</v>
      </c>
      <c r="Z940" t="s">
        <v>999</v>
      </c>
      <c r="AA940" t="e">
        <f ca="1">- checked _xludf.and cleaned cartridge bay, plunger rod, _xludf.filter, icore slot
- performed XpertCheck
- generated reports
- performed self test</f>
        <v>#NAME?</v>
      </c>
      <c r="AB940" s="2" t="s">
        <v>7215</v>
      </c>
      <c r="AC940" t="s">
        <v>7210</v>
      </c>
      <c r="AD940" t="s">
        <v>7189</v>
      </c>
      <c r="AE940">
        <v>13393</v>
      </c>
      <c r="AG940" t="s">
        <v>7216</v>
      </c>
      <c r="AH940" t="s">
        <v>7217</v>
      </c>
      <c r="AI940" t="s">
        <v>7218</v>
      </c>
    </row>
    <row r="941" spans="2:35" ht="330">
      <c r="B941" s="1">
        <v>45946</v>
      </c>
      <c r="C941" s="1">
        <v>45946</v>
      </c>
      <c r="D941" t="s">
        <v>7219</v>
      </c>
      <c r="E941" t="s">
        <v>7220</v>
      </c>
      <c r="F941" t="s">
        <v>148</v>
      </c>
      <c r="G941" t="s">
        <v>310</v>
      </c>
      <c r="H941" t="s">
        <v>7019</v>
      </c>
      <c r="I941" t="s">
        <v>40</v>
      </c>
      <c r="J941" t="s">
        <v>109</v>
      </c>
      <c r="K941" t="s">
        <v>42</v>
      </c>
      <c r="L941" t="s">
        <v>1028</v>
      </c>
      <c r="N941" t="s">
        <v>1029</v>
      </c>
      <c r="Q941">
        <v>31605</v>
      </c>
      <c r="R941" t="s">
        <v>322</v>
      </c>
      <c r="S941" t="s">
        <v>7221</v>
      </c>
      <c r="T941">
        <v>26.5</v>
      </c>
      <c r="U941" s="2" t="s">
        <v>7222</v>
      </c>
      <c r="W941" t="s">
        <v>2441</v>
      </c>
      <c r="X941">
        <v>821257</v>
      </c>
      <c r="Y941" t="s">
        <v>1978</v>
      </c>
      <c r="Z941" t="s">
        <v>1548</v>
      </c>
      <c r="AA941" s="2" t="s">
        <v>7223</v>
      </c>
      <c r="AB941" s="2" t="s">
        <v>7224</v>
      </c>
      <c r="AG941" t="s">
        <v>7225</v>
      </c>
      <c r="AH941" t="s">
        <v>7226</v>
      </c>
      <c r="AI941" t="s">
        <v>7227</v>
      </c>
    </row>
    <row r="942" spans="2:35" ht="360">
      <c r="B942" s="1">
        <v>45945</v>
      </c>
      <c r="C942" s="1">
        <v>45945</v>
      </c>
      <c r="D942" t="s">
        <v>5295</v>
      </c>
      <c r="E942" t="s">
        <v>4102</v>
      </c>
      <c r="F942">
        <v>3</v>
      </c>
      <c r="G942" t="s">
        <v>730</v>
      </c>
      <c r="H942" t="s">
        <v>39</v>
      </c>
      <c r="I942" t="s">
        <v>40</v>
      </c>
      <c r="J942" t="s">
        <v>109</v>
      </c>
      <c r="K942" t="s">
        <v>42</v>
      </c>
      <c r="L942" t="s">
        <v>135</v>
      </c>
      <c r="N942" t="s">
        <v>136</v>
      </c>
      <c r="Q942">
        <v>31604</v>
      </c>
      <c r="R942" t="s">
        <v>95</v>
      </c>
      <c r="S942" t="s">
        <v>4103</v>
      </c>
      <c r="T942">
        <v>24</v>
      </c>
      <c r="U942" s="2" t="s">
        <v>7228</v>
      </c>
      <c r="W942" t="s">
        <v>3418</v>
      </c>
      <c r="X942">
        <v>830841</v>
      </c>
      <c r="Y942" t="s">
        <v>7229</v>
      </c>
      <c r="Z942" t="s">
        <v>4315</v>
      </c>
      <c r="AA942" s="2" t="s">
        <v>4316</v>
      </c>
      <c r="AB942" t="s">
        <v>7230</v>
      </c>
      <c r="AC942" t="s">
        <v>7231</v>
      </c>
      <c r="AG942" t="s">
        <v>7232</v>
      </c>
      <c r="AH942" t="s">
        <v>7233</v>
      </c>
      <c r="AI942" t="s">
        <v>7234</v>
      </c>
    </row>
    <row r="943" spans="2:35" ht="360">
      <c r="B943" s="1">
        <v>45945</v>
      </c>
      <c r="C943" s="1">
        <v>45945</v>
      </c>
      <c r="D943" t="s">
        <v>5295</v>
      </c>
      <c r="E943" t="s">
        <v>4102</v>
      </c>
      <c r="F943">
        <v>3</v>
      </c>
      <c r="G943" t="s">
        <v>730</v>
      </c>
      <c r="H943" t="s">
        <v>39</v>
      </c>
      <c r="I943" t="s">
        <v>40</v>
      </c>
      <c r="J943" t="s">
        <v>109</v>
      </c>
      <c r="K943" t="s">
        <v>42</v>
      </c>
      <c r="L943" t="s">
        <v>135</v>
      </c>
      <c r="N943" t="s">
        <v>136</v>
      </c>
      <c r="Q943">
        <v>31603</v>
      </c>
      <c r="R943" t="s">
        <v>95</v>
      </c>
      <c r="S943" t="s">
        <v>4103</v>
      </c>
      <c r="T943">
        <v>23</v>
      </c>
      <c r="U943" s="2" t="s">
        <v>7228</v>
      </c>
      <c r="W943" t="s">
        <v>2680</v>
      </c>
      <c r="X943">
        <v>839232</v>
      </c>
      <c r="Y943" t="s">
        <v>7235</v>
      </c>
      <c r="Z943" t="s">
        <v>4315</v>
      </c>
      <c r="AA943" s="2" t="s">
        <v>4316</v>
      </c>
      <c r="AB943" t="s">
        <v>7236</v>
      </c>
      <c r="AC943" t="s">
        <v>7237</v>
      </c>
      <c r="AG943" t="s">
        <v>7238</v>
      </c>
      <c r="AH943" t="s">
        <v>7233</v>
      </c>
      <c r="AI943" t="s">
        <v>7239</v>
      </c>
    </row>
    <row r="944" spans="2:35" ht="105">
      <c r="B944" s="1">
        <v>45945</v>
      </c>
      <c r="C944" s="1">
        <v>45945</v>
      </c>
      <c r="D944" t="s">
        <v>1462</v>
      </c>
      <c r="E944" t="s">
        <v>2892</v>
      </c>
      <c r="F944">
        <v>8</v>
      </c>
      <c r="G944" t="s">
        <v>1663</v>
      </c>
      <c r="H944" t="s">
        <v>258</v>
      </c>
      <c r="I944" t="s">
        <v>40</v>
      </c>
      <c r="J944" t="s">
        <v>109</v>
      </c>
      <c r="K944" t="s">
        <v>42</v>
      </c>
      <c r="L944" t="s">
        <v>259</v>
      </c>
      <c r="N944" t="s">
        <v>260</v>
      </c>
      <c r="Q944">
        <v>31602</v>
      </c>
      <c r="R944" t="s">
        <v>967</v>
      </c>
      <c r="S944" t="s">
        <v>7240</v>
      </c>
      <c r="T944">
        <v>24</v>
      </c>
      <c r="U944" s="2" t="s">
        <v>7241</v>
      </c>
      <c r="V944" s="1">
        <v>45945</v>
      </c>
      <c r="W944" t="s">
        <v>84</v>
      </c>
      <c r="X944">
        <v>110023515</v>
      </c>
      <c r="Y944" t="s">
        <v>263</v>
      </c>
      <c r="Z944" t="s">
        <v>7242</v>
      </c>
      <c r="AA944" t="e">
        <f ca="1">- Preventive Maintenance
- functionality test</f>
        <v>#NAME?</v>
      </c>
      <c r="AB944" t="s">
        <v>70</v>
      </c>
      <c r="AG944" t="s">
        <v>7243</v>
      </c>
      <c r="AH944" t="s">
        <v>7244</v>
      </c>
      <c r="AI944" t="s">
        <v>7245</v>
      </c>
    </row>
    <row r="945" spans="2:35">
      <c r="B945" s="1">
        <v>45945</v>
      </c>
      <c r="C945" s="1">
        <v>45938</v>
      </c>
      <c r="D945" t="s">
        <v>4927</v>
      </c>
      <c r="E945" t="s">
        <v>4928</v>
      </c>
      <c r="F945">
        <v>1</v>
      </c>
      <c r="G945" t="s">
        <v>1922</v>
      </c>
      <c r="H945" t="s">
        <v>39</v>
      </c>
      <c r="I945" t="s">
        <v>40</v>
      </c>
      <c r="J945" t="s">
        <v>109</v>
      </c>
      <c r="K945" t="s">
        <v>42</v>
      </c>
      <c r="L945" t="s">
        <v>1048</v>
      </c>
      <c r="N945" t="s">
        <v>1049</v>
      </c>
      <c r="Q945">
        <v>31601</v>
      </c>
      <c r="R945" t="s">
        <v>967</v>
      </c>
      <c r="S945" t="s">
        <v>4929</v>
      </c>
      <c r="T945">
        <v>30</v>
      </c>
      <c r="W945" t="s">
        <v>1051</v>
      </c>
      <c r="X945">
        <v>110023500</v>
      </c>
      <c r="Y945" t="s">
        <v>1052</v>
      </c>
      <c r="Z945" t="e">
        <f ca="1">- cleaned cartridge Bays, plunger Rods _xludf.and I-CORE
- generated reports</f>
        <v>#NAME?</v>
      </c>
      <c r="AA945" t="s">
        <v>820</v>
      </c>
      <c r="AB945" t="s">
        <v>1428</v>
      </c>
      <c r="AG945" t="s">
        <v>7246</v>
      </c>
      <c r="AH945" t="s">
        <v>4934</v>
      </c>
      <c r="AI945" t="s">
        <v>7247</v>
      </c>
    </row>
    <row r="946" spans="2:35">
      <c r="B946" s="1">
        <v>45945</v>
      </c>
      <c r="C946" s="1">
        <v>45938</v>
      </c>
      <c r="D946" t="s">
        <v>7248</v>
      </c>
      <c r="E946" t="s">
        <v>7249</v>
      </c>
      <c r="F946">
        <v>1</v>
      </c>
      <c r="G946" t="s">
        <v>1922</v>
      </c>
      <c r="H946" t="s">
        <v>39</v>
      </c>
      <c r="I946" t="s">
        <v>40</v>
      </c>
      <c r="J946" t="s">
        <v>109</v>
      </c>
      <c r="K946" t="s">
        <v>42</v>
      </c>
      <c r="L946" t="s">
        <v>1048</v>
      </c>
      <c r="N946" t="s">
        <v>1049</v>
      </c>
      <c r="Q946">
        <v>31600</v>
      </c>
      <c r="R946" t="s">
        <v>119</v>
      </c>
      <c r="S946" t="s">
        <v>7250</v>
      </c>
      <c r="T946">
        <v>30</v>
      </c>
      <c r="W946" t="s">
        <v>1051</v>
      </c>
      <c r="X946">
        <v>838277</v>
      </c>
      <c r="Y946" t="s">
        <v>1052</v>
      </c>
      <c r="Z946" t="e">
        <f ca="1">- cleaned cartridge Bays, plunger Rods _xludf.and I-CORE
- generated reports</f>
        <v>#NAME?</v>
      </c>
      <c r="AA946" t="s">
        <v>820</v>
      </c>
      <c r="AB946" t="s">
        <v>1428</v>
      </c>
      <c r="AG946" t="s">
        <v>7251</v>
      </c>
      <c r="AH946" t="s">
        <v>7252</v>
      </c>
      <c r="AI946" t="s">
        <v>7253</v>
      </c>
    </row>
    <row r="947" spans="2:35">
      <c r="B947" s="1">
        <v>45945</v>
      </c>
      <c r="C947" s="1">
        <v>45938</v>
      </c>
      <c r="D947" t="s">
        <v>7254</v>
      </c>
      <c r="E947" t="s">
        <v>7255</v>
      </c>
      <c r="F947">
        <v>1</v>
      </c>
      <c r="G947" t="s">
        <v>2599</v>
      </c>
      <c r="H947" t="s">
        <v>39</v>
      </c>
      <c r="I947" t="s">
        <v>40</v>
      </c>
      <c r="J947" t="s">
        <v>79</v>
      </c>
      <c r="K947" t="s">
        <v>42</v>
      </c>
      <c r="L947" t="s">
        <v>1048</v>
      </c>
      <c r="N947" t="s">
        <v>1049</v>
      </c>
      <c r="Q947">
        <v>31599</v>
      </c>
      <c r="R947" t="s">
        <v>119</v>
      </c>
      <c r="S947" t="s">
        <v>7256</v>
      </c>
      <c r="T947">
        <v>30</v>
      </c>
      <c r="W947" t="s">
        <v>1051</v>
      </c>
      <c r="X947">
        <v>838416</v>
      </c>
      <c r="Y947" t="s">
        <v>1934</v>
      </c>
      <c r="Z947" t="e">
        <f ca="1">- replaced defective PC _xludf.Power cable
- replaced BIOS battery
- generated reports</f>
        <v>#NAME?</v>
      </c>
      <c r="AA947" t="s">
        <v>1935</v>
      </c>
      <c r="AB947" t="s">
        <v>1428</v>
      </c>
      <c r="AG947" t="s">
        <v>7257</v>
      </c>
      <c r="AH947" t="s">
        <v>7258</v>
      </c>
      <c r="AI947" t="s">
        <v>7259</v>
      </c>
    </row>
    <row r="948" spans="2:35" ht="120">
      <c r="B948" s="1">
        <v>45945</v>
      </c>
      <c r="C948" s="1">
        <v>45937</v>
      </c>
      <c r="D948" t="s">
        <v>5707</v>
      </c>
      <c r="E948" t="s">
        <v>7260</v>
      </c>
      <c r="F948">
        <v>1</v>
      </c>
      <c r="G948" t="s">
        <v>1922</v>
      </c>
      <c r="H948" t="s">
        <v>39</v>
      </c>
      <c r="I948" t="s">
        <v>40</v>
      </c>
      <c r="J948" t="s">
        <v>525</v>
      </c>
      <c r="K948" t="s">
        <v>42</v>
      </c>
      <c r="L948" t="s">
        <v>1048</v>
      </c>
      <c r="N948" t="s">
        <v>1049</v>
      </c>
      <c r="Q948">
        <v>31598</v>
      </c>
      <c r="R948" t="s">
        <v>119</v>
      </c>
      <c r="S948" t="s">
        <v>5709</v>
      </c>
      <c r="T948">
        <v>30</v>
      </c>
      <c r="W948" t="s">
        <v>1051</v>
      </c>
      <c r="X948">
        <v>838273</v>
      </c>
      <c r="Y948" t="s">
        <v>1934</v>
      </c>
      <c r="Z948" t="e">
        <f ca="1">- generated reports</f>
        <v>#NAME?</v>
      </c>
      <c r="AA948" t="s">
        <v>1935</v>
      </c>
      <c r="AB948" s="2" t="s">
        <v>7261</v>
      </c>
      <c r="AG948" t="s">
        <v>7262</v>
      </c>
      <c r="AH948" t="s">
        <v>5716</v>
      </c>
      <c r="AI948" t="s">
        <v>7263</v>
      </c>
    </row>
    <row r="949" spans="2:35">
      <c r="B949" s="1">
        <v>45945</v>
      </c>
      <c r="C949" s="1">
        <v>45937</v>
      </c>
      <c r="D949" t="s">
        <v>7264</v>
      </c>
      <c r="E949" t="s">
        <v>7265</v>
      </c>
      <c r="F949">
        <v>1</v>
      </c>
      <c r="G949" t="s">
        <v>1909</v>
      </c>
      <c r="H949" t="s">
        <v>1047</v>
      </c>
      <c r="I949" t="s">
        <v>40</v>
      </c>
      <c r="J949" t="s">
        <v>109</v>
      </c>
      <c r="K949" t="s">
        <v>42</v>
      </c>
      <c r="L949" t="s">
        <v>1048</v>
      </c>
      <c r="N949" t="s">
        <v>1049</v>
      </c>
      <c r="Q949">
        <v>31597</v>
      </c>
      <c r="R949" t="s">
        <v>119</v>
      </c>
      <c r="S949" t="s">
        <v>7266</v>
      </c>
      <c r="T949">
        <v>29</v>
      </c>
      <c r="W949" t="s">
        <v>1051</v>
      </c>
      <c r="X949">
        <v>838270</v>
      </c>
      <c r="Y949" t="s">
        <v>1052</v>
      </c>
      <c r="Z949" t="e">
        <f ca="1">- cleaned cartridge Bays, plunger Rods _xludf.and I-CORE
- generated reports</f>
        <v>#NAME?</v>
      </c>
      <c r="AA949" t="s">
        <v>820</v>
      </c>
      <c r="AB949" t="s">
        <v>1428</v>
      </c>
      <c r="AG949" t="s">
        <v>7267</v>
      </c>
      <c r="AH949" t="s">
        <v>7268</v>
      </c>
      <c r="AI949" t="s">
        <v>7269</v>
      </c>
    </row>
    <row r="950" spans="2:35">
      <c r="B950" s="1">
        <v>45945</v>
      </c>
      <c r="C950" s="1">
        <v>45937</v>
      </c>
      <c r="D950" t="s">
        <v>3732</v>
      </c>
      <c r="E950" t="s">
        <v>3733</v>
      </c>
      <c r="F950">
        <v>1</v>
      </c>
      <c r="G950" t="s">
        <v>1046</v>
      </c>
      <c r="H950" t="s">
        <v>1047</v>
      </c>
      <c r="I950" t="s">
        <v>40</v>
      </c>
      <c r="J950" t="s">
        <v>79</v>
      </c>
      <c r="K950" t="s">
        <v>42</v>
      </c>
      <c r="L950" t="s">
        <v>1048</v>
      </c>
      <c r="N950" t="s">
        <v>1049</v>
      </c>
      <c r="Q950">
        <v>31596</v>
      </c>
      <c r="R950" t="s">
        <v>119</v>
      </c>
      <c r="S950" t="s">
        <v>3734</v>
      </c>
      <c r="T950">
        <v>28</v>
      </c>
      <c r="V950" s="1">
        <v>45926</v>
      </c>
      <c r="W950" t="s">
        <v>1051</v>
      </c>
      <c r="X950">
        <v>838473</v>
      </c>
      <c r="Y950" t="s">
        <v>7270</v>
      </c>
      <c r="Z950" t="e">
        <f ca="1">- replaced defective UPS
- generated reports</f>
        <v>#NAME?</v>
      </c>
      <c r="AA950" t="s">
        <v>7271</v>
      </c>
      <c r="AB950" t="s">
        <v>1428</v>
      </c>
      <c r="AE950" t="s">
        <v>7272</v>
      </c>
      <c r="AG950" t="s">
        <v>7273</v>
      </c>
      <c r="AH950" t="s">
        <v>7274</v>
      </c>
      <c r="AI950" t="s">
        <v>7275</v>
      </c>
    </row>
    <row r="951" spans="2:35">
      <c r="B951" s="1">
        <v>45944</v>
      </c>
      <c r="C951" s="1">
        <v>45944</v>
      </c>
      <c r="D951" t="s">
        <v>7276</v>
      </c>
      <c r="E951" t="s">
        <v>1555</v>
      </c>
      <c r="F951">
        <v>7</v>
      </c>
      <c r="G951" t="s">
        <v>432</v>
      </c>
      <c r="H951" t="s">
        <v>39</v>
      </c>
      <c r="I951" t="s">
        <v>40</v>
      </c>
      <c r="J951" t="s">
        <v>109</v>
      </c>
      <c r="K951" t="s">
        <v>408</v>
      </c>
      <c r="L951" t="s">
        <v>594</v>
      </c>
      <c r="N951" t="s">
        <v>595</v>
      </c>
      <c r="P951" t="s">
        <v>7277</v>
      </c>
      <c r="Q951">
        <v>31595</v>
      </c>
      <c r="R951" t="s">
        <v>95</v>
      </c>
      <c r="S951" t="s">
        <v>7278</v>
      </c>
      <c r="T951">
        <v>23</v>
      </c>
      <c r="W951" t="s">
        <v>7279</v>
      </c>
      <c r="X951" t="s">
        <v>7280</v>
      </c>
      <c r="Y951" t="s">
        <v>7281</v>
      </c>
      <c r="Z951" t="s">
        <v>7282</v>
      </c>
      <c r="AA951" t="e">
        <f ca="1">- Check Lights _xludf.if functional.
- Check UV light _xludf.if functional.
- Check sound alarm _xludf.if functional.
- Check UPS _xludf.if functional.</f>
        <v>#NAME?</v>
      </c>
      <c r="AB951" t="s">
        <v>7283</v>
      </c>
      <c r="AG951" t="s">
        <v>7284</v>
      </c>
      <c r="AH951" t="s">
        <v>7285</v>
      </c>
      <c r="AI951" t="s">
        <v>7286</v>
      </c>
    </row>
    <row r="952" spans="2:35">
      <c r="B952" s="1">
        <v>45944</v>
      </c>
      <c r="C952" s="1">
        <v>45814</v>
      </c>
      <c r="D952" t="s">
        <v>7276</v>
      </c>
      <c r="E952" t="s">
        <v>1555</v>
      </c>
      <c r="F952">
        <v>7</v>
      </c>
      <c r="G952" t="s">
        <v>432</v>
      </c>
      <c r="H952" t="s">
        <v>39</v>
      </c>
      <c r="I952" t="s">
        <v>40</v>
      </c>
      <c r="J952" t="s">
        <v>109</v>
      </c>
      <c r="K952" t="s">
        <v>408</v>
      </c>
      <c r="L952" t="s">
        <v>594</v>
      </c>
      <c r="N952" t="s">
        <v>595</v>
      </c>
      <c r="P952" t="s">
        <v>7277</v>
      </c>
      <c r="Q952">
        <v>31594</v>
      </c>
      <c r="R952" t="s">
        <v>95</v>
      </c>
      <c r="S952" t="s">
        <v>7278</v>
      </c>
      <c r="T952">
        <v>22</v>
      </c>
      <c r="W952" t="s">
        <v>7279</v>
      </c>
      <c r="X952" t="s">
        <v>7280</v>
      </c>
      <c r="Y952" t="s">
        <v>7287</v>
      </c>
      <c r="Z952" t="e">
        <f ca="1">- Check light _xludf.if functional
- Check UV light _xludf.if functional
- Check sound Level alarm _xludf.if functional
- Check UPS _xludf.if functional</f>
        <v>#NAME?</v>
      </c>
      <c r="AA952" t="s">
        <v>7287</v>
      </c>
      <c r="AB952" t="s">
        <v>7288</v>
      </c>
      <c r="AG952" t="s">
        <v>7289</v>
      </c>
      <c r="AH952" t="s">
        <v>7285</v>
      </c>
      <c r="AI952" t="s">
        <v>7290</v>
      </c>
    </row>
    <row r="953" spans="2:35">
      <c r="B953" s="1">
        <v>45944</v>
      </c>
      <c r="C953" s="1">
        <v>45723</v>
      </c>
      <c r="D953" t="s">
        <v>7276</v>
      </c>
      <c r="E953" t="s">
        <v>1555</v>
      </c>
      <c r="F953">
        <v>7</v>
      </c>
      <c r="G953" t="s">
        <v>432</v>
      </c>
      <c r="H953" t="s">
        <v>39</v>
      </c>
      <c r="I953" t="s">
        <v>40</v>
      </c>
      <c r="J953" t="s">
        <v>109</v>
      </c>
      <c r="K953" t="s">
        <v>408</v>
      </c>
      <c r="L953" t="s">
        <v>594</v>
      </c>
      <c r="N953" t="s">
        <v>595</v>
      </c>
      <c r="P953" t="s">
        <v>7277</v>
      </c>
      <c r="Q953">
        <v>31593</v>
      </c>
      <c r="R953" t="s">
        <v>95</v>
      </c>
      <c r="S953" t="s">
        <v>7278</v>
      </c>
      <c r="T953">
        <v>23</v>
      </c>
      <c r="W953" t="s">
        <v>7279</v>
      </c>
      <c r="X953" t="s">
        <v>7280</v>
      </c>
      <c r="Y953" t="s">
        <v>7291</v>
      </c>
      <c r="Z953" t="s">
        <v>7292</v>
      </c>
      <c r="AA953" t="e">
        <f ca="1">- Check Unit functions _xludf.and accessories
- Check light _xludf.if functional
- Check sound Level allarm _xludf.if functional
- Check UV light _xludf.if functional
- Check Current _xludf.if functional
- Check UPS _xludf.if functional</f>
        <v>#NAME?</v>
      </c>
      <c r="AB953" t="s">
        <v>7293</v>
      </c>
      <c r="AG953" t="s">
        <v>7294</v>
      </c>
      <c r="AH953" t="s">
        <v>7285</v>
      </c>
      <c r="AI953" t="s">
        <v>7295</v>
      </c>
    </row>
    <row r="954" spans="2:35" ht="120">
      <c r="B954" s="1">
        <v>45944</v>
      </c>
      <c r="C954" s="1">
        <v>45940</v>
      </c>
      <c r="D954" t="s">
        <v>7296</v>
      </c>
      <c r="E954" t="s">
        <v>7297</v>
      </c>
      <c r="F954">
        <v>5</v>
      </c>
      <c r="G954" t="s">
        <v>759</v>
      </c>
      <c r="H954" t="s">
        <v>39</v>
      </c>
      <c r="I954" t="s">
        <v>94</v>
      </c>
      <c r="J954" t="s">
        <v>109</v>
      </c>
      <c r="K954" t="s">
        <v>42</v>
      </c>
      <c r="L954" t="s">
        <v>761</v>
      </c>
      <c r="N954" t="s">
        <v>762</v>
      </c>
      <c r="Q954">
        <v>31592</v>
      </c>
      <c r="R954" t="s">
        <v>119</v>
      </c>
      <c r="S954" t="s">
        <v>7298</v>
      </c>
      <c r="T954">
        <v>29</v>
      </c>
      <c r="U954" s="2" t="s">
        <v>7299</v>
      </c>
      <c r="W954" t="s">
        <v>765</v>
      </c>
      <c r="X954">
        <v>838264</v>
      </c>
      <c r="Y954" t="s">
        <v>818</v>
      </c>
      <c r="Z954" s="2" t="s">
        <v>1415</v>
      </c>
      <c r="AA954" t="s">
        <v>820</v>
      </c>
      <c r="AB954" s="2" t="s">
        <v>4079</v>
      </c>
      <c r="AG954" t="s">
        <v>7300</v>
      </c>
      <c r="AH954" t="s">
        <v>7301</v>
      </c>
      <c r="AI954" t="s">
        <v>7302</v>
      </c>
    </row>
    <row r="955" spans="2:35" ht="165">
      <c r="B955" s="1">
        <v>45944</v>
      </c>
      <c r="C955" s="1">
        <v>45939</v>
      </c>
      <c r="D955" t="s">
        <v>5496</v>
      </c>
      <c r="E955" t="s">
        <v>7303</v>
      </c>
      <c r="F955">
        <v>5</v>
      </c>
      <c r="G955" t="s">
        <v>839</v>
      </c>
      <c r="H955" t="s">
        <v>39</v>
      </c>
      <c r="I955" t="s">
        <v>94</v>
      </c>
      <c r="J955" t="s">
        <v>109</v>
      </c>
      <c r="K955" t="s">
        <v>42</v>
      </c>
      <c r="L955" t="s">
        <v>761</v>
      </c>
      <c r="N955" t="s">
        <v>762</v>
      </c>
      <c r="Q955">
        <v>31591</v>
      </c>
      <c r="R955" t="s">
        <v>119</v>
      </c>
      <c r="S955" t="s">
        <v>5498</v>
      </c>
      <c r="T955">
        <v>25</v>
      </c>
      <c r="W955" t="s">
        <v>765</v>
      </c>
      <c r="X955">
        <v>838391</v>
      </c>
      <c r="Y955" t="s">
        <v>7304</v>
      </c>
      <c r="Z955" s="2" t="s">
        <v>7305</v>
      </c>
      <c r="AA955" t="s">
        <v>820</v>
      </c>
      <c r="AB955" s="2" t="s">
        <v>4079</v>
      </c>
      <c r="AG955" t="s">
        <v>7306</v>
      </c>
      <c r="AH955" t="s">
        <v>5503</v>
      </c>
      <c r="AI955" t="s">
        <v>7307</v>
      </c>
    </row>
    <row r="956" spans="2:35" ht="195">
      <c r="B956" s="1">
        <v>45944</v>
      </c>
      <c r="C956" s="1">
        <v>45939</v>
      </c>
      <c r="D956" t="s">
        <v>7308</v>
      </c>
      <c r="E956" t="s">
        <v>7309</v>
      </c>
      <c r="F956">
        <v>5</v>
      </c>
      <c r="G956" t="s">
        <v>839</v>
      </c>
      <c r="H956" t="s">
        <v>39</v>
      </c>
      <c r="I956" t="s">
        <v>40</v>
      </c>
      <c r="J956" t="s">
        <v>109</v>
      </c>
      <c r="K956" t="s">
        <v>42</v>
      </c>
      <c r="L956" t="s">
        <v>761</v>
      </c>
      <c r="N956" t="s">
        <v>762</v>
      </c>
      <c r="Q956">
        <v>31590</v>
      </c>
      <c r="R956" t="s">
        <v>967</v>
      </c>
      <c r="S956" t="s">
        <v>5498</v>
      </c>
      <c r="T956">
        <v>25</v>
      </c>
      <c r="U956" s="2" t="s">
        <v>7310</v>
      </c>
      <c r="W956" t="s">
        <v>817</v>
      </c>
      <c r="X956">
        <v>110023511</v>
      </c>
      <c r="Y956" t="s">
        <v>7311</v>
      </c>
      <c r="Z956" s="2" t="s">
        <v>1415</v>
      </c>
      <c r="AA956" t="s">
        <v>820</v>
      </c>
      <c r="AB956" s="2" t="s">
        <v>2996</v>
      </c>
      <c r="AG956" t="s">
        <v>7312</v>
      </c>
      <c r="AH956" t="s">
        <v>5503</v>
      </c>
      <c r="AI956" t="s">
        <v>7313</v>
      </c>
    </row>
    <row r="957" spans="2:35" ht="135">
      <c r="B957" s="1">
        <v>45944</v>
      </c>
      <c r="C957" s="1">
        <v>45944</v>
      </c>
      <c r="D957" t="s">
        <v>6595</v>
      </c>
      <c r="E957" t="s">
        <v>7187</v>
      </c>
      <c r="F957" t="s">
        <v>148</v>
      </c>
      <c r="G957" t="s">
        <v>785</v>
      </c>
      <c r="H957" t="s">
        <v>39</v>
      </c>
      <c r="I957" t="s">
        <v>40</v>
      </c>
      <c r="J957" s="2" t="s">
        <v>62</v>
      </c>
      <c r="K957" t="s">
        <v>42</v>
      </c>
      <c r="L957" t="s">
        <v>175</v>
      </c>
      <c r="N957" t="s">
        <v>176</v>
      </c>
      <c r="Q957">
        <v>31589</v>
      </c>
      <c r="R957" t="s">
        <v>322</v>
      </c>
      <c r="S957" t="s">
        <v>6579</v>
      </c>
      <c r="T957">
        <v>28</v>
      </c>
      <c r="V957" s="1">
        <v>45939</v>
      </c>
      <c r="W957" t="s">
        <v>373</v>
      </c>
      <c r="X957">
        <v>110025128</v>
      </c>
      <c r="Y957" t="s">
        <v>998</v>
      </c>
      <c r="Z957" t="s">
        <v>999</v>
      </c>
      <c r="AA957" t="e">
        <f ca="1">- checked _xludf.and cleaned cartridge bay, plunger rod, _xludf.filter, icore slot
- performed XpertCheck
- generated reports
- performed self test</f>
        <v>#NAME?</v>
      </c>
      <c r="AB957" s="2" t="s">
        <v>6668</v>
      </c>
      <c r="AD957" t="s">
        <v>7189</v>
      </c>
      <c r="AE957">
        <v>13389</v>
      </c>
      <c r="AG957" t="s">
        <v>7314</v>
      </c>
      <c r="AH957" t="s">
        <v>7315</v>
      </c>
      <c r="AI957" t="s">
        <v>7316</v>
      </c>
    </row>
    <row r="958" spans="2:35" ht="150">
      <c r="B958" s="1">
        <v>45944</v>
      </c>
      <c r="C958" s="1">
        <v>45944</v>
      </c>
      <c r="D958" t="s">
        <v>7317</v>
      </c>
      <c r="E958" t="s">
        <v>7318</v>
      </c>
      <c r="F958">
        <v>1</v>
      </c>
      <c r="G958" t="s">
        <v>1046</v>
      </c>
      <c r="H958" t="s">
        <v>2210</v>
      </c>
      <c r="I958" t="s">
        <v>40</v>
      </c>
      <c r="J958" t="s">
        <v>79</v>
      </c>
      <c r="K958" t="s">
        <v>42</v>
      </c>
      <c r="L958" t="s">
        <v>448</v>
      </c>
      <c r="N958" t="s">
        <v>450</v>
      </c>
      <c r="O958" t="s">
        <v>650</v>
      </c>
      <c r="Q958">
        <v>31588</v>
      </c>
      <c r="R958" t="s">
        <v>119</v>
      </c>
      <c r="S958" t="s">
        <v>650</v>
      </c>
      <c r="T958">
        <v>26</v>
      </c>
      <c r="W958" t="s">
        <v>7319</v>
      </c>
      <c r="X958">
        <v>838278</v>
      </c>
      <c r="Y958" t="s">
        <v>7320</v>
      </c>
      <c r="Z958" s="2" t="s">
        <v>7321</v>
      </c>
      <c r="AA958" t="s">
        <v>914</v>
      </c>
      <c r="AB958" t="s">
        <v>486</v>
      </c>
      <c r="AG958" t="s">
        <v>7322</v>
      </c>
      <c r="AH958" t="s">
        <v>7323</v>
      </c>
      <c r="AI958" t="s">
        <v>7324</v>
      </c>
    </row>
    <row r="959" spans="2:35" ht="390">
      <c r="B959" s="1">
        <v>45943</v>
      </c>
      <c r="C959" s="1">
        <v>45939</v>
      </c>
      <c r="D959" t="s">
        <v>7325</v>
      </c>
      <c r="E959" t="s">
        <v>7326</v>
      </c>
      <c r="F959">
        <v>12</v>
      </c>
      <c r="G959" t="s">
        <v>978</v>
      </c>
      <c r="H959" t="s">
        <v>5391</v>
      </c>
      <c r="I959" t="s">
        <v>40</v>
      </c>
      <c r="J959" t="s">
        <v>109</v>
      </c>
      <c r="K959" t="s">
        <v>42</v>
      </c>
      <c r="L959" t="s">
        <v>296</v>
      </c>
      <c r="N959" t="s">
        <v>297</v>
      </c>
      <c r="Q959">
        <v>31587</v>
      </c>
      <c r="R959" t="s">
        <v>119</v>
      </c>
      <c r="S959" t="s">
        <v>7327</v>
      </c>
      <c r="T959">
        <v>24.1</v>
      </c>
      <c r="U959" s="2" t="s">
        <v>7328</v>
      </c>
      <c r="W959" t="s">
        <v>4417</v>
      </c>
      <c r="X959">
        <v>838265</v>
      </c>
      <c r="Y959" t="s">
        <v>301</v>
      </c>
      <c r="Z959" s="2" t="s">
        <v>7329</v>
      </c>
      <c r="AA959" t="s">
        <v>303</v>
      </c>
      <c r="AB959" t="s">
        <v>972</v>
      </c>
      <c r="AG959" t="s">
        <v>7330</v>
      </c>
      <c r="AH959" t="s">
        <v>7331</v>
      </c>
      <c r="AI959" t="s">
        <v>7332</v>
      </c>
    </row>
    <row r="960" spans="2:35" ht="300">
      <c r="B960" s="1">
        <v>45943</v>
      </c>
      <c r="C960" s="1">
        <v>45931</v>
      </c>
      <c r="D960" t="s">
        <v>2427</v>
      </c>
      <c r="E960" t="s">
        <v>7333</v>
      </c>
      <c r="F960" t="s">
        <v>148</v>
      </c>
      <c r="G960" t="s">
        <v>447</v>
      </c>
      <c r="H960" t="s">
        <v>39</v>
      </c>
      <c r="I960" t="s">
        <v>94</v>
      </c>
      <c r="J960" s="2" t="s">
        <v>62</v>
      </c>
      <c r="K960" t="s">
        <v>42</v>
      </c>
      <c r="L960" t="s">
        <v>1028</v>
      </c>
      <c r="N960" t="s">
        <v>1029</v>
      </c>
      <c r="Q960">
        <v>31586</v>
      </c>
      <c r="R960" t="s">
        <v>95</v>
      </c>
      <c r="S960" t="s">
        <v>5860</v>
      </c>
      <c r="T960">
        <v>25</v>
      </c>
      <c r="U960" s="2" t="s">
        <v>7334</v>
      </c>
      <c r="V960" s="1">
        <v>45930</v>
      </c>
      <c r="W960" t="s">
        <v>1032</v>
      </c>
      <c r="X960">
        <v>110024553</v>
      </c>
      <c r="Y960" s="2" t="s">
        <v>7335</v>
      </c>
      <c r="Z960" s="2" t="s">
        <v>3787</v>
      </c>
      <c r="AA960" s="2" t="s">
        <v>7336</v>
      </c>
      <c r="AB960" s="2" t="s">
        <v>7337</v>
      </c>
      <c r="AC960" t="s">
        <v>7338</v>
      </c>
      <c r="AD960" t="s">
        <v>7189</v>
      </c>
      <c r="AE960" t="s">
        <v>7339</v>
      </c>
      <c r="AG960" t="s">
        <v>7340</v>
      </c>
      <c r="AH960" t="s">
        <v>7341</v>
      </c>
      <c r="AI960" t="s">
        <v>7342</v>
      </c>
    </row>
    <row r="961" spans="2:35" ht="409.5">
      <c r="B961" s="1">
        <v>45943</v>
      </c>
      <c r="C961" s="1">
        <v>45943</v>
      </c>
      <c r="D961" t="s">
        <v>7343</v>
      </c>
      <c r="E961" t="s">
        <v>7344</v>
      </c>
      <c r="F961">
        <v>11</v>
      </c>
      <c r="G961" t="s">
        <v>4297</v>
      </c>
      <c r="H961" t="s">
        <v>202</v>
      </c>
      <c r="I961" t="s">
        <v>40</v>
      </c>
      <c r="J961" t="s">
        <v>109</v>
      </c>
      <c r="K961" t="s">
        <v>42</v>
      </c>
      <c r="L961" t="s">
        <v>204</v>
      </c>
      <c r="N961" t="s">
        <v>205</v>
      </c>
      <c r="Q961">
        <v>31585</v>
      </c>
      <c r="R961" t="s">
        <v>119</v>
      </c>
      <c r="S961" t="s">
        <v>7345</v>
      </c>
      <c r="T961">
        <v>27.7</v>
      </c>
      <c r="U961" s="2" t="s">
        <v>7346</v>
      </c>
      <c r="W961" t="s">
        <v>208</v>
      </c>
      <c r="X961">
        <v>838460</v>
      </c>
      <c r="Y961" s="2" t="s">
        <v>7347</v>
      </c>
      <c r="Z961" s="2" t="s">
        <v>7348</v>
      </c>
      <c r="AA961" s="2" t="s">
        <v>7349</v>
      </c>
      <c r="AB961" s="2" t="s">
        <v>7350</v>
      </c>
      <c r="AG961" t="s">
        <v>7351</v>
      </c>
      <c r="AH961" t="s">
        <v>7352</v>
      </c>
      <c r="AI961" t="s">
        <v>7353</v>
      </c>
    </row>
    <row r="962" spans="2:35" ht="165">
      <c r="B962" s="1">
        <v>45942</v>
      </c>
      <c r="C962" s="1">
        <v>45942</v>
      </c>
      <c r="D962" t="s">
        <v>3679</v>
      </c>
      <c r="E962" t="s">
        <v>7354</v>
      </c>
      <c r="F962" t="s">
        <v>148</v>
      </c>
      <c r="G962" t="s">
        <v>447</v>
      </c>
      <c r="H962" t="s">
        <v>386</v>
      </c>
      <c r="I962" t="s">
        <v>40</v>
      </c>
      <c r="J962" t="s">
        <v>525</v>
      </c>
      <c r="K962" t="s">
        <v>387</v>
      </c>
      <c r="L962" t="s">
        <v>43</v>
      </c>
      <c r="N962" t="s">
        <v>44</v>
      </c>
      <c r="Q962">
        <v>31584</v>
      </c>
      <c r="R962" t="s">
        <v>95</v>
      </c>
      <c r="S962" t="s">
        <v>3689</v>
      </c>
      <c r="T962">
        <v>22</v>
      </c>
      <c r="W962" t="s">
        <v>390</v>
      </c>
      <c r="X962" t="s">
        <v>3690</v>
      </c>
      <c r="Y962" t="s">
        <v>7355</v>
      </c>
      <c r="Z962" t="s">
        <v>7356</v>
      </c>
      <c r="AA962" s="2" t="s">
        <v>7357</v>
      </c>
      <c r="AB962" t="s">
        <v>7358</v>
      </c>
      <c r="AG962" t="s">
        <v>7359</v>
      </c>
      <c r="AH962" t="s">
        <v>7360</v>
      </c>
      <c r="AI962" t="s">
        <v>7361</v>
      </c>
    </row>
    <row r="963" spans="2:35" ht="105">
      <c r="B963" s="1">
        <v>45940</v>
      </c>
      <c r="C963" s="1">
        <v>45940</v>
      </c>
      <c r="D963" t="s">
        <v>7362</v>
      </c>
      <c r="E963" t="s">
        <v>7363</v>
      </c>
      <c r="F963" t="s">
        <v>1255</v>
      </c>
      <c r="G963" t="s">
        <v>1256</v>
      </c>
      <c r="H963" t="s">
        <v>39</v>
      </c>
      <c r="I963" t="s">
        <v>40</v>
      </c>
      <c r="J963" s="2" t="s">
        <v>2223</v>
      </c>
      <c r="K963" t="s">
        <v>42</v>
      </c>
      <c r="L963" t="s">
        <v>1257</v>
      </c>
      <c r="N963" t="s">
        <v>1258</v>
      </c>
      <c r="O963" t="s">
        <v>1258</v>
      </c>
      <c r="Q963">
        <v>31583</v>
      </c>
      <c r="R963" t="s">
        <v>119</v>
      </c>
      <c r="S963" t="s">
        <v>7364</v>
      </c>
      <c r="T963">
        <v>23</v>
      </c>
      <c r="U963" s="2" t="s">
        <v>1509</v>
      </c>
      <c r="V963" s="1">
        <v>45940</v>
      </c>
      <c r="W963" t="s">
        <v>2384</v>
      </c>
      <c r="X963">
        <v>110015481</v>
      </c>
      <c r="Y963" t="s">
        <v>301</v>
      </c>
      <c r="Z963" t="s">
        <v>7365</v>
      </c>
      <c r="AA963" t="s">
        <v>7365</v>
      </c>
      <c r="AB963" t="s">
        <v>7365</v>
      </c>
      <c r="AC963" t="s">
        <v>301</v>
      </c>
      <c r="AD963" t="s">
        <v>54</v>
      </c>
      <c r="AE963" t="s">
        <v>54</v>
      </c>
      <c r="AG963" t="s">
        <v>7366</v>
      </c>
      <c r="AH963" t="s">
        <v>1368</v>
      </c>
      <c r="AI963" t="s">
        <v>7367</v>
      </c>
    </row>
    <row r="964" spans="2:35" ht="409.5">
      <c r="B964" s="1">
        <v>45940</v>
      </c>
      <c r="C964" s="1">
        <v>45940</v>
      </c>
      <c r="D964" t="s">
        <v>4379</v>
      </c>
      <c r="E964" t="s">
        <v>7368</v>
      </c>
      <c r="F964" t="s">
        <v>148</v>
      </c>
      <c r="G964" t="s">
        <v>785</v>
      </c>
      <c r="H964" t="s">
        <v>61</v>
      </c>
      <c r="I964" t="s">
        <v>94</v>
      </c>
      <c r="J964" s="2" t="s">
        <v>1592</v>
      </c>
      <c r="K964" t="s">
        <v>42</v>
      </c>
      <c r="L964" t="s">
        <v>43</v>
      </c>
      <c r="N964" t="s">
        <v>44</v>
      </c>
      <c r="O964" t="s">
        <v>7369</v>
      </c>
      <c r="Q964">
        <v>31582</v>
      </c>
      <c r="R964" t="s">
        <v>322</v>
      </c>
      <c r="S964" t="s">
        <v>4382</v>
      </c>
      <c r="T964">
        <v>22</v>
      </c>
      <c r="U964" s="2" t="s">
        <v>7370</v>
      </c>
      <c r="V964" s="1">
        <v>45939</v>
      </c>
      <c r="W964" t="s">
        <v>3178</v>
      </c>
      <c r="X964">
        <v>838627</v>
      </c>
      <c r="Y964" t="s">
        <v>7371</v>
      </c>
      <c r="Z964" t="s">
        <v>7372</v>
      </c>
      <c r="AA964" s="2" t="s">
        <v>7373</v>
      </c>
      <c r="AB964" t="s">
        <v>7374</v>
      </c>
      <c r="AD964" t="s">
        <v>7375</v>
      </c>
      <c r="AE964" t="s">
        <v>7376</v>
      </c>
      <c r="AG964" t="s">
        <v>7377</v>
      </c>
      <c r="AH964" t="s">
        <v>7378</v>
      </c>
      <c r="AI964" t="s">
        <v>7379</v>
      </c>
    </row>
    <row r="965" spans="2:35" ht="210">
      <c r="B965" s="1">
        <v>45940</v>
      </c>
      <c r="C965" s="1">
        <v>45940</v>
      </c>
      <c r="D965" t="s">
        <v>4379</v>
      </c>
      <c r="E965" t="s">
        <v>4380</v>
      </c>
      <c r="F965" t="s">
        <v>148</v>
      </c>
      <c r="G965" t="s">
        <v>785</v>
      </c>
      <c r="H965" t="s">
        <v>386</v>
      </c>
      <c r="I965" t="s">
        <v>40</v>
      </c>
      <c r="J965" t="s">
        <v>109</v>
      </c>
      <c r="K965" t="s">
        <v>387</v>
      </c>
      <c r="L965" t="s">
        <v>43</v>
      </c>
      <c r="N965" t="s">
        <v>44</v>
      </c>
      <c r="O965" t="s">
        <v>7369</v>
      </c>
      <c r="Q965">
        <v>31581</v>
      </c>
      <c r="R965" t="s">
        <v>95</v>
      </c>
      <c r="S965" t="s">
        <v>4389</v>
      </c>
      <c r="T965">
        <v>22</v>
      </c>
      <c r="W965" t="s">
        <v>390</v>
      </c>
      <c r="X965" t="s">
        <v>4390</v>
      </c>
      <c r="Y965" t="s">
        <v>121</v>
      </c>
      <c r="Z965" t="s">
        <v>122</v>
      </c>
      <c r="AA965" s="2" t="s">
        <v>6660</v>
      </c>
      <c r="AB965" t="s">
        <v>88</v>
      </c>
      <c r="AG965" t="s">
        <v>7380</v>
      </c>
      <c r="AH965" t="s">
        <v>4393</v>
      </c>
      <c r="AI965" t="s">
        <v>7381</v>
      </c>
    </row>
    <row r="966" spans="2:35" ht="375">
      <c r="B966" s="1">
        <v>45940</v>
      </c>
      <c r="C966" s="1">
        <v>45940</v>
      </c>
      <c r="D966" t="s">
        <v>7382</v>
      </c>
      <c r="E966" t="s">
        <v>2428</v>
      </c>
      <c r="F966" t="s">
        <v>148</v>
      </c>
      <c r="G966" t="s">
        <v>447</v>
      </c>
      <c r="H966" t="s">
        <v>513</v>
      </c>
      <c r="I966" t="s">
        <v>94</v>
      </c>
      <c r="J966" s="2" t="s">
        <v>760</v>
      </c>
      <c r="K966" t="s">
        <v>387</v>
      </c>
      <c r="L966" t="s">
        <v>80</v>
      </c>
      <c r="N966" t="s">
        <v>81</v>
      </c>
      <c r="Q966">
        <v>31580</v>
      </c>
      <c r="R966" t="s">
        <v>322</v>
      </c>
      <c r="S966" t="s">
        <v>5004</v>
      </c>
      <c r="T966">
        <v>25</v>
      </c>
      <c r="V966" s="1">
        <v>45938</v>
      </c>
      <c r="W966" t="s">
        <v>476</v>
      </c>
      <c r="X966" t="s">
        <v>7383</v>
      </c>
      <c r="Y966" s="2" t="s">
        <v>7384</v>
      </c>
      <c r="Z966" s="2" t="s">
        <v>7385</v>
      </c>
      <c r="AA966" s="2" t="s">
        <v>7386</v>
      </c>
      <c r="AB966" s="2" t="s">
        <v>7387</v>
      </c>
      <c r="AC966" t="s">
        <v>7388</v>
      </c>
      <c r="AD966" t="s">
        <v>7389</v>
      </c>
      <c r="AE966" t="s">
        <v>7390</v>
      </c>
      <c r="AG966" t="s">
        <v>7391</v>
      </c>
      <c r="AH966" t="s">
        <v>7392</v>
      </c>
      <c r="AI966" t="s">
        <v>7393</v>
      </c>
    </row>
    <row r="967" spans="2:35">
      <c r="B967" s="1">
        <v>45940</v>
      </c>
      <c r="C967" s="1">
        <v>45940</v>
      </c>
      <c r="D967" t="s">
        <v>7394</v>
      </c>
      <c r="E967" t="s">
        <v>7395</v>
      </c>
      <c r="F967" t="s">
        <v>148</v>
      </c>
      <c r="G967" t="s">
        <v>310</v>
      </c>
      <c r="H967" t="s">
        <v>39</v>
      </c>
      <c r="I967" t="s">
        <v>40</v>
      </c>
      <c r="J967" t="s">
        <v>79</v>
      </c>
      <c r="K967" t="s">
        <v>42</v>
      </c>
      <c r="L967" t="s">
        <v>857</v>
      </c>
      <c r="N967" t="s">
        <v>7396</v>
      </c>
      <c r="Q967">
        <v>31579</v>
      </c>
      <c r="R967" t="s">
        <v>322</v>
      </c>
      <c r="S967" t="s">
        <v>859</v>
      </c>
      <c r="T967">
        <v>22</v>
      </c>
      <c r="V967" s="1">
        <v>45931</v>
      </c>
      <c r="W967" t="s">
        <v>6901</v>
      </c>
      <c r="X967">
        <v>809643</v>
      </c>
      <c r="Y967" t="s">
        <v>7397</v>
      </c>
      <c r="Z967" t="s">
        <v>7398</v>
      </c>
      <c r="AA967" t="s">
        <v>7399</v>
      </c>
      <c r="AB967" t="s">
        <v>181</v>
      </c>
      <c r="AD967" t="s">
        <v>7400</v>
      </c>
      <c r="AE967" t="s">
        <v>7401</v>
      </c>
      <c r="AG967" t="s">
        <v>7402</v>
      </c>
      <c r="AH967" t="s">
        <v>7403</v>
      </c>
      <c r="AI967" t="s">
        <v>7404</v>
      </c>
    </row>
    <row r="968" spans="2:35" ht="105">
      <c r="B968" s="1">
        <v>45940</v>
      </c>
      <c r="C968" s="1">
        <v>45940</v>
      </c>
      <c r="D968" t="s">
        <v>7405</v>
      </c>
      <c r="E968" t="s">
        <v>7406</v>
      </c>
      <c r="F968" t="s">
        <v>1255</v>
      </c>
      <c r="G968" t="s">
        <v>1256</v>
      </c>
      <c r="H968" t="s">
        <v>39</v>
      </c>
      <c r="I968" t="s">
        <v>40</v>
      </c>
      <c r="J968" t="s">
        <v>109</v>
      </c>
      <c r="K968" t="s">
        <v>42</v>
      </c>
      <c r="L968" t="s">
        <v>1257</v>
      </c>
      <c r="N968" t="s">
        <v>1258</v>
      </c>
      <c r="O968" t="s">
        <v>1258</v>
      </c>
      <c r="Q968">
        <v>31578</v>
      </c>
      <c r="R968" t="s">
        <v>119</v>
      </c>
      <c r="S968" t="s">
        <v>7407</v>
      </c>
      <c r="T968">
        <v>25</v>
      </c>
      <c r="U968" s="2" t="s">
        <v>7408</v>
      </c>
      <c r="V968" s="1">
        <v>45940</v>
      </c>
      <c r="W968" t="s">
        <v>2384</v>
      </c>
      <c r="X968">
        <v>838838</v>
      </c>
      <c r="Y968" t="s">
        <v>301</v>
      </c>
      <c r="Z968" t="s">
        <v>7409</v>
      </c>
      <c r="AA968" t="s">
        <v>7410</v>
      </c>
      <c r="AB968" t="s">
        <v>7411</v>
      </c>
      <c r="AC968" t="s">
        <v>301</v>
      </c>
      <c r="AD968" t="s">
        <v>54</v>
      </c>
      <c r="AE968" t="s">
        <v>54</v>
      </c>
      <c r="AG968" t="s">
        <v>7412</v>
      </c>
      <c r="AH968" t="s">
        <v>7413</v>
      </c>
      <c r="AI968" t="s">
        <v>7414</v>
      </c>
    </row>
    <row r="969" spans="2:35" ht="105">
      <c r="B969" s="1">
        <v>45940</v>
      </c>
      <c r="C969" s="1">
        <v>45940</v>
      </c>
      <c r="D969" t="s">
        <v>5563</v>
      </c>
      <c r="E969" t="s">
        <v>1555</v>
      </c>
      <c r="F969">
        <v>7</v>
      </c>
      <c r="G969" t="s">
        <v>432</v>
      </c>
      <c r="H969" t="s">
        <v>150</v>
      </c>
      <c r="I969" t="s">
        <v>40</v>
      </c>
      <c r="J969" t="s">
        <v>109</v>
      </c>
      <c r="K969" t="s">
        <v>42</v>
      </c>
      <c r="L969" t="s">
        <v>343</v>
      </c>
      <c r="N969" t="s">
        <v>344</v>
      </c>
      <c r="Q969">
        <v>31577</v>
      </c>
      <c r="R969" t="s">
        <v>119</v>
      </c>
      <c r="S969" t="s">
        <v>5564</v>
      </c>
      <c r="T969">
        <v>30</v>
      </c>
      <c r="U969" s="2" t="s">
        <v>5565</v>
      </c>
      <c r="W969" t="s">
        <v>1501</v>
      </c>
      <c r="X969">
        <v>838561</v>
      </c>
      <c r="Y969" t="s">
        <v>7415</v>
      </c>
      <c r="Z969" t="s">
        <v>7416</v>
      </c>
      <c r="AA969" t="e">
        <f ca="1">-Preventive Maintenance</f>
        <v>#NAME?</v>
      </c>
      <c r="AB969" t="s">
        <v>1467</v>
      </c>
      <c r="AG969" t="s">
        <v>7417</v>
      </c>
      <c r="AH969" t="s">
        <v>5567</v>
      </c>
      <c r="AI969" t="s">
        <v>7418</v>
      </c>
    </row>
    <row r="970" spans="2:35" ht="409.5">
      <c r="B970" s="1">
        <v>45940</v>
      </c>
      <c r="C970" s="1">
        <v>45939</v>
      </c>
      <c r="D970" t="s">
        <v>5602</v>
      </c>
      <c r="E970" t="s">
        <v>2580</v>
      </c>
      <c r="F970" t="s">
        <v>148</v>
      </c>
      <c r="G970" t="s">
        <v>447</v>
      </c>
      <c r="H970" t="s">
        <v>662</v>
      </c>
      <c r="I970" t="s">
        <v>40</v>
      </c>
      <c r="J970" s="2" t="s">
        <v>62</v>
      </c>
      <c r="K970" t="s">
        <v>42</v>
      </c>
      <c r="L970" t="s">
        <v>448</v>
      </c>
      <c r="N970" t="s">
        <v>650</v>
      </c>
      <c r="O970" t="s">
        <v>5603</v>
      </c>
      <c r="Q970">
        <v>31576</v>
      </c>
      <c r="R970" t="s">
        <v>322</v>
      </c>
      <c r="S970" t="s">
        <v>5604</v>
      </c>
      <c r="T970">
        <v>28</v>
      </c>
      <c r="U970" s="2" t="s">
        <v>7419</v>
      </c>
      <c r="V970" s="1">
        <v>45939</v>
      </c>
      <c r="W970" t="s">
        <v>7420</v>
      </c>
      <c r="X970">
        <v>110005587</v>
      </c>
      <c r="Y970" t="s">
        <v>7421</v>
      </c>
      <c r="Z970" s="2" t="s">
        <v>3071</v>
      </c>
      <c r="AA970" t="s">
        <v>6495</v>
      </c>
      <c r="AB970" s="2" t="s">
        <v>7422</v>
      </c>
      <c r="AD970" t="s">
        <v>3628</v>
      </c>
      <c r="AE970" t="s">
        <v>449</v>
      </c>
      <c r="AG970" t="s">
        <v>7423</v>
      </c>
      <c r="AH970" t="s">
        <v>7424</v>
      </c>
      <c r="AI970" t="s">
        <v>7425</v>
      </c>
    </row>
    <row r="971" spans="2:35" ht="409.5">
      <c r="B971" s="1">
        <v>45940</v>
      </c>
      <c r="C971" s="1">
        <v>45939</v>
      </c>
      <c r="D971" t="s">
        <v>5602</v>
      </c>
      <c r="E971" t="s">
        <v>2580</v>
      </c>
      <c r="F971" t="s">
        <v>148</v>
      </c>
      <c r="G971" t="s">
        <v>447</v>
      </c>
      <c r="H971" t="s">
        <v>662</v>
      </c>
      <c r="I971" t="s">
        <v>40</v>
      </c>
      <c r="J971" s="2" t="s">
        <v>62</v>
      </c>
      <c r="K971" t="s">
        <v>42</v>
      </c>
      <c r="L971" t="s">
        <v>448</v>
      </c>
      <c r="N971" t="s">
        <v>650</v>
      </c>
      <c r="O971" t="s">
        <v>5603</v>
      </c>
      <c r="Q971">
        <v>31575</v>
      </c>
      <c r="R971" t="s">
        <v>322</v>
      </c>
      <c r="S971" t="s">
        <v>5604</v>
      </c>
      <c r="T971">
        <v>27</v>
      </c>
      <c r="U971" s="2" t="s">
        <v>7426</v>
      </c>
      <c r="V971" s="1">
        <v>45939</v>
      </c>
      <c r="W971" t="s">
        <v>1139</v>
      </c>
      <c r="X971">
        <v>838524</v>
      </c>
      <c r="Y971" t="s">
        <v>6494</v>
      </c>
      <c r="Z971" s="2" t="s">
        <v>7427</v>
      </c>
      <c r="AA971" t="s">
        <v>6495</v>
      </c>
      <c r="AB971" t="s">
        <v>7428</v>
      </c>
      <c r="AD971" t="s">
        <v>7429</v>
      </c>
      <c r="AE971" t="s">
        <v>449</v>
      </c>
      <c r="AG971" t="s">
        <v>7430</v>
      </c>
      <c r="AH971" t="s">
        <v>5609</v>
      </c>
      <c r="AI971" t="s">
        <v>7431</v>
      </c>
    </row>
    <row r="972" spans="2:35" ht="120">
      <c r="B972" s="1">
        <v>45939</v>
      </c>
      <c r="C972" s="1">
        <v>45939</v>
      </c>
      <c r="D972" t="s">
        <v>6102</v>
      </c>
      <c r="E972" t="s">
        <v>7432</v>
      </c>
      <c r="F972">
        <v>8</v>
      </c>
      <c r="G972" t="s">
        <v>4685</v>
      </c>
      <c r="H972" t="s">
        <v>258</v>
      </c>
      <c r="I972" t="s">
        <v>94</v>
      </c>
      <c r="J972" s="2" t="s">
        <v>4151</v>
      </c>
      <c r="K972" t="s">
        <v>42</v>
      </c>
      <c r="L972" t="s">
        <v>594</v>
      </c>
      <c r="N972" t="s">
        <v>595</v>
      </c>
      <c r="O972" t="s">
        <v>595</v>
      </c>
      <c r="Q972">
        <v>31574</v>
      </c>
      <c r="R972" t="s">
        <v>119</v>
      </c>
      <c r="S972" t="s">
        <v>7433</v>
      </c>
      <c r="T972">
        <v>24</v>
      </c>
      <c r="W972" t="s">
        <v>5595</v>
      </c>
      <c r="X972">
        <v>847303</v>
      </c>
      <c r="Y972" t="s">
        <v>7434</v>
      </c>
      <c r="Z972" t="s">
        <v>7435</v>
      </c>
      <c r="AA972" t="s">
        <v>7436</v>
      </c>
      <c r="AB972" t="s">
        <v>7437</v>
      </c>
      <c r="AG972" t="s">
        <v>7438</v>
      </c>
      <c r="AH972" t="s">
        <v>7439</v>
      </c>
      <c r="AI972" t="s">
        <v>7440</v>
      </c>
    </row>
    <row r="973" spans="2:35" ht="409.5">
      <c r="B973" s="1">
        <v>45939</v>
      </c>
      <c r="C973" s="1">
        <v>45939</v>
      </c>
      <c r="D973" t="s">
        <v>7441</v>
      </c>
      <c r="E973" t="s">
        <v>7442</v>
      </c>
      <c r="F973" t="s">
        <v>148</v>
      </c>
      <c r="G973" t="s">
        <v>447</v>
      </c>
      <c r="H973" t="s">
        <v>513</v>
      </c>
      <c r="I973" t="s">
        <v>40</v>
      </c>
      <c r="J973" s="2" t="s">
        <v>62</v>
      </c>
      <c r="K973" t="s">
        <v>387</v>
      </c>
      <c r="L973" t="s">
        <v>175</v>
      </c>
      <c r="N973" t="s">
        <v>176</v>
      </c>
      <c r="O973" t="s">
        <v>3327</v>
      </c>
      <c r="Q973">
        <v>31573</v>
      </c>
      <c r="R973" t="s">
        <v>322</v>
      </c>
      <c r="S973" t="s">
        <v>4306</v>
      </c>
      <c r="T973">
        <v>28</v>
      </c>
      <c r="V973" s="1">
        <v>45939</v>
      </c>
      <c r="W973" t="s">
        <v>390</v>
      </c>
      <c r="X973" t="s">
        <v>4307</v>
      </c>
      <c r="Y973" s="2" t="s">
        <v>3651</v>
      </c>
      <c r="Z973" s="2" t="s">
        <v>7443</v>
      </c>
      <c r="AA973" s="2" t="s">
        <v>7444</v>
      </c>
      <c r="AB973" t="s">
        <v>7445</v>
      </c>
      <c r="AC973" t="s">
        <v>7210</v>
      </c>
      <c r="AD973" t="s">
        <v>3838</v>
      </c>
      <c r="AE973">
        <v>13385</v>
      </c>
      <c r="AG973" t="s">
        <v>7446</v>
      </c>
      <c r="AH973" t="s">
        <v>7447</v>
      </c>
      <c r="AI973" t="s">
        <v>7448</v>
      </c>
    </row>
    <row r="974" spans="2:35" ht="409.5">
      <c r="B974" s="1">
        <v>45939</v>
      </c>
      <c r="C974" s="1">
        <v>45939</v>
      </c>
      <c r="D974" t="s">
        <v>7449</v>
      </c>
      <c r="E974" t="s">
        <v>3702</v>
      </c>
      <c r="F974" t="s">
        <v>148</v>
      </c>
      <c r="G974" t="s">
        <v>447</v>
      </c>
      <c r="H974" t="s">
        <v>295</v>
      </c>
      <c r="I974" t="s">
        <v>40</v>
      </c>
      <c r="J974" t="s">
        <v>109</v>
      </c>
      <c r="K974" t="s">
        <v>42</v>
      </c>
      <c r="L974" t="s">
        <v>1943</v>
      </c>
      <c r="N974" t="s">
        <v>1944</v>
      </c>
      <c r="Q974">
        <v>31572</v>
      </c>
      <c r="R974" t="s">
        <v>95</v>
      </c>
      <c r="S974" t="s">
        <v>3698</v>
      </c>
      <c r="T974">
        <v>25</v>
      </c>
      <c r="W974" t="s">
        <v>84</v>
      </c>
      <c r="X974">
        <v>835602</v>
      </c>
      <c r="Y974" t="s">
        <v>2099</v>
      </c>
      <c r="Z974" t="s">
        <v>2100</v>
      </c>
      <c r="AA974" s="2" t="s">
        <v>2101</v>
      </c>
      <c r="AB974" t="s">
        <v>7450</v>
      </c>
      <c r="AG974" t="s">
        <v>7451</v>
      </c>
      <c r="AH974" t="s">
        <v>7452</v>
      </c>
      <c r="AI974" t="s">
        <v>7453</v>
      </c>
    </row>
    <row r="975" spans="2:35" ht="409.5">
      <c r="B975" s="1">
        <v>45939</v>
      </c>
      <c r="C975" s="1">
        <v>45939</v>
      </c>
      <c r="D975" t="s">
        <v>7449</v>
      </c>
      <c r="E975" t="s">
        <v>3702</v>
      </c>
      <c r="F975" t="s">
        <v>148</v>
      </c>
      <c r="G975" t="s">
        <v>447</v>
      </c>
      <c r="H975" t="s">
        <v>295</v>
      </c>
      <c r="I975" t="s">
        <v>40</v>
      </c>
      <c r="J975" t="s">
        <v>109</v>
      </c>
      <c r="K975" t="s">
        <v>42</v>
      </c>
      <c r="L975" t="s">
        <v>1943</v>
      </c>
      <c r="N975" t="s">
        <v>1944</v>
      </c>
      <c r="Q975">
        <v>31571</v>
      </c>
      <c r="R975" t="s">
        <v>95</v>
      </c>
      <c r="S975" t="s">
        <v>3698</v>
      </c>
      <c r="T975">
        <v>25</v>
      </c>
      <c r="W975" t="s">
        <v>84</v>
      </c>
      <c r="X975">
        <v>835601</v>
      </c>
      <c r="Y975" t="s">
        <v>2099</v>
      </c>
      <c r="Z975" t="s">
        <v>2100</v>
      </c>
      <c r="AA975" s="2" t="s">
        <v>2101</v>
      </c>
      <c r="AB975" t="s">
        <v>7454</v>
      </c>
      <c r="AG975" t="s">
        <v>7455</v>
      </c>
      <c r="AH975" t="s">
        <v>7452</v>
      </c>
      <c r="AI975" t="s">
        <v>7456</v>
      </c>
    </row>
    <row r="976" spans="2:35" ht="195">
      <c r="B976" s="1">
        <v>45939</v>
      </c>
      <c r="C976" s="1">
        <v>45939</v>
      </c>
      <c r="D976" t="s">
        <v>7308</v>
      </c>
      <c r="E976" t="s">
        <v>7309</v>
      </c>
      <c r="F976">
        <v>5</v>
      </c>
      <c r="G976" t="s">
        <v>839</v>
      </c>
      <c r="H976" t="s">
        <v>39</v>
      </c>
      <c r="I976" t="s">
        <v>40</v>
      </c>
      <c r="J976" t="s">
        <v>109</v>
      </c>
      <c r="K976" t="s">
        <v>42</v>
      </c>
      <c r="L976" t="s">
        <v>761</v>
      </c>
      <c r="N976" t="s">
        <v>762</v>
      </c>
      <c r="Q976">
        <v>31570</v>
      </c>
      <c r="R976" t="s">
        <v>967</v>
      </c>
      <c r="S976" t="s">
        <v>5498</v>
      </c>
      <c r="T976">
        <v>25</v>
      </c>
      <c r="U976" s="2" t="s">
        <v>7310</v>
      </c>
      <c r="W976" t="s">
        <v>817</v>
      </c>
      <c r="X976">
        <v>110023511</v>
      </c>
      <c r="Y976" t="s">
        <v>7311</v>
      </c>
      <c r="Z976" s="2" t="s">
        <v>1415</v>
      </c>
      <c r="AA976" t="s">
        <v>820</v>
      </c>
      <c r="AB976" s="2" t="s">
        <v>2996</v>
      </c>
      <c r="AG976" t="s">
        <v>7457</v>
      </c>
      <c r="AH976" t="s">
        <v>5503</v>
      </c>
      <c r="AI976" t="s">
        <v>7458</v>
      </c>
    </row>
    <row r="977" spans="2:35" ht="255">
      <c r="B977" s="1">
        <v>45939</v>
      </c>
      <c r="C977" s="1">
        <v>45939</v>
      </c>
      <c r="D977" t="s">
        <v>7459</v>
      </c>
      <c r="E977" t="s">
        <v>718</v>
      </c>
      <c r="F977">
        <v>11</v>
      </c>
      <c r="G977" t="s">
        <v>1205</v>
      </c>
      <c r="H977" t="s">
        <v>202</v>
      </c>
      <c r="I977" t="s">
        <v>40</v>
      </c>
      <c r="J977" t="s">
        <v>109</v>
      </c>
      <c r="K977" t="s">
        <v>42</v>
      </c>
      <c r="L977" t="s">
        <v>204</v>
      </c>
      <c r="N977" t="s">
        <v>205</v>
      </c>
      <c r="Q977">
        <v>31569</v>
      </c>
      <c r="R977" t="s">
        <v>119</v>
      </c>
      <c r="S977" t="s">
        <v>7460</v>
      </c>
      <c r="T977">
        <v>612</v>
      </c>
      <c r="U977" s="2" t="s">
        <v>7461</v>
      </c>
      <c r="W977" t="s">
        <v>208</v>
      </c>
      <c r="X977">
        <v>838511</v>
      </c>
      <c r="Y977" t="s">
        <v>1052</v>
      </c>
      <c r="Z977" s="2" t="s">
        <v>1892</v>
      </c>
      <c r="AA977" t="s">
        <v>2551</v>
      </c>
      <c r="AB977" t="s">
        <v>1211</v>
      </c>
      <c r="AG977" t="s">
        <v>7462</v>
      </c>
      <c r="AH977" t="s">
        <v>7463</v>
      </c>
      <c r="AI977" t="s">
        <v>7464</v>
      </c>
    </row>
    <row r="978" spans="2:35">
      <c r="B978" s="1">
        <v>45939</v>
      </c>
      <c r="C978" s="1">
        <v>45939</v>
      </c>
      <c r="D978" t="s">
        <v>7465</v>
      </c>
      <c r="E978" t="s">
        <v>7466</v>
      </c>
      <c r="F978">
        <v>8</v>
      </c>
      <c r="G978" t="s">
        <v>342</v>
      </c>
      <c r="H978" t="s">
        <v>258</v>
      </c>
      <c r="I978" t="s">
        <v>40</v>
      </c>
      <c r="J978" t="s">
        <v>109</v>
      </c>
      <c r="K978" t="s">
        <v>42</v>
      </c>
      <c r="L978" t="s">
        <v>259</v>
      </c>
      <c r="N978" t="s">
        <v>260</v>
      </c>
      <c r="Q978">
        <v>31568</v>
      </c>
      <c r="R978" t="s">
        <v>119</v>
      </c>
      <c r="S978" t="s">
        <v>7467</v>
      </c>
      <c r="T978">
        <v>26</v>
      </c>
      <c r="W978" t="s">
        <v>84</v>
      </c>
      <c r="X978">
        <v>838551</v>
      </c>
      <c r="Y978" t="s">
        <v>263</v>
      </c>
      <c r="Z978" t="e">
        <f ca="1">- Data Collection</f>
        <v>#NAME?</v>
      </c>
      <c r="AA978" t="e">
        <f ca="1">- Preventive Maintenance</f>
        <v>#NAME?</v>
      </c>
      <c r="AB978" t="s">
        <v>70</v>
      </c>
      <c r="AG978" t="s">
        <v>7468</v>
      </c>
      <c r="AH978" t="s">
        <v>7469</v>
      </c>
      <c r="AI978" t="s">
        <v>7470</v>
      </c>
    </row>
    <row r="979" spans="2:35" ht="75">
      <c r="B979" s="1">
        <v>45938</v>
      </c>
      <c r="C979" s="1">
        <v>45938</v>
      </c>
      <c r="D979" t="s">
        <v>7471</v>
      </c>
      <c r="E979" t="s">
        <v>7472</v>
      </c>
      <c r="F979">
        <v>8</v>
      </c>
      <c r="G979" t="s">
        <v>342</v>
      </c>
      <c r="H979" t="s">
        <v>258</v>
      </c>
      <c r="I979" t="s">
        <v>40</v>
      </c>
      <c r="J979" s="2" t="s">
        <v>609</v>
      </c>
      <c r="K979" t="s">
        <v>42</v>
      </c>
      <c r="L979" t="s">
        <v>259</v>
      </c>
      <c r="N979" t="s">
        <v>260</v>
      </c>
      <c r="Q979">
        <v>31567</v>
      </c>
      <c r="R979" t="s">
        <v>119</v>
      </c>
      <c r="S979" t="s">
        <v>7473</v>
      </c>
      <c r="T979">
        <v>25</v>
      </c>
      <c r="W979" t="s">
        <v>84</v>
      </c>
      <c r="X979">
        <v>838421</v>
      </c>
      <c r="Y979" t="e">
        <f ca="1">- transfer GeneXpert machine</f>
        <v>#NAME?</v>
      </c>
      <c r="Z979" t="s">
        <v>7242</v>
      </c>
      <c r="AA979" t="e">
        <f ca="1">- Preventive Maintenance
- on Site assistance
-  transfer GeneXpert machine to Tacloban City Health Office</f>
        <v>#NAME?</v>
      </c>
      <c r="AB979" t="s">
        <v>70</v>
      </c>
      <c r="AG979" t="s">
        <v>7474</v>
      </c>
      <c r="AH979" t="s">
        <v>7473</v>
      </c>
      <c r="AI979" t="s">
        <v>7475</v>
      </c>
    </row>
    <row r="980" spans="2:35" ht="255">
      <c r="B980" s="1">
        <v>45938</v>
      </c>
      <c r="C980" s="1">
        <v>45938</v>
      </c>
      <c r="D980" t="s">
        <v>7476</v>
      </c>
      <c r="E980" t="s">
        <v>7477</v>
      </c>
      <c r="F980">
        <v>11</v>
      </c>
      <c r="G980" t="s">
        <v>1205</v>
      </c>
      <c r="H980" t="s">
        <v>202</v>
      </c>
      <c r="I980" t="s">
        <v>40</v>
      </c>
      <c r="J980" t="s">
        <v>109</v>
      </c>
      <c r="K980" t="s">
        <v>42</v>
      </c>
      <c r="L980" t="s">
        <v>204</v>
      </c>
      <c r="N980" t="s">
        <v>205</v>
      </c>
      <c r="Q980">
        <v>31566</v>
      </c>
      <c r="R980" t="s">
        <v>119</v>
      </c>
      <c r="S980" t="s">
        <v>7478</v>
      </c>
      <c r="T980">
        <v>23.8</v>
      </c>
      <c r="U980" s="2" t="s">
        <v>7479</v>
      </c>
      <c r="W980" t="s">
        <v>208</v>
      </c>
      <c r="X980">
        <v>838507</v>
      </c>
      <c r="Y980" t="s">
        <v>1052</v>
      </c>
      <c r="Z980" s="2" t="s">
        <v>1892</v>
      </c>
      <c r="AA980" t="s">
        <v>2551</v>
      </c>
      <c r="AB980" t="s">
        <v>1211</v>
      </c>
      <c r="AG980" t="s">
        <v>7480</v>
      </c>
      <c r="AH980" t="s">
        <v>7481</v>
      </c>
      <c r="AI980" t="s">
        <v>7482</v>
      </c>
    </row>
    <row r="981" spans="2:35" ht="375">
      <c r="B981" s="1">
        <v>45937</v>
      </c>
      <c r="C981" s="1">
        <v>45932</v>
      </c>
      <c r="D981" t="s">
        <v>2364</v>
      </c>
      <c r="E981" t="s">
        <v>7483</v>
      </c>
      <c r="F981">
        <v>12</v>
      </c>
      <c r="G981" t="s">
        <v>978</v>
      </c>
      <c r="H981" t="s">
        <v>1473</v>
      </c>
      <c r="I981" t="s">
        <v>40</v>
      </c>
      <c r="J981" t="s">
        <v>109</v>
      </c>
      <c r="K981" t="s">
        <v>42</v>
      </c>
      <c r="L981" t="s">
        <v>296</v>
      </c>
      <c r="N981" t="s">
        <v>297</v>
      </c>
      <c r="Q981">
        <v>31565</v>
      </c>
      <c r="R981" t="s">
        <v>119</v>
      </c>
      <c r="S981" t="s">
        <v>7484</v>
      </c>
      <c r="T981">
        <v>24.3</v>
      </c>
      <c r="U981" s="2" t="s">
        <v>7485</v>
      </c>
      <c r="W981" t="s">
        <v>981</v>
      </c>
      <c r="X981">
        <v>838570</v>
      </c>
      <c r="Y981" t="s">
        <v>301</v>
      </c>
      <c r="Z981" s="2" t="s">
        <v>7486</v>
      </c>
      <c r="AA981" t="s">
        <v>303</v>
      </c>
      <c r="AB981" t="s">
        <v>972</v>
      </c>
      <c r="AG981" t="s">
        <v>7487</v>
      </c>
      <c r="AH981" t="s">
        <v>7488</v>
      </c>
      <c r="AI981" t="s">
        <v>7489</v>
      </c>
    </row>
    <row r="982" spans="2:35" ht="315">
      <c r="B982" s="1">
        <v>45937</v>
      </c>
      <c r="C982" s="1">
        <v>45931</v>
      </c>
      <c r="D982" t="s">
        <v>5783</v>
      </c>
      <c r="E982" t="s">
        <v>5784</v>
      </c>
      <c r="F982">
        <v>12</v>
      </c>
      <c r="G982" t="s">
        <v>5785</v>
      </c>
      <c r="H982" t="s">
        <v>1473</v>
      </c>
      <c r="I982" t="s">
        <v>40</v>
      </c>
      <c r="J982" s="2" t="s">
        <v>190</v>
      </c>
      <c r="K982" t="s">
        <v>42</v>
      </c>
      <c r="L982" t="s">
        <v>296</v>
      </c>
      <c r="N982" t="s">
        <v>297</v>
      </c>
      <c r="Q982">
        <v>31564</v>
      </c>
      <c r="R982" t="s">
        <v>119</v>
      </c>
      <c r="S982" t="s">
        <v>5787</v>
      </c>
      <c r="T982">
        <v>26.4</v>
      </c>
      <c r="U982" s="2" t="s">
        <v>7490</v>
      </c>
      <c r="W982" t="s">
        <v>981</v>
      </c>
      <c r="X982">
        <v>838546</v>
      </c>
      <c r="Y982" t="s">
        <v>7491</v>
      </c>
      <c r="Z982" s="2" t="s">
        <v>7492</v>
      </c>
      <c r="AA982" s="2" t="s">
        <v>7493</v>
      </c>
      <c r="AB982" s="2" t="s">
        <v>7494</v>
      </c>
      <c r="AG982" t="s">
        <v>7495</v>
      </c>
      <c r="AH982" t="s">
        <v>5791</v>
      </c>
      <c r="AI982" t="s">
        <v>7496</v>
      </c>
    </row>
    <row r="983" spans="2:35" ht="360">
      <c r="B983" s="1">
        <v>45937</v>
      </c>
      <c r="C983" s="1">
        <v>45930</v>
      </c>
      <c r="D983" t="s">
        <v>4413</v>
      </c>
      <c r="E983" t="s">
        <v>7497</v>
      </c>
      <c r="F983">
        <v>12</v>
      </c>
      <c r="G983" t="s">
        <v>978</v>
      </c>
      <c r="H983" t="s">
        <v>1473</v>
      </c>
      <c r="I983" t="s">
        <v>40</v>
      </c>
      <c r="J983" t="s">
        <v>109</v>
      </c>
      <c r="K983" t="s">
        <v>42</v>
      </c>
      <c r="L983" t="s">
        <v>296</v>
      </c>
      <c r="N983" t="s">
        <v>297</v>
      </c>
      <c r="Q983">
        <v>31563</v>
      </c>
      <c r="R983" t="s">
        <v>119</v>
      </c>
      <c r="S983" t="s">
        <v>7498</v>
      </c>
      <c r="T983">
        <v>26.1</v>
      </c>
      <c r="U983" s="2" t="s">
        <v>7499</v>
      </c>
      <c r="W983" t="s">
        <v>981</v>
      </c>
      <c r="X983">
        <v>838544</v>
      </c>
      <c r="Y983" t="s">
        <v>301</v>
      </c>
      <c r="Z983" s="2" t="s">
        <v>7500</v>
      </c>
      <c r="AA983" t="s">
        <v>303</v>
      </c>
      <c r="AB983" t="s">
        <v>972</v>
      </c>
      <c r="AG983" t="s">
        <v>7501</v>
      </c>
      <c r="AH983" t="s">
        <v>7502</v>
      </c>
      <c r="AI983" t="s">
        <v>7503</v>
      </c>
    </row>
    <row r="984" spans="2:35" ht="409.5">
      <c r="B984" s="1">
        <v>45937</v>
      </c>
      <c r="C984" s="1">
        <v>45937</v>
      </c>
      <c r="D984" t="s">
        <v>7504</v>
      </c>
      <c r="E984" t="s">
        <v>2797</v>
      </c>
      <c r="F984">
        <v>12</v>
      </c>
      <c r="G984" t="s">
        <v>978</v>
      </c>
      <c r="H984" t="s">
        <v>150</v>
      </c>
      <c r="I984" t="s">
        <v>40</v>
      </c>
      <c r="J984" s="2" t="s">
        <v>41</v>
      </c>
      <c r="K984" t="s">
        <v>42</v>
      </c>
      <c r="L984" t="s">
        <v>296</v>
      </c>
      <c r="N984" t="s">
        <v>297</v>
      </c>
      <c r="O984" t="s">
        <v>7505</v>
      </c>
      <c r="Q984">
        <v>31562</v>
      </c>
      <c r="R984" t="s">
        <v>95</v>
      </c>
      <c r="S984" t="s">
        <v>6267</v>
      </c>
      <c r="T984">
        <v>23.6</v>
      </c>
      <c r="U984" s="2" t="s">
        <v>7506</v>
      </c>
      <c r="V984" s="1">
        <v>45937</v>
      </c>
      <c r="W984" t="s">
        <v>981</v>
      </c>
      <c r="X984">
        <v>831313</v>
      </c>
      <c r="Y984" t="s">
        <v>7507</v>
      </c>
      <c r="Z984" s="2" t="s">
        <v>7508</v>
      </c>
      <c r="AA984" s="2" t="s">
        <v>7509</v>
      </c>
      <c r="AB984" s="2" t="s">
        <v>7510</v>
      </c>
      <c r="AD984" s="2" t="s">
        <v>7511</v>
      </c>
      <c r="AE984">
        <v>13369</v>
      </c>
      <c r="AG984" t="s">
        <v>7512</v>
      </c>
      <c r="AH984" t="s">
        <v>7513</v>
      </c>
      <c r="AI984" t="s">
        <v>7514</v>
      </c>
    </row>
    <row r="985" spans="2:35" ht="270">
      <c r="B985" s="1">
        <v>45937</v>
      </c>
      <c r="C985" s="1">
        <v>45937</v>
      </c>
      <c r="D985" t="s">
        <v>2272</v>
      </c>
      <c r="E985" t="s">
        <v>7515</v>
      </c>
      <c r="F985" t="s">
        <v>148</v>
      </c>
      <c r="G985" t="s">
        <v>310</v>
      </c>
      <c r="H985" t="s">
        <v>386</v>
      </c>
      <c r="I985" t="s">
        <v>40</v>
      </c>
      <c r="J985" s="2" t="s">
        <v>355</v>
      </c>
      <c r="K985" t="s">
        <v>387</v>
      </c>
      <c r="L985" t="s">
        <v>1943</v>
      </c>
      <c r="N985" t="s">
        <v>1944</v>
      </c>
      <c r="O985" t="s">
        <v>2275</v>
      </c>
      <c r="Q985">
        <v>31561</v>
      </c>
      <c r="R985" t="s">
        <v>322</v>
      </c>
      <c r="S985" t="s">
        <v>2276</v>
      </c>
      <c r="T985">
        <v>25</v>
      </c>
      <c r="W985" t="s">
        <v>390</v>
      </c>
      <c r="X985" t="s">
        <v>2277</v>
      </c>
      <c r="Y985" t="s">
        <v>7516</v>
      </c>
      <c r="Z985" t="s">
        <v>7517</v>
      </c>
      <c r="AA985" s="2" t="s">
        <v>7518</v>
      </c>
      <c r="AB985" t="s">
        <v>88</v>
      </c>
      <c r="AG985" t="s">
        <v>7519</v>
      </c>
      <c r="AH985" t="s">
        <v>7520</v>
      </c>
      <c r="AI985" t="s">
        <v>7521</v>
      </c>
    </row>
    <row r="986" spans="2:35" ht="255">
      <c r="B986" s="1">
        <v>45937</v>
      </c>
      <c r="C986" s="1">
        <v>45937</v>
      </c>
      <c r="D986" t="s">
        <v>7522</v>
      </c>
      <c r="E986" t="s">
        <v>7523</v>
      </c>
      <c r="F986">
        <v>11</v>
      </c>
      <c r="G986" t="s">
        <v>1759</v>
      </c>
      <c r="H986" t="s">
        <v>202</v>
      </c>
      <c r="I986" t="s">
        <v>40</v>
      </c>
      <c r="J986" t="s">
        <v>109</v>
      </c>
      <c r="K986" t="s">
        <v>42</v>
      </c>
      <c r="L986" t="s">
        <v>204</v>
      </c>
      <c r="N986" t="s">
        <v>205</v>
      </c>
      <c r="Q986">
        <v>31560</v>
      </c>
      <c r="R986" t="s">
        <v>119</v>
      </c>
      <c r="S986" t="s">
        <v>7524</v>
      </c>
      <c r="T986">
        <v>27.8</v>
      </c>
      <c r="U986" s="2" t="s">
        <v>7525</v>
      </c>
      <c r="W986" t="s">
        <v>208</v>
      </c>
      <c r="X986">
        <v>838500</v>
      </c>
      <c r="Y986" t="s">
        <v>1052</v>
      </c>
      <c r="Z986" s="2" t="s">
        <v>1892</v>
      </c>
      <c r="AA986" t="s">
        <v>2551</v>
      </c>
      <c r="AB986" t="s">
        <v>1211</v>
      </c>
      <c r="AG986" t="s">
        <v>7526</v>
      </c>
      <c r="AH986" t="s">
        <v>7527</v>
      </c>
      <c r="AI986" t="s">
        <v>7528</v>
      </c>
    </row>
    <row r="987" spans="2:35" ht="180">
      <c r="B987" s="1">
        <v>45937</v>
      </c>
      <c r="C987" s="1">
        <v>45937</v>
      </c>
      <c r="D987" t="s">
        <v>7529</v>
      </c>
      <c r="E987" t="s">
        <v>7530</v>
      </c>
      <c r="F987">
        <v>5</v>
      </c>
      <c r="G987" t="s">
        <v>759</v>
      </c>
      <c r="H987" t="s">
        <v>39</v>
      </c>
      <c r="I987" t="s">
        <v>94</v>
      </c>
      <c r="J987" t="s">
        <v>109</v>
      </c>
      <c r="K987" t="s">
        <v>42</v>
      </c>
      <c r="L987" t="s">
        <v>761</v>
      </c>
      <c r="N987" t="s">
        <v>762</v>
      </c>
      <c r="Q987">
        <v>31559</v>
      </c>
      <c r="R987" t="s">
        <v>119</v>
      </c>
      <c r="S987" t="s">
        <v>7531</v>
      </c>
      <c r="T987">
        <v>27</v>
      </c>
      <c r="U987" s="2" t="s">
        <v>7532</v>
      </c>
      <c r="W987" t="s">
        <v>765</v>
      </c>
      <c r="X987">
        <v>838397</v>
      </c>
      <c r="Y987" t="s">
        <v>818</v>
      </c>
      <c r="Z987" s="2" t="s">
        <v>7533</v>
      </c>
      <c r="AA987" t="s">
        <v>820</v>
      </c>
      <c r="AB987" t="s">
        <v>181</v>
      </c>
      <c r="AG987" t="s">
        <v>7534</v>
      </c>
      <c r="AH987" t="s">
        <v>7535</v>
      </c>
      <c r="AI987" t="s">
        <v>7536</v>
      </c>
    </row>
    <row r="988" spans="2:35" ht="135">
      <c r="B988" s="1">
        <v>45937</v>
      </c>
      <c r="C988" s="1">
        <v>45937</v>
      </c>
      <c r="D988" t="s">
        <v>7537</v>
      </c>
      <c r="E988" t="s">
        <v>7538</v>
      </c>
      <c r="F988">
        <v>7</v>
      </c>
      <c r="G988" t="s">
        <v>269</v>
      </c>
      <c r="H988" t="s">
        <v>39</v>
      </c>
      <c r="I988" t="s">
        <v>40</v>
      </c>
      <c r="J988" s="2" t="s">
        <v>7539</v>
      </c>
      <c r="K988" t="s">
        <v>42</v>
      </c>
      <c r="L988" t="s">
        <v>270</v>
      </c>
      <c r="N988" t="s">
        <v>2481</v>
      </c>
      <c r="Q988">
        <v>31558</v>
      </c>
      <c r="R988" t="s">
        <v>967</v>
      </c>
      <c r="S988" t="s">
        <v>5051</v>
      </c>
      <c r="T988">
        <v>24</v>
      </c>
      <c r="U988" s="2" t="s">
        <v>7540</v>
      </c>
      <c r="W988" t="s">
        <v>360</v>
      </c>
      <c r="X988">
        <v>110023502</v>
      </c>
      <c r="Y988" t="s">
        <v>7541</v>
      </c>
      <c r="Z988" t="s">
        <v>449</v>
      </c>
      <c r="AA988" t="s">
        <v>7542</v>
      </c>
      <c r="AB988" t="s">
        <v>7543</v>
      </c>
      <c r="AG988" t="s">
        <v>7544</v>
      </c>
      <c r="AH988" t="s">
        <v>7545</v>
      </c>
      <c r="AI988" t="s">
        <v>7546</v>
      </c>
    </row>
    <row r="989" spans="2:35" ht="409.5">
      <c r="B989" s="1">
        <v>45936</v>
      </c>
      <c r="C989" s="1">
        <v>45932</v>
      </c>
      <c r="D989" t="s">
        <v>7547</v>
      </c>
      <c r="E989" t="s">
        <v>7548</v>
      </c>
      <c r="F989" t="s">
        <v>1181</v>
      </c>
      <c r="G989" t="s">
        <v>310</v>
      </c>
      <c r="H989" t="s">
        <v>39</v>
      </c>
      <c r="I989" t="s">
        <v>40</v>
      </c>
      <c r="J989" t="s">
        <v>109</v>
      </c>
      <c r="K989" t="s">
        <v>42</v>
      </c>
      <c r="L989" t="s">
        <v>1943</v>
      </c>
      <c r="N989" t="s">
        <v>1944</v>
      </c>
      <c r="Q989">
        <v>31557</v>
      </c>
      <c r="R989" t="s">
        <v>119</v>
      </c>
      <c r="S989" t="s">
        <v>7549</v>
      </c>
      <c r="T989">
        <v>25</v>
      </c>
      <c r="W989" t="s">
        <v>84</v>
      </c>
      <c r="X989">
        <v>838226</v>
      </c>
      <c r="Y989" t="s">
        <v>2099</v>
      </c>
      <c r="Z989" t="s">
        <v>2100</v>
      </c>
      <c r="AA989" s="2" t="s">
        <v>2101</v>
      </c>
      <c r="AB989" t="s">
        <v>88</v>
      </c>
      <c r="AG989" t="s">
        <v>7550</v>
      </c>
      <c r="AH989" t="s">
        <v>7551</v>
      </c>
      <c r="AI989" t="s">
        <v>7552</v>
      </c>
    </row>
    <row r="990" spans="2:35" ht="120">
      <c r="B990" s="1">
        <v>45935</v>
      </c>
      <c r="C990" s="1">
        <v>45933</v>
      </c>
      <c r="D990" t="s">
        <v>7553</v>
      </c>
      <c r="E990" t="s">
        <v>4076</v>
      </c>
      <c r="F990">
        <v>5</v>
      </c>
      <c r="G990" t="s">
        <v>814</v>
      </c>
      <c r="H990" t="s">
        <v>39</v>
      </c>
      <c r="I990" t="s">
        <v>40</v>
      </c>
      <c r="J990" t="s">
        <v>109</v>
      </c>
      <c r="K990" t="s">
        <v>42</v>
      </c>
      <c r="L990" t="s">
        <v>761</v>
      </c>
      <c r="N990" t="s">
        <v>762</v>
      </c>
      <c r="Q990">
        <v>31556</v>
      </c>
      <c r="R990" t="s">
        <v>95</v>
      </c>
      <c r="S990" t="s">
        <v>4077</v>
      </c>
      <c r="T990">
        <v>24</v>
      </c>
      <c r="U990" s="2" t="s">
        <v>7554</v>
      </c>
      <c r="W990" t="s">
        <v>817</v>
      </c>
      <c r="X990">
        <v>120002716</v>
      </c>
      <c r="Y990" t="s">
        <v>7555</v>
      </c>
      <c r="Z990" s="2" t="s">
        <v>1415</v>
      </c>
      <c r="AA990" t="s">
        <v>820</v>
      </c>
      <c r="AB990" s="2" t="s">
        <v>4079</v>
      </c>
      <c r="AG990" t="s">
        <v>7556</v>
      </c>
      <c r="AH990" t="s">
        <v>4081</v>
      </c>
      <c r="AI990" t="s">
        <v>7557</v>
      </c>
    </row>
    <row r="991" spans="2:35" ht="120">
      <c r="B991" s="1">
        <v>45935</v>
      </c>
      <c r="C991" s="1">
        <v>45931</v>
      </c>
      <c r="D991" t="s">
        <v>4125</v>
      </c>
      <c r="E991" t="s">
        <v>4126</v>
      </c>
      <c r="F991">
        <v>5</v>
      </c>
      <c r="G991" t="s">
        <v>759</v>
      </c>
      <c r="H991" t="s">
        <v>39</v>
      </c>
      <c r="I991" t="s">
        <v>40</v>
      </c>
      <c r="J991" t="s">
        <v>525</v>
      </c>
      <c r="K991" t="s">
        <v>42</v>
      </c>
      <c r="L991" t="s">
        <v>761</v>
      </c>
      <c r="N991" t="s">
        <v>762</v>
      </c>
      <c r="Q991">
        <v>31555</v>
      </c>
      <c r="R991" t="s">
        <v>322</v>
      </c>
      <c r="S991" t="s">
        <v>7558</v>
      </c>
      <c r="T991">
        <v>20</v>
      </c>
      <c r="W991" t="s">
        <v>817</v>
      </c>
      <c r="X991">
        <v>110026767</v>
      </c>
      <c r="Y991" t="s">
        <v>7559</v>
      </c>
      <c r="Z991" s="2" t="s">
        <v>7560</v>
      </c>
      <c r="AA991" t="s">
        <v>1935</v>
      </c>
      <c r="AB991" s="2" t="s">
        <v>7561</v>
      </c>
      <c r="AC991" t="s">
        <v>7562</v>
      </c>
      <c r="AG991" t="s">
        <v>7563</v>
      </c>
      <c r="AH991" t="s">
        <v>4130</v>
      </c>
      <c r="AI991" t="s">
        <v>7564</v>
      </c>
    </row>
    <row r="992" spans="2:35" ht="210">
      <c r="B992" s="1">
        <v>45935</v>
      </c>
      <c r="C992" s="1">
        <v>45930</v>
      </c>
      <c r="D992" t="s">
        <v>7565</v>
      </c>
      <c r="E992" t="s">
        <v>6556</v>
      </c>
      <c r="F992">
        <v>5</v>
      </c>
      <c r="G992" t="s">
        <v>839</v>
      </c>
      <c r="H992" t="s">
        <v>39</v>
      </c>
      <c r="I992" t="s">
        <v>94</v>
      </c>
      <c r="J992" t="s">
        <v>525</v>
      </c>
      <c r="K992" t="s">
        <v>42</v>
      </c>
      <c r="L992" t="s">
        <v>761</v>
      </c>
      <c r="N992" t="s">
        <v>762</v>
      </c>
      <c r="Q992">
        <v>31554</v>
      </c>
      <c r="R992" t="s">
        <v>119</v>
      </c>
      <c r="S992" t="s">
        <v>6557</v>
      </c>
      <c r="T992">
        <v>23</v>
      </c>
      <c r="W992" t="s">
        <v>765</v>
      </c>
      <c r="X992">
        <v>838398</v>
      </c>
      <c r="Y992" t="s">
        <v>7566</v>
      </c>
      <c r="Z992" s="2" t="s">
        <v>7567</v>
      </c>
      <c r="AA992" t="s">
        <v>1935</v>
      </c>
      <c r="AB992" s="2" t="s">
        <v>7568</v>
      </c>
      <c r="AG992" t="s">
        <v>7569</v>
      </c>
      <c r="AH992" t="s">
        <v>6562</v>
      </c>
      <c r="AI992" t="s">
        <v>7570</v>
      </c>
    </row>
    <row r="993" spans="2:35" ht="270">
      <c r="B993" s="1">
        <v>45933</v>
      </c>
      <c r="C993" s="1">
        <v>45933</v>
      </c>
      <c r="D993" t="s">
        <v>7571</v>
      </c>
      <c r="E993" t="s">
        <v>7572</v>
      </c>
      <c r="F993">
        <v>3</v>
      </c>
      <c r="G993" t="s">
        <v>134</v>
      </c>
      <c r="H993" t="s">
        <v>513</v>
      </c>
      <c r="I993" t="s">
        <v>40</v>
      </c>
      <c r="J993" s="2" t="s">
        <v>1309</v>
      </c>
      <c r="K993" t="s">
        <v>387</v>
      </c>
      <c r="L993" t="s">
        <v>135</v>
      </c>
      <c r="N993" t="s">
        <v>136</v>
      </c>
      <c r="Q993">
        <v>31553</v>
      </c>
      <c r="R993" t="s">
        <v>322</v>
      </c>
      <c r="S993" t="s">
        <v>7573</v>
      </c>
      <c r="T993">
        <v>25</v>
      </c>
      <c r="V993" s="1">
        <v>45932</v>
      </c>
      <c r="W993" t="s">
        <v>390</v>
      </c>
      <c r="X993" t="s">
        <v>7574</v>
      </c>
      <c r="Y993" s="2" t="s">
        <v>7575</v>
      </c>
      <c r="Z993" s="2" t="s">
        <v>7576</v>
      </c>
      <c r="AA993" s="2" t="s">
        <v>7577</v>
      </c>
      <c r="AB993" t="s">
        <v>181</v>
      </c>
      <c r="AD993" t="s">
        <v>7578</v>
      </c>
      <c r="AE993">
        <v>101141</v>
      </c>
      <c r="AG993" t="s">
        <v>7579</v>
      </c>
      <c r="AH993" t="s">
        <v>7580</v>
      </c>
      <c r="AI993" t="s">
        <v>7581</v>
      </c>
    </row>
    <row r="994" spans="2:35" ht="270">
      <c r="B994" s="1">
        <v>45933</v>
      </c>
      <c r="C994" s="1">
        <v>45933</v>
      </c>
      <c r="D994" t="s">
        <v>7582</v>
      </c>
      <c r="E994" t="s">
        <v>7572</v>
      </c>
      <c r="F994">
        <v>3</v>
      </c>
      <c r="G994" t="s">
        <v>134</v>
      </c>
      <c r="H994" t="s">
        <v>513</v>
      </c>
      <c r="I994" t="s">
        <v>40</v>
      </c>
      <c r="J994" s="2" t="s">
        <v>1309</v>
      </c>
      <c r="K994" t="s">
        <v>387</v>
      </c>
      <c r="L994" t="s">
        <v>135</v>
      </c>
      <c r="N994" t="s">
        <v>136</v>
      </c>
      <c r="Q994">
        <v>31552</v>
      </c>
      <c r="R994" t="s">
        <v>322</v>
      </c>
      <c r="S994" t="s">
        <v>7573</v>
      </c>
      <c r="T994">
        <v>25</v>
      </c>
      <c r="V994" s="1">
        <v>45932</v>
      </c>
      <c r="W994" t="s">
        <v>390</v>
      </c>
      <c r="X994" t="s">
        <v>7574</v>
      </c>
      <c r="Y994" s="2" t="s">
        <v>7575</v>
      </c>
      <c r="Z994" s="2" t="s">
        <v>7576</v>
      </c>
      <c r="AA994" s="2" t="s">
        <v>7577</v>
      </c>
      <c r="AB994" t="s">
        <v>181</v>
      </c>
      <c r="AD994" t="s">
        <v>7578</v>
      </c>
      <c r="AE994">
        <v>101141</v>
      </c>
      <c r="AG994" t="s">
        <v>7583</v>
      </c>
      <c r="AH994" t="s">
        <v>7580</v>
      </c>
      <c r="AI994" t="s">
        <v>7584</v>
      </c>
    </row>
    <row r="995" spans="2:35">
      <c r="B995" s="1">
        <v>45933</v>
      </c>
      <c r="C995" s="1">
        <v>45932</v>
      </c>
      <c r="D995" t="s">
        <v>4528</v>
      </c>
      <c r="E995" t="s">
        <v>4529</v>
      </c>
      <c r="F995">
        <v>1</v>
      </c>
      <c r="G995" t="s">
        <v>1046</v>
      </c>
      <c r="H995" t="s">
        <v>1047</v>
      </c>
      <c r="I995" t="s">
        <v>40</v>
      </c>
      <c r="J995" t="s">
        <v>109</v>
      </c>
      <c r="K995" t="s">
        <v>42</v>
      </c>
      <c r="L995" t="s">
        <v>1048</v>
      </c>
      <c r="N995" t="s">
        <v>1049</v>
      </c>
      <c r="Q995">
        <v>31551</v>
      </c>
      <c r="R995" t="s">
        <v>119</v>
      </c>
      <c r="S995" t="s">
        <v>4530</v>
      </c>
      <c r="T995">
        <v>30</v>
      </c>
      <c r="W995" t="s">
        <v>1051</v>
      </c>
      <c r="X995">
        <v>838472</v>
      </c>
      <c r="Y995" t="s">
        <v>1052</v>
      </c>
      <c r="Z995" t="e">
        <f ca="1">- cleaned cartridge Bays, plunger Rods _xludf.and I-CORE
- generated reports</f>
        <v>#NAME?</v>
      </c>
      <c r="AA995" t="s">
        <v>820</v>
      </c>
      <c r="AB995" t="s">
        <v>1428</v>
      </c>
      <c r="AG995" t="s">
        <v>7585</v>
      </c>
      <c r="AH995" t="s">
        <v>4532</v>
      </c>
      <c r="AI995" t="s">
        <v>7586</v>
      </c>
    </row>
    <row r="996" spans="2:35" ht="105">
      <c r="B996" s="1">
        <v>45933</v>
      </c>
      <c r="C996" s="1">
        <v>45932</v>
      </c>
      <c r="D996" t="s">
        <v>1057</v>
      </c>
      <c r="E996" t="s">
        <v>1058</v>
      </c>
      <c r="F996">
        <v>1</v>
      </c>
      <c r="G996" t="s">
        <v>1046</v>
      </c>
      <c r="H996" t="s">
        <v>39</v>
      </c>
      <c r="I996" t="s">
        <v>40</v>
      </c>
      <c r="J996" t="s">
        <v>109</v>
      </c>
      <c r="K996" t="s">
        <v>42</v>
      </c>
      <c r="L996" t="s">
        <v>1048</v>
      </c>
      <c r="N996" t="s">
        <v>1049</v>
      </c>
      <c r="Q996">
        <v>31550</v>
      </c>
      <c r="R996" t="s">
        <v>95</v>
      </c>
      <c r="S996" t="s">
        <v>1059</v>
      </c>
      <c r="T996">
        <v>29</v>
      </c>
      <c r="W996" t="s">
        <v>1060</v>
      </c>
      <c r="X996">
        <v>820303</v>
      </c>
      <c r="Y996" t="s">
        <v>1052</v>
      </c>
      <c r="Z996" t="e">
        <f ca="1">- cleaned cartridge Bays, plunger Rods _xludf.and I-CORE
- generated reports</f>
        <v>#NAME?</v>
      </c>
      <c r="AA996" t="s">
        <v>820</v>
      </c>
      <c r="AB996" s="2" t="s">
        <v>6241</v>
      </c>
      <c r="AG996" t="s">
        <v>7587</v>
      </c>
      <c r="AH996" t="s">
        <v>3393</v>
      </c>
      <c r="AI996" t="s">
        <v>7588</v>
      </c>
    </row>
    <row r="997" spans="2:35">
      <c r="B997" s="1">
        <v>45933</v>
      </c>
      <c r="C997" s="1">
        <v>45932</v>
      </c>
      <c r="D997" t="s">
        <v>4503</v>
      </c>
      <c r="E997" t="s">
        <v>4504</v>
      </c>
      <c r="F997">
        <v>1</v>
      </c>
      <c r="G997" t="s">
        <v>1046</v>
      </c>
      <c r="H997" t="s">
        <v>1047</v>
      </c>
      <c r="I997" t="s">
        <v>40</v>
      </c>
      <c r="J997" t="s">
        <v>109</v>
      </c>
      <c r="K997" t="s">
        <v>42</v>
      </c>
      <c r="L997" t="s">
        <v>1048</v>
      </c>
      <c r="N997" t="s">
        <v>1049</v>
      </c>
      <c r="Q997">
        <v>31549</v>
      </c>
      <c r="R997" t="s">
        <v>119</v>
      </c>
      <c r="S997" t="s">
        <v>4505</v>
      </c>
      <c r="T997">
        <v>30</v>
      </c>
      <c r="W997" t="s">
        <v>1051</v>
      </c>
      <c r="X997">
        <v>838516</v>
      </c>
      <c r="Y997" t="s">
        <v>1052</v>
      </c>
      <c r="Z997" t="e">
        <f ca="1">- cleaned cartridge Bays, plunger Rods _xludf.and I-CORE
- generated reports</f>
        <v>#NAME?</v>
      </c>
      <c r="AA997" t="s">
        <v>820</v>
      </c>
      <c r="AB997" t="s">
        <v>1428</v>
      </c>
      <c r="AG997" t="s">
        <v>7589</v>
      </c>
      <c r="AH997" t="s">
        <v>4507</v>
      </c>
      <c r="AI997" t="s">
        <v>7590</v>
      </c>
    </row>
    <row r="998" spans="2:35">
      <c r="B998" s="1">
        <v>45933</v>
      </c>
      <c r="C998" s="1">
        <v>45930</v>
      </c>
      <c r="D998" t="s">
        <v>1907</v>
      </c>
      <c r="E998" t="s">
        <v>1908</v>
      </c>
      <c r="F998">
        <v>1</v>
      </c>
      <c r="G998" t="s">
        <v>1909</v>
      </c>
      <c r="H998" t="s">
        <v>61</v>
      </c>
      <c r="I998" t="s">
        <v>40</v>
      </c>
      <c r="J998" t="s">
        <v>109</v>
      </c>
      <c r="K998" t="s">
        <v>42</v>
      </c>
      <c r="L998" t="s">
        <v>1048</v>
      </c>
      <c r="N998" t="s">
        <v>1049</v>
      </c>
      <c r="Q998">
        <v>31548</v>
      </c>
      <c r="R998" t="s">
        <v>322</v>
      </c>
      <c r="S998" t="s">
        <v>6928</v>
      </c>
      <c r="T998">
        <v>28</v>
      </c>
      <c r="W998" t="s">
        <v>1424</v>
      </c>
      <c r="X998">
        <v>120003504</v>
      </c>
      <c r="Y998" t="s">
        <v>1052</v>
      </c>
      <c r="Z998" t="e">
        <f ca="1">- cleaned cartridge Bays, plunger Rods _xludf.and I-CORE
- generated reports</f>
        <v>#NAME?</v>
      </c>
      <c r="AA998" t="s">
        <v>820</v>
      </c>
      <c r="AB998" t="s">
        <v>1428</v>
      </c>
      <c r="AG998" t="s">
        <v>7591</v>
      </c>
      <c r="AH998" t="s">
        <v>6934</v>
      </c>
      <c r="AI998" t="s">
        <v>7592</v>
      </c>
    </row>
    <row r="999" spans="2:35" ht="195">
      <c r="B999" s="1">
        <v>45933</v>
      </c>
      <c r="C999" s="1">
        <v>45930</v>
      </c>
      <c r="D999" t="s">
        <v>7593</v>
      </c>
      <c r="E999" t="s">
        <v>7594</v>
      </c>
      <c r="F999">
        <v>1</v>
      </c>
      <c r="G999" t="s">
        <v>1909</v>
      </c>
      <c r="H999" t="s">
        <v>39</v>
      </c>
      <c r="I999" t="s">
        <v>40</v>
      </c>
      <c r="J999" t="s">
        <v>109</v>
      </c>
      <c r="K999" t="s">
        <v>42</v>
      </c>
      <c r="L999" t="s">
        <v>1048</v>
      </c>
      <c r="N999" t="s">
        <v>1049</v>
      </c>
      <c r="Q999">
        <v>31547</v>
      </c>
      <c r="R999" t="s">
        <v>119</v>
      </c>
      <c r="S999" t="s">
        <v>7595</v>
      </c>
      <c r="T999">
        <v>30</v>
      </c>
      <c r="W999" t="s">
        <v>1051</v>
      </c>
      <c r="X999">
        <v>838426</v>
      </c>
      <c r="Y999" t="s">
        <v>1052</v>
      </c>
      <c r="Z999" t="e">
        <f ca="1">- cleaned cartridge Bays, plunger Rods _xludf.and I-CORE
- generated reports</f>
        <v>#NAME?</v>
      </c>
      <c r="AA999" t="s">
        <v>820</v>
      </c>
      <c r="AB999" s="2" t="s">
        <v>7596</v>
      </c>
      <c r="AG999" t="s">
        <v>7597</v>
      </c>
      <c r="AH999" t="s">
        <v>7598</v>
      </c>
      <c r="AI999" t="s">
        <v>7599</v>
      </c>
    </row>
    <row r="1000" spans="2:35" ht="360">
      <c r="B1000" s="1">
        <v>45932</v>
      </c>
      <c r="C1000" s="1">
        <v>45932</v>
      </c>
      <c r="D1000" t="s">
        <v>7600</v>
      </c>
      <c r="E1000" t="s">
        <v>6519</v>
      </c>
      <c r="F1000">
        <v>11</v>
      </c>
      <c r="G1000" t="s">
        <v>1205</v>
      </c>
      <c r="H1000" t="s">
        <v>202</v>
      </c>
      <c r="I1000" t="s">
        <v>40</v>
      </c>
      <c r="J1000" s="2" t="s">
        <v>190</v>
      </c>
      <c r="K1000" t="s">
        <v>42</v>
      </c>
      <c r="L1000" t="s">
        <v>204</v>
      </c>
      <c r="N1000" t="s">
        <v>205</v>
      </c>
      <c r="Q1000">
        <v>31546</v>
      </c>
      <c r="R1000" t="s">
        <v>119</v>
      </c>
      <c r="S1000" t="s">
        <v>6520</v>
      </c>
      <c r="T1000">
        <v>25.8</v>
      </c>
      <c r="U1000" s="2" t="s">
        <v>1518</v>
      </c>
      <c r="W1000" t="s">
        <v>208</v>
      </c>
      <c r="X1000">
        <v>838505</v>
      </c>
      <c r="Y1000" s="2" t="s">
        <v>7601</v>
      </c>
      <c r="Z1000" s="2" t="s">
        <v>7602</v>
      </c>
      <c r="AA1000" s="2" t="s">
        <v>7603</v>
      </c>
      <c r="AB1000" s="2" t="s">
        <v>7604</v>
      </c>
      <c r="AC1000" t="s">
        <v>7605</v>
      </c>
      <c r="AG1000" t="s">
        <v>7606</v>
      </c>
      <c r="AH1000" t="s">
        <v>6525</v>
      </c>
      <c r="AI1000" t="s">
        <v>7607</v>
      </c>
    </row>
    <row r="1001" spans="2:35" ht="409.5">
      <c r="B1001" s="1">
        <v>45932</v>
      </c>
      <c r="C1001" s="1">
        <v>45932</v>
      </c>
      <c r="D1001" t="s">
        <v>7608</v>
      </c>
      <c r="E1001" t="s">
        <v>7609</v>
      </c>
      <c r="F1001" t="s">
        <v>1181</v>
      </c>
      <c r="G1001" t="s">
        <v>3753</v>
      </c>
      <c r="H1001" t="s">
        <v>39</v>
      </c>
      <c r="I1001" t="s">
        <v>40</v>
      </c>
      <c r="J1001" t="s">
        <v>109</v>
      </c>
      <c r="K1001" t="s">
        <v>42</v>
      </c>
      <c r="L1001" t="s">
        <v>1943</v>
      </c>
      <c r="N1001" t="s">
        <v>1944</v>
      </c>
      <c r="Q1001">
        <v>31545</v>
      </c>
      <c r="R1001" t="s">
        <v>119</v>
      </c>
      <c r="S1001" t="s">
        <v>7610</v>
      </c>
      <c r="T1001">
        <v>25</v>
      </c>
      <c r="W1001" t="s">
        <v>84</v>
      </c>
      <c r="X1001">
        <v>838230</v>
      </c>
      <c r="Y1001" t="s">
        <v>2099</v>
      </c>
      <c r="Z1001" t="s">
        <v>2100</v>
      </c>
      <c r="AA1001" s="2" t="s">
        <v>2101</v>
      </c>
      <c r="AB1001" t="s">
        <v>88</v>
      </c>
      <c r="AG1001" t="s">
        <v>7611</v>
      </c>
      <c r="AH1001" t="s">
        <v>7612</v>
      </c>
      <c r="AI1001" t="s">
        <v>7613</v>
      </c>
    </row>
    <row r="1002" spans="2:35" ht="375">
      <c r="B1002" s="1">
        <v>45932</v>
      </c>
      <c r="C1002" s="1">
        <v>45932</v>
      </c>
      <c r="D1002" t="s">
        <v>1203</v>
      </c>
      <c r="E1002" t="s">
        <v>7614</v>
      </c>
      <c r="F1002">
        <v>11</v>
      </c>
      <c r="G1002" t="s">
        <v>1205</v>
      </c>
      <c r="H1002" t="s">
        <v>2210</v>
      </c>
      <c r="I1002" t="s">
        <v>40</v>
      </c>
      <c r="J1002" s="2" t="s">
        <v>760</v>
      </c>
      <c r="K1002" t="s">
        <v>387</v>
      </c>
      <c r="L1002" t="s">
        <v>448</v>
      </c>
      <c r="N1002" t="s">
        <v>450</v>
      </c>
      <c r="O1002" t="s">
        <v>650</v>
      </c>
      <c r="Q1002">
        <v>31544</v>
      </c>
      <c r="R1002" t="s">
        <v>322</v>
      </c>
      <c r="S1002" t="s">
        <v>650</v>
      </c>
      <c r="T1002">
        <v>26</v>
      </c>
      <c r="W1002" t="s">
        <v>476</v>
      </c>
      <c r="X1002" t="s">
        <v>6867</v>
      </c>
      <c r="Y1002" t="s">
        <v>7615</v>
      </c>
      <c r="Z1002" s="2" t="s">
        <v>7616</v>
      </c>
      <c r="AA1002" t="s">
        <v>1882</v>
      </c>
      <c r="AB1002" t="s">
        <v>486</v>
      </c>
      <c r="AG1002" t="s">
        <v>7617</v>
      </c>
      <c r="AH1002" t="s">
        <v>1203</v>
      </c>
      <c r="AI1002" t="s">
        <v>7618</v>
      </c>
    </row>
    <row r="1003" spans="2:35" ht="409.5">
      <c r="B1003" s="1">
        <v>45931</v>
      </c>
      <c r="C1003" s="1">
        <v>45931</v>
      </c>
      <c r="D1003" t="s">
        <v>1081</v>
      </c>
      <c r="E1003" t="s">
        <v>2073</v>
      </c>
      <c r="F1003" t="s">
        <v>148</v>
      </c>
      <c r="G1003" t="s">
        <v>785</v>
      </c>
      <c r="H1003" t="s">
        <v>39</v>
      </c>
      <c r="I1003" t="s">
        <v>40</v>
      </c>
      <c r="J1003" t="s">
        <v>109</v>
      </c>
      <c r="K1003" t="s">
        <v>42</v>
      </c>
      <c r="L1003" t="s">
        <v>43</v>
      </c>
      <c r="N1003" t="s">
        <v>44</v>
      </c>
      <c r="O1003" t="s">
        <v>2015</v>
      </c>
      <c r="Q1003">
        <v>31543</v>
      </c>
      <c r="R1003" t="s">
        <v>95</v>
      </c>
      <c r="S1003" t="s">
        <v>2016</v>
      </c>
      <c r="T1003">
        <v>22</v>
      </c>
      <c r="U1003" s="2" t="s">
        <v>7619</v>
      </c>
      <c r="W1003" t="s">
        <v>5136</v>
      </c>
      <c r="X1003">
        <v>110015767</v>
      </c>
      <c r="Y1003" t="s">
        <v>121</v>
      </c>
      <c r="Z1003" t="s">
        <v>122</v>
      </c>
      <c r="AA1003" s="2" t="s">
        <v>3908</v>
      </c>
      <c r="AB1003" t="s">
        <v>7620</v>
      </c>
      <c r="AG1003" t="s">
        <v>7621</v>
      </c>
      <c r="AH1003" t="s">
        <v>2022</v>
      </c>
      <c r="AI1003" t="s">
        <v>7622</v>
      </c>
    </row>
    <row r="1004" spans="2:35" ht="409.5">
      <c r="B1004" s="1">
        <v>45931</v>
      </c>
      <c r="C1004" s="1">
        <v>45931</v>
      </c>
      <c r="D1004" t="s">
        <v>2272</v>
      </c>
      <c r="E1004" t="s">
        <v>7623</v>
      </c>
      <c r="F1004" t="s">
        <v>148</v>
      </c>
      <c r="G1004" t="s">
        <v>310</v>
      </c>
      <c r="H1004" t="s">
        <v>5042</v>
      </c>
      <c r="I1004" t="s">
        <v>40</v>
      </c>
      <c r="J1004" s="2" t="s">
        <v>62</v>
      </c>
      <c r="K1004" t="s">
        <v>42</v>
      </c>
      <c r="L1004" t="s">
        <v>1943</v>
      </c>
      <c r="N1004" t="s">
        <v>1944</v>
      </c>
      <c r="O1004" t="s">
        <v>2275</v>
      </c>
      <c r="Q1004">
        <v>31542</v>
      </c>
      <c r="R1004" t="s">
        <v>322</v>
      </c>
      <c r="S1004" t="s">
        <v>6830</v>
      </c>
      <c r="T1004">
        <v>25</v>
      </c>
      <c r="V1004" s="1">
        <v>45931</v>
      </c>
      <c r="W1004" t="s">
        <v>373</v>
      </c>
      <c r="X1004">
        <v>120002026</v>
      </c>
      <c r="Y1004" s="2" t="s">
        <v>3044</v>
      </c>
      <c r="Z1004" t="s">
        <v>3045</v>
      </c>
      <c r="AA1004" s="2" t="s">
        <v>3046</v>
      </c>
      <c r="AB1004" t="s">
        <v>1521</v>
      </c>
      <c r="AD1004" t="s">
        <v>5056</v>
      </c>
      <c r="AE1004" t="s">
        <v>7624</v>
      </c>
      <c r="AG1004" t="s">
        <v>7625</v>
      </c>
      <c r="AH1004" t="s">
        <v>7626</v>
      </c>
      <c r="AI1004" t="s">
        <v>7627</v>
      </c>
    </row>
    <row r="1005" spans="2:35" ht="409.5">
      <c r="B1005" s="1">
        <v>45931</v>
      </c>
      <c r="C1005" s="1">
        <v>45931</v>
      </c>
      <c r="D1005" t="s">
        <v>2272</v>
      </c>
      <c r="E1005" t="s">
        <v>7628</v>
      </c>
      <c r="F1005" t="s">
        <v>148</v>
      </c>
      <c r="G1005" t="s">
        <v>310</v>
      </c>
      <c r="H1005" t="s">
        <v>295</v>
      </c>
      <c r="I1005" t="s">
        <v>40</v>
      </c>
      <c r="J1005" s="2" t="s">
        <v>62</v>
      </c>
      <c r="K1005" t="s">
        <v>42</v>
      </c>
      <c r="L1005" t="s">
        <v>1943</v>
      </c>
      <c r="N1005" t="s">
        <v>1944</v>
      </c>
      <c r="O1005" t="s">
        <v>2275</v>
      </c>
      <c r="Q1005">
        <v>31541</v>
      </c>
      <c r="R1005" t="s">
        <v>95</v>
      </c>
      <c r="S1005" t="s">
        <v>5674</v>
      </c>
      <c r="T1005">
        <v>25</v>
      </c>
      <c r="V1005" s="1">
        <v>45931</v>
      </c>
      <c r="W1005" t="s">
        <v>84</v>
      </c>
      <c r="X1005">
        <v>835604</v>
      </c>
      <c r="Y1005" s="2" t="s">
        <v>3044</v>
      </c>
      <c r="Z1005" t="s">
        <v>3045</v>
      </c>
      <c r="AA1005" s="2" t="s">
        <v>3046</v>
      </c>
      <c r="AB1005" t="s">
        <v>7629</v>
      </c>
      <c r="AD1005" t="s">
        <v>948</v>
      </c>
      <c r="AE1005" t="s">
        <v>7630</v>
      </c>
      <c r="AG1005" t="s">
        <v>7631</v>
      </c>
      <c r="AH1005" t="s">
        <v>7632</v>
      </c>
      <c r="AI1005" t="s">
        <v>7633</v>
      </c>
    </row>
    <row r="1006" spans="2:35" ht="150">
      <c r="B1006" s="1">
        <v>45931</v>
      </c>
      <c r="C1006" s="1">
        <v>45931</v>
      </c>
      <c r="D1006" t="s">
        <v>7634</v>
      </c>
      <c r="E1006" t="s">
        <v>7635</v>
      </c>
      <c r="F1006">
        <v>13</v>
      </c>
      <c r="G1006" t="s">
        <v>4484</v>
      </c>
      <c r="H1006" t="s">
        <v>2125</v>
      </c>
      <c r="I1006" t="s">
        <v>40</v>
      </c>
      <c r="J1006" s="2" t="s">
        <v>1592</v>
      </c>
      <c r="K1006" t="s">
        <v>42</v>
      </c>
      <c r="L1006" t="s">
        <v>933</v>
      </c>
      <c r="N1006" t="s">
        <v>934</v>
      </c>
      <c r="Q1006">
        <v>31540</v>
      </c>
      <c r="R1006" t="s">
        <v>119</v>
      </c>
      <c r="S1006" t="s">
        <v>7636</v>
      </c>
      <c r="T1006">
        <v>24</v>
      </c>
      <c r="W1006" t="s">
        <v>2127</v>
      </c>
      <c r="X1006">
        <v>837611</v>
      </c>
      <c r="Y1006" t="s">
        <v>7637</v>
      </c>
      <c r="Z1006" t="s">
        <v>301</v>
      </c>
      <c r="AA1006" s="2" t="s">
        <v>7638</v>
      </c>
      <c r="AB1006" t="s">
        <v>938</v>
      </c>
      <c r="AG1006" t="s">
        <v>7639</v>
      </c>
      <c r="AH1006" t="s">
        <v>7640</v>
      </c>
      <c r="AI1006" t="s">
        <v>7641</v>
      </c>
    </row>
    <row r="1007" spans="2:35" ht="405">
      <c r="B1007" s="1">
        <v>45931</v>
      </c>
      <c r="C1007" s="1">
        <v>45931</v>
      </c>
      <c r="D1007" t="s">
        <v>5932</v>
      </c>
      <c r="E1007" t="s">
        <v>7642</v>
      </c>
      <c r="F1007">
        <v>11</v>
      </c>
      <c r="G1007" t="s">
        <v>2836</v>
      </c>
      <c r="H1007" t="s">
        <v>202</v>
      </c>
      <c r="I1007" t="s">
        <v>40</v>
      </c>
      <c r="J1007" s="2" t="s">
        <v>190</v>
      </c>
      <c r="K1007" t="s">
        <v>42</v>
      </c>
      <c r="L1007" t="s">
        <v>204</v>
      </c>
      <c r="N1007" t="s">
        <v>205</v>
      </c>
      <c r="O1007" t="s">
        <v>7643</v>
      </c>
      <c r="Q1007">
        <v>31539</v>
      </c>
      <c r="R1007" t="s">
        <v>119</v>
      </c>
      <c r="S1007" t="s">
        <v>5934</v>
      </c>
      <c r="T1007">
        <v>28.5</v>
      </c>
      <c r="U1007" s="2" t="s">
        <v>7644</v>
      </c>
      <c r="W1007" t="s">
        <v>208</v>
      </c>
      <c r="X1007">
        <v>838553</v>
      </c>
      <c r="Y1007" s="2" t="s">
        <v>7645</v>
      </c>
      <c r="Z1007" s="2" t="s">
        <v>7646</v>
      </c>
      <c r="AA1007" s="2" t="s">
        <v>7647</v>
      </c>
      <c r="AB1007" s="2" t="s">
        <v>7648</v>
      </c>
      <c r="AC1007" t="s">
        <v>7649</v>
      </c>
      <c r="AG1007" t="s">
        <v>7650</v>
      </c>
      <c r="AH1007" t="s">
        <v>5943</v>
      </c>
      <c r="AI1007" t="s">
        <v>7651</v>
      </c>
    </row>
    <row r="1008" spans="2:35" ht="225">
      <c r="B1008" s="1">
        <v>45931</v>
      </c>
      <c r="C1008" s="1">
        <v>45931</v>
      </c>
      <c r="D1008" t="s">
        <v>4363</v>
      </c>
      <c r="E1008" t="s">
        <v>2569</v>
      </c>
      <c r="F1008" t="s">
        <v>148</v>
      </c>
      <c r="G1008" t="s">
        <v>447</v>
      </c>
      <c r="H1008" t="s">
        <v>150</v>
      </c>
      <c r="I1008" t="s">
        <v>40</v>
      </c>
      <c r="J1008" t="s">
        <v>109</v>
      </c>
      <c r="K1008" t="s">
        <v>42</v>
      </c>
      <c r="L1008" t="s">
        <v>448</v>
      </c>
      <c r="N1008" t="s">
        <v>650</v>
      </c>
      <c r="O1008" t="s">
        <v>2808</v>
      </c>
      <c r="Q1008">
        <v>31538</v>
      </c>
      <c r="R1008" t="s">
        <v>95</v>
      </c>
      <c r="S1008" t="s">
        <v>2809</v>
      </c>
      <c r="T1008">
        <v>26</v>
      </c>
      <c r="U1008" s="2" t="s">
        <v>7652</v>
      </c>
      <c r="W1008" t="s">
        <v>6389</v>
      </c>
      <c r="X1008">
        <v>839234</v>
      </c>
      <c r="Y1008" t="s">
        <v>121</v>
      </c>
      <c r="Z1008" s="2" t="s">
        <v>7653</v>
      </c>
      <c r="AA1008" t="s">
        <v>122</v>
      </c>
      <c r="AB1008" s="2" t="s">
        <v>7654</v>
      </c>
      <c r="AG1008" t="s">
        <v>7655</v>
      </c>
      <c r="AH1008" t="s">
        <v>2814</v>
      </c>
      <c r="AI1008" t="s">
        <v>7656</v>
      </c>
    </row>
    <row r="1009" spans="2:35" ht="409.5">
      <c r="B1009" s="1">
        <v>45931</v>
      </c>
      <c r="C1009" s="1">
        <v>45931</v>
      </c>
      <c r="D1009" t="s">
        <v>4363</v>
      </c>
      <c r="E1009" t="s">
        <v>2569</v>
      </c>
      <c r="F1009" t="s">
        <v>148</v>
      </c>
      <c r="G1009" t="s">
        <v>447</v>
      </c>
      <c r="H1009" t="s">
        <v>2570</v>
      </c>
      <c r="I1009" t="s">
        <v>40</v>
      </c>
      <c r="J1009" t="s">
        <v>109</v>
      </c>
      <c r="K1009" t="s">
        <v>42</v>
      </c>
      <c r="L1009" t="s">
        <v>448</v>
      </c>
      <c r="N1009" t="s">
        <v>450</v>
      </c>
      <c r="O1009" t="s">
        <v>2808</v>
      </c>
      <c r="Q1009">
        <v>31537</v>
      </c>
      <c r="R1009" t="s">
        <v>95</v>
      </c>
      <c r="S1009" t="s">
        <v>2571</v>
      </c>
      <c r="T1009">
        <v>25</v>
      </c>
      <c r="U1009" s="2" t="s">
        <v>7657</v>
      </c>
      <c r="W1009" t="s">
        <v>2573</v>
      </c>
      <c r="X1009">
        <v>807155</v>
      </c>
      <c r="Y1009" s="2" t="s">
        <v>7658</v>
      </c>
      <c r="Z1009" s="2" t="s">
        <v>7653</v>
      </c>
      <c r="AA1009" t="s">
        <v>122</v>
      </c>
      <c r="AB1009" t="s">
        <v>7659</v>
      </c>
      <c r="AG1009" t="s">
        <v>7660</v>
      </c>
      <c r="AH1009" t="s">
        <v>2578</v>
      </c>
      <c r="AI1009" t="s">
        <v>7661</v>
      </c>
    </row>
    <row r="1010" spans="2:35" ht="105">
      <c r="B1010" s="1">
        <v>45930</v>
      </c>
      <c r="C1010" s="1">
        <v>45925</v>
      </c>
      <c r="D1010" t="s">
        <v>7662</v>
      </c>
      <c r="E1010" t="s">
        <v>7663</v>
      </c>
      <c r="F1010">
        <v>9</v>
      </c>
      <c r="G1010" t="s">
        <v>2903</v>
      </c>
      <c r="H1010" t="s">
        <v>39</v>
      </c>
      <c r="I1010" t="s">
        <v>40</v>
      </c>
      <c r="J1010" s="2" t="s">
        <v>2223</v>
      </c>
      <c r="K1010" t="s">
        <v>42</v>
      </c>
      <c r="L1010" t="s">
        <v>1257</v>
      </c>
      <c r="N1010" t="s">
        <v>1258</v>
      </c>
      <c r="O1010" t="s">
        <v>1258</v>
      </c>
      <c r="Q1010">
        <v>31536</v>
      </c>
      <c r="R1010" t="s">
        <v>119</v>
      </c>
      <c r="S1010" t="s">
        <v>7664</v>
      </c>
      <c r="T1010">
        <v>28</v>
      </c>
      <c r="U1010" s="2" t="s">
        <v>7665</v>
      </c>
      <c r="V1010" s="1">
        <v>45925</v>
      </c>
      <c r="W1010" t="s">
        <v>2384</v>
      </c>
      <c r="X1010">
        <v>838536</v>
      </c>
      <c r="Y1010" t="s">
        <v>7666</v>
      </c>
      <c r="Z1010" t="s">
        <v>7667</v>
      </c>
      <c r="AA1010" t="s">
        <v>7365</v>
      </c>
      <c r="AB1010" t="s">
        <v>7668</v>
      </c>
      <c r="AC1010" t="s">
        <v>301</v>
      </c>
      <c r="AD1010" t="s">
        <v>54</v>
      </c>
      <c r="AE1010" t="s">
        <v>54</v>
      </c>
      <c r="AG1010" t="s">
        <v>7669</v>
      </c>
      <c r="AH1010" t="s">
        <v>7670</v>
      </c>
      <c r="AI1010" t="s">
        <v>7671</v>
      </c>
    </row>
    <row r="1011" spans="2:35">
      <c r="B1011" s="1">
        <v>45930</v>
      </c>
      <c r="C1011" s="1">
        <v>45930</v>
      </c>
      <c r="D1011" t="s">
        <v>1071</v>
      </c>
      <c r="E1011" t="s">
        <v>7672</v>
      </c>
      <c r="F1011">
        <v>7</v>
      </c>
      <c r="G1011" t="s">
        <v>432</v>
      </c>
      <c r="H1011" t="s">
        <v>513</v>
      </c>
      <c r="I1011" t="s">
        <v>40</v>
      </c>
      <c r="J1011" t="s">
        <v>321</v>
      </c>
      <c r="K1011" t="s">
        <v>387</v>
      </c>
      <c r="L1011" t="s">
        <v>259</v>
      </c>
      <c r="N1011" t="s">
        <v>260</v>
      </c>
      <c r="Q1011">
        <v>31535</v>
      </c>
      <c r="R1011" t="s">
        <v>95</v>
      </c>
      <c r="S1011" t="s">
        <v>7673</v>
      </c>
      <c r="T1011">
        <v>28</v>
      </c>
      <c r="V1011" s="1">
        <v>45930</v>
      </c>
      <c r="W1011" t="s">
        <v>7063</v>
      </c>
      <c r="X1011" t="s">
        <v>4779</v>
      </c>
      <c r="Y1011" t="s">
        <v>7674</v>
      </c>
      <c r="Z1011" t="e">
        <f ca="1">- Data Collection</f>
        <v>#NAME?</v>
      </c>
      <c r="AA1011" t="e">
        <f ca="1">- Setup stand table
- Install Haemonetics machine
- Install UPS
- performed functionality test
- UPP Configuration
- CALIBRATION</f>
        <v>#NAME?</v>
      </c>
      <c r="AB1011" t="s">
        <v>7675</v>
      </c>
      <c r="AE1011">
        <v>5450</v>
      </c>
      <c r="AG1011" t="s">
        <v>7676</v>
      </c>
      <c r="AH1011" t="s">
        <v>7677</v>
      </c>
      <c r="AI1011" t="s">
        <v>7678</v>
      </c>
    </row>
    <row r="1012" spans="2:35" ht="240">
      <c r="B1012" s="1">
        <v>45930</v>
      </c>
      <c r="C1012" s="1">
        <v>45929</v>
      </c>
      <c r="D1012" t="s">
        <v>4259</v>
      </c>
      <c r="E1012" t="s">
        <v>5914</v>
      </c>
      <c r="F1012" t="s">
        <v>148</v>
      </c>
      <c r="G1012" t="s">
        <v>2007</v>
      </c>
      <c r="H1012" t="s">
        <v>39</v>
      </c>
      <c r="I1012" t="s">
        <v>40</v>
      </c>
      <c r="J1012" s="2" t="s">
        <v>62</v>
      </c>
      <c r="K1012" t="s">
        <v>42</v>
      </c>
      <c r="L1012" t="s">
        <v>448</v>
      </c>
      <c r="N1012" t="s">
        <v>450</v>
      </c>
      <c r="Q1012">
        <v>31534</v>
      </c>
      <c r="R1012" t="s">
        <v>95</v>
      </c>
      <c r="S1012" t="s">
        <v>6185</v>
      </c>
      <c r="T1012">
        <v>28</v>
      </c>
      <c r="U1012" s="2" t="s">
        <v>7679</v>
      </c>
      <c r="V1012" s="1">
        <v>45922</v>
      </c>
      <c r="W1012" t="s">
        <v>6389</v>
      </c>
      <c r="X1012">
        <v>812560</v>
      </c>
      <c r="Y1012" t="s">
        <v>6494</v>
      </c>
      <c r="Z1012" s="2" t="s">
        <v>3071</v>
      </c>
      <c r="AA1012" t="s">
        <v>6495</v>
      </c>
      <c r="AB1012" t="s">
        <v>7680</v>
      </c>
      <c r="AD1012" t="s">
        <v>3628</v>
      </c>
      <c r="AE1012">
        <v>101059</v>
      </c>
      <c r="AG1012" t="s">
        <v>7681</v>
      </c>
      <c r="AH1012" t="s">
        <v>7682</v>
      </c>
      <c r="AI1012" t="s">
        <v>7683</v>
      </c>
    </row>
    <row r="1013" spans="2:35" ht="360">
      <c r="B1013" s="1">
        <v>45930</v>
      </c>
      <c r="C1013" s="1">
        <v>45924</v>
      </c>
      <c r="D1013" t="s">
        <v>2095</v>
      </c>
      <c r="E1013" t="s">
        <v>7684</v>
      </c>
      <c r="F1013" t="s">
        <v>37</v>
      </c>
      <c r="G1013" t="s">
        <v>189</v>
      </c>
      <c r="H1013" t="s">
        <v>662</v>
      </c>
      <c r="I1013" t="s">
        <v>40</v>
      </c>
      <c r="J1013" t="s">
        <v>321</v>
      </c>
      <c r="K1013" t="s">
        <v>42</v>
      </c>
      <c r="L1013" t="s">
        <v>1028</v>
      </c>
      <c r="N1013" t="s">
        <v>1029</v>
      </c>
      <c r="O1013" t="s">
        <v>2097</v>
      </c>
      <c r="Q1013">
        <v>31531</v>
      </c>
      <c r="R1013" t="s">
        <v>95</v>
      </c>
      <c r="S1013" t="s">
        <v>2098</v>
      </c>
      <c r="T1013">
        <v>25</v>
      </c>
      <c r="V1013" s="1">
        <v>45922</v>
      </c>
      <c r="W1013" t="s">
        <v>1032</v>
      </c>
      <c r="X1013">
        <v>120002889</v>
      </c>
      <c r="Y1013" t="s">
        <v>7685</v>
      </c>
      <c r="Z1013" t="s">
        <v>3764</v>
      </c>
      <c r="AA1013" s="2" t="s">
        <v>7686</v>
      </c>
      <c r="AB1013" t="s">
        <v>7687</v>
      </c>
      <c r="AD1013" t="s">
        <v>7688</v>
      </c>
      <c r="AE1013" t="s">
        <v>7689</v>
      </c>
      <c r="AG1013" t="s">
        <v>7690</v>
      </c>
      <c r="AH1013" t="s">
        <v>7691</v>
      </c>
      <c r="AI1013" t="s">
        <v>7692</v>
      </c>
    </row>
    <row r="1014" spans="2:35" ht="300">
      <c r="B1014" s="1">
        <v>45930</v>
      </c>
      <c r="C1014" s="1">
        <v>45925</v>
      </c>
      <c r="D1014" t="s">
        <v>919</v>
      </c>
      <c r="E1014" t="s">
        <v>5897</v>
      </c>
      <c r="F1014" t="s">
        <v>148</v>
      </c>
      <c r="G1014" t="s">
        <v>310</v>
      </c>
      <c r="H1014" t="s">
        <v>39</v>
      </c>
      <c r="I1014" t="s">
        <v>40</v>
      </c>
      <c r="J1014" t="s">
        <v>109</v>
      </c>
      <c r="K1014" t="s">
        <v>42</v>
      </c>
      <c r="L1014" t="s">
        <v>1028</v>
      </c>
      <c r="N1014" t="s">
        <v>1029</v>
      </c>
      <c r="Q1014">
        <v>31533</v>
      </c>
      <c r="R1014" t="s">
        <v>95</v>
      </c>
      <c r="S1014" t="s">
        <v>942</v>
      </c>
      <c r="T1014">
        <v>23</v>
      </c>
      <c r="U1014" s="2" t="s">
        <v>7693</v>
      </c>
      <c r="W1014" t="s">
        <v>1967</v>
      </c>
      <c r="X1014">
        <v>110000711</v>
      </c>
      <c r="Y1014" t="s">
        <v>1978</v>
      </c>
      <c r="Z1014" t="s">
        <v>1548</v>
      </c>
      <c r="AA1014" s="2" t="s">
        <v>7336</v>
      </c>
      <c r="AB1014" s="2" t="s">
        <v>7694</v>
      </c>
      <c r="AC1014" t="s">
        <v>7695</v>
      </c>
      <c r="AG1014" t="s">
        <v>7696</v>
      </c>
      <c r="AH1014" t="s">
        <v>7697</v>
      </c>
      <c r="AI1014" t="s">
        <v>7698</v>
      </c>
    </row>
    <row r="1015" spans="2:35" ht="409.5">
      <c r="B1015" s="1">
        <v>45930</v>
      </c>
      <c r="C1015" s="1">
        <v>45917</v>
      </c>
      <c r="D1015" t="s">
        <v>4601</v>
      </c>
      <c r="E1015" t="s">
        <v>7699</v>
      </c>
      <c r="F1015" t="s">
        <v>37</v>
      </c>
      <c r="G1015" t="s">
        <v>748</v>
      </c>
      <c r="H1015" t="s">
        <v>39</v>
      </c>
      <c r="I1015" t="s">
        <v>40</v>
      </c>
      <c r="J1015" s="2" t="s">
        <v>62</v>
      </c>
      <c r="K1015" t="s">
        <v>42</v>
      </c>
      <c r="L1015" t="s">
        <v>1028</v>
      </c>
      <c r="N1015" t="s">
        <v>1029</v>
      </c>
      <c r="Q1015">
        <v>31532</v>
      </c>
      <c r="R1015" t="s">
        <v>322</v>
      </c>
      <c r="S1015" t="s">
        <v>4603</v>
      </c>
      <c r="T1015">
        <v>24</v>
      </c>
      <c r="U1015" s="2" t="s">
        <v>7700</v>
      </c>
      <c r="V1015" s="1">
        <v>45902</v>
      </c>
      <c r="W1015" t="s">
        <v>1032</v>
      </c>
      <c r="X1015">
        <v>120003582</v>
      </c>
      <c r="Y1015" t="s">
        <v>1547</v>
      </c>
      <c r="Z1015" s="2" t="s">
        <v>7701</v>
      </c>
      <c r="AA1015" s="2" t="s">
        <v>1549</v>
      </c>
      <c r="AB1015" s="2" t="s">
        <v>7702</v>
      </c>
      <c r="AD1015" t="s">
        <v>7189</v>
      </c>
      <c r="AE1015" t="s">
        <v>7703</v>
      </c>
      <c r="AG1015" t="s">
        <v>7704</v>
      </c>
      <c r="AH1015" t="s">
        <v>7705</v>
      </c>
      <c r="AI1015" t="s">
        <v>7706</v>
      </c>
    </row>
    <row r="1016" spans="2:35" ht="409.5">
      <c r="B1016" s="1">
        <v>45929</v>
      </c>
      <c r="C1016" s="1">
        <v>45923</v>
      </c>
      <c r="D1016" t="s">
        <v>5017</v>
      </c>
      <c r="E1016" t="s">
        <v>5018</v>
      </c>
      <c r="F1016">
        <v>12</v>
      </c>
      <c r="G1016" t="s">
        <v>978</v>
      </c>
      <c r="H1016" t="s">
        <v>1473</v>
      </c>
      <c r="I1016" t="s">
        <v>40</v>
      </c>
      <c r="J1016" s="2" t="s">
        <v>190</v>
      </c>
      <c r="K1016" t="s">
        <v>42</v>
      </c>
      <c r="L1016" t="s">
        <v>296</v>
      </c>
      <c r="N1016" t="s">
        <v>297</v>
      </c>
      <c r="Q1016">
        <v>31530</v>
      </c>
      <c r="R1016" t="s">
        <v>119</v>
      </c>
      <c r="S1016" t="s">
        <v>5019</v>
      </c>
      <c r="T1016">
        <v>27.4</v>
      </c>
      <c r="U1016" s="2" t="s">
        <v>7707</v>
      </c>
      <c r="W1016" t="s">
        <v>981</v>
      </c>
      <c r="X1016">
        <v>838569</v>
      </c>
      <c r="Y1016" t="s">
        <v>7708</v>
      </c>
      <c r="Z1016" s="2" t="s">
        <v>7709</v>
      </c>
      <c r="AA1016" s="2" t="s">
        <v>7710</v>
      </c>
      <c r="AB1016" s="2" t="s">
        <v>7711</v>
      </c>
      <c r="AG1016" t="s">
        <v>7712</v>
      </c>
      <c r="AH1016" t="s">
        <v>7713</v>
      </c>
      <c r="AI1016" t="s">
        <v>7714</v>
      </c>
    </row>
    <row r="1017" spans="2:35" ht="150">
      <c r="B1017" s="1">
        <v>45929</v>
      </c>
      <c r="C1017" s="1">
        <v>45924</v>
      </c>
      <c r="D1017" t="s">
        <v>4125</v>
      </c>
      <c r="E1017" t="s">
        <v>4126</v>
      </c>
      <c r="F1017">
        <v>5</v>
      </c>
      <c r="G1017" t="s">
        <v>759</v>
      </c>
      <c r="H1017" t="s">
        <v>39</v>
      </c>
      <c r="I1017" t="s">
        <v>40</v>
      </c>
      <c r="J1017" t="s">
        <v>525</v>
      </c>
      <c r="K1017" t="s">
        <v>42</v>
      </c>
      <c r="L1017" t="s">
        <v>761</v>
      </c>
      <c r="N1017" t="s">
        <v>762</v>
      </c>
      <c r="Q1017">
        <v>31529</v>
      </c>
      <c r="R1017" t="s">
        <v>322</v>
      </c>
      <c r="S1017" t="s">
        <v>4127</v>
      </c>
      <c r="T1017">
        <v>22</v>
      </c>
      <c r="U1017" s="2" t="s">
        <v>7715</v>
      </c>
      <c r="W1017" t="s">
        <v>817</v>
      </c>
      <c r="X1017">
        <v>110026767</v>
      </c>
      <c r="Y1017" t="s">
        <v>7716</v>
      </c>
      <c r="Z1017" s="2" t="s">
        <v>7717</v>
      </c>
      <c r="AA1017" t="s">
        <v>1935</v>
      </c>
      <c r="AB1017" s="2" t="s">
        <v>2996</v>
      </c>
      <c r="AG1017" t="s">
        <v>7718</v>
      </c>
      <c r="AH1017" t="s">
        <v>7719</v>
      </c>
      <c r="AI1017" t="s">
        <v>7720</v>
      </c>
    </row>
    <row r="1018" spans="2:35" ht="120">
      <c r="B1018" s="1">
        <v>45929</v>
      </c>
      <c r="C1018" s="1">
        <v>45923</v>
      </c>
      <c r="D1018" t="s">
        <v>7721</v>
      </c>
      <c r="E1018" t="s">
        <v>4126</v>
      </c>
      <c r="F1018">
        <v>5</v>
      </c>
      <c r="G1018" t="s">
        <v>759</v>
      </c>
      <c r="H1018" t="s">
        <v>39</v>
      </c>
      <c r="I1018" t="s">
        <v>40</v>
      </c>
      <c r="J1018" s="2" t="s">
        <v>190</v>
      </c>
      <c r="K1018" t="s">
        <v>42</v>
      </c>
      <c r="L1018" t="s">
        <v>761</v>
      </c>
      <c r="N1018" t="s">
        <v>762</v>
      </c>
      <c r="Q1018">
        <v>31528</v>
      </c>
      <c r="R1018" t="s">
        <v>322</v>
      </c>
      <c r="S1018" t="s">
        <v>4127</v>
      </c>
      <c r="T1018">
        <v>22</v>
      </c>
      <c r="U1018" s="2" t="s">
        <v>7722</v>
      </c>
      <c r="W1018" t="s">
        <v>817</v>
      </c>
      <c r="X1018">
        <v>110026767</v>
      </c>
      <c r="Y1018" t="s">
        <v>7723</v>
      </c>
      <c r="Z1018" t="s">
        <v>7724</v>
      </c>
      <c r="AA1018" t="s">
        <v>1935</v>
      </c>
      <c r="AB1018" s="2" t="s">
        <v>2996</v>
      </c>
      <c r="AG1018" t="s">
        <v>7725</v>
      </c>
      <c r="AH1018" t="s">
        <v>7719</v>
      </c>
      <c r="AI1018" t="s">
        <v>7726</v>
      </c>
    </row>
    <row r="1019" spans="2:35" ht="90">
      <c r="B1019" s="1">
        <v>45929</v>
      </c>
      <c r="C1019" s="1">
        <v>45929</v>
      </c>
      <c r="D1019" t="s">
        <v>6044</v>
      </c>
      <c r="E1019" t="s">
        <v>7727</v>
      </c>
      <c r="F1019">
        <v>7</v>
      </c>
      <c r="G1019" t="s">
        <v>432</v>
      </c>
      <c r="H1019" t="s">
        <v>386</v>
      </c>
      <c r="I1019" t="s">
        <v>40</v>
      </c>
      <c r="J1019" s="2" t="s">
        <v>1592</v>
      </c>
      <c r="K1019" t="s">
        <v>387</v>
      </c>
      <c r="L1019" t="s">
        <v>259</v>
      </c>
      <c r="N1019" t="s">
        <v>260</v>
      </c>
      <c r="Q1019">
        <v>31527</v>
      </c>
      <c r="R1019" t="s">
        <v>95</v>
      </c>
      <c r="S1019" t="s">
        <v>7728</v>
      </c>
      <c r="T1019">
        <v>29</v>
      </c>
      <c r="W1019">
        <v>9000</v>
      </c>
      <c r="X1019" t="s">
        <v>6040</v>
      </c>
      <c r="Y1019" t="e">
        <f ca="1">- Barcode _xludf.error
- line sensor</f>
        <v>#NAME?</v>
      </c>
      <c r="Z1019" t="e">
        <f ca="1">- line sensor adjustment
- replaced UPP Protocol Card
- Cleaning Barcode scanner</f>
        <v>#NAME?</v>
      </c>
      <c r="AA1019" t="e">
        <f ca="1">- Preventive Maintenance
- Troubleshooting</f>
        <v>#NAME?</v>
      </c>
      <c r="AB1019" t="s">
        <v>70</v>
      </c>
      <c r="AG1019" t="s">
        <v>7729</v>
      </c>
      <c r="AH1019" t="s">
        <v>7730</v>
      </c>
      <c r="AI1019" t="s">
        <v>7731</v>
      </c>
    </row>
    <row r="1020" spans="2:35">
      <c r="B1020" s="1">
        <v>45929</v>
      </c>
      <c r="C1020" s="1">
        <v>45924</v>
      </c>
      <c r="D1020" t="s">
        <v>4953</v>
      </c>
      <c r="E1020" t="s">
        <v>4954</v>
      </c>
      <c r="F1020">
        <v>1</v>
      </c>
      <c r="G1020" t="s">
        <v>1046</v>
      </c>
      <c r="H1020" t="s">
        <v>1047</v>
      </c>
      <c r="I1020" t="s">
        <v>40</v>
      </c>
      <c r="J1020" t="s">
        <v>109</v>
      </c>
      <c r="K1020" t="s">
        <v>42</v>
      </c>
      <c r="L1020" t="s">
        <v>1048</v>
      </c>
      <c r="N1020" t="s">
        <v>1049</v>
      </c>
      <c r="Q1020">
        <v>31526</v>
      </c>
      <c r="R1020" t="s">
        <v>119</v>
      </c>
      <c r="S1020" t="s">
        <v>4955</v>
      </c>
      <c r="T1020">
        <v>25</v>
      </c>
      <c r="W1020" t="s">
        <v>1051</v>
      </c>
      <c r="X1020">
        <v>838437</v>
      </c>
      <c r="Y1020" t="s">
        <v>1052</v>
      </c>
      <c r="Z1020" t="e">
        <f ca="1">- cleaned cartridge Bays, plunger Rods _xludf.and I-CORE
- generated reports</f>
        <v>#NAME?</v>
      </c>
      <c r="AA1020" t="s">
        <v>820</v>
      </c>
      <c r="AB1020" t="s">
        <v>1428</v>
      </c>
      <c r="AG1020" t="s">
        <v>7732</v>
      </c>
      <c r="AH1020" t="s">
        <v>4958</v>
      </c>
      <c r="AI1020" t="s">
        <v>7733</v>
      </c>
    </row>
    <row r="1021" spans="2:35" ht="180">
      <c r="B1021" s="1">
        <v>45929</v>
      </c>
      <c r="C1021" s="1">
        <v>45925</v>
      </c>
      <c r="D1021" t="s">
        <v>7734</v>
      </c>
      <c r="E1021" t="s">
        <v>1555</v>
      </c>
      <c r="F1021">
        <v>7</v>
      </c>
      <c r="G1021" t="s">
        <v>432</v>
      </c>
      <c r="H1021" t="s">
        <v>258</v>
      </c>
      <c r="I1021" t="s">
        <v>40</v>
      </c>
      <c r="J1021" s="2" t="s">
        <v>1808</v>
      </c>
      <c r="K1021" t="s">
        <v>42</v>
      </c>
      <c r="L1021" t="s">
        <v>594</v>
      </c>
      <c r="N1021" t="s">
        <v>595</v>
      </c>
      <c r="Q1021">
        <v>31525</v>
      </c>
      <c r="R1021" t="s">
        <v>95</v>
      </c>
      <c r="S1021" t="s">
        <v>7735</v>
      </c>
      <c r="T1021">
        <v>23</v>
      </c>
      <c r="W1021" t="s">
        <v>6105</v>
      </c>
      <c r="X1021">
        <v>814150</v>
      </c>
      <c r="Y1021" t="s">
        <v>7736</v>
      </c>
      <c r="Z1021" s="2" t="s">
        <v>7737</v>
      </c>
      <c r="AA1021" t="s">
        <v>7738</v>
      </c>
      <c r="AB1021" s="2" t="s">
        <v>7739</v>
      </c>
      <c r="AG1021" t="s">
        <v>7740</v>
      </c>
      <c r="AH1021" t="s">
        <v>7741</v>
      </c>
      <c r="AI1021" t="s">
        <v>7742</v>
      </c>
    </row>
    <row r="1022" spans="2:35" ht="225">
      <c r="B1022" s="1">
        <v>45926</v>
      </c>
      <c r="C1022" s="1">
        <v>45926</v>
      </c>
      <c r="D1022" t="s">
        <v>7743</v>
      </c>
      <c r="E1022" t="s">
        <v>7744</v>
      </c>
      <c r="F1022">
        <v>11</v>
      </c>
      <c r="G1022" t="s">
        <v>1205</v>
      </c>
      <c r="H1022" t="s">
        <v>202</v>
      </c>
      <c r="I1022" t="s">
        <v>40</v>
      </c>
      <c r="J1022" t="s">
        <v>109</v>
      </c>
      <c r="K1022" t="s">
        <v>42</v>
      </c>
      <c r="L1022" t="s">
        <v>204</v>
      </c>
      <c r="N1022" t="s">
        <v>205</v>
      </c>
      <c r="Q1022">
        <v>31524</v>
      </c>
      <c r="R1022" t="s">
        <v>119</v>
      </c>
      <c r="S1022" t="s">
        <v>7745</v>
      </c>
      <c r="T1022">
        <v>27.5</v>
      </c>
      <c r="U1022" s="2" t="s">
        <v>7746</v>
      </c>
      <c r="W1022" t="s">
        <v>208</v>
      </c>
      <c r="X1022">
        <v>838492</v>
      </c>
      <c r="Y1022" t="s">
        <v>2851</v>
      </c>
      <c r="Z1022" s="2" t="s">
        <v>7747</v>
      </c>
      <c r="AA1022" t="s">
        <v>2551</v>
      </c>
      <c r="AB1022" t="s">
        <v>1211</v>
      </c>
      <c r="AG1022" t="s">
        <v>7748</v>
      </c>
      <c r="AH1022" t="s">
        <v>7749</v>
      </c>
      <c r="AI1022" t="s">
        <v>7750</v>
      </c>
    </row>
    <row r="1023" spans="2:35" ht="240">
      <c r="B1023" s="1">
        <v>45926</v>
      </c>
      <c r="C1023" s="1">
        <v>45926</v>
      </c>
      <c r="D1023" t="s">
        <v>7751</v>
      </c>
      <c r="E1023" t="s">
        <v>7752</v>
      </c>
      <c r="F1023">
        <v>13</v>
      </c>
      <c r="G1023" t="s">
        <v>4484</v>
      </c>
      <c r="H1023" t="s">
        <v>2125</v>
      </c>
      <c r="I1023" t="s">
        <v>40</v>
      </c>
      <c r="J1023" s="2" t="s">
        <v>1370</v>
      </c>
      <c r="K1023" t="s">
        <v>42</v>
      </c>
      <c r="L1023" t="s">
        <v>933</v>
      </c>
      <c r="N1023" t="s">
        <v>934</v>
      </c>
      <c r="Q1023">
        <v>31523</v>
      </c>
      <c r="R1023" t="s">
        <v>119</v>
      </c>
      <c r="S1023" t="s">
        <v>7753</v>
      </c>
      <c r="T1023">
        <v>29</v>
      </c>
      <c r="V1023" s="1">
        <v>45897</v>
      </c>
      <c r="W1023" t="s">
        <v>2394</v>
      </c>
      <c r="X1023">
        <v>838403</v>
      </c>
      <c r="Y1023" t="s">
        <v>7754</v>
      </c>
      <c r="Z1023" t="s">
        <v>7755</v>
      </c>
      <c r="AA1023" s="2" t="s">
        <v>7756</v>
      </c>
      <c r="AB1023" t="s">
        <v>938</v>
      </c>
      <c r="AD1023" t="s">
        <v>7757</v>
      </c>
      <c r="AE1023">
        <v>13285</v>
      </c>
      <c r="AG1023" t="s">
        <v>7758</v>
      </c>
      <c r="AH1023" t="s">
        <v>7759</v>
      </c>
      <c r="AI1023" t="s">
        <v>7760</v>
      </c>
    </row>
    <row r="1024" spans="2:35" ht="45">
      <c r="B1024" s="1">
        <v>45926</v>
      </c>
      <c r="C1024" s="1">
        <v>45925</v>
      </c>
      <c r="D1024" t="s">
        <v>7761</v>
      </c>
      <c r="E1024" t="s">
        <v>7762</v>
      </c>
      <c r="F1024">
        <v>13</v>
      </c>
      <c r="G1024" t="s">
        <v>7763</v>
      </c>
      <c r="H1024" t="s">
        <v>2125</v>
      </c>
      <c r="I1024" t="s">
        <v>40</v>
      </c>
      <c r="J1024" s="2" t="s">
        <v>1370</v>
      </c>
      <c r="K1024" t="s">
        <v>42</v>
      </c>
      <c r="L1024" t="s">
        <v>933</v>
      </c>
      <c r="N1024" t="s">
        <v>934</v>
      </c>
      <c r="Q1024">
        <v>31522</v>
      </c>
      <c r="R1024" t="s">
        <v>119</v>
      </c>
      <c r="S1024" t="s">
        <v>7764</v>
      </c>
      <c r="T1024">
        <v>24</v>
      </c>
      <c r="V1024" s="1">
        <v>45916</v>
      </c>
      <c r="W1024" t="s">
        <v>2127</v>
      </c>
      <c r="X1024">
        <v>838275</v>
      </c>
      <c r="Y1024" t="s">
        <v>7765</v>
      </c>
      <c r="Z1024" t="s">
        <v>7755</v>
      </c>
      <c r="AA1024" t="s">
        <v>7766</v>
      </c>
      <c r="AB1024" t="s">
        <v>2131</v>
      </c>
      <c r="AD1024" t="s">
        <v>7767</v>
      </c>
      <c r="AE1024">
        <v>13340</v>
      </c>
      <c r="AG1024" t="s">
        <v>7768</v>
      </c>
      <c r="AH1024" t="s">
        <v>7769</v>
      </c>
      <c r="AI1024" t="s">
        <v>7770</v>
      </c>
    </row>
    <row r="1025" spans="2:35">
      <c r="B1025" s="1">
        <v>45926</v>
      </c>
      <c r="C1025" s="1">
        <v>45926</v>
      </c>
      <c r="D1025" t="s">
        <v>7771</v>
      </c>
      <c r="E1025" t="s">
        <v>7772</v>
      </c>
      <c r="F1025">
        <v>6</v>
      </c>
      <c r="G1025" t="s">
        <v>1234</v>
      </c>
      <c r="H1025" t="s">
        <v>61</v>
      </c>
      <c r="I1025" t="s">
        <v>40</v>
      </c>
      <c r="J1025" t="s">
        <v>109</v>
      </c>
      <c r="K1025" t="s">
        <v>42</v>
      </c>
      <c r="L1025" t="s">
        <v>259</v>
      </c>
      <c r="N1025" t="s">
        <v>260</v>
      </c>
      <c r="Q1025">
        <v>31521</v>
      </c>
      <c r="R1025" t="s">
        <v>322</v>
      </c>
      <c r="S1025" t="s">
        <v>7773</v>
      </c>
      <c r="T1025">
        <v>26</v>
      </c>
      <c r="W1025" t="s">
        <v>423</v>
      </c>
      <c r="X1025">
        <v>110020743</v>
      </c>
      <c r="Y1025" t="s">
        <v>263</v>
      </c>
      <c r="Z1025" t="e">
        <f ca="1">- Data Collection</f>
        <v>#NAME?</v>
      </c>
      <c r="AA1025" t="s">
        <v>3128</v>
      </c>
      <c r="AB1025" t="s">
        <v>70</v>
      </c>
      <c r="AG1025" t="s">
        <v>7774</v>
      </c>
      <c r="AH1025" t="s">
        <v>7775</v>
      </c>
      <c r="AI1025" t="s">
        <v>7776</v>
      </c>
    </row>
    <row r="1026" spans="2:35" ht="225">
      <c r="B1026" s="1">
        <v>45926</v>
      </c>
      <c r="C1026" s="1">
        <v>45924</v>
      </c>
      <c r="D1026" t="s">
        <v>1145</v>
      </c>
      <c r="E1026" t="s">
        <v>473</v>
      </c>
      <c r="F1026" t="s">
        <v>148</v>
      </c>
      <c r="G1026" t="s">
        <v>447</v>
      </c>
      <c r="H1026" t="s">
        <v>386</v>
      </c>
      <c r="I1026" t="s">
        <v>40</v>
      </c>
      <c r="J1026" t="s">
        <v>525</v>
      </c>
      <c r="K1026" t="s">
        <v>387</v>
      </c>
      <c r="L1026" t="s">
        <v>448</v>
      </c>
      <c r="N1026" t="s">
        <v>450</v>
      </c>
      <c r="Q1026">
        <v>31520</v>
      </c>
      <c r="R1026" t="s">
        <v>322</v>
      </c>
      <c r="S1026" t="s">
        <v>5004</v>
      </c>
      <c r="T1026">
        <v>26</v>
      </c>
      <c r="W1026" t="s">
        <v>476</v>
      </c>
      <c r="X1026" t="s">
        <v>7383</v>
      </c>
      <c r="Y1026" s="2" t="s">
        <v>7777</v>
      </c>
      <c r="Z1026" s="2" t="s">
        <v>7778</v>
      </c>
      <c r="AA1026" t="s">
        <v>768</v>
      </c>
      <c r="AB1026" s="2" t="s">
        <v>7779</v>
      </c>
      <c r="AC1026" t="s">
        <v>7780</v>
      </c>
      <c r="AG1026" t="s">
        <v>7781</v>
      </c>
      <c r="AH1026" t="s">
        <v>7782</v>
      </c>
      <c r="AI1026" t="s">
        <v>7783</v>
      </c>
    </row>
    <row r="1027" spans="2:35" ht="225">
      <c r="B1027" s="1">
        <v>45926</v>
      </c>
      <c r="C1027" s="1">
        <v>45925</v>
      </c>
      <c r="D1027" t="s">
        <v>7784</v>
      </c>
      <c r="E1027" t="s">
        <v>7785</v>
      </c>
      <c r="F1027" t="s">
        <v>148</v>
      </c>
      <c r="G1027" t="s">
        <v>447</v>
      </c>
      <c r="H1027" t="s">
        <v>150</v>
      </c>
      <c r="I1027" t="s">
        <v>40</v>
      </c>
      <c r="J1027" s="2" t="s">
        <v>190</v>
      </c>
      <c r="K1027" t="s">
        <v>42</v>
      </c>
      <c r="L1027" t="s">
        <v>448</v>
      </c>
      <c r="N1027" t="s">
        <v>450</v>
      </c>
      <c r="O1027" t="s">
        <v>7786</v>
      </c>
      <c r="Q1027">
        <v>31519</v>
      </c>
      <c r="R1027" t="s">
        <v>95</v>
      </c>
      <c r="S1027" t="s">
        <v>7787</v>
      </c>
      <c r="T1027">
        <v>23</v>
      </c>
      <c r="U1027" s="2" t="s">
        <v>7788</v>
      </c>
      <c r="W1027" t="s">
        <v>453</v>
      </c>
      <c r="X1027">
        <v>840975</v>
      </c>
      <c r="Y1027" s="2" t="s">
        <v>7789</v>
      </c>
      <c r="Z1027" s="2" t="s">
        <v>7790</v>
      </c>
      <c r="AA1027" s="2" t="s">
        <v>3927</v>
      </c>
      <c r="AB1027" s="2" t="s">
        <v>7791</v>
      </c>
      <c r="AG1027" t="s">
        <v>7792</v>
      </c>
      <c r="AH1027" t="s">
        <v>7793</v>
      </c>
      <c r="AI1027" t="s">
        <v>7794</v>
      </c>
    </row>
    <row r="1028" spans="2:35" ht="210">
      <c r="B1028" s="1">
        <v>45925</v>
      </c>
      <c r="C1028" s="1">
        <v>45925</v>
      </c>
      <c r="D1028" t="s">
        <v>7382</v>
      </c>
      <c r="E1028" t="s">
        <v>7795</v>
      </c>
      <c r="F1028" t="s">
        <v>148</v>
      </c>
      <c r="G1028" t="s">
        <v>447</v>
      </c>
      <c r="H1028" t="s">
        <v>513</v>
      </c>
      <c r="I1028" t="s">
        <v>40</v>
      </c>
      <c r="J1028" s="2" t="s">
        <v>760</v>
      </c>
      <c r="K1028" t="s">
        <v>387</v>
      </c>
      <c r="L1028" t="s">
        <v>80</v>
      </c>
      <c r="N1028" t="s">
        <v>81</v>
      </c>
      <c r="Q1028">
        <v>31518</v>
      </c>
      <c r="R1028" t="s">
        <v>95</v>
      </c>
      <c r="S1028" t="s">
        <v>5004</v>
      </c>
      <c r="T1028">
        <v>28</v>
      </c>
      <c r="W1028" t="s">
        <v>476</v>
      </c>
      <c r="X1028" t="s">
        <v>7383</v>
      </c>
      <c r="Y1028" s="2" t="s">
        <v>7796</v>
      </c>
      <c r="Z1028" t="s">
        <v>7797</v>
      </c>
      <c r="AA1028" s="2" t="s">
        <v>7798</v>
      </c>
      <c r="AB1028" s="2" t="s">
        <v>7799</v>
      </c>
      <c r="AC1028" t="s">
        <v>7800</v>
      </c>
      <c r="AG1028" t="s">
        <v>7801</v>
      </c>
      <c r="AH1028" t="s">
        <v>7392</v>
      </c>
      <c r="AI1028" t="s">
        <v>7802</v>
      </c>
    </row>
    <row r="1029" spans="2:35" ht="255">
      <c r="B1029" s="1">
        <v>45925</v>
      </c>
      <c r="C1029" s="1">
        <v>45925</v>
      </c>
      <c r="D1029" t="s">
        <v>7803</v>
      </c>
      <c r="E1029" t="s">
        <v>7804</v>
      </c>
      <c r="F1029" t="s">
        <v>148</v>
      </c>
      <c r="G1029" t="s">
        <v>447</v>
      </c>
      <c r="H1029" t="s">
        <v>39</v>
      </c>
      <c r="I1029" t="s">
        <v>40</v>
      </c>
      <c r="J1029" t="s">
        <v>109</v>
      </c>
      <c r="K1029" t="s">
        <v>42</v>
      </c>
      <c r="L1029" t="s">
        <v>175</v>
      </c>
      <c r="N1029" t="s">
        <v>176</v>
      </c>
      <c r="Q1029">
        <v>31517</v>
      </c>
      <c r="R1029" t="s">
        <v>45</v>
      </c>
      <c r="S1029" t="s">
        <v>997</v>
      </c>
      <c r="T1029">
        <v>27</v>
      </c>
      <c r="W1029" t="s">
        <v>373</v>
      </c>
      <c r="X1029">
        <v>845446</v>
      </c>
      <c r="Y1029" s="2" t="s">
        <v>7805</v>
      </c>
      <c r="Z1029" t="s">
        <v>103</v>
      </c>
      <c r="AA1029" t="e">
        <f ca="1">- checked _xludf.and cleaned cartridge bay, plunger rod, _xludf.filter, icore slot
- scanned system _xludf.Log _xludf.For hardware errors
- generated reports
- performed self test</f>
        <v>#NAME?</v>
      </c>
      <c r="AB1029" s="2" t="s">
        <v>7806</v>
      </c>
      <c r="AG1029" t="s">
        <v>7807</v>
      </c>
      <c r="AH1029" t="s">
        <v>7808</v>
      </c>
      <c r="AI1029" t="s">
        <v>7809</v>
      </c>
    </row>
    <row r="1030" spans="2:35" ht="255">
      <c r="B1030" s="1">
        <v>45925</v>
      </c>
      <c r="C1030" s="1">
        <v>45925</v>
      </c>
      <c r="D1030" t="s">
        <v>7810</v>
      </c>
      <c r="E1030" t="s">
        <v>7811</v>
      </c>
      <c r="F1030">
        <v>11</v>
      </c>
      <c r="G1030" t="s">
        <v>1205</v>
      </c>
      <c r="H1030" t="s">
        <v>202</v>
      </c>
      <c r="I1030" t="s">
        <v>40</v>
      </c>
      <c r="J1030" t="s">
        <v>109</v>
      </c>
      <c r="K1030" t="s">
        <v>42</v>
      </c>
      <c r="L1030" t="s">
        <v>204</v>
      </c>
      <c r="N1030" t="s">
        <v>205</v>
      </c>
      <c r="Q1030">
        <v>31516</v>
      </c>
      <c r="R1030" t="s">
        <v>119</v>
      </c>
      <c r="S1030" t="s">
        <v>7812</v>
      </c>
      <c r="T1030">
        <v>24.5</v>
      </c>
      <c r="U1030" s="2" t="s">
        <v>7813</v>
      </c>
      <c r="W1030" t="s">
        <v>208</v>
      </c>
      <c r="X1030">
        <v>838232</v>
      </c>
      <c r="Y1030" t="s">
        <v>2851</v>
      </c>
      <c r="Z1030" s="2" t="s">
        <v>7814</v>
      </c>
      <c r="AA1030" t="s">
        <v>2551</v>
      </c>
      <c r="AB1030" t="s">
        <v>1211</v>
      </c>
      <c r="AG1030" t="s">
        <v>7815</v>
      </c>
      <c r="AH1030" t="s">
        <v>7816</v>
      </c>
      <c r="AI1030" t="s">
        <v>7817</v>
      </c>
    </row>
    <row r="1031" spans="2:35">
      <c r="B1031" s="1">
        <v>45924</v>
      </c>
      <c r="C1031" s="1">
        <v>45924</v>
      </c>
      <c r="D1031" t="s">
        <v>3139</v>
      </c>
      <c r="E1031" t="s">
        <v>3140</v>
      </c>
      <c r="F1031">
        <v>3</v>
      </c>
      <c r="G1031" t="s">
        <v>174</v>
      </c>
      <c r="H1031" t="s">
        <v>39</v>
      </c>
      <c r="I1031" t="s">
        <v>40</v>
      </c>
      <c r="J1031" t="s">
        <v>109</v>
      </c>
      <c r="K1031" t="s">
        <v>42</v>
      </c>
      <c r="L1031" t="s">
        <v>175</v>
      </c>
      <c r="N1031" t="s">
        <v>176</v>
      </c>
      <c r="Q1031">
        <v>31515</v>
      </c>
      <c r="R1031" t="s">
        <v>967</v>
      </c>
      <c r="S1031" t="s">
        <v>5341</v>
      </c>
      <c r="T1031">
        <v>28</v>
      </c>
      <c r="W1031" t="s">
        <v>373</v>
      </c>
      <c r="X1031">
        <v>110023507</v>
      </c>
      <c r="Y1031" t="s">
        <v>374</v>
      </c>
      <c r="Z1031" t="s">
        <v>103</v>
      </c>
      <c r="AA1031" t="e">
        <f ca="1">- checked _xludf.and cleaned cartridge bay, plunger rod, _xludf.filter, icore slot
- generated reports
- performed self test</f>
        <v>#NAME?</v>
      </c>
      <c r="AB1031" t="s">
        <v>181</v>
      </c>
      <c r="AG1031" t="s">
        <v>7818</v>
      </c>
      <c r="AH1031" t="s">
        <v>3145</v>
      </c>
      <c r="AI1031" t="s">
        <v>7819</v>
      </c>
    </row>
    <row r="1032" spans="2:35" ht="105">
      <c r="B1032" s="1">
        <v>45924</v>
      </c>
      <c r="C1032" s="1">
        <v>45924</v>
      </c>
      <c r="D1032" t="s">
        <v>1496</v>
      </c>
      <c r="E1032" t="s">
        <v>1497</v>
      </c>
      <c r="F1032">
        <v>8</v>
      </c>
      <c r="G1032" t="s">
        <v>342</v>
      </c>
      <c r="H1032" t="s">
        <v>1498</v>
      </c>
      <c r="I1032" t="s">
        <v>40</v>
      </c>
      <c r="J1032" t="s">
        <v>109</v>
      </c>
      <c r="K1032" t="s">
        <v>42</v>
      </c>
      <c r="L1032" t="s">
        <v>343</v>
      </c>
      <c r="N1032" t="s">
        <v>344</v>
      </c>
      <c r="Q1032">
        <v>31514</v>
      </c>
      <c r="R1032" t="s">
        <v>119</v>
      </c>
      <c r="S1032" t="s">
        <v>7820</v>
      </c>
      <c r="T1032">
        <v>29</v>
      </c>
      <c r="U1032" s="2" t="s">
        <v>5573</v>
      </c>
      <c r="V1032" s="1">
        <v>45924</v>
      </c>
      <c r="W1032" t="s">
        <v>1501</v>
      </c>
      <c r="X1032">
        <v>838297</v>
      </c>
      <c r="Y1032" t="s">
        <v>301</v>
      </c>
      <c r="Z1032" t="s">
        <v>7821</v>
      </c>
      <c r="AA1032" t="e">
        <f ca="1">-Preventive Maintenance</f>
        <v>#NAME?</v>
      </c>
      <c r="AB1032" t="s">
        <v>7822</v>
      </c>
      <c r="AG1032" t="s">
        <v>7823</v>
      </c>
      <c r="AH1032" t="s">
        <v>7824</v>
      </c>
      <c r="AI1032" t="s">
        <v>7825</v>
      </c>
    </row>
    <row r="1033" spans="2:35" ht="255">
      <c r="B1033" s="1">
        <v>45924</v>
      </c>
      <c r="C1033" s="1">
        <v>45924</v>
      </c>
      <c r="D1033" t="s">
        <v>7826</v>
      </c>
      <c r="E1033" t="s">
        <v>7827</v>
      </c>
      <c r="F1033">
        <v>11</v>
      </c>
      <c r="G1033" t="s">
        <v>1759</v>
      </c>
      <c r="H1033" t="s">
        <v>202</v>
      </c>
      <c r="I1033" t="s">
        <v>40</v>
      </c>
      <c r="J1033" t="s">
        <v>109</v>
      </c>
      <c r="K1033" t="s">
        <v>42</v>
      </c>
      <c r="L1033" t="s">
        <v>204</v>
      </c>
      <c r="N1033" t="s">
        <v>205</v>
      </c>
      <c r="Q1033">
        <v>31513</v>
      </c>
      <c r="R1033" t="s">
        <v>119</v>
      </c>
      <c r="S1033" t="s">
        <v>7828</v>
      </c>
      <c r="T1033">
        <v>26.5</v>
      </c>
      <c r="U1033" s="2" t="s">
        <v>7829</v>
      </c>
      <c r="W1033" t="s">
        <v>208</v>
      </c>
      <c r="X1033">
        <v>838487</v>
      </c>
      <c r="Y1033" t="s">
        <v>2851</v>
      </c>
      <c r="Z1033" s="2" t="s">
        <v>1892</v>
      </c>
      <c r="AA1033" t="s">
        <v>2551</v>
      </c>
      <c r="AB1033" s="2" t="s">
        <v>7830</v>
      </c>
      <c r="AC1033" t="s">
        <v>7831</v>
      </c>
      <c r="AG1033" t="s">
        <v>7832</v>
      </c>
      <c r="AH1033" t="s">
        <v>7833</v>
      </c>
      <c r="AI1033" t="s">
        <v>7834</v>
      </c>
    </row>
    <row r="1034" spans="2:35" ht="105">
      <c r="B1034" s="1">
        <v>45924</v>
      </c>
      <c r="C1034" s="1">
        <v>45924</v>
      </c>
      <c r="D1034" t="s">
        <v>7835</v>
      </c>
      <c r="E1034" t="s">
        <v>7836</v>
      </c>
      <c r="F1034">
        <v>6</v>
      </c>
      <c r="G1034" t="s">
        <v>1286</v>
      </c>
      <c r="H1034" t="s">
        <v>258</v>
      </c>
      <c r="I1034" t="s">
        <v>40</v>
      </c>
      <c r="J1034" t="s">
        <v>109</v>
      </c>
      <c r="K1034" t="s">
        <v>42</v>
      </c>
      <c r="L1034" t="s">
        <v>259</v>
      </c>
      <c r="N1034" t="s">
        <v>260</v>
      </c>
      <c r="Q1034">
        <v>31512</v>
      </c>
      <c r="R1034" t="s">
        <v>119</v>
      </c>
      <c r="S1034" t="s">
        <v>4748</v>
      </c>
      <c r="T1034">
        <v>26</v>
      </c>
      <c r="U1034" s="2" t="s">
        <v>7837</v>
      </c>
      <c r="W1034" t="s">
        <v>84</v>
      </c>
      <c r="X1034">
        <v>838501</v>
      </c>
      <c r="Y1034" t="s">
        <v>263</v>
      </c>
      <c r="Z1034" t="e">
        <f ca="1">- Data Collection</f>
        <v>#NAME?</v>
      </c>
      <c r="AA1034" t="e">
        <f ca="1">- Preventive Maintenance</f>
        <v>#NAME?</v>
      </c>
      <c r="AB1034" t="s">
        <v>70</v>
      </c>
      <c r="AG1034" t="s">
        <v>7838</v>
      </c>
      <c r="AH1034" t="s">
        <v>7839</v>
      </c>
      <c r="AI1034" t="s">
        <v>7840</v>
      </c>
    </row>
    <row r="1035" spans="2:35" ht="105">
      <c r="B1035" s="1">
        <v>45924</v>
      </c>
      <c r="C1035" s="1">
        <v>45924</v>
      </c>
      <c r="D1035" t="s">
        <v>6414</v>
      </c>
      <c r="E1035" t="s">
        <v>6415</v>
      </c>
      <c r="F1035">
        <v>6</v>
      </c>
      <c r="G1035" t="s">
        <v>1286</v>
      </c>
      <c r="H1035" t="s">
        <v>258</v>
      </c>
      <c r="I1035" t="s">
        <v>40</v>
      </c>
      <c r="J1035" s="2" t="s">
        <v>190</v>
      </c>
      <c r="K1035" t="s">
        <v>42</v>
      </c>
      <c r="L1035" t="s">
        <v>259</v>
      </c>
      <c r="N1035" t="s">
        <v>260</v>
      </c>
      <c r="Q1035">
        <v>31511</v>
      </c>
      <c r="R1035" t="s">
        <v>119</v>
      </c>
      <c r="S1035" t="s">
        <v>6416</v>
      </c>
      <c r="T1035">
        <v>22</v>
      </c>
      <c r="U1035" s="2" t="s">
        <v>7841</v>
      </c>
      <c r="V1035" s="1">
        <v>45924</v>
      </c>
      <c r="W1035" t="s">
        <v>84</v>
      </c>
      <c r="X1035">
        <v>838289</v>
      </c>
      <c r="Y1035" t="s">
        <v>7842</v>
      </c>
      <c r="Z1035" t="e">
        <f ca="1">- Data Collection
- _xludf.Replace monitor</f>
        <v>#NAME?</v>
      </c>
      <c r="AA1035" t="e">
        <f ca="1">- Preventive Maintenance
- Troubleshooting</f>
        <v>#NAME?</v>
      </c>
      <c r="AB1035" t="s">
        <v>70</v>
      </c>
      <c r="AG1035" t="s">
        <v>7843</v>
      </c>
      <c r="AH1035" t="s">
        <v>7844</v>
      </c>
      <c r="AI1035" t="s">
        <v>7845</v>
      </c>
    </row>
    <row r="1036" spans="2:35">
      <c r="B1036" s="1">
        <v>45923</v>
      </c>
      <c r="C1036" s="1">
        <v>45923</v>
      </c>
      <c r="D1036" t="s">
        <v>855</v>
      </c>
      <c r="E1036" t="s">
        <v>1169</v>
      </c>
      <c r="F1036" t="s">
        <v>148</v>
      </c>
      <c r="G1036" t="s">
        <v>310</v>
      </c>
      <c r="H1036" t="s">
        <v>39</v>
      </c>
      <c r="I1036" t="s">
        <v>40</v>
      </c>
      <c r="J1036" t="s">
        <v>525</v>
      </c>
      <c r="K1036" t="s">
        <v>42</v>
      </c>
      <c r="L1036" t="s">
        <v>857</v>
      </c>
      <c r="N1036" t="s">
        <v>858</v>
      </c>
      <c r="Q1036">
        <v>31510</v>
      </c>
      <c r="R1036" t="s">
        <v>322</v>
      </c>
      <c r="S1036" t="s">
        <v>859</v>
      </c>
      <c r="T1036">
        <v>23</v>
      </c>
      <c r="W1036" t="s">
        <v>860</v>
      </c>
      <c r="X1036">
        <v>809643</v>
      </c>
      <c r="Y1036" t="s">
        <v>7846</v>
      </c>
      <c r="Z1036" t="s">
        <v>7847</v>
      </c>
      <c r="AA1036" t="s">
        <v>7848</v>
      </c>
      <c r="AB1036" t="s">
        <v>7849</v>
      </c>
      <c r="AG1036" t="s">
        <v>7850</v>
      </c>
      <c r="AH1036" t="s">
        <v>6762</v>
      </c>
      <c r="AI1036" t="s">
        <v>7851</v>
      </c>
    </row>
    <row r="1037" spans="2:35">
      <c r="B1037" s="1">
        <v>45923</v>
      </c>
      <c r="C1037" s="1">
        <v>45923</v>
      </c>
      <c r="D1037" t="s">
        <v>7852</v>
      </c>
      <c r="E1037" t="s">
        <v>1285</v>
      </c>
      <c r="F1037">
        <v>6</v>
      </c>
      <c r="G1037" t="s">
        <v>1286</v>
      </c>
      <c r="H1037" t="s">
        <v>39</v>
      </c>
      <c r="I1037" t="s">
        <v>40</v>
      </c>
      <c r="J1037" t="s">
        <v>109</v>
      </c>
      <c r="K1037" t="s">
        <v>42</v>
      </c>
      <c r="L1037" t="s">
        <v>259</v>
      </c>
      <c r="N1037" t="s">
        <v>260</v>
      </c>
      <c r="Q1037">
        <v>31509</v>
      </c>
      <c r="R1037" t="s">
        <v>119</v>
      </c>
      <c r="S1037" t="s">
        <v>7853</v>
      </c>
      <c r="T1037">
        <v>27</v>
      </c>
      <c r="W1037" t="s">
        <v>84</v>
      </c>
      <c r="X1037">
        <v>838290</v>
      </c>
      <c r="Y1037" t="s">
        <v>263</v>
      </c>
      <c r="Z1037" t="s">
        <v>7854</v>
      </c>
      <c r="AA1037" t="e">
        <f ca="1">- Preventive Maintenance</f>
        <v>#NAME?</v>
      </c>
      <c r="AB1037" t="s">
        <v>70</v>
      </c>
      <c r="AG1037" t="s">
        <v>7855</v>
      </c>
      <c r="AH1037" t="s">
        <v>7856</v>
      </c>
      <c r="AI1037" t="s">
        <v>7857</v>
      </c>
    </row>
    <row r="1038" spans="2:35">
      <c r="B1038" s="1">
        <v>45923</v>
      </c>
      <c r="C1038" s="1">
        <v>45923</v>
      </c>
      <c r="D1038" t="s">
        <v>7852</v>
      </c>
      <c r="E1038" t="s">
        <v>1285</v>
      </c>
      <c r="F1038">
        <v>6</v>
      </c>
      <c r="G1038" t="s">
        <v>1286</v>
      </c>
      <c r="H1038" t="s">
        <v>7858</v>
      </c>
      <c r="I1038" t="s">
        <v>40</v>
      </c>
      <c r="J1038" t="s">
        <v>109</v>
      </c>
      <c r="K1038" t="s">
        <v>42</v>
      </c>
      <c r="L1038" t="s">
        <v>259</v>
      </c>
      <c r="N1038" t="s">
        <v>260</v>
      </c>
      <c r="Q1038">
        <v>31508</v>
      </c>
      <c r="R1038" t="s">
        <v>119</v>
      </c>
      <c r="S1038" t="s">
        <v>7853</v>
      </c>
      <c r="T1038">
        <v>27</v>
      </c>
      <c r="W1038" t="s">
        <v>84</v>
      </c>
      <c r="X1038">
        <v>838290</v>
      </c>
      <c r="Y1038" t="s">
        <v>263</v>
      </c>
      <c r="Z1038" t="s">
        <v>7854</v>
      </c>
      <c r="AA1038" t="e">
        <f ca="1">- Preventive Maintenance</f>
        <v>#NAME?</v>
      </c>
      <c r="AB1038" t="s">
        <v>70</v>
      </c>
      <c r="AG1038" t="s">
        <v>7855</v>
      </c>
      <c r="AH1038" t="s">
        <v>7856</v>
      </c>
      <c r="AI1038" t="s">
        <v>7857</v>
      </c>
    </row>
    <row r="1039" spans="2:35" ht="195">
      <c r="B1039" s="1">
        <v>45923</v>
      </c>
      <c r="C1039" s="1">
        <v>45923</v>
      </c>
      <c r="D1039" t="s">
        <v>7859</v>
      </c>
      <c r="E1039" t="s">
        <v>7860</v>
      </c>
      <c r="F1039">
        <v>6</v>
      </c>
      <c r="G1039" t="s">
        <v>1286</v>
      </c>
      <c r="H1039" t="s">
        <v>7858</v>
      </c>
      <c r="I1039" t="s">
        <v>40</v>
      </c>
      <c r="J1039" t="s">
        <v>109</v>
      </c>
      <c r="K1039" t="s">
        <v>42</v>
      </c>
      <c r="L1039" t="s">
        <v>259</v>
      </c>
      <c r="N1039" t="s">
        <v>260</v>
      </c>
      <c r="Q1039">
        <v>31507</v>
      </c>
      <c r="R1039" t="s">
        <v>322</v>
      </c>
      <c r="S1039" t="s">
        <v>7853</v>
      </c>
      <c r="T1039">
        <v>24</v>
      </c>
      <c r="U1039" s="2" t="s">
        <v>7861</v>
      </c>
      <c r="W1039" t="s">
        <v>84</v>
      </c>
      <c r="X1039">
        <v>110021716</v>
      </c>
      <c r="Y1039" t="s">
        <v>263</v>
      </c>
      <c r="Z1039" t="e">
        <f ca="1">- _xludf.n/a</f>
        <v>#NAME?</v>
      </c>
      <c r="AA1039" t="e">
        <f ca="1">- Preventive Maintenance
- functionality test</f>
        <v>#NAME?</v>
      </c>
      <c r="AB1039" t="s">
        <v>70</v>
      </c>
      <c r="AG1039" t="s">
        <v>7862</v>
      </c>
      <c r="AH1039" t="s">
        <v>7856</v>
      </c>
      <c r="AI1039" t="s">
        <v>7863</v>
      </c>
    </row>
    <row r="1040" spans="2:35" ht="195">
      <c r="B1040" s="1">
        <v>45923</v>
      </c>
      <c r="C1040" s="1">
        <v>45923</v>
      </c>
      <c r="D1040" t="s">
        <v>6471</v>
      </c>
      <c r="E1040" t="s">
        <v>582</v>
      </c>
      <c r="F1040" t="s">
        <v>148</v>
      </c>
      <c r="G1040" t="s">
        <v>447</v>
      </c>
      <c r="H1040" t="s">
        <v>513</v>
      </c>
      <c r="I1040" t="s">
        <v>40</v>
      </c>
      <c r="J1040" t="s">
        <v>109</v>
      </c>
      <c r="K1040" t="s">
        <v>387</v>
      </c>
      <c r="L1040" t="s">
        <v>175</v>
      </c>
      <c r="N1040" t="s">
        <v>176</v>
      </c>
      <c r="O1040" t="s">
        <v>3327</v>
      </c>
      <c r="Q1040">
        <v>31506</v>
      </c>
      <c r="R1040" t="s">
        <v>322</v>
      </c>
      <c r="S1040" t="s">
        <v>4306</v>
      </c>
      <c r="T1040">
        <v>25</v>
      </c>
      <c r="W1040" t="s">
        <v>390</v>
      </c>
      <c r="X1040" t="s">
        <v>4307</v>
      </c>
      <c r="Y1040" s="2" t="s">
        <v>7864</v>
      </c>
      <c r="Z1040" t="s">
        <v>103</v>
      </c>
      <c r="AA1040" t="e">
        <f ca="1">- checked rotor roller pumps
- checked CALIBRATION parameters
- performed self test</f>
        <v>#NAME?</v>
      </c>
      <c r="AB1040" s="2" t="s">
        <v>7865</v>
      </c>
      <c r="AG1040" t="s">
        <v>7866</v>
      </c>
      <c r="AH1040" t="s">
        <v>4310</v>
      </c>
      <c r="AI1040" t="s">
        <v>7867</v>
      </c>
    </row>
    <row r="1041" spans="2:35" ht="255">
      <c r="B1041" s="1">
        <v>45923</v>
      </c>
      <c r="C1041" s="1">
        <v>45923</v>
      </c>
      <c r="D1041" t="s">
        <v>7868</v>
      </c>
      <c r="E1041" t="s">
        <v>2382</v>
      </c>
      <c r="F1041">
        <v>7</v>
      </c>
      <c r="G1041" t="s">
        <v>432</v>
      </c>
      <c r="H1041" t="s">
        <v>2290</v>
      </c>
      <c r="I1041" t="s">
        <v>40</v>
      </c>
      <c r="J1041" t="s">
        <v>109</v>
      </c>
      <c r="K1041" t="s">
        <v>42</v>
      </c>
      <c r="L1041" t="s">
        <v>594</v>
      </c>
      <c r="N1041" t="s">
        <v>595</v>
      </c>
      <c r="O1041" t="s">
        <v>595</v>
      </c>
      <c r="Q1041">
        <v>31505</v>
      </c>
      <c r="R1041" t="s">
        <v>119</v>
      </c>
      <c r="S1041" t="s">
        <v>1849</v>
      </c>
      <c r="T1041">
        <v>23</v>
      </c>
      <c r="W1041" t="s">
        <v>5595</v>
      </c>
      <c r="X1041">
        <v>838564</v>
      </c>
      <c r="Y1041" t="s">
        <v>7281</v>
      </c>
      <c r="Z1041" s="2" t="s">
        <v>7869</v>
      </c>
      <c r="AA1041" s="2" t="s">
        <v>7870</v>
      </c>
      <c r="AB1041" t="s">
        <v>7871</v>
      </c>
      <c r="AG1041" t="s">
        <v>7872</v>
      </c>
      <c r="AH1041" t="s">
        <v>7873</v>
      </c>
      <c r="AI1041" t="s">
        <v>7874</v>
      </c>
    </row>
    <row r="1042" spans="2:35" ht="120">
      <c r="B1042" s="1">
        <v>45923</v>
      </c>
      <c r="C1042" s="1">
        <v>45921</v>
      </c>
      <c r="D1042" t="s">
        <v>6037</v>
      </c>
      <c r="E1042" t="s">
        <v>7875</v>
      </c>
      <c r="F1042">
        <v>7</v>
      </c>
      <c r="G1042" t="s">
        <v>432</v>
      </c>
      <c r="H1042" t="s">
        <v>608</v>
      </c>
      <c r="I1042" t="s">
        <v>40</v>
      </c>
      <c r="J1042" t="s">
        <v>79</v>
      </c>
      <c r="K1042" t="s">
        <v>387</v>
      </c>
      <c r="L1042" t="s">
        <v>610</v>
      </c>
      <c r="N1042" t="s">
        <v>611</v>
      </c>
      <c r="Q1042">
        <v>31504</v>
      </c>
      <c r="R1042" t="s">
        <v>95</v>
      </c>
      <c r="S1042" t="s">
        <v>6039</v>
      </c>
      <c r="T1042">
        <v>24</v>
      </c>
      <c r="W1042" t="s">
        <v>360</v>
      </c>
      <c r="X1042" t="s">
        <v>6040</v>
      </c>
      <c r="Y1042" t="s">
        <v>7876</v>
      </c>
      <c r="Z1042" s="2" t="s">
        <v>7877</v>
      </c>
      <c r="AA1042" s="2" t="s">
        <v>7877</v>
      </c>
      <c r="AB1042" t="s">
        <v>88</v>
      </c>
      <c r="AG1042" t="s">
        <v>7878</v>
      </c>
      <c r="AH1042" t="s">
        <v>7879</v>
      </c>
      <c r="AI1042" t="s">
        <v>7880</v>
      </c>
    </row>
    <row r="1043" spans="2:35" ht="409.5">
      <c r="B1043" s="1">
        <v>45923</v>
      </c>
      <c r="C1043" s="1">
        <v>45915</v>
      </c>
      <c r="D1043" t="s">
        <v>7881</v>
      </c>
      <c r="E1043" t="s">
        <v>7882</v>
      </c>
      <c r="F1043">
        <v>7</v>
      </c>
      <c r="G1043" t="s">
        <v>432</v>
      </c>
      <c r="H1043" t="s">
        <v>608</v>
      </c>
      <c r="I1043" t="s">
        <v>40</v>
      </c>
      <c r="J1043" t="s">
        <v>109</v>
      </c>
      <c r="K1043" t="s">
        <v>42</v>
      </c>
      <c r="L1043" t="s">
        <v>610</v>
      </c>
      <c r="N1043" t="s">
        <v>611</v>
      </c>
      <c r="Q1043">
        <v>31503</v>
      </c>
      <c r="R1043" t="s">
        <v>119</v>
      </c>
      <c r="S1043" t="s">
        <v>7883</v>
      </c>
      <c r="T1043">
        <v>27</v>
      </c>
      <c r="U1043" s="2" t="s">
        <v>6205</v>
      </c>
      <c r="W1043" t="s">
        <v>360</v>
      </c>
      <c r="X1043">
        <v>838512</v>
      </c>
      <c r="Y1043" s="2" t="s">
        <v>7884</v>
      </c>
      <c r="Z1043" s="2" t="s">
        <v>7885</v>
      </c>
      <c r="AA1043" s="2" t="s">
        <v>7885</v>
      </c>
      <c r="AB1043" t="s">
        <v>7886</v>
      </c>
      <c r="AG1043" t="s">
        <v>7887</v>
      </c>
      <c r="AH1043" t="s">
        <v>7888</v>
      </c>
      <c r="AI1043" t="s">
        <v>7889</v>
      </c>
    </row>
    <row r="1044" spans="2:35" ht="105">
      <c r="B1044" s="1">
        <v>45923</v>
      </c>
      <c r="C1044" s="1">
        <v>45923</v>
      </c>
      <c r="D1044" t="s">
        <v>7890</v>
      </c>
      <c r="E1044" t="s">
        <v>6356</v>
      </c>
      <c r="F1044">
        <v>6</v>
      </c>
      <c r="G1044" t="s">
        <v>1286</v>
      </c>
      <c r="H1044" t="s">
        <v>258</v>
      </c>
      <c r="I1044" t="s">
        <v>40</v>
      </c>
      <c r="J1044" s="2" t="s">
        <v>190</v>
      </c>
      <c r="K1044" t="s">
        <v>42</v>
      </c>
      <c r="L1044" t="s">
        <v>259</v>
      </c>
      <c r="N1044" t="s">
        <v>260</v>
      </c>
      <c r="Q1044">
        <v>31502</v>
      </c>
      <c r="R1044" t="s">
        <v>119</v>
      </c>
      <c r="S1044" t="s">
        <v>7891</v>
      </c>
      <c r="T1044">
        <v>27</v>
      </c>
      <c r="U1044" s="2" t="s">
        <v>7892</v>
      </c>
      <c r="W1044" t="s">
        <v>84</v>
      </c>
      <c r="X1044">
        <v>838393</v>
      </c>
      <c r="Y1044" t="s">
        <v>7893</v>
      </c>
      <c r="Z1044" t="e">
        <f ca="1">- Preventive Maintenance
- Troubleshooting monitor display</f>
        <v>#NAME?</v>
      </c>
      <c r="AA1044" t="e">
        <f ca="1">- Preventive Maintenance
- Troubleshooting
- performed functionality test</f>
        <v>#NAME?</v>
      </c>
      <c r="AB1044" t="s">
        <v>70</v>
      </c>
      <c r="AG1044" t="s">
        <v>7894</v>
      </c>
      <c r="AH1044" t="s">
        <v>7895</v>
      </c>
      <c r="AI1044" t="s">
        <v>7896</v>
      </c>
    </row>
    <row r="1045" spans="2:35" ht="375">
      <c r="B1045" s="1">
        <v>45922</v>
      </c>
      <c r="C1045" s="1">
        <v>45917</v>
      </c>
      <c r="D1045" t="s">
        <v>7897</v>
      </c>
      <c r="E1045" t="s">
        <v>7898</v>
      </c>
      <c r="F1045">
        <v>12</v>
      </c>
      <c r="G1045" t="s">
        <v>2137</v>
      </c>
      <c r="H1045" t="s">
        <v>1473</v>
      </c>
      <c r="I1045" t="s">
        <v>40</v>
      </c>
      <c r="J1045" t="s">
        <v>109</v>
      </c>
      <c r="K1045" t="s">
        <v>42</v>
      </c>
      <c r="L1045" t="s">
        <v>296</v>
      </c>
      <c r="N1045" t="s">
        <v>297</v>
      </c>
      <c r="Q1045">
        <v>31499</v>
      </c>
      <c r="R1045" t="s">
        <v>119</v>
      </c>
      <c r="S1045" t="s">
        <v>7899</v>
      </c>
      <c r="T1045">
        <v>26.4</v>
      </c>
      <c r="U1045" s="2" t="s">
        <v>7334</v>
      </c>
      <c r="W1045" t="s">
        <v>981</v>
      </c>
      <c r="X1045">
        <v>838259</v>
      </c>
      <c r="Y1045" t="s">
        <v>301</v>
      </c>
      <c r="Z1045" s="2" t="s">
        <v>7900</v>
      </c>
      <c r="AA1045" t="s">
        <v>303</v>
      </c>
      <c r="AB1045" t="s">
        <v>7205</v>
      </c>
      <c r="AG1045" t="s">
        <v>7901</v>
      </c>
      <c r="AH1045" t="s">
        <v>7902</v>
      </c>
      <c r="AI1045" t="s">
        <v>7903</v>
      </c>
    </row>
    <row r="1046" spans="2:35" ht="375">
      <c r="B1046" s="1">
        <v>45922</v>
      </c>
      <c r="C1046" s="1">
        <v>45916</v>
      </c>
      <c r="D1046" t="s">
        <v>4694</v>
      </c>
      <c r="E1046" t="s">
        <v>7904</v>
      </c>
      <c r="F1046">
        <v>12</v>
      </c>
      <c r="G1046" t="s">
        <v>2137</v>
      </c>
      <c r="H1046" t="s">
        <v>1473</v>
      </c>
      <c r="I1046" t="s">
        <v>40</v>
      </c>
      <c r="J1046" t="s">
        <v>109</v>
      </c>
      <c r="K1046" t="s">
        <v>42</v>
      </c>
      <c r="L1046" t="s">
        <v>296</v>
      </c>
      <c r="N1046" t="s">
        <v>297</v>
      </c>
      <c r="Q1046">
        <v>31501</v>
      </c>
      <c r="R1046" t="s">
        <v>119</v>
      </c>
      <c r="S1046" t="s">
        <v>7905</v>
      </c>
      <c r="T1046">
        <v>26.4</v>
      </c>
      <c r="U1046" s="2" t="s">
        <v>7906</v>
      </c>
      <c r="W1046" t="s">
        <v>981</v>
      </c>
      <c r="X1046">
        <v>838545</v>
      </c>
      <c r="Y1046" t="s">
        <v>301</v>
      </c>
      <c r="Z1046" s="2" t="s">
        <v>7907</v>
      </c>
      <c r="AA1046" t="s">
        <v>303</v>
      </c>
      <c r="AB1046" t="s">
        <v>972</v>
      </c>
      <c r="AG1046" t="s">
        <v>7908</v>
      </c>
      <c r="AH1046" t="s">
        <v>7909</v>
      </c>
      <c r="AI1046" t="s">
        <v>7910</v>
      </c>
    </row>
    <row r="1047" spans="2:35" ht="390">
      <c r="B1047" s="1">
        <v>45922</v>
      </c>
      <c r="C1047" s="1">
        <v>45917</v>
      </c>
      <c r="D1047" t="s">
        <v>3853</v>
      </c>
      <c r="E1047" t="s">
        <v>4714</v>
      </c>
      <c r="F1047">
        <v>12</v>
      </c>
      <c r="G1047" t="s">
        <v>2137</v>
      </c>
      <c r="H1047" t="s">
        <v>39</v>
      </c>
      <c r="I1047" t="s">
        <v>40</v>
      </c>
      <c r="J1047" t="s">
        <v>109</v>
      </c>
      <c r="K1047" t="s">
        <v>42</v>
      </c>
      <c r="L1047" t="s">
        <v>296</v>
      </c>
      <c r="N1047" t="s">
        <v>297</v>
      </c>
      <c r="Q1047">
        <v>31498</v>
      </c>
      <c r="R1047" t="s">
        <v>322</v>
      </c>
      <c r="S1047" t="s">
        <v>3855</v>
      </c>
      <c r="T1047">
        <v>23.1</v>
      </c>
      <c r="U1047" s="2" t="s">
        <v>7911</v>
      </c>
      <c r="W1047" t="s">
        <v>981</v>
      </c>
      <c r="X1047">
        <v>110026514</v>
      </c>
      <c r="Y1047" t="s">
        <v>301</v>
      </c>
      <c r="Z1047" s="2" t="s">
        <v>7912</v>
      </c>
      <c r="AA1047" t="s">
        <v>303</v>
      </c>
      <c r="AB1047" t="s">
        <v>972</v>
      </c>
      <c r="AG1047" t="s">
        <v>7913</v>
      </c>
      <c r="AH1047" t="s">
        <v>3861</v>
      </c>
      <c r="AI1047" t="s">
        <v>7914</v>
      </c>
    </row>
    <row r="1048" spans="2:35" ht="240">
      <c r="B1048" s="1">
        <v>45922</v>
      </c>
      <c r="C1048" s="1">
        <v>45918</v>
      </c>
      <c r="D1048" t="s">
        <v>4172</v>
      </c>
      <c r="E1048" t="s">
        <v>293</v>
      </c>
      <c r="F1048">
        <v>12</v>
      </c>
      <c r="G1048" t="s">
        <v>294</v>
      </c>
      <c r="H1048" t="s">
        <v>1473</v>
      </c>
      <c r="I1048" t="s">
        <v>40</v>
      </c>
      <c r="J1048" s="2" t="s">
        <v>7915</v>
      </c>
      <c r="K1048" t="s">
        <v>42</v>
      </c>
      <c r="L1048" t="s">
        <v>296</v>
      </c>
      <c r="N1048" t="s">
        <v>297</v>
      </c>
      <c r="Q1048">
        <v>31500</v>
      </c>
      <c r="R1048" t="s">
        <v>95</v>
      </c>
      <c r="S1048" t="s">
        <v>298</v>
      </c>
      <c r="T1048">
        <v>25.5</v>
      </c>
      <c r="U1048" s="2" t="s">
        <v>7916</v>
      </c>
      <c r="W1048" t="s">
        <v>970</v>
      </c>
      <c r="X1048">
        <v>110024270</v>
      </c>
      <c r="Y1048" t="s">
        <v>301</v>
      </c>
      <c r="Z1048" s="2" t="s">
        <v>7917</v>
      </c>
      <c r="AA1048" t="s">
        <v>7918</v>
      </c>
      <c r="AB1048" t="s">
        <v>7205</v>
      </c>
      <c r="AG1048" t="s">
        <v>7919</v>
      </c>
      <c r="AH1048" t="s">
        <v>7920</v>
      </c>
      <c r="AI1048" t="s">
        <v>7921</v>
      </c>
    </row>
    <row r="1049" spans="2:35">
      <c r="B1049" s="1">
        <v>45922</v>
      </c>
      <c r="C1049" s="1">
        <v>45889</v>
      </c>
      <c r="D1049" t="s">
        <v>1057</v>
      </c>
      <c r="E1049" t="s">
        <v>1058</v>
      </c>
      <c r="F1049">
        <v>1</v>
      </c>
      <c r="G1049" t="s">
        <v>1046</v>
      </c>
      <c r="H1049" t="s">
        <v>39</v>
      </c>
      <c r="I1049" t="s">
        <v>40</v>
      </c>
      <c r="J1049" t="s">
        <v>109</v>
      </c>
      <c r="K1049" t="s">
        <v>42</v>
      </c>
      <c r="L1049" t="s">
        <v>1048</v>
      </c>
      <c r="N1049" t="s">
        <v>1049</v>
      </c>
      <c r="Q1049">
        <v>31497</v>
      </c>
      <c r="R1049" t="s">
        <v>95</v>
      </c>
      <c r="S1049" t="s">
        <v>1059</v>
      </c>
      <c r="T1049">
        <v>29</v>
      </c>
      <c r="W1049" t="s">
        <v>1060</v>
      </c>
      <c r="X1049">
        <v>820303</v>
      </c>
      <c r="Y1049" t="s">
        <v>1052</v>
      </c>
      <c r="Z1049" t="e">
        <f ca="1">- cleaned cartridge Bays, plunger Rods _xludf.and I-CORE
- generated reports</f>
        <v>#NAME?</v>
      </c>
      <c r="AA1049" t="s">
        <v>820</v>
      </c>
      <c r="AB1049" t="s">
        <v>7922</v>
      </c>
      <c r="AG1049" t="s">
        <v>7923</v>
      </c>
      <c r="AH1049" t="s">
        <v>3393</v>
      </c>
      <c r="AI1049" t="s">
        <v>7924</v>
      </c>
    </row>
    <row r="1050" spans="2:35" ht="345">
      <c r="B1050" s="1">
        <v>45922</v>
      </c>
      <c r="C1050" s="1">
        <v>45888</v>
      </c>
      <c r="D1050" t="s">
        <v>1065</v>
      </c>
      <c r="E1050" t="s">
        <v>1066</v>
      </c>
      <c r="F1050">
        <v>1</v>
      </c>
      <c r="G1050" t="s">
        <v>1046</v>
      </c>
      <c r="H1050" t="s">
        <v>1047</v>
      </c>
      <c r="I1050" t="s">
        <v>40</v>
      </c>
      <c r="J1050" t="s">
        <v>79</v>
      </c>
      <c r="K1050" t="s">
        <v>42</v>
      </c>
      <c r="L1050" t="s">
        <v>1048</v>
      </c>
      <c r="N1050" t="s">
        <v>1049</v>
      </c>
      <c r="Q1050">
        <v>31496</v>
      </c>
      <c r="R1050" t="s">
        <v>119</v>
      </c>
      <c r="S1050" t="s">
        <v>1067</v>
      </c>
      <c r="T1050">
        <v>25</v>
      </c>
      <c r="V1050" s="1">
        <v>45883</v>
      </c>
      <c r="W1050" t="s">
        <v>1051</v>
      </c>
      <c r="X1050">
        <v>838284</v>
      </c>
      <c r="Y1050" t="s">
        <v>1924</v>
      </c>
      <c r="Z1050" s="2" t="s">
        <v>7925</v>
      </c>
      <c r="AA1050" t="s">
        <v>1926</v>
      </c>
      <c r="AB1050" t="s">
        <v>1428</v>
      </c>
      <c r="AC1050" t="s">
        <v>7926</v>
      </c>
      <c r="AD1050" t="s">
        <v>7927</v>
      </c>
      <c r="AE1050" t="s">
        <v>7928</v>
      </c>
      <c r="AG1050" t="s">
        <v>7929</v>
      </c>
      <c r="AH1050" t="s">
        <v>1069</v>
      </c>
      <c r="AI1050" t="s">
        <v>7930</v>
      </c>
    </row>
    <row r="1051" spans="2:35" ht="165">
      <c r="B1051" s="1">
        <v>45922</v>
      </c>
      <c r="C1051" s="1">
        <v>45918</v>
      </c>
      <c r="D1051" t="s">
        <v>6943</v>
      </c>
      <c r="E1051" t="s">
        <v>6944</v>
      </c>
      <c r="F1051">
        <v>5</v>
      </c>
      <c r="G1051" t="s">
        <v>5795</v>
      </c>
      <c r="H1051" t="s">
        <v>39</v>
      </c>
      <c r="I1051" t="s">
        <v>94</v>
      </c>
      <c r="J1051" s="2" t="s">
        <v>190</v>
      </c>
      <c r="K1051" t="s">
        <v>42</v>
      </c>
      <c r="L1051" t="s">
        <v>761</v>
      </c>
      <c r="N1051" t="s">
        <v>762</v>
      </c>
      <c r="Q1051">
        <v>31495</v>
      </c>
      <c r="R1051" t="s">
        <v>119</v>
      </c>
      <c r="S1051" t="s">
        <v>5796</v>
      </c>
      <c r="T1051">
        <v>27</v>
      </c>
      <c r="U1051" s="2" t="s">
        <v>7931</v>
      </c>
      <c r="W1051" t="s">
        <v>765</v>
      </c>
      <c r="X1051">
        <v>838576</v>
      </c>
      <c r="Y1051" s="2" t="s">
        <v>7932</v>
      </c>
      <c r="Z1051" s="2" t="s">
        <v>7933</v>
      </c>
      <c r="AA1051" s="2" t="s">
        <v>7934</v>
      </c>
      <c r="AB1051" s="2" t="s">
        <v>7935</v>
      </c>
      <c r="AC1051" t="s">
        <v>7936</v>
      </c>
      <c r="AG1051" t="s">
        <v>7937</v>
      </c>
      <c r="AH1051" t="s">
        <v>5805</v>
      </c>
      <c r="AI1051" t="s">
        <v>7938</v>
      </c>
    </row>
    <row r="1052" spans="2:35" ht="120">
      <c r="B1052" s="1">
        <v>45922</v>
      </c>
      <c r="C1052" s="1">
        <v>45918</v>
      </c>
      <c r="D1052" t="s">
        <v>7939</v>
      </c>
      <c r="E1052" t="s">
        <v>7940</v>
      </c>
      <c r="F1052">
        <v>5</v>
      </c>
      <c r="G1052" t="s">
        <v>5795</v>
      </c>
      <c r="H1052" t="s">
        <v>39</v>
      </c>
      <c r="I1052" t="s">
        <v>94</v>
      </c>
      <c r="J1052" t="s">
        <v>109</v>
      </c>
      <c r="K1052" t="s">
        <v>42</v>
      </c>
      <c r="L1052" t="s">
        <v>761</v>
      </c>
      <c r="N1052" t="s">
        <v>762</v>
      </c>
      <c r="Q1052">
        <v>31494</v>
      </c>
      <c r="R1052" t="s">
        <v>119</v>
      </c>
      <c r="S1052" t="s">
        <v>7941</v>
      </c>
      <c r="T1052">
        <v>25</v>
      </c>
      <c r="U1052" s="2" t="s">
        <v>7942</v>
      </c>
      <c r="W1052" t="s">
        <v>765</v>
      </c>
      <c r="X1052">
        <v>838207</v>
      </c>
      <c r="Y1052" t="s">
        <v>818</v>
      </c>
      <c r="Z1052" s="2" t="s">
        <v>4466</v>
      </c>
      <c r="AA1052" t="s">
        <v>820</v>
      </c>
      <c r="AB1052" s="2" t="s">
        <v>2996</v>
      </c>
      <c r="AG1052" t="s">
        <v>7943</v>
      </c>
      <c r="AH1052" t="s">
        <v>7944</v>
      </c>
      <c r="AI1052" t="s">
        <v>7945</v>
      </c>
    </row>
    <row r="1053" spans="2:35" ht="409.5">
      <c r="B1053" s="1">
        <v>45922</v>
      </c>
      <c r="C1053" s="1">
        <v>45916</v>
      </c>
      <c r="D1053" t="s">
        <v>4118</v>
      </c>
      <c r="E1053" t="s">
        <v>7946</v>
      </c>
      <c r="F1053">
        <v>5</v>
      </c>
      <c r="G1053" t="s">
        <v>759</v>
      </c>
      <c r="H1053" t="s">
        <v>39</v>
      </c>
      <c r="I1053" t="s">
        <v>94</v>
      </c>
      <c r="J1053" t="s">
        <v>109</v>
      </c>
      <c r="K1053" t="s">
        <v>42</v>
      </c>
      <c r="L1053" t="s">
        <v>761</v>
      </c>
      <c r="N1053" t="s">
        <v>762</v>
      </c>
      <c r="Q1053">
        <v>31493</v>
      </c>
      <c r="R1053" t="s">
        <v>95</v>
      </c>
      <c r="S1053" t="s">
        <v>6291</v>
      </c>
      <c r="T1053">
        <v>26</v>
      </c>
      <c r="U1053" s="2" t="s">
        <v>7947</v>
      </c>
      <c r="W1053" t="s">
        <v>817</v>
      </c>
      <c r="X1053">
        <v>110017942</v>
      </c>
      <c r="Y1053" t="s">
        <v>818</v>
      </c>
      <c r="Z1053" s="2" t="s">
        <v>7948</v>
      </c>
      <c r="AA1053" t="s">
        <v>820</v>
      </c>
      <c r="AB1053" s="2" t="s">
        <v>2996</v>
      </c>
      <c r="AG1053" t="s">
        <v>7949</v>
      </c>
      <c r="AH1053" t="s">
        <v>6295</v>
      </c>
      <c r="AI1053" t="s">
        <v>7950</v>
      </c>
    </row>
    <row r="1054" spans="2:35" ht="105">
      <c r="B1054" s="1">
        <v>45922</v>
      </c>
      <c r="C1054" s="1">
        <v>45922</v>
      </c>
      <c r="D1054" t="s">
        <v>7951</v>
      </c>
      <c r="E1054" t="s">
        <v>7952</v>
      </c>
      <c r="F1054">
        <v>6</v>
      </c>
      <c r="G1054" t="s">
        <v>5216</v>
      </c>
      <c r="H1054" t="s">
        <v>258</v>
      </c>
      <c r="I1054" t="s">
        <v>40</v>
      </c>
      <c r="J1054" t="s">
        <v>109</v>
      </c>
      <c r="K1054" t="s">
        <v>42</v>
      </c>
      <c r="L1054" t="s">
        <v>259</v>
      </c>
      <c r="N1054" t="s">
        <v>260</v>
      </c>
      <c r="Q1054">
        <v>31492</v>
      </c>
      <c r="R1054" t="s">
        <v>119</v>
      </c>
      <c r="S1054" t="s">
        <v>7953</v>
      </c>
      <c r="T1054">
        <v>27</v>
      </c>
      <c r="U1054" s="2" t="s">
        <v>3200</v>
      </c>
      <c r="W1054" t="s">
        <v>84</v>
      </c>
      <c r="X1054">
        <v>838291</v>
      </c>
      <c r="Y1054" t="e">
        <f ca="1">- Preventive Maintenance
- performed functionality test</f>
        <v>#NAME?</v>
      </c>
      <c r="Z1054" t="s">
        <v>263</v>
      </c>
      <c r="AA1054" t="e">
        <f ca="1">- Preventive Maintenance</f>
        <v>#NAME?</v>
      </c>
      <c r="AB1054" t="s">
        <v>70</v>
      </c>
      <c r="AG1054" t="s">
        <v>7954</v>
      </c>
      <c r="AH1054" t="s">
        <v>7955</v>
      </c>
      <c r="AI1054" t="s">
        <v>7956</v>
      </c>
    </row>
    <row r="1055" spans="2:35" ht="120">
      <c r="B1055" s="1">
        <v>45922</v>
      </c>
      <c r="C1055" s="1">
        <v>45915</v>
      </c>
      <c r="D1055" t="s">
        <v>4125</v>
      </c>
      <c r="E1055" t="s">
        <v>4126</v>
      </c>
      <c r="F1055">
        <v>5</v>
      </c>
      <c r="G1055" t="s">
        <v>759</v>
      </c>
      <c r="H1055" t="s">
        <v>39</v>
      </c>
      <c r="I1055" t="s">
        <v>40</v>
      </c>
      <c r="J1055" t="s">
        <v>7957</v>
      </c>
      <c r="K1055" t="s">
        <v>42</v>
      </c>
      <c r="L1055" t="s">
        <v>761</v>
      </c>
      <c r="N1055" t="s">
        <v>762</v>
      </c>
      <c r="Q1055">
        <v>31491</v>
      </c>
      <c r="R1055" t="s">
        <v>322</v>
      </c>
      <c r="S1055" t="s">
        <v>4127</v>
      </c>
      <c r="T1055">
        <v>23</v>
      </c>
      <c r="U1055" s="2" t="s">
        <v>7958</v>
      </c>
      <c r="W1055" t="s">
        <v>817</v>
      </c>
      <c r="X1055">
        <v>110026767</v>
      </c>
      <c r="Y1055" t="s">
        <v>7959</v>
      </c>
      <c r="Z1055" t="s">
        <v>7960</v>
      </c>
      <c r="AA1055" t="s">
        <v>7961</v>
      </c>
      <c r="AB1055" t="s">
        <v>70</v>
      </c>
      <c r="AG1055" t="s">
        <v>7962</v>
      </c>
      <c r="AH1055" t="s">
        <v>7719</v>
      </c>
      <c r="AI1055" t="s">
        <v>7963</v>
      </c>
    </row>
    <row r="1056" spans="2:35">
      <c r="B1056" s="1">
        <v>45922</v>
      </c>
      <c r="C1056" s="1">
        <v>45919</v>
      </c>
      <c r="D1056" t="s">
        <v>4523</v>
      </c>
      <c r="E1056" t="s">
        <v>3011</v>
      </c>
      <c r="F1056">
        <v>1</v>
      </c>
      <c r="G1056" t="s">
        <v>1046</v>
      </c>
      <c r="H1056" t="s">
        <v>1047</v>
      </c>
      <c r="I1056" t="s">
        <v>40</v>
      </c>
      <c r="J1056" t="s">
        <v>109</v>
      </c>
      <c r="K1056" t="s">
        <v>42</v>
      </c>
      <c r="L1056" t="s">
        <v>1048</v>
      </c>
      <c r="N1056" t="s">
        <v>1049</v>
      </c>
      <c r="Q1056">
        <v>31490</v>
      </c>
      <c r="R1056" t="s">
        <v>119</v>
      </c>
      <c r="S1056" t="s">
        <v>7964</v>
      </c>
      <c r="T1056">
        <v>27</v>
      </c>
      <c r="W1056" t="s">
        <v>1051</v>
      </c>
      <c r="X1056">
        <v>838286</v>
      </c>
      <c r="Y1056" t="s">
        <v>1052</v>
      </c>
      <c r="Z1056" t="e">
        <f ca="1">- cleaned cartridge Bays, plunger Rods _xludf.and I-CORE
- generated reports</f>
        <v>#NAME?</v>
      </c>
      <c r="AA1056" t="s">
        <v>820</v>
      </c>
      <c r="AB1056" t="e">
        <f ca="1">- Unit is Fully operational</f>
        <v>#NAME?</v>
      </c>
      <c r="AG1056" t="s">
        <v>7965</v>
      </c>
      <c r="AH1056" t="s">
        <v>7966</v>
      </c>
      <c r="AI1056" t="s">
        <v>7967</v>
      </c>
    </row>
    <row r="1057" spans="2:35">
      <c r="B1057" s="1">
        <v>45922</v>
      </c>
      <c r="C1057" s="1">
        <v>45916</v>
      </c>
      <c r="D1057" t="s">
        <v>3738</v>
      </c>
      <c r="E1057" t="s">
        <v>3738</v>
      </c>
      <c r="F1057">
        <v>1</v>
      </c>
      <c r="G1057" t="s">
        <v>1046</v>
      </c>
      <c r="H1057" t="s">
        <v>39</v>
      </c>
      <c r="I1057" t="s">
        <v>40</v>
      </c>
      <c r="J1057" t="s">
        <v>525</v>
      </c>
      <c r="K1057" t="s">
        <v>42</v>
      </c>
      <c r="L1057" t="s">
        <v>1048</v>
      </c>
      <c r="N1057" t="s">
        <v>1049</v>
      </c>
      <c r="Q1057">
        <v>31489</v>
      </c>
      <c r="R1057" t="s">
        <v>119</v>
      </c>
      <c r="S1057" t="s">
        <v>3740</v>
      </c>
      <c r="T1057">
        <v>29</v>
      </c>
      <c r="W1057" t="s">
        <v>1051</v>
      </c>
      <c r="X1057">
        <v>838438</v>
      </c>
      <c r="Y1057" t="s">
        <v>7968</v>
      </c>
      <c r="Z1057" t="e">
        <f ca="1">- Reseated RAM stick
- replaced BIOS battery
- checked ALL _xludf.Power Connections
- cleaned cartridge Bays, plunger Rods _xludf.and I-CORE
- generated reports</f>
        <v>#NAME?</v>
      </c>
      <c r="AA1057" t="s">
        <v>7969</v>
      </c>
      <c r="AB1057" t="e">
        <f ca="1">- Unit is Fully operational</f>
        <v>#NAME?</v>
      </c>
      <c r="AG1057" t="s">
        <v>7970</v>
      </c>
      <c r="AH1057" t="s">
        <v>3742</v>
      </c>
      <c r="AI1057" t="s">
        <v>7971</v>
      </c>
    </row>
    <row r="1058" spans="2:35">
      <c r="B1058" s="1">
        <v>45922</v>
      </c>
      <c r="C1058" s="1">
        <v>45912</v>
      </c>
      <c r="D1058" t="s">
        <v>3732</v>
      </c>
      <c r="E1058" t="s">
        <v>3733</v>
      </c>
      <c r="F1058">
        <v>1</v>
      </c>
      <c r="G1058" t="s">
        <v>1046</v>
      </c>
      <c r="H1058" t="s">
        <v>1047</v>
      </c>
      <c r="I1058" t="s">
        <v>40</v>
      </c>
      <c r="J1058" t="s">
        <v>525</v>
      </c>
      <c r="K1058" t="s">
        <v>42</v>
      </c>
      <c r="L1058" t="s">
        <v>1048</v>
      </c>
      <c r="N1058" t="s">
        <v>1049</v>
      </c>
      <c r="Q1058">
        <v>31488</v>
      </c>
      <c r="R1058" t="s">
        <v>119</v>
      </c>
      <c r="S1058" t="s">
        <v>3734</v>
      </c>
      <c r="T1058">
        <v>24</v>
      </c>
      <c r="W1058" t="s">
        <v>1051</v>
      </c>
      <c r="X1058">
        <v>838473</v>
      </c>
      <c r="Y1058" t="s">
        <v>7972</v>
      </c>
      <c r="Z1058" t="e">
        <f ca="1">- cleaned cartridge Bays, plunger Rods _xludf.and I-CORE
- Charged UPS unloaded
- Tested UPS Backup _xludf.Power
- generated reports</f>
        <v>#NAME?</v>
      </c>
      <c r="AA1058" t="s">
        <v>7973</v>
      </c>
      <c r="AB1058" t="s">
        <v>7974</v>
      </c>
      <c r="AG1058" t="s">
        <v>7975</v>
      </c>
      <c r="AH1058" t="s">
        <v>7274</v>
      </c>
      <c r="AI1058" t="s">
        <v>7976</v>
      </c>
    </row>
    <row r="1059" spans="2:35">
      <c r="B1059" s="1">
        <v>45922</v>
      </c>
      <c r="C1059" s="1">
        <v>45911</v>
      </c>
      <c r="D1059" t="s">
        <v>1057</v>
      </c>
      <c r="E1059" t="s">
        <v>1058</v>
      </c>
      <c r="F1059">
        <v>1</v>
      </c>
      <c r="G1059" t="s">
        <v>1046</v>
      </c>
      <c r="H1059" t="s">
        <v>39</v>
      </c>
      <c r="I1059" t="s">
        <v>40</v>
      </c>
      <c r="J1059" t="s">
        <v>109</v>
      </c>
      <c r="K1059" t="s">
        <v>42</v>
      </c>
      <c r="L1059" t="s">
        <v>1048</v>
      </c>
      <c r="N1059" t="s">
        <v>1049</v>
      </c>
      <c r="Q1059">
        <v>31487</v>
      </c>
      <c r="R1059" t="s">
        <v>95</v>
      </c>
      <c r="S1059" t="s">
        <v>1059</v>
      </c>
      <c r="T1059">
        <v>30</v>
      </c>
      <c r="W1059" t="s">
        <v>1060</v>
      </c>
      <c r="X1059">
        <v>820303</v>
      </c>
      <c r="Y1059" t="s">
        <v>1052</v>
      </c>
      <c r="Z1059" t="e">
        <f ca="1">- cleaned cartridge Bays, plunger Rods _xludf.and I-CORE
- generated reports</f>
        <v>#NAME?</v>
      </c>
      <c r="AA1059" t="s">
        <v>820</v>
      </c>
      <c r="AB1059" t="s">
        <v>7977</v>
      </c>
      <c r="AG1059" t="s">
        <v>7978</v>
      </c>
      <c r="AH1059" t="s">
        <v>3393</v>
      </c>
      <c r="AI1059" t="s">
        <v>7979</v>
      </c>
    </row>
    <row r="1060" spans="2:35">
      <c r="B1060" s="1">
        <v>45922</v>
      </c>
      <c r="C1060" s="1">
        <v>45904</v>
      </c>
      <c r="D1060" t="s">
        <v>4528</v>
      </c>
      <c r="E1060" t="s">
        <v>4529</v>
      </c>
      <c r="F1060">
        <v>1</v>
      </c>
      <c r="G1060" t="s">
        <v>1046</v>
      </c>
      <c r="H1060" t="s">
        <v>1047</v>
      </c>
      <c r="I1060" t="s">
        <v>40</v>
      </c>
      <c r="J1060" t="s">
        <v>109</v>
      </c>
      <c r="K1060" t="s">
        <v>42</v>
      </c>
      <c r="L1060" t="s">
        <v>1048</v>
      </c>
      <c r="N1060" t="s">
        <v>1049</v>
      </c>
      <c r="Q1060">
        <v>31486</v>
      </c>
      <c r="R1060" t="s">
        <v>119</v>
      </c>
      <c r="S1060" t="s">
        <v>4530</v>
      </c>
      <c r="T1060">
        <v>30</v>
      </c>
      <c r="W1060" t="s">
        <v>1051</v>
      </c>
      <c r="X1060">
        <v>838472</v>
      </c>
      <c r="Y1060" t="s">
        <v>1052</v>
      </c>
      <c r="Z1060" t="e">
        <f ca="1">- cleaned cartridge Bays, plunger Rods _xludf.and I-CORE
- generated reports</f>
        <v>#NAME?</v>
      </c>
      <c r="AA1060" t="s">
        <v>820</v>
      </c>
      <c r="AB1060" t="s">
        <v>1428</v>
      </c>
      <c r="AG1060" t="s">
        <v>7980</v>
      </c>
      <c r="AH1060" t="s">
        <v>4532</v>
      </c>
      <c r="AI1060" t="s">
        <v>7981</v>
      </c>
    </row>
    <row r="1061" spans="2:35">
      <c r="B1061" s="1">
        <v>45922</v>
      </c>
      <c r="C1061" s="1">
        <v>45904</v>
      </c>
      <c r="D1061" t="s">
        <v>3732</v>
      </c>
      <c r="E1061" t="s">
        <v>3733</v>
      </c>
      <c r="F1061">
        <v>1</v>
      </c>
      <c r="G1061" t="s">
        <v>1046</v>
      </c>
      <c r="H1061" t="s">
        <v>1047</v>
      </c>
      <c r="I1061" t="s">
        <v>40</v>
      </c>
      <c r="J1061" t="s">
        <v>109</v>
      </c>
      <c r="K1061" t="s">
        <v>42</v>
      </c>
      <c r="L1061" t="s">
        <v>1048</v>
      </c>
      <c r="N1061" t="s">
        <v>1049</v>
      </c>
      <c r="Q1061">
        <v>31485</v>
      </c>
      <c r="R1061" t="s">
        <v>119</v>
      </c>
      <c r="S1061" t="s">
        <v>3734</v>
      </c>
      <c r="T1061">
        <v>26</v>
      </c>
      <c r="W1061" t="s">
        <v>1051</v>
      </c>
      <c r="X1061">
        <v>838473</v>
      </c>
      <c r="Y1061" t="s">
        <v>1052</v>
      </c>
      <c r="Z1061" t="e">
        <f ca="1">- cleaned cartridge Bays,plunger Rods _xludf.and I-CORE
- generated reports</f>
        <v>#NAME?</v>
      </c>
      <c r="AA1061" t="s">
        <v>820</v>
      </c>
      <c r="AB1061" t="s">
        <v>1428</v>
      </c>
      <c r="AG1061" t="s">
        <v>7982</v>
      </c>
      <c r="AH1061" t="s">
        <v>3736</v>
      </c>
      <c r="AI1061" t="s">
        <v>7983</v>
      </c>
    </row>
    <row r="1062" spans="2:35">
      <c r="B1062" s="1">
        <v>45922</v>
      </c>
      <c r="C1062" s="1">
        <v>45903</v>
      </c>
      <c r="D1062" t="s">
        <v>1057</v>
      </c>
      <c r="E1062" t="s">
        <v>1058</v>
      </c>
      <c r="F1062">
        <v>1</v>
      </c>
      <c r="G1062" t="s">
        <v>1046</v>
      </c>
      <c r="H1062" t="s">
        <v>39</v>
      </c>
      <c r="I1062" t="s">
        <v>40</v>
      </c>
      <c r="J1062" t="s">
        <v>109</v>
      </c>
      <c r="K1062" t="s">
        <v>42</v>
      </c>
      <c r="L1062" t="s">
        <v>1048</v>
      </c>
      <c r="N1062" t="s">
        <v>1049</v>
      </c>
      <c r="Q1062">
        <v>31484</v>
      </c>
      <c r="R1062" t="s">
        <v>95</v>
      </c>
      <c r="S1062" t="s">
        <v>1059</v>
      </c>
      <c r="T1062">
        <v>29</v>
      </c>
      <c r="W1062" t="s">
        <v>1051</v>
      </c>
      <c r="X1062">
        <v>820303</v>
      </c>
      <c r="Y1062" t="s">
        <v>7984</v>
      </c>
      <c r="Z1062" t="e">
        <f ca="1">- cleaned cartridge Bays, plunger Rods _xludf.and I-CORE
- generated reports</f>
        <v>#NAME?</v>
      </c>
      <c r="AA1062" t="s">
        <v>7985</v>
      </c>
      <c r="AB1062" t="s">
        <v>7977</v>
      </c>
      <c r="AG1062" t="s">
        <v>7986</v>
      </c>
      <c r="AH1062" t="s">
        <v>3393</v>
      </c>
      <c r="AI1062" t="s">
        <v>7987</v>
      </c>
    </row>
    <row r="1063" spans="2:35">
      <c r="B1063" s="1">
        <v>45922</v>
      </c>
      <c r="C1063" s="1">
        <v>45898</v>
      </c>
      <c r="D1063" t="s">
        <v>4953</v>
      </c>
      <c r="E1063" t="s">
        <v>4954</v>
      </c>
      <c r="F1063">
        <v>1</v>
      </c>
      <c r="G1063" t="s">
        <v>1046</v>
      </c>
      <c r="H1063" t="s">
        <v>39</v>
      </c>
      <c r="I1063" t="s">
        <v>40</v>
      </c>
      <c r="J1063" t="s">
        <v>109</v>
      </c>
      <c r="K1063" t="s">
        <v>42</v>
      </c>
      <c r="L1063" t="s">
        <v>1048</v>
      </c>
      <c r="N1063" t="s">
        <v>1049</v>
      </c>
      <c r="Q1063">
        <v>31483</v>
      </c>
      <c r="R1063" t="s">
        <v>119</v>
      </c>
      <c r="S1063" t="s">
        <v>4955</v>
      </c>
      <c r="T1063">
        <v>26</v>
      </c>
      <c r="W1063" t="s">
        <v>1051</v>
      </c>
      <c r="X1063">
        <v>838437</v>
      </c>
      <c r="Y1063" t="s">
        <v>1052</v>
      </c>
      <c r="Z1063" t="e">
        <f ca="1">- cleaned cartridge Bays, plunger Rods _xludf.and I-CORE
- generated reports</f>
        <v>#NAME?</v>
      </c>
      <c r="AA1063" t="s">
        <v>820</v>
      </c>
      <c r="AB1063" t="s">
        <v>1428</v>
      </c>
      <c r="AG1063" t="s">
        <v>7988</v>
      </c>
      <c r="AH1063" t="s">
        <v>4958</v>
      </c>
      <c r="AI1063" t="s">
        <v>7989</v>
      </c>
    </row>
    <row r="1064" spans="2:35">
      <c r="B1064" s="1">
        <v>45922</v>
      </c>
      <c r="C1064" s="1">
        <v>45897</v>
      </c>
      <c r="D1064" t="s">
        <v>4511</v>
      </c>
      <c r="E1064" t="s">
        <v>4512</v>
      </c>
      <c r="F1064">
        <v>1</v>
      </c>
      <c r="G1064" t="s">
        <v>1046</v>
      </c>
      <c r="H1064" t="s">
        <v>1047</v>
      </c>
      <c r="I1064" t="s">
        <v>40</v>
      </c>
      <c r="J1064" t="s">
        <v>109</v>
      </c>
      <c r="K1064" t="s">
        <v>42</v>
      </c>
      <c r="L1064" t="s">
        <v>1048</v>
      </c>
      <c r="N1064" t="s">
        <v>1049</v>
      </c>
      <c r="Q1064">
        <v>31482</v>
      </c>
      <c r="R1064" t="s">
        <v>119</v>
      </c>
      <c r="S1064" t="s">
        <v>4513</v>
      </c>
      <c r="T1064">
        <v>28</v>
      </c>
      <c r="W1064" t="s">
        <v>1051</v>
      </c>
      <c r="X1064">
        <v>838288</v>
      </c>
      <c r="Y1064" t="s">
        <v>1052</v>
      </c>
      <c r="Z1064" t="e">
        <f ca="1">- cleaned cartridge Bays, plunger Rods _xludf.and I-CORE
- generated reports</f>
        <v>#NAME?</v>
      </c>
      <c r="AA1064" t="s">
        <v>820</v>
      </c>
      <c r="AB1064" t="s">
        <v>1428</v>
      </c>
      <c r="AG1064" t="s">
        <v>7990</v>
      </c>
      <c r="AH1064" t="s">
        <v>4515</v>
      </c>
      <c r="AI1064" t="s">
        <v>7991</v>
      </c>
    </row>
    <row r="1065" spans="2:35">
      <c r="B1065" s="1">
        <v>45922</v>
      </c>
      <c r="C1065" s="1">
        <v>45897</v>
      </c>
      <c r="D1065" t="s">
        <v>4517</v>
      </c>
      <c r="E1065" t="s">
        <v>4518</v>
      </c>
      <c r="F1065">
        <v>1</v>
      </c>
      <c r="G1065" t="s">
        <v>1046</v>
      </c>
      <c r="H1065" t="s">
        <v>1047</v>
      </c>
      <c r="I1065" t="s">
        <v>40</v>
      </c>
      <c r="J1065" t="s">
        <v>109</v>
      </c>
      <c r="K1065" t="s">
        <v>42</v>
      </c>
      <c r="L1065" t="s">
        <v>1048</v>
      </c>
      <c r="N1065" t="s">
        <v>1049</v>
      </c>
      <c r="Q1065">
        <v>31481</v>
      </c>
      <c r="R1065" t="s">
        <v>119</v>
      </c>
      <c r="S1065" t="s">
        <v>7992</v>
      </c>
      <c r="T1065">
        <v>29</v>
      </c>
      <c r="W1065" t="s">
        <v>1051</v>
      </c>
      <c r="X1065">
        <v>838467</v>
      </c>
      <c r="Y1065" t="s">
        <v>1052</v>
      </c>
      <c r="Z1065" t="e">
        <f ca="1">- cleaned cartridge Bays, plunger Rods _xludf.and I-CORE
- replaced Damaged _xludf.filter
- generated reports</f>
        <v>#NAME?</v>
      </c>
      <c r="AA1065" t="s">
        <v>820</v>
      </c>
      <c r="AB1065" t="s">
        <v>1428</v>
      </c>
      <c r="AG1065" t="s">
        <v>7993</v>
      </c>
      <c r="AH1065" t="s">
        <v>7994</v>
      </c>
      <c r="AI1065" t="s">
        <v>7995</v>
      </c>
    </row>
    <row r="1066" spans="2:35" ht="360">
      <c r="B1066" s="1">
        <v>45922</v>
      </c>
      <c r="C1066" s="1">
        <v>45896</v>
      </c>
      <c r="D1066" t="s">
        <v>4503</v>
      </c>
      <c r="E1066" t="s">
        <v>4504</v>
      </c>
      <c r="F1066">
        <v>1</v>
      </c>
      <c r="G1066" t="s">
        <v>1046</v>
      </c>
      <c r="H1066" t="s">
        <v>1047</v>
      </c>
      <c r="I1066" t="s">
        <v>40</v>
      </c>
      <c r="J1066" t="s">
        <v>79</v>
      </c>
      <c r="K1066" t="s">
        <v>42</v>
      </c>
      <c r="L1066" t="s">
        <v>1048</v>
      </c>
      <c r="N1066" t="s">
        <v>1049</v>
      </c>
      <c r="Q1066">
        <v>31480</v>
      </c>
      <c r="R1066" t="s">
        <v>119</v>
      </c>
      <c r="S1066" t="s">
        <v>4505</v>
      </c>
      <c r="T1066">
        <v>28</v>
      </c>
      <c r="V1066" s="1">
        <v>45882</v>
      </c>
      <c r="W1066" t="s">
        <v>1051</v>
      </c>
      <c r="X1066">
        <v>838516</v>
      </c>
      <c r="Y1066" t="e">
        <f ca="1">- _xludf.For UPS Replacement</f>
        <v>#NAME?</v>
      </c>
      <c r="Z1066" s="2" t="s">
        <v>7996</v>
      </c>
      <c r="AA1066" t="s">
        <v>7997</v>
      </c>
      <c r="AB1066" t="s">
        <v>1428</v>
      </c>
      <c r="AD1066" t="s">
        <v>7998</v>
      </c>
      <c r="AE1066" t="s">
        <v>7999</v>
      </c>
      <c r="AG1066" t="s">
        <v>8000</v>
      </c>
      <c r="AH1066" t="s">
        <v>4507</v>
      </c>
      <c r="AI1066" t="s">
        <v>8001</v>
      </c>
    </row>
    <row r="1067" spans="2:35" ht="315">
      <c r="B1067" s="1">
        <v>45922</v>
      </c>
      <c r="C1067" s="1">
        <v>45918</v>
      </c>
      <c r="D1067" t="s">
        <v>1099</v>
      </c>
      <c r="E1067" t="s">
        <v>8002</v>
      </c>
      <c r="F1067" t="s">
        <v>148</v>
      </c>
      <c r="G1067" t="s">
        <v>406</v>
      </c>
      <c r="H1067" t="s">
        <v>150</v>
      </c>
      <c r="I1067" t="s">
        <v>40</v>
      </c>
      <c r="J1067" t="s">
        <v>321</v>
      </c>
      <c r="K1067" t="s">
        <v>408</v>
      </c>
      <c r="L1067" t="s">
        <v>43</v>
      </c>
      <c r="N1067" t="s">
        <v>44</v>
      </c>
      <c r="O1067" t="s">
        <v>1091</v>
      </c>
      <c r="P1067" t="s">
        <v>5287</v>
      </c>
      <c r="Q1067">
        <v>31479</v>
      </c>
      <c r="R1067" t="s">
        <v>95</v>
      </c>
      <c r="S1067" t="s">
        <v>8003</v>
      </c>
      <c r="T1067">
        <v>24</v>
      </c>
      <c r="W1067" t="s">
        <v>6647</v>
      </c>
      <c r="X1067">
        <v>47020656</v>
      </c>
      <c r="Y1067" t="s">
        <v>750</v>
      </c>
      <c r="Z1067" t="s">
        <v>8004</v>
      </c>
      <c r="AA1067" s="2" t="s">
        <v>8005</v>
      </c>
      <c r="AB1067" t="s">
        <v>88</v>
      </c>
      <c r="AG1067" t="s">
        <v>8006</v>
      </c>
      <c r="AH1067" t="s">
        <v>8007</v>
      </c>
      <c r="AI1067" t="s">
        <v>8008</v>
      </c>
    </row>
    <row r="1068" spans="2:35" ht="105">
      <c r="B1068" s="1">
        <v>45922</v>
      </c>
      <c r="C1068" s="1">
        <v>45922</v>
      </c>
      <c r="D1068" t="s">
        <v>5259</v>
      </c>
      <c r="E1068" t="s">
        <v>8009</v>
      </c>
      <c r="F1068">
        <v>6</v>
      </c>
      <c r="G1068" t="s">
        <v>5216</v>
      </c>
      <c r="H1068" t="s">
        <v>258</v>
      </c>
      <c r="I1068" t="s">
        <v>40</v>
      </c>
      <c r="J1068" s="2" t="s">
        <v>609</v>
      </c>
      <c r="K1068" t="s">
        <v>42</v>
      </c>
      <c r="L1068" t="s">
        <v>259</v>
      </c>
      <c r="N1068" t="s">
        <v>260</v>
      </c>
      <c r="Q1068">
        <v>31478</v>
      </c>
      <c r="R1068" t="s">
        <v>967</v>
      </c>
      <c r="S1068" t="s">
        <v>5261</v>
      </c>
      <c r="T1068">
        <v>29</v>
      </c>
      <c r="U1068" s="2" t="s">
        <v>8010</v>
      </c>
      <c r="V1068" s="1">
        <v>45922</v>
      </c>
      <c r="W1068" t="s">
        <v>8011</v>
      </c>
      <c r="X1068">
        <v>110023538</v>
      </c>
      <c r="Y1068" t="s">
        <v>263</v>
      </c>
      <c r="Z1068" t="e">
        <f ca="1">- Preventive Maintenance
- on Site assistance</f>
        <v>#NAME?</v>
      </c>
      <c r="AA1068" t="e">
        <f ca="1">- Onsite assistance
- Preventive Maintenance
- transfer GeneXpert machine to temporary LABORATORY DUE to renovation
- performed functionality test</f>
        <v>#NAME?</v>
      </c>
      <c r="AB1068" t="s">
        <v>70</v>
      </c>
      <c r="AG1068" t="s">
        <v>8012</v>
      </c>
      <c r="AH1068" t="s">
        <v>5263</v>
      </c>
      <c r="AI1068" t="s">
        <v>8013</v>
      </c>
    </row>
    <row r="1069" spans="2:35" ht="345">
      <c r="B1069" s="1">
        <v>45919</v>
      </c>
      <c r="C1069" s="1">
        <v>45919</v>
      </c>
      <c r="D1069" t="s">
        <v>5060</v>
      </c>
      <c r="E1069" t="s">
        <v>8014</v>
      </c>
      <c r="F1069">
        <v>3</v>
      </c>
      <c r="G1069" t="s">
        <v>284</v>
      </c>
      <c r="H1069" t="s">
        <v>8015</v>
      </c>
      <c r="I1069" t="s">
        <v>40</v>
      </c>
      <c r="J1069" s="2" t="s">
        <v>62</v>
      </c>
      <c r="K1069" t="s">
        <v>42</v>
      </c>
      <c r="L1069" t="s">
        <v>135</v>
      </c>
      <c r="N1069" t="s">
        <v>136</v>
      </c>
      <c r="Q1069">
        <v>31477</v>
      </c>
      <c r="R1069" t="s">
        <v>322</v>
      </c>
      <c r="S1069" t="s">
        <v>8016</v>
      </c>
      <c r="T1069">
        <v>26</v>
      </c>
      <c r="U1069" s="2" t="s">
        <v>8017</v>
      </c>
      <c r="V1069" s="1">
        <v>46152</v>
      </c>
      <c r="W1069" t="s">
        <v>3335</v>
      </c>
      <c r="X1069">
        <v>120003587</v>
      </c>
      <c r="Y1069" t="s">
        <v>67</v>
      </c>
      <c r="Z1069" s="2" t="s">
        <v>1752</v>
      </c>
      <c r="AA1069" s="2" t="s">
        <v>8018</v>
      </c>
      <c r="AB1069" t="s">
        <v>181</v>
      </c>
      <c r="AC1069" t="s">
        <v>8019</v>
      </c>
      <c r="AD1069" t="s">
        <v>8020</v>
      </c>
      <c r="AE1069" t="s">
        <v>5365</v>
      </c>
      <c r="AG1069" t="s">
        <v>8021</v>
      </c>
      <c r="AH1069" t="s">
        <v>8022</v>
      </c>
      <c r="AI1069" t="s">
        <v>8023</v>
      </c>
    </row>
    <row r="1070" spans="2:35" ht="165">
      <c r="B1070" s="1">
        <v>45919</v>
      </c>
      <c r="C1070" s="1">
        <v>45919</v>
      </c>
      <c r="D1070" t="s">
        <v>4482</v>
      </c>
      <c r="E1070" t="s">
        <v>8024</v>
      </c>
      <c r="F1070">
        <v>13</v>
      </c>
      <c r="G1070" t="s">
        <v>4484</v>
      </c>
      <c r="H1070" t="s">
        <v>61</v>
      </c>
      <c r="I1070" t="s">
        <v>40</v>
      </c>
      <c r="J1070" s="2" t="s">
        <v>62</v>
      </c>
      <c r="K1070" t="s">
        <v>42</v>
      </c>
      <c r="L1070" t="s">
        <v>933</v>
      </c>
      <c r="N1070" t="s">
        <v>934</v>
      </c>
      <c r="Q1070">
        <v>31476</v>
      </c>
      <c r="R1070" t="s">
        <v>119</v>
      </c>
      <c r="S1070" t="s">
        <v>8025</v>
      </c>
      <c r="T1070">
        <v>22</v>
      </c>
      <c r="W1070" t="s">
        <v>2394</v>
      </c>
      <c r="X1070">
        <v>831292</v>
      </c>
      <c r="Y1070" t="s">
        <v>8026</v>
      </c>
      <c r="Z1070" t="s">
        <v>301</v>
      </c>
      <c r="AA1070" s="2" t="s">
        <v>8027</v>
      </c>
      <c r="AB1070" t="s">
        <v>8028</v>
      </c>
      <c r="AG1070" t="s">
        <v>8029</v>
      </c>
      <c r="AH1070" t="s">
        <v>8030</v>
      </c>
      <c r="AI1070" t="s">
        <v>8031</v>
      </c>
    </row>
    <row r="1071" spans="2:35" ht="165">
      <c r="B1071" s="1">
        <v>45919</v>
      </c>
      <c r="C1071" s="1">
        <v>45919</v>
      </c>
      <c r="D1071" t="s">
        <v>8032</v>
      </c>
      <c r="E1071" t="s">
        <v>582</v>
      </c>
      <c r="F1071" t="s">
        <v>148</v>
      </c>
      <c r="G1071" t="s">
        <v>447</v>
      </c>
      <c r="H1071" t="s">
        <v>39</v>
      </c>
      <c r="I1071" t="s">
        <v>40</v>
      </c>
      <c r="J1071" t="s">
        <v>79</v>
      </c>
      <c r="K1071" t="s">
        <v>42</v>
      </c>
      <c r="L1071" t="s">
        <v>175</v>
      </c>
      <c r="N1071" t="s">
        <v>176</v>
      </c>
      <c r="Q1071">
        <v>31475</v>
      </c>
      <c r="R1071" t="s">
        <v>322</v>
      </c>
      <c r="S1071" t="s">
        <v>8033</v>
      </c>
      <c r="T1071">
        <v>27</v>
      </c>
      <c r="V1071" s="1">
        <v>45910</v>
      </c>
      <c r="W1071" t="s">
        <v>373</v>
      </c>
      <c r="X1071">
        <v>110025174</v>
      </c>
      <c r="Y1071" t="s">
        <v>8034</v>
      </c>
      <c r="Z1071" t="s">
        <v>8035</v>
      </c>
      <c r="AA1071" s="2" t="s">
        <v>8036</v>
      </c>
      <c r="AB1071" s="2" t="s">
        <v>4965</v>
      </c>
      <c r="AD1071" s="2" t="s">
        <v>8037</v>
      </c>
      <c r="AE1071">
        <v>13328</v>
      </c>
      <c r="AG1071" t="s">
        <v>8038</v>
      </c>
      <c r="AH1071" t="s">
        <v>8039</v>
      </c>
      <c r="AI1071" t="s">
        <v>8040</v>
      </c>
    </row>
    <row r="1072" spans="2:35" ht="165">
      <c r="B1072" s="1">
        <v>45919</v>
      </c>
      <c r="C1072" s="1">
        <v>45919</v>
      </c>
      <c r="D1072" t="s">
        <v>2233</v>
      </c>
      <c r="E1072" t="s">
        <v>2234</v>
      </c>
      <c r="F1072">
        <v>7</v>
      </c>
      <c r="G1072" t="s">
        <v>432</v>
      </c>
      <c r="H1072" t="s">
        <v>258</v>
      </c>
      <c r="I1072" t="s">
        <v>40</v>
      </c>
      <c r="J1072" t="s">
        <v>8041</v>
      </c>
      <c r="K1072" t="s">
        <v>42</v>
      </c>
      <c r="L1072" t="s">
        <v>594</v>
      </c>
      <c r="N1072" t="s">
        <v>595</v>
      </c>
      <c r="Q1072">
        <v>31474</v>
      </c>
      <c r="R1072" t="s">
        <v>119</v>
      </c>
      <c r="S1072" t="s">
        <v>2235</v>
      </c>
      <c r="T1072">
        <v>23</v>
      </c>
      <c r="W1072" t="s">
        <v>6105</v>
      </c>
      <c r="X1072">
        <v>838231</v>
      </c>
      <c r="Y1072" t="s">
        <v>8042</v>
      </c>
      <c r="Z1072" s="2" t="s">
        <v>8043</v>
      </c>
      <c r="AA1072" t="s">
        <v>8042</v>
      </c>
      <c r="AB1072" t="s">
        <v>7288</v>
      </c>
      <c r="AG1072" t="s">
        <v>8044</v>
      </c>
      <c r="AH1072" t="s">
        <v>2241</v>
      </c>
      <c r="AI1072" t="s">
        <v>8045</v>
      </c>
    </row>
    <row r="1073" spans="2:35" ht="150">
      <c r="B1073" s="1">
        <v>45919</v>
      </c>
      <c r="C1073" s="1">
        <v>45918</v>
      </c>
      <c r="D1073" t="s">
        <v>2233</v>
      </c>
      <c r="E1073" t="s">
        <v>2234</v>
      </c>
      <c r="F1073">
        <v>7</v>
      </c>
      <c r="G1073" t="s">
        <v>432</v>
      </c>
      <c r="H1073" t="s">
        <v>258</v>
      </c>
      <c r="I1073" t="s">
        <v>40</v>
      </c>
      <c r="J1073" s="2" t="s">
        <v>8046</v>
      </c>
      <c r="K1073" t="s">
        <v>42</v>
      </c>
      <c r="L1073" t="s">
        <v>594</v>
      </c>
      <c r="N1073" t="s">
        <v>595</v>
      </c>
      <c r="Q1073">
        <v>31473</v>
      </c>
      <c r="R1073" t="s">
        <v>119</v>
      </c>
      <c r="S1073" t="s">
        <v>2235</v>
      </c>
      <c r="T1073">
        <v>23</v>
      </c>
      <c r="W1073" t="s">
        <v>6105</v>
      </c>
      <c r="X1073">
        <v>838231</v>
      </c>
      <c r="Y1073" t="s">
        <v>8047</v>
      </c>
      <c r="Z1073" s="2" t="s">
        <v>8048</v>
      </c>
      <c r="AA1073" t="s">
        <v>8047</v>
      </c>
      <c r="AB1073" t="s">
        <v>8049</v>
      </c>
      <c r="AG1073" t="s">
        <v>8050</v>
      </c>
      <c r="AH1073" t="s">
        <v>2241</v>
      </c>
      <c r="AI1073" t="s">
        <v>8051</v>
      </c>
    </row>
    <row r="1074" spans="2:35" ht="300">
      <c r="B1074" s="1">
        <v>45919</v>
      </c>
      <c r="C1074" s="1">
        <v>45919</v>
      </c>
      <c r="D1074" t="s">
        <v>1040</v>
      </c>
      <c r="E1074" t="s">
        <v>8052</v>
      </c>
      <c r="F1074" t="s">
        <v>148</v>
      </c>
      <c r="G1074" t="s">
        <v>447</v>
      </c>
      <c r="H1074" t="s">
        <v>6500</v>
      </c>
      <c r="I1074" t="s">
        <v>40</v>
      </c>
      <c r="J1074" t="s">
        <v>109</v>
      </c>
      <c r="K1074" t="s">
        <v>42</v>
      </c>
      <c r="L1074" t="s">
        <v>448</v>
      </c>
      <c r="N1074" t="s">
        <v>450</v>
      </c>
      <c r="Q1074">
        <v>31472</v>
      </c>
      <c r="R1074" t="s">
        <v>322</v>
      </c>
      <c r="S1074" t="s">
        <v>1041</v>
      </c>
      <c r="T1074">
        <v>29</v>
      </c>
      <c r="U1074" s="2" t="s">
        <v>8053</v>
      </c>
      <c r="V1074" s="1">
        <v>45902</v>
      </c>
      <c r="W1074" t="s">
        <v>1573</v>
      </c>
      <c r="X1074">
        <v>120003581</v>
      </c>
      <c r="Y1074" t="s">
        <v>2692</v>
      </c>
      <c r="Z1074" s="2" t="s">
        <v>8054</v>
      </c>
      <c r="AA1074" t="s">
        <v>122</v>
      </c>
      <c r="AB1074" t="s">
        <v>8055</v>
      </c>
      <c r="AD1074" t="s">
        <v>3628</v>
      </c>
      <c r="AE1074">
        <v>0.13300000000000001</v>
      </c>
      <c r="AG1074" t="s">
        <v>8056</v>
      </c>
      <c r="AH1074" t="s">
        <v>8057</v>
      </c>
      <c r="AI1074" t="s">
        <v>8058</v>
      </c>
    </row>
    <row r="1075" spans="2:35" ht="240">
      <c r="B1075" s="1">
        <v>45919</v>
      </c>
      <c r="C1075" s="1">
        <v>45919</v>
      </c>
      <c r="D1075" t="s">
        <v>8059</v>
      </c>
      <c r="E1075" t="s">
        <v>8060</v>
      </c>
      <c r="F1075">
        <v>7</v>
      </c>
      <c r="G1075" t="s">
        <v>432</v>
      </c>
      <c r="H1075" t="s">
        <v>39</v>
      </c>
      <c r="I1075" t="s">
        <v>40</v>
      </c>
      <c r="J1075" s="2" t="s">
        <v>1808</v>
      </c>
      <c r="K1075" t="s">
        <v>42</v>
      </c>
      <c r="L1075" t="s">
        <v>433</v>
      </c>
      <c r="N1075" t="s">
        <v>434</v>
      </c>
      <c r="Q1075">
        <v>31471</v>
      </c>
      <c r="R1075" t="s">
        <v>119</v>
      </c>
      <c r="S1075" t="s">
        <v>1818</v>
      </c>
      <c r="T1075">
        <v>26</v>
      </c>
      <c r="W1075" t="s">
        <v>502</v>
      </c>
      <c r="X1075">
        <v>838263</v>
      </c>
      <c r="Y1075" s="2" t="s">
        <v>8061</v>
      </c>
      <c r="Z1075" s="2" t="s">
        <v>8062</v>
      </c>
      <c r="AA1075" s="2" t="s">
        <v>8063</v>
      </c>
      <c r="AB1075" t="s">
        <v>1011</v>
      </c>
      <c r="AG1075" t="s">
        <v>8064</v>
      </c>
      <c r="AH1075" t="s">
        <v>8065</v>
      </c>
      <c r="AI1075" t="s">
        <v>8066</v>
      </c>
    </row>
    <row r="1076" spans="2:35" ht="105">
      <c r="B1076" s="1">
        <v>45918</v>
      </c>
      <c r="C1076" s="1">
        <v>45916</v>
      </c>
      <c r="D1076" t="s">
        <v>8067</v>
      </c>
      <c r="E1076" t="s">
        <v>8068</v>
      </c>
      <c r="F1076">
        <v>8</v>
      </c>
      <c r="G1076" t="s">
        <v>257</v>
      </c>
      <c r="H1076" t="s">
        <v>258</v>
      </c>
      <c r="I1076" t="s">
        <v>40</v>
      </c>
      <c r="J1076" t="s">
        <v>109</v>
      </c>
      <c r="K1076" t="s">
        <v>42</v>
      </c>
      <c r="L1076" t="s">
        <v>259</v>
      </c>
      <c r="N1076" t="s">
        <v>260</v>
      </c>
      <c r="Q1076">
        <v>31470</v>
      </c>
      <c r="R1076" t="s">
        <v>119</v>
      </c>
      <c r="S1076" t="s">
        <v>8069</v>
      </c>
      <c r="T1076">
        <v>26</v>
      </c>
      <c r="U1076" s="2" t="s">
        <v>8070</v>
      </c>
      <c r="V1076" s="1">
        <v>45916</v>
      </c>
      <c r="W1076" t="s">
        <v>84</v>
      </c>
      <c r="X1076">
        <v>838406</v>
      </c>
      <c r="Y1076" t="e">
        <f ca="1">- Keyboard _xludf.not working</f>
        <v>#NAME?</v>
      </c>
      <c r="Z1076" t="e">
        <f ca="1">- performed functionality test
-  Preventive Maintenance</f>
        <v>#NAME?</v>
      </c>
      <c r="AA1076" t="e">
        <f ca="1">- Monthly Preventive Maintenance
- Troubleshooting</f>
        <v>#NAME?</v>
      </c>
      <c r="AB1076" t="s">
        <v>70</v>
      </c>
      <c r="AG1076" t="s">
        <v>8071</v>
      </c>
      <c r="AH1076" t="s">
        <v>8072</v>
      </c>
      <c r="AI1076" t="s">
        <v>8073</v>
      </c>
    </row>
    <row r="1077" spans="2:35" ht="75">
      <c r="B1077" s="1">
        <v>45918</v>
      </c>
      <c r="C1077" s="1">
        <v>45918</v>
      </c>
      <c r="D1077" t="s">
        <v>8074</v>
      </c>
      <c r="E1077" t="s">
        <v>8075</v>
      </c>
      <c r="F1077">
        <v>6</v>
      </c>
      <c r="G1077" t="s">
        <v>4457</v>
      </c>
      <c r="H1077" t="s">
        <v>39</v>
      </c>
      <c r="I1077" t="s">
        <v>40</v>
      </c>
      <c r="J1077" s="2" t="s">
        <v>41</v>
      </c>
      <c r="K1077" t="s">
        <v>42</v>
      </c>
      <c r="L1077" t="s">
        <v>343</v>
      </c>
      <c r="N1077" t="s">
        <v>344</v>
      </c>
      <c r="Q1077">
        <v>31469</v>
      </c>
      <c r="R1077" t="s">
        <v>119</v>
      </c>
      <c r="S1077" t="s">
        <v>8076</v>
      </c>
      <c r="T1077">
        <v>26</v>
      </c>
      <c r="U1077" s="2" t="s">
        <v>2367</v>
      </c>
      <c r="W1077" t="s">
        <v>1501</v>
      </c>
      <c r="X1077">
        <v>838457</v>
      </c>
      <c r="Y1077" t="s">
        <v>8077</v>
      </c>
      <c r="Z1077" t="e">
        <f ca="1">-_xludf.Replace CMOS battery in CPU</f>
        <v>#NAME?</v>
      </c>
      <c r="AA1077" t="e">
        <f ca="1">-Preventive Maintenance</f>
        <v>#NAME?</v>
      </c>
      <c r="AB1077" t="s">
        <v>1467</v>
      </c>
      <c r="AG1077" t="s">
        <v>8078</v>
      </c>
      <c r="AH1077" t="s">
        <v>8079</v>
      </c>
      <c r="AI1077" t="s">
        <v>8080</v>
      </c>
    </row>
    <row r="1078" spans="2:35" ht="409.5">
      <c r="B1078" s="1">
        <v>45918</v>
      </c>
      <c r="C1078" s="1">
        <v>45918</v>
      </c>
      <c r="D1078" t="s">
        <v>4968</v>
      </c>
      <c r="E1078" t="s">
        <v>8081</v>
      </c>
      <c r="F1078">
        <v>11</v>
      </c>
      <c r="G1078" t="s">
        <v>4297</v>
      </c>
      <c r="H1078" t="s">
        <v>202</v>
      </c>
      <c r="I1078" t="s">
        <v>40</v>
      </c>
      <c r="J1078" s="2" t="s">
        <v>4208</v>
      </c>
      <c r="K1078" t="s">
        <v>42</v>
      </c>
      <c r="L1078" t="s">
        <v>204</v>
      </c>
      <c r="N1078" t="s">
        <v>205</v>
      </c>
      <c r="Q1078">
        <v>31468</v>
      </c>
      <c r="R1078" t="s">
        <v>119</v>
      </c>
      <c r="S1078" t="s">
        <v>4970</v>
      </c>
      <c r="T1078">
        <v>29.5</v>
      </c>
      <c r="U1078" s="2" t="s">
        <v>8082</v>
      </c>
      <c r="W1078" t="s">
        <v>208</v>
      </c>
      <c r="X1078">
        <v>837614</v>
      </c>
      <c r="Y1078" s="2" t="s">
        <v>8083</v>
      </c>
      <c r="Z1078" s="2" t="s">
        <v>8084</v>
      </c>
      <c r="AA1078" s="2" t="s">
        <v>8085</v>
      </c>
      <c r="AB1078" s="2" t="s">
        <v>8086</v>
      </c>
      <c r="AG1078" t="s">
        <v>8087</v>
      </c>
      <c r="AH1078" t="s">
        <v>8088</v>
      </c>
      <c r="AI1078" t="s">
        <v>8089</v>
      </c>
    </row>
    <row r="1079" spans="2:35">
      <c r="B1079" s="1">
        <v>45918</v>
      </c>
      <c r="C1079" s="1">
        <v>45918</v>
      </c>
      <c r="D1079" t="s">
        <v>855</v>
      </c>
      <c r="E1079" t="s">
        <v>1169</v>
      </c>
      <c r="F1079" t="s">
        <v>148</v>
      </c>
      <c r="G1079" t="s">
        <v>310</v>
      </c>
      <c r="H1079" t="s">
        <v>39</v>
      </c>
      <c r="I1079" t="s">
        <v>40</v>
      </c>
      <c r="J1079" t="s">
        <v>996</v>
      </c>
      <c r="K1079" t="s">
        <v>42</v>
      </c>
      <c r="L1079" t="s">
        <v>857</v>
      </c>
      <c r="N1079" t="s">
        <v>858</v>
      </c>
      <c r="Q1079">
        <v>31467</v>
      </c>
      <c r="R1079" t="s">
        <v>322</v>
      </c>
      <c r="S1079" t="s">
        <v>859</v>
      </c>
      <c r="T1079">
        <v>21</v>
      </c>
      <c r="W1079" t="s">
        <v>860</v>
      </c>
      <c r="X1079">
        <v>809643</v>
      </c>
      <c r="Y1079" t="s">
        <v>8090</v>
      </c>
      <c r="Z1079" t="s">
        <v>301</v>
      </c>
      <c r="AA1079" t="s">
        <v>8091</v>
      </c>
      <c r="AB1079" t="s">
        <v>8092</v>
      </c>
      <c r="AG1079" t="s">
        <v>8093</v>
      </c>
      <c r="AH1079" t="s">
        <v>8094</v>
      </c>
      <c r="AI1079" t="s">
        <v>8095</v>
      </c>
    </row>
    <row r="1080" spans="2:35" ht="375">
      <c r="B1080" s="1">
        <v>45918</v>
      </c>
      <c r="C1080" s="1">
        <v>45918</v>
      </c>
      <c r="D1080" t="s">
        <v>3897</v>
      </c>
      <c r="E1080" t="s">
        <v>3140</v>
      </c>
      <c r="F1080">
        <v>3</v>
      </c>
      <c r="G1080" t="s">
        <v>174</v>
      </c>
      <c r="H1080" t="s">
        <v>39</v>
      </c>
      <c r="I1080" t="s">
        <v>40</v>
      </c>
      <c r="J1080" s="2" t="s">
        <v>190</v>
      </c>
      <c r="K1080" t="s">
        <v>42</v>
      </c>
      <c r="L1080" t="s">
        <v>175</v>
      </c>
      <c r="N1080" t="s">
        <v>176</v>
      </c>
      <c r="Q1080">
        <v>31466</v>
      </c>
      <c r="R1080" t="s">
        <v>95</v>
      </c>
      <c r="S1080" t="s">
        <v>3898</v>
      </c>
      <c r="T1080">
        <v>27</v>
      </c>
      <c r="W1080" t="s">
        <v>84</v>
      </c>
      <c r="X1080">
        <v>110008530</v>
      </c>
      <c r="Y1080" s="2" t="s">
        <v>8096</v>
      </c>
      <c r="Z1080" t="s">
        <v>103</v>
      </c>
      <c r="AA1080" s="2" t="s">
        <v>8097</v>
      </c>
      <c r="AB1080" s="2" t="s">
        <v>8098</v>
      </c>
      <c r="AG1080" t="s">
        <v>8099</v>
      </c>
      <c r="AH1080" t="s">
        <v>8100</v>
      </c>
      <c r="AI1080" t="s">
        <v>8101</v>
      </c>
    </row>
    <row r="1081" spans="2:35" ht="315">
      <c r="B1081" s="1">
        <v>45918</v>
      </c>
      <c r="C1081" s="1">
        <v>45917</v>
      </c>
      <c r="D1081" t="s">
        <v>837</v>
      </c>
      <c r="E1081" t="s">
        <v>8102</v>
      </c>
      <c r="F1081">
        <v>5</v>
      </c>
      <c r="G1081" t="s">
        <v>839</v>
      </c>
      <c r="H1081" t="s">
        <v>513</v>
      </c>
      <c r="I1081" t="s">
        <v>94</v>
      </c>
      <c r="J1081" s="2" t="s">
        <v>41</v>
      </c>
      <c r="K1081" t="s">
        <v>387</v>
      </c>
      <c r="L1081" t="s">
        <v>761</v>
      </c>
      <c r="N1081" t="s">
        <v>762</v>
      </c>
      <c r="Q1081">
        <v>31465</v>
      </c>
      <c r="R1081" t="s">
        <v>322</v>
      </c>
      <c r="S1081" t="s">
        <v>8103</v>
      </c>
      <c r="T1081">
        <v>25</v>
      </c>
      <c r="W1081" t="s">
        <v>390</v>
      </c>
      <c r="X1081" t="s">
        <v>3514</v>
      </c>
      <c r="Y1081" t="s">
        <v>8104</v>
      </c>
      <c r="Z1081" s="2" t="s">
        <v>8105</v>
      </c>
      <c r="AA1081" t="s">
        <v>8106</v>
      </c>
      <c r="AB1081" t="s">
        <v>70</v>
      </c>
      <c r="AG1081" t="s">
        <v>8107</v>
      </c>
      <c r="AH1081" t="s">
        <v>8108</v>
      </c>
      <c r="AI1081" t="s">
        <v>8109</v>
      </c>
    </row>
    <row r="1082" spans="2:35" ht="409.5">
      <c r="B1082" s="1">
        <v>45918</v>
      </c>
      <c r="C1082" s="1">
        <v>45917</v>
      </c>
      <c r="D1082" t="s">
        <v>837</v>
      </c>
      <c r="E1082" t="s">
        <v>8102</v>
      </c>
      <c r="F1082">
        <v>5</v>
      </c>
      <c r="G1082" t="s">
        <v>839</v>
      </c>
      <c r="H1082" t="s">
        <v>513</v>
      </c>
      <c r="I1082" t="s">
        <v>94</v>
      </c>
      <c r="J1082" s="2" t="s">
        <v>1157</v>
      </c>
      <c r="K1082" t="s">
        <v>387</v>
      </c>
      <c r="L1082" t="s">
        <v>761</v>
      </c>
      <c r="N1082" t="s">
        <v>762</v>
      </c>
      <c r="Q1082">
        <v>31464</v>
      </c>
      <c r="R1082" t="s">
        <v>322</v>
      </c>
      <c r="S1082" t="s">
        <v>8103</v>
      </c>
      <c r="T1082">
        <v>25</v>
      </c>
      <c r="W1082" t="s">
        <v>390</v>
      </c>
      <c r="X1082" t="s">
        <v>841</v>
      </c>
      <c r="Y1082" t="s">
        <v>8110</v>
      </c>
      <c r="Z1082" s="2" t="s">
        <v>8111</v>
      </c>
      <c r="AA1082" s="2" t="s">
        <v>8112</v>
      </c>
      <c r="AB1082" t="s">
        <v>70</v>
      </c>
      <c r="AG1082" t="s">
        <v>8113</v>
      </c>
      <c r="AH1082" t="s">
        <v>8108</v>
      </c>
      <c r="AI1082" t="s">
        <v>8114</v>
      </c>
    </row>
    <row r="1083" spans="2:35" ht="360">
      <c r="B1083" s="1">
        <v>45917</v>
      </c>
      <c r="C1083" s="1">
        <v>45917</v>
      </c>
      <c r="D1083" t="s">
        <v>4101</v>
      </c>
      <c r="E1083" t="s">
        <v>5976</v>
      </c>
      <c r="F1083">
        <v>3</v>
      </c>
      <c r="G1083" t="s">
        <v>730</v>
      </c>
      <c r="H1083" t="s">
        <v>39</v>
      </c>
      <c r="I1083" t="s">
        <v>40</v>
      </c>
      <c r="J1083" t="s">
        <v>109</v>
      </c>
      <c r="K1083" t="s">
        <v>42</v>
      </c>
      <c r="L1083" t="s">
        <v>135</v>
      </c>
      <c r="N1083" t="s">
        <v>136</v>
      </c>
      <c r="Q1083">
        <v>31463</v>
      </c>
      <c r="R1083" t="s">
        <v>95</v>
      </c>
      <c r="S1083" t="s">
        <v>8115</v>
      </c>
      <c r="T1083">
        <v>26</v>
      </c>
      <c r="U1083" s="2" t="s">
        <v>7228</v>
      </c>
      <c r="W1083" t="s">
        <v>3418</v>
      </c>
      <c r="X1083">
        <v>830841</v>
      </c>
      <c r="Y1083" t="s">
        <v>7229</v>
      </c>
      <c r="Z1083" t="s">
        <v>4315</v>
      </c>
      <c r="AA1083" s="2" t="s">
        <v>4316</v>
      </c>
      <c r="AB1083" t="s">
        <v>7230</v>
      </c>
      <c r="AG1083" t="s">
        <v>8116</v>
      </c>
      <c r="AH1083" t="s">
        <v>4110</v>
      </c>
      <c r="AI1083" t="s">
        <v>8117</v>
      </c>
    </row>
    <row r="1084" spans="2:35" ht="360">
      <c r="B1084" s="1">
        <v>45917</v>
      </c>
      <c r="C1084" s="1">
        <v>45917</v>
      </c>
      <c r="D1084" t="s">
        <v>8118</v>
      </c>
      <c r="E1084" t="s">
        <v>5976</v>
      </c>
      <c r="F1084">
        <v>3</v>
      </c>
      <c r="G1084" t="s">
        <v>730</v>
      </c>
      <c r="H1084" t="s">
        <v>39</v>
      </c>
      <c r="I1084" t="s">
        <v>40</v>
      </c>
      <c r="J1084" t="s">
        <v>109</v>
      </c>
      <c r="K1084" t="s">
        <v>42</v>
      </c>
      <c r="L1084" t="s">
        <v>135</v>
      </c>
      <c r="N1084" t="s">
        <v>136</v>
      </c>
      <c r="Q1084">
        <v>31462</v>
      </c>
      <c r="R1084" t="s">
        <v>95</v>
      </c>
      <c r="S1084" t="s">
        <v>8119</v>
      </c>
      <c r="T1084">
        <v>26</v>
      </c>
      <c r="U1084" s="2" t="s">
        <v>7228</v>
      </c>
      <c r="W1084" t="s">
        <v>2680</v>
      </c>
      <c r="X1084">
        <v>739232</v>
      </c>
      <c r="Y1084" t="s">
        <v>8120</v>
      </c>
      <c r="Z1084" t="s">
        <v>4315</v>
      </c>
      <c r="AA1084" s="2" t="s">
        <v>4316</v>
      </c>
      <c r="AB1084" t="s">
        <v>7236</v>
      </c>
      <c r="AG1084" t="s">
        <v>8121</v>
      </c>
      <c r="AH1084" t="s">
        <v>4110</v>
      </c>
      <c r="AI1084" t="s">
        <v>8122</v>
      </c>
    </row>
    <row r="1085" spans="2:35" ht="120">
      <c r="B1085" s="1">
        <v>45917</v>
      </c>
      <c r="C1085" s="1">
        <v>45917</v>
      </c>
      <c r="D1085" t="s">
        <v>8123</v>
      </c>
      <c r="E1085" t="s">
        <v>8124</v>
      </c>
      <c r="F1085">
        <v>13</v>
      </c>
      <c r="G1085" t="s">
        <v>4484</v>
      </c>
      <c r="H1085" t="s">
        <v>2125</v>
      </c>
      <c r="I1085" t="s">
        <v>40</v>
      </c>
      <c r="J1085" s="2" t="s">
        <v>41</v>
      </c>
      <c r="K1085" t="s">
        <v>42</v>
      </c>
      <c r="L1085" t="s">
        <v>933</v>
      </c>
      <c r="N1085" t="s">
        <v>934</v>
      </c>
      <c r="Q1085">
        <v>31461</v>
      </c>
      <c r="R1085" t="s">
        <v>119</v>
      </c>
      <c r="S1085" t="s">
        <v>8125</v>
      </c>
      <c r="T1085">
        <v>30</v>
      </c>
      <c r="W1085" t="s">
        <v>2394</v>
      </c>
      <c r="X1085">
        <v>838554</v>
      </c>
      <c r="Y1085" t="s">
        <v>8126</v>
      </c>
      <c r="Z1085" t="s">
        <v>7080</v>
      </c>
      <c r="AA1085" s="2" t="s">
        <v>8127</v>
      </c>
      <c r="AB1085" t="s">
        <v>2131</v>
      </c>
      <c r="AG1085" t="s">
        <v>8128</v>
      </c>
      <c r="AH1085" t="s">
        <v>8129</v>
      </c>
      <c r="AI1085" t="s">
        <v>8130</v>
      </c>
    </row>
    <row r="1086" spans="2:35" ht="300">
      <c r="B1086" s="1">
        <v>45917</v>
      </c>
      <c r="C1086" s="1">
        <v>45917</v>
      </c>
      <c r="D1086" t="s">
        <v>8131</v>
      </c>
      <c r="E1086" t="s">
        <v>8132</v>
      </c>
      <c r="F1086">
        <v>6</v>
      </c>
      <c r="G1086" t="s">
        <v>4457</v>
      </c>
      <c r="H1086" t="s">
        <v>8133</v>
      </c>
      <c r="I1086" t="s">
        <v>40</v>
      </c>
      <c r="J1086" s="2" t="s">
        <v>62</v>
      </c>
      <c r="K1086" t="s">
        <v>42</v>
      </c>
      <c r="L1086" t="s">
        <v>343</v>
      </c>
      <c r="N1086" t="s">
        <v>344</v>
      </c>
      <c r="Q1086">
        <v>31460</v>
      </c>
      <c r="R1086" t="s">
        <v>322</v>
      </c>
      <c r="S1086" t="s">
        <v>8134</v>
      </c>
      <c r="T1086">
        <v>26</v>
      </c>
      <c r="U1086" s="2" t="s">
        <v>8135</v>
      </c>
      <c r="W1086" t="s">
        <v>2949</v>
      </c>
      <c r="X1086">
        <v>110020745</v>
      </c>
      <c r="Y1086" t="s">
        <v>301</v>
      </c>
      <c r="Z1086" t="e">
        <f ca="1">-PERFORM Preventive Maintenance
-run XpertCheck on three modules</f>
        <v>#NAME?</v>
      </c>
      <c r="AA1086" t="e">
        <f ca="1">-Preventive Maintenance
-XpertCheck CALIBRATION</f>
        <v>#NAME?</v>
      </c>
      <c r="AB1086" t="s">
        <v>348</v>
      </c>
      <c r="AG1086" t="s">
        <v>8136</v>
      </c>
      <c r="AH1086" t="s">
        <v>8137</v>
      </c>
      <c r="AI1086" t="s">
        <v>8138</v>
      </c>
    </row>
    <row r="1087" spans="2:35" ht="225">
      <c r="B1087" s="1">
        <v>45917</v>
      </c>
      <c r="C1087" s="1">
        <v>45916</v>
      </c>
      <c r="D1087" t="s">
        <v>2264</v>
      </c>
      <c r="E1087" t="s">
        <v>2265</v>
      </c>
      <c r="F1087" t="s">
        <v>148</v>
      </c>
      <c r="G1087" t="s">
        <v>2007</v>
      </c>
      <c r="H1087" t="s">
        <v>39</v>
      </c>
      <c r="I1087" t="s">
        <v>40</v>
      </c>
      <c r="J1087" t="s">
        <v>996</v>
      </c>
      <c r="K1087" t="s">
        <v>42</v>
      </c>
      <c r="L1087" t="s">
        <v>43</v>
      </c>
      <c r="N1087" t="s">
        <v>44</v>
      </c>
      <c r="O1087" t="s">
        <v>2266</v>
      </c>
      <c r="Q1087">
        <v>31459</v>
      </c>
      <c r="R1087" t="s">
        <v>322</v>
      </c>
      <c r="S1087" t="s">
        <v>5506</v>
      </c>
      <c r="T1087">
        <v>24</v>
      </c>
      <c r="U1087" s="2" t="s">
        <v>8139</v>
      </c>
      <c r="W1087" t="s">
        <v>153</v>
      </c>
      <c r="X1087">
        <v>110023460</v>
      </c>
      <c r="Y1087" t="s">
        <v>121</v>
      </c>
      <c r="Z1087" t="s">
        <v>122</v>
      </c>
      <c r="AA1087" s="2" t="s">
        <v>3908</v>
      </c>
      <c r="AB1087" t="s">
        <v>548</v>
      </c>
      <c r="AG1087" t="s">
        <v>8140</v>
      </c>
      <c r="AH1087" t="s">
        <v>6353</v>
      </c>
      <c r="AI1087" t="s">
        <v>8141</v>
      </c>
    </row>
    <row r="1088" spans="2:35">
      <c r="B1088" s="1">
        <v>45916</v>
      </c>
      <c r="C1088" s="1">
        <v>45916</v>
      </c>
      <c r="D1088" t="s">
        <v>5228</v>
      </c>
      <c r="E1088" t="s">
        <v>582</v>
      </c>
      <c r="F1088" t="s">
        <v>148</v>
      </c>
      <c r="G1088" t="s">
        <v>447</v>
      </c>
      <c r="H1088" t="s">
        <v>39</v>
      </c>
      <c r="I1088" t="s">
        <v>40</v>
      </c>
      <c r="J1088" t="s">
        <v>109</v>
      </c>
      <c r="K1088" t="s">
        <v>42</v>
      </c>
      <c r="L1088" t="s">
        <v>175</v>
      </c>
      <c r="N1088" t="s">
        <v>176</v>
      </c>
      <c r="Q1088">
        <v>31458</v>
      </c>
      <c r="R1088" t="s">
        <v>967</v>
      </c>
      <c r="S1088" t="s">
        <v>5229</v>
      </c>
      <c r="T1088">
        <v>27</v>
      </c>
      <c r="W1088" t="s">
        <v>373</v>
      </c>
      <c r="X1088">
        <v>110023495</v>
      </c>
      <c r="Y1088" t="s">
        <v>374</v>
      </c>
      <c r="Z1088" t="s">
        <v>103</v>
      </c>
      <c r="AA1088" t="e">
        <f ca="1">- checked _xludf.and cleaned cartridge bay, plunger rod, _xludf.filter, icore slot
- generated reports
- performed self test</f>
        <v>#NAME?</v>
      </c>
      <c r="AB1088" t="s">
        <v>181</v>
      </c>
      <c r="AG1088" t="s">
        <v>8142</v>
      </c>
      <c r="AH1088" t="s">
        <v>8143</v>
      </c>
      <c r="AI1088" t="s">
        <v>8144</v>
      </c>
    </row>
    <row r="1089" spans="2:35" ht="105">
      <c r="B1089" s="1">
        <v>45916</v>
      </c>
      <c r="C1089" s="1">
        <v>45916</v>
      </c>
      <c r="D1089" t="s">
        <v>4663</v>
      </c>
      <c r="E1089" t="s">
        <v>8145</v>
      </c>
      <c r="F1089">
        <v>6</v>
      </c>
      <c r="G1089" t="s">
        <v>4457</v>
      </c>
      <c r="H1089" t="s">
        <v>39</v>
      </c>
      <c r="I1089" t="s">
        <v>40</v>
      </c>
      <c r="J1089" t="s">
        <v>109</v>
      </c>
      <c r="K1089" t="s">
        <v>42</v>
      </c>
      <c r="L1089" t="s">
        <v>343</v>
      </c>
      <c r="N1089" t="s">
        <v>344</v>
      </c>
      <c r="Q1089">
        <v>31457</v>
      </c>
      <c r="R1089" t="s">
        <v>119</v>
      </c>
      <c r="S1089" t="s">
        <v>8146</v>
      </c>
      <c r="T1089">
        <v>27</v>
      </c>
      <c r="U1089" s="2" t="s">
        <v>8147</v>
      </c>
      <c r="W1089" t="s">
        <v>1501</v>
      </c>
      <c r="X1089">
        <v>838458</v>
      </c>
      <c r="Y1089" t="s">
        <v>301</v>
      </c>
      <c r="Z1089" t="s">
        <v>7416</v>
      </c>
      <c r="AA1089" t="e">
        <f ca="1">-Preventive Maintenance
-Troubleshoot module B4</f>
        <v>#NAME?</v>
      </c>
      <c r="AB1089" t="s">
        <v>8148</v>
      </c>
      <c r="AG1089" t="s">
        <v>8149</v>
      </c>
      <c r="AH1089" t="s">
        <v>8150</v>
      </c>
      <c r="AI1089" t="s">
        <v>8151</v>
      </c>
    </row>
    <row r="1090" spans="2:35" ht="210">
      <c r="B1090" s="1">
        <v>45916</v>
      </c>
      <c r="C1090" s="1">
        <v>45916</v>
      </c>
      <c r="D1090" t="s">
        <v>498</v>
      </c>
      <c r="E1090" t="s">
        <v>499</v>
      </c>
      <c r="F1090">
        <v>7</v>
      </c>
      <c r="G1090" t="s">
        <v>432</v>
      </c>
      <c r="H1090" t="s">
        <v>39</v>
      </c>
      <c r="I1090" t="s">
        <v>94</v>
      </c>
      <c r="J1090" t="s">
        <v>583</v>
      </c>
      <c r="K1090" t="s">
        <v>42</v>
      </c>
      <c r="L1090" t="s">
        <v>433</v>
      </c>
      <c r="N1090" t="s">
        <v>434</v>
      </c>
      <c r="Q1090">
        <v>31456</v>
      </c>
      <c r="R1090" t="s">
        <v>119</v>
      </c>
      <c r="S1090" t="s">
        <v>3264</v>
      </c>
      <c r="T1090">
        <v>28</v>
      </c>
      <c r="W1090" t="s">
        <v>1008</v>
      </c>
      <c r="X1090">
        <v>838510</v>
      </c>
      <c r="Y1090" s="2" t="s">
        <v>8152</v>
      </c>
      <c r="Z1090" t="s">
        <v>8153</v>
      </c>
      <c r="AA1090" s="2" t="s">
        <v>8154</v>
      </c>
      <c r="AB1090" t="s">
        <v>1011</v>
      </c>
      <c r="AG1090" t="s">
        <v>8155</v>
      </c>
      <c r="AH1090" t="s">
        <v>3268</v>
      </c>
      <c r="AI1090" t="s">
        <v>8156</v>
      </c>
    </row>
    <row r="1091" spans="2:35">
      <c r="B1091" s="1">
        <v>45916</v>
      </c>
      <c r="C1091" s="1">
        <v>45916</v>
      </c>
      <c r="D1091" t="s">
        <v>5228</v>
      </c>
      <c r="E1091" t="s">
        <v>582</v>
      </c>
      <c r="F1091" t="s">
        <v>148</v>
      </c>
      <c r="G1091" t="s">
        <v>447</v>
      </c>
      <c r="H1091" t="s">
        <v>39</v>
      </c>
      <c r="I1091" t="s">
        <v>40</v>
      </c>
      <c r="J1091" t="s">
        <v>109</v>
      </c>
      <c r="K1091" t="s">
        <v>42</v>
      </c>
      <c r="L1091" t="s">
        <v>175</v>
      </c>
      <c r="N1091" t="s">
        <v>176</v>
      </c>
      <c r="Q1091">
        <v>31455</v>
      </c>
      <c r="R1091" t="s">
        <v>322</v>
      </c>
      <c r="S1091" t="s">
        <v>8157</v>
      </c>
      <c r="T1091">
        <v>27</v>
      </c>
      <c r="W1091" t="s">
        <v>373</v>
      </c>
      <c r="X1091">
        <v>110012766</v>
      </c>
      <c r="Y1091" t="s">
        <v>374</v>
      </c>
      <c r="Z1091" t="s">
        <v>4448</v>
      </c>
      <c r="AA1091" t="e">
        <f ca="1">- checked _xludf.and cleaned cartridge bay, plunger rod, _xludf.filter, icore slot
- generated reports
- performed self test</f>
        <v>#NAME?</v>
      </c>
      <c r="AB1091" t="s">
        <v>181</v>
      </c>
      <c r="AG1091" t="s">
        <v>8158</v>
      </c>
      <c r="AH1091" t="s">
        <v>5238</v>
      </c>
      <c r="AI1091" t="s">
        <v>8159</v>
      </c>
    </row>
    <row r="1092" spans="2:35" ht="375">
      <c r="B1092" s="1">
        <v>45916</v>
      </c>
      <c r="C1092" s="1">
        <v>45916</v>
      </c>
      <c r="D1092" t="s">
        <v>8160</v>
      </c>
      <c r="E1092" t="s">
        <v>8161</v>
      </c>
      <c r="F1092">
        <v>11</v>
      </c>
      <c r="G1092" t="s">
        <v>1205</v>
      </c>
      <c r="H1092" t="s">
        <v>202</v>
      </c>
      <c r="I1092" t="s">
        <v>40</v>
      </c>
      <c r="J1092" s="2" t="s">
        <v>41</v>
      </c>
      <c r="K1092" t="s">
        <v>42</v>
      </c>
      <c r="L1092" t="s">
        <v>204</v>
      </c>
      <c r="N1092" t="s">
        <v>205</v>
      </c>
      <c r="O1092" t="s">
        <v>8162</v>
      </c>
      <c r="Q1092">
        <v>31454</v>
      </c>
      <c r="R1092" t="s">
        <v>119</v>
      </c>
      <c r="S1092" t="s">
        <v>8163</v>
      </c>
      <c r="T1092">
        <v>28.4</v>
      </c>
      <c r="U1092" s="2" t="s">
        <v>8164</v>
      </c>
      <c r="W1092" t="s">
        <v>208</v>
      </c>
      <c r="X1092">
        <v>838401</v>
      </c>
      <c r="Y1092" s="2" t="s">
        <v>8165</v>
      </c>
      <c r="Z1092" s="2" t="s">
        <v>8166</v>
      </c>
      <c r="AA1092" s="2" t="s">
        <v>8167</v>
      </c>
      <c r="AB1092" s="2" t="s">
        <v>8168</v>
      </c>
      <c r="AG1092" t="s">
        <v>8169</v>
      </c>
      <c r="AH1092" t="s">
        <v>8170</v>
      </c>
      <c r="AI1092" t="s">
        <v>8171</v>
      </c>
    </row>
    <row r="1093" spans="2:35" ht="105">
      <c r="B1093" s="1">
        <v>45916</v>
      </c>
      <c r="C1093" s="1">
        <v>45916</v>
      </c>
      <c r="D1093" t="s">
        <v>4455</v>
      </c>
      <c r="E1093" t="s">
        <v>4456</v>
      </c>
      <c r="F1093">
        <v>6</v>
      </c>
      <c r="G1093" t="s">
        <v>4457</v>
      </c>
      <c r="H1093" t="s">
        <v>1498</v>
      </c>
      <c r="I1093" t="s">
        <v>40</v>
      </c>
      <c r="J1093" t="s">
        <v>109</v>
      </c>
      <c r="K1093" t="s">
        <v>42</v>
      </c>
      <c r="L1093" t="s">
        <v>343</v>
      </c>
      <c r="N1093" t="s">
        <v>344</v>
      </c>
      <c r="Q1093">
        <v>31453</v>
      </c>
      <c r="R1093" t="s">
        <v>119</v>
      </c>
      <c r="S1093" t="s">
        <v>4458</v>
      </c>
      <c r="T1093">
        <v>27</v>
      </c>
      <c r="U1093" s="2" t="s">
        <v>8172</v>
      </c>
      <c r="W1093" t="s">
        <v>1501</v>
      </c>
      <c r="X1093">
        <v>838540</v>
      </c>
      <c r="Y1093" t="s">
        <v>301</v>
      </c>
      <c r="Z1093" t="s">
        <v>7416</v>
      </c>
      <c r="AA1093" t="e">
        <f ca="1">-Preventive Maintenance
-Troubleshoot UPS</f>
        <v>#NAME?</v>
      </c>
      <c r="AB1093" t="s">
        <v>8173</v>
      </c>
      <c r="AC1093" t="s">
        <v>8174</v>
      </c>
      <c r="AG1093" t="s">
        <v>8175</v>
      </c>
      <c r="AH1093" t="s">
        <v>8176</v>
      </c>
      <c r="AI1093" t="s">
        <v>8177</v>
      </c>
    </row>
    <row r="1094" spans="2:35" ht="285">
      <c r="B1094" s="1">
        <v>45915</v>
      </c>
      <c r="C1094" s="1">
        <v>45911</v>
      </c>
      <c r="D1094" t="s">
        <v>5645</v>
      </c>
      <c r="E1094" t="s">
        <v>5652</v>
      </c>
      <c r="F1094" t="s">
        <v>1255</v>
      </c>
      <c r="G1094" t="s">
        <v>1887</v>
      </c>
      <c r="H1094" t="s">
        <v>1473</v>
      </c>
      <c r="I1094" t="s">
        <v>40</v>
      </c>
      <c r="J1094" t="s">
        <v>109</v>
      </c>
      <c r="K1094" t="s">
        <v>42</v>
      </c>
      <c r="L1094" t="s">
        <v>296</v>
      </c>
      <c r="N1094" t="s">
        <v>297</v>
      </c>
      <c r="Q1094">
        <v>31452</v>
      </c>
      <c r="R1094" t="s">
        <v>967</v>
      </c>
      <c r="S1094" t="s">
        <v>8178</v>
      </c>
      <c r="T1094">
        <v>26.1</v>
      </c>
      <c r="U1094" s="2" t="s">
        <v>8179</v>
      </c>
      <c r="W1094" t="s">
        <v>970</v>
      </c>
      <c r="X1094">
        <v>110023524</v>
      </c>
      <c r="Y1094" t="s">
        <v>301</v>
      </c>
      <c r="Z1094" s="2" t="s">
        <v>8180</v>
      </c>
      <c r="AA1094" t="s">
        <v>303</v>
      </c>
      <c r="AB1094" t="s">
        <v>972</v>
      </c>
      <c r="AG1094" t="s">
        <v>8181</v>
      </c>
      <c r="AH1094" t="s">
        <v>8182</v>
      </c>
      <c r="AI1094" t="s">
        <v>8183</v>
      </c>
    </row>
    <row r="1095" spans="2:35" ht="300">
      <c r="B1095" s="1">
        <v>45915</v>
      </c>
      <c r="C1095" s="1">
        <v>45911</v>
      </c>
      <c r="D1095" t="s">
        <v>5645</v>
      </c>
      <c r="E1095" t="s">
        <v>2136</v>
      </c>
      <c r="F1095" t="s">
        <v>1255</v>
      </c>
      <c r="G1095" t="s">
        <v>1887</v>
      </c>
      <c r="H1095" t="s">
        <v>1473</v>
      </c>
      <c r="I1095" t="s">
        <v>40</v>
      </c>
      <c r="J1095" t="s">
        <v>109</v>
      </c>
      <c r="K1095" t="s">
        <v>42</v>
      </c>
      <c r="L1095" t="s">
        <v>296</v>
      </c>
      <c r="N1095" t="s">
        <v>297</v>
      </c>
      <c r="Q1095">
        <v>31451</v>
      </c>
      <c r="R1095" t="s">
        <v>119</v>
      </c>
      <c r="S1095" t="s">
        <v>8178</v>
      </c>
      <c r="T1095">
        <v>25.7</v>
      </c>
      <c r="U1095" s="2" t="s">
        <v>8179</v>
      </c>
      <c r="W1095" t="s">
        <v>981</v>
      </c>
      <c r="X1095">
        <v>838528</v>
      </c>
      <c r="Y1095" t="s">
        <v>301</v>
      </c>
      <c r="Z1095" s="2" t="s">
        <v>8184</v>
      </c>
      <c r="AA1095" t="s">
        <v>303</v>
      </c>
      <c r="AB1095" t="s">
        <v>972</v>
      </c>
      <c r="AG1095" t="s">
        <v>8185</v>
      </c>
      <c r="AH1095" t="s">
        <v>8186</v>
      </c>
      <c r="AI1095" t="s">
        <v>8187</v>
      </c>
    </row>
    <row r="1096" spans="2:35" ht="360">
      <c r="B1096" s="1">
        <v>45915</v>
      </c>
      <c r="C1096" s="1">
        <v>45910</v>
      </c>
      <c r="D1096" t="s">
        <v>8188</v>
      </c>
      <c r="E1096" t="s">
        <v>8189</v>
      </c>
      <c r="F1096" t="s">
        <v>1255</v>
      </c>
      <c r="G1096" t="s">
        <v>1887</v>
      </c>
      <c r="H1096" t="s">
        <v>1473</v>
      </c>
      <c r="I1096" t="s">
        <v>40</v>
      </c>
      <c r="J1096" t="s">
        <v>109</v>
      </c>
      <c r="K1096" t="s">
        <v>42</v>
      </c>
      <c r="L1096" t="s">
        <v>296</v>
      </c>
      <c r="N1096" t="s">
        <v>297</v>
      </c>
      <c r="Q1096">
        <v>31450</v>
      </c>
      <c r="R1096" t="s">
        <v>119</v>
      </c>
      <c r="S1096" t="s">
        <v>8190</v>
      </c>
      <c r="T1096">
        <v>26.4</v>
      </c>
      <c r="U1096" s="2" t="s">
        <v>8191</v>
      </c>
      <c r="W1096" t="s">
        <v>981</v>
      </c>
      <c r="X1096">
        <v>837613</v>
      </c>
      <c r="Y1096" t="s">
        <v>301</v>
      </c>
      <c r="Z1096" s="2" t="s">
        <v>8192</v>
      </c>
      <c r="AA1096" t="s">
        <v>303</v>
      </c>
      <c r="AB1096" t="s">
        <v>972</v>
      </c>
      <c r="AG1096" t="s">
        <v>8193</v>
      </c>
      <c r="AH1096" t="s">
        <v>8194</v>
      </c>
      <c r="AI1096" t="s">
        <v>8195</v>
      </c>
    </row>
    <row r="1097" spans="2:35">
      <c r="B1097" s="1">
        <v>45915</v>
      </c>
      <c r="C1097" s="1">
        <v>45911</v>
      </c>
      <c r="D1097" t="s">
        <v>5087</v>
      </c>
      <c r="E1097" t="s">
        <v>5451</v>
      </c>
      <c r="F1097" t="s">
        <v>148</v>
      </c>
      <c r="G1097" t="s">
        <v>447</v>
      </c>
      <c r="H1097" t="s">
        <v>4735</v>
      </c>
      <c r="I1097" t="s">
        <v>40</v>
      </c>
      <c r="J1097" t="s">
        <v>79</v>
      </c>
      <c r="K1097" t="s">
        <v>408</v>
      </c>
      <c r="L1097" t="s">
        <v>448</v>
      </c>
      <c r="N1097" t="s">
        <v>450</v>
      </c>
      <c r="O1097" t="s">
        <v>650</v>
      </c>
      <c r="P1097" t="s">
        <v>6539</v>
      </c>
      <c r="Q1097">
        <v>31449</v>
      </c>
      <c r="R1097" t="s">
        <v>322</v>
      </c>
      <c r="S1097" t="s">
        <v>650</v>
      </c>
      <c r="T1097">
        <v>26</v>
      </c>
      <c r="V1097" s="1">
        <v>45912</v>
      </c>
      <c r="W1097" t="s">
        <v>8196</v>
      </c>
      <c r="X1097" t="s">
        <v>8197</v>
      </c>
      <c r="Y1097" t="s">
        <v>8198</v>
      </c>
      <c r="Z1097" t="s">
        <v>8199</v>
      </c>
      <c r="AA1097" t="s">
        <v>914</v>
      </c>
      <c r="AB1097" t="s">
        <v>486</v>
      </c>
      <c r="AD1097" t="s">
        <v>8200</v>
      </c>
      <c r="AE1097" t="s">
        <v>8201</v>
      </c>
      <c r="AG1097" t="s">
        <v>8202</v>
      </c>
      <c r="AH1097" t="s">
        <v>1855</v>
      </c>
      <c r="AI1097" t="s">
        <v>8203</v>
      </c>
    </row>
    <row r="1098" spans="2:35">
      <c r="B1098" s="1">
        <v>45915</v>
      </c>
      <c r="C1098" s="1">
        <v>45911</v>
      </c>
      <c r="D1098" t="s">
        <v>6373</v>
      </c>
      <c r="E1098" t="s">
        <v>5451</v>
      </c>
      <c r="F1098" t="s">
        <v>148</v>
      </c>
      <c r="G1098" t="s">
        <v>447</v>
      </c>
      <c r="H1098" t="s">
        <v>4735</v>
      </c>
      <c r="I1098" t="s">
        <v>40</v>
      </c>
      <c r="J1098" t="s">
        <v>79</v>
      </c>
      <c r="K1098" t="s">
        <v>408</v>
      </c>
      <c r="L1098" t="s">
        <v>448</v>
      </c>
      <c r="N1098" t="s">
        <v>450</v>
      </c>
      <c r="P1098" t="s">
        <v>6539</v>
      </c>
      <c r="Q1098">
        <v>31448</v>
      </c>
      <c r="R1098" t="s">
        <v>322</v>
      </c>
      <c r="S1098" t="s">
        <v>650</v>
      </c>
      <c r="T1098">
        <v>28</v>
      </c>
      <c r="V1098" s="1">
        <v>45912</v>
      </c>
      <c r="W1098" t="s">
        <v>8196</v>
      </c>
      <c r="X1098" t="s">
        <v>8204</v>
      </c>
      <c r="Y1098" t="s">
        <v>8198</v>
      </c>
      <c r="Z1098" t="s">
        <v>8205</v>
      </c>
      <c r="AA1098" t="s">
        <v>914</v>
      </c>
      <c r="AB1098" t="s">
        <v>486</v>
      </c>
      <c r="AD1098" t="s">
        <v>8200</v>
      </c>
      <c r="AE1098" t="s">
        <v>8201</v>
      </c>
      <c r="AG1098" t="s">
        <v>8206</v>
      </c>
      <c r="AH1098" t="s">
        <v>1855</v>
      </c>
      <c r="AI1098" t="s">
        <v>8207</v>
      </c>
    </row>
    <row r="1099" spans="2:35" ht="120">
      <c r="B1099" s="1">
        <v>45915</v>
      </c>
      <c r="C1099" s="1">
        <v>45915</v>
      </c>
      <c r="D1099" t="s">
        <v>5517</v>
      </c>
      <c r="E1099" t="s">
        <v>370</v>
      </c>
      <c r="F1099" t="s">
        <v>148</v>
      </c>
      <c r="G1099" t="s">
        <v>371</v>
      </c>
      <c r="H1099" t="s">
        <v>39</v>
      </c>
      <c r="I1099" t="s">
        <v>40</v>
      </c>
      <c r="J1099" t="s">
        <v>109</v>
      </c>
      <c r="K1099" t="s">
        <v>42</v>
      </c>
      <c r="L1099" t="s">
        <v>175</v>
      </c>
      <c r="N1099" t="s">
        <v>176</v>
      </c>
      <c r="O1099" t="s">
        <v>5518</v>
      </c>
      <c r="Q1099">
        <v>31447</v>
      </c>
      <c r="R1099" t="s">
        <v>95</v>
      </c>
      <c r="S1099" t="s">
        <v>5519</v>
      </c>
      <c r="T1099">
        <v>27</v>
      </c>
      <c r="W1099" t="s">
        <v>373</v>
      </c>
      <c r="X1099">
        <v>110018008</v>
      </c>
      <c r="Y1099" t="s">
        <v>374</v>
      </c>
      <c r="Z1099" t="s">
        <v>103</v>
      </c>
      <c r="AA1099" t="e">
        <f ca="1">- checked _xludf.and cleaned cartridge bay, plunger rod, _xludf.filter, icore slot
- generated reports
- performed self test</f>
        <v>#NAME?</v>
      </c>
      <c r="AB1099" s="2" t="s">
        <v>8208</v>
      </c>
      <c r="AG1099" t="s">
        <v>8209</v>
      </c>
      <c r="AH1099" t="s">
        <v>5521</v>
      </c>
      <c r="AI1099" t="s">
        <v>8210</v>
      </c>
    </row>
    <row r="1100" spans="2:35" ht="409.5">
      <c r="B1100" s="1">
        <v>45915</v>
      </c>
      <c r="C1100" s="1">
        <v>45912</v>
      </c>
      <c r="D1100" t="s">
        <v>1099</v>
      </c>
      <c r="E1100" t="s">
        <v>8211</v>
      </c>
      <c r="F1100" t="s">
        <v>148</v>
      </c>
      <c r="G1100" t="s">
        <v>406</v>
      </c>
      <c r="H1100" t="s">
        <v>39</v>
      </c>
      <c r="I1100" t="s">
        <v>40</v>
      </c>
      <c r="J1100" t="s">
        <v>109</v>
      </c>
      <c r="K1100" t="s">
        <v>42</v>
      </c>
      <c r="L1100" t="s">
        <v>43</v>
      </c>
      <c r="N1100" t="s">
        <v>44</v>
      </c>
      <c r="O1100" t="s">
        <v>1091</v>
      </c>
      <c r="Q1100">
        <v>31445</v>
      </c>
      <c r="R1100" t="s">
        <v>95</v>
      </c>
      <c r="S1100" t="s">
        <v>5690</v>
      </c>
      <c r="T1100">
        <v>24</v>
      </c>
      <c r="U1100" s="2" t="s">
        <v>8212</v>
      </c>
      <c r="W1100" t="s">
        <v>153</v>
      </c>
      <c r="X1100">
        <v>839231</v>
      </c>
      <c r="Y1100" t="s">
        <v>121</v>
      </c>
      <c r="Z1100" t="s">
        <v>122</v>
      </c>
      <c r="AA1100" s="2" t="s">
        <v>8213</v>
      </c>
      <c r="AB1100" t="s">
        <v>548</v>
      </c>
      <c r="AG1100" t="s">
        <v>8214</v>
      </c>
      <c r="AH1100" t="s">
        <v>8215</v>
      </c>
      <c r="AI1100" t="s">
        <v>8216</v>
      </c>
    </row>
    <row r="1101" spans="2:35" ht="255">
      <c r="B1101" s="1">
        <v>45915</v>
      </c>
      <c r="C1101" s="1">
        <v>45912</v>
      </c>
      <c r="D1101" t="s">
        <v>1099</v>
      </c>
      <c r="E1101" t="s">
        <v>8211</v>
      </c>
      <c r="F1101" t="s">
        <v>148</v>
      </c>
      <c r="G1101" t="s">
        <v>406</v>
      </c>
      <c r="H1101" t="s">
        <v>386</v>
      </c>
      <c r="I1101" t="s">
        <v>40</v>
      </c>
      <c r="J1101" t="s">
        <v>109</v>
      </c>
      <c r="K1101" t="s">
        <v>387</v>
      </c>
      <c r="L1101" t="s">
        <v>43</v>
      </c>
      <c r="N1101" t="s">
        <v>44</v>
      </c>
      <c r="O1101" t="s">
        <v>1091</v>
      </c>
      <c r="Q1101">
        <v>31444</v>
      </c>
      <c r="R1101" t="s">
        <v>95</v>
      </c>
      <c r="S1101" t="s">
        <v>8217</v>
      </c>
      <c r="T1101">
        <v>22</v>
      </c>
      <c r="W1101" t="s">
        <v>390</v>
      </c>
      <c r="X1101" t="s">
        <v>5702</v>
      </c>
      <c r="Y1101" t="s">
        <v>121</v>
      </c>
      <c r="Z1101" t="s">
        <v>122</v>
      </c>
      <c r="AA1101" s="2" t="s">
        <v>8218</v>
      </c>
      <c r="AB1101" t="s">
        <v>88</v>
      </c>
      <c r="AG1101" t="s">
        <v>8219</v>
      </c>
      <c r="AH1101" t="s">
        <v>8220</v>
      </c>
      <c r="AI1101" t="s">
        <v>8221</v>
      </c>
    </row>
    <row r="1102" spans="2:35" ht="409.5">
      <c r="B1102" s="1">
        <v>45915</v>
      </c>
      <c r="C1102" s="1">
        <v>45912</v>
      </c>
      <c r="D1102" t="s">
        <v>1099</v>
      </c>
      <c r="E1102" t="s">
        <v>8211</v>
      </c>
      <c r="F1102" t="s">
        <v>148</v>
      </c>
      <c r="G1102" t="s">
        <v>406</v>
      </c>
      <c r="H1102" t="s">
        <v>39</v>
      </c>
      <c r="I1102" t="s">
        <v>40</v>
      </c>
      <c r="J1102" t="s">
        <v>109</v>
      </c>
      <c r="K1102" t="s">
        <v>42</v>
      </c>
      <c r="L1102" t="s">
        <v>43</v>
      </c>
      <c r="N1102" t="s">
        <v>44</v>
      </c>
      <c r="O1102" t="s">
        <v>1091</v>
      </c>
      <c r="Q1102">
        <v>31446</v>
      </c>
      <c r="R1102" t="s">
        <v>95</v>
      </c>
      <c r="S1102" t="s">
        <v>5690</v>
      </c>
      <c r="T1102">
        <v>24</v>
      </c>
      <c r="U1102" s="2" t="s">
        <v>8222</v>
      </c>
      <c r="W1102" t="s">
        <v>153</v>
      </c>
      <c r="X1102">
        <v>120002383</v>
      </c>
      <c r="Y1102" t="s">
        <v>121</v>
      </c>
      <c r="Z1102" t="s">
        <v>122</v>
      </c>
      <c r="AA1102" s="2" t="s">
        <v>547</v>
      </c>
      <c r="AB1102" t="s">
        <v>548</v>
      </c>
      <c r="AG1102" t="s">
        <v>8223</v>
      </c>
      <c r="AH1102" t="s">
        <v>8215</v>
      </c>
      <c r="AI1102" t="s">
        <v>8224</v>
      </c>
    </row>
    <row r="1103" spans="2:35" ht="240">
      <c r="B1103" s="1">
        <v>45915</v>
      </c>
      <c r="C1103" s="1">
        <v>45898</v>
      </c>
      <c r="D1103" t="s">
        <v>8225</v>
      </c>
      <c r="E1103" t="s">
        <v>8226</v>
      </c>
      <c r="F1103" t="s">
        <v>37</v>
      </c>
      <c r="G1103" t="s">
        <v>748</v>
      </c>
      <c r="H1103" t="s">
        <v>39</v>
      </c>
      <c r="I1103" t="s">
        <v>40</v>
      </c>
      <c r="J1103" t="s">
        <v>109</v>
      </c>
      <c r="K1103" t="s">
        <v>42</v>
      </c>
      <c r="L1103" t="s">
        <v>1028</v>
      </c>
      <c r="N1103" t="s">
        <v>1029</v>
      </c>
      <c r="O1103" t="s">
        <v>3784</v>
      </c>
      <c r="Q1103">
        <v>31443</v>
      </c>
      <c r="R1103" t="s">
        <v>322</v>
      </c>
      <c r="S1103" t="s">
        <v>3785</v>
      </c>
      <c r="T1103">
        <v>25</v>
      </c>
      <c r="U1103" s="2" t="s">
        <v>8227</v>
      </c>
      <c r="W1103" t="s">
        <v>1032</v>
      </c>
      <c r="X1103">
        <v>110016785</v>
      </c>
      <c r="Y1103" t="s">
        <v>1978</v>
      </c>
      <c r="Z1103" t="s">
        <v>1548</v>
      </c>
      <c r="AA1103" s="2" t="s">
        <v>1979</v>
      </c>
      <c r="AB1103" t="s">
        <v>3300</v>
      </c>
      <c r="AG1103" t="s">
        <v>8228</v>
      </c>
      <c r="AH1103" t="s">
        <v>8229</v>
      </c>
      <c r="AI1103" t="s">
        <v>8230</v>
      </c>
    </row>
    <row r="1104" spans="2:35" ht="255">
      <c r="B1104" s="1">
        <v>45915</v>
      </c>
      <c r="C1104" s="1">
        <v>45905</v>
      </c>
      <c r="D1104" t="s">
        <v>1026</v>
      </c>
      <c r="E1104" t="s">
        <v>8231</v>
      </c>
      <c r="F1104" t="s">
        <v>148</v>
      </c>
      <c r="G1104" t="s">
        <v>774</v>
      </c>
      <c r="H1104" t="s">
        <v>513</v>
      </c>
      <c r="I1104" t="s">
        <v>40</v>
      </c>
      <c r="J1104" t="s">
        <v>321</v>
      </c>
      <c r="K1104" t="s">
        <v>387</v>
      </c>
      <c r="L1104" t="s">
        <v>1028</v>
      </c>
      <c r="N1104" t="s">
        <v>1029</v>
      </c>
      <c r="Q1104">
        <v>31442</v>
      </c>
      <c r="R1104" t="s">
        <v>95</v>
      </c>
      <c r="S1104" t="s">
        <v>3772</v>
      </c>
      <c r="T1104">
        <v>25</v>
      </c>
      <c r="V1104" s="1">
        <v>45897</v>
      </c>
      <c r="W1104" t="s">
        <v>390</v>
      </c>
      <c r="X1104" t="s">
        <v>3773</v>
      </c>
      <c r="Y1104" t="s">
        <v>8232</v>
      </c>
      <c r="Z1104" t="s">
        <v>3764</v>
      </c>
      <c r="AA1104" s="2" t="s">
        <v>8233</v>
      </c>
      <c r="AB1104" t="s">
        <v>3777</v>
      </c>
      <c r="AC1104" t="s">
        <v>8234</v>
      </c>
      <c r="AD1104" t="s">
        <v>390</v>
      </c>
      <c r="AE1104" t="s">
        <v>8235</v>
      </c>
      <c r="AG1104" t="s">
        <v>8236</v>
      </c>
      <c r="AH1104" t="s">
        <v>8237</v>
      </c>
      <c r="AI1104" t="s">
        <v>8238</v>
      </c>
    </row>
    <row r="1105" spans="2:35" ht="409.5">
      <c r="B1105" s="1">
        <v>45915</v>
      </c>
      <c r="C1105" s="1">
        <v>45911</v>
      </c>
      <c r="D1105" t="s">
        <v>6682</v>
      </c>
      <c r="E1105" t="s">
        <v>5764</v>
      </c>
      <c r="F1105" t="s">
        <v>37</v>
      </c>
      <c r="G1105" t="s">
        <v>78</v>
      </c>
      <c r="H1105" t="s">
        <v>39</v>
      </c>
      <c r="I1105" t="s">
        <v>40</v>
      </c>
      <c r="J1105" s="2" t="s">
        <v>1808</v>
      </c>
      <c r="K1105" t="s">
        <v>42</v>
      </c>
      <c r="L1105" t="s">
        <v>1943</v>
      </c>
      <c r="N1105" t="s">
        <v>1944</v>
      </c>
      <c r="Q1105">
        <v>31441</v>
      </c>
      <c r="R1105" t="s">
        <v>119</v>
      </c>
      <c r="S1105" t="s">
        <v>8239</v>
      </c>
      <c r="T1105">
        <v>25</v>
      </c>
      <c r="V1105" s="1">
        <v>45902</v>
      </c>
      <c r="W1105" t="s">
        <v>84</v>
      </c>
      <c r="X1105">
        <v>838225</v>
      </c>
      <c r="Y1105" s="2" t="s">
        <v>8240</v>
      </c>
      <c r="Z1105" t="s">
        <v>8241</v>
      </c>
      <c r="AA1105" s="2" t="s">
        <v>8242</v>
      </c>
      <c r="AB1105" t="s">
        <v>8243</v>
      </c>
      <c r="AD1105" t="s">
        <v>8244</v>
      </c>
      <c r="AE1105" t="s">
        <v>8245</v>
      </c>
      <c r="AG1105" t="s">
        <v>8246</v>
      </c>
      <c r="AH1105" t="s">
        <v>8247</v>
      </c>
      <c r="AI1105" t="s">
        <v>8248</v>
      </c>
    </row>
    <row r="1106" spans="2:35" ht="360">
      <c r="B1106" s="1">
        <v>45915</v>
      </c>
      <c r="C1106" s="1">
        <v>45912</v>
      </c>
      <c r="D1106" t="s">
        <v>837</v>
      </c>
      <c r="E1106" t="s">
        <v>8102</v>
      </c>
      <c r="F1106">
        <v>5</v>
      </c>
      <c r="G1106" t="s">
        <v>839</v>
      </c>
      <c r="H1106" t="s">
        <v>513</v>
      </c>
      <c r="I1106" t="s">
        <v>94</v>
      </c>
      <c r="J1106" s="2" t="s">
        <v>190</v>
      </c>
      <c r="K1106" t="s">
        <v>387</v>
      </c>
      <c r="L1106" t="s">
        <v>761</v>
      </c>
      <c r="N1106" t="s">
        <v>762</v>
      </c>
      <c r="O1106" t="s">
        <v>3000</v>
      </c>
      <c r="Q1106">
        <v>31440</v>
      </c>
      <c r="R1106" t="s">
        <v>322</v>
      </c>
      <c r="S1106" t="s">
        <v>8249</v>
      </c>
      <c r="T1106">
        <v>25</v>
      </c>
      <c r="W1106" t="s">
        <v>390</v>
      </c>
      <c r="X1106" t="s">
        <v>3514</v>
      </c>
      <c r="Y1106" t="s">
        <v>8250</v>
      </c>
      <c r="Z1106" s="2" t="s">
        <v>8251</v>
      </c>
      <c r="AA1106" s="2" t="s">
        <v>3517</v>
      </c>
      <c r="AB1106" t="s">
        <v>70</v>
      </c>
      <c r="AG1106" t="s">
        <v>8252</v>
      </c>
      <c r="AH1106" t="s">
        <v>8253</v>
      </c>
      <c r="AI1106" t="s">
        <v>8254</v>
      </c>
    </row>
    <row r="1107" spans="2:35">
      <c r="B1107" s="1">
        <v>45912</v>
      </c>
      <c r="C1107" s="1">
        <v>45912</v>
      </c>
      <c r="D1107" t="s">
        <v>7209</v>
      </c>
      <c r="E1107" t="s">
        <v>229</v>
      </c>
      <c r="F1107" t="s">
        <v>148</v>
      </c>
      <c r="G1107" t="s">
        <v>230</v>
      </c>
      <c r="H1107" t="s">
        <v>39</v>
      </c>
      <c r="I1107" t="s">
        <v>40</v>
      </c>
      <c r="J1107" t="s">
        <v>109</v>
      </c>
      <c r="K1107" t="s">
        <v>42</v>
      </c>
      <c r="L1107" t="s">
        <v>175</v>
      </c>
      <c r="N1107" t="s">
        <v>176</v>
      </c>
      <c r="Q1107">
        <v>31439</v>
      </c>
      <c r="R1107" t="s">
        <v>322</v>
      </c>
      <c r="S1107" t="s">
        <v>4880</v>
      </c>
      <c r="T1107">
        <v>25</v>
      </c>
      <c r="W1107" t="s">
        <v>373</v>
      </c>
      <c r="X1107">
        <v>120003480</v>
      </c>
      <c r="Y1107" t="s">
        <v>8255</v>
      </c>
      <c r="Z1107" t="s">
        <v>103</v>
      </c>
      <c r="AA1107" t="e">
        <f ca="1">- assisted end user _xludf.For GX relocation
- installed Unit on a temporary facility
- checked cartridge bay, plunger rod, _xludf.filter, icore slot
- generated reports
- performed self test</f>
        <v>#NAME?</v>
      </c>
      <c r="AB1107" t="s">
        <v>181</v>
      </c>
      <c r="AG1107" t="s">
        <v>8256</v>
      </c>
      <c r="AH1107" t="s">
        <v>8257</v>
      </c>
      <c r="AI1107" t="s">
        <v>8258</v>
      </c>
    </row>
    <row r="1108" spans="2:35">
      <c r="B1108" s="1">
        <v>45912</v>
      </c>
      <c r="C1108" s="1">
        <v>45912</v>
      </c>
      <c r="D1108" t="s">
        <v>1168</v>
      </c>
      <c r="E1108" t="s">
        <v>1169</v>
      </c>
      <c r="F1108" t="s">
        <v>148</v>
      </c>
      <c r="G1108" t="s">
        <v>310</v>
      </c>
      <c r="H1108" t="s">
        <v>39</v>
      </c>
      <c r="I1108" t="s">
        <v>40</v>
      </c>
      <c r="J1108" t="s">
        <v>996</v>
      </c>
      <c r="K1108" t="s">
        <v>42</v>
      </c>
      <c r="L1108" t="s">
        <v>857</v>
      </c>
      <c r="N1108" t="s">
        <v>7396</v>
      </c>
      <c r="Q1108">
        <v>31438</v>
      </c>
      <c r="R1108" t="s">
        <v>322</v>
      </c>
      <c r="S1108" t="s">
        <v>859</v>
      </c>
      <c r="T1108">
        <v>21</v>
      </c>
      <c r="V1108" s="1">
        <v>45910</v>
      </c>
      <c r="W1108" t="s">
        <v>860</v>
      </c>
      <c r="X1108">
        <v>809643</v>
      </c>
      <c r="Y1108" t="s">
        <v>8259</v>
      </c>
      <c r="Z1108" t="s">
        <v>301</v>
      </c>
      <c r="AA1108" t="e">
        <f ca="1">- performed Maintenance Cleaning
- performed XpertCheck PROCEDURE</f>
        <v>#NAME?</v>
      </c>
      <c r="AB1108" t="s">
        <v>8260</v>
      </c>
      <c r="AD1108" t="s">
        <v>8261</v>
      </c>
      <c r="AE1108" t="s">
        <v>8262</v>
      </c>
      <c r="AG1108" t="s">
        <v>8263</v>
      </c>
      <c r="AH1108" t="s">
        <v>8094</v>
      </c>
      <c r="AI1108" t="s">
        <v>8264</v>
      </c>
    </row>
    <row r="1109" spans="2:35" ht="255">
      <c r="B1109" s="1">
        <v>45912</v>
      </c>
      <c r="C1109" s="1">
        <v>45912</v>
      </c>
      <c r="D1109" t="s">
        <v>4206</v>
      </c>
      <c r="E1109" t="s">
        <v>8265</v>
      </c>
      <c r="F1109">
        <v>11</v>
      </c>
      <c r="G1109" t="s">
        <v>2836</v>
      </c>
      <c r="H1109" t="s">
        <v>202</v>
      </c>
      <c r="I1109" t="s">
        <v>40</v>
      </c>
      <c r="J1109" t="s">
        <v>109</v>
      </c>
      <c r="K1109" t="s">
        <v>42</v>
      </c>
      <c r="L1109" t="s">
        <v>204</v>
      </c>
      <c r="N1109" t="s">
        <v>205</v>
      </c>
      <c r="Q1109">
        <v>31437</v>
      </c>
      <c r="R1109" t="s">
        <v>119</v>
      </c>
      <c r="S1109" t="s">
        <v>4209</v>
      </c>
      <c r="T1109">
        <v>22.4</v>
      </c>
      <c r="U1109" s="2" t="s">
        <v>8266</v>
      </c>
      <c r="W1109" t="s">
        <v>208</v>
      </c>
      <c r="X1109">
        <v>838295</v>
      </c>
      <c r="Y1109" t="s">
        <v>1052</v>
      </c>
      <c r="Z1109" s="2" t="s">
        <v>1892</v>
      </c>
      <c r="AA1109" t="s">
        <v>2551</v>
      </c>
      <c r="AB1109" t="s">
        <v>1211</v>
      </c>
      <c r="AG1109" t="s">
        <v>8267</v>
      </c>
      <c r="AH1109" t="s">
        <v>4216</v>
      </c>
      <c r="AI1109" t="s">
        <v>8268</v>
      </c>
    </row>
    <row r="1110" spans="2:35" ht="225">
      <c r="B1110" s="1">
        <v>45912</v>
      </c>
      <c r="C1110" s="1">
        <v>45911</v>
      </c>
      <c r="D1110" t="s">
        <v>1686</v>
      </c>
      <c r="E1110" t="s">
        <v>8269</v>
      </c>
      <c r="F1110" t="s">
        <v>148</v>
      </c>
      <c r="G1110" t="s">
        <v>785</v>
      </c>
      <c r="H1110" t="s">
        <v>39</v>
      </c>
      <c r="I1110" t="s">
        <v>40</v>
      </c>
      <c r="J1110" t="s">
        <v>109</v>
      </c>
      <c r="K1110" t="s">
        <v>42</v>
      </c>
      <c r="L1110" t="s">
        <v>43</v>
      </c>
      <c r="N1110" t="s">
        <v>44</v>
      </c>
      <c r="Q1110">
        <v>31436</v>
      </c>
      <c r="R1110" t="s">
        <v>322</v>
      </c>
      <c r="S1110" t="s">
        <v>1688</v>
      </c>
      <c r="T1110">
        <v>22</v>
      </c>
      <c r="U1110" s="2" t="s">
        <v>8270</v>
      </c>
      <c r="W1110" t="s">
        <v>153</v>
      </c>
      <c r="X1110">
        <v>110024247</v>
      </c>
      <c r="Y1110" t="s">
        <v>121</v>
      </c>
      <c r="Z1110" t="s">
        <v>122</v>
      </c>
      <c r="AA1110" s="2" t="s">
        <v>8271</v>
      </c>
      <c r="AB1110" t="s">
        <v>548</v>
      </c>
      <c r="AG1110" t="s">
        <v>8272</v>
      </c>
      <c r="AH1110" t="s">
        <v>8273</v>
      </c>
      <c r="AI1110" t="s">
        <v>8274</v>
      </c>
    </row>
    <row r="1111" spans="2:35" ht="225">
      <c r="B1111" s="1">
        <v>45912</v>
      </c>
      <c r="C1111" s="1">
        <v>45911</v>
      </c>
      <c r="D1111" t="s">
        <v>1678</v>
      </c>
      <c r="E1111" t="s">
        <v>8275</v>
      </c>
      <c r="F1111" t="s">
        <v>148</v>
      </c>
      <c r="G1111" t="s">
        <v>785</v>
      </c>
      <c r="H1111" t="s">
        <v>39</v>
      </c>
      <c r="I1111" t="s">
        <v>40</v>
      </c>
      <c r="J1111" t="s">
        <v>109</v>
      </c>
      <c r="K1111" t="s">
        <v>42</v>
      </c>
      <c r="L1111" t="s">
        <v>43</v>
      </c>
      <c r="N1111" t="s">
        <v>44</v>
      </c>
      <c r="Q1111">
        <v>31434</v>
      </c>
      <c r="R1111" t="s">
        <v>322</v>
      </c>
      <c r="S1111" t="s">
        <v>1680</v>
      </c>
      <c r="T1111">
        <v>22</v>
      </c>
      <c r="U1111" s="2" t="s">
        <v>8276</v>
      </c>
      <c r="W1111" t="s">
        <v>153</v>
      </c>
      <c r="X1111">
        <v>110024246</v>
      </c>
      <c r="Y1111" t="s">
        <v>121</v>
      </c>
      <c r="Z1111" t="s">
        <v>122</v>
      </c>
      <c r="AA1111" s="2" t="s">
        <v>8277</v>
      </c>
      <c r="AB1111" t="s">
        <v>548</v>
      </c>
      <c r="AG1111" t="s">
        <v>8278</v>
      </c>
      <c r="AH1111" t="s">
        <v>1684</v>
      </c>
      <c r="AI1111" t="s">
        <v>8279</v>
      </c>
    </row>
    <row r="1112" spans="2:35" ht="360">
      <c r="B1112" s="1">
        <v>45912</v>
      </c>
      <c r="C1112" s="1">
        <v>45910</v>
      </c>
      <c r="D1112" t="s">
        <v>1081</v>
      </c>
      <c r="E1112" t="s">
        <v>1082</v>
      </c>
      <c r="F1112" t="s">
        <v>148</v>
      </c>
      <c r="G1112" t="s">
        <v>785</v>
      </c>
      <c r="H1112" t="s">
        <v>386</v>
      </c>
      <c r="I1112" t="s">
        <v>40</v>
      </c>
      <c r="J1112" s="2" t="s">
        <v>8280</v>
      </c>
      <c r="K1112" t="s">
        <v>387</v>
      </c>
      <c r="L1112" t="s">
        <v>43</v>
      </c>
      <c r="N1112" t="s">
        <v>44</v>
      </c>
      <c r="O1112" t="s">
        <v>2015</v>
      </c>
      <c r="Q1112">
        <v>31435</v>
      </c>
      <c r="R1112" t="s">
        <v>95</v>
      </c>
      <c r="S1112" t="s">
        <v>8281</v>
      </c>
      <c r="T1112">
        <v>24</v>
      </c>
      <c r="W1112" t="s">
        <v>390</v>
      </c>
      <c r="X1112" t="s">
        <v>2075</v>
      </c>
      <c r="Y1112" t="s">
        <v>8282</v>
      </c>
      <c r="Z1112" t="s">
        <v>8283</v>
      </c>
      <c r="AA1112" s="2" t="s">
        <v>8284</v>
      </c>
      <c r="AB1112" t="s">
        <v>88</v>
      </c>
      <c r="AG1112" t="s">
        <v>8285</v>
      </c>
      <c r="AH1112" t="s">
        <v>8286</v>
      </c>
      <c r="AI1112" t="s">
        <v>8287</v>
      </c>
    </row>
    <row r="1113" spans="2:35" ht="255">
      <c r="B1113" s="1">
        <v>45912</v>
      </c>
      <c r="C1113" s="1">
        <v>45910</v>
      </c>
      <c r="D1113" t="s">
        <v>1081</v>
      </c>
      <c r="E1113" t="s">
        <v>1082</v>
      </c>
      <c r="F1113" t="s">
        <v>148</v>
      </c>
      <c r="G1113" t="s">
        <v>785</v>
      </c>
      <c r="H1113" t="s">
        <v>1083</v>
      </c>
      <c r="I1113" t="s">
        <v>40</v>
      </c>
      <c r="J1113" t="s">
        <v>109</v>
      </c>
      <c r="K1113" t="s">
        <v>387</v>
      </c>
      <c r="L1113" t="s">
        <v>43</v>
      </c>
      <c r="N1113" t="s">
        <v>44</v>
      </c>
      <c r="O1113" t="s">
        <v>2015</v>
      </c>
      <c r="Q1113">
        <v>31433</v>
      </c>
      <c r="R1113" t="s">
        <v>95</v>
      </c>
      <c r="S1113" t="s">
        <v>1084</v>
      </c>
      <c r="T1113">
        <v>24</v>
      </c>
      <c r="W1113" t="s">
        <v>390</v>
      </c>
      <c r="X1113" t="s">
        <v>5969</v>
      </c>
      <c r="Y1113" t="s">
        <v>121</v>
      </c>
      <c r="Z1113" t="s">
        <v>122</v>
      </c>
      <c r="AA1113" s="2" t="s">
        <v>2076</v>
      </c>
      <c r="AB1113" t="s">
        <v>88</v>
      </c>
      <c r="AG1113" t="s">
        <v>8288</v>
      </c>
      <c r="AH1113" t="s">
        <v>8289</v>
      </c>
      <c r="AI1113" t="s">
        <v>8290</v>
      </c>
    </row>
    <row r="1114" spans="2:35" ht="225">
      <c r="B1114" s="1">
        <v>45912</v>
      </c>
      <c r="C1114" s="1">
        <v>45910</v>
      </c>
      <c r="D1114" t="s">
        <v>1081</v>
      </c>
      <c r="E1114" t="s">
        <v>1082</v>
      </c>
      <c r="F1114" t="s">
        <v>148</v>
      </c>
      <c r="G1114" t="s">
        <v>785</v>
      </c>
      <c r="H1114" t="s">
        <v>39</v>
      </c>
      <c r="I1114" t="s">
        <v>40</v>
      </c>
      <c r="J1114" t="s">
        <v>109</v>
      </c>
      <c r="K1114" t="s">
        <v>42</v>
      </c>
      <c r="L1114" t="s">
        <v>43</v>
      </c>
      <c r="N1114" t="s">
        <v>44</v>
      </c>
      <c r="Q1114">
        <v>31432</v>
      </c>
      <c r="R1114" t="s">
        <v>95</v>
      </c>
      <c r="S1114" t="s">
        <v>2016</v>
      </c>
      <c r="T1114">
        <v>22</v>
      </c>
      <c r="W1114" t="s">
        <v>5136</v>
      </c>
      <c r="X1114">
        <v>110015767</v>
      </c>
      <c r="Y1114" t="s">
        <v>121</v>
      </c>
      <c r="Z1114" t="s">
        <v>122</v>
      </c>
      <c r="AA1114" s="2" t="s">
        <v>5587</v>
      </c>
      <c r="AB1114" t="s">
        <v>88</v>
      </c>
      <c r="AG1114" t="s">
        <v>8291</v>
      </c>
      <c r="AH1114" t="s">
        <v>2022</v>
      </c>
      <c r="AI1114" t="s">
        <v>8292</v>
      </c>
    </row>
    <row r="1115" spans="2:35" ht="300">
      <c r="B1115" s="1">
        <v>45911</v>
      </c>
      <c r="C1115" s="1">
        <v>45910</v>
      </c>
      <c r="D1115" t="s">
        <v>5807</v>
      </c>
      <c r="E1115" t="s">
        <v>7098</v>
      </c>
      <c r="F1115">
        <v>5</v>
      </c>
      <c r="G1115" t="s">
        <v>839</v>
      </c>
      <c r="H1115" t="s">
        <v>39</v>
      </c>
      <c r="I1115" t="s">
        <v>94</v>
      </c>
      <c r="J1115" s="2" t="s">
        <v>190</v>
      </c>
      <c r="K1115" t="s">
        <v>42</v>
      </c>
      <c r="L1115" t="s">
        <v>761</v>
      </c>
      <c r="N1115" t="s">
        <v>762</v>
      </c>
      <c r="Q1115">
        <v>31431</v>
      </c>
      <c r="R1115" t="s">
        <v>119</v>
      </c>
      <c r="S1115" t="s">
        <v>7099</v>
      </c>
      <c r="T1115">
        <v>20</v>
      </c>
      <c r="U1115" s="2" t="s">
        <v>8293</v>
      </c>
      <c r="W1115" t="s">
        <v>765</v>
      </c>
      <c r="X1115">
        <v>838408</v>
      </c>
      <c r="Y1115" s="2" t="s">
        <v>8294</v>
      </c>
      <c r="Z1115" s="2" t="s">
        <v>8295</v>
      </c>
      <c r="AA1115" s="2" t="s">
        <v>3517</v>
      </c>
      <c r="AB1115" s="2" t="s">
        <v>8296</v>
      </c>
      <c r="AG1115" t="s">
        <v>8297</v>
      </c>
      <c r="AH1115" t="s">
        <v>7107</v>
      </c>
      <c r="AI1115" t="s">
        <v>8298</v>
      </c>
    </row>
    <row r="1116" spans="2:35" ht="285">
      <c r="B1116" s="1">
        <v>45911</v>
      </c>
      <c r="C1116" s="1">
        <v>45910</v>
      </c>
      <c r="D1116" t="s">
        <v>6555</v>
      </c>
      <c r="E1116" t="s">
        <v>6556</v>
      </c>
      <c r="F1116">
        <v>5</v>
      </c>
      <c r="G1116" t="s">
        <v>839</v>
      </c>
      <c r="H1116" t="s">
        <v>39</v>
      </c>
      <c r="I1116" t="s">
        <v>94</v>
      </c>
      <c r="J1116" s="2" t="s">
        <v>190</v>
      </c>
      <c r="K1116" t="s">
        <v>42</v>
      </c>
      <c r="L1116" t="s">
        <v>761</v>
      </c>
      <c r="N1116" t="s">
        <v>762</v>
      </c>
      <c r="Q1116">
        <v>31430</v>
      </c>
      <c r="R1116" t="s">
        <v>119</v>
      </c>
      <c r="S1116" t="s">
        <v>6557</v>
      </c>
      <c r="T1116">
        <v>21</v>
      </c>
      <c r="U1116" s="2" t="s">
        <v>8299</v>
      </c>
      <c r="W1116" t="s">
        <v>765</v>
      </c>
      <c r="X1116">
        <v>838398</v>
      </c>
      <c r="Y1116" s="2" t="s">
        <v>8300</v>
      </c>
      <c r="Z1116" s="2" t="s">
        <v>8301</v>
      </c>
      <c r="AA1116" s="2" t="s">
        <v>3517</v>
      </c>
      <c r="AB1116" t="s">
        <v>8302</v>
      </c>
      <c r="AG1116" t="s">
        <v>8303</v>
      </c>
      <c r="AH1116" t="s">
        <v>6562</v>
      </c>
      <c r="AI1116" t="s">
        <v>8304</v>
      </c>
    </row>
    <row r="1117" spans="2:35" ht="390">
      <c r="B1117" s="1">
        <v>45911</v>
      </c>
      <c r="C1117" s="1">
        <v>45909</v>
      </c>
      <c r="D1117" t="s">
        <v>4125</v>
      </c>
      <c r="E1117" t="s">
        <v>8305</v>
      </c>
      <c r="F1117">
        <v>5</v>
      </c>
      <c r="G1117" t="s">
        <v>759</v>
      </c>
      <c r="H1117" t="s">
        <v>39</v>
      </c>
      <c r="I1117" t="s">
        <v>40</v>
      </c>
      <c r="J1117" t="s">
        <v>321</v>
      </c>
      <c r="K1117" t="s">
        <v>42</v>
      </c>
      <c r="L1117" t="s">
        <v>761</v>
      </c>
      <c r="N1117" t="s">
        <v>762</v>
      </c>
      <c r="Q1117">
        <v>31429</v>
      </c>
      <c r="R1117" t="s">
        <v>322</v>
      </c>
      <c r="S1117" t="s">
        <v>6855</v>
      </c>
      <c r="T1117">
        <v>20</v>
      </c>
      <c r="W1117" t="s">
        <v>817</v>
      </c>
      <c r="X1117">
        <v>110026767</v>
      </c>
      <c r="Y1117" t="s">
        <v>8306</v>
      </c>
      <c r="Z1117" s="2" t="s">
        <v>8307</v>
      </c>
      <c r="AA1117" t="s">
        <v>8308</v>
      </c>
      <c r="AB1117" s="2" t="s">
        <v>8309</v>
      </c>
      <c r="AG1117" t="s">
        <v>8310</v>
      </c>
      <c r="AH1117" t="s">
        <v>7719</v>
      </c>
      <c r="AI1117" t="s">
        <v>8311</v>
      </c>
    </row>
    <row r="1118" spans="2:35" ht="120">
      <c r="B1118" s="1">
        <v>45911</v>
      </c>
      <c r="C1118" s="1">
        <v>45905</v>
      </c>
      <c r="D1118" t="s">
        <v>8312</v>
      </c>
      <c r="E1118" t="s">
        <v>8313</v>
      </c>
      <c r="F1118">
        <v>5</v>
      </c>
      <c r="G1118" t="s">
        <v>8314</v>
      </c>
      <c r="H1118" t="s">
        <v>39</v>
      </c>
      <c r="I1118" t="s">
        <v>94</v>
      </c>
      <c r="J1118" t="s">
        <v>109</v>
      </c>
      <c r="K1118" t="s">
        <v>42</v>
      </c>
      <c r="L1118" t="s">
        <v>761</v>
      </c>
      <c r="N1118" t="s">
        <v>762</v>
      </c>
      <c r="Q1118">
        <v>31428</v>
      </c>
      <c r="R1118" t="s">
        <v>119</v>
      </c>
      <c r="S1118" t="s">
        <v>8315</v>
      </c>
      <c r="T1118">
        <v>24</v>
      </c>
      <c r="U1118" s="2" t="s">
        <v>8316</v>
      </c>
      <c r="W1118" t="s">
        <v>765</v>
      </c>
      <c r="X1118">
        <v>838563</v>
      </c>
      <c r="Y1118" t="s">
        <v>818</v>
      </c>
      <c r="Z1118" s="2" t="s">
        <v>7933</v>
      </c>
      <c r="AA1118" t="s">
        <v>820</v>
      </c>
      <c r="AB1118" s="2" t="s">
        <v>2996</v>
      </c>
      <c r="AG1118" t="s">
        <v>8317</v>
      </c>
      <c r="AH1118" t="s">
        <v>8318</v>
      </c>
      <c r="AI1118" t="s">
        <v>8319</v>
      </c>
    </row>
    <row r="1119" spans="2:35" ht="120">
      <c r="B1119" s="1">
        <v>45911</v>
      </c>
      <c r="C1119" s="1">
        <v>45903</v>
      </c>
      <c r="D1119" t="s">
        <v>7553</v>
      </c>
      <c r="E1119" t="s">
        <v>4076</v>
      </c>
      <c r="F1119">
        <v>5</v>
      </c>
      <c r="G1119" t="s">
        <v>814</v>
      </c>
      <c r="H1119" t="s">
        <v>39</v>
      </c>
      <c r="I1119" t="s">
        <v>40</v>
      </c>
      <c r="J1119" t="s">
        <v>109</v>
      </c>
      <c r="K1119" t="s">
        <v>42</v>
      </c>
      <c r="L1119" t="s">
        <v>761</v>
      </c>
      <c r="N1119" t="s">
        <v>762</v>
      </c>
      <c r="Q1119">
        <v>31427</v>
      </c>
      <c r="R1119" t="s">
        <v>95</v>
      </c>
      <c r="S1119" t="s">
        <v>8320</v>
      </c>
      <c r="T1119">
        <v>25</v>
      </c>
      <c r="W1119" t="s">
        <v>817</v>
      </c>
      <c r="X1119">
        <v>120002716</v>
      </c>
      <c r="Y1119" t="s">
        <v>818</v>
      </c>
      <c r="Z1119" s="2" t="s">
        <v>1415</v>
      </c>
      <c r="AA1119" t="s">
        <v>820</v>
      </c>
      <c r="AB1119" s="2" t="s">
        <v>2996</v>
      </c>
      <c r="AG1119" t="s">
        <v>8321</v>
      </c>
      <c r="AH1119" t="s">
        <v>8322</v>
      </c>
      <c r="AI1119" t="s">
        <v>8323</v>
      </c>
    </row>
    <row r="1120" spans="2:35" ht="409.5">
      <c r="B1120" s="1">
        <v>45911</v>
      </c>
      <c r="C1120" s="1">
        <v>45911</v>
      </c>
      <c r="D1120" t="s">
        <v>159</v>
      </c>
      <c r="E1120" t="s">
        <v>5764</v>
      </c>
      <c r="F1120" t="s">
        <v>37</v>
      </c>
      <c r="G1120" t="s">
        <v>78</v>
      </c>
      <c r="H1120" t="s">
        <v>150</v>
      </c>
      <c r="I1120" t="s">
        <v>40</v>
      </c>
      <c r="J1120" t="s">
        <v>109</v>
      </c>
      <c r="K1120" t="s">
        <v>42</v>
      </c>
      <c r="L1120" t="s">
        <v>1943</v>
      </c>
      <c r="N1120" t="s">
        <v>1944</v>
      </c>
      <c r="Q1120">
        <v>31426</v>
      </c>
      <c r="R1120" t="s">
        <v>95</v>
      </c>
      <c r="S1120" t="s">
        <v>161</v>
      </c>
      <c r="T1120">
        <v>25</v>
      </c>
      <c r="W1120" t="s">
        <v>5771</v>
      </c>
      <c r="X1120">
        <v>812916</v>
      </c>
      <c r="Y1120" t="s">
        <v>2099</v>
      </c>
      <c r="Z1120" t="s">
        <v>2100</v>
      </c>
      <c r="AA1120" s="2" t="s">
        <v>2101</v>
      </c>
      <c r="AB1120" t="s">
        <v>88</v>
      </c>
      <c r="AG1120" t="s">
        <v>8324</v>
      </c>
      <c r="AH1120" t="s">
        <v>170</v>
      </c>
      <c r="AI1120" t="s">
        <v>8325</v>
      </c>
    </row>
    <row r="1121" spans="2:35">
      <c r="B1121" s="1">
        <v>45911</v>
      </c>
      <c r="C1121" s="1">
        <v>45911</v>
      </c>
      <c r="D1121" t="s">
        <v>1168</v>
      </c>
      <c r="E1121" t="s">
        <v>1169</v>
      </c>
      <c r="F1121" t="s">
        <v>148</v>
      </c>
      <c r="G1121" t="s">
        <v>310</v>
      </c>
      <c r="H1121" t="s">
        <v>39</v>
      </c>
      <c r="I1121" t="s">
        <v>40</v>
      </c>
      <c r="J1121" t="s">
        <v>525</v>
      </c>
      <c r="K1121" t="s">
        <v>42</v>
      </c>
      <c r="L1121" t="s">
        <v>857</v>
      </c>
      <c r="N1121" t="s">
        <v>7396</v>
      </c>
      <c r="Q1121">
        <v>31425</v>
      </c>
      <c r="R1121" t="s">
        <v>322</v>
      </c>
      <c r="S1121" t="s">
        <v>859</v>
      </c>
      <c r="T1121">
        <v>21</v>
      </c>
      <c r="W1121" t="s">
        <v>860</v>
      </c>
      <c r="X1121">
        <v>809643</v>
      </c>
      <c r="Y1121" t="s">
        <v>8326</v>
      </c>
      <c r="Z1121" t="s">
        <v>8327</v>
      </c>
      <c r="AA1121" t="e">
        <f ca="1">- performed functionality test
- performed conveyor realignment
- checked status of conveyor motor</f>
        <v>#NAME?</v>
      </c>
      <c r="AB1121" t="s">
        <v>8328</v>
      </c>
      <c r="AG1121" t="s">
        <v>8329</v>
      </c>
      <c r="AH1121" t="s">
        <v>6762</v>
      </c>
      <c r="AI1121" t="s">
        <v>8330</v>
      </c>
    </row>
    <row r="1122" spans="2:35">
      <c r="B1122" s="1">
        <v>45911</v>
      </c>
      <c r="C1122" s="1">
        <v>45911</v>
      </c>
      <c r="D1122" t="s">
        <v>1155</v>
      </c>
      <c r="E1122" t="s">
        <v>8331</v>
      </c>
      <c r="F1122" t="s">
        <v>148</v>
      </c>
      <c r="G1122" t="s">
        <v>230</v>
      </c>
      <c r="H1122" t="s">
        <v>39</v>
      </c>
      <c r="I1122" t="s">
        <v>40</v>
      </c>
      <c r="J1122" t="s">
        <v>109</v>
      </c>
      <c r="K1122" t="s">
        <v>42</v>
      </c>
      <c r="L1122" t="s">
        <v>175</v>
      </c>
      <c r="N1122" t="s">
        <v>176</v>
      </c>
      <c r="Q1122">
        <v>31424</v>
      </c>
      <c r="R1122" t="s">
        <v>322</v>
      </c>
      <c r="S1122" t="s">
        <v>8332</v>
      </c>
      <c r="T1122">
        <v>25</v>
      </c>
      <c r="W1122" t="s">
        <v>373</v>
      </c>
      <c r="X1122">
        <v>120002891</v>
      </c>
      <c r="Y1122" t="s">
        <v>374</v>
      </c>
      <c r="Z1122" t="s">
        <v>4448</v>
      </c>
      <c r="AA1122" t="e">
        <f ca="1">- checked _xludf.and cleaned cartridge bay, plunger rod, icore slot
- generated reports
- performed self test</f>
        <v>#NAME?</v>
      </c>
      <c r="AB1122" t="s">
        <v>181</v>
      </c>
      <c r="AG1122" t="s">
        <v>8333</v>
      </c>
      <c r="AH1122" t="s">
        <v>1166</v>
      </c>
      <c r="AI1122" t="s">
        <v>8334</v>
      </c>
    </row>
    <row r="1123" spans="2:35" ht="120">
      <c r="B1123" s="1">
        <v>45911</v>
      </c>
      <c r="C1123" s="1">
        <v>45911</v>
      </c>
      <c r="D1123" t="s">
        <v>1155</v>
      </c>
      <c r="E1123" t="s">
        <v>8331</v>
      </c>
      <c r="F1123" t="s">
        <v>148</v>
      </c>
      <c r="G1123" t="s">
        <v>230</v>
      </c>
      <c r="H1123" t="s">
        <v>39</v>
      </c>
      <c r="I1123" t="s">
        <v>40</v>
      </c>
      <c r="J1123" t="s">
        <v>109</v>
      </c>
      <c r="K1123" t="s">
        <v>42</v>
      </c>
      <c r="L1123" t="s">
        <v>175</v>
      </c>
      <c r="N1123" t="s">
        <v>176</v>
      </c>
      <c r="Q1123">
        <v>31423</v>
      </c>
      <c r="R1123" t="s">
        <v>322</v>
      </c>
      <c r="S1123" t="s">
        <v>8332</v>
      </c>
      <c r="T1123">
        <v>25</v>
      </c>
      <c r="W1123" t="s">
        <v>84</v>
      </c>
      <c r="X1123">
        <v>807956</v>
      </c>
      <c r="Y1123" t="s">
        <v>374</v>
      </c>
      <c r="Z1123" t="s">
        <v>103</v>
      </c>
      <c r="AA1123" t="e">
        <f ca="1">- checked _xludf.and cleaned cartridge bay, plunger rod, icore slot, _xludf.filter
- generated reports
- performed self test</f>
        <v>#NAME?</v>
      </c>
      <c r="AB1123" s="2" t="s">
        <v>8335</v>
      </c>
      <c r="AG1123" t="s">
        <v>8336</v>
      </c>
      <c r="AH1123" t="s">
        <v>1166</v>
      </c>
      <c r="AI1123" t="s">
        <v>8337</v>
      </c>
    </row>
    <row r="1124" spans="2:35">
      <c r="B1124" s="1">
        <v>45911</v>
      </c>
      <c r="C1124" s="1">
        <v>45911</v>
      </c>
      <c r="D1124" t="s">
        <v>1155</v>
      </c>
      <c r="E1124" t="s">
        <v>8331</v>
      </c>
      <c r="F1124" t="s">
        <v>148</v>
      </c>
      <c r="G1124" t="s">
        <v>230</v>
      </c>
      <c r="H1124" t="s">
        <v>39</v>
      </c>
      <c r="I1124" t="s">
        <v>40</v>
      </c>
      <c r="J1124" t="s">
        <v>321</v>
      </c>
      <c r="K1124" t="s">
        <v>42</v>
      </c>
      <c r="L1124" t="s">
        <v>175</v>
      </c>
      <c r="N1124" t="s">
        <v>176</v>
      </c>
      <c r="Q1124">
        <v>31422</v>
      </c>
      <c r="R1124" t="s">
        <v>322</v>
      </c>
      <c r="S1124" t="s">
        <v>8332</v>
      </c>
      <c r="T1124">
        <v>25</v>
      </c>
      <c r="W1124" t="s">
        <v>84</v>
      </c>
      <c r="X1124">
        <v>844726</v>
      </c>
      <c r="Y1124" t="s">
        <v>8338</v>
      </c>
      <c r="Z1124" t="s">
        <v>103</v>
      </c>
      <c r="AA1124" t="e">
        <f ca="1">- installed Unit in an existing Setup by installing a _xludf.switch
- generated reports
- performed self test</f>
        <v>#NAME?</v>
      </c>
      <c r="AB1124" t="s">
        <v>181</v>
      </c>
      <c r="AG1124" t="s">
        <v>8339</v>
      </c>
      <c r="AH1124" t="s">
        <v>1166</v>
      </c>
      <c r="AI1124" t="s">
        <v>8340</v>
      </c>
    </row>
    <row r="1125" spans="2:35" ht="165">
      <c r="B1125" s="1">
        <v>45911</v>
      </c>
      <c r="C1125" s="1">
        <v>45911</v>
      </c>
      <c r="D1125" t="s">
        <v>8341</v>
      </c>
      <c r="E1125" t="s">
        <v>8342</v>
      </c>
      <c r="F1125">
        <v>2</v>
      </c>
      <c r="G1125" t="s">
        <v>60</v>
      </c>
      <c r="H1125" t="s">
        <v>39</v>
      </c>
      <c r="I1125" t="s">
        <v>40</v>
      </c>
      <c r="J1125" t="s">
        <v>109</v>
      </c>
      <c r="K1125" t="s">
        <v>42</v>
      </c>
      <c r="L1125" t="s">
        <v>63</v>
      </c>
      <c r="N1125" t="s">
        <v>64</v>
      </c>
      <c r="O1125" t="s">
        <v>64</v>
      </c>
      <c r="Q1125">
        <v>31421</v>
      </c>
      <c r="R1125" t="s">
        <v>119</v>
      </c>
      <c r="S1125" t="s">
        <v>8343</v>
      </c>
      <c r="T1125">
        <v>25</v>
      </c>
      <c r="U1125" s="2" t="s">
        <v>8344</v>
      </c>
      <c r="W1125" t="s">
        <v>66</v>
      </c>
      <c r="X1125">
        <v>838201</v>
      </c>
      <c r="Y1125" t="s">
        <v>2692</v>
      </c>
      <c r="Z1125" s="2" t="s">
        <v>8345</v>
      </c>
      <c r="AA1125" s="2" t="s">
        <v>1727</v>
      </c>
      <c r="AB1125" t="s">
        <v>70</v>
      </c>
      <c r="AG1125" t="s">
        <v>8346</v>
      </c>
      <c r="AH1125" t="s">
        <v>8347</v>
      </c>
      <c r="AI1125" t="s">
        <v>8348</v>
      </c>
    </row>
    <row r="1126" spans="2:35" ht="409.5">
      <c r="B1126" s="1">
        <v>45911</v>
      </c>
      <c r="C1126" s="1">
        <v>45911</v>
      </c>
      <c r="D1126" t="s">
        <v>8349</v>
      </c>
      <c r="E1126">
        <v>110024552</v>
      </c>
      <c r="F1126" t="s">
        <v>37</v>
      </c>
      <c r="G1126" t="s">
        <v>78</v>
      </c>
      <c r="H1126" t="s">
        <v>61</v>
      </c>
      <c r="I1126" t="s">
        <v>40</v>
      </c>
      <c r="J1126" s="2" t="s">
        <v>62</v>
      </c>
      <c r="K1126" t="s">
        <v>42</v>
      </c>
      <c r="L1126" t="s">
        <v>1943</v>
      </c>
      <c r="N1126" t="s">
        <v>1944</v>
      </c>
      <c r="Q1126">
        <v>31420</v>
      </c>
      <c r="R1126" t="s">
        <v>703</v>
      </c>
      <c r="S1126" t="s">
        <v>8350</v>
      </c>
      <c r="T1126">
        <v>22</v>
      </c>
      <c r="U1126" s="2" t="s">
        <v>8351</v>
      </c>
      <c r="V1126" s="1">
        <v>45897</v>
      </c>
      <c r="W1126" t="s">
        <v>373</v>
      </c>
      <c r="X1126">
        <v>110024552</v>
      </c>
      <c r="Y1126" s="2" t="s">
        <v>3044</v>
      </c>
      <c r="Z1126" t="s">
        <v>3045</v>
      </c>
      <c r="AA1126" s="2" t="s">
        <v>3046</v>
      </c>
      <c r="AB1126" t="s">
        <v>8352</v>
      </c>
      <c r="AD1126" t="s">
        <v>5056</v>
      </c>
      <c r="AE1126" t="s">
        <v>8353</v>
      </c>
      <c r="AG1126" t="s">
        <v>8354</v>
      </c>
      <c r="AH1126" t="s">
        <v>8355</v>
      </c>
      <c r="AI1126" t="s">
        <v>8356</v>
      </c>
    </row>
    <row r="1127" spans="2:35" ht="120">
      <c r="B1127" s="1">
        <v>45911</v>
      </c>
      <c r="C1127" s="1">
        <v>45911</v>
      </c>
      <c r="D1127" t="s">
        <v>8357</v>
      </c>
      <c r="E1127" t="s">
        <v>8358</v>
      </c>
      <c r="F1127">
        <v>10</v>
      </c>
      <c r="G1127" t="s">
        <v>8359</v>
      </c>
      <c r="H1127" t="s">
        <v>39</v>
      </c>
      <c r="I1127" t="s">
        <v>40</v>
      </c>
      <c r="J1127" t="s">
        <v>109</v>
      </c>
      <c r="K1127" t="s">
        <v>42</v>
      </c>
      <c r="L1127" t="s">
        <v>933</v>
      </c>
      <c r="N1127" t="s">
        <v>934</v>
      </c>
      <c r="Q1127">
        <v>31419</v>
      </c>
      <c r="R1127" t="s">
        <v>119</v>
      </c>
      <c r="S1127" t="s">
        <v>8360</v>
      </c>
      <c r="T1127">
        <v>27</v>
      </c>
      <c r="W1127" t="s">
        <v>2127</v>
      </c>
      <c r="X1127">
        <v>838566</v>
      </c>
      <c r="Y1127" t="s">
        <v>301</v>
      </c>
      <c r="Z1127" t="s">
        <v>301</v>
      </c>
      <c r="AA1127" s="2" t="s">
        <v>8361</v>
      </c>
      <c r="AB1127" t="s">
        <v>938</v>
      </c>
      <c r="AG1127" t="s">
        <v>8362</v>
      </c>
      <c r="AH1127" t="s">
        <v>8363</v>
      </c>
      <c r="AI1127" t="s">
        <v>8364</v>
      </c>
    </row>
    <row r="1128" spans="2:35" ht="105">
      <c r="B1128" s="1">
        <v>45911</v>
      </c>
      <c r="C1128" s="1">
        <v>45911</v>
      </c>
      <c r="D1128" t="s">
        <v>7471</v>
      </c>
      <c r="E1128" t="s">
        <v>8365</v>
      </c>
      <c r="F1128">
        <v>8</v>
      </c>
      <c r="G1128" t="s">
        <v>342</v>
      </c>
      <c r="H1128" t="s">
        <v>258</v>
      </c>
      <c r="I1128" t="s">
        <v>40</v>
      </c>
      <c r="J1128" t="s">
        <v>109</v>
      </c>
      <c r="K1128" t="s">
        <v>42</v>
      </c>
      <c r="L1128" t="s">
        <v>259</v>
      </c>
      <c r="N1128" t="s">
        <v>260</v>
      </c>
      <c r="Q1128">
        <v>31418</v>
      </c>
      <c r="R1128" t="s">
        <v>119</v>
      </c>
      <c r="S1128" t="s">
        <v>7473</v>
      </c>
      <c r="T1128">
        <v>24</v>
      </c>
      <c r="U1128" s="2" t="s">
        <v>8366</v>
      </c>
      <c r="V1128" s="1">
        <v>45911</v>
      </c>
      <c r="W1128" t="s">
        <v>84</v>
      </c>
      <c r="X1128">
        <v>838421</v>
      </c>
      <c r="Y1128" t="s">
        <v>263</v>
      </c>
      <c r="Z1128" t="s">
        <v>263</v>
      </c>
      <c r="AA1128" t="e">
        <f ca="1">- Monthly Preventive Maintenance</f>
        <v>#NAME?</v>
      </c>
      <c r="AB1128" t="s">
        <v>70</v>
      </c>
      <c r="AG1128" t="s">
        <v>8367</v>
      </c>
      <c r="AH1128" t="s">
        <v>7473</v>
      </c>
      <c r="AI1128" t="s">
        <v>8368</v>
      </c>
    </row>
    <row r="1129" spans="2:35" ht="165">
      <c r="B1129" s="1">
        <v>45911</v>
      </c>
      <c r="C1129" s="1">
        <v>45911</v>
      </c>
      <c r="D1129" t="s">
        <v>8369</v>
      </c>
      <c r="E1129" t="s">
        <v>8370</v>
      </c>
      <c r="F1129">
        <v>2</v>
      </c>
      <c r="G1129" t="s">
        <v>2668</v>
      </c>
      <c r="H1129" t="s">
        <v>39</v>
      </c>
      <c r="I1129" t="s">
        <v>40</v>
      </c>
      <c r="J1129" t="s">
        <v>109</v>
      </c>
      <c r="K1129" t="s">
        <v>42</v>
      </c>
      <c r="L1129" t="s">
        <v>63</v>
      </c>
      <c r="N1129" t="s">
        <v>64</v>
      </c>
      <c r="Q1129">
        <v>31417</v>
      </c>
      <c r="R1129" t="s">
        <v>119</v>
      </c>
      <c r="S1129" t="s">
        <v>8371</v>
      </c>
      <c r="T1129">
        <v>25</v>
      </c>
      <c r="U1129" s="2" t="s">
        <v>8372</v>
      </c>
      <c r="W1129" t="s">
        <v>66</v>
      </c>
      <c r="X1129">
        <v>838480</v>
      </c>
      <c r="Y1129" t="s">
        <v>2692</v>
      </c>
      <c r="Z1129" s="2" t="s">
        <v>8373</v>
      </c>
      <c r="AA1129" s="2" t="s">
        <v>1727</v>
      </c>
      <c r="AB1129" t="s">
        <v>70</v>
      </c>
      <c r="AG1129" t="s">
        <v>8374</v>
      </c>
      <c r="AH1129" t="s">
        <v>8375</v>
      </c>
      <c r="AI1129" t="s">
        <v>8376</v>
      </c>
    </row>
    <row r="1130" spans="2:35">
      <c r="B1130" s="1">
        <v>45911</v>
      </c>
      <c r="C1130" s="1">
        <v>45911</v>
      </c>
      <c r="D1130" t="s">
        <v>8377</v>
      </c>
      <c r="E1130" t="s">
        <v>2547</v>
      </c>
      <c r="F1130">
        <v>11</v>
      </c>
      <c r="G1130" t="s">
        <v>1205</v>
      </c>
      <c r="H1130" t="s">
        <v>8378</v>
      </c>
      <c r="I1130" t="s">
        <v>40</v>
      </c>
      <c r="J1130" t="s">
        <v>7032</v>
      </c>
      <c r="K1130" t="s">
        <v>387</v>
      </c>
      <c r="L1130" t="s">
        <v>204</v>
      </c>
      <c r="N1130" t="s">
        <v>205</v>
      </c>
      <c r="O1130" t="s">
        <v>2867</v>
      </c>
      <c r="Q1130">
        <v>31416</v>
      </c>
      <c r="R1130" t="s">
        <v>95</v>
      </c>
      <c r="S1130" t="s">
        <v>6866</v>
      </c>
      <c r="T1130">
        <v>24.5</v>
      </c>
      <c r="W1130" t="s">
        <v>390</v>
      </c>
      <c r="X1130" t="s">
        <v>6316</v>
      </c>
      <c r="Y1130" t="s">
        <v>8379</v>
      </c>
      <c r="Z1130" t="s">
        <v>8380</v>
      </c>
      <c r="AA1130" t="s">
        <v>8381</v>
      </c>
      <c r="AB1130" t="s">
        <v>8382</v>
      </c>
      <c r="AG1130" t="s">
        <v>8383</v>
      </c>
      <c r="AH1130" t="s">
        <v>8384</v>
      </c>
      <c r="AI1130" t="s">
        <v>8385</v>
      </c>
    </row>
    <row r="1131" spans="2:35" ht="409.5">
      <c r="B1131" s="1">
        <v>45911</v>
      </c>
      <c r="C1131" s="1">
        <v>45911</v>
      </c>
      <c r="D1131" t="s">
        <v>1203</v>
      </c>
      <c r="E1131" t="s">
        <v>8386</v>
      </c>
      <c r="F1131">
        <v>11</v>
      </c>
      <c r="G1131" t="s">
        <v>1205</v>
      </c>
      <c r="H1131" t="s">
        <v>2548</v>
      </c>
      <c r="I1131" t="s">
        <v>40</v>
      </c>
      <c r="J1131" t="s">
        <v>109</v>
      </c>
      <c r="K1131" t="s">
        <v>42</v>
      </c>
      <c r="L1131" t="s">
        <v>204</v>
      </c>
      <c r="N1131" t="s">
        <v>205</v>
      </c>
      <c r="Q1131">
        <v>31415</v>
      </c>
      <c r="R1131" t="s">
        <v>967</v>
      </c>
      <c r="S1131" t="s">
        <v>1206</v>
      </c>
      <c r="T1131">
        <v>26.8</v>
      </c>
      <c r="U1131" s="2" t="s">
        <v>8387</v>
      </c>
      <c r="W1131" t="s">
        <v>2550</v>
      </c>
      <c r="X1131">
        <v>110023505</v>
      </c>
      <c r="Y1131" t="s">
        <v>1052</v>
      </c>
      <c r="Z1131" s="2" t="s">
        <v>1892</v>
      </c>
      <c r="AA1131" t="s">
        <v>2551</v>
      </c>
      <c r="AB1131" t="s">
        <v>1211</v>
      </c>
      <c r="AG1131" t="s">
        <v>8388</v>
      </c>
      <c r="AH1131" t="s">
        <v>1214</v>
      </c>
      <c r="AI1131" t="s">
        <v>8389</v>
      </c>
    </row>
    <row r="1132" spans="2:35" ht="300">
      <c r="B1132" s="1">
        <v>45911</v>
      </c>
      <c r="C1132" s="1">
        <v>45911</v>
      </c>
      <c r="D1132" t="s">
        <v>1203</v>
      </c>
      <c r="E1132" t="s">
        <v>2547</v>
      </c>
      <c r="F1132">
        <v>11</v>
      </c>
      <c r="G1132" t="s">
        <v>1205</v>
      </c>
      <c r="H1132" t="s">
        <v>2548</v>
      </c>
      <c r="I1132" t="s">
        <v>40</v>
      </c>
      <c r="J1132" t="s">
        <v>109</v>
      </c>
      <c r="K1132" t="s">
        <v>42</v>
      </c>
      <c r="L1132" t="s">
        <v>204</v>
      </c>
      <c r="N1132" t="s">
        <v>205</v>
      </c>
      <c r="Q1132">
        <v>31414</v>
      </c>
      <c r="R1132" t="s">
        <v>967</v>
      </c>
      <c r="S1132" t="s">
        <v>1206</v>
      </c>
      <c r="T1132">
        <v>26.8</v>
      </c>
      <c r="U1132" s="2" t="s">
        <v>8390</v>
      </c>
      <c r="W1132" t="s">
        <v>2550</v>
      </c>
      <c r="X1132">
        <v>110023506</v>
      </c>
      <c r="Y1132" t="s">
        <v>1052</v>
      </c>
      <c r="Z1132" s="2" t="s">
        <v>1892</v>
      </c>
      <c r="AA1132" t="s">
        <v>2551</v>
      </c>
      <c r="AB1132" t="s">
        <v>1211</v>
      </c>
      <c r="AG1132" t="s">
        <v>8391</v>
      </c>
      <c r="AH1132" t="s">
        <v>1214</v>
      </c>
      <c r="AI1132" t="s">
        <v>8392</v>
      </c>
    </row>
    <row r="1133" spans="2:35" ht="150">
      <c r="B1133" s="1">
        <v>45910</v>
      </c>
      <c r="C1133" s="1">
        <v>45910</v>
      </c>
      <c r="D1133" t="s">
        <v>8393</v>
      </c>
      <c r="E1133" t="s">
        <v>8394</v>
      </c>
      <c r="F1133">
        <v>2</v>
      </c>
      <c r="G1133" t="s">
        <v>2723</v>
      </c>
      <c r="H1133" t="s">
        <v>6337</v>
      </c>
      <c r="I1133" t="s">
        <v>40</v>
      </c>
      <c r="J1133" s="2" t="s">
        <v>41</v>
      </c>
      <c r="K1133" t="s">
        <v>387</v>
      </c>
      <c r="L1133" t="s">
        <v>63</v>
      </c>
      <c r="N1133" t="s">
        <v>64</v>
      </c>
      <c r="Q1133">
        <v>31413</v>
      </c>
      <c r="R1133" t="s">
        <v>322</v>
      </c>
      <c r="S1133" t="s">
        <v>8395</v>
      </c>
      <c r="T1133">
        <v>25</v>
      </c>
      <c r="V1133" s="1">
        <v>45882</v>
      </c>
      <c r="W1133" t="s">
        <v>390</v>
      </c>
      <c r="X1133" t="s">
        <v>8396</v>
      </c>
      <c r="Y1133" t="s">
        <v>8397</v>
      </c>
      <c r="Z1133" t="s">
        <v>8398</v>
      </c>
      <c r="AA1133" s="2" t="s">
        <v>8399</v>
      </c>
      <c r="AB1133" t="s">
        <v>70</v>
      </c>
      <c r="AD1133" t="s">
        <v>8400</v>
      </c>
      <c r="AE1133">
        <v>13246</v>
      </c>
      <c r="AG1133" t="s">
        <v>8401</v>
      </c>
      <c r="AH1133" t="s">
        <v>8402</v>
      </c>
      <c r="AI1133" t="s">
        <v>8403</v>
      </c>
    </row>
    <row r="1134" spans="2:35" ht="409.5">
      <c r="B1134" s="1">
        <v>45910</v>
      </c>
      <c r="C1134" s="1">
        <v>45910</v>
      </c>
      <c r="D1134" t="s">
        <v>2272</v>
      </c>
      <c r="E1134" t="s">
        <v>8404</v>
      </c>
      <c r="F1134" t="s">
        <v>148</v>
      </c>
      <c r="G1134" t="s">
        <v>310</v>
      </c>
      <c r="H1134" t="s">
        <v>2274</v>
      </c>
      <c r="I1134" t="s">
        <v>40</v>
      </c>
      <c r="J1134" s="2" t="s">
        <v>4208</v>
      </c>
      <c r="K1134" t="s">
        <v>387</v>
      </c>
      <c r="L1134" t="s">
        <v>1943</v>
      </c>
      <c r="N1134" t="s">
        <v>1944</v>
      </c>
      <c r="Q1134">
        <v>31412</v>
      </c>
      <c r="R1134" t="s">
        <v>95</v>
      </c>
      <c r="S1134" t="s">
        <v>2276</v>
      </c>
      <c r="T1134">
        <v>25</v>
      </c>
      <c r="W1134" t="s">
        <v>390</v>
      </c>
      <c r="X1134" t="s">
        <v>2277</v>
      </c>
      <c r="Y1134" s="2" t="s">
        <v>8405</v>
      </c>
      <c r="Z1134" t="s">
        <v>4402</v>
      </c>
      <c r="AA1134" s="2" t="s">
        <v>8406</v>
      </c>
      <c r="AB1134" t="s">
        <v>8407</v>
      </c>
      <c r="AG1134" t="s">
        <v>8408</v>
      </c>
      <c r="AH1134" t="s">
        <v>8409</v>
      </c>
      <c r="AI1134" t="s">
        <v>8410</v>
      </c>
    </row>
    <row r="1135" spans="2:35" ht="105">
      <c r="B1135" s="1">
        <v>45910</v>
      </c>
      <c r="C1135" s="1">
        <v>45910</v>
      </c>
      <c r="D1135" t="s">
        <v>5563</v>
      </c>
      <c r="E1135" t="s">
        <v>1555</v>
      </c>
      <c r="F1135">
        <v>7</v>
      </c>
      <c r="G1135" t="s">
        <v>432</v>
      </c>
      <c r="H1135" t="s">
        <v>150</v>
      </c>
      <c r="I1135" t="s">
        <v>40</v>
      </c>
      <c r="J1135" t="s">
        <v>109</v>
      </c>
      <c r="K1135" t="s">
        <v>42</v>
      </c>
      <c r="L1135" t="s">
        <v>343</v>
      </c>
      <c r="N1135" t="s">
        <v>344</v>
      </c>
      <c r="Q1135">
        <v>31411</v>
      </c>
      <c r="R1135" t="s">
        <v>119</v>
      </c>
      <c r="S1135" t="s">
        <v>5564</v>
      </c>
      <c r="T1135">
        <v>27</v>
      </c>
      <c r="U1135" s="2" t="s">
        <v>8411</v>
      </c>
      <c r="W1135" t="s">
        <v>1501</v>
      </c>
      <c r="X1135">
        <v>838561</v>
      </c>
      <c r="Y1135" t="s">
        <v>8412</v>
      </c>
      <c r="Z1135" t="s">
        <v>8413</v>
      </c>
      <c r="AA1135" t="e">
        <f ca="1">-Preventive Maintenance</f>
        <v>#NAME?</v>
      </c>
      <c r="AB1135" t="s">
        <v>1467</v>
      </c>
      <c r="AG1135" t="s">
        <v>8414</v>
      </c>
      <c r="AH1135" t="s">
        <v>8415</v>
      </c>
      <c r="AI1135" t="s">
        <v>8416</v>
      </c>
    </row>
    <row r="1136" spans="2:35" ht="255">
      <c r="B1136" s="1">
        <v>45910</v>
      </c>
      <c r="C1136" s="1">
        <v>45910</v>
      </c>
      <c r="D1136" t="s">
        <v>2773</v>
      </c>
      <c r="E1136" t="s">
        <v>8417</v>
      </c>
      <c r="F1136">
        <v>2</v>
      </c>
      <c r="G1136" t="s">
        <v>2723</v>
      </c>
      <c r="H1136" t="s">
        <v>8418</v>
      </c>
      <c r="I1136" t="s">
        <v>40</v>
      </c>
      <c r="J1136" s="2" t="s">
        <v>8419</v>
      </c>
      <c r="K1136" t="s">
        <v>387</v>
      </c>
      <c r="L1136" t="s">
        <v>63</v>
      </c>
      <c r="N1136" t="s">
        <v>64</v>
      </c>
      <c r="Q1136">
        <v>31410</v>
      </c>
      <c r="R1136" t="s">
        <v>322</v>
      </c>
      <c r="S1136" t="s">
        <v>8420</v>
      </c>
      <c r="T1136">
        <v>25</v>
      </c>
      <c r="V1136" s="1">
        <v>45902</v>
      </c>
      <c r="W1136" t="s">
        <v>390</v>
      </c>
      <c r="X1136" t="s">
        <v>8421</v>
      </c>
      <c r="Y1136" s="2" t="s">
        <v>8422</v>
      </c>
      <c r="Z1136" s="2" t="s">
        <v>8423</v>
      </c>
      <c r="AA1136" s="2" t="s">
        <v>8424</v>
      </c>
      <c r="AB1136" t="s">
        <v>70</v>
      </c>
      <c r="AD1136" t="s">
        <v>8425</v>
      </c>
      <c r="AE1136">
        <v>13307</v>
      </c>
      <c r="AG1136" t="s">
        <v>8426</v>
      </c>
      <c r="AH1136" t="s">
        <v>8427</v>
      </c>
      <c r="AI1136" t="s">
        <v>8428</v>
      </c>
    </row>
    <row r="1137" spans="2:35" ht="360">
      <c r="B1137" s="1">
        <v>45910</v>
      </c>
      <c r="C1137" s="1">
        <v>45910</v>
      </c>
      <c r="D1137" t="s">
        <v>8429</v>
      </c>
      <c r="E1137" t="s">
        <v>8430</v>
      </c>
      <c r="F1137">
        <v>11</v>
      </c>
      <c r="G1137" t="s">
        <v>1205</v>
      </c>
      <c r="H1137" t="s">
        <v>202</v>
      </c>
      <c r="I1137" t="s">
        <v>40</v>
      </c>
      <c r="J1137" s="2" t="s">
        <v>41</v>
      </c>
      <c r="K1137" t="s">
        <v>42</v>
      </c>
      <c r="L1137" t="s">
        <v>204</v>
      </c>
      <c r="N1137" t="s">
        <v>205</v>
      </c>
      <c r="Q1137">
        <v>31409</v>
      </c>
      <c r="R1137" t="s">
        <v>119</v>
      </c>
      <c r="S1137" t="s">
        <v>8431</v>
      </c>
      <c r="T1137">
        <v>24.6</v>
      </c>
      <c r="U1137" s="2" t="s">
        <v>8432</v>
      </c>
      <c r="W1137" t="s">
        <v>208</v>
      </c>
      <c r="X1137">
        <v>838456</v>
      </c>
      <c r="Y1137" s="2" t="s">
        <v>8433</v>
      </c>
      <c r="Z1137" s="2" t="s">
        <v>8434</v>
      </c>
      <c r="AA1137" t="s">
        <v>8435</v>
      </c>
      <c r="AB1137" s="2" t="s">
        <v>8436</v>
      </c>
      <c r="AG1137" t="s">
        <v>8437</v>
      </c>
      <c r="AH1137" t="s">
        <v>8438</v>
      </c>
      <c r="AI1137" t="s">
        <v>8439</v>
      </c>
    </row>
    <row r="1138" spans="2:35" ht="409.5">
      <c r="B1138" s="1">
        <v>45910</v>
      </c>
      <c r="C1138" s="1">
        <v>45910</v>
      </c>
      <c r="D1138" t="s">
        <v>8440</v>
      </c>
      <c r="E1138" t="s">
        <v>8441</v>
      </c>
      <c r="F1138">
        <v>3</v>
      </c>
      <c r="G1138" t="s">
        <v>134</v>
      </c>
      <c r="H1138" t="s">
        <v>39</v>
      </c>
      <c r="I1138" t="s">
        <v>40</v>
      </c>
      <c r="J1138" s="2" t="s">
        <v>62</v>
      </c>
      <c r="K1138" t="s">
        <v>42</v>
      </c>
      <c r="L1138" t="s">
        <v>135</v>
      </c>
      <c r="N1138" t="s">
        <v>136</v>
      </c>
      <c r="O1138" t="s">
        <v>8442</v>
      </c>
      <c r="Q1138">
        <v>31408</v>
      </c>
      <c r="R1138" t="s">
        <v>95</v>
      </c>
      <c r="S1138" t="s">
        <v>8443</v>
      </c>
      <c r="T1138">
        <v>25</v>
      </c>
      <c r="U1138" s="2" t="s">
        <v>8444</v>
      </c>
      <c r="V1138" s="1">
        <v>46467</v>
      </c>
      <c r="W1138" t="s">
        <v>2680</v>
      </c>
      <c r="X1138">
        <v>839235</v>
      </c>
      <c r="Y1138" t="s">
        <v>8445</v>
      </c>
      <c r="Z1138" t="s">
        <v>8446</v>
      </c>
      <c r="AA1138" s="2" t="s">
        <v>8447</v>
      </c>
      <c r="AB1138" t="s">
        <v>8448</v>
      </c>
      <c r="AD1138" t="s">
        <v>3628</v>
      </c>
      <c r="AE1138" t="s">
        <v>8449</v>
      </c>
      <c r="AG1138" t="s">
        <v>8450</v>
      </c>
      <c r="AH1138" t="s">
        <v>8451</v>
      </c>
      <c r="AI1138" t="s">
        <v>8452</v>
      </c>
    </row>
    <row r="1139" spans="2:35" ht="75">
      <c r="B1139" s="1">
        <v>45910</v>
      </c>
      <c r="C1139" s="1">
        <v>45910</v>
      </c>
      <c r="D1139" t="s">
        <v>340</v>
      </c>
      <c r="E1139" t="s">
        <v>8453</v>
      </c>
      <c r="F1139">
        <v>8</v>
      </c>
      <c r="G1139" t="s">
        <v>342</v>
      </c>
      <c r="H1139" t="s">
        <v>258</v>
      </c>
      <c r="I1139" t="s">
        <v>40</v>
      </c>
      <c r="J1139" t="s">
        <v>109</v>
      </c>
      <c r="K1139" t="s">
        <v>42</v>
      </c>
      <c r="L1139" t="s">
        <v>259</v>
      </c>
      <c r="N1139" t="s">
        <v>260</v>
      </c>
      <c r="Q1139">
        <v>31407</v>
      </c>
      <c r="R1139" t="s">
        <v>119</v>
      </c>
      <c r="S1139" t="s">
        <v>345</v>
      </c>
      <c r="T1139">
        <v>25</v>
      </c>
      <c r="U1139" s="2" t="s">
        <v>2367</v>
      </c>
      <c r="V1139" s="1">
        <v>45910</v>
      </c>
      <c r="W1139" t="s">
        <v>84</v>
      </c>
      <c r="X1139">
        <v>838555</v>
      </c>
      <c r="Y1139" t="s">
        <v>263</v>
      </c>
      <c r="Z1139" t="s">
        <v>263</v>
      </c>
      <c r="AA1139" t="e">
        <f ca="1">- Monthly Preventive Maintenance</f>
        <v>#NAME?</v>
      </c>
      <c r="AB1139" t="s">
        <v>70</v>
      </c>
      <c r="AG1139" t="s">
        <v>8454</v>
      </c>
      <c r="AH1139" t="s">
        <v>8455</v>
      </c>
      <c r="AI1139" t="s">
        <v>8456</v>
      </c>
    </row>
    <row r="1140" spans="2:35" ht="90">
      <c r="B1140" s="1">
        <v>45910</v>
      </c>
      <c r="C1140" s="1">
        <v>45910</v>
      </c>
      <c r="D1140" t="s">
        <v>8457</v>
      </c>
      <c r="E1140" t="s">
        <v>4655</v>
      </c>
      <c r="F1140">
        <v>10</v>
      </c>
      <c r="G1140" t="s">
        <v>1395</v>
      </c>
      <c r="H1140" t="s">
        <v>61</v>
      </c>
      <c r="I1140" t="s">
        <v>40</v>
      </c>
      <c r="J1140" t="s">
        <v>109</v>
      </c>
      <c r="K1140" t="s">
        <v>42</v>
      </c>
      <c r="L1140" t="s">
        <v>933</v>
      </c>
      <c r="N1140" t="s">
        <v>934</v>
      </c>
      <c r="Q1140">
        <v>31406</v>
      </c>
      <c r="R1140" t="s">
        <v>95</v>
      </c>
      <c r="S1140" t="s">
        <v>8458</v>
      </c>
      <c r="T1140">
        <v>23</v>
      </c>
      <c r="W1140" t="s">
        <v>8459</v>
      </c>
      <c r="X1140">
        <v>110025567</v>
      </c>
      <c r="Y1140" t="s">
        <v>301</v>
      </c>
      <c r="Z1140" t="s">
        <v>301</v>
      </c>
      <c r="AA1140" s="2" t="s">
        <v>8460</v>
      </c>
      <c r="AB1140" t="s">
        <v>938</v>
      </c>
      <c r="AG1140" t="s">
        <v>8461</v>
      </c>
      <c r="AH1140" t="s">
        <v>8462</v>
      </c>
      <c r="AI1140" t="s">
        <v>8463</v>
      </c>
    </row>
    <row r="1141" spans="2:35" ht="195">
      <c r="B1141" s="1">
        <v>45910</v>
      </c>
      <c r="C1141" s="1">
        <v>45905</v>
      </c>
      <c r="D1141" t="s">
        <v>8464</v>
      </c>
      <c r="E1141" t="s">
        <v>8465</v>
      </c>
      <c r="F1141">
        <v>7</v>
      </c>
      <c r="G1141" t="s">
        <v>432</v>
      </c>
      <c r="H1141" t="s">
        <v>39</v>
      </c>
      <c r="I1141" t="s">
        <v>40</v>
      </c>
      <c r="J1141" s="2" t="s">
        <v>609</v>
      </c>
      <c r="K1141" t="s">
        <v>42</v>
      </c>
      <c r="L1141" t="s">
        <v>433</v>
      </c>
      <c r="N1141" t="s">
        <v>434</v>
      </c>
      <c r="Q1141">
        <v>31405</v>
      </c>
      <c r="R1141" t="s">
        <v>119</v>
      </c>
      <c r="S1141" t="s">
        <v>8466</v>
      </c>
      <c r="T1141">
        <v>28</v>
      </c>
      <c r="W1141" t="s">
        <v>1008</v>
      </c>
      <c r="X1141">
        <v>838509</v>
      </c>
      <c r="Y1141" t="s">
        <v>54</v>
      </c>
      <c r="Z1141" s="2" t="s">
        <v>8467</v>
      </c>
      <c r="AA1141" s="2" t="s">
        <v>8467</v>
      </c>
      <c r="AB1141" t="s">
        <v>1011</v>
      </c>
      <c r="AG1141" t="s">
        <v>8468</v>
      </c>
      <c r="AH1141" t="s">
        <v>8469</v>
      </c>
      <c r="AI1141" t="s">
        <v>8470</v>
      </c>
    </row>
    <row r="1142" spans="2:35" ht="195">
      <c r="B1142" s="1">
        <v>45910</v>
      </c>
      <c r="C1142" s="1">
        <v>45905</v>
      </c>
      <c r="D1142" t="s">
        <v>8464</v>
      </c>
      <c r="E1142" t="s">
        <v>8465</v>
      </c>
      <c r="F1142">
        <v>7</v>
      </c>
      <c r="G1142" t="s">
        <v>432</v>
      </c>
      <c r="H1142" t="s">
        <v>39</v>
      </c>
      <c r="I1142" t="s">
        <v>40</v>
      </c>
      <c r="J1142" s="2" t="s">
        <v>609</v>
      </c>
      <c r="K1142" t="s">
        <v>42</v>
      </c>
      <c r="L1142" t="s">
        <v>433</v>
      </c>
      <c r="N1142" t="s">
        <v>434</v>
      </c>
      <c r="Q1142">
        <v>31404</v>
      </c>
      <c r="R1142" t="s">
        <v>119</v>
      </c>
      <c r="S1142" t="s">
        <v>8466</v>
      </c>
      <c r="T1142">
        <v>28</v>
      </c>
      <c r="W1142" t="s">
        <v>1008</v>
      </c>
      <c r="X1142">
        <v>838509</v>
      </c>
      <c r="Y1142" t="s">
        <v>54</v>
      </c>
      <c r="Z1142" s="2" t="s">
        <v>8467</v>
      </c>
      <c r="AA1142" s="2" t="s">
        <v>8467</v>
      </c>
      <c r="AB1142" t="s">
        <v>1011</v>
      </c>
      <c r="AG1142" t="s">
        <v>8471</v>
      </c>
      <c r="AH1142" t="s">
        <v>8469</v>
      </c>
      <c r="AI1142" t="s">
        <v>8472</v>
      </c>
    </row>
    <row r="1143" spans="2:35" ht="270">
      <c r="B1143" s="1">
        <v>45909</v>
      </c>
      <c r="C1143" s="1">
        <v>45909</v>
      </c>
      <c r="D1143" t="s">
        <v>146</v>
      </c>
      <c r="E1143" t="s">
        <v>8473</v>
      </c>
      <c r="F1143" t="s">
        <v>148</v>
      </c>
      <c r="G1143" t="s">
        <v>149</v>
      </c>
      <c r="H1143" t="s">
        <v>39</v>
      </c>
      <c r="I1143" t="s">
        <v>40</v>
      </c>
      <c r="J1143" s="2" t="s">
        <v>8280</v>
      </c>
      <c r="K1143" t="s">
        <v>42</v>
      </c>
      <c r="L1143" t="s">
        <v>43</v>
      </c>
      <c r="N1143" t="s">
        <v>44</v>
      </c>
      <c r="O1143" t="s">
        <v>151</v>
      </c>
      <c r="Q1143">
        <v>31403</v>
      </c>
      <c r="R1143" t="s">
        <v>95</v>
      </c>
      <c r="S1143" t="s">
        <v>8474</v>
      </c>
      <c r="T1143">
        <v>22</v>
      </c>
      <c r="U1143" s="2" t="s">
        <v>8475</v>
      </c>
      <c r="W1143" t="s">
        <v>153</v>
      </c>
      <c r="X1143">
        <v>110003714</v>
      </c>
      <c r="Y1143" t="s">
        <v>8476</v>
      </c>
      <c r="Z1143" t="s">
        <v>122</v>
      </c>
      <c r="AA1143" s="2" t="s">
        <v>8477</v>
      </c>
      <c r="AB1143" t="s">
        <v>8478</v>
      </c>
      <c r="AC1143" t="s">
        <v>8479</v>
      </c>
      <c r="AG1143" t="s">
        <v>8480</v>
      </c>
      <c r="AH1143" t="s">
        <v>8481</v>
      </c>
      <c r="AI1143" t="s">
        <v>8482</v>
      </c>
    </row>
    <row r="1144" spans="2:35">
      <c r="B1144" s="1">
        <v>45909</v>
      </c>
      <c r="C1144" s="1">
        <v>45909</v>
      </c>
      <c r="D1144" t="s">
        <v>8483</v>
      </c>
      <c r="E1144" t="s">
        <v>8484</v>
      </c>
      <c r="F1144">
        <v>10</v>
      </c>
      <c r="G1144" t="s">
        <v>1395</v>
      </c>
      <c r="H1144" t="s">
        <v>39</v>
      </c>
      <c r="I1144" t="s">
        <v>40</v>
      </c>
      <c r="J1144" t="s">
        <v>109</v>
      </c>
      <c r="K1144" t="s">
        <v>42</v>
      </c>
      <c r="L1144" t="s">
        <v>933</v>
      </c>
      <c r="N1144" t="s">
        <v>934</v>
      </c>
      <c r="Q1144">
        <v>31402</v>
      </c>
      <c r="R1144" t="s">
        <v>119</v>
      </c>
      <c r="S1144" t="s">
        <v>8485</v>
      </c>
      <c r="T1144">
        <v>28</v>
      </c>
      <c r="W1144" t="s">
        <v>2127</v>
      </c>
      <c r="X1144">
        <v>838574</v>
      </c>
      <c r="Y1144" t="s">
        <v>301</v>
      </c>
      <c r="Z1144" t="s">
        <v>301</v>
      </c>
      <c r="AA1144" t="s">
        <v>8486</v>
      </c>
      <c r="AB1144" t="s">
        <v>2131</v>
      </c>
      <c r="AG1144" t="s">
        <v>8487</v>
      </c>
      <c r="AH1144" t="s">
        <v>8488</v>
      </c>
      <c r="AI1144" t="s">
        <v>8489</v>
      </c>
    </row>
    <row r="1145" spans="2:35" ht="409.5">
      <c r="B1145" s="1">
        <v>45909</v>
      </c>
      <c r="C1145" s="1">
        <v>45909</v>
      </c>
      <c r="D1145" t="s">
        <v>8490</v>
      </c>
      <c r="E1145" t="s">
        <v>5652</v>
      </c>
      <c r="F1145" t="s">
        <v>1255</v>
      </c>
      <c r="G1145" t="s">
        <v>1887</v>
      </c>
      <c r="H1145" t="s">
        <v>6500</v>
      </c>
      <c r="I1145" t="s">
        <v>40</v>
      </c>
      <c r="J1145" t="s">
        <v>109</v>
      </c>
      <c r="K1145" t="s">
        <v>42</v>
      </c>
      <c r="L1145" t="s">
        <v>296</v>
      </c>
      <c r="N1145" t="s">
        <v>297</v>
      </c>
      <c r="Q1145">
        <v>31401</v>
      </c>
      <c r="R1145" t="s">
        <v>119</v>
      </c>
      <c r="S1145" t="s">
        <v>1888</v>
      </c>
      <c r="T1145">
        <v>24.1</v>
      </c>
      <c r="U1145" s="2" t="s">
        <v>8491</v>
      </c>
      <c r="W1145" t="s">
        <v>8492</v>
      </c>
      <c r="X1145">
        <v>837662</v>
      </c>
      <c r="Y1145" t="s">
        <v>301</v>
      </c>
      <c r="Z1145" s="2" t="s">
        <v>8493</v>
      </c>
      <c r="AA1145" t="s">
        <v>8494</v>
      </c>
      <c r="AB1145" t="s">
        <v>972</v>
      </c>
      <c r="AG1145" t="s">
        <v>8495</v>
      </c>
      <c r="AH1145" t="s">
        <v>8496</v>
      </c>
      <c r="AI1145" t="s">
        <v>8497</v>
      </c>
    </row>
    <row r="1146" spans="2:35" ht="60">
      <c r="B1146" s="1">
        <v>45905</v>
      </c>
      <c r="C1146" s="1">
        <v>45905</v>
      </c>
      <c r="D1146" t="s">
        <v>1145</v>
      </c>
      <c r="E1146" t="s">
        <v>473</v>
      </c>
      <c r="F1146" t="s">
        <v>148</v>
      </c>
      <c r="G1146" t="s">
        <v>447</v>
      </c>
      <c r="H1146" t="s">
        <v>662</v>
      </c>
      <c r="I1146" t="s">
        <v>40</v>
      </c>
      <c r="J1146" t="s">
        <v>1422</v>
      </c>
      <c r="K1146" t="s">
        <v>42</v>
      </c>
      <c r="L1146" t="s">
        <v>448</v>
      </c>
      <c r="N1146" t="s">
        <v>650</v>
      </c>
      <c r="Q1146">
        <v>31400</v>
      </c>
      <c r="R1146" t="s">
        <v>95</v>
      </c>
      <c r="S1146" t="s">
        <v>8498</v>
      </c>
      <c r="T1146">
        <v>26</v>
      </c>
      <c r="W1146" t="s">
        <v>8499</v>
      </c>
      <c r="X1146">
        <v>804205</v>
      </c>
      <c r="Y1146" t="s">
        <v>4709</v>
      </c>
      <c r="Z1146" s="2" t="s">
        <v>8500</v>
      </c>
      <c r="AA1146" t="s">
        <v>8501</v>
      </c>
      <c r="AB1146" s="2" t="s">
        <v>6343</v>
      </c>
      <c r="AG1146" t="s">
        <v>8502</v>
      </c>
      <c r="AH1146" t="s">
        <v>8503</v>
      </c>
      <c r="AI1146" t="s">
        <v>8504</v>
      </c>
    </row>
    <row r="1147" spans="2:35" ht="409.5">
      <c r="B1147" s="1">
        <v>45905</v>
      </c>
      <c r="C1147" s="1">
        <v>45904</v>
      </c>
      <c r="D1147" t="s">
        <v>2005</v>
      </c>
      <c r="E1147" t="s">
        <v>5914</v>
      </c>
      <c r="F1147" t="s">
        <v>148</v>
      </c>
      <c r="G1147" t="s">
        <v>2007</v>
      </c>
      <c r="H1147" t="s">
        <v>662</v>
      </c>
      <c r="I1147" t="s">
        <v>40</v>
      </c>
      <c r="J1147" t="s">
        <v>109</v>
      </c>
      <c r="K1147" t="s">
        <v>42</v>
      </c>
      <c r="L1147" t="s">
        <v>448</v>
      </c>
      <c r="N1147" t="s">
        <v>650</v>
      </c>
      <c r="Q1147">
        <v>31399</v>
      </c>
      <c r="R1147" t="s">
        <v>95</v>
      </c>
      <c r="S1147" t="s">
        <v>4273</v>
      </c>
      <c r="T1147">
        <v>25</v>
      </c>
      <c r="U1147" s="2" t="s">
        <v>8505</v>
      </c>
      <c r="W1147" t="s">
        <v>8506</v>
      </c>
      <c r="X1147">
        <v>110026448</v>
      </c>
      <c r="Y1147" t="s">
        <v>485</v>
      </c>
      <c r="Z1147" s="2" t="s">
        <v>2011</v>
      </c>
      <c r="AA1147" t="s">
        <v>122</v>
      </c>
      <c r="AB1147" t="s">
        <v>486</v>
      </c>
      <c r="AG1147" t="s">
        <v>8507</v>
      </c>
      <c r="AH1147" t="s">
        <v>4278</v>
      </c>
      <c r="AI1147" t="s">
        <v>8508</v>
      </c>
    </row>
    <row r="1148" spans="2:35" ht="255">
      <c r="B1148" s="1">
        <v>45905</v>
      </c>
      <c r="C1148" s="1">
        <v>45902</v>
      </c>
      <c r="D1148" t="s">
        <v>4492</v>
      </c>
      <c r="E1148" t="s">
        <v>8509</v>
      </c>
      <c r="F1148" t="s">
        <v>148</v>
      </c>
      <c r="G1148" t="s">
        <v>447</v>
      </c>
      <c r="H1148" t="s">
        <v>2210</v>
      </c>
      <c r="I1148" t="s">
        <v>40</v>
      </c>
      <c r="J1148" t="s">
        <v>109</v>
      </c>
      <c r="K1148" t="s">
        <v>42</v>
      </c>
      <c r="L1148" t="s">
        <v>448</v>
      </c>
      <c r="N1148" t="s">
        <v>450</v>
      </c>
      <c r="Q1148">
        <v>31398</v>
      </c>
      <c r="R1148" t="s">
        <v>95</v>
      </c>
      <c r="S1148" t="s">
        <v>8510</v>
      </c>
      <c r="T1148">
        <v>30</v>
      </c>
      <c r="U1148" s="2" t="s">
        <v>8511</v>
      </c>
      <c r="W1148" t="s">
        <v>6121</v>
      </c>
      <c r="X1148">
        <v>110008529</v>
      </c>
      <c r="Y1148" t="s">
        <v>485</v>
      </c>
      <c r="Z1148" s="2" t="s">
        <v>2011</v>
      </c>
      <c r="AA1148" t="s">
        <v>122</v>
      </c>
      <c r="AB1148" t="s">
        <v>486</v>
      </c>
      <c r="AG1148" t="s">
        <v>8512</v>
      </c>
      <c r="AH1148" t="s">
        <v>8513</v>
      </c>
      <c r="AI1148" t="s">
        <v>8514</v>
      </c>
    </row>
    <row r="1149" spans="2:35" ht="300">
      <c r="B1149" s="1">
        <v>45905</v>
      </c>
      <c r="C1149" s="1">
        <v>45904</v>
      </c>
      <c r="D1149" t="s">
        <v>542</v>
      </c>
      <c r="E1149" t="s">
        <v>8515</v>
      </c>
      <c r="F1149" t="s">
        <v>148</v>
      </c>
      <c r="G1149" t="s">
        <v>544</v>
      </c>
      <c r="H1149" t="s">
        <v>39</v>
      </c>
      <c r="I1149" t="s">
        <v>40</v>
      </c>
      <c r="J1149" t="s">
        <v>109</v>
      </c>
      <c r="K1149" t="s">
        <v>42</v>
      </c>
      <c r="L1149" t="s">
        <v>43</v>
      </c>
      <c r="N1149" t="s">
        <v>44</v>
      </c>
      <c r="Q1149">
        <v>31397</v>
      </c>
      <c r="R1149" t="s">
        <v>322</v>
      </c>
      <c r="S1149" t="s">
        <v>545</v>
      </c>
      <c r="T1149">
        <v>24</v>
      </c>
      <c r="U1149" s="2" t="s">
        <v>8516</v>
      </c>
      <c r="W1149" t="s">
        <v>153</v>
      </c>
      <c r="X1149">
        <v>110024072</v>
      </c>
      <c r="Y1149" t="s">
        <v>121</v>
      </c>
      <c r="Z1149" t="s">
        <v>122</v>
      </c>
      <c r="AA1149" s="2" t="s">
        <v>547</v>
      </c>
      <c r="AB1149" t="s">
        <v>548</v>
      </c>
      <c r="AG1149" t="s">
        <v>8517</v>
      </c>
      <c r="AH1149" t="s">
        <v>575</v>
      </c>
      <c r="AI1149" t="s">
        <v>8518</v>
      </c>
    </row>
    <row r="1150" spans="2:35" ht="300">
      <c r="B1150" s="1">
        <v>45905</v>
      </c>
      <c r="C1150" s="1">
        <v>45904</v>
      </c>
      <c r="D1150" t="s">
        <v>542</v>
      </c>
      <c r="E1150" t="s">
        <v>4585</v>
      </c>
      <c r="F1150" t="s">
        <v>148</v>
      </c>
      <c r="G1150" t="s">
        <v>544</v>
      </c>
      <c r="H1150" t="s">
        <v>39</v>
      </c>
      <c r="I1150" t="s">
        <v>40</v>
      </c>
      <c r="J1150" t="s">
        <v>109</v>
      </c>
      <c r="K1150" t="s">
        <v>42</v>
      </c>
      <c r="L1150" t="s">
        <v>43</v>
      </c>
      <c r="N1150" t="s">
        <v>44</v>
      </c>
      <c r="Q1150">
        <v>31396</v>
      </c>
      <c r="R1150" t="s">
        <v>322</v>
      </c>
      <c r="S1150" t="s">
        <v>545</v>
      </c>
      <c r="T1150">
        <v>24</v>
      </c>
      <c r="U1150" s="2" t="s">
        <v>8519</v>
      </c>
      <c r="W1150" t="s">
        <v>153</v>
      </c>
      <c r="X1150">
        <v>110024073</v>
      </c>
      <c r="Y1150" t="s">
        <v>121</v>
      </c>
      <c r="Z1150" t="s">
        <v>122</v>
      </c>
      <c r="AA1150" s="2" t="s">
        <v>5587</v>
      </c>
      <c r="AB1150" t="s">
        <v>548</v>
      </c>
      <c r="AG1150" t="s">
        <v>8520</v>
      </c>
      <c r="AH1150" t="s">
        <v>575</v>
      </c>
      <c r="AI1150" t="s">
        <v>8521</v>
      </c>
    </row>
    <row r="1151" spans="2:35">
      <c r="B1151" s="1">
        <v>45904</v>
      </c>
      <c r="C1151" s="1">
        <v>45904</v>
      </c>
      <c r="D1151" t="s">
        <v>8522</v>
      </c>
      <c r="E1151" t="s">
        <v>8523</v>
      </c>
      <c r="F1151">
        <v>13</v>
      </c>
      <c r="G1151" t="s">
        <v>8524</v>
      </c>
      <c r="H1151" t="s">
        <v>39</v>
      </c>
      <c r="I1151" t="s">
        <v>40</v>
      </c>
      <c r="J1151" t="s">
        <v>109</v>
      </c>
      <c r="K1151" t="s">
        <v>42</v>
      </c>
      <c r="L1151" t="s">
        <v>933</v>
      </c>
      <c r="N1151" t="s">
        <v>934</v>
      </c>
      <c r="Q1151">
        <v>31395</v>
      </c>
      <c r="R1151" t="s">
        <v>119</v>
      </c>
      <c r="S1151" t="s">
        <v>8525</v>
      </c>
      <c r="T1151">
        <v>28</v>
      </c>
      <c r="W1151" t="s">
        <v>2127</v>
      </c>
      <c r="X1151">
        <v>838439</v>
      </c>
      <c r="Y1151" t="s">
        <v>301</v>
      </c>
      <c r="Z1151" t="s">
        <v>301</v>
      </c>
      <c r="AA1151" t="s">
        <v>3128</v>
      </c>
      <c r="AB1151" t="s">
        <v>2131</v>
      </c>
      <c r="AF1151" t="s">
        <v>933</v>
      </c>
      <c r="AG1151" t="s">
        <v>8526</v>
      </c>
      <c r="AH1151" t="s">
        <v>8527</v>
      </c>
      <c r="AI1151" t="s">
        <v>8528</v>
      </c>
    </row>
    <row r="1152" spans="2:35" ht="105">
      <c r="B1152" s="1">
        <v>45904</v>
      </c>
      <c r="C1152" s="1">
        <v>45904</v>
      </c>
      <c r="D1152" t="s">
        <v>8529</v>
      </c>
      <c r="E1152" t="s">
        <v>8530</v>
      </c>
      <c r="F1152">
        <v>7</v>
      </c>
      <c r="G1152" t="s">
        <v>432</v>
      </c>
      <c r="H1152" t="s">
        <v>1498</v>
      </c>
      <c r="I1152" t="s">
        <v>40</v>
      </c>
      <c r="J1152" s="2" t="s">
        <v>41</v>
      </c>
      <c r="K1152" t="s">
        <v>42</v>
      </c>
      <c r="L1152" t="s">
        <v>343</v>
      </c>
      <c r="N1152" t="s">
        <v>344</v>
      </c>
      <c r="Q1152">
        <v>31394</v>
      </c>
      <c r="R1152" t="s">
        <v>119</v>
      </c>
      <c r="S1152" t="s">
        <v>8531</v>
      </c>
      <c r="T1152">
        <v>27</v>
      </c>
      <c r="U1152" s="2" t="s">
        <v>8532</v>
      </c>
      <c r="V1152" s="1">
        <v>45883</v>
      </c>
      <c r="W1152" t="s">
        <v>1501</v>
      </c>
      <c r="X1152">
        <v>838279</v>
      </c>
      <c r="Y1152" t="s">
        <v>2034</v>
      </c>
      <c r="Z1152" t="s">
        <v>8533</v>
      </c>
      <c r="AA1152" t="e">
        <f ca="1">-module Replacement
-Preventive Maintenance</f>
        <v>#NAME?</v>
      </c>
      <c r="AB1152" t="s">
        <v>348</v>
      </c>
      <c r="AD1152" t="s">
        <v>8534</v>
      </c>
      <c r="AE1152" t="s">
        <v>8535</v>
      </c>
      <c r="AG1152" t="s">
        <v>8536</v>
      </c>
      <c r="AH1152" t="s">
        <v>8537</v>
      </c>
      <c r="AI1152" t="s">
        <v>8538</v>
      </c>
    </row>
    <row r="1153" spans="2:35" ht="120">
      <c r="B1153" s="1">
        <v>45904</v>
      </c>
      <c r="C1153" s="1">
        <v>45904</v>
      </c>
      <c r="D1153" t="s">
        <v>8539</v>
      </c>
      <c r="E1153" t="s">
        <v>8540</v>
      </c>
      <c r="F1153">
        <v>9</v>
      </c>
      <c r="G1153" t="s">
        <v>2197</v>
      </c>
      <c r="H1153" t="s">
        <v>39</v>
      </c>
      <c r="I1153" t="s">
        <v>40</v>
      </c>
      <c r="J1153" s="2" t="s">
        <v>8541</v>
      </c>
      <c r="K1153" t="s">
        <v>42</v>
      </c>
      <c r="L1153" t="s">
        <v>1257</v>
      </c>
      <c r="N1153" t="s">
        <v>1258</v>
      </c>
      <c r="O1153" t="s">
        <v>1258</v>
      </c>
      <c r="Q1153">
        <v>31393</v>
      </c>
      <c r="R1153" t="s">
        <v>119</v>
      </c>
      <c r="S1153" t="s">
        <v>8542</v>
      </c>
      <c r="T1153">
        <v>21</v>
      </c>
      <c r="U1153" s="2" t="s">
        <v>7525</v>
      </c>
      <c r="V1153" s="1">
        <v>45883</v>
      </c>
      <c r="W1153" t="s">
        <v>2384</v>
      </c>
      <c r="X1153">
        <v>838533</v>
      </c>
      <c r="Y1153" t="s">
        <v>8543</v>
      </c>
      <c r="Z1153" t="s">
        <v>8544</v>
      </c>
      <c r="AA1153" t="s">
        <v>8544</v>
      </c>
      <c r="AB1153" t="s">
        <v>8545</v>
      </c>
      <c r="AC1153" t="s">
        <v>8546</v>
      </c>
      <c r="AD1153" s="2" t="s">
        <v>8547</v>
      </c>
      <c r="AE1153" t="s">
        <v>8548</v>
      </c>
      <c r="AG1153" t="s">
        <v>8549</v>
      </c>
      <c r="AH1153" t="s">
        <v>8550</v>
      </c>
      <c r="AI1153" t="s">
        <v>8551</v>
      </c>
    </row>
    <row r="1154" spans="2:35" ht="300">
      <c r="B1154" s="1">
        <v>45904</v>
      </c>
      <c r="C1154" s="1">
        <v>45904</v>
      </c>
      <c r="D1154" t="s">
        <v>3030</v>
      </c>
      <c r="E1154" t="s">
        <v>8552</v>
      </c>
      <c r="F1154" t="s">
        <v>37</v>
      </c>
      <c r="G1154" t="s">
        <v>38</v>
      </c>
      <c r="H1154" t="s">
        <v>39</v>
      </c>
      <c r="I1154" t="s">
        <v>40</v>
      </c>
      <c r="J1154" t="s">
        <v>109</v>
      </c>
      <c r="K1154" t="s">
        <v>42</v>
      </c>
      <c r="L1154" t="s">
        <v>43</v>
      </c>
      <c r="N1154" t="s">
        <v>44</v>
      </c>
      <c r="Q1154">
        <v>31392</v>
      </c>
      <c r="R1154" t="s">
        <v>967</v>
      </c>
      <c r="S1154" t="s">
        <v>3032</v>
      </c>
      <c r="T1154">
        <v>24</v>
      </c>
      <c r="U1154" s="2" t="s">
        <v>8553</v>
      </c>
      <c r="W1154" t="s">
        <v>153</v>
      </c>
      <c r="X1154">
        <v>110023496</v>
      </c>
      <c r="Y1154" t="s">
        <v>121</v>
      </c>
      <c r="Z1154" t="s">
        <v>122</v>
      </c>
      <c r="AA1154" s="2" t="s">
        <v>547</v>
      </c>
      <c r="AB1154" t="s">
        <v>88</v>
      </c>
      <c r="AG1154" t="s">
        <v>8554</v>
      </c>
      <c r="AH1154" t="s">
        <v>3035</v>
      </c>
      <c r="AI1154" t="s">
        <v>8555</v>
      </c>
    </row>
    <row r="1155" spans="2:35" ht="225">
      <c r="B1155" s="1">
        <v>45903</v>
      </c>
      <c r="C1155" s="1">
        <v>45902</v>
      </c>
      <c r="D1155" t="s">
        <v>837</v>
      </c>
      <c r="E1155" t="s">
        <v>8102</v>
      </c>
      <c r="F1155">
        <v>5</v>
      </c>
      <c r="G1155" t="s">
        <v>839</v>
      </c>
      <c r="H1155" t="s">
        <v>39</v>
      </c>
      <c r="I1155" t="s">
        <v>94</v>
      </c>
      <c r="J1155" s="2" t="s">
        <v>190</v>
      </c>
      <c r="K1155" t="s">
        <v>387</v>
      </c>
      <c r="L1155" t="s">
        <v>761</v>
      </c>
      <c r="N1155" t="s">
        <v>762</v>
      </c>
      <c r="O1155" t="s">
        <v>3000</v>
      </c>
      <c r="Q1155">
        <v>31391</v>
      </c>
      <c r="R1155" t="s">
        <v>322</v>
      </c>
      <c r="S1155" t="s">
        <v>8556</v>
      </c>
      <c r="T1155">
        <v>25</v>
      </c>
      <c r="W1155" t="s">
        <v>390</v>
      </c>
      <c r="X1155" t="s">
        <v>3514</v>
      </c>
      <c r="Y1155" t="s">
        <v>8557</v>
      </c>
      <c r="Z1155" s="2" t="s">
        <v>8558</v>
      </c>
      <c r="AA1155" t="s">
        <v>1935</v>
      </c>
      <c r="AB1155" s="2" t="s">
        <v>8559</v>
      </c>
      <c r="AG1155" t="s">
        <v>8560</v>
      </c>
      <c r="AH1155" t="s">
        <v>8561</v>
      </c>
      <c r="AI1155" t="s">
        <v>8562</v>
      </c>
    </row>
    <row r="1156" spans="2:35">
      <c r="B1156" s="1">
        <v>45903</v>
      </c>
      <c r="C1156" s="1">
        <v>45903</v>
      </c>
      <c r="D1156" t="s">
        <v>5087</v>
      </c>
      <c r="E1156" t="s">
        <v>8563</v>
      </c>
      <c r="F1156" t="s">
        <v>148</v>
      </c>
      <c r="G1156" t="s">
        <v>447</v>
      </c>
      <c r="H1156" t="s">
        <v>1855</v>
      </c>
      <c r="I1156" t="s">
        <v>40</v>
      </c>
      <c r="J1156" t="s">
        <v>525</v>
      </c>
      <c r="K1156" t="s">
        <v>408</v>
      </c>
      <c r="L1156" t="s">
        <v>448</v>
      </c>
      <c r="N1156" t="s">
        <v>450</v>
      </c>
      <c r="O1156" t="s">
        <v>650</v>
      </c>
      <c r="P1156" t="s">
        <v>1859</v>
      </c>
      <c r="Q1156">
        <v>31390</v>
      </c>
      <c r="R1156" t="s">
        <v>322</v>
      </c>
      <c r="S1156" t="s">
        <v>650</v>
      </c>
      <c r="T1156">
        <v>28</v>
      </c>
      <c r="W1156" t="s">
        <v>8564</v>
      </c>
      <c r="X1156" t="s">
        <v>449</v>
      </c>
      <c r="Y1156" t="s">
        <v>8565</v>
      </c>
      <c r="Z1156" t="s">
        <v>8566</v>
      </c>
      <c r="AA1156" t="s">
        <v>768</v>
      </c>
      <c r="AB1156" t="s">
        <v>8567</v>
      </c>
      <c r="AG1156" t="s">
        <v>8568</v>
      </c>
      <c r="AH1156" t="s">
        <v>1855</v>
      </c>
      <c r="AI1156" t="s">
        <v>8569</v>
      </c>
    </row>
    <row r="1157" spans="2:35" ht="105">
      <c r="B1157" s="1">
        <v>45903</v>
      </c>
      <c r="C1157" s="1">
        <v>45903</v>
      </c>
      <c r="D1157" t="s">
        <v>8570</v>
      </c>
      <c r="E1157" t="s">
        <v>8571</v>
      </c>
      <c r="F1157">
        <v>9</v>
      </c>
      <c r="G1157" t="s">
        <v>2197</v>
      </c>
      <c r="H1157" t="s">
        <v>39</v>
      </c>
      <c r="I1157" t="s">
        <v>40</v>
      </c>
      <c r="J1157" t="s">
        <v>109</v>
      </c>
      <c r="K1157" t="s">
        <v>42</v>
      </c>
      <c r="L1157" t="s">
        <v>1257</v>
      </c>
      <c r="N1157" t="s">
        <v>1258</v>
      </c>
      <c r="O1157" t="s">
        <v>1258</v>
      </c>
      <c r="Q1157">
        <v>31389</v>
      </c>
      <c r="R1157" t="s">
        <v>119</v>
      </c>
      <c r="S1157" t="s">
        <v>8572</v>
      </c>
      <c r="T1157">
        <v>29</v>
      </c>
      <c r="U1157" s="2" t="s">
        <v>8573</v>
      </c>
      <c r="V1157" s="1">
        <v>45837</v>
      </c>
      <c r="W1157" t="s">
        <v>2384</v>
      </c>
      <c r="X1157">
        <v>838276</v>
      </c>
      <c r="Y1157" t="s">
        <v>8574</v>
      </c>
      <c r="Z1157" t="s">
        <v>8575</v>
      </c>
      <c r="AA1157" t="s">
        <v>8575</v>
      </c>
      <c r="AB1157" t="s">
        <v>8576</v>
      </c>
      <c r="AC1157" t="s">
        <v>301</v>
      </c>
      <c r="AD1157" t="s">
        <v>8577</v>
      </c>
      <c r="AE1157">
        <v>13214</v>
      </c>
      <c r="AG1157" t="s">
        <v>8578</v>
      </c>
      <c r="AH1157" t="s">
        <v>8579</v>
      </c>
      <c r="AI1157" t="s">
        <v>8580</v>
      </c>
    </row>
    <row r="1158" spans="2:35" ht="105">
      <c r="B1158" s="1">
        <v>45903</v>
      </c>
      <c r="C1158" s="1">
        <v>45903</v>
      </c>
      <c r="D1158" t="s">
        <v>7465</v>
      </c>
      <c r="E1158" t="s">
        <v>7466</v>
      </c>
      <c r="F1158">
        <v>8</v>
      </c>
      <c r="G1158" t="s">
        <v>342</v>
      </c>
      <c r="H1158" t="s">
        <v>258</v>
      </c>
      <c r="I1158" t="s">
        <v>40</v>
      </c>
      <c r="J1158" t="s">
        <v>109</v>
      </c>
      <c r="K1158" t="s">
        <v>42</v>
      </c>
      <c r="L1158" t="s">
        <v>259</v>
      </c>
      <c r="N1158" t="s">
        <v>260</v>
      </c>
      <c r="Q1158">
        <v>31388</v>
      </c>
      <c r="R1158" t="s">
        <v>119</v>
      </c>
      <c r="S1158" t="s">
        <v>7467</v>
      </c>
      <c r="T1158">
        <v>27</v>
      </c>
      <c r="U1158" s="2" t="s">
        <v>8581</v>
      </c>
      <c r="W1158" t="s">
        <v>84</v>
      </c>
      <c r="X1158">
        <v>838551</v>
      </c>
      <c r="Y1158" t="s">
        <v>263</v>
      </c>
      <c r="Z1158" t="e">
        <f ca="1">- _xludf.n/a</f>
        <v>#NAME?</v>
      </c>
      <c r="AA1158" t="e">
        <f ca="1">- Monthly Preventive Maintenance</f>
        <v>#NAME?</v>
      </c>
      <c r="AB1158" t="s">
        <v>70</v>
      </c>
      <c r="AG1158" t="s">
        <v>8582</v>
      </c>
      <c r="AH1158" t="s">
        <v>7469</v>
      </c>
      <c r="AI1158" t="s">
        <v>8583</v>
      </c>
    </row>
    <row r="1159" spans="2:35" ht="405">
      <c r="B1159" s="1">
        <v>45903</v>
      </c>
      <c r="C1159" s="1">
        <v>45903</v>
      </c>
      <c r="D1159" t="s">
        <v>6226</v>
      </c>
      <c r="E1159" t="s">
        <v>6227</v>
      </c>
      <c r="F1159">
        <v>11</v>
      </c>
      <c r="G1159" t="s">
        <v>201</v>
      </c>
      <c r="H1159" t="s">
        <v>202</v>
      </c>
      <c r="I1159" t="s">
        <v>40</v>
      </c>
      <c r="J1159" s="2" t="s">
        <v>4208</v>
      </c>
      <c r="K1159" t="s">
        <v>42</v>
      </c>
      <c r="L1159" t="s">
        <v>204</v>
      </c>
      <c r="N1159" t="s">
        <v>205</v>
      </c>
      <c r="Q1159">
        <v>31387</v>
      </c>
      <c r="R1159" t="s">
        <v>119</v>
      </c>
      <c r="S1159" t="s">
        <v>6228</v>
      </c>
      <c r="T1159">
        <v>25.7</v>
      </c>
      <c r="U1159" s="2" t="s">
        <v>8584</v>
      </c>
      <c r="W1159" t="s">
        <v>208</v>
      </c>
      <c r="X1159">
        <v>838395</v>
      </c>
      <c r="Y1159" s="2" t="s">
        <v>8585</v>
      </c>
      <c r="Z1159" s="2" t="s">
        <v>8586</v>
      </c>
      <c r="AA1159" s="2" t="s">
        <v>8587</v>
      </c>
      <c r="AB1159" s="2" t="s">
        <v>8588</v>
      </c>
      <c r="AG1159" t="s">
        <v>8589</v>
      </c>
      <c r="AH1159" t="s">
        <v>8590</v>
      </c>
      <c r="AI1159" t="s">
        <v>8591</v>
      </c>
    </row>
    <row r="1160" spans="2:35" ht="390">
      <c r="B1160" s="1">
        <v>45903</v>
      </c>
      <c r="C1160" s="1">
        <v>45903</v>
      </c>
      <c r="D1160" t="s">
        <v>8592</v>
      </c>
      <c r="E1160" t="s">
        <v>8593</v>
      </c>
      <c r="F1160">
        <v>7</v>
      </c>
      <c r="G1160" t="s">
        <v>432</v>
      </c>
      <c r="H1160" t="s">
        <v>39</v>
      </c>
      <c r="I1160" t="s">
        <v>40</v>
      </c>
      <c r="J1160" s="2" t="s">
        <v>609</v>
      </c>
      <c r="K1160" t="s">
        <v>42</v>
      </c>
      <c r="L1160" t="s">
        <v>433</v>
      </c>
      <c r="N1160" t="s">
        <v>434</v>
      </c>
      <c r="Q1160">
        <v>31386</v>
      </c>
      <c r="R1160" t="s">
        <v>119</v>
      </c>
      <c r="S1160" t="s">
        <v>1818</v>
      </c>
      <c r="T1160">
        <v>26</v>
      </c>
      <c r="W1160" t="s">
        <v>502</v>
      </c>
      <c r="X1160">
        <v>838263</v>
      </c>
      <c r="Y1160" t="s">
        <v>7754</v>
      </c>
      <c r="Z1160" s="2" t="s">
        <v>8594</v>
      </c>
      <c r="AA1160" s="2" t="s">
        <v>8594</v>
      </c>
      <c r="AB1160" s="2" t="s">
        <v>8595</v>
      </c>
      <c r="AG1160" t="s">
        <v>8596</v>
      </c>
      <c r="AH1160" t="s">
        <v>1823</v>
      </c>
      <c r="AI1160" t="s">
        <v>8597</v>
      </c>
    </row>
    <row r="1161" spans="2:35" ht="409.5">
      <c r="B1161" s="1">
        <v>45903</v>
      </c>
      <c r="C1161" s="1">
        <v>45902</v>
      </c>
      <c r="D1161" t="s">
        <v>2176</v>
      </c>
      <c r="E1161" t="s">
        <v>2580</v>
      </c>
      <c r="F1161" t="s">
        <v>148</v>
      </c>
      <c r="G1161" t="s">
        <v>447</v>
      </c>
      <c r="H1161" t="s">
        <v>662</v>
      </c>
      <c r="I1161" t="s">
        <v>40</v>
      </c>
      <c r="J1161" t="s">
        <v>109</v>
      </c>
      <c r="K1161" t="s">
        <v>42</v>
      </c>
      <c r="L1161" t="s">
        <v>448</v>
      </c>
      <c r="N1161" t="s">
        <v>650</v>
      </c>
      <c r="Q1161">
        <v>31385</v>
      </c>
      <c r="R1161" t="s">
        <v>967</v>
      </c>
      <c r="S1161" t="s">
        <v>3086</v>
      </c>
      <c r="T1161">
        <v>27</v>
      </c>
      <c r="U1161" s="2" t="s">
        <v>8598</v>
      </c>
      <c r="W1161" t="s">
        <v>2591</v>
      </c>
      <c r="X1161">
        <v>110016781</v>
      </c>
      <c r="Y1161" t="s">
        <v>485</v>
      </c>
      <c r="Z1161" s="2" t="s">
        <v>2011</v>
      </c>
      <c r="AA1161" t="s">
        <v>122</v>
      </c>
      <c r="AB1161" t="s">
        <v>486</v>
      </c>
      <c r="AG1161" t="s">
        <v>8599</v>
      </c>
      <c r="AH1161" t="s">
        <v>2176</v>
      </c>
      <c r="AI1161" t="s">
        <v>8600</v>
      </c>
    </row>
    <row r="1162" spans="2:35" ht="255">
      <c r="B1162" s="1">
        <v>45902</v>
      </c>
      <c r="C1162" s="1">
        <v>45902</v>
      </c>
      <c r="D1162" t="s">
        <v>7476</v>
      </c>
      <c r="E1162" t="s">
        <v>7477</v>
      </c>
      <c r="F1162">
        <v>11</v>
      </c>
      <c r="G1162" t="s">
        <v>1205</v>
      </c>
      <c r="H1162" t="s">
        <v>202</v>
      </c>
      <c r="I1162" t="s">
        <v>40</v>
      </c>
      <c r="J1162" t="s">
        <v>109</v>
      </c>
      <c r="K1162" t="s">
        <v>42</v>
      </c>
      <c r="L1162" t="s">
        <v>204</v>
      </c>
      <c r="N1162" t="s">
        <v>205</v>
      </c>
      <c r="Q1162">
        <v>31384</v>
      </c>
      <c r="R1162" t="s">
        <v>119</v>
      </c>
      <c r="S1162" t="s">
        <v>7478</v>
      </c>
      <c r="T1162">
        <v>22.5</v>
      </c>
      <c r="U1162" s="2" t="s">
        <v>8601</v>
      </c>
      <c r="W1162" t="s">
        <v>208</v>
      </c>
      <c r="X1162">
        <v>838507</v>
      </c>
      <c r="Y1162" t="s">
        <v>2851</v>
      </c>
      <c r="Z1162" s="2" t="s">
        <v>1892</v>
      </c>
      <c r="AA1162" t="s">
        <v>2551</v>
      </c>
      <c r="AB1162" t="s">
        <v>1211</v>
      </c>
      <c r="AG1162" t="s">
        <v>8602</v>
      </c>
      <c r="AH1162" t="s">
        <v>7481</v>
      </c>
      <c r="AI1162" t="s">
        <v>8603</v>
      </c>
    </row>
    <row r="1163" spans="2:35" ht="150">
      <c r="B1163" s="1">
        <v>45902</v>
      </c>
      <c r="C1163" s="1">
        <v>45902</v>
      </c>
      <c r="D1163" t="s">
        <v>5546</v>
      </c>
      <c r="E1163" t="s">
        <v>1555</v>
      </c>
      <c r="F1163">
        <v>7</v>
      </c>
      <c r="G1163" t="s">
        <v>432</v>
      </c>
      <c r="H1163" t="s">
        <v>39</v>
      </c>
      <c r="I1163" t="s">
        <v>40</v>
      </c>
      <c r="J1163" s="2" t="s">
        <v>62</v>
      </c>
      <c r="K1163" t="s">
        <v>42</v>
      </c>
      <c r="L1163" t="s">
        <v>433</v>
      </c>
      <c r="N1163" t="s">
        <v>434</v>
      </c>
      <c r="Q1163">
        <v>31383</v>
      </c>
      <c r="R1163" t="s">
        <v>119</v>
      </c>
      <c r="S1163" t="s">
        <v>5548</v>
      </c>
      <c r="T1163">
        <v>28</v>
      </c>
      <c r="W1163" t="s">
        <v>1008</v>
      </c>
      <c r="X1163">
        <v>838527</v>
      </c>
      <c r="Y1163" t="s">
        <v>2303</v>
      </c>
      <c r="Z1163" s="2" t="s">
        <v>8604</v>
      </c>
      <c r="AA1163" s="2" t="s">
        <v>8604</v>
      </c>
      <c r="AB1163" t="s">
        <v>1011</v>
      </c>
      <c r="AG1163" t="s">
        <v>8605</v>
      </c>
      <c r="AH1163" t="s">
        <v>5720</v>
      </c>
      <c r="AI1163" t="s">
        <v>8606</v>
      </c>
    </row>
    <row r="1164" spans="2:35" ht="285">
      <c r="B1164" s="1">
        <v>45902</v>
      </c>
      <c r="C1164" s="1">
        <v>45897</v>
      </c>
      <c r="D1164" t="s">
        <v>8607</v>
      </c>
      <c r="E1164" t="s">
        <v>8608</v>
      </c>
      <c r="F1164" t="s">
        <v>1181</v>
      </c>
      <c r="G1164" t="s">
        <v>1182</v>
      </c>
      <c r="H1164" t="s">
        <v>39</v>
      </c>
      <c r="I1164" t="s">
        <v>40</v>
      </c>
      <c r="J1164" t="s">
        <v>321</v>
      </c>
      <c r="K1164" t="s">
        <v>42</v>
      </c>
      <c r="L1164" t="s">
        <v>43</v>
      </c>
      <c r="N1164" t="s">
        <v>44</v>
      </c>
      <c r="Q1164">
        <v>31382</v>
      </c>
      <c r="R1164" t="s">
        <v>322</v>
      </c>
      <c r="S1164" t="s">
        <v>8609</v>
      </c>
      <c r="T1164">
        <v>24</v>
      </c>
      <c r="W1164" t="s">
        <v>153</v>
      </c>
      <c r="X1164">
        <v>110026465</v>
      </c>
      <c r="Y1164" t="s">
        <v>750</v>
      </c>
      <c r="Z1164" t="s">
        <v>2931</v>
      </c>
      <c r="AA1164" s="2" t="s">
        <v>8610</v>
      </c>
      <c r="AB1164" t="s">
        <v>548</v>
      </c>
      <c r="AC1164" t="s">
        <v>8611</v>
      </c>
      <c r="AG1164" t="s">
        <v>8612</v>
      </c>
      <c r="AH1164" t="s">
        <v>8613</v>
      </c>
      <c r="AI1164" t="s">
        <v>8614</v>
      </c>
    </row>
    <row r="1165" spans="2:35" ht="225">
      <c r="B1165" s="1">
        <v>45902</v>
      </c>
      <c r="C1165" s="1">
        <v>45898</v>
      </c>
      <c r="D1165" t="s">
        <v>2208</v>
      </c>
      <c r="E1165" t="s">
        <v>8615</v>
      </c>
      <c r="F1165" t="s">
        <v>1181</v>
      </c>
      <c r="G1165" t="s">
        <v>1182</v>
      </c>
      <c r="H1165" t="s">
        <v>39</v>
      </c>
      <c r="I1165" t="s">
        <v>40</v>
      </c>
      <c r="J1165" t="s">
        <v>109</v>
      </c>
      <c r="K1165" t="s">
        <v>42</v>
      </c>
      <c r="L1165" t="s">
        <v>43</v>
      </c>
      <c r="N1165" t="s">
        <v>44</v>
      </c>
      <c r="Q1165">
        <v>31381</v>
      </c>
      <c r="R1165" t="s">
        <v>967</v>
      </c>
      <c r="S1165" t="s">
        <v>2211</v>
      </c>
      <c r="T1165">
        <v>22</v>
      </c>
      <c r="U1165" s="2" t="s">
        <v>8616</v>
      </c>
      <c r="W1165" t="s">
        <v>153</v>
      </c>
      <c r="X1165">
        <v>110023510</v>
      </c>
      <c r="Y1165" t="s">
        <v>121</v>
      </c>
      <c r="Z1165" t="s">
        <v>122</v>
      </c>
      <c r="AA1165" s="2" t="s">
        <v>8617</v>
      </c>
      <c r="AB1165" t="s">
        <v>548</v>
      </c>
      <c r="AG1165" t="s">
        <v>8618</v>
      </c>
      <c r="AH1165" t="s">
        <v>8619</v>
      </c>
      <c r="AI1165" t="s">
        <v>8620</v>
      </c>
    </row>
    <row r="1166" spans="2:35" ht="225">
      <c r="B1166" s="1">
        <v>45902</v>
      </c>
      <c r="C1166" s="1">
        <v>45898</v>
      </c>
      <c r="D1166" t="s">
        <v>2208</v>
      </c>
      <c r="E1166" t="s">
        <v>8615</v>
      </c>
      <c r="F1166" t="s">
        <v>1181</v>
      </c>
      <c r="G1166" t="s">
        <v>1182</v>
      </c>
      <c r="H1166" t="s">
        <v>39</v>
      </c>
      <c r="I1166" t="s">
        <v>40</v>
      </c>
      <c r="J1166" t="s">
        <v>109</v>
      </c>
      <c r="K1166" t="s">
        <v>42</v>
      </c>
      <c r="L1166" t="s">
        <v>43</v>
      </c>
      <c r="N1166" t="s">
        <v>44</v>
      </c>
      <c r="Q1166">
        <v>31380</v>
      </c>
      <c r="R1166" t="s">
        <v>322</v>
      </c>
      <c r="S1166" t="s">
        <v>8621</v>
      </c>
      <c r="T1166">
        <v>22</v>
      </c>
      <c r="U1166" s="2" t="s">
        <v>8622</v>
      </c>
      <c r="W1166" t="s">
        <v>5136</v>
      </c>
      <c r="X1166">
        <v>110021518</v>
      </c>
      <c r="Y1166" t="s">
        <v>121</v>
      </c>
      <c r="Z1166" t="s">
        <v>122</v>
      </c>
      <c r="AA1166" s="2" t="s">
        <v>3908</v>
      </c>
      <c r="AB1166" t="s">
        <v>548</v>
      </c>
      <c r="AG1166" t="s">
        <v>8623</v>
      </c>
      <c r="AH1166" t="s">
        <v>4812</v>
      </c>
      <c r="AI1166" t="s">
        <v>8624</v>
      </c>
    </row>
    <row r="1167" spans="2:35" ht="165">
      <c r="B1167" s="1">
        <v>45898</v>
      </c>
      <c r="C1167" s="1">
        <v>45898</v>
      </c>
      <c r="D1167" t="s">
        <v>8625</v>
      </c>
      <c r="E1167" t="s">
        <v>8626</v>
      </c>
      <c r="F1167">
        <v>5</v>
      </c>
      <c r="G1167" t="s">
        <v>827</v>
      </c>
      <c r="H1167" t="s">
        <v>39</v>
      </c>
      <c r="I1167" t="s">
        <v>94</v>
      </c>
      <c r="J1167" t="s">
        <v>109</v>
      </c>
      <c r="K1167" t="s">
        <v>42</v>
      </c>
      <c r="L1167" t="s">
        <v>761</v>
      </c>
      <c r="N1167" t="s">
        <v>762</v>
      </c>
      <c r="Q1167">
        <v>31379</v>
      </c>
      <c r="R1167" t="s">
        <v>119</v>
      </c>
      <c r="S1167" t="s">
        <v>8627</v>
      </c>
      <c r="T1167">
        <v>28</v>
      </c>
      <c r="U1167" s="2" t="s">
        <v>8628</v>
      </c>
      <c r="W1167" t="s">
        <v>765</v>
      </c>
      <c r="X1167">
        <v>838572</v>
      </c>
      <c r="Y1167" t="s">
        <v>6558</v>
      </c>
      <c r="Z1167" s="2" t="s">
        <v>8629</v>
      </c>
      <c r="AA1167" s="2" t="s">
        <v>8630</v>
      </c>
      <c r="AB1167" s="2" t="s">
        <v>2996</v>
      </c>
      <c r="AG1167" t="s">
        <v>8631</v>
      </c>
      <c r="AH1167" t="s">
        <v>8632</v>
      </c>
      <c r="AI1167" t="s">
        <v>8633</v>
      </c>
    </row>
    <row r="1168" spans="2:35" ht="120">
      <c r="B1168" s="1">
        <v>45898</v>
      </c>
      <c r="C1168" s="1">
        <v>45897</v>
      </c>
      <c r="D1168" t="s">
        <v>7296</v>
      </c>
      <c r="E1168" t="s">
        <v>7297</v>
      </c>
      <c r="F1168">
        <v>5</v>
      </c>
      <c r="G1168" t="s">
        <v>759</v>
      </c>
      <c r="H1168" t="s">
        <v>39</v>
      </c>
      <c r="I1168" t="s">
        <v>94</v>
      </c>
      <c r="J1168" t="s">
        <v>109</v>
      </c>
      <c r="K1168" t="s">
        <v>42</v>
      </c>
      <c r="L1168" t="s">
        <v>761</v>
      </c>
      <c r="N1168" t="s">
        <v>762</v>
      </c>
      <c r="Q1168">
        <v>31378</v>
      </c>
      <c r="R1168" t="s">
        <v>119</v>
      </c>
      <c r="S1168" t="s">
        <v>7298</v>
      </c>
      <c r="T1168">
        <v>29</v>
      </c>
      <c r="U1168" s="2" t="s">
        <v>8634</v>
      </c>
      <c r="W1168" t="s">
        <v>765</v>
      </c>
      <c r="X1168">
        <v>838264</v>
      </c>
      <c r="Y1168" t="s">
        <v>818</v>
      </c>
      <c r="Z1168" s="2" t="s">
        <v>8635</v>
      </c>
      <c r="AA1168" t="s">
        <v>820</v>
      </c>
      <c r="AB1168" s="2" t="s">
        <v>4079</v>
      </c>
      <c r="AG1168" t="s">
        <v>8636</v>
      </c>
      <c r="AH1168" t="s">
        <v>8637</v>
      </c>
      <c r="AI1168" t="s">
        <v>8638</v>
      </c>
    </row>
    <row r="1169" spans="2:35" ht="409.5">
      <c r="B1169" s="1">
        <v>45898</v>
      </c>
      <c r="C1169" s="1">
        <v>45898</v>
      </c>
      <c r="D1169" t="s">
        <v>6682</v>
      </c>
      <c r="E1169" t="s">
        <v>5764</v>
      </c>
      <c r="F1169" t="s">
        <v>37</v>
      </c>
      <c r="G1169" t="s">
        <v>78</v>
      </c>
      <c r="H1169" t="s">
        <v>39</v>
      </c>
      <c r="I1169" t="s">
        <v>40</v>
      </c>
      <c r="J1169" s="2" t="s">
        <v>609</v>
      </c>
      <c r="K1169" t="s">
        <v>42</v>
      </c>
      <c r="L1169" t="s">
        <v>1943</v>
      </c>
      <c r="N1169" t="s">
        <v>1944</v>
      </c>
      <c r="Q1169">
        <v>31377</v>
      </c>
      <c r="R1169" t="s">
        <v>119</v>
      </c>
      <c r="S1169" t="s">
        <v>8639</v>
      </c>
      <c r="T1169">
        <v>25</v>
      </c>
      <c r="W1169" t="s">
        <v>84</v>
      </c>
      <c r="X1169">
        <v>838225</v>
      </c>
      <c r="Y1169" s="2" t="s">
        <v>8640</v>
      </c>
      <c r="Z1169" t="s">
        <v>8641</v>
      </c>
      <c r="AA1169" s="2" t="s">
        <v>8642</v>
      </c>
      <c r="AB1169" t="s">
        <v>8643</v>
      </c>
      <c r="AG1169" t="s">
        <v>8644</v>
      </c>
      <c r="AH1169" t="s">
        <v>8645</v>
      </c>
      <c r="AI1169" t="s">
        <v>8646</v>
      </c>
    </row>
    <row r="1170" spans="2:35" ht="225">
      <c r="B1170" s="1">
        <v>45897</v>
      </c>
      <c r="C1170" s="1">
        <v>45897</v>
      </c>
      <c r="D1170" t="s">
        <v>8647</v>
      </c>
      <c r="E1170" t="s">
        <v>8648</v>
      </c>
      <c r="F1170" t="s">
        <v>1181</v>
      </c>
      <c r="G1170" t="s">
        <v>1182</v>
      </c>
      <c r="H1170" t="s">
        <v>39</v>
      </c>
      <c r="I1170" t="s">
        <v>40</v>
      </c>
      <c r="J1170" t="s">
        <v>109</v>
      </c>
      <c r="K1170" t="s">
        <v>42</v>
      </c>
      <c r="L1170" t="s">
        <v>43</v>
      </c>
      <c r="N1170" t="s">
        <v>44</v>
      </c>
      <c r="Q1170">
        <v>31376</v>
      </c>
      <c r="R1170" t="s">
        <v>967</v>
      </c>
      <c r="S1170" t="s">
        <v>8649</v>
      </c>
      <c r="T1170">
        <v>22</v>
      </c>
      <c r="U1170" s="2" t="s">
        <v>8650</v>
      </c>
      <c r="W1170" t="s">
        <v>153</v>
      </c>
      <c r="X1170">
        <v>110023509</v>
      </c>
      <c r="Y1170" t="s">
        <v>121</v>
      </c>
      <c r="Z1170" t="s">
        <v>122</v>
      </c>
      <c r="AA1170" s="2" t="s">
        <v>547</v>
      </c>
      <c r="AB1170" t="s">
        <v>548</v>
      </c>
      <c r="AG1170" t="s">
        <v>8651</v>
      </c>
      <c r="AH1170" t="s">
        <v>8652</v>
      </c>
      <c r="AI1170" t="s">
        <v>8653</v>
      </c>
    </row>
    <row r="1171" spans="2:35" ht="105">
      <c r="B1171" s="1">
        <v>45897</v>
      </c>
      <c r="C1171" s="1">
        <v>45897</v>
      </c>
      <c r="D1171" t="s">
        <v>8654</v>
      </c>
      <c r="E1171" t="s">
        <v>8655</v>
      </c>
      <c r="F1171">
        <v>8</v>
      </c>
      <c r="G1171" t="s">
        <v>257</v>
      </c>
      <c r="H1171" t="s">
        <v>258</v>
      </c>
      <c r="I1171" t="s">
        <v>40</v>
      </c>
      <c r="J1171" t="s">
        <v>109</v>
      </c>
      <c r="K1171" t="s">
        <v>42</v>
      </c>
      <c r="L1171" t="s">
        <v>259</v>
      </c>
      <c r="N1171" t="s">
        <v>260</v>
      </c>
      <c r="Q1171">
        <v>31375</v>
      </c>
      <c r="R1171" t="s">
        <v>119</v>
      </c>
      <c r="S1171" t="s">
        <v>8656</v>
      </c>
      <c r="T1171">
        <v>28</v>
      </c>
      <c r="U1171" s="2" t="s">
        <v>8657</v>
      </c>
      <c r="W1171" t="s">
        <v>84</v>
      </c>
      <c r="X1171">
        <v>838409</v>
      </c>
      <c r="Y1171" t="s">
        <v>263</v>
      </c>
      <c r="Z1171" t="s">
        <v>263</v>
      </c>
      <c r="AA1171" t="e">
        <f ca="1">- Monthly Preventive Maintenance</f>
        <v>#NAME?</v>
      </c>
      <c r="AB1171" t="s">
        <v>70</v>
      </c>
      <c r="AG1171" t="s">
        <v>8658</v>
      </c>
      <c r="AH1171" t="s">
        <v>8659</v>
      </c>
      <c r="AI1171" t="s">
        <v>8660</v>
      </c>
    </row>
    <row r="1172" spans="2:35" ht="255">
      <c r="B1172" s="1">
        <v>45897</v>
      </c>
      <c r="C1172" s="1">
        <v>45897</v>
      </c>
      <c r="D1172" t="s">
        <v>6518</v>
      </c>
      <c r="E1172" t="s">
        <v>8661</v>
      </c>
      <c r="F1172">
        <v>11</v>
      </c>
      <c r="G1172" t="s">
        <v>1205</v>
      </c>
      <c r="H1172" t="s">
        <v>202</v>
      </c>
      <c r="I1172" t="s">
        <v>40</v>
      </c>
      <c r="J1172" t="s">
        <v>996</v>
      </c>
      <c r="K1172" t="s">
        <v>42</v>
      </c>
      <c r="L1172" t="s">
        <v>204</v>
      </c>
      <c r="N1172" t="s">
        <v>205</v>
      </c>
      <c r="Q1172">
        <v>31374</v>
      </c>
      <c r="R1172" t="s">
        <v>119</v>
      </c>
      <c r="S1172" t="s">
        <v>6520</v>
      </c>
      <c r="T1172">
        <v>27.6</v>
      </c>
      <c r="U1172" s="2" t="s">
        <v>8662</v>
      </c>
      <c r="W1172" t="s">
        <v>208</v>
      </c>
      <c r="X1172">
        <v>838505</v>
      </c>
      <c r="Y1172" t="s">
        <v>2851</v>
      </c>
      <c r="Z1172" s="2" t="s">
        <v>1892</v>
      </c>
      <c r="AA1172" t="s">
        <v>2551</v>
      </c>
      <c r="AB1172" t="s">
        <v>1211</v>
      </c>
      <c r="AG1172" t="s">
        <v>8663</v>
      </c>
      <c r="AH1172" t="s">
        <v>6525</v>
      </c>
      <c r="AI1172" t="s">
        <v>8664</v>
      </c>
    </row>
    <row r="1173" spans="2:35" ht="409.5">
      <c r="B1173" s="1">
        <v>45897</v>
      </c>
      <c r="C1173" s="1">
        <v>45896</v>
      </c>
      <c r="D1173" t="s">
        <v>3679</v>
      </c>
      <c r="E1173" t="s">
        <v>2580</v>
      </c>
      <c r="F1173" t="s">
        <v>148</v>
      </c>
      <c r="G1173" t="s">
        <v>447</v>
      </c>
      <c r="H1173" t="s">
        <v>386</v>
      </c>
      <c r="I1173" t="s">
        <v>40</v>
      </c>
      <c r="J1173" t="s">
        <v>79</v>
      </c>
      <c r="K1173" t="s">
        <v>387</v>
      </c>
      <c r="L1173" t="s">
        <v>448</v>
      </c>
      <c r="N1173" t="s">
        <v>450</v>
      </c>
      <c r="Q1173">
        <v>31373</v>
      </c>
      <c r="R1173" t="s">
        <v>322</v>
      </c>
      <c r="S1173" t="s">
        <v>3689</v>
      </c>
      <c r="T1173">
        <v>26</v>
      </c>
      <c r="V1173" s="1">
        <v>45891</v>
      </c>
      <c r="W1173" t="s">
        <v>8665</v>
      </c>
      <c r="X1173">
        <v>20168</v>
      </c>
      <c r="Y1173" s="2" t="s">
        <v>8666</v>
      </c>
      <c r="Z1173" s="2" t="s">
        <v>8667</v>
      </c>
      <c r="AA1173" t="s">
        <v>914</v>
      </c>
      <c r="AB1173" t="s">
        <v>486</v>
      </c>
      <c r="AE1173">
        <v>13276</v>
      </c>
      <c r="AG1173" t="s">
        <v>8668</v>
      </c>
      <c r="AH1173" t="s">
        <v>8669</v>
      </c>
      <c r="AI1173" t="s">
        <v>8670</v>
      </c>
    </row>
    <row r="1174" spans="2:35" ht="409.5">
      <c r="B1174" s="1">
        <v>45896</v>
      </c>
      <c r="C1174" s="1">
        <v>45896</v>
      </c>
      <c r="D1174" t="s">
        <v>5087</v>
      </c>
      <c r="E1174" t="s">
        <v>8671</v>
      </c>
      <c r="F1174" t="s">
        <v>148</v>
      </c>
      <c r="G1174" t="s">
        <v>447</v>
      </c>
      <c r="H1174" t="s">
        <v>5452</v>
      </c>
      <c r="I1174" t="s">
        <v>40</v>
      </c>
      <c r="J1174" t="s">
        <v>79</v>
      </c>
      <c r="K1174" t="s">
        <v>387</v>
      </c>
      <c r="L1174" t="s">
        <v>80</v>
      </c>
      <c r="N1174" t="s">
        <v>81</v>
      </c>
      <c r="O1174" t="s">
        <v>3122</v>
      </c>
      <c r="Q1174">
        <v>31372</v>
      </c>
      <c r="R1174" t="s">
        <v>95</v>
      </c>
      <c r="S1174" t="s">
        <v>81</v>
      </c>
      <c r="T1174">
        <v>25</v>
      </c>
      <c r="V1174" s="1">
        <v>45896</v>
      </c>
      <c r="W1174" t="s">
        <v>390</v>
      </c>
      <c r="X1174" t="s">
        <v>3773</v>
      </c>
      <c r="Y1174" s="2" t="s">
        <v>8672</v>
      </c>
      <c r="Z1174" s="2" t="s">
        <v>8673</v>
      </c>
      <c r="AA1174" s="2" t="s">
        <v>8674</v>
      </c>
      <c r="AB1174" t="s">
        <v>8675</v>
      </c>
      <c r="AC1174" t="s">
        <v>8676</v>
      </c>
      <c r="AD1174" t="s">
        <v>103</v>
      </c>
      <c r="AE1174" t="s">
        <v>103</v>
      </c>
      <c r="AG1174" t="s">
        <v>8677</v>
      </c>
      <c r="AH1174" t="s">
        <v>80</v>
      </c>
      <c r="AI1174" t="s">
        <v>8678</v>
      </c>
    </row>
    <row r="1175" spans="2:35" ht="180">
      <c r="B1175" s="1">
        <v>45896</v>
      </c>
      <c r="C1175" s="1">
        <v>45896</v>
      </c>
      <c r="D1175" t="s">
        <v>1071</v>
      </c>
      <c r="E1175" t="s">
        <v>1555</v>
      </c>
      <c r="F1175">
        <v>7</v>
      </c>
      <c r="G1175" t="s">
        <v>432</v>
      </c>
      <c r="H1175" t="s">
        <v>150</v>
      </c>
      <c r="I1175" t="s">
        <v>40</v>
      </c>
      <c r="J1175" t="s">
        <v>109</v>
      </c>
      <c r="K1175" t="s">
        <v>42</v>
      </c>
      <c r="L1175" t="s">
        <v>343</v>
      </c>
      <c r="N1175" t="s">
        <v>344</v>
      </c>
      <c r="Q1175">
        <v>31371</v>
      </c>
      <c r="R1175" t="s">
        <v>119</v>
      </c>
      <c r="S1175" t="s">
        <v>8679</v>
      </c>
      <c r="T1175">
        <v>27</v>
      </c>
      <c r="U1175" s="2" t="s">
        <v>8680</v>
      </c>
      <c r="W1175" t="s">
        <v>1501</v>
      </c>
      <c r="X1175">
        <v>838285</v>
      </c>
      <c r="Y1175" t="s">
        <v>7415</v>
      </c>
      <c r="Z1175" t="e">
        <f ca="1">-PERFORM Preventive Maintenance</f>
        <v>#NAME?</v>
      </c>
      <c r="AA1175" t="e">
        <f ca="1">-Preventive Maintenance</f>
        <v>#NAME?</v>
      </c>
      <c r="AB1175" t="s">
        <v>348</v>
      </c>
      <c r="AG1175" t="s">
        <v>8681</v>
      </c>
      <c r="AH1175" t="s">
        <v>8682</v>
      </c>
      <c r="AI1175" t="s">
        <v>8683</v>
      </c>
    </row>
    <row r="1176" spans="2:35" ht="240">
      <c r="B1176" s="1">
        <v>45896</v>
      </c>
      <c r="C1176" s="1">
        <v>45896</v>
      </c>
      <c r="D1176" t="s">
        <v>8684</v>
      </c>
      <c r="E1176" t="s">
        <v>8685</v>
      </c>
      <c r="F1176">
        <v>5</v>
      </c>
      <c r="G1176" t="s">
        <v>814</v>
      </c>
      <c r="H1176" t="s">
        <v>8686</v>
      </c>
      <c r="I1176" t="s">
        <v>94</v>
      </c>
      <c r="J1176" s="2" t="s">
        <v>41</v>
      </c>
      <c r="K1176" t="s">
        <v>42</v>
      </c>
      <c r="L1176" t="s">
        <v>761</v>
      </c>
      <c r="N1176" t="s">
        <v>762</v>
      </c>
      <c r="Q1176">
        <v>31370</v>
      </c>
      <c r="R1176" t="s">
        <v>119</v>
      </c>
      <c r="S1176" t="s">
        <v>8687</v>
      </c>
      <c r="T1176">
        <v>25</v>
      </c>
      <c r="U1176" s="2" t="s">
        <v>8688</v>
      </c>
      <c r="W1176" t="s">
        <v>765</v>
      </c>
      <c r="X1176">
        <v>838266</v>
      </c>
      <c r="Y1176" s="2" t="s">
        <v>8689</v>
      </c>
      <c r="Z1176" s="2" t="s">
        <v>8690</v>
      </c>
      <c r="AA1176" s="2" t="s">
        <v>8691</v>
      </c>
      <c r="AB1176" t="s">
        <v>70</v>
      </c>
      <c r="AG1176" t="s">
        <v>8692</v>
      </c>
      <c r="AH1176" t="s">
        <v>8693</v>
      </c>
      <c r="AI1176" t="s">
        <v>8694</v>
      </c>
    </row>
    <row r="1177" spans="2:35" ht="255">
      <c r="B1177" s="1">
        <v>45896</v>
      </c>
      <c r="C1177" s="1">
        <v>45896</v>
      </c>
      <c r="D1177" t="s">
        <v>1316</v>
      </c>
      <c r="E1177" t="s">
        <v>2916</v>
      </c>
      <c r="F1177">
        <v>11</v>
      </c>
      <c r="G1177" t="s">
        <v>1205</v>
      </c>
      <c r="H1177" t="s">
        <v>1317</v>
      </c>
      <c r="I1177" t="s">
        <v>40</v>
      </c>
      <c r="J1177" t="s">
        <v>109</v>
      </c>
      <c r="K1177" t="s">
        <v>42</v>
      </c>
      <c r="L1177" t="s">
        <v>204</v>
      </c>
      <c r="N1177" t="s">
        <v>205</v>
      </c>
      <c r="Q1177">
        <v>31369</v>
      </c>
      <c r="R1177" t="s">
        <v>119</v>
      </c>
      <c r="S1177" t="s">
        <v>1318</v>
      </c>
      <c r="T1177">
        <v>25.7</v>
      </c>
      <c r="U1177" s="2" t="s">
        <v>8695</v>
      </c>
      <c r="W1177" t="s">
        <v>208</v>
      </c>
      <c r="X1177">
        <v>838262</v>
      </c>
      <c r="Y1177" t="s">
        <v>1052</v>
      </c>
      <c r="Z1177" s="2" t="s">
        <v>1892</v>
      </c>
      <c r="AA1177" t="s">
        <v>2551</v>
      </c>
      <c r="AB1177" t="s">
        <v>1211</v>
      </c>
      <c r="AG1177" t="s">
        <v>8696</v>
      </c>
      <c r="AH1177" t="s">
        <v>1325</v>
      </c>
      <c r="AI1177" t="s">
        <v>8697</v>
      </c>
    </row>
    <row r="1178" spans="2:35" ht="120">
      <c r="B1178" s="1">
        <v>45896</v>
      </c>
      <c r="C1178" s="1">
        <v>45891</v>
      </c>
      <c r="D1178" t="s">
        <v>8698</v>
      </c>
      <c r="E1178" t="s">
        <v>8699</v>
      </c>
      <c r="F1178">
        <v>5</v>
      </c>
      <c r="G1178" t="s">
        <v>839</v>
      </c>
      <c r="H1178" t="s">
        <v>39</v>
      </c>
      <c r="I1178" t="s">
        <v>94</v>
      </c>
      <c r="J1178" t="s">
        <v>109</v>
      </c>
      <c r="K1178" t="s">
        <v>42</v>
      </c>
      <c r="L1178" t="s">
        <v>761</v>
      </c>
      <c r="N1178" t="s">
        <v>762</v>
      </c>
      <c r="Q1178">
        <v>31368</v>
      </c>
      <c r="R1178" t="s">
        <v>119</v>
      </c>
      <c r="S1178" t="s">
        <v>8700</v>
      </c>
      <c r="T1178">
        <v>25</v>
      </c>
      <c r="U1178" s="2" t="s">
        <v>8701</v>
      </c>
      <c r="W1178" t="s">
        <v>765</v>
      </c>
      <c r="X1178">
        <v>838560</v>
      </c>
      <c r="Y1178" t="s">
        <v>818</v>
      </c>
      <c r="Z1178" t="s">
        <v>8702</v>
      </c>
      <c r="AA1178" t="s">
        <v>820</v>
      </c>
      <c r="AB1178" s="2" t="s">
        <v>4079</v>
      </c>
      <c r="AC1178" t="s">
        <v>8703</v>
      </c>
      <c r="AG1178" t="s">
        <v>8704</v>
      </c>
      <c r="AH1178" t="s">
        <v>8705</v>
      </c>
      <c r="AI1178" t="s">
        <v>8706</v>
      </c>
    </row>
    <row r="1179" spans="2:35" ht="285">
      <c r="B1179" s="1">
        <v>45896</v>
      </c>
      <c r="C1179" s="1">
        <v>45896</v>
      </c>
      <c r="D1179" t="s">
        <v>8707</v>
      </c>
      <c r="E1179" t="s">
        <v>1194</v>
      </c>
      <c r="F1179" t="s">
        <v>1181</v>
      </c>
      <c r="G1179" t="s">
        <v>1182</v>
      </c>
      <c r="H1179" t="s">
        <v>39</v>
      </c>
      <c r="I1179" t="s">
        <v>40</v>
      </c>
      <c r="J1179" t="s">
        <v>321</v>
      </c>
      <c r="K1179" t="s">
        <v>42</v>
      </c>
      <c r="L1179" t="s">
        <v>43</v>
      </c>
      <c r="N1179" t="s">
        <v>44</v>
      </c>
      <c r="Q1179">
        <v>31367</v>
      </c>
      <c r="R1179" t="s">
        <v>322</v>
      </c>
      <c r="S1179" t="s">
        <v>1195</v>
      </c>
      <c r="T1179">
        <v>24</v>
      </c>
      <c r="W1179" t="s">
        <v>153</v>
      </c>
      <c r="X1179">
        <v>110026464</v>
      </c>
      <c r="Y1179" t="s">
        <v>750</v>
      </c>
      <c r="Z1179" t="s">
        <v>751</v>
      </c>
      <c r="AA1179" s="2" t="s">
        <v>8708</v>
      </c>
      <c r="AB1179" t="s">
        <v>548</v>
      </c>
      <c r="AG1179" t="s">
        <v>8709</v>
      </c>
      <c r="AH1179" t="s">
        <v>8710</v>
      </c>
      <c r="AI1179" t="s">
        <v>8711</v>
      </c>
    </row>
    <row r="1180" spans="2:35" ht="255">
      <c r="B1180" s="1">
        <v>45896</v>
      </c>
      <c r="C1180" s="1">
        <v>45896</v>
      </c>
      <c r="D1180" t="s">
        <v>7471</v>
      </c>
      <c r="E1180" t="s">
        <v>8712</v>
      </c>
      <c r="F1180">
        <v>8</v>
      </c>
      <c r="G1180" t="s">
        <v>342</v>
      </c>
      <c r="H1180" t="s">
        <v>258</v>
      </c>
      <c r="I1180" t="s">
        <v>40</v>
      </c>
      <c r="J1180" s="2" t="s">
        <v>41</v>
      </c>
      <c r="K1180" t="s">
        <v>42</v>
      </c>
      <c r="L1180" t="s">
        <v>259</v>
      </c>
      <c r="N1180" t="s">
        <v>260</v>
      </c>
      <c r="O1180" t="s">
        <v>260</v>
      </c>
      <c r="Q1180">
        <v>31366</v>
      </c>
      <c r="R1180" t="s">
        <v>119</v>
      </c>
      <c r="S1180" t="s">
        <v>8713</v>
      </c>
      <c r="T1180">
        <v>25</v>
      </c>
      <c r="V1180" s="1">
        <v>45896</v>
      </c>
      <c r="W1180" t="s">
        <v>84</v>
      </c>
      <c r="X1180">
        <v>838421</v>
      </c>
      <c r="Y1180" t="e">
        <f ca="1">- module B3 defective</f>
        <v>#NAME?</v>
      </c>
      <c r="Z1180" s="2" t="s">
        <v>8714</v>
      </c>
      <c r="AA1180" t="e">
        <f ca="1">- module Replacement
- Preventive Maintenance</f>
        <v>#NAME?</v>
      </c>
      <c r="AB1180" t="s">
        <v>70</v>
      </c>
      <c r="AD1180" t="s">
        <v>8715</v>
      </c>
      <c r="AE1180">
        <v>13260</v>
      </c>
      <c r="AG1180" t="s">
        <v>8716</v>
      </c>
      <c r="AH1180" t="s">
        <v>8717</v>
      </c>
      <c r="AI1180" t="s">
        <v>8718</v>
      </c>
    </row>
    <row r="1181" spans="2:35" ht="240">
      <c r="B1181" s="1">
        <v>45896</v>
      </c>
      <c r="C1181" s="1">
        <v>45889</v>
      </c>
      <c r="D1181" t="s">
        <v>1099</v>
      </c>
      <c r="E1181" t="s">
        <v>3993</v>
      </c>
      <c r="F1181" t="s">
        <v>148</v>
      </c>
      <c r="G1181" t="s">
        <v>406</v>
      </c>
      <c r="H1181" t="s">
        <v>39</v>
      </c>
      <c r="I1181" t="s">
        <v>40</v>
      </c>
      <c r="J1181" t="s">
        <v>109</v>
      </c>
      <c r="K1181" t="s">
        <v>387</v>
      </c>
      <c r="L1181" t="s">
        <v>43</v>
      </c>
      <c r="N1181" t="s">
        <v>44</v>
      </c>
      <c r="O1181" t="s">
        <v>1091</v>
      </c>
      <c r="Q1181">
        <v>31365</v>
      </c>
      <c r="R1181" t="s">
        <v>95</v>
      </c>
      <c r="S1181" t="s">
        <v>8719</v>
      </c>
      <c r="T1181">
        <v>20</v>
      </c>
      <c r="W1181" t="s">
        <v>390</v>
      </c>
      <c r="X1181" t="s">
        <v>5702</v>
      </c>
      <c r="Y1181" t="s">
        <v>121</v>
      </c>
      <c r="Z1181" t="s">
        <v>122</v>
      </c>
      <c r="AA1181" s="2" t="s">
        <v>8720</v>
      </c>
      <c r="AB1181" t="s">
        <v>88</v>
      </c>
      <c r="AG1181" t="s">
        <v>8721</v>
      </c>
      <c r="AH1181" t="s">
        <v>8722</v>
      </c>
      <c r="AI1181" t="s">
        <v>8723</v>
      </c>
    </row>
    <row r="1182" spans="2:35" ht="409.5">
      <c r="B1182" s="1">
        <v>45896</v>
      </c>
      <c r="C1182" s="1">
        <v>45889</v>
      </c>
      <c r="D1182" t="s">
        <v>1099</v>
      </c>
      <c r="E1182" t="s">
        <v>3993</v>
      </c>
      <c r="F1182" t="s">
        <v>148</v>
      </c>
      <c r="G1182" t="s">
        <v>406</v>
      </c>
      <c r="H1182" t="s">
        <v>39</v>
      </c>
      <c r="I1182" t="s">
        <v>40</v>
      </c>
      <c r="J1182" t="s">
        <v>109</v>
      </c>
      <c r="K1182" t="s">
        <v>42</v>
      </c>
      <c r="L1182" t="s">
        <v>43</v>
      </c>
      <c r="N1182" t="s">
        <v>44</v>
      </c>
      <c r="O1182" t="s">
        <v>1091</v>
      </c>
      <c r="Q1182">
        <v>31363</v>
      </c>
      <c r="R1182" t="s">
        <v>95</v>
      </c>
      <c r="S1182" t="s">
        <v>5690</v>
      </c>
      <c r="T1182">
        <v>22</v>
      </c>
      <c r="U1182" s="2" t="s">
        <v>8724</v>
      </c>
      <c r="W1182" t="s">
        <v>48</v>
      </c>
      <c r="X1182">
        <v>839231</v>
      </c>
      <c r="Y1182" t="s">
        <v>121</v>
      </c>
      <c r="Z1182" t="s">
        <v>122</v>
      </c>
      <c r="AA1182" s="2" t="s">
        <v>547</v>
      </c>
      <c r="AB1182" t="s">
        <v>548</v>
      </c>
      <c r="AG1182" t="s">
        <v>8725</v>
      </c>
      <c r="AH1182" t="s">
        <v>1097</v>
      </c>
      <c r="AI1182" t="s">
        <v>8726</v>
      </c>
    </row>
    <row r="1183" spans="2:35" ht="270">
      <c r="B1183" s="1">
        <v>45896</v>
      </c>
      <c r="C1183" s="1">
        <v>45891</v>
      </c>
      <c r="D1183" t="s">
        <v>8727</v>
      </c>
      <c r="E1183" t="s">
        <v>8728</v>
      </c>
      <c r="F1183" t="s">
        <v>37</v>
      </c>
      <c r="G1183" t="s">
        <v>2499</v>
      </c>
      <c r="H1183" t="s">
        <v>39</v>
      </c>
      <c r="I1183" t="s">
        <v>40</v>
      </c>
      <c r="J1183" s="2" t="s">
        <v>41</v>
      </c>
      <c r="K1183" t="s">
        <v>42</v>
      </c>
      <c r="L1183" t="s">
        <v>43</v>
      </c>
      <c r="N1183" t="s">
        <v>44</v>
      </c>
      <c r="Q1183">
        <v>31364</v>
      </c>
      <c r="R1183" t="s">
        <v>119</v>
      </c>
      <c r="S1183" t="s">
        <v>8729</v>
      </c>
      <c r="T1183">
        <v>20</v>
      </c>
      <c r="U1183" s="2" t="s">
        <v>8730</v>
      </c>
      <c r="V1183" s="1">
        <v>45883</v>
      </c>
      <c r="W1183" t="s">
        <v>48</v>
      </c>
      <c r="X1183">
        <v>838206</v>
      </c>
      <c r="Y1183" t="s">
        <v>8731</v>
      </c>
      <c r="Z1183" t="s">
        <v>179</v>
      </c>
      <c r="AA1183" s="2" t="s">
        <v>8732</v>
      </c>
      <c r="AB1183" t="s">
        <v>990</v>
      </c>
      <c r="AD1183" s="2" t="s">
        <v>8733</v>
      </c>
      <c r="AE1183" t="s">
        <v>8734</v>
      </c>
      <c r="AG1183" t="s">
        <v>8735</v>
      </c>
      <c r="AH1183" t="s">
        <v>8736</v>
      </c>
      <c r="AI1183" t="s">
        <v>8737</v>
      </c>
    </row>
    <row r="1184" spans="2:35" ht="409.5">
      <c r="B1184" s="1">
        <v>45896</v>
      </c>
      <c r="C1184" s="1">
        <v>45889</v>
      </c>
      <c r="D1184" t="s">
        <v>1099</v>
      </c>
      <c r="E1184" t="s">
        <v>3993</v>
      </c>
      <c r="F1184" t="s">
        <v>148</v>
      </c>
      <c r="G1184" t="s">
        <v>406</v>
      </c>
      <c r="H1184" t="s">
        <v>3994</v>
      </c>
      <c r="I1184" t="s">
        <v>40</v>
      </c>
      <c r="J1184" t="s">
        <v>109</v>
      </c>
      <c r="K1184" t="s">
        <v>42</v>
      </c>
      <c r="L1184" t="s">
        <v>43</v>
      </c>
      <c r="N1184" t="s">
        <v>44</v>
      </c>
      <c r="O1184" t="s">
        <v>1091</v>
      </c>
      <c r="Q1184">
        <v>31362</v>
      </c>
      <c r="R1184" t="s">
        <v>95</v>
      </c>
      <c r="S1184" t="s">
        <v>5690</v>
      </c>
      <c r="T1184">
        <v>22</v>
      </c>
      <c r="U1184" s="2" t="s">
        <v>8738</v>
      </c>
      <c r="W1184" t="s">
        <v>153</v>
      </c>
      <c r="X1184">
        <v>120002383</v>
      </c>
      <c r="Y1184" t="s">
        <v>121</v>
      </c>
      <c r="Z1184" t="s">
        <v>122</v>
      </c>
      <c r="AA1184" s="2" t="s">
        <v>547</v>
      </c>
      <c r="AB1184" t="s">
        <v>548</v>
      </c>
      <c r="AG1184" t="s">
        <v>8739</v>
      </c>
      <c r="AH1184" t="s">
        <v>1097</v>
      </c>
      <c r="AI1184" t="s">
        <v>8740</v>
      </c>
    </row>
    <row r="1185" spans="2:35" ht="300">
      <c r="B1185" s="1">
        <v>45896</v>
      </c>
      <c r="C1185" s="1">
        <v>45888</v>
      </c>
      <c r="D1185" t="s">
        <v>1686</v>
      </c>
      <c r="E1185" t="s">
        <v>5585</v>
      </c>
      <c r="F1185" t="s">
        <v>148</v>
      </c>
      <c r="G1185" t="s">
        <v>785</v>
      </c>
      <c r="H1185" t="s">
        <v>39</v>
      </c>
      <c r="I1185" t="s">
        <v>40</v>
      </c>
      <c r="J1185" s="2" t="s">
        <v>609</v>
      </c>
      <c r="K1185" t="s">
        <v>42</v>
      </c>
      <c r="L1185" t="s">
        <v>43</v>
      </c>
      <c r="N1185" t="s">
        <v>44</v>
      </c>
      <c r="Q1185">
        <v>31361</v>
      </c>
      <c r="R1185" t="s">
        <v>322</v>
      </c>
      <c r="S1185" t="s">
        <v>1688</v>
      </c>
      <c r="T1185">
        <v>22</v>
      </c>
      <c r="U1185" s="2" t="s">
        <v>8741</v>
      </c>
      <c r="W1185" t="s">
        <v>153</v>
      </c>
      <c r="X1185">
        <v>110024247</v>
      </c>
      <c r="Y1185" t="s">
        <v>8742</v>
      </c>
      <c r="Z1185" t="s">
        <v>8743</v>
      </c>
      <c r="AA1185" s="2" t="s">
        <v>8744</v>
      </c>
      <c r="AB1185" t="s">
        <v>548</v>
      </c>
      <c r="AG1185" t="s">
        <v>8745</v>
      </c>
      <c r="AH1185" t="s">
        <v>8746</v>
      </c>
      <c r="AI1185" t="s">
        <v>8747</v>
      </c>
    </row>
    <row r="1186" spans="2:35" ht="390">
      <c r="B1186" s="1">
        <v>45896</v>
      </c>
      <c r="C1186" s="1">
        <v>45889</v>
      </c>
      <c r="D1186" t="s">
        <v>8748</v>
      </c>
      <c r="E1186" t="s">
        <v>8749</v>
      </c>
      <c r="F1186">
        <v>12</v>
      </c>
      <c r="G1186" t="s">
        <v>294</v>
      </c>
      <c r="H1186" t="s">
        <v>1473</v>
      </c>
      <c r="I1186" t="s">
        <v>40</v>
      </c>
      <c r="J1186" t="s">
        <v>109</v>
      </c>
      <c r="K1186" t="s">
        <v>42</v>
      </c>
      <c r="L1186" t="s">
        <v>296</v>
      </c>
      <c r="N1186" t="s">
        <v>297</v>
      </c>
      <c r="Q1186">
        <v>31360</v>
      </c>
      <c r="R1186" t="s">
        <v>119</v>
      </c>
      <c r="S1186" t="s">
        <v>8750</v>
      </c>
      <c r="T1186">
        <v>25.4</v>
      </c>
      <c r="U1186" s="2" t="s">
        <v>8751</v>
      </c>
      <c r="W1186" t="s">
        <v>981</v>
      </c>
      <c r="X1186">
        <v>838556</v>
      </c>
      <c r="Y1186" t="s">
        <v>301</v>
      </c>
      <c r="Z1186" s="2" t="s">
        <v>8752</v>
      </c>
      <c r="AA1186" t="s">
        <v>303</v>
      </c>
      <c r="AB1186" t="s">
        <v>972</v>
      </c>
      <c r="AG1186" t="s">
        <v>8753</v>
      </c>
      <c r="AH1186" t="s">
        <v>8754</v>
      </c>
      <c r="AI1186" t="s">
        <v>8755</v>
      </c>
    </row>
    <row r="1187" spans="2:35" ht="240">
      <c r="B1187" s="1">
        <v>45895</v>
      </c>
      <c r="C1187" s="1">
        <v>45893</v>
      </c>
      <c r="D1187" t="s">
        <v>1071</v>
      </c>
      <c r="E1187" t="s">
        <v>8756</v>
      </c>
      <c r="F1187">
        <v>7</v>
      </c>
      <c r="G1187" t="s">
        <v>432</v>
      </c>
      <c r="H1187" t="s">
        <v>386</v>
      </c>
      <c r="I1187" t="s">
        <v>40</v>
      </c>
      <c r="J1187" t="s">
        <v>79</v>
      </c>
      <c r="K1187" t="s">
        <v>387</v>
      </c>
      <c r="L1187" t="s">
        <v>610</v>
      </c>
      <c r="N1187" t="s">
        <v>611</v>
      </c>
      <c r="Q1187">
        <v>31359</v>
      </c>
      <c r="R1187" t="s">
        <v>95</v>
      </c>
      <c r="S1187" t="s">
        <v>1073</v>
      </c>
      <c r="T1187">
        <v>24</v>
      </c>
      <c r="W1187" t="s">
        <v>390</v>
      </c>
      <c r="X1187" t="s">
        <v>1074</v>
      </c>
      <c r="Y1187" t="s">
        <v>8757</v>
      </c>
      <c r="Z1187" s="2" t="s">
        <v>8758</v>
      </c>
      <c r="AA1187" s="2" t="s">
        <v>8758</v>
      </c>
      <c r="AB1187" t="s">
        <v>88</v>
      </c>
      <c r="AG1187" t="s">
        <v>8759</v>
      </c>
      <c r="AH1187" t="s">
        <v>1079</v>
      </c>
      <c r="AI1187" t="s">
        <v>8760</v>
      </c>
    </row>
    <row r="1188" spans="2:35" ht="409.5">
      <c r="B1188" s="1">
        <v>45895</v>
      </c>
      <c r="C1188" s="1">
        <v>45890</v>
      </c>
      <c r="D1188" t="s">
        <v>8761</v>
      </c>
      <c r="E1188" t="s">
        <v>7875</v>
      </c>
      <c r="F1188">
        <v>7</v>
      </c>
      <c r="G1188" t="s">
        <v>432</v>
      </c>
      <c r="H1188" t="s">
        <v>608</v>
      </c>
      <c r="I1188" t="s">
        <v>40</v>
      </c>
      <c r="J1188" t="s">
        <v>109</v>
      </c>
      <c r="K1188" t="s">
        <v>42</v>
      </c>
      <c r="L1188" t="s">
        <v>610</v>
      </c>
      <c r="N1188" t="s">
        <v>611</v>
      </c>
      <c r="O1188" t="s">
        <v>8762</v>
      </c>
      <c r="Q1188">
        <v>31358</v>
      </c>
      <c r="R1188" t="s">
        <v>95</v>
      </c>
      <c r="S1188" t="s">
        <v>8763</v>
      </c>
      <c r="T1188">
        <v>24</v>
      </c>
      <c r="U1188" s="2" t="s">
        <v>8764</v>
      </c>
      <c r="W1188" t="s">
        <v>360</v>
      </c>
      <c r="X1188">
        <v>110020777</v>
      </c>
      <c r="Y1188" s="2" t="s">
        <v>8765</v>
      </c>
      <c r="Z1188" s="2" t="s">
        <v>8765</v>
      </c>
      <c r="AA1188" s="2" t="s">
        <v>8765</v>
      </c>
      <c r="AB1188" t="s">
        <v>7886</v>
      </c>
      <c r="AG1188" t="s">
        <v>8766</v>
      </c>
      <c r="AH1188" t="s">
        <v>7879</v>
      </c>
      <c r="AI1188" t="s">
        <v>8767</v>
      </c>
    </row>
    <row r="1189" spans="2:35" ht="409.5">
      <c r="B1189" s="1">
        <v>45895</v>
      </c>
      <c r="C1189" s="1">
        <v>45889</v>
      </c>
      <c r="D1189" t="s">
        <v>7881</v>
      </c>
      <c r="E1189" t="s">
        <v>8756</v>
      </c>
      <c r="F1189">
        <v>7</v>
      </c>
      <c r="G1189" t="s">
        <v>432</v>
      </c>
      <c r="H1189" t="s">
        <v>608</v>
      </c>
      <c r="I1189" t="s">
        <v>40</v>
      </c>
      <c r="J1189" s="2" t="s">
        <v>1592</v>
      </c>
      <c r="K1189" t="s">
        <v>42</v>
      </c>
      <c r="L1189" t="s">
        <v>610</v>
      </c>
      <c r="N1189" t="s">
        <v>611</v>
      </c>
      <c r="O1189" t="s">
        <v>611</v>
      </c>
      <c r="Q1189">
        <v>31357</v>
      </c>
      <c r="R1189" t="s">
        <v>95</v>
      </c>
      <c r="S1189" t="s">
        <v>7883</v>
      </c>
      <c r="T1189">
        <v>24</v>
      </c>
      <c r="U1189" s="2" t="s">
        <v>6205</v>
      </c>
      <c r="W1189" t="s">
        <v>360</v>
      </c>
      <c r="X1189">
        <v>838512</v>
      </c>
      <c r="Y1189" t="s">
        <v>8768</v>
      </c>
      <c r="Z1189" s="2" t="s">
        <v>8769</v>
      </c>
      <c r="AA1189" s="2" t="s">
        <v>7885</v>
      </c>
      <c r="AB1189" t="s">
        <v>7886</v>
      </c>
      <c r="AC1189" t="s">
        <v>8756</v>
      </c>
      <c r="AE1189" t="s">
        <v>1451</v>
      </c>
      <c r="AG1189" t="s">
        <v>8770</v>
      </c>
      <c r="AH1189" t="s">
        <v>7888</v>
      </c>
      <c r="AI1189" t="s">
        <v>8771</v>
      </c>
    </row>
    <row r="1190" spans="2:35" ht="315">
      <c r="B1190" s="1">
        <v>45895</v>
      </c>
      <c r="C1190" s="1">
        <v>45895</v>
      </c>
      <c r="D1190" t="s">
        <v>7459</v>
      </c>
      <c r="E1190" t="s">
        <v>8772</v>
      </c>
      <c r="F1190">
        <v>11</v>
      </c>
      <c r="G1190" t="s">
        <v>1205</v>
      </c>
      <c r="H1190" t="s">
        <v>202</v>
      </c>
      <c r="I1190" t="s">
        <v>40</v>
      </c>
      <c r="J1190" t="s">
        <v>109</v>
      </c>
      <c r="K1190" t="s">
        <v>42</v>
      </c>
      <c r="L1190" t="s">
        <v>204</v>
      </c>
      <c r="N1190" t="s">
        <v>205</v>
      </c>
      <c r="Q1190">
        <v>31356</v>
      </c>
      <c r="R1190" t="s">
        <v>119</v>
      </c>
      <c r="S1190" t="s">
        <v>8773</v>
      </c>
      <c r="T1190">
        <v>27.5</v>
      </c>
      <c r="U1190" s="2" t="s">
        <v>8774</v>
      </c>
      <c r="W1190" t="s">
        <v>208</v>
      </c>
      <c r="X1190">
        <v>838511</v>
      </c>
      <c r="Y1190" t="s">
        <v>2851</v>
      </c>
      <c r="Z1190" s="2" t="s">
        <v>8775</v>
      </c>
      <c r="AA1190" t="s">
        <v>2551</v>
      </c>
      <c r="AB1190" t="s">
        <v>1211</v>
      </c>
      <c r="AG1190" t="s">
        <v>8776</v>
      </c>
      <c r="AH1190" t="s">
        <v>8777</v>
      </c>
      <c r="AI1190" t="s">
        <v>8778</v>
      </c>
    </row>
    <row r="1191" spans="2:35" ht="165">
      <c r="B1191" s="1">
        <v>45895</v>
      </c>
      <c r="C1191" s="1">
        <v>45889</v>
      </c>
      <c r="D1191" t="s">
        <v>498</v>
      </c>
      <c r="E1191" t="s">
        <v>499</v>
      </c>
      <c r="F1191">
        <v>7</v>
      </c>
      <c r="G1191" t="s">
        <v>432</v>
      </c>
      <c r="H1191" t="s">
        <v>39</v>
      </c>
      <c r="I1191" t="s">
        <v>40</v>
      </c>
      <c r="J1191" s="2" t="s">
        <v>609</v>
      </c>
      <c r="K1191" t="s">
        <v>42</v>
      </c>
      <c r="L1191" t="s">
        <v>433</v>
      </c>
      <c r="N1191" t="s">
        <v>434</v>
      </c>
      <c r="Q1191">
        <v>31355</v>
      </c>
      <c r="R1191" t="s">
        <v>119</v>
      </c>
      <c r="S1191" t="s">
        <v>3264</v>
      </c>
      <c r="T1191">
        <v>28</v>
      </c>
      <c r="W1191" t="s">
        <v>502</v>
      </c>
      <c r="X1191">
        <v>838510</v>
      </c>
      <c r="Y1191" t="s">
        <v>8779</v>
      </c>
      <c r="Z1191" s="2" t="s">
        <v>8780</v>
      </c>
      <c r="AA1191" s="2" t="s">
        <v>8780</v>
      </c>
      <c r="AB1191" t="s">
        <v>8781</v>
      </c>
      <c r="AG1191" t="s">
        <v>8782</v>
      </c>
      <c r="AH1191" t="s">
        <v>3268</v>
      </c>
      <c r="AI1191" t="s">
        <v>8783</v>
      </c>
    </row>
    <row r="1192" spans="2:35" ht="390">
      <c r="B1192" s="1">
        <v>45895</v>
      </c>
      <c r="C1192" s="1">
        <v>45884</v>
      </c>
      <c r="D1192" t="s">
        <v>4523</v>
      </c>
      <c r="E1192" t="s">
        <v>3011</v>
      </c>
      <c r="F1192">
        <v>1</v>
      </c>
      <c r="G1192" t="s">
        <v>1046</v>
      </c>
      <c r="H1192" t="s">
        <v>1047</v>
      </c>
      <c r="I1192" t="s">
        <v>40</v>
      </c>
      <c r="J1192" s="2" t="s">
        <v>41</v>
      </c>
      <c r="K1192" t="s">
        <v>42</v>
      </c>
      <c r="L1192" t="s">
        <v>1048</v>
      </c>
      <c r="N1192" t="s">
        <v>1049</v>
      </c>
      <c r="Q1192">
        <v>31354</v>
      </c>
      <c r="R1192" t="s">
        <v>119</v>
      </c>
      <c r="S1192" t="s">
        <v>7964</v>
      </c>
      <c r="T1192">
        <v>26</v>
      </c>
      <c r="V1192" s="1">
        <v>45882</v>
      </c>
      <c r="W1192" t="s">
        <v>1051</v>
      </c>
      <c r="X1192">
        <v>838286</v>
      </c>
      <c r="Y1192" t="s">
        <v>7270</v>
      </c>
      <c r="Z1192" s="2" t="s">
        <v>8784</v>
      </c>
      <c r="AA1192" t="s">
        <v>7997</v>
      </c>
      <c r="AB1192" t="s">
        <v>1428</v>
      </c>
      <c r="AD1192" t="s">
        <v>8785</v>
      </c>
      <c r="AE1192" t="s">
        <v>8786</v>
      </c>
      <c r="AG1192" t="s">
        <v>8787</v>
      </c>
      <c r="AH1192" t="s">
        <v>8788</v>
      </c>
      <c r="AI1192" t="s">
        <v>8789</v>
      </c>
    </row>
    <row r="1193" spans="2:35">
      <c r="B1193" s="1">
        <v>45895</v>
      </c>
      <c r="C1193" s="1">
        <v>45882</v>
      </c>
      <c r="D1193" t="s">
        <v>1057</v>
      </c>
      <c r="E1193" t="s">
        <v>1058</v>
      </c>
      <c r="F1193">
        <v>1</v>
      </c>
      <c r="G1193" t="s">
        <v>1046</v>
      </c>
      <c r="H1193" t="s">
        <v>39</v>
      </c>
      <c r="I1193" t="s">
        <v>40</v>
      </c>
      <c r="J1193" t="s">
        <v>109</v>
      </c>
      <c r="K1193" t="s">
        <v>42</v>
      </c>
      <c r="L1193" t="s">
        <v>1048</v>
      </c>
      <c r="N1193" t="s">
        <v>1049</v>
      </c>
      <c r="Q1193">
        <v>31353</v>
      </c>
      <c r="R1193" t="s">
        <v>95</v>
      </c>
      <c r="S1193" t="s">
        <v>1059</v>
      </c>
      <c r="T1193">
        <v>28</v>
      </c>
      <c r="W1193" t="s">
        <v>1060</v>
      </c>
      <c r="X1193">
        <v>820303</v>
      </c>
      <c r="Y1193" t="s">
        <v>1052</v>
      </c>
      <c r="Z1193" t="e">
        <f ca="1">- cleaned cartridge Bays, plunger Rods _xludf.and I-CORE
- generated reports</f>
        <v>#NAME?</v>
      </c>
      <c r="AA1193" t="s">
        <v>820</v>
      </c>
      <c r="AB1193" t="s">
        <v>8790</v>
      </c>
      <c r="AG1193" t="s">
        <v>8791</v>
      </c>
      <c r="AH1193" t="s">
        <v>3393</v>
      </c>
      <c r="AI1193" t="s">
        <v>8792</v>
      </c>
    </row>
    <row r="1194" spans="2:35" ht="75">
      <c r="B1194" s="1">
        <v>45895</v>
      </c>
      <c r="C1194" s="1">
        <v>45881</v>
      </c>
      <c r="D1194" t="s">
        <v>3732</v>
      </c>
      <c r="E1194" t="s">
        <v>3733</v>
      </c>
      <c r="F1194">
        <v>1</v>
      </c>
      <c r="G1194" t="s">
        <v>1046</v>
      </c>
      <c r="H1194" t="s">
        <v>1047</v>
      </c>
      <c r="I1194" t="s">
        <v>40</v>
      </c>
      <c r="J1194" s="2" t="s">
        <v>190</v>
      </c>
      <c r="K1194" t="s">
        <v>42</v>
      </c>
      <c r="L1194" t="s">
        <v>1048</v>
      </c>
      <c r="N1194" t="s">
        <v>1049</v>
      </c>
      <c r="Q1194">
        <v>31352</v>
      </c>
      <c r="R1194" t="s">
        <v>119</v>
      </c>
      <c r="S1194" t="s">
        <v>3734</v>
      </c>
      <c r="T1194">
        <v>26</v>
      </c>
      <c r="W1194" t="s">
        <v>1051</v>
      </c>
      <c r="X1194">
        <v>838473</v>
      </c>
      <c r="Y1194" t="s">
        <v>1934</v>
      </c>
      <c r="Z1194" t="e">
        <f ca="1">- performed reliability test
- cleaned cartridge Bays, plunger Rods _xludf.and I-CORE
- generated reports</f>
        <v>#NAME?</v>
      </c>
      <c r="AA1194" t="s">
        <v>1935</v>
      </c>
      <c r="AB1194" t="s">
        <v>1428</v>
      </c>
      <c r="AG1194" t="s">
        <v>8793</v>
      </c>
      <c r="AH1194" t="s">
        <v>7274</v>
      </c>
      <c r="AI1194" t="s">
        <v>8794</v>
      </c>
    </row>
    <row r="1195" spans="2:35">
      <c r="B1195" s="1">
        <v>45895</v>
      </c>
      <c r="C1195" s="1">
        <v>45876</v>
      </c>
      <c r="D1195" t="s">
        <v>4528</v>
      </c>
      <c r="E1195" t="s">
        <v>8795</v>
      </c>
      <c r="F1195">
        <v>1</v>
      </c>
      <c r="G1195" t="s">
        <v>1046</v>
      </c>
      <c r="H1195" t="s">
        <v>1047</v>
      </c>
      <c r="I1195" t="s">
        <v>40</v>
      </c>
      <c r="J1195" t="s">
        <v>109</v>
      </c>
      <c r="K1195" t="s">
        <v>42</v>
      </c>
      <c r="L1195" t="s">
        <v>1048</v>
      </c>
      <c r="N1195" t="s">
        <v>1049</v>
      </c>
      <c r="Q1195">
        <v>31351</v>
      </c>
      <c r="R1195" t="s">
        <v>119</v>
      </c>
      <c r="S1195" t="s">
        <v>4530</v>
      </c>
      <c r="T1195">
        <v>28</v>
      </c>
      <c r="W1195" t="s">
        <v>1051</v>
      </c>
      <c r="X1195">
        <v>838472</v>
      </c>
      <c r="Y1195" t="e">
        <f ca="1">- _xludf.For Preventive Maintenance</f>
        <v>#NAME?</v>
      </c>
      <c r="Z1195" t="e">
        <f ca="1">- cleaned cartridge Bays, plunger Rods _xludf.and I-CORE
- generated reports</f>
        <v>#NAME?</v>
      </c>
      <c r="AA1195" t="e">
        <f ca="1">- performed Preventive Maintenance</f>
        <v>#NAME?</v>
      </c>
      <c r="AB1195" t="s">
        <v>1428</v>
      </c>
      <c r="AG1195" t="s">
        <v>8796</v>
      </c>
      <c r="AH1195" t="s">
        <v>4532</v>
      </c>
      <c r="AI1195" t="s">
        <v>8797</v>
      </c>
    </row>
    <row r="1196" spans="2:35">
      <c r="B1196" s="1">
        <v>45895</v>
      </c>
      <c r="C1196" s="1">
        <v>45876</v>
      </c>
      <c r="D1196" t="s">
        <v>3732</v>
      </c>
      <c r="E1196" t="s">
        <v>3733</v>
      </c>
      <c r="F1196">
        <v>1</v>
      </c>
      <c r="G1196" t="s">
        <v>1046</v>
      </c>
      <c r="H1196" t="s">
        <v>1047</v>
      </c>
      <c r="I1196" t="s">
        <v>40</v>
      </c>
      <c r="J1196" t="s">
        <v>109</v>
      </c>
      <c r="K1196" t="s">
        <v>42</v>
      </c>
      <c r="L1196" t="s">
        <v>1048</v>
      </c>
      <c r="N1196" t="s">
        <v>1049</v>
      </c>
      <c r="Q1196">
        <v>31350</v>
      </c>
      <c r="R1196" t="s">
        <v>119</v>
      </c>
      <c r="S1196" t="s">
        <v>3734</v>
      </c>
      <c r="T1196">
        <v>23</v>
      </c>
      <c r="W1196" t="s">
        <v>1051</v>
      </c>
      <c r="X1196">
        <v>838473</v>
      </c>
      <c r="Y1196" t="s">
        <v>1052</v>
      </c>
      <c r="Z1196" t="e">
        <f ca="1">- cleaned cartridge Bays, plunger Rods _xludf.and I-CORE
- generated reports</f>
        <v>#NAME?</v>
      </c>
      <c r="AA1196" t="s">
        <v>820</v>
      </c>
      <c r="AB1196" t="s">
        <v>1428</v>
      </c>
      <c r="AG1196" t="s">
        <v>8798</v>
      </c>
      <c r="AH1196" t="s">
        <v>8799</v>
      </c>
      <c r="AI1196" t="s">
        <v>8800</v>
      </c>
    </row>
    <row r="1197" spans="2:35" ht="360">
      <c r="B1197" s="1">
        <v>45895</v>
      </c>
      <c r="C1197" s="1">
        <v>45883</v>
      </c>
      <c r="D1197" t="s">
        <v>8801</v>
      </c>
      <c r="E1197" t="s">
        <v>8802</v>
      </c>
      <c r="F1197">
        <v>3</v>
      </c>
      <c r="G1197" t="s">
        <v>284</v>
      </c>
      <c r="H1197" t="s">
        <v>8015</v>
      </c>
      <c r="I1197" t="s">
        <v>40</v>
      </c>
      <c r="J1197" t="s">
        <v>109</v>
      </c>
      <c r="K1197" t="s">
        <v>42</v>
      </c>
      <c r="L1197" t="s">
        <v>135</v>
      </c>
      <c r="N1197" t="s">
        <v>136</v>
      </c>
      <c r="Q1197">
        <v>31349</v>
      </c>
      <c r="R1197" t="s">
        <v>322</v>
      </c>
      <c r="S1197" t="s">
        <v>8016</v>
      </c>
      <c r="T1197">
        <v>25</v>
      </c>
      <c r="U1197" s="2" t="s">
        <v>8803</v>
      </c>
      <c r="W1197" t="s">
        <v>8804</v>
      </c>
      <c r="X1197">
        <v>120003587</v>
      </c>
      <c r="Y1197" t="s">
        <v>7229</v>
      </c>
      <c r="Z1197" t="s">
        <v>4315</v>
      </c>
      <c r="AA1197" s="2" t="s">
        <v>4316</v>
      </c>
      <c r="AB1197" t="s">
        <v>181</v>
      </c>
      <c r="AG1197" t="s">
        <v>8805</v>
      </c>
      <c r="AH1197" t="s">
        <v>8806</v>
      </c>
      <c r="AI1197" t="s">
        <v>8807</v>
      </c>
    </row>
    <row r="1198" spans="2:35">
      <c r="B1198" s="1">
        <v>45895</v>
      </c>
      <c r="C1198" s="1">
        <v>45895</v>
      </c>
      <c r="D1198" t="s">
        <v>8671</v>
      </c>
      <c r="E1198" t="s">
        <v>8808</v>
      </c>
      <c r="F1198" t="s">
        <v>148</v>
      </c>
      <c r="G1198" t="s">
        <v>447</v>
      </c>
      <c r="H1198" t="s">
        <v>8809</v>
      </c>
      <c r="I1198" t="s">
        <v>40</v>
      </c>
      <c r="J1198" t="s">
        <v>525</v>
      </c>
      <c r="K1198" t="s">
        <v>408</v>
      </c>
      <c r="L1198" t="s">
        <v>409</v>
      </c>
      <c r="N1198" t="s">
        <v>8810</v>
      </c>
      <c r="P1198" t="s">
        <v>8811</v>
      </c>
      <c r="Q1198">
        <v>31348</v>
      </c>
      <c r="R1198" t="s">
        <v>95</v>
      </c>
      <c r="S1198" t="s">
        <v>8812</v>
      </c>
      <c r="T1198">
        <v>24</v>
      </c>
      <c r="W1198" t="s">
        <v>8813</v>
      </c>
      <c r="X1198">
        <v>191203070004</v>
      </c>
      <c r="Y1198" t="s">
        <v>8814</v>
      </c>
      <c r="Z1198" t="s">
        <v>301</v>
      </c>
      <c r="AA1198" t="s">
        <v>8815</v>
      </c>
      <c r="AB1198" t="s">
        <v>8816</v>
      </c>
      <c r="AG1198" t="s">
        <v>8817</v>
      </c>
      <c r="AH1198" t="s">
        <v>8818</v>
      </c>
      <c r="AI1198" t="s">
        <v>8819</v>
      </c>
    </row>
    <row r="1199" spans="2:35">
      <c r="B1199" s="1">
        <v>45891</v>
      </c>
      <c r="C1199" s="1">
        <v>45891</v>
      </c>
      <c r="D1199" t="s">
        <v>1040</v>
      </c>
      <c r="E1199" t="s">
        <v>582</v>
      </c>
      <c r="F1199" t="s">
        <v>148</v>
      </c>
      <c r="G1199" t="s">
        <v>447</v>
      </c>
      <c r="H1199" t="s">
        <v>39</v>
      </c>
      <c r="I1199" t="s">
        <v>40</v>
      </c>
      <c r="J1199" t="s">
        <v>109</v>
      </c>
      <c r="K1199" t="s">
        <v>42</v>
      </c>
      <c r="L1199" t="s">
        <v>175</v>
      </c>
      <c r="N1199" t="s">
        <v>176</v>
      </c>
      <c r="Q1199">
        <v>31347</v>
      </c>
      <c r="R1199" t="s">
        <v>322</v>
      </c>
      <c r="S1199" t="s">
        <v>1041</v>
      </c>
      <c r="T1199">
        <v>29</v>
      </c>
      <c r="W1199" t="s">
        <v>373</v>
      </c>
      <c r="X1199">
        <v>110020696</v>
      </c>
      <c r="Y1199" t="s">
        <v>374</v>
      </c>
      <c r="Z1199" t="s">
        <v>103</v>
      </c>
      <c r="AA1199" t="e">
        <f ca="1">- checked _xludf.and cleaned cartridge bay, plunger rod, _xludf.filter, icore slot
- generated reports
- performed self test</f>
        <v>#NAME?</v>
      </c>
      <c r="AB1199" t="s">
        <v>181</v>
      </c>
      <c r="AG1199" t="s">
        <v>8820</v>
      </c>
      <c r="AH1199" t="s">
        <v>8821</v>
      </c>
      <c r="AI1199" t="s">
        <v>8822</v>
      </c>
    </row>
    <row r="1200" spans="2:35">
      <c r="B1200" s="1">
        <v>45891</v>
      </c>
      <c r="C1200" s="1">
        <v>45891</v>
      </c>
      <c r="D1200" t="s">
        <v>1040</v>
      </c>
      <c r="E1200" t="s">
        <v>582</v>
      </c>
      <c r="F1200" t="s">
        <v>148</v>
      </c>
      <c r="G1200" t="s">
        <v>447</v>
      </c>
      <c r="H1200" t="s">
        <v>39</v>
      </c>
      <c r="I1200" t="s">
        <v>40</v>
      </c>
      <c r="J1200" t="s">
        <v>109</v>
      </c>
      <c r="K1200" t="s">
        <v>42</v>
      </c>
      <c r="L1200" t="s">
        <v>175</v>
      </c>
      <c r="N1200" t="s">
        <v>176</v>
      </c>
      <c r="Q1200">
        <v>31346</v>
      </c>
      <c r="R1200" t="s">
        <v>322</v>
      </c>
      <c r="S1200" t="s">
        <v>1041</v>
      </c>
      <c r="T1200">
        <v>25</v>
      </c>
      <c r="W1200" t="s">
        <v>373</v>
      </c>
      <c r="X1200">
        <v>120003581</v>
      </c>
      <c r="Y1200" t="s">
        <v>374</v>
      </c>
      <c r="Z1200" t="s">
        <v>103</v>
      </c>
      <c r="AA1200" t="e">
        <f ca="1">- checked _xludf.and cleaned cartridge bay, plunger rod, _xludf.filter, icore slot
- generated reports
- performed self test</f>
        <v>#NAME?</v>
      </c>
      <c r="AB1200" t="s">
        <v>181</v>
      </c>
      <c r="AG1200" t="s">
        <v>8823</v>
      </c>
      <c r="AH1200" t="s">
        <v>8821</v>
      </c>
      <c r="AI1200" t="s">
        <v>8824</v>
      </c>
    </row>
    <row r="1201" spans="2:35" ht="409.5">
      <c r="B1201" s="1">
        <v>45891</v>
      </c>
      <c r="C1201" s="1">
        <v>45891</v>
      </c>
      <c r="D1201" t="s">
        <v>5105</v>
      </c>
      <c r="E1201" t="s">
        <v>8825</v>
      </c>
      <c r="F1201" t="s">
        <v>37</v>
      </c>
      <c r="G1201" t="s">
        <v>78</v>
      </c>
      <c r="H1201" t="s">
        <v>39</v>
      </c>
      <c r="I1201" t="s">
        <v>40</v>
      </c>
      <c r="J1201" t="s">
        <v>109</v>
      </c>
      <c r="K1201" t="s">
        <v>42</v>
      </c>
      <c r="L1201" t="s">
        <v>1943</v>
      </c>
      <c r="N1201" t="s">
        <v>1944</v>
      </c>
      <c r="Q1201">
        <v>31345</v>
      </c>
      <c r="R1201" t="s">
        <v>967</v>
      </c>
      <c r="S1201" t="s">
        <v>8826</v>
      </c>
      <c r="T1201">
        <v>25</v>
      </c>
      <c r="W1201" t="s">
        <v>373</v>
      </c>
      <c r="X1201">
        <v>110023497</v>
      </c>
      <c r="Y1201" t="s">
        <v>2099</v>
      </c>
      <c r="Z1201" t="s">
        <v>2100</v>
      </c>
      <c r="AA1201" s="2" t="s">
        <v>2101</v>
      </c>
      <c r="AB1201" t="s">
        <v>88</v>
      </c>
      <c r="AG1201" t="s">
        <v>8827</v>
      </c>
      <c r="AH1201" t="s">
        <v>8828</v>
      </c>
      <c r="AI1201" t="s">
        <v>8829</v>
      </c>
    </row>
    <row r="1202" spans="2:35" ht="210">
      <c r="B1202" s="1">
        <v>45891</v>
      </c>
      <c r="C1202" s="1">
        <v>45891</v>
      </c>
      <c r="D1202" t="s">
        <v>7751</v>
      </c>
      <c r="E1202" t="s">
        <v>7752</v>
      </c>
      <c r="F1202">
        <v>13</v>
      </c>
      <c r="G1202" t="s">
        <v>4484</v>
      </c>
      <c r="H1202" t="s">
        <v>2125</v>
      </c>
      <c r="I1202" t="s">
        <v>40</v>
      </c>
      <c r="J1202" t="s">
        <v>109</v>
      </c>
      <c r="K1202" t="s">
        <v>42</v>
      </c>
      <c r="L1202" t="s">
        <v>933</v>
      </c>
      <c r="N1202" t="s">
        <v>934</v>
      </c>
      <c r="Q1202">
        <v>31344</v>
      </c>
      <c r="R1202" t="s">
        <v>119</v>
      </c>
      <c r="S1202" t="s">
        <v>7753</v>
      </c>
      <c r="T1202">
        <v>27</v>
      </c>
      <c r="W1202" t="s">
        <v>2127</v>
      </c>
      <c r="X1202">
        <v>838403</v>
      </c>
      <c r="Y1202" t="s">
        <v>8830</v>
      </c>
      <c r="Z1202" t="s">
        <v>8831</v>
      </c>
      <c r="AA1202" t="s">
        <v>8832</v>
      </c>
      <c r="AB1202" s="2" t="s">
        <v>8833</v>
      </c>
      <c r="AG1202" t="s">
        <v>8834</v>
      </c>
      <c r="AH1202" t="s">
        <v>8835</v>
      </c>
      <c r="AI1202" t="s">
        <v>8836</v>
      </c>
    </row>
    <row r="1203" spans="2:35" ht="315">
      <c r="B1203" s="1">
        <v>45891</v>
      </c>
      <c r="C1203" s="1">
        <v>45891</v>
      </c>
      <c r="D1203" t="s">
        <v>4446</v>
      </c>
      <c r="E1203" t="s">
        <v>582</v>
      </c>
      <c r="F1203" t="s">
        <v>148</v>
      </c>
      <c r="G1203" t="s">
        <v>447</v>
      </c>
      <c r="H1203" t="s">
        <v>39</v>
      </c>
      <c r="I1203" t="s">
        <v>40</v>
      </c>
      <c r="J1203" t="s">
        <v>8837</v>
      </c>
      <c r="K1203" t="s">
        <v>8838</v>
      </c>
      <c r="L1203" t="s">
        <v>175</v>
      </c>
      <c r="N1203" t="s">
        <v>176</v>
      </c>
      <c r="Q1203">
        <v>31343</v>
      </c>
      <c r="R1203" t="s">
        <v>322</v>
      </c>
      <c r="S1203" t="s">
        <v>4447</v>
      </c>
      <c r="T1203">
        <v>25</v>
      </c>
      <c r="W1203" t="s">
        <v>8839</v>
      </c>
      <c r="X1203" t="s">
        <v>8840</v>
      </c>
      <c r="Y1203" t="s">
        <v>8841</v>
      </c>
      <c r="Z1203" t="s">
        <v>8842</v>
      </c>
      <c r="AA1203" t="e">
        <f ca="1">- tightened seals
- performed test</f>
        <v>#NAME?</v>
      </c>
      <c r="AB1203" s="2" t="s">
        <v>8843</v>
      </c>
      <c r="AG1203" t="s">
        <v>8844</v>
      </c>
      <c r="AH1203" t="s">
        <v>4451</v>
      </c>
      <c r="AI1203" t="s">
        <v>8845</v>
      </c>
    </row>
    <row r="1204" spans="2:35">
      <c r="B1204" s="1">
        <v>45891</v>
      </c>
      <c r="C1204" s="1">
        <v>45891</v>
      </c>
      <c r="D1204" t="s">
        <v>8032</v>
      </c>
      <c r="E1204" t="s">
        <v>582</v>
      </c>
      <c r="F1204" t="s">
        <v>148</v>
      </c>
      <c r="G1204" t="s">
        <v>447</v>
      </c>
      <c r="H1204" t="s">
        <v>39</v>
      </c>
      <c r="I1204" t="s">
        <v>40</v>
      </c>
      <c r="J1204" t="s">
        <v>109</v>
      </c>
      <c r="K1204" t="s">
        <v>42</v>
      </c>
      <c r="L1204" t="s">
        <v>175</v>
      </c>
      <c r="N1204" t="s">
        <v>176</v>
      </c>
      <c r="Q1204">
        <v>31342</v>
      </c>
      <c r="R1204" t="s">
        <v>322</v>
      </c>
      <c r="S1204" t="s">
        <v>4447</v>
      </c>
      <c r="T1204">
        <v>25</v>
      </c>
      <c r="W1204" t="s">
        <v>8846</v>
      </c>
      <c r="X1204">
        <v>110025174</v>
      </c>
      <c r="Y1204" t="s">
        <v>374</v>
      </c>
      <c r="Z1204" t="s">
        <v>103</v>
      </c>
      <c r="AA1204" t="e">
        <f ca="1">- checked _xludf.and cleaned cartridge bay, plunger rod, _xludf.filter, icore slot
- generated reports
- performed functionality test</f>
        <v>#NAME?</v>
      </c>
      <c r="AB1204" t="s">
        <v>181</v>
      </c>
      <c r="AG1204" t="s">
        <v>8847</v>
      </c>
      <c r="AH1204" t="s">
        <v>4451</v>
      </c>
      <c r="AI1204" t="s">
        <v>8848</v>
      </c>
    </row>
    <row r="1205" spans="2:35" ht="409.5">
      <c r="B1205" s="1">
        <v>45891</v>
      </c>
      <c r="C1205" s="1">
        <v>45881</v>
      </c>
      <c r="D1205" t="s">
        <v>7881</v>
      </c>
      <c r="E1205" t="s">
        <v>8756</v>
      </c>
      <c r="F1205">
        <v>7</v>
      </c>
      <c r="G1205" t="s">
        <v>432</v>
      </c>
      <c r="H1205" t="s">
        <v>608</v>
      </c>
      <c r="I1205" t="s">
        <v>40</v>
      </c>
      <c r="J1205" t="s">
        <v>109</v>
      </c>
      <c r="K1205" t="s">
        <v>42</v>
      </c>
      <c r="L1205" t="s">
        <v>610</v>
      </c>
      <c r="N1205" t="s">
        <v>611</v>
      </c>
      <c r="O1205" t="s">
        <v>611</v>
      </c>
      <c r="Q1205">
        <v>31341</v>
      </c>
      <c r="R1205" t="s">
        <v>119</v>
      </c>
      <c r="S1205" t="s">
        <v>7883</v>
      </c>
      <c r="T1205">
        <v>24</v>
      </c>
      <c r="U1205" s="2" t="s">
        <v>8849</v>
      </c>
      <c r="W1205" t="s">
        <v>360</v>
      </c>
      <c r="X1205">
        <v>838512</v>
      </c>
      <c r="Y1205" t="s">
        <v>8768</v>
      </c>
      <c r="Z1205" s="2" t="s">
        <v>8850</v>
      </c>
      <c r="AA1205" s="2" t="s">
        <v>8851</v>
      </c>
      <c r="AB1205" t="s">
        <v>7886</v>
      </c>
      <c r="AG1205" t="s">
        <v>8852</v>
      </c>
      <c r="AH1205" t="s">
        <v>7888</v>
      </c>
      <c r="AI1205" t="s">
        <v>8853</v>
      </c>
    </row>
    <row r="1206" spans="2:35">
      <c r="B1206" s="1">
        <v>45891</v>
      </c>
      <c r="C1206" s="1">
        <v>45785</v>
      </c>
      <c r="D1206" t="s">
        <v>1040</v>
      </c>
      <c r="E1206" t="s">
        <v>582</v>
      </c>
      <c r="F1206" t="s">
        <v>148</v>
      </c>
      <c r="G1206" t="s">
        <v>447</v>
      </c>
      <c r="H1206" t="s">
        <v>39</v>
      </c>
      <c r="I1206" t="s">
        <v>40</v>
      </c>
      <c r="J1206" t="s">
        <v>109</v>
      </c>
      <c r="K1206" t="s">
        <v>42</v>
      </c>
      <c r="L1206" t="s">
        <v>175</v>
      </c>
      <c r="N1206" t="s">
        <v>176</v>
      </c>
      <c r="Q1206">
        <v>31340</v>
      </c>
      <c r="R1206" t="s">
        <v>322</v>
      </c>
      <c r="S1206" t="s">
        <v>8854</v>
      </c>
      <c r="T1206">
        <v>27</v>
      </c>
      <c r="W1206" t="s">
        <v>373</v>
      </c>
      <c r="X1206">
        <v>120003581</v>
      </c>
      <c r="Y1206" t="s">
        <v>374</v>
      </c>
      <c r="Z1206" t="s">
        <v>4448</v>
      </c>
      <c r="AA1206" t="e">
        <f ca="1">- checked _xludf.and cleaned cartridge bay, plumger rod, _xludf.filter, icore slot
- generated reports
- performed self test</f>
        <v>#NAME?</v>
      </c>
      <c r="AB1206" t="s">
        <v>181</v>
      </c>
      <c r="AG1206" t="s">
        <v>8855</v>
      </c>
      <c r="AH1206" t="s">
        <v>8821</v>
      </c>
      <c r="AI1206" t="s">
        <v>8856</v>
      </c>
    </row>
    <row r="1207" spans="2:35">
      <c r="B1207" s="1">
        <v>45891</v>
      </c>
      <c r="C1207" s="1">
        <v>45891</v>
      </c>
      <c r="D1207" t="s">
        <v>855</v>
      </c>
      <c r="E1207" t="s">
        <v>1169</v>
      </c>
      <c r="F1207" t="s">
        <v>148</v>
      </c>
      <c r="G1207" t="s">
        <v>310</v>
      </c>
      <c r="H1207" t="s">
        <v>39</v>
      </c>
      <c r="I1207" t="s">
        <v>40</v>
      </c>
      <c r="J1207" t="s">
        <v>525</v>
      </c>
      <c r="K1207" t="s">
        <v>42</v>
      </c>
      <c r="L1207" t="s">
        <v>857</v>
      </c>
      <c r="N1207" t="s">
        <v>858</v>
      </c>
      <c r="Q1207">
        <v>31339</v>
      </c>
      <c r="R1207" t="s">
        <v>322</v>
      </c>
      <c r="S1207" t="s">
        <v>859</v>
      </c>
      <c r="T1207">
        <v>21</v>
      </c>
      <c r="W1207" t="s">
        <v>860</v>
      </c>
      <c r="X1207">
        <v>809643</v>
      </c>
      <c r="Y1207" t="s">
        <v>8857</v>
      </c>
      <c r="Z1207" t="s">
        <v>8858</v>
      </c>
      <c r="AA1207" t="e">
        <f ca="1">- performed functionality test
- performed module Cleaning
- performed automation test using INFTeach
- generated reports</f>
        <v>#NAME?</v>
      </c>
      <c r="AB1207" t="s">
        <v>8859</v>
      </c>
      <c r="AG1207" t="s">
        <v>8860</v>
      </c>
      <c r="AH1207" t="s">
        <v>6908</v>
      </c>
      <c r="AI1207" t="s">
        <v>8861</v>
      </c>
    </row>
    <row r="1208" spans="2:35" ht="409.5">
      <c r="B1208" s="1">
        <v>45889</v>
      </c>
      <c r="C1208" s="1">
        <v>45889</v>
      </c>
      <c r="D1208" t="s">
        <v>2176</v>
      </c>
      <c r="E1208" t="s">
        <v>2580</v>
      </c>
      <c r="F1208" t="s">
        <v>148</v>
      </c>
      <c r="G1208" t="s">
        <v>447</v>
      </c>
      <c r="H1208" t="s">
        <v>8862</v>
      </c>
      <c r="I1208" t="s">
        <v>94</v>
      </c>
      <c r="J1208" s="2" t="s">
        <v>2170</v>
      </c>
      <c r="K1208" t="s">
        <v>387</v>
      </c>
      <c r="L1208" t="s">
        <v>448</v>
      </c>
      <c r="N1208" t="s">
        <v>650</v>
      </c>
      <c r="O1208" t="s">
        <v>4140</v>
      </c>
      <c r="Q1208">
        <v>31338</v>
      </c>
      <c r="R1208" t="s">
        <v>322</v>
      </c>
      <c r="S1208" t="s">
        <v>8863</v>
      </c>
      <c r="T1208">
        <v>28</v>
      </c>
      <c r="V1208" s="1">
        <v>45881</v>
      </c>
      <c r="W1208" t="s">
        <v>476</v>
      </c>
      <c r="X1208" t="s">
        <v>4142</v>
      </c>
      <c r="Y1208" s="2" t="s">
        <v>8864</v>
      </c>
      <c r="Z1208" s="2" t="s">
        <v>8865</v>
      </c>
      <c r="AA1208" s="2" t="s">
        <v>8866</v>
      </c>
      <c r="AB1208" t="s">
        <v>486</v>
      </c>
      <c r="AD1208" s="2" t="s">
        <v>8867</v>
      </c>
      <c r="AE1208" t="s">
        <v>8868</v>
      </c>
      <c r="AG1208" t="s">
        <v>8869</v>
      </c>
      <c r="AH1208" t="s">
        <v>8870</v>
      </c>
      <c r="AI1208" t="s">
        <v>8871</v>
      </c>
    </row>
    <row r="1209" spans="2:35" ht="105">
      <c r="B1209" s="1">
        <v>45889</v>
      </c>
      <c r="C1209" s="1">
        <v>45889</v>
      </c>
      <c r="D1209" t="s">
        <v>340</v>
      </c>
      <c r="E1209" t="s">
        <v>8872</v>
      </c>
      <c r="F1209">
        <v>8</v>
      </c>
      <c r="G1209" t="s">
        <v>342</v>
      </c>
      <c r="H1209" t="s">
        <v>258</v>
      </c>
      <c r="I1209" t="s">
        <v>40</v>
      </c>
      <c r="J1209" t="s">
        <v>109</v>
      </c>
      <c r="K1209" t="s">
        <v>42</v>
      </c>
      <c r="L1209" t="s">
        <v>259</v>
      </c>
      <c r="N1209" t="s">
        <v>260</v>
      </c>
      <c r="O1209" t="s">
        <v>260</v>
      </c>
      <c r="Q1209">
        <v>31337</v>
      </c>
      <c r="R1209" t="s">
        <v>119</v>
      </c>
      <c r="S1209" t="s">
        <v>345</v>
      </c>
      <c r="T1209">
        <v>25</v>
      </c>
      <c r="U1209" s="2" t="s">
        <v>3941</v>
      </c>
      <c r="W1209" t="s">
        <v>84</v>
      </c>
      <c r="X1209">
        <v>838555</v>
      </c>
      <c r="Y1209" t="s">
        <v>263</v>
      </c>
      <c r="Z1209" t="s">
        <v>263</v>
      </c>
      <c r="AA1209" t="e">
        <f ca="1">- Monthly Preventive Maintenance</f>
        <v>#NAME?</v>
      </c>
      <c r="AB1209" t="s">
        <v>70</v>
      </c>
      <c r="AG1209" t="s">
        <v>8873</v>
      </c>
      <c r="AH1209" t="s">
        <v>8455</v>
      </c>
      <c r="AI1209" t="s">
        <v>8874</v>
      </c>
    </row>
    <row r="1210" spans="2:35" ht="409.5">
      <c r="B1210" s="1">
        <v>45889</v>
      </c>
      <c r="C1210" s="1">
        <v>45888</v>
      </c>
      <c r="D1210" t="s">
        <v>2568</v>
      </c>
      <c r="E1210" t="s">
        <v>2569</v>
      </c>
      <c r="F1210" t="s">
        <v>148</v>
      </c>
      <c r="G1210" t="s">
        <v>447</v>
      </c>
      <c r="H1210" t="s">
        <v>2570</v>
      </c>
      <c r="I1210" t="s">
        <v>40</v>
      </c>
      <c r="J1210" t="s">
        <v>109</v>
      </c>
      <c r="K1210" t="s">
        <v>42</v>
      </c>
      <c r="L1210" t="s">
        <v>448</v>
      </c>
      <c r="N1210" t="s">
        <v>450</v>
      </c>
      <c r="O1210" t="s">
        <v>2808</v>
      </c>
      <c r="Q1210">
        <v>31336</v>
      </c>
      <c r="R1210" t="s">
        <v>95</v>
      </c>
      <c r="S1210" t="s">
        <v>2571</v>
      </c>
      <c r="T1210">
        <v>23</v>
      </c>
      <c r="U1210" s="2" t="s">
        <v>8875</v>
      </c>
      <c r="W1210" t="s">
        <v>6128</v>
      </c>
      <c r="X1210">
        <v>807155</v>
      </c>
      <c r="Y1210" t="s">
        <v>485</v>
      </c>
      <c r="Z1210" s="2" t="s">
        <v>2011</v>
      </c>
      <c r="AA1210" t="s">
        <v>122</v>
      </c>
      <c r="AB1210" t="s">
        <v>8876</v>
      </c>
      <c r="AG1210" t="s">
        <v>8877</v>
      </c>
      <c r="AH1210" t="s">
        <v>2578</v>
      </c>
      <c r="AI1210" t="s">
        <v>8878</v>
      </c>
    </row>
    <row r="1211" spans="2:35" ht="270">
      <c r="B1211" s="1">
        <v>45889</v>
      </c>
      <c r="C1211" s="1">
        <v>45888</v>
      </c>
      <c r="D1211" t="s">
        <v>2568</v>
      </c>
      <c r="E1211" t="s">
        <v>2569</v>
      </c>
      <c r="F1211" t="s">
        <v>148</v>
      </c>
      <c r="G1211" t="s">
        <v>447</v>
      </c>
      <c r="H1211" t="s">
        <v>150</v>
      </c>
      <c r="I1211" t="s">
        <v>94</v>
      </c>
      <c r="J1211" t="s">
        <v>109</v>
      </c>
      <c r="K1211" t="s">
        <v>42</v>
      </c>
      <c r="L1211" t="s">
        <v>448</v>
      </c>
      <c r="N1211" t="s">
        <v>450</v>
      </c>
      <c r="O1211" t="s">
        <v>2808</v>
      </c>
      <c r="Q1211">
        <v>31335</v>
      </c>
      <c r="R1211" t="s">
        <v>95</v>
      </c>
      <c r="S1211" t="s">
        <v>2809</v>
      </c>
      <c r="T1211">
        <v>26</v>
      </c>
      <c r="U1211" s="2" t="s">
        <v>8879</v>
      </c>
      <c r="W1211" t="s">
        <v>6121</v>
      </c>
      <c r="X1211">
        <v>839234</v>
      </c>
      <c r="Y1211" s="2" t="s">
        <v>8880</v>
      </c>
      <c r="Z1211" s="2" t="s">
        <v>8881</v>
      </c>
      <c r="AA1211" t="s">
        <v>122</v>
      </c>
      <c r="AB1211" s="2" t="s">
        <v>8882</v>
      </c>
      <c r="AC1211" t="s">
        <v>8883</v>
      </c>
      <c r="AG1211" t="s">
        <v>8884</v>
      </c>
      <c r="AH1211" t="s">
        <v>2814</v>
      </c>
      <c r="AI1211" t="s">
        <v>8885</v>
      </c>
    </row>
    <row r="1212" spans="2:35">
      <c r="B1212" s="1">
        <v>45888</v>
      </c>
      <c r="C1212" s="1">
        <v>45888</v>
      </c>
      <c r="D1212" t="s">
        <v>3897</v>
      </c>
      <c r="E1212" t="s">
        <v>3140</v>
      </c>
      <c r="F1212">
        <v>3</v>
      </c>
      <c r="G1212" t="s">
        <v>174</v>
      </c>
      <c r="H1212" t="s">
        <v>39</v>
      </c>
      <c r="I1212" t="s">
        <v>40</v>
      </c>
      <c r="J1212" t="s">
        <v>109</v>
      </c>
      <c r="K1212" t="s">
        <v>42</v>
      </c>
      <c r="L1212" t="s">
        <v>175</v>
      </c>
      <c r="N1212" t="s">
        <v>176</v>
      </c>
      <c r="Q1212">
        <v>31334</v>
      </c>
      <c r="R1212" t="s">
        <v>95</v>
      </c>
      <c r="S1212" t="s">
        <v>3898</v>
      </c>
      <c r="T1212">
        <v>25</v>
      </c>
      <c r="W1212" t="s">
        <v>84</v>
      </c>
      <c r="X1212">
        <v>110008530</v>
      </c>
      <c r="Y1212" t="s">
        <v>374</v>
      </c>
      <c r="Z1212" t="s">
        <v>103</v>
      </c>
      <c r="AA1212" t="e">
        <f ca="1">- checked _xludf.and cleaned cartridge bay, plunger rod, _xludf.filter, icore slot
- generated reports
- performed functionality test</f>
        <v>#NAME?</v>
      </c>
      <c r="AB1212" t="s">
        <v>181</v>
      </c>
      <c r="AG1212" t="s">
        <v>8886</v>
      </c>
      <c r="AH1212" t="s">
        <v>8887</v>
      </c>
      <c r="AI1212" t="s">
        <v>8888</v>
      </c>
    </row>
    <row r="1213" spans="2:35" ht="360">
      <c r="B1213" s="1">
        <v>45888</v>
      </c>
      <c r="C1213" s="1">
        <v>45888</v>
      </c>
      <c r="D1213" t="s">
        <v>5932</v>
      </c>
      <c r="E1213" t="s">
        <v>8889</v>
      </c>
      <c r="F1213">
        <v>11</v>
      </c>
      <c r="G1213" t="s">
        <v>2836</v>
      </c>
      <c r="H1213" t="s">
        <v>202</v>
      </c>
      <c r="I1213" t="s">
        <v>40</v>
      </c>
      <c r="J1213" s="2" t="s">
        <v>609</v>
      </c>
      <c r="K1213" t="s">
        <v>42</v>
      </c>
      <c r="L1213" t="s">
        <v>204</v>
      </c>
      <c r="N1213" t="s">
        <v>205</v>
      </c>
      <c r="O1213" t="s">
        <v>5934</v>
      </c>
      <c r="Q1213">
        <v>31333</v>
      </c>
      <c r="R1213" t="s">
        <v>119</v>
      </c>
      <c r="S1213" t="s">
        <v>7643</v>
      </c>
      <c r="T1213">
        <v>28.6</v>
      </c>
      <c r="U1213" s="2" t="s">
        <v>8890</v>
      </c>
      <c r="W1213" t="s">
        <v>208</v>
      </c>
      <c r="X1213">
        <v>838553</v>
      </c>
      <c r="Y1213" s="2" t="s">
        <v>8891</v>
      </c>
      <c r="Z1213" s="2" t="s">
        <v>8892</v>
      </c>
      <c r="AA1213" t="s">
        <v>8893</v>
      </c>
      <c r="AB1213" s="2" t="s">
        <v>8894</v>
      </c>
      <c r="AG1213" t="s">
        <v>8895</v>
      </c>
      <c r="AH1213" t="s">
        <v>5943</v>
      </c>
      <c r="AI1213" t="s">
        <v>8896</v>
      </c>
    </row>
    <row r="1214" spans="2:35" ht="195">
      <c r="B1214" s="1">
        <v>45888</v>
      </c>
      <c r="C1214" s="1">
        <v>45888</v>
      </c>
      <c r="D1214" t="s">
        <v>5546</v>
      </c>
      <c r="E1214" t="s">
        <v>1555</v>
      </c>
      <c r="F1214">
        <v>7</v>
      </c>
      <c r="G1214" t="s">
        <v>432</v>
      </c>
      <c r="H1214" t="s">
        <v>39</v>
      </c>
      <c r="I1214" t="s">
        <v>40</v>
      </c>
      <c r="J1214" s="2" t="s">
        <v>609</v>
      </c>
      <c r="K1214" t="s">
        <v>42</v>
      </c>
      <c r="L1214" t="s">
        <v>433</v>
      </c>
      <c r="N1214" t="s">
        <v>434</v>
      </c>
      <c r="Q1214">
        <v>31332</v>
      </c>
      <c r="R1214" t="s">
        <v>95</v>
      </c>
      <c r="S1214" t="s">
        <v>8897</v>
      </c>
      <c r="T1214">
        <v>27</v>
      </c>
      <c r="W1214" t="s">
        <v>502</v>
      </c>
      <c r="X1214">
        <v>829419</v>
      </c>
      <c r="Y1214" t="s">
        <v>8898</v>
      </c>
      <c r="Z1214" s="2" t="s">
        <v>8899</v>
      </c>
      <c r="AA1214" s="2" t="s">
        <v>8899</v>
      </c>
      <c r="AB1214" t="s">
        <v>8898</v>
      </c>
      <c r="AG1214" t="s">
        <v>8900</v>
      </c>
      <c r="AH1214" t="s">
        <v>8901</v>
      </c>
      <c r="AI1214" t="s">
        <v>8902</v>
      </c>
    </row>
    <row r="1215" spans="2:35" ht="120">
      <c r="B1215" s="1">
        <v>45888</v>
      </c>
      <c r="C1215" s="1">
        <v>45884</v>
      </c>
      <c r="D1215" t="s">
        <v>7155</v>
      </c>
      <c r="E1215" t="s">
        <v>7156</v>
      </c>
      <c r="F1215">
        <v>5</v>
      </c>
      <c r="G1215" t="s">
        <v>839</v>
      </c>
      <c r="H1215" t="s">
        <v>39</v>
      </c>
      <c r="I1215" t="s">
        <v>94</v>
      </c>
      <c r="J1215" t="s">
        <v>109</v>
      </c>
      <c r="K1215" t="s">
        <v>42</v>
      </c>
      <c r="L1215" t="s">
        <v>761</v>
      </c>
      <c r="N1215" t="s">
        <v>762</v>
      </c>
      <c r="Q1215">
        <v>31331</v>
      </c>
      <c r="R1215" t="s">
        <v>119</v>
      </c>
      <c r="S1215" t="s">
        <v>7158</v>
      </c>
      <c r="T1215">
        <v>28</v>
      </c>
      <c r="U1215" s="2" t="s">
        <v>8903</v>
      </c>
      <c r="W1215" t="s">
        <v>8904</v>
      </c>
      <c r="X1215">
        <v>838496</v>
      </c>
      <c r="Y1215" t="s">
        <v>818</v>
      </c>
      <c r="Z1215" s="2" t="s">
        <v>4466</v>
      </c>
      <c r="AA1215" t="s">
        <v>820</v>
      </c>
      <c r="AB1215" s="2" t="s">
        <v>1416</v>
      </c>
      <c r="AG1215" t="s">
        <v>8905</v>
      </c>
      <c r="AH1215" t="s">
        <v>7162</v>
      </c>
      <c r="AI1215" t="s">
        <v>8906</v>
      </c>
    </row>
    <row r="1216" spans="2:35" ht="120">
      <c r="B1216" s="1">
        <v>45888</v>
      </c>
      <c r="C1216" s="1">
        <v>45883</v>
      </c>
      <c r="D1216" t="s">
        <v>8907</v>
      </c>
      <c r="E1216" t="s">
        <v>8908</v>
      </c>
      <c r="F1216">
        <v>5</v>
      </c>
      <c r="G1216" t="s">
        <v>839</v>
      </c>
      <c r="H1216" t="s">
        <v>39</v>
      </c>
      <c r="I1216" t="s">
        <v>94</v>
      </c>
      <c r="J1216" t="s">
        <v>109</v>
      </c>
      <c r="K1216" t="s">
        <v>42</v>
      </c>
      <c r="L1216" t="s">
        <v>761</v>
      </c>
      <c r="N1216" t="s">
        <v>762</v>
      </c>
      <c r="Q1216">
        <v>31330</v>
      </c>
      <c r="R1216" t="s">
        <v>119</v>
      </c>
      <c r="S1216" t="s">
        <v>8909</v>
      </c>
      <c r="T1216">
        <v>25</v>
      </c>
      <c r="U1216" s="2" t="s">
        <v>8910</v>
      </c>
      <c r="W1216" t="s">
        <v>765</v>
      </c>
      <c r="X1216">
        <v>838389</v>
      </c>
      <c r="Y1216" t="s">
        <v>818</v>
      </c>
      <c r="Z1216" s="2" t="s">
        <v>7933</v>
      </c>
      <c r="AA1216" t="s">
        <v>820</v>
      </c>
      <c r="AB1216" s="2" t="s">
        <v>2996</v>
      </c>
      <c r="AG1216" t="s">
        <v>8911</v>
      </c>
      <c r="AH1216" t="s">
        <v>8912</v>
      </c>
      <c r="AI1216" t="s">
        <v>8913</v>
      </c>
    </row>
    <row r="1217" spans="2:35" ht="120">
      <c r="B1217" s="1">
        <v>45888</v>
      </c>
      <c r="C1217" s="1">
        <v>45883</v>
      </c>
      <c r="D1217" t="s">
        <v>8914</v>
      </c>
      <c r="E1217" t="s">
        <v>8915</v>
      </c>
      <c r="F1217">
        <v>5</v>
      </c>
      <c r="G1217" t="s">
        <v>839</v>
      </c>
      <c r="H1217" t="s">
        <v>39</v>
      </c>
      <c r="I1217" t="s">
        <v>94</v>
      </c>
      <c r="J1217" t="s">
        <v>109</v>
      </c>
      <c r="K1217" t="s">
        <v>42</v>
      </c>
      <c r="L1217" t="s">
        <v>761</v>
      </c>
      <c r="N1217" t="s">
        <v>762</v>
      </c>
      <c r="Q1217">
        <v>31329</v>
      </c>
      <c r="R1217" t="s">
        <v>119</v>
      </c>
      <c r="S1217" t="s">
        <v>8916</v>
      </c>
      <c r="T1217">
        <v>25</v>
      </c>
      <c r="U1217" s="2" t="s">
        <v>8917</v>
      </c>
      <c r="W1217" t="s">
        <v>765</v>
      </c>
      <c r="X1217">
        <v>838558</v>
      </c>
      <c r="Y1217" t="s">
        <v>818</v>
      </c>
      <c r="Z1217" s="2" t="s">
        <v>7933</v>
      </c>
      <c r="AA1217" t="s">
        <v>820</v>
      </c>
      <c r="AB1217" s="2" t="s">
        <v>4079</v>
      </c>
      <c r="AG1217" t="s">
        <v>8918</v>
      </c>
      <c r="AH1217" t="s">
        <v>8919</v>
      </c>
      <c r="AI1217" t="s">
        <v>8920</v>
      </c>
    </row>
    <row r="1218" spans="2:35" ht="105">
      <c r="B1218" s="1">
        <v>45887</v>
      </c>
      <c r="C1218" s="1">
        <v>45882</v>
      </c>
      <c r="D1218" t="s">
        <v>5614</v>
      </c>
      <c r="E1218" t="s">
        <v>8921</v>
      </c>
      <c r="F1218">
        <v>13</v>
      </c>
      <c r="G1218" t="s">
        <v>931</v>
      </c>
      <c r="H1218" t="s">
        <v>2125</v>
      </c>
      <c r="I1218" t="s">
        <v>40</v>
      </c>
      <c r="J1218" t="s">
        <v>109</v>
      </c>
      <c r="K1218" t="s">
        <v>42</v>
      </c>
      <c r="L1218" t="s">
        <v>933</v>
      </c>
      <c r="N1218" t="s">
        <v>934</v>
      </c>
      <c r="Q1218">
        <v>31328</v>
      </c>
      <c r="R1218" t="s">
        <v>967</v>
      </c>
      <c r="S1218" t="s">
        <v>5616</v>
      </c>
      <c r="T1218">
        <v>27</v>
      </c>
      <c r="W1218" t="s">
        <v>8922</v>
      </c>
      <c r="X1218">
        <v>110023522</v>
      </c>
      <c r="Y1218" t="s">
        <v>301</v>
      </c>
      <c r="Z1218" t="s">
        <v>4315</v>
      </c>
      <c r="AA1218" s="2" t="s">
        <v>8923</v>
      </c>
      <c r="AB1218" t="s">
        <v>8924</v>
      </c>
      <c r="AG1218" t="s">
        <v>8925</v>
      </c>
      <c r="AH1218" t="s">
        <v>5620</v>
      </c>
      <c r="AI1218" t="s">
        <v>8926</v>
      </c>
    </row>
    <row r="1219" spans="2:35" ht="285">
      <c r="B1219" s="1">
        <v>45887</v>
      </c>
      <c r="C1219" s="1">
        <v>45887</v>
      </c>
      <c r="D1219" t="s">
        <v>6844</v>
      </c>
      <c r="E1219" t="s">
        <v>8927</v>
      </c>
      <c r="F1219">
        <v>13</v>
      </c>
      <c r="G1219" t="s">
        <v>294</v>
      </c>
      <c r="H1219" t="s">
        <v>1473</v>
      </c>
      <c r="I1219" t="s">
        <v>40</v>
      </c>
      <c r="J1219" s="2" t="s">
        <v>190</v>
      </c>
      <c r="K1219" t="s">
        <v>42</v>
      </c>
      <c r="L1219" t="s">
        <v>296</v>
      </c>
      <c r="N1219" t="s">
        <v>297</v>
      </c>
      <c r="Q1219">
        <v>31327</v>
      </c>
      <c r="R1219" t="s">
        <v>119</v>
      </c>
      <c r="S1219" t="s">
        <v>8928</v>
      </c>
      <c r="T1219">
        <v>28.1</v>
      </c>
      <c r="U1219" s="2" t="s">
        <v>3505</v>
      </c>
      <c r="W1219" t="s">
        <v>981</v>
      </c>
      <c r="X1219">
        <v>838261</v>
      </c>
      <c r="Y1219" t="s">
        <v>8929</v>
      </c>
      <c r="Z1219" s="2" t="s">
        <v>8930</v>
      </c>
      <c r="AA1219" t="s">
        <v>8931</v>
      </c>
      <c r="AB1219" s="2" t="s">
        <v>8932</v>
      </c>
      <c r="AC1219" t="s">
        <v>8933</v>
      </c>
      <c r="AG1219" t="s">
        <v>8934</v>
      </c>
      <c r="AH1219" t="s">
        <v>8935</v>
      </c>
      <c r="AI1219" t="s">
        <v>8936</v>
      </c>
    </row>
    <row r="1220" spans="2:35" ht="375">
      <c r="B1220" s="1">
        <v>45887</v>
      </c>
      <c r="C1220" s="1">
        <v>45883</v>
      </c>
      <c r="D1220" t="s">
        <v>7325</v>
      </c>
      <c r="E1220" t="s">
        <v>7326</v>
      </c>
      <c r="F1220">
        <v>12</v>
      </c>
      <c r="G1220" t="s">
        <v>978</v>
      </c>
      <c r="H1220" t="s">
        <v>1473</v>
      </c>
      <c r="I1220" t="s">
        <v>40</v>
      </c>
      <c r="J1220" t="s">
        <v>109</v>
      </c>
      <c r="K1220" t="s">
        <v>42</v>
      </c>
      <c r="L1220" t="s">
        <v>296</v>
      </c>
      <c r="N1220" t="s">
        <v>297</v>
      </c>
      <c r="Q1220">
        <v>31326</v>
      </c>
      <c r="R1220" t="s">
        <v>119</v>
      </c>
      <c r="S1220" t="s">
        <v>8937</v>
      </c>
      <c r="T1220">
        <v>27.2</v>
      </c>
      <c r="U1220" s="2" t="s">
        <v>8938</v>
      </c>
      <c r="W1220" t="s">
        <v>981</v>
      </c>
      <c r="X1220">
        <v>838265</v>
      </c>
      <c r="Y1220" t="s">
        <v>301</v>
      </c>
      <c r="Z1220" s="2" t="s">
        <v>6708</v>
      </c>
      <c r="AA1220" t="s">
        <v>303</v>
      </c>
      <c r="AB1220" t="s">
        <v>972</v>
      </c>
      <c r="AG1220" t="s">
        <v>8939</v>
      </c>
      <c r="AH1220" t="s">
        <v>8940</v>
      </c>
      <c r="AI1220" t="s">
        <v>8941</v>
      </c>
    </row>
    <row r="1221" spans="2:35" ht="375">
      <c r="B1221" s="1">
        <v>45887</v>
      </c>
      <c r="C1221" s="1">
        <v>45883</v>
      </c>
      <c r="D1221" t="s">
        <v>7325</v>
      </c>
      <c r="E1221" t="s">
        <v>7326</v>
      </c>
      <c r="F1221">
        <v>12</v>
      </c>
      <c r="G1221" t="s">
        <v>978</v>
      </c>
      <c r="H1221" t="s">
        <v>1473</v>
      </c>
      <c r="I1221" t="s">
        <v>40</v>
      </c>
      <c r="J1221" t="s">
        <v>109</v>
      </c>
      <c r="K1221" t="s">
        <v>42</v>
      </c>
      <c r="L1221" t="s">
        <v>296</v>
      </c>
      <c r="N1221" t="s">
        <v>297</v>
      </c>
      <c r="Q1221">
        <v>31325</v>
      </c>
      <c r="R1221" t="s">
        <v>119</v>
      </c>
      <c r="S1221" t="s">
        <v>8937</v>
      </c>
      <c r="T1221">
        <v>27.2</v>
      </c>
      <c r="U1221" s="2" t="s">
        <v>8938</v>
      </c>
      <c r="W1221" t="s">
        <v>981</v>
      </c>
      <c r="X1221">
        <v>838265</v>
      </c>
      <c r="Y1221" t="s">
        <v>301</v>
      </c>
      <c r="Z1221" s="2" t="s">
        <v>6708</v>
      </c>
      <c r="AA1221" t="s">
        <v>303</v>
      </c>
      <c r="AB1221" t="s">
        <v>972</v>
      </c>
      <c r="AG1221" t="s">
        <v>8942</v>
      </c>
      <c r="AH1221" t="s">
        <v>8940</v>
      </c>
      <c r="AI1221" t="s">
        <v>8943</v>
      </c>
    </row>
    <row r="1222" spans="2:35" ht="225">
      <c r="B1222" s="1">
        <v>45887</v>
      </c>
      <c r="C1222" s="1">
        <v>45883</v>
      </c>
      <c r="D1222" t="s">
        <v>8944</v>
      </c>
      <c r="E1222" t="s">
        <v>784</v>
      </c>
      <c r="F1222" t="s">
        <v>148</v>
      </c>
      <c r="G1222" t="s">
        <v>785</v>
      </c>
      <c r="H1222" t="s">
        <v>39</v>
      </c>
      <c r="I1222" t="s">
        <v>40</v>
      </c>
      <c r="J1222" t="s">
        <v>109</v>
      </c>
      <c r="K1222" t="s">
        <v>42</v>
      </c>
      <c r="L1222" t="s">
        <v>43</v>
      </c>
      <c r="N1222" t="s">
        <v>44</v>
      </c>
      <c r="Q1222">
        <v>31322</v>
      </c>
      <c r="R1222" t="s">
        <v>322</v>
      </c>
      <c r="S1222" t="s">
        <v>8945</v>
      </c>
      <c r="T1222">
        <v>22</v>
      </c>
      <c r="U1222" s="2" t="s">
        <v>8946</v>
      </c>
      <c r="W1222" t="s">
        <v>153</v>
      </c>
      <c r="X1222">
        <v>110025128</v>
      </c>
      <c r="Y1222" t="s">
        <v>121</v>
      </c>
      <c r="Z1222" t="s">
        <v>122</v>
      </c>
      <c r="AA1222" s="2" t="s">
        <v>123</v>
      </c>
      <c r="AB1222" t="s">
        <v>548</v>
      </c>
      <c r="AG1222" t="s">
        <v>8947</v>
      </c>
      <c r="AH1222" t="s">
        <v>8948</v>
      </c>
      <c r="AI1222" t="s">
        <v>8949</v>
      </c>
    </row>
    <row r="1223" spans="2:35" ht="255">
      <c r="B1223" s="1">
        <v>45887</v>
      </c>
      <c r="C1223" s="1">
        <v>45882</v>
      </c>
      <c r="D1223" t="s">
        <v>146</v>
      </c>
      <c r="E1223" t="s">
        <v>4822</v>
      </c>
      <c r="F1223" t="s">
        <v>148</v>
      </c>
      <c r="G1223" t="s">
        <v>149</v>
      </c>
      <c r="H1223" t="s">
        <v>39</v>
      </c>
      <c r="I1223" t="s">
        <v>40</v>
      </c>
      <c r="J1223" t="s">
        <v>109</v>
      </c>
      <c r="K1223" t="s">
        <v>42</v>
      </c>
      <c r="L1223" t="s">
        <v>43</v>
      </c>
      <c r="N1223" t="s">
        <v>44</v>
      </c>
      <c r="O1223" t="s">
        <v>388</v>
      </c>
      <c r="Q1223">
        <v>31324</v>
      </c>
      <c r="R1223" t="s">
        <v>95</v>
      </c>
      <c r="S1223" t="s">
        <v>8950</v>
      </c>
      <c r="T1223">
        <v>22</v>
      </c>
      <c r="U1223" s="2" t="s">
        <v>8951</v>
      </c>
      <c r="W1223" t="s">
        <v>153</v>
      </c>
      <c r="X1223">
        <v>110003714</v>
      </c>
      <c r="Y1223" t="s">
        <v>121</v>
      </c>
      <c r="Z1223" t="s">
        <v>122</v>
      </c>
      <c r="AA1223" s="2" t="s">
        <v>123</v>
      </c>
      <c r="AB1223" t="s">
        <v>8952</v>
      </c>
      <c r="AG1223" t="s">
        <v>8953</v>
      </c>
      <c r="AH1223" t="s">
        <v>8954</v>
      </c>
      <c r="AI1223" t="s">
        <v>8955</v>
      </c>
    </row>
    <row r="1224" spans="2:35" ht="225">
      <c r="B1224" s="1">
        <v>45887</v>
      </c>
      <c r="C1224" s="1">
        <v>45883</v>
      </c>
      <c r="D1224" t="s">
        <v>4839</v>
      </c>
      <c r="E1224" t="s">
        <v>8956</v>
      </c>
      <c r="F1224" t="s">
        <v>148</v>
      </c>
      <c r="G1224" t="s">
        <v>785</v>
      </c>
      <c r="H1224" t="s">
        <v>39</v>
      </c>
      <c r="I1224" t="s">
        <v>40</v>
      </c>
      <c r="J1224" t="s">
        <v>109</v>
      </c>
      <c r="K1224" t="s">
        <v>42</v>
      </c>
      <c r="L1224" t="s">
        <v>43</v>
      </c>
      <c r="N1224" t="s">
        <v>44</v>
      </c>
      <c r="Q1224">
        <v>31323</v>
      </c>
      <c r="R1224" t="s">
        <v>322</v>
      </c>
      <c r="S1224" t="s">
        <v>6588</v>
      </c>
      <c r="T1224">
        <v>22</v>
      </c>
      <c r="U1224" s="2" t="s">
        <v>8957</v>
      </c>
      <c r="W1224" t="s">
        <v>153</v>
      </c>
      <c r="X1224">
        <v>110025127</v>
      </c>
      <c r="Y1224" t="s">
        <v>121</v>
      </c>
      <c r="Z1224" t="s">
        <v>122</v>
      </c>
      <c r="AA1224" s="2" t="s">
        <v>8958</v>
      </c>
      <c r="AB1224" t="s">
        <v>548</v>
      </c>
      <c r="AG1224" t="s">
        <v>8959</v>
      </c>
      <c r="AH1224" t="s">
        <v>8960</v>
      </c>
      <c r="AI1224" t="s">
        <v>8961</v>
      </c>
    </row>
    <row r="1225" spans="2:35" ht="240">
      <c r="B1225" s="1">
        <v>45887</v>
      </c>
      <c r="C1225" s="1">
        <v>45882</v>
      </c>
      <c r="D1225" t="s">
        <v>146</v>
      </c>
      <c r="E1225" t="s">
        <v>147</v>
      </c>
      <c r="F1225" t="s">
        <v>148</v>
      </c>
      <c r="G1225" t="s">
        <v>149</v>
      </c>
      <c r="H1225" t="s">
        <v>386</v>
      </c>
      <c r="I1225" t="s">
        <v>40</v>
      </c>
      <c r="J1225" t="s">
        <v>109</v>
      </c>
      <c r="K1225" t="s">
        <v>387</v>
      </c>
      <c r="L1225" t="s">
        <v>43</v>
      </c>
      <c r="N1225" t="s">
        <v>44</v>
      </c>
      <c r="O1225" t="s">
        <v>388</v>
      </c>
      <c r="Q1225">
        <v>31321</v>
      </c>
      <c r="R1225" t="s">
        <v>95</v>
      </c>
      <c r="S1225" t="s">
        <v>8962</v>
      </c>
      <c r="T1225">
        <v>22</v>
      </c>
      <c r="W1225" t="s">
        <v>390</v>
      </c>
      <c r="X1225" t="s">
        <v>391</v>
      </c>
      <c r="Y1225" s="2" t="s">
        <v>8963</v>
      </c>
      <c r="Z1225" t="s">
        <v>122</v>
      </c>
      <c r="AA1225" s="2" t="s">
        <v>8964</v>
      </c>
      <c r="AB1225" t="s">
        <v>88</v>
      </c>
      <c r="AG1225" t="s">
        <v>8965</v>
      </c>
      <c r="AH1225" t="s">
        <v>8966</v>
      </c>
      <c r="AI1225" t="s">
        <v>8967</v>
      </c>
    </row>
    <row r="1226" spans="2:35" ht="409.5">
      <c r="B1226" s="1">
        <v>45887</v>
      </c>
      <c r="C1226" s="1">
        <v>45883</v>
      </c>
      <c r="D1226" t="s">
        <v>6783</v>
      </c>
      <c r="E1226" t="s">
        <v>4364</v>
      </c>
      <c r="F1226" t="s">
        <v>148</v>
      </c>
      <c r="G1226" t="s">
        <v>447</v>
      </c>
      <c r="H1226" t="s">
        <v>662</v>
      </c>
      <c r="I1226" t="s">
        <v>40</v>
      </c>
      <c r="J1226" t="s">
        <v>109</v>
      </c>
      <c r="K1226" t="s">
        <v>42</v>
      </c>
      <c r="L1226" t="s">
        <v>448</v>
      </c>
      <c r="N1226" t="s">
        <v>650</v>
      </c>
      <c r="Q1226">
        <v>31320</v>
      </c>
      <c r="R1226" t="s">
        <v>95</v>
      </c>
      <c r="S1226" t="s">
        <v>6162</v>
      </c>
      <c r="T1226">
        <v>28</v>
      </c>
      <c r="U1226" s="2" t="s">
        <v>8968</v>
      </c>
      <c r="W1226" t="s">
        <v>7420</v>
      </c>
      <c r="X1226">
        <v>839306</v>
      </c>
      <c r="Y1226" t="s">
        <v>8969</v>
      </c>
      <c r="Z1226" s="2" t="s">
        <v>2011</v>
      </c>
      <c r="AA1226" t="s">
        <v>485</v>
      </c>
      <c r="AB1226" s="2" t="s">
        <v>8970</v>
      </c>
      <c r="AG1226" t="s">
        <v>8971</v>
      </c>
      <c r="AH1226" t="s">
        <v>6170</v>
      </c>
      <c r="AI1226" t="s">
        <v>8972</v>
      </c>
    </row>
    <row r="1227" spans="2:35" ht="240">
      <c r="B1227" s="1">
        <v>45887</v>
      </c>
      <c r="C1227" s="1">
        <v>45884</v>
      </c>
      <c r="D1227" t="s">
        <v>2257</v>
      </c>
      <c r="E1227" t="s">
        <v>8973</v>
      </c>
      <c r="F1227" t="s">
        <v>37</v>
      </c>
      <c r="G1227" t="s">
        <v>748</v>
      </c>
      <c r="H1227" t="s">
        <v>39</v>
      </c>
      <c r="I1227" t="s">
        <v>40</v>
      </c>
      <c r="J1227" t="s">
        <v>109</v>
      </c>
      <c r="K1227" t="s">
        <v>42</v>
      </c>
      <c r="L1227" t="s">
        <v>1028</v>
      </c>
      <c r="N1227" t="s">
        <v>1029</v>
      </c>
      <c r="Q1227">
        <v>31319</v>
      </c>
      <c r="R1227" t="s">
        <v>119</v>
      </c>
      <c r="S1227" t="s">
        <v>8974</v>
      </c>
      <c r="T1227">
        <v>25</v>
      </c>
      <c r="U1227" s="2" t="s">
        <v>8975</v>
      </c>
      <c r="W1227" t="s">
        <v>1967</v>
      </c>
      <c r="X1227">
        <v>838537</v>
      </c>
      <c r="Y1227" t="s">
        <v>1978</v>
      </c>
      <c r="Z1227" t="s">
        <v>1548</v>
      </c>
      <c r="AA1227" s="2" t="s">
        <v>1979</v>
      </c>
      <c r="AB1227" t="s">
        <v>8976</v>
      </c>
      <c r="AG1227" t="s">
        <v>8977</v>
      </c>
      <c r="AH1227" t="s">
        <v>8978</v>
      </c>
      <c r="AI1227" t="s">
        <v>8979</v>
      </c>
    </row>
    <row r="1228" spans="2:35" ht="285">
      <c r="B1228" s="1">
        <v>45887</v>
      </c>
      <c r="C1228" s="1">
        <v>45876</v>
      </c>
      <c r="D1228" t="s">
        <v>5869</v>
      </c>
      <c r="E1228" t="s">
        <v>8980</v>
      </c>
      <c r="F1228" t="s">
        <v>148</v>
      </c>
      <c r="G1228" t="s">
        <v>774</v>
      </c>
      <c r="H1228" t="s">
        <v>39</v>
      </c>
      <c r="I1228" t="s">
        <v>40</v>
      </c>
      <c r="J1228" t="s">
        <v>109</v>
      </c>
      <c r="K1228" t="s">
        <v>42</v>
      </c>
      <c r="L1228" t="s">
        <v>1028</v>
      </c>
      <c r="N1228" t="s">
        <v>1029</v>
      </c>
      <c r="Q1228">
        <v>31318</v>
      </c>
      <c r="R1228" t="s">
        <v>322</v>
      </c>
      <c r="S1228" t="s">
        <v>5871</v>
      </c>
      <c r="T1228">
        <v>25</v>
      </c>
      <c r="U1228" s="2" t="s">
        <v>8981</v>
      </c>
      <c r="W1228" t="s">
        <v>1032</v>
      </c>
      <c r="X1228">
        <v>110025706</v>
      </c>
      <c r="Y1228" t="s">
        <v>1978</v>
      </c>
      <c r="Z1228" t="s">
        <v>1548</v>
      </c>
      <c r="AA1228" s="2" t="s">
        <v>8982</v>
      </c>
      <c r="AB1228" t="s">
        <v>8976</v>
      </c>
      <c r="AG1228" t="s">
        <v>8983</v>
      </c>
      <c r="AH1228" t="s">
        <v>8984</v>
      </c>
      <c r="AI1228" t="s">
        <v>8985</v>
      </c>
    </row>
    <row r="1229" spans="2:35" ht="225">
      <c r="B1229" s="1">
        <v>45887</v>
      </c>
      <c r="C1229" s="1">
        <v>45874</v>
      </c>
      <c r="D1229" t="s">
        <v>8986</v>
      </c>
      <c r="E1229" t="s">
        <v>8987</v>
      </c>
      <c r="F1229" t="s">
        <v>148</v>
      </c>
      <c r="G1229" t="s">
        <v>310</v>
      </c>
      <c r="H1229" t="s">
        <v>513</v>
      </c>
      <c r="I1229" t="s">
        <v>40</v>
      </c>
      <c r="J1229" s="2" t="s">
        <v>62</v>
      </c>
      <c r="K1229" t="s">
        <v>387</v>
      </c>
      <c r="L1229" t="s">
        <v>1028</v>
      </c>
      <c r="N1229" t="s">
        <v>1029</v>
      </c>
      <c r="Q1229">
        <v>31316</v>
      </c>
      <c r="R1229" t="s">
        <v>322</v>
      </c>
      <c r="S1229" t="s">
        <v>921</v>
      </c>
      <c r="T1229">
        <v>25</v>
      </c>
      <c r="W1229" t="s">
        <v>390</v>
      </c>
      <c r="X1229" t="s">
        <v>922</v>
      </c>
      <c r="Y1229" t="s">
        <v>8988</v>
      </c>
      <c r="Z1229" t="s">
        <v>8989</v>
      </c>
      <c r="AA1229" s="2" t="s">
        <v>8990</v>
      </c>
      <c r="AB1229" t="s">
        <v>8991</v>
      </c>
      <c r="AG1229" t="s">
        <v>8992</v>
      </c>
      <c r="AH1229" t="s">
        <v>5901</v>
      </c>
      <c r="AI1229" t="s">
        <v>8993</v>
      </c>
    </row>
    <row r="1230" spans="2:35" ht="195">
      <c r="B1230" s="1">
        <v>45887</v>
      </c>
      <c r="C1230" s="1">
        <v>45883</v>
      </c>
      <c r="D1230" t="s">
        <v>1026</v>
      </c>
      <c r="E1230" t="s">
        <v>8231</v>
      </c>
      <c r="F1230" t="s">
        <v>148</v>
      </c>
      <c r="G1230" t="s">
        <v>774</v>
      </c>
      <c r="H1230" t="s">
        <v>513</v>
      </c>
      <c r="I1230" t="s">
        <v>40</v>
      </c>
      <c r="J1230" t="s">
        <v>1740</v>
      </c>
      <c r="K1230" t="s">
        <v>387</v>
      </c>
      <c r="L1230" t="s">
        <v>1028</v>
      </c>
      <c r="N1230" t="s">
        <v>1029</v>
      </c>
      <c r="O1230" t="s">
        <v>8994</v>
      </c>
      <c r="Q1230">
        <v>31317</v>
      </c>
      <c r="R1230" t="s">
        <v>95</v>
      </c>
      <c r="S1230" t="s">
        <v>5183</v>
      </c>
      <c r="T1230">
        <v>25</v>
      </c>
      <c r="V1230" s="1">
        <v>45882</v>
      </c>
      <c r="W1230" t="s">
        <v>390</v>
      </c>
      <c r="X1230" t="s">
        <v>3773</v>
      </c>
      <c r="Y1230" t="s">
        <v>8995</v>
      </c>
      <c r="Z1230" t="s">
        <v>5186</v>
      </c>
      <c r="AA1230" s="2" t="s">
        <v>8996</v>
      </c>
      <c r="AB1230" s="2" t="s">
        <v>8997</v>
      </c>
      <c r="AC1230" t="s">
        <v>8998</v>
      </c>
      <c r="AD1230" t="s">
        <v>8999</v>
      </c>
      <c r="AE1230" t="s">
        <v>9000</v>
      </c>
      <c r="AG1230" t="s">
        <v>9001</v>
      </c>
      <c r="AH1230" t="s">
        <v>5190</v>
      </c>
      <c r="AI1230" t="s">
        <v>9002</v>
      </c>
    </row>
    <row r="1231" spans="2:35" ht="240">
      <c r="B1231" s="1">
        <v>45887</v>
      </c>
      <c r="C1231" s="1">
        <v>45883</v>
      </c>
      <c r="D1231" t="s">
        <v>9003</v>
      </c>
      <c r="E1231" t="s">
        <v>1027</v>
      </c>
      <c r="F1231" t="s">
        <v>148</v>
      </c>
      <c r="G1231" t="s">
        <v>774</v>
      </c>
      <c r="H1231" t="s">
        <v>662</v>
      </c>
      <c r="I1231" t="s">
        <v>40</v>
      </c>
      <c r="J1231" t="s">
        <v>109</v>
      </c>
      <c r="K1231" t="s">
        <v>42</v>
      </c>
      <c r="L1231" t="s">
        <v>1028</v>
      </c>
      <c r="N1231" t="s">
        <v>1029</v>
      </c>
      <c r="Q1231">
        <v>31314</v>
      </c>
      <c r="R1231" t="s">
        <v>967</v>
      </c>
      <c r="S1231" t="s">
        <v>9004</v>
      </c>
      <c r="T1231">
        <v>25</v>
      </c>
      <c r="U1231" s="2" t="s">
        <v>9005</v>
      </c>
      <c r="W1231" t="s">
        <v>1032</v>
      </c>
      <c r="X1231">
        <v>110023494</v>
      </c>
      <c r="Y1231" t="s">
        <v>1978</v>
      </c>
      <c r="Z1231" t="s">
        <v>1548</v>
      </c>
      <c r="AA1231" s="2" t="s">
        <v>9006</v>
      </c>
      <c r="AB1231" t="s">
        <v>8976</v>
      </c>
      <c r="AG1231" t="s">
        <v>9007</v>
      </c>
      <c r="AH1231" t="s">
        <v>5156</v>
      </c>
      <c r="AI1231" t="s">
        <v>9008</v>
      </c>
    </row>
    <row r="1232" spans="2:35" ht="285">
      <c r="B1232" s="1">
        <v>45887</v>
      </c>
      <c r="C1232" s="1">
        <v>45877</v>
      </c>
      <c r="D1232" t="s">
        <v>6619</v>
      </c>
      <c r="E1232" t="s">
        <v>9009</v>
      </c>
      <c r="F1232" t="s">
        <v>37</v>
      </c>
      <c r="G1232" t="s">
        <v>748</v>
      </c>
      <c r="H1232" t="s">
        <v>39</v>
      </c>
      <c r="I1232" t="s">
        <v>40</v>
      </c>
      <c r="J1232" t="s">
        <v>109</v>
      </c>
      <c r="K1232" t="s">
        <v>42</v>
      </c>
      <c r="L1232" t="s">
        <v>1028</v>
      </c>
      <c r="N1232" t="s">
        <v>1029</v>
      </c>
      <c r="Q1232">
        <v>31315</v>
      </c>
      <c r="R1232" t="s">
        <v>119</v>
      </c>
      <c r="S1232" t="s">
        <v>5176</v>
      </c>
      <c r="T1232">
        <v>26</v>
      </c>
      <c r="U1232" s="2" t="s">
        <v>9010</v>
      </c>
      <c r="W1232" t="s">
        <v>1967</v>
      </c>
      <c r="X1232">
        <v>838535</v>
      </c>
      <c r="Y1232" t="s">
        <v>1978</v>
      </c>
      <c r="Z1232" t="s">
        <v>1548</v>
      </c>
      <c r="AA1232" s="2" t="s">
        <v>9011</v>
      </c>
      <c r="AB1232" t="s">
        <v>8976</v>
      </c>
      <c r="AG1232" t="s">
        <v>9012</v>
      </c>
      <c r="AH1232" t="s">
        <v>5181</v>
      </c>
      <c r="AI1232" t="s">
        <v>9013</v>
      </c>
    </row>
    <row r="1233" spans="2:35" ht="409.5">
      <c r="B1233" s="1">
        <v>45884</v>
      </c>
      <c r="C1233" s="1">
        <v>45884</v>
      </c>
      <c r="D1233" t="s">
        <v>9014</v>
      </c>
      <c r="E1233" t="s">
        <v>9015</v>
      </c>
      <c r="F1233" t="s">
        <v>148</v>
      </c>
      <c r="G1233" t="s">
        <v>310</v>
      </c>
      <c r="H1233" t="s">
        <v>39</v>
      </c>
      <c r="I1233" t="s">
        <v>40</v>
      </c>
      <c r="J1233" t="s">
        <v>109</v>
      </c>
      <c r="K1233" t="s">
        <v>42</v>
      </c>
      <c r="L1233" t="s">
        <v>1943</v>
      </c>
      <c r="N1233" t="s">
        <v>1944</v>
      </c>
      <c r="Q1233">
        <v>31313</v>
      </c>
      <c r="R1233" t="s">
        <v>703</v>
      </c>
      <c r="S1233" t="s">
        <v>9016</v>
      </c>
      <c r="T1233">
        <v>25</v>
      </c>
      <c r="W1233" t="s">
        <v>9017</v>
      </c>
      <c r="X1233">
        <v>110022622</v>
      </c>
      <c r="Y1233" t="s">
        <v>2099</v>
      </c>
      <c r="Z1233" t="s">
        <v>2100</v>
      </c>
      <c r="AA1233" s="2" t="s">
        <v>2101</v>
      </c>
      <c r="AB1233" t="s">
        <v>88</v>
      </c>
      <c r="AG1233" t="s">
        <v>9018</v>
      </c>
      <c r="AH1233" t="s">
        <v>9019</v>
      </c>
      <c r="AI1233" t="s">
        <v>9020</v>
      </c>
    </row>
    <row r="1234" spans="2:35" ht="390">
      <c r="B1234" s="1">
        <v>45883</v>
      </c>
      <c r="C1234" s="1">
        <v>45877</v>
      </c>
      <c r="D1234" t="s">
        <v>9021</v>
      </c>
      <c r="E1234" t="s">
        <v>9022</v>
      </c>
      <c r="F1234">
        <v>7</v>
      </c>
      <c r="G1234" t="s">
        <v>432</v>
      </c>
      <c r="H1234" t="s">
        <v>608</v>
      </c>
      <c r="I1234" t="s">
        <v>40</v>
      </c>
      <c r="J1234" s="2" t="s">
        <v>190</v>
      </c>
      <c r="K1234" t="s">
        <v>42</v>
      </c>
      <c r="L1234" t="s">
        <v>610</v>
      </c>
      <c r="N1234" t="s">
        <v>611</v>
      </c>
      <c r="Q1234">
        <v>31312</v>
      </c>
      <c r="R1234" t="s">
        <v>119</v>
      </c>
      <c r="S1234" t="s">
        <v>9023</v>
      </c>
      <c r="T1234">
        <v>24</v>
      </c>
      <c r="U1234" s="2" t="s">
        <v>9024</v>
      </c>
      <c r="W1234" t="s">
        <v>360</v>
      </c>
      <c r="X1234">
        <v>838283</v>
      </c>
      <c r="Y1234" t="e">
        <f ca="1">-UPS _xludf.Power failure.</f>
        <v>#NAME?</v>
      </c>
      <c r="Z1234" s="2" t="s">
        <v>9025</v>
      </c>
      <c r="AA1234" s="2" t="s">
        <v>9026</v>
      </c>
      <c r="AB1234" t="s">
        <v>9027</v>
      </c>
      <c r="AG1234" t="s">
        <v>9028</v>
      </c>
      <c r="AH1234" t="s">
        <v>9029</v>
      </c>
      <c r="AI1234" t="s">
        <v>9030</v>
      </c>
    </row>
    <row r="1235" spans="2:35" ht="120">
      <c r="B1235" s="1">
        <v>45883</v>
      </c>
      <c r="C1235" s="1">
        <v>45883</v>
      </c>
      <c r="D1235" t="s">
        <v>9031</v>
      </c>
      <c r="E1235" t="s">
        <v>9032</v>
      </c>
      <c r="F1235">
        <v>6</v>
      </c>
      <c r="G1235" t="s">
        <v>1286</v>
      </c>
      <c r="H1235" t="s">
        <v>1047</v>
      </c>
      <c r="I1235" t="s">
        <v>40</v>
      </c>
      <c r="J1235" s="2" t="s">
        <v>609</v>
      </c>
      <c r="K1235" t="s">
        <v>42</v>
      </c>
      <c r="L1235" t="s">
        <v>1288</v>
      </c>
      <c r="N1235" t="s">
        <v>1289</v>
      </c>
      <c r="Q1235">
        <v>31311</v>
      </c>
      <c r="R1235" t="s">
        <v>119</v>
      </c>
      <c r="S1235" t="s">
        <v>6358</v>
      </c>
      <c r="T1235">
        <v>23</v>
      </c>
      <c r="W1235" t="s">
        <v>1292</v>
      </c>
      <c r="X1235">
        <v>838393</v>
      </c>
      <c r="Y1235" t="s">
        <v>9033</v>
      </c>
      <c r="Z1235" t="e">
        <f ca="1">-COLLECT IQR, system _xludf.Log, _xludf.and ARCHIVE</f>
        <v>#NAME?</v>
      </c>
      <c r="AA1235" t="e">
        <f ca="1">-PERFORM FAN _xludf.filter Replacement
-system _xludf.Log temperature errors DETECTED</f>
        <v>#NAME?</v>
      </c>
      <c r="AB1235" s="2" t="s">
        <v>9034</v>
      </c>
      <c r="AG1235" t="s">
        <v>9035</v>
      </c>
      <c r="AH1235" t="s">
        <v>9036</v>
      </c>
      <c r="AI1235" t="s">
        <v>9037</v>
      </c>
    </row>
    <row r="1236" spans="2:35" ht="120">
      <c r="B1236" s="1">
        <v>45883</v>
      </c>
      <c r="C1236" s="1">
        <v>45883</v>
      </c>
      <c r="D1236" t="s">
        <v>8914</v>
      </c>
      <c r="E1236" t="s">
        <v>9038</v>
      </c>
      <c r="F1236">
        <v>5</v>
      </c>
      <c r="G1236" t="s">
        <v>839</v>
      </c>
      <c r="H1236" t="s">
        <v>39</v>
      </c>
      <c r="I1236" t="s">
        <v>94</v>
      </c>
      <c r="J1236" t="s">
        <v>109</v>
      </c>
      <c r="K1236" t="s">
        <v>42</v>
      </c>
      <c r="L1236" t="s">
        <v>761</v>
      </c>
      <c r="N1236" t="s">
        <v>762</v>
      </c>
      <c r="Q1236">
        <v>31310</v>
      </c>
      <c r="R1236" t="s">
        <v>119</v>
      </c>
      <c r="S1236" t="s">
        <v>8916</v>
      </c>
      <c r="T1236">
        <v>27</v>
      </c>
      <c r="U1236" s="2" t="s">
        <v>8917</v>
      </c>
      <c r="W1236" t="s">
        <v>765</v>
      </c>
      <c r="X1236">
        <v>838558</v>
      </c>
      <c r="Y1236" t="s">
        <v>818</v>
      </c>
      <c r="Z1236" s="2" t="s">
        <v>7933</v>
      </c>
      <c r="AA1236" t="s">
        <v>820</v>
      </c>
      <c r="AB1236" s="2" t="s">
        <v>4079</v>
      </c>
      <c r="AG1236" t="s">
        <v>9039</v>
      </c>
      <c r="AH1236" t="s">
        <v>9040</v>
      </c>
      <c r="AI1236" t="s">
        <v>9041</v>
      </c>
    </row>
    <row r="1237" spans="2:35" ht="120">
      <c r="B1237" s="1">
        <v>45883</v>
      </c>
      <c r="C1237" s="1">
        <v>45883</v>
      </c>
      <c r="D1237" t="s">
        <v>8914</v>
      </c>
      <c r="E1237" t="s">
        <v>9038</v>
      </c>
      <c r="F1237">
        <v>5</v>
      </c>
      <c r="G1237" t="s">
        <v>839</v>
      </c>
      <c r="H1237" t="s">
        <v>39</v>
      </c>
      <c r="I1237" t="s">
        <v>94</v>
      </c>
      <c r="J1237" t="s">
        <v>109</v>
      </c>
      <c r="K1237" t="s">
        <v>42</v>
      </c>
      <c r="L1237" t="s">
        <v>761</v>
      </c>
      <c r="N1237" t="s">
        <v>762</v>
      </c>
      <c r="Q1237">
        <v>31309</v>
      </c>
      <c r="R1237" t="s">
        <v>119</v>
      </c>
      <c r="S1237" t="s">
        <v>8916</v>
      </c>
      <c r="T1237">
        <v>27</v>
      </c>
      <c r="U1237" s="2" t="s">
        <v>8917</v>
      </c>
      <c r="W1237" t="s">
        <v>765</v>
      </c>
      <c r="X1237">
        <v>838558</v>
      </c>
      <c r="Y1237" t="s">
        <v>818</v>
      </c>
      <c r="Z1237" s="2" t="s">
        <v>7933</v>
      </c>
      <c r="AA1237" t="s">
        <v>820</v>
      </c>
      <c r="AB1237" s="2" t="s">
        <v>4079</v>
      </c>
      <c r="AG1237" t="s">
        <v>9042</v>
      </c>
      <c r="AH1237" t="s">
        <v>9040</v>
      </c>
      <c r="AI1237" t="s">
        <v>9043</v>
      </c>
    </row>
    <row r="1238" spans="2:35" ht="300">
      <c r="B1238" s="1">
        <v>45883</v>
      </c>
      <c r="C1238" s="1">
        <v>45883</v>
      </c>
      <c r="D1238" t="s">
        <v>7522</v>
      </c>
      <c r="E1238" t="s">
        <v>9044</v>
      </c>
      <c r="F1238">
        <v>11</v>
      </c>
      <c r="G1238" t="s">
        <v>1759</v>
      </c>
      <c r="H1238" t="s">
        <v>202</v>
      </c>
      <c r="I1238" t="s">
        <v>40</v>
      </c>
      <c r="J1238" t="s">
        <v>109</v>
      </c>
      <c r="K1238" t="s">
        <v>42</v>
      </c>
      <c r="L1238" t="s">
        <v>204</v>
      </c>
      <c r="N1238" t="s">
        <v>205</v>
      </c>
      <c r="Q1238">
        <v>31308</v>
      </c>
      <c r="R1238" t="s">
        <v>119</v>
      </c>
      <c r="S1238" t="s">
        <v>7524</v>
      </c>
      <c r="T1238">
        <v>28.5</v>
      </c>
      <c r="U1238" s="2" t="s">
        <v>9045</v>
      </c>
      <c r="W1238" t="s">
        <v>208</v>
      </c>
      <c r="X1238">
        <v>838500</v>
      </c>
      <c r="Y1238" t="s">
        <v>9046</v>
      </c>
      <c r="Z1238" s="2" t="s">
        <v>9047</v>
      </c>
      <c r="AA1238" t="s">
        <v>9048</v>
      </c>
      <c r="AB1238" t="s">
        <v>1211</v>
      </c>
      <c r="AG1238" t="s">
        <v>9049</v>
      </c>
      <c r="AH1238" t="s">
        <v>9050</v>
      </c>
      <c r="AI1238" t="s">
        <v>9051</v>
      </c>
    </row>
    <row r="1239" spans="2:35" ht="360">
      <c r="B1239" s="1">
        <v>45883</v>
      </c>
      <c r="C1239" s="1">
        <v>45883</v>
      </c>
      <c r="D1239" t="s">
        <v>3679</v>
      </c>
      <c r="E1239" t="s">
        <v>2580</v>
      </c>
      <c r="F1239" t="s">
        <v>148</v>
      </c>
      <c r="G1239" t="s">
        <v>447</v>
      </c>
      <c r="H1239" t="s">
        <v>386</v>
      </c>
      <c r="I1239" t="s">
        <v>40</v>
      </c>
      <c r="J1239" t="s">
        <v>525</v>
      </c>
      <c r="K1239" t="s">
        <v>387</v>
      </c>
      <c r="L1239" t="s">
        <v>448</v>
      </c>
      <c r="N1239" t="s">
        <v>650</v>
      </c>
      <c r="Q1239">
        <v>31307</v>
      </c>
      <c r="R1239" t="s">
        <v>322</v>
      </c>
      <c r="S1239" t="s">
        <v>3689</v>
      </c>
      <c r="T1239">
        <v>28</v>
      </c>
      <c r="W1239" t="s">
        <v>8665</v>
      </c>
      <c r="X1239">
        <v>20168</v>
      </c>
      <c r="Y1239" t="s">
        <v>9052</v>
      </c>
      <c r="Z1239" s="2" t="s">
        <v>9053</v>
      </c>
      <c r="AA1239" t="s">
        <v>768</v>
      </c>
      <c r="AB1239" s="2" t="s">
        <v>9054</v>
      </c>
      <c r="AG1239" t="s">
        <v>9055</v>
      </c>
      <c r="AH1239" t="s">
        <v>3679</v>
      </c>
      <c r="AI1239" t="s">
        <v>9056</v>
      </c>
    </row>
    <row r="1240" spans="2:35" ht="105">
      <c r="B1240" s="1">
        <v>45883</v>
      </c>
      <c r="C1240" s="1">
        <v>45883</v>
      </c>
      <c r="D1240" t="s">
        <v>7465</v>
      </c>
      <c r="E1240" t="s">
        <v>7466</v>
      </c>
      <c r="F1240">
        <v>8</v>
      </c>
      <c r="G1240" t="s">
        <v>342</v>
      </c>
      <c r="H1240" t="s">
        <v>258</v>
      </c>
      <c r="I1240" t="s">
        <v>40</v>
      </c>
      <c r="J1240" t="s">
        <v>109</v>
      </c>
      <c r="K1240" t="s">
        <v>42</v>
      </c>
      <c r="L1240" t="s">
        <v>259</v>
      </c>
      <c r="N1240" t="s">
        <v>260</v>
      </c>
      <c r="Q1240">
        <v>31306</v>
      </c>
      <c r="R1240" t="s">
        <v>119</v>
      </c>
      <c r="S1240" t="s">
        <v>7467</v>
      </c>
      <c r="T1240">
        <v>26</v>
      </c>
      <c r="U1240" s="2" t="s">
        <v>9057</v>
      </c>
      <c r="W1240" t="s">
        <v>84</v>
      </c>
      <c r="X1240">
        <v>838551</v>
      </c>
      <c r="Y1240" t="s">
        <v>263</v>
      </c>
      <c r="Z1240" t="s">
        <v>263</v>
      </c>
      <c r="AA1240" t="e">
        <f ca="1">- Monthly Preventive Maintenance</f>
        <v>#NAME?</v>
      </c>
      <c r="AB1240" t="s">
        <v>70</v>
      </c>
      <c r="AG1240" t="s">
        <v>9058</v>
      </c>
      <c r="AH1240" t="s">
        <v>7469</v>
      </c>
      <c r="AI1240" t="s">
        <v>9059</v>
      </c>
    </row>
    <row r="1241" spans="2:35" ht="315">
      <c r="B1241" s="1">
        <v>45883</v>
      </c>
      <c r="C1241" s="1">
        <v>45883</v>
      </c>
      <c r="D1241" t="s">
        <v>2272</v>
      </c>
      <c r="E1241" t="s">
        <v>8404</v>
      </c>
      <c r="F1241" t="s">
        <v>148</v>
      </c>
      <c r="G1241" t="s">
        <v>310</v>
      </c>
      <c r="H1241" t="s">
        <v>386</v>
      </c>
      <c r="I1241" t="s">
        <v>40</v>
      </c>
      <c r="J1241" t="s">
        <v>109</v>
      </c>
      <c r="K1241" t="s">
        <v>387</v>
      </c>
      <c r="L1241" t="s">
        <v>1943</v>
      </c>
      <c r="N1241" t="s">
        <v>1944</v>
      </c>
      <c r="Q1241">
        <v>31305</v>
      </c>
      <c r="R1241" t="s">
        <v>322</v>
      </c>
      <c r="S1241" t="s">
        <v>2276</v>
      </c>
      <c r="T1241">
        <v>25</v>
      </c>
      <c r="W1241" t="s">
        <v>390</v>
      </c>
      <c r="X1241" t="s">
        <v>2277</v>
      </c>
      <c r="Y1241" t="s">
        <v>2099</v>
      </c>
      <c r="Z1241" t="s">
        <v>2100</v>
      </c>
      <c r="AA1241" s="2" t="s">
        <v>2278</v>
      </c>
      <c r="AB1241" t="s">
        <v>88</v>
      </c>
      <c r="AG1241" t="s">
        <v>9060</v>
      </c>
      <c r="AH1241" t="s">
        <v>6824</v>
      </c>
      <c r="AI1241" t="s">
        <v>9061</v>
      </c>
    </row>
    <row r="1242" spans="2:35" ht="105">
      <c r="B1242" s="1">
        <v>45883</v>
      </c>
      <c r="C1242" s="1">
        <v>45883</v>
      </c>
      <c r="D1242" t="s">
        <v>9062</v>
      </c>
      <c r="E1242" t="s">
        <v>9063</v>
      </c>
      <c r="F1242">
        <v>8</v>
      </c>
      <c r="G1242" t="s">
        <v>342</v>
      </c>
      <c r="H1242" t="s">
        <v>1498</v>
      </c>
      <c r="I1242" t="s">
        <v>40</v>
      </c>
      <c r="J1242" t="s">
        <v>109</v>
      </c>
      <c r="K1242" t="s">
        <v>42</v>
      </c>
      <c r="L1242" t="s">
        <v>343</v>
      </c>
      <c r="N1242" t="s">
        <v>344</v>
      </c>
      <c r="Q1242">
        <v>31304</v>
      </c>
      <c r="R1242" t="s">
        <v>119</v>
      </c>
      <c r="S1242" t="s">
        <v>9064</v>
      </c>
      <c r="T1242">
        <v>27</v>
      </c>
      <c r="U1242" s="2" t="s">
        <v>9065</v>
      </c>
      <c r="W1242" t="s">
        <v>1501</v>
      </c>
      <c r="X1242">
        <v>838399</v>
      </c>
      <c r="Y1242" t="s">
        <v>7415</v>
      </c>
      <c r="Z1242" t="e">
        <f ca="1">-Preventive Maintenance</f>
        <v>#NAME?</v>
      </c>
      <c r="AA1242" t="e">
        <f ca="1">-Preventive Maintenance
-Data Gather</f>
        <v>#NAME?</v>
      </c>
      <c r="AB1242" t="s">
        <v>348</v>
      </c>
      <c r="AG1242" t="s">
        <v>9066</v>
      </c>
      <c r="AH1242" t="s">
        <v>9067</v>
      </c>
      <c r="AI1242" t="s">
        <v>9068</v>
      </c>
    </row>
    <row r="1243" spans="2:35" ht="105">
      <c r="B1243" s="1">
        <v>45883</v>
      </c>
      <c r="C1243" s="1">
        <v>45882</v>
      </c>
      <c r="D1243" t="s">
        <v>1496</v>
      </c>
      <c r="E1243" t="s">
        <v>1497</v>
      </c>
      <c r="F1243">
        <v>8</v>
      </c>
      <c r="G1243" t="s">
        <v>342</v>
      </c>
      <c r="H1243" t="s">
        <v>1498</v>
      </c>
      <c r="I1243" t="s">
        <v>40</v>
      </c>
      <c r="J1243" s="2" t="s">
        <v>2491</v>
      </c>
      <c r="K1243" t="s">
        <v>42</v>
      </c>
      <c r="L1243" t="s">
        <v>343</v>
      </c>
      <c r="N1243" t="s">
        <v>344</v>
      </c>
      <c r="Q1243">
        <v>31303</v>
      </c>
      <c r="R1243" t="s">
        <v>119</v>
      </c>
      <c r="S1243" t="s">
        <v>7820</v>
      </c>
      <c r="T1243">
        <v>27</v>
      </c>
      <c r="U1243" s="2" t="s">
        <v>1500</v>
      </c>
      <c r="W1243" t="s">
        <v>1501</v>
      </c>
      <c r="X1243">
        <v>838296</v>
      </c>
      <c r="Y1243" t="s">
        <v>301</v>
      </c>
      <c r="Z1243" t="e">
        <f ca="1">-Preventive Maintenance
-Data Gather</f>
        <v>#NAME?</v>
      </c>
      <c r="AA1243" t="e">
        <f ca="1">-Preventive Maintenance</f>
        <v>#NAME?</v>
      </c>
      <c r="AB1243" t="s">
        <v>348</v>
      </c>
      <c r="AG1243" t="s">
        <v>9069</v>
      </c>
      <c r="AH1243" t="s">
        <v>7824</v>
      </c>
      <c r="AI1243" t="s">
        <v>9070</v>
      </c>
    </row>
    <row r="1244" spans="2:35" ht="409.5">
      <c r="B1244" s="1">
        <v>45883</v>
      </c>
      <c r="C1244" s="1">
        <v>45883</v>
      </c>
      <c r="D1244" t="s">
        <v>2272</v>
      </c>
      <c r="E1244" t="s">
        <v>8404</v>
      </c>
      <c r="F1244" t="s">
        <v>148</v>
      </c>
      <c r="G1244" t="s">
        <v>310</v>
      </c>
      <c r="H1244" t="s">
        <v>5042</v>
      </c>
      <c r="I1244" t="s">
        <v>40</v>
      </c>
      <c r="J1244" t="s">
        <v>109</v>
      </c>
      <c r="K1244" t="s">
        <v>42</v>
      </c>
      <c r="L1244" t="s">
        <v>1943</v>
      </c>
      <c r="N1244" t="s">
        <v>1944</v>
      </c>
      <c r="O1244" t="s">
        <v>2275</v>
      </c>
      <c r="Q1244">
        <v>31302</v>
      </c>
      <c r="R1244" t="s">
        <v>703</v>
      </c>
      <c r="S1244" t="s">
        <v>6830</v>
      </c>
      <c r="T1244">
        <v>25</v>
      </c>
      <c r="U1244" s="2" t="s">
        <v>9071</v>
      </c>
      <c r="W1244" t="s">
        <v>373</v>
      </c>
      <c r="X1244">
        <v>120002026</v>
      </c>
      <c r="Y1244" t="s">
        <v>2099</v>
      </c>
      <c r="Z1244" t="s">
        <v>2100</v>
      </c>
      <c r="AA1244" s="2" t="s">
        <v>2101</v>
      </c>
      <c r="AB1244" t="s">
        <v>88</v>
      </c>
      <c r="AG1244" t="s">
        <v>9072</v>
      </c>
      <c r="AH1244" t="s">
        <v>9073</v>
      </c>
      <c r="AI1244" t="s">
        <v>9074</v>
      </c>
    </row>
    <row r="1245" spans="2:35" ht="345">
      <c r="B1245" s="1">
        <v>45883</v>
      </c>
      <c r="C1245" s="1">
        <v>45882</v>
      </c>
      <c r="D1245" t="s">
        <v>9075</v>
      </c>
      <c r="E1245" t="s">
        <v>2569</v>
      </c>
      <c r="F1245" t="s">
        <v>148</v>
      </c>
      <c r="G1245" t="s">
        <v>447</v>
      </c>
      <c r="H1245" t="s">
        <v>662</v>
      </c>
      <c r="I1245" t="s">
        <v>40</v>
      </c>
      <c r="J1245" t="s">
        <v>109</v>
      </c>
      <c r="K1245" t="s">
        <v>42</v>
      </c>
      <c r="L1245" t="s">
        <v>448</v>
      </c>
      <c r="N1245" t="s">
        <v>650</v>
      </c>
      <c r="O1245" t="s">
        <v>6501</v>
      </c>
      <c r="Q1245">
        <v>31301</v>
      </c>
      <c r="R1245" t="s">
        <v>703</v>
      </c>
      <c r="S1245" t="s">
        <v>9076</v>
      </c>
      <c r="T1245">
        <v>36</v>
      </c>
      <c r="U1245" s="2" t="s">
        <v>9077</v>
      </c>
      <c r="W1245" t="s">
        <v>6804</v>
      </c>
      <c r="X1245">
        <v>110020700</v>
      </c>
      <c r="Y1245" t="s">
        <v>485</v>
      </c>
      <c r="Z1245" s="2" t="s">
        <v>2011</v>
      </c>
      <c r="AA1245" t="s">
        <v>122</v>
      </c>
      <c r="AB1245" t="s">
        <v>486</v>
      </c>
      <c r="AG1245" t="s">
        <v>9078</v>
      </c>
      <c r="AH1245" t="s">
        <v>9079</v>
      </c>
      <c r="AI1245" t="s">
        <v>9080</v>
      </c>
    </row>
    <row r="1246" spans="2:35" ht="120">
      <c r="B1246" s="1">
        <v>45883</v>
      </c>
      <c r="C1246" s="1">
        <v>45882</v>
      </c>
      <c r="D1246" t="s">
        <v>5496</v>
      </c>
      <c r="E1246" t="s">
        <v>7303</v>
      </c>
      <c r="F1246">
        <v>5</v>
      </c>
      <c r="G1246" t="s">
        <v>839</v>
      </c>
      <c r="H1246" t="s">
        <v>39</v>
      </c>
      <c r="I1246" t="s">
        <v>94</v>
      </c>
      <c r="J1246" t="s">
        <v>109</v>
      </c>
      <c r="K1246" t="s">
        <v>42</v>
      </c>
      <c r="L1246" t="s">
        <v>761</v>
      </c>
      <c r="N1246" t="s">
        <v>762</v>
      </c>
      <c r="Q1246">
        <v>31300</v>
      </c>
      <c r="R1246" t="s">
        <v>967</v>
      </c>
      <c r="S1246" t="s">
        <v>9081</v>
      </c>
      <c r="T1246">
        <v>29</v>
      </c>
      <c r="U1246" s="2" t="s">
        <v>9082</v>
      </c>
      <c r="W1246" t="s">
        <v>817</v>
      </c>
      <c r="X1246">
        <v>110023511</v>
      </c>
      <c r="Y1246" t="s">
        <v>818</v>
      </c>
      <c r="Z1246" s="2" t="s">
        <v>7933</v>
      </c>
      <c r="AA1246" t="s">
        <v>820</v>
      </c>
      <c r="AB1246" s="2" t="s">
        <v>1416</v>
      </c>
      <c r="AG1246" t="s">
        <v>9083</v>
      </c>
      <c r="AH1246" t="s">
        <v>9084</v>
      </c>
      <c r="AI1246" t="s">
        <v>9085</v>
      </c>
    </row>
    <row r="1247" spans="2:35" ht="120">
      <c r="B1247" s="1">
        <v>45883</v>
      </c>
      <c r="C1247" s="1">
        <v>45882</v>
      </c>
      <c r="D1247" t="s">
        <v>5496</v>
      </c>
      <c r="E1247" t="s">
        <v>7303</v>
      </c>
      <c r="F1247">
        <v>5</v>
      </c>
      <c r="G1247" t="s">
        <v>839</v>
      </c>
      <c r="H1247" t="s">
        <v>39</v>
      </c>
      <c r="I1247" t="s">
        <v>94</v>
      </c>
      <c r="J1247" t="s">
        <v>109</v>
      </c>
      <c r="K1247" t="s">
        <v>42</v>
      </c>
      <c r="L1247" t="s">
        <v>761</v>
      </c>
      <c r="N1247" t="s">
        <v>762</v>
      </c>
      <c r="Q1247">
        <v>31299</v>
      </c>
      <c r="R1247" t="s">
        <v>119</v>
      </c>
      <c r="S1247" t="s">
        <v>9081</v>
      </c>
      <c r="T1247">
        <v>29</v>
      </c>
      <c r="U1247" s="2" t="s">
        <v>9086</v>
      </c>
      <c r="W1247" t="s">
        <v>765</v>
      </c>
      <c r="X1247">
        <v>838391</v>
      </c>
      <c r="Y1247" t="s">
        <v>818</v>
      </c>
      <c r="Z1247" s="2" t="s">
        <v>4466</v>
      </c>
      <c r="AA1247" t="s">
        <v>820</v>
      </c>
      <c r="AB1247" s="2" t="s">
        <v>1416</v>
      </c>
      <c r="AG1247" t="s">
        <v>9087</v>
      </c>
      <c r="AH1247" t="s">
        <v>9084</v>
      </c>
      <c r="AI1247" t="s">
        <v>9088</v>
      </c>
    </row>
    <row r="1248" spans="2:35" ht="409.5">
      <c r="B1248" s="1">
        <v>45883</v>
      </c>
      <c r="C1248" s="1">
        <v>45881</v>
      </c>
      <c r="D1248" t="s">
        <v>4118</v>
      </c>
      <c r="E1248" t="s">
        <v>9089</v>
      </c>
      <c r="F1248">
        <v>5</v>
      </c>
      <c r="G1248" t="s">
        <v>759</v>
      </c>
      <c r="H1248" t="s">
        <v>39</v>
      </c>
      <c r="I1248" t="s">
        <v>94</v>
      </c>
      <c r="J1248" t="s">
        <v>109</v>
      </c>
      <c r="K1248" t="s">
        <v>42</v>
      </c>
      <c r="L1248" t="s">
        <v>761</v>
      </c>
      <c r="N1248" t="s">
        <v>762</v>
      </c>
      <c r="O1248" t="s">
        <v>9090</v>
      </c>
      <c r="Q1248">
        <v>31298</v>
      </c>
      <c r="R1248" t="s">
        <v>95</v>
      </c>
      <c r="S1248" t="s">
        <v>6291</v>
      </c>
      <c r="T1248">
        <v>28</v>
      </c>
      <c r="U1248" s="2" t="s">
        <v>9091</v>
      </c>
      <c r="W1248" t="s">
        <v>817</v>
      </c>
      <c r="X1248">
        <v>110017942</v>
      </c>
      <c r="Y1248" t="s">
        <v>818</v>
      </c>
      <c r="Z1248" s="2" t="s">
        <v>9092</v>
      </c>
      <c r="AA1248" t="s">
        <v>820</v>
      </c>
      <c r="AB1248" t="s">
        <v>70</v>
      </c>
      <c r="AG1248" t="s">
        <v>9093</v>
      </c>
      <c r="AH1248" t="s">
        <v>9094</v>
      </c>
      <c r="AI1248" t="s">
        <v>9095</v>
      </c>
    </row>
    <row r="1249" spans="2:35" ht="409.5">
      <c r="B1249" s="1">
        <v>45882</v>
      </c>
      <c r="C1249" s="1">
        <v>45882</v>
      </c>
      <c r="D1249" t="s">
        <v>8440</v>
      </c>
      <c r="E1249" t="s">
        <v>9096</v>
      </c>
      <c r="F1249">
        <v>3</v>
      </c>
      <c r="G1249" t="s">
        <v>134</v>
      </c>
      <c r="H1249" t="s">
        <v>39</v>
      </c>
      <c r="I1249" t="s">
        <v>40</v>
      </c>
      <c r="J1249" t="s">
        <v>109</v>
      </c>
      <c r="K1249" t="s">
        <v>42</v>
      </c>
      <c r="L1249" t="s">
        <v>135</v>
      </c>
      <c r="N1249" t="s">
        <v>136</v>
      </c>
      <c r="O1249" t="s">
        <v>9097</v>
      </c>
      <c r="Q1249">
        <v>31297</v>
      </c>
      <c r="R1249" t="s">
        <v>95</v>
      </c>
      <c r="S1249" t="s">
        <v>8442</v>
      </c>
      <c r="T1249">
        <v>22</v>
      </c>
      <c r="U1249" s="2" t="s">
        <v>9098</v>
      </c>
      <c r="W1249" t="s">
        <v>138</v>
      </c>
      <c r="X1249">
        <v>839235</v>
      </c>
      <c r="Y1249" t="s">
        <v>7235</v>
      </c>
      <c r="Z1249" t="s">
        <v>4315</v>
      </c>
      <c r="AA1249" s="2" t="s">
        <v>4316</v>
      </c>
      <c r="AB1249" s="2" t="s">
        <v>9099</v>
      </c>
      <c r="AC1249" t="s">
        <v>9100</v>
      </c>
      <c r="AG1249" t="s">
        <v>9101</v>
      </c>
      <c r="AH1249" t="s">
        <v>9102</v>
      </c>
      <c r="AI1249" t="s">
        <v>9103</v>
      </c>
    </row>
    <row r="1250" spans="2:35" ht="409.5">
      <c r="B1250" s="1">
        <v>45882</v>
      </c>
      <c r="C1250" s="1">
        <v>45882</v>
      </c>
      <c r="D1250" t="s">
        <v>9104</v>
      </c>
      <c r="E1250" t="s">
        <v>9105</v>
      </c>
      <c r="F1250">
        <v>6</v>
      </c>
      <c r="G1250" t="s">
        <v>1286</v>
      </c>
      <c r="H1250" t="s">
        <v>39</v>
      </c>
      <c r="I1250" t="s">
        <v>40</v>
      </c>
      <c r="J1250" s="2" t="s">
        <v>190</v>
      </c>
      <c r="K1250" t="s">
        <v>42</v>
      </c>
      <c r="L1250" t="s">
        <v>1288</v>
      </c>
      <c r="N1250" t="s">
        <v>1289</v>
      </c>
      <c r="Q1250">
        <v>31296</v>
      </c>
      <c r="R1250" t="s">
        <v>119</v>
      </c>
      <c r="S1250" t="s">
        <v>4748</v>
      </c>
      <c r="T1250">
        <v>25</v>
      </c>
      <c r="U1250" s="2" t="s">
        <v>9106</v>
      </c>
      <c r="W1250" t="s">
        <v>1292</v>
      </c>
      <c r="X1250">
        <v>838501</v>
      </c>
      <c r="Y1250" t="e">
        <f ca="1">-_xludf.For Preventive Maintenance
-Back up _xludf.Power SUPPLY DOES _xludf.not HOLD CHARGE</f>
        <v>#NAME?</v>
      </c>
      <c r="Z1250" t="s">
        <v>9107</v>
      </c>
      <c r="AA1250" s="2" t="s">
        <v>9108</v>
      </c>
      <c r="AB1250" t="s">
        <v>9109</v>
      </c>
      <c r="AG1250" t="s">
        <v>9110</v>
      </c>
      <c r="AH1250" t="s">
        <v>4755</v>
      </c>
      <c r="AI1250" t="s">
        <v>9111</v>
      </c>
    </row>
    <row r="1251" spans="2:35" ht="409.5">
      <c r="B1251" s="1">
        <v>45882</v>
      </c>
      <c r="C1251" s="1">
        <v>45880</v>
      </c>
      <c r="D1251" t="s">
        <v>2005</v>
      </c>
      <c r="E1251" t="s">
        <v>4260</v>
      </c>
      <c r="F1251" t="s">
        <v>148</v>
      </c>
      <c r="G1251" t="s">
        <v>2007</v>
      </c>
      <c r="H1251" t="s">
        <v>662</v>
      </c>
      <c r="I1251" t="s">
        <v>40</v>
      </c>
      <c r="J1251" t="s">
        <v>525</v>
      </c>
      <c r="K1251" t="s">
        <v>42</v>
      </c>
      <c r="L1251" t="s">
        <v>448</v>
      </c>
      <c r="N1251" t="s">
        <v>650</v>
      </c>
      <c r="Q1251">
        <v>31295</v>
      </c>
      <c r="R1251" t="s">
        <v>95</v>
      </c>
      <c r="S1251" t="s">
        <v>4273</v>
      </c>
      <c r="T1251">
        <v>25</v>
      </c>
      <c r="U1251" s="2" t="s">
        <v>9112</v>
      </c>
      <c r="W1251" t="s">
        <v>6785</v>
      </c>
      <c r="X1251">
        <v>110026448</v>
      </c>
      <c r="Y1251" t="s">
        <v>9113</v>
      </c>
      <c r="Z1251" s="2" t="s">
        <v>2011</v>
      </c>
      <c r="AA1251" t="s">
        <v>122</v>
      </c>
      <c r="AB1251" t="s">
        <v>9114</v>
      </c>
      <c r="AG1251" t="s">
        <v>9115</v>
      </c>
      <c r="AH1251" t="s">
        <v>7000</v>
      </c>
      <c r="AI1251" t="s">
        <v>9116</v>
      </c>
    </row>
    <row r="1252" spans="2:35" ht="60">
      <c r="B1252" s="1">
        <v>45881</v>
      </c>
      <c r="C1252" s="1">
        <v>45881</v>
      </c>
      <c r="D1252" t="s">
        <v>1168</v>
      </c>
      <c r="E1252" t="s">
        <v>1169</v>
      </c>
      <c r="F1252" t="s">
        <v>148</v>
      </c>
      <c r="G1252" t="s">
        <v>310</v>
      </c>
      <c r="H1252" t="s">
        <v>39</v>
      </c>
      <c r="I1252" t="s">
        <v>40</v>
      </c>
      <c r="J1252" s="2" t="s">
        <v>9117</v>
      </c>
      <c r="K1252" t="s">
        <v>42</v>
      </c>
      <c r="L1252" t="s">
        <v>857</v>
      </c>
      <c r="N1252" t="s">
        <v>858</v>
      </c>
      <c r="Q1252">
        <v>31294</v>
      </c>
      <c r="R1252" t="s">
        <v>322</v>
      </c>
      <c r="S1252" t="s">
        <v>859</v>
      </c>
      <c r="T1252">
        <v>21</v>
      </c>
      <c r="W1252" t="s">
        <v>860</v>
      </c>
      <c r="X1252">
        <v>809643</v>
      </c>
      <c r="Y1252" t="s">
        <v>9118</v>
      </c>
      <c r="Z1252" t="e">
        <f ca="1">- performed deep Cleaning</f>
        <v>#NAME?</v>
      </c>
      <c r="AA1252" t="e">
        <f ca="1">- performed deep Cleaning of Unit
- observed actual test runs _xludf.For errors</f>
        <v>#NAME?</v>
      </c>
      <c r="AB1252" t="s">
        <v>9119</v>
      </c>
      <c r="AG1252" t="s">
        <v>9120</v>
      </c>
      <c r="AH1252" t="s">
        <v>6908</v>
      </c>
      <c r="AI1252" t="s">
        <v>9121</v>
      </c>
    </row>
    <row r="1253" spans="2:35" ht="390">
      <c r="B1253" s="1">
        <v>45881</v>
      </c>
      <c r="C1253" s="1">
        <v>45881</v>
      </c>
      <c r="D1253" t="s">
        <v>6844</v>
      </c>
      <c r="E1253" t="s">
        <v>8927</v>
      </c>
      <c r="F1253">
        <v>12</v>
      </c>
      <c r="G1253" t="s">
        <v>294</v>
      </c>
      <c r="H1253" t="s">
        <v>1473</v>
      </c>
      <c r="I1253" t="s">
        <v>40</v>
      </c>
      <c r="J1253" t="s">
        <v>109</v>
      </c>
      <c r="K1253" t="s">
        <v>42</v>
      </c>
      <c r="L1253" t="s">
        <v>296</v>
      </c>
      <c r="N1253" t="s">
        <v>297</v>
      </c>
      <c r="Q1253">
        <v>31293</v>
      </c>
      <c r="R1253" t="s">
        <v>119</v>
      </c>
      <c r="S1253" t="s">
        <v>6846</v>
      </c>
      <c r="T1253">
        <v>27.4</v>
      </c>
      <c r="U1253" s="2" t="s">
        <v>9122</v>
      </c>
      <c r="W1253" t="s">
        <v>981</v>
      </c>
      <c r="X1253">
        <v>838261</v>
      </c>
      <c r="Y1253" t="s">
        <v>301</v>
      </c>
      <c r="Z1253" s="2" t="s">
        <v>9123</v>
      </c>
      <c r="AA1253" t="s">
        <v>303</v>
      </c>
      <c r="AB1253" t="s">
        <v>972</v>
      </c>
      <c r="AG1253" t="s">
        <v>9124</v>
      </c>
      <c r="AH1253" t="s">
        <v>9125</v>
      </c>
      <c r="AI1253" t="s">
        <v>9126</v>
      </c>
    </row>
    <row r="1254" spans="2:35" ht="105">
      <c r="B1254" s="1">
        <v>45881</v>
      </c>
      <c r="C1254" s="1">
        <v>45881</v>
      </c>
      <c r="D1254" t="s">
        <v>7471</v>
      </c>
      <c r="E1254" t="s">
        <v>8712</v>
      </c>
      <c r="F1254">
        <v>8</v>
      </c>
      <c r="G1254" t="s">
        <v>342</v>
      </c>
      <c r="H1254" t="s">
        <v>258</v>
      </c>
      <c r="I1254" t="s">
        <v>40</v>
      </c>
      <c r="J1254" t="s">
        <v>109</v>
      </c>
      <c r="K1254" t="s">
        <v>42</v>
      </c>
      <c r="L1254" t="s">
        <v>259</v>
      </c>
      <c r="N1254" t="s">
        <v>260</v>
      </c>
      <c r="Q1254">
        <v>31292</v>
      </c>
      <c r="R1254" t="s">
        <v>119</v>
      </c>
      <c r="S1254" t="s">
        <v>7473</v>
      </c>
      <c r="T1254">
        <v>24</v>
      </c>
      <c r="U1254" s="2" t="s">
        <v>9127</v>
      </c>
      <c r="W1254" t="s">
        <v>84</v>
      </c>
      <c r="X1254">
        <v>838421</v>
      </c>
      <c r="Y1254" t="s">
        <v>1716</v>
      </c>
      <c r="Z1254" t="s">
        <v>263</v>
      </c>
      <c r="AA1254" t="e">
        <f ca="1">- Monthly Preventive Maintenance</f>
        <v>#NAME?</v>
      </c>
      <c r="AB1254" t="s">
        <v>70</v>
      </c>
      <c r="AG1254" t="s">
        <v>9128</v>
      </c>
      <c r="AH1254" t="s">
        <v>9129</v>
      </c>
      <c r="AI1254" t="s">
        <v>9130</v>
      </c>
    </row>
    <row r="1255" spans="2:35" ht="409.5">
      <c r="B1255" s="1">
        <v>45881</v>
      </c>
      <c r="C1255" s="1">
        <v>45881</v>
      </c>
      <c r="D1255" t="s">
        <v>8160</v>
      </c>
      <c r="E1255" t="s">
        <v>9131</v>
      </c>
      <c r="F1255">
        <v>11</v>
      </c>
      <c r="G1255" t="s">
        <v>1205</v>
      </c>
      <c r="H1255" t="s">
        <v>202</v>
      </c>
      <c r="I1255" t="s">
        <v>40</v>
      </c>
      <c r="J1255" s="2" t="s">
        <v>4208</v>
      </c>
      <c r="K1255" t="s">
        <v>42</v>
      </c>
      <c r="L1255" t="s">
        <v>204</v>
      </c>
      <c r="N1255" t="s">
        <v>205</v>
      </c>
      <c r="O1255" t="s">
        <v>8162</v>
      </c>
      <c r="Q1255">
        <v>31291</v>
      </c>
      <c r="R1255" t="s">
        <v>119</v>
      </c>
      <c r="S1255" t="s">
        <v>8163</v>
      </c>
      <c r="T1255">
        <v>27.6</v>
      </c>
      <c r="U1255" s="2" t="s">
        <v>9132</v>
      </c>
      <c r="W1255" t="s">
        <v>208</v>
      </c>
      <c r="X1255">
        <v>838401</v>
      </c>
      <c r="Y1255" s="2" t="s">
        <v>9133</v>
      </c>
      <c r="Z1255" s="2" t="s">
        <v>9134</v>
      </c>
      <c r="AA1255" t="s">
        <v>8893</v>
      </c>
      <c r="AB1255" s="2" t="s">
        <v>9135</v>
      </c>
      <c r="AG1255" t="s">
        <v>9136</v>
      </c>
      <c r="AH1255" t="s">
        <v>9137</v>
      </c>
      <c r="AI1255" t="s">
        <v>9138</v>
      </c>
    </row>
    <row r="1256" spans="2:35" ht="120">
      <c r="B1256" s="1">
        <v>45881</v>
      </c>
      <c r="C1256" s="1">
        <v>45881</v>
      </c>
      <c r="D1256" t="s">
        <v>9139</v>
      </c>
      <c r="E1256" t="s">
        <v>9140</v>
      </c>
      <c r="F1256">
        <v>6</v>
      </c>
      <c r="G1256" t="s">
        <v>1286</v>
      </c>
      <c r="H1256" t="s">
        <v>9141</v>
      </c>
      <c r="I1256" t="s">
        <v>40</v>
      </c>
      <c r="J1256" t="s">
        <v>109</v>
      </c>
      <c r="K1256" t="s">
        <v>42</v>
      </c>
      <c r="L1256" t="s">
        <v>1288</v>
      </c>
      <c r="N1256" t="s">
        <v>1289</v>
      </c>
      <c r="Q1256">
        <v>31290</v>
      </c>
      <c r="R1256" t="s">
        <v>967</v>
      </c>
      <c r="S1256" t="s">
        <v>5385</v>
      </c>
      <c r="T1256">
        <v>22</v>
      </c>
      <c r="U1256" s="2" t="s">
        <v>9142</v>
      </c>
      <c r="W1256" t="s">
        <v>1292</v>
      </c>
      <c r="X1256">
        <v>110023529</v>
      </c>
      <c r="Y1256" t="s">
        <v>9143</v>
      </c>
      <c r="Z1256" t="e">
        <f ca="1">-COLLECT IQR, system _xludf.Log, _xludf.and ARCHIVE</f>
        <v>#NAME?</v>
      </c>
      <c r="AA1256" t="e">
        <f ca="1">-PERFORM Cleaning of workstation
-PERFORM Preventive Maintenance PROCEDURE</f>
        <v>#NAME?</v>
      </c>
      <c r="AB1256" t="s">
        <v>1293</v>
      </c>
      <c r="AG1256" t="s">
        <v>9144</v>
      </c>
      <c r="AH1256" t="s">
        <v>9145</v>
      </c>
      <c r="AI1256" t="s">
        <v>9146</v>
      </c>
    </row>
    <row r="1257" spans="2:35" ht="240">
      <c r="B1257" s="1">
        <v>45881</v>
      </c>
      <c r="C1257" s="1">
        <v>45873</v>
      </c>
      <c r="D1257" t="s">
        <v>9147</v>
      </c>
      <c r="E1257" t="s">
        <v>9148</v>
      </c>
      <c r="F1257">
        <v>6</v>
      </c>
      <c r="G1257" t="s">
        <v>1234</v>
      </c>
      <c r="H1257" t="s">
        <v>258</v>
      </c>
      <c r="I1257" t="s">
        <v>40</v>
      </c>
      <c r="J1257" s="2" t="s">
        <v>220</v>
      </c>
      <c r="K1257" t="s">
        <v>42</v>
      </c>
      <c r="L1257" t="s">
        <v>594</v>
      </c>
      <c r="N1257" t="s">
        <v>595</v>
      </c>
      <c r="Q1257">
        <v>31289</v>
      </c>
      <c r="R1257" t="s">
        <v>119</v>
      </c>
      <c r="S1257" t="s">
        <v>9149</v>
      </c>
      <c r="T1257">
        <v>23</v>
      </c>
      <c r="W1257" t="s">
        <v>6105</v>
      </c>
      <c r="X1257">
        <v>838523</v>
      </c>
      <c r="Y1257" t="s">
        <v>9150</v>
      </c>
      <c r="Z1257" s="2" t="s">
        <v>9151</v>
      </c>
      <c r="AA1257" s="2" t="s">
        <v>9152</v>
      </c>
      <c r="AB1257" t="s">
        <v>9153</v>
      </c>
      <c r="AG1257" t="s">
        <v>9154</v>
      </c>
      <c r="AH1257" t="s">
        <v>9155</v>
      </c>
      <c r="AI1257" t="s">
        <v>9156</v>
      </c>
    </row>
    <row r="1258" spans="2:35" ht="375">
      <c r="B1258" s="1">
        <v>45880</v>
      </c>
      <c r="C1258" s="1">
        <v>45874</v>
      </c>
      <c r="D1258" t="s">
        <v>5783</v>
      </c>
      <c r="E1258" t="s">
        <v>9157</v>
      </c>
      <c r="F1258">
        <v>12</v>
      </c>
      <c r="G1258" t="s">
        <v>5785</v>
      </c>
      <c r="H1258" t="s">
        <v>1473</v>
      </c>
      <c r="I1258" t="s">
        <v>40</v>
      </c>
      <c r="J1258" t="s">
        <v>109</v>
      </c>
      <c r="K1258" t="s">
        <v>42</v>
      </c>
      <c r="L1258" t="s">
        <v>296</v>
      </c>
      <c r="N1258" t="s">
        <v>297</v>
      </c>
      <c r="Q1258">
        <v>31288</v>
      </c>
      <c r="R1258" t="s">
        <v>119</v>
      </c>
      <c r="S1258" t="s">
        <v>9158</v>
      </c>
      <c r="T1258">
        <v>27.4</v>
      </c>
      <c r="U1258" s="2" t="s">
        <v>9159</v>
      </c>
      <c r="W1258" t="s">
        <v>981</v>
      </c>
      <c r="X1258">
        <v>838546</v>
      </c>
      <c r="Y1258" t="s">
        <v>301</v>
      </c>
      <c r="Z1258" s="2" t="s">
        <v>9160</v>
      </c>
      <c r="AA1258" t="s">
        <v>9161</v>
      </c>
      <c r="AB1258" t="s">
        <v>972</v>
      </c>
      <c r="AG1258" t="s">
        <v>9162</v>
      </c>
      <c r="AH1258" t="s">
        <v>9163</v>
      </c>
      <c r="AI1258" t="s">
        <v>9164</v>
      </c>
    </row>
    <row r="1259" spans="2:35" ht="390">
      <c r="B1259" s="1">
        <v>45880</v>
      </c>
      <c r="C1259" s="1">
        <v>45875</v>
      </c>
      <c r="D1259" t="s">
        <v>7200</v>
      </c>
      <c r="E1259" t="s">
        <v>9165</v>
      </c>
      <c r="F1259">
        <v>12</v>
      </c>
      <c r="G1259" t="s">
        <v>978</v>
      </c>
      <c r="H1259" t="s">
        <v>9166</v>
      </c>
      <c r="I1259" t="s">
        <v>40</v>
      </c>
      <c r="J1259" t="s">
        <v>109</v>
      </c>
      <c r="K1259" t="s">
        <v>42</v>
      </c>
      <c r="L1259" t="s">
        <v>296</v>
      </c>
      <c r="N1259" t="s">
        <v>297</v>
      </c>
      <c r="Q1259">
        <v>31287</v>
      </c>
      <c r="R1259" t="s">
        <v>119</v>
      </c>
      <c r="S1259" t="s">
        <v>7202</v>
      </c>
      <c r="T1259">
        <v>25.3</v>
      </c>
      <c r="U1259" s="2" t="s">
        <v>9167</v>
      </c>
      <c r="W1259" t="s">
        <v>981</v>
      </c>
      <c r="X1259">
        <v>838504</v>
      </c>
      <c r="Y1259" t="s">
        <v>972</v>
      </c>
      <c r="Z1259" s="2" t="s">
        <v>9168</v>
      </c>
      <c r="AA1259" t="s">
        <v>303</v>
      </c>
      <c r="AB1259" t="s">
        <v>7205</v>
      </c>
      <c r="AG1259" t="s">
        <v>9169</v>
      </c>
      <c r="AH1259" t="s">
        <v>9170</v>
      </c>
      <c r="AI1259" t="s">
        <v>9171</v>
      </c>
    </row>
    <row r="1260" spans="2:35" ht="105">
      <c r="B1260" s="1">
        <v>45880</v>
      </c>
      <c r="C1260" s="1">
        <v>45876</v>
      </c>
      <c r="D1260" t="s">
        <v>9172</v>
      </c>
      <c r="E1260" t="s">
        <v>9173</v>
      </c>
      <c r="F1260">
        <v>10</v>
      </c>
      <c r="G1260" t="s">
        <v>1395</v>
      </c>
      <c r="H1260" t="s">
        <v>2125</v>
      </c>
      <c r="I1260" t="s">
        <v>40</v>
      </c>
      <c r="J1260" t="s">
        <v>109</v>
      </c>
      <c r="K1260" t="s">
        <v>42</v>
      </c>
      <c r="L1260" t="s">
        <v>933</v>
      </c>
      <c r="N1260" t="s">
        <v>934</v>
      </c>
      <c r="Q1260">
        <v>31286</v>
      </c>
      <c r="R1260" t="s">
        <v>119</v>
      </c>
      <c r="S1260" t="s">
        <v>9174</v>
      </c>
      <c r="T1260">
        <v>25</v>
      </c>
      <c r="W1260" t="s">
        <v>2127</v>
      </c>
      <c r="X1260">
        <v>838557</v>
      </c>
      <c r="Y1260" t="s">
        <v>301</v>
      </c>
      <c r="Z1260" t="s">
        <v>301</v>
      </c>
      <c r="AA1260" s="2" t="s">
        <v>9175</v>
      </c>
      <c r="AB1260" t="s">
        <v>2131</v>
      </c>
      <c r="AG1260" t="s">
        <v>9176</v>
      </c>
      <c r="AH1260" t="s">
        <v>9177</v>
      </c>
      <c r="AI1260" t="s">
        <v>9178</v>
      </c>
    </row>
    <row r="1261" spans="2:35" ht="105">
      <c r="B1261" s="1">
        <v>45880</v>
      </c>
      <c r="C1261" s="1">
        <v>45875</v>
      </c>
      <c r="D1261" t="s">
        <v>9179</v>
      </c>
      <c r="E1261" t="s">
        <v>9180</v>
      </c>
      <c r="F1261">
        <v>9</v>
      </c>
      <c r="G1261" t="s">
        <v>2197</v>
      </c>
      <c r="H1261" t="s">
        <v>39</v>
      </c>
      <c r="I1261" t="s">
        <v>40</v>
      </c>
      <c r="J1261" t="s">
        <v>109</v>
      </c>
      <c r="K1261" t="s">
        <v>42</v>
      </c>
      <c r="L1261" t="s">
        <v>1257</v>
      </c>
      <c r="N1261" t="s">
        <v>1258</v>
      </c>
      <c r="O1261" t="s">
        <v>1258</v>
      </c>
      <c r="Q1261">
        <v>31285</v>
      </c>
      <c r="R1261" t="s">
        <v>119</v>
      </c>
      <c r="S1261" t="s">
        <v>9181</v>
      </c>
      <c r="T1261">
        <v>28</v>
      </c>
      <c r="U1261" s="2" t="s">
        <v>1617</v>
      </c>
      <c r="V1261" s="1">
        <v>45875</v>
      </c>
      <c r="W1261" t="s">
        <v>2384</v>
      </c>
      <c r="X1261">
        <v>838433</v>
      </c>
      <c r="Y1261" t="s">
        <v>301</v>
      </c>
      <c r="Z1261" t="s">
        <v>7410</v>
      </c>
      <c r="AA1261" t="s">
        <v>7410</v>
      </c>
      <c r="AB1261" t="s">
        <v>7411</v>
      </c>
      <c r="AC1261" t="s">
        <v>301</v>
      </c>
      <c r="AD1261" t="s">
        <v>54</v>
      </c>
      <c r="AE1261" t="s">
        <v>54</v>
      </c>
      <c r="AG1261" t="s">
        <v>9182</v>
      </c>
      <c r="AH1261" t="s">
        <v>9183</v>
      </c>
      <c r="AI1261" t="s">
        <v>9184</v>
      </c>
    </row>
    <row r="1262" spans="2:35" ht="105">
      <c r="B1262" s="1">
        <v>45880</v>
      </c>
      <c r="C1262" s="1">
        <v>45876</v>
      </c>
      <c r="D1262" t="s">
        <v>9185</v>
      </c>
      <c r="E1262" t="s">
        <v>9186</v>
      </c>
      <c r="F1262">
        <v>9</v>
      </c>
      <c r="G1262" t="s">
        <v>2197</v>
      </c>
      <c r="H1262" t="s">
        <v>39</v>
      </c>
      <c r="I1262" t="s">
        <v>40</v>
      </c>
      <c r="J1262" t="s">
        <v>109</v>
      </c>
      <c r="K1262" t="s">
        <v>42</v>
      </c>
      <c r="L1262" t="s">
        <v>1257</v>
      </c>
      <c r="N1262" t="s">
        <v>1258</v>
      </c>
      <c r="O1262" t="s">
        <v>1258</v>
      </c>
      <c r="Q1262">
        <v>31284</v>
      </c>
      <c r="R1262" t="s">
        <v>119</v>
      </c>
      <c r="S1262" t="s">
        <v>9187</v>
      </c>
      <c r="T1262">
        <v>23</v>
      </c>
      <c r="U1262" s="2" t="s">
        <v>9188</v>
      </c>
      <c r="V1262" s="1">
        <v>45876</v>
      </c>
      <c r="W1262" t="s">
        <v>2384</v>
      </c>
      <c r="X1262">
        <v>837664</v>
      </c>
      <c r="Y1262" t="s">
        <v>9189</v>
      </c>
      <c r="Z1262" t="s">
        <v>9190</v>
      </c>
      <c r="AA1262" t="s">
        <v>7365</v>
      </c>
      <c r="AB1262" t="s">
        <v>9191</v>
      </c>
      <c r="AC1262" t="s">
        <v>9192</v>
      </c>
      <c r="AD1262" t="s">
        <v>54</v>
      </c>
      <c r="AE1262" t="s">
        <v>54</v>
      </c>
      <c r="AG1262" t="s">
        <v>9193</v>
      </c>
      <c r="AH1262" t="s">
        <v>9194</v>
      </c>
      <c r="AI1262" t="s">
        <v>9195</v>
      </c>
    </row>
    <row r="1263" spans="2:35" ht="105">
      <c r="B1263" s="1">
        <v>45880</v>
      </c>
      <c r="C1263" s="1">
        <v>45875</v>
      </c>
      <c r="D1263" t="s">
        <v>3970</v>
      </c>
      <c r="E1263" t="s">
        <v>3971</v>
      </c>
      <c r="F1263">
        <v>9</v>
      </c>
      <c r="G1263" t="s">
        <v>2197</v>
      </c>
      <c r="H1263" t="s">
        <v>39</v>
      </c>
      <c r="I1263" t="s">
        <v>40</v>
      </c>
      <c r="J1263" s="2" t="s">
        <v>2223</v>
      </c>
      <c r="K1263" t="s">
        <v>42</v>
      </c>
      <c r="L1263" t="s">
        <v>1257</v>
      </c>
      <c r="N1263" t="s">
        <v>1258</v>
      </c>
      <c r="O1263" t="s">
        <v>1258</v>
      </c>
      <c r="Q1263">
        <v>31283</v>
      </c>
      <c r="R1263" t="s">
        <v>119</v>
      </c>
      <c r="S1263" t="s">
        <v>3972</v>
      </c>
      <c r="T1263">
        <v>27</v>
      </c>
      <c r="U1263" s="2" t="s">
        <v>9196</v>
      </c>
      <c r="V1263" s="1">
        <v>45875</v>
      </c>
      <c r="W1263" t="s">
        <v>1008</v>
      </c>
      <c r="X1263">
        <v>838233</v>
      </c>
      <c r="Y1263" t="s">
        <v>301</v>
      </c>
      <c r="Z1263" t="s">
        <v>7365</v>
      </c>
      <c r="AA1263" t="s">
        <v>7365</v>
      </c>
      <c r="AB1263" t="s">
        <v>3463</v>
      </c>
      <c r="AC1263" t="s">
        <v>9197</v>
      </c>
      <c r="AD1263" t="s">
        <v>54</v>
      </c>
      <c r="AE1263" t="s">
        <v>54</v>
      </c>
      <c r="AG1263" t="s">
        <v>9198</v>
      </c>
      <c r="AH1263" t="s">
        <v>3979</v>
      </c>
      <c r="AI1263" t="s">
        <v>9199</v>
      </c>
    </row>
    <row r="1264" spans="2:35" ht="225">
      <c r="B1264" s="1">
        <v>45880</v>
      </c>
      <c r="C1264" s="1">
        <v>45876</v>
      </c>
      <c r="D1264" t="s">
        <v>1686</v>
      </c>
      <c r="E1264" t="s">
        <v>5585</v>
      </c>
      <c r="F1264" t="s">
        <v>148</v>
      </c>
      <c r="G1264" t="s">
        <v>785</v>
      </c>
      <c r="H1264" t="s">
        <v>39</v>
      </c>
      <c r="I1264" t="s">
        <v>40</v>
      </c>
      <c r="J1264" t="s">
        <v>109</v>
      </c>
      <c r="K1264" t="s">
        <v>42</v>
      </c>
      <c r="L1264" t="s">
        <v>43</v>
      </c>
      <c r="N1264" t="s">
        <v>44</v>
      </c>
      <c r="Q1264">
        <v>31282</v>
      </c>
      <c r="R1264" t="s">
        <v>322</v>
      </c>
      <c r="S1264" t="s">
        <v>1688</v>
      </c>
      <c r="T1264">
        <v>22</v>
      </c>
      <c r="U1264" s="2" t="s">
        <v>9200</v>
      </c>
      <c r="W1264" t="s">
        <v>153</v>
      </c>
      <c r="X1264">
        <v>110024247</v>
      </c>
      <c r="Y1264" t="s">
        <v>121</v>
      </c>
      <c r="Z1264" t="s">
        <v>122</v>
      </c>
      <c r="AA1264" s="2" t="s">
        <v>9201</v>
      </c>
      <c r="AB1264" t="s">
        <v>548</v>
      </c>
      <c r="AG1264" t="s">
        <v>9202</v>
      </c>
      <c r="AH1264" t="s">
        <v>1692</v>
      </c>
      <c r="AI1264" t="s">
        <v>9203</v>
      </c>
    </row>
    <row r="1265" spans="2:35" ht="409.5">
      <c r="B1265" s="1">
        <v>45880</v>
      </c>
      <c r="C1265" s="1">
        <v>45880</v>
      </c>
      <c r="D1265" t="s">
        <v>9204</v>
      </c>
      <c r="E1265" t="s">
        <v>1285</v>
      </c>
      <c r="F1265">
        <v>6</v>
      </c>
      <c r="G1265" t="s">
        <v>1286</v>
      </c>
      <c r="H1265" t="s">
        <v>61</v>
      </c>
      <c r="I1265" t="s">
        <v>40</v>
      </c>
      <c r="J1265" t="s">
        <v>109</v>
      </c>
      <c r="K1265" t="s">
        <v>42</v>
      </c>
      <c r="L1265" t="s">
        <v>1288</v>
      </c>
      <c r="N1265" t="s">
        <v>1289</v>
      </c>
      <c r="Q1265">
        <v>31281</v>
      </c>
      <c r="R1265" t="s">
        <v>967</v>
      </c>
      <c r="S1265" t="s">
        <v>7853</v>
      </c>
      <c r="T1265">
        <v>25</v>
      </c>
      <c r="U1265" s="2" t="s">
        <v>9205</v>
      </c>
      <c r="W1265" t="s">
        <v>9206</v>
      </c>
      <c r="X1265">
        <v>110021716</v>
      </c>
      <c r="Y1265" t="s">
        <v>9143</v>
      </c>
      <c r="Z1265" t="e">
        <f ca="1">-COLLECT IQR, system _xludf.Log, _xludf.and ARCHIVE</f>
        <v>#NAME?</v>
      </c>
      <c r="AA1265" t="e">
        <f ca="1">-Inspect GeneXpert machine _xludf.and workstation _xludf.Power _xludf.and network Connections
-PERFORM Preventive Maintenance PROCEDURE: _xludf.Clean FAN _xludf.filter, cartridge bay, _xludf.and plunger rod</f>
        <v>#NAME?</v>
      </c>
      <c r="AB1265" t="s">
        <v>1293</v>
      </c>
      <c r="AG1265" t="s">
        <v>9207</v>
      </c>
      <c r="AH1265" t="s">
        <v>7856</v>
      </c>
      <c r="AI1265" t="s">
        <v>9208</v>
      </c>
    </row>
    <row r="1266" spans="2:35" ht="405">
      <c r="B1266" s="1">
        <v>45880</v>
      </c>
      <c r="C1266" s="1">
        <v>45876</v>
      </c>
      <c r="D1266" t="s">
        <v>472</v>
      </c>
      <c r="E1266" t="s">
        <v>9209</v>
      </c>
      <c r="F1266" t="s">
        <v>148</v>
      </c>
      <c r="G1266" t="s">
        <v>447</v>
      </c>
      <c r="H1266" t="s">
        <v>9210</v>
      </c>
      <c r="I1266" t="s">
        <v>40</v>
      </c>
      <c r="J1266" t="s">
        <v>109</v>
      </c>
      <c r="K1266" t="s">
        <v>387</v>
      </c>
      <c r="L1266" t="s">
        <v>448</v>
      </c>
      <c r="N1266" t="s">
        <v>650</v>
      </c>
      <c r="Q1266">
        <v>31280</v>
      </c>
      <c r="R1266" t="s">
        <v>322</v>
      </c>
      <c r="S1266" t="s">
        <v>6330</v>
      </c>
      <c r="T1266">
        <v>28</v>
      </c>
      <c r="W1266" t="s">
        <v>390</v>
      </c>
      <c r="X1266" t="s">
        <v>492</v>
      </c>
      <c r="Y1266" s="2" t="s">
        <v>9211</v>
      </c>
      <c r="Z1266" s="2" t="s">
        <v>6718</v>
      </c>
      <c r="AA1266" t="s">
        <v>122</v>
      </c>
      <c r="AB1266" t="s">
        <v>486</v>
      </c>
      <c r="AG1266" t="s">
        <v>9212</v>
      </c>
      <c r="AH1266" t="s">
        <v>9213</v>
      </c>
      <c r="AI1266" t="s">
        <v>9214</v>
      </c>
    </row>
    <row r="1267" spans="2:35" ht="405">
      <c r="B1267" s="1">
        <v>45880</v>
      </c>
      <c r="C1267" s="1">
        <v>45876</v>
      </c>
      <c r="D1267" t="s">
        <v>472</v>
      </c>
      <c r="E1267" t="s">
        <v>473</v>
      </c>
      <c r="F1267" t="s">
        <v>148</v>
      </c>
      <c r="G1267" t="s">
        <v>447</v>
      </c>
      <c r="H1267" t="s">
        <v>9210</v>
      </c>
      <c r="I1267" t="s">
        <v>40</v>
      </c>
      <c r="J1267" t="s">
        <v>109</v>
      </c>
      <c r="K1267" t="s">
        <v>387</v>
      </c>
      <c r="L1267" t="s">
        <v>448</v>
      </c>
      <c r="N1267" t="s">
        <v>650</v>
      </c>
      <c r="Q1267">
        <v>31279</v>
      </c>
      <c r="R1267" t="s">
        <v>322</v>
      </c>
      <c r="S1267" t="s">
        <v>6330</v>
      </c>
      <c r="T1267">
        <v>27</v>
      </c>
      <c r="W1267" t="s">
        <v>476</v>
      </c>
      <c r="X1267" t="s">
        <v>477</v>
      </c>
      <c r="Y1267" s="2" t="s">
        <v>9211</v>
      </c>
      <c r="Z1267" s="2" t="s">
        <v>6718</v>
      </c>
      <c r="AA1267" t="s">
        <v>122</v>
      </c>
      <c r="AB1267" t="s">
        <v>9215</v>
      </c>
      <c r="AG1267" t="s">
        <v>9216</v>
      </c>
      <c r="AH1267" t="s">
        <v>9213</v>
      </c>
      <c r="AI1267" t="s">
        <v>9217</v>
      </c>
    </row>
    <row r="1268" spans="2:35" ht="225">
      <c r="B1268" s="1">
        <v>45880</v>
      </c>
      <c r="C1268" s="1">
        <v>45876</v>
      </c>
      <c r="D1268" t="s">
        <v>4132</v>
      </c>
      <c r="E1268" t="s">
        <v>9218</v>
      </c>
      <c r="F1268" t="s">
        <v>148</v>
      </c>
      <c r="G1268" t="s">
        <v>447</v>
      </c>
      <c r="H1268" t="s">
        <v>386</v>
      </c>
      <c r="I1268" t="s">
        <v>40</v>
      </c>
      <c r="J1268" t="s">
        <v>79</v>
      </c>
      <c r="K1268" t="s">
        <v>387</v>
      </c>
      <c r="L1268" t="s">
        <v>448</v>
      </c>
      <c r="N1268" t="s">
        <v>650</v>
      </c>
      <c r="Q1268">
        <v>31278</v>
      </c>
      <c r="R1268" t="s">
        <v>322</v>
      </c>
      <c r="S1268" t="s">
        <v>4134</v>
      </c>
      <c r="T1268">
        <v>27</v>
      </c>
      <c r="V1268" s="1">
        <v>45874</v>
      </c>
      <c r="W1268" t="s">
        <v>476</v>
      </c>
      <c r="X1268" t="s">
        <v>4135</v>
      </c>
      <c r="Y1268" t="s">
        <v>4617</v>
      </c>
      <c r="Z1268" s="2" t="s">
        <v>9219</v>
      </c>
      <c r="AA1268" t="s">
        <v>914</v>
      </c>
      <c r="AB1268" t="s">
        <v>486</v>
      </c>
      <c r="AD1268" t="s">
        <v>5492</v>
      </c>
      <c r="AE1268">
        <v>13229</v>
      </c>
      <c r="AG1268" t="s">
        <v>9220</v>
      </c>
      <c r="AH1268" t="s">
        <v>9221</v>
      </c>
      <c r="AI1268" t="s">
        <v>9222</v>
      </c>
    </row>
    <row r="1269" spans="2:35" ht="165">
      <c r="B1269" s="1">
        <v>45880</v>
      </c>
      <c r="C1269" s="1">
        <v>45875</v>
      </c>
      <c r="D1269" t="s">
        <v>9223</v>
      </c>
      <c r="E1269" t="s">
        <v>2569</v>
      </c>
      <c r="F1269" t="s">
        <v>148</v>
      </c>
      <c r="G1269" t="s">
        <v>447</v>
      </c>
      <c r="H1269" t="s">
        <v>2570</v>
      </c>
      <c r="I1269" t="s">
        <v>40</v>
      </c>
      <c r="J1269" t="s">
        <v>79</v>
      </c>
      <c r="K1269" t="s">
        <v>42</v>
      </c>
      <c r="L1269" t="s">
        <v>448</v>
      </c>
      <c r="N1269" t="s">
        <v>650</v>
      </c>
      <c r="O1269" t="s">
        <v>2808</v>
      </c>
      <c r="Q1269">
        <v>31277</v>
      </c>
      <c r="R1269" t="s">
        <v>95</v>
      </c>
      <c r="S1269" t="s">
        <v>2571</v>
      </c>
      <c r="T1269">
        <v>27</v>
      </c>
      <c r="V1269" s="1">
        <v>45874</v>
      </c>
      <c r="W1269" t="s">
        <v>8499</v>
      </c>
      <c r="X1269">
        <v>807155</v>
      </c>
      <c r="Y1269" t="s">
        <v>9224</v>
      </c>
      <c r="Z1269" s="2" t="s">
        <v>9225</v>
      </c>
      <c r="AA1269" s="2" t="s">
        <v>9226</v>
      </c>
      <c r="AB1269" s="2" t="s">
        <v>9227</v>
      </c>
      <c r="AD1269" t="s">
        <v>9228</v>
      </c>
      <c r="AE1269">
        <v>13228</v>
      </c>
      <c r="AG1269" t="s">
        <v>9229</v>
      </c>
      <c r="AH1269" t="s">
        <v>4630</v>
      </c>
      <c r="AI1269" t="s">
        <v>9230</v>
      </c>
    </row>
    <row r="1270" spans="2:35" ht="270">
      <c r="B1270" s="1">
        <v>45880</v>
      </c>
      <c r="C1270" s="1">
        <v>45874</v>
      </c>
      <c r="D1270" t="s">
        <v>9231</v>
      </c>
      <c r="E1270" t="s">
        <v>9232</v>
      </c>
      <c r="F1270" t="s">
        <v>148</v>
      </c>
      <c r="G1270" t="s">
        <v>447</v>
      </c>
      <c r="H1270" t="s">
        <v>39</v>
      </c>
      <c r="I1270" t="s">
        <v>40</v>
      </c>
      <c r="J1270" t="s">
        <v>109</v>
      </c>
      <c r="K1270" t="s">
        <v>42</v>
      </c>
      <c r="L1270" t="s">
        <v>448</v>
      </c>
      <c r="N1270" t="s">
        <v>650</v>
      </c>
      <c r="Q1270">
        <v>31276</v>
      </c>
      <c r="R1270" t="s">
        <v>322</v>
      </c>
      <c r="S1270" t="s">
        <v>9233</v>
      </c>
      <c r="T1270">
        <v>26</v>
      </c>
      <c r="U1270" s="2" t="s">
        <v>9234</v>
      </c>
      <c r="W1270" t="s">
        <v>6804</v>
      </c>
      <c r="X1270">
        <v>110020697</v>
      </c>
      <c r="Y1270" s="2" t="s">
        <v>9235</v>
      </c>
      <c r="Z1270" s="2" t="s">
        <v>9236</v>
      </c>
      <c r="AA1270" t="s">
        <v>122</v>
      </c>
      <c r="AB1270" t="s">
        <v>656</v>
      </c>
      <c r="AC1270" t="s">
        <v>9237</v>
      </c>
      <c r="AG1270" t="s">
        <v>9238</v>
      </c>
      <c r="AH1270" t="s">
        <v>9239</v>
      </c>
      <c r="AI1270" t="s">
        <v>9240</v>
      </c>
    </row>
    <row r="1271" spans="2:35" ht="409.5">
      <c r="B1271" s="1">
        <v>45877</v>
      </c>
      <c r="C1271" s="1">
        <v>45877</v>
      </c>
      <c r="D1271" t="s">
        <v>9241</v>
      </c>
      <c r="E1271" t="s">
        <v>7772</v>
      </c>
      <c r="F1271">
        <v>6</v>
      </c>
      <c r="G1271" t="s">
        <v>1234</v>
      </c>
      <c r="H1271" t="s">
        <v>61</v>
      </c>
      <c r="I1271" t="s">
        <v>40</v>
      </c>
      <c r="J1271" s="2" t="s">
        <v>41</v>
      </c>
      <c r="K1271" t="s">
        <v>42</v>
      </c>
      <c r="L1271" t="s">
        <v>1288</v>
      </c>
      <c r="N1271" t="s">
        <v>1289</v>
      </c>
      <c r="Q1271">
        <v>31275</v>
      </c>
      <c r="R1271" t="s">
        <v>95</v>
      </c>
      <c r="S1271" t="s">
        <v>9242</v>
      </c>
      <c r="T1271">
        <v>20</v>
      </c>
      <c r="U1271" s="2" t="s">
        <v>9243</v>
      </c>
      <c r="V1271" s="1">
        <v>45868</v>
      </c>
      <c r="W1271" t="s">
        <v>1292</v>
      </c>
      <c r="X1271">
        <v>110005268</v>
      </c>
      <c r="Y1271" t="s">
        <v>9244</v>
      </c>
      <c r="Z1271" t="e">
        <f ca="1">-COLLECT IQR, system _xludf.Log, _xludf.and ARCHIVE</f>
        <v>#NAME?</v>
      </c>
      <c r="AA1271" s="2" t="s">
        <v>9245</v>
      </c>
      <c r="AB1271" t="s">
        <v>1293</v>
      </c>
      <c r="AC1271" t="s">
        <v>9246</v>
      </c>
      <c r="AD1271" t="s">
        <v>9247</v>
      </c>
      <c r="AE1271">
        <v>13215</v>
      </c>
      <c r="AG1271" t="s">
        <v>9248</v>
      </c>
      <c r="AH1271" t="s">
        <v>9249</v>
      </c>
      <c r="AI1271" t="s">
        <v>9250</v>
      </c>
    </row>
    <row r="1272" spans="2:35" ht="165">
      <c r="B1272" s="1">
        <v>45877</v>
      </c>
      <c r="C1272" s="1">
        <v>45877</v>
      </c>
      <c r="D1272" t="s">
        <v>9251</v>
      </c>
      <c r="E1272" t="s">
        <v>9252</v>
      </c>
      <c r="F1272">
        <v>2</v>
      </c>
      <c r="G1272" t="s">
        <v>60</v>
      </c>
      <c r="H1272" t="s">
        <v>39</v>
      </c>
      <c r="I1272" t="s">
        <v>40</v>
      </c>
      <c r="J1272" s="2" t="s">
        <v>41</v>
      </c>
      <c r="K1272" t="s">
        <v>42</v>
      </c>
      <c r="L1272" t="s">
        <v>63</v>
      </c>
      <c r="N1272" t="s">
        <v>64</v>
      </c>
      <c r="Q1272">
        <v>31274</v>
      </c>
      <c r="R1272" t="s">
        <v>119</v>
      </c>
      <c r="S1272" t="s">
        <v>9253</v>
      </c>
      <c r="T1272">
        <v>25</v>
      </c>
      <c r="U1272" s="2" t="s">
        <v>9254</v>
      </c>
      <c r="V1272" s="1">
        <v>45868</v>
      </c>
      <c r="W1272" t="s">
        <v>66</v>
      </c>
      <c r="X1272">
        <v>838272</v>
      </c>
      <c r="Y1272" t="s">
        <v>9255</v>
      </c>
      <c r="Z1272" t="s">
        <v>9256</v>
      </c>
      <c r="AA1272" s="2" t="s">
        <v>9257</v>
      </c>
      <c r="AB1272" t="s">
        <v>70</v>
      </c>
      <c r="AD1272" t="s">
        <v>9258</v>
      </c>
      <c r="AE1272">
        <v>13216</v>
      </c>
      <c r="AG1272" t="s">
        <v>9259</v>
      </c>
      <c r="AH1272" t="s">
        <v>9260</v>
      </c>
      <c r="AI1272" t="s">
        <v>9261</v>
      </c>
    </row>
    <row r="1273" spans="2:35" ht="409.5">
      <c r="B1273" s="1">
        <v>45877</v>
      </c>
      <c r="C1273" s="1">
        <v>45877</v>
      </c>
      <c r="D1273" t="s">
        <v>3119</v>
      </c>
      <c r="E1273" t="s">
        <v>2911</v>
      </c>
      <c r="F1273" t="s">
        <v>148</v>
      </c>
      <c r="G1273" t="s">
        <v>310</v>
      </c>
      <c r="H1273" t="s">
        <v>295</v>
      </c>
      <c r="I1273" t="s">
        <v>40</v>
      </c>
      <c r="J1273" s="2" t="s">
        <v>62</v>
      </c>
      <c r="K1273" t="s">
        <v>42</v>
      </c>
      <c r="L1273" t="s">
        <v>1943</v>
      </c>
      <c r="N1273" t="s">
        <v>1944</v>
      </c>
      <c r="O1273" t="s">
        <v>5841</v>
      </c>
      <c r="Q1273">
        <v>31273</v>
      </c>
      <c r="R1273" t="s">
        <v>95</v>
      </c>
      <c r="S1273" t="s">
        <v>3124</v>
      </c>
      <c r="T1273">
        <v>25</v>
      </c>
      <c r="W1273" t="s">
        <v>373</v>
      </c>
      <c r="X1273">
        <v>110001648</v>
      </c>
      <c r="Y1273" s="2" t="s">
        <v>9262</v>
      </c>
      <c r="Z1273" t="s">
        <v>3045</v>
      </c>
      <c r="AA1273" s="2" t="s">
        <v>9263</v>
      </c>
      <c r="AB1273" t="s">
        <v>9264</v>
      </c>
      <c r="AG1273" t="s">
        <v>9265</v>
      </c>
      <c r="AH1273" t="s">
        <v>9266</v>
      </c>
      <c r="AI1273" t="s">
        <v>9267</v>
      </c>
    </row>
    <row r="1274" spans="2:35" ht="409.5">
      <c r="B1274" s="1">
        <v>45877</v>
      </c>
      <c r="C1274" s="1">
        <v>45875</v>
      </c>
      <c r="D1274" t="s">
        <v>187</v>
      </c>
      <c r="E1274" t="s">
        <v>9268</v>
      </c>
      <c r="F1274">
        <v>3</v>
      </c>
      <c r="G1274" t="s">
        <v>189</v>
      </c>
      <c r="H1274" t="s">
        <v>39</v>
      </c>
      <c r="I1274" t="s">
        <v>40</v>
      </c>
      <c r="J1274" s="2" t="s">
        <v>41</v>
      </c>
      <c r="K1274" t="s">
        <v>42</v>
      </c>
      <c r="L1274" t="s">
        <v>1943</v>
      </c>
      <c r="N1274" t="s">
        <v>1944</v>
      </c>
      <c r="Q1274">
        <v>31272</v>
      </c>
      <c r="R1274" t="s">
        <v>322</v>
      </c>
      <c r="S1274" t="s">
        <v>9269</v>
      </c>
      <c r="T1274">
        <v>25</v>
      </c>
      <c r="V1274" s="1">
        <v>45867</v>
      </c>
      <c r="W1274" t="s">
        <v>9270</v>
      </c>
      <c r="X1274">
        <v>110024615</v>
      </c>
      <c r="Y1274" s="2" t="s">
        <v>9271</v>
      </c>
      <c r="Z1274" t="s">
        <v>9272</v>
      </c>
      <c r="AA1274" s="2" t="s">
        <v>1948</v>
      </c>
      <c r="AB1274" t="s">
        <v>88</v>
      </c>
      <c r="AD1274" t="s">
        <v>9273</v>
      </c>
      <c r="AE1274" t="s">
        <v>9274</v>
      </c>
      <c r="AG1274" t="s">
        <v>9275</v>
      </c>
      <c r="AH1274" t="s">
        <v>9276</v>
      </c>
      <c r="AI1274" t="s">
        <v>9277</v>
      </c>
    </row>
    <row r="1275" spans="2:35" ht="180">
      <c r="B1275" s="1">
        <v>45877</v>
      </c>
      <c r="C1275" s="1">
        <v>45877</v>
      </c>
      <c r="D1275" t="s">
        <v>9278</v>
      </c>
      <c r="E1275" t="s">
        <v>582</v>
      </c>
      <c r="F1275" t="s">
        <v>148</v>
      </c>
      <c r="G1275" t="s">
        <v>447</v>
      </c>
      <c r="H1275" t="s">
        <v>39</v>
      </c>
      <c r="I1275" t="s">
        <v>40</v>
      </c>
      <c r="J1275" t="s">
        <v>109</v>
      </c>
      <c r="K1275" t="s">
        <v>42</v>
      </c>
      <c r="L1275" t="s">
        <v>175</v>
      </c>
      <c r="N1275" t="s">
        <v>176</v>
      </c>
      <c r="Q1275">
        <v>31271</v>
      </c>
      <c r="R1275" t="s">
        <v>322</v>
      </c>
      <c r="S1275" t="s">
        <v>9279</v>
      </c>
      <c r="T1275">
        <v>25</v>
      </c>
      <c r="W1275" t="s">
        <v>373</v>
      </c>
      <c r="X1275">
        <v>120000577</v>
      </c>
      <c r="Y1275" t="s">
        <v>374</v>
      </c>
      <c r="Z1275" t="s">
        <v>375</v>
      </c>
      <c r="AA1275" t="e">
        <f ca="1">- checked _xludf.and cleaned cartridge bay, plunger rod, _xludf.filter, icore slot
- generated reports
- performed self test</f>
        <v>#NAME?</v>
      </c>
      <c r="AB1275" s="2" t="s">
        <v>9280</v>
      </c>
      <c r="AG1275" t="s">
        <v>9281</v>
      </c>
      <c r="AH1275" t="s">
        <v>9282</v>
      </c>
      <c r="AI1275" t="s">
        <v>9283</v>
      </c>
    </row>
    <row r="1276" spans="2:35" ht="195">
      <c r="B1276" s="1">
        <v>45877</v>
      </c>
      <c r="C1276" s="1">
        <v>45877</v>
      </c>
      <c r="D1276" t="s">
        <v>2233</v>
      </c>
      <c r="E1276" t="s">
        <v>9284</v>
      </c>
      <c r="F1276">
        <v>7</v>
      </c>
      <c r="G1276" t="s">
        <v>432</v>
      </c>
      <c r="H1276" t="s">
        <v>258</v>
      </c>
      <c r="I1276" t="s">
        <v>40</v>
      </c>
      <c r="J1276" t="s">
        <v>525</v>
      </c>
      <c r="K1276" t="s">
        <v>42</v>
      </c>
      <c r="L1276" t="s">
        <v>594</v>
      </c>
      <c r="N1276" t="s">
        <v>595</v>
      </c>
      <c r="O1276" t="s">
        <v>595</v>
      </c>
      <c r="Q1276">
        <v>31270</v>
      </c>
      <c r="R1276" t="s">
        <v>119</v>
      </c>
      <c r="S1276" t="s">
        <v>2235</v>
      </c>
      <c r="T1276">
        <v>23</v>
      </c>
      <c r="W1276" t="s">
        <v>6105</v>
      </c>
      <c r="X1276">
        <v>838231</v>
      </c>
      <c r="Y1276" t="s">
        <v>9285</v>
      </c>
      <c r="Z1276" s="2" t="s">
        <v>9286</v>
      </c>
      <c r="AA1276" s="2" t="s">
        <v>9287</v>
      </c>
      <c r="AB1276" t="s">
        <v>4253</v>
      </c>
      <c r="AG1276" t="s">
        <v>9288</v>
      </c>
      <c r="AH1276" t="s">
        <v>2241</v>
      </c>
      <c r="AI1276" t="s">
        <v>9289</v>
      </c>
    </row>
    <row r="1277" spans="2:35" ht="409.5">
      <c r="B1277" s="1">
        <v>45877</v>
      </c>
      <c r="C1277" s="1">
        <v>45877</v>
      </c>
      <c r="D1277" t="s">
        <v>4312</v>
      </c>
      <c r="E1277" t="s">
        <v>4102</v>
      </c>
      <c r="F1277">
        <v>3</v>
      </c>
      <c r="G1277" t="s">
        <v>730</v>
      </c>
      <c r="H1277" t="s">
        <v>39</v>
      </c>
      <c r="I1277" t="s">
        <v>40</v>
      </c>
      <c r="J1277" s="2" t="s">
        <v>62</v>
      </c>
      <c r="K1277" t="s">
        <v>42</v>
      </c>
      <c r="L1277" t="s">
        <v>135</v>
      </c>
      <c r="N1277" t="s">
        <v>136</v>
      </c>
      <c r="Q1277">
        <v>31269</v>
      </c>
      <c r="R1277" t="s">
        <v>95</v>
      </c>
      <c r="S1277" t="s">
        <v>4103</v>
      </c>
      <c r="T1277">
        <v>28</v>
      </c>
      <c r="U1277" s="2" t="s">
        <v>7228</v>
      </c>
      <c r="V1277" s="1">
        <v>45876</v>
      </c>
      <c r="W1277" t="s">
        <v>138</v>
      </c>
      <c r="X1277">
        <v>839232</v>
      </c>
      <c r="Y1277" t="s">
        <v>7229</v>
      </c>
      <c r="Z1277" s="2" t="s">
        <v>1752</v>
      </c>
      <c r="AA1277" s="2" t="s">
        <v>9290</v>
      </c>
      <c r="AB1277" s="2" t="s">
        <v>9291</v>
      </c>
      <c r="AC1277" t="s">
        <v>9292</v>
      </c>
      <c r="AD1277" t="s">
        <v>9293</v>
      </c>
      <c r="AE1277">
        <v>13233</v>
      </c>
      <c r="AG1277" t="s">
        <v>9294</v>
      </c>
      <c r="AH1277" t="s">
        <v>4110</v>
      </c>
      <c r="AI1277" t="s">
        <v>9295</v>
      </c>
    </row>
    <row r="1278" spans="2:35" ht="409.5">
      <c r="B1278" s="1">
        <v>45877</v>
      </c>
      <c r="C1278" s="1">
        <v>45877</v>
      </c>
      <c r="D1278" t="s">
        <v>5295</v>
      </c>
      <c r="E1278" t="s">
        <v>9296</v>
      </c>
      <c r="F1278">
        <v>3</v>
      </c>
      <c r="G1278" t="s">
        <v>730</v>
      </c>
      <c r="H1278" t="s">
        <v>39</v>
      </c>
      <c r="I1278" t="s">
        <v>40</v>
      </c>
      <c r="J1278" s="2" t="s">
        <v>62</v>
      </c>
      <c r="K1278" t="s">
        <v>42</v>
      </c>
      <c r="L1278" t="s">
        <v>135</v>
      </c>
      <c r="N1278" t="s">
        <v>136</v>
      </c>
      <c r="Q1278">
        <v>31268</v>
      </c>
      <c r="R1278" t="s">
        <v>95</v>
      </c>
      <c r="S1278" t="s">
        <v>4103</v>
      </c>
      <c r="T1278">
        <v>26</v>
      </c>
      <c r="U1278" s="2" t="s">
        <v>7228</v>
      </c>
      <c r="V1278" s="1">
        <v>45876</v>
      </c>
      <c r="W1278" t="s">
        <v>3418</v>
      </c>
      <c r="X1278">
        <v>830841</v>
      </c>
      <c r="Y1278" t="s">
        <v>7229</v>
      </c>
      <c r="Z1278" s="2" t="s">
        <v>1752</v>
      </c>
      <c r="AA1278" s="2" t="s">
        <v>9290</v>
      </c>
      <c r="AB1278" s="2" t="s">
        <v>9297</v>
      </c>
      <c r="AC1278" t="s">
        <v>9298</v>
      </c>
      <c r="AD1278" t="s">
        <v>9299</v>
      </c>
      <c r="AE1278">
        <v>13233</v>
      </c>
      <c r="AG1278" t="s">
        <v>9300</v>
      </c>
      <c r="AH1278" t="s">
        <v>4110</v>
      </c>
      <c r="AI1278" t="s">
        <v>9301</v>
      </c>
    </row>
    <row r="1279" spans="2:35" ht="360">
      <c r="B1279" s="1">
        <v>45877</v>
      </c>
      <c r="C1279" s="1">
        <v>45660</v>
      </c>
      <c r="D1279" t="s">
        <v>9302</v>
      </c>
      <c r="E1279" t="s">
        <v>5976</v>
      </c>
      <c r="F1279">
        <v>3</v>
      </c>
      <c r="G1279" t="s">
        <v>730</v>
      </c>
      <c r="H1279" t="s">
        <v>39</v>
      </c>
      <c r="I1279" t="s">
        <v>40</v>
      </c>
      <c r="J1279" t="s">
        <v>109</v>
      </c>
      <c r="K1279" t="s">
        <v>42</v>
      </c>
      <c r="L1279" t="s">
        <v>135</v>
      </c>
      <c r="N1279" t="s">
        <v>136</v>
      </c>
      <c r="Q1279">
        <v>31267</v>
      </c>
      <c r="R1279" t="s">
        <v>95</v>
      </c>
      <c r="S1279" t="s">
        <v>9303</v>
      </c>
      <c r="T1279">
        <v>24</v>
      </c>
      <c r="U1279" s="2" t="s">
        <v>9304</v>
      </c>
      <c r="W1279" t="s">
        <v>2680</v>
      </c>
      <c r="X1279">
        <v>839232</v>
      </c>
      <c r="Y1279" t="s">
        <v>7229</v>
      </c>
      <c r="Z1279" t="s">
        <v>4315</v>
      </c>
      <c r="AA1279" s="2" t="s">
        <v>4316</v>
      </c>
      <c r="AB1279" t="s">
        <v>181</v>
      </c>
      <c r="AG1279" t="s">
        <v>9305</v>
      </c>
      <c r="AH1279" t="s">
        <v>9306</v>
      </c>
      <c r="AI1279" t="s">
        <v>9307</v>
      </c>
    </row>
    <row r="1280" spans="2:35" ht="360">
      <c r="B1280" s="1">
        <v>45877</v>
      </c>
      <c r="C1280" s="1">
        <v>45660</v>
      </c>
      <c r="D1280" t="s">
        <v>9302</v>
      </c>
      <c r="E1280" t="s">
        <v>5976</v>
      </c>
      <c r="F1280">
        <v>3</v>
      </c>
      <c r="G1280" t="s">
        <v>730</v>
      </c>
      <c r="H1280" t="s">
        <v>39</v>
      </c>
      <c r="I1280" t="s">
        <v>40</v>
      </c>
      <c r="J1280" t="s">
        <v>109</v>
      </c>
      <c r="K1280" t="s">
        <v>42</v>
      </c>
      <c r="L1280" t="s">
        <v>135</v>
      </c>
      <c r="N1280" t="s">
        <v>136</v>
      </c>
      <c r="O1280" t="s">
        <v>9308</v>
      </c>
      <c r="Q1280">
        <v>31266</v>
      </c>
      <c r="R1280" t="s">
        <v>95</v>
      </c>
      <c r="S1280" t="s">
        <v>9303</v>
      </c>
      <c r="T1280">
        <v>24</v>
      </c>
      <c r="U1280" s="2" t="s">
        <v>9309</v>
      </c>
      <c r="W1280" t="s">
        <v>3418</v>
      </c>
      <c r="X1280">
        <v>830841</v>
      </c>
      <c r="Y1280" t="s">
        <v>7229</v>
      </c>
      <c r="Z1280" t="s">
        <v>4315</v>
      </c>
      <c r="AA1280" s="2" t="s">
        <v>4316</v>
      </c>
      <c r="AB1280" t="s">
        <v>181</v>
      </c>
      <c r="AG1280" t="s">
        <v>9310</v>
      </c>
      <c r="AH1280" t="s">
        <v>9311</v>
      </c>
      <c r="AI1280" t="s">
        <v>9312</v>
      </c>
    </row>
    <row r="1281" spans="2:35" ht="409.5">
      <c r="B1281" s="1">
        <v>45877</v>
      </c>
      <c r="C1281" s="1">
        <v>45771</v>
      </c>
      <c r="D1281" t="s">
        <v>5060</v>
      </c>
      <c r="E1281" t="s">
        <v>8014</v>
      </c>
      <c r="F1281">
        <v>3</v>
      </c>
      <c r="G1281" t="s">
        <v>284</v>
      </c>
      <c r="H1281" t="s">
        <v>9313</v>
      </c>
      <c r="I1281" t="s">
        <v>40</v>
      </c>
      <c r="J1281" t="s">
        <v>109</v>
      </c>
      <c r="K1281" t="s">
        <v>42</v>
      </c>
      <c r="L1281" t="s">
        <v>135</v>
      </c>
      <c r="N1281" t="s">
        <v>136</v>
      </c>
      <c r="Q1281">
        <v>31265</v>
      </c>
      <c r="R1281" t="s">
        <v>322</v>
      </c>
      <c r="S1281" t="s">
        <v>5062</v>
      </c>
      <c r="T1281">
        <v>27</v>
      </c>
      <c r="U1281" s="2" t="s">
        <v>9314</v>
      </c>
      <c r="W1281" t="s">
        <v>3335</v>
      </c>
      <c r="X1281">
        <v>110017894</v>
      </c>
      <c r="Y1281" t="s">
        <v>9315</v>
      </c>
      <c r="Z1281" t="s">
        <v>4315</v>
      </c>
      <c r="AA1281" s="2" t="s">
        <v>4316</v>
      </c>
      <c r="AB1281" t="s">
        <v>181</v>
      </c>
      <c r="AG1281" t="s">
        <v>9316</v>
      </c>
      <c r="AH1281" t="s">
        <v>9317</v>
      </c>
      <c r="AI1281" t="s">
        <v>9318</v>
      </c>
    </row>
    <row r="1282" spans="2:35" ht="360">
      <c r="B1282" s="1">
        <v>45877</v>
      </c>
      <c r="C1282" s="1">
        <v>45771</v>
      </c>
      <c r="D1282" t="s">
        <v>5060</v>
      </c>
      <c r="E1282" t="s">
        <v>8014</v>
      </c>
      <c r="F1282">
        <v>3</v>
      </c>
      <c r="G1282" t="s">
        <v>284</v>
      </c>
      <c r="H1282" t="s">
        <v>9313</v>
      </c>
      <c r="I1282" t="s">
        <v>40</v>
      </c>
      <c r="J1282" t="s">
        <v>109</v>
      </c>
      <c r="K1282" t="s">
        <v>42</v>
      </c>
      <c r="L1282" t="s">
        <v>135</v>
      </c>
      <c r="N1282" t="s">
        <v>136</v>
      </c>
      <c r="Q1282">
        <v>31264</v>
      </c>
      <c r="R1282" t="s">
        <v>322</v>
      </c>
      <c r="S1282" t="s">
        <v>5062</v>
      </c>
      <c r="T1282">
        <v>27</v>
      </c>
      <c r="U1282" s="2" t="s">
        <v>9319</v>
      </c>
      <c r="W1282" t="s">
        <v>138</v>
      </c>
      <c r="X1282">
        <v>829390</v>
      </c>
      <c r="Y1282" t="s">
        <v>9315</v>
      </c>
      <c r="Z1282" t="s">
        <v>4315</v>
      </c>
      <c r="AA1282" s="2" t="s">
        <v>4316</v>
      </c>
      <c r="AB1282" t="s">
        <v>181</v>
      </c>
      <c r="AG1282" t="s">
        <v>9320</v>
      </c>
      <c r="AH1282" t="s">
        <v>9317</v>
      </c>
      <c r="AI1282" t="s">
        <v>9321</v>
      </c>
    </row>
    <row r="1283" spans="2:35" ht="360">
      <c r="B1283" s="1">
        <v>45877</v>
      </c>
      <c r="C1283" s="1">
        <v>45771</v>
      </c>
      <c r="D1283" t="s">
        <v>5060</v>
      </c>
      <c r="E1283" t="s">
        <v>8014</v>
      </c>
      <c r="F1283">
        <v>3</v>
      </c>
      <c r="G1283" t="s">
        <v>284</v>
      </c>
      <c r="H1283" t="s">
        <v>9313</v>
      </c>
      <c r="I1283" t="s">
        <v>40</v>
      </c>
      <c r="J1283" t="s">
        <v>109</v>
      </c>
      <c r="K1283" t="s">
        <v>42</v>
      </c>
      <c r="L1283" t="s">
        <v>135</v>
      </c>
      <c r="N1283" t="s">
        <v>136</v>
      </c>
      <c r="Q1283">
        <v>31263</v>
      </c>
      <c r="R1283" t="s">
        <v>322</v>
      </c>
      <c r="S1283" t="s">
        <v>5062</v>
      </c>
      <c r="T1283">
        <v>27</v>
      </c>
      <c r="U1283" s="2" t="s">
        <v>9322</v>
      </c>
      <c r="W1283" t="s">
        <v>3335</v>
      </c>
      <c r="X1283">
        <v>120003587</v>
      </c>
      <c r="Y1283" t="s">
        <v>9315</v>
      </c>
      <c r="Z1283" t="s">
        <v>4315</v>
      </c>
      <c r="AA1283" s="2" t="s">
        <v>4316</v>
      </c>
      <c r="AB1283" t="s">
        <v>9323</v>
      </c>
      <c r="AG1283" t="s">
        <v>9324</v>
      </c>
      <c r="AH1283" t="s">
        <v>9317</v>
      </c>
      <c r="AI1283" t="s">
        <v>9325</v>
      </c>
    </row>
    <row r="1284" spans="2:35" ht="270">
      <c r="B1284" s="1">
        <v>45877</v>
      </c>
      <c r="C1284" s="1">
        <v>45792</v>
      </c>
      <c r="D1284" t="s">
        <v>9326</v>
      </c>
      <c r="E1284" t="s">
        <v>9327</v>
      </c>
      <c r="F1284">
        <v>3</v>
      </c>
      <c r="G1284" t="s">
        <v>134</v>
      </c>
      <c r="H1284" t="s">
        <v>2548</v>
      </c>
      <c r="I1284" t="s">
        <v>40</v>
      </c>
      <c r="J1284" s="2" t="s">
        <v>41</v>
      </c>
      <c r="K1284" t="s">
        <v>42</v>
      </c>
      <c r="L1284" t="s">
        <v>135</v>
      </c>
      <c r="N1284" t="s">
        <v>136</v>
      </c>
      <c r="O1284" t="s">
        <v>9328</v>
      </c>
      <c r="Q1284">
        <v>31262</v>
      </c>
      <c r="R1284" t="s">
        <v>322</v>
      </c>
      <c r="S1284" t="s">
        <v>9328</v>
      </c>
      <c r="T1284">
        <v>25</v>
      </c>
      <c r="U1284" s="2" t="s">
        <v>9329</v>
      </c>
      <c r="V1284" s="1">
        <v>45785</v>
      </c>
      <c r="W1284" t="s">
        <v>3335</v>
      </c>
      <c r="X1284">
        <v>110013748</v>
      </c>
      <c r="Y1284" t="s">
        <v>9330</v>
      </c>
      <c r="Z1284" s="2" t="s">
        <v>9331</v>
      </c>
      <c r="AA1284" s="2" t="s">
        <v>9332</v>
      </c>
      <c r="AB1284" t="s">
        <v>181</v>
      </c>
      <c r="AD1284" t="s">
        <v>1859</v>
      </c>
      <c r="AE1284">
        <v>13006</v>
      </c>
      <c r="AG1284" t="s">
        <v>9333</v>
      </c>
      <c r="AH1284" t="s">
        <v>9334</v>
      </c>
      <c r="AI1284" t="s">
        <v>9335</v>
      </c>
    </row>
    <row r="1285" spans="2:35" ht="360">
      <c r="B1285" s="1">
        <v>45877</v>
      </c>
      <c r="C1285" s="1">
        <v>45611</v>
      </c>
      <c r="D1285" t="s">
        <v>9302</v>
      </c>
      <c r="E1285" t="s">
        <v>4102</v>
      </c>
      <c r="F1285">
        <v>3</v>
      </c>
      <c r="G1285" t="s">
        <v>730</v>
      </c>
      <c r="H1285" t="s">
        <v>39</v>
      </c>
      <c r="I1285" t="s">
        <v>40</v>
      </c>
      <c r="J1285" t="s">
        <v>109</v>
      </c>
      <c r="K1285" t="s">
        <v>42</v>
      </c>
      <c r="L1285" t="s">
        <v>135</v>
      </c>
      <c r="N1285" t="s">
        <v>136</v>
      </c>
      <c r="O1285" t="s">
        <v>9308</v>
      </c>
      <c r="Q1285">
        <v>31261</v>
      </c>
      <c r="R1285" t="s">
        <v>95</v>
      </c>
      <c r="S1285" t="s">
        <v>9303</v>
      </c>
      <c r="T1285">
        <v>25</v>
      </c>
      <c r="U1285" s="2" t="s">
        <v>9336</v>
      </c>
      <c r="W1285" t="s">
        <v>138</v>
      </c>
      <c r="X1285">
        <v>839232</v>
      </c>
      <c r="Y1285" t="s">
        <v>7229</v>
      </c>
      <c r="Z1285" t="s">
        <v>4315</v>
      </c>
      <c r="AA1285" s="2" t="s">
        <v>4316</v>
      </c>
      <c r="AB1285" t="s">
        <v>181</v>
      </c>
      <c r="AG1285" t="s">
        <v>9337</v>
      </c>
      <c r="AH1285" t="s">
        <v>9306</v>
      </c>
      <c r="AI1285" t="s">
        <v>9338</v>
      </c>
    </row>
    <row r="1286" spans="2:35" ht="360">
      <c r="B1286" s="1">
        <v>45877</v>
      </c>
      <c r="C1286" s="1">
        <v>45611</v>
      </c>
      <c r="D1286" t="s">
        <v>9302</v>
      </c>
      <c r="E1286" t="s">
        <v>4102</v>
      </c>
      <c r="F1286">
        <v>3</v>
      </c>
      <c r="G1286" t="s">
        <v>730</v>
      </c>
      <c r="H1286" t="s">
        <v>39</v>
      </c>
      <c r="I1286" t="s">
        <v>40</v>
      </c>
      <c r="J1286" t="s">
        <v>109</v>
      </c>
      <c r="K1286" t="s">
        <v>42</v>
      </c>
      <c r="L1286" t="s">
        <v>135</v>
      </c>
      <c r="N1286" t="s">
        <v>136</v>
      </c>
      <c r="Q1286">
        <v>31260</v>
      </c>
      <c r="R1286" t="s">
        <v>95</v>
      </c>
      <c r="S1286" t="s">
        <v>9303</v>
      </c>
      <c r="T1286">
        <v>25</v>
      </c>
      <c r="U1286" s="2" t="s">
        <v>9336</v>
      </c>
      <c r="W1286" t="s">
        <v>9339</v>
      </c>
      <c r="X1286">
        <v>830841</v>
      </c>
      <c r="Y1286" t="s">
        <v>7229</v>
      </c>
      <c r="Z1286" t="s">
        <v>4315</v>
      </c>
      <c r="AA1286" s="2" t="s">
        <v>4316</v>
      </c>
      <c r="AB1286" t="s">
        <v>181</v>
      </c>
      <c r="AG1286" t="s">
        <v>9340</v>
      </c>
      <c r="AH1286" t="s">
        <v>9306</v>
      </c>
      <c r="AI1286" t="s">
        <v>9341</v>
      </c>
    </row>
    <row r="1287" spans="2:35" ht="409.5">
      <c r="B1287" s="1">
        <v>45877</v>
      </c>
      <c r="C1287" s="1">
        <v>45876</v>
      </c>
      <c r="D1287" t="s">
        <v>9342</v>
      </c>
      <c r="E1287" t="s">
        <v>9343</v>
      </c>
      <c r="F1287">
        <v>1</v>
      </c>
      <c r="G1287" t="s">
        <v>1046</v>
      </c>
      <c r="H1287" t="s">
        <v>39</v>
      </c>
      <c r="I1287" t="s">
        <v>40</v>
      </c>
      <c r="J1287" s="2" t="s">
        <v>1592</v>
      </c>
      <c r="K1287" t="s">
        <v>42</v>
      </c>
      <c r="L1287" t="s">
        <v>135</v>
      </c>
      <c r="N1287" t="s">
        <v>136</v>
      </c>
      <c r="Q1287">
        <v>31259</v>
      </c>
      <c r="R1287" t="s">
        <v>119</v>
      </c>
      <c r="S1287" t="s">
        <v>9344</v>
      </c>
      <c r="T1287">
        <v>25</v>
      </c>
      <c r="U1287" s="2" t="s">
        <v>2367</v>
      </c>
      <c r="W1287" t="s">
        <v>2680</v>
      </c>
      <c r="X1287">
        <v>838287</v>
      </c>
      <c r="Y1287" s="2" t="s">
        <v>9345</v>
      </c>
      <c r="Z1287" s="2" t="s">
        <v>9346</v>
      </c>
      <c r="AA1287" s="2" t="s">
        <v>9347</v>
      </c>
      <c r="AB1287" t="s">
        <v>181</v>
      </c>
      <c r="AG1287" t="s">
        <v>9348</v>
      </c>
      <c r="AH1287" t="s">
        <v>9349</v>
      </c>
      <c r="AI1287" t="s">
        <v>9350</v>
      </c>
    </row>
    <row r="1288" spans="2:35" ht="360">
      <c r="B1288" s="1">
        <v>45877</v>
      </c>
      <c r="C1288" s="1">
        <v>45876</v>
      </c>
      <c r="D1288" t="s">
        <v>2620</v>
      </c>
      <c r="E1288" t="s">
        <v>9351</v>
      </c>
      <c r="F1288">
        <v>1</v>
      </c>
      <c r="G1288" t="s">
        <v>1046</v>
      </c>
      <c r="H1288" t="s">
        <v>39</v>
      </c>
      <c r="I1288" t="s">
        <v>40</v>
      </c>
      <c r="J1288" t="s">
        <v>109</v>
      </c>
      <c r="K1288" t="s">
        <v>42</v>
      </c>
      <c r="L1288" t="s">
        <v>135</v>
      </c>
      <c r="N1288" t="s">
        <v>136</v>
      </c>
      <c r="Q1288">
        <v>31258</v>
      </c>
      <c r="R1288" t="s">
        <v>967</v>
      </c>
      <c r="S1288" t="s">
        <v>2622</v>
      </c>
      <c r="T1288">
        <v>26</v>
      </c>
      <c r="U1288" s="2" t="s">
        <v>9352</v>
      </c>
      <c r="W1288" t="s">
        <v>3335</v>
      </c>
      <c r="X1288">
        <v>110023501</v>
      </c>
      <c r="Y1288" t="s">
        <v>7229</v>
      </c>
      <c r="Z1288" t="s">
        <v>4315</v>
      </c>
      <c r="AA1288" s="2" t="s">
        <v>4316</v>
      </c>
      <c r="AB1288" t="s">
        <v>181</v>
      </c>
      <c r="AG1288" t="s">
        <v>9353</v>
      </c>
      <c r="AH1288" t="s">
        <v>2624</v>
      </c>
      <c r="AI1288" t="s">
        <v>9354</v>
      </c>
    </row>
    <row r="1289" spans="2:35" ht="360">
      <c r="B1289" s="1">
        <v>45877</v>
      </c>
      <c r="C1289" s="1">
        <v>45876</v>
      </c>
      <c r="D1289" t="s">
        <v>7038</v>
      </c>
      <c r="E1289" t="s">
        <v>9355</v>
      </c>
      <c r="F1289">
        <v>1</v>
      </c>
      <c r="G1289" t="s">
        <v>1046</v>
      </c>
      <c r="H1289" t="s">
        <v>39</v>
      </c>
      <c r="I1289" t="s">
        <v>40</v>
      </c>
      <c r="J1289" t="s">
        <v>109</v>
      </c>
      <c r="K1289" t="s">
        <v>42</v>
      </c>
      <c r="L1289" t="s">
        <v>135</v>
      </c>
      <c r="N1289" t="s">
        <v>136</v>
      </c>
      <c r="Q1289">
        <v>31257</v>
      </c>
      <c r="R1289" t="s">
        <v>119</v>
      </c>
      <c r="S1289" t="s">
        <v>7040</v>
      </c>
      <c r="T1289">
        <v>29</v>
      </c>
      <c r="U1289" s="2" t="s">
        <v>9356</v>
      </c>
      <c r="W1289" t="s">
        <v>2680</v>
      </c>
      <c r="X1289">
        <v>838278</v>
      </c>
      <c r="Y1289" t="s">
        <v>7229</v>
      </c>
      <c r="Z1289" t="s">
        <v>4315</v>
      </c>
      <c r="AA1289" s="2" t="s">
        <v>4316</v>
      </c>
      <c r="AB1289" t="s">
        <v>181</v>
      </c>
      <c r="AG1289" t="s">
        <v>9357</v>
      </c>
      <c r="AH1289" t="s">
        <v>9358</v>
      </c>
      <c r="AI1289" t="s">
        <v>9359</v>
      </c>
    </row>
    <row r="1290" spans="2:35" ht="105">
      <c r="B1290" s="1">
        <v>45877</v>
      </c>
      <c r="C1290" s="1">
        <v>45877</v>
      </c>
      <c r="D1290" t="s">
        <v>2221</v>
      </c>
      <c r="E1290" t="s">
        <v>2221</v>
      </c>
      <c r="F1290">
        <v>8</v>
      </c>
      <c r="G1290" t="s">
        <v>2197</v>
      </c>
      <c r="H1290" t="s">
        <v>39</v>
      </c>
      <c r="I1290" t="s">
        <v>40</v>
      </c>
      <c r="J1290" s="2" t="s">
        <v>2223</v>
      </c>
      <c r="K1290" t="s">
        <v>42</v>
      </c>
      <c r="L1290" t="s">
        <v>1257</v>
      </c>
      <c r="N1290" t="s">
        <v>1258</v>
      </c>
      <c r="O1290" t="s">
        <v>1258</v>
      </c>
      <c r="Q1290">
        <v>31256</v>
      </c>
      <c r="R1290" t="s">
        <v>119</v>
      </c>
      <c r="S1290" t="s">
        <v>2224</v>
      </c>
      <c r="T1290">
        <v>25</v>
      </c>
      <c r="U1290" s="2" t="s">
        <v>9360</v>
      </c>
      <c r="V1290" s="1">
        <v>45877</v>
      </c>
      <c r="W1290" t="s">
        <v>2384</v>
      </c>
      <c r="X1290">
        <v>838204</v>
      </c>
      <c r="Y1290" t="s">
        <v>301</v>
      </c>
      <c r="Z1290" t="s">
        <v>7410</v>
      </c>
      <c r="AA1290" t="s">
        <v>7365</v>
      </c>
      <c r="AB1290" t="s">
        <v>3463</v>
      </c>
      <c r="AC1290" t="s">
        <v>301</v>
      </c>
      <c r="AD1290" t="s">
        <v>54</v>
      </c>
      <c r="AE1290" t="s">
        <v>54</v>
      </c>
      <c r="AG1290" t="s">
        <v>9361</v>
      </c>
      <c r="AH1290" t="s">
        <v>2231</v>
      </c>
      <c r="AI1290" t="s">
        <v>9362</v>
      </c>
    </row>
    <row r="1291" spans="2:35" ht="150">
      <c r="B1291" s="1">
        <v>45876</v>
      </c>
      <c r="C1291" s="1">
        <v>45876</v>
      </c>
      <c r="D1291" t="s">
        <v>837</v>
      </c>
      <c r="E1291" t="s">
        <v>8102</v>
      </c>
      <c r="F1291">
        <v>5</v>
      </c>
      <c r="G1291" t="s">
        <v>839</v>
      </c>
      <c r="H1291" t="s">
        <v>513</v>
      </c>
      <c r="I1291" t="s">
        <v>94</v>
      </c>
      <c r="J1291" t="s">
        <v>109</v>
      </c>
      <c r="K1291" t="s">
        <v>387</v>
      </c>
      <c r="L1291" t="s">
        <v>761</v>
      </c>
      <c r="N1291" t="s">
        <v>762</v>
      </c>
      <c r="O1291" t="s">
        <v>3000</v>
      </c>
      <c r="Q1291">
        <v>31255</v>
      </c>
      <c r="R1291" t="s">
        <v>322</v>
      </c>
      <c r="S1291" t="s">
        <v>9363</v>
      </c>
      <c r="T1291">
        <v>25</v>
      </c>
      <c r="W1291" t="s">
        <v>390</v>
      </c>
      <c r="X1291" t="s">
        <v>841</v>
      </c>
      <c r="Y1291" t="s">
        <v>9364</v>
      </c>
      <c r="Z1291" s="2" t="s">
        <v>9365</v>
      </c>
      <c r="AA1291" t="s">
        <v>820</v>
      </c>
      <c r="AB1291" t="s">
        <v>9366</v>
      </c>
      <c r="AG1291" t="s">
        <v>9367</v>
      </c>
      <c r="AH1291" t="s">
        <v>9368</v>
      </c>
      <c r="AI1291" t="s">
        <v>9369</v>
      </c>
    </row>
    <row r="1292" spans="2:35" ht="210">
      <c r="B1292" s="1">
        <v>45876</v>
      </c>
      <c r="C1292" s="1">
        <v>45876</v>
      </c>
      <c r="D1292" t="s">
        <v>837</v>
      </c>
      <c r="E1292" t="s">
        <v>8102</v>
      </c>
      <c r="F1292">
        <v>5</v>
      </c>
      <c r="G1292" t="s">
        <v>839</v>
      </c>
      <c r="H1292" t="s">
        <v>513</v>
      </c>
      <c r="I1292" t="s">
        <v>94</v>
      </c>
      <c r="J1292" t="s">
        <v>109</v>
      </c>
      <c r="K1292" t="s">
        <v>387</v>
      </c>
      <c r="L1292" t="s">
        <v>761</v>
      </c>
      <c r="N1292" t="s">
        <v>762</v>
      </c>
      <c r="O1292" t="s">
        <v>3000</v>
      </c>
      <c r="Q1292">
        <v>31254</v>
      </c>
      <c r="R1292" t="s">
        <v>322</v>
      </c>
      <c r="S1292" t="s">
        <v>9363</v>
      </c>
      <c r="T1292">
        <v>25</v>
      </c>
      <c r="W1292" t="s">
        <v>390</v>
      </c>
      <c r="X1292" t="s">
        <v>847</v>
      </c>
      <c r="Y1292" t="s">
        <v>9364</v>
      </c>
      <c r="Z1292" s="2" t="s">
        <v>9370</v>
      </c>
      <c r="AA1292" t="s">
        <v>820</v>
      </c>
      <c r="AB1292" t="s">
        <v>70</v>
      </c>
      <c r="AG1292" t="s">
        <v>9371</v>
      </c>
      <c r="AH1292" t="s">
        <v>9368</v>
      </c>
      <c r="AI1292" t="s">
        <v>9372</v>
      </c>
    </row>
    <row r="1293" spans="2:35" ht="300">
      <c r="B1293" s="1">
        <v>45876</v>
      </c>
      <c r="C1293" s="1">
        <v>45875</v>
      </c>
      <c r="D1293" t="s">
        <v>837</v>
      </c>
      <c r="E1293" t="s">
        <v>9373</v>
      </c>
      <c r="F1293">
        <v>5</v>
      </c>
      <c r="G1293" t="s">
        <v>839</v>
      </c>
      <c r="H1293" t="s">
        <v>39</v>
      </c>
      <c r="I1293" t="s">
        <v>94</v>
      </c>
      <c r="J1293" t="s">
        <v>321</v>
      </c>
      <c r="K1293" t="s">
        <v>387</v>
      </c>
      <c r="L1293" t="s">
        <v>761</v>
      </c>
      <c r="N1293" t="s">
        <v>762</v>
      </c>
      <c r="O1293" t="s">
        <v>3000</v>
      </c>
      <c r="Q1293">
        <v>31253</v>
      </c>
      <c r="R1293" t="s">
        <v>322</v>
      </c>
      <c r="S1293" t="s">
        <v>9363</v>
      </c>
      <c r="T1293">
        <v>25</v>
      </c>
      <c r="W1293" t="s">
        <v>390</v>
      </c>
      <c r="X1293" t="s">
        <v>3514</v>
      </c>
      <c r="Y1293" t="s">
        <v>9374</v>
      </c>
      <c r="Z1293" s="2" t="s">
        <v>9375</v>
      </c>
      <c r="AA1293" t="s">
        <v>9376</v>
      </c>
      <c r="AB1293" t="s">
        <v>70</v>
      </c>
      <c r="AG1293" t="s">
        <v>9377</v>
      </c>
      <c r="AH1293" t="s">
        <v>9368</v>
      </c>
      <c r="AI1293" t="s">
        <v>9378</v>
      </c>
    </row>
    <row r="1294" spans="2:35" ht="285">
      <c r="B1294" s="1">
        <v>45876</v>
      </c>
      <c r="C1294" s="1">
        <v>45874</v>
      </c>
      <c r="D1294" t="s">
        <v>7553</v>
      </c>
      <c r="E1294" t="s">
        <v>4076</v>
      </c>
      <c r="F1294">
        <v>5</v>
      </c>
      <c r="G1294" t="s">
        <v>814</v>
      </c>
      <c r="H1294" t="s">
        <v>39</v>
      </c>
      <c r="I1294" t="s">
        <v>94</v>
      </c>
      <c r="J1294" t="s">
        <v>109</v>
      </c>
      <c r="K1294" t="s">
        <v>42</v>
      </c>
      <c r="L1294" t="s">
        <v>761</v>
      </c>
      <c r="N1294" t="s">
        <v>762</v>
      </c>
      <c r="O1294" t="s">
        <v>9379</v>
      </c>
      <c r="Q1294">
        <v>31252</v>
      </c>
      <c r="R1294" t="s">
        <v>95</v>
      </c>
      <c r="S1294" t="s">
        <v>8320</v>
      </c>
      <c r="T1294">
        <v>20</v>
      </c>
      <c r="W1294" t="s">
        <v>817</v>
      </c>
      <c r="X1294">
        <v>120002716</v>
      </c>
      <c r="Y1294" t="s">
        <v>9380</v>
      </c>
      <c r="Z1294" s="2" t="s">
        <v>9381</v>
      </c>
      <c r="AA1294" t="s">
        <v>820</v>
      </c>
      <c r="AB1294" t="s">
        <v>181</v>
      </c>
      <c r="AG1294" t="s">
        <v>9382</v>
      </c>
      <c r="AH1294" t="s">
        <v>9383</v>
      </c>
      <c r="AI1294" t="s">
        <v>9384</v>
      </c>
    </row>
    <row r="1295" spans="2:35" ht="409.5">
      <c r="B1295" s="1">
        <v>45876</v>
      </c>
      <c r="C1295" s="1">
        <v>45876</v>
      </c>
      <c r="D1295" t="s">
        <v>4172</v>
      </c>
      <c r="E1295" t="s">
        <v>9385</v>
      </c>
      <c r="F1295">
        <v>12</v>
      </c>
      <c r="G1295" t="s">
        <v>978</v>
      </c>
      <c r="H1295" t="s">
        <v>295</v>
      </c>
      <c r="I1295" t="s">
        <v>40</v>
      </c>
      <c r="J1295" t="s">
        <v>321</v>
      </c>
      <c r="K1295" t="s">
        <v>42</v>
      </c>
      <c r="L1295" t="s">
        <v>296</v>
      </c>
      <c r="N1295" t="s">
        <v>297</v>
      </c>
      <c r="Q1295">
        <v>31251</v>
      </c>
      <c r="R1295" t="s">
        <v>95</v>
      </c>
      <c r="S1295" t="s">
        <v>298</v>
      </c>
      <c r="T1295">
        <v>25.3</v>
      </c>
      <c r="W1295" t="s">
        <v>970</v>
      </c>
      <c r="X1295">
        <v>110024270</v>
      </c>
      <c r="Y1295" t="s">
        <v>301</v>
      </c>
      <c r="Z1295" s="2" t="s">
        <v>9386</v>
      </c>
      <c r="AA1295" t="s">
        <v>9387</v>
      </c>
      <c r="AB1295" t="s">
        <v>7205</v>
      </c>
      <c r="AG1295" t="s">
        <v>9388</v>
      </c>
      <c r="AH1295" t="s">
        <v>9389</v>
      </c>
      <c r="AI1295" t="s">
        <v>9390</v>
      </c>
    </row>
    <row r="1296" spans="2:35" ht="165">
      <c r="B1296" s="1">
        <v>45876</v>
      </c>
      <c r="C1296" s="1">
        <v>45876</v>
      </c>
      <c r="D1296" t="s">
        <v>8570</v>
      </c>
      <c r="E1296" t="s">
        <v>9391</v>
      </c>
      <c r="F1296">
        <v>2</v>
      </c>
      <c r="G1296" t="s">
        <v>2668</v>
      </c>
      <c r="H1296" t="s">
        <v>39</v>
      </c>
      <c r="I1296" t="s">
        <v>40</v>
      </c>
      <c r="J1296" s="2" t="s">
        <v>41</v>
      </c>
      <c r="K1296" t="s">
        <v>42</v>
      </c>
      <c r="L1296" t="s">
        <v>63</v>
      </c>
      <c r="N1296" t="s">
        <v>64</v>
      </c>
      <c r="Q1296">
        <v>31250</v>
      </c>
      <c r="R1296" t="s">
        <v>119</v>
      </c>
      <c r="S1296" t="s">
        <v>9392</v>
      </c>
      <c r="T1296">
        <v>29</v>
      </c>
      <c r="U1296" s="2" t="s">
        <v>9393</v>
      </c>
      <c r="V1296" s="1">
        <v>45861</v>
      </c>
      <c r="W1296" t="s">
        <v>66</v>
      </c>
      <c r="X1296">
        <v>838521</v>
      </c>
      <c r="Y1296" t="s">
        <v>9394</v>
      </c>
      <c r="Z1296" t="s">
        <v>9395</v>
      </c>
      <c r="AA1296" s="2" t="s">
        <v>1727</v>
      </c>
      <c r="AB1296" t="s">
        <v>70</v>
      </c>
      <c r="AD1296" t="s">
        <v>1859</v>
      </c>
      <c r="AE1296">
        <v>13202</v>
      </c>
      <c r="AG1296" t="s">
        <v>9396</v>
      </c>
      <c r="AH1296" t="s">
        <v>9397</v>
      </c>
      <c r="AI1296" t="s">
        <v>9398</v>
      </c>
    </row>
    <row r="1297" spans="2:35" ht="300">
      <c r="B1297" s="1">
        <v>45876</v>
      </c>
      <c r="C1297" s="1">
        <v>45876</v>
      </c>
      <c r="D1297" t="s">
        <v>8907</v>
      </c>
      <c r="E1297" t="s">
        <v>9399</v>
      </c>
      <c r="F1297">
        <v>6</v>
      </c>
      <c r="G1297" t="s">
        <v>9400</v>
      </c>
      <c r="H1297" t="s">
        <v>1498</v>
      </c>
      <c r="I1297" t="s">
        <v>40</v>
      </c>
      <c r="J1297" t="s">
        <v>109</v>
      </c>
      <c r="K1297" t="s">
        <v>42</v>
      </c>
      <c r="L1297" t="s">
        <v>343</v>
      </c>
      <c r="N1297" t="s">
        <v>344</v>
      </c>
      <c r="Q1297">
        <v>31249</v>
      </c>
      <c r="R1297" t="s">
        <v>119</v>
      </c>
      <c r="S1297" t="s">
        <v>9401</v>
      </c>
      <c r="T1297">
        <v>27</v>
      </c>
      <c r="U1297" s="2" t="s">
        <v>9402</v>
      </c>
      <c r="W1297" t="s">
        <v>1501</v>
      </c>
      <c r="X1297">
        <v>838412</v>
      </c>
      <c r="Y1297" t="s">
        <v>301</v>
      </c>
      <c r="Z1297" t="e">
        <f ca="1">-PERFORM Preventive Maintenance</f>
        <v>#NAME?</v>
      </c>
      <c r="AA1297" t="e">
        <f ca="1">-Preventive Maintenace</f>
        <v>#NAME?</v>
      </c>
      <c r="AB1297" t="s">
        <v>1467</v>
      </c>
      <c r="AG1297" t="s">
        <v>9403</v>
      </c>
      <c r="AH1297" t="s">
        <v>9404</v>
      </c>
      <c r="AI1297" t="s">
        <v>9405</v>
      </c>
    </row>
    <row r="1298" spans="2:35" ht="75">
      <c r="B1298" s="1">
        <v>45876</v>
      </c>
      <c r="C1298" s="1">
        <v>45876</v>
      </c>
      <c r="D1298" t="s">
        <v>8393</v>
      </c>
      <c r="E1298" t="s">
        <v>8394</v>
      </c>
      <c r="F1298">
        <v>2</v>
      </c>
      <c r="G1298" t="s">
        <v>2723</v>
      </c>
      <c r="H1298" t="s">
        <v>6337</v>
      </c>
      <c r="I1298" t="s">
        <v>40</v>
      </c>
      <c r="J1298" s="2" t="s">
        <v>190</v>
      </c>
      <c r="K1298" t="s">
        <v>42</v>
      </c>
      <c r="L1298" t="s">
        <v>63</v>
      </c>
      <c r="N1298" t="s">
        <v>64</v>
      </c>
      <c r="Q1298">
        <v>31248</v>
      </c>
      <c r="R1298" t="s">
        <v>322</v>
      </c>
      <c r="S1298" t="s">
        <v>8395</v>
      </c>
      <c r="T1298">
        <v>22</v>
      </c>
      <c r="W1298" t="s">
        <v>390</v>
      </c>
      <c r="X1298" t="s">
        <v>8396</v>
      </c>
      <c r="Y1298" t="s">
        <v>8397</v>
      </c>
      <c r="Z1298" t="s">
        <v>9406</v>
      </c>
      <c r="AA1298" t="s">
        <v>9407</v>
      </c>
      <c r="AB1298" t="s">
        <v>70</v>
      </c>
      <c r="AC1298" t="s">
        <v>9408</v>
      </c>
      <c r="AG1298" t="s">
        <v>9409</v>
      </c>
      <c r="AH1298" t="s">
        <v>9410</v>
      </c>
      <c r="AI1298" t="s">
        <v>9411</v>
      </c>
    </row>
    <row r="1299" spans="2:35" ht="409.5">
      <c r="B1299" s="1">
        <v>45876</v>
      </c>
      <c r="C1299" s="1">
        <v>45876</v>
      </c>
      <c r="D1299" t="s">
        <v>1203</v>
      </c>
      <c r="E1299" t="s">
        <v>2547</v>
      </c>
      <c r="F1299">
        <v>11</v>
      </c>
      <c r="G1299" t="s">
        <v>1205</v>
      </c>
      <c r="H1299" t="s">
        <v>2548</v>
      </c>
      <c r="I1299" t="s">
        <v>40</v>
      </c>
      <c r="J1299" t="s">
        <v>109</v>
      </c>
      <c r="K1299" t="s">
        <v>42</v>
      </c>
      <c r="L1299" t="s">
        <v>204</v>
      </c>
      <c r="N1299" t="s">
        <v>205</v>
      </c>
      <c r="Q1299">
        <v>31247</v>
      </c>
      <c r="R1299" t="s">
        <v>967</v>
      </c>
      <c r="S1299" t="s">
        <v>1206</v>
      </c>
      <c r="T1299">
        <v>24.5</v>
      </c>
      <c r="U1299" s="2" t="s">
        <v>9412</v>
      </c>
      <c r="W1299" t="s">
        <v>2550</v>
      </c>
      <c r="X1299">
        <v>110023505</v>
      </c>
      <c r="Y1299" t="s">
        <v>1052</v>
      </c>
      <c r="Z1299" s="2" t="s">
        <v>9413</v>
      </c>
      <c r="AA1299" t="s">
        <v>2551</v>
      </c>
      <c r="AB1299" t="s">
        <v>1211</v>
      </c>
      <c r="AG1299" t="s">
        <v>9414</v>
      </c>
      <c r="AH1299" t="s">
        <v>1214</v>
      </c>
      <c r="AI1299" t="s">
        <v>9415</v>
      </c>
    </row>
    <row r="1300" spans="2:35" ht="300">
      <c r="B1300" s="1">
        <v>45876</v>
      </c>
      <c r="C1300" s="1">
        <v>45876</v>
      </c>
      <c r="D1300" t="s">
        <v>1203</v>
      </c>
      <c r="E1300" t="s">
        <v>2547</v>
      </c>
      <c r="F1300">
        <v>11</v>
      </c>
      <c r="G1300" t="s">
        <v>1205</v>
      </c>
      <c r="H1300" t="s">
        <v>2548</v>
      </c>
      <c r="I1300" t="s">
        <v>40</v>
      </c>
      <c r="J1300" t="s">
        <v>109</v>
      </c>
      <c r="K1300" t="s">
        <v>42</v>
      </c>
      <c r="L1300" t="s">
        <v>204</v>
      </c>
      <c r="N1300" t="s">
        <v>205</v>
      </c>
      <c r="Q1300">
        <v>31246</v>
      </c>
      <c r="R1300" t="s">
        <v>967</v>
      </c>
      <c r="S1300" t="s">
        <v>1206</v>
      </c>
      <c r="T1300">
        <v>25.8</v>
      </c>
      <c r="U1300" s="2" t="s">
        <v>9416</v>
      </c>
      <c r="W1300" t="s">
        <v>2550</v>
      </c>
      <c r="X1300">
        <v>110023506</v>
      </c>
      <c r="Y1300" t="s">
        <v>1052</v>
      </c>
      <c r="Z1300" s="2" t="s">
        <v>1892</v>
      </c>
      <c r="AA1300" t="s">
        <v>2551</v>
      </c>
      <c r="AB1300" t="s">
        <v>1211</v>
      </c>
      <c r="AG1300" t="s">
        <v>9417</v>
      </c>
      <c r="AH1300" t="s">
        <v>1214</v>
      </c>
      <c r="AI1300" t="s">
        <v>9418</v>
      </c>
    </row>
    <row r="1301" spans="2:35" ht="105">
      <c r="B1301" s="1">
        <v>45876</v>
      </c>
      <c r="C1301" s="1">
        <v>45876</v>
      </c>
      <c r="D1301" t="s">
        <v>8067</v>
      </c>
      <c r="E1301" t="s">
        <v>8068</v>
      </c>
      <c r="F1301">
        <v>8</v>
      </c>
      <c r="G1301" t="s">
        <v>257</v>
      </c>
      <c r="H1301" t="s">
        <v>258</v>
      </c>
      <c r="I1301" t="s">
        <v>40</v>
      </c>
      <c r="J1301" t="s">
        <v>109</v>
      </c>
      <c r="K1301" t="s">
        <v>42</v>
      </c>
      <c r="L1301" t="s">
        <v>259</v>
      </c>
      <c r="N1301" t="s">
        <v>260</v>
      </c>
      <c r="O1301" t="s">
        <v>260</v>
      </c>
      <c r="Q1301">
        <v>31245</v>
      </c>
      <c r="R1301" t="s">
        <v>119</v>
      </c>
      <c r="S1301" t="s">
        <v>9419</v>
      </c>
      <c r="T1301">
        <v>23</v>
      </c>
      <c r="U1301" s="2" t="s">
        <v>6351</v>
      </c>
      <c r="V1301" s="1">
        <v>45876</v>
      </c>
      <c r="W1301" t="s">
        <v>84</v>
      </c>
      <c r="X1301">
        <v>838406</v>
      </c>
      <c r="Y1301" t="s">
        <v>263</v>
      </c>
      <c r="Z1301" t="s">
        <v>263</v>
      </c>
      <c r="AA1301" s="2" t="s">
        <v>9420</v>
      </c>
      <c r="AB1301" t="s">
        <v>70</v>
      </c>
      <c r="AG1301" t="s">
        <v>9421</v>
      </c>
      <c r="AH1301" t="s">
        <v>9422</v>
      </c>
      <c r="AI1301" t="s">
        <v>9423</v>
      </c>
    </row>
    <row r="1302" spans="2:35" ht="90">
      <c r="B1302" s="1">
        <v>45875</v>
      </c>
      <c r="C1302" s="1">
        <v>45875</v>
      </c>
      <c r="D1302" t="s">
        <v>4523</v>
      </c>
      <c r="E1302" t="s">
        <v>3011</v>
      </c>
      <c r="F1302">
        <v>1</v>
      </c>
      <c r="G1302" t="s">
        <v>1046</v>
      </c>
      <c r="H1302" t="s">
        <v>1047</v>
      </c>
      <c r="I1302" t="s">
        <v>40</v>
      </c>
      <c r="J1302" s="2" t="s">
        <v>355</v>
      </c>
      <c r="K1302" t="s">
        <v>42</v>
      </c>
      <c r="L1302" t="s">
        <v>1048</v>
      </c>
      <c r="N1302" t="s">
        <v>1049</v>
      </c>
      <c r="Q1302">
        <v>31244</v>
      </c>
      <c r="R1302" t="s">
        <v>119</v>
      </c>
      <c r="S1302" t="s">
        <v>7964</v>
      </c>
      <c r="T1302">
        <v>28</v>
      </c>
      <c r="W1302" t="s">
        <v>1051</v>
      </c>
      <c r="X1302">
        <v>838286</v>
      </c>
      <c r="Y1302" t="s">
        <v>9424</v>
      </c>
      <c r="Z1302" t="e">
        <f ca="1">- checked _xludf.Power FROM AVR
- checked Fuse</f>
        <v>#NAME?</v>
      </c>
      <c r="AA1302" t="s">
        <v>7973</v>
      </c>
      <c r="AB1302" t="e">
        <f ca="1">- Unit is _xludf.not operational
- UPS _xludf.For Reporting</f>
        <v>#NAME?</v>
      </c>
      <c r="AG1302" t="s">
        <v>9425</v>
      </c>
      <c r="AH1302" t="s">
        <v>8788</v>
      </c>
      <c r="AI1302" t="s">
        <v>9426</v>
      </c>
    </row>
    <row r="1303" spans="2:35" ht="165">
      <c r="B1303" s="1">
        <v>45875</v>
      </c>
      <c r="C1303" s="1">
        <v>45875</v>
      </c>
      <c r="D1303" t="s">
        <v>9427</v>
      </c>
      <c r="E1303" t="s">
        <v>9428</v>
      </c>
      <c r="F1303">
        <v>2</v>
      </c>
      <c r="G1303" t="s">
        <v>2723</v>
      </c>
      <c r="H1303" t="s">
        <v>39</v>
      </c>
      <c r="I1303" t="s">
        <v>40</v>
      </c>
      <c r="J1303" s="2" t="s">
        <v>41</v>
      </c>
      <c r="K1303" t="s">
        <v>42</v>
      </c>
      <c r="L1303" t="s">
        <v>63</v>
      </c>
      <c r="N1303" t="s">
        <v>64</v>
      </c>
      <c r="Q1303">
        <v>31243</v>
      </c>
      <c r="R1303" t="s">
        <v>119</v>
      </c>
      <c r="S1303" t="s">
        <v>9429</v>
      </c>
      <c r="T1303">
        <v>25</v>
      </c>
      <c r="U1303" s="2" t="s">
        <v>8662</v>
      </c>
      <c r="V1303" s="1">
        <v>45841</v>
      </c>
      <c r="W1303" t="s">
        <v>66</v>
      </c>
      <c r="X1303">
        <v>838530</v>
      </c>
      <c r="Y1303" t="s">
        <v>9430</v>
      </c>
      <c r="Z1303" t="s">
        <v>9431</v>
      </c>
      <c r="AA1303" s="2" t="s">
        <v>1727</v>
      </c>
      <c r="AB1303" t="s">
        <v>70</v>
      </c>
      <c r="AD1303" t="s">
        <v>9432</v>
      </c>
      <c r="AE1303">
        <v>13163</v>
      </c>
      <c r="AG1303" t="s">
        <v>9433</v>
      </c>
      <c r="AH1303" t="s">
        <v>9434</v>
      </c>
      <c r="AI1303" t="s">
        <v>9435</v>
      </c>
    </row>
    <row r="1304" spans="2:35">
      <c r="B1304" s="1">
        <v>45875</v>
      </c>
      <c r="C1304" s="1">
        <v>45875</v>
      </c>
      <c r="D1304" t="s">
        <v>2470</v>
      </c>
      <c r="E1304" t="s">
        <v>9436</v>
      </c>
      <c r="F1304" t="s">
        <v>148</v>
      </c>
      <c r="G1304" t="s">
        <v>230</v>
      </c>
      <c r="H1304" t="s">
        <v>513</v>
      </c>
      <c r="I1304" t="s">
        <v>40</v>
      </c>
      <c r="J1304" t="s">
        <v>109</v>
      </c>
      <c r="K1304" t="s">
        <v>387</v>
      </c>
      <c r="L1304" t="s">
        <v>175</v>
      </c>
      <c r="N1304" t="s">
        <v>176</v>
      </c>
      <c r="Q1304">
        <v>31242</v>
      </c>
      <c r="R1304" t="s">
        <v>322</v>
      </c>
      <c r="S1304" t="s">
        <v>2471</v>
      </c>
      <c r="T1304">
        <v>25</v>
      </c>
      <c r="W1304" t="s">
        <v>390</v>
      </c>
      <c r="X1304" t="s">
        <v>2472</v>
      </c>
      <c r="Y1304" t="s">
        <v>374</v>
      </c>
      <c r="Z1304" t="s">
        <v>103</v>
      </c>
      <c r="AA1304" t="e">
        <f ca="1">- checked rotor roller pumps
- checked CALIBRATION parameters
- performed self test</f>
        <v>#NAME?</v>
      </c>
      <c r="AB1304" t="s">
        <v>181</v>
      </c>
      <c r="AG1304" t="s">
        <v>9437</v>
      </c>
      <c r="AH1304" t="s">
        <v>9438</v>
      </c>
      <c r="AI1304" t="s">
        <v>9439</v>
      </c>
    </row>
    <row r="1305" spans="2:35">
      <c r="B1305" s="1">
        <v>45875</v>
      </c>
      <c r="C1305" s="1">
        <v>45875</v>
      </c>
      <c r="D1305" t="s">
        <v>2470</v>
      </c>
      <c r="E1305" t="s">
        <v>9436</v>
      </c>
      <c r="F1305" t="s">
        <v>148</v>
      </c>
      <c r="G1305" t="s">
        <v>230</v>
      </c>
      <c r="H1305" t="s">
        <v>513</v>
      </c>
      <c r="I1305" t="s">
        <v>40</v>
      </c>
      <c r="J1305" t="s">
        <v>109</v>
      </c>
      <c r="K1305" t="s">
        <v>387</v>
      </c>
      <c r="L1305" t="s">
        <v>175</v>
      </c>
      <c r="N1305" t="s">
        <v>176</v>
      </c>
      <c r="Q1305">
        <v>31241</v>
      </c>
      <c r="R1305" t="s">
        <v>322</v>
      </c>
      <c r="S1305" t="s">
        <v>2471</v>
      </c>
      <c r="T1305">
        <v>25</v>
      </c>
      <c r="W1305" t="s">
        <v>390</v>
      </c>
      <c r="X1305" t="s">
        <v>5622</v>
      </c>
      <c r="Y1305" t="s">
        <v>374</v>
      </c>
      <c r="Z1305" t="s">
        <v>103</v>
      </c>
      <c r="AA1305" t="e">
        <f ca="1">- checked rotor roller pumps
- checked CALIBRATION parameters
- performed self test</f>
        <v>#NAME?</v>
      </c>
      <c r="AB1305" t="s">
        <v>181</v>
      </c>
      <c r="AG1305" t="s">
        <v>9440</v>
      </c>
      <c r="AH1305" t="s">
        <v>9438</v>
      </c>
      <c r="AI1305" t="s">
        <v>9441</v>
      </c>
    </row>
    <row r="1306" spans="2:35" ht="105">
      <c r="B1306" s="1">
        <v>45875</v>
      </c>
      <c r="C1306" s="1">
        <v>45875</v>
      </c>
      <c r="D1306" t="s">
        <v>6672</v>
      </c>
      <c r="E1306" t="s">
        <v>9442</v>
      </c>
      <c r="F1306">
        <v>8</v>
      </c>
      <c r="G1306" t="s">
        <v>1663</v>
      </c>
      <c r="H1306" t="s">
        <v>258</v>
      </c>
      <c r="I1306" t="s">
        <v>40</v>
      </c>
      <c r="J1306" t="s">
        <v>109</v>
      </c>
      <c r="K1306" t="s">
        <v>42</v>
      </c>
      <c r="L1306" t="s">
        <v>259</v>
      </c>
      <c r="N1306" t="s">
        <v>260</v>
      </c>
      <c r="Q1306">
        <v>31240</v>
      </c>
      <c r="R1306" t="s">
        <v>119</v>
      </c>
      <c r="S1306" t="s">
        <v>9443</v>
      </c>
      <c r="T1306">
        <v>24</v>
      </c>
      <c r="U1306" s="2" t="s">
        <v>9444</v>
      </c>
      <c r="V1306" s="1">
        <v>45875</v>
      </c>
      <c r="W1306" t="s">
        <v>84</v>
      </c>
      <c r="X1306">
        <v>838202</v>
      </c>
      <c r="Y1306" t="s">
        <v>9445</v>
      </c>
      <c r="Z1306" t="e">
        <f ca="1">- Preventive Maintenance
- module B1 functionality test
- Troubleshoot
- Data Collection</f>
        <v>#NAME?</v>
      </c>
      <c r="AA1306" t="e">
        <f ca="1">- Preventive Maintenance
-  Troubleshooting</f>
        <v>#NAME?</v>
      </c>
      <c r="AB1306" t="s">
        <v>70</v>
      </c>
      <c r="AG1306" t="s">
        <v>9446</v>
      </c>
      <c r="AH1306" t="s">
        <v>9447</v>
      </c>
      <c r="AI1306" t="s">
        <v>9448</v>
      </c>
    </row>
    <row r="1307" spans="2:35" ht="90">
      <c r="B1307" s="1">
        <v>45875</v>
      </c>
      <c r="C1307" s="1">
        <v>45875</v>
      </c>
      <c r="D1307" t="s">
        <v>2773</v>
      </c>
      <c r="E1307" t="s">
        <v>2774</v>
      </c>
      <c r="F1307">
        <v>2</v>
      </c>
      <c r="G1307" t="s">
        <v>2723</v>
      </c>
      <c r="H1307" t="s">
        <v>39</v>
      </c>
      <c r="I1307" t="s">
        <v>40</v>
      </c>
      <c r="J1307" s="2" t="s">
        <v>190</v>
      </c>
      <c r="K1307" t="s">
        <v>387</v>
      </c>
      <c r="L1307" t="s">
        <v>63</v>
      </c>
      <c r="N1307" t="s">
        <v>64</v>
      </c>
      <c r="Q1307">
        <v>31239</v>
      </c>
      <c r="R1307" t="s">
        <v>322</v>
      </c>
      <c r="S1307" t="s">
        <v>8420</v>
      </c>
      <c r="T1307">
        <v>28</v>
      </c>
      <c r="W1307" t="s">
        <v>390</v>
      </c>
      <c r="X1307" t="s">
        <v>8421</v>
      </c>
      <c r="Y1307" t="s">
        <v>9449</v>
      </c>
      <c r="Z1307" s="2" t="s">
        <v>9450</v>
      </c>
      <c r="AA1307" t="s">
        <v>9451</v>
      </c>
      <c r="AB1307" t="s">
        <v>9452</v>
      </c>
      <c r="AC1307" t="s">
        <v>9453</v>
      </c>
      <c r="AG1307" t="s">
        <v>9454</v>
      </c>
      <c r="AH1307" t="s">
        <v>8427</v>
      </c>
      <c r="AI1307" t="s">
        <v>9455</v>
      </c>
    </row>
    <row r="1308" spans="2:35" ht="360">
      <c r="B1308" s="1">
        <v>45875</v>
      </c>
      <c r="C1308" s="1">
        <v>45869</v>
      </c>
      <c r="D1308" t="s">
        <v>3669</v>
      </c>
      <c r="E1308" t="s">
        <v>4645</v>
      </c>
      <c r="F1308" t="s">
        <v>37</v>
      </c>
      <c r="G1308" t="s">
        <v>38</v>
      </c>
      <c r="H1308" t="s">
        <v>39</v>
      </c>
      <c r="I1308" t="s">
        <v>40</v>
      </c>
      <c r="J1308" t="s">
        <v>109</v>
      </c>
      <c r="K1308" t="s">
        <v>42</v>
      </c>
      <c r="L1308" t="s">
        <v>43</v>
      </c>
      <c r="N1308" t="s">
        <v>44</v>
      </c>
      <c r="Q1308">
        <v>31238</v>
      </c>
      <c r="R1308" t="s">
        <v>95</v>
      </c>
      <c r="S1308" t="s">
        <v>5945</v>
      </c>
      <c r="T1308">
        <v>22</v>
      </c>
      <c r="U1308" s="2" t="s">
        <v>6569</v>
      </c>
      <c r="W1308" t="s">
        <v>48</v>
      </c>
      <c r="X1308">
        <v>110005265</v>
      </c>
      <c r="Y1308" t="s">
        <v>121</v>
      </c>
      <c r="Z1308" t="s">
        <v>122</v>
      </c>
      <c r="AA1308" s="2" t="s">
        <v>123</v>
      </c>
      <c r="AB1308" t="s">
        <v>5948</v>
      </c>
      <c r="AG1308" t="s">
        <v>9456</v>
      </c>
      <c r="AH1308" t="s">
        <v>4652</v>
      </c>
      <c r="AI1308" t="s">
        <v>9457</v>
      </c>
    </row>
    <row r="1309" spans="2:35" ht="300">
      <c r="B1309" s="1">
        <v>45875</v>
      </c>
      <c r="C1309" s="1">
        <v>45869</v>
      </c>
      <c r="D1309" t="s">
        <v>3030</v>
      </c>
      <c r="E1309" t="s">
        <v>6564</v>
      </c>
      <c r="F1309" t="s">
        <v>37</v>
      </c>
      <c r="G1309" t="s">
        <v>38</v>
      </c>
      <c r="H1309" t="s">
        <v>39</v>
      </c>
      <c r="I1309" t="s">
        <v>40</v>
      </c>
      <c r="J1309" t="s">
        <v>109</v>
      </c>
      <c r="K1309" t="s">
        <v>42</v>
      </c>
      <c r="L1309" t="s">
        <v>43</v>
      </c>
      <c r="N1309" t="s">
        <v>44</v>
      </c>
      <c r="Q1309">
        <v>31237</v>
      </c>
      <c r="R1309" t="s">
        <v>967</v>
      </c>
      <c r="S1309" t="s">
        <v>3032</v>
      </c>
      <c r="T1309">
        <v>22</v>
      </c>
      <c r="U1309" s="2" t="s">
        <v>6565</v>
      </c>
      <c r="W1309" t="s">
        <v>153</v>
      </c>
      <c r="X1309">
        <v>110023496</v>
      </c>
      <c r="Y1309" t="s">
        <v>121</v>
      </c>
      <c r="Z1309" t="s">
        <v>122</v>
      </c>
      <c r="AA1309" s="2" t="s">
        <v>6566</v>
      </c>
      <c r="AB1309" t="s">
        <v>2088</v>
      </c>
      <c r="AG1309" t="s">
        <v>9458</v>
      </c>
      <c r="AH1309" t="s">
        <v>3035</v>
      </c>
      <c r="AI1309" t="s">
        <v>9459</v>
      </c>
    </row>
    <row r="1310" spans="2:35" ht="360">
      <c r="B1310" s="1">
        <v>45875</v>
      </c>
      <c r="C1310" s="1">
        <v>45875</v>
      </c>
      <c r="D1310" t="s">
        <v>9460</v>
      </c>
      <c r="E1310" t="s">
        <v>9461</v>
      </c>
      <c r="F1310">
        <v>3</v>
      </c>
      <c r="G1310" t="s">
        <v>730</v>
      </c>
      <c r="H1310" t="s">
        <v>39</v>
      </c>
      <c r="I1310" t="s">
        <v>40</v>
      </c>
      <c r="J1310" t="s">
        <v>109</v>
      </c>
      <c r="K1310" t="s">
        <v>42</v>
      </c>
      <c r="L1310" t="s">
        <v>135</v>
      </c>
      <c r="N1310" t="s">
        <v>136</v>
      </c>
      <c r="Q1310">
        <v>31236</v>
      </c>
      <c r="R1310" t="s">
        <v>95</v>
      </c>
      <c r="S1310" t="s">
        <v>4103</v>
      </c>
      <c r="T1310">
        <v>27</v>
      </c>
      <c r="U1310" s="2" t="s">
        <v>7228</v>
      </c>
      <c r="W1310" t="s">
        <v>3418</v>
      </c>
      <c r="X1310">
        <v>830841</v>
      </c>
      <c r="Y1310" t="s">
        <v>7229</v>
      </c>
      <c r="Z1310" t="s">
        <v>4315</v>
      </c>
      <c r="AA1310" s="2" t="s">
        <v>4316</v>
      </c>
      <c r="AB1310" t="s">
        <v>181</v>
      </c>
      <c r="AG1310" t="s">
        <v>9462</v>
      </c>
      <c r="AH1310" t="s">
        <v>4110</v>
      </c>
      <c r="AI1310" t="s">
        <v>9463</v>
      </c>
    </row>
    <row r="1311" spans="2:35" ht="360">
      <c r="B1311" s="1">
        <v>45875</v>
      </c>
      <c r="C1311" s="1">
        <v>45875</v>
      </c>
      <c r="D1311" t="s">
        <v>9464</v>
      </c>
      <c r="E1311" t="s">
        <v>9465</v>
      </c>
      <c r="F1311">
        <v>3</v>
      </c>
      <c r="G1311" t="s">
        <v>730</v>
      </c>
      <c r="H1311" t="s">
        <v>39</v>
      </c>
      <c r="I1311" t="s">
        <v>40</v>
      </c>
      <c r="J1311" t="s">
        <v>109</v>
      </c>
      <c r="K1311" t="s">
        <v>42</v>
      </c>
      <c r="L1311" t="s">
        <v>135</v>
      </c>
      <c r="N1311" t="s">
        <v>136</v>
      </c>
      <c r="Q1311">
        <v>31235</v>
      </c>
      <c r="R1311" t="s">
        <v>95</v>
      </c>
      <c r="S1311" t="s">
        <v>4103</v>
      </c>
      <c r="T1311">
        <v>27</v>
      </c>
      <c r="U1311" s="2" t="s">
        <v>7228</v>
      </c>
      <c r="W1311" t="s">
        <v>138</v>
      </c>
      <c r="X1311">
        <v>839232</v>
      </c>
      <c r="Y1311" t="s">
        <v>7229</v>
      </c>
      <c r="Z1311" t="s">
        <v>4315</v>
      </c>
      <c r="AA1311" s="2" t="s">
        <v>4316</v>
      </c>
      <c r="AB1311" s="2" t="s">
        <v>9466</v>
      </c>
      <c r="AG1311" t="s">
        <v>9467</v>
      </c>
      <c r="AH1311" t="s">
        <v>4110</v>
      </c>
      <c r="AI1311" t="s">
        <v>9468</v>
      </c>
    </row>
    <row r="1312" spans="2:35" ht="105">
      <c r="B1312" s="1">
        <v>45875</v>
      </c>
      <c r="C1312" s="1">
        <v>45875</v>
      </c>
      <c r="D1312" t="s">
        <v>9469</v>
      </c>
      <c r="E1312" t="s">
        <v>9470</v>
      </c>
      <c r="F1312">
        <v>8</v>
      </c>
      <c r="G1312" t="s">
        <v>1663</v>
      </c>
      <c r="H1312" t="s">
        <v>258</v>
      </c>
      <c r="I1312" t="s">
        <v>40</v>
      </c>
      <c r="J1312" t="s">
        <v>109</v>
      </c>
      <c r="K1312" t="s">
        <v>42</v>
      </c>
      <c r="L1312" t="s">
        <v>259</v>
      </c>
      <c r="N1312" t="s">
        <v>260</v>
      </c>
      <c r="Q1312">
        <v>31234</v>
      </c>
      <c r="R1312" t="s">
        <v>119</v>
      </c>
      <c r="S1312" t="s">
        <v>9471</v>
      </c>
      <c r="T1312">
        <v>28</v>
      </c>
      <c r="U1312" s="2" t="s">
        <v>8650</v>
      </c>
      <c r="W1312" t="s">
        <v>84</v>
      </c>
      <c r="X1312">
        <v>838498</v>
      </c>
      <c r="Y1312" t="s">
        <v>263</v>
      </c>
      <c r="Z1312" t="s">
        <v>263</v>
      </c>
      <c r="AA1312" t="e">
        <f ca="1">-Preventive Maintenance
- Data Collection</f>
        <v>#NAME?</v>
      </c>
      <c r="AB1312" t="s">
        <v>70</v>
      </c>
      <c r="AG1312" t="s">
        <v>9472</v>
      </c>
      <c r="AH1312" t="s">
        <v>9473</v>
      </c>
      <c r="AI1312" t="s">
        <v>9474</v>
      </c>
    </row>
    <row r="1313" spans="2:35" ht="225">
      <c r="B1313" s="1">
        <v>45875</v>
      </c>
      <c r="C1313" s="1">
        <v>45874</v>
      </c>
      <c r="D1313" t="s">
        <v>5125</v>
      </c>
      <c r="E1313" t="s">
        <v>9475</v>
      </c>
      <c r="F1313" t="s">
        <v>148</v>
      </c>
      <c r="G1313" t="s">
        <v>447</v>
      </c>
      <c r="H1313" t="s">
        <v>39</v>
      </c>
      <c r="I1313" t="s">
        <v>40</v>
      </c>
      <c r="J1313" t="s">
        <v>996</v>
      </c>
      <c r="K1313" t="s">
        <v>42</v>
      </c>
      <c r="L1313" t="s">
        <v>43</v>
      </c>
      <c r="N1313" t="s">
        <v>44</v>
      </c>
      <c r="O1313" t="s">
        <v>9476</v>
      </c>
      <c r="Q1313">
        <v>31233</v>
      </c>
      <c r="R1313" t="s">
        <v>322</v>
      </c>
      <c r="S1313" t="s">
        <v>9477</v>
      </c>
      <c r="T1313">
        <v>22</v>
      </c>
      <c r="U1313" s="2" t="s">
        <v>9478</v>
      </c>
      <c r="W1313" t="s">
        <v>153</v>
      </c>
      <c r="X1313">
        <v>110020698</v>
      </c>
      <c r="Y1313" t="s">
        <v>121</v>
      </c>
      <c r="Z1313" t="s">
        <v>122</v>
      </c>
      <c r="AA1313" s="2" t="s">
        <v>123</v>
      </c>
      <c r="AB1313" t="s">
        <v>990</v>
      </c>
      <c r="AG1313" t="s">
        <v>9479</v>
      </c>
      <c r="AH1313" t="s">
        <v>9480</v>
      </c>
      <c r="AI1313" t="s">
        <v>9481</v>
      </c>
    </row>
    <row r="1314" spans="2:35">
      <c r="B1314" s="1">
        <v>45874</v>
      </c>
      <c r="C1314" s="1">
        <v>45874</v>
      </c>
      <c r="D1314" t="s">
        <v>4875</v>
      </c>
      <c r="E1314" t="s">
        <v>229</v>
      </c>
      <c r="F1314" t="s">
        <v>148</v>
      </c>
      <c r="G1314" t="s">
        <v>230</v>
      </c>
      <c r="H1314" t="s">
        <v>39</v>
      </c>
      <c r="I1314" t="s">
        <v>40</v>
      </c>
      <c r="J1314" t="s">
        <v>109</v>
      </c>
      <c r="K1314" t="s">
        <v>42</v>
      </c>
      <c r="L1314" t="s">
        <v>175</v>
      </c>
      <c r="N1314" t="s">
        <v>176</v>
      </c>
      <c r="Q1314">
        <v>31232</v>
      </c>
      <c r="R1314" t="s">
        <v>322</v>
      </c>
      <c r="S1314" t="s">
        <v>4880</v>
      </c>
      <c r="T1314">
        <v>25</v>
      </c>
      <c r="W1314" t="s">
        <v>373</v>
      </c>
      <c r="X1314">
        <v>120003480</v>
      </c>
      <c r="Y1314" t="s">
        <v>374</v>
      </c>
      <c r="Z1314" t="s">
        <v>103</v>
      </c>
      <c r="AA1314" t="e">
        <f ca="1">- checked _xludf.and cleaned cartridge bay, plunger rod, _xludf.filter,  icore
- generated reports
- performed self test</f>
        <v>#NAME?</v>
      </c>
      <c r="AB1314" t="s">
        <v>181</v>
      </c>
      <c r="AG1314" t="s">
        <v>9482</v>
      </c>
      <c r="AH1314" t="s">
        <v>8257</v>
      </c>
      <c r="AI1314" t="s">
        <v>9483</v>
      </c>
    </row>
    <row r="1315" spans="2:35" ht="225">
      <c r="B1315" s="1">
        <v>45874</v>
      </c>
      <c r="C1315" s="1">
        <v>45874</v>
      </c>
      <c r="D1315" t="s">
        <v>2264</v>
      </c>
      <c r="E1315" t="s">
        <v>9484</v>
      </c>
      <c r="F1315" t="s">
        <v>148</v>
      </c>
      <c r="G1315" t="s">
        <v>2007</v>
      </c>
      <c r="H1315" t="s">
        <v>39</v>
      </c>
      <c r="I1315" t="s">
        <v>40</v>
      </c>
      <c r="J1315" t="s">
        <v>109</v>
      </c>
      <c r="K1315" t="s">
        <v>42</v>
      </c>
      <c r="L1315" t="s">
        <v>43</v>
      </c>
      <c r="N1315" t="s">
        <v>44</v>
      </c>
      <c r="O1315" t="s">
        <v>2266</v>
      </c>
      <c r="Q1315">
        <v>31231</v>
      </c>
      <c r="R1315" t="s">
        <v>95</v>
      </c>
      <c r="S1315" t="s">
        <v>5506</v>
      </c>
      <c r="T1315">
        <v>22</v>
      </c>
      <c r="U1315" s="2" t="s">
        <v>9485</v>
      </c>
      <c r="W1315" t="s">
        <v>153</v>
      </c>
      <c r="X1315">
        <v>110023460</v>
      </c>
      <c r="Y1315" t="s">
        <v>121</v>
      </c>
      <c r="Z1315" t="s">
        <v>122</v>
      </c>
      <c r="AA1315" s="2" t="s">
        <v>123</v>
      </c>
      <c r="AB1315" t="s">
        <v>88</v>
      </c>
      <c r="AG1315" t="s">
        <v>9486</v>
      </c>
      <c r="AH1315" t="s">
        <v>2270</v>
      </c>
      <c r="AI1315" t="s">
        <v>9487</v>
      </c>
    </row>
    <row r="1316" spans="2:35" ht="105">
      <c r="B1316" s="1">
        <v>45874</v>
      </c>
      <c r="C1316" s="1">
        <v>45874</v>
      </c>
      <c r="D1316" t="s">
        <v>8539</v>
      </c>
      <c r="E1316" t="s">
        <v>8540</v>
      </c>
      <c r="F1316">
        <v>9</v>
      </c>
      <c r="G1316" t="s">
        <v>2197</v>
      </c>
      <c r="H1316" t="s">
        <v>39</v>
      </c>
      <c r="I1316" t="s">
        <v>40</v>
      </c>
      <c r="J1316" s="2" t="s">
        <v>190</v>
      </c>
      <c r="K1316" t="s">
        <v>42</v>
      </c>
      <c r="L1316" t="s">
        <v>1257</v>
      </c>
      <c r="N1316" t="s">
        <v>1258</v>
      </c>
      <c r="O1316" t="s">
        <v>1258</v>
      </c>
      <c r="Q1316">
        <v>31230</v>
      </c>
      <c r="R1316" t="s">
        <v>45</v>
      </c>
      <c r="S1316" t="s">
        <v>8542</v>
      </c>
      <c r="T1316">
        <v>27</v>
      </c>
      <c r="U1316" s="2" t="s">
        <v>9488</v>
      </c>
      <c r="V1316" s="1">
        <v>45874</v>
      </c>
      <c r="W1316" t="s">
        <v>1008</v>
      </c>
      <c r="X1316">
        <v>838533</v>
      </c>
      <c r="Y1316" t="s">
        <v>9489</v>
      </c>
      <c r="Z1316" t="s">
        <v>9490</v>
      </c>
      <c r="AA1316" t="s">
        <v>9490</v>
      </c>
      <c r="AB1316" t="s">
        <v>9491</v>
      </c>
      <c r="AC1316" t="s">
        <v>9492</v>
      </c>
      <c r="AD1316" t="s">
        <v>54</v>
      </c>
      <c r="AE1316" t="s">
        <v>54</v>
      </c>
      <c r="AG1316" t="s">
        <v>9493</v>
      </c>
      <c r="AH1316" t="s">
        <v>9494</v>
      </c>
      <c r="AI1316" t="s">
        <v>9495</v>
      </c>
    </row>
    <row r="1317" spans="2:35" ht="240">
      <c r="B1317" s="1">
        <v>45874</v>
      </c>
      <c r="C1317" s="1">
        <v>45868</v>
      </c>
      <c r="D1317" t="s">
        <v>9496</v>
      </c>
      <c r="E1317" t="s">
        <v>9497</v>
      </c>
      <c r="F1317">
        <v>6</v>
      </c>
      <c r="G1317" t="s">
        <v>1286</v>
      </c>
      <c r="H1317" t="s">
        <v>39</v>
      </c>
      <c r="I1317" t="s">
        <v>40</v>
      </c>
      <c r="J1317" s="2" t="s">
        <v>9498</v>
      </c>
      <c r="K1317" t="s">
        <v>42</v>
      </c>
      <c r="L1317" t="s">
        <v>433</v>
      </c>
      <c r="N1317" t="s">
        <v>434</v>
      </c>
      <c r="Q1317">
        <v>31229</v>
      </c>
      <c r="R1317" t="s">
        <v>119</v>
      </c>
      <c r="S1317" t="s">
        <v>6358</v>
      </c>
      <c r="T1317">
        <v>24</v>
      </c>
      <c r="W1317" t="s">
        <v>502</v>
      </c>
      <c r="X1317">
        <v>838393</v>
      </c>
      <c r="Y1317" s="2" t="s">
        <v>9499</v>
      </c>
      <c r="Z1317" s="2" t="s">
        <v>9500</v>
      </c>
      <c r="AA1317" s="2" t="s">
        <v>9500</v>
      </c>
      <c r="AB1317" s="2" t="s">
        <v>9501</v>
      </c>
      <c r="AG1317" t="s">
        <v>9502</v>
      </c>
      <c r="AH1317" t="s">
        <v>9503</v>
      </c>
      <c r="AI1317" t="s">
        <v>9504</v>
      </c>
    </row>
    <row r="1318" spans="2:35" ht="60">
      <c r="B1318" s="1">
        <v>45874</v>
      </c>
      <c r="C1318" s="1">
        <v>45874</v>
      </c>
      <c r="D1318" t="s">
        <v>9505</v>
      </c>
      <c r="E1318" t="s">
        <v>9506</v>
      </c>
      <c r="F1318">
        <v>6</v>
      </c>
      <c r="G1318" t="s">
        <v>1507</v>
      </c>
      <c r="H1318" t="s">
        <v>39</v>
      </c>
      <c r="I1318" t="s">
        <v>40</v>
      </c>
      <c r="J1318" s="2" t="s">
        <v>9507</v>
      </c>
      <c r="K1318" t="s">
        <v>42</v>
      </c>
      <c r="L1318" t="s">
        <v>343</v>
      </c>
      <c r="N1318" t="s">
        <v>344</v>
      </c>
      <c r="Q1318">
        <v>31228</v>
      </c>
      <c r="R1318" t="s">
        <v>119</v>
      </c>
      <c r="S1318" t="s">
        <v>9508</v>
      </c>
      <c r="T1318">
        <v>28</v>
      </c>
      <c r="W1318" t="s">
        <v>1501</v>
      </c>
      <c r="X1318">
        <v>837615</v>
      </c>
      <c r="Y1318" t="s">
        <v>9509</v>
      </c>
      <c r="Z1318" t="s">
        <v>301</v>
      </c>
      <c r="AA1318" t="e">
        <f ca="1">-Pack up machine
-Check machine</f>
        <v>#NAME?</v>
      </c>
      <c r="AB1318" t="s">
        <v>348</v>
      </c>
      <c r="AC1318" t="s">
        <v>9510</v>
      </c>
      <c r="AG1318" t="s">
        <v>9511</v>
      </c>
      <c r="AH1318" t="s">
        <v>9512</v>
      </c>
      <c r="AI1318" t="s">
        <v>9513</v>
      </c>
    </row>
    <row r="1319" spans="2:35" ht="409.5">
      <c r="B1319" s="1">
        <v>45873</v>
      </c>
      <c r="C1319" s="1">
        <v>45872</v>
      </c>
      <c r="D1319" t="s">
        <v>9514</v>
      </c>
      <c r="E1319" t="s">
        <v>2310</v>
      </c>
      <c r="F1319" t="s">
        <v>148</v>
      </c>
      <c r="G1319" t="s">
        <v>2007</v>
      </c>
      <c r="H1319" t="s">
        <v>39</v>
      </c>
      <c r="I1319" t="s">
        <v>40</v>
      </c>
      <c r="J1319" s="2" t="s">
        <v>6184</v>
      </c>
      <c r="K1319" t="s">
        <v>42</v>
      </c>
      <c r="L1319" t="s">
        <v>43</v>
      </c>
      <c r="N1319" t="s">
        <v>44</v>
      </c>
      <c r="Q1319">
        <v>31226</v>
      </c>
      <c r="R1319" t="s">
        <v>95</v>
      </c>
      <c r="S1319" t="s">
        <v>4273</v>
      </c>
      <c r="T1319">
        <v>24</v>
      </c>
      <c r="U1319" s="2" t="s">
        <v>9515</v>
      </c>
      <c r="W1319" t="s">
        <v>153</v>
      </c>
      <c r="X1319">
        <v>110001647</v>
      </c>
      <c r="Y1319" t="s">
        <v>4709</v>
      </c>
      <c r="Z1319" t="s">
        <v>9516</v>
      </c>
      <c r="AA1319" s="2" t="s">
        <v>9517</v>
      </c>
      <c r="AB1319" t="s">
        <v>9518</v>
      </c>
      <c r="AG1319" t="s">
        <v>9519</v>
      </c>
      <c r="AH1319" t="s">
        <v>7000</v>
      </c>
      <c r="AI1319" t="s">
        <v>9520</v>
      </c>
    </row>
    <row r="1320" spans="2:35" ht="180">
      <c r="B1320" s="1">
        <v>45873</v>
      </c>
      <c r="C1320" s="1">
        <v>45870</v>
      </c>
      <c r="D1320" t="s">
        <v>1081</v>
      </c>
      <c r="E1320" t="s">
        <v>2073</v>
      </c>
      <c r="F1320" t="s">
        <v>148</v>
      </c>
      <c r="G1320" t="s">
        <v>785</v>
      </c>
      <c r="H1320" t="s">
        <v>39</v>
      </c>
      <c r="I1320" t="s">
        <v>40</v>
      </c>
      <c r="J1320" t="s">
        <v>109</v>
      </c>
      <c r="K1320" t="s">
        <v>408</v>
      </c>
      <c r="L1320" t="s">
        <v>43</v>
      </c>
      <c r="N1320" t="s">
        <v>44</v>
      </c>
      <c r="O1320" t="s">
        <v>2015</v>
      </c>
      <c r="P1320" t="s">
        <v>5287</v>
      </c>
      <c r="Q1320">
        <v>31225</v>
      </c>
      <c r="R1320" t="s">
        <v>95</v>
      </c>
      <c r="S1320" t="s">
        <v>9521</v>
      </c>
      <c r="T1320">
        <v>24</v>
      </c>
      <c r="W1320" t="s">
        <v>6647</v>
      </c>
      <c r="X1320">
        <v>3702058</v>
      </c>
      <c r="Y1320" t="s">
        <v>121</v>
      </c>
      <c r="Z1320" t="s">
        <v>122</v>
      </c>
      <c r="AA1320" s="2" t="s">
        <v>9522</v>
      </c>
      <c r="AB1320" t="s">
        <v>88</v>
      </c>
      <c r="AG1320" t="s">
        <v>9523</v>
      </c>
      <c r="AH1320" t="s">
        <v>9524</v>
      </c>
      <c r="AI1320" t="s">
        <v>9525</v>
      </c>
    </row>
    <row r="1321" spans="2:35" ht="409.5">
      <c r="B1321" s="1">
        <v>45873</v>
      </c>
      <c r="C1321" s="1">
        <v>45870</v>
      </c>
      <c r="D1321" t="s">
        <v>1081</v>
      </c>
      <c r="E1321" t="s">
        <v>1082</v>
      </c>
      <c r="F1321" t="s">
        <v>148</v>
      </c>
      <c r="G1321" t="s">
        <v>785</v>
      </c>
      <c r="H1321" t="s">
        <v>39</v>
      </c>
      <c r="I1321" t="s">
        <v>40</v>
      </c>
      <c r="J1321" s="2" t="s">
        <v>62</v>
      </c>
      <c r="K1321" t="s">
        <v>42</v>
      </c>
      <c r="L1321" t="s">
        <v>43</v>
      </c>
      <c r="N1321" t="s">
        <v>44</v>
      </c>
      <c r="O1321" t="s">
        <v>2015</v>
      </c>
      <c r="Q1321">
        <v>31227</v>
      </c>
      <c r="R1321" t="s">
        <v>95</v>
      </c>
      <c r="S1321" t="s">
        <v>2016</v>
      </c>
      <c r="T1321">
        <v>22</v>
      </c>
      <c r="U1321" s="2" t="s">
        <v>9526</v>
      </c>
      <c r="W1321" t="s">
        <v>5136</v>
      </c>
      <c r="X1321">
        <v>110015767</v>
      </c>
      <c r="Y1321" t="s">
        <v>9527</v>
      </c>
      <c r="Z1321" t="s">
        <v>9528</v>
      </c>
      <c r="AA1321" s="2" t="s">
        <v>9529</v>
      </c>
      <c r="AB1321" t="s">
        <v>9530</v>
      </c>
      <c r="AG1321" t="s">
        <v>9531</v>
      </c>
      <c r="AH1321" t="s">
        <v>9532</v>
      </c>
      <c r="AI1321" t="s">
        <v>9533</v>
      </c>
    </row>
    <row r="1322" spans="2:35" ht="255">
      <c r="B1322" s="1">
        <v>45873</v>
      </c>
      <c r="C1322" s="1">
        <v>45867</v>
      </c>
      <c r="D1322" t="s">
        <v>2427</v>
      </c>
      <c r="E1322" t="s">
        <v>2428</v>
      </c>
      <c r="F1322" t="s">
        <v>148</v>
      </c>
      <c r="G1322" t="s">
        <v>447</v>
      </c>
      <c r="H1322" t="s">
        <v>39</v>
      </c>
      <c r="I1322" t="s">
        <v>40</v>
      </c>
      <c r="J1322" t="s">
        <v>109</v>
      </c>
      <c r="K1322" t="s">
        <v>42</v>
      </c>
      <c r="L1322" t="s">
        <v>1028</v>
      </c>
      <c r="N1322" t="s">
        <v>1029</v>
      </c>
      <c r="Q1322">
        <v>31224</v>
      </c>
      <c r="R1322" t="s">
        <v>703</v>
      </c>
      <c r="S1322" t="s">
        <v>5860</v>
      </c>
      <c r="T1322">
        <v>25</v>
      </c>
      <c r="U1322" s="2" t="s">
        <v>9534</v>
      </c>
      <c r="W1322" t="s">
        <v>9535</v>
      </c>
      <c r="X1322">
        <v>110024553</v>
      </c>
      <c r="Y1322" t="s">
        <v>1978</v>
      </c>
      <c r="Z1322" t="s">
        <v>1548</v>
      </c>
      <c r="AA1322" s="2" t="s">
        <v>9536</v>
      </c>
      <c r="AB1322" s="2" t="s">
        <v>9537</v>
      </c>
      <c r="AG1322" t="s">
        <v>9538</v>
      </c>
      <c r="AH1322" t="s">
        <v>5865</v>
      </c>
      <c r="AI1322" t="s">
        <v>9539</v>
      </c>
    </row>
    <row r="1323" spans="2:35" ht="409.5">
      <c r="B1323" s="1">
        <v>45873</v>
      </c>
      <c r="C1323" s="1">
        <v>45868</v>
      </c>
      <c r="D1323" t="s">
        <v>9540</v>
      </c>
      <c r="E1323" t="s">
        <v>9541</v>
      </c>
      <c r="F1323" t="s">
        <v>148</v>
      </c>
      <c r="G1323" t="s">
        <v>4786</v>
      </c>
      <c r="H1323" t="s">
        <v>662</v>
      </c>
      <c r="I1323" t="s">
        <v>40</v>
      </c>
      <c r="J1323" t="s">
        <v>109</v>
      </c>
      <c r="K1323" t="s">
        <v>42</v>
      </c>
      <c r="L1323" t="s">
        <v>1028</v>
      </c>
      <c r="N1323" t="s">
        <v>1029</v>
      </c>
      <c r="Q1323">
        <v>31223</v>
      </c>
      <c r="R1323" t="s">
        <v>95</v>
      </c>
      <c r="S1323" t="s">
        <v>4787</v>
      </c>
      <c r="T1323">
        <v>25</v>
      </c>
      <c r="U1323" s="2" t="s">
        <v>9542</v>
      </c>
      <c r="W1323" t="s">
        <v>1967</v>
      </c>
      <c r="X1323">
        <v>831316</v>
      </c>
      <c r="Y1323" t="s">
        <v>1978</v>
      </c>
      <c r="Z1323" t="s">
        <v>1548</v>
      </c>
      <c r="AA1323" s="2" t="s">
        <v>7336</v>
      </c>
      <c r="AB1323" t="s">
        <v>9543</v>
      </c>
      <c r="AG1323" t="s">
        <v>9544</v>
      </c>
      <c r="AH1323" t="s">
        <v>9545</v>
      </c>
      <c r="AI1323" t="s">
        <v>9546</v>
      </c>
    </row>
    <row r="1324" spans="2:35" ht="409.5">
      <c r="B1324" s="1">
        <v>45873</v>
      </c>
      <c r="C1324" s="1">
        <v>45868</v>
      </c>
      <c r="D1324" t="s">
        <v>1026</v>
      </c>
      <c r="E1324" t="s">
        <v>1027</v>
      </c>
      <c r="F1324" t="s">
        <v>148</v>
      </c>
      <c r="G1324" t="s">
        <v>774</v>
      </c>
      <c r="H1324" t="s">
        <v>662</v>
      </c>
      <c r="I1324" t="s">
        <v>94</v>
      </c>
      <c r="J1324" s="2" t="s">
        <v>62</v>
      </c>
      <c r="K1324" t="s">
        <v>42</v>
      </c>
      <c r="L1324" t="s">
        <v>1028</v>
      </c>
      <c r="N1324" t="s">
        <v>1029</v>
      </c>
      <c r="Q1324">
        <v>31222</v>
      </c>
      <c r="R1324" t="s">
        <v>95</v>
      </c>
      <c r="S1324" t="s">
        <v>4609</v>
      </c>
      <c r="T1324">
        <v>23</v>
      </c>
      <c r="U1324" s="2" t="s">
        <v>9547</v>
      </c>
      <c r="V1324" s="1">
        <v>45856</v>
      </c>
      <c r="W1324" t="s">
        <v>9535</v>
      </c>
      <c r="X1324">
        <v>110014996</v>
      </c>
      <c r="Y1324" t="s">
        <v>1547</v>
      </c>
      <c r="Z1324" t="s">
        <v>5150</v>
      </c>
      <c r="AA1324" s="2" t="s">
        <v>9548</v>
      </c>
      <c r="AB1324" s="2" t="s">
        <v>9549</v>
      </c>
      <c r="AD1324" t="s">
        <v>7189</v>
      </c>
      <c r="AE1324" t="s">
        <v>9550</v>
      </c>
      <c r="AG1324" t="s">
        <v>9551</v>
      </c>
      <c r="AH1324" t="s">
        <v>6608</v>
      </c>
      <c r="AI1324" t="s">
        <v>9552</v>
      </c>
    </row>
    <row r="1325" spans="2:35" ht="345">
      <c r="B1325" s="1">
        <v>45873</v>
      </c>
      <c r="C1325" s="1">
        <v>45869</v>
      </c>
      <c r="D1325" t="s">
        <v>4601</v>
      </c>
      <c r="E1325" t="s">
        <v>4602</v>
      </c>
      <c r="F1325" t="s">
        <v>37</v>
      </c>
      <c r="G1325" t="s">
        <v>748</v>
      </c>
      <c r="H1325" t="s">
        <v>39</v>
      </c>
      <c r="I1325" t="s">
        <v>40</v>
      </c>
      <c r="J1325" s="2" t="s">
        <v>6184</v>
      </c>
      <c r="K1325" t="s">
        <v>42</v>
      </c>
      <c r="L1325" t="s">
        <v>1028</v>
      </c>
      <c r="N1325" t="s">
        <v>1029</v>
      </c>
      <c r="Q1325">
        <v>31221</v>
      </c>
      <c r="R1325" t="s">
        <v>322</v>
      </c>
      <c r="S1325" t="s">
        <v>4603</v>
      </c>
      <c r="T1325">
        <v>26</v>
      </c>
      <c r="U1325" s="2" t="s">
        <v>9553</v>
      </c>
      <c r="W1325" t="s">
        <v>1032</v>
      </c>
      <c r="X1325">
        <v>120003582</v>
      </c>
      <c r="Y1325" s="2" t="s">
        <v>9554</v>
      </c>
      <c r="Z1325" t="s">
        <v>1548</v>
      </c>
      <c r="AA1325" s="2" t="s">
        <v>9555</v>
      </c>
      <c r="AB1325" s="2" t="s">
        <v>9556</v>
      </c>
      <c r="AG1325" t="s">
        <v>9557</v>
      </c>
      <c r="AH1325" t="s">
        <v>4607</v>
      </c>
      <c r="AI1325" t="s">
        <v>9558</v>
      </c>
    </row>
    <row r="1326" spans="2:35" ht="255">
      <c r="B1326" s="1">
        <v>45873</v>
      </c>
      <c r="C1326" s="1">
        <v>45868</v>
      </c>
      <c r="D1326" t="s">
        <v>1026</v>
      </c>
      <c r="E1326" t="s">
        <v>1027</v>
      </c>
      <c r="F1326" t="s">
        <v>148</v>
      </c>
      <c r="G1326" t="s">
        <v>774</v>
      </c>
      <c r="H1326" t="s">
        <v>513</v>
      </c>
      <c r="I1326" t="s">
        <v>40</v>
      </c>
      <c r="J1326" s="2" t="s">
        <v>190</v>
      </c>
      <c r="K1326" t="s">
        <v>387</v>
      </c>
      <c r="L1326" t="s">
        <v>1028</v>
      </c>
      <c r="N1326" t="s">
        <v>1029</v>
      </c>
      <c r="Q1326">
        <v>31219</v>
      </c>
      <c r="R1326" t="s">
        <v>95</v>
      </c>
      <c r="S1326" t="s">
        <v>5183</v>
      </c>
      <c r="T1326">
        <v>25</v>
      </c>
      <c r="W1326" t="s">
        <v>390</v>
      </c>
      <c r="X1326" t="s">
        <v>3773</v>
      </c>
      <c r="Y1326" t="s">
        <v>9559</v>
      </c>
      <c r="Z1326" t="s">
        <v>9560</v>
      </c>
      <c r="AA1326" s="2" t="s">
        <v>9561</v>
      </c>
      <c r="AB1326" s="2" t="s">
        <v>9562</v>
      </c>
      <c r="AG1326" t="s">
        <v>9563</v>
      </c>
      <c r="AH1326" t="s">
        <v>5190</v>
      </c>
      <c r="AI1326" t="s">
        <v>9564</v>
      </c>
    </row>
    <row r="1327" spans="2:35" ht="225">
      <c r="B1327" s="1">
        <v>45873</v>
      </c>
      <c r="C1327" s="1">
        <v>45868</v>
      </c>
      <c r="D1327" t="s">
        <v>1026</v>
      </c>
      <c r="E1327" t="s">
        <v>1027</v>
      </c>
      <c r="F1327" t="s">
        <v>148</v>
      </c>
      <c r="G1327" t="s">
        <v>774</v>
      </c>
      <c r="H1327" t="s">
        <v>513</v>
      </c>
      <c r="I1327" t="s">
        <v>40</v>
      </c>
      <c r="J1327" t="s">
        <v>109</v>
      </c>
      <c r="K1327" t="s">
        <v>387</v>
      </c>
      <c r="L1327" t="s">
        <v>1028</v>
      </c>
      <c r="N1327" t="s">
        <v>1029</v>
      </c>
      <c r="Q1327">
        <v>31220</v>
      </c>
      <c r="R1327" t="s">
        <v>95</v>
      </c>
      <c r="S1327" t="s">
        <v>5183</v>
      </c>
      <c r="T1327">
        <v>25</v>
      </c>
      <c r="W1327" t="s">
        <v>390</v>
      </c>
      <c r="X1327" t="s">
        <v>5184</v>
      </c>
      <c r="Y1327" t="s">
        <v>1978</v>
      </c>
      <c r="Z1327" t="s">
        <v>1548</v>
      </c>
      <c r="AA1327" s="2" t="s">
        <v>9565</v>
      </c>
      <c r="AB1327" t="s">
        <v>3777</v>
      </c>
      <c r="AG1327" t="s">
        <v>9566</v>
      </c>
      <c r="AH1327" t="s">
        <v>5190</v>
      </c>
      <c r="AI1327" t="s">
        <v>9567</v>
      </c>
    </row>
    <row r="1328" spans="2:35" ht="345">
      <c r="B1328" s="1">
        <v>45873</v>
      </c>
      <c r="C1328" s="1">
        <v>45870</v>
      </c>
      <c r="D1328" t="s">
        <v>2176</v>
      </c>
      <c r="E1328" t="s">
        <v>2580</v>
      </c>
      <c r="F1328" t="s">
        <v>148</v>
      </c>
      <c r="G1328" t="s">
        <v>447</v>
      </c>
      <c r="H1328" t="s">
        <v>9568</v>
      </c>
      <c r="I1328" t="s">
        <v>40</v>
      </c>
      <c r="J1328" t="s">
        <v>109</v>
      </c>
      <c r="K1328" t="s">
        <v>387</v>
      </c>
      <c r="L1328" t="s">
        <v>448</v>
      </c>
      <c r="N1328" t="s">
        <v>650</v>
      </c>
      <c r="O1328" t="s">
        <v>4140</v>
      </c>
      <c r="Q1328">
        <v>31218</v>
      </c>
      <c r="R1328" t="s">
        <v>322</v>
      </c>
      <c r="S1328" t="s">
        <v>9569</v>
      </c>
      <c r="T1328">
        <v>26</v>
      </c>
      <c r="W1328" t="s">
        <v>476</v>
      </c>
      <c r="X1328" t="s">
        <v>4142</v>
      </c>
      <c r="Y1328" t="s">
        <v>485</v>
      </c>
      <c r="Z1328" s="2" t="s">
        <v>9570</v>
      </c>
      <c r="AA1328" t="s">
        <v>122</v>
      </c>
      <c r="AB1328" t="s">
        <v>486</v>
      </c>
      <c r="AG1328" t="s">
        <v>9571</v>
      </c>
      <c r="AH1328" t="s">
        <v>8870</v>
      </c>
      <c r="AI1328" t="s">
        <v>9572</v>
      </c>
    </row>
    <row r="1329" spans="2:35" ht="255">
      <c r="B1329" s="1">
        <v>45873</v>
      </c>
      <c r="C1329" s="1">
        <v>45870</v>
      </c>
      <c r="D1329" t="s">
        <v>4492</v>
      </c>
      <c r="E1329" t="s">
        <v>6790</v>
      </c>
      <c r="F1329" t="s">
        <v>148</v>
      </c>
      <c r="G1329" t="s">
        <v>447</v>
      </c>
      <c r="H1329" t="s">
        <v>39</v>
      </c>
      <c r="I1329" t="s">
        <v>40</v>
      </c>
      <c r="J1329" t="s">
        <v>109</v>
      </c>
      <c r="K1329" t="s">
        <v>42</v>
      </c>
      <c r="L1329" t="s">
        <v>448</v>
      </c>
      <c r="N1329" t="s">
        <v>650</v>
      </c>
      <c r="Q1329">
        <v>31217</v>
      </c>
      <c r="R1329" t="s">
        <v>95</v>
      </c>
      <c r="S1329" t="s">
        <v>6791</v>
      </c>
      <c r="T1329">
        <v>23</v>
      </c>
      <c r="U1329" s="2" t="s">
        <v>8511</v>
      </c>
      <c r="W1329" t="s">
        <v>6121</v>
      </c>
      <c r="X1329">
        <v>110008529</v>
      </c>
      <c r="Y1329" s="2" t="s">
        <v>9573</v>
      </c>
      <c r="Z1329" s="2" t="s">
        <v>2011</v>
      </c>
      <c r="AA1329" t="s">
        <v>122</v>
      </c>
      <c r="AB1329" s="2" t="s">
        <v>9574</v>
      </c>
      <c r="AG1329" t="s">
        <v>9575</v>
      </c>
      <c r="AH1329" t="s">
        <v>8513</v>
      </c>
      <c r="AI1329" t="s">
        <v>9576</v>
      </c>
    </row>
    <row r="1330" spans="2:35" ht="409.5">
      <c r="B1330" s="1">
        <v>45873</v>
      </c>
      <c r="C1330" s="1">
        <v>45870</v>
      </c>
      <c r="D1330" t="s">
        <v>2176</v>
      </c>
      <c r="E1330" t="s">
        <v>2580</v>
      </c>
      <c r="F1330" t="s">
        <v>148</v>
      </c>
      <c r="G1330" t="s">
        <v>447</v>
      </c>
      <c r="H1330" t="s">
        <v>662</v>
      </c>
      <c r="I1330" t="s">
        <v>40</v>
      </c>
      <c r="J1330" t="s">
        <v>109</v>
      </c>
      <c r="K1330" t="s">
        <v>42</v>
      </c>
      <c r="L1330" t="s">
        <v>448</v>
      </c>
      <c r="N1330" t="s">
        <v>650</v>
      </c>
      <c r="O1330" t="s">
        <v>4140</v>
      </c>
      <c r="Q1330">
        <v>31216</v>
      </c>
      <c r="R1330" t="s">
        <v>322</v>
      </c>
      <c r="S1330" t="s">
        <v>3086</v>
      </c>
      <c r="T1330">
        <v>26</v>
      </c>
      <c r="U1330" s="2" t="s">
        <v>9577</v>
      </c>
      <c r="W1330" t="s">
        <v>1573</v>
      </c>
      <c r="X1330">
        <v>110016781</v>
      </c>
      <c r="Y1330" s="2" t="s">
        <v>9578</v>
      </c>
      <c r="Z1330" s="2" t="s">
        <v>2011</v>
      </c>
      <c r="AA1330" t="s">
        <v>122</v>
      </c>
      <c r="AB1330" s="2" t="s">
        <v>9579</v>
      </c>
      <c r="AG1330" t="s">
        <v>9580</v>
      </c>
      <c r="AH1330" t="s">
        <v>9581</v>
      </c>
      <c r="AI1330" t="s">
        <v>9582</v>
      </c>
    </row>
    <row r="1331" spans="2:35">
      <c r="B1331" s="1">
        <v>45873</v>
      </c>
      <c r="C1331" s="1">
        <v>45869</v>
      </c>
      <c r="D1331" t="s">
        <v>3738</v>
      </c>
      <c r="E1331" t="s">
        <v>3739</v>
      </c>
      <c r="F1331">
        <v>1</v>
      </c>
      <c r="G1331" t="s">
        <v>1046</v>
      </c>
      <c r="H1331" t="s">
        <v>39</v>
      </c>
      <c r="I1331" t="s">
        <v>40</v>
      </c>
      <c r="J1331" t="s">
        <v>109</v>
      </c>
      <c r="K1331" t="s">
        <v>42</v>
      </c>
      <c r="L1331" t="s">
        <v>1048</v>
      </c>
      <c r="N1331" t="s">
        <v>1049</v>
      </c>
      <c r="Q1331">
        <v>31215</v>
      </c>
      <c r="R1331" t="s">
        <v>119</v>
      </c>
      <c r="S1331" t="s">
        <v>3740</v>
      </c>
      <c r="T1331">
        <v>28</v>
      </c>
      <c r="W1331" t="s">
        <v>1051</v>
      </c>
      <c r="X1331">
        <v>838438</v>
      </c>
      <c r="Y1331" t="s">
        <v>1052</v>
      </c>
      <c r="Z1331" t="e">
        <f ca="1">- cleaned cartridge Bays, plunger Rods _xludf.and I-CORE
- generated reports</f>
        <v>#NAME?</v>
      </c>
      <c r="AA1331" t="s">
        <v>820</v>
      </c>
      <c r="AB1331" t="s">
        <v>1428</v>
      </c>
      <c r="AG1331" t="s">
        <v>9583</v>
      </c>
      <c r="AH1331" t="s">
        <v>3742</v>
      </c>
      <c r="AI1331" t="s">
        <v>9584</v>
      </c>
    </row>
    <row r="1332" spans="2:35" ht="105">
      <c r="B1332" s="1">
        <v>45873</v>
      </c>
      <c r="C1332" s="1">
        <v>45869</v>
      </c>
      <c r="D1332" t="s">
        <v>1057</v>
      </c>
      <c r="E1332" t="s">
        <v>1058</v>
      </c>
      <c r="F1332">
        <v>1</v>
      </c>
      <c r="G1332" t="s">
        <v>1046</v>
      </c>
      <c r="H1332" t="s">
        <v>39</v>
      </c>
      <c r="I1332" t="s">
        <v>40</v>
      </c>
      <c r="J1332" t="s">
        <v>109</v>
      </c>
      <c r="K1332" t="s">
        <v>42</v>
      </c>
      <c r="L1332" t="s">
        <v>1048</v>
      </c>
      <c r="N1332" t="s">
        <v>1049</v>
      </c>
      <c r="Q1332">
        <v>31214</v>
      </c>
      <c r="R1332" t="s">
        <v>95</v>
      </c>
      <c r="S1332" t="s">
        <v>1059</v>
      </c>
      <c r="T1332">
        <v>28</v>
      </c>
      <c r="W1332" t="s">
        <v>1060</v>
      </c>
      <c r="X1332">
        <v>820303</v>
      </c>
      <c r="Y1332" t="s">
        <v>1052</v>
      </c>
      <c r="Z1332" t="e">
        <f ca="1">- cleaned cartridge Bays, plunger Rods _xludf.and I-CORE
- generated reports</f>
        <v>#NAME?</v>
      </c>
      <c r="AA1332" t="s">
        <v>820</v>
      </c>
      <c r="AB1332" s="2" t="s">
        <v>3391</v>
      </c>
      <c r="AG1332" t="s">
        <v>9585</v>
      </c>
      <c r="AH1332" t="s">
        <v>3393</v>
      </c>
      <c r="AI1332" t="s">
        <v>9586</v>
      </c>
    </row>
    <row r="1333" spans="2:35" ht="105">
      <c r="B1333" s="1">
        <v>45873</v>
      </c>
      <c r="C1333" s="1">
        <v>45869</v>
      </c>
      <c r="D1333" t="s">
        <v>4503</v>
      </c>
      <c r="E1333" t="s">
        <v>4504</v>
      </c>
      <c r="F1333">
        <v>1</v>
      </c>
      <c r="G1333" t="s">
        <v>1046</v>
      </c>
      <c r="H1333" t="s">
        <v>39</v>
      </c>
      <c r="I1333" t="s">
        <v>40</v>
      </c>
      <c r="J1333" s="2" t="s">
        <v>190</v>
      </c>
      <c r="K1333" t="s">
        <v>42</v>
      </c>
      <c r="L1333" t="s">
        <v>1048</v>
      </c>
      <c r="N1333" t="s">
        <v>1049</v>
      </c>
      <c r="Q1333">
        <v>31213</v>
      </c>
      <c r="R1333" t="s">
        <v>119</v>
      </c>
      <c r="S1333" t="s">
        <v>4505</v>
      </c>
      <c r="T1333">
        <v>28</v>
      </c>
      <c r="W1333" t="s">
        <v>1051</v>
      </c>
      <c r="X1333">
        <v>838516</v>
      </c>
      <c r="Y1333" t="s">
        <v>7972</v>
      </c>
      <c r="Z1333" t="e">
        <f ca="1">- Charged UPS with No Load
- cleaned cartridge Bays, plunger Rods _xludf.and I-CORE
- generated reports</f>
        <v>#NAME?</v>
      </c>
      <c r="AA1333" t="s">
        <v>1935</v>
      </c>
      <c r="AB1333" s="2" t="s">
        <v>9587</v>
      </c>
      <c r="AG1333" t="s">
        <v>9588</v>
      </c>
      <c r="AH1333" t="s">
        <v>4507</v>
      </c>
      <c r="AI1333" t="s">
        <v>9589</v>
      </c>
    </row>
    <row r="1334" spans="2:35">
      <c r="B1334" s="1">
        <v>45873</v>
      </c>
      <c r="C1334" s="1">
        <v>45868</v>
      </c>
      <c r="D1334" t="s">
        <v>4953</v>
      </c>
      <c r="E1334" t="s">
        <v>4954</v>
      </c>
      <c r="F1334">
        <v>1</v>
      </c>
      <c r="G1334" t="s">
        <v>1046</v>
      </c>
      <c r="H1334" t="s">
        <v>39</v>
      </c>
      <c r="I1334" t="s">
        <v>40</v>
      </c>
      <c r="J1334" t="s">
        <v>109</v>
      </c>
      <c r="K1334" t="s">
        <v>42</v>
      </c>
      <c r="L1334" t="s">
        <v>1048</v>
      </c>
      <c r="N1334" t="s">
        <v>1049</v>
      </c>
      <c r="Q1334">
        <v>31212</v>
      </c>
      <c r="R1334" t="s">
        <v>119</v>
      </c>
      <c r="S1334" t="s">
        <v>4955</v>
      </c>
      <c r="T1334">
        <v>28</v>
      </c>
      <c r="W1334" t="s">
        <v>1051</v>
      </c>
      <c r="X1334">
        <v>838437</v>
      </c>
      <c r="Y1334" t="s">
        <v>1052</v>
      </c>
      <c r="Z1334" t="e">
        <f ca="1">- cleaned cartridge Bays,plunger Rods _xludf.and I-CORE
- generated reports</f>
        <v>#NAME?</v>
      </c>
      <c r="AA1334" t="s">
        <v>820</v>
      </c>
      <c r="AB1334" t="s">
        <v>9590</v>
      </c>
      <c r="AG1334" t="s">
        <v>9591</v>
      </c>
      <c r="AH1334" t="s">
        <v>4958</v>
      </c>
      <c r="AI1334" t="s">
        <v>9592</v>
      </c>
    </row>
    <row r="1335" spans="2:35" ht="135">
      <c r="B1335" s="1">
        <v>45873</v>
      </c>
      <c r="C1335" s="1">
        <v>45868</v>
      </c>
      <c r="D1335" t="s">
        <v>1065</v>
      </c>
      <c r="E1335" t="s">
        <v>1066</v>
      </c>
      <c r="F1335">
        <v>1</v>
      </c>
      <c r="G1335" t="s">
        <v>1046</v>
      </c>
      <c r="H1335" t="s">
        <v>1047</v>
      </c>
      <c r="I1335" t="s">
        <v>40</v>
      </c>
      <c r="J1335" t="s">
        <v>109</v>
      </c>
      <c r="K1335" t="s">
        <v>42</v>
      </c>
      <c r="L1335" t="s">
        <v>1048</v>
      </c>
      <c r="N1335" t="s">
        <v>1049</v>
      </c>
      <c r="Q1335">
        <v>31211</v>
      </c>
      <c r="R1335" t="s">
        <v>119</v>
      </c>
      <c r="S1335" t="s">
        <v>1067</v>
      </c>
      <c r="T1335">
        <v>26</v>
      </c>
      <c r="W1335" t="s">
        <v>1051</v>
      </c>
      <c r="X1335">
        <v>838284</v>
      </c>
      <c r="Y1335" t="s">
        <v>1052</v>
      </c>
      <c r="Z1335" t="e">
        <f ca="1">- cleaned cartridge Bays, plunger Rods _xludf.and I-CORE
- generated reports</f>
        <v>#NAME?</v>
      </c>
      <c r="AA1335" t="s">
        <v>820</v>
      </c>
      <c r="AB1335" s="2" t="s">
        <v>9593</v>
      </c>
      <c r="AG1335" t="s">
        <v>9594</v>
      </c>
      <c r="AH1335" t="s">
        <v>1069</v>
      </c>
      <c r="AI1335" t="s">
        <v>9595</v>
      </c>
    </row>
    <row r="1336" spans="2:35" ht="120">
      <c r="B1336" s="1">
        <v>45872</v>
      </c>
      <c r="C1336" s="1">
        <v>45870</v>
      </c>
      <c r="D1336" t="s">
        <v>7529</v>
      </c>
      <c r="E1336" t="s">
        <v>9596</v>
      </c>
      <c r="F1336">
        <v>5</v>
      </c>
      <c r="G1336" t="s">
        <v>759</v>
      </c>
      <c r="H1336" t="s">
        <v>39</v>
      </c>
      <c r="I1336" t="s">
        <v>94</v>
      </c>
      <c r="J1336" t="s">
        <v>109</v>
      </c>
      <c r="K1336" t="s">
        <v>42</v>
      </c>
      <c r="L1336" t="s">
        <v>761</v>
      </c>
      <c r="N1336" t="s">
        <v>762</v>
      </c>
      <c r="Q1336">
        <v>31210</v>
      </c>
      <c r="R1336" t="s">
        <v>119</v>
      </c>
      <c r="S1336" t="s">
        <v>9597</v>
      </c>
      <c r="T1336">
        <v>27</v>
      </c>
      <c r="U1336" s="2" t="s">
        <v>9598</v>
      </c>
      <c r="W1336" t="s">
        <v>765</v>
      </c>
      <c r="X1336">
        <v>838397</v>
      </c>
      <c r="Y1336" t="s">
        <v>818</v>
      </c>
      <c r="Z1336" s="2" t="s">
        <v>9599</v>
      </c>
      <c r="AA1336" t="s">
        <v>820</v>
      </c>
      <c r="AB1336" s="2" t="s">
        <v>1416</v>
      </c>
      <c r="AG1336" t="s">
        <v>9600</v>
      </c>
      <c r="AH1336" t="s">
        <v>9601</v>
      </c>
      <c r="AI1336" t="s">
        <v>9602</v>
      </c>
    </row>
    <row r="1337" spans="2:35">
      <c r="B1337" s="1">
        <v>45870</v>
      </c>
      <c r="C1337" s="1">
        <v>45870</v>
      </c>
      <c r="D1337" t="s">
        <v>855</v>
      </c>
      <c r="E1337" t="s">
        <v>1169</v>
      </c>
      <c r="F1337" t="s">
        <v>148</v>
      </c>
      <c r="G1337" t="s">
        <v>310</v>
      </c>
      <c r="H1337" t="s">
        <v>2048</v>
      </c>
      <c r="I1337" t="s">
        <v>40</v>
      </c>
      <c r="J1337" t="s">
        <v>79</v>
      </c>
      <c r="K1337" t="s">
        <v>42</v>
      </c>
      <c r="L1337" t="s">
        <v>857</v>
      </c>
      <c r="N1337" t="s">
        <v>858</v>
      </c>
      <c r="Q1337">
        <v>31209</v>
      </c>
      <c r="R1337" t="s">
        <v>322</v>
      </c>
      <c r="S1337" t="s">
        <v>859</v>
      </c>
      <c r="T1337">
        <v>25</v>
      </c>
      <c r="V1337" s="1">
        <v>45861</v>
      </c>
      <c r="W1337" t="s">
        <v>536</v>
      </c>
      <c r="X1337">
        <v>110022374</v>
      </c>
      <c r="Y1337" t="s">
        <v>9603</v>
      </c>
      <c r="Z1337" t="s">
        <v>9604</v>
      </c>
      <c r="AA1337" t="e">
        <f ca="1">-performed Maintenance Cleaning
-replaced defective modules
-generated reports</f>
        <v>#NAME?</v>
      </c>
      <c r="AB1337" t="s">
        <v>181</v>
      </c>
      <c r="AD1337" t="s">
        <v>9605</v>
      </c>
      <c r="AE1337" t="s">
        <v>9606</v>
      </c>
      <c r="AG1337" t="s">
        <v>9607</v>
      </c>
      <c r="AH1337" t="s">
        <v>9608</v>
      </c>
      <c r="AI1337" t="s">
        <v>9609</v>
      </c>
    </row>
    <row r="1338" spans="2:35" ht="270">
      <c r="B1338" s="1">
        <v>45870</v>
      </c>
      <c r="C1338" s="1">
        <v>45869</v>
      </c>
      <c r="D1338" t="s">
        <v>5903</v>
      </c>
      <c r="E1338" t="s">
        <v>2569</v>
      </c>
      <c r="F1338" t="s">
        <v>148</v>
      </c>
      <c r="G1338" t="s">
        <v>447</v>
      </c>
      <c r="H1338" t="s">
        <v>386</v>
      </c>
      <c r="I1338" t="s">
        <v>40</v>
      </c>
      <c r="J1338" t="s">
        <v>525</v>
      </c>
      <c r="K1338" t="s">
        <v>387</v>
      </c>
      <c r="L1338" t="s">
        <v>448</v>
      </c>
      <c r="N1338" t="s">
        <v>650</v>
      </c>
      <c r="O1338" t="s">
        <v>5904</v>
      </c>
      <c r="Q1338">
        <v>31208</v>
      </c>
      <c r="R1338" t="s">
        <v>322</v>
      </c>
      <c r="S1338" t="s">
        <v>9610</v>
      </c>
      <c r="T1338">
        <v>25</v>
      </c>
      <c r="W1338" t="s">
        <v>8665</v>
      </c>
      <c r="X1338" t="s">
        <v>5906</v>
      </c>
      <c r="Y1338" t="s">
        <v>9611</v>
      </c>
      <c r="Z1338" s="2" t="s">
        <v>9612</v>
      </c>
      <c r="AA1338" t="s">
        <v>768</v>
      </c>
      <c r="AB1338" t="s">
        <v>486</v>
      </c>
      <c r="AG1338" t="s">
        <v>9613</v>
      </c>
      <c r="AH1338" t="s">
        <v>9614</v>
      </c>
      <c r="AI1338" t="s">
        <v>9615</v>
      </c>
    </row>
    <row r="1339" spans="2:35" ht="315">
      <c r="B1339" s="1">
        <v>45870</v>
      </c>
      <c r="C1339" s="1">
        <v>45869</v>
      </c>
      <c r="D1339" t="s">
        <v>1145</v>
      </c>
      <c r="E1339" t="s">
        <v>473</v>
      </c>
      <c r="F1339" t="s">
        <v>148</v>
      </c>
      <c r="G1339" t="s">
        <v>447</v>
      </c>
      <c r="H1339" t="s">
        <v>9616</v>
      </c>
      <c r="I1339" t="s">
        <v>40</v>
      </c>
      <c r="J1339" t="s">
        <v>109</v>
      </c>
      <c r="K1339" t="s">
        <v>408</v>
      </c>
      <c r="L1339" t="s">
        <v>448</v>
      </c>
      <c r="N1339" t="s">
        <v>650</v>
      </c>
      <c r="P1339" t="s">
        <v>6378</v>
      </c>
      <c r="Q1339">
        <v>31207</v>
      </c>
      <c r="R1339" t="s">
        <v>322</v>
      </c>
      <c r="S1339" t="s">
        <v>9617</v>
      </c>
      <c r="T1339">
        <v>26</v>
      </c>
      <c r="W1339" t="s">
        <v>9618</v>
      </c>
      <c r="X1339" t="s">
        <v>9619</v>
      </c>
      <c r="Y1339" t="s">
        <v>485</v>
      </c>
      <c r="Z1339" s="2" t="s">
        <v>9620</v>
      </c>
      <c r="AA1339" s="2" t="s">
        <v>9621</v>
      </c>
      <c r="AB1339" t="s">
        <v>486</v>
      </c>
      <c r="AG1339" t="s">
        <v>9622</v>
      </c>
      <c r="AH1339" t="s">
        <v>9623</v>
      </c>
      <c r="AI1339" t="s">
        <v>9624</v>
      </c>
    </row>
    <row r="1340" spans="2:35" ht="405">
      <c r="B1340" s="1">
        <v>45870</v>
      </c>
      <c r="C1340" s="1">
        <v>45869</v>
      </c>
      <c r="D1340" t="s">
        <v>4132</v>
      </c>
      <c r="E1340" t="s">
        <v>4133</v>
      </c>
      <c r="F1340" t="s">
        <v>148</v>
      </c>
      <c r="G1340" t="s">
        <v>447</v>
      </c>
      <c r="H1340" t="s">
        <v>386</v>
      </c>
      <c r="I1340" t="s">
        <v>40</v>
      </c>
      <c r="J1340" t="s">
        <v>109</v>
      </c>
      <c r="K1340" t="s">
        <v>387</v>
      </c>
      <c r="L1340" t="s">
        <v>448</v>
      </c>
      <c r="N1340" t="s">
        <v>650</v>
      </c>
      <c r="Q1340">
        <v>31206</v>
      </c>
      <c r="R1340" t="s">
        <v>322</v>
      </c>
      <c r="S1340" t="s">
        <v>4134</v>
      </c>
      <c r="T1340">
        <v>26</v>
      </c>
      <c r="W1340" t="s">
        <v>476</v>
      </c>
      <c r="X1340" t="s">
        <v>4135</v>
      </c>
      <c r="Y1340" s="2" t="s">
        <v>9625</v>
      </c>
      <c r="Z1340" s="2" t="s">
        <v>6718</v>
      </c>
      <c r="AA1340" t="s">
        <v>122</v>
      </c>
      <c r="AB1340" s="2" t="s">
        <v>9626</v>
      </c>
      <c r="AG1340" t="s">
        <v>9627</v>
      </c>
      <c r="AH1340" t="s">
        <v>4138</v>
      </c>
      <c r="AI1340" t="s">
        <v>9628</v>
      </c>
    </row>
    <row r="1341" spans="2:35" ht="255">
      <c r="B1341" s="1">
        <v>45870</v>
      </c>
      <c r="C1341" s="1">
        <v>45870</v>
      </c>
      <c r="D1341" t="s">
        <v>4206</v>
      </c>
      <c r="E1341" t="s">
        <v>8265</v>
      </c>
      <c r="F1341">
        <v>11</v>
      </c>
      <c r="G1341" t="s">
        <v>2836</v>
      </c>
      <c r="H1341" t="s">
        <v>202</v>
      </c>
      <c r="I1341" t="s">
        <v>40</v>
      </c>
      <c r="J1341" t="s">
        <v>109</v>
      </c>
      <c r="K1341" t="s">
        <v>42</v>
      </c>
      <c r="L1341" t="s">
        <v>204</v>
      </c>
      <c r="N1341" t="s">
        <v>205</v>
      </c>
      <c r="Q1341">
        <v>31205</v>
      </c>
      <c r="R1341" t="s">
        <v>119</v>
      </c>
      <c r="S1341" t="s">
        <v>4209</v>
      </c>
      <c r="T1341">
        <v>24.7</v>
      </c>
      <c r="U1341" s="2" t="s">
        <v>9629</v>
      </c>
      <c r="W1341" t="s">
        <v>208</v>
      </c>
      <c r="X1341">
        <v>838295</v>
      </c>
      <c r="Y1341" t="s">
        <v>1052</v>
      </c>
      <c r="Z1341" s="2" t="s">
        <v>1892</v>
      </c>
      <c r="AA1341" t="s">
        <v>2551</v>
      </c>
      <c r="AB1341" t="s">
        <v>3063</v>
      </c>
      <c r="AG1341" t="s">
        <v>9630</v>
      </c>
      <c r="AH1341" t="s">
        <v>9631</v>
      </c>
      <c r="AI1341" t="s">
        <v>9632</v>
      </c>
    </row>
    <row r="1342" spans="2:35" ht="180">
      <c r="B1342" s="1">
        <v>45870</v>
      </c>
      <c r="C1342" s="1">
        <v>45870</v>
      </c>
      <c r="D1342" t="s">
        <v>2233</v>
      </c>
      <c r="E1342" t="s">
        <v>9633</v>
      </c>
      <c r="F1342">
        <v>7</v>
      </c>
      <c r="G1342" t="s">
        <v>432</v>
      </c>
      <c r="H1342" t="s">
        <v>631</v>
      </c>
      <c r="I1342" t="s">
        <v>40</v>
      </c>
      <c r="J1342" t="s">
        <v>109</v>
      </c>
      <c r="K1342" t="s">
        <v>42</v>
      </c>
      <c r="L1342" t="s">
        <v>594</v>
      </c>
      <c r="N1342" t="s">
        <v>595</v>
      </c>
      <c r="O1342" t="s">
        <v>595</v>
      </c>
      <c r="Q1342">
        <v>31204</v>
      </c>
      <c r="R1342" t="s">
        <v>119</v>
      </c>
      <c r="S1342" t="s">
        <v>9634</v>
      </c>
      <c r="T1342">
        <v>23</v>
      </c>
      <c r="W1342" t="s">
        <v>5595</v>
      </c>
      <c r="X1342">
        <v>838231</v>
      </c>
      <c r="Y1342" t="s">
        <v>9635</v>
      </c>
      <c r="Z1342" s="2" t="s">
        <v>9636</v>
      </c>
      <c r="AA1342" s="2" t="s">
        <v>9637</v>
      </c>
      <c r="AB1342" t="s">
        <v>9638</v>
      </c>
      <c r="AG1342" t="s">
        <v>9639</v>
      </c>
      <c r="AH1342" t="s">
        <v>9640</v>
      </c>
      <c r="AI1342" t="s">
        <v>9641</v>
      </c>
    </row>
    <row r="1343" spans="2:35" ht="105">
      <c r="B1343" s="1">
        <v>45869</v>
      </c>
      <c r="C1343" s="1">
        <v>45869</v>
      </c>
      <c r="D1343" t="s">
        <v>9642</v>
      </c>
      <c r="E1343" t="s">
        <v>9643</v>
      </c>
      <c r="F1343">
        <v>10</v>
      </c>
      <c r="G1343" t="s">
        <v>2392</v>
      </c>
      <c r="H1343" t="s">
        <v>1498</v>
      </c>
      <c r="I1343" t="s">
        <v>40</v>
      </c>
      <c r="J1343" t="s">
        <v>109</v>
      </c>
      <c r="K1343" t="s">
        <v>42</v>
      </c>
      <c r="L1343" t="s">
        <v>343</v>
      </c>
      <c r="N1343" t="s">
        <v>344</v>
      </c>
      <c r="Q1343">
        <v>31203</v>
      </c>
      <c r="R1343" t="s">
        <v>119</v>
      </c>
      <c r="S1343" t="s">
        <v>9644</v>
      </c>
      <c r="T1343">
        <v>27</v>
      </c>
      <c r="U1343" s="2" t="s">
        <v>9645</v>
      </c>
      <c r="W1343" t="s">
        <v>1501</v>
      </c>
      <c r="X1343">
        <v>838224</v>
      </c>
      <c r="Y1343" t="s">
        <v>301</v>
      </c>
      <c r="Z1343" t="s">
        <v>301</v>
      </c>
      <c r="AA1343" t="e">
        <f ca="1">-Preventive Maintenance</f>
        <v>#NAME?</v>
      </c>
      <c r="AB1343" t="s">
        <v>348</v>
      </c>
      <c r="AG1343" t="s">
        <v>9646</v>
      </c>
      <c r="AH1343" t="s">
        <v>9647</v>
      </c>
      <c r="AI1343" t="s">
        <v>9648</v>
      </c>
    </row>
    <row r="1344" spans="2:35" ht="120">
      <c r="B1344" s="1">
        <v>45869</v>
      </c>
      <c r="C1344" s="1">
        <v>45869</v>
      </c>
      <c r="D1344" t="s">
        <v>8684</v>
      </c>
      <c r="E1344" t="s">
        <v>8685</v>
      </c>
      <c r="F1344">
        <v>5</v>
      </c>
      <c r="G1344" t="s">
        <v>814</v>
      </c>
      <c r="H1344" t="s">
        <v>39</v>
      </c>
      <c r="I1344" t="s">
        <v>94</v>
      </c>
      <c r="J1344" t="s">
        <v>109</v>
      </c>
      <c r="K1344" t="s">
        <v>42</v>
      </c>
      <c r="L1344" t="s">
        <v>761</v>
      </c>
      <c r="N1344" t="s">
        <v>762</v>
      </c>
      <c r="Q1344">
        <v>31202</v>
      </c>
      <c r="R1344" t="s">
        <v>119</v>
      </c>
      <c r="S1344" t="s">
        <v>8687</v>
      </c>
      <c r="T1344">
        <v>23</v>
      </c>
      <c r="U1344" s="2" t="s">
        <v>9649</v>
      </c>
      <c r="W1344" t="s">
        <v>765</v>
      </c>
      <c r="X1344">
        <v>838266</v>
      </c>
      <c r="Y1344" t="s">
        <v>818</v>
      </c>
      <c r="Z1344" s="2" t="s">
        <v>9650</v>
      </c>
      <c r="AA1344" t="s">
        <v>820</v>
      </c>
      <c r="AB1344" s="2" t="s">
        <v>1416</v>
      </c>
      <c r="AG1344" t="s">
        <v>9651</v>
      </c>
      <c r="AH1344" t="s">
        <v>8693</v>
      </c>
      <c r="AI1344" t="s">
        <v>9652</v>
      </c>
    </row>
    <row r="1345" spans="2:35" ht="105">
      <c r="B1345" s="1">
        <v>45869</v>
      </c>
      <c r="C1345" s="1">
        <v>45869</v>
      </c>
      <c r="D1345" t="s">
        <v>9653</v>
      </c>
      <c r="E1345" t="s">
        <v>9654</v>
      </c>
      <c r="F1345">
        <v>10</v>
      </c>
      <c r="G1345" t="s">
        <v>2392</v>
      </c>
      <c r="H1345" t="s">
        <v>1498</v>
      </c>
      <c r="I1345" t="s">
        <v>40</v>
      </c>
      <c r="J1345" t="s">
        <v>109</v>
      </c>
      <c r="K1345" t="s">
        <v>42</v>
      </c>
      <c r="L1345" t="s">
        <v>343</v>
      </c>
      <c r="N1345" t="s">
        <v>344</v>
      </c>
      <c r="Q1345">
        <v>31201</v>
      </c>
      <c r="R1345" t="s">
        <v>119</v>
      </c>
      <c r="S1345" t="s">
        <v>9655</v>
      </c>
      <c r="T1345">
        <v>30</v>
      </c>
      <c r="U1345" s="2" t="s">
        <v>9656</v>
      </c>
      <c r="W1345" t="s">
        <v>1501</v>
      </c>
      <c r="X1345">
        <v>838229</v>
      </c>
      <c r="Y1345" t="s">
        <v>301</v>
      </c>
      <c r="Z1345" t="s">
        <v>301</v>
      </c>
      <c r="AA1345" t="e">
        <f ca="1">-Preventive Maintenance</f>
        <v>#NAME?</v>
      </c>
      <c r="AB1345" t="s">
        <v>348</v>
      </c>
      <c r="AG1345" t="s">
        <v>9657</v>
      </c>
      <c r="AH1345" t="s">
        <v>9658</v>
      </c>
      <c r="AI1345" t="s">
        <v>9659</v>
      </c>
    </row>
    <row r="1346" spans="2:35" ht="255">
      <c r="B1346" s="1">
        <v>45869</v>
      </c>
      <c r="C1346" s="1">
        <v>45869</v>
      </c>
      <c r="D1346" t="s">
        <v>7810</v>
      </c>
      <c r="E1346" t="s">
        <v>7811</v>
      </c>
      <c r="F1346">
        <v>11</v>
      </c>
      <c r="G1346" t="s">
        <v>1205</v>
      </c>
      <c r="H1346" t="s">
        <v>202</v>
      </c>
      <c r="I1346" t="s">
        <v>40</v>
      </c>
      <c r="J1346" t="s">
        <v>109</v>
      </c>
      <c r="K1346" t="s">
        <v>42</v>
      </c>
      <c r="L1346" t="s">
        <v>204</v>
      </c>
      <c r="N1346" t="s">
        <v>205</v>
      </c>
      <c r="Q1346">
        <v>31200</v>
      </c>
      <c r="R1346" t="s">
        <v>119</v>
      </c>
      <c r="S1346" t="s">
        <v>7812</v>
      </c>
      <c r="T1346">
        <v>25.7</v>
      </c>
      <c r="U1346" s="2" t="s">
        <v>9660</v>
      </c>
      <c r="W1346" t="s">
        <v>208</v>
      </c>
      <c r="X1346">
        <v>838232</v>
      </c>
      <c r="Y1346" t="s">
        <v>2851</v>
      </c>
      <c r="Z1346" s="2" t="s">
        <v>1892</v>
      </c>
      <c r="AA1346" t="s">
        <v>2551</v>
      </c>
      <c r="AB1346" t="s">
        <v>1211</v>
      </c>
      <c r="AG1346" t="s">
        <v>9661</v>
      </c>
      <c r="AH1346" t="s">
        <v>7816</v>
      </c>
      <c r="AI1346" t="s">
        <v>9662</v>
      </c>
    </row>
    <row r="1347" spans="2:35" ht="105">
      <c r="B1347" s="1">
        <v>45869</v>
      </c>
      <c r="C1347" s="1">
        <v>45869</v>
      </c>
      <c r="D1347" t="s">
        <v>9663</v>
      </c>
      <c r="E1347" t="s">
        <v>9664</v>
      </c>
      <c r="F1347">
        <v>10</v>
      </c>
      <c r="G1347" t="s">
        <v>2392</v>
      </c>
      <c r="H1347" t="s">
        <v>1498</v>
      </c>
      <c r="I1347" t="s">
        <v>40</v>
      </c>
      <c r="J1347" t="s">
        <v>79</v>
      </c>
      <c r="K1347" t="s">
        <v>42</v>
      </c>
      <c r="L1347" t="s">
        <v>343</v>
      </c>
      <c r="N1347" t="s">
        <v>344</v>
      </c>
      <c r="Q1347">
        <v>31199</v>
      </c>
      <c r="R1347" t="s">
        <v>119</v>
      </c>
      <c r="S1347" t="s">
        <v>9665</v>
      </c>
      <c r="T1347">
        <v>27</v>
      </c>
      <c r="U1347" s="2" t="s">
        <v>9666</v>
      </c>
      <c r="W1347" t="s">
        <v>1501</v>
      </c>
      <c r="X1347">
        <v>838402</v>
      </c>
      <c r="Y1347" t="s">
        <v>9667</v>
      </c>
      <c r="Z1347" t="e">
        <f ca="1">-_xludf.Replace CMOS battery</f>
        <v>#NAME?</v>
      </c>
      <c r="AA1347" t="e">
        <f ca="1">-Troubleshoot CPU</f>
        <v>#NAME?</v>
      </c>
      <c r="AB1347" t="s">
        <v>1467</v>
      </c>
      <c r="AG1347" t="s">
        <v>9668</v>
      </c>
      <c r="AH1347" t="s">
        <v>9669</v>
      </c>
      <c r="AI1347" t="s">
        <v>9670</v>
      </c>
    </row>
    <row r="1348" spans="2:35" ht="105">
      <c r="B1348" s="1">
        <v>45869</v>
      </c>
      <c r="C1348" s="1">
        <v>45868</v>
      </c>
      <c r="D1348" t="s">
        <v>7471</v>
      </c>
      <c r="E1348" t="s">
        <v>8365</v>
      </c>
      <c r="F1348">
        <v>8</v>
      </c>
      <c r="G1348" t="s">
        <v>342</v>
      </c>
      <c r="H1348" t="s">
        <v>258</v>
      </c>
      <c r="I1348" t="s">
        <v>40</v>
      </c>
      <c r="J1348" t="s">
        <v>109</v>
      </c>
      <c r="K1348" t="s">
        <v>42</v>
      </c>
      <c r="L1348" t="s">
        <v>259</v>
      </c>
      <c r="N1348" t="s">
        <v>260</v>
      </c>
      <c r="O1348" t="s">
        <v>260</v>
      </c>
      <c r="Q1348">
        <v>31198</v>
      </c>
      <c r="R1348" t="s">
        <v>119</v>
      </c>
      <c r="S1348" t="s">
        <v>7473</v>
      </c>
      <c r="T1348">
        <v>26</v>
      </c>
      <c r="U1348" s="2" t="s">
        <v>2367</v>
      </c>
      <c r="W1348" t="s">
        <v>84</v>
      </c>
      <c r="X1348">
        <v>838421</v>
      </c>
      <c r="Y1348" t="s">
        <v>1466</v>
      </c>
      <c r="Z1348" t="e">
        <f ca="1">- Preventive Maintenance
- PERFORM functionality test module B1
- Troubleshoot</f>
        <v>#NAME?</v>
      </c>
      <c r="AA1348" t="e">
        <f ca="1">- Troubleshoot
- Preventive Maintenance</f>
        <v>#NAME?</v>
      </c>
      <c r="AB1348" s="2" t="s">
        <v>9671</v>
      </c>
      <c r="AG1348" t="s">
        <v>9672</v>
      </c>
      <c r="AH1348" t="s">
        <v>9673</v>
      </c>
      <c r="AI1348" t="s">
        <v>9674</v>
      </c>
    </row>
    <row r="1349" spans="2:35" ht="330">
      <c r="B1349" s="1">
        <v>45869</v>
      </c>
      <c r="C1349" s="1">
        <v>45868</v>
      </c>
      <c r="D1349" t="s">
        <v>5903</v>
      </c>
      <c r="E1349" t="s">
        <v>9675</v>
      </c>
      <c r="F1349" t="s">
        <v>148</v>
      </c>
      <c r="G1349" t="s">
        <v>447</v>
      </c>
      <c r="H1349" t="s">
        <v>386</v>
      </c>
      <c r="I1349" t="s">
        <v>40</v>
      </c>
      <c r="J1349" t="s">
        <v>525</v>
      </c>
      <c r="K1349" t="s">
        <v>387</v>
      </c>
      <c r="L1349" t="s">
        <v>448</v>
      </c>
      <c r="N1349" t="s">
        <v>650</v>
      </c>
      <c r="O1349" t="s">
        <v>5904</v>
      </c>
      <c r="Q1349">
        <v>31197</v>
      </c>
      <c r="R1349" t="s">
        <v>322</v>
      </c>
      <c r="S1349" t="s">
        <v>9676</v>
      </c>
      <c r="T1349">
        <v>28</v>
      </c>
      <c r="W1349" t="s">
        <v>476</v>
      </c>
      <c r="X1349" t="s">
        <v>5906</v>
      </c>
      <c r="Y1349" s="2" t="s">
        <v>9677</v>
      </c>
      <c r="Z1349" s="2" t="s">
        <v>9678</v>
      </c>
      <c r="AA1349" t="s">
        <v>768</v>
      </c>
      <c r="AB1349" t="s">
        <v>486</v>
      </c>
      <c r="AG1349" t="s">
        <v>9679</v>
      </c>
      <c r="AH1349" t="s">
        <v>9680</v>
      </c>
      <c r="AI1349" t="s">
        <v>9681</v>
      </c>
    </row>
    <row r="1350" spans="2:35" ht="105">
      <c r="B1350" s="1">
        <v>45869</v>
      </c>
      <c r="C1350" s="1">
        <v>45863</v>
      </c>
      <c r="D1350" t="s">
        <v>9682</v>
      </c>
      <c r="E1350" t="s">
        <v>9683</v>
      </c>
      <c r="F1350">
        <v>9</v>
      </c>
      <c r="G1350" t="s">
        <v>2197</v>
      </c>
      <c r="H1350" t="s">
        <v>39</v>
      </c>
      <c r="I1350" t="s">
        <v>40</v>
      </c>
      <c r="J1350" s="2" t="s">
        <v>2223</v>
      </c>
      <c r="K1350" t="s">
        <v>42</v>
      </c>
      <c r="L1350" t="s">
        <v>1257</v>
      </c>
      <c r="N1350" t="s">
        <v>1258</v>
      </c>
      <c r="O1350" t="s">
        <v>1258</v>
      </c>
      <c r="Q1350">
        <v>31196</v>
      </c>
      <c r="R1350" t="s">
        <v>119</v>
      </c>
      <c r="S1350" t="s">
        <v>9684</v>
      </c>
      <c r="T1350">
        <v>29</v>
      </c>
      <c r="U1350" s="2" t="s">
        <v>9685</v>
      </c>
      <c r="V1350" s="1">
        <v>45863</v>
      </c>
      <c r="W1350" t="s">
        <v>2384</v>
      </c>
      <c r="X1350">
        <v>838568</v>
      </c>
      <c r="Y1350" t="s">
        <v>301</v>
      </c>
      <c r="Z1350" t="s">
        <v>7410</v>
      </c>
      <c r="AA1350" t="s">
        <v>7365</v>
      </c>
      <c r="AB1350" t="s">
        <v>9686</v>
      </c>
      <c r="AC1350" t="s">
        <v>301</v>
      </c>
      <c r="AD1350" t="s">
        <v>54</v>
      </c>
      <c r="AE1350" t="s">
        <v>54</v>
      </c>
      <c r="AG1350" t="s">
        <v>9687</v>
      </c>
      <c r="AH1350" t="s">
        <v>9688</v>
      </c>
      <c r="AI1350" t="s">
        <v>9689</v>
      </c>
    </row>
    <row r="1351" spans="2:35" ht="409.5">
      <c r="B1351" s="1">
        <v>45869</v>
      </c>
      <c r="C1351" s="1">
        <v>45867</v>
      </c>
      <c r="D1351" t="s">
        <v>9690</v>
      </c>
      <c r="E1351" t="s">
        <v>4364</v>
      </c>
      <c r="F1351" t="s">
        <v>148</v>
      </c>
      <c r="G1351" t="s">
        <v>447</v>
      </c>
      <c r="H1351" t="s">
        <v>2570</v>
      </c>
      <c r="I1351" t="s">
        <v>40</v>
      </c>
      <c r="J1351" t="s">
        <v>109</v>
      </c>
      <c r="K1351" t="s">
        <v>42</v>
      </c>
      <c r="L1351" t="s">
        <v>448</v>
      </c>
      <c r="N1351" t="s">
        <v>650</v>
      </c>
      <c r="O1351" t="s">
        <v>2808</v>
      </c>
      <c r="Q1351">
        <v>31195</v>
      </c>
      <c r="R1351" t="s">
        <v>95</v>
      </c>
      <c r="S1351" t="s">
        <v>2571</v>
      </c>
      <c r="T1351">
        <v>26</v>
      </c>
      <c r="U1351" s="2" t="s">
        <v>9691</v>
      </c>
      <c r="W1351" t="s">
        <v>6128</v>
      </c>
      <c r="X1351">
        <v>807155</v>
      </c>
      <c r="Y1351" s="2" t="s">
        <v>9692</v>
      </c>
      <c r="Z1351" s="2" t="s">
        <v>2011</v>
      </c>
      <c r="AA1351" t="s">
        <v>122</v>
      </c>
      <c r="AB1351" s="2" t="s">
        <v>9693</v>
      </c>
      <c r="AG1351" t="s">
        <v>9694</v>
      </c>
      <c r="AH1351" t="s">
        <v>9695</v>
      </c>
      <c r="AI1351" t="s">
        <v>9696</v>
      </c>
    </row>
    <row r="1352" spans="2:35" ht="210">
      <c r="B1352" s="1">
        <v>45869</v>
      </c>
      <c r="C1352" s="1">
        <v>45867</v>
      </c>
      <c r="D1352" t="s">
        <v>9690</v>
      </c>
      <c r="E1352" t="s">
        <v>2569</v>
      </c>
      <c r="F1352" t="s">
        <v>148</v>
      </c>
      <c r="G1352" t="s">
        <v>447</v>
      </c>
      <c r="H1352" t="s">
        <v>150</v>
      </c>
      <c r="I1352" t="s">
        <v>40</v>
      </c>
      <c r="J1352" t="s">
        <v>109</v>
      </c>
      <c r="K1352" t="s">
        <v>42</v>
      </c>
      <c r="L1352" t="s">
        <v>448</v>
      </c>
      <c r="N1352" t="s">
        <v>650</v>
      </c>
      <c r="O1352" t="s">
        <v>2808</v>
      </c>
      <c r="Q1352">
        <v>31194</v>
      </c>
      <c r="R1352" t="s">
        <v>95</v>
      </c>
      <c r="S1352" t="s">
        <v>2809</v>
      </c>
      <c r="T1352">
        <v>26</v>
      </c>
      <c r="U1352" s="2" t="s">
        <v>9697</v>
      </c>
      <c r="W1352" t="s">
        <v>1139</v>
      </c>
      <c r="X1352">
        <v>839234</v>
      </c>
      <c r="Y1352" s="2" t="s">
        <v>9698</v>
      </c>
      <c r="Z1352" s="2" t="s">
        <v>2011</v>
      </c>
      <c r="AA1352" t="s">
        <v>122</v>
      </c>
      <c r="AB1352" s="2" t="s">
        <v>9699</v>
      </c>
      <c r="AG1352" t="s">
        <v>9700</v>
      </c>
      <c r="AH1352" t="s">
        <v>2814</v>
      </c>
      <c r="AI1352" t="s">
        <v>9701</v>
      </c>
    </row>
    <row r="1353" spans="2:35" ht="105">
      <c r="B1353" s="1">
        <v>45869</v>
      </c>
      <c r="C1353" s="1">
        <v>45869</v>
      </c>
      <c r="D1353" t="s">
        <v>9702</v>
      </c>
      <c r="E1353" t="s">
        <v>9703</v>
      </c>
      <c r="F1353" t="s">
        <v>1255</v>
      </c>
      <c r="G1353" t="s">
        <v>3346</v>
      </c>
      <c r="H1353" t="s">
        <v>39</v>
      </c>
      <c r="I1353" t="s">
        <v>40</v>
      </c>
      <c r="J1353" s="2" t="s">
        <v>190</v>
      </c>
      <c r="K1353" t="s">
        <v>42</v>
      </c>
      <c r="L1353" t="s">
        <v>1257</v>
      </c>
      <c r="N1353" t="s">
        <v>1258</v>
      </c>
      <c r="O1353" t="s">
        <v>1258</v>
      </c>
      <c r="Q1353">
        <v>31193</v>
      </c>
      <c r="R1353" t="s">
        <v>119</v>
      </c>
      <c r="S1353" t="s">
        <v>6727</v>
      </c>
      <c r="T1353">
        <v>29</v>
      </c>
      <c r="U1353" s="2" t="s">
        <v>2440</v>
      </c>
      <c r="V1353" s="1">
        <v>45869</v>
      </c>
      <c r="W1353" t="s">
        <v>2384</v>
      </c>
      <c r="X1353">
        <v>838835</v>
      </c>
      <c r="Y1353" t="s">
        <v>9704</v>
      </c>
      <c r="Z1353" t="s">
        <v>9705</v>
      </c>
      <c r="AA1353" t="s">
        <v>9705</v>
      </c>
      <c r="AB1353" t="s">
        <v>9706</v>
      </c>
      <c r="AC1353" t="s">
        <v>9707</v>
      </c>
      <c r="AD1353" t="s">
        <v>54</v>
      </c>
      <c r="AE1353" t="s">
        <v>54</v>
      </c>
      <c r="AG1353" t="s">
        <v>9708</v>
      </c>
      <c r="AH1353" t="s">
        <v>9709</v>
      </c>
      <c r="AI1353" t="s">
        <v>9710</v>
      </c>
    </row>
    <row r="1354" spans="2:35" ht="105">
      <c r="B1354" s="1">
        <v>45868</v>
      </c>
      <c r="C1354" s="1">
        <v>45868</v>
      </c>
      <c r="D1354" t="s">
        <v>9711</v>
      </c>
      <c r="E1354" t="s">
        <v>9712</v>
      </c>
      <c r="F1354">
        <v>10</v>
      </c>
      <c r="G1354" t="s">
        <v>2392</v>
      </c>
      <c r="H1354" t="s">
        <v>1498</v>
      </c>
      <c r="I1354" t="s">
        <v>40</v>
      </c>
      <c r="J1354" t="s">
        <v>525</v>
      </c>
      <c r="K1354" t="s">
        <v>42</v>
      </c>
      <c r="L1354" t="s">
        <v>343</v>
      </c>
      <c r="N1354" t="s">
        <v>344</v>
      </c>
      <c r="Q1354">
        <v>31192</v>
      </c>
      <c r="R1354" t="s">
        <v>119</v>
      </c>
      <c r="S1354" t="s">
        <v>9713</v>
      </c>
      <c r="T1354">
        <v>27</v>
      </c>
      <c r="U1354" s="2" t="s">
        <v>9714</v>
      </c>
      <c r="W1354" t="s">
        <v>1501</v>
      </c>
      <c r="X1354">
        <v>838227</v>
      </c>
      <c r="Y1354" t="s">
        <v>9715</v>
      </c>
      <c r="Z1354" t="s">
        <v>301</v>
      </c>
      <c r="AA1354" t="e">
        <f ca="1">-Troubleshoot module
-Deliver warranty letter</f>
        <v>#NAME?</v>
      </c>
      <c r="AB1354" t="s">
        <v>9716</v>
      </c>
      <c r="AG1354" t="s">
        <v>9717</v>
      </c>
      <c r="AH1354" t="s">
        <v>9718</v>
      </c>
      <c r="AI1354" t="s">
        <v>9719</v>
      </c>
    </row>
    <row r="1355" spans="2:35" ht="255">
      <c r="B1355" s="1">
        <v>45868</v>
      </c>
      <c r="C1355" s="1">
        <v>45868</v>
      </c>
      <c r="D1355" t="s">
        <v>7743</v>
      </c>
      <c r="E1355" t="s">
        <v>9720</v>
      </c>
      <c r="F1355">
        <v>11</v>
      </c>
      <c r="G1355" t="s">
        <v>1205</v>
      </c>
      <c r="H1355" t="s">
        <v>202</v>
      </c>
      <c r="I1355" t="s">
        <v>40</v>
      </c>
      <c r="J1355" t="s">
        <v>109</v>
      </c>
      <c r="K1355" t="s">
        <v>42</v>
      </c>
      <c r="L1355" t="s">
        <v>204</v>
      </c>
      <c r="N1355" t="s">
        <v>205</v>
      </c>
      <c r="Q1355">
        <v>31191</v>
      </c>
      <c r="R1355" t="s">
        <v>119</v>
      </c>
      <c r="S1355" t="s">
        <v>7745</v>
      </c>
      <c r="T1355">
        <v>28.4</v>
      </c>
      <c r="U1355" s="2" t="s">
        <v>9721</v>
      </c>
      <c r="W1355" t="s">
        <v>208</v>
      </c>
      <c r="X1355">
        <v>838492</v>
      </c>
      <c r="Y1355" t="s">
        <v>2851</v>
      </c>
      <c r="Z1355" s="2" t="s">
        <v>9722</v>
      </c>
      <c r="AA1355" t="s">
        <v>2551</v>
      </c>
      <c r="AB1355" t="s">
        <v>1211</v>
      </c>
      <c r="AG1355" t="s">
        <v>9723</v>
      </c>
      <c r="AH1355" t="s">
        <v>7749</v>
      </c>
      <c r="AI1355" t="s">
        <v>9724</v>
      </c>
    </row>
    <row r="1356" spans="2:35">
      <c r="B1356" s="1">
        <v>45868</v>
      </c>
      <c r="C1356" s="1">
        <v>45868</v>
      </c>
      <c r="D1356" t="s">
        <v>9725</v>
      </c>
      <c r="E1356" t="s">
        <v>9726</v>
      </c>
      <c r="F1356">
        <v>10</v>
      </c>
      <c r="G1356" t="s">
        <v>1395</v>
      </c>
      <c r="H1356" t="s">
        <v>1498</v>
      </c>
      <c r="I1356" t="s">
        <v>40</v>
      </c>
      <c r="J1356" t="s">
        <v>79</v>
      </c>
      <c r="K1356" t="s">
        <v>42</v>
      </c>
      <c r="L1356" t="s">
        <v>343</v>
      </c>
      <c r="N1356" t="s">
        <v>344</v>
      </c>
      <c r="Q1356">
        <v>31190</v>
      </c>
      <c r="R1356" t="s">
        <v>119</v>
      </c>
      <c r="S1356" t="s">
        <v>9727</v>
      </c>
      <c r="T1356">
        <v>27</v>
      </c>
      <c r="W1356" t="s">
        <v>1501</v>
      </c>
      <c r="X1356">
        <v>838562</v>
      </c>
      <c r="Y1356" t="s">
        <v>9728</v>
      </c>
      <c r="Z1356" t="e">
        <f ca="1">-Reset RAM internal
-Reset internal _xludf.Power SUPPLY Connections</f>
        <v>#NAME?</v>
      </c>
      <c r="AA1356" t="e">
        <f ca="1">-Troubleshoot CPU
-Delivery warranty letter</f>
        <v>#NAME?</v>
      </c>
      <c r="AB1356" t="s">
        <v>1467</v>
      </c>
      <c r="AG1356" t="s">
        <v>9729</v>
      </c>
      <c r="AH1356" t="s">
        <v>9730</v>
      </c>
      <c r="AI1356" t="s">
        <v>9731</v>
      </c>
    </row>
    <row r="1357" spans="2:35" ht="210">
      <c r="B1357" s="1">
        <v>45868</v>
      </c>
      <c r="C1357" s="1">
        <v>45868</v>
      </c>
      <c r="D1357" t="s">
        <v>9732</v>
      </c>
      <c r="E1357" t="s">
        <v>5435</v>
      </c>
      <c r="F1357">
        <v>6</v>
      </c>
      <c r="G1357" t="s">
        <v>1286</v>
      </c>
      <c r="H1357" t="s">
        <v>39</v>
      </c>
      <c r="I1357" t="s">
        <v>40</v>
      </c>
      <c r="J1357" s="2" t="s">
        <v>41</v>
      </c>
      <c r="K1357" t="s">
        <v>42</v>
      </c>
      <c r="L1357" t="s">
        <v>433</v>
      </c>
      <c r="N1357" t="s">
        <v>434</v>
      </c>
      <c r="Q1357">
        <v>31189</v>
      </c>
      <c r="R1357" t="s">
        <v>967</v>
      </c>
      <c r="S1357" t="s">
        <v>5436</v>
      </c>
      <c r="T1357">
        <v>28</v>
      </c>
      <c r="W1357" t="s">
        <v>502</v>
      </c>
      <c r="X1357">
        <v>110023534</v>
      </c>
      <c r="Y1357" t="s">
        <v>9733</v>
      </c>
      <c r="Z1357" s="2" t="s">
        <v>9734</v>
      </c>
      <c r="AA1357" s="2" t="s">
        <v>9734</v>
      </c>
      <c r="AB1357" t="s">
        <v>1011</v>
      </c>
      <c r="AG1357" t="s">
        <v>9735</v>
      </c>
      <c r="AH1357" t="s">
        <v>5440</v>
      </c>
      <c r="AI1357" t="s">
        <v>9736</v>
      </c>
    </row>
    <row r="1358" spans="2:35" ht="225">
      <c r="B1358" s="1">
        <v>45868</v>
      </c>
      <c r="C1358" s="1">
        <v>45867</v>
      </c>
      <c r="D1358" t="s">
        <v>9737</v>
      </c>
      <c r="E1358" t="s">
        <v>9738</v>
      </c>
      <c r="F1358" t="s">
        <v>148</v>
      </c>
      <c r="G1358" t="s">
        <v>785</v>
      </c>
      <c r="H1358" t="s">
        <v>39</v>
      </c>
      <c r="I1358" t="s">
        <v>40</v>
      </c>
      <c r="J1358" t="s">
        <v>109</v>
      </c>
      <c r="K1358" t="s">
        <v>42</v>
      </c>
      <c r="L1358" t="s">
        <v>43</v>
      </c>
      <c r="N1358" t="s">
        <v>44</v>
      </c>
      <c r="Q1358">
        <v>31187</v>
      </c>
      <c r="R1358" t="s">
        <v>322</v>
      </c>
      <c r="S1358" t="s">
        <v>1680</v>
      </c>
      <c r="T1358">
        <v>22</v>
      </c>
      <c r="U1358" s="2" t="s">
        <v>9739</v>
      </c>
      <c r="W1358" t="s">
        <v>153</v>
      </c>
      <c r="X1358">
        <v>110024246</v>
      </c>
      <c r="Y1358" t="s">
        <v>121</v>
      </c>
      <c r="Z1358" t="s">
        <v>122</v>
      </c>
      <c r="AA1358" s="2" t="s">
        <v>9740</v>
      </c>
      <c r="AB1358" t="s">
        <v>548</v>
      </c>
      <c r="AG1358" t="s">
        <v>9741</v>
      </c>
      <c r="AH1358" t="s">
        <v>1684</v>
      </c>
      <c r="AI1358" t="s">
        <v>9742</v>
      </c>
    </row>
    <row r="1359" spans="2:35" ht="225">
      <c r="B1359" s="1">
        <v>45868</v>
      </c>
      <c r="C1359" s="1">
        <v>45867</v>
      </c>
      <c r="D1359" t="s">
        <v>4765</v>
      </c>
      <c r="E1359" t="s">
        <v>5121</v>
      </c>
      <c r="F1359" t="s">
        <v>148</v>
      </c>
      <c r="G1359" t="s">
        <v>785</v>
      </c>
      <c r="H1359" t="s">
        <v>39</v>
      </c>
      <c r="I1359" t="s">
        <v>40</v>
      </c>
      <c r="J1359" t="s">
        <v>109</v>
      </c>
      <c r="K1359" t="s">
        <v>42</v>
      </c>
      <c r="L1359" t="s">
        <v>43</v>
      </c>
      <c r="N1359" t="s">
        <v>44</v>
      </c>
      <c r="Q1359">
        <v>31188</v>
      </c>
      <c r="R1359" t="s">
        <v>322</v>
      </c>
      <c r="S1359" t="s">
        <v>4704</v>
      </c>
      <c r="T1359">
        <v>26</v>
      </c>
      <c r="U1359" s="2" t="s">
        <v>9743</v>
      </c>
      <c r="W1359" t="s">
        <v>153</v>
      </c>
      <c r="X1359">
        <v>110024245</v>
      </c>
      <c r="Y1359" t="s">
        <v>121</v>
      </c>
      <c r="Z1359" t="s">
        <v>122</v>
      </c>
      <c r="AA1359" s="2" t="s">
        <v>9744</v>
      </c>
      <c r="AB1359" t="s">
        <v>548</v>
      </c>
      <c r="AG1359" t="s">
        <v>9745</v>
      </c>
      <c r="AH1359" t="s">
        <v>6075</v>
      </c>
      <c r="AI1359" t="s">
        <v>9746</v>
      </c>
    </row>
    <row r="1360" spans="2:35" ht="270">
      <c r="B1360" s="1">
        <v>45867</v>
      </c>
      <c r="C1360" s="1">
        <v>45867</v>
      </c>
      <c r="D1360" t="s">
        <v>3712</v>
      </c>
      <c r="E1360" t="s">
        <v>3713</v>
      </c>
      <c r="F1360" t="s">
        <v>148</v>
      </c>
      <c r="G1360" t="s">
        <v>310</v>
      </c>
      <c r="H1360" t="s">
        <v>2274</v>
      </c>
      <c r="I1360" t="s">
        <v>40</v>
      </c>
      <c r="J1360" t="s">
        <v>79</v>
      </c>
      <c r="K1360" t="s">
        <v>387</v>
      </c>
      <c r="L1360" t="s">
        <v>1943</v>
      </c>
      <c r="N1360" t="s">
        <v>1944</v>
      </c>
      <c r="O1360" t="s">
        <v>3824</v>
      </c>
      <c r="Q1360">
        <v>31186</v>
      </c>
      <c r="R1360" t="s">
        <v>322</v>
      </c>
      <c r="S1360" t="s">
        <v>9747</v>
      </c>
      <c r="T1360">
        <v>25</v>
      </c>
      <c r="V1360" s="1">
        <v>45863</v>
      </c>
      <c r="W1360" t="s">
        <v>390</v>
      </c>
      <c r="X1360" t="s">
        <v>4180</v>
      </c>
      <c r="Y1360" t="s">
        <v>9748</v>
      </c>
      <c r="Z1360" t="s">
        <v>9749</v>
      </c>
      <c r="AA1360" s="2" t="s">
        <v>9750</v>
      </c>
      <c r="AB1360" t="s">
        <v>9751</v>
      </c>
      <c r="AD1360" t="s">
        <v>9752</v>
      </c>
      <c r="AE1360" t="s">
        <v>9753</v>
      </c>
      <c r="AG1360" t="s">
        <v>9754</v>
      </c>
      <c r="AH1360" t="s">
        <v>9755</v>
      </c>
      <c r="AI1360" t="s">
        <v>9756</v>
      </c>
    </row>
    <row r="1361" spans="2:35" ht="90">
      <c r="B1361" s="1">
        <v>45867</v>
      </c>
      <c r="C1361" s="1">
        <v>45867</v>
      </c>
      <c r="D1361" t="s">
        <v>8032</v>
      </c>
      <c r="E1361" t="s">
        <v>582</v>
      </c>
      <c r="F1361" t="s">
        <v>148</v>
      </c>
      <c r="G1361" t="s">
        <v>447</v>
      </c>
      <c r="H1361" t="s">
        <v>39</v>
      </c>
      <c r="I1361" t="s">
        <v>40</v>
      </c>
      <c r="J1361" s="2" t="s">
        <v>62</v>
      </c>
      <c r="K1361" t="s">
        <v>42</v>
      </c>
      <c r="L1361" t="s">
        <v>175</v>
      </c>
      <c r="N1361" t="s">
        <v>176</v>
      </c>
      <c r="Q1361">
        <v>31185</v>
      </c>
      <c r="R1361" t="s">
        <v>322</v>
      </c>
      <c r="S1361" t="s">
        <v>9757</v>
      </c>
      <c r="T1361">
        <v>25</v>
      </c>
      <c r="V1361" s="1">
        <v>45862</v>
      </c>
      <c r="W1361" t="s">
        <v>373</v>
      </c>
      <c r="X1361">
        <v>110025174</v>
      </c>
      <c r="Y1361" t="s">
        <v>998</v>
      </c>
      <c r="Z1361" t="s">
        <v>999</v>
      </c>
      <c r="AA1361" t="e">
        <f ca="1">- checked _xludf.and cleaned cartridge bay, plunger rod, _xludf.filter, icore slot
- performed XpertCheck
- generated report
- performed self test</f>
        <v>#NAME?</v>
      </c>
      <c r="AB1361" s="2" t="s">
        <v>9758</v>
      </c>
      <c r="AD1361" t="s">
        <v>7189</v>
      </c>
      <c r="AE1361">
        <v>13207</v>
      </c>
      <c r="AG1361" t="s">
        <v>9759</v>
      </c>
      <c r="AH1361" t="s">
        <v>9760</v>
      </c>
      <c r="AI1361" t="s">
        <v>9761</v>
      </c>
    </row>
    <row r="1362" spans="2:35" ht="105">
      <c r="B1362" s="1">
        <v>45867</v>
      </c>
      <c r="C1362" s="1">
        <v>45867</v>
      </c>
      <c r="D1362" t="s">
        <v>9762</v>
      </c>
      <c r="E1362" t="s">
        <v>9763</v>
      </c>
      <c r="F1362">
        <v>8</v>
      </c>
      <c r="G1362" t="s">
        <v>2945</v>
      </c>
      <c r="H1362" t="s">
        <v>258</v>
      </c>
      <c r="I1362" t="s">
        <v>40</v>
      </c>
      <c r="J1362" t="s">
        <v>109</v>
      </c>
      <c r="K1362" t="s">
        <v>42</v>
      </c>
      <c r="L1362" t="s">
        <v>259</v>
      </c>
      <c r="N1362" t="s">
        <v>260</v>
      </c>
      <c r="O1362" t="s">
        <v>260</v>
      </c>
      <c r="Q1362">
        <v>31184</v>
      </c>
      <c r="R1362" t="s">
        <v>119</v>
      </c>
      <c r="S1362" t="s">
        <v>9764</v>
      </c>
      <c r="T1362">
        <v>28</v>
      </c>
      <c r="U1362" s="2" t="s">
        <v>9765</v>
      </c>
      <c r="V1362" s="1">
        <v>45867</v>
      </c>
      <c r="W1362" t="s">
        <v>84</v>
      </c>
      <c r="X1362">
        <v>838548</v>
      </c>
      <c r="Y1362" t="s">
        <v>1716</v>
      </c>
      <c r="Z1362" t="s">
        <v>263</v>
      </c>
      <c r="AA1362" t="e">
        <f ca="1">-Preventive Maintenance
- Data Collection</f>
        <v>#NAME?</v>
      </c>
      <c r="AB1362" t="s">
        <v>70</v>
      </c>
      <c r="AG1362" t="s">
        <v>9766</v>
      </c>
      <c r="AH1362" t="s">
        <v>9767</v>
      </c>
      <c r="AI1362" t="s">
        <v>9768</v>
      </c>
    </row>
    <row r="1363" spans="2:35">
      <c r="B1363" s="1">
        <v>45867</v>
      </c>
      <c r="C1363" s="1">
        <v>45867</v>
      </c>
      <c r="D1363" t="s">
        <v>7076</v>
      </c>
      <c r="E1363" t="s">
        <v>9769</v>
      </c>
      <c r="F1363">
        <v>10</v>
      </c>
      <c r="G1363" t="s">
        <v>1395</v>
      </c>
      <c r="H1363" t="s">
        <v>1498</v>
      </c>
      <c r="I1363" t="s">
        <v>40</v>
      </c>
      <c r="J1363" t="s">
        <v>109</v>
      </c>
      <c r="K1363" t="s">
        <v>42</v>
      </c>
      <c r="L1363" t="s">
        <v>343</v>
      </c>
      <c r="N1363" t="s">
        <v>344</v>
      </c>
      <c r="Q1363">
        <v>31183</v>
      </c>
      <c r="R1363" t="s">
        <v>119</v>
      </c>
      <c r="S1363" t="s">
        <v>7078</v>
      </c>
      <c r="T1363">
        <v>27</v>
      </c>
      <c r="W1363" t="s">
        <v>1501</v>
      </c>
      <c r="X1363">
        <v>838575</v>
      </c>
      <c r="Y1363" t="s">
        <v>301</v>
      </c>
      <c r="Z1363" t="s">
        <v>301</v>
      </c>
      <c r="AA1363" t="e">
        <f ca="1">-Maintenance
-Data Gather</f>
        <v>#NAME?</v>
      </c>
      <c r="AB1363" t="s">
        <v>1467</v>
      </c>
      <c r="AG1363" t="s">
        <v>9770</v>
      </c>
      <c r="AH1363" t="s">
        <v>7084</v>
      </c>
      <c r="AI1363" t="s">
        <v>9771</v>
      </c>
    </row>
    <row r="1364" spans="2:35" ht="270">
      <c r="B1364" s="1">
        <v>45866</v>
      </c>
      <c r="C1364" s="1">
        <v>45866</v>
      </c>
      <c r="D1364" t="s">
        <v>9772</v>
      </c>
      <c r="E1364" t="s">
        <v>9773</v>
      </c>
      <c r="F1364">
        <v>6</v>
      </c>
      <c r="G1364" t="s">
        <v>1234</v>
      </c>
      <c r="H1364" t="s">
        <v>9774</v>
      </c>
      <c r="I1364" t="s">
        <v>40</v>
      </c>
      <c r="J1364" t="s">
        <v>109</v>
      </c>
      <c r="K1364" t="s">
        <v>42</v>
      </c>
      <c r="L1364" t="s">
        <v>1288</v>
      </c>
      <c r="N1364" t="s">
        <v>1289</v>
      </c>
      <c r="O1364" t="s">
        <v>9775</v>
      </c>
      <c r="Q1364">
        <v>31182</v>
      </c>
      <c r="R1364" t="s">
        <v>967</v>
      </c>
      <c r="S1364" t="s">
        <v>7773</v>
      </c>
      <c r="T1364">
        <v>19</v>
      </c>
      <c r="U1364" s="2" t="s">
        <v>9776</v>
      </c>
      <c r="W1364" t="s">
        <v>9206</v>
      </c>
      <c r="X1364">
        <v>110020743</v>
      </c>
      <c r="Y1364" t="e">
        <f ca="1">-_xludf.For Preventive Maintenance</f>
        <v>#NAME?</v>
      </c>
      <c r="Z1364" t="e">
        <f ca="1">-COLLECT IQR, system _xludf.Log, _xludf.and ARCHIVE</f>
        <v>#NAME?</v>
      </c>
      <c r="AA1364" t="e">
        <f ca="1">-PERFORM Preventive Maintenance PROCEDURE:
_xludf.Clean FAN _xludf.filter, cartridge bay, plunger rod, _xludf.and PROBES</f>
        <v>#NAME?</v>
      </c>
      <c r="AB1364" t="s">
        <v>1293</v>
      </c>
      <c r="AG1364" t="s">
        <v>9777</v>
      </c>
      <c r="AH1364" t="s">
        <v>9778</v>
      </c>
      <c r="AI1364" t="s">
        <v>9779</v>
      </c>
    </row>
    <row r="1365" spans="2:35" ht="409.5">
      <c r="B1365" s="1">
        <v>45866</v>
      </c>
      <c r="C1365" s="1">
        <v>45861</v>
      </c>
      <c r="D1365" t="s">
        <v>9780</v>
      </c>
      <c r="E1365" t="s">
        <v>5914</v>
      </c>
      <c r="F1365" t="s">
        <v>148</v>
      </c>
      <c r="G1365" t="s">
        <v>2007</v>
      </c>
      <c r="H1365" t="s">
        <v>662</v>
      </c>
      <c r="I1365" t="s">
        <v>40</v>
      </c>
      <c r="J1365" t="s">
        <v>583</v>
      </c>
      <c r="K1365" t="s">
        <v>42</v>
      </c>
      <c r="L1365" t="s">
        <v>448</v>
      </c>
      <c r="N1365" t="s">
        <v>650</v>
      </c>
      <c r="Q1365">
        <v>31181</v>
      </c>
      <c r="R1365" t="s">
        <v>95</v>
      </c>
      <c r="S1365" t="s">
        <v>4273</v>
      </c>
      <c r="T1365">
        <v>28</v>
      </c>
      <c r="U1365" s="2" t="s">
        <v>9781</v>
      </c>
      <c r="W1365" t="s">
        <v>9782</v>
      </c>
      <c r="X1365">
        <v>110026448</v>
      </c>
      <c r="Y1365" s="2" t="s">
        <v>9783</v>
      </c>
      <c r="Z1365" s="2" t="s">
        <v>9784</v>
      </c>
      <c r="AA1365" t="s">
        <v>8501</v>
      </c>
      <c r="AB1365" t="s">
        <v>486</v>
      </c>
      <c r="AG1365" t="s">
        <v>9785</v>
      </c>
      <c r="AH1365" t="s">
        <v>4278</v>
      </c>
      <c r="AI1365" t="s">
        <v>9786</v>
      </c>
    </row>
    <row r="1366" spans="2:35" ht="409.5">
      <c r="B1366" s="1">
        <v>45864</v>
      </c>
      <c r="C1366" s="1">
        <v>45863</v>
      </c>
      <c r="D1366" t="s">
        <v>1099</v>
      </c>
      <c r="E1366" t="s">
        <v>3993</v>
      </c>
      <c r="F1366" t="s">
        <v>148</v>
      </c>
      <c r="G1366" t="s">
        <v>406</v>
      </c>
      <c r="H1366" t="s">
        <v>2570</v>
      </c>
      <c r="I1366" t="s">
        <v>40</v>
      </c>
      <c r="J1366" t="s">
        <v>109</v>
      </c>
      <c r="K1366" t="s">
        <v>42</v>
      </c>
      <c r="L1366" t="s">
        <v>43</v>
      </c>
      <c r="N1366" t="s">
        <v>44</v>
      </c>
      <c r="O1366" t="s">
        <v>1091</v>
      </c>
      <c r="Q1366">
        <v>31180</v>
      </c>
      <c r="R1366" t="s">
        <v>95</v>
      </c>
      <c r="S1366" t="s">
        <v>5690</v>
      </c>
      <c r="T1366">
        <v>22</v>
      </c>
      <c r="U1366" s="2" t="s">
        <v>9787</v>
      </c>
      <c r="W1366" t="s">
        <v>153</v>
      </c>
      <c r="X1366">
        <v>120002383</v>
      </c>
      <c r="Y1366" t="s">
        <v>121</v>
      </c>
      <c r="Z1366" t="s">
        <v>122</v>
      </c>
      <c r="AA1366" s="2" t="s">
        <v>9744</v>
      </c>
      <c r="AB1366" t="s">
        <v>548</v>
      </c>
      <c r="AG1366" t="s">
        <v>9788</v>
      </c>
      <c r="AH1366" t="s">
        <v>9789</v>
      </c>
      <c r="AI1366" t="s">
        <v>9790</v>
      </c>
    </row>
    <row r="1367" spans="2:35" ht="409.5">
      <c r="B1367" s="1">
        <v>45864</v>
      </c>
      <c r="C1367" s="1">
        <v>45863</v>
      </c>
      <c r="D1367" t="s">
        <v>1099</v>
      </c>
      <c r="E1367" t="s">
        <v>4002</v>
      </c>
      <c r="F1367" t="s">
        <v>148</v>
      </c>
      <c r="G1367" t="s">
        <v>406</v>
      </c>
      <c r="H1367" t="s">
        <v>2570</v>
      </c>
      <c r="I1367" t="s">
        <v>94</v>
      </c>
      <c r="J1367" s="2" t="s">
        <v>41</v>
      </c>
      <c r="K1367" t="s">
        <v>42</v>
      </c>
      <c r="L1367" t="s">
        <v>43</v>
      </c>
      <c r="N1367" t="s">
        <v>44</v>
      </c>
      <c r="O1367" t="s">
        <v>1091</v>
      </c>
      <c r="Q1367">
        <v>31179</v>
      </c>
      <c r="R1367" t="s">
        <v>95</v>
      </c>
      <c r="S1367" t="s">
        <v>5690</v>
      </c>
      <c r="T1367">
        <v>22</v>
      </c>
      <c r="U1367" s="2" t="s">
        <v>9791</v>
      </c>
      <c r="V1367" s="1">
        <v>45859</v>
      </c>
      <c r="W1367" t="s">
        <v>9792</v>
      </c>
      <c r="X1367">
        <v>839231</v>
      </c>
      <c r="Y1367" t="s">
        <v>559</v>
      </c>
      <c r="Z1367" t="s">
        <v>335</v>
      </c>
      <c r="AA1367" s="2" t="s">
        <v>9793</v>
      </c>
      <c r="AB1367" t="s">
        <v>548</v>
      </c>
      <c r="AD1367" s="2" t="s">
        <v>9794</v>
      </c>
      <c r="AE1367" t="s">
        <v>9795</v>
      </c>
      <c r="AG1367" t="s">
        <v>9796</v>
      </c>
      <c r="AH1367" t="s">
        <v>9789</v>
      </c>
      <c r="AI1367" t="s">
        <v>9797</v>
      </c>
    </row>
    <row r="1368" spans="2:35" ht="409.5">
      <c r="B1368" s="1">
        <v>45864</v>
      </c>
      <c r="C1368" s="1">
        <v>45863</v>
      </c>
      <c r="D1368" t="s">
        <v>1099</v>
      </c>
      <c r="E1368" t="s">
        <v>3993</v>
      </c>
      <c r="F1368" t="s">
        <v>148</v>
      </c>
      <c r="G1368" t="s">
        <v>406</v>
      </c>
      <c r="H1368" t="s">
        <v>2570</v>
      </c>
      <c r="I1368" t="s">
        <v>40</v>
      </c>
      <c r="J1368" t="s">
        <v>109</v>
      </c>
      <c r="K1368" t="s">
        <v>42</v>
      </c>
      <c r="L1368" t="s">
        <v>43</v>
      </c>
      <c r="N1368" t="s">
        <v>44</v>
      </c>
      <c r="O1368" t="s">
        <v>1091</v>
      </c>
      <c r="Q1368">
        <v>31178</v>
      </c>
      <c r="R1368" t="s">
        <v>95</v>
      </c>
      <c r="S1368" t="s">
        <v>5690</v>
      </c>
      <c r="T1368">
        <v>22</v>
      </c>
      <c r="U1368" s="2" t="s">
        <v>9787</v>
      </c>
      <c r="W1368" t="s">
        <v>153</v>
      </c>
      <c r="X1368">
        <v>120002383</v>
      </c>
      <c r="Y1368" t="s">
        <v>121</v>
      </c>
      <c r="Z1368" t="s">
        <v>122</v>
      </c>
      <c r="AA1368" s="2" t="s">
        <v>9744</v>
      </c>
      <c r="AB1368" t="s">
        <v>548</v>
      </c>
      <c r="AG1368" t="s">
        <v>9798</v>
      </c>
      <c r="AH1368" t="s">
        <v>9789</v>
      </c>
      <c r="AI1368" t="s">
        <v>9799</v>
      </c>
    </row>
    <row r="1369" spans="2:35" ht="409.5">
      <c r="B1369" s="1">
        <v>45864</v>
      </c>
      <c r="C1369" s="1">
        <v>45863</v>
      </c>
      <c r="D1369" t="s">
        <v>1099</v>
      </c>
      <c r="E1369" t="s">
        <v>4002</v>
      </c>
      <c r="F1369" t="s">
        <v>148</v>
      </c>
      <c r="G1369" t="s">
        <v>406</v>
      </c>
      <c r="H1369" t="s">
        <v>2570</v>
      </c>
      <c r="I1369" t="s">
        <v>94</v>
      </c>
      <c r="J1369" s="2" t="s">
        <v>41</v>
      </c>
      <c r="K1369" t="s">
        <v>42</v>
      </c>
      <c r="L1369" t="s">
        <v>43</v>
      </c>
      <c r="N1369" t="s">
        <v>44</v>
      </c>
      <c r="O1369" t="s">
        <v>1091</v>
      </c>
      <c r="Q1369">
        <v>31177</v>
      </c>
      <c r="R1369" t="s">
        <v>95</v>
      </c>
      <c r="S1369" t="s">
        <v>5690</v>
      </c>
      <c r="T1369">
        <v>22</v>
      </c>
      <c r="U1369" s="2" t="s">
        <v>9791</v>
      </c>
      <c r="V1369" s="1">
        <v>45859</v>
      </c>
      <c r="W1369" t="s">
        <v>9792</v>
      </c>
      <c r="X1369">
        <v>839231</v>
      </c>
      <c r="Y1369" t="s">
        <v>559</v>
      </c>
      <c r="Z1369" t="s">
        <v>335</v>
      </c>
      <c r="AA1369" s="2" t="s">
        <v>9793</v>
      </c>
      <c r="AB1369" t="s">
        <v>548</v>
      </c>
      <c r="AD1369" s="2" t="s">
        <v>9794</v>
      </c>
      <c r="AE1369" t="s">
        <v>9795</v>
      </c>
      <c r="AG1369" t="s">
        <v>9800</v>
      </c>
      <c r="AH1369" t="s">
        <v>9789</v>
      </c>
      <c r="AI1369" t="s">
        <v>9801</v>
      </c>
    </row>
    <row r="1370" spans="2:35" ht="120">
      <c r="B1370" s="1">
        <v>45863</v>
      </c>
      <c r="C1370" s="1">
        <v>45854</v>
      </c>
      <c r="D1370" t="s">
        <v>6919</v>
      </c>
      <c r="E1370" t="s">
        <v>510</v>
      </c>
      <c r="F1370" t="s">
        <v>511</v>
      </c>
      <c r="G1370" t="s">
        <v>512</v>
      </c>
      <c r="H1370" t="s">
        <v>39</v>
      </c>
      <c r="I1370" t="s">
        <v>40</v>
      </c>
      <c r="J1370" t="s">
        <v>109</v>
      </c>
      <c r="K1370" t="s">
        <v>42</v>
      </c>
      <c r="L1370" t="s">
        <v>1048</v>
      </c>
      <c r="N1370" t="s">
        <v>1049</v>
      </c>
      <c r="Q1370">
        <v>31176</v>
      </c>
      <c r="R1370" t="s">
        <v>119</v>
      </c>
      <c r="S1370" t="s">
        <v>6920</v>
      </c>
      <c r="T1370">
        <v>24</v>
      </c>
      <c r="W1370" t="s">
        <v>1051</v>
      </c>
      <c r="X1370">
        <v>838281</v>
      </c>
      <c r="Y1370" t="e">
        <f ca="1">- _xludf.For Preventive Maintenance</f>
        <v>#NAME?</v>
      </c>
      <c r="Z1370" t="e">
        <f ca="1">- cleaned cartridge Bays, plunger Rods _xludf.and I-CORE
- generated reports</f>
        <v>#NAME?</v>
      </c>
      <c r="AA1370" t="e">
        <f ca="1">- performed Preventive Maintenance</f>
        <v>#NAME?</v>
      </c>
      <c r="AB1370" s="2" t="s">
        <v>9802</v>
      </c>
      <c r="AG1370" t="s">
        <v>9803</v>
      </c>
      <c r="AH1370" t="s">
        <v>6925</v>
      </c>
      <c r="AI1370" t="s">
        <v>9804</v>
      </c>
    </row>
    <row r="1371" spans="2:35" ht="60">
      <c r="B1371" s="1">
        <v>45863</v>
      </c>
      <c r="C1371" s="1">
        <v>45854</v>
      </c>
      <c r="D1371" t="s">
        <v>9805</v>
      </c>
      <c r="E1371" t="s">
        <v>510</v>
      </c>
      <c r="F1371" t="s">
        <v>511</v>
      </c>
      <c r="G1371" t="s">
        <v>512</v>
      </c>
      <c r="H1371" t="s">
        <v>61</v>
      </c>
      <c r="I1371" t="s">
        <v>40</v>
      </c>
      <c r="J1371" s="2" t="s">
        <v>62</v>
      </c>
      <c r="K1371" t="s">
        <v>42</v>
      </c>
      <c r="L1371" t="s">
        <v>1048</v>
      </c>
      <c r="N1371" t="s">
        <v>1049</v>
      </c>
      <c r="Q1371">
        <v>31175</v>
      </c>
      <c r="R1371" t="s">
        <v>322</v>
      </c>
      <c r="S1371" t="s">
        <v>9806</v>
      </c>
      <c r="T1371">
        <v>17</v>
      </c>
      <c r="V1371" s="1">
        <v>45854</v>
      </c>
      <c r="W1371" t="s">
        <v>1424</v>
      </c>
      <c r="X1371">
        <v>110016112</v>
      </c>
      <c r="Y1371" t="s">
        <v>6929</v>
      </c>
      <c r="Z1371" t="e">
        <f ca="1">- cleaned cartridge Bays, plunger Rods _xludf.and I-CORE
- performed XpertCheck
- generated reports</f>
        <v>#NAME?</v>
      </c>
      <c r="AA1371" t="s">
        <v>6930</v>
      </c>
      <c r="AB1371" t="e">
        <f ca="1">- Unit is Fully operational
- modules B1, B2 _xludf.and B3 passed XpertCheck
- B4 Retry status</f>
        <v>#NAME?</v>
      </c>
      <c r="AD1371" t="s">
        <v>1958</v>
      </c>
      <c r="AE1371" t="s">
        <v>103</v>
      </c>
      <c r="AG1371" t="s">
        <v>9807</v>
      </c>
      <c r="AH1371" t="s">
        <v>9808</v>
      </c>
      <c r="AI1371" t="s">
        <v>9809</v>
      </c>
    </row>
    <row r="1372" spans="2:35" ht="180">
      <c r="B1372" s="1">
        <v>45862</v>
      </c>
      <c r="C1372" s="1">
        <v>45856</v>
      </c>
      <c r="D1372" t="s">
        <v>2427</v>
      </c>
      <c r="E1372" t="s">
        <v>9810</v>
      </c>
      <c r="F1372" t="s">
        <v>148</v>
      </c>
      <c r="G1372" t="s">
        <v>447</v>
      </c>
      <c r="H1372" t="s">
        <v>513</v>
      </c>
      <c r="I1372" t="s">
        <v>40</v>
      </c>
      <c r="J1372" t="s">
        <v>525</v>
      </c>
      <c r="K1372" t="s">
        <v>387</v>
      </c>
      <c r="L1372" t="s">
        <v>1028</v>
      </c>
      <c r="N1372" t="s">
        <v>1029</v>
      </c>
      <c r="Q1372">
        <v>31174</v>
      </c>
      <c r="R1372" t="s">
        <v>95</v>
      </c>
      <c r="S1372" t="s">
        <v>2429</v>
      </c>
      <c r="T1372">
        <v>25</v>
      </c>
      <c r="W1372" t="s">
        <v>390</v>
      </c>
      <c r="X1372" t="s">
        <v>2430</v>
      </c>
      <c r="Y1372" t="s">
        <v>9811</v>
      </c>
      <c r="Z1372" t="s">
        <v>5186</v>
      </c>
      <c r="AA1372" s="2" t="s">
        <v>9812</v>
      </c>
      <c r="AB1372" s="2" t="s">
        <v>9813</v>
      </c>
      <c r="AG1372" t="s">
        <v>9814</v>
      </c>
      <c r="AH1372" t="s">
        <v>9815</v>
      </c>
      <c r="AI1372" t="s">
        <v>9816</v>
      </c>
    </row>
    <row r="1373" spans="2:35" ht="409.5">
      <c r="B1373" s="1">
        <v>45862</v>
      </c>
      <c r="C1373" s="1">
        <v>45862</v>
      </c>
      <c r="D1373" t="s">
        <v>3712</v>
      </c>
      <c r="E1373" t="s">
        <v>3713</v>
      </c>
      <c r="F1373" t="s">
        <v>148</v>
      </c>
      <c r="G1373" t="s">
        <v>310</v>
      </c>
      <c r="H1373" t="s">
        <v>2274</v>
      </c>
      <c r="I1373" t="s">
        <v>40</v>
      </c>
      <c r="J1373" s="2" t="s">
        <v>355</v>
      </c>
      <c r="K1373" t="s">
        <v>387</v>
      </c>
      <c r="L1373" t="s">
        <v>1943</v>
      </c>
      <c r="N1373" t="s">
        <v>1944</v>
      </c>
      <c r="Q1373">
        <v>31173</v>
      </c>
      <c r="R1373" t="s">
        <v>322</v>
      </c>
      <c r="S1373" t="s">
        <v>3824</v>
      </c>
      <c r="T1373">
        <v>25</v>
      </c>
      <c r="W1373" t="s">
        <v>390</v>
      </c>
      <c r="X1373" t="s">
        <v>4180</v>
      </c>
      <c r="Y1373" s="2" t="s">
        <v>9817</v>
      </c>
      <c r="Z1373" t="s">
        <v>9818</v>
      </c>
      <c r="AA1373" s="2" t="s">
        <v>9819</v>
      </c>
      <c r="AB1373" t="s">
        <v>9820</v>
      </c>
      <c r="AG1373" t="s">
        <v>9821</v>
      </c>
      <c r="AH1373" t="s">
        <v>3717</v>
      </c>
      <c r="AI1373" t="s">
        <v>9822</v>
      </c>
    </row>
    <row r="1374" spans="2:35" ht="270">
      <c r="B1374" s="1">
        <v>45862</v>
      </c>
      <c r="C1374" s="1">
        <v>45862</v>
      </c>
      <c r="D1374" t="s">
        <v>9823</v>
      </c>
      <c r="E1374" t="s">
        <v>7477</v>
      </c>
      <c r="F1374">
        <v>11</v>
      </c>
      <c r="G1374" t="s">
        <v>1205</v>
      </c>
      <c r="H1374" t="s">
        <v>202</v>
      </c>
      <c r="I1374" t="s">
        <v>40</v>
      </c>
      <c r="J1374" t="s">
        <v>109</v>
      </c>
      <c r="K1374" t="s">
        <v>42</v>
      </c>
      <c r="L1374" t="s">
        <v>204</v>
      </c>
      <c r="N1374" t="s">
        <v>205</v>
      </c>
      <c r="Q1374">
        <v>31172</v>
      </c>
      <c r="R1374" t="s">
        <v>119</v>
      </c>
      <c r="S1374" t="s">
        <v>7478</v>
      </c>
      <c r="T1374">
        <v>24.6</v>
      </c>
      <c r="U1374" s="2" t="s">
        <v>3524</v>
      </c>
      <c r="W1374" t="s">
        <v>208</v>
      </c>
      <c r="X1374">
        <v>838507</v>
      </c>
      <c r="Y1374" t="s">
        <v>2851</v>
      </c>
      <c r="Z1374" s="2" t="s">
        <v>9413</v>
      </c>
      <c r="AA1374" t="s">
        <v>2551</v>
      </c>
      <c r="AB1374" t="s">
        <v>3063</v>
      </c>
      <c r="AG1374" t="s">
        <v>9824</v>
      </c>
      <c r="AH1374" t="s">
        <v>9825</v>
      </c>
      <c r="AI1374" t="s">
        <v>9826</v>
      </c>
    </row>
    <row r="1375" spans="2:35" ht="375">
      <c r="B1375" s="1">
        <v>45862</v>
      </c>
      <c r="C1375" s="1">
        <v>45861</v>
      </c>
      <c r="D1375" t="s">
        <v>976</v>
      </c>
      <c r="E1375" t="s">
        <v>977</v>
      </c>
      <c r="F1375">
        <v>12</v>
      </c>
      <c r="G1375" t="s">
        <v>978</v>
      </c>
      <c r="H1375" t="s">
        <v>1473</v>
      </c>
      <c r="I1375" t="s">
        <v>40</v>
      </c>
      <c r="J1375" t="s">
        <v>109</v>
      </c>
      <c r="K1375" t="s">
        <v>42</v>
      </c>
      <c r="L1375" t="s">
        <v>296</v>
      </c>
      <c r="N1375" t="s">
        <v>297</v>
      </c>
      <c r="Q1375">
        <v>31171</v>
      </c>
      <c r="R1375" t="s">
        <v>119</v>
      </c>
      <c r="S1375" t="s">
        <v>979</v>
      </c>
      <c r="T1375">
        <v>23.8</v>
      </c>
      <c r="U1375" s="2" t="s">
        <v>9827</v>
      </c>
      <c r="W1375" t="s">
        <v>981</v>
      </c>
      <c r="X1375">
        <v>838543</v>
      </c>
      <c r="Y1375" t="s">
        <v>301</v>
      </c>
      <c r="Z1375" s="2" t="s">
        <v>9828</v>
      </c>
      <c r="AA1375" t="s">
        <v>9161</v>
      </c>
      <c r="AB1375" t="s">
        <v>972</v>
      </c>
      <c r="AG1375" t="s">
        <v>9829</v>
      </c>
      <c r="AH1375" t="s">
        <v>9830</v>
      </c>
      <c r="AI1375" t="s">
        <v>9831</v>
      </c>
    </row>
    <row r="1376" spans="2:35" ht="105">
      <c r="B1376" s="1">
        <v>45862</v>
      </c>
      <c r="C1376" s="1">
        <v>45862</v>
      </c>
      <c r="D1376" t="s">
        <v>8529</v>
      </c>
      <c r="E1376" t="s">
        <v>9832</v>
      </c>
      <c r="F1376">
        <v>7</v>
      </c>
      <c r="G1376" t="s">
        <v>432</v>
      </c>
      <c r="H1376" t="s">
        <v>1498</v>
      </c>
      <c r="I1376" t="s">
        <v>40</v>
      </c>
      <c r="J1376" t="s">
        <v>109</v>
      </c>
      <c r="K1376" t="s">
        <v>42</v>
      </c>
      <c r="L1376" t="s">
        <v>343</v>
      </c>
      <c r="N1376" t="s">
        <v>344</v>
      </c>
      <c r="Q1376">
        <v>31170</v>
      </c>
      <c r="R1376" t="s">
        <v>119</v>
      </c>
      <c r="S1376" t="s">
        <v>8531</v>
      </c>
      <c r="T1376">
        <v>29</v>
      </c>
      <c r="U1376" s="2" t="s">
        <v>9833</v>
      </c>
      <c r="W1376" t="s">
        <v>1501</v>
      </c>
      <c r="X1376">
        <v>838279</v>
      </c>
      <c r="Y1376" t="s">
        <v>301</v>
      </c>
      <c r="Z1376" t="e">
        <f ca="1">-PERFORM Preventive Maintenance: cartridge bay, FAN _xludf.filter, plunger rod, optic slot</f>
        <v>#NAME?</v>
      </c>
      <c r="AA1376" t="e">
        <f ca="1">-Preventive Maintenance
-Deliver letter</f>
        <v>#NAME?</v>
      </c>
      <c r="AB1376" t="s">
        <v>9834</v>
      </c>
      <c r="AG1376" t="s">
        <v>9835</v>
      </c>
      <c r="AH1376" t="s">
        <v>9836</v>
      </c>
      <c r="AI1376" t="s">
        <v>9837</v>
      </c>
    </row>
    <row r="1377" spans="2:35" ht="105">
      <c r="B1377" s="1">
        <v>45862</v>
      </c>
      <c r="C1377" s="1">
        <v>45862</v>
      </c>
      <c r="D1377" t="s">
        <v>5553</v>
      </c>
      <c r="E1377" t="s">
        <v>9838</v>
      </c>
      <c r="F1377">
        <v>8</v>
      </c>
      <c r="G1377" t="s">
        <v>342</v>
      </c>
      <c r="H1377" t="s">
        <v>258</v>
      </c>
      <c r="I1377" t="s">
        <v>40</v>
      </c>
      <c r="J1377" t="s">
        <v>109</v>
      </c>
      <c r="K1377" t="s">
        <v>42</v>
      </c>
      <c r="L1377" t="s">
        <v>259</v>
      </c>
      <c r="N1377" t="s">
        <v>260</v>
      </c>
      <c r="Q1377">
        <v>31169</v>
      </c>
      <c r="R1377" t="s">
        <v>967</v>
      </c>
      <c r="S1377" t="s">
        <v>5555</v>
      </c>
      <c r="T1377">
        <v>26</v>
      </c>
      <c r="U1377" s="2" t="s">
        <v>9839</v>
      </c>
      <c r="V1377" s="1">
        <v>45862</v>
      </c>
      <c r="W1377" t="s">
        <v>84</v>
      </c>
      <c r="X1377">
        <v>110023514</v>
      </c>
      <c r="Y1377" t="s">
        <v>263</v>
      </c>
      <c r="Z1377" t="s">
        <v>263</v>
      </c>
      <c r="AA1377" t="e">
        <f ca="1">-Preventive Maintenance
- Data Collection</f>
        <v>#NAME?</v>
      </c>
      <c r="AB1377" t="s">
        <v>70</v>
      </c>
      <c r="AG1377" t="s">
        <v>9840</v>
      </c>
      <c r="AH1377" t="s">
        <v>5558</v>
      </c>
      <c r="AI1377" t="s">
        <v>9841</v>
      </c>
    </row>
    <row r="1378" spans="2:35" ht="375">
      <c r="B1378" s="1">
        <v>45862</v>
      </c>
      <c r="C1378" s="1">
        <v>45855</v>
      </c>
      <c r="D1378" t="s">
        <v>3712</v>
      </c>
      <c r="E1378" t="s">
        <v>3713</v>
      </c>
      <c r="F1378" t="s">
        <v>148</v>
      </c>
      <c r="G1378" t="s">
        <v>310</v>
      </c>
      <c r="H1378" t="s">
        <v>2274</v>
      </c>
      <c r="I1378" t="s">
        <v>40</v>
      </c>
      <c r="J1378" s="2" t="s">
        <v>62</v>
      </c>
      <c r="K1378" t="s">
        <v>387</v>
      </c>
      <c r="L1378" t="s">
        <v>1943</v>
      </c>
      <c r="N1378" t="s">
        <v>1944</v>
      </c>
      <c r="O1378" t="s">
        <v>3824</v>
      </c>
      <c r="Q1378">
        <v>31167</v>
      </c>
      <c r="R1378" t="s">
        <v>322</v>
      </c>
      <c r="S1378" t="s">
        <v>9747</v>
      </c>
      <c r="T1378">
        <v>25</v>
      </c>
      <c r="W1378" t="s">
        <v>390</v>
      </c>
      <c r="X1378" t="s">
        <v>4180</v>
      </c>
      <c r="Y1378" s="2" t="s">
        <v>9842</v>
      </c>
      <c r="Z1378" t="s">
        <v>9843</v>
      </c>
      <c r="AA1378" s="2" t="s">
        <v>7184</v>
      </c>
      <c r="AB1378" t="s">
        <v>88</v>
      </c>
      <c r="AG1378" t="s">
        <v>9844</v>
      </c>
      <c r="AH1378" t="s">
        <v>9755</v>
      </c>
      <c r="AI1378" t="s">
        <v>9845</v>
      </c>
    </row>
    <row r="1379" spans="2:35" ht="375">
      <c r="B1379" s="1">
        <v>45862</v>
      </c>
      <c r="C1379" s="1">
        <v>45855</v>
      </c>
      <c r="D1379" t="s">
        <v>3712</v>
      </c>
      <c r="E1379" t="s">
        <v>3713</v>
      </c>
      <c r="F1379" t="s">
        <v>148</v>
      </c>
      <c r="G1379" t="s">
        <v>310</v>
      </c>
      <c r="H1379" t="s">
        <v>2274</v>
      </c>
      <c r="I1379" t="s">
        <v>40</v>
      </c>
      <c r="J1379" s="2" t="s">
        <v>62</v>
      </c>
      <c r="K1379" t="s">
        <v>387</v>
      </c>
      <c r="L1379" t="s">
        <v>1943</v>
      </c>
      <c r="N1379" t="s">
        <v>1944</v>
      </c>
      <c r="O1379" t="s">
        <v>3824</v>
      </c>
      <c r="Q1379">
        <v>31168</v>
      </c>
      <c r="R1379" t="s">
        <v>322</v>
      </c>
      <c r="S1379" t="s">
        <v>9747</v>
      </c>
      <c r="T1379">
        <v>25</v>
      </c>
      <c r="W1379" t="s">
        <v>390</v>
      </c>
      <c r="X1379" t="s">
        <v>3715</v>
      </c>
      <c r="Y1379" s="2" t="s">
        <v>9846</v>
      </c>
      <c r="Z1379" t="s">
        <v>6821</v>
      </c>
      <c r="AA1379" s="2" t="s">
        <v>7184</v>
      </c>
      <c r="AB1379" t="s">
        <v>88</v>
      </c>
      <c r="AG1379" t="s">
        <v>9847</v>
      </c>
      <c r="AH1379" t="s">
        <v>9755</v>
      </c>
      <c r="AI1379" t="s">
        <v>9848</v>
      </c>
    </row>
    <row r="1380" spans="2:35" ht="120">
      <c r="B1380" s="1">
        <v>45862</v>
      </c>
      <c r="C1380" s="1">
        <v>45812</v>
      </c>
      <c r="D1380" t="s">
        <v>3833</v>
      </c>
      <c r="E1380" t="s">
        <v>1456</v>
      </c>
      <c r="F1380" t="s">
        <v>511</v>
      </c>
      <c r="G1380" t="s">
        <v>512</v>
      </c>
      <c r="H1380" t="s">
        <v>513</v>
      </c>
      <c r="I1380" t="s">
        <v>40</v>
      </c>
      <c r="J1380" s="2" t="s">
        <v>1309</v>
      </c>
      <c r="K1380" t="s">
        <v>387</v>
      </c>
      <c r="L1380" t="s">
        <v>175</v>
      </c>
      <c r="N1380" t="s">
        <v>176</v>
      </c>
      <c r="Q1380">
        <v>31166</v>
      </c>
      <c r="R1380" t="s">
        <v>322</v>
      </c>
      <c r="S1380" t="s">
        <v>3578</v>
      </c>
      <c r="T1380">
        <v>25</v>
      </c>
      <c r="V1380" s="1">
        <v>45811</v>
      </c>
      <c r="W1380" t="s">
        <v>390</v>
      </c>
      <c r="X1380" t="s">
        <v>3835</v>
      </c>
      <c r="Y1380" t="s">
        <v>2473</v>
      </c>
      <c r="Z1380" s="2" t="s">
        <v>9849</v>
      </c>
      <c r="AA1380" t="e">
        <f ca="1">- replaced CPU board
- performed Unit CALIBRATION (ALL values within acceptable range)
- performed self test</f>
        <v>#NAME?</v>
      </c>
      <c r="AB1380" t="s">
        <v>181</v>
      </c>
      <c r="AD1380" s="2" t="s">
        <v>9850</v>
      </c>
      <c r="AE1380">
        <v>13068</v>
      </c>
      <c r="AG1380" t="s">
        <v>9851</v>
      </c>
      <c r="AH1380" t="s">
        <v>9852</v>
      </c>
      <c r="AI1380" t="s">
        <v>9853</v>
      </c>
    </row>
    <row r="1381" spans="2:35" ht="409.5">
      <c r="B1381" s="1">
        <v>45861</v>
      </c>
      <c r="C1381" s="1">
        <v>45861</v>
      </c>
      <c r="D1381" t="s">
        <v>8429</v>
      </c>
      <c r="E1381" t="s">
        <v>9854</v>
      </c>
      <c r="F1381">
        <v>11</v>
      </c>
      <c r="G1381" t="s">
        <v>1205</v>
      </c>
      <c r="H1381" t="s">
        <v>202</v>
      </c>
      <c r="I1381" t="s">
        <v>40</v>
      </c>
      <c r="J1381" s="2" t="s">
        <v>190</v>
      </c>
      <c r="K1381" t="s">
        <v>42</v>
      </c>
      <c r="L1381" t="s">
        <v>204</v>
      </c>
      <c r="N1381" t="s">
        <v>205</v>
      </c>
      <c r="Q1381">
        <v>31165</v>
      </c>
      <c r="R1381" t="s">
        <v>119</v>
      </c>
      <c r="S1381" t="s">
        <v>8431</v>
      </c>
      <c r="T1381">
        <v>24.5</v>
      </c>
      <c r="U1381" s="2" t="s">
        <v>7408</v>
      </c>
      <c r="W1381" t="s">
        <v>208</v>
      </c>
      <c r="X1381">
        <v>838456</v>
      </c>
      <c r="Y1381" s="2" t="s">
        <v>9855</v>
      </c>
      <c r="Z1381" s="2" t="s">
        <v>9856</v>
      </c>
      <c r="AA1381" s="2" t="s">
        <v>9857</v>
      </c>
      <c r="AB1381" s="2" t="s">
        <v>9858</v>
      </c>
      <c r="AC1381" t="s">
        <v>5375</v>
      </c>
      <c r="AG1381" t="s">
        <v>9859</v>
      </c>
      <c r="AH1381" t="s">
        <v>8438</v>
      </c>
      <c r="AI1381" t="s">
        <v>9860</v>
      </c>
    </row>
    <row r="1382" spans="2:35" ht="409.5">
      <c r="B1382" s="1">
        <v>45861</v>
      </c>
      <c r="C1382" s="1">
        <v>45860</v>
      </c>
      <c r="D1382" t="s">
        <v>1081</v>
      </c>
      <c r="E1382" t="s">
        <v>2073</v>
      </c>
      <c r="F1382" t="s">
        <v>148</v>
      </c>
      <c r="G1382" t="s">
        <v>785</v>
      </c>
      <c r="H1382" t="s">
        <v>39</v>
      </c>
      <c r="I1382" t="s">
        <v>40</v>
      </c>
      <c r="J1382" t="s">
        <v>109</v>
      </c>
      <c r="K1382" t="s">
        <v>42</v>
      </c>
      <c r="L1382" t="s">
        <v>43</v>
      </c>
      <c r="N1382" t="s">
        <v>44</v>
      </c>
      <c r="O1382" t="s">
        <v>2015</v>
      </c>
      <c r="Q1382">
        <v>31164</v>
      </c>
      <c r="R1382" t="s">
        <v>95</v>
      </c>
      <c r="S1382" t="s">
        <v>2016</v>
      </c>
      <c r="T1382">
        <v>22</v>
      </c>
      <c r="U1382" s="2" t="s">
        <v>9861</v>
      </c>
      <c r="W1382" t="s">
        <v>5136</v>
      </c>
      <c r="X1382">
        <v>110015767</v>
      </c>
      <c r="Y1382" t="s">
        <v>121</v>
      </c>
      <c r="Z1382" t="s">
        <v>122</v>
      </c>
      <c r="AA1382" s="2" t="s">
        <v>9744</v>
      </c>
      <c r="AB1382" t="s">
        <v>88</v>
      </c>
      <c r="AG1382" t="s">
        <v>9862</v>
      </c>
      <c r="AH1382" t="s">
        <v>9863</v>
      </c>
      <c r="AI1382" t="s">
        <v>9864</v>
      </c>
    </row>
    <row r="1383" spans="2:35" ht="120">
      <c r="B1383" s="1">
        <v>45861</v>
      </c>
      <c r="C1383" s="1">
        <v>45861</v>
      </c>
      <c r="D1383" t="s">
        <v>8059</v>
      </c>
      <c r="E1383" t="s">
        <v>9865</v>
      </c>
      <c r="F1383">
        <v>7</v>
      </c>
      <c r="G1383" t="s">
        <v>432</v>
      </c>
      <c r="H1383" t="s">
        <v>39</v>
      </c>
      <c r="I1383" t="s">
        <v>40</v>
      </c>
      <c r="J1383" s="2" t="s">
        <v>609</v>
      </c>
      <c r="K1383" t="s">
        <v>42</v>
      </c>
      <c r="L1383" t="s">
        <v>433</v>
      </c>
      <c r="N1383" t="s">
        <v>434</v>
      </c>
      <c r="Q1383">
        <v>31163</v>
      </c>
      <c r="R1383" t="s">
        <v>119</v>
      </c>
      <c r="S1383" t="s">
        <v>1818</v>
      </c>
      <c r="T1383">
        <v>23</v>
      </c>
      <c r="W1383" t="s">
        <v>502</v>
      </c>
      <c r="X1383">
        <v>838263</v>
      </c>
      <c r="Y1383" s="2" t="s">
        <v>9866</v>
      </c>
      <c r="Z1383" s="2" t="s">
        <v>9866</v>
      </c>
      <c r="AA1383" s="2" t="s">
        <v>9866</v>
      </c>
      <c r="AB1383" t="s">
        <v>1011</v>
      </c>
      <c r="AG1383" t="s">
        <v>9867</v>
      </c>
      <c r="AH1383" t="s">
        <v>1823</v>
      </c>
      <c r="AI1383" t="s">
        <v>9868</v>
      </c>
    </row>
    <row r="1384" spans="2:35">
      <c r="B1384" s="1">
        <v>45860</v>
      </c>
      <c r="C1384" s="1">
        <v>45860</v>
      </c>
      <c r="D1384" t="s">
        <v>8654</v>
      </c>
      <c r="E1384" t="s">
        <v>8655</v>
      </c>
      <c r="F1384">
        <v>8</v>
      </c>
      <c r="G1384" t="s">
        <v>257</v>
      </c>
      <c r="H1384" t="s">
        <v>258</v>
      </c>
      <c r="I1384" t="s">
        <v>40</v>
      </c>
      <c r="J1384" t="s">
        <v>109</v>
      </c>
      <c r="K1384" t="s">
        <v>42</v>
      </c>
      <c r="L1384" t="s">
        <v>259</v>
      </c>
      <c r="N1384" t="s">
        <v>260</v>
      </c>
      <c r="Q1384">
        <v>31162</v>
      </c>
      <c r="R1384" t="s">
        <v>119</v>
      </c>
      <c r="S1384" t="s">
        <v>8656</v>
      </c>
      <c r="T1384">
        <v>28</v>
      </c>
      <c r="W1384" t="s">
        <v>84</v>
      </c>
      <c r="X1384">
        <v>838409</v>
      </c>
      <c r="Y1384" t="s">
        <v>263</v>
      </c>
      <c r="Z1384" t="s">
        <v>263</v>
      </c>
      <c r="AA1384" t="s">
        <v>9869</v>
      </c>
      <c r="AB1384" t="s">
        <v>70</v>
      </c>
      <c r="AG1384" t="s">
        <v>9870</v>
      </c>
      <c r="AH1384" t="s">
        <v>9871</v>
      </c>
      <c r="AI1384" t="s">
        <v>9872</v>
      </c>
    </row>
    <row r="1385" spans="2:35" ht="375">
      <c r="B1385" s="1">
        <v>45859</v>
      </c>
      <c r="C1385" s="1">
        <v>45854</v>
      </c>
      <c r="D1385" t="s">
        <v>2364</v>
      </c>
      <c r="E1385" t="s">
        <v>7483</v>
      </c>
      <c r="F1385">
        <v>12</v>
      </c>
      <c r="G1385" t="s">
        <v>978</v>
      </c>
      <c r="H1385" t="s">
        <v>1473</v>
      </c>
      <c r="I1385" t="s">
        <v>40</v>
      </c>
      <c r="J1385" t="s">
        <v>109</v>
      </c>
      <c r="K1385" t="s">
        <v>42</v>
      </c>
      <c r="L1385" t="s">
        <v>296</v>
      </c>
      <c r="N1385" t="s">
        <v>297</v>
      </c>
      <c r="Q1385">
        <v>31159</v>
      </c>
      <c r="R1385" t="s">
        <v>119</v>
      </c>
      <c r="S1385" t="s">
        <v>2366</v>
      </c>
      <c r="T1385">
        <v>23.4</v>
      </c>
      <c r="U1385" s="2" t="s">
        <v>9873</v>
      </c>
      <c r="W1385" t="s">
        <v>981</v>
      </c>
      <c r="X1385">
        <v>838570</v>
      </c>
      <c r="Y1385" t="s">
        <v>301</v>
      </c>
      <c r="Z1385" s="2" t="s">
        <v>9874</v>
      </c>
      <c r="AA1385" t="s">
        <v>9161</v>
      </c>
      <c r="AB1385" t="s">
        <v>972</v>
      </c>
      <c r="AG1385" t="s">
        <v>9875</v>
      </c>
      <c r="AH1385" t="s">
        <v>9876</v>
      </c>
      <c r="AI1385" t="s">
        <v>9877</v>
      </c>
    </row>
    <row r="1386" spans="2:35" ht="315">
      <c r="B1386" s="1">
        <v>45859</v>
      </c>
      <c r="C1386" s="1">
        <v>45853</v>
      </c>
      <c r="D1386" t="s">
        <v>9878</v>
      </c>
      <c r="E1386" t="s">
        <v>9879</v>
      </c>
      <c r="F1386">
        <v>12</v>
      </c>
      <c r="G1386" t="s">
        <v>5785</v>
      </c>
      <c r="H1386" t="s">
        <v>1473</v>
      </c>
      <c r="I1386" t="s">
        <v>40</v>
      </c>
      <c r="J1386" t="s">
        <v>109</v>
      </c>
      <c r="K1386" t="s">
        <v>42</v>
      </c>
      <c r="L1386" t="s">
        <v>296</v>
      </c>
      <c r="N1386" t="s">
        <v>297</v>
      </c>
      <c r="Q1386">
        <v>31160</v>
      </c>
      <c r="R1386" t="s">
        <v>119</v>
      </c>
      <c r="S1386" t="s">
        <v>9880</v>
      </c>
      <c r="T1386">
        <v>26.3</v>
      </c>
      <c r="U1386" s="2" t="s">
        <v>9881</v>
      </c>
      <c r="W1386" t="s">
        <v>981</v>
      </c>
      <c r="X1386">
        <v>838542</v>
      </c>
      <c r="Y1386" t="s">
        <v>301</v>
      </c>
      <c r="Z1386" s="2" t="s">
        <v>9882</v>
      </c>
      <c r="AA1386" t="s">
        <v>303</v>
      </c>
      <c r="AB1386" t="s">
        <v>972</v>
      </c>
      <c r="AG1386" t="s">
        <v>9883</v>
      </c>
      <c r="AH1386" t="s">
        <v>9884</v>
      </c>
      <c r="AI1386" t="s">
        <v>9885</v>
      </c>
    </row>
    <row r="1387" spans="2:35" ht="285">
      <c r="B1387" s="1">
        <v>45859</v>
      </c>
      <c r="C1387" s="1">
        <v>45853</v>
      </c>
      <c r="D1387" t="s">
        <v>9886</v>
      </c>
      <c r="E1387" t="s">
        <v>9887</v>
      </c>
      <c r="F1387">
        <v>12</v>
      </c>
      <c r="G1387" t="s">
        <v>5785</v>
      </c>
      <c r="H1387" t="s">
        <v>1473</v>
      </c>
      <c r="I1387" t="s">
        <v>40</v>
      </c>
      <c r="J1387" t="s">
        <v>109</v>
      </c>
      <c r="K1387" t="s">
        <v>42</v>
      </c>
      <c r="L1387" t="s">
        <v>296</v>
      </c>
      <c r="N1387" t="s">
        <v>297</v>
      </c>
      <c r="Q1387">
        <v>31161</v>
      </c>
      <c r="R1387" t="s">
        <v>119</v>
      </c>
      <c r="S1387" t="s">
        <v>9888</v>
      </c>
      <c r="T1387">
        <v>25</v>
      </c>
      <c r="U1387" s="2" t="s">
        <v>9889</v>
      </c>
      <c r="W1387" t="s">
        <v>981</v>
      </c>
      <c r="X1387">
        <v>838419</v>
      </c>
      <c r="Y1387" t="s">
        <v>301</v>
      </c>
      <c r="Z1387" s="2" t="s">
        <v>9890</v>
      </c>
      <c r="AA1387" t="s">
        <v>9161</v>
      </c>
      <c r="AB1387" t="s">
        <v>972</v>
      </c>
      <c r="AG1387" t="s">
        <v>9891</v>
      </c>
      <c r="AH1387" t="s">
        <v>9892</v>
      </c>
      <c r="AI1387" t="s">
        <v>9893</v>
      </c>
    </row>
    <row r="1388" spans="2:35" ht="165">
      <c r="B1388" s="1">
        <v>45859</v>
      </c>
      <c r="C1388" s="1">
        <v>45855</v>
      </c>
      <c r="D1388" t="s">
        <v>4091</v>
      </c>
      <c r="E1388" t="s">
        <v>9894</v>
      </c>
      <c r="F1388">
        <v>5</v>
      </c>
      <c r="G1388" t="s">
        <v>827</v>
      </c>
      <c r="H1388" t="s">
        <v>39</v>
      </c>
      <c r="I1388" t="s">
        <v>94</v>
      </c>
      <c r="J1388" s="2" t="s">
        <v>41</v>
      </c>
      <c r="K1388" t="s">
        <v>42</v>
      </c>
      <c r="L1388" t="s">
        <v>761</v>
      </c>
      <c r="N1388" t="s">
        <v>762</v>
      </c>
      <c r="Q1388">
        <v>31158</v>
      </c>
      <c r="R1388" t="s">
        <v>119</v>
      </c>
      <c r="S1388" t="s">
        <v>9895</v>
      </c>
      <c r="T1388">
        <v>25</v>
      </c>
      <c r="U1388" s="2" t="s">
        <v>9896</v>
      </c>
      <c r="W1388" t="s">
        <v>765</v>
      </c>
      <c r="X1388">
        <v>838268</v>
      </c>
      <c r="Y1388" t="s">
        <v>9897</v>
      </c>
      <c r="Z1388" s="2" t="s">
        <v>9898</v>
      </c>
      <c r="AA1388" t="s">
        <v>9899</v>
      </c>
      <c r="AB1388" t="s">
        <v>70</v>
      </c>
      <c r="AC1388" t="s">
        <v>9900</v>
      </c>
      <c r="AG1388" t="s">
        <v>9901</v>
      </c>
      <c r="AH1388" t="s">
        <v>9902</v>
      </c>
      <c r="AI1388" t="s">
        <v>9903</v>
      </c>
    </row>
    <row r="1389" spans="2:35" ht="105">
      <c r="B1389" s="1">
        <v>45859</v>
      </c>
      <c r="C1389" s="1">
        <v>45859</v>
      </c>
      <c r="D1389" t="s">
        <v>4286</v>
      </c>
      <c r="E1389" t="s">
        <v>2956</v>
      </c>
      <c r="F1389">
        <v>9</v>
      </c>
      <c r="G1389" t="s">
        <v>2197</v>
      </c>
      <c r="H1389" t="s">
        <v>39</v>
      </c>
      <c r="I1389" t="s">
        <v>40</v>
      </c>
      <c r="J1389" s="2" t="s">
        <v>2223</v>
      </c>
      <c r="K1389" t="s">
        <v>42</v>
      </c>
      <c r="L1389" t="s">
        <v>1257</v>
      </c>
      <c r="N1389" t="s">
        <v>1258</v>
      </c>
      <c r="O1389" t="s">
        <v>1258</v>
      </c>
      <c r="Q1389">
        <v>31157</v>
      </c>
      <c r="R1389" t="s">
        <v>119</v>
      </c>
      <c r="S1389" t="s">
        <v>2958</v>
      </c>
      <c r="T1389">
        <v>25</v>
      </c>
      <c r="U1389" s="2" t="s">
        <v>9904</v>
      </c>
      <c r="V1389" s="1">
        <v>45859</v>
      </c>
      <c r="W1389" t="s">
        <v>2384</v>
      </c>
      <c r="X1389">
        <v>821214</v>
      </c>
      <c r="Y1389" t="s">
        <v>301</v>
      </c>
      <c r="Z1389" t="s">
        <v>7410</v>
      </c>
      <c r="AA1389" t="s">
        <v>9905</v>
      </c>
      <c r="AB1389" t="s">
        <v>9906</v>
      </c>
      <c r="AC1389" t="s">
        <v>9907</v>
      </c>
      <c r="AD1389" t="s">
        <v>54</v>
      </c>
      <c r="AE1389" t="s">
        <v>54</v>
      </c>
      <c r="AG1389" t="s">
        <v>9908</v>
      </c>
      <c r="AH1389" t="s">
        <v>2968</v>
      </c>
      <c r="AI1389" t="s">
        <v>9909</v>
      </c>
    </row>
    <row r="1390" spans="2:35" ht="330">
      <c r="B1390" s="1">
        <v>45859</v>
      </c>
      <c r="C1390" s="1">
        <v>45856</v>
      </c>
      <c r="D1390" t="s">
        <v>1145</v>
      </c>
      <c r="E1390" t="s">
        <v>473</v>
      </c>
      <c r="F1390" t="s">
        <v>148</v>
      </c>
      <c r="G1390" t="s">
        <v>447</v>
      </c>
      <c r="H1390" t="s">
        <v>386</v>
      </c>
      <c r="I1390" t="s">
        <v>40</v>
      </c>
      <c r="J1390" t="s">
        <v>109</v>
      </c>
      <c r="K1390" t="s">
        <v>387</v>
      </c>
      <c r="L1390" t="s">
        <v>448</v>
      </c>
      <c r="N1390" t="s">
        <v>650</v>
      </c>
      <c r="Q1390">
        <v>31156</v>
      </c>
      <c r="R1390" t="s">
        <v>322</v>
      </c>
      <c r="S1390" t="s">
        <v>5004</v>
      </c>
      <c r="T1390">
        <v>26</v>
      </c>
      <c r="W1390" t="s">
        <v>476</v>
      </c>
      <c r="X1390" t="s">
        <v>7383</v>
      </c>
      <c r="Y1390" s="2" t="s">
        <v>9910</v>
      </c>
      <c r="Z1390" s="2" t="s">
        <v>9911</v>
      </c>
      <c r="AA1390" t="s">
        <v>122</v>
      </c>
      <c r="AB1390" t="s">
        <v>9912</v>
      </c>
      <c r="AG1390" t="s">
        <v>9913</v>
      </c>
      <c r="AH1390" t="s">
        <v>5010</v>
      </c>
      <c r="AI1390" t="s">
        <v>9914</v>
      </c>
    </row>
    <row r="1391" spans="2:35" ht="405">
      <c r="B1391" s="1">
        <v>45859</v>
      </c>
      <c r="C1391" s="1">
        <v>45856</v>
      </c>
      <c r="D1391" t="s">
        <v>1145</v>
      </c>
      <c r="E1391" t="s">
        <v>473</v>
      </c>
      <c r="F1391" t="s">
        <v>148</v>
      </c>
      <c r="G1391" t="s">
        <v>447</v>
      </c>
      <c r="H1391" t="s">
        <v>386</v>
      </c>
      <c r="I1391" t="s">
        <v>40</v>
      </c>
      <c r="J1391" t="s">
        <v>109</v>
      </c>
      <c r="K1391" t="s">
        <v>387</v>
      </c>
      <c r="L1391" t="s">
        <v>448</v>
      </c>
      <c r="N1391" t="s">
        <v>650</v>
      </c>
      <c r="Q1391">
        <v>31155</v>
      </c>
      <c r="R1391" t="s">
        <v>322</v>
      </c>
      <c r="S1391" t="s">
        <v>5004</v>
      </c>
      <c r="T1391">
        <v>26</v>
      </c>
      <c r="W1391" t="s">
        <v>476</v>
      </c>
      <c r="X1391" t="s">
        <v>5005</v>
      </c>
      <c r="Y1391" s="2" t="s">
        <v>9915</v>
      </c>
      <c r="Z1391" s="2" t="s">
        <v>6718</v>
      </c>
      <c r="AA1391" t="s">
        <v>122</v>
      </c>
      <c r="AB1391" t="s">
        <v>9916</v>
      </c>
      <c r="AG1391" t="s">
        <v>9917</v>
      </c>
      <c r="AH1391" t="s">
        <v>5010</v>
      </c>
      <c r="AI1391" t="s">
        <v>9918</v>
      </c>
    </row>
    <row r="1392" spans="2:35" ht="210">
      <c r="B1392" s="1">
        <v>45859</v>
      </c>
      <c r="C1392" s="1">
        <v>45859</v>
      </c>
      <c r="D1392" t="s">
        <v>3423</v>
      </c>
      <c r="E1392" t="s">
        <v>3116</v>
      </c>
      <c r="F1392">
        <v>7</v>
      </c>
      <c r="G1392" t="s">
        <v>432</v>
      </c>
      <c r="H1392" t="s">
        <v>608</v>
      </c>
      <c r="I1392" t="s">
        <v>40</v>
      </c>
      <c r="J1392" t="s">
        <v>79</v>
      </c>
      <c r="K1392" t="s">
        <v>42</v>
      </c>
      <c r="L1392" t="s">
        <v>610</v>
      </c>
      <c r="N1392" t="s">
        <v>611</v>
      </c>
      <c r="O1392" t="s">
        <v>9919</v>
      </c>
      <c r="Q1392">
        <v>31154</v>
      </c>
      <c r="R1392" t="s">
        <v>95</v>
      </c>
      <c r="S1392" t="s">
        <v>9919</v>
      </c>
      <c r="T1392">
        <v>24</v>
      </c>
      <c r="U1392" s="2" t="s">
        <v>9920</v>
      </c>
      <c r="W1392" t="s">
        <v>360</v>
      </c>
      <c r="X1392">
        <v>110008524</v>
      </c>
      <c r="Y1392" t="s">
        <v>9921</v>
      </c>
      <c r="Z1392" s="2" t="s">
        <v>9922</v>
      </c>
      <c r="AA1392" s="2" t="s">
        <v>9922</v>
      </c>
      <c r="AB1392" t="s">
        <v>88</v>
      </c>
      <c r="AG1392" t="s">
        <v>9923</v>
      </c>
      <c r="AH1392" t="s">
        <v>9924</v>
      </c>
      <c r="AI1392" t="s">
        <v>9925</v>
      </c>
    </row>
    <row r="1393" spans="2:35" ht="360">
      <c r="B1393" s="1">
        <v>45859</v>
      </c>
      <c r="C1393" s="1">
        <v>45771</v>
      </c>
      <c r="D1393" t="s">
        <v>5060</v>
      </c>
      <c r="E1393" t="s">
        <v>8014</v>
      </c>
      <c r="F1393">
        <v>3</v>
      </c>
      <c r="G1393" t="s">
        <v>284</v>
      </c>
      <c r="H1393" t="s">
        <v>9313</v>
      </c>
      <c r="I1393" t="s">
        <v>40</v>
      </c>
      <c r="J1393" t="s">
        <v>109</v>
      </c>
      <c r="K1393" t="s">
        <v>42</v>
      </c>
      <c r="L1393" t="s">
        <v>135</v>
      </c>
      <c r="N1393" t="s">
        <v>136</v>
      </c>
      <c r="Q1393">
        <v>31153</v>
      </c>
      <c r="R1393" t="s">
        <v>322</v>
      </c>
      <c r="S1393" t="s">
        <v>5062</v>
      </c>
      <c r="T1393">
        <v>27</v>
      </c>
      <c r="U1393" s="2" t="s">
        <v>9322</v>
      </c>
      <c r="W1393" t="s">
        <v>3335</v>
      </c>
      <c r="X1393">
        <v>120003587</v>
      </c>
      <c r="Y1393" t="s">
        <v>9315</v>
      </c>
      <c r="Z1393" t="s">
        <v>4315</v>
      </c>
      <c r="AA1393" s="2" t="s">
        <v>4316</v>
      </c>
      <c r="AB1393" t="s">
        <v>9323</v>
      </c>
      <c r="AG1393" t="s">
        <v>9926</v>
      </c>
      <c r="AH1393" t="s">
        <v>9317</v>
      </c>
      <c r="AI1393" t="s">
        <v>9927</v>
      </c>
    </row>
    <row r="1394" spans="2:35" ht="409.5">
      <c r="B1394" s="1">
        <v>45859</v>
      </c>
      <c r="C1394" s="1">
        <v>45771</v>
      </c>
      <c r="D1394" t="s">
        <v>5060</v>
      </c>
      <c r="E1394" t="s">
        <v>8014</v>
      </c>
      <c r="F1394">
        <v>3</v>
      </c>
      <c r="G1394" t="s">
        <v>284</v>
      </c>
      <c r="H1394" t="s">
        <v>9313</v>
      </c>
      <c r="I1394" t="s">
        <v>40</v>
      </c>
      <c r="J1394" t="s">
        <v>109</v>
      </c>
      <c r="K1394" t="s">
        <v>42</v>
      </c>
      <c r="L1394" t="s">
        <v>135</v>
      </c>
      <c r="N1394" t="s">
        <v>136</v>
      </c>
      <c r="Q1394">
        <v>31152</v>
      </c>
      <c r="R1394" t="s">
        <v>322</v>
      </c>
      <c r="S1394" t="s">
        <v>5062</v>
      </c>
      <c r="T1394">
        <v>27</v>
      </c>
      <c r="U1394" s="2" t="s">
        <v>9314</v>
      </c>
      <c r="W1394" t="s">
        <v>3335</v>
      </c>
      <c r="X1394">
        <v>110017894</v>
      </c>
      <c r="Y1394" t="s">
        <v>9315</v>
      </c>
      <c r="Z1394" t="s">
        <v>4315</v>
      </c>
      <c r="AA1394" s="2" t="s">
        <v>4316</v>
      </c>
      <c r="AB1394" t="s">
        <v>181</v>
      </c>
      <c r="AG1394" t="s">
        <v>9928</v>
      </c>
      <c r="AH1394" t="s">
        <v>9317</v>
      </c>
      <c r="AI1394" t="s">
        <v>9929</v>
      </c>
    </row>
    <row r="1395" spans="2:35" ht="360">
      <c r="B1395" s="1">
        <v>45859</v>
      </c>
      <c r="C1395" s="1">
        <v>45771</v>
      </c>
      <c r="D1395" t="s">
        <v>5060</v>
      </c>
      <c r="E1395" t="s">
        <v>8014</v>
      </c>
      <c r="F1395">
        <v>3</v>
      </c>
      <c r="G1395" t="s">
        <v>284</v>
      </c>
      <c r="H1395" t="s">
        <v>9313</v>
      </c>
      <c r="I1395" t="s">
        <v>40</v>
      </c>
      <c r="J1395" t="s">
        <v>109</v>
      </c>
      <c r="K1395" t="s">
        <v>42</v>
      </c>
      <c r="L1395" t="s">
        <v>135</v>
      </c>
      <c r="N1395" t="s">
        <v>136</v>
      </c>
      <c r="Q1395">
        <v>31151</v>
      </c>
      <c r="R1395" t="s">
        <v>322</v>
      </c>
      <c r="S1395" t="s">
        <v>5062</v>
      </c>
      <c r="T1395">
        <v>27</v>
      </c>
      <c r="U1395" s="2" t="s">
        <v>9319</v>
      </c>
      <c r="W1395" t="s">
        <v>138</v>
      </c>
      <c r="X1395">
        <v>829390</v>
      </c>
      <c r="Y1395" t="s">
        <v>9315</v>
      </c>
      <c r="Z1395" t="s">
        <v>4315</v>
      </c>
      <c r="AA1395" s="2" t="s">
        <v>4316</v>
      </c>
      <c r="AB1395" t="s">
        <v>181</v>
      </c>
      <c r="AG1395" t="s">
        <v>9930</v>
      </c>
      <c r="AH1395" t="s">
        <v>9317</v>
      </c>
      <c r="AI1395" t="s">
        <v>9931</v>
      </c>
    </row>
    <row r="1396" spans="2:35" ht="270">
      <c r="B1396" s="1">
        <v>45859</v>
      </c>
      <c r="C1396" s="1">
        <v>45792</v>
      </c>
      <c r="D1396" t="s">
        <v>9326</v>
      </c>
      <c r="E1396" t="s">
        <v>9327</v>
      </c>
      <c r="F1396">
        <v>3</v>
      </c>
      <c r="G1396" t="s">
        <v>134</v>
      </c>
      <c r="H1396" t="s">
        <v>2548</v>
      </c>
      <c r="I1396" t="s">
        <v>40</v>
      </c>
      <c r="J1396" s="2" t="s">
        <v>41</v>
      </c>
      <c r="K1396" t="s">
        <v>42</v>
      </c>
      <c r="L1396" t="s">
        <v>135</v>
      </c>
      <c r="N1396" t="s">
        <v>136</v>
      </c>
      <c r="O1396" t="s">
        <v>9328</v>
      </c>
      <c r="Q1396">
        <v>31150</v>
      </c>
      <c r="R1396" t="s">
        <v>322</v>
      </c>
      <c r="S1396" t="s">
        <v>9328</v>
      </c>
      <c r="T1396">
        <v>25</v>
      </c>
      <c r="U1396" s="2" t="s">
        <v>9329</v>
      </c>
      <c r="V1396" s="1">
        <v>45785</v>
      </c>
      <c r="W1396" t="s">
        <v>3335</v>
      </c>
      <c r="X1396">
        <v>110013748</v>
      </c>
      <c r="Y1396" t="s">
        <v>9330</v>
      </c>
      <c r="Z1396" s="2" t="s">
        <v>9331</v>
      </c>
      <c r="AA1396" s="2" t="s">
        <v>9332</v>
      </c>
      <c r="AB1396" t="s">
        <v>181</v>
      </c>
      <c r="AD1396" t="s">
        <v>1859</v>
      </c>
      <c r="AE1396">
        <v>13006</v>
      </c>
      <c r="AG1396" t="s">
        <v>9932</v>
      </c>
      <c r="AH1396" t="s">
        <v>9334</v>
      </c>
      <c r="AI1396" t="s">
        <v>9933</v>
      </c>
    </row>
    <row r="1397" spans="2:35" ht="225">
      <c r="B1397" s="1">
        <v>45859</v>
      </c>
      <c r="C1397" s="1">
        <v>45856</v>
      </c>
      <c r="D1397" t="s">
        <v>4379</v>
      </c>
      <c r="E1397" t="s">
        <v>4380</v>
      </c>
      <c r="F1397" t="s">
        <v>148</v>
      </c>
      <c r="G1397" t="s">
        <v>785</v>
      </c>
      <c r="H1397" t="s">
        <v>386</v>
      </c>
      <c r="I1397" t="s">
        <v>40</v>
      </c>
      <c r="J1397" s="2" t="s">
        <v>62</v>
      </c>
      <c r="K1397" t="s">
        <v>387</v>
      </c>
      <c r="L1397" t="s">
        <v>43</v>
      </c>
      <c r="N1397" t="s">
        <v>44</v>
      </c>
      <c r="O1397" t="s">
        <v>7369</v>
      </c>
      <c r="Q1397">
        <v>31149</v>
      </c>
      <c r="R1397" t="s">
        <v>95</v>
      </c>
      <c r="S1397" t="s">
        <v>4389</v>
      </c>
      <c r="T1397">
        <v>22</v>
      </c>
      <c r="W1397" t="s">
        <v>390</v>
      </c>
      <c r="X1397" t="s">
        <v>4390</v>
      </c>
      <c r="Y1397" t="s">
        <v>9934</v>
      </c>
      <c r="Z1397" t="s">
        <v>5230</v>
      </c>
      <c r="AA1397" s="2" t="s">
        <v>9935</v>
      </c>
      <c r="AB1397" t="s">
        <v>88</v>
      </c>
      <c r="AG1397" t="s">
        <v>9936</v>
      </c>
      <c r="AH1397" t="s">
        <v>9937</v>
      </c>
      <c r="AI1397" t="s">
        <v>9938</v>
      </c>
    </row>
    <row r="1398" spans="2:35" ht="180">
      <c r="B1398" s="1">
        <v>45856</v>
      </c>
      <c r="C1398" s="1">
        <v>45856</v>
      </c>
      <c r="D1398" t="s">
        <v>3897</v>
      </c>
      <c r="E1398" t="s">
        <v>3140</v>
      </c>
      <c r="F1398">
        <v>3</v>
      </c>
      <c r="G1398" t="s">
        <v>174</v>
      </c>
      <c r="H1398" t="s">
        <v>39</v>
      </c>
      <c r="I1398" t="s">
        <v>40</v>
      </c>
      <c r="J1398" t="s">
        <v>996</v>
      </c>
      <c r="K1398" t="s">
        <v>42</v>
      </c>
      <c r="L1398" t="s">
        <v>175</v>
      </c>
      <c r="N1398" t="s">
        <v>176</v>
      </c>
      <c r="Q1398">
        <v>31148</v>
      </c>
      <c r="R1398" t="s">
        <v>95</v>
      </c>
      <c r="S1398" t="s">
        <v>3898</v>
      </c>
      <c r="T1398">
        <v>25</v>
      </c>
      <c r="V1398" s="1">
        <v>45940</v>
      </c>
      <c r="W1398" t="s">
        <v>373</v>
      </c>
      <c r="X1398">
        <v>110008530</v>
      </c>
      <c r="Y1398" t="s">
        <v>9939</v>
      </c>
      <c r="Z1398" t="s">
        <v>9940</v>
      </c>
      <c r="AA1398" t="e">
        <f ca="1">- checked _xludf.and cleaned cartridge bay, plunger rod, _xludf.filter, icore slot
- performed XpertCheck on B1, B3
- generated reports</f>
        <v>#NAME?</v>
      </c>
      <c r="AB1398" s="2" t="s">
        <v>9941</v>
      </c>
      <c r="AC1398" t="s">
        <v>9942</v>
      </c>
      <c r="AD1398" t="s">
        <v>7189</v>
      </c>
      <c r="AE1398">
        <v>13180</v>
      </c>
      <c r="AG1398" t="s">
        <v>9943</v>
      </c>
      <c r="AH1398" t="s">
        <v>8887</v>
      </c>
      <c r="AI1398" t="s">
        <v>9944</v>
      </c>
    </row>
    <row r="1399" spans="2:35" ht="300">
      <c r="B1399" s="1">
        <v>45856</v>
      </c>
      <c r="C1399" s="1">
        <v>45856</v>
      </c>
      <c r="D1399" t="s">
        <v>3679</v>
      </c>
      <c r="E1399" t="s">
        <v>2580</v>
      </c>
      <c r="F1399" t="s">
        <v>148</v>
      </c>
      <c r="G1399" t="s">
        <v>447</v>
      </c>
      <c r="H1399" t="s">
        <v>386</v>
      </c>
      <c r="I1399" t="s">
        <v>40</v>
      </c>
      <c r="J1399" t="s">
        <v>79</v>
      </c>
      <c r="K1399" t="s">
        <v>387</v>
      </c>
      <c r="L1399" t="s">
        <v>448</v>
      </c>
      <c r="N1399" t="s">
        <v>650</v>
      </c>
      <c r="Q1399">
        <v>31147</v>
      </c>
      <c r="R1399" t="s">
        <v>322</v>
      </c>
      <c r="S1399" t="s">
        <v>3689</v>
      </c>
      <c r="T1399">
        <v>27</v>
      </c>
      <c r="V1399" s="1">
        <v>45841</v>
      </c>
      <c r="W1399" t="s">
        <v>476</v>
      </c>
      <c r="X1399">
        <v>20168</v>
      </c>
      <c r="Y1399" t="s">
        <v>9945</v>
      </c>
      <c r="Z1399" s="2" t="s">
        <v>9946</v>
      </c>
      <c r="AA1399" t="s">
        <v>914</v>
      </c>
      <c r="AB1399" t="s">
        <v>486</v>
      </c>
      <c r="AD1399" t="s">
        <v>9947</v>
      </c>
      <c r="AE1399">
        <v>13164</v>
      </c>
      <c r="AG1399" t="s">
        <v>9948</v>
      </c>
      <c r="AH1399" t="s">
        <v>9949</v>
      </c>
      <c r="AI1399" t="s">
        <v>9950</v>
      </c>
    </row>
    <row r="1400" spans="2:35" ht="409.5">
      <c r="B1400" s="1">
        <v>45856</v>
      </c>
      <c r="C1400" s="1">
        <v>45855</v>
      </c>
      <c r="D1400" t="s">
        <v>9951</v>
      </c>
      <c r="E1400" t="s">
        <v>5914</v>
      </c>
      <c r="F1400" t="s">
        <v>148</v>
      </c>
      <c r="G1400" t="s">
        <v>2007</v>
      </c>
      <c r="H1400" t="s">
        <v>662</v>
      </c>
      <c r="I1400" t="s">
        <v>40</v>
      </c>
      <c r="J1400" t="s">
        <v>525</v>
      </c>
      <c r="K1400" t="s">
        <v>42</v>
      </c>
      <c r="L1400" t="s">
        <v>448</v>
      </c>
      <c r="N1400" t="s">
        <v>650</v>
      </c>
      <c r="Q1400">
        <v>31146</v>
      </c>
      <c r="R1400" t="s">
        <v>95</v>
      </c>
      <c r="S1400" t="s">
        <v>4273</v>
      </c>
      <c r="T1400">
        <v>29</v>
      </c>
      <c r="U1400" s="2" t="s">
        <v>9952</v>
      </c>
      <c r="W1400" t="s">
        <v>9782</v>
      </c>
      <c r="X1400">
        <v>110026448</v>
      </c>
      <c r="Y1400" t="s">
        <v>9953</v>
      </c>
      <c r="Z1400" s="2" t="s">
        <v>9954</v>
      </c>
      <c r="AA1400" t="s">
        <v>768</v>
      </c>
      <c r="AB1400" t="s">
        <v>9955</v>
      </c>
      <c r="AG1400" t="s">
        <v>9956</v>
      </c>
      <c r="AH1400" t="s">
        <v>7000</v>
      </c>
      <c r="AI1400" t="s">
        <v>9957</v>
      </c>
    </row>
    <row r="1401" spans="2:35" ht="165">
      <c r="B1401" s="1">
        <v>45856</v>
      </c>
      <c r="C1401" s="1">
        <v>45856</v>
      </c>
      <c r="D1401" t="s">
        <v>9958</v>
      </c>
      <c r="E1401" t="s">
        <v>9959</v>
      </c>
      <c r="F1401" t="s">
        <v>37</v>
      </c>
      <c r="G1401" t="s">
        <v>2499</v>
      </c>
      <c r="H1401" t="s">
        <v>9960</v>
      </c>
      <c r="I1401" t="s">
        <v>94</v>
      </c>
      <c r="J1401" s="2" t="s">
        <v>9961</v>
      </c>
      <c r="K1401" t="s">
        <v>2629</v>
      </c>
      <c r="L1401" t="s">
        <v>409</v>
      </c>
      <c r="N1401" t="s">
        <v>410</v>
      </c>
      <c r="O1401" t="s">
        <v>9962</v>
      </c>
      <c r="Q1401">
        <v>31145</v>
      </c>
      <c r="R1401" t="s">
        <v>95</v>
      </c>
      <c r="S1401" t="s">
        <v>9963</v>
      </c>
      <c r="T1401">
        <v>25</v>
      </c>
      <c r="V1401" s="1">
        <v>45856</v>
      </c>
      <c r="W1401" t="s">
        <v>9964</v>
      </c>
      <c r="X1401">
        <v>3946033491</v>
      </c>
      <c r="Y1401" t="s">
        <v>54</v>
      </c>
      <c r="Z1401" t="s">
        <v>54</v>
      </c>
      <c r="AA1401" s="2" t="s">
        <v>9965</v>
      </c>
      <c r="AB1401" t="s">
        <v>181</v>
      </c>
      <c r="AC1401" t="s">
        <v>9966</v>
      </c>
      <c r="AD1401" s="2" t="s">
        <v>9967</v>
      </c>
      <c r="AE1401" t="s">
        <v>9968</v>
      </c>
      <c r="AF1401" t="s">
        <v>409</v>
      </c>
      <c r="AG1401" t="s">
        <v>9969</v>
      </c>
      <c r="AH1401" t="s">
        <v>9970</v>
      </c>
      <c r="AI1401" t="s">
        <v>9971</v>
      </c>
    </row>
    <row r="1402" spans="2:35" ht="120">
      <c r="B1402" s="1">
        <v>45855</v>
      </c>
      <c r="C1402" s="1">
        <v>45854</v>
      </c>
      <c r="D1402" t="s">
        <v>1026</v>
      </c>
      <c r="E1402" t="s">
        <v>1027</v>
      </c>
      <c r="F1402" t="s">
        <v>148</v>
      </c>
      <c r="G1402" t="s">
        <v>774</v>
      </c>
      <c r="H1402" t="s">
        <v>513</v>
      </c>
      <c r="I1402" t="s">
        <v>40</v>
      </c>
      <c r="J1402" t="s">
        <v>525</v>
      </c>
      <c r="K1402" t="s">
        <v>387</v>
      </c>
      <c r="L1402" t="s">
        <v>1028</v>
      </c>
      <c r="N1402" t="s">
        <v>1029</v>
      </c>
      <c r="O1402" t="s">
        <v>3772</v>
      </c>
      <c r="Q1402">
        <v>31144</v>
      </c>
      <c r="R1402" t="s">
        <v>95</v>
      </c>
      <c r="S1402" t="s">
        <v>5183</v>
      </c>
      <c r="T1402">
        <v>25</v>
      </c>
      <c r="W1402" t="s">
        <v>390</v>
      </c>
      <c r="X1402" t="s">
        <v>3773</v>
      </c>
      <c r="Y1402" t="s">
        <v>9972</v>
      </c>
      <c r="Z1402" t="s">
        <v>5186</v>
      </c>
      <c r="AA1402" s="2" t="s">
        <v>9973</v>
      </c>
      <c r="AB1402" t="s">
        <v>9974</v>
      </c>
      <c r="AC1402" t="s">
        <v>9975</v>
      </c>
      <c r="AG1402" t="s">
        <v>9976</v>
      </c>
      <c r="AH1402" t="s">
        <v>9977</v>
      </c>
      <c r="AI1402" t="s">
        <v>9978</v>
      </c>
    </row>
    <row r="1403" spans="2:35" ht="270">
      <c r="B1403" s="1">
        <v>45855</v>
      </c>
      <c r="C1403" s="1">
        <v>45855</v>
      </c>
      <c r="D1403" t="s">
        <v>1316</v>
      </c>
      <c r="E1403" t="s">
        <v>9979</v>
      </c>
      <c r="F1403">
        <v>11</v>
      </c>
      <c r="G1403" t="s">
        <v>1205</v>
      </c>
      <c r="H1403" t="s">
        <v>1317</v>
      </c>
      <c r="I1403" t="s">
        <v>40</v>
      </c>
      <c r="J1403" t="s">
        <v>109</v>
      </c>
      <c r="K1403" t="s">
        <v>42</v>
      </c>
      <c r="L1403" t="s">
        <v>204</v>
      </c>
      <c r="N1403" t="s">
        <v>205</v>
      </c>
      <c r="Q1403">
        <v>31143</v>
      </c>
      <c r="R1403" t="s">
        <v>119</v>
      </c>
      <c r="S1403" t="s">
        <v>1318</v>
      </c>
      <c r="T1403">
        <v>25.5</v>
      </c>
      <c r="U1403" s="2" t="s">
        <v>9980</v>
      </c>
      <c r="W1403" t="s">
        <v>208</v>
      </c>
      <c r="X1403">
        <v>838262</v>
      </c>
      <c r="Y1403" t="s">
        <v>1052</v>
      </c>
      <c r="Z1403" s="2" t="s">
        <v>9413</v>
      </c>
      <c r="AA1403" t="s">
        <v>2551</v>
      </c>
      <c r="AB1403" t="s">
        <v>1211</v>
      </c>
      <c r="AG1403" t="s">
        <v>9981</v>
      </c>
      <c r="AH1403" t="s">
        <v>1325</v>
      </c>
      <c r="AI1403" t="s">
        <v>9982</v>
      </c>
    </row>
    <row r="1404" spans="2:35" ht="105">
      <c r="B1404" s="1">
        <v>45855</v>
      </c>
      <c r="C1404" s="1">
        <v>45855</v>
      </c>
      <c r="D1404" t="s">
        <v>340</v>
      </c>
      <c r="E1404" t="s">
        <v>8453</v>
      </c>
      <c r="F1404">
        <v>8</v>
      </c>
      <c r="G1404" t="s">
        <v>342</v>
      </c>
      <c r="H1404" t="s">
        <v>258</v>
      </c>
      <c r="I1404" t="s">
        <v>40</v>
      </c>
      <c r="J1404" t="s">
        <v>109</v>
      </c>
      <c r="K1404" t="s">
        <v>42</v>
      </c>
      <c r="L1404" t="s">
        <v>259</v>
      </c>
      <c r="N1404" t="s">
        <v>260</v>
      </c>
      <c r="Q1404">
        <v>31142</v>
      </c>
      <c r="R1404" t="s">
        <v>119</v>
      </c>
      <c r="S1404" t="s">
        <v>345</v>
      </c>
      <c r="T1404">
        <v>24</v>
      </c>
      <c r="U1404" s="2" t="s">
        <v>9983</v>
      </c>
      <c r="V1404" s="1">
        <v>45855</v>
      </c>
      <c r="W1404" t="s">
        <v>84</v>
      </c>
      <c r="X1404">
        <v>838555</v>
      </c>
      <c r="Y1404" t="s">
        <v>1716</v>
      </c>
      <c r="Z1404" t="s">
        <v>263</v>
      </c>
      <c r="AA1404" t="e">
        <f ca="1">- Monthly Preventive Maintenance</f>
        <v>#NAME?</v>
      </c>
      <c r="AB1404" t="s">
        <v>70</v>
      </c>
      <c r="AG1404" t="s">
        <v>9984</v>
      </c>
      <c r="AH1404" t="s">
        <v>8455</v>
      </c>
      <c r="AI1404" t="s">
        <v>9985</v>
      </c>
    </row>
    <row r="1405" spans="2:35" ht="345">
      <c r="B1405" s="1">
        <v>45855</v>
      </c>
      <c r="C1405" s="1">
        <v>45855</v>
      </c>
      <c r="D1405" t="s">
        <v>4413</v>
      </c>
      <c r="E1405" t="s">
        <v>7497</v>
      </c>
      <c r="F1405">
        <v>12</v>
      </c>
      <c r="G1405" t="s">
        <v>978</v>
      </c>
      <c r="H1405" t="s">
        <v>1473</v>
      </c>
      <c r="I1405" t="s">
        <v>40</v>
      </c>
      <c r="J1405" s="2" t="s">
        <v>41</v>
      </c>
      <c r="K1405" t="s">
        <v>42</v>
      </c>
      <c r="L1405" t="s">
        <v>296</v>
      </c>
      <c r="N1405" t="s">
        <v>297</v>
      </c>
      <c r="Q1405">
        <v>31141</v>
      </c>
      <c r="R1405" t="s">
        <v>119</v>
      </c>
      <c r="S1405" t="s">
        <v>7498</v>
      </c>
      <c r="T1405">
        <v>26.1</v>
      </c>
      <c r="U1405" s="2" t="s">
        <v>9986</v>
      </c>
      <c r="W1405" t="s">
        <v>9987</v>
      </c>
      <c r="X1405">
        <v>838544</v>
      </c>
      <c r="Y1405" t="s">
        <v>9988</v>
      </c>
      <c r="Z1405" s="2" t="s">
        <v>9989</v>
      </c>
      <c r="AA1405" s="2" t="s">
        <v>9990</v>
      </c>
      <c r="AB1405" s="2" t="s">
        <v>9991</v>
      </c>
      <c r="AC1405" t="s">
        <v>9992</v>
      </c>
      <c r="AG1405" t="s">
        <v>9993</v>
      </c>
      <c r="AH1405" t="s">
        <v>7502</v>
      </c>
      <c r="AI1405" t="s">
        <v>9994</v>
      </c>
    </row>
    <row r="1406" spans="2:35" ht="150">
      <c r="B1406" s="1">
        <v>45854</v>
      </c>
      <c r="C1406" s="1">
        <v>45854</v>
      </c>
      <c r="D1406" t="s">
        <v>9995</v>
      </c>
      <c r="E1406" t="s">
        <v>9996</v>
      </c>
      <c r="F1406">
        <v>10</v>
      </c>
      <c r="G1406" t="s">
        <v>1395</v>
      </c>
      <c r="H1406" t="s">
        <v>2125</v>
      </c>
      <c r="I1406" t="s">
        <v>40</v>
      </c>
      <c r="J1406" s="2" t="s">
        <v>41</v>
      </c>
      <c r="K1406" t="s">
        <v>42</v>
      </c>
      <c r="L1406" t="s">
        <v>933</v>
      </c>
      <c r="N1406" t="s">
        <v>934</v>
      </c>
      <c r="Q1406">
        <v>31140</v>
      </c>
      <c r="R1406" t="s">
        <v>119</v>
      </c>
      <c r="S1406" t="s">
        <v>9997</v>
      </c>
      <c r="T1406">
        <v>25</v>
      </c>
      <c r="W1406" t="s">
        <v>2127</v>
      </c>
      <c r="X1406">
        <v>838442</v>
      </c>
      <c r="Y1406" t="s">
        <v>9998</v>
      </c>
      <c r="Z1406" t="s">
        <v>7080</v>
      </c>
      <c r="AA1406" s="2" t="s">
        <v>9999</v>
      </c>
      <c r="AB1406" t="s">
        <v>938</v>
      </c>
      <c r="AG1406" t="s">
        <v>10000</v>
      </c>
      <c r="AH1406" t="s">
        <v>10001</v>
      </c>
      <c r="AI1406" t="s">
        <v>10002</v>
      </c>
    </row>
    <row r="1407" spans="2:35" ht="409.5">
      <c r="B1407" s="1">
        <v>45854</v>
      </c>
      <c r="C1407" s="1">
        <v>45854</v>
      </c>
      <c r="D1407" t="s">
        <v>1855</v>
      </c>
      <c r="E1407" t="s">
        <v>5451</v>
      </c>
      <c r="F1407" t="s">
        <v>148</v>
      </c>
      <c r="G1407" t="s">
        <v>447</v>
      </c>
      <c r="H1407" t="s">
        <v>5452</v>
      </c>
      <c r="I1407" t="s">
        <v>40</v>
      </c>
      <c r="J1407" t="s">
        <v>79</v>
      </c>
      <c r="K1407" t="s">
        <v>408</v>
      </c>
      <c r="L1407" t="s">
        <v>448</v>
      </c>
      <c r="N1407" t="s">
        <v>450</v>
      </c>
      <c r="O1407" t="s">
        <v>450</v>
      </c>
      <c r="P1407" t="s">
        <v>1859</v>
      </c>
      <c r="Q1407">
        <v>31139</v>
      </c>
      <c r="R1407" t="s">
        <v>322</v>
      </c>
      <c r="S1407" t="s">
        <v>450</v>
      </c>
      <c r="T1407">
        <v>26</v>
      </c>
      <c r="V1407" s="1">
        <v>45841</v>
      </c>
      <c r="W1407" t="s">
        <v>10003</v>
      </c>
      <c r="X1407" t="s">
        <v>10004</v>
      </c>
      <c r="Y1407" t="s">
        <v>10005</v>
      </c>
      <c r="Z1407" s="2" t="s">
        <v>10006</v>
      </c>
      <c r="AA1407" t="s">
        <v>914</v>
      </c>
      <c r="AB1407" t="s">
        <v>486</v>
      </c>
      <c r="AD1407" t="s">
        <v>10007</v>
      </c>
      <c r="AE1407" t="s">
        <v>6598</v>
      </c>
      <c r="AG1407" t="s">
        <v>10008</v>
      </c>
      <c r="AH1407" t="s">
        <v>5087</v>
      </c>
      <c r="AI1407" t="s">
        <v>10009</v>
      </c>
    </row>
    <row r="1408" spans="2:35">
      <c r="B1408" s="1">
        <v>45854</v>
      </c>
      <c r="C1408" s="1">
        <v>45854</v>
      </c>
      <c r="D1408" t="s">
        <v>7465</v>
      </c>
      <c r="E1408" t="s">
        <v>7466</v>
      </c>
      <c r="F1408">
        <v>8</v>
      </c>
      <c r="G1408" t="s">
        <v>342</v>
      </c>
      <c r="H1408" t="s">
        <v>258</v>
      </c>
      <c r="I1408" t="s">
        <v>40</v>
      </c>
      <c r="J1408" t="s">
        <v>109</v>
      </c>
      <c r="K1408" t="s">
        <v>42</v>
      </c>
      <c r="L1408" t="s">
        <v>259</v>
      </c>
      <c r="N1408" t="s">
        <v>260</v>
      </c>
      <c r="O1408" t="s">
        <v>260</v>
      </c>
      <c r="Q1408">
        <v>31138</v>
      </c>
      <c r="R1408" t="s">
        <v>119</v>
      </c>
      <c r="S1408" t="s">
        <v>7467</v>
      </c>
      <c r="T1408">
        <v>28</v>
      </c>
      <c r="V1408" s="1">
        <v>45854</v>
      </c>
      <c r="W1408" t="s">
        <v>84</v>
      </c>
      <c r="X1408">
        <v>838551</v>
      </c>
      <c r="Y1408" t="s">
        <v>263</v>
      </c>
      <c r="Z1408" t="s">
        <v>263</v>
      </c>
      <c r="AA1408" t="s">
        <v>9869</v>
      </c>
      <c r="AB1408" t="s">
        <v>70</v>
      </c>
      <c r="AG1408" t="s">
        <v>10010</v>
      </c>
      <c r="AH1408" t="s">
        <v>7469</v>
      </c>
      <c r="AI1408" t="s">
        <v>10011</v>
      </c>
    </row>
    <row r="1409" spans="2:35" ht="120">
      <c r="B1409" s="1">
        <v>45853</v>
      </c>
      <c r="C1409" s="1">
        <v>45853</v>
      </c>
      <c r="D1409" t="s">
        <v>7471</v>
      </c>
      <c r="E1409" t="s">
        <v>10012</v>
      </c>
      <c r="F1409">
        <v>8</v>
      </c>
      <c r="G1409" t="s">
        <v>342</v>
      </c>
      <c r="H1409" t="s">
        <v>258</v>
      </c>
      <c r="I1409" t="s">
        <v>40</v>
      </c>
      <c r="J1409" t="s">
        <v>109</v>
      </c>
      <c r="K1409" t="s">
        <v>42</v>
      </c>
      <c r="L1409" t="s">
        <v>259</v>
      </c>
      <c r="N1409" t="s">
        <v>260</v>
      </c>
      <c r="Q1409">
        <v>31137</v>
      </c>
      <c r="R1409" t="s">
        <v>119</v>
      </c>
      <c r="S1409" t="s">
        <v>7473</v>
      </c>
      <c r="T1409">
        <v>26</v>
      </c>
      <c r="U1409" s="2" t="s">
        <v>7746</v>
      </c>
      <c r="V1409" s="1">
        <v>45853</v>
      </c>
      <c r="W1409" t="s">
        <v>84</v>
      </c>
      <c r="X1409">
        <v>838421</v>
      </c>
      <c r="Y1409" t="s">
        <v>263</v>
      </c>
      <c r="Z1409" t="s">
        <v>263</v>
      </c>
      <c r="AA1409" t="s">
        <v>9869</v>
      </c>
      <c r="AB1409" s="2" t="s">
        <v>10013</v>
      </c>
      <c r="AG1409" t="s">
        <v>10014</v>
      </c>
      <c r="AH1409" t="s">
        <v>9129</v>
      </c>
      <c r="AI1409" t="s">
        <v>10015</v>
      </c>
    </row>
    <row r="1410" spans="2:35" ht="409.5">
      <c r="B1410" s="1">
        <v>45853</v>
      </c>
      <c r="C1410" s="1">
        <v>45853</v>
      </c>
      <c r="D1410" t="s">
        <v>7826</v>
      </c>
      <c r="E1410" t="s">
        <v>10016</v>
      </c>
      <c r="F1410">
        <v>11</v>
      </c>
      <c r="G1410" t="s">
        <v>1759</v>
      </c>
      <c r="H1410" t="s">
        <v>202</v>
      </c>
      <c r="I1410" t="s">
        <v>40</v>
      </c>
      <c r="J1410" s="2" t="s">
        <v>1592</v>
      </c>
      <c r="K1410" t="s">
        <v>42</v>
      </c>
      <c r="L1410" t="s">
        <v>204</v>
      </c>
      <c r="N1410" t="s">
        <v>205</v>
      </c>
      <c r="Q1410">
        <v>31136</v>
      </c>
      <c r="R1410" t="s">
        <v>119</v>
      </c>
      <c r="S1410" t="s">
        <v>7828</v>
      </c>
      <c r="T1410">
        <v>24.8</v>
      </c>
      <c r="U1410" s="2" t="s">
        <v>10017</v>
      </c>
      <c r="W1410" t="s">
        <v>208</v>
      </c>
      <c r="X1410">
        <v>838487</v>
      </c>
      <c r="Y1410" s="2" t="s">
        <v>10018</v>
      </c>
      <c r="Z1410" s="2" t="s">
        <v>10019</v>
      </c>
      <c r="AA1410" t="s">
        <v>10020</v>
      </c>
      <c r="AB1410" t="s">
        <v>10021</v>
      </c>
      <c r="AG1410" t="s">
        <v>10022</v>
      </c>
      <c r="AH1410" t="s">
        <v>7833</v>
      </c>
      <c r="AI1410" t="s">
        <v>10023</v>
      </c>
    </row>
    <row r="1411" spans="2:35" ht="180">
      <c r="B1411" s="1">
        <v>45853</v>
      </c>
      <c r="C1411" s="1">
        <v>45851</v>
      </c>
      <c r="D1411" t="s">
        <v>6037</v>
      </c>
      <c r="E1411" t="s">
        <v>7875</v>
      </c>
      <c r="F1411">
        <v>7</v>
      </c>
      <c r="G1411" t="s">
        <v>432</v>
      </c>
      <c r="H1411" t="s">
        <v>386</v>
      </c>
      <c r="I1411" t="s">
        <v>40</v>
      </c>
      <c r="J1411" s="2" t="s">
        <v>760</v>
      </c>
      <c r="K1411" t="s">
        <v>387</v>
      </c>
      <c r="L1411" t="s">
        <v>610</v>
      </c>
      <c r="N1411" t="s">
        <v>611</v>
      </c>
      <c r="O1411" t="s">
        <v>6039</v>
      </c>
      <c r="Q1411">
        <v>31135</v>
      </c>
      <c r="R1411" t="s">
        <v>95</v>
      </c>
      <c r="S1411" t="s">
        <v>6039</v>
      </c>
      <c r="T1411">
        <v>24</v>
      </c>
      <c r="W1411" t="s">
        <v>390</v>
      </c>
      <c r="X1411" t="s">
        <v>6040</v>
      </c>
      <c r="Y1411" t="s">
        <v>10024</v>
      </c>
      <c r="Z1411" s="2" t="s">
        <v>10025</v>
      </c>
      <c r="AA1411" s="2" t="s">
        <v>10025</v>
      </c>
      <c r="AB1411" t="s">
        <v>10026</v>
      </c>
      <c r="AC1411" t="s">
        <v>7875</v>
      </c>
      <c r="AE1411" t="s">
        <v>1451</v>
      </c>
      <c r="AG1411" t="s">
        <v>10027</v>
      </c>
      <c r="AH1411" t="s">
        <v>10028</v>
      </c>
      <c r="AI1411" t="s">
        <v>10029</v>
      </c>
    </row>
    <row r="1412" spans="2:35">
      <c r="B1412" s="1">
        <v>45853</v>
      </c>
      <c r="C1412" s="1">
        <v>45850</v>
      </c>
      <c r="D1412" t="s">
        <v>6037</v>
      </c>
      <c r="E1412" t="s">
        <v>7875</v>
      </c>
      <c r="F1412">
        <v>7</v>
      </c>
      <c r="G1412" t="s">
        <v>432</v>
      </c>
      <c r="H1412" t="s">
        <v>386</v>
      </c>
      <c r="I1412" t="s">
        <v>40</v>
      </c>
      <c r="J1412" t="s">
        <v>525</v>
      </c>
      <c r="K1412" t="s">
        <v>387</v>
      </c>
      <c r="L1412" t="s">
        <v>610</v>
      </c>
      <c r="N1412" t="s">
        <v>611</v>
      </c>
      <c r="Q1412">
        <v>31134</v>
      </c>
      <c r="R1412" t="s">
        <v>95</v>
      </c>
      <c r="S1412" t="s">
        <v>6039</v>
      </c>
      <c r="T1412">
        <v>24</v>
      </c>
      <c r="W1412" t="s">
        <v>390</v>
      </c>
      <c r="X1412" t="s">
        <v>6040</v>
      </c>
      <c r="Y1412" t="s">
        <v>10024</v>
      </c>
      <c r="Z1412" t="s">
        <v>10030</v>
      </c>
      <c r="AA1412" t="s">
        <v>10030</v>
      </c>
      <c r="AB1412" t="s">
        <v>88</v>
      </c>
      <c r="AC1412" t="s">
        <v>7875</v>
      </c>
      <c r="AE1412" t="s">
        <v>1451</v>
      </c>
      <c r="AG1412" t="s">
        <v>10031</v>
      </c>
      <c r="AH1412" t="s">
        <v>10028</v>
      </c>
      <c r="AI1412" t="s">
        <v>10032</v>
      </c>
    </row>
    <row r="1413" spans="2:35" ht="409.5">
      <c r="B1413" s="1">
        <v>45852</v>
      </c>
      <c r="C1413" s="1">
        <v>45846</v>
      </c>
      <c r="D1413" t="s">
        <v>8748</v>
      </c>
      <c r="E1413" t="s">
        <v>8749</v>
      </c>
      <c r="F1413">
        <v>12</v>
      </c>
      <c r="G1413" t="s">
        <v>294</v>
      </c>
      <c r="H1413" t="s">
        <v>1473</v>
      </c>
      <c r="I1413" t="s">
        <v>40</v>
      </c>
      <c r="J1413" s="2" t="s">
        <v>1592</v>
      </c>
      <c r="K1413" t="s">
        <v>42</v>
      </c>
      <c r="L1413" t="s">
        <v>296</v>
      </c>
      <c r="N1413" t="s">
        <v>297</v>
      </c>
      <c r="Q1413">
        <v>31133</v>
      </c>
      <c r="R1413" t="s">
        <v>119</v>
      </c>
      <c r="S1413" t="s">
        <v>8750</v>
      </c>
      <c r="T1413">
        <v>23.4</v>
      </c>
      <c r="U1413" s="2" t="s">
        <v>10033</v>
      </c>
      <c r="V1413" s="1">
        <v>45846</v>
      </c>
      <c r="W1413" t="s">
        <v>981</v>
      </c>
      <c r="X1413">
        <v>838556</v>
      </c>
      <c r="Y1413" t="s">
        <v>10034</v>
      </c>
      <c r="Z1413" s="2" t="s">
        <v>10035</v>
      </c>
      <c r="AA1413" s="2" t="s">
        <v>10036</v>
      </c>
      <c r="AB1413" t="s">
        <v>7205</v>
      </c>
      <c r="AD1413" t="s">
        <v>10037</v>
      </c>
      <c r="AE1413" t="s">
        <v>10038</v>
      </c>
      <c r="AG1413" t="s">
        <v>10039</v>
      </c>
      <c r="AH1413" t="s">
        <v>10040</v>
      </c>
      <c r="AI1413" t="s">
        <v>10041</v>
      </c>
    </row>
    <row r="1414" spans="2:35" ht="409.5">
      <c r="B1414" s="1">
        <v>45852</v>
      </c>
      <c r="C1414" s="1">
        <v>45852</v>
      </c>
      <c r="D1414" t="s">
        <v>5903</v>
      </c>
      <c r="E1414" t="s">
        <v>2569</v>
      </c>
      <c r="F1414" t="s">
        <v>148</v>
      </c>
      <c r="G1414" t="s">
        <v>447</v>
      </c>
      <c r="H1414" t="s">
        <v>386</v>
      </c>
      <c r="I1414" t="s">
        <v>94</v>
      </c>
      <c r="J1414" s="2" t="s">
        <v>62</v>
      </c>
      <c r="K1414" t="s">
        <v>387</v>
      </c>
      <c r="L1414" t="s">
        <v>448</v>
      </c>
      <c r="N1414" t="s">
        <v>650</v>
      </c>
      <c r="O1414" t="s">
        <v>5904</v>
      </c>
      <c r="Q1414">
        <v>31132</v>
      </c>
      <c r="R1414" t="s">
        <v>322</v>
      </c>
      <c r="S1414" t="s">
        <v>5905</v>
      </c>
      <c r="T1414">
        <v>26</v>
      </c>
      <c r="V1414" s="1">
        <v>45848</v>
      </c>
      <c r="W1414" t="s">
        <v>476</v>
      </c>
      <c r="X1414" t="s">
        <v>5906</v>
      </c>
      <c r="Y1414" t="s">
        <v>10042</v>
      </c>
      <c r="Z1414" s="2" t="s">
        <v>10043</v>
      </c>
      <c r="AA1414" t="s">
        <v>6279</v>
      </c>
      <c r="AB1414" s="2" t="s">
        <v>10044</v>
      </c>
      <c r="AD1414" t="s">
        <v>10045</v>
      </c>
      <c r="AE1414" t="s">
        <v>10046</v>
      </c>
      <c r="AG1414" t="s">
        <v>10047</v>
      </c>
      <c r="AH1414" t="s">
        <v>5912</v>
      </c>
      <c r="AI1414" t="s">
        <v>10048</v>
      </c>
    </row>
    <row r="1415" spans="2:35" ht="285">
      <c r="B1415" s="1">
        <v>45852</v>
      </c>
      <c r="C1415" s="1">
        <v>45847</v>
      </c>
      <c r="D1415" t="s">
        <v>146</v>
      </c>
      <c r="E1415" t="s">
        <v>10049</v>
      </c>
      <c r="F1415" t="s">
        <v>148</v>
      </c>
      <c r="G1415" t="s">
        <v>149</v>
      </c>
      <c r="H1415" t="s">
        <v>386</v>
      </c>
      <c r="I1415" t="s">
        <v>40</v>
      </c>
      <c r="J1415" t="s">
        <v>109</v>
      </c>
      <c r="K1415" t="s">
        <v>387</v>
      </c>
      <c r="L1415" t="s">
        <v>43</v>
      </c>
      <c r="N1415" t="s">
        <v>44</v>
      </c>
      <c r="O1415" t="s">
        <v>388</v>
      </c>
      <c r="Q1415">
        <v>31128</v>
      </c>
      <c r="R1415" t="s">
        <v>95</v>
      </c>
      <c r="S1415" t="s">
        <v>389</v>
      </c>
      <c r="T1415">
        <v>22</v>
      </c>
      <c r="W1415" t="s">
        <v>390</v>
      </c>
      <c r="X1415" t="s">
        <v>391</v>
      </c>
      <c r="Y1415" t="s">
        <v>10050</v>
      </c>
      <c r="Z1415" t="s">
        <v>122</v>
      </c>
      <c r="AA1415" s="2" t="s">
        <v>10051</v>
      </c>
      <c r="AB1415" t="s">
        <v>88</v>
      </c>
      <c r="AG1415" t="s">
        <v>10052</v>
      </c>
      <c r="AH1415" t="s">
        <v>8966</v>
      </c>
      <c r="AI1415" t="s">
        <v>10053</v>
      </c>
    </row>
    <row r="1416" spans="2:35" ht="225">
      <c r="B1416" s="1">
        <v>45852</v>
      </c>
      <c r="C1416" s="1">
        <v>45848</v>
      </c>
      <c r="D1416" t="s">
        <v>542</v>
      </c>
      <c r="E1416" t="s">
        <v>552</v>
      </c>
      <c r="F1416" t="s">
        <v>148</v>
      </c>
      <c r="G1416" t="s">
        <v>544</v>
      </c>
      <c r="H1416" t="s">
        <v>39</v>
      </c>
      <c r="I1416" t="s">
        <v>40</v>
      </c>
      <c r="J1416" t="s">
        <v>109</v>
      </c>
      <c r="K1416" t="s">
        <v>42</v>
      </c>
      <c r="L1416" t="s">
        <v>43</v>
      </c>
      <c r="N1416" t="s">
        <v>44</v>
      </c>
      <c r="Q1416">
        <v>31130</v>
      </c>
      <c r="R1416" t="s">
        <v>322</v>
      </c>
      <c r="S1416" t="s">
        <v>545</v>
      </c>
      <c r="T1416">
        <v>24</v>
      </c>
      <c r="W1416" t="s">
        <v>153</v>
      </c>
      <c r="X1416">
        <v>110024073</v>
      </c>
      <c r="Y1416" t="s">
        <v>10054</v>
      </c>
      <c r="Z1416" s="2" t="s">
        <v>10055</v>
      </c>
      <c r="AA1416" s="2" t="s">
        <v>9744</v>
      </c>
      <c r="AB1416" t="s">
        <v>88</v>
      </c>
      <c r="AG1416" t="s">
        <v>10056</v>
      </c>
      <c r="AH1416" t="s">
        <v>550</v>
      </c>
      <c r="AI1416" t="s">
        <v>10057</v>
      </c>
    </row>
    <row r="1417" spans="2:35" ht="225">
      <c r="B1417" s="1">
        <v>45852</v>
      </c>
      <c r="C1417" s="1">
        <v>45848</v>
      </c>
      <c r="D1417" t="s">
        <v>542</v>
      </c>
      <c r="E1417" t="s">
        <v>552</v>
      </c>
      <c r="F1417" t="s">
        <v>148</v>
      </c>
      <c r="G1417" t="s">
        <v>544</v>
      </c>
      <c r="H1417" t="s">
        <v>39</v>
      </c>
      <c r="I1417" t="s">
        <v>40</v>
      </c>
      <c r="J1417" t="s">
        <v>109</v>
      </c>
      <c r="K1417" t="s">
        <v>42</v>
      </c>
      <c r="L1417" t="s">
        <v>43</v>
      </c>
      <c r="N1417" t="s">
        <v>44</v>
      </c>
      <c r="Q1417">
        <v>31127</v>
      </c>
      <c r="R1417" t="s">
        <v>322</v>
      </c>
      <c r="S1417" t="s">
        <v>545</v>
      </c>
      <c r="T1417">
        <v>22</v>
      </c>
      <c r="W1417" t="s">
        <v>153</v>
      </c>
      <c r="X1417">
        <v>110024072</v>
      </c>
      <c r="Y1417" t="s">
        <v>121</v>
      </c>
      <c r="Z1417" t="s">
        <v>122</v>
      </c>
      <c r="AA1417" s="2" t="s">
        <v>10058</v>
      </c>
      <c r="AB1417" t="s">
        <v>88</v>
      </c>
      <c r="AG1417" t="s">
        <v>10059</v>
      </c>
      <c r="AH1417" t="s">
        <v>10060</v>
      </c>
      <c r="AI1417" t="s">
        <v>10061</v>
      </c>
    </row>
    <row r="1418" spans="2:35" ht="225">
      <c r="B1418" s="1">
        <v>45852</v>
      </c>
      <c r="C1418" s="1">
        <v>45847</v>
      </c>
      <c r="D1418" t="s">
        <v>146</v>
      </c>
      <c r="E1418" t="s">
        <v>10049</v>
      </c>
      <c r="F1418" t="s">
        <v>148</v>
      </c>
      <c r="G1418" t="s">
        <v>149</v>
      </c>
      <c r="H1418" t="s">
        <v>150</v>
      </c>
      <c r="I1418" t="s">
        <v>40</v>
      </c>
      <c r="J1418" t="s">
        <v>109</v>
      </c>
      <c r="K1418" t="s">
        <v>42</v>
      </c>
      <c r="L1418" t="s">
        <v>43</v>
      </c>
      <c r="N1418" t="s">
        <v>44</v>
      </c>
      <c r="Q1418">
        <v>31131</v>
      </c>
      <c r="R1418" t="s">
        <v>95</v>
      </c>
      <c r="S1418" t="s">
        <v>10062</v>
      </c>
      <c r="T1418">
        <v>22</v>
      </c>
      <c r="W1418" t="s">
        <v>153</v>
      </c>
      <c r="X1418">
        <v>110003714</v>
      </c>
      <c r="Y1418" t="s">
        <v>121</v>
      </c>
      <c r="Z1418" t="s">
        <v>122</v>
      </c>
      <c r="AA1418" s="2" t="s">
        <v>10063</v>
      </c>
      <c r="AB1418" t="s">
        <v>88</v>
      </c>
      <c r="AG1418" t="s">
        <v>10064</v>
      </c>
      <c r="AH1418" t="s">
        <v>10065</v>
      </c>
      <c r="AI1418" t="s">
        <v>10066</v>
      </c>
    </row>
    <row r="1419" spans="2:35" ht="165">
      <c r="B1419" s="1">
        <v>45852</v>
      </c>
      <c r="C1419" s="1">
        <v>45846</v>
      </c>
      <c r="D1419" t="s">
        <v>1081</v>
      </c>
      <c r="E1419" t="s">
        <v>2073</v>
      </c>
      <c r="F1419" t="s">
        <v>148</v>
      </c>
      <c r="G1419" t="s">
        <v>785</v>
      </c>
      <c r="H1419" t="s">
        <v>1083</v>
      </c>
      <c r="I1419" t="s">
        <v>40</v>
      </c>
      <c r="J1419" t="s">
        <v>321</v>
      </c>
      <c r="K1419" t="s">
        <v>408</v>
      </c>
      <c r="L1419" t="s">
        <v>43</v>
      </c>
      <c r="N1419" t="s">
        <v>44</v>
      </c>
      <c r="O1419" t="s">
        <v>2015</v>
      </c>
      <c r="P1419" t="s">
        <v>411</v>
      </c>
      <c r="Q1419">
        <v>31129</v>
      </c>
      <c r="R1419" t="s">
        <v>95</v>
      </c>
      <c r="S1419" t="s">
        <v>10067</v>
      </c>
      <c r="T1419">
        <v>22</v>
      </c>
      <c r="W1419" t="s">
        <v>413</v>
      </c>
      <c r="X1419">
        <v>1576</v>
      </c>
      <c r="Y1419" t="s">
        <v>750</v>
      </c>
      <c r="Z1419" t="s">
        <v>10068</v>
      </c>
      <c r="AA1419" s="2" t="s">
        <v>10069</v>
      </c>
      <c r="AB1419" t="s">
        <v>88</v>
      </c>
      <c r="AC1419" t="s">
        <v>10070</v>
      </c>
      <c r="AG1419" t="s">
        <v>10071</v>
      </c>
      <c r="AH1419" t="s">
        <v>10072</v>
      </c>
      <c r="AI1419" t="s">
        <v>10073</v>
      </c>
    </row>
    <row r="1420" spans="2:35" ht="105">
      <c r="B1420" s="1">
        <v>45849</v>
      </c>
      <c r="C1420" s="1">
        <v>45849</v>
      </c>
      <c r="D1420" t="s">
        <v>10074</v>
      </c>
      <c r="E1420" t="s">
        <v>10075</v>
      </c>
      <c r="F1420">
        <v>6</v>
      </c>
      <c r="G1420" t="s">
        <v>1234</v>
      </c>
      <c r="H1420" t="s">
        <v>258</v>
      </c>
      <c r="I1420" t="s">
        <v>40</v>
      </c>
      <c r="J1420" s="2" t="s">
        <v>41</v>
      </c>
      <c r="K1420" t="s">
        <v>42</v>
      </c>
      <c r="L1420" t="s">
        <v>270</v>
      </c>
      <c r="N1420" t="s">
        <v>2481</v>
      </c>
      <c r="Q1420">
        <v>31126</v>
      </c>
      <c r="R1420" t="s">
        <v>119</v>
      </c>
      <c r="S1420" t="s">
        <v>10076</v>
      </c>
      <c r="T1420">
        <v>25</v>
      </c>
      <c r="U1420" s="2" t="s">
        <v>10077</v>
      </c>
      <c r="W1420" t="s">
        <v>666</v>
      </c>
      <c r="X1420">
        <v>838486</v>
      </c>
      <c r="Y1420" t="s">
        <v>10078</v>
      </c>
      <c r="Z1420" t="s">
        <v>3128</v>
      </c>
      <c r="AA1420" t="e">
        <f ca="1">- checked CMOS battery voltage-
- replaced CMOS battery with new BATTERY.
- Cycle full shutdown _xludf.and CPU _xludf.restart to test new CMOS BATTERY.</f>
        <v>#NAME?</v>
      </c>
      <c r="AB1420" t="s">
        <v>4668</v>
      </c>
      <c r="AG1420" t="s">
        <v>10079</v>
      </c>
      <c r="AH1420" t="s">
        <v>10080</v>
      </c>
      <c r="AI1420" t="s">
        <v>10081</v>
      </c>
    </row>
    <row r="1421" spans="2:35" ht="345">
      <c r="B1421" s="1">
        <v>45848</v>
      </c>
      <c r="C1421" s="1">
        <v>45847</v>
      </c>
      <c r="D1421" t="s">
        <v>6037</v>
      </c>
      <c r="E1421" t="s">
        <v>7875</v>
      </c>
      <c r="F1421">
        <v>7</v>
      </c>
      <c r="G1421" t="s">
        <v>432</v>
      </c>
      <c r="H1421" t="s">
        <v>386</v>
      </c>
      <c r="I1421" t="s">
        <v>40</v>
      </c>
      <c r="J1421" t="s">
        <v>79</v>
      </c>
      <c r="K1421" t="s">
        <v>387</v>
      </c>
      <c r="L1421" t="s">
        <v>610</v>
      </c>
      <c r="N1421" t="s">
        <v>611</v>
      </c>
      <c r="Q1421">
        <v>31125</v>
      </c>
      <c r="R1421" t="s">
        <v>95</v>
      </c>
      <c r="S1421" t="s">
        <v>6039</v>
      </c>
      <c r="T1421">
        <v>24</v>
      </c>
      <c r="W1421" t="s">
        <v>390</v>
      </c>
      <c r="X1421" t="s">
        <v>6040</v>
      </c>
      <c r="Y1421" s="2" t="s">
        <v>10082</v>
      </c>
      <c r="Z1421" s="2" t="s">
        <v>10083</v>
      </c>
      <c r="AA1421" s="2" t="s">
        <v>10083</v>
      </c>
      <c r="AB1421" t="s">
        <v>88</v>
      </c>
      <c r="AE1421" t="s">
        <v>1451</v>
      </c>
      <c r="AG1421" t="s">
        <v>10084</v>
      </c>
      <c r="AH1421" t="s">
        <v>10028</v>
      </c>
      <c r="AI1421" t="s">
        <v>10085</v>
      </c>
    </row>
    <row r="1422" spans="2:35" ht="409.5">
      <c r="B1422" s="1">
        <v>45848</v>
      </c>
      <c r="C1422" s="1">
        <v>45848</v>
      </c>
      <c r="D1422" t="s">
        <v>5474</v>
      </c>
      <c r="E1422" t="s">
        <v>10086</v>
      </c>
      <c r="F1422" t="s">
        <v>148</v>
      </c>
      <c r="G1422" t="s">
        <v>2007</v>
      </c>
      <c r="H1422" t="s">
        <v>386</v>
      </c>
      <c r="I1422" t="s">
        <v>94</v>
      </c>
      <c r="J1422" s="2" t="s">
        <v>62</v>
      </c>
      <c r="K1422" t="s">
        <v>387</v>
      </c>
      <c r="L1422" t="s">
        <v>448</v>
      </c>
      <c r="N1422" t="s">
        <v>650</v>
      </c>
      <c r="O1422" t="s">
        <v>5477</v>
      </c>
      <c r="Q1422">
        <v>31124</v>
      </c>
      <c r="R1422" t="s">
        <v>95</v>
      </c>
      <c r="S1422" t="s">
        <v>10087</v>
      </c>
      <c r="T1422">
        <v>28</v>
      </c>
      <c r="V1422" s="1">
        <v>45845</v>
      </c>
      <c r="W1422" t="s">
        <v>476</v>
      </c>
      <c r="X1422" t="s">
        <v>5488</v>
      </c>
      <c r="Y1422" t="s">
        <v>1751</v>
      </c>
      <c r="Z1422" s="2" t="s">
        <v>10088</v>
      </c>
      <c r="AA1422" t="s">
        <v>5230</v>
      </c>
      <c r="AB1422" t="s">
        <v>486</v>
      </c>
      <c r="AD1422" t="s">
        <v>10089</v>
      </c>
      <c r="AE1422">
        <v>100588</v>
      </c>
      <c r="AG1422" t="s">
        <v>10090</v>
      </c>
      <c r="AH1422" t="s">
        <v>10091</v>
      </c>
      <c r="AI1422" t="s">
        <v>10092</v>
      </c>
    </row>
    <row r="1423" spans="2:35" ht="255">
      <c r="B1423" s="1">
        <v>45848</v>
      </c>
      <c r="C1423" s="1">
        <v>45848</v>
      </c>
      <c r="D1423" t="s">
        <v>5474</v>
      </c>
      <c r="E1423" t="s">
        <v>10093</v>
      </c>
      <c r="F1423" t="s">
        <v>148</v>
      </c>
      <c r="G1423" t="s">
        <v>2007</v>
      </c>
      <c r="H1423" t="s">
        <v>5476</v>
      </c>
      <c r="I1423" t="s">
        <v>40</v>
      </c>
      <c r="J1423" t="s">
        <v>109</v>
      </c>
      <c r="K1423" t="s">
        <v>408</v>
      </c>
      <c r="L1423" t="s">
        <v>448</v>
      </c>
      <c r="N1423" t="s">
        <v>650</v>
      </c>
      <c r="O1423" t="s">
        <v>5477</v>
      </c>
      <c r="P1423" t="s">
        <v>10094</v>
      </c>
      <c r="Q1423">
        <v>31123</v>
      </c>
      <c r="R1423" t="s">
        <v>95</v>
      </c>
      <c r="S1423" t="s">
        <v>5479</v>
      </c>
      <c r="T1423">
        <v>29</v>
      </c>
      <c r="W1423" t="s">
        <v>5480</v>
      </c>
      <c r="X1423">
        <v>797</v>
      </c>
      <c r="Y1423" t="s">
        <v>485</v>
      </c>
      <c r="Z1423" s="2" t="s">
        <v>5481</v>
      </c>
      <c r="AA1423" t="s">
        <v>10095</v>
      </c>
      <c r="AB1423" t="s">
        <v>486</v>
      </c>
      <c r="AG1423" t="s">
        <v>10096</v>
      </c>
      <c r="AH1423" t="s">
        <v>5483</v>
      </c>
      <c r="AI1423" t="s">
        <v>10097</v>
      </c>
    </row>
    <row r="1424" spans="2:35" ht="315">
      <c r="B1424" s="1">
        <v>45848</v>
      </c>
      <c r="C1424" s="1">
        <v>45848</v>
      </c>
      <c r="D1424" t="s">
        <v>6518</v>
      </c>
      <c r="E1424" t="s">
        <v>8661</v>
      </c>
      <c r="F1424">
        <v>11</v>
      </c>
      <c r="G1424" t="s">
        <v>1205</v>
      </c>
      <c r="H1424" t="s">
        <v>202</v>
      </c>
      <c r="I1424" t="s">
        <v>40</v>
      </c>
      <c r="J1424" t="s">
        <v>109</v>
      </c>
      <c r="K1424" t="s">
        <v>42</v>
      </c>
      <c r="L1424" t="s">
        <v>204</v>
      </c>
      <c r="N1424" t="s">
        <v>205</v>
      </c>
      <c r="Q1424">
        <v>31122</v>
      </c>
      <c r="R1424" t="s">
        <v>119</v>
      </c>
      <c r="S1424" t="s">
        <v>6520</v>
      </c>
      <c r="T1424">
        <v>27.5</v>
      </c>
      <c r="U1424" s="2" t="s">
        <v>10098</v>
      </c>
      <c r="W1424" t="s">
        <v>208</v>
      </c>
      <c r="X1424">
        <v>838505</v>
      </c>
      <c r="Y1424" t="s">
        <v>10099</v>
      </c>
      <c r="Z1424" s="2" t="s">
        <v>1321</v>
      </c>
      <c r="AA1424" t="s">
        <v>2551</v>
      </c>
      <c r="AB1424" t="s">
        <v>1211</v>
      </c>
      <c r="AG1424" t="s">
        <v>10100</v>
      </c>
      <c r="AH1424" t="s">
        <v>10101</v>
      </c>
      <c r="AI1424" t="s">
        <v>10102</v>
      </c>
    </row>
    <row r="1425" spans="2:35" ht="105">
      <c r="B1425" s="1">
        <v>45848</v>
      </c>
      <c r="C1425" s="1">
        <v>45848</v>
      </c>
      <c r="D1425" t="s">
        <v>5563</v>
      </c>
      <c r="E1425" t="s">
        <v>1555</v>
      </c>
      <c r="F1425">
        <v>7</v>
      </c>
      <c r="G1425" t="s">
        <v>432</v>
      </c>
      <c r="H1425" t="s">
        <v>150</v>
      </c>
      <c r="I1425" t="s">
        <v>40</v>
      </c>
      <c r="J1425" t="s">
        <v>109</v>
      </c>
      <c r="K1425" t="s">
        <v>42</v>
      </c>
      <c r="L1425" t="s">
        <v>343</v>
      </c>
      <c r="N1425" t="s">
        <v>344</v>
      </c>
      <c r="Q1425">
        <v>31121</v>
      </c>
      <c r="R1425" t="s">
        <v>119</v>
      </c>
      <c r="S1425" t="s">
        <v>5564</v>
      </c>
      <c r="T1425">
        <v>28</v>
      </c>
      <c r="U1425" s="2" t="s">
        <v>10103</v>
      </c>
      <c r="W1425" t="s">
        <v>1501</v>
      </c>
      <c r="X1425">
        <v>838561</v>
      </c>
      <c r="Y1425" t="s">
        <v>8412</v>
      </c>
      <c r="Z1425" t="s">
        <v>10104</v>
      </c>
      <c r="AA1425" t="e">
        <f ca="1">-Preventive Maintenance
-ARCHIVE tests</f>
        <v>#NAME?</v>
      </c>
      <c r="AB1425" t="s">
        <v>348</v>
      </c>
      <c r="AG1425" t="s">
        <v>10105</v>
      </c>
      <c r="AH1425" t="s">
        <v>5567</v>
      </c>
      <c r="AI1425" t="s">
        <v>10106</v>
      </c>
    </row>
    <row r="1426" spans="2:35" ht="409.5">
      <c r="B1426" s="1">
        <v>45847</v>
      </c>
      <c r="C1426" s="1">
        <v>45847</v>
      </c>
      <c r="D1426" t="s">
        <v>3119</v>
      </c>
      <c r="E1426" t="s">
        <v>6092</v>
      </c>
      <c r="F1426" t="s">
        <v>148</v>
      </c>
      <c r="G1426" t="s">
        <v>310</v>
      </c>
      <c r="H1426" t="s">
        <v>295</v>
      </c>
      <c r="I1426" t="s">
        <v>40</v>
      </c>
      <c r="J1426" s="2" t="s">
        <v>62</v>
      </c>
      <c r="K1426" t="s">
        <v>42</v>
      </c>
      <c r="L1426" t="s">
        <v>1943</v>
      </c>
      <c r="N1426" t="s">
        <v>1944</v>
      </c>
      <c r="O1426" t="s">
        <v>5841</v>
      </c>
      <c r="Q1426">
        <v>31120</v>
      </c>
      <c r="R1426" t="s">
        <v>95</v>
      </c>
      <c r="S1426" t="s">
        <v>6093</v>
      </c>
      <c r="T1426">
        <v>25</v>
      </c>
      <c r="W1426" t="s">
        <v>373</v>
      </c>
      <c r="X1426">
        <v>110001648</v>
      </c>
      <c r="Y1426" s="2" t="s">
        <v>3044</v>
      </c>
      <c r="Z1426" t="s">
        <v>3045</v>
      </c>
      <c r="AA1426" s="2" t="s">
        <v>3046</v>
      </c>
      <c r="AB1426" t="s">
        <v>10107</v>
      </c>
      <c r="AG1426" t="s">
        <v>10108</v>
      </c>
      <c r="AH1426" t="s">
        <v>5846</v>
      </c>
      <c r="AI1426" t="s">
        <v>10109</v>
      </c>
    </row>
    <row r="1427" spans="2:35" ht="409.5">
      <c r="B1427" s="1">
        <v>45847</v>
      </c>
      <c r="C1427" s="1">
        <v>45846</v>
      </c>
      <c r="D1427" t="s">
        <v>2568</v>
      </c>
      <c r="E1427" t="s">
        <v>2569</v>
      </c>
      <c r="F1427" t="s">
        <v>148</v>
      </c>
      <c r="G1427" t="s">
        <v>447</v>
      </c>
      <c r="H1427" t="s">
        <v>2570</v>
      </c>
      <c r="I1427" t="s">
        <v>40</v>
      </c>
      <c r="J1427" t="s">
        <v>583</v>
      </c>
      <c r="K1427" t="s">
        <v>42</v>
      </c>
      <c r="L1427" t="s">
        <v>448</v>
      </c>
      <c r="N1427" t="s">
        <v>650</v>
      </c>
      <c r="O1427" t="s">
        <v>2808</v>
      </c>
      <c r="Q1427">
        <v>31119</v>
      </c>
      <c r="R1427" t="s">
        <v>95</v>
      </c>
      <c r="S1427" t="s">
        <v>2571</v>
      </c>
      <c r="T1427">
        <v>31</v>
      </c>
      <c r="U1427" s="2" t="s">
        <v>10110</v>
      </c>
      <c r="W1427" t="s">
        <v>6128</v>
      </c>
      <c r="X1427">
        <v>807155</v>
      </c>
      <c r="Y1427" t="s">
        <v>10111</v>
      </c>
      <c r="Z1427" s="2" t="s">
        <v>10112</v>
      </c>
      <c r="AA1427" t="s">
        <v>1422</v>
      </c>
      <c r="AB1427" s="2" t="s">
        <v>4628</v>
      </c>
      <c r="AG1427" t="s">
        <v>10113</v>
      </c>
      <c r="AH1427" t="s">
        <v>2578</v>
      </c>
      <c r="AI1427" t="s">
        <v>10114</v>
      </c>
    </row>
    <row r="1428" spans="2:35" ht="195">
      <c r="B1428" s="1">
        <v>45847</v>
      </c>
      <c r="C1428" s="1">
        <v>45847</v>
      </c>
      <c r="D1428" t="s">
        <v>5660</v>
      </c>
      <c r="E1428" t="s">
        <v>5661</v>
      </c>
      <c r="F1428">
        <v>13</v>
      </c>
      <c r="G1428" t="s">
        <v>931</v>
      </c>
      <c r="H1428" t="s">
        <v>39</v>
      </c>
      <c r="I1428" t="s">
        <v>40</v>
      </c>
      <c r="J1428" s="2" t="s">
        <v>41</v>
      </c>
      <c r="K1428" t="s">
        <v>42</v>
      </c>
      <c r="L1428" t="s">
        <v>933</v>
      </c>
      <c r="N1428" t="s">
        <v>934</v>
      </c>
      <c r="Q1428">
        <v>31118</v>
      </c>
      <c r="R1428" t="s">
        <v>967</v>
      </c>
      <c r="S1428" t="s">
        <v>5662</v>
      </c>
      <c r="T1428">
        <v>30</v>
      </c>
      <c r="V1428" s="1">
        <v>45825</v>
      </c>
      <c r="W1428" t="s">
        <v>10115</v>
      </c>
      <c r="X1428">
        <v>110023523</v>
      </c>
      <c r="Y1428" t="s">
        <v>10116</v>
      </c>
      <c r="Z1428" t="s">
        <v>2129</v>
      </c>
      <c r="AA1428" s="2" t="s">
        <v>10117</v>
      </c>
      <c r="AB1428" t="s">
        <v>938</v>
      </c>
      <c r="AD1428" t="s">
        <v>10118</v>
      </c>
      <c r="AE1428">
        <v>13094</v>
      </c>
      <c r="AG1428" t="s">
        <v>10119</v>
      </c>
      <c r="AH1428" t="s">
        <v>10120</v>
      </c>
      <c r="AI1428" t="s">
        <v>10121</v>
      </c>
    </row>
    <row r="1429" spans="2:35" ht="225">
      <c r="B1429" s="1">
        <v>45846</v>
      </c>
      <c r="C1429" s="1">
        <v>45846</v>
      </c>
      <c r="D1429" t="s">
        <v>10122</v>
      </c>
      <c r="E1429" t="s">
        <v>10123</v>
      </c>
      <c r="F1429">
        <v>13</v>
      </c>
      <c r="G1429" t="s">
        <v>931</v>
      </c>
      <c r="H1429" t="s">
        <v>202</v>
      </c>
      <c r="I1429" t="s">
        <v>40</v>
      </c>
      <c r="J1429" s="2" t="s">
        <v>41</v>
      </c>
      <c r="K1429" t="s">
        <v>42</v>
      </c>
      <c r="L1429" t="s">
        <v>933</v>
      </c>
      <c r="N1429" t="s">
        <v>934</v>
      </c>
      <c r="Q1429">
        <v>31117</v>
      </c>
      <c r="R1429" t="s">
        <v>119</v>
      </c>
      <c r="S1429" t="s">
        <v>10124</v>
      </c>
      <c r="T1429">
        <v>29</v>
      </c>
      <c r="V1429" s="1">
        <v>45828</v>
      </c>
      <c r="W1429" t="s">
        <v>10125</v>
      </c>
      <c r="X1429">
        <v>838514</v>
      </c>
      <c r="Y1429" t="s">
        <v>10126</v>
      </c>
      <c r="Z1429" t="s">
        <v>2129</v>
      </c>
      <c r="AA1429" s="2" t="s">
        <v>10127</v>
      </c>
      <c r="AB1429" t="s">
        <v>2131</v>
      </c>
      <c r="AD1429" t="s">
        <v>10128</v>
      </c>
      <c r="AE1429">
        <v>13105</v>
      </c>
      <c r="AG1429" t="s">
        <v>10129</v>
      </c>
      <c r="AH1429" t="s">
        <v>10130</v>
      </c>
      <c r="AI1429" t="s">
        <v>10131</v>
      </c>
    </row>
    <row r="1430" spans="2:35">
      <c r="B1430" s="1">
        <v>45846</v>
      </c>
      <c r="C1430" s="1">
        <v>45846</v>
      </c>
      <c r="D1430" t="s">
        <v>7213</v>
      </c>
      <c r="E1430" t="s">
        <v>229</v>
      </c>
      <c r="F1430" t="s">
        <v>148</v>
      </c>
      <c r="G1430" t="s">
        <v>230</v>
      </c>
      <c r="H1430" t="s">
        <v>39</v>
      </c>
      <c r="I1430" t="s">
        <v>40</v>
      </c>
      <c r="J1430" t="s">
        <v>109</v>
      </c>
      <c r="K1430" t="s">
        <v>42</v>
      </c>
      <c r="L1430" t="s">
        <v>175</v>
      </c>
      <c r="N1430" t="s">
        <v>176</v>
      </c>
      <c r="Q1430">
        <v>31116</v>
      </c>
      <c r="R1430" t="s">
        <v>967</v>
      </c>
      <c r="S1430" t="s">
        <v>7214</v>
      </c>
      <c r="T1430">
        <v>24</v>
      </c>
      <c r="W1430" t="s">
        <v>373</v>
      </c>
      <c r="X1430">
        <v>110025111</v>
      </c>
      <c r="Y1430" t="s">
        <v>374</v>
      </c>
      <c r="Z1430" t="s">
        <v>375</v>
      </c>
      <c r="AA1430" t="e">
        <f ca="1">- checked _xludf.and cleaned cartridge bay, plunger rod, _xludf.filter, icore slot
- generated reports
- performed functionality test</f>
        <v>#NAME?</v>
      </c>
      <c r="AB1430" t="s">
        <v>181</v>
      </c>
      <c r="AG1430" t="s">
        <v>10132</v>
      </c>
      <c r="AH1430" t="s">
        <v>7217</v>
      </c>
      <c r="AI1430" t="s">
        <v>10133</v>
      </c>
    </row>
    <row r="1431" spans="2:35" ht="120">
      <c r="B1431" s="1">
        <v>45846</v>
      </c>
      <c r="C1431" s="1">
        <v>45846</v>
      </c>
      <c r="D1431" t="s">
        <v>5546</v>
      </c>
      <c r="E1431" t="s">
        <v>1555</v>
      </c>
      <c r="F1431">
        <v>7</v>
      </c>
      <c r="G1431" t="s">
        <v>432</v>
      </c>
      <c r="H1431" t="s">
        <v>39</v>
      </c>
      <c r="I1431" t="s">
        <v>40</v>
      </c>
      <c r="J1431" t="s">
        <v>109</v>
      </c>
      <c r="K1431" t="s">
        <v>42</v>
      </c>
      <c r="L1431" t="s">
        <v>433</v>
      </c>
      <c r="N1431" t="s">
        <v>434</v>
      </c>
      <c r="Q1431">
        <v>31115</v>
      </c>
      <c r="R1431" t="s">
        <v>967</v>
      </c>
      <c r="S1431" t="s">
        <v>5548</v>
      </c>
      <c r="T1431">
        <v>27</v>
      </c>
      <c r="W1431" t="s">
        <v>502</v>
      </c>
      <c r="X1431">
        <v>110023513</v>
      </c>
      <c r="Y1431" t="s">
        <v>54</v>
      </c>
      <c r="Z1431" s="2" t="s">
        <v>10134</v>
      </c>
      <c r="AA1431" s="2" t="s">
        <v>10134</v>
      </c>
      <c r="AB1431" t="s">
        <v>1011</v>
      </c>
      <c r="AG1431" t="s">
        <v>10135</v>
      </c>
      <c r="AH1431" t="s">
        <v>5720</v>
      </c>
      <c r="AI1431" t="s">
        <v>10136</v>
      </c>
    </row>
    <row r="1432" spans="2:35" ht="375">
      <c r="B1432" s="1">
        <v>45845</v>
      </c>
      <c r="C1432" s="1">
        <v>45839</v>
      </c>
      <c r="D1432" t="s">
        <v>7325</v>
      </c>
      <c r="E1432" t="s">
        <v>7326</v>
      </c>
      <c r="F1432">
        <v>12</v>
      </c>
      <c r="G1432" t="s">
        <v>978</v>
      </c>
      <c r="H1432" t="s">
        <v>1473</v>
      </c>
      <c r="I1432" t="s">
        <v>40</v>
      </c>
      <c r="J1432" t="s">
        <v>109</v>
      </c>
      <c r="K1432" t="s">
        <v>42</v>
      </c>
      <c r="L1432" t="s">
        <v>296</v>
      </c>
      <c r="N1432" t="s">
        <v>297</v>
      </c>
      <c r="Q1432">
        <v>31114</v>
      </c>
      <c r="R1432" t="s">
        <v>119</v>
      </c>
      <c r="S1432" t="s">
        <v>8937</v>
      </c>
      <c r="T1432">
        <v>25.6</v>
      </c>
      <c r="U1432" s="2" t="s">
        <v>10137</v>
      </c>
      <c r="W1432" t="s">
        <v>981</v>
      </c>
      <c r="X1432">
        <v>838265</v>
      </c>
      <c r="Y1432" t="s">
        <v>301</v>
      </c>
      <c r="Z1432" s="2" t="s">
        <v>10138</v>
      </c>
      <c r="AA1432" t="s">
        <v>9161</v>
      </c>
      <c r="AB1432" t="s">
        <v>972</v>
      </c>
      <c r="AG1432" t="s">
        <v>10139</v>
      </c>
      <c r="AH1432" t="s">
        <v>10140</v>
      </c>
      <c r="AI1432" t="s">
        <v>10141</v>
      </c>
    </row>
    <row r="1433" spans="2:35" ht="390">
      <c r="B1433" s="1">
        <v>45845</v>
      </c>
      <c r="C1433" s="1">
        <v>45841</v>
      </c>
      <c r="D1433" t="s">
        <v>7200</v>
      </c>
      <c r="E1433" t="s">
        <v>10142</v>
      </c>
      <c r="F1433">
        <v>12</v>
      </c>
      <c r="G1433" t="s">
        <v>978</v>
      </c>
      <c r="H1433" t="s">
        <v>1473</v>
      </c>
      <c r="I1433" t="s">
        <v>40</v>
      </c>
      <c r="J1433" t="s">
        <v>109</v>
      </c>
      <c r="K1433" t="s">
        <v>42</v>
      </c>
      <c r="L1433" t="s">
        <v>296</v>
      </c>
      <c r="N1433" t="s">
        <v>297</v>
      </c>
      <c r="Q1433">
        <v>31113</v>
      </c>
      <c r="R1433" t="s">
        <v>119</v>
      </c>
      <c r="S1433" t="s">
        <v>7202</v>
      </c>
      <c r="T1433">
        <v>24.8</v>
      </c>
      <c r="U1433" s="2" t="s">
        <v>10143</v>
      </c>
      <c r="W1433" t="s">
        <v>981</v>
      </c>
      <c r="X1433">
        <v>838504</v>
      </c>
      <c r="Y1433" t="s">
        <v>301</v>
      </c>
      <c r="Z1433" s="2" t="s">
        <v>10144</v>
      </c>
      <c r="AA1433" t="s">
        <v>303</v>
      </c>
      <c r="AB1433" t="s">
        <v>972</v>
      </c>
      <c r="AG1433" t="s">
        <v>10145</v>
      </c>
      <c r="AH1433" t="s">
        <v>9170</v>
      </c>
      <c r="AI1433" t="s">
        <v>10146</v>
      </c>
    </row>
    <row r="1434" spans="2:35" ht="390">
      <c r="B1434" s="1">
        <v>45845</v>
      </c>
      <c r="C1434" s="1">
        <v>45841</v>
      </c>
      <c r="D1434" t="s">
        <v>7200</v>
      </c>
      <c r="E1434" t="s">
        <v>10142</v>
      </c>
      <c r="F1434">
        <v>12</v>
      </c>
      <c r="G1434" t="s">
        <v>978</v>
      </c>
      <c r="H1434" t="s">
        <v>1473</v>
      </c>
      <c r="I1434" t="s">
        <v>40</v>
      </c>
      <c r="J1434" t="s">
        <v>109</v>
      </c>
      <c r="K1434" t="s">
        <v>42</v>
      </c>
      <c r="L1434" t="s">
        <v>296</v>
      </c>
      <c r="N1434" t="s">
        <v>297</v>
      </c>
      <c r="Q1434">
        <v>31112</v>
      </c>
      <c r="R1434" t="s">
        <v>119</v>
      </c>
      <c r="S1434" t="s">
        <v>7202</v>
      </c>
      <c r="T1434">
        <v>24.8</v>
      </c>
      <c r="U1434" s="2" t="s">
        <v>10143</v>
      </c>
      <c r="W1434" t="s">
        <v>981</v>
      </c>
      <c r="X1434">
        <v>838504</v>
      </c>
      <c r="Y1434" t="s">
        <v>301</v>
      </c>
      <c r="Z1434" s="2" t="s">
        <v>10144</v>
      </c>
      <c r="AA1434" t="s">
        <v>303</v>
      </c>
      <c r="AB1434" t="s">
        <v>972</v>
      </c>
      <c r="AG1434" t="s">
        <v>10147</v>
      </c>
      <c r="AH1434" t="s">
        <v>9170</v>
      </c>
      <c r="AI1434" t="s">
        <v>10148</v>
      </c>
    </row>
    <row r="1435" spans="2:35" ht="150">
      <c r="B1435" s="1">
        <v>45845</v>
      </c>
      <c r="C1435" s="1">
        <v>45841</v>
      </c>
      <c r="D1435" t="s">
        <v>10149</v>
      </c>
      <c r="E1435" t="s">
        <v>10150</v>
      </c>
      <c r="F1435">
        <v>10</v>
      </c>
      <c r="G1435" t="s">
        <v>1395</v>
      </c>
      <c r="H1435" t="s">
        <v>2125</v>
      </c>
      <c r="I1435" t="s">
        <v>40</v>
      </c>
      <c r="J1435" t="s">
        <v>79</v>
      </c>
      <c r="K1435" t="s">
        <v>42</v>
      </c>
      <c r="L1435" t="s">
        <v>933</v>
      </c>
      <c r="N1435" t="s">
        <v>934</v>
      </c>
      <c r="Q1435">
        <v>31111</v>
      </c>
      <c r="R1435" t="s">
        <v>119</v>
      </c>
      <c r="S1435" t="s">
        <v>10151</v>
      </c>
      <c r="T1435">
        <v>27</v>
      </c>
      <c r="W1435" t="s">
        <v>2127</v>
      </c>
      <c r="X1435">
        <v>838269</v>
      </c>
      <c r="Y1435" t="s">
        <v>10152</v>
      </c>
      <c r="Z1435" t="s">
        <v>10153</v>
      </c>
      <c r="AA1435" s="2" t="s">
        <v>10154</v>
      </c>
      <c r="AB1435" t="s">
        <v>2131</v>
      </c>
      <c r="AG1435" t="s">
        <v>10155</v>
      </c>
      <c r="AH1435" t="s">
        <v>10156</v>
      </c>
      <c r="AI1435" t="s">
        <v>10157</v>
      </c>
    </row>
    <row r="1436" spans="2:35" ht="120">
      <c r="B1436" s="1">
        <v>45845</v>
      </c>
      <c r="C1436" s="1">
        <v>45841</v>
      </c>
      <c r="D1436" t="s">
        <v>10158</v>
      </c>
      <c r="E1436" t="s">
        <v>4655</v>
      </c>
      <c r="F1436">
        <v>10</v>
      </c>
      <c r="G1436" t="s">
        <v>1395</v>
      </c>
      <c r="H1436" t="s">
        <v>2125</v>
      </c>
      <c r="I1436" t="s">
        <v>40</v>
      </c>
      <c r="J1436" t="s">
        <v>79</v>
      </c>
      <c r="K1436" t="s">
        <v>42</v>
      </c>
      <c r="L1436" t="s">
        <v>933</v>
      </c>
      <c r="N1436" t="s">
        <v>934</v>
      </c>
      <c r="Q1436">
        <v>31110</v>
      </c>
      <c r="R1436" t="s">
        <v>119</v>
      </c>
      <c r="S1436" t="s">
        <v>10159</v>
      </c>
      <c r="T1436">
        <v>27</v>
      </c>
      <c r="W1436" t="s">
        <v>2127</v>
      </c>
      <c r="X1436">
        <v>838441</v>
      </c>
      <c r="Y1436" t="s">
        <v>6973</v>
      </c>
      <c r="Z1436" t="s">
        <v>10160</v>
      </c>
      <c r="AA1436" s="2" t="s">
        <v>10161</v>
      </c>
      <c r="AB1436" t="s">
        <v>2131</v>
      </c>
      <c r="AG1436" t="s">
        <v>10162</v>
      </c>
      <c r="AH1436" t="s">
        <v>10163</v>
      </c>
      <c r="AI1436" t="s">
        <v>10164</v>
      </c>
    </row>
    <row r="1437" spans="2:35" ht="165">
      <c r="B1437" s="1">
        <v>45845</v>
      </c>
      <c r="C1437" s="1">
        <v>45843</v>
      </c>
      <c r="D1437" t="s">
        <v>6037</v>
      </c>
      <c r="E1437" t="s">
        <v>7875</v>
      </c>
      <c r="F1437">
        <v>7</v>
      </c>
      <c r="G1437" t="s">
        <v>432</v>
      </c>
      <c r="H1437" t="s">
        <v>386</v>
      </c>
      <c r="I1437" t="s">
        <v>40</v>
      </c>
      <c r="J1437" t="s">
        <v>79</v>
      </c>
      <c r="K1437" t="s">
        <v>387</v>
      </c>
      <c r="L1437" t="s">
        <v>610</v>
      </c>
      <c r="N1437" t="s">
        <v>611</v>
      </c>
      <c r="Q1437">
        <v>31109</v>
      </c>
      <c r="R1437" t="s">
        <v>95</v>
      </c>
      <c r="S1437" t="s">
        <v>6039</v>
      </c>
      <c r="T1437">
        <v>24</v>
      </c>
      <c r="W1437" t="s">
        <v>390</v>
      </c>
      <c r="X1437" t="s">
        <v>6040</v>
      </c>
      <c r="Y1437" t="s">
        <v>10165</v>
      </c>
      <c r="Z1437" s="2" t="s">
        <v>10166</v>
      </c>
      <c r="AA1437" s="2" t="s">
        <v>10166</v>
      </c>
      <c r="AB1437" t="s">
        <v>10167</v>
      </c>
      <c r="AC1437" t="s">
        <v>607</v>
      </c>
      <c r="AE1437" t="s">
        <v>1451</v>
      </c>
      <c r="AG1437" t="s">
        <v>10168</v>
      </c>
      <c r="AH1437" t="s">
        <v>10028</v>
      </c>
      <c r="AI1437" t="s">
        <v>10169</v>
      </c>
    </row>
    <row r="1438" spans="2:35" ht="270">
      <c r="B1438" s="1">
        <v>45845</v>
      </c>
      <c r="C1438" s="1">
        <v>45842</v>
      </c>
      <c r="D1438" t="s">
        <v>10170</v>
      </c>
      <c r="E1438" t="s">
        <v>10171</v>
      </c>
      <c r="F1438">
        <v>7</v>
      </c>
      <c r="G1438" t="s">
        <v>432</v>
      </c>
      <c r="H1438" t="s">
        <v>608</v>
      </c>
      <c r="I1438" t="s">
        <v>40</v>
      </c>
      <c r="J1438" t="s">
        <v>109</v>
      </c>
      <c r="K1438" t="s">
        <v>42</v>
      </c>
      <c r="L1438" t="s">
        <v>610</v>
      </c>
      <c r="N1438" t="s">
        <v>611</v>
      </c>
      <c r="Q1438">
        <v>31108</v>
      </c>
      <c r="R1438" t="s">
        <v>119</v>
      </c>
      <c r="S1438" t="s">
        <v>6211</v>
      </c>
      <c r="T1438">
        <v>24</v>
      </c>
      <c r="U1438" s="2" t="s">
        <v>10172</v>
      </c>
      <c r="W1438" t="s">
        <v>360</v>
      </c>
      <c r="X1438">
        <v>838534</v>
      </c>
      <c r="Y1438" s="2" t="s">
        <v>10173</v>
      </c>
      <c r="Z1438" s="2" t="s">
        <v>10173</v>
      </c>
      <c r="AA1438" s="2" t="s">
        <v>10173</v>
      </c>
      <c r="AB1438" t="s">
        <v>7886</v>
      </c>
      <c r="AC1438" t="s">
        <v>607</v>
      </c>
      <c r="AE1438" t="s">
        <v>1451</v>
      </c>
      <c r="AG1438" t="s">
        <v>10174</v>
      </c>
      <c r="AH1438" t="s">
        <v>10175</v>
      </c>
      <c r="AI1438" t="s">
        <v>10176</v>
      </c>
    </row>
    <row r="1439" spans="2:35" ht="60">
      <c r="B1439" s="1">
        <v>45842</v>
      </c>
      <c r="C1439" s="1">
        <v>45842</v>
      </c>
      <c r="D1439" t="s">
        <v>10177</v>
      </c>
      <c r="E1439" t="s">
        <v>1285</v>
      </c>
      <c r="F1439">
        <v>6</v>
      </c>
      <c r="G1439" t="s">
        <v>1286</v>
      </c>
      <c r="H1439" t="s">
        <v>513</v>
      </c>
      <c r="I1439" t="s">
        <v>40</v>
      </c>
      <c r="J1439" s="2" t="s">
        <v>62</v>
      </c>
      <c r="K1439" t="s">
        <v>387</v>
      </c>
      <c r="L1439" t="s">
        <v>1288</v>
      </c>
      <c r="N1439" t="s">
        <v>1289</v>
      </c>
      <c r="Q1439">
        <v>31107</v>
      </c>
      <c r="R1439" t="s">
        <v>95</v>
      </c>
      <c r="S1439" t="s">
        <v>10178</v>
      </c>
      <c r="T1439">
        <v>22</v>
      </c>
      <c r="W1439" t="s">
        <v>390</v>
      </c>
      <c r="X1439" t="s">
        <v>1300</v>
      </c>
      <c r="Y1439" t="s">
        <v>10179</v>
      </c>
      <c r="Z1439" t="e">
        <f ca="1">-COLLECT CALIBRATION Data</f>
        <v>#NAME?</v>
      </c>
      <c r="AA1439" t="e">
        <f ca="1">-PERFORM DIAGNOSTICS , passed
-Inspect rotor rubber roller, passed
-PERFORM CALIBRATION, passed</f>
        <v>#NAME?</v>
      </c>
      <c r="AB1439" t="s">
        <v>1293</v>
      </c>
      <c r="AG1439" t="s">
        <v>10180</v>
      </c>
      <c r="AH1439" t="s">
        <v>10181</v>
      </c>
      <c r="AI1439" t="s">
        <v>10182</v>
      </c>
    </row>
    <row r="1440" spans="2:35" ht="375">
      <c r="B1440" s="1">
        <v>45842</v>
      </c>
      <c r="C1440" s="1">
        <v>45842</v>
      </c>
      <c r="D1440" t="s">
        <v>10183</v>
      </c>
      <c r="E1440" t="s">
        <v>2835</v>
      </c>
      <c r="F1440">
        <v>11</v>
      </c>
      <c r="G1440" t="s">
        <v>2836</v>
      </c>
      <c r="H1440" t="s">
        <v>513</v>
      </c>
      <c r="I1440" t="s">
        <v>40</v>
      </c>
      <c r="J1440" s="2" t="s">
        <v>1157</v>
      </c>
      <c r="K1440" t="s">
        <v>42</v>
      </c>
      <c r="L1440" t="s">
        <v>204</v>
      </c>
      <c r="N1440" t="s">
        <v>205</v>
      </c>
      <c r="O1440" t="s">
        <v>2867</v>
      </c>
      <c r="Q1440">
        <v>31106</v>
      </c>
      <c r="R1440" t="s">
        <v>95</v>
      </c>
      <c r="S1440" t="s">
        <v>2868</v>
      </c>
      <c r="T1440">
        <v>24.6</v>
      </c>
      <c r="W1440" t="s">
        <v>10184</v>
      </c>
      <c r="X1440" t="s">
        <v>2869</v>
      </c>
      <c r="Y1440" s="2" t="s">
        <v>10185</v>
      </c>
      <c r="Z1440" s="2" t="s">
        <v>10186</v>
      </c>
      <c r="AA1440" t="s">
        <v>10187</v>
      </c>
      <c r="AB1440" t="s">
        <v>364</v>
      </c>
      <c r="AC1440" t="s">
        <v>10188</v>
      </c>
      <c r="AG1440" t="s">
        <v>10189</v>
      </c>
      <c r="AH1440" t="s">
        <v>10190</v>
      </c>
      <c r="AI1440" t="s">
        <v>10191</v>
      </c>
    </row>
    <row r="1441" spans="2:35">
      <c r="B1441" s="1">
        <v>45842</v>
      </c>
      <c r="C1441" s="1">
        <v>45842</v>
      </c>
      <c r="D1441" t="s">
        <v>9062</v>
      </c>
      <c r="E1441" t="s">
        <v>9063</v>
      </c>
      <c r="F1441">
        <v>8</v>
      </c>
      <c r="G1441" t="s">
        <v>342</v>
      </c>
      <c r="H1441" t="s">
        <v>1498</v>
      </c>
      <c r="I1441" t="s">
        <v>40</v>
      </c>
      <c r="J1441" t="s">
        <v>109</v>
      </c>
      <c r="K1441" t="s">
        <v>42</v>
      </c>
      <c r="L1441" t="s">
        <v>343</v>
      </c>
      <c r="N1441" t="s">
        <v>344</v>
      </c>
      <c r="Q1441">
        <v>31105</v>
      </c>
      <c r="R1441" t="s">
        <v>119</v>
      </c>
      <c r="S1441" t="s">
        <v>9064</v>
      </c>
      <c r="T1441">
        <v>27</v>
      </c>
      <c r="W1441" t="s">
        <v>1501</v>
      </c>
      <c r="X1441">
        <v>838399</v>
      </c>
      <c r="Y1441" t="s">
        <v>301</v>
      </c>
      <c r="Z1441" t="s">
        <v>10192</v>
      </c>
      <c r="AA1441" t="e">
        <f ca="1">-Preventive Maintenance</f>
        <v>#NAME?</v>
      </c>
      <c r="AB1441" t="s">
        <v>348</v>
      </c>
      <c r="AG1441" t="s">
        <v>10193</v>
      </c>
      <c r="AH1441" t="s">
        <v>10194</v>
      </c>
      <c r="AI1441" t="s">
        <v>10195</v>
      </c>
    </row>
    <row r="1442" spans="2:35" ht="315">
      <c r="B1442" s="1">
        <v>45842</v>
      </c>
      <c r="C1442" s="1">
        <v>45842</v>
      </c>
      <c r="D1442" t="s">
        <v>10196</v>
      </c>
      <c r="E1442" t="s">
        <v>10197</v>
      </c>
      <c r="F1442">
        <v>6</v>
      </c>
      <c r="G1442" t="s">
        <v>1507</v>
      </c>
      <c r="H1442" t="s">
        <v>39</v>
      </c>
      <c r="I1442" t="s">
        <v>40</v>
      </c>
      <c r="J1442" s="2" t="s">
        <v>41</v>
      </c>
      <c r="K1442" t="s">
        <v>42</v>
      </c>
      <c r="L1442" t="s">
        <v>1288</v>
      </c>
      <c r="N1442" t="s">
        <v>1289</v>
      </c>
      <c r="Q1442">
        <v>31104</v>
      </c>
      <c r="R1442" t="s">
        <v>119</v>
      </c>
      <c r="S1442" t="s">
        <v>10198</v>
      </c>
      <c r="T1442">
        <v>25</v>
      </c>
      <c r="U1442" s="2" t="s">
        <v>10199</v>
      </c>
      <c r="V1442" s="1">
        <v>45828</v>
      </c>
      <c r="W1442" t="s">
        <v>1292</v>
      </c>
      <c r="X1442">
        <v>838296</v>
      </c>
      <c r="Y1442" t="s">
        <v>10200</v>
      </c>
      <c r="Z1442" t="e">
        <f ca="1">-COLLECT IQR, system _xludf.Log, _xludf.and ARCHIVE</f>
        <v>#NAME?</v>
      </c>
      <c r="AA1442" s="2" t="s">
        <v>10201</v>
      </c>
      <c r="AB1442" t="s">
        <v>1293</v>
      </c>
      <c r="AD1442" t="s">
        <v>10128</v>
      </c>
      <c r="AE1442">
        <v>13108</v>
      </c>
      <c r="AG1442" t="s">
        <v>10202</v>
      </c>
      <c r="AH1442" t="s">
        <v>10203</v>
      </c>
      <c r="AI1442" t="s">
        <v>10204</v>
      </c>
    </row>
    <row r="1443" spans="2:35" ht="150">
      <c r="B1443" s="1">
        <v>45841</v>
      </c>
      <c r="C1443" s="1">
        <v>45841</v>
      </c>
      <c r="D1443" t="s">
        <v>1496</v>
      </c>
      <c r="E1443" t="s">
        <v>1497</v>
      </c>
      <c r="F1443">
        <v>8</v>
      </c>
      <c r="G1443" t="s">
        <v>342</v>
      </c>
      <c r="H1443" t="s">
        <v>1498</v>
      </c>
      <c r="I1443" t="s">
        <v>40</v>
      </c>
      <c r="J1443" s="2" t="s">
        <v>41</v>
      </c>
      <c r="K1443" t="s">
        <v>42</v>
      </c>
      <c r="L1443" t="s">
        <v>343</v>
      </c>
      <c r="N1443" t="s">
        <v>344</v>
      </c>
      <c r="Q1443">
        <v>31103</v>
      </c>
      <c r="R1443" t="s">
        <v>119</v>
      </c>
      <c r="S1443" t="s">
        <v>7820</v>
      </c>
      <c r="T1443">
        <v>27</v>
      </c>
      <c r="U1443" s="2" t="s">
        <v>10205</v>
      </c>
      <c r="V1443" s="1">
        <v>45828</v>
      </c>
      <c r="W1443" t="s">
        <v>1501</v>
      </c>
      <c r="X1443">
        <v>838297</v>
      </c>
      <c r="Y1443" t="s">
        <v>2165</v>
      </c>
      <c r="Z1443" t="s">
        <v>10206</v>
      </c>
      <c r="AA1443" t="e">
        <f ca="1">-module Replacement
-Preventive Maintenance</f>
        <v>#NAME?</v>
      </c>
      <c r="AB1443" t="s">
        <v>9638</v>
      </c>
      <c r="AD1443" s="2" t="s">
        <v>10207</v>
      </c>
      <c r="AE1443" t="s">
        <v>10208</v>
      </c>
      <c r="AG1443" t="s">
        <v>10209</v>
      </c>
      <c r="AH1443" t="s">
        <v>7824</v>
      </c>
      <c r="AI1443" t="s">
        <v>10210</v>
      </c>
    </row>
    <row r="1444" spans="2:35" ht="105">
      <c r="B1444" s="1">
        <v>45841</v>
      </c>
      <c r="C1444" s="1">
        <v>45841</v>
      </c>
      <c r="D1444" t="s">
        <v>10211</v>
      </c>
      <c r="E1444" t="s">
        <v>10212</v>
      </c>
      <c r="F1444">
        <v>7</v>
      </c>
      <c r="G1444" t="s">
        <v>6529</v>
      </c>
      <c r="H1444" t="s">
        <v>258</v>
      </c>
      <c r="I1444" t="s">
        <v>40</v>
      </c>
      <c r="J1444" s="2" t="s">
        <v>190</v>
      </c>
      <c r="K1444" t="s">
        <v>42</v>
      </c>
      <c r="L1444" t="s">
        <v>259</v>
      </c>
      <c r="N1444" t="s">
        <v>260</v>
      </c>
      <c r="O1444" t="s">
        <v>260</v>
      </c>
      <c r="Q1444">
        <v>31102</v>
      </c>
      <c r="R1444" t="s">
        <v>119</v>
      </c>
      <c r="S1444" t="s">
        <v>10213</v>
      </c>
      <c r="T1444">
        <v>27</v>
      </c>
      <c r="U1444" s="2" t="s">
        <v>10214</v>
      </c>
      <c r="V1444" s="1">
        <v>45841</v>
      </c>
      <c r="W1444" t="s">
        <v>84</v>
      </c>
      <c r="X1444">
        <v>838394</v>
      </c>
      <c r="Y1444" t="e">
        <f ca="1">- monitor resolution</f>
        <v>#NAME?</v>
      </c>
      <c r="Z1444" t="e">
        <f ca="1">- Preventive Maintenance
- Troubleshoot monitor
- Data Collection</f>
        <v>#NAME?</v>
      </c>
      <c r="AA1444" t="e">
        <f ca="1">- Preventive Maintenance
- Troubleshooting
- Data Collection</f>
        <v>#NAME?</v>
      </c>
      <c r="AB1444" t="s">
        <v>70</v>
      </c>
      <c r="AG1444" t="s">
        <v>10215</v>
      </c>
      <c r="AH1444" t="s">
        <v>10216</v>
      </c>
      <c r="AI1444" t="s">
        <v>10217</v>
      </c>
    </row>
    <row r="1445" spans="2:35" ht="105">
      <c r="B1445" s="1">
        <v>45841</v>
      </c>
      <c r="C1445" s="1">
        <v>45841</v>
      </c>
      <c r="D1445" t="s">
        <v>10218</v>
      </c>
      <c r="E1445" t="s">
        <v>10219</v>
      </c>
      <c r="F1445">
        <v>7</v>
      </c>
      <c r="G1445" t="s">
        <v>6529</v>
      </c>
      <c r="H1445" t="s">
        <v>258</v>
      </c>
      <c r="I1445" t="s">
        <v>40</v>
      </c>
      <c r="J1445" s="2" t="s">
        <v>62</v>
      </c>
      <c r="K1445" t="s">
        <v>42</v>
      </c>
      <c r="L1445" t="s">
        <v>259</v>
      </c>
      <c r="N1445" t="s">
        <v>260</v>
      </c>
      <c r="O1445" t="s">
        <v>260</v>
      </c>
      <c r="Q1445">
        <v>31101</v>
      </c>
      <c r="R1445" t="s">
        <v>119</v>
      </c>
      <c r="S1445" t="s">
        <v>10220</v>
      </c>
      <c r="T1445">
        <v>26</v>
      </c>
      <c r="U1445" s="2" t="s">
        <v>10221</v>
      </c>
      <c r="V1445" s="1">
        <v>45841</v>
      </c>
      <c r="W1445" t="s">
        <v>84</v>
      </c>
      <c r="X1445">
        <v>838396</v>
      </c>
      <c r="Y1445" t="s">
        <v>263</v>
      </c>
      <c r="Z1445" t="e">
        <f ca="1">- PM
- CALIBRATION
- Data Collection</f>
        <v>#NAME?</v>
      </c>
      <c r="AA1445" t="e">
        <f ca="1">- Preventive Maintenance
- CALIBRATION
- Data Collection</f>
        <v>#NAME?</v>
      </c>
      <c r="AB1445" t="s">
        <v>10222</v>
      </c>
      <c r="AG1445" t="s">
        <v>10223</v>
      </c>
      <c r="AH1445" t="s">
        <v>10224</v>
      </c>
      <c r="AI1445" t="s">
        <v>10225</v>
      </c>
    </row>
    <row r="1446" spans="2:35" ht="105">
      <c r="B1446" s="1">
        <v>45841</v>
      </c>
      <c r="C1446" s="1">
        <v>45841</v>
      </c>
      <c r="D1446" t="s">
        <v>10226</v>
      </c>
      <c r="E1446" t="s">
        <v>10227</v>
      </c>
      <c r="F1446">
        <v>7</v>
      </c>
      <c r="G1446" t="s">
        <v>6529</v>
      </c>
      <c r="H1446" t="s">
        <v>258</v>
      </c>
      <c r="I1446" t="s">
        <v>40</v>
      </c>
      <c r="J1446" t="s">
        <v>109</v>
      </c>
      <c r="K1446" t="s">
        <v>42</v>
      </c>
      <c r="L1446" t="s">
        <v>259</v>
      </c>
      <c r="N1446" t="s">
        <v>260</v>
      </c>
      <c r="Q1446">
        <v>31100</v>
      </c>
      <c r="R1446" t="s">
        <v>119</v>
      </c>
      <c r="S1446" t="s">
        <v>6530</v>
      </c>
      <c r="T1446">
        <v>28</v>
      </c>
      <c r="U1446" s="2" t="s">
        <v>10228</v>
      </c>
      <c r="V1446" s="1">
        <v>45841</v>
      </c>
      <c r="W1446" t="s">
        <v>84</v>
      </c>
      <c r="X1446">
        <v>838292</v>
      </c>
      <c r="Y1446" t="s">
        <v>263</v>
      </c>
      <c r="Z1446" t="s">
        <v>263</v>
      </c>
      <c r="AA1446" t="e">
        <f ca="1">- Preventive Maintenance
- Data Collection</f>
        <v>#NAME?</v>
      </c>
      <c r="AB1446" t="s">
        <v>70</v>
      </c>
      <c r="AG1446" t="s">
        <v>10229</v>
      </c>
      <c r="AH1446" t="s">
        <v>10230</v>
      </c>
      <c r="AI1446" t="s">
        <v>10231</v>
      </c>
    </row>
    <row r="1447" spans="2:35" ht="345">
      <c r="B1447" s="1">
        <v>45840</v>
      </c>
      <c r="C1447" s="1">
        <v>45840</v>
      </c>
      <c r="D1447" t="s">
        <v>8457</v>
      </c>
      <c r="E1447" t="s">
        <v>10232</v>
      </c>
      <c r="F1447">
        <v>10</v>
      </c>
      <c r="G1447" t="s">
        <v>1395</v>
      </c>
      <c r="H1447" t="s">
        <v>61</v>
      </c>
      <c r="I1447" t="s">
        <v>40</v>
      </c>
      <c r="J1447" t="s">
        <v>321</v>
      </c>
      <c r="K1447" t="s">
        <v>42</v>
      </c>
      <c r="L1447" t="s">
        <v>933</v>
      </c>
      <c r="N1447" t="s">
        <v>934</v>
      </c>
      <c r="Q1447">
        <v>31099</v>
      </c>
      <c r="R1447" t="s">
        <v>95</v>
      </c>
      <c r="S1447" t="s">
        <v>8458</v>
      </c>
      <c r="T1447">
        <v>25</v>
      </c>
      <c r="W1447" t="s">
        <v>10115</v>
      </c>
      <c r="X1447">
        <v>110025567</v>
      </c>
      <c r="Y1447" t="s">
        <v>301</v>
      </c>
      <c r="Z1447" t="s">
        <v>10233</v>
      </c>
      <c r="AA1447" s="2" t="s">
        <v>10234</v>
      </c>
      <c r="AB1447" t="s">
        <v>938</v>
      </c>
      <c r="AG1447" t="s">
        <v>10235</v>
      </c>
      <c r="AH1447" t="s">
        <v>10236</v>
      </c>
      <c r="AI1447" t="s">
        <v>10237</v>
      </c>
    </row>
    <row r="1448" spans="2:35" ht="120">
      <c r="B1448" s="1">
        <v>45840</v>
      </c>
      <c r="C1448" s="1">
        <v>45840</v>
      </c>
      <c r="D1448" t="s">
        <v>9139</v>
      </c>
      <c r="E1448" t="s">
        <v>5384</v>
      </c>
      <c r="F1448">
        <v>6</v>
      </c>
      <c r="G1448" t="s">
        <v>1286</v>
      </c>
      <c r="H1448" t="s">
        <v>9141</v>
      </c>
      <c r="I1448" t="s">
        <v>40</v>
      </c>
      <c r="J1448" s="2" t="s">
        <v>609</v>
      </c>
      <c r="K1448" t="s">
        <v>42</v>
      </c>
      <c r="L1448" t="s">
        <v>1288</v>
      </c>
      <c r="N1448" t="s">
        <v>1289</v>
      </c>
      <c r="Q1448">
        <v>31098</v>
      </c>
      <c r="R1448" t="s">
        <v>967</v>
      </c>
      <c r="S1448" t="s">
        <v>5385</v>
      </c>
      <c r="T1448">
        <v>24</v>
      </c>
      <c r="U1448" s="2" t="s">
        <v>10238</v>
      </c>
      <c r="W1448" t="s">
        <v>9206</v>
      </c>
      <c r="X1448">
        <v>110023529</v>
      </c>
      <c r="Y1448" t="e">
        <f ca="1">-_xludf.For Preventive Maintenance</f>
        <v>#NAME?</v>
      </c>
      <c r="Z1448" t="e">
        <f ca="1">-COLLECT IQR, system _xludf.Log, _xludf.and ARCHIVE</f>
        <v>#NAME?</v>
      </c>
      <c r="AA1448" t="e">
        <f ca="1">-PERFORM Preventive Maintenance PROCEDURE: _xludf.Clean plunger rod, cartridge bay, PROBES, _xludf.and FAN _xludf.filter
-_xludf.Replace printer ink cartridge</f>
        <v>#NAME?</v>
      </c>
      <c r="AB1448" t="s">
        <v>1293</v>
      </c>
      <c r="AG1448" t="s">
        <v>10239</v>
      </c>
      <c r="AH1448" t="s">
        <v>10240</v>
      </c>
      <c r="AI1448" t="s">
        <v>10241</v>
      </c>
    </row>
    <row r="1449" spans="2:35" ht="255">
      <c r="B1449" s="1">
        <v>45840</v>
      </c>
      <c r="C1449" s="1">
        <v>45839</v>
      </c>
      <c r="D1449" t="s">
        <v>606</v>
      </c>
      <c r="E1449" t="s">
        <v>607</v>
      </c>
      <c r="F1449">
        <v>7</v>
      </c>
      <c r="G1449" t="s">
        <v>432</v>
      </c>
      <c r="H1449" t="s">
        <v>608</v>
      </c>
      <c r="I1449" t="s">
        <v>40</v>
      </c>
      <c r="J1449" t="s">
        <v>79</v>
      </c>
      <c r="K1449" t="s">
        <v>42</v>
      </c>
      <c r="L1449" t="s">
        <v>610</v>
      </c>
      <c r="N1449" t="s">
        <v>611</v>
      </c>
      <c r="O1449" t="s">
        <v>612</v>
      </c>
      <c r="Q1449">
        <v>31097</v>
      </c>
      <c r="R1449" t="s">
        <v>119</v>
      </c>
      <c r="S1449" t="s">
        <v>613</v>
      </c>
      <c r="T1449">
        <v>24</v>
      </c>
      <c r="U1449" s="2" t="s">
        <v>10242</v>
      </c>
      <c r="W1449" t="s">
        <v>360</v>
      </c>
      <c r="X1449">
        <v>838559</v>
      </c>
      <c r="Y1449" t="s">
        <v>10243</v>
      </c>
      <c r="Z1449" t="s">
        <v>10244</v>
      </c>
      <c r="AA1449" s="2" t="s">
        <v>10245</v>
      </c>
      <c r="AB1449" t="s">
        <v>7886</v>
      </c>
      <c r="AG1449" t="s">
        <v>10246</v>
      </c>
      <c r="AH1449" t="s">
        <v>10247</v>
      </c>
      <c r="AI1449" t="s">
        <v>10248</v>
      </c>
    </row>
    <row r="1450" spans="2:35" ht="345">
      <c r="B1450" s="1">
        <v>45840</v>
      </c>
      <c r="C1450" s="1">
        <v>45840</v>
      </c>
      <c r="D1450" t="s">
        <v>5932</v>
      </c>
      <c r="E1450" t="s">
        <v>6971</v>
      </c>
      <c r="F1450">
        <v>11</v>
      </c>
      <c r="G1450" t="s">
        <v>2836</v>
      </c>
      <c r="H1450" t="s">
        <v>202</v>
      </c>
      <c r="I1450" t="s">
        <v>40</v>
      </c>
      <c r="J1450" s="2" t="s">
        <v>41</v>
      </c>
      <c r="K1450" t="s">
        <v>42</v>
      </c>
      <c r="L1450" t="s">
        <v>204</v>
      </c>
      <c r="N1450" t="s">
        <v>205</v>
      </c>
      <c r="Q1450">
        <v>31096</v>
      </c>
      <c r="R1450" t="s">
        <v>119</v>
      </c>
      <c r="S1450" t="s">
        <v>5934</v>
      </c>
      <c r="T1450">
        <v>28.7</v>
      </c>
      <c r="U1450" s="2" t="s">
        <v>10249</v>
      </c>
      <c r="V1450" s="1">
        <v>45828</v>
      </c>
      <c r="W1450" t="s">
        <v>208</v>
      </c>
      <c r="X1450">
        <v>838553</v>
      </c>
      <c r="Y1450" s="2" t="s">
        <v>10250</v>
      </c>
      <c r="Z1450" s="2" t="s">
        <v>10251</v>
      </c>
      <c r="AA1450" t="s">
        <v>10252</v>
      </c>
      <c r="AB1450" t="s">
        <v>1211</v>
      </c>
      <c r="AD1450" t="s">
        <v>10253</v>
      </c>
      <c r="AE1450" t="s">
        <v>10254</v>
      </c>
      <c r="AG1450" t="s">
        <v>10255</v>
      </c>
      <c r="AH1450" t="s">
        <v>5943</v>
      </c>
      <c r="AI1450" t="s">
        <v>10256</v>
      </c>
    </row>
    <row r="1451" spans="2:35" ht="225">
      <c r="B1451" s="1">
        <v>45840</v>
      </c>
      <c r="C1451" s="1">
        <v>45840</v>
      </c>
      <c r="D1451" t="s">
        <v>8393</v>
      </c>
      <c r="E1451" t="s">
        <v>10257</v>
      </c>
      <c r="F1451">
        <v>2</v>
      </c>
      <c r="G1451" t="s">
        <v>2723</v>
      </c>
      <c r="H1451" t="s">
        <v>6337</v>
      </c>
      <c r="I1451" t="s">
        <v>40</v>
      </c>
      <c r="J1451" s="2" t="s">
        <v>62</v>
      </c>
      <c r="K1451" t="s">
        <v>387</v>
      </c>
      <c r="L1451" t="s">
        <v>63</v>
      </c>
      <c r="N1451" t="s">
        <v>64</v>
      </c>
      <c r="Q1451">
        <v>31095</v>
      </c>
      <c r="R1451" t="s">
        <v>322</v>
      </c>
      <c r="S1451" t="s">
        <v>8395</v>
      </c>
      <c r="T1451">
        <v>26</v>
      </c>
      <c r="W1451" t="s">
        <v>390</v>
      </c>
      <c r="X1451" t="s">
        <v>8396</v>
      </c>
      <c r="Y1451" s="2" t="s">
        <v>3274</v>
      </c>
      <c r="Z1451" s="2" t="s">
        <v>10258</v>
      </c>
      <c r="AA1451" s="2" t="s">
        <v>10259</v>
      </c>
      <c r="AB1451" t="s">
        <v>70</v>
      </c>
      <c r="AG1451" t="s">
        <v>10260</v>
      </c>
      <c r="AH1451" t="s">
        <v>9410</v>
      </c>
      <c r="AI1451" t="s">
        <v>10261</v>
      </c>
    </row>
    <row r="1452" spans="2:35" ht="225">
      <c r="B1452" s="1">
        <v>45840</v>
      </c>
      <c r="C1452" s="1">
        <v>45840</v>
      </c>
      <c r="D1452" t="s">
        <v>8393</v>
      </c>
      <c r="E1452" t="s">
        <v>10257</v>
      </c>
      <c r="F1452">
        <v>2</v>
      </c>
      <c r="G1452" t="s">
        <v>2723</v>
      </c>
      <c r="H1452" t="s">
        <v>6337</v>
      </c>
      <c r="I1452" t="s">
        <v>40</v>
      </c>
      <c r="J1452" s="2" t="s">
        <v>62</v>
      </c>
      <c r="K1452" t="s">
        <v>387</v>
      </c>
      <c r="L1452" t="s">
        <v>63</v>
      </c>
      <c r="N1452" t="s">
        <v>64</v>
      </c>
      <c r="Q1452">
        <v>31094</v>
      </c>
      <c r="R1452" t="s">
        <v>322</v>
      </c>
      <c r="S1452" t="s">
        <v>8395</v>
      </c>
      <c r="T1452">
        <v>26</v>
      </c>
      <c r="W1452" t="s">
        <v>390</v>
      </c>
      <c r="X1452" t="s">
        <v>8396</v>
      </c>
      <c r="Y1452" s="2" t="s">
        <v>3274</v>
      </c>
      <c r="Z1452" s="2" t="s">
        <v>10258</v>
      </c>
      <c r="AA1452" s="2" t="s">
        <v>10259</v>
      </c>
      <c r="AB1452" t="s">
        <v>70</v>
      </c>
      <c r="AG1452" t="s">
        <v>10262</v>
      </c>
      <c r="AH1452" t="s">
        <v>9410</v>
      </c>
      <c r="AI1452" t="s">
        <v>10263</v>
      </c>
    </row>
    <row r="1453" spans="2:35" ht="75">
      <c r="B1453" s="1">
        <v>45840</v>
      </c>
      <c r="C1453" s="1">
        <v>45839</v>
      </c>
      <c r="D1453" t="s">
        <v>9147</v>
      </c>
      <c r="E1453" t="s">
        <v>10264</v>
      </c>
      <c r="F1453">
        <v>7</v>
      </c>
      <c r="G1453" t="s">
        <v>1234</v>
      </c>
      <c r="H1453" t="s">
        <v>258</v>
      </c>
      <c r="I1453" t="s">
        <v>40</v>
      </c>
      <c r="J1453" s="2" t="s">
        <v>10265</v>
      </c>
      <c r="K1453" t="s">
        <v>42</v>
      </c>
      <c r="L1453" t="s">
        <v>594</v>
      </c>
      <c r="N1453" t="s">
        <v>595</v>
      </c>
      <c r="Q1453">
        <v>31093</v>
      </c>
      <c r="R1453" t="s">
        <v>119</v>
      </c>
      <c r="S1453" t="s">
        <v>9149</v>
      </c>
      <c r="T1453">
        <v>23</v>
      </c>
      <c r="W1453" t="s">
        <v>6105</v>
      </c>
      <c r="X1453">
        <v>838523</v>
      </c>
      <c r="Y1453" t="s">
        <v>10266</v>
      </c>
      <c r="Z1453" t="s">
        <v>10267</v>
      </c>
      <c r="AA1453" t="s">
        <v>10268</v>
      </c>
      <c r="AB1453" t="s">
        <v>10269</v>
      </c>
      <c r="AG1453" t="s">
        <v>10270</v>
      </c>
      <c r="AH1453" t="s">
        <v>10271</v>
      </c>
      <c r="AI1453" t="s">
        <v>10272</v>
      </c>
    </row>
    <row r="1454" spans="2:35" ht="120">
      <c r="B1454" s="1">
        <v>45840</v>
      </c>
      <c r="C1454" s="1">
        <v>45840</v>
      </c>
      <c r="D1454" t="s">
        <v>2773</v>
      </c>
      <c r="E1454" t="s">
        <v>10257</v>
      </c>
      <c r="F1454">
        <v>2</v>
      </c>
      <c r="G1454" t="s">
        <v>2723</v>
      </c>
      <c r="H1454" t="s">
        <v>39</v>
      </c>
      <c r="I1454" t="s">
        <v>40</v>
      </c>
      <c r="J1454" t="s">
        <v>109</v>
      </c>
      <c r="K1454" t="s">
        <v>387</v>
      </c>
      <c r="L1454" t="s">
        <v>63</v>
      </c>
      <c r="N1454" t="s">
        <v>64</v>
      </c>
      <c r="Q1454">
        <v>31092</v>
      </c>
      <c r="R1454" t="s">
        <v>322</v>
      </c>
      <c r="S1454" t="s">
        <v>10273</v>
      </c>
      <c r="T1454">
        <v>26</v>
      </c>
      <c r="W1454" t="s">
        <v>390</v>
      </c>
      <c r="X1454" t="s">
        <v>10274</v>
      </c>
      <c r="Y1454" t="s">
        <v>2692</v>
      </c>
      <c r="Z1454" t="s">
        <v>10275</v>
      </c>
      <c r="AA1454" s="2" t="s">
        <v>10276</v>
      </c>
      <c r="AB1454" t="s">
        <v>70</v>
      </c>
      <c r="AG1454" t="s">
        <v>10277</v>
      </c>
      <c r="AH1454" t="s">
        <v>8427</v>
      </c>
      <c r="AI1454" t="s">
        <v>10278</v>
      </c>
    </row>
    <row r="1455" spans="2:35" ht="180">
      <c r="B1455" s="1">
        <v>45840</v>
      </c>
      <c r="C1455" s="1">
        <v>45840</v>
      </c>
      <c r="D1455" t="s">
        <v>10279</v>
      </c>
      <c r="E1455" t="s">
        <v>10280</v>
      </c>
      <c r="F1455">
        <v>6</v>
      </c>
      <c r="G1455" t="s">
        <v>1286</v>
      </c>
      <c r="H1455" t="s">
        <v>39</v>
      </c>
      <c r="I1455" t="s">
        <v>40</v>
      </c>
      <c r="J1455" t="s">
        <v>321</v>
      </c>
      <c r="K1455" t="s">
        <v>42</v>
      </c>
      <c r="L1455" t="s">
        <v>1288</v>
      </c>
      <c r="N1455" t="s">
        <v>1289</v>
      </c>
      <c r="Q1455">
        <v>31091</v>
      </c>
      <c r="R1455" t="s">
        <v>322</v>
      </c>
      <c r="S1455" t="s">
        <v>10281</v>
      </c>
      <c r="T1455">
        <v>22</v>
      </c>
      <c r="U1455" s="2" t="s">
        <v>1509</v>
      </c>
      <c r="V1455" s="1">
        <v>45832</v>
      </c>
      <c r="W1455" t="s">
        <v>9206</v>
      </c>
      <c r="X1455">
        <v>110026513</v>
      </c>
      <c r="Y1455" s="2" t="s">
        <v>10282</v>
      </c>
      <c r="Z1455" t="e">
        <f ca="1">-COLLECT Installation QUALIFICATION report</f>
        <v>#NAME?</v>
      </c>
      <c r="AA1455" t="e">
        <f ca="1">-PERFORM functionality _xludf.For INSPECTION, passed
-ALL modules DETECTED</f>
        <v>#NAME?</v>
      </c>
      <c r="AB1455" t="s">
        <v>1293</v>
      </c>
      <c r="AC1455" t="s">
        <v>10283</v>
      </c>
      <c r="AD1455" t="s">
        <v>10284</v>
      </c>
      <c r="AE1455">
        <v>13118</v>
      </c>
      <c r="AF1455" t="s">
        <v>1288</v>
      </c>
      <c r="AG1455" t="s">
        <v>10285</v>
      </c>
      <c r="AH1455" t="s">
        <v>10286</v>
      </c>
      <c r="AI1455" t="s">
        <v>10287</v>
      </c>
    </row>
    <row r="1456" spans="2:35" ht="255">
      <c r="B1456" s="1">
        <v>45840</v>
      </c>
      <c r="C1456" s="1">
        <v>45839</v>
      </c>
      <c r="D1456" t="s">
        <v>1081</v>
      </c>
      <c r="E1456" t="s">
        <v>1082</v>
      </c>
      <c r="F1456" t="s">
        <v>148</v>
      </c>
      <c r="G1456" t="s">
        <v>785</v>
      </c>
      <c r="H1456" t="s">
        <v>39</v>
      </c>
      <c r="I1456" t="s">
        <v>40</v>
      </c>
      <c r="J1456" t="s">
        <v>109</v>
      </c>
      <c r="K1456" t="s">
        <v>387</v>
      </c>
      <c r="L1456" t="s">
        <v>43</v>
      </c>
      <c r="N1456" t="s">
        <v>44</v>
      </c>
      <c r="O1456" t="s">
        <v>2015</v>
      </c>
      <c r="Q1456">
        <v>31088</v>
      </c>
      <c r="R1456" t="s">
        <v>95</v>
      </c>
      <c r="S1456" t="s">
        <v>2074</v>
      </c>
      <c r="T1456">
        <v>24</v>
      </c>
      <c r="W1456" t="s">
        <v>390</v>
      </c>
      <c r="X1456" t="s">
        <v>2075</v>
      </c>
      <c r="Y1456" t="s">
        <v>121</v>
      </c>
      <c r="Z1456" t="s">
        <v>122</v>
      </c>
      <c r="AA1456" s="2" t="s">
        <v>10288</v>
      </c>
      <c r="AB1456" t="s">
        <v>88</v>
      </c>
      <c r="AG1456" t="s">
        <v>10289</v>
      </c>
      <c r="AH1456" t="s">
        <v>10290</v>
      </c>
      <c r="AI1456" t="s">
        <v>10291</v>
      </c>
    </row>
    <row r="1457" spans="2:35" ht="300">
      <c r="B1457" s="1">
        <v>45840</v>
      </c>
      <c r="C1457" s="1">
        <v>45839</v>
      </c>
      <c r="D1457" t="s">
        <v>1081</v>
      </c>
      <c r="E1457" t="s">
        <v>2073</v>
      </c>
      <c r="F1457" t="s">
        <v>148</v>
      </c>
      <c r="G1457" t="s">
        <v>785</v>
      </c>
      <c r="H1457" t="s">
        <v>1083</v>
      </c>
      <c r="I1457" t="s">
        <v>40</v>
      </c>
      <c r="J1457" t="s">
        <v>109</v>
      </c>
      <c r="K1457" t="s">
        <v>387</v>
      </c>
      <c r="L1457" t="s">
        <v>43</v>
      </c>
      <c r="N1457" t="s">
        <v>44</v>
      </c>
      <c r="Q1457">
        <v>31090</v>
      </c>
      <c r="R1457" t="s">
        <v>95</v>
      </c>
      <c r="S1457" t="s">
        <v>1084</v>
      </c>
      <c r="T1457">
        <v>22</v>
      </c>
      <c r="W1457" t="s">
        <v>390</v>
      </c>
      <c r="X1457" t="s">
        <v>5969</v>
      </c>
      <c r="Y1457" t="s">
        <v>121</v>
      </c>
      <c r="Z1457" t="s">
        <v>122</v>
      </c>
      <c r="AA1457" s="2" t="s">
        <v>10292</v>
      </c>
      <c r="AB1457" t="s">
        <v>88</v>
      </c>
      <c r="AG1457" t="s">
        <v>10293</v>
      </c>
      <c r="AH1457" t="s">
        <v>10294</v>
      </c>
      <c r="AI1457" t="s">
        <v>10295</v>
      </c>
    </row>
    <row r="1458" spans="2:35" ht="270">
      <c r="B1458" s="1">
        <v>45840</v>
      </c>
      <c r="C1458" s="1">
        <v>45839</v>
      </c>
      <c r="D1458" t="s">
        <v>1081</v>
      </c>
      <c r="E1458" t="s">
        <v>2073</v>
      </c>
      <c r="F1458" t="s">
        <v>148</v>
      </c>
      <c r="G1458" t="s">
        <v>785</v>
      </c>
      <c r="H1458" t="s">
        <v>39</v>
      </c>
      <c r="I1458" t="s">
        <v>40</v>
      </c>
      <c r="J1458" s="2" t="s">
        <v>62</v>
      </c>
      <c r="K1458" t="s">
        <v>42</v>
      </c>
      <c r="L1458" t="s">
        <v>43</v>
      </c>
      <c r="N1458" t="s">
        <v>44</v>
      </c>
      <c r="O1458" t="s">
        <v>2015</v>
      </c>
      <c r="Q1458">
        <v>31089</v>
      </c>
      <c r="R1458" t="s">
        <v>95</v>
      </c>
      <c r="S1458" t="s">
        <v>2016</v>
      </c>
      <c r="T1458">
        <v>22</v>
      </c>
      <c r="W1458" t="s">
        <v>5136</v>
      </c>
      <c r="X1458">
        <v>110015767</v>
      </c>
      <c r="Y1458" t="s">
        <v>1111</v>
      </c>
      <c r="Z1458" t="s">
        <v>1519</v>
      </c>
      <c r="AA1458" s="2" t="s">
        <v>10296</v>
      </c>
      <c r="AB1458" t="s">
        <v>10297</v>
      </c>
      <c r="AG1458" t="s">
        <v>10298</v>
      </c>
      <c r="AH1458" t="s">
        <v>2022</v>
      </c>
      <c r="AI1458" t="s">
        <v>10299</v>
      </c>
    </row>
    <row r="1459" spans="2:35" ht="120">
      <c r="B1459" s="1">
        <v>45840</v>
      </c>
      <c r="C1459" s="1">
        <v>45840</v>
      </c>
      <c r="D1459" t="s">
        <v>4733</v>
      </c>
      <c r="E1459" t="s">
        <v>5451</v>
      </c>
      <c r="F1459" t="s">
        <v>148</v>
      </c>
      <c r="G1459" t="s">
        <v>447</v>
      </c>
      <c r="H1459" t="s">
        <v>1855</v>
      </c>
      <c r="I1459" t="s">
        <v>40</v>
      </c>
      <c r="J1459" t="s">
        <v>79</v>
      </c>
      <c r="K1459" t="s">
        <v>408</v>
      </c>
      <c r="L1459" t="s">
        <v>448</v>
      </c>
      <c r="N1459" t="s">
        <v>650</v>
      </c>
      <c r="P1459" t="s">
        <v>6539</v>
      </c>
      <c r="Q1459">
        <v>31087</v>
      </c>
      <c r="R1459" t="s">
        <v>322</v>
      </c>
      <c r="S1459" t="s">
        <v>450</v>
      </c>
      <c r="T1459">
        <v>26</v>
      </c>
      <c r="W1459" t="s">
        <v>8196</v>
      </c>
      <c r="X1459" t="s">
        <v>10300</v>
      </c>
      <c r="Y1459" t="s">
        <v>10301</v>
      </c>
      <c r="Z1459" s="2" t="s">
        <v>10302</v>
      </c>
      <c r="AA1459" t="s">
        <v>1872</v>
      </c>
      <c r="AB1459" t="s">
        <v>486</v>
      </c>
      <c r="AG1459" t="s">
        <v>10303</v>
      </c>
      <c r="AH1459" t="s">
        <v>4733</v>
      </c>
      <c r="AI1459" t="s">
        <v>10304</v>
      </c>
    </row>
    <row r="1460" spans="2:35" ht="120">
      <c r="B1460" s="1">
        <v>45840</v>
      </c>
      <c r="C1460" s="1">
        <v>45840</v>
      </c>
      <c r="D1460" t="s">
        <v>5087</v>
      </c>
      <c r="E1460" t="s">
        <v>5451</v>
      </c>
      <c r="F1460" t="s">
        <v>148</v>
      </c>
      <c r="G1460" t="s">
        <v>447</v>
      </c>
      <c r="H1460" t="s">
        <v>4735</v>
      </c>
      <c r="I1460" t="s">
        <v>40</v>
      </c>
      <c r="J1460" t="s">
        <v>79</v>
      </c>
      <c r="K1460" t="s">
        <v>408</v>
      </c>
      <c r="L1460" t="s">
        <v>448</v>
      </c>
      <c r="N1460" t="s">
        <v>650</v>
      </c>
      <c r="P1460" t="s">
        <v>6539</v>
      </c>
      <c r="Q1460">
        <v>31086</v>
      </c>
      <c r="R1460" t="s">
        <v>322</v>
      </c>
      <c r="S1460" t="s">
        <v>450</v>
      </c>
      <c r="T1460">
        <v>27</v>
      </c>
      <c r="W1460" t="s">
        <v>8196</v>
      </c>
      <c r="X1460" t="s">
        <v>10305</v>
      </c>
      <c r="Y1460" t="s">
        <v>10301</v>
      </c>
      <c r="Z1460" s="2" t="s">
        <v>10306</v>
      </c>
      <c r="AA1460" t="s">
        <v>1882</v>
      </c>
      <c r="AB1460" t="s">
        <v>486</v>
      </c>
      <c r="AG1460" t="s">
        <v>10307</v>
      </c>
      <c r="AH1460" t="s">
        <v>4733</v>
      </c>
      <c r="AI1460" t="s">
        <v>10308</v>
      </c>
    </row>
    <row r="1461" spans="2:35" ht="180">
      <c r="B1461" s="1">
        <v>45840</v>
      </c>
      <c r="C1461" s="1">
        <v>45839</v>
      </c>
      <c r="D1461" t="s">
        <v>1145</v>
      </c>
      <c r="E1461" t="s">
        <v>473</v>
      </c>
      <c r="F1461" t="s">
        <v>148</v>
      </c>
      <c r="G1461" t="s">
        <v>447</v>
      </c>
      <c r="H1461" t="s">
        <v>662</v>
      </c>
      <c r="I1461" t="s">
        <v>40</v>
      </c>
      <c r="J1461" t="s">
        <v>109</v>
      </c>
      <c r="K1461" t="s">
        <v>42</v>
      </c>
      <c r="L1461" t="s">
        <v>448</v>
      </c>
      <c r="N1461" t="s">
        <v>650</v>
      </c>
      <c r="Q1461">
        <v>31085</v>
      </c>
      <c r="R1461" t="s">
        <v>95</v>
      </c>
      <c r="S1461" t="s">
        <v>6341</v>
      </c>
      <c r="T1461">
        <v>26</v>
      </c>
      <c r="W1461" t="s">
        <v>6128</v>
      </c>
      <c r="X1461">
        <v>804205</v>
      </c>
      <c r="Y1461" s="2" t="s">
        <v>6342</v>
      </c>
      <c r="Z1461" s="2" t="s">
        <v>2011</v>
      </c>
      <c r="AA1461" t="s">
        <v>122</v>
      </c>
      <c r="AB1461" s="2" t="s">
        <v>6343</v>
      </c>
      <c r="AG1461" t="s">
        <v>10309</v>
      </c>
      <c r="AH1461" t="s">
        <v>10310</v>
      </c>
      <c r="AI1461" t="s">
        <v>10311</v>
      </c>
    </row>
    <row r="1462" spans="2:35" ht="409.5">
      <c r="B1462" s="1">
        <v>45840</v>
      </c>
      <c r="C1462" s="1">
        <v>45839</v>
      </c>
      <c r="D1462" t="s">
        <v>3679</v>
      </c>
      <c r="E1462" t="s">
        <v>2580</v>
      </c>
      <c r="F1462" t="s">
        <v>148</v>
      </c>
      <c r="G1462" t="s">
        <v>447</v>
      </c>
      <c r="H1462" t="s">
        <v>386</v>
      </c>
      <c r="I1462" t="s">
        <v>40</v>
      </c>
      <c r="J1462" t="s">
        <v>996</v>
      </c>
      <c r="K1462" t="s">
        <v>387</v>
      </c>
      <c r="L1462" t="s">
        <v>448</v>
      </c>
      <c r="N1462" t="s">
        <v>650</v>
      </c>
      <c r="Q1462">
        <v>31084</v>
      </c>
      <c r="R1462" t="s">
        <v>322</v>
      </c>
      <c r="S1462" t="s">
        <v>3689</v>
      </c>
      <c r="T1462">
        <v>26</v>
      </c>
      <c r="W1462" t="s">
        <v>390</v>
      </c>
      <c r="X1462" t="s">
        <v>3690</v>
      </c>
      <c r="Y1462" t="s">
        <v>67</v>
      </c>
      <c r="Z1462" s="2" t="s">
        <v>10312</v>
      </c>
      <c r="AA1462" t="s">
        <v>5230</v>
      </c>
      <c r="AB1462" t="s">
        <v>486</v>
      </c>
      <c r="AG1462" t="s">
        <v>10313</v>
      </c>
      <c r="AH1462" t="s">
        <v>10314</v>
      </c>
      <c r="AI1462" t="s">
        <v>10315</v>
      </c>
    </row>
    <row r="1463" spans="2:35" ht="409.5">
      <c r="B1463" s="1">
        <v>45840</v>
      </c>
      <c r="C1463" s="1">
        <v>45839</v>
      </c>
      <c r="D1463" t="s">
        <v>3679</v>
      </c>
      <c r="E1463" t="s">
        <v>2580</v>
      </c>
      <c r="F1463" t="s">
        <v>148</v>
      </c>
      <c r="G1463" t="s">
        <v>447</v>
      </c>
      <c r="H1463" t="s">
        <v>386</v>
      </c>
      <c r="I1463" t="s">
        <v>40</v>
      </c>
      <c r="J1463" t="s">
        <v>996</v>
      </c>
      <c r="K1463" t="s">
        <v>387</v>
      </c>
      <c r="L1463" t="s">
        <v>448</v>
      </c>
      <c r="N1463" t="s">
        <v>650</v>
      </c>
      <c r="Q1463">
        <v>31083</v>
      </c>
      <c r="R1463" t="s">
        <v>322</v>
      </c>
      <c r="S1463" t="s">
        <v>3689</v>
      </c>
      <c r="T1463">
        <v>26</v>
      </c>
      <c r="W1463" t="s">
        <v>390</v>
      </c>
      <c r="X1463">
        <v>20168</v>
      </c>
      <c r="Y1463" t="s">
        <v>1751</v>
      </c>
      <c r="Z1463" s="2" t="s">
        <v>10316</v>
      </c>
      <c r="AA1463" t="s">
        <v>5230</v>
      </c>
      <c r="AB1463" s="2" t="s">
        <v>10317</v>
      </c>
      <c r="AC1463" t="s">
        <v>10318</v>
      </c>
      <c r="AG1463" t="s">
        <v>10319</v>
      </c>
      <c r="AH1463" t="s">
        <v>10314</v>
      </c>
      <c r="AI1463" t="s">
        <v>10320</v>
      </c>
    </row>
    <row r="1464" spans="2:35" ht="165">
      <c r="B1464" s="1">
        <v>45839</v>
      </c>
      <c r="C1464" s="1">
        <v>45839</v>
      </c>
      <c r="D1464" t="s">
        <v>10321</v>
      </c>
      <c r="E1464" t="s">
        <v>10322</v>
      </c>
      <c r="F1464">
        <v>2</v>
      </c>
      <c r="G1464" t="s">
        <v>2723</v>
      </c>
      <c r="H1464" t="s">
        <v>39</v>
      </c>
      <c r="I1464" t="s">
        <v>40</v>
      </c>
      <c r="J1464" s="2" t="s">
        <v>41</v>
      </c>
      <c r="K1464" t="s">
        <v>42</v>
      </c>
      <c r="L1464" t="s">
        <v>63</v>
      </c>
      <c r="N1464" t="s">
        <v>64</v>
      </c>
      <c r="Q1464">
        <v>31082</v>
      </c>
      <c r="R1464" t="s">
        <v>119</v>
      </c>
      <c r="S1464" t="s">
        <v>10323</v>
      </c>
      <c r="T1464">
        <v>25</v>
      </c>
      <c r="U1464" s="2" t="s">
        <v>10324</v>
      </c>
      <c r="V1464" s="1">
        <v>45839</v>
      </c>
      <c r="W1464" t="s">
        <v>66</v>
      </c>
      <c r="X1464">
        <v>838531</v>
      </c>
      <c r="Y1464" t="s">
        <v>10325</v>
      </c>
      <c r="Z1464" s="2" t="s">
        <v>10326</v>
      </c>
      <c r="AA1464" s="2" t="s">
        <v>1727</v>
      </c>
      <c r="AB1464" t="s">
        <v>70</v>
      </c>
      <c r="AD1464" t="s">
        <v>10327</v>
      </c>
      <c r="AE1464">
        <v>13107</v>
      </c>
      <c r="AG1464" t="s">
        <v>10328</v>
      </c>
      <c r="AH1464" t="s">
        <v>10329</v>
      </c>
      <c r="AI1464" t="s">
        <v>10330</v>
      </c>
    </row>
    <row r="1465" spans="2:35">
      <c r="B1465" s="1">
        <v>45839</v>
      </c>
      <c r="C1465" s="1">
        <v>45839</v>
      </c>
      <c r="D1465" t="s">
        <v>1040</v>
      </c>
      <c r="E1465" t="s">
        <v>582</v>
      </c>
      <c r="F1465" t="s">
        <v>148</v>
      </c>
      <c r="G1465" t="s">
        <v>447</v>
      </c>
      <c r="H1465" t="s">
        <v>39</v>
      </c>
      <c r="I1465" t="s">
        <v>40</v>
      </c>
      <c r="J1465" t="s">
        <v>109</v>
      </c>
      <c r="K1465" t="s">
        <v>42</v>
      </c>
      <c r="L1465" t="s">
        <v>175</v>
      </c>
      <c r="N1465" t="s">
        <v>176</v>
      </c>
      <c r="Q1465">
        <v>31081</v>
      </c>
      <c r="R1465" t="s">
        <v>322</v>
      </c>
      <c r="S1465" t="s">
        <v>1041</v>
      </c>
      <c r="T1465">
        <v>25</v>
      </c>
      <c r="W1465" t="s">
        <v>373</v>
      </c>
      <c r="X1465">
        <v>120003581</v>
      </c>
      <c r="Y1465" t="s">
        <v>374</v>
      </c>
      <c r="Z1465" t="s">
        <v>103</v>
      </c>
      <c r="AA1465" t="e">
        <f ca="1">- checked _xludf.and cleaned cartridge bay, plunger rod, _xludf.filter, icore slot
- generated reports
- performed self test</f>
        <v>#NAME?</v>
      </c>
      <c r="AB1465" t="s">
        <v>181</v>
      </c>
      <c r="AG1465" t="s">
        <v>10331</v>
      </c>
      <c r="AH1465" t="s">
        <v>8821</v>
      </c>
      <c r="AI1465" t="s">
        <v>10332</v>
      </c>
    </row>
    <row r="1466" spans="2:35" ht="300">
      <c r="B1466" s="1">
        <v>45839</v>
      </c>
      <c r="C1466" s="1">
        <v>45839</v>
      </c>
      <c r="D1466" t="s">
        <v>9540</v>
      </c>
      <c r="E1466" t="s">
        <v>10333</v>
      </c>
      <c r="F1466" t="s">
        <v>148</v>
      </c>
      <c r="G1466" t="s">
        <v>4786</v>
      </c>
      <c r="H1466" t="s">
        <v>513</v>
      </c>
      <c r="I1466" t="s">
        <v>94</v>
      </c>
      <c r="J1466" s="2" t="s">
        <v>62</v>
      </c>
      <c r="K1466" t="s">
        <v>387</v>
      </c>
      <c r="L1466" t="s">
        <v>1028</v>
      </c>
      <c r="N1466" t="s">
        <v>1029</v>
      </c>
      <c r="O1466" t="s">
        <v>10334</v>
      </c>
      <c r="Q1466">
        <v>31080</v>
      </c>
      <c r="R1466" t="s">
        <v>95</v>
      </c>
      <c r="S1466" t="s">
        <v>10335</v>
      </c>
      <c r="T1466">
        <v>25</v>
      </c>
      <c r="V1466" s="1">
        <v>45834</v>
      </c>
      <c r="W1466" t="s">
        <v>390</v>
      </c>
      <c r="X1466" t="s">
        <v>10336</v>
      </c>
      <c r="Y1466" t="s">
        <v>8988</v>
      </c>
      <c r="Z1466" t="s">
        <v>1548</v>
      </c>
      <c r="AA1466" s="2" t="s">
        <v>10337</v>
      </c>
      <c r="AB1466" t="s">
        <v>3777</v>
      </c>
      <c r="AC1466" t="s">
        <v>10338</v>
      </c>
      <c r="AD1466" t="s">
        <v>10339</v>
      </c>
      <c r="AE1466" t="s">
        <v>10340</v>
      </c>
      <c r="AG1466" t="s">
        <v>10341</v>
      </c>
      <c r="AH1466" t="s">
        <v>10342</v>
      </c>
      <c r="AI1466" t="s">
        <v>10343</v>
      </c>
    </row>
    <row r="1467" spans="2:35" ht="165">
      <c r="B1467" s="1">
        <v>45839</v>
      </c>
      <c r="C1467" s="1">
        <v>45839</v>
      </c>
      <c r="D1467" t="s">
        <v>10344</v>
      </c>
      <c r="E1467" t="s">
        <v>10345</v>
      </c>
      <c r="F1467">
        <v>2</v>
      </c>
      <c r="G1467" t="s">
        <v>2723</v>
      </c>
      <c r="H1467" t="s">
        <v>39</v>
      </c>
      <c r="I1467" t="s">
        <v>40</v>
      </c>
      <c r="J1467" t="s">
        <v>109</v>
      </c>
      <c r="K1467" t="s">
        <v>42</v>
      </c>
      <c r="L1467" t="s">
        <v>63</v>
      </c>
      <c r="N1467" t="s">
        <v>64</v>
      </c>
      <c r="Q1467">
        <v>31079</v>
      </c>
      <c r="R1467" t="s">
        <v>119</v>
      </c>
      <c r="S1467" t="s">
        <v>10346</v>
      </c>
      <c r="T1467">
        <v>28</v>
      </c>
      <c r="U1467" s="2" t="s">
        <v>10347</v>
      </c>
      <c r="W1467" t="s">
        <v>66</v>
      </c>
      <c r="X1467">
        <v>838474</v>
      </c>
      <c r="Y1467" t="s">
        <v>2692</v>
      </c>
      <c r="Z1467" s="2" t="s">
        <v>10348</v>
      </c>
      <c r="AA1467" s="2" t="s">
        <v>1727</v>
      </c>
      <c r="AB1467" t="s">
        <v>70</v>
      </c>
      <c r="AG1467" t="s">
        <v>10349</v>
      </c>
      <c r="AH1467" t="s">
        <v>10350</v>
      </c>
      <c r="AI1467" t="s">
        <v>10351</v>
      </c>
    </row>
    <row r="1468" spans="2:35" ht="165">
      <c r="B1468" s="1">
        <v>45839</v>
      </c>
      <c r="C1468" s="1">
        <v>45839</v>
      </c>
      <c r="D1468" t="s">
        <v>10344</v>
      </c>
      <c r="E1468" t="s">
        <v>10345</v>
      </c>
      <c r="F1468">
        <v>2</v>
      </c>
      <c r="G1468" t="s">
        <v>2723</v>
      </c>
      <c r="H1468" t="s">
        <v>39</v>
      </c>
      <c r="I1468" t="s">
        <v>40</v>
      </c>
      <c r="J1468" t="s">
        <v>109</v>
      </c>
      <c r="K1468" t="s">
        <v>42</v>
      </c>
      <c r="L1468" t="s">
        <v>63</v>
      </c>
      <c r="N1468" t="s">
        <v>64</v>
      </c>
      <c r="Q1468">
        <v>31078</v>
      </c>
      <c r="R1468" t="s">
        <v>119</v>
      </c>
      <c r="S1468" t="s">
        <v>10346</v>
      </c>
      <c r="T1468">
        <v>28</v>
      </c>
      <c r="U1468" s="2" t="s">
        <v>10347</v>
      </c>
      <c r="W1468" t="s">
        <v>66</v>
      </c>
      <c r="X1468">
        <v>838474</v>
      </c>
      <c r="Y1468" t="s">
        <v>2692</v>
      </c>
      <c r="Z1468" s="2" t="s">
        <v>10348</v>
      </c>
      <c r="AA1468" s="2" t="s">
        <v>1727</v>
      </c>
      <c r="AB1468" t="s">
        <v>70</v>
      </c>
      <c r="AG1468" t="s">
        <v>10352</v>
      </c>
      <c r="AH1468" t="s">
        <v>10350</v>
      </c>
      <c r="AI1468" t="s">
        <v>10353</v>
      </c>
    </row>
    <row r="1469" spans="2:35" ht="105">
      <c r="B1469" s="1">
        <v>45839</v>
      </c>
      <c r="C1469" s="1">
        <v>45839</v>
      </c>
      <c r="D1469" t="s">
        <v>10354</v>
      </c>
      <c r="E1469" t="s">
        <v>10355</v>
      </c>
      <c r="F1469">
        <v>7</v>
      </c>
      <c r="G1469" t="s">
        <v>6529</v>
      </c>
      <c r="H1469" t="s">
        <v>258</v>
      </c>
      <c r="I1469" t="s">
        <v>40</v>
      </c>
      <c r="J1469" t="s">
        <v>109</v>
      </c>
      <c r="K1469" t="s">
        <v>42</v>
      </c>
      <c r="L1469" t="s">
        <v>259</v>
      </c>
      <c r="N1469" t="s">
        <v>260</v>
      </c>
      <c r="Q1469">
        <v>31077</v>
      </c>
      <c r="R1469" t="s">
        <v>119</v>
      </c>
      <c r="S1469" t="s">
        <v>10356</v>
      </c>
      <c r="T1469">
        <v>29</v>
      </c>
      <c r="U1469" s="2" t="s">
        <v>10357</v>
      </c>
      <c r="V1469" s="1">
        <v>45839</v>
      </c>
      <c r="W1469" t="s">
        <v>84</v>
      </c>
      <c r="X1469">
        <v>838494</v>
      </c>
      <c r="Y1469" t="s">
        <v>263</v>
      </c>
      <c r="Z1469" t="s">
        <v>263</v>
      </c>
      <c r="AA1469" t="e">
        <f ca="1">- Preventive Maintenance
- Data Collection</f>
        <v>#NAME?</v>
      </c>
      <c r="AB1469" t="s">
        <v>70</v>
      </c>
      <c r="AG1469" t="s">
        <v>10358</v>
      </c>
      <c r="AH1469" t="s">
        <v>10359</v>
      </c>
      <c r="AI1469" t="s">
        <v>10360</v>
      </c>
    </row>
    <row r="1470" spans="2:35" ht="409.5">
      <c r="B1470" s="1">
        <v>45839</v>
      </c>
      <c r="C1470" s="1">
        <v>45839</v>
      </c>
      <c r="D1470" t="s">
        <v>9823</v>
      </c>
      <c r="E1470" t="s">
        <v>7477</v>
      </c>
      <c r="F1470">
        <v>11</v>
      </c>
      <c r="G1470" t="s">
        <v>1205</v>
      </c>
      <c r="H1470" t="s">
        <v>202</v>
      </c>
      <c r="I1470" t="s">
        <v>40</v>
      </c>
      <c r="J1470" s="2" t="s">
        <v>41</v>
      </c>
      <c r="K1470" t="s">
        <v>42</v>
      </c>
      <c r="L1470" t="s">
        <v>204</v>
      </c>
      <c r="N1470" t="s">
        <v>205</v>
      </c>
      <c r="Q1470">
        <v>31076</v>
      </c>
      <c r="R1470" t="s">
        <v>119</v>
      </c>
      <c r="S1470" t="s">
        <v>7478</v>
      </c>
      <c r="T1470">
        <v>25.2</v>
      </c>
      <c r="U1470" s="2" t="s">
        <v>10361</v>
      </c>
      <c r="V1470" s="1">
        <v>45828</v>
      </c>
      <c r="W1470" t="s">
        <v>208</v>
      </c>
      <c r="X1470">
        <v>838507</v>
      </c>
      <c r="Y1470" s="2" t="s">
        <v>10362</v>
      </c>
      <c r="Z1470" s="2" t="s">
        <v>10363</v>
      </c>
      <c r="AA1470" t="s">
        <v>2560</v>
      </c>
      <c r="AB1470" t="s">
        <v>1211</v>
      </c>
      <c r="AD1470" t="s">
        <v>10253</v>
      </c>
      <c r="AE1470" t="s">
        <v>10364</v>
      </c>
      <c r="AG1470" t="s">
        <v>10365</v>
      </c>
      <c r="AH1470" t="s">
        <v>10366</v>
      </c>
      <c r="AI1470" t="s">
        <v>10367</v>
      </c>
    </row>
    <row r="1471" spans="2:35" ht="105">
      <c r="B1471" s="1">
        <v>45839</v>
      </c>
      <c r="C1471" s="1">
        <v>45839</v>
      </c>
      <c r="D1471" t="s">
        <v>10368</v>
      </c>
      <c r="E1471" t="s">
        <v>10369</v>
      </c>
      <c r="F1471">
        <v>7</v>
      </c>
      <c r="G1471" t="s">
        <v>6529</v>
      </c>
      <c r="H1471" t="s">
        <v>258</v>
      </c>
      <c r="I1471" t="s">
        <v>40</v>
      </c>
      <c r="J1471" t="s">
        <v>109</v>
      </c>
      <c r="K1471" t="s">
        <v>42</v>
      </c>
      <c r="L1471" t="s">
        <v>259</v>
      </c>
      <c r="N1471" t="s">
        <v>260</v>
      </c>
      <c r="Q1471">
        <v>31075</v>
      </c>
      <c r="R1471" t="s">
        <v>119</v>
      </c>
      <c r="S1471" t="s">
        <v>10370</v>
      </c>
      <c r="T1471">
        <v>29</v>
      </c>
      <c r="U1471" s="2" t="s">
        <v>10371</v>
      </c>
      <c r="V1471" s="1">
        <v>45839</v>
      </c>
      <c r="W1471" t="s">
        <v>84</v>
      </c>
      <c r="X1471">
        <v>838203</v>
      </c>
      <c r="Y1471" t="s">
        <v>263</v>
      </c>
      <c r="Z1471" t="s">
        <v>263</v>
      </c>
      <c r="AA1471" t="e">
        <f ca="1">- Preventive Maintenance
- Data Collection</f>
        <v>#NAME?</v>
      </c>
      <c r="AB1471" t="s">
        <v>70</v>
      </c>
      <c r="AG1471" t="s">
        <v>10372</v>
      </c>
      <c r="AH1471" t="s">
        <v>10373</v>
      </c>
      <c r="AI1471" t="s">
        <v>10374</v>
      </c>
    </row>
    <row r="1472" spans="2:35" ht="330">
      <c r="B1472" s="1">
        <v>45838</v>
      </c>
      <c r="C1472" s="1">
        <v>45835</v>
      </c>
      <c r="D1472" t="s">
        <v>965</v>
      </c>
      <c r="E1472" t="s">
        <v>966</v>
      </c>
      <c r="F1472">
        <v>12</v>
      </c>
      <c r="G1472" t="s">
        <v>294</v>
      </c>
      <c r="H1472" t="s">
        <v>1473</v>
      </c>
      <c r="I1472" t="s">
        <v>40</v>
      </c>
      <c r="J1472" t="s">
        <v>109</v>
      </c>
      <c r="K1472" t="s">
        <v>42</v>
      </c>
      <c r="L1472" t="s">
        <v>296</v>
      </c>
      <c r="N1472" t="s">
        <v>297</v>
      </c>
      <c r="Q1472">
        <v>31074</v>
      </c>
      <c r="R1472" t="s">
        <v>967</v>
      </c>
      <c r="S1472" t="s">
        <v>10375</v>
      </c>
      <c r="T1472">
        <v>26.1</v>
      </c>
      <c r="U1472" s="2" t="s">
        <v>10376</v>
      </c>
      <c r="W1472" t="s">
        <v>970</v>
      </c>
      <c r="X1472">
        <v>110023520</v>
      </c>
      <c r="Y1472" t="s">
        <v>301</v>
      </c>
      <c r="Z1472" s="2" t="s">
        <v>10377</v>
      </c>
      <c r="AA1472" t="s">
        <v>9161</v>
      </c>
      <c r="AB1472" t="s">
        <v>7205</v>
      </c>
      <c r="AG1472" t="s">
        <v>10378</v>
      </c>
      <c r="AH1472" t="s">
        <v>6710</v>
      </c>
      <c r="AI1472" t="s">
        <v>10379</v>
      </c>
    </row>
    <row r="1473" spans="2:35" ht="165">
      <c r="B1473" s="1">
        <v>45838</v>
      </c>
      <c r="C1473" s="1">
        <v>45833</v>
      </c>
      <c r="D1473" t="s">
        <v>4413</v>
      </c>
      <c r="E1473" t="s">
        <v>10380</v>
      </c>
      <c r="F1473">
        <v>12</v>
      </c>
      <c r="G1473" t="s">
        <v>978</v>
      </c>
      <c r="H1473" t="s">
        <v>1473</v>
      </c>
      <c r="I1473" t="s">
        <v>40</v>
      </c>
      <c r="J1473" s="2" t="s">
        <v>190</v>
      </c>
      <c r="K1473" t="s">
        <v>42</v>
      </c>
      <c r="L1473" t="s">
        <v>296</v>
      </c>
      <c r="N1473" t="s">
        <v>297</v>
      </c>
      <c r="Q1473">
        <v>31073</v>
      </c>
      <c r="R1473" t="s">
        <v>119</v>
      </c>
      <c r="S1473" t="s">
        <v>4415</v>
      </c>
      <c r="T1473">
        <v>27.1</v>
      </c>
      <c r="U1473" s="2" t="s">
        <v>10381</v>
      </c>
      <c r="W1473" t="s">
        <v>981</v>
      </c>
      <c r="X1473">
        <v>838544</v>
      </c>
      <c r="Y1473" t="s">
        <v>10382</v>
      </c>
      <c r="Z1473" s="2" t="s">
        <v>10383</v>
      </c>
      <c r="AA1473" s="2" t="s">
        <v>10384</v>
      </c>
      <c r="AB1473" t="s">
        <v>972</v>
      </c>
      <c r="AC1473" t="s">
        <v>10385</v>
      </c>
      <c r="AG1473" t="s">
        <v>10386</v>
      </c>
      <c r="AH1473" t="s">
        <v>10387</v>
      </c>
      <c r="AI1473" t="s">
        <v>10388</v>
      </c>
    </row>
    <row r="1474" spans="2:35" ht="270">
      <c r="B1474" s="1">
        <v>45838</v>
      </c>
      <c r="C1474" s="1">
        <v>45835</v>
      </c>
      <c r="D1474" t="s">
        <v>8625</v>
      </c>
      <c r="E1474" t="s">
        <v>8626</v>
      </c>
      <c r="F1474">
        <v>5</v>
      </c>
      <c r="G1474" t="s">
        <v>759</v>
      </c>
      <c r="H1474" t="s">
        <v>39</v>
      </c>
      <c r="I1474" t="s">
        <v>94</v>
      </c>
      <c r="J1474" s="2" t="s">
        <v>1592</v>
      </c>
      <c r="K1474" t="s">
        <v>42</v>
      </c>
      <c r="L1474" t="s">
        <v>761</v>
      </c>
      <c r="N1474" t="s">
        <v>762</v>
      </c>
      <c r="Q1474">
        <v>31072</v>
      </c>
      <c r="R1474" t="s">
        <v>119</v>
      </c>
      <c r="S1474" t="s">
        <v>10389</v>
      </c>
      <c r="T1474">
        <v>28</v>
      </c>
      <c r="W1474" t="s">
        <v>765</v>
      </c>
      <c r="X1474">
        <v>838572</v>
      </c>
      <c r="Y1474" s="2" t="s">
        <v>10390</v>
      </c>
      <c r="Z1474" s="2" t="s">
        <v>10391</v>
      </c>
      <c r="AA1474" s="2" t="s">
        <v>10392</v>
      </c>
      <c r="AB1474" t="s">
        <v>10393</v>
      </c>
      <c r="AC1474" t="s">
        <v>6558</v>
      </c>
      <c r="AG1474" t="s">
        <v>10394</v>
      </c>
      <c r="AH1474" t="s">
        <v>8632</v>
      </c>
      <c r="AI1474" t="s">
        <v>10395</v>
      </c>
    </row>
    <row r="1475" spans="2:35" ht="409.5">
      <c r="B1475" s="1">
        <v>45838</v>
      </c>
      <c r="C1475" s="1">
        <v>45834</v>
      </c>
      <c r="D1475" t="s">
        <v>1071</v>
      </c>
      <c r="E1475" t="s">
        <v>3116</v>
      </c>
      <c r="F1475">
        <v>7</v>
      </c>
      <c r="G1475" t="s">
        <v>432</v>
      </c>
      <c r="H1475" t="s">
        <v>386</v>
      </c>
      <c r="I1475" t="s">
        <v>40</v>
      </c>
      <c r="J1475" t="s">
        <v>525</v>
      </c>
      <c r="K1475" t="s">
        <v>387</v>
      </c>
      <c r="L1475" t="s">
        <v>610</v>
      </c>
      <c r="N1475" t="s">
        <v>611</v>
      </c>
      <c r="Q1475">
        <v>31071</v>
      </c>
      <c r="R1475" t="s">
        <v>95</v>
      </c>
      <c r="S1475" t="s">
        <v>1073</v>
      </c>
      <c r="T1475">
        <v>2090</v>
      </c>
      <c r="W1475" t="s">
        <v>390</v>
      </c>
      <c r="X1475" t="s">
        <v>1074</v>
      </c>
      <c r="Y1475" t="s">
        <v>10396</v>
      </c>
      <c r="Z1475" s="2" t="s">
        <v>10397</v>
      </c>
      <c r="AA1475" s="2" t="s">
        <v>10398</v>
      </c>
      <c r="AB1475" t="s">
        <v>3777</v>
      </c>
      <c r="AG1475" t="s">
        <v>10399</v>
      </c>
      <c r="AH1475" t="s">
        <v>1071</v>
      </c>
      <c r="AI1475" t="s">
        <v>10400</v>
      </c>
    </row>
    <row r="1476" spans="2:35" ht="225">
      <c r="B1476" s="1">
        <v>45838</v>
      </c>
      <c r="C1476" s="1">
        <v>45834</v>
      </c>
      <c r="D1476" t="s">
        <v>806</v>
      </c>
      <c r="E1476" t="s">
        <v>10401</v>
      </c>
      <c r="F1476" t="s">
        <v>148</v>
      </c>
      <c r="G1476" t="s">
        <v>785</v>
      </c>
      <c r="H1476" t="s">
        <v>39</v>
      </c>
      <c r="I1476" t="s">
        <v>40</v>
      </c>
      <c r="J1476" t="s">
        <v>109</v>
      </c>
      <c r="K1476" t="s">
        <v>42</v>
      </c>
      <c r="L1476" t="s">
        <v>43</v>
      </c>
      <c r="N1476" t="s">
        <v>44</v>
      </c>
      <c r="O1476" t="s">
        <v>787</v>
      </c>
      <c r="Q1476">
        <v>31070</v>
      </c>
      <c r="R1476" t="s">
        <v>322</v>
      </c>
      <c r="S1476" t="s">
        <v>786</v>
      </c>
      <c r="T1476">
        <v>24</v>
      </c>
      <c r="U1476" s="2" t="s">
        <v>10402</v>
      </c>
      <c r="W1476" t="s">
        <v>153</v>
      </c>
      <c r="X1476">
        <v>1100251270</v>
      </c>
      <c r="Y1476" t="s">
        <v>121</v>
      </c>
      <c r="Z1476" t="s">
        <v>122</v>
      </c>
      <c r="AA1476" s="2" t="s">
        <v>9744</v>
      </c>
      <c r="AB1476" t="s">
        <v>548</v>
      </c>
      <c r="AG1476" t="s">
        <v>10403</v>
      </c>
      <c r="AH1476" t="s">
        <v>6595</v>
      </c>
      <c r="AI1476" t="s">
        <v>10404</v>
      </c>
    </row>
    <row r="1477" spans="2:35" ht="409.5">
      <c r="B1477" s="1">
        <v>45838</v>
      </c>
      <c r="C1477" s="1">
        <v>45833</v>
      </c>
      <c r="D1477" t="s">
        <v>1099</v>
      </c>
      <c r="E1477" t="s">
        <v>6645</v>
      </c>
      <c r="F1477" t="s">
        <v>148</v>
      </c>
      <c r="G1477" t="s">
        <v>406</v>
      </c>
      <c r="H1477" t="s">
        <v>3994</v>
      </c>
      <c r="I1477" t="s">
        <v>40</v>
      </c>
      <c r="J1477" t="s">
        <v>109</v>
      </c>
      <c r="K1477" t="s">
        <v>42</v>
      </c>
      <c r="L1477" t="s">
        <v>43</v>
      </c>
      <c r="N1477" t="s">
        <v>44</v>
      </c>
      <c r="O1477" t="s">
        <v>1091</v>
      </c>
      <c r="Q1477">
        <v>31069</v>
      </c>
      <c r="R1477" t="s">
        <v>95</v>
      </c>
      <c r="S1477" t="s">
        <v>10405</v>
      </c>
      <c r="T1477">
        <v>22</v>
      </c>
      <c r="U1477" s="2" t="s">
        <v>10406</v>
      </c>
      <c r="W1477" t="s">
        <v>153</v>
      </c>
      <c r="X1477">
        <v>120002383</v>
      </c>
      <c r="Y1477" t="s">
        <v>121</v>
      </c>
      <c r="Z1477" t="s">
        <v>122</v>
      </c>
      <c r="AA1477" s="2" t="s">
        <v>9744</v>
      </c>
      <c r="AB1477" t="s">
        <v>548</v>
      </c>
      <c r="AG1477" t="s">
        <v>10407</v>
      </c>
      <c r="AH1477" t="s">
        <v>8215</v>
      </c>
      <c r="AI1477" t="s">
        <v>10408</v>
      </c>
    </row>
    <row r="1478" spans="2:35" ht="255">
      <c r="B1478" s="1">
        <v>45838</v>
      </c>
      <c r="C1478" s="1">
        <v>45833</v>
      </c>
      <c r="D1478" t="s">
        <v>1099</v>
      </c>
      <c r="E1478" t="s">
        <v>6645</v>
      </c>
      <c r="F1478" t="s">
        <v>148</v>
      </c>
      <c r="G1478" t="s">
        <v>406</v>
      </c>
      <c r="H1478" t="s">
        <v>2274</v>
      </c>
      <c r="I1478" t="s">
        <v>40</v>
      </c>
      <c r="J1478" t="s">
        <v>109</v>
      </c>
      <c r="K1478" t="s">
        <v>387</v>
      </c>
      <c r="L1478" t="s">
        <v>43</v>
      </c>
      <c r="N1478" t="s">
        <v>44</v>
      </c>
      <c r="O1478" t="s">
        <v>1091</v>
      </c>
      <c r="Q1478">
        <v>31067</v>
      </c>
      <c r="R1478" t="s">
        <v>95</v>
      </c>
      <c r="S1478" t="s">
        <v>10409</v>
      </c>
      <c r="T1478">
        <v>22</v>
      </c>
      <c r="W1478" t="s">
        <v>390</v>
      </c>
      <c r="X1478" t="s">
        <v>5702</v>
      </c>
      <c r="Y1478" t="s">
        <v>121</v>
      </c>
      <c r="Z1478" t="s">
        <v>122</v>
      </c>
      <c r="AA1478" s="2" t="s">
        <v>6458</v>
      </c>
      <c r="AB1478" t="s">
        <v>88</v>
      </c>
      <c r="AG1478" t="s">
        <v>10410</v>
      </c>
      <c r="AH1478" t="s">
        <v>10411</v>
      </c>
      <c r="AI1478" t="s">
        <v>10412</v>
      </c>
    </row>
    <row r="1479" spans="2:35" ht="225">
      <c r="B1479" s="1">
        <v>45838</v>
      </c>
      <c r="C1479" s="1">
        <v>45832</v>
      </c>
      <c r="D1479" t="s">
        <v>1678</v>
      </c>
      <c r="E1479" t="s">
        <v>9738</v>
      </c>
      <c r="F1479" t="s">
        <v>148</v>
      </c>
      <c r="G1479" t="s">
        <v>785</v>
      </c>
      <c r="H1479" t="s">
        <v>39</v>
      </c>
      <c r="I1479" t="s">
        <v>40</v>
      </c>
      <c r="J1479" t="s">
        <v>109</v>
      </c>
      <c r="K1479" t="s">
        <v>42</v>
      </c>
      <c r="L1479" t="s">
        <v>43</v>
      </c>
      <c r="N1479" t="s">
        <v>44</v>
      </c>
      <c r="Q1479">
        <v>31066</v>
      </c>
      <c r="R1479" t="s">
        <v>322</v>
      </c>
      <c r="S1479" t="s">
        <v>1680</v>
      </c>
      <c r="T1479">
        <v>22</v>
      </c>
      <c r="U1479" s="2" t="s">
        <v>10413</v>
      </c>
      <c r="W1479" t="s">
        <v>153</v>
      </c>
      <c r="X1479">
        <v>110024246</v>
      </c>
      <c r="Y1479" t="s">
        <v>121</v>
      </c>
      <c r="Z1479" t="s">
        <v>122</v>
      </c>
      <c r="AA1479" s="2" t="s">
        <v>9744</v>
      </c>
      <c r="AB1479" t="s">
        <v>548</v>
      </c>
      <c r="AG1479" t="s">
        <v>10414</v>
      </c>
      <c r="AH1479" t="s">
        <v>1684</v>
      </c>
      <c r="AI1479" t="s">
        <v>10415</v>
      </c>
    </row>
    <row r="1480" spans="2:35" ht="409.5">
      <c r="B1480" s="1">
        <v>45838</v>
      </c>
      <c r="C1480" s="1">
        <v>45833</v>
      </c>
      <c r="D1480" t="s">
        <v>1099</v>
      </c>
      <c r="E1480" t="s">
        <v>10416</v>
      </c>
      <c r="F1480" t="s">
        <v>148</v>
      </c>
      <c r="G1480" t="s">
        <v>406</v>
      </c>
      <c r="H1480" t="s">
        <v>3994</v>
      </c>
      <c r="I1480" t="s">
        <v>40</v>
      </c>
      <c r="J1480" t="s">
        <v>109</v>
      </c>
      <c r="K1480" t="s">
        <v>42</v>
      </c>
      <c r="L1480" t="s">
        <v>43</v>
      </c>
      <c r="N1480" t="s">
        <v>44</v>
      </c>
      <c r="O1480" t="s">
        <v>1091</v>
      </c>
      <c r="Q1480">
        <v>31065</v>
      </c>
      <c r="R1480" t="s">
        <v>95</v>
      </c>
      <c r="S1480" t="s">
        <v>10405</v>
      </c>
      <c r="T1480">
        <v>22</v>
      </c>
      <c r="U1480" s="2" t="s">
        <v>10417</v>
      </c>
      <c r="W1480" t="s">
        <v>48</v>
      </c>
      <c r="X1480">
        <v>839231</v>
      </c>
      <c r="Y1480" t="s">
        <v>121</v>
      </c>
      <c r="Z1480" t="s">
        <v>122</v>
      </c>
      <c r="AA1480" s="2" t="s">
        <v>10063</v>
      </c>
      <c r="AB1480" t="s">
        <v>10418</v>
      </c>
      <c r="AG1480" t="s">
        <v>10419</v>
      </c>
      <c r="AH1480" t="s">
        <v>8215</v>
      </c>
      <c r="AI1480" t="s">
        <v>10420</v>
      </c>
    </row>
    <row r="1481" spans="2:35" ht="225">
      <c r="B1481" s="1">
        <v>45838</v>
      </c>
      <c r="C1481" s="1">
        <v>45834</v>
      </c>
      <c r="D1481" t="s">
        <v>8944</v>
      </c>
      <c r="E1481" t="s">
        <v>784</v>
      </c>
      <c r="F1481" t="s">
        <v>148</v>
      </c>
      <c r="G1481" t="s">
        <v>785</v>
      </c>
      <c r="H1481" t="s">
        <v>39</v>
      </c>
      <c r="I1481" t="s">
        <v>40</v>
      </c>
      <c r="J1481" t="s">
        <v>109</v>
      </c>
      <c r="K1481" t="s">
        <v>42</v>
      </c>
      <c r="L1481" t="s">
        <v>43</v>
      </c>
      <c r="N1481" t="s">
        <v>44</v>
      </c>
      <c r="Q1481">
        <v>31068</v>
      </c>
      <c r="R1481" t="s">
        <v>322</v>
      </c>
      <c r="S1481" t="s">
        <v>786</v>
      </c>
      <c r="T1481">
        <v>22</v>
      </c>
      <c r="U1481" s="2" t="s">
        <v>10421</v>
      </c>
      <c r="W1481" t="s">
        <v>153</v>
      </c>
      <c r="X1481">
        <v>110025128</v>
      </c>
      <c r="Y1481" t="s">
        <v>121</v>
      </c>
      <c r="Z1481" t="s">
        <v>122</v>
      </c>
      <c r="AA1481" s="2" t="s">
        <v>10422</v>
      </c>
      <c r="AB1481" t="s">
        <v>548</v>
      </c>
      <c r="AG1481" t="s">
        <v>10423</v>
      </c>
      <c r="AH1481" t="s">
        <v>4837</v>
      </c>
      <c r="AI1481" t="s">
        <v>10424</v>
      </c>
    </row>
    <row r="1482" spans="2:35" ht="409.5">
      <c r="B1482" s="1">
        <v>45838</v>
      </c>
      <c r="C1482" s="1">
        <v>45831</v>
      </c>
      <c r="D1482" t="s">
        <v>4118</v>
      </c>
      <c r="E1482" t="s">
        <v>7946</v>
      </c>
      <c r="F1482">
        <v>5</v>
      </c>
      <c r="G1482" t="s">
        <v>759</v>
      </c>
      <c r="H1482" t="s">
        <v>8686</v>
      </c>
      <c r="I1482" t="s">
        <v>94</v>
      </c>
      <c r="J1482" t="s">
        <v>109</v>
      </c>
      <c r="K1482" t="s">
        <v>42</v>
      </c>
      <c r="L1482" t="s">
        <v>761</v>
      </c>
      <c r="N1482" t="s">
        <v>762</v>
      </c>
      <c r="Q1482">
        <v>31064</v>
      </c>
      <c r="R1482" t="s">
        <v>95</v>
      </c>
      <c r="S1482" t="s">
        <v>6291</v>
      </c>
      <c r="T1482">
        <v>25</v>
      </c>
      <c r="U1482" s="2" t="s">
        <v>10425</v>
      </c>
      <c r="W1482" t="s">
        <v>817</v>
      </c>
      <c r="X1482">
        <v>110017942</v>
      </c>
      <c r="Y1482" t="s">
        <v>818</v>
      </c>
      <c r="Z1482" s="2" t="s">
        <v>1415</v>
      </c>
      <c r="AA1482" t="s">
        <v>820</v>
      </c>
      <c r="AB1482" t="s">
        <v>181</v>
      </c>
      <c r="AG1482" t="s">
        <v>10426</v>
      </c>
      <c r="AH1482" t="s">
        <v>4123</v>
      </c>
      <c r="AI1482" t="s">
        <v>10427</v>
      </c>
    </row>
    <row r="1483" spans="2:35" ht="270">
      <c r="B1483" s="1">
        <v>45838</v>
      </c>
      <c r="C1483" s="1">
        <v>45834</v>
      </c>
      <c r="D1483" t="s">
        <v>9231</v>
      </c>
      <c r="E1483" t="s">
        <v>9232</v>
      </c>
      <c r="F1483" t="s">
        <v>148</v>
      </c>
      <c r="G1483" t="s">
        <v>447</v>
      </c>
      <c r="H1483" t="s">
        <v>39</v>
      </c>
      <c r="I1483" t="s">
        <v>40</v>
      </c>
      <c r="J1483" t="s">
        <v>109</v>
      </c>
      <c r="K1483" t="s">
        <v>42</v>
      </c>
      <c r="L1483" t="s">
        <v>448</v>
      </c>
      <c r="N1483" t="s">
        <v>650</v>
      </c>
      <c r="Q1483">
        <v>31063</v>
      </c>
      <c r="R1483" t="s">
        <v>322</v>
      </c>
      <c r="S1483" t="s">
        <v>10428</v>
      </c>
      <c r="T1483">
        <v>27</v>
      </c>
      <c r="U1483" s="2" t="s">
        <v>10429</v>
      </c>
      <c r="W1483" t="s">
        <v>1573</v>
      </c>
      <c r="X1483">
        <v>110020697</v>
      </c>
      <c r="Y1483" t="s">
        <v>485</v>
      </c>
      <c r="Z1483" s="2" t="s">
        <v>2011</v>
      </c>
      <c r="AA1483" t="s">
        <v>122</v>
      </c>
      <c r="AB1483" t="s">
        <v>486</v>
      </c>
      <c r="AG1483" t="s">
        <v>10430</v>
      </c>
      <c r="AH1483" t="s">
        <v>9239</v>
      </c>
      <c r="AI1483" t="s">
        <v>10431</v>
      </c>
    </row>
    <row r="1484" spans="2:35" ht="409.5">
      <c r="B1484" s="1">
        <v>45838</v>
      </c>
      <c r="C1484" s="1">
        <v>45834</v>
      </c>
      <c r="D1484" t="s">
        <v>10432</v>
      </c>
      <c r="E1484" t="s">
        <v>10433</v>
      </c>
      <c r="F1484" t="s">
        <v>148</v>
      </c>
      <c r="G1484" t="s">
        <v>447</v>
      </c>
      <c r="H1484" t="s">
        <v>39</v>
      </c>
      <c r="I1484" t="s">
        <v>40</v>
      </c>
      <c r="J1484" t="s">
        <v>525</v>
      </c>
      <c r="K1484" t="s">
        <v>42</v>
      </c>
      <c r="L1484" t="s">
        <v>448</v>
      </c>
      <c r="N1484" t="s">
        <v>650</v>
      </c>
      <c r="Q1484">
        <v>31062</v>
      </c>
      <c r="R1484" t="s">
        <v>95</v>
      </c>
      <c r="S1484" t="s">
        <v>6162</v>
      </c>
      <c r="T1484">
        <v>32</v>
      </c>
      <c r="U1484" s="2" t="s">
        <v>10434</v>
      </c>
      <c r="W1484" t="s">
        <v>7420</v>
      </c>
      <c r="X1484">
        <v>839306</v>
      </c>
      <c r="Y1484" s="2" t="s">
        <v>10435</v>
      </c>
      <c r="Z1484" s="2" t="s">
        <v>10436</v>
      </c>
      <c r="AA1484" t="s">
        <v>768</v>
      </c>
      <c r="AB1484" t="s">
        <v>10437</v>
      </c>
      <c r="AG1484" t="s">
        <v>10438</v>
      </c>
      <c r="AH1484" t="s">
        <v>6170</v>
      </c>
      <c r="AI1484" t="s">
        <v>10439</v>
      </c>
    </row>
    <row r="1485" spans="2:35" ht="135">
      <c r="B1485" s="1">
        <v>45837</v>
      </c>
      <c r="C1485" s="1">
        <v>45827</v>
      </c>
      <c r="D1485" t="s">
        <v>7593</v>
      </c>
      <c r="E1485" t="s">
        <v>7594</v>
      </c>
      <c r="F1485">
        <v>1</v>
      </c>
      <c r="G1485" t="s">
        <v>1909</v>
      </c>
      <c r="H1485" t="s">
        <v>39</v>
      </c>
      <c r="I1485" t="s">
        <v>40</v>
      </c>
      <c r="J1485" t="s">
        <v>109</v>
      </c>
      <c r="K1485" t="s">
        <v>42</v>
      </c>
      <c r="L1485" t="s">
        <v>1048</v>
      </c>
      <c r="N1485" t="s">
        <v>1049</v>
      </c>
      <c r="Q1485">
        <v>31061</v>
      </c>
      <c r="R1485" t="s">
        <v>119</v>
      </c>
      <c r="S1485" t="s">
        <v>7595</v>
      </c>
      <c r="T1485">
        <v>30</v>
      </c>
      <c r="W1485" t="s">
        <v>1051</v>
      </c>
      <c r="X1485">
        <v>838426</v>
      </c>
      <c r="Y1485" t="s">
        <v>10440</v>
      </c>
      <c r="Z1485" t="e">
        <f ca="1">- generated reports</f>
        <v>#NAME?</v>
      </c>
      <c r="AA1485" t="s">
        <v>10441</v>
      </c>
      <c r="AB1485" s="2" t="s">
        <v>10442</v>
      </c>
      <c r="AG1485" t="s">
        <v>10443</v>
      </c>
      <c r="AH1485" t="s">
        <v>10444</v>
      </c>
      <c r="AI1485" t="s">
        <v>10445</v>
      </c>
    </row>
    <row r="1486" spans="2:35">
      <c r="B1486" s="1">
        <v>45837</v>
      </c>
      <c r="C1486" s="1">
        <v>45827</v>
      </c>
      <c r="D1486" t="s">
        <v>1907</v>
      </c>
      <c r="E1486" t="s">
        <v>1908</v>
      </c>
      <c r="F1486">
        <v>1</v>
      </c>
      <c r="G1486" t="s">
        <v>1909</v>
      </c>
      <c r="H1486" t="s">
        <v>39</v>
      </c>
      <c r="I1486" t="s">
        <v>40</v>
      </c>
      <c r="J1486" t="s">
        <v>109</v>
      </c>
      <c r="K1486" t="s">
        <v>42</v>
      </c>
      <c r="L1486" t="s">
        <v>1048</v>
      </c>
      <c r="N1486" t="s">
        <v>1049</v>
      </c>
      <c r="Q1486">
        <v>31060</v>
      </c>
      <c r="R1486" t="s">
        <v>322</v>
      </c>
      <c r="S1486" t="s">
        <v>6928</v>
      </c>
      <c r="T1486">
        <v>28</v>
      </c>
      <c r="W1486" t="s">
        <v>1424</v>
      </c>
      <c r="X1486">
        <v>120003504</v>
      </c>
      <c r="Y1486" t="s">
        <v>1052</v>
      </c>
      <c r="Z1486" t="e">
        <f ca="1">- cleaned cartridge Bays, plunger Rods _xludf.and I-CORE
- generated reports</f>
        <v>#NAME?</v>
      </c>
      <c r="AA1486" t="s">
        <v>820</v>
      </c>
      <c r="AB1486" t="s">
        <v>1428</v>
      </c>
      <c r="AG1486" t="s">
        <v>10446</v>
      </c>
      <c r="AH1486" t="s">
        <v>6934</v>
      </c>
      <c r="AI1486" t="s">
        <v>10447</v>
      </c>
    </row>
    <row r="1487" spans="2:35">
      <c r="B1487" s="1">
        <v>45837</v>
      </c>
      <c r="C1487" s="1">
        <v>45826</v>
      </c>
      <c r="D1487" t="s">
        <v>4523</v>
      </c>
      <c r="E1487" t="s">
        <v>3011</v>
      </c>
      <c r="F1487">
        <v>1</v>
      </c>
      <c r="G1487" t="s">
        <v>1046</v>
      </c>
      <c r="H1487" t="s">
        <v>1047</v>
      </c>
      <c r="I1487" t="s">
        <v>40</v>
      </c>
      <c r="J1487" t="s">
        <v>109</v>
      </c>
      <c r="K1487" t="s">
        <v>42</v>
      </c>
      <c r="L1487" t="s">
        <v>1048</v>
      </c>
      <c r="N1487" t="s">
        <v>1049</v>
      </c>
      <c r="Q1487">
        <v>31059</v>
      </c>
      <c r="R1487" t="s">
        <v>119</v>
      </c>
      <c r="S1487" t="s">
        <v>7964</v>
      </c>
      <c r="T1487">
        <v>30</v>
      </c>
      <c r="W1487" t="s">
        <v>1051</v>
      </c>
      <c r="X1487">
        <v>838286</v>
      </c>
      <c r="Y1487" t="s">
        <v>1052</v>
      </c>
      <c r="Z1487" t="e">
        <f ca="1">- cleaned cartridge Bays, plunger Rods _xludf.and I-CORE
- generated reports</f>
        <v>#NAME?</v>
      </c>
      <c r="AA1487" t="s">
        <v>820</v>
      </c>
      <c r="AB1487" t="s">
        <v>70</v>
      </c>
      <c r="AG1487" t="s">
        <v>10448</v>
      </c>
      <c r="AH1487" t="s">
        <v>8788</v>
      </c>
      <c r="AI1487" t="s">
        <v>10449</v>
      </c>
    </row>
    <row r="1488" spans="2:35">
      <c r="B1488" s="1">
        <v>45837</v>
      </c>
      <c r="C1488" s="1">
        <v>45826</v>
      </c>
      <c r="D1488" t="s">
        <v>4511</v>
      </c>
      <c r="E1488" t="s">
        <v>4512</v>
      </c>
      <c r="F1488">
        <v>1</v>
      </c>
      <c r="G1488" t="s">
        <v>1046</v>
      </c>
      <c r="H1488" t="s">
        <v>1047</v>
      </c>
      <c r="I1488" t="s">
        <v>40</v>
      </c>
      <c r="J1488" t="s">
        <v>109</v>
      </c>
      <c r="K1488" t="s">
        <v>42</v>
      </c>
      <c r="L1488" t="s">
        <v>1048</v>
      </c>
      <c r="N1488" t="s">
        <v>1049</v>
      </c>
      <c r="Q1488">
        <v>31058</v>
      </c>
      <c r="R1488" t="s">
        <v>119</v>
      </c>
      <c r="S1488" t="s">
        <v>4513</v>
      </c>
      <c r="T1488">
        <v>29</v>
      </c>
      <c r="W1488" t="s">
        <v>1051</v>
      </c>
      <c r="X1488">
        <v>838288</v>
      </c>
      <c r="Y1488" t="s">
        <v>1052</v>
      </c>
      <c r="Z1488" t="e">
        <f ca="1">- cleaned cartridge Bays, plunger Rods _xludf.and I-CORE
- generated reports</f>
        <v>#NAME?</v>
      </c>
      <c r="AA1488" t="s">
        <v>820</v>
      </c>
      <c r="AB1488" t="s">
        <v>1428</v>
      </c>
      <c r="AG1488" t="s">
        <v>10450</v>
      </c>
      <c r="AH1488" t="s">
        <v>4515</v>
      </c>
      <c r="AI1488" t="s">
        <v>10451</v>
      </c>
    </row>
    <row r="1489" spans="2:35">
      <c r="B1489" s="1">
        <v>45837</v>
      </c>
      <c r="C1489" s="1">
        <v>45826</v>
      </c>
      <c r="D1489" t="s">
        <v>1432</v>
      </c>
      <c r="E1489" t="s">
        <v>10452</v>
      </c>
      <c r="F1489">
        <v>1</v>
      </c>
      <c r="G1489" t="s">
        <v>1046</v>
      </c>
      <c r="H1489" t="s">
        <v>1047</v>
      </c>
      <c r="I1489" t="s">
        <v>40</v>
      </c>
      <c r="J1489" t="s">
        <v>109</v>
      </c>
      <c r="K1489" t="s">
        <v>42</v>
      </c>
      <c r="L1489" t="s">
        <v>1048</v>
      </c>
      <c r="N1489" t="s">
        <v>1049</v>
      </c>
      <c r="Q1489">
        <v>31057</v>
      </c>
      <c r="R1489" t="s">
        <v>119</v>
      </c>
      <c r="S1489" t="s">
        <v>10453</v>
      </c>
      <c r="T1489">
        <v>30</v>
      </c>
      <c r="W1489" t="s">
        <v>1051</v>
      </c>
      <c r="X1489">
        <v>838518</v>
      </c>
      <c r="Y1489" t="s">
        <v>10440</v>
      </c>
      <c r="Z1489" t="e">
        <f ca="1">- generated reports</f>
        <v>#NAME?</v>
      </c>
      <c r="AA1489" t="s">
        <v>10441</v>
      </c>
      <c r="AB1489" t="s">
        <v>70</v>
      </c>
      <c r="AG1489" t="s">
        <v>10454</v>
      </c>
      <c r="AH1489" t="s">
        <v>10455</v>
      </c>
      <c r="AI1489" t="s">
        <v>10456</v>
      </c>
    </row>
    <row r="1490" spans="2:35" ht="375">
      <c r="B1490" s="1">
        <v>45835</v>
      </c>
      <c r="C1490" s="1">
        <v>45835</v>
      </c>
      <c r="D1490" t="s">
        <v>10457</v>
      </c>
      <c r="E1490" t="s">
        <v>6691</v>
      </c>
      <c r="F1490">
        <v>7</v>
      </c>
      <c r="G1490" t="s">
        <v>269</v>
      </c>
      <c r="H1490" t="s">
        <v>39</v>
      </c>
      <c r="I1490" t="s">
        <v>40</v>
      </c>
      <c r="J1490" t="s">
        <v>109</v>
      </c>
      <c r="K1490" t="s">
        <v>42</v>
      </c>
      <c r="L1490" t="s">
        <v>1288</v>
      </c>
      <c r="N1490" t="s">
        <v>1289</v>
      </c>
      <c r="Q1490">
        <v>31056</v>
      </c>
      <c r="R1490" t="s">
        <v>119</v>
      </c>
      <c r="S1490" t="s">
        <v>10458</v>
      </c>
      <c r="T1490">
        <v>25</v>
      </c>
      <c r="U1490" s="2" t="s">
        <v>10459</v>
      </c>
      <c r="W1490" t="s">
        <v>1292</v>
      </c>
      <c r="X1490">
        <v>838525</v>
      </c>
      <c r="Y1490" t="s">
        <v>9143</v>
      </c>
      <c r="Z1490" t="e">
        <f ca="1">-COLLECT IQR, system _xludf.Log, _xludf.and ARCHIVE</f>
        <v>#NAME?</v>
      </c>
      <c r="AA1490" t="e">
        <f ca="1">-PERFORM Preventive Maintenance PROCEDURE: _xludf.Clean FAN _xludf.filter, plunger rod, _xludf.and cartridge bay
-COLLECT CSV file</f>
        <v>#NAME?</v>
      </c>
      <c r="AB1490" t="s">
        <v>1293</v>
      </c>
      <c r="AG1490" t="s">
        <v>10460</v>
      </c>
      <c r="AH1490" t="s">
        <v>10461</v>
      </c>
      <c r="AI1490" t="s">
        <v>10462</v>
      </c>
    </row>
    <row r="1491" spans="2:35" ht="375">
      <c r="B1491" s="1">
        <v>45835</v>
      </c>
      <c r="C1491" s="1">
        <v>45835</v>
      </c>
      <c r="D1491" t="s">
        <v>10457</v>
      </c>
      <c r="E1491" t="s">
        <v>6691</v>
      </c>
      <c r="F1491">
        <v>7</v>
      </c>
      <c r="G1491" t="s">
        <v>269</v>
      </c>
      <c r="H1491" t="s">
        <v>39</v>
      </c>
      <c r="I1491" t="s">
        <v>40</v>
      </c>
      <c r="J1491" t="s">
        <v>109</v>
      </c>
      <c r="K1491" t="s">
        <v>42</v>
      </c>
      <c r="L1491" t="s">
        <v>1288</v>
      </c>
      <c r="N1491" t="s">
        <v>1289</v>
      </c>
      <c r="Q1491">
        <v>31055</v>
      </c>
      <c r="R1491" t="s">
        <v>119</v>
      </c>
      <c r="S1491" t="s">
        <v>10458</v>
      </c>
      <c r="T1491">
        <v>25</v>
      </c>
      <c r="U1491" s="2" t="s">
        <v>10459</v>
      </c>
      <c r="W1491" t="s">
        <v>1292</v>
      </c>
      <c r="X1491">
        <v>838525</v>
      </c>
      <c r="Y1491" t="s">
        <v>9143</v>
      </c>
      <c r="Z1491" t="e">
        <f ca="1">-COLLECT IQR, system _xludf.Log, _xludf.and ARCHIVE</f>
        <v>#NAME?</v>
      </c>
      <c r="AA1491" t="e">
        <f ca="1">-PERFORM Preventive Maintenance PROCEDURE: _xludf.Clean FAN _xludf.filter, plunger rod, _xludf.and cartridge bay
-COLLECT CSV file</f>
        <v>#NAME?</v>
      </c>
      <c r="AB1491" t="s">
        <v>1293</v>
      </c>
      <c r="AG1491" t="s">
        <v>10463</v>
      </c>
      <c r="AH1491" t="s">
        <v>10461</v>
      </c>
      <c r="AI1491" t="s">
        <v>10464</v>
      </c>
    </row>
    <row r="1492" spans="2:35" ht="120">
      <c r="B1492" s="1">
        <v>45835</v>
      </c>
      <c r="C1492" s="1">
        <v>45835</v>
      </c>
      <c r="D1492" t="s">
        <v>10465</v>
      </c>
      <c r="E1492" t="s">
        <v>10466</v>
      </c>
      <c r="F1492">
        <v>10</v>
      </c>
      <c r="G1492" t="s">
        <v>1395</v>
      </c>
      <c r="H1492" t="s">
        <v>2125</v>
      </c>
      <c r="I1492" t="s">
        <v>40</v>
      </c>
      <c r="J1492" t="s">
        <v>109</v>
      </c>
      <c r="K1492" t="s">
        <v>42</v>
      </c>
      <c r="L1492" t="s">
        <v>933</v>
      </c>
      <c r="N1492" t="s">
        <v>934</v>
      </c>
      <c r="Q1492">
        <v>31054</v>
      </c>
      <c r="R1492" t="s">
        <v>119</v>
      </c>
      <c r="S1492" t="s">
        <v>9174</v>
      </c>
      <c r="T1492">
        <v>29</v>
      </c>
      <c r="W1492" t="s">
        <v>2127</v>
      </c>
      <c r="X1492">
        <v>838557</v>
      </c>
      <c r="Y1492" t="s">
        <v>301</v>
      </c>
      <c r="Z1492" t="s">
        <v>301</v>
      </c>
      <c r="AA1492" s="2" t="s">
        <v>10467</v>
      </c>
      <c r="AB1492" t="s">
        <v>8924</v>
      </c>
      <c r="AG1492" t="s">
        <v>10468</v>
      </c>
      <c r="AH1492" t="s">
        <v>10469</v>
      </c>
      <c r="AI1492" t="s">
        <v>10470</v>
      </c>
    </row>
    <row r="1493" spans="2:35">
      <c r="B1493" s="1">
        <v>45834</v>
      </c>
      <c r="C1493" s="1">
        <v>45834</v>
      </c>
      <c r="D1493" t="s">
        <v>855</v>
      </c>
      <c r="E1493" t="s">
        <v>10471</v>
      </c>
      <c r="F1493" t="s">
        <v>148</v>
      </c>
      <c r="G1493" t="s">
        <v>310</v>
      </c>
      <c r="H1493" t="s">
        <v>2048</v>
      </c>
      <c r="I1493" t="s">
        <v>40</v>
      </c>
      <c r="J1493" t="s">
        <v>996</v>
      </c>
      <c r="K1493" t="s">
        <v>42</v>
      </c>
      <c r="L1493" t="s">
        <v>857</v>
      </c>
      <c r="N1493" t="s">
        <v>858</v>
      </c>
      <c r="Q1493">
        <v>31053</v>
      </c>
      <c r="R1493" t="s">
        <v>322</v>
      </c>
      <c r="S1493" t="s">
        <v>859</v>
      </c>
      <c r="T1493">
        <v>25</v>
      </c>
      <c r="V1493" s="1">
        <v>45818</v>
      </c>
      <c r="W1493" t="s">
        <v>10472</v>
      </c>
      <c r="X1493">
        <v>110022374</v>
      </c>
      <c r="Y1493" t="s">
        <v>6766</v>
      </c>
      <c r="Z1493" t="s">
        <v>301</v>
      </c>
      <c r="AA1493" t="s">
        <v>10473</v>
      </c>
      <c r="AB1493" t="s">
        <v>10474</v>
      </c>
      <c r="AD1493" t="s">
        <v>10475</v>
      </c>
      <c r="AE1493" t="s">
        <v>10476</v>
      </c>
      <c r="AG1493" t="s">
        <v>10477</v>
      </c>
      <c r="AH1493" t="s">
        <v>10478</v>
      </c>
      <c r="AI1493" t="s">
        <v>10479</v>
      </c>
    </row>
    <row r="1494" spans="2:35" ht="345">
      <c r="B1494" s="1">
        <v>45834</v>
      </c>
      <c r="C1494" s="1">
        <v>45834</v>
      </c>
      <c r="D1494" t="s">
        <v>7743</v>
      </c>
      <c r="E1494" t="s">
        <v>10480</v>
      </c>
      <c r="F1494">
        <v>11</v>
      </c>
      <c r="G1494" t="s">
        <v>1205</v>
      </c>
      <c r="H1494" t="s">
        <v>202</v>
      </c>
      <c r="I1494" t="s">
        <v>40</v>
      </c>
      <c r="J1494" t="s">
        <v>109</v>
      </c>
      <c r="K1494" t="s">
        <v>42</v>
      </c>
      <c r="L1494" t="s">
        <v>204</v>
      </c>
      <c r="N1494" t="s">
        <v>205</v>
      </c>
      <c r="Q1494">
        <v>31052</v>
      </c>
      <c r="R1494" t="s">
        <v>119</v>
      </c>
      <c r="S1494" t="s">
        <v>7745</v>
      </c>
      <c r="T1494">
        <v>26.8</v>
      </c>
      <c r="U1494" s="2" t="s">
        <v>10481</v>
      </c>
      <c r="W1494" t="s">
        <v>208</v>
      </c>
      <c r="X1494">
        <v>838492</v>
      </c>
      <c r="Y1494" t="s">
        <v>1052</v>
      </c>
      <c r="Z1494" s="2" t="s">
        <v>6895</v>
      </c>
      <c r="AA1494" t="s">
        <v>2551</v>
      </c>
      <c r="AB1494" s="2" t="s">
        <v>10482</v>
      </c>
      <c r="AG1494" t="s">
        <v>10483</v>
      </c>
      <c r="AH1494" t="s">
        <v>10484</v>
      </c>
      <c r="AI1494" t="s">
        <v>10485</v>
      </c>
    </row>
    <row r="1495" spans="2:35" ht="390">
      <c r="B1495" s="1">
        <v>45834</v>
      </c>
      <c r="C1495" s="1">
        <v>45834</v>
      </c>
      <c r="D1495" t="s">
        <v>10486</v>
      </c>
      <c r="E1495" t="s">
        <v>10487</v>
      </c>
      <c r="F1495" t="s">
        <v>148</v>
      </c>
      <c r="G1495" t="s">
        <v>447</v>
      </c>
      <c r="H1495" t="s">
        <v>10488</v>
      </c>
      <c r="I1495" t="s">
        <v>94</v>
      </c>
      <c r="J1495" t="s">
        <v>109</v>
      </c>
      <c r="K1495" t="s">
        <v>2629</v>
      </c>
      <c r="L1495" t="s">
        <v>409</v>
      </c>
      <c r="N1495" t="s">
        <v>410</v>
      </c>
      <c r="O1495" t="s">
        <v>10489</v>
      </c>
      <c r="Q1495">
        <v>31051</v>
      </c>
      <c r="R1495" t="s">
        <v>95</v>
      </c>
      <c r="S1495" t="s">
        <v>10490</v>
      </c>
      <c r="T1495">
        <v>25</v>
      </c>
      <c r="W1495" t="s">
        <v>9964</v>
      </c>
      <c r="X1495">
        <v>3947020962</v>
      </c>
      <c r="Y1495" t="s">
        <v>301</v>
      </c>
      <c r="Z1495" t="s">
        <v>54</v>
      </c>
      <c r="AA1495" s="2" t="s">
        <v>10491</v>
      </c>
      <c r="AB1495" t="s">
        <v>181</v>
      </c>
      <c r="AC1495" t="s">
        <v>10492</v>
      </c>
      <c r="AG1495" t="s">
        <v>10493</v>
      </c>
      <c r="AH1495" t="s">
        <v>10494</v>
      </c>
      <c r="AI1495" t="s">
        <v>10495</v>
      </c>
    </row>
    <row r="1496" spans="2:35" ht="409.5">
      <c r="B1496" s="1">
        <v>45834</v>
      </c>
      <c r="C1496" s="1">
        <v>45834</v>
      </c>
      <c r="D1496" t="s">
        <v>10486</v>
      </c>
      <c r="E1496" t="s">
        <v>10487</v>
      </c>
      <c r="F1496" t="s">
        <v>148</v>
      </c>
      <c r="G1496" t="s">
        <v>447</v>
      </c>
      <c r="H1496" t="s">
        <v>10488</v>
      </c>
      <c r="I1496" t="s">
        <v>94</v>
      </c>
      <c r="J1496" t="s">
        <v>109</v>
      </c>
      <c r="K1496" t="s">
        <v>2629</v>
      </c>
      <c r="L1496" t="s">
        <v>409</v>
      </c>
      <c r="N1496" t="s">
        <v>410</v>
      </c>
      <c r="O1496" t="s">
        <v>10489</v>
      </c>
      <c r="Q1496">
        <v>31050</v>
      </c>
      <c r="R1496" t="s">
        <v>95</v>
      </c>
      <c r="S1496" t="s">
        <v>10490</v>
      </c>
      <c r="T1496">
        <v>25</v>
      </c>
      <c r="W1496" t="s">
        <v>10496</v>
      </c>
      <c r="X1496">
        <v>3951004842</v>
      </c>
      <c r="Y1496" t="s">
        <v>10497</v>
      </c>
      <c r="Z1496" t="s">
        <v>10498</v>
      </c>
      <c r="AA1496" s="2" t="s">
        <v>10499</v>
      </c>
      <c r="AB1496" t="s">
        <v>10500</v>
      </c>
      <c r="AC1496" t="s">
        <v>10492</v>
      </c>
      <c r="AG1496" t="s">
        <v>10501</v>
      </c>
      <c r="AH1496" t="s">
        <v>10494</v>
      </c>
      <c r="AI1496" t="s">
        <v>10502</v>
      </c>
    </row>
    <row r="1497" spans="2:35" ht="210">
      <c r="B1497" s="1">
        <v>45834</v>
      </c>
      <c r="C1497" s="1">
        <v>45834</v>
      </c>
      <c r="D1497" t="s">
        <v>5228</v>
      </c>
      <c r="E1497" t="s">
        <v>582</v>
      </c>
      <c r="F1497" t="s">
        <v>148</v>
      </c>
      <c r="G1497" t="s">
        <v>447</v>
      </c>
      <c r="H1497" t="s">
        <v>39</v>
      </c>
      <c r="I1497" t="s">
        <v>40</v>
      </c>
      <c r="J1497" s="2" t="s">
        <v>190</v>
      </c>
      <c r="K1497" t="s">
        <v>42</v>
      </c>
      <c r="L1497" t="s">
        <v>175</v>
      </c>
      <c r="N1497" t="s">
        <v>176</v>
      </c>
      <c r="Q1497">
        <v>31049</v>
      </c>
      <c r="R1497" t="s">
        <v>322</v>
      </c>
      <c r="S1497" t="s">
        <v>8157</v>
      </c>
      <c r="T1497">
        <v>26</v>
      </c>
      <c r="W1497" t="s">
        <v>373</v>
      </c>
      <c r="X1497">
        <v>110012766</v>
      </c>
      <c r="Y1497" s="2" t="s">
        <v>10503</v>
      </c>
      <c r="Z1497" t="s">
        <v>103</v>
      </c>
      <c r="AA1497" t="e">
        <f ca="1">- checked _xludf.and cleaned cartridge bay, plunger rod, _xludf.filter, icore slot
- generated reports
- scanned system _xludf.Log _xludf.For possible hardware errors
- performed self test</f>
        <v>#NAME?</v>
      </c>
      <c r="AB1497" s="2" t="s">
        <v>10504</v>
      </c>
      <c r="AG1497" t="s">
        <v>10505</v>
      </c>
      <c r="AH1497" t="s">
        <v>5238</v>
      </c>
      <c r="AI1497" t="s">
        <v>10506</v>
      </c>
    </row>
    <row r="1498" spans="2:35" ht="105">
      <c r="B1498" s="1">
        <v>45834</v>
      </c>
      <c r="C1498" s="1">
        <v>45834</v>
      </c>
      <c r="D1498" t="s">
        <v>7471</v>
      </c>
      <c r="E1498" t="s">
        <v>1128</v>
      </c>
      <c r="F1498">
        <v>8</v>
      </c>
      <c r="G1498" t="s">
        <v>342</v>
      </c>
      <c r="H1498" t="s">
        <v>258</v>
      </c>
      <c r="I1498" t="s">
        <v>40</v>
      </c>
      <c r="J1498" s="2" t="s">
        <v>41</v>
      </c>
      <c r="K1498" t="s">
        <v>42</v>
      </c>
      <c r="L1498" t="s">
        <v>259</v>
      </c>
      <c r="N1498" t="s">
        <v>260</v>
      </c>
      <c r="Q1498">
        <v>31048</v>
      </c>
      <c r="R1498" t="s">
        <v>119</v>
      </c>
      <c r="S1498" t="s">
        <v>7473</v>
      </c>
      <c r="T1498">
        <v>25</v>
      </c>
      <c r="U1498" s="2" t="s">
        <v>6675</v>
      </c>
      <c r="V1498" s="1">
        <v>45834</v>
      </c>
      <c r="W1498" t="s">
        <v>84</v>
      </c>
      <c r="X1498">
        <v>838421</v>
      </c>
      <c r="Y1498" t="s">
        <v>10507</v>
      </c>
      <c r="Z1498" t="e">
        <f ca="1">- PM
- Computer Keyboard Replacement</f>
        <v>#NAME?</v>
      </c>
      <c r="AA1498" t="e">
        <f ca="1">- Preventive Maintenance
- Keyboard Replacement</f>
        <v>#NAME?</v>
      </c>
      <c r="AB1498" t="s">
        <v>10508</v>
      </c>
      <c r="AD1498" t="s">
        <v>10509</v>
      </c>
      <c r="AE1498">
        <v>494324</v>
      </c>
      <c r="AG1498" t="s">
        <v>10510</v>
      </c>
      <c r="AH1498" t="s">
        <v>9129</v>
      </c>
      <c r="AI1498" t="s">
        <v>10511</v>
      </c>
    </row>
    <row r="1499" spans="2:35" ht="375">
      <c r="B1499" s="1">
        <v>45834</v>
      </c>
      <c r="C1499" s="1">
        <v>45834</v>
      </c>
      <c r="D1499" t="s">
        <v>2272</v>
      </c>
      <c r="E1499" t="s">
        <v>10512</v>
      </c>
      <c r="F1499" t="s">
        <v>148</v>
      </c>
      <c r="G1499" t="s">
        <v>310</v>
      </c>
      <c r="H1499" t="s">
        <v>2274</v>
      </c>
      <c r="I1499" t="s">
        <v>40</v>
      </c>
      <c r="J1499" s="2" t="s">
        <v>41</v>
      </c>
      <c r="K1499" t="s">
        <v>387</v>
      </c>
      <c r="L1499" t="s">
        <v>1943</v>
      </c>
      <c r="N1499" t="s">
        <v>1944</v>
      </c>
      <c r="Q1499">
        <v>31047</v>
      </c>
      <c r="R1499" t="s">
        <v>95</v>
      </c>
      <c r="S1499" t="s">
        <v>2276</v>
      </c>
      <c r="T1499">
        <v>25</v>
      </c>
      <c r="V1499" s="1">
        <v>45821</v>
      </c>
      <c r="W1499" t="s">
        <v>390</v>
      </c>
      <c r="X1499" t="s">
        <v>2277</v>
      </c>
      <c r="Y1499" s="2" t="s">
        <v>10513</v>
      </c>
      <c r="Z1499" t="s">
        <v>9272</v>
      </c>
      <c r="AA1499" s="2" t="s">
        <v>10514</v>
      </c>
      <c r="AB1499" t="s">
        <v>88</v>
      </c>
      <c r="AD1499" t="s">
        <v>10515</v>
      </c>
      <c r="AE1499" t="s">
        <v>10516</v>
      </c>
      <c r="AG1499" t="s">
        <v>10517</v>
      </c>
      <c r="AH1499" t="s">
        <v>6824</v>
      </c>
      <c r="AI1499" t="s">
        <v>10518</v>
      </c>
    </row>
    <row r="1500" spans="2:35" ht="180">
      <c r="B1500" s="1">
        <v>45834</v>
      </c>
      <c r="C1500" s="1">
        <v>45833</v>
      </c>
      <c r="D1500" t="s">
        <v>3423</v>
      </c>
      <c r="E1500" t="s">
        <v>3116</v>
      </c>
      <c r="F1500">
        <v>7</v>
      </c>
      <c r="G1500" t="s">
        <v>432</v>
      </c>
      <c r="H1500" t="s">
        <v>386</v>
      </c>
      <c r="I1500" t="s">
        <v>40</v>
      </c>
      <c r="J1500" t="s">
        <v>79</v>
      </c>
      <c r="K1500" t="s">
        <v>387</v>
      </c>
      <c r="L1500" t="s">
        <v>610</v>
      </c>
      <c r="N1500" t="s">
        <v>611</v>
      </c>
      <c r="O1500" t="s">
        <v>3424</v>
      </c>
      <c r="Q1500">
        <v>31046</v>
      </c>
      <c r="R1500" t="s">
        <v>95</v>
      </c>
      <c r="S1500" t="s">
        <v>3424</v>
      </c>
      <c r="T1500">
        <v>24</v>
      </c>
      <c r="W1500" t="s">
        <v>390</v>
      </c>
      <c r="X1500" t="s">
        <v>4856</v>
      </c>
      <c r="Y1500" t="s">
        <v>10519</v>
      </c>
      <c r="Z1500" s="2" t="s">
        <v>10520</v>
      </c>
      <c r="AA1500" t="s">
        <v>10521</v>
      </c>
      <c r="AB1500" t="s">
        <v>88</v>
      </c>
      <c r="AC1500" t="s">
        <v>3116</v>
      </c>
      <c r="AE1500" t="s">
        <v>1451</v>
      </c>
      <c r="AG1500" t="s">
        <v>10522</v>
      </c>
      <c r="AH1500" t="s">
        <v>3429</v>
      </c>
      <c r="AI1500" t="s">
        <v>10523</v>
      </c>
    </row>
    <row r="1501" spans="2:35" ht="345">
      <c r="B1501" s="1">
        <v>45834</v>
      </c>
      <c r="C1501" s="1">
        <v>45833</v>
      </c>
      <c r="D1501" t="s">
        <v>9075</v>
      </c>
      <c r="E1501" t="s">
        <v>2569</v>
      </c>
      <c r="F1501" t="s">
        <v>148</v>
      </c>
      <c r="G1501" t="s">
        <v>447</v>
      </c>
      <c r="H1501" t="s">
        <v>662</v>
      </c>
      <c r="I1501" t="s">
        <v>40</v>
      </c>
      <c r="J1501" t="s">
        <v>109</v>
      </c>
      <c r="K1501" t="s">
        <v>42</v>
      </c>
      <c r="L1501" t="s">
        <v>448</v>
      </c>
      <c r="N1501" t="s">
        <v>650</v>
      </c>
      <c r="O1501" t="s">
        <v>6501</v>
      </c>
      <c r="Q1501">
        <v>31045</v>
      </c>
      <c r="R1501" t="s">
        <v>703</v>
      </c>
      <c r="S1501" t="s">
        <v>6502</v>
      </c>
      <c r="T1501">
        <v>23</v>
      </c>
      <c r="U1501" s="2" t="s">
        <v>10524</v>
      </c>
      <c r="W1501" t="s">
        <v>6804</v>
      </c>
      <c r="X1501">
        <v>110020700</v>
      </c>
      <c r="Y1501" s="2" t="s">
        <v>10525</v>
      </c>
      <c r="Z1501" s="2" t="s">
        <v>2011</v>
      </c>
      <c r="AA1501" t="s">
        <v>122</v>
      </c>
      <c r="AB1501" t="s">
        <v>486</v>
      </c>
      <c r="AG1501" t="s">
        <v>10526</v>
      </c>
      <c r="AH1501" t="s">
        <v>10527</v>
      </c>
      <c r="AI1501" t="s">
        <v>10528</v>
      </c>
    </row>
    <row r="1502" spans="2:35" ht="409.5">
      <c r="B1502" s="1">
        <v>45834</v>
      </c>
      <c r="C1502" s="1">
        <v>45832</v>
      </c>
      <c r="D1502" t="s">
        <v>2005</v>
      </c>
      <c r="E1502" t="s">
        <v>10529</v>
      </c>
      <c r="F1502" t="s">
        <v>148</v>
      </c>
      <c r="G1502" t="s">
        <v>2007</v>
      </c>
      <c r="H1502" t="s">
        <v>662</v>
      </c>
      <c r="I1502" t="s">
        <v>40</v>
      </c>
      <c r="J1502" s="2" t="s">
        <v>41</v>
      </c>
      <c r="K1502" t="s">
        <v>42</v>
      </c>
      <c r="L1502" t="s">
        <v>448</v>
      </c>
      <c r="N1502" t="s">
        <v>650</v>
      </c>
      <c r="Q1502">
        <v>31044</v>
      </c>
      <c r="R1502" t="s">
        <v>95</v>
      </c>
      <c r="S1502" t="s">
        <v>10530</v>
      </c>
      <c r="T1502">
        <v>25</v>
      </c>
      <c r="U1502" s="2" t="s">
        <v>10531</v>
      </c>
      <c r="V1502" s="1">
        <v>45825</v>
      </c>
      <c r="W1502" t="s">
        <v>10532</v>
      </c>
      <c r="X1502">
        <v>110026448</v>
      </c>
      <c r="Y1502" s="2" t="s">
        <v>10533</v>
      </c>
      <c r="Z1502" s="2" t="s">
        <v>2585</v>
      </c>
      <c r="AA1502" t="s">
        <v>5918</v>
      </c>
      <c r="AB1502" s="2" t="s">
        <v>10534</v>
      </c>
      <c r="AD1502" t="s">
        <v>10535</v>
      </c>
      <c r="AE1502">
        <v>13095</v>
      </c>
      <c r="AG1502" t="s">
        <v>10536</v>
      </c>
      <c r="AH1502" t="s">
        <v>10537</v>
      </c>
      <c r="AI1502" t="s">
        <v>10538</v>
      </c>
    </row>
    <row r="1503" spans="2:35" ht="409.5">
      <c r="B1503" s="1">
        <v>45833</v>
      </c>
      <c r="C1503" s="1">
        <v>45833</v>
      </c>
      <c r="D1503" t="s">
        <v>159</v>
      </c>
      <c r="E1503" t="s">
        <v>5764</v>
      </c>
      <c r="F1503" t="s">
        <v>37</v>
      </c>
      <c r="G1503" t="s">
        <v>78</v>
      </c>
      <c r="H1503" t="s">
        <v>150</v>
      </c>
      <c r="I1503" t="s">
        <v>40</v>
      </c>
      <c r="J1503" t="s">
        <v>109</v>
      </c>
      <c r="K1503" t="s">
        <v>42</v>
      </c>
      <c r="L1503" t="s">
        <v>1943</v>
      </c>
      <c r="N1503" t="s">
        <v>1944</v>
      </c>
      <c r="O1503" t="s">
        <v>161</v>
      </c>
      <c r="Q1503">
        <v>31043</v>
      </c>
      <c r="R1503" t="s">
        <v>95</v>
      </c>
      <c r="S1503" t="s">
        <v>10539</v>
      </c>
      <c r="T1503">
        <v>25</v>
      </c>
      <c r="W1503" t="s">
        <v>5771</v>
      </c>
      <c r="X1503">
        <v>812916</v>
      </c>
      <c r="Y1503" t="s">
        <v>2099</v>
      </c>
      <c r="Z1503" t="s">
        <v>2100</v>
      </c>
      <c r="AA1503" s="2" t="s">
        <v>2101</v>
      </c>
      <c r="AB1503" t="s">
        <v>88</v>
      </c>
      <c r="AG1503" t="s">
        <v>10540</v>
      </c>
      <c r="AH1503" t="s">
        <v>10541</v>
      </c>
      <c r="AI1503" t="s">
        <v>10542</v>
      </c>
    </row>
    <row r="1504" spans="2:35" ht="390">
      <c r="B1504" s="1">
        <v>45833</v>
      </c>
      <c r="C1504" s="1">
        <v>45833</v>
      </c>
      <c r="D1504" t="s">
        <v>9342</v>
      </c>
      <c r="E1504" t="s">
        <v>9343</v>
      </c>
      <c r="F1504">
        <v>1</v>
      </c>
      <c r="G1504" t="s">
        <v>1046</v>
      </c>
      <c r="H1504" t="s">
        <v>1047</v>
      </c>
      <c r="I1504" t="s">
        <v>40</v>
      </c>
      <c r="J1504" s="2" t="s">
        <v>41</v>
      </c>
      <c r="K1504" t="s">
        <v>42</v>
      </c>
      <c r="L1504" t="s">
        <v>135</v>
      </c>
      <c r="N1504" t="s">
        <v>136</v>
      </c>
      <c r="Q1504">
        <v>31042</v>
      </c>
      <c r="R1504" t="s">
        <v>119</v>
      </c>
      <c r="S1504" t="s">
        <v>9344</v>
      </c>
      <c r="T1504">
        <v>25</v>
      </c>
      <c r="U1504" s="2" t="s">
        <v>10543</v>
      </c>
      <c r="V1504" s="1">
        <v>45828</v>
      </c>
      <c r="W1504" t="s">
        <v>138</v>
      </c>
      <c r="X1504">
        <v>838287</v>
      </c>
      <c r="Y1504" t="s">
        <v>10544</v>
      </c>
      <c r="Z1504" s="2" t="s">
        <v>140</v>
      </c>
      <c r="AA1504" s="2" t="s">
        <v>5713</v>
      </c>
      <c r="AB1504" s="2" t="s">
        <v>10545</v>
      </c>
      <c r="AD1504" t="s">
        <v>4669</v>
      </c>
      <c r="AE1504">
        <v>13112</v>
      </c>
      <c r="AG1504" t="s">
        <v>10546</v>
      </c>
      <c r="AH1504" t="s">
        <v>9349</v>
      </c>
      <c r="AI1504" t="s">
        <v>10547</v>
      </c>
    </row>
    <row r="1505" spans="2:35" ht="180">
      <c r="B1505" s="1">
        <v>45833</v>
      </c>
      <c r="C1505" s="1">
        <v>45833</v>
      </c>
      <c r="D1505" t="s">
        <v>1071</v>
      </c>
      <c r="E1505" t="s">
        <v>1555</v>
      </c>
      <c r="F1505">
        <v>7</v>
      </c>
      <c r="G1505" t="s">
        <v>432</v>
      </c>
      <c r="H1505" t="s">
        <v>150</v>
      </c>
      <c r="I1505" t="s">
        <v>40</v>
      </c>
      <c r="J1505" t="s">
        <v>109</v>
      </c>
      <c r="K1505" t="s">
        <v>42</v>
      </c>
      <c r="L1505" t="s">
        <v>343</v>
      </c>
      <c r="N1505" t="s">
        <v>344</v>
      </c>
      <c r="Q1505">
        <v>31041</v>
      </c>
      <c r="R1505" t="s">
        <v>119</v>
      </c>
      <c r="S1505" t="s">
        <v>8679</v>
      </c>
      <c r="T1505">
        <v>26</v>
      </c>
      <c r="U1505" s="2" t="s">
        <v>10548</v>
      </c>
      <c r="W1505" t="s">
        <v>1501</v>
      </c>
      <c r="X1505">
        <v>838285</v>
      </c>
      <c r="Y1505" t="s">
        <v>8412</v>
      </c>
      <c r="Z1505" t="e">
        <f ca="1">-PERFORM Preventive Maintenance: FAN _xludf.filter, plunger rod, cartridge bay, optic slot</f>
        <v>#NAME?</v>
      </c>
      <c r="AA1505" t="e">
        <f ca="1">-Preventive Maintenance</f>
        <v>#NAME?</v>
      </c>
      <c r="AB1505" t="s">
        <v>1467</v>
      </c>
      <c r="AG1505" t="s">
        <v>10549</v>
      </c>
      <c r="AH1505" t="s">
        <v>4411</v>
      </c>
      <c r="AI1505" t="s">
        <v>10550</v>
      </c>
    </row>
    <row r="1506" spans="2:35" ht="409.5">
      <c r="B1506" s="1">
        <v>45833</v>
      </c>
      <c r="C1506" s="1">
        <v>45833</v>
      </c>
      <c r="D1506" t="s">
        <v>8349</v>
      </c>
      <c r="E1506" t="s">
        <v>10551</v>
      </c>
      <c r="F1506" t="s">
        <v>37</v>
      </c>
      <c r="G1506" t="s">
        <v>78</v>
      </c>
      <c r="H1506" t="s">
        <v>295</v>
      </c>
      <c r="I1506" t="s">
        <v>40</v>
      </c>
      <c r="J1506" s="2" t="s">
        <v>10552</v>
      </c>
      <c r="K1506" t="s">
        <v>42</v>
      </c>
      <c r="L1506" t="s">
        <v>1943</v>
      </c>
      <c r="N1506" t="s">
        <v>1944</v>
      </c>
      <c r="Q1506">
        <v>31040</v>
      </c>
      <c r="R1506" t="s">
        <v>703</v>
      </c>
      <c r="S1506" t="s">
        <v>8350</v>
      </c>
      <c r="T1506">
        <v>25</v>
      </c>
      <c r="W1506" t="s">
        <v>373</v>
      </c>
      <c r="X1506">
        <v>11002552</v>
      </c>
      <c r="Y1506" s="2" t="s">
        <v>10553</v>
      </c>
      <c r="Z1506" t="s">
        <v>5680</v>
      </c>
      <c r="AA1506" s="2" t="s">
        <v>10554</v>
      </c>
      <c r="AB1506" t="s">
        <v>88</v>
      </c>
      <c r="AG1506" t="s">
        <v>10555</v>
      </c>
      <c r="AH1506" t="s">
        <v>10556</v>
      </c>
      <c r="AI1506" t="s">
        <v>10557</v>
      </c>
    </row>
    <row r="1507" spans="2:35" ht="165">
      <c r="B1507" s="1">
        <v>45833</v>
      </c>
      <c r="C1507" s="1">
        <v>45833</v>
      </c>
      <c r="D1507" t="s">
        <v>837</v>
      </c>
      <c r="E1507" t="s">
        <v>10558</v>
      </c>
      <c r="F1507">
        <v>5</v>
      </c>
      <c r="G1507" t="s">
        <v>839</v>
      </c>
      <c r="H1507" t="s">
        <v>513</v>
      </c>
      <c r="I1507" t="s">
        <v>94</v>
      </c>
      <c r="J1507" t="s">
        <v>79</v>
      </c>
      <c r="K1507" t="s">
        <v>42</v>
      </c>
      <c r="L1507" t="s">
        <v>761</v>
      </c>
      <c r="N1507" t="s">
        <v>762</v>
      </c>
      <c r="Q1507">
        <v>31039</v>
      </c>
      <c r="R1507" t="s">
        <v>322</v>
      </c>
      <c r="S1507" t="s">
        <v>10559</v>
      </c>
      <c r="T1507">
        <v>25</v>
      </c>
      <c r="W1507" t="s">
        <v>390</v>
      </c>
      <c r="X1507" t="s">
        <v>847</v>
      </c>
      <c r="Y1507" t="s">
        <v>10560</v>
      </c>
      <c r="Z1507" s="2" t="s">
        <v>10561</v>
      </c>
      <c r="AA1507" t="s">
        <v>1935</v>
      </c>
      <c r="AB1507" t="s">
        <v>70</v>
      </c>
      <c r="AG1507" t="s">
        <v>10562</v>
      </c>
      <c r="AH1507" t="s">
        <v>10563</v>
      </c>
      <c r="AI1507" t="s">
        <v>10564</v>
      </c>
    </row>
    <row r="1508" spans="2:35" ht="315">
      <c r="B1508" s="1">
        <v>45833</v>
      </c>
      <c r="C1508" s="1">
        <v>45833</v>
      </c>
      <c r="D1508" t="s">
        <v>7810</v>
      </c>
      <c r="E1508" t="s">
        <v>7811</v>
      </c>
      <c r="F1508">
        <v>11</v>
      </c>
      <c r="G1508" t="s">
        <v>1205</v>
      </c>
      <c r="H1508" t="s">
        <v>202</v>
      </c>
      <c r="I1508" t="s">
        <v>40</v>
      </c>
      <c r="J1508" t="s">
        <v>109</v>
      </c>
      <c r="K1508" t="s">
        <v>42</v>
      </c>
      <c r="L1508" t="s">
        <v>204</v>
      </c>
      <c r="N1508" t="s">
        <v>205</v>
      </c>
      <c r="Q1508">
        <v>31038</v>
      </c>
      <c r="R1508" t="s">
        <v>119</v>
      </c>
      <c r="S1508" t="s">
        <v>7812</v>
      </c>
      <c r="T1508">
        <v>28.6</v>
      </c>
      <c r="U1508" s="2" t="s">
        <v>10565</v>
      </c>
      <c r="W1508" t="s">
        <v>208</v>
      </c>
      <c r="X1508">
        <v>838232</v>
      </c>
      <c r="Y1508" t="s">
        <v>1052</v>
      </c>
      <c r="Z1508" s="2" t="s">
        <v>1321</v>
      </c>
      <c r="AA1508" t="s">
        <v>2551</v>
      </c>
      <c r="AB1508" t="s">
        <v>1211</v>
      </c>
      <c r="AG1508" t="s">
        <v>10566</v>
      </c>
      <c r="AH1508" t="s">
        <v>7816</v>
      </c>
      <c r="AI1508" t="s">
        <v>10567</v>
      </c>
    </row>
    <row r="1509" spans="2:35" ht="135">
      <c r="B1509" s="1">
        <v>45832</v>
      </c>
      <c r="C1509" s="1">
        <v>45832</v>
      </c>
      <c r="D1509" t="s">
        <v>10568</v>
      </c>
      <c r="E1509" t="s">
        <v>10569</v>
      </c>
      <c r="F1509" t="s">
        <v>148</v>
      </c>
      <c r="G1509" t="s">
        <v>310</v>
      </c>
      <c r="H1509" t="s">
        <v>513</v>
      </c>
      <c r="I1509" t="s">
        <v>40</v>
      </c>
      <c r="J1509" t="s">
        <v>79</v>
      </c>
      <c r="K1509" t="s">
        <v>387</v>
      </c>
      <c r="L1509" t="s">
        <v>80</v>
      </c>
      <c r="N1509" t="s">
        <v>81</v>
      </c>
      <c r="Q1509">
        <v>31037</v>
      </c>
      <c r="R1509" t="s">
        <v>95</v>
      </c>
      <c r="S1509" t="s">
        <v>9747</v>
      </c>
      <c r="T1509">
        <v>25</v>
      </c>
      <c r="V1509" s="1">
        <v>45821</v>
      </c>
      <c r="W1509" t="s">
        <v>390</v>
      </c>
      <c r="X1509" t="s">
        <v>4180</v>
      </c>
      <c r="Y1509" t="s">
        <v>10570</v>
      </c>
      <c r="Z1509" t="s">
        <v>10571</v>
      </c>
      <c r="AA1509" s="2" t="s">
        <v>10572</v>
      </c>
      <c r="AB1509" t="s">
        <v>88</v>
      </c>
      <c r="AC1509" t="s">
        <v>54</v>
      </c>
      <c r="AD1509" t="s">
        <v>10573</v>
      </c>
      <c r="AE1509" t="s">
        <v>10574</v>
      </c>
      <c r="AG1509" t="s">
        <v>10575</v>
      </c>
      <c r="AH1509" t="s">
        <v>10576</v>
      </c>
      <c r="AI1509" t="s">
        <v>10577</v>
      </c>
    </row>
    <row r="1510" spans="2:35" ht="255">
      <c r="B1510" s="1">
        <v>45832</v>
      </c>
      <c r="C1510" s="1">
        <v>45832</v>
      </c>
      <c r="D1510" t="s">
        <v>3897</v>
      </c>
      <c r="E1510" t="s">
        <v>3140</v>
      </c>
      <c r="F1510">
        <v>3</v>
      </c>
      <c r="G1510" t="s">
        <v>174</v>
      </c>
      <c r="H1510" t="s">
        <v>39</v>
      </c>
      <c r="I1510" t="s">
        <v>40</v>
      </c>
      <c r="J1510" s="2" t="s">
        <v>62</v>
      </c>
      <c r="K1510" t="s">
        <v>42</v>
      </c>
      <c r="L1510" t="s">
        <v>175</v>
      </c>
      <c r="N1510" t="s">
        <v>176</v>
      </c>
      <c r="Q1510">
        <v>31036</v>
      </c>
      <c r="R1510" t="s">
        <v>95</v>
      </c>
      <c r="S1510" t="s">
        <v>3898</v>
      </c>
      <c r="T1510">
        <v>25</v>
      </c>
      <c r="V1510" s="1">
        <v>45817</v>
      </c>
      <c r="W1510" t="s">
        <v>84</v>
      </c>
      <c r="X1510">
        <v>110008530</v>
      </c>
      <c r="Y1510" t="s">
        <v>998</v>
      </c>
      <c r="Z1510" t="s">
        <v>999</v>
      </c>
      <c r="AA1510" t="e">
        <f ca="1">- checked _xludf.and cleaned cartridge bay, plunger rod, _xludf.filter, icore slot
- performed XpertCheck
- generated reports
- performed self test</f>
        <v>#NAME?</v>
      </c>
      <c r="AB1510" s="2" t="s">
        <v>10578</v>
      </c>
      <c r="AD1510" t="s">
        <v>7189</v>
      </c>
      <c r="AE1510">
        <v>100406</v>
      </c>
      <c r="AG1510" t="s">
        <v>10579</v>
      </c>
      <c r="AH1510" t="s">
        <v>8887</v>
      </c>
      <c r="AI1510" t="s">
        <v>10580</v>
      </c>
    </row>
    <row r="1511" spans="2:35">
      <c r="B1511" s="1">
        <v>45832</v>
      </c>
      <c r="C1511" s="1">
        <v>45830</v>
      </c>
      <c r="D1511" t="s">
        <v>3423</v>
      </c>
      <c r="E1511" t="s">
        <v>3116</v>
      </c>
      <c r="F1511">
        <v>7</v>
      </c>
      <c r="G1511" t="s">
        <v>432</v>
      </c>
      <c r="H1511" t="s">
        <v>386</v>
      </c>
      <c r="I1511" t="s">
        <v>40</v>
      </c>
      <c r="J1511" t="s">
        <v>79</v>
      </c>
      <c r="K1511" t="s">
        <v>387</v>
      </c>
      <c r="L1511" t="s">
        <v>610</v>
      </c>
      <c r="N1511" t="s">
        <v>611</v>
      </c>
      <c r="O1511" t="s">
        <v>3424</v>
      </c>
      <c r="Q1511">
        <v>31035</v>
      </c>
      <c r="R1511" t="s">
        <v>95</v>
      </c>
      <c r="S1511" t="s">
        <v>3424</v>
      </c>
      <c r="T1511">
        <v>24</v>
      </c>
      <c r="W1511" t="s">
        <v>390</v>
      </c>
      <c r="X1511" t="s">
        <v>4856</v>
      </c>
      <c r="Y1511" t="s">
        <v>10581</v>
      </c>
      <c r="Z1511" t="s">
        <v>10582</v>
      </c>
      <c r="AA1511" t="s">
        <v>10582</v>
      </c>
      <c r="AB1511" t="s">
        <v>88</v>
      </c>
      <c r="AC1511" t="s">
        <v>3116</v>
      </c>
      <c r="AE1511" t="s">
        <v>1451</v>
      </c>
      <c r="AG1511" t="s">
        <v>10583</v>
      </c>
      <c r="AH1511" t="s">
        <v>3429</v>
      </c>
      <c r="AI1511" t="s">
        <v>10584</v>
      </c>
    </row>
    <row r="1512" spans="2:35">
      <c r="B1512" s="1">
        <v>45832</v>
      </c>
      <c r="C1512" s="1">
        <v>45829</v>
      </c>
      <c r="D1512" t="s">
        <v>3423</v>
      </c>
      <c r="E1512" t="s">
        <v>3116</v>
      </c>
      <c r="F1512">
        <v>7</v>
      </c>
      <c r="G1512" t="s">
        <v>432</v>
      </c>
      <c r="H1512" t="s">
        <v>386</v>
      </c>
      <c r="I1512" t="s">
        <v>40</v>
      </c>
      <c r="J1512" t="s">
        <v>79</v>
      </c>
      <c r="K1512" t="s">
        <v>387</v>
      </c>
      <c r="L1512" t="s">
        <v>610</v>
      </c>
      <c r="N1512" t="s">
        <v>611</v>
      </c>
      <c r="O1512" t="s">
        <v>3424</v>
      </c>
      <c r="Q1512">
        <v>31034</v>
      </c>
      <c r="R1512" t="s">
        <v>95</v>
      </c>
      <c r="S1512" t="s">
        <v>3424</v>
      </c>
      <c r="T1512">
        <v>24</v>
      </c>
      <c r="W1512" t="s">
        <v>390</v>
      </c>
      <c r="X1512" t="s">
        <v>4856</v>
      </c>
      <c r="Y1512" t="s">
        <v>10519</v>
      </c>
      <c r="Z1512" t="s">
        <v>10585</v>
      </c>
      <c r="AA1512" t="s">
        <v>10585</v>
      </c>
      <c r="AB1512" t="s">
        <v>88</v>
      </c>
      <c r="AC1512" t="s">
        <v>3116</v>
      </c>
      <c r="AE1512" t="s">
        <v>1451</v>
      </c>
      <c r="AG1512" t="s">
        <v>10586</v>
      </c>
      <c r="AH1512" t="s">
        <v>3429</v>
      </c>
      <c r="AI1512" t="s">
        <v>10587</v>
      </c>
    </row>
    <row r="1513" spans="2:35" ht="225">
      <c r="B1513" s="1">
        <v>45832</v>
      </c>
      <c r="C1513" s="1">
        <v>45832</v>
      </c>
      <c r="D1513" t="s">
        <v>7868</v>
      </c>
      <c r="E1513" t="s">
        <v>10588</v>
      </c>
      <c r="F1513">
        <v>7</v>
      </c>
      <c r="G1513" t="s">
        <v>432</v>
      </c>
      <c r="H1513" t="s">
        <v>258</v>
      </c>
      <c r="I1513" t="s">
        <v>40</v>
      </c>
      <c r="J1513" t="s">
        <v>109</v>
      </c>
      <c r="K1513" t="s">
        <v>42</v>
      </c>
      <c r="L1513" t="s">
        <v>594</v>
      </c>
      <c r="N1513" t="s">
        <v>595</v>
      </c>
      <c r="Q1513">
        <v>31033</v>
      </c>
      <c r="R1513" t="s">
        <v>119</v>
      </c>
      <c r="S1513" t="s">
        <v>1849</v>
      </c>
      <c r="T1513">
        <v>23</v>
      </c>
      <c r="V1513" s="1">
        <v>45832</v>
      </c>
      <c r="W1513" t="s">
        <v>6105</v>
      </c>
      <c r="X1513">
        <v>838564</v>
      </c>
      <c r="Y1513" t="s">
        <v>7281</v>
      </c>
      <c r="Z1513" s="2" t="s">
        <v>10589</v>
      </c>
      <c r="AA1513" s="2" t="s">
        <v>10590</v>
      </c>
      <c r="AB1513" t="s">
        <v>1813</v>
      </c>
      <c r="AG1513" t="s">
        <v>10591</v>
      </c>
      <c r="AH1513" t="s">
        <v>10592</v>
      </c>
      <c r="AI1513" t="s">
        <v>10593</v>
      </c>
    </row>
    <row r="1514" spans="2:35" ht="375">
      <c r="B1514" s="1">
        <v>45832</v>
      </c>
      <c r="C1514" s="1">
        <v>45832</v>
      </c>
      <c r="D1514" t="s">
        <v>6809</v>
      </c>
      <c r="E1514" t="s">
        <v>6810</v>
      </c>
      <c r="F1514">
        <v>11</v>
      </c>
      <c r="G1514" t="s">
        <v>201</v>
      </c>
      <c r="H1514" t="s">
        <v>202</v>
      </c>
      <c r="I1514" t="s">
        <v>40</v>
      </c>
      <c r="J1514" s="2" t="s">
        <v>190</v>
      </c>
      <c r="K1514" t="s">
        <v>42</v>
      </c>
      <c r="L1514" t="s">
        <v>204</v>
      </c>
      <c r="N1514" t="s">
        <v>205</v>
      </c>
      <c r="Q1514">
        <v>31032</v>
      </c>
      <c r="R1514" t="s">
        <v>119</v>
      </c>
      <c r="S1514" t="s">
        <v>6811</v>
      </c>
      <c r="T1514">
        <v>24.5</v>
      </c>
      <c r="U1514" s="2" t="s">
        <v>10594</v>
      </c>
      <c r="W1514" t="s">
        <v>208</v>
      </c>
      <c r="X1514">
        <v>838490</v>
      </c>
      <c r="Y1514" s="2" t="s">
        <v>10595</v>
      </c>
      <c r="Z1514" s="2" t="s">
        <v>10596</v>
      </c>
      <c r="AA1514" s="2" t="s">
        <v>10597</v>
      </c>
      <c r="AB1514" t="s">
        <v>1211</v>
      </c>
      <c r="AC1514" t="s">
        <v>10598</v>
      </c>
      <c r="AG1514" t="s">
        <v>10599</v>
      </c>
      <c r="AH1514" t="s">
        <v>10600</v>
      </c>
      <c r="AI1514" t="s">
        <v>10601</v>
      </c>
    </row>
    <row r="1515" spans="2:35" ht="165">
      <c r="B1515" s="1">
        <v>45832</v>
      </c>
      <c r="C1515" s="1">
        <v>45826</v>
      </c>
      <c r="D1515" t="s">
        <v>7761</v>
      </c>
      <c r="E1515" t="s">
        <v>10602</v>
      </c>
      <c r="F1515">
        <v>13</v>
      </c>
      <c r="G1515" t="s">
        <v>7763</v>
      </c>
      <c r="H1515" t="s">
        <v>2125</v>
      </c>
      <c r="I1515" t="s">
        <v>40</v>
      </c>
      <c r="J1515" s="2" t="s">
        <v>41</v>
      </c>
      <c r="K1515" t="s">
        <v>42</v>
      </c>
      <c r="L1515" t="s">
        <v>933</v>
      </c>
      <c r="N1515" t="s">
        <v>934</v>
      </c>
      <c r="Q1515">
        <v>31031</v>
      </c>
      <c r="R1515" t="s">
        <v>119</v>
      </c>
      <c r="S1515" t="s">
        <v>10603</v>
      </c>
      <c r="T1515">
        <v>25</v>
      </c>
      <c r="W1515" t="s">
        <v>10604</v>
      </c>
      <c r="X1515">
        <v>838275</v>
      </c>
      <c r="Y1515" t="s">
        <v>10605</v>
      </c>
      <c r="Z1515" t="s">
        <v>10160</v>
      </c>
      <c r="AA1515" s="2" t="s">
        <v>10606</v>
      </c>
      <c r="AB1515" t="s">
        <v>2131</v>
      </c>
      <c r="AG1515" t="s">
        <v>10607</v>
      </c>
      <c r="AH1515" t="s">
        <v>10608</v>
      </c>
      <c r="AI1515" t="s">
        <v>10609</v>
      </c>
    </row>
    <row r="1516" spans="2:35" ht="165">
      <c r="B1516" s="1">
        <v>45832</v>
      </c>
      <c r="C1516" s="1">
        <v>45832</v>
      </c>
      <c r="D1516" t="s">
        <v>7751</v>
      </c>
      <c r="E1516" t="s">
        <v>7752</v>
      </c>
      <c r="F1516">
        <v>13</v>
      </c>
      <c r="G1516" t="s">
        <v>4484</v>
      </c>
      <c r="H1516" t="s">
        <v>2125</v>
      </c>
      <c r="I1516" t="s">
        <v>40</v>
      </c>
      <c r="J1516" s="2" t="s">
        <v>190</v>
      </c>
      <c r="K1516" t="s">
        <v>42</v>
      </c>
      <c r="L1516" t="s">
        <v>933</v>
      </c>
      <c r="N1516" t="s">
        <v>934</v>
      </c>
      <c r="Q1516">
        <v>31030</v>
      </c>
      <c r="R1516" t="s">
        <v>119</v>
      </c>
      <c r="S1516" t="s">
        <v>7753</v>
      </c>
      <c r="T1516">
        <v>28</v>
      </c>
      <c r="W1516" t="s">
        <v>10610</v>
      </c>
      <c r="X1516">
        <v>838403</v>
      </c>
      <c r="Y1516" t="s">
        <v>10611</v>
      </c>
      <c r="Z1516" t="s">
        <v>10612</v>
      </c>
      <c r="AA1516" s="2" t="s">
        <v>10613</v>
      </c>
      <c r="AB1516" t="s">
        <v>10614</v>
      </c>
      <c r="AG1516" t="s">
        <v>10615</v>
      </c>
      <c r="AH1516" t="s">
        <v>8835</v>
      </c>
      <c r="AI1516" t="s">
        <v>10616</v>
      </c>
    </row>
    <row r="1517" spans="2:35" ht="409.5">
      <c r="B1517" s="1">
        <v>45832</v>
      </c>
      <c r="C1517" s="1">
        <v>45831</v>
      </c>
      <c r="D1517" t="s">
        <v>3853</v>
      </c>
      <c r="E1517" t="s">
        <v>10617</v>
      </c>
      <c r="F1517">
        <v>12</v>
      </c>
      <c r="G1517" t="s">
        <v>2137</v>
      </c>
      <c r="H1517" t="s">
        <v>39</v>
      </c>
      <c r="I1517" t="s">
        <v>40</v>
      </c>
      <c r="J1517" t="s">
        <v>321</v>
      </c>
      <c r="K1517" t="s">
        <v>42</v>
      </c>
      <c r="L1517" t="s">
        <v>296</v>
      </c>
      <c r="N1517" t="s">
        <v>297</v>
      </c>
      <c r="Q1517">
        <v>31029</v>
      </c>
      <c r="R1517" t="s">
        <v>322</v>
      </c>
      <c r="S1517" t="s">
        <v>3855</v>
      </c>
      <c r="T1517">
        <v>25.4</v>
      </c>
      <c r="W1517" t="s">
        <v>970</v>
      </c>
      <c r="X1517">
        <v>11002654</v>
      </c>
      <c r="Y1517" t="s">
        <v>301</v>
      </c>
      <c r="Z1517" s="2" t="s">
        <v>10618</v>
      </c>
      <c r="AA1517" t="s">
        <v>10619</v>
      </c>
      <c r="AB1517" t="s">
        <v>972</v>
      </c>
      <c r="AG1517" t="s">
        <v>10620</v>
      </c>
      <c r="AH1517" t="s">
        <v>3861</v>
      </c>
      <c r="AI1517" t="s">
        <v>10621</v>
      </c>
    </row>
    <row r="1518" spans="2:35" ht="270">
      <c r="B1518" s="1">
        <v>45831</v>
      </c>
      <c r="C1518" s="1">
        <v>45828</v>
      </c>
      <c r="D1518" t="s">
        <v>4601</v>
      </c>
      <c r="E1518" t="s">
        <v>10622</v>
      </c>
      <c r="F1518" t="s">
        <v>37</v>
      </c>
      <c r="G1518" t="s">
        <v>748</v>
      </c>
      <c r="H1518" t="s">
        <v>1543</v>
      </c>
      <c r="I1518" t="s">
        <v>40</v>
      </c>
      <c r="J1518" t="s">
        <v>109</v>
      </c>
      <c r="K1518" t="s">
        <v>42</v>
      </c>
      <c r="L1518" t="s">
        <v>1028</v>
      </c>
      <c r="N1518" t="s">
        <v>1029</v>
      </c>
      <c r="Q1518">
        <v>31028</v>
      </c>
      <c r="R1518" t="s">
        <v>322</v>
      </c>
      <c r="S1518" t="s">
        <v>4603</v>
      </c>
      <c r="T1518">
        <v>28</v>
      </c>
      <c r="U1518" s="2" t="s">
        <v>10623</v>
      </c>
      <c r="W1518" t="s">
        <v>1032</v>
      </c>
      <c r="X1518">
        <v>120003582</v>
      </c>
      <c r="Y1518" t="s">
        <v>1978</v>
      </c>
      <c r="Z1518" t="s">
        <v>3128</v>
      </c>
      <c r="AA1518" s="2" t="s">
        <v>1979</v>
      </c>
      <c r="AB1518" t="s">
        <v>3300</v>
      </c>
      <c r="AG1518" t="s">
        <v>10624</v>
      </c>
      <c r="AH1518" t="s">
        <v>4607</v>
      </c>
      <c r="AI1518" t="s">
        <v>10625</v>
      </c>
    </row>
    <row r="1519" spans="2:35" ht="105">
      <c r="B1519" s="1">
        <v>45831</v>
      </c>
      <c r="C1519" s="1">
        <v>45831</v>
      </c>
      <c r="D1519" t="s">
        <v>8123</v>
      </c>
      <c r="E1519" t="s">
        <v>8124</v>
      </c>
      <c r="F1519">
        <v>13</v>
      </c>
      <c r="G1519" t="s">
        <v>4484</v>
      </c>
      <c r="H1519" t="s">
        <v>2125</v>
      </c>
      <c r="I1519" t="s">
        <v>40</v>
      </c>
      <c r="J1519" t="s">
        <v>109</v>
      </c>
      <c r="K1519" t="s">
        <v>42</v>
      </c>
      <c r="L1519" t="s">
        <v>933</v>
      </c>
      <c r="N1519" t="s">
        <v>934</v>
      </c>
      <c r="Q1519">
        <v>31027</v>
      </c>
      <c r="R1519" t="s">
        <v>119</v>
      </c>
      <c r="S1519" t="s">
        <v>8125</v>
      </c>
      <c r="T1519">
        <v>27</v>
      </c>
      <c r="W1519" t="s">
        <v>10610</v>
      </c>
      <c r="X1519">
        <v>838554</v>
      </c>
      <c r="Y1519" t="s">
        <v>301</v>
      </c>
      <c r="Z1519" t="s">
        <v>301</v>
      </c>
      <c r="AA1519" s="2" t="s">
        <v>10626</v>
      </c>
      <c r="AB1519" t="s">
        <v>2131</v>
      </c>
      <c r="AG1519" t="s">
        <v>10627</v>
      </c>
      <c r="AH1519" t="s">
        <v>8129</v>
      </c>
      <c r="AI1519" t="s">
        <v>10628</v>
      </c>
    </row>
    <row r="1520" spans="2:35" ht="225">
      <c r="B1520" s="1">
        <v>45831</v>
      </c>
      <c r="C1520" s="1">
        <v>45826</v>
      </c>
      <c r="D1520" t="s">
        <v>5125</v>
      </c>
      <c r="E1520" t="s">
        <v>10629</v>
      </c>
      <c r="F1520" t="s">
        <v>148</v>
      </c>
      <c r="G1520" t="s">
        <v>447</v>
      </c>
      <c r="H1520" t="s">
        <v>39</v>
      </c>
      <c r="I1520" t="s">
        <v>40</v>
      </c>
      <c r="J1520" t="s">
        <v>109</v>
      </c>
      <c r="K1520" t="s">
        <v>42</v>
      </c>
      <c r="L1520" t="s">
        <v>43</v>
      </c>
      <c r="N1520" t="s">
        <v>44</v>
      </c>
      <c r="Q1520">
        <v>31026</v>
      </c>
      <c r="R1520" t="s">
        <v>322</v>
      </c>
      <c r="S1520" t="s">
        <v>9476</v>
      </c>
      <c r="T1520">
        <v>22</v>
      </c>
      <c r="U1520" s="2" t="s">
        <v>10630</v>
      </c>
      <c r="W1520" t="s">
        <v>153</v>
      </c>
      <c r="X1520">
        <v>110020698</v>
      </c>
      <c r="Y1520" t="s">
        <v>121</v>
      </c>
      <c r="Z1520" t="s">
        <v>122</v>
      </c>
      <c r="AA1520" s="2" t="s">
        <v>123</v>
      </c>
      <c r="AB1520" t="s">
        <v>548</v>
      </c>
      <c r="AG1520" t="s">
        <v>10631</v>
      </c>
      <c r="AH1520" t="s">
        <v>10632</v>
      </c>
      <c r="AI1520" t="s">
        <v>10633</v>
      </c>
    </row>
    <row r="1521" spans="2:35" ht="225">
      <c r="B1521" s="1">
        <v>45831</v>
      </c>
      <c r="C1521" s="1">
        <v>45827</v>
      </c>
      <c r="D1521" t="s">
        <v>8727</v>
      </c>
      <c r="E1521" t="s">
        <v>8728</v>
      </c>
      <c r="F1521" t="s">
        <v>37</v>
      </c>
      <c r="G1521" t="s">
        <v>2499</v>
      </c>
      <c r="H1521" t="s">
        <v>39</v>
      </c>
      <c r="I1521" t="s">
        <v>40</v>
      </c>
      <c r="J1521" t="s">
        <v>109</v>
      </c>
      <c r="K1521" t="s">
        <v>42</v>
      </c>
      <c r="L1521" t="s">
        <v>43</v>
      </c>
      <c r="N1521" t="s">
        <v>44</v>
      </c>
      <c r="Q1521">
        <v>31025</v>
      </c>
      <c r="R1521" t="s">
        <v>119</v>
      </c>
      <c r="S1521" t="s">
        <v>10634</v>
      </c>
      <c r="T1521">
        <v>22</v>
      </c>
      <c r="U1521" s="2" t="s">
        <v>10635</v>
      </c>
      <c r="W1521" t="s">
        <v>48</v>
      </c>
      <c r="X1521">
        <v>838206</v>
      </c>
      <c r="Y1521" t="s">
        <v>121</v>
      </c>
      <c r="Z1521" t="s">
        <v>122</v>
      </c>
      <c r="AA1521" s="2" t="s">
        <v>123</v>
      </c>
      <c r="AB1521" t="s">
        <v>10636</v>
      </c>
      <c r="AG1521" t="s">
        <v>10637</v>
      </c>
      <c r="AH1521" t="s">
        <v>10638</v>
      </c>
      <c r="AI1521" t="s">
        <v>10639</v>
      </c>
    </row>
    <row r="1522" spans="2:35" ht="375">
      <c r="B1522" s="1">
        <v>45830</v>
      </c>
      <c r="C1522" s="1">
        <v>45827</v>
      </c>
      <c r="D1522" t="s">
        <v>4694</v>
      </c>
      <c r="E1522" t="s">
        <v>10640</v>
      </c>
      <c r="F1522">
        <v>12</v>
      </c>
      <c r="G1522" t="s">
        <v>2137</v>
      </c>
      <c r="H1522" t="s">
        <v>39</v>
      </c>
      <c r="I1522" t="s">
        <v>40</v>
      </c>
      <c r="J1522" t="s">
        <v>109</v>
      </c>
      <c r="K1522" t="s">
        <v>42</v>
      </c>
      <c r="L1522" t="s">
        <v>296</v>
      </c>
      <c r="N1522" t="s">
        <v>297</v>
      </c>
      <c r="Q1522">
        <v>31024</v>
      </c>
      <c r="R1522" t="s">
        <v>119</v>
      </c>
      <c r="S1522" t="s">
        <v>10641</v>
      </c>
      <c r="T1522">
        <v>26.1</v>
      </c>
      <c r="U1522" s="2" t="s">
        <v>10642</v>
      </c>
      <c r="W1522" t="s">
        <v>981</v>
      </c>
      <c r="X1522">
        <v>838545</v>
      </c>
      <c r="Y1522" t="s">
        <v>301</v>
      </c>
      <c r="Z1522" s="2" t="s">
        <v>10643</v>
      </c>
      <c r="AA1522" t="s">
        <v>303</v>
      </c>
      <c r="AB1522" t="s">
        <v>972</v>
      </c>
      <c r="AG1522" t="s">
        <v>10644</v>
      </c>
      <c r="AH1522" t="s">
        <v>10645</v>
      </c>
      <c r="AI1522" t="s">
        <v>10646</v>
      </c>
    </row>
    <row r="1523" spans="2:35" ht="409.5">
      <c r="B1523" s="1">
        <v>45830</v>
      </c>
      <c r="C1523" s="1">
        <v>45826</v>
      </c>
      <c r="D1523" t="s">
        <v>10647</v>
      </c>
      <c r="E1523" t="s">
        <v>10648</v>
      </c>
      <c r="F1523">
        <v>12</v>
      </c>
      <c r="G1523" t="s">
        <v>2137</v>
      </c>
      <c r="H1523" t="s">
        <v>39</v>
      </c>
      <c r="I1523" t="s">
        <v>40</v>
      </c>
      <c r="J1523" s="2" t="s">
        <v>1808</v>
      </c>
      <c r="K1523" t="s">
        <v>42</v>
      </c>
      <c r="L1523" t="s">
        <v>296</v>
      </c>
      <c r="N1523" t="s">
        <v>297</v>
      </c>
      <c r="Q1523">
        <v>31023</v>
      </c>
      <c r="R1523" t="s">
        <v>322</v>
      </c>
      <c r="S1523" t="s">
        <v>10649</v>
      </c>
      <c r="T1523">
        <v>24.6</v>
      </c>
      <c r="U1523" s="2" t="s">
        <v>10650</v>
      </c>
      <c r="W1523" t="s">
        <v>970</v>
      </c>
      <c r="X1523">
        <v>110024249</v>
      </c>
      <c r="Y1523" t="s">
        <v>301</v>
      </c>
      <c r="Z1523" s="2" t="s">
        <v>10651</v>
      </c>
      <c r="AA1523" s="2" t="s">
        <v>10652</v>
      </c>
      <c r="AB1523" t="s">
        <v>972</v>
      </c>
      <c r="AG1523" t="s">
        <v>10653</v>
      </c>
      <c r="AH1523" t="s">
        <v>10654</v>
      </c>
      <c r="AI1523" t="s">
        <v>10655</v>
      </c>
    </row>
    <row r="1524" spans="2:35" ht="105">
      <c r="B1524" s="1">
        <v>45830</v>
      </c>
      <c r="C1524" s="1">
        <v>45826</v>
      </c>
      <c r="D1524" t="s">
        <v>10656</v>
      </c>
      <c r="E1524" t="s">
        <v>8313</v>
      </c>
      <c r="F1524">
        <v>5</v>
      </c>
      <c r="G1524" t="s">
        <v>8314</v>
      </c>
      <c r="H1524" t="s">
        <v>39</v>
      </c>
      <c r="I1524" t="s">
        <v>94</v>
      </c>
      <c r="J1524" t="s">
        <v>109</v>
      </c>
      <c r="K1524" t="s">
        <v>42</v>
      </c>
      <c r="L1524" t="s">
        <v>761</v>
      </c>
      <c r="N1524" t="s">
        <v>762</v>
      </c>
      <c r="Q1524">
        <v>31022</v>
      </c>
      <c r="R1524" t="s">
        <v>119</v>
      </c>
      <c r="S1524" t="s">
        <v>10657</v>
      </c>
      <c r="T1524">
        <v>24</v>
      </c>
      <c r="U1524" s="2" t="s">
        <v>10658</v>
      </c>
      <c r="W1524" t="s">
        <v>765</v>
      </c>
      <c r="X1524">
        <v>838563</v>
      </c>
      <c r="Y1524" t="s">
        <v>818</v>
      </c>
      <c r="Z1524" s="2" t="s">
        <v>1415</v>
      </c>
      <c r="AA1524" t="s">
        <v>820</v>
      </c>
      <c r="AB1524" t="s">
        <v>181</v>
      </c>
      <c r="AG1524" t="s">
        <v>10659</v>
      </c>
      <c r="AH1524" t="s">
        <v>8318</v>
      </c>
      <c r="AI1524" t="s">
        <v>10660</v>
      </c>
    </row>
    <row r="1525" spans="2:35" ht="105">
      <c r="B1525" s="1">
        <v>45828</v>
      </c>
      <c r="C1525" s="1">
        <v>45828</v>
      </c>
      <c r="D1525" t="s">
        <v>7076</v>
      </c>
      <c r="E1525" t="s">
        <v>9769</v>
      </c>
      <c r="F1525">
        <v>10</v>
      </c>
      <c r="G1525" t="s">
        <v>1395</v>
      </c>
      <c r="H1525" t="s">
        <v>1498</v>
      </c>
      <c r="I1525" t="s">
        <v>40</v>
      </c>
      <c r="J1525" s="2" t="s">
        <v>10661</v>
      </c>
      <c r="K1525" t="s">
        <v>42</v>
      </c>
      <c r="L1525" t="s">
        <v>343</v>
      </c>
      <c r="N1525" t="s">
        <v>344</v>
      </c>
      <c r="Q1525">
        <v>31021</v>
      </c>
      <c r="R1525" t="s">
        <v>119</v>
      </c>
      <c r="S1525" t="s">
        <v>7078</v>
      </c>
      <c r="T1525">
        <v>24</v>
      </c>
      <c r="U1525" s="2" t="s">
        <v>10662</v>
      </c>
      <c r="W1525" t="s">
        <v>1501</v>
      </c>
      <c r="X1525">
        <v>838575</v>
      </c>
      <c r="Y1525" t="s">
        <v>301</v>
      </c>
      <c r="Z1525" t="s">
        <v>301</v>
      </c>
      <c r="AA1525" t="e">
        <f ca="1">-Preventive Maintenance
-Export CSV file _xludf.For ALL tests</f>
        <v>#NAME?</v>
      </c>
      <c r="AB1525" t="s">
        <v>1467</v>
      </c>
      <c r="AG1525" t="s">
        <v>10663</v>
      </c>
      <c r="AH1525" t="s">
        <v>7084</v>
      </c>
      <c r="AI1525" t="s">
        <v>10664</v>
      </c>
    </row>
    <row r="1526" spans="2:35" ht="255">
      <c r="B1526" s="1">
        <v>45828</v>
      </c>
      <c r="C1526" s="1">
        <v>45828</v>
      </c>
      <c r="D1526" t="s">
        <v>4091</v>
      </c>
      <c r="E1526" t="s">
        <v>9894</v>
      </c>
      <c r="F1526">
        <v>5</v>
      </c>
      <c r="G1526" t="s">
        <v>827</v>
      </c>
      <c r="H1526" t="s">
        <v>39</v>
      </c>
      <c r="I1526" t="s">
        <v>94</v>
      </c>
      <c r="J1526" t="s">
        <v>109</v>
      </c>
      <c r="K1526" t="s">
        <v>42</v>
      </c>
      <c r="L1526" t="s">
        <v>761</v>
      </c>
      <c r="N1526" t="s">
        <v>762</v>
      </c>
      <c r="Q1526">
        <v>31020</v>
      </c>
      <c r="R1526" t="s">
        <v>119</v>
      </c>
      <c r="S1526" t="s">
        <v>9895</v>
      </c>
      <c r="T1526">
        <v>28</v>
      </c>
      <c r="U1526" s="2" t="s">
        <v>10665</v>
      </c>
      <c r="W1526" t="s">
        <v>765</v>
      </c>
      <c r="X1526">
        <v>838268</v>
      </c>
      <c r="Y1526" s="2" t="s">
        <v>10666</v>
      </c>
      <c r="Z1526" s="2" t="s">
        <v>10667</v>
      </c>
      <c r="AA1526" s="2" t="s">
        <v>3517</v>
      </c>
      <c r="AB1526" s="2" t="s">
        <v>10668</v>
      </c>
      <c r="AC1526" t="s">
        <v>10669</v>
      </c>
      <c r="AG1526" t="s">
        <v>10670</v>
      </c>
      <c r="AH1526" t="s">
        <v>10671</v>
      </c>
      <c r="AI1526" t="s">
        <v>10672</v>
      </c>
    </row>
    <row r="1527" spans="2:35" ht="75">
      <c r="B1527" s="1">
        <v>45828</v>
      </c>
      <c r="C1527" s="1">
        <v>45828</v>
      </c>
      <c r="D1527" t="s">
        <v>1155</v>
      </c>
      <c r="E1527" t="s">
        <v>8331</v>
      </c>
      <c r="F1527" t="s">
        <v>148</v>
      </c>
      <c r="G1527" t="s">
        <v>174</v>
      </c>
      <c r="H1527" t="s">
        <v>39</v>
      </c>
      <c r="I1527" t="s">
        <v>40</v>
      </c>
      <c r="J1527" s="2" t="s">
        <v>190</v>
      </c>
      <c r="K1527" t="s">
        <v>42</v>
      </c>
      <c r="L1527" t="s">
        <v>175</v>
      </c>
      <c r="N1527" t="s">
        <v>176</v>
      </c>
      <c r="Q1527">
        <v>31019</v>
      </c>
      <c r="R1527" t="s">
        <v>322</v>
      </c>
      <c r="S1527" t="s">
        <v>10673</v>
      </c>
      <c r="T1527">
        <v>27</v>
      </c>
      <c r="W1527" t="s">
        <v>84</v>
      </c>
      <c r="X1527">
        <v>807956</v>
      </c>
      <c r="Y1527" t="s">
        <v>10674</v>
      </c>
      <c r="Z1527" t="s">
        <v>10675</v>
      </c>
      <c r="AA1527" t="e">
        <f ca="1">- imported Assay definition file _xludf.For MTB
- swapped Barcode scanner FROM another Unit to Import LOT
- perfomed self test
- generated reports</f>
        <v>#NAME?</v>
      </c>
      <c r="AB1527" t="s">
        <v>181</v>
      </c>
      <c r="AG1527" t="s">
        <v>10676</v>
      </c>
      <c r="AH1527" t="s">
        <v>10677</v>
      </c>
      <c r="AI1527" t="s">
        <v>10678</v>
      </c>
    </row>
    <row r="1528" spans="2:35" ht="105">
      <c r="B1528" s="1">
        <v>45828</v>
      </c>
      <c r="C1528" s="1">
        <v>45828</v>
      </c>
      <c r="D1528" t="s">
        <v>9711</v>
      </c>
      <c r="E1528" t="s">
        <v>10679</v>
      </c>
      <c r="F1528">
        <v>10</v>
      </c>
      <c r="G1528" t="s">
        <v>2392</v>
      </c>
      <c r="H1528" t="s">
        <v>1498</v>
      </c>
      <c r="I1528" t="s">
        <v>40</v>
      </c>
      <c r="J1528" s="2" t="s">
        <v>10661</v>
      </c>
      <c r="K1528" t="s">
        <v>42</v>
      </c>
      <c r="L1528" t="s">
        <v>343</v>
      </c>
      <c r="N1528" t="s">
        <v>344</v>
      </c>
      <c r="Q1528">
        <v>31018</v>
      </c>
      <c r="R1528" t="s">
        <v>119</v>
      </c>
      <c r="S1528" t="s">
        <v>9713</v>
      </c>
      <c r="T1528">
        <v>23</v>
      </c>
      <c r="U1528" s="2" t="s">
        <v>10662</v>
      </c>
      <c r="W1528" t="s">
        <v>1501</v>
      </c>
      <c r="X1528">
        <v>838227</v>
      </c>
      <c r="Y1528" t="s">
        <v>301</v>
      </c>
      <c r="Z1528" t="s">
        <v>301</v>
      </c>
      <c r="AA1528" t="e">
        <f ca="1">-Preventive Maintenance
-Gather CSV Data _xludf.For ALL tests</f>
        <v>#NAME?</v>
      </c>
      <c r="AB1528" t="s">
        <v>348</v>
      </c>
      <c r="AG1528" t="s">
        <v>10680</v>
      </c>
      <c r="AH1528" t="s">
        <v>10681</v>
      </c>
      <c r="AI1528" t="s">
        <v>10682</v>
      </c>
    </row>
    <row r="1529" spans="2:35" ht="409.5">
      <c r="B1529" s="1">
        <v>45828</v>
      </c>
      <c r="C1529" s="1">
        <v>45828</v>
      </c>
      <c r="D1529" t="s">
        <v>1203</v>
      </c>
      <c r="E1529" t="s">
        <v>2555</v>
      </c>
      <c r="F1529">
        <v>11</v>
      </c>
      <c r="G1529" t="s">
        <v>1205</v>
      </c>
      <c r="H1529" t="s">
        <v>2548</v>
      </c>
      <c r="I1529" t="s">
        <v>40</v>
      </c>
      <c r="J1529" s="2" t="s">
        <v>4208</v>
      </c>
      <c r="K1529" t="s">
        <v>42</v>
      </c>
      <c r="L1529" t="s">
        <v>204</v>
      </c>
      <c r="N1529" t="s">
        <v>205</v>
      </c>
      <c r="Q1529">
        <v>31017</v>
      </c>
      <c r="R1529" t="s">
        <v>967</v>
      </c>
      <c r="S1529" t="s">
        <v>1206</v>
      </c>
      <c r="T1529">
        <v>25.6</v>
      </c>
      <c r="U1529" s="2" t="s">
        <v>10683</v>
      </c>
      <c r="W1529" t="s">
        <v>2550</v>
      </c>
      <c r="X1529">
        <v>110023505</v>
      </c>
      <c r="Y1529" s="2" t="s">
        <v>10684</v>
      </c>
      <c r="Z1529" s="2" t="s">
        <v>10685</v>
      </c>
      <c r="AA1529" s="2" t="s">
        <v>10686</v>
      </c>
      <c r="AB1529" s="2" t="s">
        <v>10687</v>
      </c>
      <c r="AG1529" t="s">
        <v>10688</v>
      </c>
      <c r="AH1529" t="s">
        <v>1214</v>
      </c>
      <c r="AI1529" t="s">
        <v>10689</v>
      </c>
    </row>
    <row r="1530" spans="2:35" ht="195">
      <c r="B1530" s="1">
        <v>45828</v>
      </c>
      <c r="C1530" s="1">
        <v>45828</v>
      </c>
      <c r="D1530" t="s">
        <v>4471</v>
      </c>
      <c r="E1530" t="s">
        <v>10690</v>
      </c>
      <c r="F1530">
        <v>5</v>
      </c>
      <c r="G1530" t="s">
        <v>827</v>
      </c>
      <c r="H1530" t="s">
        <v>39</v>
      </c>
      <c r="I1530" t="s">
        <v>40</v>
      </c>
      <c r="J1530" t="s">
        <v>109</v>
      </c>
      <c r="K1530" t="s">
        <v>42</v>
      </c>
      <c r="L1530" t="s">
        <v>761</v>
      </c>
      <c r="N1530" t="s">
        <v>762</v>
      </c>
      <c r="Q1530">
        <v>31016</v>
      </c>
      <c r="R1530" t="s">
        <v>967</v>
      </c>
      <c r="S1530" t="s">
        <v>10691</v>
      </c>
      <c r="T1530">
        <v>27</v>
      </c>
      <c r="U1530" s="2" t="s">
        <v>10692</v>
      </c>
      <c r="W1530" t="s">
        <v>817</v>
      </c>
      <c r="X1530">
        <v>110023512</v>
      </c>
      <c r="Y1530" t="s">
        <v>818</v>
      </c>
      <c r="Z1530" s="2" t="s">
        <v>1415</v>
      </c>
      <c r="AA1530" t="s">
        <v>820</v>
      </c>
      <c r="AB1530" t="s">
        <v>181</v>
      </c>
      <c r="AG1530" t="s">
        <v>10693</v>
      </c>
      <c r="AH1530" t="s">
        <v>10694</v>
      </c>
      <c r="AI1530" t="s">
        <v>10695</v>
      </c>
    </row>
    <row r="1531" spans="2:35" ht="315">
      <c r="B1531" s="1">
        <v>45828</v>
      </c>
      <c r="C1531" s="1">
        <v>45828</v>
      </c>
      <c r="D1531" t="s">
        <v>1203</v>
      </c>
      <c r="E1531" t="s">
        <v>2547</v>
      </c>
      <c r="F1531">
        <v>11</v>
      </c>
      <c r="G1531" t="s">
        <v>1205</v>
      </c>
      <c r="H1531" t="s">
        <v>2548</v>
      </c>
      <c r="I1531" t="s">
        <v>40</v>
      </c>
      <c r="J1531" t="s">
        <v>109</v>
      </c>
      <c r="K1531" t="s">
        <v>42</v>
      </c>
      <c r="L1531" t="s">
        <v>204</v>
      </c>
      <c r="N1531" t="s">
        <v>205</v>
      </c>
      <c r="Q1531">
        <v>31015</v>
      </c>
      <c r="R1531" t="s">
        <v>967</v>
      </c>
      <c r="S1531" t="s">
        <v>1206</v>
      </c>
      <c r="T1531">
        <v>25.8</v>
      </c>
      <c r="U1531" s="2" t="s">
        <v>10696</v>
      </c>
      <c r="W1531" t="s">
        <v>2550</v>
      </c>
      <c r="X1531">
        <v>110023506</v>
      </c>
      <c r="Y1531" t="s">
        <v>1052</v>
      </c>
      <c r="Z1531" s="2" t="s">
        <v>1321</v>
      </c>
      <c r="AA1531" t="s">
        <v>2551</v>
      </c>
      <c r="AB1531" t="s">
        <v>1211</v>
      </c>
      <c r="AG1531" t="s">
        <v>10697</v>
      </c>
      <c r="AH1531" t="s">
        <v>10698</v>
      </c>
      <c r="AI1531" t="s">
        <v>10699</v>
      </c>
    </row>
    <row r="1532" spans="2:35">
      <c r="B1532" s="1">
        <v>45828</v>
      </c>
      <c r="C1532" s="1">
        <v>45828</v>
      </c>
      <c r="D1532" t="s">
        <v>3423</v>
      </c>
      <c r="E1532" t="s">
        <v>3116</v>
      </c>
      <c r="F1532">
        <v>7</v>
      </c>
      <c r="G1532" t="s">
        <v>432</v>
      </c>
      <c r="H1532" t="s">
        <v>386</v>
      </c>
      <c r="I1532" t="s">
        <v>40</v>
      </c>
      <c r="J1532" t="s">
        <v>321</v>
      </c>
      <c r="K1532" t="s">
        <v>387</v>
      </c>
      <c r="L1532" t="s">
        <v>610</v>
      </c>
      <c r="N1532" t="s">
        <v>611</v>
      </c>
      <c r="O1532" t="s">
        <v>3424</v>
      </c>
      <c r="Q1532">
        <v>31014</v>
      </c>
      <c r="R1532" t="s">
        <v>95</v>
      </c>
      <c r="S1532" t="s">
        <v>3424</v>
      </c>
      <c r="T1532">
        <v>24</v>
      </c>
      <c r="W1532" t="s">
        <v>390</v>
      </c>
      <c r="X1532" t="s">
        <v>4856</v>
      </c>
      <c r="Y1532" t="s">
        <v>10700</v>
      </c>
      <c r="Z1532" t="s">
        <v>10700</v>
      </c>
      <c r="AA1532" t="s">
        <v>10700</v>
      </c>
      <c r="AB1532" t="s">
        <v>88</v>
      </c>
      <c r="AC1532" t="s">
        <v>3116</v>
      </c>
      <c r="AE1532" t="s">
        <v>1451</v>
      </c>
      <c r="AG1532" t="s">
        <v>10701</v>
      </c>
      <c r="AH1532" t="s">
        <v>3429</v>
      </c>
      <c r="AI1532" t="s">
        <v>10702</v>
      </c>
    </row>
    <row r="1533" spans="2:35" ht="105">
      <c r="B1533" s="1">
        <v>45827</v>
      </c>
      <c r="C1533" s="1">
        <v>45827</v>
      </c>
      <c r="D1533" t="s">
        <v>10703</v>
      </c>
      <c r="E1533" t="s">
        <v>10704</v>
      </c>
      <c r="F1533">
        <v>10</v>
      </c>
      <c r="G1533" t="s">
        <v>1395</v>
      </c>
      <c r="H1533" t="s">
        <v>1498</v>
      </c>
      <c r="I1533" t="s">
        <v>40</v>
      </c>
      <c r="J1533" s="2" t="s">
        <v>2491</v>
      </c>
      <c r="K1533" t="s">
        <v>42</v>
      </c>
      <c r="L1533" t="s">
        <v>343</v>
      </c>
      <c r="N1533" t="s">
        <v>344</v>
      </c>
      <c r="Q1533">
        <v>31013</v>
      </c>
      <c r="R1533" t="s">
        <v>119</v>
      </c>
      <c r="S1533" t="s">
        <v>10705</v>
      </c>
      <c r="T1533">
        <v>27</v>
      </c>
      <c r="U1533" s="2" t="s">
        <v>10706</v>
      </c>
      <c r="W1533" t="s">
        <v>1501</v>
      </c>
      <c r="X1533">
        <v>838294</v>
      </c>
      <c r="Y1533" t="s">
        <v>301</v>
      </c>
      <c r="Z1533" t="s">
        <v>301</v>
      </c>
      <c r="AA1533" t="e">
        <f ca="1">-Preventive Maintenance
-Export CSV Data _xludf.For ALL tests</f>
        <v>#NAME?</v>
      </c>
      <c r="AB1533" t="s">
        <v>1467</v>
      </c>
      <c r="AG1533" t="s">
        <v>10707</v>
      </c>
      <c r="AH1533" t="s">
        <v>10708</v>
      </c>
      <c r="AI1533" t="s">
        <v>10709</v>
      </c>
    </row>
    <row r="1534" spans="2:35" ht="75">
      <c r="B1534" s="1">
        <v>45827</v>
      </c>
      <c r="C1534" s="1">
        <v>45827</v>
      </c>
      <c r="D1534" t="s">
        <v>3423</v>
      </c>
      <c r="E1534" t="s">
        <v>3116</v>
      </c>
      <c r="F1534">
        <v>7</v>
      </c>
      <c r="G1534" t="s">
        <v>432</v>
      </c>
      <c r="H1534" t="s">
        <v>386</v>
      </c>
      <c r="I1534" t="s">
        <v>40</v>
      </c>
      <c r="J1534" s="2" t="s">
        <v>10710</v>
      </c>
      <c r="K1534" t="s">
        <v>387</v>
      </c>
      <c r="L1534" t="s">
        <v>610</v>
      </c>
      <c r="N1534" t="s">
        <v>611</v>
      </c>
      <c r="O1534" t="s">
        <v>3424</v>
      </c>
      <c r="Q1534">
        <v>31012</v>
      </c>
      <c r="R1534" t="s">
        <v>95</v>
      </c>
      <c r="S1534" t="s">
        <v>3424</v>
      </c>
      <c r="T1534">
        <v>24</v>
      </c>
      <c r="W1534" t="s">
        <v>390</v>
      </c>
      <c r="X1534" t="s">
        <v>10711</v>
      </c>
      <c r="Y1534" t="s">
        <v>10712</v>
      </c>
      <c r="Z1534" t="s">
        <v>10713</v>
      </c>
      <c r="AA1534" t="s">
        <v>10713</v>
      </c>
      <c r="AB1534" t="s">
        <v>10714</v>
      </c>
      <c r="AC1534" t="s">
        <v>3116</v>
      </c>
      <c r="AE1534" t="s">
        <v>1451</v>
      </c>
      <c r="AG1534" t="s">
        <v>10715</v>
      </c>
      <c r="AH1534" t="s">
        <v>3429</v>
      </c>
      <c r="AI1534" t="s">
        <v>10716</v>
      </c>
    </row>
    <row r="1535" spans="2:35" ht="105">
      <c r="B1535" s="1">
        <v>45827</v>
      </c>
      <c r="C1535" s="1">
        <v>45827</v>
      </c>
      <c r="D1535" t="s">
        <v>9663</v>
      </c>
      <c r="E1535" t="s">
        <v>10717</v>
      </c>
      <c r="F1535">
        <v>10</v>
      </c>
      <c r="G1535" t="s">
        <v>1395</v>
      </c>
      <c r="H1535" t="s">
        <v>1498</v>
      </c>
      <c r="I1535" t="s">
        <v>40</v>
      </c>
      <c r="J1535" s="2" t="s">
        <v>10661</v>
      </c>
      <c r="K1535" t="s">
        <v>42</v>
      </c>
      <c r="L1535" t="s">
        <v>343</v>
      </c>
      <c r="N1535" t="s">
        <v>344</v>
      </c>
      <c r="Q1535">
        <v>31011</v>
      </c>
      <c r="R1535" t="s">
        <v>119</v>
      </c>
      <c r="S1535" t="s">
        <v>9665</v>
      </c>
      <c r="T1535">
        <v>27</v>
      </c>
      <c r="U1535" s="2" t="s">
        <v>10718</v>
      </c>
      <c r="W1535" t="s">
        <v>1501</v>
      </c>
      <c r="X1535">
        <v>838420</v>
      </c>
      <c r="Y1535" t="s">
        <v>301</v>
      </c>
      <c r="Z1535" t="s">
        <v>301</v>
      </c>
      <c r="AA1535" t="e">
        <f ca="1">-Preventive Maintenance
-Export CSV Data _xludf.For ALL tests</f>
        <v>#NAME?</v>
      </c>
      <c r="AB1535" t="s">
        <v>1467</v>
      </c>
      <c r="AG1535" t="s">
        <v>10719</v>
      </c>
      <c r="AH1535" t="s">
        <v>9669</v>
      </c>
      <c r="AI1535" t="s">
        <v>10720</v>
      </c>
    </row>
    <row r="1536" spans="2:35" ht="135">
      <c r="B1536" s="1">
        <v>45827</v>
      </c>
      <c r="C1536" s="1">
        <v>45827</v>
      </c>
      <c r="D1536" t="s">
        <v>3423</v>
      </c>
      <c r="E1536" t="s">
        <v>3116</v>
      </c>
      <c r="F1536">
        <v>7</v>
      </c>
      <c r="G1536" t="s">
        <v>432</v>
      </c>
      <c r="H1536" t="s">
        <v>386</v>
      </c>
      <c r="I1536" t="s">
        <v>40</v>
      </c>
      <c r="J1536" s="2" t="s">
        <v>760</v>
      </c>
      <c r="K1536" t="s">
        <v>387</v>
      </c>
      <c r="L1536" t="s">
        <v>610</v>
      </c>
      <c r="N1536" t="s">
        <v>611</v>
      </c>
      <c r="O1536" t="s">
        <v>3424</v>
      </c>
      <c r="Q1536">
        <v>31010</v>
      </c>
      <c r="R1536" t="s">
        <v>95</v>
      </c>
      <c r="S1536" t="s">
        <v>3424</v>
      </c>
      <c r="T1536">
        <v>24</v>
      </c>
      <c r="W1536" t="s">
        <v>390</v>
      </c>
      <c r="X1536" t="s">
        <v>10711</v>
      </c>
      <c r="Y1536" t="s">
        <v>10712</v>
      </c>
      <c r="Z1536" t="s">
        <v>10713</v>
      </c>
      <c r="AA1536" s="2" t="s">
        <v>10721</v>
      </c>
      <c r="AB1536" t="s">
        <v>10722</v>
      </c>
      <c r="AC1536" t="s">
        <v>3116</v>
      </c>
      <c r="AE1536" t="s">
        <v>1451</v>
      </c>
      <c r="AG1536" t="s">
        <v>10723</v>
      </c>
      <c r="AH1536" t="s">
        <v>3429</v>
      </c>
      <c r="AI1536" t="s">
        <v>10724</v>
      </c>
    </row>
    <row r="1537" spans="2:35" ht="90">
      <c r="B1537" s="1">
        <v>45827</v>
      </c>
      <c r="C1537" s="1">
        <v>45820</v>
      </c>
      <c r="D1537" t="s">
        <v>3423</v>
      </c>
      <c r="E1537" t="s">
        <v>3116</v>
      </c>
      <c r="F1537">
        <v>7</v>
      </c>
      <c r="G1537" t="s">
        <v>432</v>
      </c>
      <c r="H1537" t="s">
        <v>386</v>
      </c>
      <c r="I1537" t="s">
        <v>40</v>
      </c>
      <c r="J1537" s="2" t="s">
        <v>1592</v>
      </c>
      <c r="K1537" t="s">
        <v>387</v>
      </c>
      <c r="L1537" t="s">
        <v>610</v>
      </c>
      <c r="N1537" t="s">
        <v>611</v>
      </c>
      <c r="Q1537">
        <v>31009</v>
      </c>
      <c r="R1537" t="s">
        <v>95</v>
      </c>
      <c r="S1537" t="s">
        <v>3424</v>
      </c>
      <c r="T1537">
        <v>24</v>
      </c>
      <c r="W1537" t="s">
        <v>390</v>
      </c>
      <c r="X1537" t="s">
        <v>10711</v>
      </c>
      <c r="Y1537" t="s">
        <v>10712</v>
      </c>
      <c r="Z1537" t="s">
        <v>10713</v>
      </c>
      <c r="AA1537" t="s">
        <v>10713</v>
      </c>
      <c r="AB1537" t="s">
        <v>10725</v>
      </c>
      <c r="AE1537" t="s">
        <v>1451</v>
      </c>
      <c r="AG1537" t="s">
        <v>10726</v>
      </c>
      <c r="AH1537" t="s">
        <v>3429</v>
      </c>
      <c r="AI1537" t="s">
        <v>10727</v>
      </c>
    </row>
    <row r="1538" spans="2:35" ht="195">
      <c r="B1538" s="1">
        <v>45827</v>
      </c>
      <c r="C1538" s="1">
        <v>45827</v>
      </c>
      <c r="D1538" t="s">
        <v>2176</v>
      </c>
      <c r="E1538" t="s">
        <v>5757</v>
      </c>
      <c r="F1538" t="s">
        <v>148</v>
      </c>
      <c r="G1538" t="s">
        <v>447</v>
      </c>
      <c r="H1538" t="s">
        <v>513</v>
      </c>
      <c r="I1538" t="s">
        <v>94</v>
      </c>
      <c r="J1538" t="s">
        <v>79</v>
      </c>
      <c r="K1538" t="s">
        <v>387</v>
      </c>
      <c r="L1538" t="s">
        <v>80</v>
      </c>
      <c r="N1538" t="s">
        <v>81</v>
      </c>
      <c r="O1538" t="s">
        <v>9569</v>
      </c>
      <c r="Q1538">
        <v>31008</v>
      </c>
      <c r="R1538" t="s">
        <v>322</v>
      </c>
      <c r="S1538" t="s">
        <v>4140</v>
      </c>
      <c r="T1538">
        <v>27</v>
      </c>
      <c r="V1538" s="1">
        <v>45826</v>
      </c>
      <c r="W1538" t="s">
        <v>390</v>
      </c>
      <c r="X1538" t="s">
        <v>10728</v>
      </c>
      <c r="Y1538" t="s">
        <v>10729</v>
      </c>
      <c r="Z1538" s="2" t="s">
        <v>10730</v>
      </c>
      <c r="AA1538" s="2" t="s">
        <v>10731</v>
      </c>
      <c r="AB1538" t="s">
        <v>88</v>
      </c>
      <c r="AC1538" t="s">
        <v>10732</v>
      </c>
      <c r="AD1538" t="s">
        <v>10733</v>
      </c>
      <c r="AE1538" t="s">
        <v>10734</v>
      </c>
      <c r="AG1538" t="s">
        <v>10735</v>
      </c>
      <c r="AH1538" t="s">
        <v>10736</v>
      </c>
      <c r="AI1538" t="s">
        <v>10737</v>
      </c>
    </row>
    <row r="1539" spans="2:35" ht="105">
      <c r="B1539" s="1">
        <v>45827</v>
      </c>
      <c r="C1539" s="1">
        <v>45827</v>
      </c>
      <c r="D1539" t="s">
        <v>10738</v>
      </c>
      <c r="E1539" t="s">
        <v>10739</v>
      </c>
      <c r="F1539">
        <v>5</v>
      </c>
      <c r="G1539" t="s">
        <v>827</v>
      </c>
      <c r="H1539" t="s">
        <v>39</v>
      </c>
      <c r="I1539" t="s">
        <v>94</v>
      </c>
      <c r="J1539" t="s">
        <v>109</v>
      </c>
      <c r="K1539" t="s">
        <v>42</v>
      </c>
      <c r="L1539" t="s">
        <v>761</v>
      </c>
      <c r="N1539" t="s">
        <v>762</v>
      </c>
      <c r="Q1539">
        <v>31007</v>
      </c>
      <c r="R1539" t="s">
        <v>119</v>
      </c>
      <c r="S1539" t="s">
        <v>10740</v>
      </c>
      <c r="T1539">
        <v>30</v>
      </c>
      <c r="U1539" s="2" t="s">
        <v>10741</v>
      </c>
      <c r="W1539" t="s">
        <v>765</v>
      </c>
      <c r="X1539">
        <v>838267</v>
      </c>
      <c r="Y1539" t="s">
        <v>818</v>
      </c>
      <c r="Z1539" s="2" t="s">
        <v>1415</v>
      </c>
      <c r="AA1539" t="s">
        <v>820</v>
      </c>
      <c r="AB1539" t="s">
        <v>70</v>
      </c>
      <c r="AG1539" t="s">
        <v>10742</v>
      </c>
      <c r="AH1539" t="s">
        <v>10743</v>
      </c>
      <c r="AI1539" t="s">
        <v>10744</v>
      </c>
    </row>
    <row r="1540" spans="2:35" ht="75">
      <c r="B1540" s="1">
        <v>45827</v>
      </c>
      <c r="C1540" s="1">
        <v>45827</v>
      </c>
      <c r="D1540" t="s">
        <v>9725</v>
      </c>
      <c r="E1540" t="s">
        <v>9726</v>
      </c>
      <c r="F1540">
        <v>10</v>
      </c>
      <c r="G1540" t="s">
        <v>1395</v>
      </c>
      <c r="H1540" t="s">
        <v>1498</v>
      </c>
      <c r="I1540" t="s">
        <v>40</v>
      </c>
      <c r="J1540" s="2" t="s">
        <v>10661</v>
      </c>
      <c r="K1540" t="s">
        <v>42</v>
      </c>
      <c r="L1540" t="s">
        <v>343</v>
      </c>
      <c r="N1540" t="s">
        <v>344</v>
      </c>
      <c r="Q1540">
        <v>31006</v>
      </c>
      <c r="R1540" t="s">
        <v>119</v>
      </c>
      <c r="S1540" t="s">
        <v>9727</v>
      </c>
      <c r="T1540">
        <v>27</v>
      </c>
      <c r="W1540" t="s">
        <v>1501</v>
      </c>
      <c r="X1540">
        <v>838562</v>
      </c>
      <c r="Y1540" t="s">
        <v>301</v>
      </c>
      <c r="Z1540" t="s">
        <v>301</v>
      </c>
      <c r="AA1540" t="e">
        <f ca="1">-Preventive Maintenance
-Export CSV file _xludf.For ALL tests</f>
        <v>#NAME?</v>
      </c>
      <c r="AB1540" t="s">
        <v>348</v>
      </c>
      <c r="AG1540" t="s">
        <v>10745</v>
      </c>
      <c r="AH1540" t="s">
        <v>10746</v>
      </c>
      <c r="AI1540" t="s">
        <v>10747</v>
      </c>
    </row>
    <row r="1541" spans="2:35" ht="105">
      <c r="B1541" s="1">
        <v>45826</v>
      </c>
      <c r="C1541" s="1">
        <v>45821</v>
      </c>
      <c r="D1541" t="s">
        <v>8914</v>
      </c>
      <c r="E1541" t="s">
        <v>10748</v>
      </c>
      <c r="F1541">
        <v>5</v>
      </c>
      <c r="G1541" t="s">
        <v>839</v>
      </c>
      <c r="H1541" t="s">
        <v>39</v>
      </c>
      <c r="I1541" t="s">
        <v>94</v>
      </c>
      <c r="J1541" t="s">
        <v>109</v>
      </c>
      <c r="K1541" t="s">
        <v>42</v>
      </c>
      <c r="L1541" t="s">
        <v>761</v>
      </c>
      <c r="N1541" t="s">
        <v>762</v>
      </c>
      <c r="Q1541">
        <v>31005</v>
      </c>
      <c r="R1541" t="s">
        <v>119</v>
      </c>
      <c r="S1541" t="s">
        <v>8916</v>
      </c>
      <c r="T1541">
        <v>27</v>
      </c>
      <c r="W1541" t="s">
        <v>765</v>
      </c>
      <c r="X1541">
        <v>838558</v>
      </c>
      <c r="Y1541" t="s">
        <v>818</v>
      </c>
      <c r="Z1541" s="2" t="s">
        <v>1415</v>
      </c>
      <c r="AA1541" t="s">
        <v>820</v>
      </c>
      <c r="AB1541" t="s">
        <v>70</v>
      </c>
      <c r="AG1541" t="s">
        <v>10749</v>
      </c>
      <c r="AH1541" t="s">
        <v>10750</v>
      </c>
      <c r="AI1541" t="s">
        <v>10751</v>
      </c>
    </row>
    <row r="1542" spans="2:35" ht="120">
      <c r="B1542" s="1">
        <v>45826</v>
      </c>
      <c r="C1542" s="1">
        <v>45821</v>
      </c>
      <c r="D1542" t="s">
        <v>8907</v>
      </c>
      <c r="E1542" t="s">
        <v>8908</v>
      </c>
      <c r="F1542">
        <v>5</v>
      </c>
      <c r="G1542" t="s">
        <v>839</v>
      </c>
      <c r="H1542" t="s">
        <v>39</v>
      </c>
      <c r="I1542" t="s">
        <v>94</v>
      </c>
      <c r="J1542" t="s">
        <v>109</v>
      </c>
      <c r="K1542" t="s">
        <v>42</v>
      </c>
      <c r="L1542" t="s">
        <v>761</v>
      </c>
      <c r="N1542" t="s">
        <v>762</v>
      </c>
      <c r="Q1542">
        <v>31004</v>
      </c>
      <c r="R1542" t="s">
        <v>119</v>
      </c>
      <c r="S1542" t="s">
        <v>8909</v>
      </c>
      <c r="T1542">
        <v>29</v>
      </c>
      <c r="W1542" t="s">
        <v>765</v>
      </c>
      <c r="X1542">
        <v>838389</v>
      </c>
      <c r="Y1542" t="s">
        <v>818</v>
      </c>
      <c r="Z1542" s="2" t="s">
        <v>4466</v>
      </c>
      <c r="AA1542" t="s">
        <v>820</v>
      </c>
      <c r="AB1542" t="s">
        <v>70</v>
      </c>
      <c r="AG1542" t="s">
        <v>10752</v>
      </c>
      <c r="AH1542" t="s">
        <v>10753</v>
      </c>
      <c r="AI1542" t="s">
        <v>10754</v>
      </c>
    </row>
    <row r="1543" spans="2:35" ht="120">
      <c r="B1543" s="1">
        <v>45826</v>
      </c>
      <c r="C1543" s="1">
        <v>45819</v>
      </c>
      <c r="D1543" t="s">
        <v>6943</v>
      </c>
      <c r="E1543" t="s">
        <v>6944</v>
      </c>
      <c r="F1543">
        <v>5</v>
      </c>
      <c r="G1543" t="s">
        <v>5795</v>
      </c>
      <c r="H1543" t="s">
        <v>39</v>
      </c>
      <c r="I1543" t="s">
        <v>94</v>
      </c>
      <c r="J1543" t="s">
        <v>109</v>
      </c>
      <c r="K1543" t="s">
        <v>42</v>
      </c>
      <c r="L1543" t="s">
        <v>761</v>
      </c>
      <c r="N1543" t="s">
        <v>762</v>
      </c>
      <c r="Q1543">
        <v>31003</v>
      </c>
      <c r="R1543" t="s">
        <v>119</v>
      </c>
      <c r="S1543" t="s">
        <v>5796</v>
      </c>
      <c r="T1543">
        <v>28</v>
      </c>
      <c r="U1543" s="2" t="s">
        <v>10755</v>
      </c>
      <c r="W1543" t="s">
        <v>765</v>
      </c>
      <c r="X1543">
        <v>838576</v>
      </c>
      <c r="Y1543" t="s">
        <v>818</v>
      </c>
      <c r="Z1543" s="2" t="s">
        <v>7933</v>
      </c>
      <c r="AA1543" t="s">
        <v>820</v>
      </c>
      <c r="AB1543" t="s">
        <v>70</v>
      </c>
      <c r="AC1543" t="s">
        <v>10756</v>
      </c>
      <c r="AG1543" t="s">
        <v>10757</v>
      </c>
      <c r="AH1543" t="s">
        <v>5805</v>
      </c>
      <c r="AI1543" t="s">
        <v>10758</v>
      </c>
    </row>
    <row r="1544" spans="2:35" ht="120">
      <c r="B1544" s="1">
        <v>45826</v>
      </c>
      <c r="C1544" s="1">
        <v>45819</v>
      </c>
      <c r="D1544" t="s">
        <v>7939</v>
      </c>
      <c r="E1544" t="s">
        <v>7940</v>
      </c>
      <c r="F1544">
        <v>5</v>
      </c>
      <c r="G1544" t="s">
        <v>839</v>
      </c>
      <c r="H1544" t="s">
        <v>39</v>
      </c>
      <c r="I1544" t="s">
        <v>94</v>
      </c>
      <c r="J1544" t="s">
        <v>109</v>
      </c>
      <c r="K1544" t="s">
        <v>42</v>
      </c>
      <c r="L1544" t="s">
        <v>761</v>
      </c>
      <c r="N1544" t="s">
        <v>762</v>
      </c>
      <c r="Q1544">
        <v>31002</v>
      </c>
      <c r="R1544" t="s">
        <v>119</v>
      </c>
      <c r="S1544" t="s">
        <v>10759</v>
      </c>
      <c r="T1544">
        <v>24</v>
      </c>
      <c r="W1544" t="s">
        <v>765</v>
      </c>
      <c r="X1544">
        <v>838207</v>
      </c>
      <c r="Y1544" t="s">
        <v>818</v>
      </c>
      <c r="Z1544" s="2" t="s">
        <v>7933</v>
      </c>
      <c r="AA1544" t="s">
        <v>820</v>
      </c>
      <c r="AB1544" t="s">
        <v>181</v>
      </c>
      <c r="AG1544" t="s">
        <v>10760</v>
      </c>
      <c r="AH1544" t="s">
        <v>10761</v>
      </c>
      <c r="AI1544" t="s">
        <v>10762</v>
      </c>
    </row>
    <row r="1545" spans="2:35" ht="120">
      <c r="B1545" s="1">
        <v>45826</v>
      </c>
      <c r="C1545" s="1">
        <v>45819</v>
      </c>
      <c r="D1545" t="s">
        <v>6555</v>
      </c>
      <c r="E1545" t="s">
        <v>10763</v>
      </c>
      <c r="F1545">
        <v>5</v>
      </c>
      <c r="G1545" t="s">
        <v>839</v>
      </c>
      <c r="H1545" t="s">
        <v>39</v>
      </c>
      <c r="I1545" t="s">
        <v>94</v>
      </c>
      <c r="J1545" t="s">
        <v>109</v>
      </c>
      <c r="K1545" t="s">
        <v>42</v>
      </c>
      <c r="L1545" t="s">
        <v>761</v>
      </c>
      <c r="N1545" t="s">
        <v>762</v>
      </c>
      <c r="Q1545">
        <v>31001</v>
      </c>
      <c r="R1545" t="s">
        <v>119</v>
      </c>
      <c r="S1545" t="s">
        <v>6557</v>
      </c>
      <c r="T1545">
        <v>27</v>
      </c>
      <c r="U1545" s="2" t="s">
        <v>10764</v>
      </c>
      <c r="W1545" t="s">
        <v>765</v>
      </c>
      <c r="X1545">
        <v>838398</v>
      </c>
      <c r="Y1545" t="s">
        <v>818</v>
      </c>
      <c r="Z1545" s="2" t="s">
        <v>7933</v>
      </c>
      <c r="AA1545" t="s">
        <v>820</v>
      </c>
      <c r="AB1545" t="s">
        <v>70</v>
      </c>
      <c r="AG1545" t="s">
        <v>10765</v>
      </c>
      <c r="AH1545" t="s">
        <v>6562</v>
      </c>
      <c r="AI1545" t="s">
        <v>10766</v>
      </c>
    </row>
    <row r="1546" spans="2:35" ht="120">
      <c r="B1546" s="1">
        <v>45826</v>
      </c>
      <c r="C1546" s="1">
        <v>45818</v>
      </c>
      <c r="D1546" t="s">
        <v>5807</v>
      </c>
      <c r="E1546" t="s">
        <v>7098</v>
      </c>
      <c r="F1546">
        <v>5</v>
      </c>
      <c r="G1546" t="s">
        <v>839</v>
      </c>
      <c r="H1546" t="s">
        <v>39</v>
      </c>
      <c r="I1546" t="s">
        <v>94</v>
      </c>
      <c r="J1546" t="s">
        <v>109</v>
      </c>
      <c r="K1546" t="s">
        <v>42</v>
      </c>
      <c r="L1546" t="s">
        <v>761</v>
      </c>
      <c r="N1546" t="s">
        <v>762</v>
      </c>
      <c r="Q1546">
        <v>31000</v>
      </c>
      <c r="R1546" t="s">
        <v>119</v>
      </c>
      <c r="S1546" t="s">
        <v>7099</v>
      </c>
      <c r="T1546">
        <v>25</v>
      </c>
      <c r="U1546" s="2" t="s">
        <v>10767</v>
      </c>
      <c r="W1546" t="s">
        <v>765</v>
      </c>
      <c r="X1546">
        <v>838408</v>
      </c>
      <c r="Y1546" t="s">
        <v>818</v>
      </c>
      <c r="Z1546" s="2" t="s">
        <v>4466</v>
      </c>
      <c r="AA1546" t="s">
        <v>820</v>
      </c>
      <c r="AB1546" t="s">
        <v>181</v>
      </c>
      <c r="AC1546" t="s">
        <v>10768</v>
      </c>
      <c r="AG1546" t="s">
        <v>10769</v>
      </c>
      <c r="AH1546" t="s">
        <v>10770</v>
      </c>
      <c r="AI1546" t="s">
        <v>10771</v>
      </c>
    </row>
    <row r="1547" spans="2:35" ht="165">
      <c r="B1547" s="1">
        <v>45826</v>
      </c>
      <c r="C1547" s="1">
        <v>45826</v>
      </c>
      <c r="D1547" t="s">
        <v>8369</v>
      </c>
      <c r="E1547" t="s">
        <v>8370</v>
      </c>
      <c r="F1547">
        <v>2</v>
      </c>
      <c r="G1547" t="s">
        <v>2668</v>
      </c>
      <c r="H1547" t="s">
        <v>39</v>
      </c>
      <c r="I1547" t="s">
        <v>40</v>
      </c>
      <c r="J1547" t="s">
        <v>109</v>
      </c>
      <c r="K1547" t="s">
        <v>42</v>
      </c>
      <c r="L1547" t="s">
        <v>63</v>
      </c>
      <c r="N1547" t="s">
        <v>64</v>
      </c>
      <c r="Q1547">
        <v>30999</v>
      </c>
      <c r="R1547" t="s">
        <v>119</v>
      </c>
      <c r="S1547" t="s">
        <v>8371</v>
      </c>
      <c r="T1547">
        <v>28</v>
      </c>
      <c r="U1547" s="2" t="s">
        <v>10772</v>
      </c>
      <c r="W1547" t="s">
        <v>66</v>
      </c>
      <c r="X1547">
        <v>838480</v>
      </c>
      <c r="Y1547" t="s">
        <v>2692</v>
      </c>
      <c r="Z1547" s="2" t="s">
        <v>10773</v>
      </c>
      <c r="AA1547" s="2" t="s">
        <v>2726</v>
      </c>
      <c r="AB1547" t="s">
        <v>70</v>
      </c>
      <c r="AG1547" t="s">
        <v>10774</v>
      </c>
      <c r="AH1547" t="s">
        <v>10775</v>
      </c>
      <c r="AI1547" t="s">
        <v>10776</v>
      </c>
    </row>
    <row r="1548" spans="2:35" ht="105">
      <c r="B1548" s="1">
        <v>45826</v>
      </c>
      <c r="C1548" s="1">
        <v>45826</v>
      </c>
      <c r="D1548" t="s">
        <v>9682</v>
      </c>
      <c r="E1548" t="s">
        <v>10777</v>
      </c>
      <c r="F1548">
        <v>9</v>
      </c>
      <c r="G1548" t="s">
        <v>2197</v>
      </c>
      <c r="H1548" t="s">
        <v>39</v>
      </c>
      <c r="I1548" t="s">
        <v>40</v>
      </c>
      <c r="J1548" s="2" t="s">
        <v>10778</v>
      </c>
      <c r="K1548" t="s">
        <v>42</v>
      </c>
      <c r="L1548" t="s">
        <v>1257</v>
      </c>
      <c r="N1548" t="s">
        <v>1258</v>
      </c>
      <c r="O1548" t="s">
        <v>1258</v>
      </c>
      <c r="Q1548">
        <v>30998</v>
      </c>
      <c r="R1548" t="s">
        <v>119</v>
      </c>
      <c r="S1548" t="s">
        <v>9684</v>
      </c>
      <c r="T1548">
        <v>26</v>
      </c>
      <c r="U1548" s="2" t="s">
        <v>10779</v>
      </c>
      <c r="V1548" s="1">
        <v>45806</v>
      </c>
      <c r="W1548" t="s">
        <v>2384</v>
      </c>
      <c r="X1548">
        <v>838568</v>
      </c>
      <c r="Y1548" t="s">
        <v>10780</v>
      </c>
      <c r="Z1548" t="s">
        <v>10781</v>
      </c>
      <c r="AA1548" t="s">
        <v>10781</v>
      </c>
      <c r="AB1548" t="s">
        <v>10782</v>
      </c>
      <c r="AC1548" t="s">
        <v>301</v>
      </c>
      <c r="AD1548" t="s">
        <v>10783</v>
      </c>
      <c r="AE1548">
        <v>13058</v>
      </c>
      <c r="AG1548" t="s">
        <v>10784</v>
      </c>
      <c r="AH1548" t="s">
        <v>9688</v>
      </c>
      <c r="AI1548" t="s">
        <v>10785</v>
      </c>
    </row>
    <row r="1549" spans="2:35" ht="165">
      <c r="B1549" s="1">
        <v>45826</v>
      </c>
      <c r="C1549" s="1">
        <v>45826</v>
      </c>
      <c r="D1549" t="s">
        <v>5306</v>
      </c>
      <c r="E1549" t="s">
        <v>5307</v>
      </c>
      <c r="F1549">
        <v>2</v>
      </c>
      <c r="G1549" t="s">
        <v>2668</v>
      </c>
      <c r="H1549" t="s">
        <v>39</v>
      </c>
      <c r="I1549" t="s">
        <v>40</v>
      </c>
      <c r="J1549" t="s">
        <v>109</v>
      </c>
      <c r="K1549" t="s">
        <v>42</v>
      </c>
      <c r="L1549" t="s">
        <v>63</v>
      </c>
      <c r="N1549" t="s">
        <v>64</v>
      </c>
      <c r="Q1549">
        <v>30997</v>
      </c>
      <c r="R1549" t="s">
        <v>967</v>
      </c>
      <c r="S1549" t="s">
        <v>5308</v>
      </c>
      <c r="T1549">
        <v>29</v>
      </c>
      <c r="U1549" s="2" t="s">
        <v>10786</v>
      </c>
      <c r="W1549" t="s">
        <v>373</v>
      </c>
      <c r="X1549">
        <v>110023504</v>
      </c>
      <c r="Y1549" t="s">
        <v>2692</v>
      </c>
      <c r="Z1549" s="2" t="s">
        <v>10348</v>
      </c>
      <c r="AA1549" s="2" t="s">
        <v>1727</v>
      </c>
      <c r="AB1549" t="s">
        <v>70</v>
      </c>
      <c r="AG1549" t="s">
        <v>10787</v>
      </c>
      <c r="AH1549" t="s">
        <v>10788</v>
      </c>
      <c r="AI1549" t="s">
        <v>10789</v>
      </c>
    </row>
    <row r="1550" spans="2:35" ht="150">
      <c r="B1550" s="1">
        <v>45826</v>
      </c>
      <c r="C1550" s="1">
        <v>45826</v>
      </c>
      <c r="D1550" t="s">
        <v>7476</v>
      </c>
      <c r="E1550" t="s">
        <v>7477</v>
      </c>
      <c r="F1550">
        <v>11</v>
      </c>
      <c r="G1550" t="s">
        <v>1205</v>
      </c>
      <c r="H1550" t="s">
        <v>202</v>
      </c>
      <c r="I1550" t="s">
        <v>40</v>
      </c>
      <c r="J1550" s="2" t="s">
        <v>355</v>
      </c>
      <c r="K1550" t="s">
        <v>42</v>
      </c>
      <c r="L1550" t="s">
        <v>204</v>
      </c>
      <c r="N1550" t="s">
        <v>205</v>
      </c>
      <c r="Q1550">
        <v>30996</v>
      </c>
      <c r="R1550" t="s">
        <v>119</v>
      </c>
      <c r="S1550" t="s">
        <v>7478</v>
      </c>
      <c r="T1550">
        <v>22.6</v>
      </c>
      <c r="U1550" s="2" t="s">
        <v>10790</v>
      </c>
      <c r="W1550" t="s">
        <v>208</v>
      </c>
      <c r="X1550">
        <v>838507</v>
      </c>
      <c r="Y1550" s="2" t="s">
        <v>10791</v>
      </c>
      <c r="Z1550" s="2" t="s">
        <v>10792</v>
      </c>
      <c r="AA1550" s="2" t="s">
        <v>10793</v>
      </c>
      <c r="AB1550" t="s">
        <v>10794</v>
      </c>
      <c r="AG1550" t="s">
        <v>10795</v>
      </c>
      <c r="AH1550" t="s">
        <v>7481</v>
      </c>
      <c r="AI1550" t="s">
        <v>10796</v>
      </c>
    </row>
    <row r="1551" spans="2:35" ht="105">
      <c r="B1551" s="1">
        <v>45826</v>
      </c>
      <c r="C1551" s="1">
        <v>45826</v>
      </c>
      <c r="D1551" t="s">
        <v>340</v>
      </c>
      <c r="E1551" t="s">
        <v>8872</v>
      </c>
      <c r="F1551">
        <v>8</v>
      </c>
      <c r="G1551" t="s">
        <v>342</v>
      </c>
      <c r="H1551" t="s">
        <v>258</v>
      </c>
      <c r="I1551" t="s">
        <v>40</v>
      </c>
      <c r="J1551" t="s">
        <v>109</v>
      </c>
      <c r="K1551" t="s">
        <v>42</v>
      </c>
      <c r="L1551" t="s">
        <v>259</v>
      </c>
      <c r="N1551" t="s">
        <v>260</v>
      </c>
      <c r="Q1551">
        <v>30995</v>
      </c>
      <c r="R1551" t="s">
        <v>119</v>
      </c>
      <c r="S1551" t="s">
        <v>345</v>
      </c>
      <c r="T1551">
        <v>26</v>
      </c>
      <c r="U1551" s="2" t="s">
        <v>10797</v>
      </c>
      <c r="V1551" s="1">
        <v>45826</v>
      </c>
      <c r="W1551" t="s">
        <v>84</v>
      </c>
      <c r="X1551">
        <v>838555</v>
      </c>
      <c r="Y1551" t="s">
        <v>263</v>
      </c>
      <c r="Z1551" t="s">
        <v>263</v>
      </c>
      <c r="AA1551" t="e">
        <f ca="1">- Preventive Maintenance</f>
        <v>#NAME?</v>
      </c>
      <c r="AB1551" t="s">
        <v>70</v>
      </c>
      <c r="AG1551" t="s">
        <v>10798</v>
      </c>
      <c r="AH1551" t="s">
        <v>8455</v>
      </c>
      <c r="AI1551" t="s">
        <v>10799</v>
      </c>
    </row>
    <row r="1552" spans="2:35" ht="105">
      <c r="B1552" s="1">
        <v>45826</v>
      </c>
      <c r="C1552" s="1">
        <v>45826</v>
      </c>
      <c r="D1552" t="s">
        <v>10149</v>
      </c>
      <c r="E1552" t="s">
        <v>10800</v>
      </c>
      <c r="F1552">
        <v>10</v>
      </c>
      <c r="G1552" t="s">
        <v>1395</v>
      </c>
      <c r="H1552" t="s">
        <v>1498</v>
      </c>
      <c r="I1552" t="s">
        <v>40</v>
      </c>
      <c r="J1552" s="2" t="s">
        <v>10661</v>
      </c>
      <c r="K1552" t="s">
        <v>42</v>
      </c>
      <c r="L1552" t="s">
        <v>343</v>
      </c>
      <c r="N1552" t="s">
        <v>344</v>
      </c>
      <c r="Q1552">
        <v>30994</v>
      </c>
      <c r="R1552" t="s">
        <v>119</v>
      </c>
      <c r="S1552" t="s">
        <v>10801</v>
      </c>
      <c r="T1552">
        <v>29</v>
      </c>
      <c r="U1552" s="2" t="s">
        <v>4337</v>
      </c>
      <c r="W1552" t="s">
        <v>1501</v>
      </c>
      <c r="X1552">
        <v>838269</v>
      </c>
      <c r="Y1552" t="s">
        <v>301</v>
      </c>
      <c r="Z1552" t="s">
        <v>301</v>
      </c>
      <c r="AA1552" t="e">
        <f ca="1">-Preventive Maintenance
-Data Gather ALL tests</f>
        <v>#NAME?</v>
      </c>
      <c r="AB1552" t="s">
        <v>1467</v>
      </c>
      <c r="AG1552" t="s">
        <v>10802</v>
      </c>
      <c r="AH1552" t="s">
        <v>5521</v>
      </c>
      <c r="AI1552" t="s">
        <v>10803</v>
      </c>
    </row>
    <row r="1553" spans="2:35" ht="60">
      <c r="B1553" s="1">
        <v>45826</v>
      </c>
      <c r="C1553" s="1">
        <v>45826</v>
      </c>
      <c r="D1553" t="s">
        <v>10804</v>
      </c>
      <c r="E1553" t="s">
        <v>5216</v>
      </c>
      <c r="F1553">
        <v>6</v>
      </c>
      <c r="G1553" t="s">
        <v>5216</v>
      </c>
      <c r="H1553" t="s">
        <v>39</v>
      </c>
      <c r="I1553" t="s">
        <v>40</v>
      </c>
      <c r="J1553" s="2" t="s">
        <v>10805</v>
      </c>
      <c r="K1553" t="s">
        <v>42</v>
      </c>
      <c r="L1553" t="s">
        <v>1288</v>
      </c>
      <c r="N1553" t="s">
        <v>1289</v>
      </c>
      <c r="O1553" t="s">
        <v>10806</v>
      </c>
      <c r="Q1553">
        <v>30993</v>
      </c>
      <c r="R1553" t="s">
        <v>967</v>
      </c>
      <c r="S1553" t="s">
        <v>10807</v>
      </c>
      <c r="T1553">
        <v>28</v>
      </c>
      <c r="U1553" s="2" t="s">
        <v>10808</v>
      </c>
      <c r="W1553" t="s">
        <v>1292</v>
      </c>
      <c r="X1553">
        <v>110023540</v>
      </c>
      <c r="Y1553" t="e">
        <f ca="1">-GX transfer FROM Hospital Lab to Annex Bldg</f>
        <v>#NAME?</v>
      </c>
      <c r="Z1553" t="e">
        <f ca="1">-COLLECT IQR</f>
        <v>#NAME?</v>
      </c>
      <c r="AA1553" t="e">
        <f ca="1">-PERFORM GX transfer _xludf.and Installation
-PERFORM functionality test, passed
-PERFORM Maintenance</f>
        <v>#NAME?</v>
      </c>
      <c r="AB1553" t="s">
        <v>1303</v>
      </c>
      <c r="AG1553" t="s">
        <v>10809</v>
      </c>
      <c r="AH1553" t="s">
        <v>10810</v>
      </c>
      <c r="AI1553" t="s">
        <v>10811</v>
      </c>
    </row>
    <row r="1554" spans="2:35" ht="60">
      <c r="B1554" s="1">
        <v>45826</v>
      </c>
      <c r="C1554" s="1">
        <v>45825</v>
      </c>
      <c r="D1554" t="s">
        <v>9995</v>
      </c>
      <c r="E1554" t="s">
        <v>10812</v>
      </c>
      <c r="F1554">
        <v>10</v>
      </c>
      <c r="G1554" t="s">
        <v>1395</v>
      </c>
      <c r="H1554" t="s">
        <v>1498</v>
      </c>
      <c r="I1554" t="s">
        <v>40</v>
      </c>
      <c r="J1554" s="2" t="s">
        <v>2491</v>
      </c>
      <c r="K1554" t="s">
        <v>42</v>
      </c>
      <c r="L1554" t="s">
        <v>343</v>
      </c>
      <c r="N1554" t="s">
        <v>344</v>
      </c>
      <c r="Q1554">
        <v>30992</v>
      </c>
      <c r="R1554" t="s">
        <v>119</v>
      </c>
      <c r="S1554" t="s">
        <v>9997</v>
      </c>
      <c r="T1554">
        <v>28</v>
      </c>
      <c r="W1554" t="s">
        <v>1501</v>
      </c>
      <c r="X1554">
        <v>838442</v>
      </c>
      <c r="Y1554" t="s">
        <v>301</v>
      </c>
      <c r="Z1554" t="s">
        <v>301</v>
      </c>
      <c r="AA1554" t="e">
        <f ca="1">-Preventive Maintenance
-Export ALL tests</f>
        <v>#NAME?</v>
      </c>
      <c r="AB1554" t="s">
        <v>1467</v>
      </c>
      <c r="AG1554" t="s">
        <v>10813</v>
      </c>
      <c r="AH1554" t="s">
        <v>10814</v>
      </c>
      <c r="AI1554" t="s">
        <v>10815</v>
      </c>
    </row>
    <row r="1555" spans="2:35">
      <c r="B1555" s="1">
        <v>45825</v>
      </c>
      <c r="C1555" s="1">
        <v>45819</v>
      </c>
      <c r="D1555" t="s">
        <v>4953</v>
      </c>
      <c r="E1555" t="s">
        <v>4954</v>
      </c>
      <c r="F1555">
        <v>1</v>
      </c>
      <c r="G1555" t="s">
        <v>1046</v>
      </c>
      <c r="H1555" t="s">
        <v>1047</v>
      </c>
      <c r="I1555" t="s">
        <v>40</v>
      </c>
      <c r="J1555" t="s">
        <v>109</v>
      </c>
      <c r="K1555" t="s">
        <v>42</v>
      </c>
      <c r="L1555" t="s">
        <v>1048</v>
      </c>
      <c r="N1555" t="s">
        <v>1049</v>
      </c>
      <c r="Q1555">
        <v>30991</v>
      </c>
      <c r="R1555" t="s">
        <v>119</v>
      </c>
      <c r="S1555" t="s">
        <v>4955</v>
      </c>
      <c r="T1555">
        <v>29</v>
      </c>
      <c r="W1555" t="s">
        <v>1051</v>
      </c>
      <c r="X1555">
        <v>838437</v>
      </c>
      <c r="Y1555" t="s">
        <v>1052</v>
      </c>
      <c r="Z1555" t="e">
        <f ca="1">- cleaned cartridge Bays, plunger Rods _xludf.and I-CORE
- generated reports</f>
        <v>#NAME?</v>
      </c>
      <c r="AA1555" t="s">
        <v>820</v>
      </c>
      <c r="AB1555" t="s">
        <v>1428</v>
      </c>
      <c r="AG1555" t="s">
        <v>10816</v>
      </c>
      <c r="AH1555" t="s">
        <v>4958</v>
      </c>
      <c r="AI1555" t="s">
        <v>10817</v>
      </c>
    </row>
    <row r="1556" spans="2:35">
      <c r="B1556" s="1">
        <v>45825</v>
      </c>
      <c r="C1556" s="1">
        <v>45819</v>
      </c>
      <c r="D1556" t="s">
        <v>1065</v>
      </c>
      <c r="E1556" t="s">
        <v>1066</v>
      </c>
      <c r="F1556">
        <v>1</v>
      </c>
      <c r="G1556" t="s">
        <v>1046</v>
      </c>
      <c r="H1556" t="s">
        <v>39</v>
      </c>
      <c r="I1556" t="s">
        <v>40</v>
      </c>
      <c r="J1556" t="s">
        <v>109</v>
      </c>
      <c r="K1556" t="s">
        <v>42</v>
      </c>
      <c r="L1556" t="s">
        <v>1048</v>
      </c>
      <c r="N1556" t="s">
        <v>1049</v>
      </c>
      <c r="Q1556">
        <v>30990</v>
      </c>
      <c r="R1556" t="s">
        <v>119</v>
      </c>
      <c r="S1556" t="s">
        <v>1067</v>
      </c>
      <c r="T1556">
        <v>28</v>
      </c>
      <c r="W1556" t="s">
        <v>1051</v>
      </c>
      <c r="X1556">
        <v>838284</v>
      </c>
      <c r="Y1556" t="s">
        <v>1052</v>
      </c>
      <c r="Z1556" t="e">
        <f ca="1">- cleaned cartridge Bays, plunger Rods _xludf.and I-CORE
- generated reports</f>
        <v>#NAME?</v>
      </c>
      <c r="AA1556" t="s">
        <v>820</v>
      </c>
      <c r="AB1556" t="s">
        <v>1936</v>
      </c>
      <c r="AG1556" t="s">
        <v>10818</v>
      </c>
      <c r="AH1556" t="s">
        <v>1069</v>
      </c>
      <c r="AI1556" t="s">
        <v>10819</v>
      </c>
    </row>
    <row r="1557" spans="2:35" ht="195">
      <c r="B1557" s="1">
        <v>45825</v>
      </c>
      <c r="C1557" s="1">
        <v>45825</v>
      </c>
      <c r="D1557" t="s">
        <v>10820</v>
      </c>
      <c r="E1557" t="s">
        <v>10821</v>
      </c>
      <c r="F1557">
        <v>2</v>
      </c>
      <c r="G1557" t="s">
        <v>2723</v>
      </c>
      <c r="H1557" t="s">
        <v>39</v>
      </c>
      <c r="I1557" t="s">
        <v>40</v>
      </c>
      <c r="J1557" t="s">
        <v>109</v>
      </c>
      <c r="K1557" t="s">
        <v>42</v>
      </c>
      <c r="L1557" t="s">
        <v>63</v>
      </c>
      <c r="N1557" t="s">
        <v>64</v>
      </c>
      <c r="Q1557">
        <v>30989</v>
      </c>
      <c r="R1557" t="s">
        <v>119</v>
      </c>
      <c r="S1557" t="s">
        <v>10822</v>
      </c>
      <c r="T1557">
        <v>28</v>
      </c>
      <c r="U1557" s="2" t="s">
        <v>10823</v>
      </c>
      <c r="W1557" t="s">
        <v>66</v>
      </c>
      <c r="X1557">
        <v>838532</v>
      </c>
      <c r="Y1557" t="s">
        <v>2692</v>
      </c>
      <c r="Z1557" s="2" t="s">
        <v>10824</v>
      </c>
      <c r="AA1557" s="2" t="s">
        <v>10825</v>
      </c>
      <c r="AB1557" t="s">
        <v>70</v>
      </c>
      <c r="AG1557" t="s">
        <v>10826</v>
      </c>
      <c r="AH1557" t="s">
        <v>10827</v>
      </c>
      <c r="AI1557" t="s">
        <v>10828</v>
      </c>
    </row>
    <row r="1558" spans="2:35" ht="195">
      <c r="B1558" s="1">
        <v>45825</v>
      </c>
      <c r="C1558" s="1">
        <v>45825</v>
      </c>
      <c r="D1558" t="s">
        <v>7067</v>
      </c>
      <c r="E1558" t="s">
        <v>10829</v>
      </c>
      <c r="F1558">
        <v>2</v>
      </c>
      <c r="G1558" t="s">
        <v>2723</v>
      </c>
      <c r="H1558" t="s">
        <v>39</v>
      </c>
      <c r="I1558" t="s">
        <v>40</v>
      </c>
      <c r="J1558" t="s">
        <v>109</v>
      </c>
      <c r="K1558" t="s">
        <v>42</v>
      </c>
      <c r="L1558" t="s">
        <v>63</v>
      </c>
      <c r="N1558" t="s">
        <v>64</v>
      </c>
      <c r="Q1558">
        <v>30988</v>
      </c>
      <c r="R1558" t="s">
        <v>119</v>
      </c>
      <c r="S1558" t="s">
        <v>7069</v>
      </c>
      <c r="T1558">
        <v>28</v>
      </c>
      <c r="U1558" s="2" t="s">
        <v>10830</v>
      </c>
      <c r="W1558" t="s">
        <v>66</v>
      </c>
      <c r="X1558">
        <v>838465</v>
      </c>
      <c r="Y1558" t="s">
        <v>2692</v>
      </c>
      <c r="Z1558" s="2" t="s">
        <v>10824</v>
      </c>
      <c r="AA1558" s="2" t="s">
        <v>10831</v>
      </c>
      <c r="AB1558" t="s">
        <v>70</v>
      </c>
      <c r="AG1558" t="s">
        <v>10832</v>
      </c>
      <c r="AH1558" t="s">
        <v>10833</v>
      </c>
      <c r="AI1558" t="s">
        <v>10834</v>
      </c>
    </row>
    <row r="1559" spans="2:35" ht="105">
      <c r="B1559" s="1">
        <v>45825</v>
      </c>
      <c r="C1559" s="1">
        <v>45825</v>
      </c>
      <c r="D1559" t="s">
        <v>10158</v>
      </c>
      <c r="E1559" t="s">
        <v>4655</v>
      </c>
      <c r="F1559">
        <v>10</v>
      </c>
      <c r="G1559" t="s">
        <v>1395</v>
      </c>
      <c r="H1559" t="s">
        <v>1498</v>
      </c>
      <c r="I1559" t="s">
        <v>40</v>
      </c>
      <c r="J1559" t="s">
        <v>109</v>
      </c>
      <c r="K1559" t="s">
        <v>42</v>
      </c>
      <c r="L1559" t="s">
        <v>343</v>
      </c>
      <c r="N1559" t="s">
        <v>344</v>
      </c>
      <c r="Q1559">
        <v>30987</v>
      </c>
      <c r="R1559" t="s">
        <v>119</v>
      </c>
      <c r="S1559" t="s">
        <v>10835</v>
      </c>
      <c r="T1559">
        <v>26</v>
      </c>
      <c r="U1559" s="2" t="s">
        <v>10836</v>
      </c>
      <c r="W1559" t="s">
        <v>1501</v>
      </c>
      <c r="X1559">
        <v>838441</v>
      </c>
      <c r="Y1559" t="s">
        <v>301</v>
      </c>
      <c r="Z1559" t="s">
        <v>301</v>
      </c>
      <c r="AA1559" t="e">
        <f ca="1">-Preventive Maintenance
-Gather Data _xludf.For ALL tests</f>
        <v>#NAME?</v>
      </c>
      <c r="AB1559" t="s">
        <v>348</v>
      </c>
      <c r="AC1559" t="s">
        <v>10837</v>
      </c>
      <c r="AG1559" t="s">
        <v>10838</v>
      </c>
      <c r="AH1559" t="s">
        <v>10839</v>
      </c>
      <c r="AI1559" t="s">
        <v>10840</v>
      </c>
    </row>
    <row r="1560" spans="2:35">
      <c r="B1560" s="1">
        <v>45825</v>
      </c>
      <c r="C1560" s="1">
        <v>45825</v>
      </c>
      <c r="D1560" t="s">
        <v>10158</v>
      </c>
      <c r="E1560" t="s">
        <v>10812</v>
      </c>
      <c r="F1560">
        <v>10</v>
      </c>
      <c r="G1560" t="s">
        <v>1395</v>
      </c>
      <c r="H1560" t="s">
        <v>1498</v>
      </c>
      <c r="I1560" t="s">
        <v>40</v>
      </c>
      <c r="J1560" t="s">
        <v>109</v>
      </c>
      <c r="K1560" t="s">
        <v>42</v>
      </c>
      <c r="L1560" t="s">
        <v>343</v>
      </c>
      <c r="N1560" t="s">
        <v>344</v>
      </c>
      <c r="Q1560">
        <v>30986</v>
      </c>
      <c r="R1560" t="s">
        <v>119</v>
      </c>
      <c r="S1560" t="s">
        <v>10835</v>
      </c>
      <c r="T1560">
        <v>26</v>
      </c>
      <c r="W1560" t="s">
        <v>1501</v>
      </c>
      <c r="X1560">
        <v>838435</v>
      </c>
      <c r="Y1560" t="s">
        <v>301</v>
      </c>
      <c r="Z1560" t="s">
        <v>301</v>
      </c>
      <c r="AA1560" t="e">
        <f ca="1">-Preventive Maintenance
-Data Gather</f>
        <v>#NAME?</v>
      </c>
      <c r="AB1560" t="s">
        <v>1467</v>
      </c>
      <c r="AC1560" t="s">
        <v>10841</v>
      </c>
      <c r="AG1560" t="s">
        <v>10842</v>
      </c>
      <c r="AH1560" t="s">
        <v>10839</v>
      </c>
      <c r="AI1560" t="s">
        <v>10843</v>
      </c>
    </row>
    <row r="1561" spans="2:35" ht="330">
      <c r="B1561" s="1">
        <v>45825</v>
      </c>
      <c r="C1561" s="1">
        <v>45825</v>
      </c>
      <c r="D1561" t="s">
        <v>1316</v>
      </c>
      <c r="E1561" t="s">
        <v>2916</v>
      </c>
      <c r="F1561">
        <v>11</v>
      </c>
      <c r="G1561" t="s">
        <v>1205</v>
      </c>
      <c r="H1561" t="s">
        <v>1317</v>
      </c>
      <c r="I1561" t="s">
        <v>40</v>
      </c>
      <c r="J1561" t="s">
        <v>109</v>
      </c>
      <c r="K1561" t="s">
        <v>42</v>
      </c>
      <c r="L1561" t="s">
        <v>204</v>
      </c>
      <c r="N1561" t="s">
        <v>205</v>
      </c>
      <c r="Q1561">
        <v>30985</v>
      </c>
      <c r="R1561" t="s">
        <v>322</v>
      </c>
      <c r="S1561" t="s">
        <v>1318</v>
      </c>
      <c r="T1561">
        <v>26.5</v>
      </c>
      <c r="U1561" s="2" t="s">
        <v>10844</v>
      </c>
      <c r="W1561" t="s">
        <v>208</v>
      </c>
      <c r="X1561">
        <v>839236</v>
      </c>
      <c r="Y1561" t="s">
        <v>1052</v>
      </c>
      <c r="Z1561" s="2" t="s">
        <v>10845</v>
      </c>
      <c r="AA1561" t="s">
        <v>2551</v>
      </c>
      <c r="AB1561" t="s">
        <v>10846</v>
      </c>
      <c r="AG1561" t="s">
        <v>10847</v>
      </c>
      <c r="AH1561" t="s">
        <v>10848</v>
      </c>
      <c r="AI1561" t="s">
        <v>10849</v>
      </c>
    </row>
    <row r="1562" spans="2:35" ht="345">
      <c r="B1562" s="1">
        <v>45825</v>
      </c>
      <c r="C1562" s="1">
        <v>45825</v>
      </c>
      <c r="D1562" t="s">
        <v>1316</v>
      </c>
      <c r="E1562" t="s">
        <v>2916</v>
      </c>
      <c r="F1562">
        <v>11</v>
      </c>
      <c r="G1562" t="s">
        <v>1205</v>
      </c>
      <c r="H1562" t="s">
        <v>1317</v>
      </c>
      <c r="I1562" t="s">
        <v>40</v>
      </c>
      <c r="J1562" t="s">
        <v>109</v>
      </c>
      <c r="K1562" t="s">
        <v>42</v>
      </c>
      <c r="L1562" t="s">
        <v>204</v>
      </c>
      <c r="N1562" t="s">
        <v>205</v>
      </c>
      <c r="Q1562">
        <v>30984</v>
      </c>
      <c r="R1562" t="s">
        <v>119</v>
      </c>
      <c r="S1562" t="s">
        <v>1318</v>
      </c>
      <c r="T1562">
        <v>26.8</v>
      </c>
      <c r="U1562" s="2" t="s">
        <v>10844</v>
      </c>
      <c r="W1562" t="s">
        <v>208</v>
      </c>
      <c r="X1562">
        <v>838262</v>
      </c>
      <c r="Y1562" t="s">
        <v>1052</v>
      </c>
      <c r="Z1562" s="2" t="s">
        <v>6895</v>
      </c>
      <c r="AA1562" t="s">
        <v>2551</v>
      </c>
      <c r="AB1562" t="s">
        <v>1211</v>
      </c>
      <c r="AG1562" t="s">
        <v>10850</v>
      </c>
      <c r="AH1562" t="s">
        <v>10848</v>
      </c>
      <c r="AI1562" t="s">
        <v>10851</v>
      </c>
    </row>
    <row r="1563" spans="2:35" ht="390">
      <c r="B1563" s="1">
        <v>45824</v>
      </c>
      <c r="C1563" s="1">
        <v>45819</v>
      </c>
      <c r="D1563" t="s">
        <v>10852</v>
      </c>
      <c r="E1563" t="s">
        <v>2797</v>
      </c>
      <c r="F1563">
        <v>12</v>
      </c>
      <c r="G1563" t="s">
        <v>978</v>
      </c>
      <c r="H1563" t="s">
        <v>295</v>
      </c>
      <c r="I1563" t="s">
        <v>40</v>
      </c>
      <c r="J1563" t="s">
        <v>109</v>
      </c>
      <c r="K1563" t="s">
        <v>42</v>
      </c>
      <c r="L1563" t="s">
        <v>296</v>
      </c>
      <c r="N1563" t="s">
        <v>297</v>
      </c>
      <c r="Q1563">
        <v>30983</v>
      </c>
      <c r="R1563" t="s">
        <v>95</v>
      </c>
      <c r="S1563" t="s">
        <v>10853</v>
      </c>
      <c r="T1563">
        <v>24.8</v>
      </c>
      <c r="U1563" s="2" t="s">
        <v>10854</v>
      </c>
      <c r="W1563" t="s">
        <v>970</v>
      </c>
      <c r="X1563">
        <v>110003713</v>
      </c>
      <c r="Y1563" t="s">
        <v>10855</v>
      </c>
      <c r="Z1563" s="2" t="s">
        <v>10856</v>
      </c>
      <c r="AA1563" t="s">
        <v>9161</v>
      </c>
      <c r="AB1563" s="2" t="s">
        <v>10857</v>
      </c>
      <c r="AC1563" t="s">
        <v>10858</v>
      </c>
      <c r="AG1563" t="s">
        <v>10859</v>
      </c>
      <c r="AH1563" t="s">
        <v>10860</v>
      </c>
      <c r="AI1563" t="s">
        <v>10861</v>
      </c>
    </row>
    <row r="1564" spans="2:35" ht="195">
      <c r="B1564" s="1">
        <v>45824</v>
      </c>
      <c r="C1564" s="1">
        <v>45819</v>
      </c>
      <c r="D1564" t="s">
        <v>10862</v>
      </c>
      <c r="E1564" t="s">
        <v>2797</v>
      </c>
      <c r="F1564">
        <v>12</v>
      </c>
      <c r="G1564" t="s">
        <v>978</v>
      </c>
      <c r="H1564" t="s">
        <v>10863</v>
      </c>
      <c r="I1564" t="s">
        <v>40</v>
      </c>
      <c r="J1564" s="2" t="s">
        <v>190</v>
      </c>
      <c r="K1564" t="s">
        <v>42</v>
      </c>
      <c r="L1564" t="s">
        <v>296</v>
      </c>
      <c r="N1564" t="s">
        <v>297</v>
      </c>
      <c r="O1564" t="s">
        <v>10864</v>
      </c>
      <c r="Q1564">
        <v>30982</v>
      </c>
      <c r="R1564" t="s">
        <v>95</v>
      </c>
      <c r="S1564" t="s">
        <v>5043</v>
      </c>
      <c r="T1564">
        <v>29.4</v>
      </c>
      <c r="U1564" s="2" t="s">
        <v>7506</v>
      </c>
      <c r="W1564" t="s">
        <v>981</v>
      </c>
      <c r="X1564">
        <v>831313</v>
      </c>
      <c r="Y1564" t="s">
        <v>10865</v>
      </c>
      <c r="Z1564" s="2" t="s">
        <v>10866</v>
      </c>
      <c r="AA1564" t="s">
        <v>9161</v>
      </c>
      <c r="AB1564" t="e">
        <f ca="1">-ALL modules are None functional DUE to hardware Failed
-ALL modules requesting _xludf.For module Replacement</f>
        <v>#NAME?</v>
      </c>
      <c r="AG1564" t="s">
        <v>10867</v>
      </c>
      <c r="AH1564" t="s">
        <v>10868</v>
      </c>
      <c r="AI1564" t="s">
        <v>10869</v>
      </c>
    </row>
    <row r="1565" spans="2:35" ht="409.5">
      <c r="B1565" s="1">
        <v>45824</v>
      </c>
      <c r="C1565" s="1">
        <v>45818</v>
      </c>
      <c r="D1565" t="s">
        <v>5783</v>
      </c>
      <c r="E1565" t="s">
        <v>10870</v>
      </c>
      <c r="F1565">
        <v>12</v>
      </c>
      <c r="G1565" t="s">
        <v>5785</v>
      </c>
      <c r="H1565" t="s">
        <v>1473</v>
      </c>
      <c r="I1565" t="s">
        <v>40</v>
      </c>
      <c r="J1565" s="2" t="s">
        <v>1592</v>
      </c>
      <c r="K1565" t="s">
        <v>42</v>
      </c>
      <c r="L1565" t="s">
        <v>296</v>
      </c>
      <c r="N1565" t="s">
        <v>297</v>
      </c>
      <c r="Q1565">
        <v>30981</v>
      </c>
      <c r="R1565" t="s">
        <v>119</v>
      </c>
      <c r="S1565" t="s">
        <v>5787</v>
      </c>
      <c r="T1565">
        <v>25.6</v>
      </c>
      <c r="U1565" s="2" t="s">
        <v>8975</v>
      </c>
      <c r="W1565" t="s">
        <v>981</v>
      </c>
      <c r="X1565">
        <v>838546</v>
      </c>
      <c r="Y1565" t="s">
        <v>10871</v>
      </c>
      <c r="Z1565" s="2" t="s">
        <v>10872</v>
      </c>
      <c r="AA1565" s="2" t="s">
        <v>10873</v>
      </c>
      <c r="AB1565" t="s">
        <v>972</v>
      </c>
      <c r="AG1565" t="s">
        <v>10874</v>
      </c>
      <c r="AH1565" t="s">
        <v>5791</v>
      </c>
      <c r="AI1565" t="s">
        <v>10875</v>
      </c>
    </row>
    <row r="1566" spans="2:35" ht="165">
      <c r="B1566" s="1">
        <v>45824</v>
      </c>
      <c r="C1566" s="1">
        <v>45824</v>
      </c>
      <c r="D1566" t="s">
        <v>10876</v>
      </c>
      <c r="E1566" t="s">
        <v>10877</v>
      </c>
      <c r="F1566">
        <v>2</v>
      </c>
      <c r="G1566" t="s">
        <v>10878</v>
      </c>
      <c r="H1566" t="s">
        <v>39</v>
      </c>
      <c r="I1566" t="s">
        <v>40</v>
      </c>
      <c r="J1566" s="2" t="s">
        <v>1592</v>
      </c>
      <c r="K1566" t="s">
        <v>42</v>
      </c>
      <c r="L1566" t="s">
        <v>63</v>
      </c>
      <c r="N1566" t="s">
        <v>64</v>
      </c>
      <c r="Q1566">
        <v>30980</v>
      </c>
      <c r="R1566" t="s">
        <v>119</v>
      </c>
      <c r="S1566" t="s">
        <v>10879</v>
      </c>
      <c r="T1566">
        <v>29</v>
      </c>
      <c r="U1566" s="2" t="s">
        <v>10880</v>
      </c>
      <c r="W1566" t="s">
        <v>66</v>
      </c>
      <c r="X1566">
        <v>838469</v>
      </c>
      <c r="Y1566" t="s">
        <v>10881</v>
      </c>
      <c r="Z1566" t="s">
        <v>10882</v>
      </c>
      <c r="AA1566" s="2" t="s">
        <v>2726</v>
      </c>
      <c r="AB1566" t="s">
        <v>70</v>
      </c>
      <c r="AG1566" t="s">
        <v>10883</v>
      </c>
      <c r="AH1566" t="s">
        <v>10884</v>
      </c>
      <c r="AI1566" t="s">
        <v>10885</v>
      </c>
    </row>
    <row r="1567" spans="2:35" ht="120">
      <c r="B1567" s="1">
        <v>45824</v>
      </c>
      <c r="C1567" s="1">
        <v>45824</v>
      </c>
      <c r="D1567" t="s">
        <v>8698</v>
      </c>
      <c r="E1567" t="s">
        <v>10886</v>
      </c>
      <c r="F1567">
        <v>5</v>
      </c>
      <c r="G1567" t="s">
        <v>839</v>
      </c>
      <c r="H1567" t="s">
        <v>39</v>
      </c>
      <c r="I1567" t="s">
        <v>94</v>
      </c>
      <c r="J1567" t="s">
        <v>109</v>
      </c>
      <c r="K1567" t="s">
        <v>42</v>
      </c>
      <c r="L1567" t="s">
        <v>761</v>
      </c>
      <c r="N1567" t="s">
        <v>762</v>
      </c>
      <c r="Q1567">
        <v>30979</v>
      </c>
      <c r="R1567" t="s">
        <v>119</v>
      </c>
      <c r="S1567" t="s">
        <v>8700</v>
      </c>
      <c r="T1567">
        <v>24</v>
      </c>
      <c r="U1567" s="2" t="s">
        <v>10887</v>
      </c>
      <c r="W1567" t="s">
        <v>765</v>
      </c>
      <c r="X1567">
        <v>838560</v>
      </c>
      <c r="Y1567" t="s">
        <v>818</v>
      </c>
      <c r="Z1567" s="2" t="s">
        <v>4466</v>
      </c>
      <c r="AA1567" t="s">
        <v>820</v>
      </c>
      <c r="AB1567" t="s">
        <v>70</v>
      </c>
      <c r="AG1567" t="s">
        <v>10888</v>
      </c>
      <c r="AH1567" t="s">
        <v>10889</v>
      </c>
      <c r="AI1567" t="s">
        <v>10890</v>
      </c>
    </row>
    <row r="1568" spans="2:35" ht="60">
      <c r="B1568" s="1">
        <v>45824</v>
      </c>
      <c r="C1568" s="1">
        <v>45824</v>
      </c>
      <c r="D1568" t="s">
        <v>7050</v>
      </c>
      <c r="E1568" t="s">
        <v>10891</v>
      </c>
      <c r="F1568">
        <v>9</v>
      </c>
      <c r="G1568" t="s">
        <v>2197</v>
      </c>
      <c r="H1568" t="s">
        <v>39</v>
      </c>
      <c r="I1568" t="s">
        <v>40</v>
      </c>
      <c r="J1568" s="2" t="s">
        <v>760</v>
      </c>
      <c r="K1568" t="s">
        <v>387</v>
      </c>
      <c r="L1568" t="s">
        <v>1257</v>
      </c>
      <c r="N1568" t="s">
        <v>1258</v>
      </c>
      <c r="O1568" t="s">
        <v>1258</v>
      </c>
      <c r="Q1568">
        <v>30978</v>
      </c>
      <c r="R1568" t="s">
        <v>95</v>
      </c>
      <c r="S1568" t="s">
        <v>7052</v>
      </c>
      <c r="T1568">
        <v>25</v>
      </c>
      <c r="V1568" s="1">
        <v>45824</v>
      </c>
      <c r="W1568" t="s">
        <v>476</v>
      </c>
      <c r="X1568" t="s">
        <v>7053</v>
      </c>
      <c r="Y1568" t="s">
        <v>10892</v>
      </c>
      <c r="Z1568" t="s">
        <v>10893</v>
      </c>
      <c r="AA1568" t="s">
        <v>10893</v>
      </c>
      <c r="AB1568" t="s">
        <v>10894</v>
      </c>
      <c r="AC1568" t="s">
        <v>301</v>
      </c>
      <c r="AD1568" t="s">
        <v>54</v>
      </c>
      <c r="AE1568" t="s">
        <v>54</v>
      </c>
      <c r="AG1568" t="s">
        <v>10895</v>
      </c>
      <c r="AH1568" t="s">
        <v>10896</v>
      </c>
      <c r="AI1568" t="s">
        <v>10897</v>
      </c>
    </row>
    <row r="1569" spans="2:35" ht="225">
      <c r="B1569" s="1">
        <v>45821</v>
      </c>
      <c r="C1569" s="1">
        <v>45819</v>
      </c>
      <c r="D1569" t="s">
        <v>2264</v>
      </c>
      <c r="E1569" t="s">
        <v>2265</v>
      </c>
      <c r="F1569" t="s">
        <v>148</v>
      </c>
      <c r="G1569" t="s">
        <v>2007</v>
      </c>
      <c r="H1569" t="s">
        <v>39</v>
      </c>
      <c r="I1569" t="s">
        <v>40</v>
      </c>
      <c r="J1569" t="s">
        <v>109</v>
      </c>
      <c r="K1569" t="s">
        <v>42</v>
      </c>
      <c r="L1569" t="s">
        <v>43</v>
      </c>
      <c r="N1569" t="s">
        <v>44</v>
      </c>
      <c r="O1569" t="s">
        <v>2266</v>
      </c>
      <c r="Q1569">
        <v>30977</v>
      </c>
      <c r="R1569" t="s">
        <v>322</v>
      </c>
      <c r="S1569" t="s">
        <v>5506</v>
      </c>
      <c r="T1569">
        <v>24</v>
      </c>
      <c r="U1569" s="2" t="s">
        <v>1840</v>
      </c>
      <c r="W1569" t="s">
        <v>153</v>
      </c>
      <c r="X1569">
        <v>110023460</v>
      </c>
      <c r="Y1569" t="s">
        <v>121</v>
      </c>
      <c r="Z1569" t="s">
        <v>122</v>
      </c>
      <c r="AA1569" s="2" t="s">
        <v>8958</v>
      </c>
      <c r="AB1569" t="s">
        <v>990</v>
      </c>
      <c r="AG1569" t="s">
        <v>10898</v>
      </c>
      <c r="AH1569" t="s">
        <v>2270</v>
      </c>
      <c r="AI1569" t="s">
        <v>10899</v>
      </c>
    </row>
    <row r="1570" spans="2:35" ht="300">
      <c r="B1570" s="1">
        <v>45821</v>
      </c>
      <c r="C1570" s="1">
        <v>45821</v>
      </c>
      <c r="D1570" t="s">
        <v>3030</v>
      </c>
      <c r="E1570" t="s">
        <v>8552</v>
      </c>
      <c r="F1570" t="s">
        <v>37</v>
      </c>
      <c r="G1570" t="s">
        <v>38</v>
      </c>
      <c r="H1570" t="s">
        <v>39</v>
      </c>
      <c r="I1570" t="s">
        <v>40</v>
      </c>
      <c r="J1570" t="s">
        <v>109</v>
      </c>
      <c r="K1570" t="s">
        <v>42</v>
      </c>
      <c r="L1570" t="s">
        <v>43</v>
      </c>
      <c r="N1570" t="s">
        <v>44</v>
      </c>
      <c r="Q1570">
        <v>30975</v>
      </c>
      <c r="R1570" t="s">
        <v>967</v>
      </c>
      <c r="S1570" t="s">
        <v>3032</v>
      </c>
      <c r="T1570">
        <v>22</v>
      </c>
      <c r="U1570" s="2" t="s">
        <v>10900</v>
      </c>
      <c r="W1570" t="s">
        <v>153</v>
      </c>
      <c r="X1570">
        <v>110023496</v>
      </c>
      <c r="Y1570" t="s">
        <v>121</v>
      </c>
      <c r="Z1570" t="s">
        <v>122</v>
      </c>
      <c r="AA1570" s="2" t="s">
        <v>9744</v>
      </c>
      <c r="AB1570" t="s">
        <v>548</v>
      </c>
      <c r="AG1570" t="s">
        <v>10901</v>
      </c>
      <c r="AH1570" t="s">
        <v>10902</v>
      </c>
      <c r="AI1570" t="s">
        <v>10903</v>
      </c>
    </row>
    <row r="1571" spans="2:35" ht="225">
      <c r="B1571" s="1">
        <v>45821</v>
      </c>
      <c r="C1571" s="1">
        <v>45818</v>
      </c>
      <c r="D1571" t="s">
        <v>1686</v>
      </c>
      <c r="E1571" t="s">
        <v>10904</v>
      </c>
      <c r="F1571" t="s">
        <v>148</v>
      </c>
      <c r="G1571" t="s">
        <v>785</v>
      </c>
      <c r="H1571" t="s">
        <v>39</v>
      </c>
      <c r="I1571" t="s">
        <v>40</v>
      </c>
      <c r="J1571" t="s">
        <v>109</v>
      </c>
      <c r="K1571" t="s">
        <v>42</v>
      </c>
      <c r="L1571" t="s">
        <v>43</v>
      </c>
      <c r="N1571" t="s">
        <v>44</v>
      </c>
      <c r="Q1571">
        <v>30974</v>
      </c>
      <c r="R1571" t="s">
        <v>322</v>
      </c>
      <c r="S1571" t="s">
        <v>1688</v>
      </c>
      <c r="T1571">
        <v>22</v>
      </c>
      <c r="U1571" s="2" t="s">
        <v>10905</v>
      </c>
      <c r="W1571" t="s">
        <v>153</v>
      </c>
      <c r="X1571">
        <v>110024247</v>
      </c>
      <c r="Y1571" t="s">
        <v>121</v>
      </c>
      <c r="Z1571" t="s">
        <v>122</v>
      </c>
      <c r="AA1571" s="2" t="s">
        <v>123</v>
      </c>
      <c r="AB1571" t="s">
        <v>548</v>
      </c>
      <c r="AG1571" t="s">
        <v>10906</v>
      </c>
      <c r="AH1571" t="s">
        <v>1692</v>
      </c>
      <c r="AI1571" t="s">
        <v>10907</v>
      </c>
    </row>
    <row r="1572" spans="2:35" ht="409.5">
      <c r="B1572" s="1">
        <v>45821</v>
      </c>
      <c r="C1572" s="1">
        <v>45821</v>
      </c>
      <c r="D1572" t="s">
        <v>3669</v>
      </c>
      <c r="E1572" t="s">
        <v>10908</v>
      </c>
      <c r="F1572" t="s">
        <v>37</v>
      </c>
      <c r="G1572" t="s">
        <v>38</v>
      </c>
      <c r="H1572" t="s">
        <v>39</v>
      </c>
      <c r="I1572" t="s">
        <v>40</v>
      </c>
      <c r="J1572" t="s">
        <v>109</v>
      </c>
      <c r="K1572" t="s">
        <v>42</v>
      </c>
      <c r="L1572" t="s">
        <v>43</v>
      </c>
      <c r="N1572" t="s">
        <v>44</v>
      </c>
      <c r="Q1572">
        <v>30976</v>
      </c>
      <c r="R1572" t="s">
        <v>95</v>
      </c>
      <c r="S1572" t="s">
        <v>5580</v>
      </c>
      <c r="T1572">
        <v>22</v>
      </c>
      <c r="U1572" s="2" t="s">
        <v>10909</v>
      </c>
      <c r="W1572" t="s">
        <v>153</v>
      </c>
      <c r="X1572">
        <v>110005265</v>
      </c>
      <c r="Y1572" t="s">
        <v>121</v>
      </c>
      <c r="Z1572" t="s">
        <v>122</v>
      </c>
      <c r="AA1572" s="2" t="s">
        <v>9740</v>
      </c>
      <c r="AB1572" t="s">
        <v>990</v>
      </c>
      <c r="AG1572" t="s">
        <v>10910</v>
      </c>
      <c r="AH1572" t="s">
        <v>10911</v>
      </c>
      <c r="AI1572" t="s">
        <v>10912</v>
      </c>
    </row>
    <row r="1573" spans="2:35" ht="225">
      <c r="B1573" s="1">
        <v>45821</v>
      </c>
      <c r="C1573" s="1">
        <v>45818</v>
      </c>
      <c r="D1573" t="s">
        <v>4765</v>
      </c>
      <c r="E1573" t="s">
        <v>10913</v>
      </c>
      <c r="F1573" t="s">
        <v>148</v>
      </c>
      <c r="G1573" t="s">
        <v>785</v>
      </c>
      <c r="H1573" t="s">
        <v>39</v>
      </c>
      <c r="I1573" t="s">
        <v>40</v>
      </c>
      <c r="J1573" t="s">
        <v>109</v>
      </c>
      <c r="K1573" t="s">
        <v>42</v>
      </c>
      <c r="L1573" t="s">
        <v>43</v>
      </c>
      <c r="N1573" t="s">
        <v>44</v>
      </c>
      <c r="Q1573">
        <v>30973</v>
      </c>
      <c r="R1573" t="s">
        <v>322</v>
      </c>
      <c r="S1573" t="s">
        <v>4704</v>
      </c>
      <c r="T1573">
        <v>24</v>
      </c>
      <c r="U1573" s="2" t="s">
        <v>10914</v>
      </c>
      <c r="W1573" t="s">
        <v>153</v>
      </c>
      <c r="X1573">
        <v>110024245</v>
      </c>
      <c r="Y1573" t="s">
        <v>121</v>
      </c>
      <c r="Z1573" t="s">
        <v>122</v>
      </c>
      <c r="AA1573" s="2" t="s">
        <v>10915</v>
      </c>
      <c r="AB1573" t="s">
        <v>548</v>
      </c>
      <c r="AG1573" t="s">
        <v>10916</v>
      </c>
      <c r="AH1573" t="s">
        <v>6075</v>
      </c>
      <c r="AI1573" t="s">
        <v>10917</v>
      </c>
    </row>
    <row r="1574" spans="2:35" ht="315">
      <c r="B1574" s="1">
        <v>45821</v>
      </c>
      <c r="C1574" s="1">
        <v>45805</v>
      </c>
      <c r="D1574" t="s">
        <v>1026</v>
      </c>
      <c r="E1574" t="s">
        <v>1027</v>
      </c>
      <c r="F1574" t="s">
        <v>148</v>
      </c>
      <c r="G1574" t="s">
        <v>774</v>
      </c>
      <c r="H1574" t="s">
        <v>513</v>
      </c>
      <c r="I1574" t="s">
        <v>40</v>
      </c>
      <c r="J1574" t="s">
        <v>525</v>
      </c>
      <c r="K1574" t="s">
        <v>387</v>
      </c>
      <c r="L1574" t="s">
        <v>1028</v>
      </c>
      <c r="N1574" t="s">
        <v>1029</v>
      </c>
      <c r="O1574" t="s">
        <v>10918</v>
      </c>
      <c r="Q1574">
        <v>30971</v>
      </c>
      <c r="R1574" t="s">
        <v>95</v>
      </c>
      <c r="S1574" t="s">
        <v>3772</v>
      </c>
      <c r="T1574">
        <v>25</v>
      </c>
      <c r="W1574" t="s">
        <v>390</v>
      </c>
      <c r="X1574" t="s">
        <v>3773</v>
      </c>
      <c r="Y1574" s="2" t="s">
        <v>10919</v>
      </c>
      <c r="Z1574" t="s">
        <v>10920</v>
      </c>
      <c r="AA1574" s="2" t="s">
        <v>10921</v>
      </c>
      <c r="AB1574" t="s">
        <v>3777</v>
      </c>
      <c r="AG1574" t="s">
        <v>10922</v>
      </c>
      <c r="AH1574" t="s">
        <v>10923</v>
      </c>
      <c r="AI1574" t="s">
        <v>10924</v>
      </c>
    </row>
    <row r="1575" spans="2:35" ht="180">
      <c r="B1575" s="1">
        <v>45821</v>
      </c>
      <c r="C1575" s="1">
        <v>45807</v>
      </c>
      <c r="D1575" t="s">
        <v>2257</v>
      </c>
      <c r="E1575" t="s">
        <v>10925</v>
      </c>
      <c r="F1575" t="s">
        <v>37</v>
      </c>
      <c r="G1575" t="s">
        <v>748</v>
      </c>
      <c r="H1575" t="s">
        <v>39</v>
      </c>
      <c r="I1575" t="s">
        <v>40</v>
      </c>
      <c r="J1575" t="s">
        <v>79</v>
      </c>
      <c r="K1575" t="s">
        <v>42</v>
      </c>
      <c r="L1575" t="s">
        <v>1028</v>
      </c>
      <c r="N1575" t="s">
        <v>1029</v>
      </c>
      <c r="Q1575">
        <v>30972</v>
      </c>
      <c r="R1575" t="s">
        <v>119</v>
      </c>
      <c r="S1575" t="s">
        <v>8974</v>
      </c>
      <c r="T1575">
        <v>28</v>
      </c>
      <c r="U1575" s="2" t="s">
        <v>10926</v>
      </c>
      <c r="V1575" s="1">
        <v>45796</v>
      </c>
      <c r="W1575" t="s">
        <v>1967</v>
      </c>
      <c r="X1575">
        <v>838537</v>
      </c>
      <c r="Y1575" t="s">
        <v>10927</v>
      </c>
      <c r="Z1575" t="s">
        <v>2443</v>
      </c>
      <c r="AA1575" s="2" t="s">
        <v>10928</v>
      </c>
      <c r="AB1575" t="s">
        <v>3777</v>
      </c>
      <c r="AC1575" t="s">
        <v>10929</v>
      </c>
      <c r="AD1575" t="s">
        <v>6539</v>
      </c>
      <c r="AE1575" t="s">
        <v>10930</v>
      </c>
      <c r="AG1575" t="s">
        <v>10931</v>
      </c>
      <c r="AH1575" t="s">
        <v>8978</v>
      </c>
      <c r="AI1575" t="s">
        <v>10932</v>
      </c>
    </row>
    <row r="1576" spans="2:35" ht="360">
      <c r="B1576" s="1">
        <v>45821</v>
      </c>
      <c r="C1576" s="1">
        <v>45798</v>
      </c>
      <c r="D1576" t="s">
        <v>10933</v>
      </c>
      <c r="E1576" t="s">
        <v>10934</v>
      </c>
      <c r="F1576" t="s">
        <v>148</v>
      </c>
      <c r="G1576" t="s">
        <v>310</v>
      </c>
      <c r="H1576" t="s">
        <v>662</v>
      </c>
      <c r="I1576" t="s">
        <v>40</v>
      </c>
      <c r="J1576" t="s">
        <v>525</v>
      </c>
      <c r="K1576" t="s">
        <v>42</v>
      </c>
      <c r="L1576" t="s">
        <v>1028</v>
      </c>
      <c r="N1576" t="s">
        <v>1029</v>
      </c>
      <c r="Q1576">
        <v>30969</v>
      </c>
      <c r="R1576" t="s">
        <v>322</v>
      </c>
      <c r="S1576" t="s">
        <v>10935</v>
      </c>
      <c r="T1576">
        <v>20</v>
      </c>
      <c r="U1576" s="2" t="s">
        <v>10936</v>
      </c>
      <c r="W1576" t="s">
        <v>1032</v>
      </c>
      <c r="X1576">
        <v>110015482</v>
      </c>
      <c r="Y1576" t="s">
        <v>10937</v>
      </c>
      <c r="Z1576" t="s">
        <v>10920</v>
      </c>
      <c r="AA1576" s="2" t="s">
        <v>10938</v>
      </c>
      <c r="AB1576" s="2" t="s">
        <v>10939</v>
      </c>
      <c r="AC1576" t="s">
        <v>10940</v>
      </c>
      <c r="AG1576" t="s">
        <v>10941</v>
      </c>
      <c r="AH1576" t="s">
        <v>10942</v>
      </c>
      <c r="AI1576" t="s">
        <v>10943</v>
      </c>
    </row>
    <row r="1577" spans="2:35" ht="150">
      <c r="B1577" s="1">
        <v>45821</v>
      </c>
      <c r="C1577" s="1">
        <v>45800</v>
      </c>
      <c r="D1577" t="s">
        <v>1026</v>
      </c>
      <c r="E1577" t="s">
        <v>1027</v>
      </c>
      <c r="F1577" t="s">
        <v>148</v>
      </c>
      <c r="G1577" t="s">
        <v>774</v>
      </c>
      <c r="H1577" t="s">
        <v>513</v>
      </c>
      <c r="I1577" t="s">
        <v>40</v>
      </c>
      <c r="J1577" t="s">
        <v>525</v>
      </c>
      <c r="K1577" t="s">
        <v>387</v>
      </c>
      <c r="L1577" t="s">
        <v>1028</v>
      </c>
      <c r="N1577" t="s">
        <v>1029</v>
      </c>
      <c r="O1577" t="s">
        <v>10944</v>
      </c>
      <c r="Q1577">
        <v>30970</v>
      </c>
      <c r="R1577" t="s">
        <v>95</v>
      </c>
      <c r="S1577" t="s">
        <v>10918</v>
      </c>
      <c r="T1577">
        <v>25</v>
      </c>
      <c r="W1577" t="s">
        <v>390</v>
      </c>
      <c r="X1577" t="s">
        <v>5184</v>
      </c>
      <c r="Y1577" t="s">
        <v>10945</v>
      </c>
      <c r="Z1577" t="s">
        <v>5186</v>
      </c>
      <c r="AA1577" s="2" t="s">
        <v>10946</v>
      </c>
      <c r="AB1577" t="s">
        <v>3777</v>
      </c>
      <c r="AG1577" t="s">
        <v>10947</v>
      </c>
      <c r="AH1577" t="s">
        <v>10948</v>
      </c>
      <c r="AI1577" t="s">
        <v>10949</v>
      </c>
    </row>
    <row r="1578" spans="2:35" ht="240">
      <c r="B1578" s="1">
        <v>45821</v>
      </c>
      <c r="C1578" s="1">
        <v>45798</v>
      </c>
      <c r="D1578" t="s">
        <v>5869</v>
      </c>
      <c r="E1578" t="s">
        <v>10950</v>
      </c>
      <c r="F1578" t="s">
        <v>148</v>
      </c>
      <c r="G1578" t="s">
        <v>774</v>
      </c>
      <c r="H1578" t="s">
        <v>1543</v>
      </c>
      <c r="I1578" t="s">
        <v>40</v>
      </c>
      <c r="J1578" t="s">
        <v>109</v>
      </c>
      <c r="K1578" t="s">
        <v>42</v>
      </c>
      <c r="L1578" t="s">
        <v>1028</v>
      </c>
      <c r="N1578" t="s">
        <v>1029</v>
      </c>
      <c r="Q1578">
        <v>30967</v>
      </c>
      <c r="R1578" t="s">
        <v>322</v>
      </c>
      <c r="S1578" t="s">
        <v>5871</v>
      </c>
      <c r="T1578">
        <v>27</v>
      </c>
      <c r="U1578" s="2" t="s">
        <v>10951</v>
      </c>
      <c r="W1578" t="s">
        <v>1032</v>
      </c>
      <c r="X1578">
        <v>110025706</v>
      </c>
      <c r="Y1578" t="s">
        <v>1978</v>
      </c>
      <c r="Z1578" t="s">
        <v>1548</v>
      </c>
      <c r="AA1578" s="2" t="s">
        <v>9006</v>
      </c>
      <c r="AB1578" t="s">
        <v>3300</v>
      </c>
      <c r="AG1578" t="s">
        <v>10952</v>
      </c>
      <c r="AH1578" t="s">
        <v>5876</v>
      </c>
      <c r="AI1578" t="s">
        <v>10953</v>
      </c>
    </row>
    <row r="1579" spans="2:35" ht="240">
      <c r="B1579" s="1">
        <v>45821</v>
      </c>
      <c r="C1579" s="1">
        <v>45800</v>
      </c>
      <c r="D1579" t="s">
        <v>1026</v>
      </c>
      <c r="E1579" t="s">
        <v>1027</v>
      </c>
      <c r="F1579" t="s">
        <v>148</v>
      </c>
      <c r="G1579" t="s">
        <v>774</v>
      </c>
      <c r="H1579" t="s">
        <v>513</v>
      </c>
      <c r="I1579" t="s">
        <v>40</v>
      </c>
      <c r="J1579" t="s">
        <v>525</v>
      </c>
      <c r="K1579" t="s">
        <v>387</v>
      </c>
      <c r="L1579" t="s">
        <v>1028</v>
      </c>
      <c r="N1579" t="s">
        <v>1029</v>
      </c>
      <c r="O1579" t="s">
        <v>10944</v>
      </c>
      <c r="Q1579">
        <v>30968</v>
      </c>
      <c r="R1579" t="s">
        <v>95</v>
      </c>
      <c r="S1579" t="s">
        <v>10918</v>
      </c>
      <c r="T1579">
        <v>25</v>
      </c>
      <c r="W1579" t="s">
        <v>390</v>
      </c>
      <c r="X1579" t="s">
        <v>3773</v>
      </c>
      <c r="Y1579" t="s">
        <v>10954</v>
      </c>
      <c r="Z1579" t="s">
        <v>5186</v>
      </c>
      <c r="AA1579" s="2" t="s">
        <v>10955</v>
      </c>
      <c r="AB1579" t="s">
        <v>3777</v>
      </c>
      <c r="AG1579" t="s">
        <v>10956</v>
      </c>
      <c r="AH1579" t="s">
        <v>10957</v>
      </c>
      <c r="AI1579" t="s">
        <v>10958</v>
      </c>
    </row>
    <row r="1580" spans="2:35" ht="255">
      <c r="B1580" s="1">
        <v>45821</v>
      </c>
      <c r="C1580" s="1">
        <v>45805</v>
      </c>
      <c r="D1580" t="s">
        <v>1026</v>
      </c>
      <c r="E1580" t="s">
        <v>1027</v>
      </c>
      <c r="F1580" t="s">
        <v>148</v>
      </c>
      <c r="G1580" t="s">
        <v>774</v>
      </c>
      <c r="H1580" t="s">
        <v>513</v>
      </c>
      <c r="I1580" t="s">
        <v>40</v>
      </c>
      <c r="J1580" t="s">
        <v>525</v>
      </c>
      <c r="K1580" t="s">
        <v>387</v>
      </c>
      <c r="L1580" t="s">
        <v>1028</v>
      </c>
      <c r="N1580" t="s">
        <v>1029</v>
      </c>
      <c r="O1580" t="s">
        <v>10918</v>
      </c>
      <c r="Q1580">
        <v>30966</v>
      </c>
      <c r="R1580" t="s">
        <v>95</v>
      </c>
      <c r="S1580" t="s">
        <v>3772</v>
      </c>
      <c r="T1580">
        <v>25</v>
      </c>
      <c r="W1580" t="s">
        <v>390</v>
      </c>
      <c r="X1580" t="s">
        <v>5184</v>
      </c>
      <c r="Y1580" t="s">
        <v>10959</v>
      </c>
      <c r="Z1580" t="s">
        <v>5186</v>
      </c>
      <c r="AA1580" s="2" t="s">
        <v>10960</v>
      </c>
      <c r="AB1580" t="s">
        <v>3777</v>
      </c>
      <c r="AG1580" t="s">
        <v>10961</v>
      </c>
      <c r="AH1580" t="s">
        <v>10923</v>
      </c>
      <c r="AI1580" t="s">
        <v>10962</v>
      </c>
    </row>
    <row r="1581" spans="2:35" ht="315">
      <c r="B1581" s="1">
        <v>45819</v>
      </c>
      <c r="C1581" s="1">
        <v>45819</v>
      </c>
      <c r="D1581" t="s">
        <v>4206</v>
      </c>
      <c r="E1581" t="s">
        <v>8265</v>
      </c>
      <c r="F1581">
        <v>11</v>
      </c>
      <c r="G1581" t="s">
        <v>2836</v>
      </c>
      <c r="H1581" t="s">
        <v>202</v>
      </c>
      <c r="I1581" t="s">
        <v>40</v>
      </c>
      <c r="J1581" t="s">
        <v>109</v>
      </c>
      <c r="K1581" t="s">
        <v>42</v>
      </c>
      <c r="L1581" t="s">
        <v>204</v>
      </c>
      <c r="N1581" t="s">
        <v>205</v>
      </c>
      <c r="Q1581">
        <v>30965</v>
      </c>
      <c r="R1581" t="s">
        <v>119</v>
      </c>
      <c r="S1581" t="s">
        <v>4209</v>
      </c>
      <c r="T1581">
        <v>24.5</v>
      </c>
      <c r="U1581" s="2" t="s">
        <v>10963</v>
      </c>
      <c r="W1581" t="s">
        <v>208</v>
      </c>
      <c r="X1581">
        <v>838295</v>
      </c>
      <c r="Y1581" t="s">
        <v>10964</v>
      </c>
      <c r="Z1581" s="2" t="s">
        <v>1321</v>
      </c>
      <c r="AA1581" t="s">
        <v>2551</v>
      </c>
      <c r="AB1581" t="s">
        <v>1211</v>
      </c>
      <c r="AG1581" t="s">
        <v>10965</v>
      </c>
      <c r="AH1581" t="s">
        <v>4216</v>
      </c>
      <c r="AI1581" t="s">
        <v>10966</v>
      </c>
    </row>
    <row r="1582" spans="2:35" ht="285">
      <c r="B1582" s="1">
        <v>45819</v>
      </c>
      <c r="C1582" s="1">
        <v>45819</v>
      </c>
      <c r="D1582" t="s">
        <v>10967</v>
      </c>
      <c r="E1582" t="s">
        <v>10968</v>
      </c>
      <c r="F1582">
        <v>7</v>
      </c>
      <c r="G1582" t="s">
        <v>432</v>
      </c>
      <c r="H1582" t="s">
        <v>10969</v>
      </c>
      <c r="I1582" t="s">
        <v>40</v>
      </c>
      <c r="J1582" t="s">
        <v>109</v>
      </c>
      <c r="K1582" t="s">
        <v>42</v>
      </c>
      <c r="L1582" t="s">
        <v>1288</v>
      </c>
      <c r="N1582" t="s">
        <v>1289</v>
      </c>
      <c r="Q1582">
        <v>30964</v>
      </c>
      <c r="R1582" t="s">
        <v>119</v>
      </c>
      <c r="S1582" t="s">
        <v>3264</v>
      </c>
      <c r="T1582">
        <v>25</v>
      </c>
      <c r="U1582" s="2" t="s">
        <v>10970</v>
      </c>
      <c r="W1582" t="s">
        <v>1292</v>
      </c>
      <c r="X1582">
        <v>838510</v>
      </c>
      <c r="Y1582" t="e">
        <f ca="1">-_xludf.For Preventive Maintenance</f>
        <v>#NAME?</v>
      </c>
      <c r="Z1582" t="e">
        <f ca="1">-COLLECT IQR, system _xludf.Log, _xludf.and ARCHIVE</f>
        <v>#NAME?</v>
      </c>
      <c r="AA1582" t="e">
        <f ca="1">-PERFORM Preventive Maintenance PROCEDURE
-_xludf.Clean plunger rod, CARTRDIGE bay _xludf.and PROBES</f>
        <v>#NAME?</v>
      </c>
      <c r="AB1582" t="s">
        <v>1293</v>
      </c>
      <c r="AG1582" t="s">
        <v>10971</v>
      </c>
      <c r="AH1582" t="s">
        <v>10972</v>
      </c>
      <c r="AI1582" t="s">
        <v>10973</v>
      </c>
    </row>
    <row r="1583" spans="2:35" ht="105">
      <c r="B1583" s="1">
        <v>45819</v>
      </c>
      <c r="C1583" s="1">
        <v>45819</v>
      </c>
      <c r="D1583" t="s">
        <v>5563</v>
      </c>
      <c r="E1583" t="s">
        <v>1555</v>
      </c>
      <c r="F1583">
        <v>7</v>
      </c>
      <c r="G1583" t="s">
        <v>432</v>
      </c>
      <c r="H1583" t="s">
        <v>150</v>
      </c>
      <c r="I1583" t="s">
        <v>40</v>
      </c>
      <c r="J1583" t="s">
        <v>109</v>
      </c>
      <c r="K1583" t="s">
        <v>42</v>
      </c>
      <c r="L1583" t="s">
        <v>343</v>
      </c>
      <c r="N1583" t="s">
        <v>344</v>
      </c>
      <c r="Q1583">
        <v>30963</v>
      </c>
      <c r="R1583" t="s">
        <v>119</v>
      </c>
      <c r="S1583" t="s">
        <v>5564</v>
      </c>
      <c r="T1583">
        <v>27</v>
      </c>
      <c r="U1583" s="2" t="s">
        <v>10974</v>
      </c>
      <c r="W1583" t="s">
        <v>1501</v>
      </c>
      <c r="X1583">
        <v>838561</v>
      </c>
      <c r="Y1583" t="s">
        <v>8412</v>
      </c>
      <c r="Z1583" t="e">
        <f ca="1">-PERFORM Preventive Maintenance: plunger rod, cartridge bay, optic slot, FAN _xludf.filter</f>
        <v>#NAME?</v>
      </c>
      <c r="AA1583" t="e">
        <f ca="1">-Preventive Maintenance</f>
        <v>#NAME?</v>
      </c>
      <c r="AB1583" t="s">
        <v>1467</v>
      </c>
      <c r="AG1583" t="s">
        <v>10975</v>
      </c>
      <c r="AH1583" t="s">
        <v>5567</v>
      </c>
      <c r="AI1583" t="s">
        <v>10976</v>
      </c>
    </row>
    <row r="1584" spans="2:35" ht="105">
      <c r="B1584" s="1">
        <v>45819</v>
      </c>
      <c r="C1584" s="1">
        <v>45819</v>
      </c>
      <c r="D1584" t="s">
        <v>7465</v>
      </c>
      <c r="E1584" t="s">
        <v>7466</v>
      </c>
      <c r="F1584">
        <v>8</v>
      </c>
      <c r="G1584" t="s">
        <v>342</v>
      </c>
      <c r="H1584" t="s">
        <v>258</v>
      </c>
      <c r="I1584" t="s">
        <v>40</v>
      </c>
      <c r="J1584" s="2" t="s">
        <v>220</v>
      </c>
      <c r="K1584" t="s">
        <v>42</v>
      </c>
      <c r="L1584" t="s">
        <v>259</v>
      </c>
      <c r="N1584" t="s">
        <v>260</v>
      </c>
      <c r="Q1584">
        <v>30962</v>
      </c>
      <c r="R1584" t="s">
        <v>119</v>
      </c>
      <c r="S1584" t="s">
        <v>10977</v>
      </c>
      <c r="T1584">
        <v>28</v>
      </c>
      <c r="U1584" s="2" t="s">
        <v>10978</v>
      </c>
      <c r="V1584" s="1">
        <v>45819</v>
      </c>
      <c r="W1584" t="s">
        <v>84</v>
      </c>
      <c r="X1584">
        <v>838551</v>
      </c>
      <c r="Y1584" t="s">
        <v>10979</v>
      </c>
      <c r="Z1584" t="e">
        <f ca="1">- module Replacement
- PM</f>
        <v>#NAME?</v>
      </c>
      <c r="AA1584" t="e">
        <f ca="1">-Install new module on B2/607663
- PERFORM functionality test
- Preventive Maintenance</f>
        <v>#NAME?</v>
      </c>
      <c r="AB1584" t="s">
        <v>70</v>
      </c>
      <c r="AD1584" s="2" t="s">
        <v>10980</v>
      </c>
      <c r="AE1584">
        <v>13059</v>
      </c>
      <c r="AG1584" t="s">
        <v>10981</v>
      </c>
      <c r="AH1584" t="s">
        <v>7469</v>
      </c>
      <c r="AI1584" t="s">
        <v>10982</v>
      </c>
    </row>
    <row r="1585" spans="2:35" ht="195">
      <c r="B1585" s="1">
        <v>45818</v>
      </c>
      <c r="C1585" s="1">
        <v>45818</v>
      </c>
      <c r="D1585" t="s">
        <v>10983</v>
      </c>
      <c r="E1585" t="s">
        <v>10984</v>
      </c>
      <c r="F1585">
        <v>6</v>
      </c>
      <c r="G1585" t="s">
        <v>1234</v>
      </c>
      <c r="H1585" t="s">
        <v>39</v>
      </c>
      <c r="I1585" t="s">
        <v>40</v>
      </c>
      <c r="J1585" s="2" t="s">
        <v>41</v>
      </c>
      <c r="K1585" t="s">
        <v>42</v>
      </c>
      <c r="L1585" t="s">
        <v>270</v>
      </c>
      <c r="N1585" t="s">
        <v>2481</v>
      </c>
      <c r="Q1585">
        <v>30961</v>
      </c>
      <c r="R1585" t="s">
        <v>119</v>
      </c>
      <c r="S1585" t="s">
        <v>10985</v>
      </c>
      <c r="T1585">
        <v>25</v>
      </c>
      <c r="U1585" s="2" t="s">
        <v>10986</v>
      </c>
      <c r="V1585" s="1">
        <v>45806</v>
      </c>
      <c r="W1585" t="s">
        <v>2484</v>
      </c>
      <c r="X1585">
        <v>838464</v>
      </c>
      <c r="Y1585" t="s">
        <v>10987</v>
      </c>
      <c r="Z1585" t="s">
        <v>10988</v>
      </c>
      <c r="AA1585" t="s">
        <v>10989</v>
      </c>
      <c r="AB1585" t="s">
        <v>10990</v>
      </c>
      <c r="AD1585" t="s">
        <v>10991</v>
      </c>
      <c r="AE1585">
        <v>13063</v>
      </c>
      <c r="AG1585" t="s">
        <v>10992</v>
      </c>
      <c r="AH1585" t="s">
        <v>10993</v>
      </c>
      <c r="AI1585" t="s">
        <v>10994</v>
      </c>
    </row>
    <row r="1586" spans="2:35">
      <c r="B1586" s="1">
        <v>45818</v>
      </c>
      <c r="C1586" s="1">
        <v>45818</v>
      </c>
      <c r="D1586" t="s">
        <v>8032</v>
      </c>
      <c r="E1586" t="s">
        <v>10995</v>
      </c>
      <c r="F1586" t="s">
        <v>148</v>
      </c>
      <c r="G1586" t="s">
        <v>447</v>
      </c>
      <c r="H1586" t="s">
        <v>39</v>
      </c>
      <c r="I1586" t="s">
        <v>40</v>
      </c>
      <c r="J1586" t="s">
        <v>109</v>
      </c>
      <c r="K1586" t="s">
        <v>42</v>
      </c>
      <c r="L1586" t="s">
        <v>175</v>
      </c>
      <c r="N1586" t="s">
        <v>176</v>
      </c>
      <c r="Q1586">
        <v>30960</v>
      </c>
      <c r="R1586" t="s">
        <v>95</v>
      </c>
      <c r="S1586" t="s">
        <v>4447</v>
      </c>
      <c r="T1586">
        <v>28</v>
      </c>
      <c r="W1586" t="s">
        <v>8846</v>
      </c>
      <c r="X1586">
        <v>110025174</v>
      </c>
      <c r="Y1586" t="s">
        <v>374</v>
      </c>
      <c r="Z1586" t="s">
        <v>103</v>
      </c>
      <c r="AA1586" t="e">
        <f ca="1">- checked _xludf.and cleaned cartridge bay, plunger rod, _xludf.filter, icore slot
- generated reports
- performed self test</f>
        <v>#NAME?</v>
      </c>
      <c r="AB1586" t="s">
        <v>181</v>
      </c>
      <c r="AG1586" t="s">
        <v>10996</v>
      </c>
      <c r="AH1586" t="s">
        <v>10997</v>
      </c>
      <c r="AI1586" t="s">
        <v>10998</v>
      </c>
    </row>
    <row r="1587" spans="2:35" ht="105">
      <c r="B1587" s="1">
        <v>45818</v>
      </c>
      <c r="C1587" s="1">
        <v>45818</v>
      </c>
      <c r="D1587" t="s">
        <v>5496</v>
      </c>
      <c r="E1587" t="s">
        <v>10999</v>
      </c>
      <c r="F1587">
        <v>5</v>
      </c>
      <c r="G1587" t="s">
        <v>839</v>
      </c>
      <c r="H1587" t="s">
        <v>39</v>
      </c>
      <c r="I1587" t="s">
        <v>94</v>
      </c>
      <c r="J1587" t="s">
        <v>109</v>
      </c>
      <c r="K1587" t="s">
        <v>42</v>
      </c>
      <c r="L1587" t="s">
        <v>761</v>
      </c>
      <c r="N1587" t="s">
        <v>762</v>
      </c>
      <c r="Q1587">
        <v>30959</v>
      </c>
      <c r="R1587" t="s">
        <v>119</v>
      </c>
      <c r="S1587" t="s">
        <v>5498</v>
      </c>
      <c r="T1587">
        <v>28</v>
      </c>
      <c r="U1587" s="2" t="s">
        <v>10565</v>
      </c>
      <c r="W1587" t="s">
        <v>765</v>
      </c>
      <c r="X1587">
        <v>838391</v>
      </c>
      <c r="Y1587" t="s">
        <v>818</v>
      </c>
      <c r="Z1587" s="2" t="s">
        <v>9650</v>
      </c>
      <c r="AA1587" t="s">
        <v>820</v>
      </c>
      <c r="AB1587" t="s">
        <v>70</v>
      </c>
      <c r="AG1587" t="s">
        <v>11000</v>
      </c>
      <c r="AH1587" t="s">
        <v>5503</v>
      </c>
      <c r="AI1587" t="s">
        <v>11001</v>
      </c>
    </row>
    <row r="1588" spans="2:35" ht="105">
      <c r="B1588" s="1">
        <v>45818</v>
      </c>
      <c r="C1588" s="1">
        <v>45818</v>
      </c>
      <c r="D1588" t="s">
        <v>5496</v>
      </c>
      <c r="E1588" t="s">
        <v>10999</v>
      </c>
      <c r="F1588">
        <v>5</v>
      </c>
      <c r="G1588" t="s">
        <v>839</v>
      </c>
      <c r="H1588" t="s">
        <v>39</v>
      </c>
      <c r="I1588" t="s">
        <v>94</v>
      </c>
      <c r="J1588" t="s">
        <v>109</v>
      </c>
      <c r="K1588" t="s">
        <v>42</v>
      </c>
      <c r="L1588" t="s">
        <v>761</v>
      </c>
      <c r="N1588" t="s">
        <v>762</v>
      </c>
      <c r="Q1588">
        <v>30958</v>
      </c>
      <c r="R1588" t="s">
        <v>967</v>
      </c>
      <c r="S1588" t="s">
        <v>5498</v>
      </c>
      <c r="T1588">
        <v>27</v>
      </c>
      <c r="U1588" s="2" t="s">
        <v>11002</v>
      </c>
      <c r="W1588" t="s">
        <v>817</v>
      </c>
      <c r="X1588">
        <v>110023511</v>
      </c>
      <c r="Y1588" t="s">
        <v>818</v>
      </c>
      <c r="Z1588" s="2" t="s">
        <v>1415</v>
      </c>
      <c r="AA1588" t="s">
        <v>820</v>
      </c>
      <c r="AB1588" t="s">
        <v>181</v>
      </c>
      <c r="AG1588" t="s">
        <v>11003</v>
      </c>
      <c r="AH1588" t="s">
        <v>5503</v>
      </c>
      <c r="AI1588" t="s">
        <v>11004</v>
      </c>
    </row>
    <row r="1589" spans="2:35" ht="390">
      <c r="B1589" s="1">
        <v>45818</v>
      </c>
      <c r="C1589" s="1">
        <v>45817</v>
      </c>
      <c r="D1589" t="s">
        <v>2427</v>
      </c>
      <c r="E1589" t="s">
        <v>582</v>
      </c>
      <c r="F1589" t="s">
        <v>148</v>
      </c>
      <c r="G1589" t="s">
        <v>447</v>
      </c>
      <c r="H1589" t="s">
        <v>513</v>
      </c>
      <c r="I1589" t="s">
        <v>40</v>
      </c>
      <c r="J1589" s="2" t="s">
        <v>1309</v>
      </c>
      <c r="K1589" t="s">
        <v>387</v>
      </c>
      <c r="L1589" t="s">
        <v>175</v>
      </c>
      <c r="N1589" t="s">
        <v>176</v>
      </c>
      <c r="Q1589">
        <v>30957</v>
      </c>
      <c r="R1589" t="s">
        <v>322</v>
      </c>
      <c r="S1589" t="s">
        <v>2429</v>
      </c>
      <c r="T1589">
        <v>25</v>
      </c>
      <c r="V1589" s="1">
        <v>45813</v>
      </c>
      <c r="W1589" t="s">
        <v>390</v>
      </c>
      <c r="X1589" t="s">
        <v>2430</v>
      </c>
      <c r="Y1589" s="2" t="s">
        <v>11005</v>
      </c>
      <c r="Z1589" s="2" t="s">
        <v>11006</v>
      </c>
      <c r="AA1589" s="2" t="s">
        <v>11007</v>
      </c>
      <c r="AB1589" s="2" t="s">
        <v>11008</v>
      </c>
      <c r="AD1589" t="s">
        <v>3838</v>
      </c>
      <c r="AE1589">
        <v>100395</v>
      </c>
      <c r="AG1589" t="s">
        <v>11009</v>
      </c>
      <c r="AH1589" t="s">
        <v>11010</v>
      </c>
      <c r="AI1589" t="s">
        <v>11011</v>
      </c>
    </row>
    <row r="1590" spans="2:35" ht="409.5">
      <c r="B1590" s="1">
        <v>45817</v>
      </c>
      <c r="C1590" s="1">
        <v>45812</v>
      </c>
      <c r="D1590" t="s">
        <v>6844</v>
      </c>
      <c r="E1590" t="s">
        <v>8927</v>
      </c>
      <c r="F1590">
        <v>12</v>
      </c>
      <c r="G1590" t="s">
        <v>294</v>
      </c>
      <c r="H1590" t="s">
        <v>1473</v>
      </c>
      <c r="I1590" t="s">
        <v>40</v>
      </c>
      <c r="J1590" s="2" t="s">
        <v>41</v>
      </c>
      <c r="K1590" t="s">
        <v>42</v>
      </c>
      <c r="L1590" t="s">
        <v>296</v>
      </c>
      <c r="N1590" t="s">
        <v>297</v>
      </c>
      <c r="Q1590">
        <v>30956</v>
      </c>
      <c r="R1590" t="s">
        <v>119</v>
      </c>
      <c r="S1590" t="s">
        <v>6846</v>
      </c>
      <c r="T1590">
        <v>26.1</v>
      </c>
      <c r="U1590" s="2" t="s">
        <v>11012</v>
      </c>
      <c r="V1590" s="1">
        <v>45812</v>
      </c>
      <c r="W1590" t="s">
        <v>981</v>
      </c>
      <c r="X1590">
        <v>838261</v>
      </c>
      <c r="Y1590" t="s">
        <v>11013</v>
      </c>
      <c r="Z1590" s="2" t="s">
        <v>11014</v>
      </c>
      <c r="AA1590" s="2" t="s">
        <v>11015</v>
      </c>
      <c r="AB1590" t="s">
        <v>972</v>
      </c>
      <c r="AD1590" s="2" t="s">
        <v>11016</v>
      </c>
      <c r="AE1590" t="s">
        <v>11017</v>
      </c>
      <c r="AG1590" t="s">
        <v>11018</v>
      </c>
      <c r="AH1590" t="s">
        <v>11019</v>
      </c>
      <c r="AI1590" t="s">
        <v>11020</v>
      </c>
    </row>
    <row r="1591" spans="2:35" ht="225">
      <c r="B1591" s="1">
        <v>45817</v>
      </c>
      <c r="C1591" s="1">
        <v>45811</v>
      </c>
      <c r="D1591" t="s">
        <v>542</v>
      </c>
      <c r="E1591" t="s">
        <v>8515</v>
      </c>
      <c r="F1591" t="s">
        <v>148</v>
      </c>
      <c r="G1591" t="s">
        <v>544</v>
      </c>
      <c r="H1591" t="s">
        <v>39</v>
      </c>
      <c r="I1591" t="s">
        <v>40</v>
      </c>
      <c r="J1591" t="s">
        <v>109</v>
      </c>
      <c r="K1591" t="s">
        <v>42</v>
      </c>
      <c r="L1591" t="s">
        <v>43</v>
      </c>
      <c r="N1591" t="s">
        <v>44</v>
      </c>
      <c r="O1591" t="s">
        <v>545</v>
      </c>
      <c r="Q1591">
        <v>30955</v>
      </c>
      <c r="R1591" t="s">
        <v>322</v>
      </c>
      <c r="S1591" t="s">
        <v>6737</v>
      </c>
      <c r="T1591">
        <v>22</v>
      </c>
      <c r="W1591" t="s">
        <v>153</v>
      </c>
      <c r="X1591" t="s">
        <v>11021</v>
      </c>
      <c r="Y1591" t="s">
        <v>121</v>
      </c>
      <c r="Z1591" t="s">
        <v>122</v>
      </c>
      <c r="AA1591" s="2" t="s">
        <v>9740</v>
      </c>
      <c r="AB1591" t="s">
        <v>88</v>
      </c>
      <c r="AG1591" t="s">
        <v>11022</v>
      </c>
      <c r="AH1591" t="s">
        <v>10060</v>
      </c>
      <c r="AI1591" t="s">
        <v>11023</v>
      </c>
    </row>
    <row r="1592" spans="2:35" ht="270">
      <c r="B1592" s="1">
        <v>45817</v>
      </c>
      <c r="C1592" s="1">
        <v>45806</v>
      </c>
      <c r="D1592" t="s">
        <v>11024</v>
      </c>
      <c r="E1592" t="s">
        <v>7147</v>
      </c>
      <c r="F1592" t="s">
        <v>1181</v>
      </c>
      <c r="G1592" t="s">
        <v>7148</v>
      </c>
      <c r="H1592" t="s">
        <v>39</v>
      </c>
      <c r="I1592" t="s">
        <v>40</v>
      </c>
      <c r="J1592" s="2" t="s">
        <v>41</v>
      </c>
      <c r="K1592" t="s">
        <v>42</v>
      </c>
      <c r="L1592" t="s">
        <v>43</v>
      </c>
      <c r="N1592" t="s">
        <v>44</v>
      </c>
      <c r="Q1592">
        <v>30951</v>
      </c>
      <c r="R1592" t="s">
        <v>119</v>
      </c>
      <c r="S1592" t="s">
        <v>7149</v>
      </c>
      <c r="T1592">
        <v>22</v>
      </c>
      <c r="U1592" s="2" t="s">
        <v>11025</v>
      </c>
      <c r="V1592" s="1">
        <v>45758</v>
      </c>
      <c r="W1592" t="s">
        <v>48</v>
      </c>
      <c r="X1592">
        <v>838228</v>
      </c>
      <c r="Y1592" t="s">
        <v>11026</v>
      </c>
      <c r="Z1592" t="s">
        <v>11027</v>
      </c>
      <c r="AA1592" s="2" t="s">
        <v>11028</v>
      </c>
      <c r="AB1592" t="s">
        <v>88</v>
      </c>
      <c r="AD1592" s="2" t="s">
        <v>11029</v>
      </c>
      <c r="AE1592" t="s">
        <v>11030</v>
      </c>
      <c r="AG1592" t="s">
        <v>11031</v>
      </c>
      <c r="AH1592" t="s">
        <v>11032</v>
      </c>
      <c r="AI1592" t="s">
        <v>11033</v>
      </c>
    </row>
    <row r="1593" spans="2:35" ht="409.5">
      <c r="B1593" s="1">
        <v>45817</v>
      </c>
      <c r="C1593" s="1">
        <v>45812</v>
      </c>
      <c r="D1593" t="s">
        <v>1081</v>
      </c>
      <c r="E1593" t="s">
        <v>1082</v>
      </c>
      <c r="F1593" t="s">
        <v>148</v>
      </c>
      <c r="G1593" t="s">
        <v>785</v>
      </c>
      <c r="H1593" t="s">
        <v>39</v>
      </c>
      <c r="I1593" t="s">
        <v>40</v>
      </c>
      <c r="J1593" t="s">
        <v>109</v>
      </c>
      <c r="K1593" t="s">
        <v>42</v>
      </c>
      <c r="L1593" t="s">
        <v>43</v>
      </c>
      <c r="N1593" t="s">
        <v>44</v>
      </c>
      <c r="Q1593">
        <v>30953</v>
      </c>
      <c r="R1593" t="s">
        <v>95</v>
      </c>
      <c r="S1593" t="s">
        <v>2016</v>
      </c>
      <c r="T1593">
        <v>22</v>
      </c>
      <c r="U1593" s="2" t="s">
        <v>11034</v>
      </c>
      <c r="W1593" t="s">
        <v>5136</v>
      </c>
      <c r="X1593">
        <v>110015767</v>
      </c>
      <c r="Y1593" s="2" t="s">
        <v>11035</v>
      </c>
      <c r="Z1593" t="s">
        <v>11036</v>
      </c>
      <c r="AA1593" s="2" t="s">
        <v>11037</v>
      </c>
      <c r="AB1593" t="s">
        <v>11038</v>
      </c>
      <c r="AG1593" t="s">
        <v>11039</v>
      </c>
      <c r="AH1593" t="s">
        <v>2022</v>
      </c>
      <c r="AI1593" t="s">
        <v>11040</v>
      </c>
    </row>
    <row r="1594" spans="2:35" ht="225">
      <c r="B1594" s="1">
        <v>45817</v>
      </c>
      <c r="C1594" s="1">
        <v>45811</v>
      </c>
      <c r="D1594" t="s">
        <v>542</v>
      </c>
      <c r="E1594" t="s">
        <v>8515</v>
      </c>
      <c r="F1594" t="s">
        <v>148</v>
      </c>
      <c r="G1594" t="s">
        <v>544</v>
      </c>
      <c r="H1594" t="s">
        <v>39</v>
      </c>
      <c r="I1594" t="s">
        <v>40</v>
      </c>
      <c r="J1594" t="s">
        <v>109</v>
      </c>
      <c r="K1594" t="s">
        <v>42</v>
      </c>
      <c r="L1594" t="s">
        <v>43</v>
      </c>
      <c r="N1594" t="s">
        <v>44</v>
      </c>
      <c r="O1594" t="s">
        <v>545</v>
      </c>
      <c r="Q1594">
        <v>30952</v>
      </c>
      <c r="R1594" t="s">
        <v>322</v>
      </c>
      <c r="S1594" t="s">
        <v>6737</v>
      </c>
      <c r="T1594">
        <v>22</v>
      </c>
      <c r="W1594" t="s">
        <v>153</v>
      </c>
      <c r="X1594" t="s">
        <v>11041</v>
      </c>
      <c r="Y1594" t="s">
        <v>121</v>
      </c>
      <c r="Z1594" t="s">
        <v>122</v>
      </c>
      <c r="AA1594" s="2" t="s">
        <v>123</v>
      </c>
      <c r="AB1594" t="s">
        <v>88</v>
      </c>
      <c r="AG1594" t="s">
        <v>11042</v>
      </c>
      <c r="AH1594" t="s">
        <v>10060</v>
      </c>
      <c r="AI1594" t="s">
        <v>11043</v>
      </c>
    </row>
    <row r="1595" spans="2:35" ht="270">
      <c r="B1595" s="1">
        <v>45817</v>
      </c>
      <c r="C1595" s="1">
        <v>45812</v>
      </c>
      <c r="D1595" t="s">
        <v>146</v>
      </c>
      <c r="E1595" t="s">
        <v>5983</v>
      </c>
      <c r="F1595" t="s">
        <v>148</v>
      </c>
      <c r="G1595" t="s">
        <v>149</v>
      </c>
      <c r="H1595" t="s">
        <v>150</v>
      </c>
      <c r="I1595" t="s">
        <v>40</v>
      </c>
      <c r="J1595" s="2" t="s">
        <v>4208</v>
      </c>
      <c r="K1595" t="s">
        <v>42</v>
      </c>
      <c r="L1595" t="s">
        <v>43</v>
      </c>
      <c r="N1595" t="s">
        <v>44</v>
      </c>
      <c r="Q1595">
        <v>30954</v>
      </c>
      <c r="R1595" t="s">
        <v>95</v>
      </c>
      <c r="S1595" t="s">
        <v>11044</v>
      </c>
      <c r="T1595">
        <v>22</v>
      </c>
      <c r="U1595" s="2" t="s">
        <v>11045</v>
      </c>
      <c r="W1595" t="s">
        <v>153</v>
      </c>
      <c r="X1595">
        <v>110003714</v>
      </c>
      <c r="Y1595" t="s">
        <v>11046</v>
      </c>
      <c r="Z1595" t="s">
        <v>11047</v>
      </c>
      <c r="AA1595" s="2" t="s">
        <v>11048</v>
      </c>
      <c r="AB1595" t="s">
        <v>11049</v>
      </c>
      <c r="AG1595" t="s">
        <v>11050</v>
      </c>
      <c r="AH1595" t="s">
        <v>11051</v>
      </c>
      <c r="AI1595" t="s">
        <v>11052</v>
      </c>
    </row>
    <row r="1596" spans="2:35" ht="90">
      <c r="B1596" s="1">
        <v>45817</v>
      </c>
      <c r="C1596" s="1">
        <v>45817</v>
      </c>
      <c r="D1596" t="s">
        <v>7050</v>
      </c>
      <c r="E1596" t="s">
        <v>3155</v>
      </c>
      <c r="F1596">
        <v>9</v>
      </c>
      <c r="G1596" t="s">
        <v>2197</v>
      </c>
      <c r="H1596" t="s">
        <v>39</v>
      </c>
      <c r="I1596" t="s">
        <v>40</v>
      </c>
      <c r="J1596" s="2" t="s">
        <v>1592</v>
      </c>
      <c r="K1596" t="s">
        <v>387</v>
      </c>
      <c r="L1596" t="s">
        <v>1257</v>
      </c>
      <c r="N1596" t="s">
        <v>1258</v>
      </c>
      <c r="O1596" t="s">
        <v>1258</v>
      </c>
      <c r="Q1596">
        <v>30950</v>
      </c>
      <c r="R1596" t="s">
        <v>95</v>
      </c>
      <c r="S1596" t="s">
        <v>7052</v>
      </c>
      <c r="T1596">
        <v>25</v>
      </c>
      <c r="V1596" s="1">
        <v>45817</v>
      </c>
      <c r="W1596" t="s">
        <v>476</v>
      </c>
      <c r="X1596" t="s">
        <v>7053</v>
      </c>
      <c r="Y1596" t="s">
        <v>11053</v>
      </c>
      <c r="Z1596" t="s">
        <v>11054</v>
      </c>
      <c r="AA1596" t="s">
        <v>11054</v>
      </c>
      <c r="AB1596" t="s">
        <v>11055</v>
      </c>
      <c r="AC1596" t="s">
        <v>301</v>
      </c>
      <c r="AD1596" t="s">
        <v>54</v>
      </c>
      <c r="AE1596" t="s">
        <v>54</v>
      </c>
      <c r="AG1596" t="s">
        <v>11056</v>
      </c>
      <c r="AH1596" t="s">
        <v>11057</v>
      </c>
      <c r="AI1596" t="s">
        <v>11058</v>
      </c>
    </row>
    <row r="1597" spans="2:35" ht="409.5">
      <c r="B1597" s="1">
        <v>45817</v>
      </c>
      <c r="C1597" s="1">
        <v>45806</v>
      </c>
      <c r="D1597" t="s">
        <v>2005</v>
      </c>
      <c r="E1597" t="s">
        <v>10086</v>
      </c>
      <c r="F1597" t="s">
        <v>148</v>
      </c>
      <c r="G1597" t="s">
        <v>2007</v>
      </c>
      <c r="H1597" t="s">
        <v>662</v>
      </c>
      <c r="I1597" t="s">
        <v>40</v>
      </c>
      <c r="J1597" t="s">
        <v>79</v>
      </c>
      <c r="K1597" t="s">
        <v>42</v>
      </c>
      <c r="L1597" t="s">
        <v>448</v>
      </c>
      <c r="N1597" t="s">
        <v>450</v>
      </c>
      <c r="Q1597">
        <v>30949</v>
      </c>
      <c r="R1597" t="s">
        <v>95</v>
      </c>
      <c r="S1597" t="s">
        <v>4273</v>
      </c>
      <c r="T1597">
        <v>25</v>
      </c>
      <c r="U1597" s="2" t="s">
        <v>11059</v>
      </c>
      <c r="V1597" s="1">
        <v>45803</v>
      </c>
      <c r="W1597" t="s">
        <v>2010</v>
      </c>
      <c r="X1597">
        <v>110026448</v>
      </c>
      <c r="Y1597" t="s">
        <v>11060</v>
      </c>
      <c r="Z1597" s="2" t="s">
        <v>2585</v>
      </c>
      <c r="AA1597" t="s">
        <v>456</v>
      </c>
      <c r="AB1597" s="2" t="s">
        <v>11061</v>
      </c>
      <c r="AD1597" t="s">
        <v>11062</v>
      </c>
      <c r="AE1597">
        <v>13045</v>
      </c>
      <c r="AG1597" t="s">
        <v>11063</v>
      </c>
      <c r="AH1597" t="s">
        <v>4278</v>
      </c>
      <c r="AI1597" t="s">
        <v>11064</v>
      </c>
    </row>
    <row r="1598" spans="2:35" ht="105">
      <c r="B1598" s="1">
        <v>45817</v>
      </c>
      <c r="C1598" s="1">
        <v>45817</v>
      </c>
      <c r="D1598" t="s">
        <v>11065</v>
      </c>
      <c r="E1598" t="s">
        <v>11066</v>
      </c>
      <c r="F1598">
        <v>7</v>
      </c>
      <c r="G1598" t="s">
        <v>269</v>
      </c>
      <c r="H1598" t="s">
        <v>258</v>
      </c>
      <c r="I1598" t="s">
        <v>40</v>
      </c>
      <c r="J1598" s="2" t="s">
        <v>41</v>
      </c>
      <c r="K1598" t="s">
        <v>42</v>
      </c>
      <c r="L1598" t="s">
        <v>270</v>
      </c>
      <c r="N1598" t="s">
        <v>2481</v>
      </c>
      <c r="Q1598">
        <v>30948</v>
      </c>
      <c r="R1598" t="s">
        <v>119</v>
      </c>
      <c r="S1598" t="s">
        <v>11067</v>
      </c>
      <c r="T1598">
        <v>25</v>
      </c>
      <c r="U1598" s="2" t="s">
        <v>11068</v>
      </c>
      <c r="V1598" s="1">
        <v>45806</v>
      </c>
      <c r="W1598" t="s">
        <v>666</v>
      </c>
      <c r="X1598">
        <v>838481</v>
      </c>
      <c r="Y1598" t="s">
        <v>11069</v>
      </c>
      <c r="Z1598" t="s">
        <v>10988</v>
      </c>
      <c r="AA1598" t="s">
        <v>11070</v>
      </c>
      <c r="AB1598" t="s">
        <v>3527</v>
      </c>
      <c r="AD1598" t="s">
        <v>10991</v>
      </c>
      <c r="AE1598">
        <v>13057</v>
      </c>
      <c r="AG1598" t="s">
        <v>11071</v>
      </c>
      <c r="AH1598" t="s">
        <v>11065</v>
      </c>
      <c r="AI1598" t="s">
        <v>11072</v>
      </c>
    </row>
    <row r="1599" spans="2:35">
      <c r="B1599" s="1">
        <v>45817</v>
      </c>
      <c r="C1599" s="1">
        <v>45813</v>
      </c>
      <c r="D1599" t="s">
        <v>7254</v>
      </c>
      <c r="E1599" t="s">
        <v>7255</v>
      </c>
      <c r="F1599">
        <v>1</v>
      </c>
      <c r="G1599" t="s">
        <v>2599</v>
      </c>
      <c r="H1599" t="s">
        <v>39</v>
      </c>
      <c r="I1599" t="s">
        <v>40</v>
      </c>
      <c r="J1599" t="s">
        <v>109</v>
      </c>
      <c r="K1599" t="s">
        <v>42</v>
      </c>
      <c r="L1599" t="s">
        <v>1048</v>
      </c>
      <c r="N1599" t="s">
        <v>1049</v>
      </c>
      <c r="Q1599">
        <v>30947</v>
      </c>
      <c r="R1599" t="s">
        <v>119</v>
      </c>
      <c r="S1599" t="s">
        <v>7256</v>
      </c>
      <c r="T1599">
        <v>27</v>
      </c>
      <c r="W1599" t="s">
        <v>1051</v>
      </c>
      <c r="X1599">
        <v>838416</v>
      </c>
      <c r="Y1599" t="s">
        <v>1052</v>
      </c>
      <c r="Z1599" t="e">
        <f ca="1">- cleaned cartridge Bays, plunger Rods _xludf.and I-CORE
- generated reports</f>
        <v>#NAME?</v>
      </c>
      <c r="AA1599" t="s">
        <v>820</v>
      </c>
      <c r="AB1599" t="e">
        <f ca="1">- Unit is Fully operational</f>
        <v>#NAME?</v>
      </c>
      <c r="AC1599" t="s">
        <v>11073</v>
      </c>
      <c r="AG1599" t="s">
        <v>11074</v>
      </c>
      <c r="AH1599" t="s">
        <v>11075</v>
      </c>
      <c r="AI1599" t="s">
        <v>11076</v>
      </c>
    </row>
    <row r="1600" spans="2:35">
      <c r="B1600" s="1">
        <v>45817</v>
      </c>
      <c r="C1600" s="1">
        <v>45813</v>
      </c>
      <c r="D1600" t="s">
        <v>11077</v>
      </c>
      <c r="E1600" t="s">
        <v>2598</v>
      </c>
      <c r="F1600">
        <v>1</v>
      </c>
      <c r="G1600" t="s">
        <v>2599</v>
      </c>
      <c r="H1600" t="s">
        <v>39</v>
      </c>
      <c r="I1600" t="s">
        <v>40</v>
      </c>
      <c r="J1600" t="s">
        <v>109</v>
      </c>
      <c r="K1600" t="s">
        <v>42</v>
      </c>
      <c r="L1600" t="s">
        <v>1048</v>
      </c>
      <c r="N1600" t="s">
        <v>1049</v>
      </c>
      <c r="Q1600">
        <v>30946</v>
      </c>
      <c r="R1600" t="s">
        <v>322</v>
      </c>
      <c r="S1600" t="s">
        <v>11078</v>
      </c>
      <c r="T1600">
        <v>26</v>
      </c>
      <c r="W1600" t="s">
        <v>1424</v>
      </c>
      <c r="X1600">
        <v>110022474</v>
      </c>
      <c r="Y1600" t="s">
        <v>1052</v>
      </c>
      <c r="Z1600" t="e">
        <f ca="1">- cleaned cartridge Bays,plunger Rods _xludf.and I-CORE
- generated reports</f>
        <v>#NAME?</v>
      </c>
      <c r="AA1600" t="s">
        <v>820</v>
      </c>
      <c r="AB1600" t="s">
        <v>1428</v>
      </c>
      <c r="AC1600" t="s">
        <v>11073</v>
      </c>
      <c r="AG1600" t="s">
        <v>11079</v>
      </c>
      <c r="AH1600" t="s">
        <v>11080</v>
      </c>
      <c r="AI1600" t="s">
        <v>11081</v>
      </c>
    </row>
    <row r="1601" spans="2:35">
      <c r="B1601" s="1">
        <v>45817</v>
      </c>
      <c r="C1601" s="1">
        <v>45813</v>
      </c>
      <c r="D1601" t="s">
        <v>7248</v>
      </c>
      <c r="E1601" t="s">
        <v>11082</v>
      </c>
      <c r="F1601">
        <v>1</v>
      </c>
      <c r="G1601" t="s">
        <v>1922</v>
      </c>
      <c r="H1601" t="s">
        <v>39</v>
      </c>
      <c r="I1601" t="s">
        <v>40</v>
      </c>
      <c r="J1601" t="s">
        <v>109</v>
      </c>
      <c r="K1601" t="s">
        <v>42</v>
      </c>
      <c r="L1601" t="s">
        <v>1048</v>
      </c>
      <c r="N1601" t="s">
        <v>1049</v>
      </c>
      <c r="Q1601">
        <v>30945</v>
      </c>
      <c r="R1601" t="s">
        <v>119</v>
      </c>
      <c r="S1601" t="s">
        <v>7250</v>
      </c>
      <c r="T1601">
        <v>29</v>
      </c>
      <c r="W1601" t="s">
        <v>1051</v>
      </c>
      <c r="X1601">
        <v>838277</v>
      </c>
      <c r="Y1601" t="s">
        <v>1052</v>
      </c>
      <c r="Z1601" t="e">
        <f ca="1">- cleaned cartridge Bays, plunger Rods _xludf.and I-CORE
- generated reports</f>
        <v>#NAME?</v>
      </c>
      <c r="AA1601" t="s">
        <v>820</v>
      </c>
      <c r="AB1601" t="s">
        <v>1428</v>
      </c>
      <c r="AG1601" t="s">
        <v>11083</v>
      </c>
      <c r="AH1601" t="s">
        <v>7252</v>
      </c>
      <c r="AI1601" t="s">
        <v>11084</v>
      </c>
    </row>
    <row r="1602" spans="2:35">
      <c r="B1602" s="1">
        <v>45817</v>
      </c>
      <c r="C1602" s="1">
        <v>45812</v>
      </c>
      <c r="D1602" t="s">
        <v>4936</v>
      </c>
      <c r="E1602" t="s">
        <v>4937</v>
      </c>
      <c r="F1602" t="s">
        <v>511</v>
      </c>
      <c r="G1602" t="s">
        <v>4938</v>
      </c>
      <c r="H1602" t="s">
        <v>39</v>
      </c>
      <c r="I1602" t="s">
        <v>40</v>
      </c>
      <c r="J1602" t="s">
        <v>109</v>
      </c>
      <c r="K1602" t="s">
        <v>42</v>
      </c>
      <c r="L1602" t="s">
        <v>1048</v>
      </c>
      <c r="N1602" t="s">
        <v>1049</v>
      </c>
      <c r="Q1602">
        <v>30944</v>
      </c>
      <c r="R1602" t="s">
        <v>967</v>
      </c>
      <c r="S1602" t="s">
        <v>4939</v>
      </c>
      <c r="T1602">
        <v>28</v>
      </c>
      <c r="W1602" t="s">
        <v>1051</v>
      </c>
      <c r="X1602">
        <v>110023499</v>
      </c>
      <c r="Y1602" t="s">
        <v>1052</v>
      </c>
      <c r="Z1602" t="e">
        <f ca="1">- cleaned cartridge Bays,plunger Rods _xludf.and I-CORE
- generated reports</f>
        <v>#NAME?</v>
      </c>
      <c r="AA1602" t="s">
        <v>820</v>
      </c>
      <c r="AB1602" t="s">
        <v>1428</v>
      </c>
      <c r="AC1602" t="s">
        <v>11073</v>
      </c>
      <c r="AG1602" t="s">
        <v>11085</v>
      </c>
      <c r="AH1602" t="s">
        <v>4941</v>
      </c>
      <c r="AI1602" t="s">
        <v>11086</v>
      </c>
    </row>
    <row r="1603" spans="2:35" ht="45">
      <c r="B1603" s="1">
        <v>45817</v>
      </c>
      <c r="C1603" s="1">
        <v>45812</v>
      </c>
      <c r="D1603" t="s">
        <v>11087</v>
      </c>
      <c r="E1603" t="s">
        <v>11088</v>
      </c>
      <c r="F1603" t="s">
        <v>511</v>
      </c>
      <c r="G1603" t="s">
        <v>4938</v>
      </c>
      <c r="H1603" t="s">
        <v>39</v>
      </c>
      <c r="I1603" t="s">
        <v>40</v>
      </c>
      <c r="J1603" s="2" t="s">
        <v>41</v>
      </c>
      <c r="K1603" t="s">
        <v>42</v>
      </c>
      <c r="L1603" t="s">
        <v>1048</v>
      </c>
      <c r="N1603" t="s">
        <v>1049</v>
      </c>
      <c r="Q1603">
        <v>30943</v>
      </c>
      <c r="R1603" t="s">
        <v>119</v>
      </c>
      <c r="S1603" t="s">
        <v>11089</v>
      </c>
      <c r="T1603">
        <v>26</v>
      </c>
      <c r="V1603" s="1">
        <v>45806</v>
      </c>
      <c r="W1603" t="s">
        <v>1051</v>
      </c>
      <c r="X1603">
        <v>838274</v>
      </c>
      <c r="Y1603" t="s">
        <v>1924</v>
      </c>
      <c r="Z1603" t="e">
        <f ca="1">- cleaned cartridge Bays,plunger Rods _xludf.and I-CORE
- replaced defective module
- generated reports</f>
        <v>#NAME?</v>
      </c>
      <c r="AA1603" t="s">
        <v>1926</v>
      </c>
      <c r="AB1603" t="s">
        <v>1428</v>
      </c>
      <c r="AD1603" t="s">
        <v>182</v>
      </c>
      <c r="AE1603" t="s">
        <v>11090</v>
      </c>
      <c r="AG1603" t="s">
        <v>11091</v>
      </c>
      <c r="AH1603" t="s">
        <v>11092</v>
      </c>
      <c r="AI1603" t="s">
        <v>11093</v>
      </c>
    </row>
    <row r="1604" spans="2:35">
      <c r="B1604" s="1">
        <v>45817</v>
      </c>
      <c r="C1604" s="1">
        <v>45812</v>
      </c>
      <c r="D1604" t="s">
        <v>4927</v>
      </c>
      <c r="E1604" t="s">
        <v>4928</v>
      </c>
      <c r="F1604">
        <v>1</v>
      </c>
      <c r="G1604" t="s">
        <v>1922</v>
      </c>
      <c r="H1604" t="s">
        <v>39</v>
      </c>
      <c r="I1604" t="s">
        <v>40</v>
      </c>
      <c r="J1604" t="s">
        <v>109</v>
      </c>
      <c r="K1604" t="s">
        <v>42</v>
      </c>
      <c r="L1604" t="s">
        <v>1048</v>
      </c>
      <c r="N1604" t="s">
        <v>1049</v>
      </c>
      <c r="Q1604">
        <v>30942</v>
      </c>
      <c r="R1604" t="s">
        <v>967</v>
      </c>
      <c r="S1604" t="s">
        <v>4929</v>
      </c>
      <c r="T1604">
        <v>30</v>
      </c>
      <c r="W1604" t="s">
        <v>1424</v>
      </c>
      <c r="X1604">
        <v>110023500</v>
      </c>
      <c r="Y1604" t="s">
        <v>1052</v>
      </c>
      <c r="Z1604" t="e">
        <f ca="1">- cleaned cartridge Bays, plunger Rods _xludf.and I-CORE
- generated reports</f>
        <v>#NAME?</v>
      </c>
      <c r="AA1604" t="s">
        <v>820</v>
      </c>
      <c r="AB1604" t="s">
        <v>1428</v>
      </c>
      <c r="AG1604" t="s">
        <v>11094</v>
      </c>
      <c r="AH1604" t="s">
        <v>4934</v>
      </c>
      <c r="AI1604" t="s">
        <v>11095</v>
      </c>
    </row>
    <row r="1605" spans="2:35">
      <c r="B1605" s="1">
        <v>45817</v>
      </c>
      <c r="C1605" s="1">
        <v>45812</v>
      </c>
      <c r="D1605" t="s">
        <v>5707</v>
      </c>
      <c r="E1605" t="s">
        <v>11096</v>
      </c>
      <c r="F1605">
        <v>1</v>
      </c>
      <c r="G1605" t="s">
        <v>1922</v>
      </c>
      <c r="H1605" t="s">
        <v>39</v>
      </c>
      <c r="I1605" t="s">
        <v>40</v>
      </c>
      <c r="J1605" t="s">
        <v>109</v>
      </c>
      <c r="K1605" t="s">
        <v>42</v>
      </c>
      <c r="L1605" t="s">
        <v>1048</v>
      </c>
      <c r="N1605" t="s">
        <v>1049</v>
      </c>
      <c r="Q1605">
        <v>30941</v>
      </c>
      <c r="R1605" t="s">
        <v>119</v>
      </c>
      <c r="S1605" t="s">
        <v>5709</v>
      </c>
      <c r="T1605">
        <v>28</v>
      </c>
      <c r="W1605" t="s">
        <v>1051</v>
      </c>
      <c r="X1605">
        <v>838273</v>
      </c>
      <c r="Y1605" t="s">
        <v>1052</v>
      </c>
      <c r="Z1605" t="e">
        <f ca="1">- cleaned cartridge Bays, plunger Rods _xludf.and I-CORE
-  generated reports</f>
        <v>#NAME?</v>
      </c>
      <c r="AA1605" t="s">
        <v>820</v>
      </c>
      <c r="AB1605" t="s">
        <v>1428</v>
      </c>
      <c r="AC1605" t="s">
        <v>11073</v>
      </c>
      <c r="AG1605" t="s">
        <v>11097</v>
      </c>
      <c r="AH1605" t="s">
        <v>5716</v>
      </c>
      <c r="AI1605" t="s">
        <v>11098</v>
      </c>
    </row>
    <row r="1606" spans="2:35">
      <c r="B1606" s="1">
        <v>45817</v>
      </c>
      <c r="C1606" s="1">
        <v>45812</v>
      </c>
      <c r="D1606" t="s">
        <v>7264</v>
      </c>
      <c r="E1606" t="s">
        <v>7265</v>
      </c>
      <c r="F1606">
        <v>1</v>
      </c>
      <c r="G1606" t="s">
        <v>1909</v>
      </c>
      <c r="H1606" t="s">
        <v>1047</v>
      </c>
      <c r="I1606" t="s">
        <v>40</v>
      </c>
      <c r="J1606" t="s">
        <v>109</v>
      </c>
      <c r="K1606" t="s">
        <v>42</v>
      </c>
      <c r="L1606" t="s">
        <v>1048</v>
      </c>
      <c r="N1606" t="s">
        <v>1049</v>
      </c>
      <c r="Q1606">
        <v>30940</v>
      </c>
      <c r="R1606" t="s">
        <v>119</v>
      </c>
      <c r="S1606" t="s">
        <v>7266</v>
      </c>
      <c r="T1606">
        <v>28</v>
      </c>
      <c r="W1606" t="s">
        <v>1051</v>
      </c>
      <c r="X1606">
        <v>838270</v>
      </c>
      <c r="Y1606" t="s">
        <v>1052</v>
      </c>
      <c r="Z1606" t="e">
        <f ca="1">- cleaned cartridge Bays, plunger Rods _xludf.and I-CORE
- generated reports</f>
        <v>#NAME?</v>
      </c>
      <c r="AA1606" t="s">
        <v>820</v>
      </c>
      <c r="AB1606" t="s">
        <v>1428</v>
      </c>
      <c r="AC1606" t="s">
        <v>11073</v>
      </c>
      <c r="AG1606" t="s">
        <v>11099</v>
      </c>
      <c r="AH1606" t="s">
        <v>11100</v>
      </c>
      <c r="AI1606" t="s">
        <v>11101</v>
      </c>
    </row>
    <row r="1607" spans="2:35" ht="315">
      <c r="B1607" s="1">
        <v>45817</v>
      </c>
      <c r="C1607" s="1">
        <v>45817</v>
      </c>
      <c r="D1607" t="s">
        <v>11102</v>
      </c>
      <c r="E1607" t="s">
        <v>11103</v>
      </c>
      <c r="F1607" t="s">
        <v>511</v>
      </c>
      <c r="G1607" t="s">
        <v>512</v>
      </c>
      <c r="H1607" t="s">
        <v>1047</v>
      </c>
      <c r="I1607" t="s">
        <v>40</v>
      </c>
      <c r="J1607" t="s">
        <v>79</v>
      </c>
      <c r="K1607" t="s">
        <v>42</v>
      </c>
      <c r="L1607" t="s">
        <v>1048</v>
      </c>
      <c r="N1607" t="s">
        <v>1049</v>
      </c>
      <c r="Q1607">
        <v>30939</v>
      </c>
      <c r="R1607" t="s">
        <v>119</v>
      </c>
      <c r="S1607" t="s">
        <v>11104</v>
      </c>
      <c r="T1607">
        <v>28</v>
      </c>
      <c r="V1607" s="1">
        <v>45806</v>
      </c>
      <c r="W1607" t="s">
        <v>1051</v>
      </c>
      <c r="X1607">
        <v>838282</v>
      </c>
      <c r="Y1607" t="s">
        <v>1924</v>
      </c>
      <c r="Z1607" s="2" t="s">
        <v>11105</v>
      </c>
      <c r="AA1607" t="s">
        <v>1926</v>
      </c>
      <c r="AB1607" t="s">
        <v>1428</v>
      </c>
      <c r="AC1607" t="s">
        <v>11073</v>
      </c>
      <c r="AD1607" t="s">
        <v>182</v>
      </c>
      <c r="AE1607" t="s">
        <v>11106</v>
      </c>
      <c r="AG1607" t="s">
        <v>11107</v>
      </c>
      <c r="AH1607" t="s">
        <v>11108</v>
      </c>
      <c r="AI1607" t="s">
        <v>11109</v>
      </c>
    </row>
    <row r="1608" spans="2:35" ht="330">
      <c r="B1608" s="1">
        <v>45817</v>
      </c>
      <c r="C1608" s="1">
        <v>45811</v>
      </c>
      <c r="D1608" t="s">
        <v>4517</v>
      </c>
      <c r="E1608" t="s">
        <v>4518</v>
      </c>
      <c r="F1608">
        <v>1</v>
      </c>
      <c r="G1608" t="s">
        <v>1046</v>
      </c>
      <c r="H1608" t="s">
        <v>39</v>
      </c>
      <c r="I1608" t="s">
        <v>40</v>
      </c>
      <c r="J1608" s="2" t="s">
        <v>41</v>
      </c>
      <c r="K1608" t="s">
        <v>42</v>
      </c>
      <c r="L1608" t="s">
        <v>1048</v>
      </c>
      <c r="N1608" t="s">
        <v>1049</v>
      </c>
      <c r="Q1608">
        <v>30938</v>
      </c>
      <c r="R1608" t="s">
        <v>119</v>
      </c>
      <c r="S1608" t="s">
        <v>7992</v>
      </c>
      <c r="T1608">
        <v>30</v>
      </c>
      <c r="V1608" s="1">
        <v>45806</v>
      </c>
      <c r="W1608" t="s">
        <v>1051</v>
      </c>
      <c r="X1608">
        <v>838467</v>
      </c>
      <c r="Y1608" t="s">
        <v>1924</v>
      </c>
      <c r="Z1608" s="2" t="s">
        <v>11110</v>
      </c>
      <c r="AA1608" t="s">
        <v>1926</v>
      </c>
      <c r="AB1608" t="s">
        <v>70</v>
      </c>
      <c r="AC1608" t="s">
        <v>11073</v>
      </c>
      <c r="AD1608" t="s">
        <v>182</v>
      </c>
      <c r="AE1608">
        <v>13062</v>
      </c>
      <c r="AG1608" t="s">
        <v>11111</v>
      </c>
      <c r="AH1608" t="s">
        <v>11112</v>
      </c>
      <c r="AI1608" t="s">
        <v>11113</v>
      </c>
    </row>
    <row r="1609" spans="2:35" ht="405">
      <c r="B1609" s="1">
        <v>45817</v>
      </c>
      <c r="C1609" s="1">
        <v>45813</v>
      </c>
      <c r="D1609" t="s">
        <v>7476</v>
      </c>
      <c r="E1609" t="s">
        <v>7477</v>
      </c>
      <c r="F1609">
        <v>11</v>
      </c>
      <c r="G1609" t="s">
        <v>1205</v>
      </c>
      <c r="H1609" t="s">
        <v>202</v>
      </c>
      <c r="I1609" t="s">
        <v>40</v>
      </c>
      <c r="J1609" s="2" t="s">
        <v>190</v>
      </c>
      <c r="K1609" t="s">
        <v>42</v>
      </c>
      <c r="L1609" t="s">
        <v>204</v>
      </c>
      <c r="N1609" t="s">
        <v>205</v>
      </c>
      <c r="Q1609">
        <v>30937</v>
      </c>
      <c r="R1609" t="s">
        <v>119</v>
      </c>
      <c r="S1609" t="s">
        <v>7478</v>
      </c>
      <c r="T1609">
        <v>23.4</v>
      </c>
      <c r="U1609" s="2" t="s">
        <v>3796</v>
      </c>
      <c r="W1609" t="s">
        <v>208</v>
      </c>
      <c r="X1609">
        <v>838507</v>
      </c>
      <c r="Y1609" s="2" t="s">
        <v>11114</v>
      </c>
      <c r="Z1609" s="2" t="s">
        <v>11115</v>
      </c>
      <c r="AA1609" s="2" t="s">
        <v>8587</v>
      </c>
      <c r="AB1609" s="2" t="s">
        <v>11116</v>
      </c>
      <c r="AG1609" t="s">
        <v>11117</v>
      </c>
      <c r="AH1609" t="s">
        <v>7481</v>
      </c>
      <c r="AI1609" t="s">
        <v>11118</v>
      </c>
    </row>
    <row r="1610" spans="2:35" ht="195">
      <c r="B1610" s="1">
        <v>45817</v>
      </c>
      <c r="C1610" s="1">
        <v>45813</v>
      </c>
      <c r="D1610" t="s">
        <v>7296</v>
      </c>
      <c r="E1610" t="s">
        <v>11119</v>
      </c>
      <c r="F1610">
        <v>5</v>
      </c>
      <c r="G1610" t="s">
        <v>759</v>
      </c>
      <c r="H1610" t="s">
        <v>39</v>
      </c>
      <c r="I1610" t="s">
        <v>94</v>
      </c>
      <c r="J1610" s="2" t="s">
        <v>41</v>
      </c>
      <c r="K1610" t="s">
        <v>42</v>
      </c>
      <c r="L1610" t="s">
        <v>761</v>
      </c>
      <c r="N1610" t="s">
        <v>762</v>
      </c>
      <c r="Q1610">
        <v>30936</v>
      </c>
      <c r="R1610" t="s">
        <v>119</v>
      </c>
      <c r="S1610" t="s">
        <v>7298</v>
      </c>
      <c r="T1610">
        <v>25</v>
      </c>
      <c r="U1610" s="2" t="s">
        <v>11120</v>
      </c>
      <c r="W1610" t="s">
        <v>765</v>
      </c>
      <c r="X1610">
        <v>838264</v>
      </c>
      <c r="Y1610" t="s">
        <v>11121</v>
      </c>
      <c r="Z1610" s="2" t="s">
        <v>11122</v>
      </c>
      <c r="AA1610" s="2" t="s">
        <v>11123</v>
      </c>
      <c r="AB1610" t="s">
        <v>70</v>
      </c>
      <c r="AG1610" t="s">
        <v>11124</v>
      </c>
      <c r="AH1610" t="s">
        <v>11125</v>
      </c>
      <c r="AI1610" t="s">
        <v>11126</v>
      </c>
    </row>
    <row r="1611" spans="2:35" ht="210">
      <c r="B1611" s="1">
        <v>45817</v>
      </c>
      <c r="C1611" s="1">
        <v>45812</v>
      </c>
      <c r="D1611" t="s">
        <v>11127</v>
      </c>
      <c r="E1611" t="s">
        <v>39</v>
      </c>
      <c r="F1611">
        <v>5</v>
      </c>
      <c r="G1611" t="s">
        <v>759</v>
      </c>
      <c r="H1611" t="s">
        <v>39</v>
      </c>
      <c r="I1611" t="s">
        <v>94</v>
      </c>
      <c r="J1611" s="2" t="s">
        <v>41</v>
      </c>
      <c r="K1611" t="s">
        <v>42</v>
      </c>
      <c r="L1611" t="s">
        <v>761</v>
      </c>
      <c r="N1611" t="s">
        <v>762</v>
      </c>
      <c r="Q1611">
        <v>30935</v>
      </c>
      <c r="R1611" t="s">
        <v>119</v>
      </c>
      <c r="S1611" t="s">
        <v>11128</v>
      </c>
      <c r="T1611">
        <v>29</v>
      </c>
      <c r="U1611" s="2" t="s">
        <v>9057</v>
      </c>
      <c r="W1611" t="s">
        <v>765</v>
      </c>
      <c r="X1611">
        <v>838565</v>
      </c>
      <c r="Y1611" t="s">
        <v>11129</v>
      </c>
      <c r="Z1611" s="2" t="s">
        <v>11130</v>
      </c>
      <c r="AA1611" s="2" t="s">
        <v>11131</v>
      </c>
      <c r="AB1611" t="s">
        <v>70</v>
      </c>
      <c r="AG1611" t="s">
        <v>11132</v>
      </c>
      <c r="AH1611" t="s">
        <v>11133</v>
      </c>
      <c r="AI1611" t="s">
        <v>11134</v>
      </c>
    </row>
    <row r="1612" spans="2:35" ht="105">
      <c r="B1612" s="1">
        <v>45817</v>
      </c>
      <c r="C1612" s="1">
        <v>45811</v>
      </c>
      <c r="D1612" t="s">
        <v>7529</v>
      </c>
      <c r="E1612" t="s">
        <v>11135</v>
      </c>
      <c r="F1612">
        <v>5</v>
      </c>
      <c r="G1612" t="s">
        <v>759</v>
      </c>
      <c r="H1612" t="s">
        <v>39</v>
      </c>
      <c r="I1612" t="s">
        <v>94</v>
      </c>
      <c r="J1612" t="s">
        <v>109</v>
      </c>
      <c r="K1612" t="s">
        <v>42</v>
      </c>
      <c r="L1612" t="s">
        <v>761</v>
      </c>
      <c r="N1612" t="s">
        <v>762</v>
      </c>
      <c r="Q1612">
        <v>30934</v>
      </c>
      <c r="R1612" t="s">
        <v>119</v>
      </c>
      <c r="S1612" t="s">
        <v>11136</v>
      </c>
      <c r="T1612">
        <v>28</v>
      </c>
      <c r="U1612" s="2" t="s">
        <v>11137</v>
      </c>
      <c r="W1612" t="s">
        <v>765</v>
      </c>
      <c r="X1612">
        <v>838397</v>
      </c>
      <c r="Y1612" t="s">
        <v>818</v>
      </c>
      <c r="Z1612" s="2" t="s">
        <v>1415</v>
      </c>
      <c r="AA1612" t="s">
        <v>820</v>
      </c>
      <c r="AB1612" t="s">
        <v>70</v>
      </c>
      <c r="AG1612" t="s">
        <v>11138</v>
      </c>
      <c r="AH1612" t="s">
        <v>11139</v>
      </c>
      <c r="AI1612" t="s">
        <v>11140</v>
      </c>
    </row>
    <row r="1613" spans="2:35" ht="210">
      <c r="B1613" s="1">
        <v>45814</v>
      </c>
      <c r="C1613" s="1">
        <v>45814</v>
      </c>
      <c r="D1613" t="s">
        <v>2221</v>
      </c>
      <c r="E1613" t="s">
        <v>2221</v>
      </c>
      <c r="F1613">
        <v>9</v>
      </c>
      <c r="G1613" t="s">
        <v>2197</v>
      </c>
      <c r="H1613" t="s">
        <v>39</v>
      </c>
      <c r="I1613" t="s">
        <v>40</v>
      </c>
      <c r="J1613" s="2" t="s">
        <v>41</v>
      </c>
      <c r="K1613" t="s">
        <v>42</v>
      </c>
      <c r="L1613" t="s">
        <v>1257</v>
      </c>
      <c r="N1613" t="s">
        <v>1258</v>
      </c>
      <c r="O1613" t="s">
        <v>1258</v>
      </c>
      <c r="Q1613">
        <v>30933</v>
      </c>
      <c r="R1613" t="s">
        <v>119</v>
      </c>
      <c r="S1613" t="s">
        <v>11141</v>
      </c>
      <c r="T1613">
        <v>24</v>
      </c>
      <c r="U1613" s="2" t="s">
        <v>11142</v>
      </c>
      <c r="V1613" s="1">
        <v>45814</v>
      </c>
      <c r="W1613" t="s">
        <v>1008</v>
      </c>
      <c r="X1613">
        <v>838204</v>
      </c>
      <c r="Y1613" t="s">
        <v>11143</v>
      </c>
      <c r="Z1613" t="s">
        <v>11144</v>
      </c>
      <c r="AA1613" t="s">
        <v>11145</v>
      </c>
      <c r="AB1613" t="s">
        <v>11146</v>
      </c>
      <c r="AC1613" t="s">
        <v>11147</v>
      </c>
      <c r="AD1613" t="s">
        <v>54</v>
      </c>
      <c r="AE1613" t="s">
        <v>54</v>
      </c>
      <c r="AG1613" t="s">
        <v>11148</v>
      </c>
      <c r="AH1613" t="s">
        <v>2231</v>
      </c>
      <c r="AI1613" t="s">
        <v>11149</v>
      </c>
    </row>
    <row r="1614" spans="2:35">
      <c r="B1614" s="1">
        <v>45814</v>
      </c>
      <c r="C1614" s="1">
        <v>45813</v>
      </c>
      <c r="D1614" t="s">
        <v>8654</v>
      </c>
      <c r="E1614" t="s">
        <v>8655</v>
      </c>
      <c r="F1614">
        <v>8</v>
      </c>
      <c r="G1614" t="s">
        <v>257</v>
      </c>
      <c r="H1614" t="s">
        <v>258</v>
      </c>
      <c r="I1614" t="s">
        <v>40</v>
      </c>
      <c r="J1614" t="s">
        <v>109</v>
      </c>
      <c r="K1614" t="s">
        <v>42</v>
      </c>
      <c r="L1614" t="s">
        <v>259</v>
      </c>
      <c r="N1614" t="s">
        <v>260</v>
      </c>
      <c r="Q1614">
        <v>30932</v>
      </c>
      <c r="R1614" t="s">
        <v>119</v>
      </c>
      <c r="S1614" t="s">
        <v>11150</v>
      </c>
      <c r="T1614">
        <v>28</v>
      </c>
      <c r="V1614" s="1">
        <v>45813</v>
      </c>
      <c r="W1614" t="s">
        <v>84</v>
      </c>
      <c r="X1614">
        <v>838409</v>
      </c>
      <c r="Y1614" t="s">
        <v>263</v>
      </c>
      <c r="Z1614" t="s">
        <v>263</v>
      </c>
      <c r="AA1614" t="e">
        <f ca="1">- Preventive Maintenance
- Data Collection</f>
        <v>#NAME?</v>
      </c>
      <c r="AB1614" t="s">
        <v>70</v>
      </c>
      <c r="AG1614" t="s">
        <v>11151</v>
      </c>
      <c r="AH1614" t="s">
        <v>11152</v>
      </c>
      <c r="AI1614" t="s">
        <v>11153</v>
      </c>
    </row>
    <row r="1615" spans="2:35" ht="315">
      <c r="B1615" s="1">
        <v>45813</v>
      </c>
      <c r="C1615" s="1">
        <v>45813</v>
      </c>
      <c r="D1615" t="s">
        <v>3712</v>
      </c>
      <c r="E1615" t="s">
        <v>3713</v>
      </c>
      <c r="F1615" t="s">
        <v>148</v>
      </c>
      <c r="G1615" t="s">
        <v>310</v>
      </c>
      <c r="H1615" t="s">
        <v>2274</v>
      </c>
      <c r="I1615" t="s">
        <v>40</v>
      </c>
      <c r="J1615" t="s">
        <v>109</v>
      </c>
      <c r="K1615" t="s">
        <v>387</v>
      </c>
      <c r="L1615" t="s">
        <v>1943</v>
      </c>
      <c r="N1615" t="s">
        <v>1944</v>
      </c>
      <c r="Q1615">
        <v>30931</v>
      </c>
      <c r="R1615" t="s">
        <v>322</v>
      </c>
      <c r="S1615" t="s">
        <v>3824</v>
      </c>
      <c r="T1615">
        <v>25</v>
      </c>
      <c r="W1615" t="s">
        <v>390</v>
      </c>
      <c r="X1615" t="s">
        <v>3715</v>
      </c>
      <c r="Y1615" t="s">
        <v>2099</v>
      </c>
      <c r="Z1615" t="s">
        <v>2100</v>
      </c>
      <c r="AA1615" s="2" t="s">
        <v>2278</v>
      </c>
      <c r="AB1615" t="s">
        <v>181</v>
      </c>
      <c r="AG1615" t="s">
        <v>11154</v>
      </c>
      <c r="AH1615" t="s">
        <v>3717</v>
      </c>
      <c r="AI1615" t="s">
        <v>11155</v>
      </c>
    </row>
    <row r="1616" spans="2:35" ht="315">
      <c r="B1616" s="1">
        <v>45813</v>
      </c>
      <c r="C1616" s="1">
        <v>45813</v>
      </c>
      <c r="D1616" t="s">
        <v>3712</v>
      </c>
      <c r="E1616" t="s">
        <v>2274</v>
      </c>
      <c r="F1616" t="s">
        <v>148</v>
      </c>
      <c r="G1616" t="s">
        <v>310</v>
      </c>
      <c r="H1616" t="s">
        <v>2274</v>
      </c>
      <c r="I1616" t="s">
        <v>40</v>
      </c>
      <c r="J1616" t="s">
        <v>109</v>
      </c>
      <c r="K1616" t="s">
        <v>387</v>
      </c>
      <c r="L1616" t="s">
        <v>1943</v>
      </c>
      <c r="N1616" t="s">
        <v>1944</v>
      </c>
      <c r="Q1616">
        <v>30930</v>
      </c>
      <c r="R1616" t="s">
        <v>322</v>
      </c>
      <c r="S1616" t="s">
        <v>3824</v>
      </c>
      <c r="T1616">
        <v>25</v>
      </c>
      <c r="W1616" t="s">
        <v>390</v>
      </c>
      <c r="X1616" t="s">
        <v>4180</v>
      </c>
      <c r="Y1616" t="s">
        <v>2099</v>
      </c>
      <c r="Z1616" t="s">
        <v>2100</v>
      </c>
      <c r="AA1616" s="2" t="s">
        <v>2278</v>
      </c>
      <c r="AB1616" t="s">
        <v>88</v>
      </c>
      <c r="AG1616" t="s">
        <v>11156</v>
      </c>
      <c r="AH1616" t="s">
        <v>3717</v>
      </c>
      <c r="AI1616" t="s">
        <v>11157</v>
      </c>
    </row>
    <row r="1617" spans="2:35" ht="105">
      <c r="B1617" s="1">
        <v>45813</v>
      </c>
      <c r="C1617" s="1">
        <v>45813</v>
      </c>
      <c r="D1617" t="s">
        <v>3970</v>
      </c>
      <c r="E1617" t="s">
        <v>11158</v>
      </c>
      <c r="F1617">
        <v>9</v>
      </c>
      <c r="G1617" t="s">
        <v>2197</v>
      </c>
      <c r="H1617" t="s">
        <v>39</v>
      </c>
      <c r="I1617" t="s">
        <v>40</v>
      </c>
      <c r="J1617" t="s">
        <v>109</v>
      </c>
      <c r="K1617" t="s">
        <v>42</v>
      </c>
      <c r="L1617" t="s">
        <v>1257</v>
      </c>
      <c r="N1617" t="s">
        <v>1258</v>
      </c>
      <c r="O1617" t="s">
        <v>1258</v>
      </c>
      <c r="Q1617">
        <v>30929</v>
      </c>
      <c r="R1617" t="s">
        <v>119</v>
      </c>
      <c r="S1617" t="s">
        <v>3972</v>
      </c>
      <c r="T1617">
        <v>19</v>
      </c>
      <c r="U1617" s="2" t="s">
        <v>8344</v>
      </c>
      <c r="V1617" s="1">
        <v>45813</v>
      </c>
      <c r="W1617" t="s">
        <v>1008</v>
      </c>
      <c r="X1617">
        <v>838233</v>
      </c>
      <c r="Y1617" t="s">
        <v>301</v>
      </c>
      <c r="Z1617" t="s">
        <v>7410</v>
      </c>
      <c r="AA1617" t="s">
        <v>7410</v>
      </c>
      <c r="AB1617" t="s">
        <v>3161</v>
      </c>
      <c r="AC1617" t="s">
        <v>301</v>
      </c>
      <c r="AD1617" t="s">
        <v>54</v>
      </c>
      <c r="AE1617" t="s">
        <v>54</v>
      </c>
      <c r="AG1617" t="s">
        <v>11159</v>
      </c>
      <c r="AH1617" t="s">
        <v>3979</v>
      </c>
      <c r="AI1617" t="s">
        <v>11160</v>
      </c>
    </row>
    <row r="1618" spans="2:35" ht="225">
      <c r="B1618" s="1">
        <v>45812</v>
      </c>
      <c r="C1618" s="1">
        <v>45805</v>
      </c>
      <c r="D1618" t="s">
        <v>7553</v>
      </c>
      <c r="E1618" t="s">
        <v>4076</v>
      </c>
      <c r="F1618">
        <v>5</v>
      </c>
      <c r="G1618" t="s">
        <v>814</v>
      </c>
      <c r="H1618" t="s">
        <v>39</v>
      </c>
      <c r="I1618" t="s">
        <v>94</v>
      </c>
      <c r="J1618" s="2" t="s">
        <v>11161</v>
      </c>
      <c r="K1618" t="s">
        <v>42</v>
      </c>
      <c r="L1618" t="s">
        <v>761</v>
      </c>
      <c r="N1618" t="s">
        <v>762</v>
      </c>
      <c r="O1618" t="s">
        <v>9379</v>
      </c>
      <c r="Q1618">
        <v>30928</v>
      </c>
      <c r="R1618" t="s">
        <v>95</v>
      </c>
      <c r="S1618" t="s">
        <v>8320</v>
      </c>
      <c r="T1618">
        <v>28</v>
      </c>
      <c r="W1618" t="s">
        <v>817</v>
      </c>
      <c r="X1618">
        <v>120002716</v>
      </c>
      <c r="Y1618" s="2" t="s">
        <v>11162</v>
      </c>
      <c r="Z1618" s="2" t="s">
        <v>11163</v>
      </c>
      <c r="AA1618" s="2" t="s">
        <v>11164</v>
      </c>
      <c r="AB1618" t="s">
        <v>70</v>
      </c>
      <c r="AG1618" t="s">
        <v>11165</v>
      </c>
      <c r="AH1618" t="s">
        <v>9383</v>
      </c>
      <c r="AI1618" t="s">
        <v>11166</v>
      </c>
    </row>
    <row r="1619" spans="2:35" ht="225">
      <c r="B1619" s="1">
        <v>45812</v>
      </c>
      <c r="C1619" s="1">
        <v>45812</v>
      </c>
      <c r="D1619" t="s">
        <v>2233</v>
      </c>
      <c r="E1619" t="s">
        <v>2234</v>
      </c>
      <c r="F1619">
        <v>7</v>
      </c>
      <c r="G1619" t="s">
        <v>432</v>
      </c>
      <c r="H1619" t="s">
        <v>258</v>
      </c>
      <c r="I1619" t="s">
        <v>40</v>
      </c>
      <c r="J1619" t="s">
        <v>321</v>
      </c>
      <c r="K1619" t="s">
        <v>42</v>
      </c>
      <c r="L1619" t="s">
        <v>594</v>
      </c>
      <c r="N1619" t="s">
        <v>595</v>
      </c>
      <c r="Q1619">
        <v>30927</v>
      </c>
      <c r="R1619" t="s">
        <v>119</v>
      </c>
      <c r="S1619" t="s">
        <v>2235</v>
      </c>
      <c r="T1619">
        <v>23</v>
      </c>
      <c r="V1619" s="1">
        <v>45812</v>
      </c>
      <c r="W1619" t="s">
        <v>6105</v>
      </c>
      <c r="X1619">
        <v>838231</v>
      </c>
      <c r="Y1619" t="s">
        <v>11167</v>
      </c>
      <c r="Z1619" s="2" t="s">
        <v>11168</v>
      </c>
      <c r="AA1619" t="s">
        <v>11169</v>
      </c>
      <c r="AB1619" t="s">
        <v>11170</v>
      </c>
      <c r="AG1619" t="s">
        <v>11171</v>
      </c>
      <c r="AH1619" t="s">
        <v>2235</v>
      </c>
      <c r="AI1619" t="s">
        <v>11172</v>
      </c>
    </row>
    <row r="1620" spans="2:35" ht="105">
      <c r="B1620" s="1">
        <v>45812</v>
      </c>
      <c r="C1620" s="1">
        <v>45812</v>
      </c>
      <c r="D1620" t="s">
        <v>8539</v>
      </c>
      <c r="E1620" t="s">
        <v>11173</v>
      </c>
      <c r="F1620">
        <v>9</v>
      </c>
      <c r="G1620" t="s">
        <v>2197</v>
      </c>
      <c r="H1620" t="s">
        <v>39</v>
      </c>
      <c r="I1620" t="s">
        <v>40</v>
      </c>
      <c r="J1620" s="2" t="s">
        <v>190</v>
      </c>
      <c r="K1620" t="s">
        <v>42</v>
      </c>
      <c r="L1620" t="s">
        <v>1257</v>
      </c>
      <c r="N1620" t="s">
        <v>1258</v>
      </c>
      <c r="O1620" t="s">
        <v>1258</v>
      </c>
      <c r="Q1620">
        <v>30926</v>
      </c>
      <c r="R1620" t="s">
        <v>119</v>
      </c>
      <c r="S1620" t="s">
        <v>8542</v>
      </c>
      <c r="T1620">
        <v>24</v>
      </c>
      <c r="U1620" s="2" t="s">
        <v>2268</v>
      </c>
      <c r="V1620" s="1">
        <v>45812</v>
      </c>
      <c r="W1620" t="s">
        <v>2384</v>
      </c>
      <c r="X1620">
        <v>86229</v>
      </c>
      <c r="Y1620" t="s">
        <v>11174</v>
      </c>
      <c r="Z1620" t="s">
        <v>11175</v>
      </c>
      <c r="AA1620" t="s">
        <v>11175</v>
      </c>
      <c r="AB1620" t="s">
        <v>7411</v>
      </c>
      <c r="AC1620" t="s">
        <v>11176</v>
      </c>
      <c r="AD1620" t="s">
        <v>54</v>
      </c>
      <c r="AE1620" t="s">
        <v>54</v>
      </c>
      <c r="AG1620" t="s">
        <v>11177</v>
      </c>
      <c r="AH1620" t="s">
        <v>11178</v>
      </c>
      <c r="AI1620" t="s">
        <v>11179</v>
      </c>
    </row>
    <row r="1621" spans="2:35">
      <c r="B1621" s="1">
        <v>45812</v>
      </c>
      <c r="C1621" s="1">
        <v>45812</v>
      </c>
      <c r="D1621" t="s">
        <v>340</v>
      </c>
      <c r="E1621" t="s">
        <v>341</v>
      </c>
      <c r="F1621">
        <v>8</v>
      </c>
      <c r="G1621" t="s">
        <v>342</v>
      </c>
      <c r="H1621" t="s">
        <v>1498</v>
      </c>
      <c r="I1621" t="s">
        <v>40</v>
      </c>
      <c r="J1621" t="s">
        <v>79</v>
      </c>
      <c r="K1621" t="s">
        <v>42</v>
      </c>
      <c r="L1621" t="s">
        <v>343</v>
      </c>
      <c r="N1621" t="s">
        <v>344</v>
      </c>
      <c r="Q1621">
        <v>30925</v>
      </c>
      <c r="R1621" t="s">
        <v>119</v>
      </c>
      <c r="S1621" t="s">
        <v>345</v>
      </c>
      <c r="T1621">
        <v>26</v>
      </c>
      <c r="W1621" t="s">
        <v>1501</v>
      </c>
      <c r="X1621">
        <v>838555</v>
      </c>
      <c r="Y1621" t="s">
        <v>11180</v>
      </c>
      <c r="Z1621" t="e">
        <f ca="1">-_xludf.Replace CMOS battery in CPU</f>
        <v>#NAME?</v>
      </c>
      <c r="AA1621" t="s">
        <v>301</v>
      </c>
      <c r="AB1621" t="s">
        <v>348</v>
      </c>
      <c r="AG1621" t="s">
        <v>11181</v>
      </c>
      <c r="AH1621" t="s">
        <v>350</v>
      </c>
      <c r="AI1621" t="s">
        <v>11182</v>
      </c>
    </row>
    <row r="1622" spans="2:35" ht="105">
      <c r="B1622" s="1">
        <v>45812</v>
      </c>
      <c r="C1622" s="1">
        <v>45811</v>
      </c>
      <c r="D1622" t="s">
        <v>9179</v>
      </c>
      <c r="E1622" t="s">
        <v>11183</v>
      </c>
      <c r="F1622">
        <v>9</v>
      </c>
      <c r="G1622" t="s">
        <v>2197</v>
      </c>
      <c r="H1622" t="s">
        <v>39</v>
      </c>
      <c r="I1622" t="s">
        <v>40</v>
      </c>
      <c r="J1622" t="s">
        <v>109</v>
      </c>
      <c r="K1622" t="s">
        <v>42</v>
      </c>
      <c r="L1622" t="s">
        <v>1257</v>
      </c>
      <c r="N1622" t="s">
        <v>1258</v>
      </c>
      <c r="O1622" t="s">
        <v>1258</v>
      </c>
      <c r="Q1622">
        <v>30924</v>
      </c>
      <c r="R1622" t="s">
        <v>119</v>
      </c>
      <c r="S1622" t="s">
        <v>9181</v>
      </c>
      <c r="T1622">
        <v>28</v>
      </c>
      <c r="U1622" s="2" t="s">
        <v>11184</v>
      </c>
      <c r="V1622" s="1">
        <v>45811</v>
      </c>
      <c r="W1622" t="s">
        <v>2384</v>
      </c>
      <c r="X1622">
        <v>838443</v>
      </c>
      <c r="Y1622" t="s">
        <v>301</v>
      </c>
      <c r="Z1622" t="s">
        <v>7410</v>
      </c>
      <c r="AA1622" t="s">
        <v>11185</v>
      </c>
      <c r="AB1622" t="s">
        <v>3161</v>
      </c>
      <c r="AC1622" t="s">
        <v>301</v>
      </c>
      <c r="AD1622" t="s">
        <v>54</v>
      </c>
      <c r="AE1622" t="s">
        <v>54</v>
      </c>
      <c r="AG1622" t="s">
        <v>11186</v>
      </c>
      <c r="AH1622" t="s">
        <v>9183</v>
      </c>
      <c r="AI1622" t="s">
        <v>11187</v>
      </c>
    </row>
    <row r="1623" spans="2:35" ht="105">
      <c r="B1623" s="1">
        <v>45812</v>
      </c>
      <c r="C1623" s="1">
        <v>45811</v>
      </c>
      <c r="D1623" t="s">
        <v>1496</v>
      </c>
      <c r="E1623" t="s">
        <v>1497</v>
      </c>
      <c r="F1623">
        <v>8</v>
      </c>
      <c r="G1623" t="s">
        <v>342</v>
      </c>
      <c r="H1623" t="s">
        <v>1498</v>
      </c>
      <c r="I1623" t="s">
        <v>40</v>
      </c>
      <c r="J1623" s="2" t="s">
        <v>760</v>
      </c>
      <c r="K1623" t="s">
        <v>42</v>
      </c>
      <c r="L1623" t="s">
        <v>343</v>
      </c>
      <c r="N1623" t="s">
        <v>344</v>
      </c>
      <c r="Q1623">
        <v>30923</v>
      </c>
      <c r="R1623" t="s">
        <v>119</v>
      </c>
      <c r="S1623" t="s">
        <v>7820</v>
      </c>
      <c r="T1623">
        <v>27</v>
      </c>
      <c r="U1623" s="2" t="s">
        <v>11188</v>
      </c>
      <c r="W1623" t="s">
        <v>1501</v>
      </c>
      <c r="X1623">
        <v>838297</v>
      </c>
      <c r="Y1623" t="e">
        <f ca="1">-CPU DOES _xludf.not turn on
-module B3 frequent errors</f>
        <v>#NAME?</v>
      </c>
      <c r="Z1623" t="e">
        <f ca="1">-Reset RAM
-Reser _xludf.Power SUPPLY internal Connections</f>
        <v>#NAME?</v>
      </c>
      <c r="AA1623" t="e">
        <f ca="1">-XpertCheck CALIBRATION
-Troubleshoot CPU</f>
        <v>#NAME?</v>
      </c>
      <c r="AB1623" t="s">
        <v>11189</v>
      </c>
      <c r="AG1623" t="s">
        <v>11190</v>
      </c>
      <c r="AH1623" t="s">
        <v>7824</v>
      </c>
      <c r="AI1623" t="s">
        <v>11191</v>
      </c>
    </row>
    <row r="1624" spans="2:35">
      <c r="B1624" s="1">
        <v>45811</v>
      </c>
      <c r="C1624" s="1">
        <v>45807</v>
      </c>
      <c r="D1624" t="s">
        <v>4528</v>
      </c>
      <c r="E1624" t="s">
        <v>4529</v>
      </c>
      <c r="F1624">
        <v>1</v>
      </c>
      <c r="G1624" t="s">
        <v>1046</v>
      </c>
      <c r="H1624" t="s">
        <v>1047</v>
      </c>
      <c r="I1624" t="s">
        <v>40</v>
      </c>
      <c r="J1624" t="s">
        <v>109</v>
      </c>
      <c r="K1624" t="s">
        <v>42</v>
      </c>
      <c r="L1624" t="s">
        <v>1048</v>
      </c>
      <c r="N1624" t="s">
        <v>1049</v>
      </c>
      <c r="Q1624">
        <v>30922</v>
      </c>
      <c r="R1624" t="s">
        <v>119</v>
      </c>
      <c r="S1624" t="s">
        <v>4530</v>
      </c>
      <c r="T1624">
        <v>28</v>
      </c>
      <c r="W1624" t="s">
        <v>1051</v>
      </c>
      <c r="X1624">
        <v>838472</v>
      </c>
      <c r="Y1624" t="s">
        <v>1052</v>
      </c>
      <c r="Z1624" t="e">
        <f ca="1">- cleaned cartridge Bays, plunger Rods _xludf.and I-CORE
- generated reports</f>
        <v>#NAME?</v>
      </c>
      <c r="AA1624" t="s">
        <v>820</v>
      </c>
      <c r="AB1624" t="s">
        <v>1428</v>
      </c>
      <c r="AG1624" t="s">
        <v>11192</v>
      </c>
      <c r="AH1624" t="s">
        <v>4532</v>
      </c>
      <c r="AI1624" t="s">
        <v>11193</v>
      </c>
    </row>
    <row r="1625" spans="2:35">
      <c r="B1625" s="1">
        <v>45811</v>
      </c>
      <c r="C1625" s="1">
        <v>45807</v>
      </c>
      <c r="D1625" t="s">
        <v>3732</v>
      </c>
      <c r="E1625" t="s">
        <v>3733</v>
      </c>
      <c r="F1625">
        <v>1</v>
      </c>
      <c r="G1625" t="s">
        <v>1046</v>
      </c>
      <c r="H1625" t="s">
        <v>1047</v>
      </c>
      <c r="I1625" t="s">
        <v>40</v>
      </c>
      <c r="J1625" t="s">
        <v>109</v>
      </c>
      <c r="K1625" t="s">
        <v>42</v>
      </c>
      <c r="L1625" t="s">
        <v>1048</v>
      </c>
      <c r="N1625" t="s">
        <v>1049</v>
      </c>
      <c r="Q1625">
        <v>30921</v>
      </c>
      <c r="R1625" t="s">
        <v>119</v>
      </c>
      <c r="S1625" t="s">
        <v>3734</v>
      </c>
      <c r="T1625">
        <v>25</v>
      </c>
      <c r="W1625" t="s">
        <v>1051</v>
      </c>
      <c r="X1625">
        <v>838473</v>
      </c>
      <c r="Y1625" t="s">
        <v>1052</v>
      </c>
      <c r="Z1625" t="e">
        <f ca="1">- cleaned cartridge Bays,plunger Rods _xludf.and I-CORE
- generated reports</f>
        <v>#NAME?</v>
      </c>
      <c r="AA1625" t="s">
        <v>820</v>
      </c>
      <c r="AB1625" t="s">
        <v>1428</v>
      </c>
      <c r="AG1625" t="s">
        <v>11194</v>
      </c>
      <c r="AH1625" t="s">
        <v>7274</v>
      </c>
      <c r="AI1625" t="s">
        <v>11195</v>
      </c>
    </row>
    <row r="1626" spans="2:35">
      <c r="B1626" s="1">
        <v>45811</v>
      </c>
      <c r="C1626" s="1">
        <v>45805</v>
      </c>
      <c r="D1626" t="s">
        <v>1420</v>
      </c>
      <c r="E1626" t="s">
        <v>1456</v>
      </c>
      <c r="F1626" t="s">
        <v>511</v>
      </c>
      <c r="G1626" t="s">
        <v>512</v>
      </c>
      <c r="H1626" t="s">
        <v>1047</v>
      </c>
      <c r="I1626" t="s">
        <v>40</v>
      </c>
      <c r="J1626" t="s">
        <v>109</v>
      </c>
      <c r="K1626" t="s">
        <v>42</v>
      </c>
      <c r="L1626" t="s">
        <v>1048</v>
      </c>
      <c r="N1626" t="s">
        <v>1049</v>
      </c>
      <c r="Q1626">
        <v>30920</v>
      </c>
      <c r="R1626" t="s">
        <v>967</v>
      </c>
      <c r="S1626" t="s">
        <v>11196</v>
      </c>
      <c r="T1626">
        <v>30</v>
      </c>
      <c r="W1626" t="s">
        <v>1051</v>
      </c>
      <c r="X1626">
        <v>110023498</v>
      </c>
      <c r="Y1626" t="s">
        <v>1052</v>
      </c>
      <c r="Z1626" t="e">
        <f ca="1">- cleaned cartridge Bays, plunger Rods _xludf.and I-CORE
- generated reports</f>
        <v>#NAME?</v>
      </c>
      <c r="AA1626" t="s">
        <v>820</v>
      </c>
      <c r="AB1626" t="s">
        <v>1428</v>
      </c>
      <c r="AG1626" t="s">
        <v>11197</v>
      </c>
      <c r="AH1626" t="s">
        <v>11198</v>
      </c>
      <c r="AI1626" t="s">
        <v>11199</v>
      </c>
    </row>
    <row r="1627" spans="2:35">
      <c r="B1627" s="1">
        <v>45811</v>
      </c>
      <c r="C1627" s="1">
        <v>45805</v>
      </c>
      <c r="D1627" t="s">
        <v>6919</v>
      </c>
      <c r="E1627" t="s">
        <v>510</v>
      </c>
      <c r="F1627" t="s">
        <v>511</v>
      </c>
      <c r="G1627" t="s">
        <v>512</v>
      </c>
      <c r="H1627" t="s">
        <v>39</v>
      </c>
      <c r="I1627" t="s">
        <v>40</v>
      </c>
      <c r="J1627" t="s">
        <v>109</v>
      </c>
      <c r="K1627" t="s">
        <v>42</v>
      </c>
      <c r="L1627" t="s">
        <v>1048</v>
      </c>
      <c r="N1627" t="s">
        <v>1049</v>
      </c>
      <c r="Q1627">
        <v>30919</v>
      </c>
      <c r="R1627" t="s">
        <v>119</v>
      </c>
      <c r="S1627" t="s">
        <v>6920</v>
      </c>
      <c r="T1627">
        <v>25</v>
      </c>
      <c r="W1627" t="s">
        <v>1051</v>
      </c>
      <c r="X1627">
        <v>838281</v>
      </c>
      <c r="Y1627" t="s">
        <v>1052</v>
      </c>
      <c r="Z1627" t="e">
        <f ca="1">- cleaned cartridge Bays, plunger Rods _xludf.and I-CORE
- generated reports</f>
        <v>#NAME?</v>
      </c>
      <c r="AA1627" t="s">
        <v>820</v>
      </c>
      <c r="AB1627" t="s">
        <v>1428</v>
      </c>
      <c r="AG1627" t="s">
        <v>11200</v>
      </c>
      <c r="AH1627" t="s">
        <v>6925</v>
      </c>
      <c r="AI1627" t="s">
        <v>11201</v>
      </c>
    </row>
    <row r="1628" spans="2:35">
      <c r="B1628" s="1">
        <v>45811</v>
      </c>
      <c r="C1628" s="1">
        <v>45805</v>
      </c>
      <c r="D1628" t="s">
        <v>11102</v>
      </c>
      <c r="E1628" t="s">
        <v>11103</v>
      </c>
      <c r="F1628" t="s">
        <v>511</v>
      </c>
      <c r="G1628" t="s">
        <v>512</v>
      </c>
      <c r="H1628" t="s">
        <v>1047</v>
      </c>
      <c r="I1628" t="s">
        <v>40</v>
      </c>
      <c r="J1628" t="s">
        <v>109</v>
      </c>
      <c r="K1628" t="s">
        <v>42</v>
      </c>
      <c r="L1628" t="s">
        <v>1048</v>
      </c>
      <c r="N1628" t="s">
        <v>1049</v>
      </c>
      <c r="Q1628">
        <v>30918</v>
      </c>
      <c r="R1628" t="s">
        <v>119</v>
      </c>
      <c r="S1628" t="s">
        <v>11104</v>
      </c>
      <c r="T1628">
        <v>30</v>
      </c>
      <c r="W1628" t="s">
        <v>1051</v>
      </c>
      <c r="X1628">
        <v>838282</v>
      </c>
      <c r="Y1628" t="s">
        <v>1052</v>
      </c>
      <c r="Z1628" t="e">
        <f ca="1">- cleaned cartridge Bays, plunger Rods _xludf.and I-CORE
- generated reports</f>
        <v>#NAME?</v>
      </c>
      <c r="AA1628" t="s">
        <v>820</v>
      </c>
      <c r="AB1628" t="s">
        <v>1936</v>
      </c>
      <c r="AG1628" t="s">
        <v>11202</v>
      </c>
      <c r="AH1628" t="s">
        <v>11108</v>
      </c>
      <c r="AI1628" t="s">
        <v>11203</v>
      </c>
    </row>
    <row r="1629" spans="2:35">
      <c r="B1629" s="1">
        <v>45811</v>
      </c>
      <c r="C1629" s="1">
        <v>45799</v>
      </c>
      <c r="D1629" t="s">
        <v>3738</v>
      </c>
      <c r="E1629" t="s">
        <v>3739</v>
      </c>
      <c r="F1629">
        <v>1</v>
      </c>
      <c r="G1629" t="s">
        <v>1046</v>
      </c>
      <c r="H1629" t="s">
        <v>39</v>
      </c>
      <c r="I1629" t="s">
        <v>40</v>
      </c>
      <c r="J1629" t="s">
        <v>109</v>
      </c>
      <c r="K1629" t="s">
        <v>42</v>
      </c>
      <c r="L1629" t="s">
        <v>1048</v>
      </c>
      <c r="N1629" t="s">
        <v>1049</v>
      </c>
      <c r="Q1629">
        <v>30917</v>
      </c>
      <c r="R1629" t="s">
        <v>119</v>
      </c>
      <c r="S1629" t="s">
        <v>3740</v>
      </c>
      <c r="T1629">
        <v>29</v>
      </c>
      <c r="W1629" t="s">
        <v>1051</v>
      </c>
      <c r="X1629">
        <v>838438</v>
      </c>
      <c r="Y1629" t="s">
        <v>1052</v>
      </c>
      <c r="Z1629" t="e">
        <f ca="1">- cleaned cartridge Bays, plunger Rods _xludf.and I-CORE
- generated reports</f>
        <v>#NAME?</v>
      </c>
      <c r="AA1629" t="s">
        <v>820</v>
      </c>
      <c r="AB1629" t="s">
        <v>1428</v>
      </c>
      <c r="AG1629" t="s">
        <v>11204</v>
      </c>
      <c r="AH1629" t="s">
        <v>3742</v>
      </c>
      <c r="AI1629" t="s">
        <v>11205</v>
      </c>
    </row>
    <row r="1630" spans="2:35">
      <c r="B1630" s="1">
        <v>45811</v>
      </c>
      <c r="C1630" s="1">
        <v>45799</v>
      </c>
      <c r="D1630" t="s">
        <v>1057</v>
      </c>
      <c r="E1630" t="s">
        <v>1058</v>
      </c>
      <c r="F1630">
        <v>1</v>
      </c>
      <c r="G1630" t="s">
        <v>1046</v>
      </c>
      <c r="H1630" t="s">
        <v>39</v>
      </c>
      <c r="I1630" t="s">
        <v>40</v>
      </c>
      <c r="J1630" t="s">
        <v>109</v>
      </c>
      <c r="K1630" t="s">
        <v>42</v>
      </c>
      <c r="L1630" t="s">
        <v>1048</v>
      </c>
      <c r="N1630" t="s">
        <v>1049</v>
      </c>
      <c r="Q1630">
        <v>30916</v>
      </c>
      <c r="R1630" t="s">
        <v>95</v>
      </c>
      <c r="S1630" t="s">
        <v>1059</v>
      </c>
      <c r="T1630">
        <v>25</v>
      </c>
      <c r="W1630" t="s">
        <v>1060</v>
      </c>
      <c r="X1630">
        <v>820303</v>
      </c>
      <c r="Y1630" t="s">
        <v>1052</v>
      </c>
      <c r="Z1630" t="e">
        <f ca="1">- cleaned cartridge Bays, plunger Rods _xludf.and I-CORE
- generated reports</f>
        <v>#NAME?</v>
      </c>
      <c r="AA1630" t="s">
        <v>820</v>
      </c>
      <c r="AB1630" t="s">
        <v>1936</v>
      </c>
      <c r="AG1630" t="s">
        <v>11206</v>
      </c>
      <c r="AH1630" t="s">
        <v>3393</v>
      </c>
      <c r="AI1630" t="s">
        <v>11207</v>
      </c>
    </row>
    <row r="1631" spans="2:35" ht="45">
      <c r="B1631" s="1">
        <v>45811</v>
      </c>
      <c r="C1631" s="1">
        <v>45799</v>
      </c>
      <c r="D1631" t="s">
        <v>4503</v>
      </c>
      <c r="E1631" t="s">
        <v>4504</v>
      </c>
      <c r="F1631">
        <v>1</v>
      </c>
      <c r="G1631" t="s">
        <v>1046</v>
      </c>
      <c r="H1631" t="s">
        <v>1047</v>
      </c>
      <c r="I1631" t="s">
        <v>40</v>
      </c>
      <c r="J1631" s="2" t="s">
        <v>41</v>
      </c>
      <c r="K1631" t="s">
        <v>42</v>
      </c>
      <c r="L1631" t="s">
        <v>1048</v>
      </c>
      <c r="N1631" t="s">
        <v>1049</v>
      </c>
      <c r="Q1631">
        <v>30915</v>
      </c>
      <c r="R1631" t="s">
        <v>119</v>
      </c>
      <c r="S1631" t="s">
        <v>4505</v>
      </c>
      <c r="T1631">
        <v>30</v>
      </c>
      <c r="W1631" t="s">
        <v>1051</v>
      </c>
      <c r="X1631">
        <v>838516</v>
      </c>
      <c r="Y1631" t="s">
        <v>11208</v>
      </c>
      <c r="Z1631" t="e">
        <f ca="1">- replaced BIOS battery
- cleaned cartridge Bays, plunger Rods _xludf.and I-CORE
- generated reports</f>
        <v>#NAME?</v>
      </c>
      <c r="AA1631" t="s">
        <v>11209</v>
      </c>
      <c r="AB1631" t="s">
        <v>1428</v>
      </c>
      <c r="AG1631" t="s">
        <v>11210</v>
      </c>
      <c r="AH1631" t="s">
        <v>4507</v>
      </c>
      <c r="AI1631" t="s">
        <v>11211</v>
      </c>
    </row>
    <row r="1632" spans="2:35">
      <c r="B1632" s="1">
        <v>45811</v>
      </c>
      <c r="C1632" s="1">
        <v>45793</v>
      </c>
      <c r="D1632" t="s">
        <v>4953</v>
      </c>
      <c r="E1632" t="s">
        <v>11212</v>
      </c>
      <c r="F1632">
        <v>1</v>
      </c>
      <c r="G1632" t="s">
        <v>1046</v>
      </c>
      <c r="H1632" t="s">
        <v>1047</v>
      </c>
      <c r="I1632" t="s">
        <v>40</v>
      </c>
      <c r="J1632" t="s">
        <v>109</v>
      </c>
      <c r="K1632" t="s">
        <v>42</v>
      </c>
      <c r="L1632" t="s">
        <v>1048</v>
      </c>
      <c r="N1632" t="s">
        <v>1049</v>
      </c>
      <c r="Q1632">
        <v>30914</v>
      </c>
      <c r="R1632" t="s">
        <v>119</v>
      </c>
      <c r="S1632" t="s">
        <v>4955</v>
      </c>
      <c r="T1632">
        <v>25</v>
      </c>
      <c r="W1632" t="s">
        <v>1051</v>
      </c>
      <c r="X1632">
        <v>838437</v>
      </c>
      <c r="Y1632" t="s">
        <v>1052</v>
      </c>
      <c r="Z1632" t="e">
        <f ca="1">- cleaned cartridge Bays, plunger Rods _xludf.and I-CORE
- generated reports</f>
        <v>#NAME?</v>
      </c>
      <c r="AA1632" t="s">
        <v>820</v>
      </c>
      <c r="AB1632" t="s">
        <v>1428</v>
      </c>
      <c r="AG1632" t="s">
        <v>11213</v>
      </c>
      <c r="AH1632" t="s">
        <v>4958</v>
      </c>
      <c r="AI1632" t="s">
        <v>11214</v>
      </c>
    </row>
    <row r="1633" spans="2:35">
      <c r="B1633" s="1">
        <v>45811</v>
      </c>
      <c r="C1633" s="1">
        <v>45793</v>
      </c>
      <c r="D1633" t="s">
        <v>1057</v>
      </c>
      <c r="E1633" t="s">
        <v>1058</v>
      </c>
      <c r="F1633">
        <v>1</v>
      </c>
      <c r="G1633" t="s">
        <v>1046</v>
      </c>
      <c r="H1633" t="s">
        <v>39</v>
      </c>
      <c r="I1633" t="s">
        <v>40</v>
      </c>
      <c r="J1633" t="s">
        <v>109</v>
      </c>
      <c r="K1633" t="s">
        <v>42</v>
      </c>
      <c r="L1633" t="s">
        <v>1048</v>
      </c>
      <c r="N1633" t="s">
        <v>1049</v>
      </c>
      <c r="Q1633">
        <v>30913</v>
      </c>
      <c r="R1633" t="s">
        <v>95</v>
      </c>
      <c r="S1633" t="s">
        <v>1059</v>
      </c>
      <c r="T1633">
        <v>25</v>
      </c>
      <c r="W1633" t="s">
        <v>1060</v>
      </c>
      <c r="X1633">
        <v>820303</v>
      </c>
      <c r="Y1633" t="s">
        <v>1052</v>
      </c>
      <c r="Z1633" t="e">
        <f ca="1">- cleaned cartridge Bays, plunger Rods _xludf.and I-CORE
- generated reports</f>
        <v>#NAME?</v>
      </c>
      <c r="AA1633" t="s">
        <v>820</v>
      </c>
      <c r="AB1633" t="s">
        <v>1428</v>
      </c>
      <c r="AG1633" t="s">
        <v>11215</v>
      </c>
      <c r="AH1633" t="s">
        <v>3393</v>
      </c>
      <c r="AI1633" t="s">
        <v>11216</v>
      </c>
    </row>
    <row r="1634" spans="2:35">
      <c r="B1634" s="1">
        <v>45811</v>
      </c>
      <c r="C1634" s="1">
        <v>45793</v>
      </c>
      <c r="D1634" t="s">
        <v>4503</v>
      </c>
      <c r="E1634" t="s">
        <v>4504</v>
      </c>
      <c r="F1634">
        <v>1</v>
      </c>
      <c r="G1634" t="s">
        <v>1046</v>
      </c>
      <c r="H1634" t="s">
        <v>39</v>
      </c>
      <c r="I1634" t="s">
        <v>40</v>
      </c>
      <c r="J1634" t="s">
        <v>109</v>
      </c>
      <c r="K1634" t="s">
        <v>42</v>
      </c>
      <c r="L1634" t="s">
        <v>1048</v>
      </c>
      <c r="N1634" t="s">
        <v>1049</v>
      </c>
      <c r="Q1634">
        <v>30912</v>
      </c>
      <c r="R1634" t="s">
        <v>119</v>
      </c>
      <c r="S1634" t="s">
        <v>4505</v>
      </c>
      <c r="T1634">
        <v>30</v>
      </c>
      <c r="W1634" t="s">
        <v>1051</v>
      </c>
      <c r="X1634">
        <v>838516</v>
      </c>
      <c r="Y1634" t="s">
        <v>1052</v>
      </c>
      <c r="Z1634" t="e">
        <f ca="1">- cleaned cartridge Bays, plunger Rods _xludf.and I-CORE
- generated reports</f>
        <v>#NAME?</v>
      </c>
      <c r="AA1634" t="s">
        <v>820</v>
      </c>
      <c r="AB1634" t="s">
        <v>1428</v>
      </c>
      <c r="AG1634" t="s">
        <v>11217</v>
      </c>
      <c r="AH1634" t="s">
        <v>11218</v>
      </c>
      <c r="AI1634" t="s">
        <v>11219</v>
      </c>
    </row>
    <row r="1635" spans="2:35" ht="45">
      <c r="B1635" s="1">
        <v>45811</v>
      </c>
      <c r="C1635" s="1">
        <v>45792</v>
      </c>
      <c r="D1635" t="s">
        <v>3738</v>
      </c>
      <c r="E1635" t="s">
        <v>3739</v>
      </c>
      <c r="F1635">
        <v>1</v>
      </c>
      <c r="G1635" t="s">
        <v>1046</v>
      </c>
      <c r="H1635" t="s">
        <v>39</v>
      </c>
      <c r="I1635" t="s">
        <v>40</v>
      </c>
      <c r="J1635" s="2" t="s">
        <v>41</v>
      </c>
      <c r="K1635" t="s">
        <v>42</v>
      </c>
      <c r="L1635" t="s">
        <v>1048</v>
      </c>
      <c r="N1635" t="s">
        <v>1049</v>
      </c>
      <c r="Q1635">
        <v>30911</v>
      </c>
      <c r="R1635" t="s">
        <v>119</v>
      </c>
      <c r="S1635" t="s">
        <v>3740</v>
      </c>
      <c r="T1635">
        <v>29</v>
      </c>
      <c r="W1635" t="s">
        <v>1051</v>
      </c>
      <c r="X1635">
        <v>838438</v>
      </c>
      <c r="Y1635" t="s">
        <v>11220</v>
      </c>
      <c r="Z1635" t="e">
        <f ca="1">- replaced defective UPS
- cleaned cartridge Bays,plunger Rods _xludf.and I-CORE
- generated reports</f>
        <v>#NAME?</v>
      </c>
      <c r="AA1635" t="s">
        <v>9395</v>
      </c>
      <c r="AB1635" t="s">
        <v>1428</v>
      </c>
      <c r="AC1635" t="s">
        <v>11073</v>
      </c>
      <c r="AG1635" t="s">
        <v>11221</v>
      </c>
      <c r="AH1635" t="s">
        <v>3742</v>
      </c>
      <c r="AI1635" t="s">
        <v>11222</v>
      </c>
    </row>
    <row r="1636" spans="2:35">
      <c r="B1636" s="1">
        <v>45811</v>
      </c>
      <c r="C1636" s="1">
        <v>45792</v>
      </c>
      <c r="D1636" t="s">
        <v>4528</v>
      </c>
      <c r="E1636" t="s">
        <v>4529</v>
      </c>
      <c r="F1636">
        <v>1</v>
      </c>
      <c r="G1636" t="s">
        <v>1046</v>
      </c>
      <c r="H1636" t="s">
        <v>1047</v>
      </c>
      <c r="I1636" t="s">
        <v>40</v>
      </c>
      <c r="J1636" t="s">
        <v>109</v>
      </c>
      <c r="K1636" t="s">
        <v>42</v>
      </c>
      <c r="L1636" t="s">
        <v>1048</v>
      </c>
      <c r="N1636" t="s">
        <v>1049</v>
      </c>
      <c r="Q1636">
        <v>30910</v>
      </c>
      <c r="R1636" t="s">
        <v>119</v>
      </c>
      <c r="S1636" t="s">
        <v>4530</v>
      </c>
      <c r="T1636">
        <v>30</v>
      </c>
      <c r="W1636" t="s">
        <v>1051</v>
      </c>
      <c r="X1636">
        <v>838472</v>
      </c>
      <c r="Y1636" t="s">
        <v>1052</v>
      </c>
      <c r="Z1636" t="e">
        <f ca="1">- cleaned cartridge Bays, plunger Rods _xludf.and I-CORE
- generated reports</f>
        <v>#NAME?</v>
      </c>
      <c r="AA1636" t="s">
        <v>820</v>
      </c>
      <c r="AB1636" t="s">
        <v>1428</v>
      </c>
      <c r="AG1636" t="s">
        <v>11223</v>
      </c>
      <c r="AH1636" t="s">
        <v>4532</v>
      </c>
      <c r="AI1636" t="s">
        <v>11224</v>
      </c>
    </row>
    <row r="1637" spans="2:35" ht="409.5">
      <c r="B1637" s="1">
        <v>45811</v>
      </c>
      <c r="C1637" s="1">
        <v>45811</v>
      </c>
      <c r="D1637" t="s">
        <v>1203</v>
      </c>
      <c r="E1637" t="s">
        <v>6864</v>
      </c>
      <c r="F1637">
        <v>11</v>
      </c>
      <c r="G1637" t="s">
        <v>1205</v>
      </c>
      <c r="H1637" t="s">
        <v>11225</v>
      </c>
      <c r="I1637" t="s">
        <v>40</v>
      </c>
      <c r="J1637" s="2" t="s">
        <v>4208</v>
      </c>
      <c r="K1637" t="s">
        <v>387</v>
      </c>
      <c r="L1637" t="s">
        <v>204</v>
      </c>
      <c r="N1637" t="s">
        <v>205</v>
      </c>
      <c r="O1637" t="s">
        <v>2867</v>
      </c>
      <c r="Q1637">
        <v>30909</v>
      </c>
      <c r="R1637" t="s">
        <v>95</v>
      </c>
      <c r="S1637" t="s">
        <v>6315</v>
      </c>
      <c r="T1637">
        <v>24.6</v>
      </c>
      <c r="W1637" t="s">
        <v>390</v>
      </c>
      <c r="X1637" t="s">
        <v>6316</v>
      </c>
      <c r="Y1637" t="s">
        <v>11226</v>
      </c>
      <c r="Z1637" s="2" t="s">
        <v>11227</v>
      </c>
      <c r="AA1637" t="s">
        <v>11228</v>
      </c>
      <c r="AB1637" s="2" t="s">
        <v>11229</v>
      </c>
      <c r="AC1637" t="s">
        <v>11230</v>
      </c>
      <c r="AG1637" t="s">
        <v>11231</v>
      </c>
      <c r="AH1637" t="s">
        <v>11232</v>
      </c>
      <c r="AI1637" t="s">
        <v>11233</v>
      </c>
    </row>
    <row r="1638" spans="2:35" ht="225">
      <c r="B1638" s="1">
        <v>45811</v>
      </c>
      <c r="C1638" s="1">
        <v>45811</v>
      </c>
      <c r="D1638" t="s">
        <v>2233</v>
      </c>
      <c r="E1638" t="s">
        <v>11234</v>
      </c>
      <c r="F1638">
        <v>7</v>
      </c>
      <c r="G1638" t="s">
        <v>432</v>
      </c>
      <c r="H1638" t="s">
        <v>258</v>
      </c>
      <c r="I1638" t="s">
        <v>40</v>
      </c>
      <c r="J1638" t="s">
        <v>525</v>
      </c>
      <c r="K1638" t="s">
        <v>42</v>
      </c>
      <c r="L1638" t="s">
        <v>594</v>
      </c>
      <c r="N1638" t="s">
        <v>595</v>
      </c>
      <c r="Q1638">
        <v>30908</v>
      </c>
      <c r="R1638" t="s">
        <v>119</v>
      </c>
      <c r="S1638" t="s">
        <v>2235</v>
      </c>
      <c r="T1638">
        <v>23</v>
      </c>
      <c r="V1638" s="1">
        <v>45811</v>
      </c>
      <c r="W1638" t="s">
        <v>360</v>
      </c>
      <c r="X1638">
        <v>838231</v>
      </c>
      <c r="Y1638" t="s">
        <v>11235</v>
      </c>
      <c r="Z1638" t="s">
        <v>11236</v>
      </c>
      <c r="AA1638" s="2" t="s">
        <v>11237</v>
      </c>
      <c r="AB1638" t="s">
        <v>11238</v>
      </c>
      <c r="AG1638" t="s">
        <v>11239</v>
      </c>
      <c r="AH1638" t="s">
        <v>2241</v>
      </c>
      <c r="AI1638" t="s">
        <v>11240</v>
      </c>
    </row>
    <row r="1639" spans="2:35" ht="105">
      <c r="B1639" s="1">
        <v>45811</v>
      </c>
      <c r="C1639" s="1">
        <v>45811</v>
      </c>
      <c r="D1639" t="s">
        <v>7471</v>
      </c>
      <c r="E1639" t="s">
        <v>8712</v>
      </c>
      <c r="F1639">
        <v>8</v>
      </c>
      <c r="G1639" t="s">
        <v>342</v>
      </c>
      <c r="H1639" t="s">
        <v>258</v>
      </c>
      <c r="I1639" t="s">
        <v>40</v>
      </c>
      <c r="J1639" s="2" t="s">
        <v>1157</v>
      </c>
      <c r="K1639" t="s">
        <v>42</v>
      </c>
      <c r="L1639" t="s">
        <v>259</v>
      </c>
      <c r="N1639" t="s">
        <v>260</v>
      </c>
      <c r="Q1639">
        <v>30907</v>
      </c>
      <c r="R1639" t="s">
        <v>119</v>
      </c>
      <c r="S1639" t="s">
        <v>7473</v>
      </c>
      <c r="T1639">
        <v>19</v>
      </c>
      <c r="U1639" s="2" t="s">
        <v>8366</v>
      </c>
      <c r="V1639" s="1">
        <v>45811</v>
      </c>
      <c r="W1639" t="s">
        <v>84</v>
      </c>
      <c r="X1639">
        <v>838421</v>
      </c>
      <c r="Y1639" t="e">
        <f ca="1">- module B3 multiple temperature _xludf.error</f>
        <v>#NAME?</v>
      </c>
      <c r="Z1639" t="e">
        <f ca="1">- CALIBRATION
- Preventive Maintenance</f>
        <v>#NAME?</v>
      </c>
      <c r="AA1639" t="e">
        <f ca="1">- CALIBRATION
- Preventive Maintenance</f>
        <v>#NAME?</v>
      </c>
      <c r="AB1639" t="s">
        <v>70</v>
      </c>
      <c r="AG1639" t="s">
        <v>11241</v>
      </c>
      <c r="AH1639" t="s">
        <v>11242</v>
      </c>
      <c r="AI1639" t="s">
        <v>11243</v>
      </c>
    </row>
    <row r="1640" spans="2:35" ht="300">
      <c r="B1640" s="1">
        <v>45811</v>
      </c>
      <c r="C1640" s="1">
        <v>45811</v>
      </c>
      <c r="D1640" t="s">
        <v>5089</v>
      </c>
      <c r="E1640" t="s">
        <v>11244</v>
      </c>
      <c r="F1640">
        <v>3</v>
      </c>
      <c r="G1640" t="s">
        <v>1722</v>
      </c>
      <c r="H1640" t="s">
        <v>61</v>
      </c>
      <c r="I1640" t="s">
        <v>40</v>
      </c>
      <c r="J1640" t="s">
        <v>109</v>
      </c>
      <c r="K1640" t="s">
        <v>42</v>
      </c>
      <c r="L1640" t="s">
        <v>63</v>
      </c>
      <c r="N1640" t="s">
        <v>64</v>
      </c>
      <c r="Q1640">
        <v>30906</v>
      </c>
      <c r="R1640" t="s">
        <v>967</v>
      </c>
      <c r="S1640" t="s">
        <v>5091</v>
      </c>
      <c r="T1640">
        <v>23</v>
      </c>
      <c r="U1640" s="2" t="s">
        <v>11245</v>
      </c>
      <c r="W1640" t="s">
        <v>373</v>
      </c>
      <c r="X1640">
        <v>110023508</v>
      </c>
      <c r="Y1640" t="s">
        <v>2692</v>
      </c>
      <c r="Z1640" s="2" t="s">
        <v>11246</v>
      </c>
      <c r="AA1640" s="2" t="s">
        <v>11247</v>
      </c>
      <c r="AB1640" t="s">
        <v>70</v>
      </c>
      <c r="AG1640" t="s">
        <v>11248</v>
      </c>
      <c r="AH1640" t="s">
        <v>5095</v>
      </c>
      <c r="AI1640" t="s">
        <v>11249</v>
      </c>
    </row>
    <row r="1641" spans="2:35" ht="90">
      <c r="B1641" s="1">
        <v>45811</v>
      </c>
      <c r="C1641" s="1">
        <v>45810</v>
      </c>
      <c r="D1641" t="s">
        <v>11250</v>
      </c>
      <c r="E1641" t="s">
        <v>1555</v>
      </c>
      <c r="F1641">
        <v>7</v>
      </c>
      <c r="G1641" t="s">
        <v>432</v>
      </c>
      <c r="H1641" t="s">
        <v>39</v>
      </c>
      <c r="I1641" t="s">
        <v>40</v>
      </c>
      <c r="J1641" t="s">
        <v>109</v>
      </c>
      <c r="K1641" t="s">
        <v>42</v>
      </c>
      <c r="L1641" t="s">
        <v>433</v>
      </c>
      <c r="N1641" t="s">
        <v>434</v>
      </c>
      <c r="Q1641">
        <v>30905</v>
      </c>
      <c r="R1641" t="s">
        <v>95</v>
      </c>
      <c r="S1641" t="s">
        <v>7121</v>
      </c>
      <c r="T1641">
        <v>27</v>
      </c>
      <c r="W1641" t="s">
        <v>502</v>
      </c>
      <c r="X1641">
        <v>829419</v>
      </c>
      <c r="Y1641" t="s">
        <v>8898</v>
      </c>
      <c r="Z1641" s="2" t="s">
        <v>11251</v>
      </c>
      <c r="AA1641" s="2" t="s">
        <v>11251</v>
      </c>
      <c r="AB1641" t="s">
        <v>11252</v>
      </c>
      <c r="AG1641" t="s">
        <v>11253</v>
      </c>
      <c r="AH1641" t="s">
        <v>7126</v>
      </c>
      <c r="AI1641" t="s">
        <v>11254</v>
      </c>
    </row>
    <row r="1642" spans="2:35" ht="195">
      <c r="B1642" s="1">
        <v>45811</v>
      </c>
      <c r="C1642" s="1">
        <v>45811</v>
      </c>
      <c r="D1642" t="s">
        <v>11255</v>
      </c>
      <c r="E1642" t="s">
        <v>11256</v>
      </c>
      <c r="F1642">
        <v>10</v>
      </c>
      <c r="G1642" t="s">
        <v>8359</v>
      </c>
      <c r="H1642" t="s">
        <v>2125</v>
      </c>
      <c r="I1642" t="s">
        <v>40</v>
      </c>
      <c r="J1642" s="2" t="s">
        <v>41</v>
      </c>
      <c r="K1642" t="s">
        <v>42</v>
      </c>
      <c r="L1642" t="s">
        <v>933</v>
      </c>
      <c r="N1642" t="s">
        <v>934</v>
      </c>
      <c r="Q1642">
        <v>30904</v>
      </c>
      <c r="R1642" t="s">
        <v>119</v>
      </c>
      <c r="S1642" t="s">
        <v>11257</v>
      </c>
      <c r="T1642">
        <v>27</v>
      </c>
      <c r="W1642" t="s">
        <v>10604</v>
      </c>
      <c r="X1642">
        <v>838440</v>
      </c>
      <c r="Y1642" t="s">
        <v>11258</v>
      </c>
      <c r="Z1642" s="2" t="s">
        <v>11259</v>
      </c>
      <c r="AA1642" s="2" t="s">
        <v>11260</v>
      </c>
      <c r="AB1642" t="s">
        <v>11261</v>
      </c>
      <c r="AG1642" t="s">
        <v>11262</v>
      </c>
      <c r="AH1642" t="s">
        <v>11263</v>
      </c>
      <c r="AI1642" t="s">
        <v>11264</v>
      </c>
    </row>
    <row r="1643" spans="2:35" ht="409.5">
      <c r="B1643" s="1">
        <v>45811</v>
      </c>
      <c r="C1643" s="1">
        <v>45811</v>
      </c>
      <c r="D1643" t="s">
        <v>11265</v>
      </c>
      <c r="E1643" t="s">
        <v>11266</v>
      </c>
      <c r="F1643">
        <v>3</v>
      </c>
      <c r="G1643" t="s">
        <v>1722</v>
      </c>
      <c r="H1643" t="s">
        <v>39</v>
      </c>
      <c r="I1643" t="s">
        <v>40</v>
      </c>
      <c r="J1643" s="2" t="s">
        <v>62</v>
      </c>
      <c r="K1643" t="s">
        <v>42</v>
      </c>
      <c r="L1643" t="s">
        <v>63</v>
      </c>
      <c r="N1643" t="s">
        <v>64</v>
      </c>
      <c r="Q1643">
        <v>30903</v>
      </c>
      <c r="R1643" t="s">
        <v>322</v>
      </c>
      <c r="S1643" t="s">
        <v>11267</v>
      </c>
      <c r="T1643">
        <v>22</v>
      </c>
      <c r="U1643" s="2" t="s">
        <v>11268</v>
      </c>
      <c r="W1643" t="s">
        <v>373</v>
      </c>
      <c r="X1643">
        <v>110013773</v>
      </c>
      <c r="Y1643" t="s">
        <v>67</v>
      </c>
      <c r="Z1643" s="2" t="s">
        <v>4222</v>
      </c>
      <c r="AA1643" s="2" t="s">
        <v>11269</v>
      </c>
      <c r="AB1643" t="s">
        <v>70</v>
      </c>
      <c r="AG1643" t="s">
        <v>11270</v>
      </c>
      <c r="AH1643" t="s">
        <v>11271</v>
      </c>
      <c r="AI1643" t="s">
        <v>11272</v>
      </c>
    </row>
    <row r="1644" spans="2:35" ht="300">
      <c r="B1644" s="1">
        <v>45810</v>
      </c>
      <c r="C1644" s="1">
        <v>45810</v>
      </c>
      <c r="D1644" t="s">
        <v>1203</v>
      </c>
      <c r="E1644" t="s">
        <v>6864</v>
      </c>
      <c r="F1644">
        <v>11</v>
      </c>
      <c r="G1644" t="s">
        <v>1205</v>
      </c>
      <c r="H1644" t="s">
        <v>11273</v>
      </c>
      <c r="I1644" t="s">
        <v>40</v>
      </c>
      <c r="J1644" s="2" t="s">
        <v>4208</v>
      </c>
      <c r="K1644" t="s">
        <v>387</v>
      </c>
      <c r="L1644" t="s">
        <v>204</v>
      </c>
      <c r="N1644" t="s">
        <v>205</v>
      </c>
      <c r="O1644" t="s">
        <v>2867</v>
      </c>
      <c r="Q1644">
        <v>30902</v>
      </c>
      <c r="R1644" t="s">
        <v>95</v>
      </c>
      <c r="S1644" t="s">
        <v>11274</v>
      </c>
      <c r="T1644">
        <v>24.5</v>
      </c>
      <c r="W1644" t="s">
        <v>390</v>
      </c>
      <c r="X1644" t="s">
        <v>6316</v>
      </c>
      <c r="Y1644" t="s">
        <v>11275</v>
      </c>
      <c r="Z1644" s="2" t="s">
        <v>11276</v>
      </c>
      <c r="AA1644" s="2" t="s">
        <v>11277</v>
      </c>
      <c r="AB1644" t="s">
        <v>364</v>
      </c>
      <c r="AG1644" t="s">
        <v>11278</v>
      </c>
      <c r="AH1644" t="s">
        <v>11279</v>
      </c>
      <c r="AI1644" t="s">
        <v>11280</v>
      </c>
    </row>
    <row r="1645" spans="2:35" ht="360">
      <c r="B1645" s="1">
        <v>45810</v>
      </c>
      <c r="C1645" s="1">
        <v>45805</v>
      </c>
      <c r="D1645" t="s">
        <v>5060</v>
      </c>
      <c r="E1645" t="s">
        <v>8014</v>
      </c>
      <c r="F1645">
        <v>3</v>
      </c>
      <c r="G1645" t="s">
        <v>284</v>
      </c>
      <c r="H1645" t="s">
        <v>9313</v>
      </c>
      <c r="I1645" t="s">
        <v>40</v>
      </c>
      <c r="J1645" t="s">
        <v>109</v>
      </c>
      <c r="K1645" t="s">
        <v>42</v>
      </c>
      <c r="L1645" t="s">
        <v>135</v>
      </c>
      <c r="N1645" t="s">
        <v>136</v>
      </c>
      <c r="Q1645">
        <v>30901</v>
      </c>
      <c r="R1645" t="s">
        <v>322</v>
      </c>
      <c r="S1645" t="s">
        <v>11281</v>
      </c>
      <c r="T1645">
        <v>25</v>
      </c>
      <c r="U1645" s="2" t="s">
        <v>11282</v>
      </c>
      <c r="W1645" t="s">
        <v>3335</v>
      </c>
      <c r="X1645">
        <v>120003587</v>
      </c>
      <c r="Y1645" t="s">
        <v>7229</v>
      </c>
      <c r="Z1645" t="s">
        <v>4315</v>
      </c>
      <c r="AA1645" s="2" t="s">
        <v>4316</v>
      </c>
      <c r="AB1645" t="s">
        <v>181</v>
      </c>
      <c r="AG1645" t="s">
        <v>11283</v>
      </c>
      <c r="AH1645" t="s">
        <v>11284</v>
      </c>
      <c r="AI1645" t="s">
        <v>11285</v>
      </c>
    </row>
    <row r="1646" spans="2:35" ht="105">
      <c r="B1646" s="1">
        <v>45810</v>
      </c>
      <c r="C1646" s="1">
        <v>45810</v>
      </c>
      <c r="D1646" t="s">
        <v>9021</v>
      </c>
      <c r="E1646" t="s">
        <v>9022</v>
      </c>
      <c r="F1646">
        <v>7</v>
      </c>
      <c r="G1646" t="s">
        <v>432</v>
      </c>
      <c r="H1646" t="s">
        <v>608</v>
      </c>
      <c r="I1646" t="s">
        <v>40</v>
      </c>
      <c r="J1646" s="2" t="s">
        <v>220</v>
      </c>
      <c r="K1646" t="s">
        <v>42</v>
      </c>
      <c r="L1646" t="s">
        <v>610</v>
      </c>
      <c r="N1646" t="s">
        <v>611</v>
      </c>
      <c r="Q1646">
        <v>30900</v>
      </c>
      <c r="R1646" t="s">
        <v>119</v>
      </c>
      <c r="S1646" t="s">
        <v>9023</v>
      </c>
      <c r="T1646">
        <v>24</v>
      </c>
      <c r="U1646" s="2" t="s">
        <v>11286</v>
      </c>
      <c r="W1646" t="s">
        <v>360</v>
      </c>
      <c r="X1646">
        <v>838283</v>
      </c>
      <c r="Y1646" t="s">
        <v>11287</v>
      </c>
      <c r="Z1646" t="s">
        <v>10713</v>
      </c>
      <c r="AA1646" t="s">
        <v>10713</v>
      </c>
      <c r="AB1646" t="s">
        <v>88</v>
      </c>
      <c r="AG1646" t="s">
        <v>11288</v>
      </c>
      <c r="AH1646" t="s">
        <v>9029</v>
      </c>
      <c r="AI1646" t="s">
        <v>11289</v>
      </c>
    </row>
    <row r="1647" spans="2:35" ht="105">
      <c r="B1647" s="1">
        <v>45810</v>
      </c>
      <c r="C1647" s="1">
        <v>45807</v>
      </c>
      <c r="D1647" t="s">
        <v>9021</v>
      </c>
      <c r="E1647" t="s">
        <v>9022</v>
      </c>
      <c r="F1647">
        <v>7</v>
      </c>
      <c r="G1647" t="s">
        <v>432</v>
      </c>
      <c r="H1647" t="s">
        <v>608</v>
      </c>
      <c r="I1647" t="s">
        <v>40</v>
      </c>
      <c r="J1647" t="s">
        <v>79</v>
      </c>
      <c r="K1647" t="s">
        <v>42</v>
      </c>
      <c r="L1647" t="s">
        <v>610</v>
      </c>
      <c r="N1647" t="s">
        <v>611</v>
      </c>
      <c r="Q1647">
        <v>30899</v>
      </c>
      <c r="R1647" t="s">
        <v>119</v>
      </c>
      <c r="S1647" t="s">
        <v>9023</v>
      </c>
      <c r="T1647">
        <v>24</v>
      </c>
      <c r="U1647" s="2" t="s">
        <v>11286</v>
      </c>
      <c r="W1647" t="s">
        <v>360</v>
      </c>
      <c r="X1647">
        <v>838283</v>
      </c>
      <c r="Y1647" t="s">
        <v>11290</v>
      </c>
      <c r="Z1647" t="s">
        <v>10713</v>
      </c>
      <c r="AA1647" t="s">
        <v>10713</v>
      </c>
      <c r="AB1647" t="s">
        <v>11291</v>
      </c>
      <c r="AG1647" t="s">
        <v>11292</v>
      </c>
      <c r="AH1647" t="s">
        <v>9029</v>
      </c>
      <c r="AI1647" t="s">
        <v>11293</v>
      </c>
    </row>
    <row r="1648" spans="2:35" ht="315">
      <c r="B1648" s="1">
        <v>45810</v>
      </c>
      <c r="C1648" s="1">
        <v>45808</v>
      </c>
      <c r="D1648" t="s">
        <v>3423</v>
      </c>
      <c r="E1648" t="s">
        <v>3116</v>
      </c>
      <c r="F1648">
        <v>7</v>
      </c>
      <c r="G1648" t="s">
        <v>432</v>
      </c>
      <c r="H1648" t="s">
        <v>386</v>
      </c>
      <c r="I1648" t="s">
        <v>40</v>
      </c>
      <c r="J1648" s="2" t="s">
        <v>41</v>
      </c>
      <c r="K1648" t="s">
        <v>387</v>
      </c>
      <c r="L1648" t="s">
        <v>610</v>
      </c>
      <c r="N1648" t="s">
        <v>611</v>
      </c>
      <c r="Q1648">
        <v>30898</v>
      </c>
      <c r="R1648" t="s">
        <v>95</v>
      </c>
      <c r="S1648" t="s">
        <v>3424</v>
      </c>
      <c r="T1648">
        <v>24</v>
      </c>
      <c r="W1648" t="s">
        <v>390</v>
      </c>
      <c r="X1648" t="s">
        <v>10711</v>
      </c>
      <c r="Y1648" s="2" t="s">
        <v>11294</v>
      </c>
      <c r="Z1648" s="2" t="s">
        <v>11295</v>
      </c>
      <c r="AA1648" s="2" t="s">
        <v>11296</v>
      </c>
      <c r="AB1648" t="s">
        <v>11297</v>
      </c>
      <c r="AG1648" t="s">
        <v>11298</v>
      </c>
      <c r="AH1648" t="s">
        <v>3429</v>
      </c>
      <c r="AI1648" t="s">
        <v>11299</v>
      </c>
    </row>
    <row r="1649" spans="2:35" ht="360">
      <c r="B1649" s="1">
        <v>45810</v>
      </c>
      <c r="C1649" s="1">
        <v>45810</v>
      </c>
      <c r="D1649" t="s">
        <v>1738</v>
      </c>
      <c r="E1649" t="s">
        <v>639</v>
      </c>
      <c r="F1649">
        <v>3</v>
      </c>
      <c r="G1649" t="s">
        <v>1739</v>
      </c>
      <c r="H1649" t="s">
        <v>61</v>
      </c>
      <c r="I1649" t="s">
        <v>40</v>
      </c>
      <c r="J1649" t="s">
        <v>109</v>
      </c>
      <c r="K1649" t="s">
        <v>42</v>
      </c>
      <c r="L1649" t="s">
        <v>135</v>
      </c>
      <c r="N1649" t="s">
        <v>136</v>
      </c>
      <c r="Q1649">
        <v>30897</v>
      </c>
      <c r="R1649" t="s">
        <v>322</v>
      </c>
      <c r="S1649" t="s">
        <v>11300</v>
      </c>
      <c r="T1649">
        <v>30</v>
      </c>
      <c r="U1649" s="2" t="s">
        <v>11301</v>
      </c>
      <c r="W1649" t="s">
        <v>138</v>
      </c>
      <c r="X1649">
        <v>806377</v>
      </c>
      <c r="Y1649" t="s">
        <v>7229</v>
      </c>
      <c r="Z1649" t="s">
        <v>4315</v>
      </c>
      <c r="AA1649" s="2" t="s">
        <v>4316</v>
      </c>
      <c r="AB1649" t="s">
        <v>181</v>
      </c>
      <c r="AG1649" t="s">
        <v>11302</v>
      </c>
      <c r="AH1649" t="s">
        <v>11303</v>
      </c>
      <c r="AI1649" t="s">
        <v>11304</v>
      </c>
    </row>
    <row r="1650" spans="2:35" ht="210">
      <c r="B1650" s="1">
        <v>45810</v>
      </c>
      <c r="C1650" s="1">
        <v>45810</v>
      </c>
      <c r="D1650" t="s">
        <v>2221</v>
      </c>
      <c r="E1650" t="s">
        <v>2221</v>
      </c>
      <c r="F1650">
        <v>9</v>
      </c>
      <c r="G1650" t="s">
        <v>2197</v>
      </c>
      <c r="H1650" t="s">
        <v>39</v>
      </c>
      <c r="I1650" t="s">
        <v>40</v>
      </c>
      <c r="J1650" t="s">
        <v>109</v>
      </c>
      <c r="K1650" t="s">
        <v>42</v>
      </c>
      <c r="L1650" t="s">
        <v>1257</v>
      </c>
      <c r="N1650" t="s">
        <v>1258</v>
      </c>
      <c r="O1650" t="s">
        <v>1258</v>
      </c>
      <c r="Q1650">
        <v>30896</v>
      </c>
      <c r="R1650" t="s">
        <v>119</v>
      </c>
      <c r="S1650" t="s">
        <v>11141</v>
      </c>
      <c r="T1650">
        <v>25</v>
      </c>
      <c r="U1650" s="2" t="s">
        <v>11305</v>
      </c>
      <c r="V1650" s="1">
        <v>45810</v>
      </c>
      <c r="W1650" t="s">
        <v>2384</v>
      </c>
      <c r="X1650">
        <v>838204</v>
      </c>
      <c r="Y1650" t="s">
        <v>301</v>
      </c>
      <c r="Z1650" t="s">
        <v>7410</v>
      </c>
      <c r="AA1650" t="s">
        <v>7410</v>
      </c>
      <c r="AB1650" t="s">
        <v>7411</v>
      </c>
      <c r="AC1650" t="s">
        <v>301</v>
      </c>
      <c r="AD1650" t="s">
        <v>54</v>
      </c>
      <c r="AE1650" t="s">
        <v>54</v>
      </c>
      <c r="AG1650" t="s">
        <v>11306</v>
      </c>
      <c r="AH1650" t="s">
        <v>2231</v>
      </c>
      <c r="AI1650" t="s">
        <v>11307</v>
      </c>
    </row>
    <row r="1651" spans="2:35" ht="390">
      <c r="B1651" s="1">
        <v>45809</v>
      </c>
      <c r="C1651" s="1">
        <v>45805</v>
      </c>
      <c r="D1651" t="s">
        <v>5017</v>
      </c>
      <c r="E1651" t="s">
        <v>11308</v>
      </c>
      <c r="F1651">
        <v>12</v>
      </c>
      <c r="G1651" t="s">
        <v>978</v>
      </c>
      <c r="H1651" t="s">
        <v>1473</v>
      </c>
      <c r="I1651" t="s">
        <v>40</v>
      </c>
      <c r="J1651" t="s">
        <v>525</v>
      </c>
      <c r="K1651" t="s">
        <v>42</v>
      </c>
      <c r="L1651" t="s">
        <v>296</v>
      </c>
      <c r="N1651" t="s">
        <v>297</v>
      </c>
      <c r="Q1651">
        <v>30895</v>
      </c>
      <c r="R1651" t="s">
        <v>119</v>
      </c>
      <c r="S1651" t="s">
        <v>5019</v>
      </c>
      <c r="T1651">
        <v>26.7</v>
      </c>
      <c r="U1651" s="2" t="s">
        <v>11309</v>
      </c>
      <c r="W1651" t="s">
        <v>981</v>
      </c>
      <c r="X1651">
        <v>838562</v>
      </c>
      <c r="Y1651" t="s">
        <v>11013</v>
      </c>
      <c r="Z1651" s="2" t="s">
        <v>11310</v>
      </c>
      <c r="AA1651" t="s">
        <v>11311</v>
      </c>
      <c r="AB1651" s="2" t="s">
        <v>11312</v>
      </c>
      <c r="AG1651" t="s">
        <v>11313</v>
      </c>
      <c r="AH1651" t="s">
        <v>11314</v>
      </c>
      <c r="AI1651" t="s">
        <v>11315</v>
      </c>
    </row>
    <row r="1652" spans="2:35">
      <c r="B1652" s="1">
        <v>45809</v>
      </c>
      <c r="C1652" s="1">
        <v>45807</v>
      </c>
      <c r="D1652" t="s">
        <v>7751</v>
      </c>
      <c r="E1652" t="s">
        <v>7752</v>
      </c>
      <c r="F1652">
        <v>13</v>
      </c>
      <c r="G1652" t="s">
        <v>4484</v>
      </c>
      <c r="H1652" t="s">
        <v>2125</v>
      </c>
      <c r="I1652" t="s">
        <v>40</v>
      </c>
      <c r="J1652" t="s">
        <v>109</v>
      </c>
      <c r="K1652" t="s">
        <v>42</v>
      </c>
      <c r="L1652" t="s">
        <v>933</v>
      </c>
      <c r="N1652" t="s">
        <v>934</v>
      </c>
      <c r="Q1652">
        <v>30894</v>
      </c>
      <c r="R1652" t="s">
        <v>119</v>
      </c>
      <c r="S1652" t="s">
        <v>11316</v>
      </c>
      <c r="T1652">
        <v>27</v>
      </c>
      <c r="W1652" t="s">
        <v>10610</v>
      </c>
      <c r="X1652">
        <v>838403</v>
      </c>
      <c r="Y1652" t="s">
        <v>301</v>
      </c>
      <c r="Z1652" t="s">
        <v>301</v>
      </c>
      <c r="AA1652" t="s">
        <v>3128</v>
      </c>
      <c r="AB1652" t="s">
        <v>2131</v>
      </c>
      <c r="AG1652" t="s">
        <v>11317</v>
      </c>
      <c r="AH1652" t="s">
        <v>11318</v>
      </c>
      <c r="AI1652" t="s">
        <v>11319</v>
      </c>
    </row>
    <row r="1653" spans="2:35" ht="150">
      <c r="B1653" s="1">
        <v>45807</v>
      </c>
      <c r="C1653" s="1">
        <v>45807</v>
      </c>
      <c r="D1653" t="s">
        <v>660</v>
      </c>
      <c r="E1653" t="s">
        <v>11320</v>
      </c>
      <c r="F1653" t="s">
        <v>148</v>
      </c>
      <c r="G1653" t="s">
        <v>447</v>
      </c>
      <c r="H1653" t="s">
        <v>513</v>
      </c>
      <c r="I1653" t="s">
        <v>40</v>
      </c>
      <c r="J1653" t="s">
        <v>79</v>
      </c>
      <c r="K1653" t="s">
        <v>387</v>
      </c>
      <c r="L1653" t="s">
        <v>80</v>
      </c>
      <c r="N1653" t="s">
        <v>81</v>
      </c>
      <c r="Q1653">
        <v>30893</v>
      </c>
      <c r="R1653" t="s">
        <v>322</v>
      </c>
      <c r="S1653" t="s">
        <v>5905</v>
      </c>
      <c r="T1653">
        <v>26</v>
      </c>
      <c r="V1653" s="1">
        <v>45806</v>
      </c>
      <c r="W1653" t="s">
        <v>476</v>
      </c>
      <c r="X1653" t="s">
        <v>5906</v>
      </c>
      <c r="Y1653" t="s">
        <v>11321</v>
      </c>
      <c r="Z1653" s="2" t="s">
        <v>11322</v>
      </c>
      <c r="AA1653" t="s">
        <v>11323</v>
      </c>
      <c r="AB1653" t="s">
        <v>88</v>
      </c>
      <c r="AD1653" t="s">
        <v>11324</v>
      </c>
      <c r="AE1653" t="s">
        <v>11325</v>
      </c>
      <c r="AG1653" t="s">
        <v>11326</v>
      </c>
      <c r="AH1653" t="s">
        <v>5912</v>
      </c>
      <c r="AI1653" t="s">
        <v>11327</v>
      </c>
    </row>
    <row r="1654" spans="2:35" ht="75">
      <c r="B1654" s="1">
        <v>45807</v>
      </c>
      <c r="C1654" s="1">
        <v>45807</v>
      </c>
      <c r="D1654" t="s">
        <v>7471</v>
      </c>
      <c r="E1654" t="s">
        <v>8365</v>
      </c>
      <c r="F1654">
        <v>8</v>
      </c>
      <c r="G1654" t="s">
        <v>342</v>
      </c>
      <c r="H1654" t="s">
        <v>258</v>
      </c>
      <c r="I1654" t="s">
        <v>40</v>
      </c>
      <c r="J1654" s="2" t="s">
        <v>190</v>
      </c>
      <c r="K1654" t="s">
        <v>42</v>
      </c>
      <c r="L1654" t="s">
        <v>259</v>
      </c>
      <c r="N1654" t="s">
        <v>260</v>
      </c>
      <c r="O1654" t="s">
        <v>260</v>
      </c>
      <c r="Q1654">
        <v>30892</v>
      </c>
      <c r="R1654" t="s">
        <v>119</v>
      </c>
      <c r="S1654" t="s">
        <v>7473</v>
      </c>
      <c r="T1654">
        <v>19</v>
      </c>
      <c r="V1654" s="1">
        <v>45807</v>
      </c>
      <c r="W1654" t="s">
        <v>84</v>
      </c>
      <c r="X1654">
        <v>838421</v>
      </c>
      <c r="Y1654" t="s">
        <v>11328</v>
      </c>
      <c r="Z1654" t="s">
        <v>11329</v>
      </c>
      <c r="AA1654" t="e">
        <f ca="1">- Troubleshoot module B3
- performed functionality test
- Preventive Maintenance</f>
        <v>#NAME?</v>
      </c>
      <c r="AB1654" t="s">
        <v>70</v>
      </c>
      <c r="AG1654" t="s">
        <v>11330</v>
      </c>
      <c r="AH1654" t="s">
        <v>11242</v>
      </c>
      <c r="AI1654" t="s">
        <v>11331</v>
      </c>
    </row>
    <row r="1655" spans="2:35" ht="45">
      <c r="B1655" s="1">
        <v>45807</v>
      </c>
      <c r="C1655" s="1">
        <v>45806</v>
      </c>
      <c r="D1655" t="s">
        <v>11332</v>
      </c>
      <c r="E1655" t="s">
        <v>11333</v>
      </c>
      <c r="F1655" t="s">
        <v>1255</v>
      </c>
      <c r="G1655" t="s">
        <v>3346</v>
      </c>
      <c r="H1655" t="s">
        <v>39</v>
      </c>
      <c r="I1655" t="s">
        <v>40</v>
      </c>
      <c r="J1655" s="2" t="s">
        <v>41</v>
      </c>
      <c r="K1655" t="s">
        <v>42</v>
      </c>
      <c r="L1655" t="s">
        <v>1257</v>
      </c>
      <c r="N1655" t="s">
        <v>1258</v>
      </c>
      <c r="O1655" t="s">
        <v>1258</v>
      </c>
      <c r="Q1655">
        <v>30891</v>
      </c>
      <c r="R1655" t="s">
        <v>119</v>
      </c>
      <c r="S1655" t="s">
        <v>11334</v>
      </c>
      <c r="T1655">
        <v>28</v>
      </c>
      <c r="V1655" s="1">
        <v>45805</v>
      </c>
      <c r="W1655" t="s">
        <v>2384</v>
      </c>
      <c r="X1655">
        <v>838832</v>
      </c>
      <c r="Y1655" t="s">
        <v>3975</v>
      </c>
      <c r="Z1655" t="s">
        <v>11335</v>
      </c>
      <c r="AA1655" t="s">
        <v>11335</v>
      </c>
      <c r="AB1655" t="s">
        <v>11336</v>
      </c>
      <c r="AC1655" t="s">
        <v>301</v>
      </c>
      <c r="AD1655" t="s">
        <v>54</v>
      </c>
      <c r="AE1655" t="s">
        <v>54</v>
      </c>
      <c r="AG1655" t="s">
        <v>11337</v>
      </c>
      <c r="AH1655" t="s">
        <v>11338</v>
      </c>
      <c r="AI1655" t="s">
        <v>11339</v>
      </c>
    </row>
    <row r="1656" spans="2:35">
      <c r="B1656" s="1">
        <v>45807</v>
      </c>
      <c r="C1656" s="1">
        <v>45807</v>
      </c>
      <c r="D1656" t="s">
        <v>3139</v>
      </c>
      <c r="E1656" t="s">
        <v>3140</v>
      </c>
      <c r="F1656" t="s">
        <v>148</v>
      </c>
      <c r="G1656" t="s">
        <v>174</v>
      </c>
      <c r="H1656" t="s">
        <v>39</v>
      </c>
      <c r="I1656" t="s">
        <v>40</v>
      </c>
      <c r="J1656" t="s">
        <v>109</v>
      </c>
      <c r="K1656" t="s">
        <v>42</v>
      </c>
      <c r="L1656" t="s">
        <v>175</v>
      </c>
      <c r="N1656" t="s">
        <v>176</v>
      </c>
      <c r="Q1656">
        <v>30890</v>
      </c>
      <c r="R1656" t="s">
        <v>967</v>
      </c>
      <c r="S1656" t="s">
        <v>3141</v>
      </c>
      <c r="T1656">
        <v>25</v>
      </c>
      <c r="W1656" t="s">
        <v>373</v>
      </c>
      <c r="X1656">
        <v>110023507</v>
      </c>
      <c r="Y1656" t="s">
        <v>374</v>
      </c>
      <c r="Z1656" t="s">
        <v>103</v>
      </c>
      <c r="AA1656" t="e">
        <f ca="1">- checked _xludf.and cleaned cartridge bay, plunger rod, _xludf.filter
- generated reports
- performed self test</f>
        <v>#NAME?</v>
      </c>
      <c r="AB1656" t="s">
        <v>181</v>
      </c>
      <c r="AG1656" t="s">
        <v>11340</v>
      </c>
      <c r="AH1656" t="s">
        <v>3145</v>
      </c>
      <c r="AI1656" t="s">
        <v>11341</v>
      </c>
    </row>
    <row r="1657" spans="2:35" ht="165">
      <c r="B1657" s="1">
        <v>45807</v>
      </c>
      <c r="C1657" s="1">
        <v>45807</v>
      </c>
      <c r="D1657" t="s">
        <v>9251</v>
      </c>
      <c r="E1657" t="s">
        <v>11342</v>
      </c>
      <c r="F1657">
        <v>2</v>
      </c>
      <c r="G1657" t="s">
        <v>60</v>
      </c>
      <c r="H1657" t="s">
        <v>39</v>
      </c>
      <c r="I1657" t="s">
        <v>40</v>
      </c>
      <c r="J1657" s="2" t="s">
        <v>190</v>
      </c>
      <c r="K1657" t="s">
        <v>42</v>
      </c>
      <c r="L1657" t="s">
        <v>63</v>
      </c>
      <c r="N1657" t="s">
        <v>64</v>
      </c>
      <c r="Q1657">
        <v>30889</v>
      </c>
      <c r="R1657" t="s">
        <v>119</v>
      </c>
      <c r="S1657" t="s">
        <v>9253</v>
      </c>
      <c r="T1657">
        <v>26</v>
      </c>
      <c r="U1657" s="2" t="s">
        <v>11343</v>
      </c>
      <c r="W1657" t="s">
        <v>66</v>
      </c>
      <c r="X1657">
        <v>838272</v>
      </c>
      <c r="Y1657" s="2" t="s">
        <v>11344</v>
      </c>
      <c r="Z1657" s="2" t="s">
        <v>11345</v>
      </c>
      <c r="AA1657" s="2" t="s">
        <v>2726</v>
      </c>
      <c r="AB1657" t="s">
        <v>70</v>
      </c>
      <c r="AC1657" t="s">
        <v>11346</v>
      </c>
      <c r="AG1657" t="s">
        <v>11347</v>
      </c>
      <c r="AH1657" t="s">
        <v>11348</v>
      </c>
      <c r="AI1657" t="s">
        <v>11349</v>
      </c>
    </row>
    <row r="1658" spans="2:35" ht="180">
      <c r="B1658" s="1">
        <v>45807</v>
      </c>
      <c r="C1658" s="1">
        <v>45807</v>
      </c>
      <c r="D1658" t="s">
        <v>9062</v>
      </c>
      <c r="E1658" t="s">
        <v>9063</v>
      </c>
      <c r="F1658">
        <v>8</v>
      </c>
      <c r="G1658" t="s">
        <v>342</v>
      </c>
      <c r="H1658" t="s">
        <v>1498</v>
      </c>
      <c r="I1658" t="s">
        <v>40</v>
      </c>
      <c r="J1658" s="2" t="s">
        <v>190</v>
      </c>
      <c r="K1658" t="s">
        <v>42</v>
      </c>
      <c r="L1658" t="s">
        <v>343</v>
      </c>
      <c r="N1658" t="s">
        <v>344</v>
      </c>
      <c r="Q1658">
        <v>30888</v>
      </c>
      <c r="R1658" t="s">
        <v>119</v>
      </c>
      <c r="S1658" t="s">
        <v>11350</v>
      </c>
      <c r="T1658">
        <v>28</v>
      </c>
      <c r="U1658" s="2" t="s">
        <v>9065</v>
      </c>
      <c r="W1658" t="s">
        <v>1501</v>
      </c>
      <c r="X1658">
        <v>838399</v>
      </c>
      <c r="Y1658" t="s">
        <v>301</v>
      </c>
      <c r="Z1658" t="s">
        <v>301</v>
      </c>
      <c r="AA1658" s="2" t="s">
        <v>11351</v>
      </c>
      <c r="AB1658" t="s">
        <v>348</v>
      </c>
      <c r="AG1658" t="s">
        <v>11352</v>
      </c>
      <c r="AH1658" t="s">
        <v>10194</v>
      </c>
      <c r="AI1658" t="s">
        <v>11353</v>
      </c>
    </row>
    <row r="1659" spans="2:35" ht="105">
      <c r="B1659" s="1">
        <v>45807</v>
      </c>
      <c r="C1659" s="1">
        <v>45807</v>
      </c>
      <c r="D1659" t="s">
        <v>8341</v>
      </c>
      <c r="E1659" t="s">
        <v>8342</v>
      </c>
      <c r="F1659">
        <v>2</v>
      </c>
      <c r="G1659" t="s">
        <v>60</v>
      </c>
      <c r="H1659" t="s">
        <v>39</v>
      </c>
      <c r="I1659" t="s">
        <v>40</v>
      </c>
      <c r="J1659" t="s">
        <v>109</v>
      </c>
      <c r="K1659" t="s">
        <v>42</v>
      </c>
      <c r="L1659" t="s">
        <v>63</v>
      </c>
      <c r="N1659" t="s">
        <v>64</v>
      </c>
      <c r="Q1659">
        <v>30887</v>
      </c>
      <c r="R1659" t="s">
        <v>119</v>
      </c>
      <c r="S1659" t="s">
        <v>8343</v>
      </c>
      <c r="T1659">
        <v>28</v>
      </c>
      <c r="U1659" s="2" t="s">
        <v>11354</v>
      </c>
      <c r="W1659" t="s">
        <v>66</v>
      </c>
      <c r="X1659">
        <v>838201</v>
      </c>
      <c r="Y1659" t="s">
        <v>2692</v>
      </c>
      <c r="Z1659" t="s">
        <v>10275</v>
      </c>
      <c r="AA1659" s="2" t="s">
        <v>7015</v>
      </c>
      <c r="AB1659" t="s">
        <v>70</v>
      </c>
      <c r="AG1659" t="s">
        <v>11355</v>
      </c>
      <c r="AH1659" t="s">
        <v>11356</v>
      </c>
      <c r="AI1659" t="s">
        <v>11357</v>
      </c>
    </row>
    <row r="1660" spans="2:35" ht="409.5">
      <c r="B1660" s="1">
        <v>45807</v>
      </c>
      <c r="C1660" s="1">
        <v>45807</v>
      </c>
      <c r="D1660" t="s">
        <v>11358</v>
      </c>
      <c r="E1660" t="s">
        <v>6691</v>
      </c>
      <c r="F1660">
        <v>7</v>
      </c>
      <c r="G1660" t="s">
        <v>269</v>
      </c>
      <c r="H1660" t="s">
        <v>11359</v>
      </c>
      <c r="I1660" t="s">
        <v>40</v>
      </c>
      <c r="J1660" t="s">
        <v>109</v>
      </c>
      <c r="K1660" t="s">
        <v>42</v>
      </c>
      <c r="L1660" t="s">
        <v>1288</v>
      </c>
      <c r="N1660" t="s">
        <v>1289</v>
      </c>
      <c r="O1660" t="s">
        <v>6692</v>
      </c>
      <c r="Q1660">
        <v>30886</v>
      </c>
      <c r="R1660" t="s">
        <v>95</v>
      </c>
      <c r="S1660" t="s">
        <v>596</v>
      </c>
      <c r="T1660">
        <v>24</v>
      </c>
      <c r="U1660" s="2" t="s">
        <v>11360</v>
      </c>
      <c r="W1660" t="s">
        <v>1292</v>
      </c>
      <c r="X1660">
        <v>821471</v>
      </c>
      <c r="Y1660" t="s">
        <v>9143</v>
      </c>
      <c r="Z1660" t="e">
        <f ca="1">-COLLECT IQR, system _xludf.Log, _xludf.and ARCHIVE</f>
        <v>#NAME?</v>
      </c>
      <c r="AA1660" t="e">
        <f ca="1">-PERFORM Preventive Maintenance PROCEDURE
-Inspect FAN _xludf.filter, _xludf.Clean plunger rod, cartridge bay, _xludf.and PROBES</f>
        <v>#NAME?</v>
      </c>
      <c r="AB1660" t="s">
        <v>1293</v>
      </c>
      <c r="AC1660" t="s">
        <v>11361</v>
      </c>
      <c r="AG1660" t="s">
        <v>11362</v>
      </c>
      <c r="AH1660" t="s">
        <v>11363</v>
      </c>
      <c r="AI1660" t="s">
        <v>11364</v>
      </c>
    </row>
    <row r="1661" spans="2:35" ht="165">
      <c r="B1661" s="1">
        <v>45806</v>
      </c>
      <c r="C1661" s="1">
        <v>45806</v>
      </c>
      <c r="D1661" t="s">
        <v>11365</v>
      </c>
      <c r="E1661" t="s">
        <v>6250</v>
      </c>
      <c r="F1661">
        <v>7</v>
      </c>
      <c r="G1661" t="s">
        <v>432</v>
      </c>
      <c r="H1661" t="s">
        <v>11366</v>
      </c>
      <c r="I1661" t="s">
        <v>40</v>
      </c>
      <c r="J1661" s="2" t="s">
        <v>62</v>
      </c>
      <c r="K1661" t="s">
        <v>42</v>
      </c>
      <c r="L1661" t="s">
        <v>594</v>
      </c>
      <c r="N1661" t="s">
        <v>595</v>
      </c>
      <c r="O1661" t="s">
        <v>595</v>
      </c>
      <c r="Q1661">
        <v>30885</v>
      </c>
      <c r="R1661" t="s">
        <v>95</v>
      </c>
      <c r="S1661" t="s">
        <v>11367</v>
      </c>
      <c r="T1661">
        <v>24</v>
      </c>
      <c r="W1661" t="s">
        <v>360</v>
      </c>
      <c r="X1661">
        <v>814150</v>
      </c>
      <c r="Y1661" t="s">
        <v>7281</v>
      </c>
      <c r="Z1661" s="2" t="s">
        <v>11368</v>
      </c>
      <c r="AA1661" t="s">
        <v>11369</v>
      </c>
      <c r="AB1661" t="s">
        <v>11370</v>
      </c>
      <c r="AG1661" t="s">
        <v>11371</v>
      </c>
      <c r="AH1661" t="s">
        <v>11372</v>
      </c>
      <c r="AI1661" t="s">
        <v>11373</v>
      </c>
    </row>
    <row r="1662" spans="2:35">
      <c r="B1662" s="1">
        <v>45806</v>
      </c>
      <c r="C1662" s="1">
        <v>45806</v>
      </c>
      <c r="D1662" t="s">
        <v>7209</v>
      </c>
      <c r="E1662" t="s">
        <v>229</v>
      </c>
      <c r="F1662" t="s">
        <v>148</v>
      </c>
      <c r="G1662" t="s">
        <v>230</v>
      </c>
      <c r="H1662" t="s">
        <v>39</v>
      </c>
      <c r="I1662" t="s">
        <v>40</v>
      </c>
      <c r="J1662" t="s">
        <v>109</v>
      </c>
      <c r="K1662" t="s">
        <v>42</v>
      </c>
      <c r="L1662" t="s">
        <v>175</v>
      </c>
      <c r="N1662" t="s">
        <v>176</v>
      </c>
      <c r="Q1662">
        <v>30884</v>
      </c>
      <c r="R1662" t="s">
        <v>967</v>
      </c>
      <c r="S1662" t="s">
        <v>4880</v>
      </c>
      <c r="T1662">
        <v>27</v>
      </c>
      <c r="W1662" t="s">
        <v>373</v>
      </c>
      <c r="X1662">
        <v>120003480</v>
      </c>
      <c r="Y1662" t="s">
        <v>374</v>
      </c>
      <c r="Z1662" t="s">
        <v>103</v>
      </c>
      <c r="AA1662" t="e">
        <f ca="1">- checked _xludf.and cleaned cartridge bay, plunger rod, _xludf.filter, icore slot
- generated reports
- performed self test</f>
        <v>#NAME?</v>
      </c>
      <c r="AB1662" t="s">
        <v>181</v>
      </c>
      <c r="AG1662" t="s">
        <v>11374</v>
      </c>
      <c r="AH1662" t="s">
        <v>11375</v>
      </c>
      <c r="AI1662" t="s">
        <v>11376</v>
      </c>
    </row>
    <row r="1663" spans="2:35" ht="165">
      <c r="B1663" s="1">
        <v>45806</v>
      </c>
      <c r="C1663" s="1">
        <v>45806</v>
      </c>
      <c r="D1663" t="s">
        <v>8570</v>
      </c>
      <c r="E1663" t="s">
        <v>9391</v>
      </c>
      <c r="F1663">
        <v>2</v>
      </c>
      <c r="G1663" t="s">
        <v>2668</v>
      </c>
      <c r="H1663" t="s">
        <v>39</v>
      </c>
      <c r="I1663" t="s">
        <v>40</v>
      </c>
      <c r="J1663" s="2" t="s">
        <v>190</v>
      </c>
      <c r="K1663" t="s">
        <v>42</v>
      </c>
      <c r="L1663" t="s">
        <v>63</v>
      </c>
      <c r="N1663" t="s">
        <v>64</v>
      </c>
      <c r="Q1663">
        <v>30883</v>
      </c>
      <c r="R1663" t="s">
        <v>119</v>
      </c>
      <c r="S1663" t="s">
        <v>9392</v>
      </c>
      <c r="T1663">
        <v>28</v>
      </c>
      <c r="U1663" s="2" t="s">
        <v>9896</v>
      </c>
      <c r="W1663" t="s">
        <v>66</v>
      </c>
      <c r="X1663">
        <v>838521</v>
      </c>
      <c r="Y1663" t="s">
        <v>9394</v>
      </c>
      <c r="Z1663" t="s">
        <v>11377</v>
      </c>
      <c r="AA1663" s="2" t="s">
        <v>1727</v>
      </c>
      <c r="AB1663" t="s">
        <v>70</v>
      </c>
      <c r="AC1663" t="s">
        <v>11378</v>
      </c>
      <c r="AG1663" t="s">
        <v>11379</v>
      </c>
      <c r="AH1663" t="s">
        <v>9397</v>
      </c>
      <c r="AI1663" t="s">
        <v>11380</v>
      </c>
    </row>
    <row r="1664" spans="2:35" ht="315">
      <c r="B1664" s="1">
        <v>45806</v>
      </c>
      <c r="C1664" s="1">
        <v>45806</v>
      </c>
      <c r="D1664" t="s">
        <v>7810</v>
      </c>
      <c r="E1664" t="s">
        <v>11381</v>
      </c>
      <c r="F1664">
        <v>11</v>
      </c>
      <c r="G1664" t="s">
        <v>1205</v>
      </c>
      <c r="H1664" t="s">
        <v>202</v>
      </c>
      <c r="I1664" t="s">
        <v>40</v>
      </c>
      <c r="J1664" t="s">
        <v>109</v>
      </c>
      <c r="K1664" t="s">
        <v>42</v>
      </c>
      <c r="L1664" t="s">
        <v>204</v>
      </c>
      <c r="N1664" t="s">
        <v>205</v>
      </c>
      <c r="Q1664">
        <v>30882</v>
      </c>
      <c r="R1664" t="s">
        <v>119</v>
      </c>
      <c r="S1664" t="s">
        <v>7812</v>
      </c>
      <c r="T1664">
        <v>27.5</v>
      </c>
      <c r="U1664" s="2" t="s">
        <v>11382</v>
      </c>
      <c r="W1664" t="s">
        <v>208</v>
      </c>
      <c r="X1664">
        <v>838232</v>
      </c>
      <c r="Y1664" t="s">
        <v>1052</v>
      </c>
      <c r="Z1664" s="2" t="s">
        <v>1321</v>
      </c>
      <c r="AA1664" t="s">
        <v>2551</v>
      </c>
      <c r="AB1664" t="s">
        <v>1211</v>
      </c>
      <c r="AG1664" t="s">
        <v>11383</v>
      </c>
      <c r="AH1664" t="s">
        <v>7816</v>
      </c>
      <c r="AI1664" t="s">
        <v>11384</v>
      </c>
    </row>
    <row r="1665" spans="2:35" ht="105">
      <c r="B1665" s="1">
        <v>45806</v>
      </c>
      <c r="C1665" s="1">
        <v>45806</v>
      </c>
      <c r="D1665" t="s">
        <v>9702</v>
      </c>
      <c r="E1665" t="s">
        <v>11385</v>
      </c>
      <c r="F1665" t="s">
        <v>1255</v>
      </c>
      <c r="G1665" t="s">
        <v>3346</v>
      </c>
      <c r="H1665" t="s">
        <v>39</v>
      </c>
      <c r="I1665" t="s">
        <v>40</v>
      </c>
      <c r="J1665" s="2" t="s">
        <v>1309</v>
      </c>
      <c r="K1665" t="s">
        <v>42</v>
      </c>
      <c r="L1665" t="s">
        <v>1257</v>
      </c>
      <c r="N1665" t="s">
        <v>1258</v>
      </c>
      <c r="O1665" t="s">
        <v>1258</v>
      </c>
      <c r="Q1665">
        <v>30881</v>
      </c>
      <c r="R1665" t="s">
        <v>119</v>
      </c>
      <c r="S1665" t="s">
        <v>6727</v>
      </c>
      <c r="T1665">
        <v>28</v>
      </c>
      <c r="U1665" s="2" t="s">
        <v>6728</v>
      </c>
      <c r="V1665" s="1">
        <v>45806</v>
      </c>
      <c r="W1665" t="s">
        <v>2384</v>
      </c>
      <c r="X1665">
        <v>838835</v>
      </c>
      <c r="Y1665" t="s">
        <v>11386</v>
      </c>
      <c r="Z1665" t="s">
        <v>11387</v>
      </c>
      <c r="AA1665" t="s">
        <v>11387</v>
      </c>
      <c r="AB1665" t="s">
        <v>11388</v>
      </c>
      <c r="AC1665" t="s">
        <v>301</v>
      </c>
      <c r="AD1665" t="s">
        <v>54</v>
      </c>
      <c r="AE1665" t="s">
        <v>54</v>
      </c>
      <c r="AG1665" t="s">
        <v>11389</v>
      </c>
      <c r="AH1665" t="s">
        <v>9709</v>
      </c>
      <c r="AI1665" t="s">
        <v>11390</v>
      </c>
    </row>
    <row r="1666" spans="2:35" ht="360">
      <c r="B1666" s="1">
        <v>45806</v>
      </c>
      <c r="C1666" s="1">
        <v>45806</v>
      </c>
      <c r="D1666" t="s">
        <v>2620</v>
      </c>
      <c r="E1666" t="s">
        <v>9351</v>
      </c>
      <c r="F1666">
        <v>1</v>
      </c>
      <c r="G1666" t="s">
        <v>1046</v>
      </c>
      <c r="H1666" t="s">
        <v>39</v>
      </c>
      <c r="I1666" t="s">
        <v>40</v>
      </c>
      <c r="J1666" t="s">
        <v>109</v>
      </c>
      <c r="K1666" t="s">
        <v>42</v>
      </c>
      <c r="L1666" t="s">
        <v>135</v>
      </c>
      <c r="N1666" t="s">
        <v>136</v>
      </c>
      <c r="Q1666">
        <v>30880</v>
      </c>
      <c r="R1666" t="s">
        <v>967</v>
      </c>
      <c r="S1666" t="s">
        <v>2622</v>
      </c>
      <c r="T1666">
        <v>27</v>
      </c>
      <c r="U1666" s="2" t="s">
        <v>11391</v>
      </c>
      <c r="W1666" t="s">
        <v>3335</v>
      </c>
      <c r="X1666">
        <v>110023501</v>
      </c>
      <c r="Y1666" t="s">
        <v>7229</v>
      </c>
      <c r="Z1666" t="s">
        <v>4315</v>
      </c>
      <c r="AA1666" s="2" t="s">
        <v>4316</v>
      </c>
      <c r="AB1666" t="s">
        <v>181</v>
      </c>
      <c r="AG1666" t="s">
        <v>11392</v>
      </c>
      <c r="AH1666" t="s">
        <v>11393</v>
      </c>
      <c r="AI1666" t="s">
        <v>11394</v>
      </c>
    </row>
    <row r="1667" spans="2:35" ht="105">
      <c r="B1667" s="1">
        <v>45806</v>
      </c>
      <c r="C1667" s="1">
        <v>45806</v>
      </c>
      <c r="D1667" t="s">
        <v>11395</v>
      </c>
      <c r="E1667" t="s">
        <v>11396</v>
      </c>
      <c r="F1667">
        <v>2</v>
      </c>
      <c r="G1667" t="s">
        <v>2668</v>
      </c>
      <c r="H1667" t="s">
        <v>39</v>
      </c>
      <c r="I1667" t="s">
        <v>40</v>
      </c>
      <c r="J1667" t="s">
        <v>109</v>
      </c>
      <c r="K1667" t="s">
        <v>42</v>
      </c>
      <c r="L1667" t="s">
        <v>63</v>
      </c>
      <c r="N1667" t="s">
        <v>64</v>
      </c>
      <c r="Q1667">
        <v>30879</v>
      </c>
      <c r="R1667" t="s">
        <v>322</v>
      </c>
      <c r="S1667" t="s">
        <v>11397</v>
      </c>
      <c r="T1667">
        <v>24</v>
      </c>
      <c r="U1667" s="2" t="s">
        <v>11398</v>
      </c>
      <c r="W1667" t="s">
        <v>66</v>
      </c>
      <c r="X1667">
        <v>110013709</v>
      </c>
      <c r="Y1667" t="s">
        <v>2692</v>
      </c>
      <c r="Z1667" t="s">
        <v>10275</v>
      </c>
      <c r="AA1667" s="2" t="s">
        <v>7015</v>
      </c>
      <c r="AB1667" t="s">
        <v>70</v>
      </c>
      <c r="AG1667" t="s">
        <v>11399</v>
      </c>
      <c r="AH1667" t="s">
        <v>11400</v>
      </c>
      <c r="AI1667" t="s">
        <v>11401</v>
      </c>
    </row>
    <row r="1668" spans="2:35" ht="105">
      <c r="B1668" s="1">
        <v>45806</v>
      </c>
      <c r="C1668" s="1">
        <v>45806</v>
      </c>
      <c r="D1668" t="s">
        <v>11402</v>
      </c>
      <c r="E1668" t="s">
        <v>11403</v>
      </c>
      <c r="F1668">
        <v>2</v>
      </c>
      <c r="G1668" t="s">
        <v>2668</v>
      </c>
      <c r="H1668" t="s">
        <v>39</v>
      </c>
      <c r="I1668" t="s">
        <v>40</v>
      </c>
      <c r="J1668" t="s">
        <v>109</v>
      </c>
      <c r="K1668" t="s">
        <v>42</v>
      </c>
      <c r="L1668" t="s">
        <v>63</v>
      </c>
      <c r="N1668" t="s">
        <v>64</v>
      </c>
      <c r="Q1668">
        <v>30878</v>
      </c>
      <c r="R1668" t="s">
        <v>119</v>
      </c>
      <c r="S1668" t="s">
        <v>11404</v>
      </c>
      <c r="T1668">
        <v>28</v>
      </c>
      <c r="U1668" s="2" t="s">
        <v>11405</v>
      </c>
      <c r="W1668" t="s">
        <v>66</v>
      </c>
      <c r="X1668">
        <v>838208</v>
      </c>
      <c r="Y1668" t="s">
        <v>2692</v>
      </c>
      <c r="Z1668" t="s">
        <v>10275</v>
      </c>
      <c r="AA1668" s="2" t="s">
        <v>7015</v>
      </c>
      <c r="AB1668" t="s">
        <v>70</v>
      </c>
      <c r="AG1668" t="s">
        <v>11406</v>
      </c>
      <c r="AH1668" t="s">
        <v>11407</v>
      </c>
      <c r="AI1668" t="s">
        <v>11408</v>
      </c>
    </row>
    <row r="1669" spans="2:35" ht="360">
      <c r="B1669" s="1">
        <v>45806</v>
      </c>
      <c r="C1669" s="1">
        <v>45806</v>
      </c>
      <c r="D1669" t="s">
        <v>9342</v>
      </c>
      <c r="E1669" t="s">
        <v>9343</v>
      </c>
      <c r="F1669">
        <v>1</v>
      </c>
      <c r="G1669" t="s">
        <v>1046</v>
      </c>
      <c r="H1669" t="s">
        <v>39</v>
      </c>
      <c r="I1669" t="s">
        <v>40</v>
      </c>
      <c r="J1669" t="s">
        <v>109</v>
      </c>
      <c r="K1669" t="s">
        <v>42</v>
      </c>
      <c r="L1669" t="s">
        <v>135</v>
      </c>
      <c r="N1669" t="s">
        <v>136</v>
      </c>
      <c r="Q1669">
        <v>30877</v>
      </c>
      <c r="R1669" t="s">
        <v>119</v>
      </c>
      <c r="S1669" t="s">
        <v>9344</v>
      </c>
      <c r="T1669">
        <v>30</v>
      </c>
      <c r="U1669" s="2" t="s">
        <v>11409</v>
      </c>
      <c r="W1669" t="s">
        <v>138</v>
      </c>
      <c r="X1669">
        <v>838287</v>
      </c>
      <c r="Y1669" t="s">
        <v>9315</v>
      </c>
      <c r="Z1669" t="s">
        <v>4315</v>
      </c>
      <c r="AA1669" s="2" t="s">
        <v>4316</v>
      </c>
      <c r="AB1669" t="s">
        <v>181</v>
      </c>
      <c r="AG1669" t="s">
        <v>11410</v>
      </c>
      <c r="AH1669" t="s">
        <v>9349</v>
      </c>
      <c r="AI1669" t="s">
        <v>11411</v>
      </c>
    </row>
    <row r="1670" spans="2:35" ht="165">
      <c r="B1670" s="1">
        <v>45806</v>
      </c>
      <c r="C1670" s="1">
        <v>45806</v>
      </c>
      <c r="D1670" t="s">
        <v>11412</v>
      </c>
      <c r="E1670" t="s">
        <v>11413</v>
      </c>
      <c r="F1670">
        <v>2</v>
      </c>
      <c r="G1670" t="s">
        <v>2668</v>
      </c>
      <c r="H1670" t="s">
        <v>39</v>
      </c>
      <c r="I1670" t="s">
        <v>40</v>
      </c>
      <c r="J1670" s="2" t="s">
        <v>41</v>
      </c>
      <c r="K1670" t="s">
        <v>42</v>
      </c>
      <c r="L1670" t="s">
        <v>63</v>
      </c>
      <c r="N1670" t="s">
        <v>64</v>
      </c>
      <c r="Q1670">
        <v>30876</v>
      </c>
      <c r="R1670" t="s">
        <v>322</v>
      </c>
      <c r="S1670" t="s">
        <v>11414</v>
      </c>
      <c r="T1670">
        <v>28</v>
      </c>
      <c r="U1670" s="2" t="s">
        <v>1509</v>
      </c>
      <c r="V1670" s="1">
        <v>45803</v>
      </c>
      <c r="W1670" t="s">
        <v>373</v>
      </c>
      <c r="X1670">
        <v>110024248</v>
      </c>
      <c r="Y1670" t="s">
        <v>11415</v>
      </c>
      <c r="Z1670" s="2" t="s">
        <v>11416</v>
      </c>
      <c r="AA1670" s="2" t="s">
        <v>1727</v>
      </c>
      <c r="AB1670" t="s">
        <v>70</v>
      </c>
      <c r="AD1670" t="s">
        <v>6397</v>
      </c>
      <c r="AE1670">
        <v>13042</v>
      </c>
      <c r="AG1670" t="s">
        <v>11417</v>
      </c>
      <c r="AH1670" t="s">
        <v>11418</v>
      </c>
      <c r="AI1670" t="s">
        <v>11419</v>
      </c>
    </row>
    <row r="1671" spans="2:35" ht="360">
      <c r="B1671" s="1">
        <v>45806</v>
      </c>
      <c r="C1671" s="1">
        <v>45806</v>
      </c>
      <c r="D1671" t="s">
        <v>7038</v>
      </c>
      <c r="E1671" t="s">
        <v>7318</v>
      </c>
      <c r="F1671">
        <v>1</v>
      </c>
      <c r="G1671" t="s">
        <v>1046</v>
      </c>
      <c r="H1671" t="s">
        <v>39</v>
      </c>
      <c r="I1671" t="s">
        <v>40</v>
      </c>
      <c r="J1671" t="s">
        <v>109</v>
      </c>
      <c r="K1671" t="s">
        <v>42</v>
      </c>
      <c r="L1671" t="s">
        <v>135</v>
      </c>
      <c r="N1671" t="s">
        <v>136</v>
      </c>
      <c r="Q1671">
        <v>30875</v>
      </c>
      <c r="R1671" t="s">
        <v>119</v>
      </c>
      <c r="S1671" t="s">
        <v>7040</v>
      </c>
      <c r="T1671">
        <v>30</v>
      </c>
      <c r="U1671" s="2" t="s">
        <v>11420</v>
      </c>
      <c r="W1671" t="s">
        <v>2680</v>
      </c>
      <c r="X1671">
        <v>838278</v>
      </c>
      <c r="Y1671" t="s">
        <v>9315</v>
      </c>
      <c r="Z1671" t="s">
        <v>4315</v>
      </c>
      <c r="AA1671" s="2" t="s">
        <v>4316</v>
      </c>
      <c r="AB1671" t="s">
        <v>181</v>
      </c>
      <c r="AG1671" t="s">
        <v>11421</v>
      </c>
      <c r="AH1671" t="s">
        <v>11422</v>
      </c>
      <c r="AI1671" t="s">
        <v>11423</v>
      </c>
    </row>
    <row r="1672" spans="2:35" ht="105">
      <c r="B1672" s="1">
        <v>45805</v>
      </c>
      <c r="C1672" s="1">
        <v>45805</v>
      </c>
      <c r="D1672" t="s">
        <v>5199</v>
      </c>
      <c r="E1672" t="s">
        <v>5200</v>
      </c>
      <c r="F1672">
        <v>2</v>
      </c>
      <c r="G1672" t="s">
        <v>2723</v>
      </c>
      <c r="H1672" t="s">
        <v>39</v>
      </c>
      <c r="I1672" t="s">
        <v>40</v>
      </c>
      <c r="J1672" t="s">
        <v>109</v>
      </c>
      <c r="K1672" t="s">
        <v>42</v>
      </c>
      <c r="L1672" t="s">
        <v>63</v>
      </c>
      <c r="N1672" t="s">
        <v>64</v>
      </c>
      <c r="Q1672">
        <v>30874</v>
      </c>
      <c r="R1672" t="s">
        <v>967</v>
      </c>
      <c r="S1672" t="s">
        <v>7116</v>
      </c>
      <c r="T1672">
        <v>29</v>
      </c>
      <c r="U1672" s="2" t="s">
        <v>11424</v>
      </c>
      <c r="W1672" t="s">
        <v>373</v>
      </c>
      <c r="X1672">
        <v>110023503</v>
      </c>
      <c r="Y1672" t="s">
        <v>2692</v>
      </c>
      <c r="Z1672" t="s">
        <v>10275</v>
      </c>
      <c r="AA1672" s="2" t="s">
        <v>7015</v>
      </c>
      <c r="AB1672" t="s">
        <v>70</v>
      </c>
      <c r="AG1672" t="s">
        <v>11425</v>
      </c>
      <c r="AH1672" t="s">
        <v>11426</v>
      </c>
      <c r="AI1672" t="s">
        <v>11427</v>
      </c>
    </row>
    <row r="1673" spans="2:35" ht="315">
      <c r="B1673" s="1">
        <v>45805</v>
      </c>
      <c r="C1673" s="1">
        <v>45805</v>
      </c>
      <c r="D1673" t="s">
        <v>7743</v>
      </c>
      <c r="E1673" t="s">
        <v>11428</v>
      </c>
      <c r="F1673">
        <v>11</v>
      </c>
      <c r="G1673" t="s">
        <v>1205</v>
      </c>
      <c r="H1673" t="s">
        <v>202</v>
      </c>
      <c r="I1673" t="s">
        <v>40</v>
      </c>
      <c r="J1673" t="s">
        <v>109</v>
      </c>
      <c r="K1673" t="s">
        <v>42</v>
      </c>
      <c r="L1673" t="s">
        <v>204</v>
      </c>
      <c r="N1673" t="s">
        <v>205</v>
      </c>
      <c r="Q1673">
        <v>30873</v>
      </c>
      <c r="R1673" t="s">
        <v>119</v>
      </c>
      <c r="S1673" t="s">
        <v>7745</v>
      </c>
      <c r="T1673">
        <v>25.4</v>
      </c>
      <c r="U1673" s="2" t="s">
        <v>11429</v>
      </c>
      <c r="W1673" t="s">
        <v>208</v>
      </c>
      <c r="X1673">
        <v>838492</v>
      </c>
      <c r="Y1673" t="s">
        <v>1052</v>
      </c>
      <c r="Z1673" s="2" t="s">
        <v>1321</v>
      </c>
      <c r="AA1673" t="s">
        <v>2551</v>
      </c>
      <c r="AB1673" t="s">
        <v>1211</v>
      </c>
      <c r="AG1673" t="s">
        <v>11430</v>
      </c>
      <c r="AH1673" t="s">
        <v>11431</v>
      </c>
      <c r="AI1673" t="s">
        <v>11432</v>
      </c>
    </row>
    <row r="1674" spans="2:35" ht="105">
      <c r="B1674" s="1">
        <v>45805</v>
      </c>
      <c r="C1674" s="1">
        <v>45805</v>
      </c>
      <c r="D1674" t="s">
        <v>1496</v>
      </c>
      <c r="E1674" t="s">
        <v>1497</v>
      </c>
      <c r="F1674">
        <v>8</v>
      </c>
      <c r="G1674" t="s">
        <v>342</v>
      </c>
      <c r="H1674" t="s">
        <v>11433</v>
      </c>
      <c r="I1674" t="s">
        <v>40</v>
      </c>
      <c r="J1674" t="s">
        <v>109</v>
      </c>
      <c r="K1674" t="s">
        <v>42</v>
      </c>
      <c r="L1674" t="s">
        <v>343</v>
      </c>
      <c r="N1674" t="s">
        <v>344</v>
      </c>
      <c r="Q1674">
        <v>30872</v>
      </c>
      <c r="R1674" t="s">
        <v>119</v>
      </c>
      <c r="S1674" t="s">
        <v>7820</v>
      </c>
      <c r="T1674">
        <v>27</v>
      </c>
      <c r="U1674" s="2" t="s">
        <v>11434</v>
      </c>
      <c r="W1674" t="s">
        <v>1501</v>
      </c>
      <c r="X1674">
        <v>838297</v>
      </c>
      <c r="Y1674" t="s">
        <v>301</v>
      </c>
      <c r="Z1674" t="s">
        <v>301</v>
      </c>
      <c r="AA1674" t="e">
        <f ca="1">-Preventive Maintenance
-COLLECT Data cvs format</f>
        <v>#NAME?</v>
      </c>
      <c r="AB1674" t="s">
        <v>11435</v>
      </c>
      <c r="AG1674" t="s">
        <v>11436</v>
      </c>
      <c r="AH1674" t="s">
        <v>7824</v>
      </c>
      <c r="AI1674" t="s">
        <v>11437</v>
      </c>
    </row>
    <row r="1675" spans="2:35" ht="165">
      <c r="B1675" s="1">
        <v>45805</v>
      </c>
      <c r="C1675" s="1">
        <v>45805</v>
      </c>
      <c r="D1675" t="s">
        <v>9427</v>
      </c>
      <c r="E1675" t="s">
        <v>11438</v>
      </c>
      <c r="F1675">
        <v>2</v>
      </c>
      <c r="G1675" t="s">
        <v>2723</v>
      </c>
      <c r="H1675" t="s">
        <v>39</v>
      </c>
      <c r="I1675" t="s">
        <v>40</v>
      </c>
      <c r="J1675" s="2" t="s">
        <v>1592</v>
      </c>
      <c r="K1675" t="s">
        <v>42</v>
      </c>
      <c r="L1675" t="s">
        <v>63</v>
      </c>
      <c r="N1675" t="s">
        <v>64</v>
      </c>
      <c r="Q1675">
        <v>30871</v>
      </c>
      <c r="R1675" t="s">
        <v>119</v>
      </c>
      <c r="S1675" t="s">
        <v>9429</v>
      </c>
      <c r="T1675">
        <v>26</v>
      </c>
      <c r="U1675" s="2" t="s">
        <v>11439</v>
      </c>
      <c r="W1675" t="s">
        <v>66</v>
      </c>
      <c r="X1675">
        <v>838530</v>
      </c>
      <c r="Y1675" t="s">
        <v>11440</v>
      </c>
      <c r="Z1675" s="2" t="s">
        <v>11441</v>
      </c>
      <c r="AA1675" s="2" t="s">
        <v>1727</v>
      </c>
      <c r="AB1675" t="s">
        <v>70</v>
      </c>
      <c r="AG1675" t="s">
        <v>11442</v>
      </c>
      <c r="AH1675" t="s">
        <v>11443</v>
      </c>
      <c r="AI1675" t="s">
        <v>11444</v>
      </c>
    </row>
    <row r="1676" spans="2:35" ht="409.5">
      <c r="B1676" s="1">
        <v>45805</v>
      </c>
      <c r="C1676" s="1">
        <v>45805</v>
      </c>
      <c r="D1676" t="s">
        <v>11445</v>
      </c>
      <c r="E1676" t="s">
        <v>11446</v>
      </c>
      <c r="F1676">
        <v>6</v>
      </c>
      <c r="G1676" t="s">
        <v>1234</v>
      </c>
      <c r="H1676" t="s">
        <v>10969</v>
      </c>
      <c r="I1676" t="s">
        <v>40</v>
      </c>
      <c r="J1676" s="2" t="s">
        <v>62</v>
      </c>
      <c r="K1676" t="s">
        <v>42</v>
      </c>
      <c r="L1676" t="s">
        <v>1288</v>
      </c>
      <c r="N1676" t="s">
        <v>1289</v>
      </c>
      <c r="O1676" t="s">
        <v>11447</v>
      </c>
      <c r="Q1676">
        <v>30870</v>
      </c>
      <c r="R1676" t="s">
        <v>95</v>
      </c>
      <c r="S1676" t="s">
        <v>11448</v>
      </c>
      <c r="T1676">
        <v>20</v>
      </c>
      <c r="U1676" s="2" t="s">
        <v>11449</v>
      </c>
      <c r="W1676" t="s">
        <v>1292</v>
      </c>
      <c r="X1676">
        <v>110005268</v>
      </c>
      <c r="Y1676" t="e">
        <f ca="1">-module B3 &amp; module B4 _xludf.For CALIBRATION</f>
        <v>#NAME?</v>
      </c>
      <c r="Z1676" t="e">
        <f ca="1">-COLLECT IQR,system _xludf.Log, ARCHIVE, _xludf.and CALIBRATION Data</f>
        <v>#NAME?</v>
      </c>
      <c r="AA1676" t="e">
        <f ca="1">-PERFORM Preventive Maintenance PROCEDURE
-_xludf.Clean GX workstation _xludf.and PERFORM PRE-CALIBRATION PROCEDURE
-PERFORM XpertCheck CALIBRATION, module B3 &amp; B4 _xludf.For service</f>
        <v>#NAME?</v>
      </c>
      <c r="AB1676" t="e">
        <f ca="1">-module B1, module B2 disabled
-module B3 H/W Failed, service required
-module B4 Retry THEN _xludf.For service</f>
        <v>#NAME?</v>
      </c>
      <c r="AC1676" t="s">
        <v>11450</v>
      </c>
      <c r="AG1676" t="s">
        <v>11451</v>
      </c>
      <c r="AH1676" t="s">
        <v>11452</v>
      </c>
      <c r="AI1676" t="s">
        <v>11453</v>
      </c>
    </row>
    <row r="1677" spans="2:35" ht="375">
      <c r="B1677" s="1">
        <v>45805</v>
      </c>
      <c r="C1677" s="1">
        <v>45804</v>
      </c>
      <c r="D1677" t="s">
        <v>660</v>
      </c>
      <c r="E1677" t="s">
        <v>2569</v>
      </c>
      <c r="F1677" t="s">
        <v>148</v>
      </c>
      <c r="G1677" t="s">
        <v>447</v>
      </c>
      <c r="H1677" t="s">
        <v>4614</v>
      </c>
      <c r="I1677" t="s">
        <v>40</v>
      </c>
      <c r="J1677" t="s">
        <v>525</v>
      </c>
      <c r="K1677" t="s">
        <v>387</v>
      </c>
      <c r="L1677" t="s">
        <v>448</v>
      </c>
      <c r="N1677" t="s">
        <v>650</v>
      </c>
      <c r="O1677" t="s">
        <v>663</v>
      </c>
      <c r="Q1677">
        <v>30869</v>
      </c>
      <c r="R1677" t="s">
        <v>322</v>
      </c>
      <c r="S1677" t="s">
        <v>9610</v>
      </c>
      <c r="T1677">
        <v>26</v>
      </c>
      <c r="W1677" t="s">
        <v>476</v>
      </c>
      <c r="X1677" t="s">
        <v>5906</v>
      </c>
      <c r="Y1677" s="2" t="s">
        <v>11454</v>
      </c>
      <c r="Z1677" s="2" t="s">
        <v>11455</v>
      </c>
      <c r="AA1677" t="s">
        <v>768</v>
      </c>
      <c r="AB1677" s="2" t="s">
        <v>11456</v>
      </c>
      <c r="AG1677" t="s">
        <v>11457</v>
      </c>
      <c r="AH1677" t="s">
        <v>9614</v>
      </c>
      <c r="AI1677" t="s">
        <v>11458</v>
      </c>
    </row>
    <row r="1678" spans="2:35" ht="120">
      <c r="B1678" s="1">
        <v>45805</v>
      </c>
      <c r="C1678" s="1">
        <v>45804</v>
      </c>
      <c r="D1678" t="s">
        <v>2176</v>
      </c>
      <c r="E1678" t="s">
        <v>2580</v>
      </c>
      <c r="F1678" t="s">
        <v>148</v>
      </c>
      <c r="G1678" t="s">
        <v>447</v>
      </c>
      <c r="H1678" t="s">
        <v>386</v>
      </c>
      <c r="I1678" t="s">
        <v>40</v>
      </c>
      <c r="J1678" t="s">
        <v>525</v>
      </c>
      <c r="K1678" t="s">
        <v>42</v>
      </c>
      <c r="L1678" t="s">
        <v>448</v>
      </c>
      <c r="N1678" t="s">
        <v>450</v>
      </c>
      <c r="O1678" t="s">
        <v>4140</v>
      </c>
      <c r="Q1678">
        <v>30868</v>
      </c>
      <c r="R1678" t="s">
        <v>322</v>
      </c>
      <c r="S1678" t="s">
        <v>2179</v>
      </c>
      <c r="T1678">
        <v>28</v>
      </c>
      <c r="W1678" t="s">
        <v>476</v>
      </c>
      <c r="X1678" t="s">
        <v>4142</v>
      </c>
      <c r="Y1678" t="s">
        <v>11459</v>
      </c>
      <c r="Z1678" s="2" t="s">
        <v>11460</v>
      </c>
      <c r="AA1678" t="s">
        <v>768</v>
      </c>
      <c r="AB1678" t="s">
        <v>11461</v>
      </c>
      <c r="AG1678" t="s">
        <v>11462</v>
      </c>
      <c r="AH1678" t="s">
        <v>11463</v>
      </c>
      <c r="AI1678" t="s">
        <v>11464</v>
      </c>
    </row>
    <row r="1679" spans="2:35" ht="105">
      <c r="B1679" s="1">
        <v>45804</v>
      </c>
      <c r="C1679" s="1">
        <v>45804</v>
      </c>
      <c r="D1679" t="s">
        <v>8684</v>
      </c>
      <c r="E1679" t="s">
        <v>8685</v>
      </c>
      <c r="F1679">
        <v>5</v>
      </c>
      <c r="G1679" t="s">
        <v>814</v>
      </c>
      <c r="H1679" t="s">
        <v>39</v>
      </c>
      <c r="I1679" t="s">
        <v>94</v>
      </c>
      <c r="J1679" t="s">
        <v>109</v>
      </c>
      <c r="K1679" t="s">
        <v>42</v>
      </c>
      <c r="L1679" t="s">
        <v>761</v>
      </c>
      <c r="N1679" t="s">
        <v>762</v>
      </c>
      <c r="Q1679">
        <v>30867</v>
      </c>
      <c r="R1679" t="s">
        <v>119</v>
      </c>
      <c r="S1679" t="s">
        <v>8687</v>
      </c>
      <c r="T1679">
        <v>25</v>
      </c>
      <c r="U1679" s="2" t="s">
        <v>11465</v>
      </c>
      <c r="W1679" t="s">
        <v>765</v>
      </c>
      <c r="X1679">
        <v>838266</v>
      </c>
      <c r="Y1679" t="s">
        <v>818</v>
      </c>
      <c r="Z1679" s="2" t="s">
        <v>1415</v>
      </c>
      <c r="AA1679" t="s">
        <v>820</v>
      </c>
      <c r="AB1679" t="s">
        <v>70</v>
      </c>
      <c r="AG1679" t="s">
        <v>11466</v>
      </c>
      <c r="AH1679" t="s">
        <v>11467</v>
      </c>
      <c r="AI1679" t="s">
        <v>11468</v>
      </c>
    </row>
    <row r="1680" spans="2:35" ht="409.5">
      <c r="B1680" s="1">
        <v>45804</v>
      </c>
      <c r="C1680" s="1">
        <v>45804</v>
      </c>
      <c r="D1680" t="s">
        <v>8440</v>
      </c>
      <c r="E1680" t="s">
        <v>8441</v>
      </c>
      <c r="F1680">
        <v>3</v>
      </c>
      <c r="G1680" t="s">
        <v>730</v>
      </c>
      <c r="H1680" t="s">
        <v>39</v>
      </c>
      <c r="I1680" t="s">
        <v>40</v>
      </c>
      <c r="J1680" t="s">
        <v>109</v>
      </c>
      <c r="K1680" t="s">
        <v>42</v>
      </c>
      <c r="L1680" t="s">
        <v>135</v>
      </c>
      <c r="N1680" t="s">
        <v>136</v>
      </c>
      <c r="O1680" t="s">
        <v>9097</v>
      </c>
      <c r="Q1680">
        <v>30866</v>
      </c>
      <c r="R1680" t="s">
        <v>95</v>
      </c>
      <c r="S1680" t="s">
        <v>8442</v>
      </c>
      <c r="T1680">
        <v>25</v>
      </c>
      <c r="U1680" s="2" t="s">
        <v>11469</v>
      </c>
      <c r="W1680" t="s">
        <v>138</v>
      </c>
      <c r="X1680">
        <v>839235</v>
      </c>
      <c r="Y1680" t="s">
        <v>7229</v>
      </c>
      <c r="Z1680" t="s">
        <v>4315</v>
      </c>
      <c r="AA1680" s="2" t="s">
        <v>4316</v>
      </c>
      <c r="AB1680" t="s">
        <v>11470</v>
      </c>
      <c r="AG1680" t="s">
        <v>11471</v>
      </c>
      <c r="AH1680" t="s">
        <v>11472</v>
      </c>
      <c r="AI1680" t="s">
        <v>11473</v>
      </c>
    </row>
    <row r="1681" spans="2:35" ht="225">
      <c r="B1681" s="1">
        <v>45804</v>
      </c>
      <c r="C1681" s="1">
        <v>45804</v>
      </c>
      <c r="D1681" t="s">
        <v>11474</v>
      </c>
      <c r="E1681" t="s">
        <v>11475</v>
      </c>
      <c r="F1681">
        <v>6</v>
      </c>
      <c r="G1681" t="s">
        <v>1234</v>
      </c>
      <c r="H1681" t="s">
        <v>258</v>
      </c>
      <c r="I1681" t="s">
        <v>40</v>
      </c>
      <c r="J1681" s="2" t="s">
        <v>41</v>
      </c>
      <c r="K1681" t="s">
        <v>42</v>
      </c>
      <c r="L1681" t="s">
        <v>270</v>
      </c>
      <c r="N1681" t="s">
        <v>2481</v>
      </c>
      <c r="Q1681">
        <v>30865</v>
      </c>
      <c r="R1681" t="s">
        <v>119</v>
      </c>
      <c r="S1681" t="s">
        <v>11476</v>
      </c>
      <c r="T1681">
        <v>25</v>
      </c>
      <c r="U1681" s="2" t="s">
        <v>11477</v>
      </c>
      <c r="W1681" t="s">
        <v>666</v>
      </c>
      <c r="X1681">
        <v>838483</v>
      </c>
      <c r="Y1681" t="s">
        <v>11478</v>
      </c>
      <c r="Z1681" t="s">
        <v>3128</v>
      </c>
      <c r="AA1681" s="2" t="s">
        <v>11479</v>
      </c>
      <c r="AB1681" s="2" t="s">
        <v>11480</v>
      </c>
      <c r="AG1681" t="s">
        <v>11481</v>
      </c>
      <c r="AH1681" t="s">
        <v>11482</v>
      </c>
      <c r="AI1681" t="s">
        <v>11483</v>
      </c>
    </row>
    <row r="1682" spans="2:35" ht="330">
      <c r="B1682" s="1">
        <v>45804</v>
      </c>
      <c r="C1682" s="1">
        <v>45804</v>
      </c>
      <c r="D1682" t="s">
        <v>11484</v>
      </c>
      <c r="E1682" t="s">
        <v>11485</v>
      </c>
      <c r="F1682">
        <v>9</v>
      </c>
      <c r="G1682" t="s">
        <v>2197</v>
      </c>
      <c r="H1682" t="s">
        <v>39</v>
      </c>
      <c r="I1682" t="s">
        <v>40</v>
      </c>
      <c r="J1682" s="2" t="s">
        <v>2223</v>
      </c>
      <c r="K1682" t="s">
        <v>42</v>
      </c>
      <c r="L1682" t="s">
        <v>1257</v>
      </c>
      <c r="N1682" t="s">
        <v>1258</v>
      </c>
      <c r="O1682" t="s">
        <v>1258</v>
      </c>
      <c r="Q1682">
        <v>30864</v>
      </c>
      <c r="R1682" t="s">
        <v>119</v>
      </c>
      <c r="S1682" t="s">
        <v>4902</v>
      </c>
      <c r="T1682">
        <v>28</v>
      </c>
      <c r="U1682" s="2" t="s">
        <v>11486</v>
      </c>
      <c r="V1682" s="1">
        <v>45804</v>
      </c>
      <c r="W1682" t="s">
        <v>2384</v>
      </c>
      <c r="X1682">
        <v>834128</v>
      </c>
      <c r="Y1682" t="s">
        <v>301</v>
      </c>
      <c r="Z1682" t="s">
        <v>7410</v>
      </c>
      <c r="AA1682" t="s">
        <v>7410</v>
      </c>
      <c r="AB1682" t="s">
        <v>11487</v>
      </c>
      <c r="AC1682" t="s">
        <v>301</v>
      </c>
      <c r="AD1682" t="s">
        <v>54</v>
      </c>
      <c r="AE1682" t="s">
        <v>54</v>
      </c>
      <c r="AG1682" t="s">
        <v>11488</v>
      </c>
      <c r="AH1682" t="s">
        <v>11489</v>
      </c>
      <c r="AI1682" t="s">
        <v>11490</v>
      </c>
    </row>
    <row r="1683" spans="2:35" ht="120">
      <c r="B1683" s="1">
        <v>45804</v>
      </c>
      <c r="C1683" s="1">
        <v>45804</v>
      </c>
      <c r="D1683" t="s">
        <v>4654</v>
      </c>
      <c r="E1683" t="s">
        <v>4655</v>
      </c>
      <c r="F1683">
        <v>10</v>
      </c>
      <c r="G1683" t="s">
        <v>1395</v>
      </c>
      <c r="H1683" t="s">
        <v>2138</v>
      </c>
      <c r="I1683" t="s">
        <v>40</v>
      </c>
      <c r="J1683" t="s">
        <v>79</v>
      </c>
      <c r="K1683" t="s">
        <v>387</v>
      </c>
      <c r="L1683" t="s">
        <v>933</v>
      </c>
      <c r="N1683" t="s">
        <v>934</v>
      </c>
      <c r="Q1683">
        <v>30863</v>
      </c>
      <c r="R1683" t="s">
        <v>95</v>
      </c>
      <c r="S1683" t="s">
        <v>11491</v>
      </c>
      <c r="T1683">
        <v>27</v>
      </c>
      <c r="W1683" t="s">
        <v>390</v>
      </c>
      <c r="X1683" t="s">
        <v>4573</v>
      </c>
      <c r="Y1683" t="s">
        <v>11492</v>
      </c>
      <c r="Z1683" t="s">
        <v>301</v>
      </c>
      <c r="AA1683" s="2" t="s">
        <v>11493</v>
      </c>
      <c r="AB1683" t="s">
        <v>11494</v>
      </c>
      <c r="AG1683" t="s">
        <v>11495</v>
      </c>
      <c r="AH1683" t="s">
        <v>11496</v>
      </c>
      <c r="AI1683" t="s">
        <v>11497</v>
      </c>
    </row>
    <row r="1684" spans="2:35" ht="360">
      <c r="B1684" s="1">
        <v>45804</v>
      </c>
      <c r="C1684" s="1">
        <v>45804</v>
      </c>
      <c r="D1684" t="s">
        <v>9326</v>
      </c>
      <c r="E1684" t="s">
        <v>11498</v>
      </c>
      <c r="F1684">
        <v>3</v>
      </c>
      <c r="G1684" t="s">
        <v>134</v>
      </c>
      <c r="H1684" t="s">
        <v>61</v>
      </c>
      <c r="I1684" t="s">
        <v>40</v>
      </c>
      <c r="J1684" t="s">
        <v>109</v>
      </c>
      <c r="K1684" t="s">
        <v>42</v>
      </c>
      <c r="L1684" t="s">
        <v>135</v>
      </c>
      <c r="N1684" t="s">
        <v>136</v>
      </c>
      <c r="Q1684">
        <v>30862</v>
      </c>
      <c r="R1684" t="s">
        <v>322</v>
      </c>
      <c r="S1684" t="s">
        <v>11499</v>
      </c>
      <c r="T1684">
        <v>25</v>
      </c>
      <c r="U1684" s="2" t="s">
        <v>11500</v>
      </c>
      <c r="W1684" t="s">
        <v>3335</v>
      </c>
      <c r="X1684">
        <v>110012825</v>
      </c>
      <c r="Y1684" t="s">
        <v>7229</v>
      </c>
      <c r="Z1684" t="s">
        <v>4315</v>
      </c>
      <c r="AA1684" s="2" t="s">
        <v>4316</v>
      </c>
      <c r="AB1684" t="s">
        <v>181</v>
      </c>
      <c r="AG1684" t="s">
        <v>11501</v>
      </c>
      <c r="AH1684" t="s">
        <v>11502</v>
      </c>
      <c r="AI1684" t="s">
        <v>11503</v>
      </c>
    </row>
    <row r="1685" spans="2:35" ht="360">
      <c r="B1685" s="1">
        <v>45804</v>
      </c>
      <c r="C1685" s="1">
        <v>45804</v>
      </c>
      <c r="D1685" t="s">
        <v>9326</v>
      </c>
      <c r="E1685" t="s">
        <v>11504</v>
      </c>
      <c r="F1685">
        <v>3</v>
      </c>
      <c r="G1685" t="s">
        <v>134</v>
      </c>
      <c r="H1685" t="s">
        <v>2548</v>
      </c>
      <c r="I1685" t="s">
        <v>40</v>
      </c>
      <c r="J1685" t="s">
        <v>109</v>
      </c>
      <c r="K1685" t="s">
        <v>42</v>
      </c>
      <c r="L1685" t="s">
        <v>135</v>
      </c>
      <c r="N1685" t="s">
        <v>136</v>
      </c>
      <c r="Q1685">
        <v>30861</v>
      </c>
      <c r="R1685" t="s">
        <v>322</v>
      </c>
      <c r="S1685" t="s">
        <v>9328</v>
      </c>
      <c r="T1685">
        <v>25</v>
      </c>
      <c r="U1685" s="2" t="s">
        <v>11505</v>
      </c>
      <c r="W1685" t="s">
        <v>3335</v>
      </c>
      <c r="X1685">
        <v>110013748</v>
      </c>
      <c r="Y1685" t="s">
        <v>7229</v>
      </c>
      <c r="Z1685" t="s">
        <v>4315</v>
      </c>
      <c r="AA1685" s="2" t="s">
        <v>4316</v>
      </c>
      <c r="AB1685" t="s">
        <v>181</v>
      </c>
      <c r="AG1685" t="s">
        <v>11506</v>
      </c>
      <c r="AH1685" t="s">
        <v>11507</v>
      </c>
      <c r="AI1685" t="s">
        <v>11508</v>
      </c>
    </row>
    <row r="1686" spans="2:35" ht="255">
      <c r="B1686" s="1">
        <v>45803</v>
      </c>
      <c r="C1686" s="1">
        <v>45800</v>
      </c>
      <c r="D1686" t="s">
        <v>11509</v>
      </c>
      <c r="E1686" t="s">
        <v>11510</v>
      </c>
      <c r="F1686" t="s">
        <v>148</v>
      </c>
      <c r="G1686" t="s">
        <v>447</v>
      </c>
      <c r="H1686" t="s">
        <v>39</v>
      </c>
      <c r="I1686" t="s">
        <v>40</v>
      </c>
      <c r="J1686" t="s">
        <v>109</v>
      </c>
      <c r="K1686" t="s">
        <v>42</v>
      </c>
      <c r="L1686" t="s">
        <v>448</v>
      </c>
      <c r="N1686" t="s">
        <v>450</v>
      </c>
      <c r="Q1686">
        <v>30860</v>
      </c>
      <c r="R1686" t="s">
        <v>95</v>
      </c>
      <c r="S1686" t="s">
        <v>6791</v>
      </c>
      <c r="T1686">
        <v>25</v>
      </c>
      <c r="U1686" s="2" t="s">
        <v>11511</v>
      </c>
      <c r="W1686" t="s">
        <v>1139</v>
      </c>
      <c r="X1686">
        <v>110008529</v>
      </c>
      <c r="Y1686" s="2" t="s">
        <v>11512</v>
      </c>
      <c r="Z1686" s="2" t="s">
        <v>2011</v>
      </c>
      <c r="AA1686" t="s">
        <v>122</v>
      </c>
      <c r="AB1686" t="s">
        <v>486</v>
      </c>
      <c r="AG1686" t="s">
        <v>11513</v>
      </c>
      <c r="AH1686" t="s">
        <v>11514</v>
      </c>
      <c r="AI1686" t="s">
        <v>11515</v>
      </c>
    </row>
    <row r="1687" spans="2:35" ht="409.5">
      <c r="B1687" s="1">
        <v>45803</v>
      </c>
      <c r="C1687" s="1">
        <v>45799</v>
      </c>
      <c r="D1687" t="s">
        <v>2176</v>
      </c>
      <c r="E1687" t="s">
        <v>2580</v>
      </c>
      <c r="F1687" t="s">
        <v>148</v>
      </c>
      <c r="G1687" t="s">
        <v>447</v>
      </c>
      <c r="H1687" t="s">
        <v>662</v>
      </c>
      <c r="I1687" t="s">
        <v>40</v>
      </c>
      <c r="J1687" t="s">
        <v>996</v>
      </c>
      <c r="K1687" t="s">
        <v>42</v>
      </c>
      <c r="L1687" t="s">
        <v>448</v>
      </c>
      <c r="N1687" t="s">
        <v>450</v>
      </c>
      <c r="O1687" t="s">
        <v>4140</v>
      </c>
      <c r="Q1687">
        <v>30859</v>
      </c>
      <c r="R1687" t="s">
        <v>967</v>
      </c>
      <c r="S1687" t="s">
        <v>3086</v>
      </c>
      <c r="T1687">
        <v>24</v>
      </c>
      <c r="U1687" s="2" t="s">
        <v>11516</v>
      </c>
      <c r="V1687" s="1">
        <v>45784</v>
      </c>
      <c r="W1687" t="s">
        <v>1573</v>
      </c>
      <c r="X1687">
        <v>110016781</v>
      </c>
      <c r="Y1687" t="s">
        <v>7168</v>
      </c>
      <c r="Z1687" s="2" t="s">
        <v>3071</v>
      </c>
      <c r="AA1687" t="s">
        <v>11517</v>
      </c>
      <c r="AB1687" t="s">
        <v>3082</v>
      </c>
      <c r="AD1687" t="s">
        <v>11518</v>
      </c>
      <c r="AE1687">
        <v>12994</v>
      </c>
      <c r="AG1687" t="s">
        <v>11519</v>
      </c>
      <c r="AH1687" t="s">
        <v>2176</v>
      </c>
      <c r="AI1687" t="s">
        <v>11520</v>
      </c>
    </row>
    <row r="1688" spans="2:35" ht="409.5">
      <c r="B1688" s="1">
        <v>45803</v>
      </c>
      <c r="C1688" s="1">
        <v>45797</v>
      </c>
      <c r="D1688" t="s">
        <v>660</v>
      </c>
      <c r="E1688" t="s">
        <v>2569</v>
      </c>
      <c r="F1688" t="s">
        <v>148</v>
      </c>
      <c r="G1688" t="s">
        <v>447</v>
      </c>
      <c r="H1688" t="s">
        <v>662</v>
      </c>
      <c r="I1688" t="s">
        <v>40</v>
      </c>
      <c r="J1688" t="s">
        <v>996</v>
      </c>
      <c r="K1688" t="s">
        <v>42</v>
      </c>
      <c r="L1688" t="s">
        <v>448</v>
      </c>
      <c r="N1688" t="s">
        <v>450</v>
      </c>
      <c r="Q1688">
        <v>30858</v>
      </c>
      <c r="R1688" t="s">
        <v>322</v>
      </c>
      <c r="S1688" t="s">
        <v>3987</v>
      </c>
      <c r="T1688">
        <v>28</v>
      </c>
      <c r="U1688" s="2" t="s">
        <v>11521</v>
      </c>
      <c r="V1688" s="1">
        <v>45784</v>
      </c>
      <c r="W1688" t="s">
        <v>2010</v>
      </c>
      <c r="X1688">
        <v>110014171</v>
      </c>
      <c r="Y1688" t="s">
        <v>11522</v>
      </c>
      <c r="Z1688" s="2" t="s">
        <v>11523</v>
      </c>
      <c r="AA1688" t="s">
        <v>11524</v>
      </c>
      <c r="AB1688" s="2" t="s">
        <v>11525</v>
      </c>
      <c r="AD1688" t="s">
        <v>11518</v>
      </c>
      <c r="AE1688">
        <v>12996</v>
      </c>
      <c r="AG1688" t="s">
        <v>11526</v>
      </c>
      <c r="AH1688" t="s">
        <v>660</v>
      </c>
      <c r="AI1688" t="s">
        <v>11527</v>
      </c>
    </row>
    <row r="1689" spans="2:35" ht="165">
      <c r="B1689" s="1">
        <v>45803</v>
      </c>
      <c r="C1689" s="1">
        <v>45800</v>
      </c>
      <c r="D1689" t="s">
        <v>7155</v>
      </c>
      <c r="E1689" t="s">
        <v>7156</v>
      </c>
      <c r="F1689">
        <v>5</v>
      </c>
      <c r="G1689" t="s">
        <v>839</v>
      </c>
      <c r="H1689" t="s">
        <v>258</v>
      </c>
      <c r="I1689" t="s">
        <v>94</v>
      </c>
      <c r="J1689" s="2" t="s">
        <v>41</v>
      </c>
      <c r="K1689" t="s">
        <v>42</v>
      </c>
      <c r="L1689" t="s">
        <v>761</v>
      </c>
      <c r="N1689" t="s">
        <v>762</v>
      </c>
      <c r="Q1689">
        <v>30857</v>
      </c>
      <c r="R1689" t="s">
        <v>119</v>
      </c>
      <c r="S1689" t="s">
        <v>11528</v>
      </c>
      <c r="T1689">
        <v>29</v>
      </c>
      <c r="U1689" s="2" t="s">
        <v>5268</v>
      </c>
      <c r="W1689" t="s">
        <v>765</v>
      </c>
      <c r="X1689">
        <v>838496</v>
      </c>
      <c r="Y1689" s="2" t="s">
        <v>11529</v>
      </c>
      <c r="Z1689" s="2" t="s">
        <v>11530</v>
      </c>
      <c r="AA1689" t="s">
        <v>820</v>
      </c>
      <c r="AB1689" t="s">
        <v>181</v>
      </c>
      <c r="AG1689" t="s">
        <v>11531</v>
      </c>
      <c r="AH1689" t="s">
        <v>11532</v>
      </c>
      <c r="AI1689" t="s">
        <v>11533</v>
      </c>
    </row>
    <row r="1690" spans="2:35" ht="345">
      <c r="B1690" s="1">
        <v>45803</v>
      </c>
      <c r="C1690" s="1">
        <v>45799</v>
      </c>
      <c r="D1690" t="s">
        <v>5645</v>
      </c>
      <c r="E1690" t="s">
        <v>11534</v>
      </c>
      <c r="F1690" t="s">
        <v>1255</v>
      </c>
      <c r="G1690" t="s">
        <v>1887</v>
      </c>
      <c r="H1690" t="s">
        <v>1047</v>
      </c>
      <c r="I1690" t="s">
        <v>40</v>
      </c>
      <c r="J1690" t="s">
        <v>109</v>
      </c>
      <c r="K1690" t="s">
        <v>42</v>
      </c>
      <c r="L1690" t="s">
        <v>204</v>
      </c>
      <c r="N1690" t="s">
        <v>205</v>
      </c>
      <c r="Q1690">
        <v>30856</v>
      </c>
      <c r="R1690" t="s">
        <v>119</v>
      </c>
      <c r="S1690" t="s">
        <v>11535</v>
      </c>
      <c r="T1690">
        <v>25.7</v>
      </c>
      <c r="U1690" s="2" t="s">
        <v>11536</v>
      </c>
      <c r="W1690" t="s">
        <v>208</v>
      </c>
      <c r="X1690">
        <v>838528</v>
      </c>
      <c r="Y1690" t="s">
        <v>2851</v>
      </c>
      <c r="Z1690" s="2" t="s">
        <v>6895</v>
      </c>
      <c r="AA1690" t="s">
        <v>2551</v>
      </c>
      <c r="AB1690" t="s">
        <v>1211</v>
      </c>
      <c r="AG1690" t="s">
        <v>11537</v>
      </c>
      <c r="AH1690" t="s">
        <v>11538</v>
      </c>
      <c r="AI1690" t="s">
        <v>11539</v>
      </c>
    </row>
    <row r="1691" spans="2:35" ht="315">
      <c r="B1691" s="1">
        <v>45803</v>
      </c>
      <c r="C1691" s="1">
        <v>45799</v>
      </c>
      <c r="D1691" t="s">
        <v>5645</v>
      </c>
      <c r="E1691" t="s">
        <v>11534</v>
      </c>
      <c r="F1691">
        <v>11</v>
      </c>
      <c r="G1691" t="s">
        <v>1887</v>
      </c>
      <c r="H1691" t="s">
        <v>202</v>
      </c>
      <c r="I1691" t="s">
        <v>40</v>
      </c>
      <c r="J1691" t="s">
        <v>109</v>
      </c>
      <c r="K1691" t="s">
        <v>42</v>
      </c>
      <c r="L1691" t="s">
        <v>204</v>
      </c>
      <c r="N1691" t="s">
        <v>205</v>
      </c>
      <c r="Q1691">
        <v>30855</v>
      </c>
      <c r="R1691" t="s">
        <v>967</v>
      </c>
      <c r="S1691" t="s">
        <v>11535</v>
      </c>
      <c r="T1691">
        <v>24.5</v>
      </c>
      <c r="U1691" s="2" t="s">
        <v>11536</v>
      </c>
      <c r="W1691" t="s">
        <v>2550</v>
      </c>
      <c r="X1691">
        <v>110023524</v>
      </c>
      <c r="Y1691" t="s">
        <v>1052</v>
      </c>
      <c r="Z1691" t="s">
        <v>1211</v>
      </c>
      <c r="AA1691" s="2" t="s">
        <v>1321</v>
      </c>
      <c r="AB1691" t="s">
        <v>1211</v>
      </c>
      <c r="AG1691" t="s">
        <v>11540</v>
      </c>
      <c r="AH1691" t="s">
        <v>11541</v>
      </c>
      <c r="AI1691" t="s">
        <v>11542</v>
      </c>
    </row>
    <row r="1692" spans="2:35" ht="409.5">
      <c r="B1692" s="1">
        <v>45800</v>
      </c>
      <c r="C1692" s="1">
        <v>45800</v>
      </c>
      <c r="D1692" t="s">
        <v>4379</v>
      </c>
      <c r="E1692" t="s">
        <v>7368</v>
      </c>
      <c r="F1692" t="s">
        <v>148</v>
      </c>
      <c r="G1692" t="s">
        <v>785</v>
      </c>
      <c r="H1692" t="s">
        <v>662</v>
      </c>
      <c r="I1692" t="s">
        <v>94</v>
      </c>
      <c r="J1692" s="2" t="s">
        <v>41</v>
      </c>
      <c r="K1692" t="s">
        <v>42</v>
      </c>
      <c r="L1692" t="s">
        <v>43</v>
      </c>
      <c r="N1692" t="s">
        <v>44</v>
      </c>
      <c r="O1692" t="s">
        <v>7369</v>
      </c>
      <c r="Q1692">
        <v>30854</v>
      </c>
      <c r="R1692" t="s">
        <v>322</v>
      </c>
      <c r="S1692" t="s">
        <v>11543</v>
      </c>
      <c r="T1692">
        <v>22</v>
      </c>
      <c r="U1692" s="2" t="s">
        <v>11544</v>
      </c>
      <c r="V1692" s="1">
        <v>45785</v>
      </c>
      <c r="W1692" t="s">
        <v>3178</v>
      </c>
      <c r="X1692">
        <v>838627</v>
      </c>
      <c r="Y1692" t="s">
        <v>11545</v>
      </c>
      <c r="Z1692" t="s">
        <v>7399</v>
      </c>
      <c r="AA1692" s="2" t="s">
        <v>11546</v>
      </c>
      <c r="AB1692" t="s">
        <v>88</v>
      </c>
      <c r="AD1692" s="2" t="s">
        <v>11547</v>
      </c>
      <c r="AE1692" t="s">
        <v>11548</v>
      </c>
      <c r="AG1692" t="s">
        <v>11549</v>
      </c>
      <c r="AH1692" t="s">
        <v>11550</v>
      </c>
      <c r="AI1692" t="s">
        <v>11551</v>
      </c>
    </row>
    <row r="1693" spans="2:35" ht="409.5">
      <c r="B1693" s="1">
        <v>45800</v>
      </c>
      <c r="C1693" s="1">
        <v>45800</v>
      </c>
      <c r="D1693" t="s">
        <v>11552</v>
      </c>
      <c r="E1693" t="s">
        <v>2569</v>
      </c>
      <c r="F1693" t="s">
        <v>148</v>
      </c>
      <c r="G1693" t="s">
        <v>447</v>
      </c>
      <c r="H1693" t="s">
        <v>2570</v>
      </c>
      <c r="I1693" t="s">
        <v>40</v>
      </c>
      <c r="J1693" t="s">
        <v>109</v>
      </c>
      <c r="K1693" t="s">
        <v>42</v>
      </c>
      <c r="L1693" t="s">
        <v>448</v>
      </c>
      <c r="N1693" t="s">
        <v>450</v>
      </c>
      <c r="O1693" t="s">
        <v>2808</v>
      </c>
      <c r="Q1693">
        <v>30853</v>
      </c>
      <c r="R1693" t="s">
        <v>95</v>
      </c>
      <c r="S1693" t="s">
        <v>2571</v>
      </c>
      <c r="T1693">
        <v>30</v>
      </c>
      <c r="U1693" s="2" t="s">
        <v>11553</v>
      </c>
      <c r="W1693" t="s">
        <v>8499</v>
      </c>
      <c r="X1693">
        <v>807155</v>
      </c>
      <c r="Y1693" t="s">
        <v>485</v>
      </c>
      <c r="Z1693" s="2" t="s">
        <v>2011</v>
      </c>
      <c r="AA1693" t="s">
        <v>122</v>
      </c>
      <c r="AB1693" s="2" t="s">
        <v>11554</v>
      </c>
      <c r="AG1693" t="s">
        <v>11555</v>
      </c>
      <c r="AH1693" t="s">
        <v>2578</v>
      </c>
      <c r="AI1693" t="s">
        <v>11556</v>
      </c>
    </row>
    <row r="1694" spans="2:35" ht="409.5">
      <c r="B1694" s="1">
        <v>45800</v>
      </c>
      <c r="C1694" s="1">
        <v>45800</v>
      </c>
      <c r="D1694" t="s">
        <v>11557</v>
      </c>
      <c r="E1694" t="s">
        <v>5106</v>
      </c>
      <c r="F1694" t="s">
        <v>37</v>
      </c>
      <c r="G1694" t="s">
        <v>78</v>
      </c>
      <c r="H1694" t="s">
        <v>61</v>
      </c>
      <c r="I1694" t="s">
        <v>40</v>
      </c>
      <c r="J1694" s="2" t="s">
        <v>62</v>
      </c>
      <c r="K1694" t="s">
        <v>42</v>
      </c>
      <c r="L1694" t="s">
        <v>1943</v>
      </c>
      <c r="N1694" t="s">
        <v>1944</v>
      </c>
      <c r="Q1694">
        <v>30852</v>
      </c>
      <c r="R1694" t="s">
        <v>95</v>
      </c>
      <c r="S1694" t="s">
        <v>96</v>
      </c>
      <c r="T1694">
        <v>25</v>
      </c>
      <c r="W1694" t="s">
        <v>84</v>
      </c>
      <c r="X1694">
        <v>839233</v>
      </c>
      <c r="Y1694" s="2" t="s">
        <v>3044</v>
      </c>
      <c r="Z1694" t="s">
        <v>3045</v>
      </c>
      <c r="AA1694" s="2" t="s">
        <v>3046</v>
      </c>
      <c r="AB1694" t="s">
        <v>88</v>
      </c>
      <c r="AC1694" t="s">
        <v>11558</v>
      </c>
      <c r="AG1694" t="s">
        <v>11559</v>
      </c>
      <c r="AH1694" t="s">
        <v>11560</v>
      </c>
      <c r="AI1694" t="s">
        <v>11561</v>
      </c>
    </row>
    <row r="1695" spans="2:35" ht="225">
      <c r="B1695" s="1">
        <v>45800</v>
      </c>
      <c r="C1695" s="1">
        <v>45800</v>
      </c>
      <c r="D1695" t="s">
        <v>11562</v>
      </c>
      <c r="E1695" t="s">
        <v>2569</v>
      </c>
      <c r="F1695" t="s">
        <v>148</v>
      </c>
      <c r="G1695" t="s">
        <v>447</v>
      </c>
      <c r="H1695" t="s">
        <v>150</v>
      </c>
      <c r="I1695" t="s">
        <v>40</v>
      </c>
      <c r="J1695" t="s">
        <v>109</v>
      </c>
      <c r="K1695" t="s">
        <v>42</v>
      </c>
      <c r="L1695" t="s">
        <v>448</v>
      </c>
      <c r="N1695" t="s">
        <v>450</v>
      </c>
      <c r="O1695" t="s">
        <v>2808</v>
      </c>
      <c r="Q1695">
        <v>30851</v>
      </c>
      <c r="R1695" t="s">
        <v>95</v>
      </c>
      <c r="S1695" t="s">
        <v>2809</v>
      </c>
      <c r="T1695">
        <v>29</v>
      </c>
      <c r="U1695" s="2" t="s">
        <v>11563</v>
      </c>
      <c r="W1695" t="s">
        <v>6121</v>
      </c>
      <c r="X1695">
        <v>839234</v>
      </c>
      <c r="Y1695" s="2" t="s">
        <v>11564</v>
      </c>
      <c r="Z1695" s="2" t="s">
        <v>2011</v>
      </c>
      <c r="AA1695" t="s">
        <v>122</v>
      </c>
      <c r="AB1695" s="2" t="s">
        <v>11565</v>
      </c>
      <c r="AG1695" t="s">
        <v>11566</v>
      </c>
      <c r="AH1695" t="s">
        <v>11567</v>
      </c>
      <c r="AI1695" t="s">
        <v>11568</v>
      </c>
    </row>
    <row r="1696" spans="2:35">
      <c r="B1696" s="1">
        <v>45800</v>
      </c>
      <c r="C1696" s="1">
        <v>45800</v>
      </c>
      <c r="D1696" t="s">
        <v>9278</v>
      </c>
      <c r="E1696" t="s">
        <v>582</v>
      </c>
      <c r="F1696" t="s">
        <v>148</v>
      </c>
      <c r="G1696" t="s">
        <v>447</v>
      </c>
      <c r="H1696" t="s">
        <v>39</v>
      </c>
      <c r="I1696" t="s">
        <v>40</v>
      </c>
      <c r="J1696" t="s">
        <v>109</v>
      </c>
      <c r="K1696" t="s">
        <v>42</v>
      </c>
      <c r="L1696" t="s">
        <v>175</v>
      </c>
      <c r="N1696" t="s">
        <v>176</v>
      </c>
      <c r="Q1696">
        <v>30850</v>
      </c>
      <c r="R1696" t="s">
        <v>322</v>
      </c>
      <c r="S1696" t="s">
        <v>9279</v>
      </c>
      <c r="T1696">
        <v>25</v>
      </c>
      <c r="W1696" t="s">
        <v>373</v>
      </c>
      <c r="X1696">
        <v>120000577</v>
      </c>
      <c r="Y1696" t="s">
        <v>374</v>
      </c>
      <c r="Z1696" t="s">
        <v>103</v>
      </c>
      <c r="AA1696" t="e">
        <f ca="1">- checked _xludf.and cleaned cartridge bay, plunger rod, _xludf.filter, icore slot
- generated reports
- performed self test</f>
        <v>#NAME?</v>
      </c>
      <c r="AB1696" t="s">
        <v>11569</v>
      </c>
      <c r="AG1696" t="s">
        <v>11570</v>
      </c>
      <c r="AH1696" t="s">
        <v>9282</v>
      </c>
      <c r="AI1696" t="s">
        <v>11571</v>
      </c>
    </row>
    <row r="1697" spans="2:35" ht="409.5">
      <c r="B1697" s="1">
        <v>45800</v>
      </c>
      <c r="C1697" s="1">
        <v>45800</v>
      </c>
      <c r="D1697" t="s">
        <v>8349</v>
      </c>
      <c r="E1697" t="s">
        <v>11572</v>
      </c>
      <c r="F1697" t="s">
        <v>37</v>
      </c>
      <c r="G1697" t="s">
        <v>78</v>
      </c>
      <c r="H1697" t="s">
        <v>295</v>
      </c>
      <c r="I1697" t="s">
        <v>40</v>
      </c>
      <c r="J1697" t="s">
        <v>109</v>
      </c>
      <c r="K1697" t="s">
        <v>42</v>
      </c>
      <c r="L1697" t="s">
        <v>1943</v>
      </c>
      <c r="N1697" t="s">
        <v>1944</v>
      </c>
      <c r="Q1697">
        <v>30849</v>
      </c>
      <c r="R1697" t="s">
        <v>703</v>
      </c>
      <c r="S1697" t="s">
        <v>8350</v>
      </c>
      <c r="T1697">
        <v>25</v>
      </c>
      <c r="W1697" t="s">
        <v>373</v>
      </c>
      <c r="X1697">
        <v>110024552</v>
      </c>
      <c r="Y1697" t="s">
        <v>2099</v>
      </c>
      <c r="Z1697" t="s">
        <v>2100</v>
      </c>
      <c r="AA1697" s="2" t="s">
        <v>2101</v>
      </c>
      <c r="AB1697" t="s">
        <v>88</v>
      </c>
      <c r="AG1697" t="s">
        <v>11573</v>
      </c>
      <c r="AH1697" t="s">
        <v>8355</v>
      </c>
      <c r="AI1697" t="s">
        <v>11574</v>
      </c>
    </row>
    <row r="1698" spans="2:35" ht="409.5">
      <c r="B1698" s="1">
        <v>45800</v>
      </c>
      <c r="C1698" s="1">
        <v>45799</v>
      </c>
      <c r="D1698" t="s">
        <v>2005</v>
      </c>
      <c r="E1698" t="s">
        <v>10093</v>
      </c>
      <c r="F1698" t="s">
        <v>148</v>
      </c>
      <c r="G1698" t="s">
        <v>447</v>
      </c>
      <c r="H1698" t="s">
        <v>662</v>
      </c>
      <c r="I1698" t="s">
        <v>40</v>
      </c>
      <c r="J1698" s="2" t="s">
        <v>41</v>
      </c>
      <c r="K1698" t="s">
        <v>42</v>
      </c>
      <c r="L1698" t="s">
        <v>448</v>
      </c>
      <c r="N1698" t="s">
        <v>450</v>
      </c>
      <c r="Q1698">
        <v>30848</v>
      </c>
      <c r="R1698" t="s">
        <v>95</v>
      </c>
      <c r="S1698" t="s">
        <v>10530</v>
      </c>
      <c r="T1698">
        <v>26</v>
      </c>
      <c r="U1698" s="2" t="s">
        <v>11575</v>
      </c>
      <c r="V1698" s="1">
        <v>45796</v>
      </c>
      <c r="W1698" t="s">
        <v>4275</v>
      </c>
      <c r="X1698">
        <v>110026448</v>
      </c>
      <c r="Y1698" t="s">
        <v>11576</v>
      </c>
      <c r="Z1698" s="2" t="s">
        <v>2585</v>
      </c>
      <c r="AA1698" t="s">
        <v>456</v>
      </c>
      <c r="AB1698" s="2" t="s">
        <v>11577</v>
      </c>
      <c r="AD1698" t="s">
        <v>11578</v>
      </c>
      <c r="AE1698">
        <v>13029</v>
      </c>
      <c r="AG1698" t="s">
        <v>11579</v>
      </c>
      <c r="AH1698" t="s">
        <v>11580</v>
      </c>
      <c r="AI1698" t="s">
        <v>11581</v>
      </c>
    </row>
    <row r="1699" spans="2:35" ht="409.5">
      <c r="B1699" s="1">
        <v>45799</v>
      </c>
      <c r="C1699" s="1">
        <v>45799</v>
      </c>
      <c r="D1699" t="s">
        <v>837</v>
      </c>
      <c r="E1699" t="s">
        <v>10558</v>
      </c>
      <c r="F1699">
        <v>5</v>
      </c>
      <c r="G1699" t="s">
        <v>839</v>
      </c>
      <c r="H1699" t="s">
        <v>39</v>
      </c>
      <c r="I1699" t="s">
        <v>94</v>
      </c>
      <c r="J1699" s="2" t="s">
        <v>190</v>
      </c>
      <c r="K1699" t="s">
        <v>42</v>
      </c>
      <c r="L1699" t="s">
        <v>761</v>
      </c>
      <c r="N1699" t="s">
        <v>762</v>
      </c>
      <c r="Q1699">
        <v>30847</v>
      </c>
      <c r="R1699" t="s">
        <v>322</v>
      </c>
      <c r="S1699" t="s">
        <v>11582</v>
      </c>
      <c r="T1699">
        <v>27</v>
      </c>
      <c r="U1699" s="2" t="s">
        <v>11583</v>
      </c>
      <c r="W1699" t="s">
        <v>765</v>
      </c>
      <c r="X1699">
        <v>110008458</v>
      </c>
      <c r="Y1699" t="s">
        <v>11584</v>
      </c>
      <c r="Z1699" s="2" t="s">
        <v>11585</v>
      </c>
      <c r="AA1699" s="2" t="s">
        <v>10392</v>
      </c>
      <c r="AB1699" t="s">
        <v>181</v>
      </c>
      <c r="AG1699" t="s">
        <v>11586</v>
      </c>
      <c r="AH1699" t="s">
        <v>11587</v>
      </c>
      <c r="AI1699" t="s">
        <v>11588</v>
      </c>
    </row>
    <row r="1700" spans="2:35" ht="105">
      <c r="B1700" s="1">
        <v>45799</v>
      </c>
      <c r="C1700" s="1">
        <v>45799</v>
      </c>
      <c r="D1700" t="s">
        <v>837</v>
      </c>
      <c r="E1700" t="s">
        <v>10558</v>
      </c>
      <c r="F1700">
        <v>5</v>
      </c>
      <c r="G1700" t="s">
        <v>839</v>
      </c>
      <c r="H1700" t="s">
        <v>513</v>
      </c>
      <c r="I1700" t="s">
        <v>94</v>
      </c>
      <c r="J1700" t="s">
        <v>79</v>
      </c>
      <c r="K1700" t="s">
        <v>387</v>
      </c>
      <c r="L1700" t="s">
        <v>761</v>
      </c>
      <c r="N1700" t="s">
        <v>762</v>
      </c>
      <c r="O1700" t="s">
        <v>10559</v>
      </c>
      <c r="Q1700">
        <v>30846</v>
      </c>
      <c r="R1700" t="s">
        <v>322</v>
      </c>
      <c r="S1700" t="s">
        <v>11589</v>
      </c>
      <c r="T1700">
        <v>25</v>
      </c>
      <c r="W1700" t="s">
        <v>390</v>
      </c>
      <c r="X1700" t="s">
        <v>841</v>
      </c>
      <c r="Y1700" s="2" t="s">
        <v>11590</v>
      </c>
      <c r="Z1700" t="s">
        <v>11591</v>
      </c>
      <c r="AA1700" t="s">
        <v>11592</v>
      </c>
      <c r="AB1700" s="2" t="s">
        <v>11593</v>
      </c>
      <c r="AC1700" t="s">
        <v>11594</v>
      </c>
      <c r="AG1700" t="s">
        <v>11595</v>
      </c>
      <c r="AH1700" t="s">
        <v>11596</v>
      </c>
      <c r="AI1700" t="s">
        <v>11597</v>
      </c>
    </row>
    <row r="1701" spans="2:35" ht="105">
      <c r="B1701" s="1">
        <v>45799</v>
      </c>
      <c r="C1701" s="1">
        <v>45799</v>
      </c>
      <c r="D1701" t="s">
        <v>8529</v>
      </c>
      <c r="E1701" t="s">
        <v>11598</v>
      </c>
      <c r="F1701">
        <v>7</v>
      </c>
      <c r="G1701" t="s">
        <v>432</v>
      </c>
      <c r="H1701" t="s">
        <v>1498</v>
      </c>
      <c r="I1701" t="s">
        <v>40</v>
      </c>
      <c r="J1701" s="2" t="s">
        <v>1444</v>
      </c>
      <c r="K1701" t="s">
        <v>42</v>
      </c>
      <c r="L1701" t="s">
        <v>343</v>
      </c>
      <c r="N1701" t="s">
        <v>344</v>
      </c>
      <c r="Q1701">
        <v>30845</v>
      </c>
      <c r="R1701" t="s">
        <v>119</v>
      </c>
      <c r="S1701" t="s">
        <v>8531</v>
      </c>
      <c r="T1701">
        <v>27</v>
      </c>
      <c r="U1701" s="2" t="s">
        <v>11599</v>
      </c>
      <c r="W1701" t="s">
        <v>1501</v>
      </c>
      <c r="X1701">
        <v>838279</v>
      </c>
      <c r="Y1701" t="e">
        <f ca="1">-module B2 frequent H/W fail
-FAN _xludf.filter Damaged</f>
        <v>#NAME?</v>
      </c>
      <c r="Z1701" t="e">
        <f ca="1">-run XpertCheck on module B2
-_xludf.Replace FAN _xludf.filter</f>
        <v>#NAME?</v>
      </c>
      <c r="AA1701" t="e">
        <f ca="1">-XpertCheck CALIBRATION</f>
        <v>#NAME?</v>
      </c>
      <c r="AB1701" t="s">
        <v>11600</v>
      </c>
      <c r="AG1701" t="s">
        <v>11601</v>
      </c>
      <c r="AH1701" t="s">
        <v>9836</v>
      </c>
      <c r="AI1701" t="s">
        <v>11602</v>
      </c>
    </row>
    <row r="1702" spans="2:35">
      <c r="B1702" s="1">
        <v>45799</v>
      </c>
      <c r="C1702" s="1">
        <v>45799</v>
      </c>
      <c r="D1702" t="s">
        <v>11603</v>
      </c>
      <c r="E1702" t="s">
        <v>420</v>
      </c>
      <c r="F1702" t="s">
        <v>148</v>
      </c>
      <c r="G1702" t="s">
        <v>421</v>
      </c>
      <c r="H1702" t="s">
        <v>39</v>
      </c>
      <c r="I1702" t="s">
        <v>40</v>
      </c>
      <c r="J1702" t="s">
        <v>109</v>
      </c>
      <c r="K1702" t="s">
        <v>42</v>
      </c>
      <c r="L1702" t="s">
        <v>175</v>
      </c>
      <c r="N1702" t="s">
        <v>176</v>
      </c>
      <c r="Q1702">
        <v>30844</v>
      </c>
      <c r="R1702" t="s">
        <v>322</v>
      </c>
      <c r="S1702" t="s">
        <v>11604</v>
      </c>
      <c r="T1702">
        <v>25</v>
      </c>
      <c r="W1702" t="s">
        <v>373</v>
      </c>
      <c r="X1702">
        <v>110020699</v>
      </c>
      <c r="Y1702" t="s">
        <v>374</v>
      </c>
      <c r="Z1702" t="s">
        <v>375</v>
      </c>
      <c r="AA1702" t="e">
        <f ca="1">- checked _xludf.and cleaned cartridge bay, plunger rod, _xludf.filter,  icore slot
- generated reports
- performed self test</f>
        <v>#NAME?</v>
      </c>
      <c r="AB1702" t="s">
        <v>181</v>
      </c>
      <c r="AG1702" t="s">
        <v>11605</v>
      </c>
      <c r="AH1702" t="s">
        <v>11606</v>
      </c>
      <c r="AI1702" t="s">
        <v>11607</v>
      </c>
    </row>
    <row r="1703" spans="2:35" ht="75">
      <c r="B1703" s="1">
        <v>45799</v>
      </c>
      <c r="C1703" s="1">
        <v>45792</v>
      </c>
      <c r="D1703" t="s">
        <v>4246</v>
      </c>
      <c r="E1703" t="s">
        <v>11608</v>
      </c>
      <c r="F1703" t="s">
        <v>1255</v>
      </c>
      <c r="G1703" t="s">
        <v>3346</v>
      </c>
      <c r="H1703" t="s">
        <v>39</v>
      </c>
      <c r="I1703" t="s">
        <v>40</v>
      </c>
      <c r="J1703" s="2" t="s">
        <v>41</v>
      </c>
      <c r="K1703" t="s">
        <v>42</v>
      </c>
      <c r="L1703" t="s">
        <v>1257</v>
      </c>
      <c r="N1703" t="s">
        <v>1258</v>
      </c>
      <c r="O1703" t="s">
        <v>1258</v>
      </c>
      <c r="Q1703">
        <v>30843</v>
      </c>
      <c r="R1703" t="s">
        <v>119</v>
      </c>
      <c r="S1703" t="s">
        <v>11609</v>
      </c>
      <c r="T1703">
        <v>25</v>
      </c>
      <c r="U1703" s="2" t="s">
        <v>2367</v>
      </c>
      <c r="V1703" s="1">
        <v>45792</v>
      </c>
      <c r="W1703" t="s">
        <v>2384</v>
      </c>
      <c r="X1703">
        <v>838832</v>
      </c>
      <c r="Y1703" t="s">
        <v>11610</v>
      </c>
      <c r="Z1703" t="s">
        <v>11611</v>
      </c>
      <c r="AA1703" t="s">
        <v>11611</v>
      </c>
      <c r="AB1703" t="s">
        <v>11612</v>
      </c>
      <c r="AC1703" t="s">
        <v>11613</v>
      </c>
      <c r="AD1703" t="s">
        <v>54</v>
      </c>
      <c r="AE1703" t="s">
        <v>54</v>
      </c>
      <c r="AG1703" t="s">
        <v>11614</v>
      </c>
      <c r="AH1703" t="s">
        <v>11338</v>
      </c>
      <c r="AI1703" t="s">
        <v>11615</v>
      </c>
    </row>
    <row r="1704" spans="2:35" ht="409.5">
      <c r="B1704" s="1">
        <v>45798</v>
      </c>
      <c r="C1704" s="1">
        <v>45798</v>
      </c>
      <c r="D1704" t="s">
        <v>7553</v>
      </c>
      <c r="E1704" t="s">
        <v>11616</v>
      </c>
      <c r="F1704">
        <v>5</v>
      </c>
      <c r="G1704" t="s">
        <v>814</v>
      </c>
      <c r="H1704" t="s">
        <v>39</v>
      </c>
      <c r="I1704" t="s">
        <v>94</v>
      </c>
      <c r="J1704" t="s">
        <v>321</v>
      </c>
      <c r="K1704" t="s">
        <v>42</v>
      </c>
      <c r="L1704" t="s">
        <v>761</v>
      </c>
      <c r="N1704" t="s">
        <v>762</v>
      </c>
      <c r="Q1704">
        <v>30842</v>
      </c>
      <c r="R1704" t="s">
        <v>95</v>
      </c>
      <c r="S1704" t="s">
        <v>8320</v>
      </c>
      <c r="T1704">
        <v>29</v>
      </c>
      <c r="W1704" t="s">
        <v>817</v>
      </c>
      <c r="X1704">
        <v>120002716</v>
      </c>
      <c r="Y1704" t="s">
        <v>11617</v>
      </c>
      <c r="Z1704" s="2" t="s">
        <v>11618</v>
      </c>
      <c r="AA1704" t="s">
        <v>11619</v>
      </c>
      <c r="AB1704" t="s">
        <v>70</v>
      </c>
      <c r="AC1704" t="s">
        <v>11620</v>
      </c>
      <c r="AG1704" t="s">
        <v>11621</v>
      </c>
      <c r="AH1704" t="s">
        <v>9383</v>
      </c>
      <c r="AI1704" t="s">
        <v>11622</v>
      </c>
    </row>
    <row r="1705" spans="2:35" ht="300">
      <c r="B1705" s="1">
        <v>45798</v>
      </c>
      <c r="C1705" s="1">
        <v>45792</v>
      </c>
      <c r="D1705" t="s">
        <v>542</v>
      </c>
      <c r="E1705" t="s">
        <v>11623</v>
      </c>
      <c r="F1705" t="s">
        <v>148</v>
      </c>
      <c r="G1705" t="s">
        <v>544</v>
      </c>
      <c r="H1705" t="s">
        <v>39</v>
      </c>
      <c r="I1705" t="s">
        <v>40</v>
      </c>
      <c r="J1705" t="s">
        <v>109</v>
      </c>
      <c r="K1705" t="s">
        <v>42</v>
      </c>
      <c r="L1705" t="s">
        <v>43</v>
      </c>
      <c r="N1705" t="s">
        <v>44</v>
      </c>
      <c r="Q1705">
        <v>30841</v>
      </c>
      <c r="R1705" t="s">
        <v>322</v>
      </c>
      <c r="S1705" t="s">
        <v>6737</v>
      </c>
      <c r="T1705">
        <v>24</v>
      </c>
      <c r="U1705" s="2" t="s">
        <v>11624</v>
      </c>
      <c r="W1705" t="s">
        <v>153</v>
      </c>
      <c r="X1705">
        <v>120000613</v>
      </c>
      <c r="Y1705" t="s">
        <v>121</v>
      </c>
      <c r="Z1705" t="s">
        <v>122</v>
      </c>
      <c r="AA1705" s="2" t="s">
        <v>9744</v>
      </c>
      <c r="AB1705" t="s">
        <v>88</v>
      </c>
      <c r="AG1705" t="s">
        <v>11625</v>
      </c>
      <c r="AH1705" t="s">
        <v>550</v>
      </c>
      <c r="AI1705" t="s">
        <v>11626</v>
      </c>
    </row>
    <row r="1706" spans="2:35" ht="300">
      <c r="B1706" s="1">
        <v>45798</v>
      </c>
      <c r="C1706" s="1">
        <v>45792</v>
      </c>
      <c r="D1706" t="s">
        <v>542</v>
      </c>
      <c r="E1706" t="s">
        <v>11623</v>
      </c>
      <c r="F1706" t="s">
        <v>148</v>
      </c>
      <c r="G1706" t="s">
        <v>544</v>
      </c>
      <c r="H1706" t="s">
        <v>39</v>
      </c>
      <c r="I1706" t="s">
        <v>40</v>
      </c>
      <c r="J1706" t="s">
        <v>109</v>
      </c>
      <c r="K1706" t="s">
        <v>42</v>
      </c>
      <c r="L1706" t="s">
        <v>43</v>
      </c>
      <c r="N1706" t="s">
        <v>44</v>
      </c>
      <c r="Q1706">
        <v>30840</v>
      </c>
      <c r="R1706" t="s">
        <v>322</v>
      </c>
      <c r="S1706" t="s">
        <v>6737</v>
      </c>
      <c r="T1706">
        <v>24</v>
      </c>
      <c r="U1706" s="2" t="s">
        <v>11627</v>
      </c>
      <c r="W1706" t="s">
        <v>153</v>
      </c>
      <c r="X1706">
        <v>110016107</v>
      </c>
      <c r="Y1706" t="s">
        <v>121</v>
      </c>
      <c r="Z1706" t="s">
        <v>122</v>
      </c>
      <c r="AA1706" s="2" t="s">
        <v>9744</v>
      </c>
      <c r="AB1706" t="s">
        <v>88</v>
      </c>
      <c r="AG1706" t="s">
        <v>11628</v>
      </c>
      <c r="AH1706" t="s">
        <v>550</v>
      </c>
      <c r="AI1706" t="s">
        <v>11629</v>
      </c>
    </row>
    <row r="1707" spans="2:35" ht="270">
      <c r="B1707" s="1">
        <v>45798</v>
      </c>
      <c r="C1707" s="1">
        <v>45792</v>
      </c>
      <c r="D1707" t="s">
        <v>542</v>
      </c>
      <c r="E1707" t="s">
        <v>11630</v>
      </c>
      <c r="F1707" t="s">
        <v>148</v>
      </c>
      <c r="G1707" t="s">
        <v>544</v>
      </c>
      <c r="H1707" t="s">
        <v>39</v>
      </c>
      <c r="I1707" t="s">
        <v>40</v>
      </c>
      <c r="J1707" s="2" t="s">
        <v>62</v>
      </c>
      <c r="K1707" t="s">
        <v>42</v>
      </c>
      <c r="L1707" t="s">
        <v>43</v>
      </c>
      <c r="N1707" t="s">
        <v>44</v>
      </c>
      <c r="Q1707">
        <v>30839</v>
      </c>
      <c r="R1707" t="s">
        <v>322</v>
      </c>
      <c r="S1707" t="s">
        <v>6737</v>
      </c>
      <c r="T1707">
        <v>22</v>
      </c>
      <c r="U1707" s="2" t="s">
        <v>11631</v>
      </c>
      <c r="W1707" t="s">
        <v>153</v>
      </c>
      <c r="X1707">
        <v>110024072</v>
      </c>
      <c r="Y1707" t="s">
        <v>1111</v>
      </c>
      <c r="Z1707" t="s">
        <v>999</v>
      </c>
      <c r="AA1707" s="2" t="s">
        <v>11632</v>
      </c>
      <c r="AB1707" t="s">
        <v>1521</v>
      </c>
      <c r="AE1707" t="s">
        <v>11633</v>
      </c>
      <c r="AG1707" t="s">
        <v>11634</v>
      </c>
      <c r="AH1707" t="s">
        <v>550</v>
      </c>
      <c r="AI1707" t="s">
        <v>11635</v>
      </c>
    </row>
    <row r="1708" spans="2:35" ht="300">
      <c r="B1708" s="1">
        <v>45798</v>
      </c>
      <c r="C1708" s="1">
        <v>45792</v>
      </c>
      <c r="D1708" t="s">
        <v>542</v>
      </c>
      <c r="E1708" t="s">
        <v>11636</v>
      </c>
      <c r="F1708" t="s">
        <v>148</v>
      </c>
      <c r="G1708" t="s">
        <v>544</v>
      </c>
      <c r="H1708" t="s">
        <v>39</v>
      </c>
      <c r="I1708" t="s">
        <v>40</v>
      </c>
      <c r="J1708" s="2" t="s">
        <v>62</v>
      </c>
      <c r="K1708" t="s">
        <v>42</v>
      </c>
      <c r="L1708" t="s">
        <v>43</v>
      </c>
      <c r="N1708" t="s">
        <v>44</v>
      </c>
      <c r="Q1708">
        <v>30838</v>
      </c>
      <c r="R1708" t="s">
        <v>322</v>
      </c>
      <c r="S1708" t="s">
        <v>6737</v>
      </c>
      <c r="T1708">
        <v>22</v>
      </c>
      <c r="U1708" s="2" t="s">
        <v>11637</v>
      </c>
      <c r="W1708" t="s">
        <v>153</v>
      </c>
      <c r="X1708">
        <v>110024073</v>
      </c>
      <c r="Y1708" t="s">
        <v>1111</v>
      </c>
      <c r="Z1708" t="s">
        <v>999</v>
      </c>
      <c r="AA1708" s="2" t="s">
        <v>11632</v>
      </c>
      <c r="AB1708" t="s">
        <v>1521</v>
      </c>
      <c r="AE1708" t="s">
        <v>11633</v>
      </c>
      <c r="AG1708" t="s">
        <v>11638</v>
      </c>
      <c r="AH1708" t="s">
        <v>550</v>
      </c>
      <c r="AI1708" t="s">
        <v>11639</v>
      </c>
    </row>
    <row r="1709" spans="2:35" ht="255">
      <c r="B1709" s="1">
        <v>45798</v>
      </c>
      <c r="C1709" s="1">
        <v>45791</v>
      </c>
      <c r="D1709" t="s">
        <v>1099</v>
      </c>
      <c r="E1709" t="s">
        <v>11640</v>
      </c>
      <c r="F1709" t="s">
        <v>148</v>
      </c>
      <c r="G1709" t="s">
        <v>406</v>
      </c>
      <c r="H1709" t="s">
        <v>39</v>
      </c>
      <c r="I1709" t="s">
        <v>40</v>
      </c>
      <c r="J1709" s="2" t="s">
        <v>62</v>
      </c>
      <c r="K1709" t="s">
        <v>387</v>
      </c>
      <c r="L1709" t="s">
        <v>43</v>
      </c>
      <c r="N1709" t="s">
        <v>44</v>
      </c>
      <c r="O1709" t="s">
        <v>1091</v>
      </c>
      <c r="Q1709">
        <v>30837</v>
      </c>
      <c r="R1709" t="s">
        <v>95</v>
      </c>
      <c r="S1709" t="s">
        <v>5701</v>
      </c>
      <c r="T1709">
        <v>22</v>
      </c>
      <c r="W1709" t="s">
        <v>390</v>
      </c>
      <c r="X1709" t="s">
        <v>5702</v>
      </c>
      <c r="Y1709" t="s">
        <v>9934</v>
      </c>
      <c r="Z1709" t="s">
        <v>5230</v>
      </c>
      <c r="AA1709" s="2" t="s">
        <v>11641</v>
      </c>
      <c r="AB1709" t="s">
        <v>88</v>
      </c>
      <c r="AG1709" t="s">
        <v>11642</v>
      </c>
      <c r="AH1709" t="s">
        <v>11643</v>
      </c>
      <c r="AI1709" t="s">
        <v>11644</v>
      </c>
    </row>
    <row r="1710" spans="2:35" ht="409.5">
      <c r="B1710" s="1">
        <v>45798</v>
      </c>
      <c r="C1710" s="1">
        <v>45791</v>
      </c>
      <c r="D1710" t="s">
        <v>1099</v>
      </c>
      <c r="E1710" t="s">
        <v>8211</v>
      </c>
      <c r="F1710" t="s">
        <v>148</v>
      </c>
      <c r="G1710" t="s">
        <v>406</v>
      </c>
      <c r="H1710" t="s">
        <v>39</v>
      </c>
      <c r="I1710" t="s">
        <v>40</v>
      </c>
      <c r="J1710" t="s">
        <v>109</v>
      </c>
      <c r="K1710" t="s">
        <v>42</v>
      </c>
      <c r="L1710" t="s">
        <v>43</v>
      </c>
      <c r="N1710" t="s">
        <v>44</v>
      </c>
      <c r="O1710" t="s">
        <v>1091</v>
      </c>
      <c r="Q1710">
        <v>30836</v>
      </c>
      <c r="R1710" t="s">
        <v>95</v>
      </c>
      <c r="S1710" t="s">
        <v>5690</v>
      </c>
      <c r="T1710">
        <v>22</v>
      </c>
      <c r="U1710" s="2" t="s">
        <v>11645</v>
      </c>
      <c r="W1710" t="s">
        <v>48</v>
      </c>
      <c r="X1710">
        <v>839232</v>
      </c>
      <c r="Y1710" t="s">
        <v>121</v>
      </c>
      <c r="Z1710" t="s">
        <v>122</v>
      </c>
      <c r="AA1710" s="2" t="s">
        <v>9744</v>
      </c>
      <c r="AB1710" t="s">
        <v>11646</v>
      </c>
      <c r="AG1710" t="s">
        <v>11647</v>
      </c>
      <c r="AH1710" t="s">
        <v>8215</v>
      </c>
      <c r="AI1710" t="s">
        <v>11648</v>
      </c>
    </row>
    <row r="1711" spans="2:35" ht="409.5">
      <c r="B1711" s="1">
        <v>45798</v>
      </c>
      <c r="C1711" s="1">
        <v>45791</v>
      </c>
      <c r="D1711" t="s">
        <v>1099</v>
      </c>
      <c r="E1711" t="s">
        <v>8211</v>
      </c>
      <c r="F1711" t="s">
        <v>148</v>
      </c>
      <c r="G1711" t="s">
        <v>406</v>
      </c>
      <c r="H1711" t="s">
        <v>39</v>
      </c>
      <c r="I1711" t="s">
        <v>40</v>
      </c>
      <c r="J1711" t="s">
        <v>109</v>
      </c>
      <c r="K1711" t="s">
        <v>42</v>
      </c>
      <c r="L1711" t="s">
        <v>43</v>
      </c>
      <c r="N1711" t="s">
        <v>44</v>
      </c>
      <c r="O1711" t="s">
        <v>1091</v>
      </c>
      <c r="Q1711">
        <v>30835</v>
      </c>
      <c r="R1711" t="s">
        <v>95</v>
      </c>
      <c r="S1711" t="s">
        <v>5690</v>
      </c>
      <c r="T1711">
        <v>22</v>
      </c>
      <c r="U1711" s="2" t="s">
        <v>11649</v>
      </c>
      <c r="W1711" t="s">
        <v>153</v>
      </c>
      <c r="X1711">
        <v>120002483</v>
      </c>
      <c r="Y1711" t="s">
        <v>121</v>
      </c>
      <c r="Z1711" t="s">
        <v>122</v>
      </c>
      <c r="AA1711" s="2" t="s">
        <v>9744</v>
      </c>
      <c r="AB1711" t="s">
        <v>88</v>
      </c>
      <c r="AG1711" t="s">
        <v>11650</v>
      </c>
      <c r="AH1711" t="s">
        <v>8215</v>
      </c>
      <c r="AI1711" t="s">
        <v>11651</v>
      </c>
    </row>
    <row r="1712" spans="2:35" ht="409.5">
      <c r="B1712" s="1">
        <v>45798</v>
      </c>
      <c r="C1712" s="1">
        <v>45734</v>
      </c>
      <c r="D1712" t="s">
        <v>3669</v>
      </c>
      <c r="E1712" t="s">
        <v>3670</v>
      </c>
      <c r="F1712" t="s">
        <v>37</v>
      </c>
      <c r="G1712" t="s">
        <v>38</v>
      </c>
      <c r="H1712" t="s">
        <v>39</v>
      </c>
      <c r="I1712" t="s">
        <v>40</v>
      </c>
      <c r="J1712" s="2" t="s">
        <v>190</v>
      </c>
      <c r="K1712" t="s">
        <v>42</v>
      </c>
      <c r="L1712" t="s">
        <v>43</v>
      </c>
      <c r="N1712" t="s">
        <v>44</v>
      </c>
      <c r="Q1712">
        <v>30834</v>
      </c>
      <c r="R1712" t="s">
        <v>95</v>
      </c>
      <c r="S1712" t="s">
        <v>5580</v>
      </c>
      <c r="T1712">
        <v>22</v>
      </c>
      <c r="U1712" s="2" t="s">
        <v>11652</v>
      </c>
      <c r="W1712" t="s">
        <v>48</v>
      </c>
      <c r="X1712">
        <v>110005265</v>
      </c>
      <c r="Y1712" t="s">
        <v>11653</v>
      </c>
      <c r="Z1712" t="s">
        <v>11654</v>
      </c>
      <c r="AA1712" s="2" t="s">
        <v>11655</v>
      </c>
      <c r="AB1712" t="s">
        <v>11656</v>
      </c>
      <c r="AC1712" t="s">
        <v>11657</v>
      </c>
      <c r="AG1712" t="s">
        <v>11658</v>
      </c>
      <c r="AH1712" t="s">
        <v>11659</v>
      </c>
      <c r="AI1712" t="s">
        <v>11660</v>
      </c>
    </row>
    <row r="1713" spans="2:35" ht="225">
      <c r="B1713" s="1">
        <v>45798</v>
      </c>
      <c r="C1713" s="1">
        <v>45792</v>
      </c>
      <c r="D1713" t="s">
        <v>4909</v>
      </c>
      <c r="E1713" t="s">
        <v>11661</v>
      </c>
      <c r="F1713" t="s">
        <v>148</v>
      </c>
      <c r="G1713" t="s">
        <v>785</v>
      </c>
      <c r="H1713" t="s">
        <v>39</v>
      </c>
      <c r="I1713" t="s">
        <v>40</v>
      </c>
      <c r="J1713" t="s">
        <v>109</v>
      </c>
      <c r="K1713" t="s">
        <v>42</v>
      </c>
      <c r="L1713" t="s">
        <v>43</v>
      </c>
      <c r="N1713" t="s">
        <v>44</v>
      </c>
      <c r="Q1713">
        <v>30833</v>
      </c>
      <c r="R1713" t="s">
        <v>322</v>
      </c>
      <c r="S1713" t="s">
        <v>786</v>
      </c>
      <c r="T1713">
        <v>25</v>
      </c>
      <c r="U1713" s="2" t="s">
        <v>11662</v>
      </c>
      <c r="W1713" t="s">
        <v>11663</v>
      </c>
      <c r="X1713">
        <v>821648</v>
      </c>
      <c r="Y1713" t="s">
        <v>121</v>
      </c>
      <c r="Z1713" t="s">
        <v>122</v>
      </c>
      <c r="AA1713" s="2" t="s">
        <v>10063</v>
      </c>
      <c r="AB1713" t="s">
        <v>88</v>
      </c>
      <c r="AG1713" t="s">
        <v>11664</v>
      </c>
      <c r="AH1713" t="s">
        <v>4918</v>
      </c>
      <c r="AI1713" t="s">
        <v>11665</v>
      </c>
    </row>
    <row r="1714" spans="2:35" ht="120">
      <c r="B1714" s="1">
        <v>45798</v>
      </c>
      <c r="C1714" s="1">
        <v>45797</v>
      </c>
      <c r="D1714" t="s">
        <v>1099</v>
      </c>
      <c r="E1714" t="s">
        <v>11640</v>
      </c>
      <c r="F1714" t="s">
        <v>148</v>
      </c>
      <c r="G1714" t="s">
        <v>406</v>
      </c>
      <c r="H1714" t="s">
        <v>2274</v>
      </c>
      <c r="I1714" t="s">
        <v>40</v>
      </c>
      <c r="J1714" t="s">
        <v>11666</v>
      </c>
      <c r="K1714" t="s">
        <v>387</v>
      </c>
      <c r="L1714" t="s">
        <v>43</v>
      </c>
      <c r="N1714" t="s">
        <v>44</v>
      </c>
      <c r="O1714" t="s">
        <v>1091</v>
      </c>
      <c r="Q1714">
        <v>30832</v>
      </c>
      <c r="R1714" t="s">
        <v>95</v>
      </c>
      <c r="S1714" t="s">
        <v>5701</v>
      </c>
      <c r="T1714">
        <v>22</v>
      </c>
      <c r="W1714" t="s">
        <v>390</v>
      </c>
      <c r="X1714" t="s">
        <v>5702</v>
      </c>
      <c r="Y1714" t="s">
        <v>11666</v>
      </c>
      <c r="Z1714" t="s">
        <v>11667</v>
      </c>
      <c r="AA1714" s="2" t="s">
        <v>11668</v>
      </c>
      <c r="AB1714" t="s">
        <v>88</v>
      </c>
      <c r="AG1714" t="s">
        <v>11669</v>
      </c>
      <c r="AH1714" t="s">
        <v>5705</v>
      </c>
      <c r="AI1714" t="s">
        <v>11670</v>
      </c>
    </row>
    <row r="1715" spans="2:35" ht="409.5">
      <c r="B1715" s="1">
        <v>45798</v>
      </c>
      <c r="C1715" s="1">
        <v>45798</v>
      </c>
      <c r="D1715" t="s">
        <v>11671</v>
      </c>
      <c r="E1715" t="s">
        <v>2136</v>
      </c>
      <c r="F1715" t="s">
        <v>1255</v>
      </c>
      <c r="G1715" t="s">
        <v>1887</v>
      </c>
      <c r="H1715" t="s">
        <v>2138</v>
      </c>
      <c r="I1715" t="s">
        <v>40</v>
      </c>
      <c r="J1715" s="2" t="s">
        <v>760</v>
      </c>
      <c r="K1715" t="s">
        <v>387</v>
      </c>
      <c r="L1715" t="s">
        <v>296</v>
      </c>
      <c r="N1715" t="s">
        <v>297</v>
      </c>
      <c r="O1715" t="s">
        <v>2867</v>
      </c>
      <c r="Q1715">
        <v>30831</v>
      </c>
      <c r="R1715" t="s">
        <v>95</v>
      </c>
      <c r="S1715" t="s">
        <v>2139</v>
      </c>
      <c r="T1715">
        <v>23.7</v>
      </c>
      <c r="W1715" t="s">
        <v>390</v>
      </c>
      <c r="X1715" t="s">
        <v>2141</v>
      </c>
      <c r="Y1715" t="s">
        <v>11672</v>
      </c>
      <c r="Z1715" s="2" t="s">
        <v>11673</v>
      </c>
      <c r="AA1715" t="s">
        <v>11674</v>
      </c>
      <c r="AB1715" s="2" t="s">
        <v>11675</v>
      </c>
      <c r="AC1715" t="s">
        <v>11676</v>
      </c>
      <c r="AG1715" t="s">
        <v>11677</v>
      </c>
      <c r="AH1715" t="s">
        <v>11678</v>
      </c>
      <c r="AI1715" t="s">
        <v>11679</v>
      </c>
    </row>
    <row r="1716" spans="2:35" ht="195">
      <c r="B1716" s="1">
        <v>45798</v>
      </c>
      <c r="C1716" s="1">
        <v>45798</v>
      </c>
      <c r="D1716" t="s">
        <v>11671</v>
      </c>
      <c r="E1716" t="s">
        <v>2136</v>
      </c>
      <c r="F1716" t="s">
        <v>1255</v>
      </c>
      <c r="G1716" t="s">
        <v>1887</v>
      </c>
      <c r="H1716" t="s">
        <v>2138</v>
      </c>
      <c r="I1716" t="s">
        <v>40</v>
      </c>
      <c r="J1716" s="2" t="s">
        <v>62</v>
      </c>
      <c r="K1716" t="s">
        <v>387</v>
      </c>
      <c r="L1716" t="s">
        <v>296</v>
      </c>
      <c r="N1716" t="s">
        <v>297</v>
      </c>
      <c r="O1716" t="s">
        <v>2867</v>
      </c>
      <c r="Q1716">
        <v>30830</v>
      </c>
      <c r="R1716" t="s">
        <v>95</v>
      </c>
      <c r="S1716" t="s">
        <v>2139</v>
      </c>
      <c r="T1716">
        <v>23.7</v>
      </c>
      <c r="W1716" t="s">
        <v>390</v>
      </c>
      <c r="X1716" t="s">
        <v>6963</v>
      </c>
      <c r="Y1716" t="s">
        <v>11680</v>
      </c>
      <c r="Z1716" s="2" t="s">
        <v>11681</v>
      </c>
      <c r="AA1716" s="2" t="s">
        <v>11682</v>
      </c>
      <c r="AB1716" t="s">
        <v>11683</v>
      </c>
      <c r="AG1716" t="s">
        <v>11684</v>
      </c>
      <c r="AH1716" t="s">
        <v>11678</v>
      </c>
      <c r="AI1716" t="s">
        <v>11685</v>
      </c>
    </row>
    <row r="1717" spans="2:35" ht="409.5">
      <c r="B1717" s="1">
        <v>45798</v>
      </c>
      <c r="C1717" s="1">
        <v>45798</v>
      </c>
      <c r="D1717" t="s">
        <v>2272</v>
      </c>
      <c r="E1717" t="s">
        <v>8404</v>
      </c>
      <c r="F1717" t="s">
        <v>148</v>
      </c>
      <c r="G1717" t="s">
        <v>310</v>
      </c>
      <c r="H1717" t="s">
        <v>5042</v>
      </c>
      <c r="I1717" t="s">
        <v>40</v>
      </c>
      <c r="J1717" t="s">
        <v>109</v>
      </c>
      <c r="K1717" t="s">
        <v>42</v>
      </c>
      <c r="L1717" t="s">
        <v>1943</v>
      </c>
      <c r="N1717" t="s">
        <v>1944</v>
      </c>
      <c r="O1717" t="s">
        <v>2275</v>
      </c>
      <c r="Q1717">
        <v>30829</v>
      </c>
      <c r="R1717" t="s">
        <v>703</v>
      </c>
      <c r="S1717" t="s">
        <v>6830</v>
      </c>
      <c r="T1717">
        <v>25</v>
      </c>
      <c r="U1717" s="2" t="s">
        <v>11686</v>
      </c>
      <c r="W1717" t="s">
        <v>373</v>
      </c>
      <c r="X1717">
        <v>120002026</v>
      </c>
      <c r="Y1717" t="s">
        <v>2099</v>
      </c>
      <c r="Z1717" t="s">
        <v>2100</v>
      </c>
      <c r="AA1717" s="2" t="s">
        <v>2101</v>
      </c>
      <c r="AB1717" t="s">
        <v>88</v>
      </c>
      <c r="AG1717" t="s">
        <v>11687</v>
      </c>
      <c r="AH1717" t="s">
        <v>11688</v>
      </c>
      <c r="AI1717" t="s">
        <v>11689</v>
      </c>
    </row>
    <row r="1718" spans="2:35" ht="105">
      <c r="B1718" s="1">
        <v>45798</v>
      </c>
      <c r="C1718" s="1">
        <v>45798</v>
      </c>
      <c r="D1718" t="s">
        <v>1071</v>
      </c>
      <c r="E1718" t="s">
        <v>1555</v>
      </c>
      <c r="F1718">
        <v>7</v>
      </c>
      <c r="G1718" t="s">
        <v>432</v>
      </c>
      <c r="H1718" t="s">
        <v>150</v>
      </c>
      <c r="I1718" t="s">
        <v>40</v>
      </c>
      <c r="J1718" t="s">
        <v>109</v>
      </c>
      <c r="K1718" t="s">
        <v>42</v>
      </c>
      <c r="L1718" t="s">
        <v>343</v>
      </c>
      <c r="N1718" t="s">
        <v>344</v>
      </c>
      <c r="Q1718">
        <v>30828</v>
      </c>
      <c r="R1718" t="s">
        <v>119</v>
      </c>
      <c r="S1718" t="s">
        <v>8679</v>
      </c>
      <c r="T1718">
        <v>26</v>
      </c>
      <c r="U1718" s="2" t="s">
        <v>11690</v>
      </c>
      <c r="W1718" t="s">
        <v>1501</v>
      </c>
      <c r="X1718">
        <v>838285</v>
      </c>
      <c r="Y1718" t="s">
        <v>7415</v>
      </c>
      <c r="Z1718" t="s">
        <v>11691</v>
      </c>
      <c r="AA1718" t="e">
        <f ca="1">-Preventive Maintenance
-Extract Data</f>
        <v>#NAME?</v>
      </c>
      <c r="AB1718" t="s">
        <v>348</v>
      </c>
      <c r="AG1718" t="s">
        <v>11692</v>
      </c>
      <c r="AH1718" t="s">
        <v>11693</v>
      </c>
      <c r="AI1718" t="s">
        <v>11694</v>
      </c>
    </row>
    <row r="1719" spans="2:35" ht="360">
      <c r="B1719" s="1">
        <v>45798</v>
      </c>
      <c r="C1719" s="1">
        <v>45798</v>
      </c>
      <c r="D1719" t="s">
        <v>11695</v>
      </c>
      <c r="E1719" t="s">
        <v>9465</v>
      </c>
      <c r="F1719">
        <v>3</v>
      </c>
      <c r="G1719" t="s">
        <v>730</v>
      </c>
      <c r="H1719" t="s">
        <v>39</v>
      </c>
      <c r="I1719" t="s">
        <v>40</v>
      </c>
      <c r="J1719" t="s">
        <v>109</v>
      </c>
      <c r="K1719" t="s">
        <v>42</v>
      </c>
      <c r="L1719" t="s">
        <v>135</v>
      </c>
      <c r="N1719" t="s">
        <v>136</v>
      </c>
      <c r="Q1719">
        <v>30827</v>
      </c>
      <c r="R1719" t="s">
        <v>95</v>
      </c>
      <c r="S1719" t="s">
        <v>9303</v>
      </c>
      <c r="T1719">
        <v>26</v>
      </c>
      <c r="U1719" s="2" t="s">
        <v>2383</v>
      </c>
      <c r="W1719" t="s">
        <v>2680</v>
      </c>
      <c r="X1719">
        <v>839232</v>
      </c>
      <c r="Y1719" t="s">
        <v>11696</v>
      </c>
      <c r="Z1719" t="s">
        <v>4315</v>
      </c>
      <c r="AA1719" s="2" t="s">
        <v>4316</v>
      </c>
      <c r="AB1719" s="2" t="s">
        <v>11697</v>
      </c>
      <c r="AG1719" t="s">
        <v>11698</v>
      </c>
      <c r="AH1719" t="s">
        <v>9306</v>
      </c>
      <c r="AI1719" t="s">
        <v>11699</v>
      </c>
    </row>
    <row r="1720" spans="2:35">
      <c r="B1720" s="1">
        <v>45798</v>
      </c>
      <c r="C1720" s="1">
        <v>45798</v>
      </c>
      <c r="D1720" t="s">
        <v>5228</v>
      </c>
      <c r="E1720" t="s">
        <v>582</v>
      </c>
      <c r="F1720" t="s">
        <v>148</v>
      </c>
      <c r="G1720" t="s">
        <v>447</v>
      </c>
      <c r="H1720" t="s">
        <v>39</v>
      </c>
      <c r="I1720" t="s">
        <v>40</v>
      </c>
      <c r="J1720" t="s">
        <v>109</v>
      </c>
      <c r="K1720" t="s">
        <v>42</v>
      </c>
      <c r="L1720" t="s">
        <v>175</v>
      </c>
      <c r="N1720" t="s">
        <v>176</v>
      </c>
      <c r="Q1720">
        <v>30826</v>
      </c>
      <c r="R1720" t="s">
        <v>967</v>
      </c>
      <c r="S1720" t="s">
        <v>5229</v>
      </c>
      <c r="T1720">
        <v>25</v>
      </c>
      <c r="W1720" t="s">
        <v>373</v>
      </c>
      <c r="X1720">
        <v>110023495</v>
      </c>
      <c r="Y1720" t="s">
        <v>374</v>
      </c>
      <c r="Z1720" t="s">
        <v>103</v>
      </c>
      <c r="AA1720" t="e">
        <f ca="1">- checked _xludf.and cleaned cartridge bay, plunger rod, _xludf.filter
- generated reports
- performed self test</f>
        <v>#NAME?</v>
      </c>
      <c r="AB1720" t="s">
        <v>181</v>
      </c>
      <c r="AG1720" t="s">
        <v>11700</v>
      </c>
      <c r="AH1720" t="s">
        <v>11701</v>
      </c>
      <c r="AI1720" t="s">
        <v>11702</v>
      </c>
    </row>
    <row r="1721" spans="2:35" ht="360">
      <c r="B1721" s="1">
        <v>45798</v>
      </c>
      <c r="C1721" s="1">
        <v>45798</v>
      </c>
      <c r="D1721" t="s">
        <v>9302</v>
      </c>
      <c r="E1721" t="s">
        <v>11703</v>
      </c>
      <c r="F1721">
        <v>3</v>
      </c>
      <c r="G1721" t="s">
        <v>730</v>
      </c>
      <c r="H1721" t="s">
        <v>39</v>
      </c>
      <c r="I1721" t="s">
        <v>40</v>
      </c>
      <c r="J1721" t="s">
        <v>109</v>
      </c>
      <c r="K1721" t="s">
        <v>42</v>
      </c>
      <c r="L1721" t="s">
        <v>135</v>
      </c>
      <c r="N1721" t="s">
        <v>136</v>
      </c>
      <c r="O1721" t="s">
        <v>9308</v>
      </c>
      <c r="Q1721">
        <v>30825</v>
      </c>
      <c r="R1721" t="s">
        <v>95</v>
      </c>
      <c r="S1721" t="s">
        <v>9303</v>
      </c>
      <c r="T1721">
        <v>26</v>
      </c>
      <c r="U1721" s="2" t="s">
        <v>2383</v>
      </c>
      <c r="W1721" t="s">
        <v>3418</v>
      </c>
      <c r="X1721">
        <v>830841</v>
      </c>
      <c r="Y1721" t="s">
        <v>11696</v>
      </c>
      <c r="Z1721" t="s">
        <v>4315</v>
      </c>
      <c r="AA1721" s="2" t="s">
        <v>4316</v>
      </c>
      <c r="AB1721" t="s">
        <v>181</v>
      </c>
      <c r="AG1721" t="s">
        <v>11704</v>
      </c>
      <c r="AH1721" t="s">
        <v>9306</v>
      </c>
      <c r="AI1721" t="s">
        <v>11705</v>
      </c>
    </row>
    <row r="1722" spans="2:35">
      <c r="B1722" s="1">
        <v>45798</v>
      </c>
      <c r="C1722" s="1">
        <v>45798</v>
      </c>
      <c r="D1722" t="s">
        <v>5228</v>
      </c>
      <c r="E1722" t="s">
        <v>582</v>
      </c>
      <c r="F1722" t="s">
        <v>148</v>
      </c>
      <c r="G1722" t="s">
        <v>447</v>
      </c>
      <c r="H1722" t="s">
        <v>39</v>
      </c>
      <c r="I1722" t="s">
        <v>40</v>
      </c>
      <c r="J1722" t="s">
        <v>109</v>
      </c>
      <c r="K1722" t="s">
        <v>42</v>
      </c>
      <c r="L1722" t="s">
        <v>175</v>
      </c>
      <c r="N1722" t="s">
        <v>176</v>
      </c>
      <c r="Q1722">
        <v>30824</v>
      </c>
      <c r="R1722" t="s">
        <v>322</v>
      </c>
      <c r="S1722" t="s">
        <v>8157</v>
      </c>
      <c r="T1722">
        <v>25</v>
      </c>
      <c r="W1722" t="s">
        <v>373</v>
      </c>
      <c r="X1722">
        <v>110012766</v>
      </c>
      <c r="Y1722" t="s">
        <v>374</v>
      </c>
      <c r="Z1722" t="s">
        <v>375</v>
      </c>
      <c r="AA1722" t="e">
        <f ca="1">- checked _xludf.and cleaned cartridge bay, plunger rod, _xludf.filter
- generated reports
- performed self test</f>
        <v>#NAME?</v>
      </c>
      <c r="AB1722" t="s">
        <v>181</v>
      </c>
      <c r="AG1722" t="s">
        <v>11706</v>
      </c>
      <c r="AH1722" t="s">
        <v>11707</v>
      </c>
      <c r="AI1722" t="s">
        <v>11708</v>
      </c>
    </row>
    <row r="1723" spans="2:35" ht="409.5">
      <c r="B1723" s="1">
        <v>45798</v>
      </c>
      <c r="C1723" s="1">
        <v>45798</v>
      </c>
      <c r="D1723" t="s">
        <v>11709</v>
      </c>
      <c r="E1723" t="s">
        <v>11710</v>
      </c>
      <c r="F1723" t="s">
        <v>148</v>
      </c>
      <c r="G1723" t="s">
        <v>310</v>
      </c>
      <c r="H1723" t="s">
        <v>39</v>
      </c>
      <c r="I1723" t="s">
        <v>40</v>
      </c>
      <c r="J1723" t="s">
        <v>109</v>
      </c>
      <c r="K1723" t="s">
        <v>42</v>
      </c>
      <c r="L1723" t="s">
        <v>1943</v>
      </c>
      <c r="N1723" t="s">
        <v>1944</v>
      </c>
      <c r="O1723" t="s">
        <v>11711</v>
      </c>
      <c r="Q1723">
        <v>30823</v>
      </c>
      <c r="R1723" t="s">
        <v>703</v>
      </c>
      <c r="S1723" t="s">
        <v>11712</v>
      </c>
      <c r="T1723">
        <v>25</v>
      </c>
      <c r="U1723" s="2" t="s">
        <v>11713</v>
      </c>
      <c r="W1723" t="s">
        <v>11714</v>
      </c>
      <c r="X1723">
        <v>110022622</v>
      </c>
      <c r="Y1723" t="s">
        <v>2099</v>
      </c>
      <c r="Z1723" t="s">
        <v>2100</v>
      </c>
      <c r="AA1723" s="2" t="s">
        <v>2101</v>
      </c>
      <c r="AB1723" t="s">
        <v>88</v>
      </c>
      <c r="AG1723" t="s">
        <v>11715</v>
      </c>
      <c r="AH1723" t="s">
        <v>11716</v>
      </c>
      <c r="AI1723" t="s">
        <v>11717</v>
      </c>
    </row>
    <row r="1724" spans="2:35" ht="105">
      <c r="B1724" s="1">
        <v>45798</v>
      </c>
      <c r="C1724" s="1">
        <v>45798</v>
      </c>
      <c r="D1724" t="s">
        <v>340</v>
      </c>
      <c r="E1724" t="s">
        <v>8872</v>
      </c>
      <c r="F1724">
        <v>8</v>
      </c>
      <c r="G1724" t="s">
        <v>342</v>
      </c>
      <c r="H1724" t="s">
        <v>258</v>
      </c>
      <c r="I1724" t="s">
        <v>40</v>
      </c>
      <c r="J1724" t="s">
        <v>109</v>
      </c>
      <c r="K1724" t="s">
        <v>42</v>
      </c>
      <c r="L1724" t="s">
        <v>259</v>
      </c>
      <c r="N1724" t="s">
        <v>260</v>
      </c>
      <c r="Q1724">
        <v>30822</v>
      </c>
      <c r="R1724" t="s">
        <v>119</v>
      </c>
      <c r="S1724" t="s">
        <v>345</v>
      </c>
      <c r="T1724">
        <v>27</v>
      </c>
      <c r="U1724" s="2" t="s">
        <v>11718</v>
      </c>
      <c r="V1724" s="1">
        <v>45798</v>
      </c>
      <c r="W1724" t="s">
        <v>84</v>
      </c>
      <c r="X1724">
        <v>838555</v>
      </c>
      <c r="Y1724" t="s">
        <v>263</v>
      </c>
      <c r="Z1724" t="s">
        <v>263</v>
      </c>
      <c r="AA1724" t="e">
        <f ca="1">-Preventive Maintenance
- Backup Data</f>
        <v>#NAME?</v>
      </c>
      <c r="AB1724" t="s">
        <v>70</v>
      </c>
      <c r="AG1724" t="s">
        <v>11719</v>
      </c>
      <c r="AH1724" t="s">
        <v>11720</v>
      </c>
      <c r="AI1724" t="s">
        <v>11721</v>
      </c>
    </row>
    <row r="1725" spans="2:35" ht="135">
      <c r="B1725" s="1">
        <v>45798</v>
      </c>
      <c r="C1725" s="1">
        <v>45798</v>
      </c>
      <c r="D1725" t="s">
        <v>11722</v>
      </c>
      <c r="E1725" t="s">
        <v>1555</v>
      </c>
      <c r="F1725">
        <v>7</v>
      </c>
      <c r="G1725" t="s">
        <v>432</v>
      </c>
      <c r="H1725" t="s">
        <v>39</v>
      </c>
      <c r="I1725" t="s">
        <v>40</v>
      </c>
      <c r="J1725" t="s">
        <v>109</v>
      </c>
      <c r="K1725" t="s">
        <v>42</v>
      </c>
      <c r="L1725" t="s">
        <v>433</v>
      </c>
      <c r="N1725" t="s">
        <v>434</v>
      </c>
      <c r="Q1725">
        <v>30821</v>
      </c>
      <c r="R1725" t="s">
        <v>967</v>
      </c>
      <c r="S1725" t="s">
        <v>5548</v>
      </c>
      <c r="T1725">
        <v>25</v>
      </c>
      <c r="W1725" t="s">
        <v>502</v>
      </c>
      <c r="X1725">
        <v>110023513</v>
      </c>
      <c r="Y1725" t="s">
        <v>11723</v>
      </c>
      <c r="Z1725" s="2" t="s">
        <v>11724</v>
      </c>
      <c r="AA1725" s="2" t="s">
        <v>11724</v>
      </c>
      <c r="AB1725" t="s">
        <v>1011</v>
      </c>
      <c r="AG1725" t="s">
        <v>11725</v>
      </c>
      <c r="AH1725" t="s">
        <v>7130</v>
      </c>
      <c r="AI1725" t="s">
        <v>11726</v>
      </c>
    </row>
    <row r="1726" spans="2:35" ht="135">
      <c r="B1726" s="1">
        <v>45798</v>
      </c>
      <c r="C1726" s="1">
        <v>45798</v>
      </c>
      <c r="D1726" t="s">
        <v>5546</v>
      </c>
      <c r="E1726" t="s">
        <v>1555</v>
      </c>
      <c r="F1726">
        <v>7</v>
      </c>
      <c r="G1726" t="s">
        <v>432</v>
      </c>
      <c r="H1726" t="s">
        <v>39</v>
      </c>
      <c r="I1726" t="s">
        <v>40</v>
      </c>
      <c r="J1726" t="s">
        <v>109</v>
      </c>
      <c r="K1726" t="s">
        <v>42</v>
      </c>
      <c r="L1726" t="s">
        <v>433</v>
      </c>
      <c r="N1726" t="s">
        <v>434</v>
      </c>
      <c r="Q1726">
        <v>30820</v>
      </c>
      <c r="R1726" t="s">
        <v>119</v>
      </c>
      <c r="S1726" t="s">
        <v>5548</v>
      </c>
      <c r="T1726">
        <v>25</v>
      </c>
      <c r="W1726" t="s">
        <v>1008</v>
      </c>
      <c r="X1726">
        <v>838527</v>
      </c>
      <c r="Y1726" t="s">
        <v>11723</v>
      </c>
      <c r="Z1726" s="2" t="s">
        <v>11727</v>
      </c>
      <c r="AA1726" s="2" t="s">
        <v>11727</v>
      </c>
      <c r="AB1726" t="s">
        <v>1011</v>
      </c>
      <c r="AG1726" t="s">
        <v>11728</v>
      </c>
      <c r="AH1726" t="s">
        <v>5551</v>
      </c>
      <c r="AI1726" t="s">
        <v>11729</v>
      </c>
    </row>
    <row r="1727" spans="2:35">
      <c r="B1727" s="1">
        <v>45797</v>
      </c>
      <c r="C1727" s="1">
        <v>45792</v>
      </c>
      <c r="D1727" t="s">
        <v>8123</v>
      </c>
      <c r="E1727" t="s">
        <v>8124</v>
      </c>
      <c r="F1727">
        <v>13</v>
      </c>
      <c r="G1727" t="s">
        <v>4484</v>
      </c>
      <c r="H1727" t="s">
        <v>2125</v>
      </c>
      <c r="I1727" t="s">
        <v>40</v>
      </c>
      <c r="J1727" t="s">
        <v>109</v>
      </c>
      <c r="K1727" t="s">
        <v>42</v>
      </c>
      <c r="L1727" t="s">
        <v>933</v>
      </c>
      <c r="N1727" t="s">
        <v>934</v>
      </c>
      <c r="Q1727">
        <v>30819</v>
      </c>
      <c r="R1727" t="s">
        <v>119</v>
      </c>
      <c r="S1727" t="s">
        <v>11730</v>
      </c>
      <c r="T1727">
        <v>27</v>
      </c>
      <c r="W1727" t="s">
        <v>11731</v>
      </c>
      <c r="X1727">
        <v>838554</v>
      </c>
      <c r="Y1727" t="s">
        <v>301</v>
      </c>
      <c r="Z1727" t="s">
        <v>6997</v>
      </c>
      <c r="AA1727" t="s">
        <v>3128</v>
      </c>
      <c r="AB1727" t="s">
        <v>8924</v>
      </c>
      <c r="AG1727" t="s">
        <v>11732</v>
      </c>
      <c r="AH1727" t="s">
        <v>8129</v>
      </c>
      <c r="AI1727" t="s">
        <v>11733</v>
      </c>
    </row>
    <row r="1728" spans="2:35" ht="240">
      <c r="B1728" s="1">
        <v>45797</v>
      </c>
      <c r="C1728" s="1">
        <v>45797</v>
      </c>
      <c r="D1728" t="s">
        <v>11734</v>
      </c>
      <c r="E1728" t="s">
        <v>7297</v>
      </c>
      <c r="F1728">
        <v>5</v>
      </c>
      <c r="G1728" t="s">
        <v>759</v>
      </c>
      <c r="H1728" t="s">
        <v>39</v>
      </c>
      <c r="I1728" t="s">
        <v>94</v>
      </c>
      <c r="J1728" s="2" t="s">
        <v>190</v>
      </c>
      <c r="K1728" t="s">
        <v>42</v>
      </c>
      <c r="L1728" t="s">
        <v>761</v>
      </c>
      <c r="N1728" t="s">
        <v>762</v>
      </c>
      <c r="Q1728">
        <v>30818</v>
      </c>
      <c r="R1728" t="s">
        <v>119</v>
      </c>
      <c r="S1728" t="s">
        <v>7298</v>
      </c>
      <c r="T1728">
        <v>25</v>
      </c>
      <c r="U1728" s="2" t="s">
        <v>11735</v>
      </c>
      <c r="W1728" t="s">
        <v>765</v>
      </c>
      <c r="X1728">
        <v>838264</v>
      </c>
      <c r="Y1728" t="s">
        <v>11736</v>
      </c>
      <c r="Z1728" s="2" t="s">
        <v>11737</v>
      </c>
      <c r="AA1728" s="2" t="s">
        <v>11738</v>
      </c>
      <c r="AB1728" s="2" t="s">
        <v>11739</v>
      </c>
      <c r="AC1728" t="s">
        <v>11740</v>
      </c>
      <c r="AG1728" t="s">
        <v>11741</v>
      </c>
      <c r="AH1728" t="s">
        <v>11742</v>
      </c>
      <c r="AI1728" t="s">
        <v>11743</v>
      </c>
    </row>
    <row r="1729" spans="2:35" ht="135">
      <c r="B1729" s="1">
        <v>45797</v>
      </c>
      <c r="C1729" s="1">
        <v>45797</v>
      </c>
      <c r="D1729" t="s">
        <v>3897</v>
      </c>
      <c r="E1729" t="s">
        <v>3140</v>
      </c>
      <c r="F1729" t="s">
        <v>148</v>
      </c>
      <c r="G1729" t="s">
        <v>174</v>
      </c>
      <c r="H1729" t="s">
        <v>39</v>
      </c>
      <c r="I1729" t="s">
        <v>40</v>
      </c>
      <c r="J1729" t="s">
        <v>109</v>
      </c>
      <c r="K1729" t="s">
        <v>42</v>
      </c>
      <c r="L1729" t="s">
        <v>175</v>
      </c>
      <c r="N1729" t="s">
        <v>176</v>
      </c>
      <c r="Q1729">
        <v>30817</v>
      </c>
      <c r="R1729" t="s">
        <v>95</v>
      </c>
      <c r="S1729" t="s">
        <v>3898</v>
      </c>
      <c r="T1729">
        <v>25</v>
      </c>
      <c r="W1729" t="s">
        <v>373</v>
      </c>
      <c r="X1729">
        <v>110008530</v>
      </c>
      <c r="Y1729" t="s">
        <v>374</v>
      </c>
      <c r="Z1729" t="s">
        <v>375</v>
      </c>
      <c r="AA1729" t="e">
        <f ca="1">- checked _xludf.and cleaned cartridge bay, plunger rod, _xludf.filter
- generated reports
- generated Assay statistics report
- performed self test</f>
        <v>#NAME?</v>
      </c>
      <c r="AB1729" s="2" t="s">
        <v>11744</v>
      </c>
      <c r="AG1729" t="s">
        <v>11745</v>
      </c>
      <c r="AH1729" t="s">
        <v>8887</v>
      </c>
      <c r="AI1729" t="s">
        <v>11746</v>
      </c>
    </row>
    <row r="1730" spans="2:35" ht="255">
      <c r="B1730" s="1">
        <v>45797</v>
      </c>
      <c r="C1730" s="1">
        <v>45797</v>
      </c>
      <c r="D1730" t="s">
        <v>5660</v>
      </c>
      <c r="E1730" t="s">
        <v>11747</v>
      </c>
      <c r="F1730">
        <v>13</v>
      </c>
      <c r="G1730" t="s">
        <v>931</v>
      </c>
      <c r="H1730" t="s">
        <v>2125</v>
      </c>
      <c r="I1730" t="s">
        <v>40</v>
      </c>
      <c r="J1730" s="2" t="s">
        <v>190</v>
      </c>
      <c r="K1730" t="s">
        <v>42</v>
      </c>
      <c r="L1730" t="s">
        <v>933</v>
      </c>
      <c r="N1730" t="s">
        <v>934</v>
      </c>
      <c r="Q1730">
        <v>30816</v>
      </c>
      <c r="R1730" t="s">
        <v>967</v>
      </c>
      <c r="S1730" t="s">
        <v>5662</v>
      </c>
      <c r="T1730">
        <v>28</v>
      </c>
      <c r="W1730" t="s">
        <v>11748</v>
      </c>
      <c r="X1730">
        <v>110023523</v>
      </c>
      <c r="Y1730" t="s">
        <v>11749</v>
      </c>
      <c r="Z1730" s="2" t="s">
        <v>11750</v>
      </c>
      <c r="AA1730" s="2" t="s">
        <v>11751</v>
      </c>
      <c r="AB1730" s="2" t="s">
        <v>11752</v>
      </c>
      <c r="AG1730" t="s">
        <v>11753</v>
      </c>
      <c r="AH1730" t="s">
        <v>11754</v>
      </c>
      <c r="AI1730" t="s">
        <v>11755</v>
      </c>
    </row>
    <row r="1731" spans="2:35" ht="345">
      <c r="B1731" s="1">
        <v>45796</v>
      </c>
      <c r="C1731" s="1">
        <v>45792</v>
      </c>
      <c r="D1731" t="s">
        <v>2364</v>
      </c>
      <c r="E1731" t="s">
        <v>7483</v>
      </c>
      <c r="F1731">
        <v>12</v>
      </c>
      <c r="G1731" t="s">
        <v>978</v>
      </c>
      <c r="H1731" t="s">
        <v>1473</v>
      </c>
      <c r="I1731" t="s">
        <v>40</v>
      </c>
      <c r="J1731" t="s">
        <v>109</v>
      </c>
      <c r="K1731" t="s">
        <v>42</v>
      </c>
      <c r="L1731" t="s">
        <v>296</v>
      </c>
      <c r="N1731" t="s">
        <v>297</v>
      </c>
      <c r="Q1731">
        <v>30815</v>
      </c>
      <c r="R1731" t="s">
        <v>119</v>
      </c>
      <c r="S1731" t="s">
        <v>7484</v>
      </c>
      <c r="T1731">
        <v>27.4</v>
      </c>
      <c r="U1731" s="2" t="s">
        <v>11756</v>
      </c>
      <c r="W1731" t="s">
        <v>981</v>
      </c>
      <c r="X1731">
        <v>838570</v>
      </c>
      <c r="Y1731" t="s">
        <v>301</v>
      </c>
      <c r="Z1731" s="2" t="s">
        <v>11757</v>
      </c>
      <c r="AA1731" t="s">
        <v>303</v>
      </c>
      <c r="AB1731" t="s">
        <v>7205</v>
      </c>
      <c r="AG1731" t="s">
        <v>11758</v>
      </c>
      <c r="AH1731" t="s">
        <v>7488</v>
      </c>
      <c r="AI1731" t="s">
        <v>11759</v>
      </c>
    </row>
    <row r="1732" spans="2:35" ht="409.5">
      <c r="B1732" s="1">
        <v>45796</v>
      </c>
      <c r="C1732" s="1">
        <v>45796</v>
      </c>
      <c r="D1732" t="s">
        <v>9204</v>
      </c>
      <c r="E1732" t="s">
        <v>1285</v>
      </c>
      <c r="F1732">
        <v>6</v>
      </c>
      <c r="G1732" t="s">
        <v>1286</v>
      </c>
      <c r="H1732" t="s">
        <v>9774</v>
      </c>
      <c r="I1732" t="s">
        <v>40</v>
      </c>
      <c r="J1732" t="s">
        <v>109</v>
      </c>
      <c r="K1732" t="s">
        <v>42</v>
      </c>
      <c r="L1732" t="s">
        <v>1288</v>
      </c>
      <c r="N1732" t="s">
        <v>1289</v>
      </c>
      <c r="Q1732">
        <v>30814</v>
      </c>
      <c r="R1732" t="s">
        <v>119</v>
      </c>
      <c r="S1732" t="s">
        <v>7853</v>
      </c>
      <c r="T1732">
        <v>28</v>
      </c>
      <c r="U1732" s="2" t="s">
        <v>11760</v>
      </c>
      <c r="W1732" t="s">
        <v>1292</v>
      </c>
      <c r="X1732">
        <v>110021716</v>
      </c>
      <c r="Y1732" t="e">
        <f ca="1">-_xludf.For Preventive Maintenance</f>
        <v>#NAME?</v>
      </c>
      <c r="Z1732" t="e">
        <f ca="1">-COLLECT IQR, system _xludf.Log, _xludf.and ARCHIVE</f>
        <v>#NAME?</v>
      </c>
      <c r="AA1732" t="e">
        <f ca="1">-PERFORM Preventive Maintenance PROCEDURE:
_xludf.Clean FAN _xludf.filter, plunger rod, _xludf.and cartridge bay</f>
        <v>#NAME?</v>
      </c>
      <c r="AB1732" t="s">
        <v>1293</v>
      </c>
      <c r="AG1732" t="s">
        <v>11761</v>
      </c>
      <c r="AH1732" t="s">
        <v>11762</v>
      </c>
      <c r="AI1732" t="s">
        <v>11763</v>
      </c>
    </row>
    <row r="1733" spans="2:35" ht="225">
      <c r="B1733" s="1">
        <v>45796</v>
      </c>
      <c r="C1733" s="1">
        <v>45793</v>
      </c>
      <c r="D1733" t="s">
        <v>11764</v>
      </c>
      <c r="E1733" t="s">
        <v>11765</v>
      </c>
      <c r="F1733" t="s">
        <v>148</v>
      </c>
      <c r="G1733" t="s">
        <v>785</v>
      </c>
      <c r="H1733" t="s">
        <v>39</v>
      </c>
      <c r="I1733" t="s">
        <v>40</v>
      </c>
      <c r="J1733" t="s">
        <v>109</v>
      </c>
      <c r="K1733" t="s">
        <v>42</v>
      </c>
      <c r="L1733" t="s">
        <v>43</v>
      </c>
      <c r="N1733" t="s">
        <v>44</v>
      </c>
      <c r="Q1733">
        <v>30813</v>
      </c>
      <c r="R1733" t="s">
        <v>322</v>
      </c>
      <c r="S1733" t="s">
        <v>6588</v>
      </c>
      <c r="T1733">
        <v>24</v>
      </c>
      <c r="U1733" s="2" t="s">
        <v>11766</v>
      </c>
      <c r="W1733" t="s">
        <v>153</v>
      </c>
      <c r="X1733">
        <v>110025128</v>
      </c>
      <c r="Y1733" t="s">
        <v>121</v>
      </c>
      <c r="Z1733" t="s">
        <v>122</v>
      </c>
      <c r="AA1733" s="2" t="s">
        <v>9740</v>
      </c>
      <c r="AB1733" t="s">
        <v>181</v>
      </c>
      <c r="AG1733" t="s">
        <v>11767</v>
      </c>
      <c r="AH1733" t="s">
        <v>11768</v>
      </c>
      <c r="AI1733" t="s">
        <v>11769</v>
      </c>
    </row>
    <row r="1734" spans="2:35" ht="225">
      <c r="B1734" s="1">
        <v>45796</v>
      </c>
      <c r="C1734" s="1">
        <v>45793</v>
      </c>
      <c r="D1734" t="s">
        <v>4839</v>
      </c>
      <c r="E1734" t="s">
        <v>11770</v>
      </c>
      <c r="F1734" t="s">
        <v>148</v>
      </c>
      <c r="G1734" t="s">
        <v>785</v>
      </c>
      <c r="H1734" t="s">
        <v>39</v>
      </c>
      <c r="I1734" t="s">
        <v>40</v>
      </c>
      <c r="J1734" t="s">
        <v>109</v>
      </c>
      <c r="K1734" t="s">
        <v>42</v>
      </c>
      <c r="L1734" t="s">
        <v>43</v>
      </c>
      <c r="N1734" t="s">
        <v>44</v>
      </c>
      <c r="O1734" t="s">
        <v>787</v>
      </c>
      <c r="Q1734">
        <v>30812</v>
      </c>
      <c r="R1734" t="s">
        <v>322</v>
      </c>
      <c r="S1734" t="s">
        <v>786</v>
      </c>
      <c r="T1734">
        <v>24</v>
      </c>
      <c r="U1734" s="2" t="s">
        <v>11771</v>
      </c>
      <c r="W1734" t="s">
        <v>153</v>
      </c>
      <c r="X1734">
        <v>110025127</v>
      </c>
      <c r="Y1734" t="s">
        <v>121</v>
      </c>
      <c r="Z1734" t="s">
        <v>122</v>
      </c>
      <c r="AA1734" s="2" t="s">
        <v>9744</v>
      </c>
      <c r="AB1734" t="s">
        <v>181</v>
      </c>
      <c r="AG1734" t="s">
        <v>11772</v>
      </c>
      <c r="AH1734" t="s">
        <v>11773</v>
      </c>
      <c r="AI1734" t="s">
        <v>11774</v>
      </c>
    </row>
    <row r="1735" spans="2:35" ht="225">
      <c r="B1735" s="1">
        <v>45796</v>
      </c>
      <c r="C1735" s="1">
        <v>45793</v>
      </c>
      <c r="D1735" t="s">
        <v>5125</v>
      </c>
      <c r="E1735" t="s">
        <v>11775</v>
      </c>
      <c r="F1735" t="s">
        <v>148</v>
      </c>
      <c r="G1735" t="s">
        <v>447</v>
      </c>
      <c r="H1735" t="s">
        <v>39</v>
      </c>
      <c r="I1735" t="s">
        <v>40</v>
      </c>
      <c r="J1735" t="s">
        <v>109</v>
      </c>
      <c r="K1735" t="s">
        <v>42</v>
      </c>
      <c r="L1735" t="s">
        <v>43</v>
      </c>
      <c r="N1735" t="s">
        <v>44</v>
      </c>
      <c r="Q1735">
        <v>30811</v>
      </c>
      <c r="R1735" t="s">
        <v>322</v>
      </c>
      <c r="S1735" t="s">
        <v>9477</v>
      </c>
      <c r="T1735">
        <v>22</v>
      </c>
      <c r="U1735" s="2" t="s">
        <v>11776</v>
      </c>
      <c r="W1735" t="s">
        <v>153</v>
      </c>
      <c r="X1735">
        <v>110020698</v>
      </c>
      <c r="Y1735" t="s">
        <v>121</v>
      </c>
      <c r="Z1735" t="s">
        <v>122</v>
      </c>
      <c r="AA1735" s="2" t="s">
        <v>11777</v>
      </c>
      <c r="AB1735" t="s">
        <v>88</v>
      </c>
      <c r="AG1735" t="s">
        <v>11778</v>
      </c>
      <c r="AH1735" t="s">
        <v>11779</v>
      </c>
      <c r="AI1735" t="s">
        <v>11780</v>
      </c>
    </row>
    <row r="1736" spans="2:35" ht="345">
      <c r="B1736" s="1">
        <v>45796</v>
      </c>
      <c r="C1736" s="1">
        <v>45793</v>
      </c>
      <c r="D1736" t="s">
        <v>2257</v>
      </c>
      <c r="E1736" t="s">
        <v>8973</v>
      </c>
      <c r="F1736" t="s">
        <v>37</v>
      </c>
      <c r="G1736" t="s">
        <v>748</v>
      </c>
      <c r="H1736" t="s">
        <v>39</v>
      </c>
      <c r="I1736" t="s">
        <v>40</v>
      </c>
      <c r="J1736" t="s">
        <v>109</v>
      </c>
      <c r="K1736" t="s">
        <v>42</v>
      </c>
      <c r="L1736" t="s">
        <v>1028</v>
      </c>
      <c r="N1736" t="s">
        <v>1029</v>
      </c>
      <c r="Q1736">
        <v>30810</v>
      </c>
      <c r="R1736" t="s">
        <v>119</v>
      </c>
      <c r="S1736" t="s">
        <v>8974</v>
      </c>
      <c r="T1736">
        <v>28</v>
      </c>
      <c r="U1736" s="2" t="s">
        <v>11781</v>
      </c>
      <c r="W1736" t="s">
        <v>1967</v>
      </c>
      <c r="X1736">
        <v>838537</v>
      </c>
      <c r="Y1736" t="s">
        <v>1978</v>
      </c>
      <c r="Z1736" t="s">
        <v>1548</v>
      </c>
      <c r="AA1736" s="2" t="s">
        <v>11782</v>
      </c>
      <c r="AB1736" s="2" t="s">
        <v>11783</v>
      </c>
      <c r="AC1736" t="s">
        <v>11784</v>
      </c>
      <c r="AG1736" t="s">
        <v>11785</v>
      </c>
      <c r="AH1736" t="s">
        <v>8978</v>
      </c>
      <c r="AI1736" t="s">
        <v>11786</v>
      </c>
    </row>
    <row r="1737" spans="2:35" ht="300">
      <c r="B1737" s="1">
        <v>45796</v>
      </c>
      <c r="C1737" s="1">
        <v>45792</v>
      </c>
      <c r="D1737" t="s">
        <v>919</v>
      </c>
      <c r="E1737" t="s">
        <v>5897</v>
      </c>
      <c r="F1737" t="s">
        <v>148</v>
      </c>
      <c r="G1737" t="s">
        <v>310</v>
      </c>
      <c r="H1737" t="s">
        <v>513</v>
      </c>
      <c r="I1737" t="s">
        <v>40</v>
      </c>
      <c r="J1737" t="s">
        <v>109</v>
      </c>
      <c r="K1737" t="s">
        <v>387</v>
      </c>
      <c r="L1737" t="s">
        <v>1028</v>
      </c>
      <c r="N1737" t="s">
        <v>1029</v>
      </c>
      <c r="Q1737">
        <v>30808</v>
      </c>
      <c r="R1737" t="s">
        <v>322</v>
      </c>
      <c r="S1737" t="s">
        <v>921</v>
      </c>
      <c r="T1737">
        <v>25</v>
      </c>
      <c r="W1737" t="s">
        <v>390</v>
      </c>
      <c r="X1737" t="s">
        <v>922</v>
      </c>
      <c r="Y1737" t="s">
        <v>1978</v>
      </c>
      <c r="Z1737" t="s">
        <v>1548</v>
      </c>
      <c r="AA1737" s="2" t="s">
        <v>11787</v>
      </c>
      <c r="AB1737" t="s">
        <v>3777</v>
      </c>
      <c r="AG1737" t="s">
        <v>11788</v>
      </c>
      <c r="AH1737" t="s">
        <v>5901</v>
      </c>
      <c r="AI1737" t="s">
        <v>11789</v>
      </c>
    </row>
    <row r="1738" spans="2:35" ht="240">
      <c r="B1738" s="1">
        <v>45796</v>
      </c>
      <c r="C1738" s="1">
        <v>45777</v>
      </c>
      <c r="D1738" t="s">
        <v>5145</v>
      </c>
      <c r="E1738" t="s">
        <v>1027</v>
      </c>
      <c r="F1738" t="s">
        <v>148</v>
      </c>
      <c r="G1738" t="s">
        <v>774</v>
      </c>
      <c r="H1738" t="s">
        <v>662</v>
      </c>
      <c r="I1738" t="s">
        <v>40</v>
      </c>
      <c r="J1738" t="s">
        <v>109</v>
      </c>
      <c r="K1738" t="s">
        <v>42</v>
      </c>
      <c r="L1738" t="s">
        <v>1028</v>
      </c>
      <c r="N1738" t="s">
        <v>1029</v>
      </c>
      <c r="Q1738">
        <v>30809</v>
      </c>
      <c r="R1738" t="s">
        <v>967</v>
      </c>
      <c r="S1738" t="s">
        <v>11790</v>
      </c>
      <c r="T1738">
        <v>24</v>
      </c>
      <c r="U1738" s="2" t="s">
        <v>11791</v>
      </c>
      <c r="W1738" t="s">
        <v>1032</v>
      </c>
      <c r="X1738">
        <v>110023494</v>
      </c>
      <c r="Y1738" t="s">
        <v>1978</v>
      </c>
      <c r="Z1738" t="s">
        <v>1548</v>
      </c>
      <c r="AA1738" s="2" t="s">
        <v>1979</v>
      </c>
      <c r="AB1738" t="s">
        <v>3300</v>
      </c>
      <c r="AG1738" t="s">
        <v>11792</v>
      </c>
      <c r="AH1738" t="s">
        <v>5156</v>
      </c>
      <c r="AI1738" t="s">
        <v>11793</v>
      </c>
    </row>
    <row r="1739" spans="2:35" ht="180">
      <c r="B1739" s="1">
        <v>45796</v>
      </c>
      <c r="C1739" s="1">
        <v>45791</v>
      </c>
      <c r="D1739" t="s">
        <v>2427</v>
      </c>
      <c r="E1739" t="s">
        <v>9810</v>
      </c>
      <c r="F1739" t="s">
        <v>148</v>
      </c>
      <c r="G1739" t="s">
        <v>447</v>
      </c>
      <c r="H1739" t="s">
        <v>513</v>
      </c>
      <c r="I1739" t="s">
        <v>40</v>
      </c>
      <c r="J1739" t="s">
        <v>11794</v>
      </c>
      <c r="K1739" t="s">
        <v>387</v>
      </c>
      <c r="L1739" t="s">
        <v>1028</v>
      </c>
      <c r="N1739" t="s">
        <v>1029</v>
      </c>
      <c r="Q1739">
        <v>30806</v>
      </c>
      <c r="R1739" t="s">
        <v>322</v>
      </c>
      <c r="S1739" t="s">
        <v>11795</v>
      </c>
      <c r="T1739">
        <v>25</v>
      </c>
      <c r="W1739" t="s">
        <v>390</v>
      </c>
      <c r="X1739" t="s">
        <v>2430</v>
      </c>
      <c r="Y1739" t="s">
        <v>11796</v>
      </c>
      <c r="Z1739" t="s">
        <v>11797</v>
      </c>
      <c r="AA1739" s="2" t="s">
        <v>11798</v>
      </c>
      <c r="AB1739" s="2" t="s">
        <v>11799</v>
      </c>
      <c r="AG1739" t="s">
        <v>11800</v>
      </c>
      <c r="AH1739" t="s">
        <v>11801</v>
      </c>
      <c r="AI1739" t="s">
        <v>11802</v>
      </c>
    </row>
    <row r="1740" spans="2:35" ht="240">
      <c r="B1740" s="1">
        <v>45796</v>
      </c>
      <c r="C1740" s="1">
        <v>45786</v>
      </c>
      <c r="D1740" t="s">
        <v>6619</v>
      </c>
      <c r="E1740" t="s">
        <v>11803</v>
      </c>
      <c r="F1740" t="s">
        <v>37</v>
      </c>
      <c r="G1740" t="s">
        <v>748</v>
      </c>
      <c r="H1740" t="s">
        <v>39</v>
      </c>
      <c r="I1740" t="s">
        <v>40</v>
      </c>
      <c r="J1740" t="s">
        <v>109</v>
      </c>
      <c r="K1740" t="s">
        <v>42</v>
      </c>
      <c r="L1740" t="s">
        <v>1028</v>
      </c>
      <c r="N1740" t="s">
        <v>1029</v>
      </c>
      <c r="Q1740">
        <v>30805</v>
      </c>
      <c r="R1740" t="s">
        <v>119</v>
      </c>
      <c r="S1740" t="s">
        <v>5176</v>
      </c>
      <c r="T1740">
        <v>27</v>
      </c>
      <c r="U1740" s="2" t="s">
        <v>11804</v>
      </c>
      <c r="W1740" t="s">
        <v>1967</v>
      </c>
      <c r="X1740">
        <v>838535</v>
      </c>
      <c r="Y1740" t="s">
        <v>1978</v>
      </c>
      <c r="Z1740" t="s">
        <v>1548</v>
      </c>
      <c r="AA1740" s="2" t="s">
        <v>9006</v>
      </c>
      <c r="AB1740" t="s">
        <v>3300</v>
      </c>
      <c r="AC1740" t="s">
        <v>1547</v>
      </c>
      <c r="AG1740" t="s">
        <v>11805</v>
      </c>
      <c r="AH1740" t="s">
        <v>5181</v>
      </c>
      <c r="AI1740" t="s">
        <v>11806</v>
      </c>
    </row>
    <row r="1741" spans="2:35" ht="240">
      <c r="B1741" s="1">
        <v>45796</v>
      </c>
      <c r="C1741" s="1">
        <v>45791</v>
      </c>
      <c r="D1741" t="s">
        <v>2427</v>
      </c>
      <c r="E1741" t="s">
        <v>9810</v>
      </c>
      <c r="F1741" t="s">
        <v>148</v>
      </c>
      <c r="G1741" t="s">
        <v>447</v>
      </c>
      <c r="H1741" t="s">
        <v>39</v>
      </c>
      <c r="I1741" t="s">
        <v>40</v>
      </c>
      <c r="J1741" t="s">
        <v>109</v>
      </c>
      <c r="K1741" t="s">
        <v>42</v>
      </c>
      <c r="L1741" t="s">
        <v>1028</v>
      </c>
      <c r="N1741" t="s">
        <v>1029</v>
      </c>
      <c r="Q1741">
        <v>30807</v>
      </c>
      <c r="R1741" t="s">
        <v>703</v>
      </c>
      <c r="S1741" t="s">
        <v>5860</v>
      </c>
      <c r="T1741">
        <v>26</v>
      </c>
      <c r="U1741" s="2" t="s">
        <v>11807</v>
      </c>
      <c r="W1741" t="s">
        <v>1032</v>
      </c>
      <c r="X1741">
        <v>110025453</v>
      </c>
      <c r="Y1741" t="s">
        <v>1978</v>
      </c>
      <c r="Z1741" t="s">
        <v>1548</v>
      </c>
      <c r="AA1741" s="2" t="s">
        <v>1979</v>
      </c>
      <c r="AB1741" t="s">
        <v>11808</v>
      </c>
      <c r="AG1741" t="s">
        <v>11809</v>
      </c>
      <c r="AH1741" t="s">
        <v>5865</v>
      </c>
      <c r="AI1741" t="s">
        <v>11810</v>
      </c>
    </row>
    <row r="1742" spans="2:35" ht="270">
      <c r="B1742" s="1">
        <v>45796</v>
      </c>
      <c r="C1742" s="1">
        <v>45790</v>
      </c>
      <c r="D1742" t="s">
        <v>11811</v>
      </c>
      <c r="E1742" t="s">
        <v>9232</v>
      </c>
      <c r="F1742" t="s">
        <v>148</v>
      </c>
      <c r="G1742" t="s">
        <v>447</v>
      </c>
      <c r="H1742" t="s">
        <v>39</v>
      </c>
      <c r="I1742" t="s">
        <v>40</v>
      </c>
      <c r="J1742" t="s">
        <v>109</v>
      </c>
      <c r="K1742" t="s">
        <v>42</v>
      </c>
      <c r="L1742" t="s">
        <v>448</v>
      </c>
      <c r="N1742" t="s">
        <v>450</v>
      </c>
      <c r="Q1742">
        <v>30804</v>
      </c>
      <c r="R1742" t="s">
        <v>322</v>
      </c>
      <c r="S1742" t="s">
        <v>10428</v>
      </c>
      <c r="T1742">
        <v>28</v>
      </c>
      <c r="U1742" s="2" t="s">
        <v>11812</v>
      </c>
      <c r="W1742" t="s">
        <v>2591</v>
      </c>
      <c r="X1742">
        <v>110020697</v>
      </c>
      <c r="Y1742" s="2" t="s">
        <v>11813</v>
      </c>
      <c r="Z1742" s="2" t="s">
        <v>11814</v>
      </c>
      <c r="AA1742" t="s">
        <v>122</v>
      </c>
      <c r="AB1742" t="s">
        <v>486</v>
      </c>
      <c r="AG1742" t="s">
        <v>11815</v>
      </c>
      <c r="AH1742" t="s">
        <v>9239</v>
      </c>
      <c r="AI1742" t="s">
        <v>11816</v>
      </c>
    </row>
    <row r="1743" spans="2:35" ht="270">
      <c r="B1743" s="1">
        <v>45794</v>
      </c>
      <c r="C1743" s="1">
        <v>45793</v>
      </c>
      <c r="D1743" t="s">
        <v>8429</v>
      </c>
      <c r="E1743" t="s">
        <v>9854</v>
      </c>
      <c r="F1743">
        <v>11</v>
      </c>
      <c r="G1743" t="s">
        <v>1205</v>
      </c>
      <c r="H1743" t="s">
        <v>202</v>
      </c>
      <c r="I1743" t="s">
        <v>40</v>
      </c>
      <c r="J1743" t="s">
        <v>109</v>
      </c>
      <c r="K1743" t="s">
        <v>42</v>
      </c>
      <c r="L1743" t="s">
        <v>204</v>
      </c>
      <c r="N1743" t="s">
        <v>205</v>
      </c>
      <c r="Q1743">
        <v>30803</v>
      </c>
      <c r="R1743" t="s">
        <v>119</v>
      </c>
      <c r="S1743" t="s">
        <v>8431</v>
      </c>
      <c r="T1743">
        <v>26.6</v>
      </c>
      <c r="U1743" s="2" t="s">
        <v>8432</v>
      </c>
      <c r="W1743" t="s">
        <v>208</v>
      </c>
      <c r="X1743">
        <v>8383456</v>
      </c>
      <c r="Y1743" t="s">
        <v>2851</v>
      </c>
      <c r="Z1743" s="2" t="s">
        <v>9413</v>
      </c>
      <c r="AA1743" t="s">
        <v>2551</v>
      </c>
      <c r="AB1743" t="s">
        <v>11817</v>
      </c>
      <c r="AG1743" t="s">
        <v>11818</v>
      </c>
      <c r="AH1743" t="s">
        <v>11819</v>
      </c>
      <c r="AI1743" t="s">
        <v>11820</v>
      </c>
    </row>
    <row r="1744" spans="2:35" ht="300">
      <c r="B1744" s="1">
        <v>45793</v>
      </c>
      <c r="C1744" s="1">
        <v>45793</v>
      </c>
      <c r="D1744" t="s">
        <v>5474</v>
      </c>
      <c r="E1744" t="s">
        <v>5914</v>
      </c>
      <c r="F1744" t="s">
        <v>148</v>
      </c>
      <c r="G1744" t="s">
        <v>2007</v>
      </c>
      <c r="H1744" t="s">
        <v>5476</v>
      </c>
      <c r="I1744" t="s">
        <v>94</v>
      </c>
      <c r="J1744" t="s">
        <v>109</v>
      </c>
      <c r="K1744" t="s">
        <v>408</v>
      </c>
      <c r="L1744" t="s">
        <v>448</v>
      </c>
      <c r="N1744" t="s">
        <v>450</v>
      </c>
      <c r="O1744" t="s">
        <v>11821</v>
      </c>
      <c r="P1744" t="s">
        <v>10094</v>
      </c>
      <c r="Q1744">
        <v>30802</v>
      </c>
      <c r="R1744" t="s">
        <v>95</v>
      </c>
      <c r="S1744" t="s">
        <v>5479</v>
      </c>
      <c r="T1744">
        <v>28</v>
      </c>
      <c r="V1744" s="1">
        <v>45792</v>
      </c>
      <c r="W1744" t="s">
        <v>11822</v>
      </c>
      <c r="X1744">
        <v>1261</v>
      </c>
      <c r="Y1744" t="s">
        <v>485</v>
      </c>
      <c r="Z1744" s="2" t="s">
        <v>11823</v>
      </c>
      <c r="AA1744" t="s">
        <v>122</v>
      </c>
      <c r="AB1744" t="s">
        <v>486</v>
      </c>
      <c r="AE1744">
        <v>100283</v>
      </c>
      <c r="AG1744" t="s">
        <v>11824</v>
      </c>
      <c r="AH1744" t="s">
        <v>5483</v>
      </c>
      <c r="AI1744" t="s">
        <v>11825</v>
      </c>
    </row>
    <row r="1745" spans="2:35" ht="180">
      <c r="B1745" s="1">
        <v>45793</v>
      </c>
      <c r="C1745" s="1">
        <v>45793</v>
      </c>
      <c r="D1745" t="s">
        <v>11826</v>
      </c>
      <c r="E1745" t="s">
        <v>11475</v>
      </c>
      <c r="F1745">
        <v>6</v>
      </c>
      <c r="G1745" t="s">
        <v>1234</v>
      </c>
      <c r="H1745" t="s">
        <v>39</v>
      </c>
      <c r="I1745" t="s">
        <v>40</v>
      </c>
      <c r="J1745" s="2" t="s">
        <v>355</v>
      </c>
      <c r="K1745" t="s">
        <v>42</v>
      </c>
      <c r="L1745" t="s">
        <v>270</v>
      </c>
      <c r="N1745" t="s">
        <v>2481</v>
      </c>
      <c r="Q1745">
        <v>30801</v>
      </c>
      <c r="R1745" t="s">
        <v>119</v>
      </c>
      <c r="S1745" t="s">
        <v>11476</v>
      </c>
      <c r="T1745">
        <v>24</v>
      </c>
      <c r="U1745" s="2" t="s">
        <v>11477</v>
      </c>
      <c r="W1745" t="s">
        <v>666</v>
      </c>
      <c r="X1745">
        <v>838483</v>
      </c>
      <c r="Y1745" t="s">
        <v>11827</v>
      </c>
      <c r="Z1745" t="s">
        <v>449</v>
      </c>
      <c r="AA1745" t="e">
        <f ca="1">- functional testing of UPS- battery problem confirmed.</f>
        <v>#NAME?</v>
      </c>
      <c r="AB1745" s="2" t="s">
        <v>11828</v>
      </c>
      <c r="AG1745" t="s">
        <v>11829</v>
      </c>
      <c r="AH1745" t="s">
        <v>11482</v>
      </c>
      <c r="AI1745" t="s">
        <v>11830</v>
      </c>
    </row>
    <row r="1746" spans="2:35" ht="270">
      <c r="B1746" s="1">
        <v>45793</v>
      </c>
      <c r="C1746" s="1">
        <v>45792</v>
      </c>
      <c r="D1746" t="s">
        <v>9326</v>
      </c>
      <c r="E1746" t="s">
        <v>9327</v>
      </c>
      <c r="F1746">
        <v>3</v>
      </c>
      <c r="G1746" t="s">
        <v>134</v>
      </c>
      <c r="H1746" t="s">
        <v>2548</v>
      </c>
      <c r="I1746" t="s">
        <v>40</v>
      </c>
      <c r="J1746" s="2" t="s">
        <v>41</v>
      </c>
      <c r="K1746" t="s">
        <v>42</v>
      </c>
      <c r="L1746" t="s">
        <v>135</v>
      </c>
      <c r="N1746" t="s">
        <v>136</v>
      </c>
      <c r="O1746" t="s">
        <v>9328</v>
      </c>
      <c r="Q1746">
        <v>30800</v>
      </c>
      <c r="R1746" t="s">
        <v>322</v>
      </c>
      <c r="S1746" t="s">
        <v>9328</v>
      </c>
      <c r="T1746">
        <v>25</v>
      </c>
      <c r="U1746" s="2" t="s">
        <v>9329</v>
      </c>
      <c r="V1746" s="1">
        <v>45785</v>
      </c>
      <c r="W1746" t="s">
        <v>3335</v>
      </c>
      <c r="X1746">
        <v>110013748</v>
      </c>
      <c r="Y1746" t="s">
        <v>9330</v>
      </c>
      <c r="Z1746" s="2" t="s">
        <v>9331</v>
      </c>
      <c r="AA1746" s="2" t="s">
        <v>9332</v>
      </c>
      <c r="AB1746" t="s">
        <v>181</v>
      </c>
      <c r="AD1746" t="s">
        <v>1859</v>
      </c>
      <c r="AE1746">
        <v>13006</v>
      </c>
      <c r="AG1746" t="s">
        <v>11831</v>
      </c>
      <c r="AH1746" t="s">
        <v>9334</v>
      </c>
      <c r="AI1746" t="s">
        <v>11832</v>
      </c>
    </row>
    <row r="1747" spans="2:35" ht="315">
      <c r="B1747" s="1">
        <v>45793</v>
      </c>
      <c r="C1747" s="1">
        <v>45793</v>
      </c>
      <c r="D1747" t="s">
        <v>837</v>
      </c>
      <c r="E1747" t="s">
        <v>10558</v>
      </c>
      <c r="F1747">
        <v>5</v>
      </c>
      <c r="G1747" t="s">
        <v>839</v>
      </c>
      <c r="H1747" t="s">
        <v>513</v>
      </c>
      <c r="I1747" t="s">
        <v>94</v>
      </c>
      <c r="J1747" s="2" t="s">
        <v>190</v>
      </c>
      <c r="K1747" t="s">
        <v>387</v>
      </c>
      <c r="L1747" t="s">
        <v>761</v>
      </c>
      <c r="N1747" t="s">
        <v>762</v>
      </c>
      <c r="O1747" t="s">
        <v>10559</v>
      </c>
      <c r="Q1747">
        <v>30799</v>
      </c>
      <c r="R1747" t="s">
        <v>322</v>
      </c>
      <c r="S1747" t="s">
        <v>11589</v>
      </c>
      <c r="T1747">
        <v>25</v>
      </c>
      <c r="W1747" t="s">
        <v>390</v>
      </c>
      <c r="X1747" t="s">
        <v>847</v>
      </c>
      <c r="Y1747" t="s">
        <v>11833</v>
      </c>
      <c r="Z1747" s="2" t="s">
        <v>11834</v>
      </c>
      <c r="AA1747" s="2" t="s">
        <v>10392</v>
      </c>
      <c r="AB1747" t="s">
        <v>181</v>
      </c>
      <c r="AC1747" t="s">
        <v>11835</v>
      </c>
      <c r="AG1747" t="s">
        <v>11836</v>
      </c>
      <c r="AH1747" t="s">
        <v>11837</v>
      </c>
      <c r="AI1747" t="s">
        <v>11838</v>
      </c>
    </row>
    <row r="1748" spans="2:35" ht="150">
      <c r="B1748" s="1">
        <v>45792</v>
      </c>
      <c r="C1748" s="1">
        <v>45792</v>
      </c>
      <c r="D1748" t="s">
        <v>8914</v>
      </c>
      <c r="E1748" t="s">
        <v>11839</v>
      </c>
      <c r="F1748">
        <v>5</v>
      </c>
      <c r="G1748" t="s">
        <v>839</v>
      </c>
      <c r="H1748" t="s">
        <v>39</v>
      </c>
      <c r="I1748" t="s">
        <v>94</v>
      </c>
      <c r="J1748" s="2" t="s">
        <v>41</v>
      </c>
      <c r="K1748" t="s">
        <v>42</v>
      </c>
      <c r="L1748" t="s">
        <v>761</v>
      </c>
      <c r="N1748" t="s">
        <v>762</v>
      </c>
      <c r="Q1748">
        <v>30798</v>
      </c>
      <c r="R1748" t="s">
        <v>119</v>
      </c>
      <c r="S1748" t="s">
        <v>8916</v>
      </c>
      <c r="T1748">
        <v>26</v>
      </c>
      <c r="U1748" s="2" t="s">
        <v>2367</v>
      </c>
      <c r="W1748" t="s">
        <v>765</v>
      </c>
      <c r="X1748">
        <v>838558</v>
      </c>
      <c r="Y1748" t="s">
        <v>11121</v>
      </c>
      <c r="Z1748" s="2" t="s">
        <v>11840</v>
      </c>
      <c r="AA1748" s="2" t="s">
        <v>11841</v>
      </c>
      <c r="AB1748" s="2" t="s">
        <v>11842</v>
      </c>
      <c r="AG1748" t="s">
        <v>11843</v>
      </c>
      <c r="AH1748" t="s">
        <v>11844</v>
      </c>
      <c r="AI1748" t="s">
        <v>11845</v>
      </c>
    </row>
    <row r="1749" spans="2:35" ht="165">
      <c r="B1749" s="1">
        <v>45792</v>
      </c>
      <c r="C1749" s="1">
        <v>45792</v>
      </c>
      <c r="D1749" t="s">
        <v>11846</v>
      </c>
      <c r="E1749" t="s">
        <v>8331</v>
      </c>
      <c r="F1749" t="s">
        <v>148</v>
      </c>
      <c r="G1749" t="s">
        <v>230</v>
      </c>
      <c r="H1749" t="s">
        <v>39</v>
      </c>
      <c r="I1749" t="s">
        <v>40</v>
      </c>
      <c r="J1749" s="2" t="s">
        <v>1808</v>
      </c>
      <c r="K1749" t="s">
        <v>42</v>
      </c>
      <c r="L1749" t="s">
        <v>175</v>
      </c>
      <c r="N1749" t="s">
        <v>176</v>
      </c>
      <c r="Q1749">
        <v>30797</v>
      </c>
      <c r="R1749" t="s">
        <v>322</v>
      </c>
      <c r="S1749" t="s">
        <v>11847</v>
      </c>
      <c r="T1749">
        <v>25</v>
      </c>
      <c r="W1749" t="s">
        <v>84</v>
      </c>
      <c r="X1749">
        <v>807112</v>
      </c>
      <c r="Y1749" s="2" t="s">
        <v>6429</v>
      </c>
      <c r="Z1749" t="s">
        <v>103</v>
      </c>
      <c r="AA1749" t="e">
        <f ca="1">- checked _xludf.and cleaned cartridge bay, plunger rod, _xludf.filter
- generated reports
- installed CT NG, HIV VL Assays
- performed self test</f>
        <v>#NAME?</v>
      </c>
      <c r="AB1749" s="2" t="s">
        <v>11848</v>
      </c>
      <c r="AG1749" t="s">
        <v>11849</v>
      </c>
      <c r="AH1749" t="s">
        <v>11850</v>
      </c>
      <c r="AI1749" t="s">
        <v>11851</v>
      </c>
    </row>
    <row r="1750" spans="2:35" ht="300">
      <c r="B1750" s="1">
        <v>45792</v>
      </c>
      <c r="C1750" s="1">
        <v>45792</v>
      </c>
      <c r="D1750" t="s">
        <v>1155</v>
      </c>
      <c r="E1750" t="s">
        <v>8331</v>
      </c>
      <c r="F1750" t="s">
        <v>148</v>
      </c>
      <c r="G1750" t="s">
        <v>230</v>
      </c>
      <c r="H1750" t="s">
        <v>39</v>
      </c>
      <c r="I1750" t="s">
        <v>40</v>
      </c>
      <c r="J1750" s="2" t="s">
        <v>41</v>
      </c>
      <c r="K1750" t="s">
        <v>42</v>
      </c>
      <c r="L1750" t="s">
        <v>175</v>
      </c>
      <c r="N1750" t="s">
        <v>176</v>
      </c>
      <c r="Q1750">
        <v>30796</v>
      </c>
      <c r="R1750" t="s">
        <v>322</v>
      </c>
      <c r="S1750" t="s">
        <v>8332</v>
      </c>
      <c r="T1750">
        <v>25</v>
      </c>
      <c r="V1750" s="1">
        <v>45785</v>
      </c>
      <c r="W1750" t="s">
        <v>84</v>
      </c>
      <c r="X1750">
        <v>807956</v>
      </c>
      <c r="Y1750" s="2" t="s">
        <v>11852</v>
      </c>
      <c r="Z1750" t="s">
        <v>9899</v>
      </c>
      <c r="AA1750" s="2" t="s">
        <v>11853</v>
      </c>
      <c r="AB1750" s="2" t="s">
        <v>11854</v>
      </c>
      <c r="AD1750" s="2" t="s">
        <v>11855</v>
      </c>
      <c r="AE1750">
        <v>13005</v>
      </c>
      <c r="AG1750" t="s">
        <v>11856</v>
      </c>
      <c r="AH1750" t="s">
        <v>1166</v>
      </c>
      <c r="AI1750" t="s">
        <v>11857</v>
      </c>
    </row>
    <row r="1751" spans="2:35" ht="409.5">
      <c r="B1751" s="1">
        <v>45792</v>
      </c>
      <c r="C1751" s="1">
        <v>45792</v>
      </c>
      <c r="D1751" t="s">
        <v>3119</v>
      </c>
      <c r="E1751" t="s">
        <v>11858</v>
      </c>
      <c r="F1751" t="s">
        <v>148</v>
      </c>
      <c r="G1751" t="s">
        <v>310</v>
      </c>
      <c r="H1751" t="s">
        <v>61</v>
      </c>
      <c r="I1751" t="s">
        <v>40</v>
      </c>
      <c r="J1751" t="s">
        <v>109</v>
      </c>
      <c r="K1751" t="s">
        <v>42</v>
      </c>
      <c r="L1751" t="s">
        <v>1943</v>
      </c>
      <c r="N1751" t="s">
        <v>1944</v>
      </c>
      <c r="O1751" t="s">
        <v>5841</v>
      </c>
      <c r="Q1751">
        <v>30795</v>
      </c>
      <c r="R1751" t="s">
        <v>95</v>
      </c>
      <c r="S1751" t="s">
        <v>6093</v>
      </c>
      <c r="T1751">
        <v>25</v>
      </c>
      <c r="U1751" s="2" t="s">
        <v>11859</v>
      </c>
      <c r="W1751" t="s">
        <v>373</v>
      </c>
      <c r="X1751">
        <v>110001648</v>
      </c>
      <c r="Y1751" t="s">
        <v>2099</v>
      </c>
      <c r="Z1751" t="s">
        <v>2100</v>
      </c>
      <c r="AA1751" s="2" t="s">
        <v>2101</v>
      </c>
      <c r="AB1751" t="s">
        <v>88</v>
      </c>
      <c r="AG1751" t="s">
        <v>11860</v>
      </c>
      <c r="AH1751" t="s">
        <v>11861</v>
      </c>
      <c r="AI1751" t="s">
        <v>11862</v>
      </c>
    </row>
    <row r="1752" spans="2:35">
      <c r="B1752" s="1">
        <v>45792</v>
      </c>
      <c r="C1752" s="1">
        <v>45792</v>
      </c>
      <c r="D1752" t="s">
        <v>1155</v>
      </c>
      <c r="E1752" t="s">
        <v>8331</v>
      </c>
      <c r="F1752" t="s">
        <v>148</v>
      </c>
      <c r="G1752" t="s">
        <v>230</v>
      </c>
      <c r="H1752" t="s">
        <v>39</v>
      </c>
      <c r="I1752" t="s">
        <v>40</v>
      </c>
      <c r="J1752" t="s">
        <v>109</v>
      </c>
      <c r="K1752" t="s">
        <v>42</v>
      </c>
      <c r="L1752" t="s">
        <v>175</v>
      </c>
      <c r="N1752" t="s">
        <v>176</v>
      </c>
      <c r="Q1752">
        <v>30794</v>
      </c>
      <c r="R1752" t="s">
        <v>95</v>
      </c>
      <c r="S1752" t="s">
        <v>8332</v>
      </c>
      <c r="T1752">
        <v>25</v>
      </c>
      <c r="W1752" t="s">
        <v>373</v>
      </c>
      <c r="X1752">
        <v>120002891</v>
      </c>
      <c r="Y1752" t="s">
        <v>374</v>
      </c>
      <c r="Z1752" t="s">
        <v>103</v>
      </c>
      <c r="AA1752" t="e">
        <f ca="1">- checked _xludf.and cleaned cartridge bay, plunger rod, _xludf.filter
- generated reports
- performed self test</f>
        <v>#NAME?</v>
      </c>
      <c r="AB1752" t="s">
        <v>181</v>
      </c>
      <c r="AG1752" t="s">
        <v>11863</v>
      </c>
      <c r="AH1752" t="s">
        <v>1166</v>
      </c>
      <c r="AI1752" t="s">
        <v>11864</v>
      </c>
    </row>
    <row r="1753" spans="2:35" ht="75">
      <c r="B1753" s="1">
        <v>45792</v>
      </c>
      <c r="C1753" s="1">
        <v>45792</v>
      </c>
      <c r="D1753" t="s">
        <v>1155</v>
      </c>
      <c r="E1753" t="s">
        <v>8331</v>
      </c>
      <c r="F1753" t="s">
        <v>148</v>
      </c>
      <c r="G1753" t="s">
        <v>230</v>
      </c>
      <c r="H1753" t="s">
        <v>39</v>
      </c>
      <c r="I1753" t="s">
        <v>40</v>
      </c>
      <c r="J1753" s="2" t="s">
        <v>609</v>
      </c>
      <c r="K1753" t="s">
        <v>42</v>
      </c>
      <c r="L1753" t="s">
        <v>175</v>
      </c>
      <c r="N1753" t="s">
        <v>176</v>
      </c>
      <c r="Q1753">
        <v>30793</v>
      </c>
      <c r="R1753" t="s">
        <v>322</v>
      </c>
      <c r="S1753" t="s">
        <v>8332</v>
      </c>
      <c r="T1753">
        <v>25</v>
      </c>
      <c r="W1753" t="s">
        <v>84</v>
      </c>
      <c r="X1753">
        <v>807112</v>
      </c>
      <c r="Y1753" t="s">
        <v>11865</v>
      </c>
      <c r="Z1753" t="s">
        <v>103</v>
      </c>
      <c r="AA1753" t="s">
        <v>11866</v>
      </c>
      <c r="AB1753" t="s">
        <v>11867</v>
      </c>
      <c r="AG1753" t="s">
        <v>11868</v>
      </c>
      <c r="AH1753" t="s">
        <v>1166</v>
      </c>
      <c r="AI1753" t="s">
        <v>11869</v>
      </c>
    </row>
    <row r="1754" spans="2:35" ht="105">
      <c r="B1754" s="1">
        <v>45792</v>
      </c>
      <c r="C1754" s="1">
        <v>45792</v>
      </c>
      <c r="D1754" t="s">
        <v>11870</v>
      </c>
      <c r="E1754" t="s">
        <v>11871</v>
      </c>
      <c r="F1754">
        <v>6</v>
      </c>
      <c r="G1754" t="s">
        <v>1507</v>
      </c>
      <c r="H1754" t="s">
        <v>10969</v>
      </c>
      <c r="I1754" t="s">
        <v>40</v>
      </c>
      <c r="J1754" s="2" t="s">
        <v>41</v>
      </c>
      <c r="K1754" t="s">
        <v>42</v>
      </c>
      <c r="L1754" t="s">
        <v>1288</v>
      </c>
      <c r="N1754" t="s">
        <v>1289</v>
      </c>
      <c r="Q1754">
        <v>30792</v>
      </c>
      <c r="R1754" t="s">
        <v>967</v>
      </c>
      <c r="S1754" t="s">
        <v>5329</v>
      </c>
      <c r="T1754">
        <v>28</v>
      </c>
      <c r="U1754" s="2" t="s">
        <v>9352</v>
      </c>
      <c r="V1754" s="1">
        <v>45776</v>
      </c>
      <c r="W1754" t="s">
        <v>1292</v>
      </c>
      <c r="X1754">
        <v>110023542</v>
      </c>
      <c r="Y1754" t="e">
        <f ca="1">-CPU Replacement</f>
        <v>#NAME?</v>
      </c>
      <c r="Z1754" t="e">
        <f ca="1">-COLLECT IQR, system _xludf.Log, _xludf.and RETRIEVE ARCHIVE</f>
        <v>#NAME?</v>
      </c>
      <c r="AA1754" t="e">
        <f ca="1">-PERFORM defective CPU Replacement SN:CPH1023F46914 with new CPU SN: CPH1024F55345
-Set-up Assays, printer driver, _xludf.and system Backup
-PERFORM Preventive Maintenance PROCEDURE</f>
        <v>#NAME?</v>
      </c>
      <c r="AB1754" t="s">
        <v>1293</v>
      </c>
      <c r="AD1754" t="s">
        <v>11872</v>
      </c>
      <c r="AE1754">
        <v>12975</v>
      </c>
      <c r="AG1754" t="s">
        <v>11873</v>
      </c>
      <c r="AH1754" t="s">
        <v>11874</v>
      </c>
      <c r="AI1754" t="s">
        <v>11875</v>
      </c>
    </row>
    <row r="1755" spans="2:35" ht="240">
      <c r="B1755" s="1">
        <v>45792</v>
      </c>
      <c r="C1755" s="1">
        <v>45792</v>
      </c>
      <c r="D1755" t="s">
        <v>2834</v>
      </c>
      <c r="E1755" t="s">
        <v>2835</v>
      </c>
      <c r="F1755">
        <v>11</v>
      </c>
      <c r="G1755" t="s">
        <v>2836</v>
      </c>
      <c r="H1755" t="s">
        <v>513</v>
      </c>
      <c r="I1755" t="s">
        <v>40</v>
      </c>
      <c r="J1755" s="2" t="s">
        <v>190</v>
      </c>
      <c r="K1755" t="s">
        <v>387</v>
      </c>
      <c r="L1755" t="s">
        <v>204</v>
      </c>
      <c r="N1755" t="s">
        <v>205</v>
      </c>
      <c r="O1755" t="s">
        <v>2867</v>
      </c>
      <c r="Q1755">
        <v>30791</v>
      </c>
      <c r="R1755" t="s">
        <v>95</v>
      </c>
      <c r="S1755" t="s">
        <v>2868</v>
      </c>
      <c r="T1755">
        <v>25.8</v>
      </c>
      <c r="W1755" t="s">
        <v>390</v>
      </c>
      <c r="X1755" t="s">
        <v>2869</v>
      </c>
      <c r="Y1755" t="s">
        <v>2851</v>
      </c>
      <c r="Z1755" s="2" t="s">
        <v>11876</v>
      </c>
      <c r="AA1755" t="s">
        <v>2551</v>
      </c>
      <c r="AB1755" t="s">
        <v>364</v>
      </c>
      <c r="AG1755" t="s">
        <v>11877</v>
      </c>
      <c r="AH1755" t="s">
        <v>11878</v>
      </c>
      <c r="AI1755" t="s">
        <v>11879</v>
      </c>
    </row>
    <row r="1756" spans="2:35" ht="105">
      <c r="B1756" s="1">
        <v>45792</v>
      </c>
      <c r="C1756" s="1">
        <v>45792</v>
      </c>
      <c r="D1756" t="s">
        <v>11880</v>
      </c>
      <c r="E1756" t="s">
        <v>11881</v>
      </c>
      <c r="F1756">
        <v>6</v>
      </c>
      <c r="G1756" t="s">
        <v>1234</v>
      </c>
      <c r="H1756" t="s">
        <v>258</v>
      </c>
      <c r="I1756" t="s">
        <v>40</v>
      </c>
      <c r="J1756" t="s">
        <v>79</v>
      </c>
      <c r="K1756" t="s">
        <v>42</v>
      </c>
      <c r="L1756" t="s">
        <v>270</v>
      </c>
      <c r="N1756" t="s">
        <v>2481</v>
      </c>
      <c r="Q1756">
        <v>30790</v>
      </c>
      <c r="R1756" t="s">
        <v>119</v>
      </c>
      <c r="S1756" t="s">
        <v>11882</v>
      </c>
      <c r="T1756">
        <v>24</v>
      </c>
      <c r="U1756" s="2" t="s">
        <v>1388</v>
      </c>
      <c r="W1756" t="s">
        <v>666</v>
      </c>
      <c r="X1756">
        <v>838477</v>
      </c>
      <c r="Y1756" t="s">
        <v>11883</v>
      </c>
      <c r="Z1756" t="s">
        <v>449</v>
      </c>
      <c r="AA1756" t="e">
        <f ca="1">- replaced defective LCD with new monitor model ACER model EB192Q, SN MMT6MSS00394700E913E00.
- replaced CPU _xludf.Power SUPPLY _xludf.and RAM.</f>
        <v>#NAME?</v>
      </c>
      <c r="AB1756" t="s">
        <v>11884</v>
      </c>
      <c r="AG1756" t="s">
        <v>11885</v>
      </c>
      <c r="AH1756" t="s">
        <v>11886</v>
      </c>
      <c r="AI1756" t="s">
        <v>11887</v>
      </c>
    </row>
    <row r="1757" spans="2:35" ht="409.5">
      <c r="B1757" s="1">
        <v>45791</v>
      </c>
      <c r="C1757" s="1">
        <v>45776</v>
      </c>
      <c r="D1757" t="s">
        <v>11888</v>
      </c>
      <c r="E1757" t="s">
        <v>11889</v>
      </c>
      <c r="F1757" t="s">
        <v>148</v>
      </c>
      <c r="G1757" t="s">
        <v>310</v>
      </c>
      <c r="H1757" t="s">
        <v>39</v>
      </c>
      <c r="I1757" t="s">
        <v>40</v>
      </c>
      <c r="J1757" t="s">
        <v>109</v>
      </c>
      <c r="K1757" t="s">
        <v>42</v>
      </c>
      <c r="L1757" t="s">
        <v>1943</v>
      </c>
      <c r="N1757" t="s">
        <v>1944</v>
      </c>
      <c r="Q1757">
        <v>30789</v>
      </c>
      <c r="R1757" t="s">
        <v>322</v>
      </c>
      <c r="S1757" t="s">
        <v>11890</v>
      </c>
      <c r="T1757">
        <v>25</v>
      </c>
      <c r="W1757" t="s">
        <v>84</v>
      </c>
      <c r="X1757">
        <v>808015</v>
      </c>
      <c r="Y1757" t="s">
        <v>2099</v>
      </c>
      <c r="Z1757" t="s">
        <v>2100</v>
      </c>
      <c r="AA1757" s="2" t="s">
        <v>2101</v>
      </c>
      <c r="AB1757" t="s">
        <v>181</v>
      </c>
      <c r="AG1757" t="s">
        <v>11891</v>
      </c>
      <c r="AH1757" t="s">
        <v>11892</v>
      </c>
      <c r="AI1757" t="s">
        <v>11893</v>
      </c>
    </row>
    <row r="1758" spans="2:35" ht="409.5">
      <c r="B1758" s="1">
        <v>45791</v>
      </c>
      <c r="C1758" s="1">
        <v>45791</v>
      </c>
      <c r="D1758" t="s">
        <v>3712</v>
      </c>
      <c r="E1758" t="s">
        <v>6028</v>
      </c>
      <c r="F1758" t="s">
        <v>148</v>
      </c>
      <c r="G1758" t="s">
        <v>310</v>
      </c>
      <c r="H1758" t="s">
        <v>2274</v>
      </c>
      <c r="I1758" t="s">
        <v>40</v>
      </c>
      <c r="J1758" s="2" t="s">
        <v>41</v>
      </c>
      <c r="K1758" t="s">
        <v>387</v>
      </c>
      <c r="L1758" t="s">
        <v>1943</v>
      </c>
      <c r="N1758" t="s">
        <v>1944</v>
      </c>
      <c r="Q1758">
        <v>30788</v>
      </c>
      <c r="R1758" t="s">
        <v>322</v>
      </c>
      <c r="S1758" t="s">
        <v>9747</v>
      </c>
      <c r="T1758">
        <v>25</v>
      </c>
      <c r="V1758" s="1">
        <v>45779</v>
      </c>
      <c r="W1758" t="s">
        <v>390</v>
      </c>
      <c r="X1758" t="s">
        <v>4180</v>
      </c>
      <c r="Y1758" s="2" t="s">
        <v>11894</v>
      </c>
      <c r="Z1758" t="s">
        <v>11895</v>
      </c>
      <c r="AA1758" s="2" t="s">
        <v>11896</v>
      </c>
      <c r="AB1758" t="s">
        <v>88</v>
      </c>
      <c r="AD1758" s="2" t="s">
        <v>11897</v>
      </c>
      <c r="AE1758" t="s">
        <v>11898</v>
      </c>
      <c r="AG1758" t="s">
        <v>11899</v>
      </c>
      <c r="AH1758" t="s">
        <v>10576</v>
      </c>
      <c r="AI1758" t="s">
        <v>11900</v>
      </c>
    </row>
    <row r="1759" spans="2:35" ht="105">
      <c r="B1759" s="1">
        <v>45791</v>
      </c>
      <c r="C1759" s="1">
        <v>45791</v>
      </c>
      <c r="D1759" t="s">
        <v>11901</v>
      </c>
      <c r="E1759" t="s">
        <v>11902</v>
      </c>
      <c r="F1759">
        <v>6</v>
      </c>
      <c r="G1759" t="s">
        <v>1234</v>
      </c>
      <c r="H1759" t="s">
        <v>258</v>
      </c>
      <c r="I1759" t="s">
        <v>40</v>
      </c>
      <c r="J1759" s="2" t="s">
        <v>41</v>
      </c>
      <c r="K1759" t="s">
        <v>42</v>
      </c>
      <c r="L1759" t="s">
        <v>270</v>
      </c>
      <c r="N1759" t="s">
        <v>2481</v>
      </c>
      <c r="Q1759">
        <v>30787</v>
      </c>
      <c r="R1759" t="s">
        <v>119</v>
      </c>
      <c r="S1759" t="s">
        <v>11903</v>
      </c>
      <c r="T1759">
        <v>24</v>
      </c>
      <c r="U1759" s="2" t="s">
        <v>11904</v>
      </c>
      <c r="W1759" t="s">
        <v>666</v>
      </c>
      <c r="X1759">
        <v>837612</v>
      </c>
      <c r="Y1759" t="s">
        <v>11905</v>
      </c>
      <c r="Z1759" t="s">
        <v>3128</v>
      </c>
      <c r="AA1759" t="s">
        <v>11906</v>
      </c>
      <c r="AB1759" t="s">
        <v>4668</v>
      </c>
      <c r="AG1759" t="s">
        <v>11907</v>
      </c>
      <c r="AH1759" t="s">
        <v>11908</v>
      </c>
      <c r="AI1759" t="s">
        <v>11909</v>
      </c>
    </row>
    <row r="1760" spans="2:35" ht="270">
      <c r="B1760" s="1">
        <v>45791</v>
      </c>
      <c r="C1760" s="1">
        <v>45791</v>
      </c>
      <c r="D1760" t="s">
        <v>6518</v>
      </c>
      <c r="E1760" t="s">
        <v>6519</v>
      </c>
      <c r="F1760">
        <v>11</v>
      </c>
      <c r="G1760" t="s">
        <v>1205</v>
      </c>
      <c r="H1760" t="s">
        <v>202</v>
      </c>
      <c r="I1760" t="s">
        <v>40</v>
      </c>
      <c r="J1760" t="s">
        <v>109</v>
      </c>
      <c r="K1760" t="s">
        <v>42</v>
      </c>
      <c r="L1760" t="s">
        <v>204</v>
      </c>
      <c r="N1760" t="s">
        <v>205</v>
      </c>
      <c r="Q1760">
        <v>30786</v>
      </c>
      <c r="R1760" t="s">
        <v>119</v>
      </c>
      <c r="S1760" t="s">
        <v>6520</v>
      </c>
      <c r="T1760">
        <v>27.5</v>
      </c>
      <c r="U1760" s="2" t="s">
        <v>9833</v>
      </c>
      <c r="W1760" t="s">
        <v>208</v>
      </c>
      <c r="X1760">
        <v>838505</v>
      </c>
      <c r="Y1760" t="s">
        <v>2851</v>
      </c>
      <c r="Z1760" s="2" t="s">
        <v>9413</v>
      </c>
      <c r="AA1760" t="s">
        <v>2551</v>
      </c>
      <c r="AB1760" t="s">
        <v>1211</v>
      </c>
      <c r="AG1760" t="s">
        <v>11910</v>
      </c>
      <c r="AH1760" t="s">
        <v>11911</v>
      </c>
      <c r="AI1760" t="s">
        <v>11912</v>
      </c>
    </row>
    <row r="1761" spans="2:35" ht="135">
      <c r="B1761" s="1">
        <v>45791</v>
      </c>
      <c r="C1761" s="1">
        <v>45791</v>
      </c>
      <c r="D1761" t="s">
        <v>7465</v>
      </c>
      <c r="E1761" t="s">
        <v>7466</v>
      </c>
      <c r="F1761">
        <v>8</v>
      </c>
      <c r="G1761" t="s">
        <v>342</v>
      </c>
      <c r="H1761" t="s">
        <v>258</v>
      </c>
      <c r="I1761" t="s">
        <v>40</v>
      </c>
      <c r="J1761" t="s">
        <v>109</v>
      </c>
      <c r="K1761" t="s">
        <v>42</v>
      </c>
      <c r="L1761" t="s">
        <v>259</v>
      </c>
      <c r="N1761" t="s">
        <v>260</v>
      </c>
      <c r="Q1761">
        <v>30785</v>
      </c>
      <c r="R1761" t="s">
        <v>119</v>
      </c>
      <c r="S1761" t="s">
        <v>11913</v>
      </c>
      <c r="T1761">
        <v>30</v>
      </c>
      <c r="U1761" s="2" t="s">
        <v>10594</v>
      </c>
      <c r="V1761" s="1">
        <v>45791</v>
      </c>
      <c r="W1761" t="s">
        <v>84</v>
      </c>
      <c r="X1761">
        <v>838551</v>
      </c>
      <c r="Y1761" t="s">
        <v>263</v>
      </c>
      <c r="Z1761" t="e">
        <f ca="1">- Preventive Maintenance</f>
        <v>#NAME?</v>
      </c>
      <c r="AA1761" t="e">
        <f ca="1">-Monthly Preventive Maintenance
- Generate reports (IQR, system _xludf.Log, Assays stat, ARCHIVE _xludf.files)</f>
        <v>#NAME?</v>
      </c>
      <c r="AB1761" s="2" t="s">
        <v>11914</v>
      </c>
      <c r="AG1761" t="s">
        <v>11915</v>
      </c>
      <c r="AH1761" t="s">
        <v>7469</v>
      </c>
      <c r="AI1761" t="s">
        <v>11916</v>
      </c>
    </row>
    <row r="1762" spans="2:35" ht="120">
      <c r="B1762" s="1">
        <v>45791</v>
      </c>
      <c r="C1762" s="1">
        <v>45785</v>
      </c>
      <c r="D1762" t="s">
        <v>1065</v>
      </c>
      <c r="E1762" t="s">
        <v>1066</v>
      </c>
      <c r="F1762">
        <v>1</v>
      </c>
      <c r="G1762" t="s">
        <v>1046</v>
      </c>
      <c r="H1762" t="s">
        <v>1047</v>
      </c>
      <c r="I1762" t="s">
        <v>40</v>
      </c>
      <c r="J1762" t="s">
        <v>109</v>
      </c>
      <c r="K1762" t="s">
        <v>42</v>
      </c>
      <c r="L1762" t="s">
        <v>1048</v>
      </c>
      <c r="N1762" t="s">
        <v>1049</v>
      </c>
      <c r="Q1762">
        <v>30784</v>
      </c>
      <c r="R1762" t="s">
        <v>119</v>
      </c>
      <c r="S1762" t="s">
        <v>1067</v>
      </c>
      <c r="T1762">
        <v>28</v>
      </c>
      <c r="W1762" t="s">
        <v>1051</v>
      </c>
      <c r="X1762">
        <v>838472</v>
      </c>
      <c r="Y1762" t="s">
        <v>11917</v>
      </c>
      <c r="Z1762" t="e">
        <f ca="1">- cartridge Bays,plunger Rods _xludf.and I-CORE
- replaced BIOS battery
- generated reports</f>
        <v>#NAME?</v>
      </c>
      <c r="AA1762" t="s">
        <v>11209</v>
      </c>
      <c r="AB1762" s="2" t="s">
        <v>11918</v>
      </c>
      <c r="AG1762" t="s">
        <v>11919</v>
      </c>
      <c r="AH1762" t="s">
        <v>1069</v>
      </c>
      <c r="AI1762" t="s">
        <v>11920</v>
      </c>
    </row>
    <row r="1763" spans="2:35" ht="360">
      <c r="B1763" s="1">
        <v>45791</v>
      </c>
      <c r="C1763" s="1">
        <v>45783</v>
      </c>
      <c r="D1763" t="s">
        <v>9878</v>
      </c>
      <c r="E1763" t="s">
        <v>11921</v>
      </c>
      <c r="F1763">
        <v>12</v>
      </c>
      <c r="G1763" t="s">
        <v>5785</v>
      </c>
      <c r="H1763" t="s">
        <v>1473</v>
      </c>
      <c r="I1763" t="s">
        <v>40</v>
      </c>
      <c r="J1763" t="s">
        <v>109</v>
      </c>
      <c r="K1763" t="s">
        <v>42</v>
      </c>
      <c r="L1763" t="s">
        <v>296</v>
      </c>
      <c r="N1763" t="s">
        <v>297</v>
      </c>
      <c r="Q1763">
        <v>30783</v>
      </c>
      <c r="R1763" t="s">
        <v>119</v>
      </c>
      <c r="S1763" t="s">
        <v>9880</v>
      </c>
      <c r="T1763">
        <v>28.6</v>
      </c>
      <c r="U1763" s="2" t="s">
        <v>11922</v>
      </c>
      <c r="W1763" t="s">
        <v>981</v>
      </c>
      <c r="X1763">
        <v>838542</v>
      </c>
      <c r="Y1763" t="s">
        <v>301</v>
      </c>
      <c r="Z1763" s="2" t="s">
        <v>11923</v>
      </c>
      <c r="AA1763" t="s">
        <v>303</v>
      </c>
      <c r="AB1763" t="s">
        <v>7205</v>
      </c>
      <c r="AG1763" t="s">
        <v>11924</v>
      </c>
      <c r="AH1763" t="s">
        <v>9884</v>
      </c>
      <c r="AI1763" t="s">
        <v>11925</v>
      </c>
    </row>
    <row r="1764" spans="2:35" ht="345">
      <c r="B1764" s="1">
        <v>45791</v>
      </c>
      <c r="C1764" s="1">
        <v>45784</v>
      </c>
      <c r="D1764" t="s">
        <v>9886</v>
      </c>
      <c r="E1764" t="s">
        <v>11926</v>
      </c>
      <c r="F1764">
        <v>12</v>
      </c>
      <c r="G1764" t="s">
        <v>5785</v>
      </c>
      <c r="H1764" t="s">
        <v>1473</v>
      </c>
      <c r="I1764" t="s">
        <v>40</v>
      </c>
      <c r="J1764" t="s">
        <v>109</v>
      </c>
      <c r="K1764" t="s">
        <v>42</v>
      </c>
      <c r="L1764" t="s">
        <v>296</v>
      </c>
      <c r="N1764" t="s">
        <v>297</v>
      </c>
      <c r="Q1764">
        <v>30782</v>
      </c>
      <c r="R1764" t="s">
        <v>119</v>
      </c>
      <c r="S1764" t="s">
        <v>9888</v>
      </c>
      <c r="T1764">
        <v>26.4</v>
      </c>
      <c r="U1764" s="2" t="s">
        <v>11927</v>
      </c>
      <c r="W1764" t="s">
        <v>981</v>
      </c>
      <c r="X1764">
        <v>838419</v>
      </c>
      <c r="Y1764" t="s">
        <v>301</v>
      </c>
      <c r="Z1764" s="2" t="s">
        <v>11928</v>
      </c>
      <c r="AA1764" t="s">
        <v>303</v>
      </c>
      <c r="AB1764" t="s">
        <v>7205</v>
      </c>
      <c r="AG1764" t="s">
        <v>11929</v>
      </c>
      <c r="AH1764" t="s">
        <v>11930</v>
      </c>
      <c r="AI1764" t="s">
        <v>11931</v>
      </c>
    </row>
    <row r="1765" spans="2:35" ht="270">
      <c r="B1765" s="1">
        <v>45790</v>
      </c>
      <c r="C1765" s="1">
        <v>45785</v>
      </c>
      <c r="D1765" t="s">
        <v>5602</v>
      </c>
      <c r="E1765" t="s">
        <v>2580</v>
      </c>
      <c r="F1765" t="s">
        <v>148</v>
      </c>
      <c r="G1765" t="s">
        <v>447</v>
      </c>
      <c r="H1765" t="s">
        <v>662</v>
      </c>
      <c r="I1765" t="s">
        <v>40</v>
      </c>
      <c r="J1765" t="s">
        <v>109</v>
      </c>
      <c r="K1765" t="s">
        <v>42</v>
      </c>
      <c r="L1765" t="s">
        <v>448</v>
      </c>
      <c r="N1765" t="s">
        <v>450</v>
      </c>
      <c r="O1765" t="s">
        <v>5603</v>
      </c>
      <c r="Q1765">
        <v>30781</v>
      </c>
      <c r="R1765" t="s">
        <v>322</v>
      </c>
      <c r="S1765" t="s">
        <v>5604</v>
      </c>
      <c r="T1765">
        <v>27</v>
      </c>
      <c r="W1765" t="s">
        <v>7420</v>
      </c>
      <c r="X1765">
        <v>110005587</v>
      </c>
      <c r="Y1765" s="2" t="s">
        <v>11932</v>
      </c>
      <c r="Z1765" s="2" t="s">
        <v>2011</v>
      </c>
      <c r="AA1765" t="s">
        <v>122</v>
      </c>
      <c r="AB1765" s="2" t="s">
        <v>11933</v>
      </c>
      <c r="AG1765" t="s">
        <v>11934</v>
      </c>
      <c r="AH1765" t="s">
        <v>7424</v>
      </c>
      <c r="AI1765" t="s">
        <v>11935</v>
      </c>
    </row>
    <row r="1766" spans="2:35" ht="409.5">
      <c r="B1766" s="1">
        <v>45790</v>
      </c>
      <c r="C1766" s="1">
        <v>45785</v>
      </c>
      <c r="D1766" t="s">
        <v>5602</v>
      </c>
      <c r="E1766" t="s">
        <v>2580</v>
      </c>
      <c r="F1766" t="s">
        <v>148</v>
      </c>
      <c r="G1766" t="s">
        <v>447</v>
      </c>
      <c r="H1766" t="s">
        <v>662</v>
      </c>
      <c r="I1766" t="s">
        <v>40</v>
      </c>
      <c r="J1766" t="s">
        <v>109</v>
      </c>
      <c r="K1766" t="s">
        <v>42</v>
      </c>
      <c r="L1766" t="s">
        <v>448</v>
      </c>
      <c r="N1766" t="s">
        <v>650</v>
      </c>
      <c r="O1766" t="s">
        <v>5603</v>
      </c>
      <c r="Q1766">
        <v>30780</v>
      </c>
      <c r="R1766" t="s">
        <v>322</v>
      </c>
      <c r="S1766" t="s">
        <v>5604</v>
      </c>
      <c r="T1766">
        <v>26</v>
      </c>
      <c r="U1766" s="2" t="s">
        <v>11936</v>
      </c>
      <c r="W1766" t="s">
        <v>6121</v>
      </c>
      <c r="X1766">
        <v>838524</v>
      </c>
      <c r="Y1766" s="2" t="s">
        <v>11937</v>
      </c>
      <c r="Z1766" s="2" t="s">
        <v>2011</v>
      </c>
      <c r="AA1766" t="s">
        <v>10095</v>
      </c>
      <c r="AB1766" t="s">
        <v>11938</v>
      </c>
      <c r="AG1766" t="s">
        <v>11939</v>
      </c>
      <c r="AH1766" t="s">
        <v>5609</v>
      </c>
      <c r="AI1766" t="s">
        <v>11940</v>
      </c>
    </row>
    <row r="1767" spans="2:35" ht="409.5">
      <c r="B1767" s="1">
        <v>45790</v>
      </c>
      <c r="C1767" s="1">
        <v>45785</v>
      </c>
      <c r="D1767" t="s">
        <v>3679</v>
      </c>
      <c r="E1767" t="s">
        <v>2580</v>
      </c>
      <c r="F1767" t="s">
        <v>148</v>
      </c>
      <c r="G1767" t="s">
        <v>447</v>
      </c>
      <c r="H1767" t="s">
        <v>386</v>
      </c>
      <c r="I1767" t="s">
        <v>40</v>
      </c>
      <c r="J1767" s="2" t="s">
        <v>190</v>
      </c>
      <c r="K1767" t="s">
        <v>387</v>
      </c>
      <c r="L1767" t="s">
        <v>448</v>
      </c>
      <c r="N1767" t="s">
        <v>450</v>
      </c>
      <c r="Q1767">
        <v>30779</v>
      </c>
      <c r="R1767" t="s">
        <v>322</v>
      </c>
      <c r="S1767" t="s">
        <v>3689</v>
      </c>
      <c r="T1767">
        <v>26</v>
      </c>
      <c r="W1767" t="s">
        <v>476</v>
      </c>
      <c r="X1767" t="s">
        <v>3690</v>
      </c>
      <c r="Y1767" s="2" t="s">
        <v>11941</v>
      </c>
      <c r="Z1767" s="2" t="s">
        <v>11942</v>
      </c>
      <c r="AA1767" t="s">
        <v>680</v>
      </c>
      <c r="AB1767" t="s">
        <v>11943</v>
      </c>
      <c r="AG1767" t="s">
        <v>11944</v>
      </c>
      <c r="AH1767" t="s">
        <v>3694</v>
      </c>
      <c r="AI1767" t="s">
        <v>11945</v>
      </c>
    </row>
    <row r="1768" spans="2:35" ht="409.5">
      <c r="B1768" s="1">
        <v>45790</v>
      </c>
      <c r="C1768" s="1">
        <v>45785</v>
      </c>
      <c r="D1768" t="s">
        <v>3679</v>
      </c>
      <c r="E1768" t="s">
        <v>2580</v>
      </c>
      <c r="F1768" t="s">
        <v>148</v>
      </c>
      <c r="G1768" t="s">
        <v>447</v>
      </c>
      <c r="H1768" t="s">
        <v>386</v>
      </c>
      <c r="I1768" t="s">
        <v>40</v>
      </c>
      <c r="J1768" s="2" t="s">
        <v>190</v>
      </c>
      <c r="K1768" t="s">
        <v>387</v>
      </c>
      <c r="L1768" t="s">
        <v>448</v>
      </c>
      <c r="N1768" t="s">
        <v>450</v>
      </c>
      <c r="Q1768">
        <v>30778</v>
      </c>
      <c r="R1768" t="s">
        <v>322</v>
      </c>
      <c r="S1768" t="s">
        <v>3689</v>
      </c>
      <c r="T1768">
        <v>26</v>
      </c>
      <c r="W1768" t="s">
        <v>476</v>
      </c>
      <c r="X1768">
        <v>20168</v>
      </c>
      <c r="Y1768" s="2" t="s">
        <v>11946</v>
      </c>
      <c r="Z1768" s="2" t="s">
        <v>11942</v>
      </c>
      <c r="AA1768" t="s">
        <v>6124</v>
      </c>
      <c r="AB1768" s="2" t="s">
        <v>11947</v>
      </c>
      <c r="AG1768" t="s">
        <v>11948</v>
      </c>
      <c r="AH1768" t="s">
        <v>3694</v>
      </c>
      <c r="AI1768" t="s">
        <v>11949</v>
      </c>
    </row>
    <row r="1769" spans="2:35" ht="409.5">
      <c r="B1769" s="1">
        <v>45790</v>
      </c>
      <c r="C1769" s="1">
        <v>45786</v>
      </c>
      <c r="D1769" t="s">
        <v>1145</v>
      </c>
      <c r="E1769" t="s">
        <v>11950</v>
      </c>
      <c r="F1769" t="s">
        <v>148</v>
      </c>
      <c r="G1769" t="s">
        <v>447</v>
      </c>
      <c r="H1769" t="s">
        <v>150</v>
      </c>
      <c r="I1769" t="s">
        <v>40</v>
      </c>
      <c r="J1769" t="s">
        <v>109</v>
      </c>
      <c r="K1769" t="s">
        <v>42</v>
      </c>
      <c r="L1769" t="s">
        <v>448</v>
      </c>
      <c r="N1769" t="s">
        <v>450</v>
      </c>
      <c r="Q1769">
        <v>30777</v>
      </c>
      <c r="R1769" t="s">
        <v>322</v>
      </c>
      <c r="S1769" t="s">
        <v>450</v>
      </c>
      <c r="T1769">
        <v>29</v>
      </c>
      <c r="U1769" s="2" t="s">
        <v>11951</v>
      </c>
      <c r="W1769" t="s">
        <v>6121</v>
      </c>
      <c r="X1769">
        <v>838837</v>
      </c>
      <c r="Y1769" s="2" t="s">
        <v>11952</v>
      </c>
      <c r="Z1769" s="2" t="s">
        <v>2011</v>
      </c>
      <c r="AA1769" t="s">
        <v>122</v>
      </c>
      <c r="AB1769" t="s">
        <v>11953</v>
      </c>
      <c r="AG1769" t="s">
        <v>11954</v>
      </c>
      <c r="AH1769" t="s">
        <v>1153</v>
      </c>
      <c r="AI1769" t="s">
        <v>11955</v>
      </c>
    </row>
    <row r="1770" spans="2:35" ht="405">
      <c r="B1770" s="1">
        <v>45790</v>
      </c>
      <c r="C1770" s="1">
        <v>45790</v>
      </c>
      <c r="D1770" t="s">
        <v>11880</v>
      </c>
      <c r="E1770" t="s">
        <v>11881</v>
      </c>
      <c r="F1770">
        <v>6</v>
      </c>
      <c r="G1770" t="s">
        <v>1234</v>
      </c>
      <c r="H1770" t="s">
        <v>39</v>
      </c>
      <c r="I1770" t="s">
        <v>40</v>
      </c>
      <c r="J1770" s="2" t="s">
        <v>1899</v>
      </c>
      <c r="K1770" t="s">
        <v>42</v>
      </c>
      <c r="L1770" t="s">
        <v>270</v>
      </c>
      <c r="N1770" t="s">
        <v>2481</v>
      </c>
      <c r="Q1770">
        <v>30776</v>
      </c>
      <c r="R1770" t="s">
        <v>119</v>
      </c>
      <c r="S1770" t="s">
        <v>11882</v>
      </c>
      <c r="T1770">
        <v>25</v>
      </c>
      <c r="U1770" s="2" t="s">
        <v>11956</v>
      </c>
      <c r="W1770" t="s">
        <v>765</v>
      </c>
      <c r="X1770">
        <v>838477</v>
      </c>
      <c r="Y1770" s="2" t="s">
        <v>11957</v>
      </c>
      <c r="Z1770" t="s">
        <v>449</v>
      </c>
      <c r="AA1770" t="e">
        <f ca="1">- Check monitor fluctuation problem, Install DP-VGA connector- same issue
- cleaned CPU, RAM, Reset _xludf.Power SUPPLY, RAM.- _xludf.Power on problem with CPU.
- Backup filea- ARCHIVE, Data Management Backup.</f>
        <v>#NAME?</v>
      </c>
      <c r="AB1770" s="2" t="s">
        <v>11958</v>
      </c>
      <c r="AC1770" t="s">
        <v>11959</v>
      </c>
      <c r="AG1770" t="s">
        <v>11960</v>
      </c>
      <c r="AH1770" t="s">
        <v>11886</v>
      </c>
      <c r="AI1770" t="s">
        <v>11961</v>
      </c>
    </row>
    <row r="1771" spans="2:35" ht="165">
      <c r="B1771" s="1">
        <v>45790</v>
      </c>
      <c r="C1771" s="1">
        <v>45782</v>
      </c>
      <c r="D1771" t="s">
        <v>4746</v>
      </c>
      <c r="E1771" t="s">
        <v>4747</v>
      </c>
      <c r="F1771">
        <v>6</v>
      </c>
      <c r="G1771" t="s">
        <v>1286</v>
      </c>
      <c r="H1771" t="s">
        <v>39</v>
      </c>
      <c r="I1771" t="s">
        <v>40</v>
      </c>
      <c r="J1771" s="2" t="s">
        <v>1370</v>
      </c>
      <c r="K1771" t="s">
        <v>42</v>
      </c>
      <c r="L1771" t="s">
        <v>433</v>
      </c>
      <c r="N1771" t="s">
        <v>434</v>
      </c>
      <c r="Q1771">
        <v>30775</v>
      </c>
      <c r="R1771" t="s">
        <v>967</v>
      </c>
      <c r="S1771" t="s">
        <v>4748</v>
      </c>
      <c r="T1771">
        <v>25</v>
      </c>
      <c r="W1771" t="s">
        <v>502</v>
      </c>
      <c r="X1771">
        <v>838501</v>
      </c>
      <c r="Y1771" t="s">
        <v>11962</v>
      </c>
      <c r="Z1771" s="2" t="s">
        <v>11963</v>
      </c>
      <c r="AA1771" s="2" t="s">
        <v>11963</v>
      </c>
      <c r="AB1771" t="s">
        <v>1011</v>
      </c>
      <c r="AG1771" t="s">
        <v>11964</v>
      </c>
      <c r="AH1771" t="s">
        <v>11965</v>
      </c>
      <c r="AI1771" t="s">
        <v>11966</v>
      </c>
    </row>
    <row r="1772" spans="2:35" ht="165">
      <c r="B1772" s="1">
        <v>45790</v>
      </c>
      <c r="C1772" s="1">
        <v>45782</v>
      </c>
      <c r="D1772" t="s">
        <v>4746</v>
      </c>
      <c r="E1772" t="s">
        <v>11967</v>
      </c>
      <c r="F1772">
        <v>6</v>
      </c>
      <c r="G1772" t="s">
        <v>1286</v>
      </c>
      <c r="H1772" t="s">
        <v>39</v>
      </c>
      <c r="I1772" t="s">
        <v>40</v>
      </c>
      <c r="J1772" s="2" t="s">
        <v>1370</v>
      </c>
      <c r="K1772" t="s">
        <v>42</v>
      </c>
      <c r="L1772" t="s">
        <v>433</v>
      </c>
      <c r="N1772" t="s">
        <v>434</v>
      </c>
      <c r="Q1772">
        <v>30774</v>
      </c>
      <c r="R1772" t="s">
        <v>967</v>
      </c>
      <c r="S1772" t="s">
        <v>4748</v>
      </c>
      <c r="T1772">
        <v>25</v>
      </c>
      <c r="W1772" t="s">
        <v>502</v>
      </c>
      <c r="X1772">
        <v>838501</v>
      </c>
      <c r="Y1772" t="s">
        <v>11962</v>
      </c>
      <c r="Z1772" s="2" t="s">
        <v>11963</v>
      </c>
      <c r="AA1772" s="2" t="s">
        <v>11963</v>
      </c>
      <c r="AB1772" t="s">
        <v>1011</v>
      </c>
      <c r="AG1772" t="s">
        <v>11964</v>
      </c>
      <c r="AH1772" t="s">
        <v>11965</v>
      </c>
      <c r="AI1772" t="s">
        <v>11966</v>
      </c>
    </row>
    <row r="1773" spans="2:35" ht="255">
      <c r="B1773" s="1">
        <v>45790</v>
      </c>
      <c r="C1773" s="1">
        <v>45786</v>
      </c>
      <c r="D1773" t="s">
        <v>146</v>
      </c>
      <c r="E1773" t="s">
        <v>5992</v>
      </c>
      <c r="F1773" t="s">
        <v>148</v>
      </c>
      <c r="G1773" t="s">
        <v>149</v>
      </c>
      <c r="H1773" t="s">
        <v>39</v>
      </c>
      <c r="I1773" t="s">
        <v>40</v>
      </c>
      <c r="J1773" t="s">
        <v>109</v>
      </c>
      <c r="K1773" t="s">
        <v>42</v>
      </c>
      <c r="L1773" t="s">
        <v>43</v>
      </c>
      <c r="N1773" t="s">
        <v>44</v>
      </c>
      <c r="O1773" t="s">
        <v>388</v>
      </c>
      <c r="Q1773">
        <v>30772</v>
      </c>
      <c r="R1773" t="s">
        <v>95</v>
      </c>
      <c r="S1773" t="s">
        <v>11968</v>
      </c>
      <c r="T1773">
        <v>22</v>
      </c>
      <c r="U1773" s="2" t="s">
        <v>11969</v>
      </c>
      <c r="W1773" t="s">
        <v>153</v>
      </c>
      <c r="X1773">
        <v>110003714</v>
      </c>
      <c r="Y1773" t="s">
        <v>121</v>
      </c>
      <c r="Z1773" t="s">
        <v>122</v>
      </c>
      <c r="AA1773" s="2" t="s">
        <v>9740</v>
      </c>
      <c r="AB1773" t="s">
        <v>8952</v>
      </c>
      <c r="AG1773" t="s">
        <v>11970</v>
      </c>
      <c r="AH1773" t="s">
        <v>11971</v>
      </c>
      <c r="AI1773" t="s">
        <v>11972</v>
      </c>
    </row>
    <row r="1774" spans="2:35" ht="255">
      <c r="B1774" s="1">
        <v>45790</v>
      </c>
      <c r="C1774" s="1">
        <v>45786</v>
      </c>
      <c r="D1774" t="s">
        <v>146</v>
      </c>
      <c r="E1774" t="s">
        <v>10049</v>
      </c>
      <c r="F1774" t="s">
        <v>148</v>
      </c>
      <c r="G1774" t="s">
        <v>149</v>
      </c>
      <c r="H1774" t="s">
        <v>386</v>
      </c>
      <c r="I1774" t="s">
        <v>40</v>
      </c>
      <c r="J1774" t="s">
        <v>109</v>
      </c>
      <c r="K1774" t="s">
        <v>387</v>
      </c>
      <c r="L1774" t="s">
        <v>43</v>
      </c>
      <c r="N1774" t="s">
        <v>44</v>
      </c>
      <c r="O1774" t="s">
        <v>388</v>
      </c>
      <c r="Q1774">
        <v>30773</v>
      </c>
      <c r="R1774" t="s">
        <v>95</v>
      </c>
      <c r="S1774" t="s">
        <v>389</v>
      </c>
      <c r="T1774">
        <v>22</v>
      </c>
      <c r="W1774" t="s">
        <v>390</v>
      </c>
      <c r="X1774" t="s">
        <v>391</v>
      </c>
      <c r="Y1774" t="s">
        <v>121</v>
      </c>
      <c r="Z1774" t="s">
        <v>122</v>
      </c>
      <c r="AA1774" s="2" t="s">
        <v>2076</v>
      </c>
      <c r="AB1774" t="s">
        <v>88</v>
      </c>
      <c r="AG1774" t="s">
        <v>11973</v>
      </c>
      <c r="AH1774" t="s">
        <v>8966</v>
      </c>
      <c r="AI1774" t="s">
        <v>11974</v>
      </c>
    </row>
    <row r="1775" spans="2:35">
      <c r="B1775" s="1">
        <v>45788</v>
      </c>
      <c r="C1775" s="1">
        <v>45787</v>
      </c>
      <c r="D1775" t="s">
        <v>6037</v>
      </c>
      <c r="E1775" t="s">
        <v>7875</v>
      </c>
      <c r="F1775">
        <v>7</v>
      </c>
      <c r="G1775" t="s">
        <v>432</v>
      </c>
      <c r="H1775" t="s">
        <v>386</v>
      </c>
      <c r="I1775" t="s">
        <v>40</v>
      </c>
      <c r="J1775" t="s">
        <v>996</v>
      </c>
      <c r="K1775" t="s">
        <v>387</v>
      </c>
      <c r="L1775" t="s">
        <v>610</v>
      </c>
      <c r="N1775" t="s">
        <v>611</v>
      </c>
      <c r="Q1775">
        <v>30771</v>
      </c>
      <c r="R1775" t="s">
        <v>95</v>
      </c>
      <c r="S1775" t="s">
        <v>6039</v>
      </c>
      <c r="T1775">
        <v>24</v>
      </c>
      <c r="W1775" t="s">
        <v>390</v>
      </c>
      <c r="X1775" t="s">
        <v>11975</v>
      </c>
      <c r="Y1775" t="s">
        <v>67</v>
      </c>
      <c r="Z1775" t="s">
        <v>11976</v>
      </c>
      <c r="AA1775" t="s">
        <v>11976</v>
      </c>
      <c r="AB1775" t="s">
        <v>11977</v>
      </c>
      <c r="AG1775" t="s">
        <v>11978</v>
      </c>
      <c r="AH1775" t="s">
        <v>10028</v>
      </c>
      <c r="AI1775" t="s">
        <v>11979</v>
      </c>
    </row>
    <row r="1776" spans="2:35" ht="360">
      <c r="B1776" s="1">
        <v>45788</v>
      </c>
      <c r="C1776" s="1">
        <v>45787</v>
      </c>
      <c r="D1776" t="s">
        <v>8761</v>
      </c>
      <c r="E1776" t="s">
        <v>7875</v>
      </c>
      <c r="F1776">
        <v>7</v>
      </c>
      <c r="G1776" t="s">
        <v>432</v>
      </c>
      <c r="H1776" t="s">
        <v>61</v>
      </c>
      <c r="I1776" t="s">
        <v>40</v>
      </c>
      <c r="J1776" t="s">
        <v>996</v>
      </c>
      <c r="K1776" t="s">
        <v>42</v>
      </c>
      <c r="L1776" t="s">
        <v>610</v>
      </c>
      <c r="N1776" t="s">
        <v>611</v>
      </c>
      <c r="O1776" t="s">
        <v>8762</v>
      </c>
      <c r="Q1776">
        <v>30770</v>
      </c>
      <c r="R1776" t="s">
        <v>95</v>
      </c>
      <c r="S1776" t="s">
        <v>11980</v>
      </c>
      <c r="T1776">
        <v>23</v>
      </c>
      <c r="U1776" s="2" t="s">
        <v>11981</v>
      </c>
      <c r="W1776" t="s">
        <v>360</v>
      </c>
      <c r="X1776">
        <v>110020777</v>
      </c>
      <c r="Y1776" t="s">
        <v>11982</v>
      </c>
      <c r="Z1776" s="2" t="s">
        <v>8765</v>
      </c>
      <c r="AA1776" s="2" t="s">
        <v>8765</v>
      </c>
      <c r="AB1776" t="s">
        <v>11983</v>
      </c>
      <c r="AG1776" t="s">
        <v>11984</v>
      </c>
      <c r="AH1776" t="s">
        <v>7879</v>
      </c>
      <c r="AI1776" t="s">
        <v>11985</v>
      </c>
    </row>
    <row r="1777" spans="2:35" ht="409.5">
      <c r="B1777" s="1">
        <v>45786</v>
      </c>
      <c r="C1777" s="1">
        <v>45786</v>
      </c>
      <c r="D1777" t="s">
        <v>11986</v>
      </c>
      <c r="E1777" t="s">
        <v>1555</v>
      </c>
      <c r="F1777">
        <v>7</v>
      </c>
      <c r="G1777" t="s">
        <v>432</v>
      </c>
      <c r="H1777" t="s">
        <v>39</v>
      </c>
      <c r="I1777" t="s">
        <v>40</v>
      </c>
      <c r="J1777" t="s">
        <v>109</v>
      </c>
      <c r="K1777" t="s">
        <v>42</v>
      </c>
      <c r="L1777" t="s">
        <v>1288</v>
      </c>
      <c r="N1777" t="s">
        <v>1289</v>
      </c>
      <c r="Q1777">
        <v>30769</v>
      </c>
      <c r="R1777" t="s">
        <v>95</v>
      </c>
      <c r="S1777" t="s">
        <v>11987</v>
      </c>
      <c r="T1777">
        <v>22</v>
      </c>
      <c r="U1777" s="2" t="s">
        <v>11988</v>
      </c>
      <c r="W1777" t="s">
        <v>1292</v>
      </c>
      <c r="X1777">
        <v>110008524</v>
      </c>
      <c r="Y1777" t="s">
        <v>9143</v>
      </c>
      <c r="Z1777" t="e">
        <f ca="1">-COLLECT IQR , system _xludf.Log, _xludf.and ARCHIVE</f>
        <v>#NAME?</v>
      </c>
      <c r="AA1777" t="e">
        <f ca="1">-PERFORM Preventive Maintenance PROCEDURE:
_xludf.Clean FAN _xludf.filter, plunger rod, _xludf.and PROBES</f>
        <v>#NAME?</v>
      </c>
      <c r="AB1777" t="s">
        <v>1293</v>
      </c>
      <c r="AC1777" t="s">
        <v>11989</v>
      </c>
      <c r="AG1777" t="s">
        <v>11990</v>
      </c>
      <c r="AH1777" t="s">
        <v>4892</v>
      </c>
      <c r="AI1777" t="s">
        <v>11991</v>
      </c>
    </row>
    <row r="1778" spans="2:35" ht="409.5">
      <c r="B1778" s="1">
        <v>45786</v>
      </c>
      <c r="C1778" s="1">
        <v>45786</v>
      </c>
      <c r="D1778" t="s">
        <v>5207</v>
      </c>
      <c r="E1778" t="s">
        <v>5208</v>
      </c>
      <c r="F1778" t="s">
        <v>148</v>
      </c>
      <c r="G1778" t="s">
        <v>310</v>
      </c>
      <c r="H1778" t="s">
        <v>39</v>
      </c>
      <c r="I1778" t="s">
        <v>40</v>
      </c>
      <c r="J1778" s="2" t="s">
        <v>41</v>
      </c>
      <c r="K1778" t="s">
        <v>42</v>
      </c>
      <c r="L1778" t="s">
        <v>1943</v>
      </c>
      <c r="N1778" t="s">
        <v>1944</v>
      </c>
      <c r="O1778" t="s">
        <v>5209</v>
      </c>
      <c r="Q1778">
        <v>30768</v>
      </c>
      <c r="R1778" t="s">
        <v>322</v>
      </c>
      <c r="S1778" t="s">
        <v>11992</v>
      </c>
      <c r="T1778">
        <v>25</v>
      </c>
      <c r="U1778" s="2" t="s">
        <v>11993</v>
      </c>
      <c r="V1778" s="1">
        <v>45784</v>
      </c>
      <c r="W1778" t="s">
        <v>5225</v>
      </c>
      <c r="X1778">
        <v>110016343</v>
      </c>
      <c r="Y1778" s="2" t="s">
        <v>11994</v>
      </c>
      <c r="Z1778" t="s">
        <v>1947</v>
      </c>
      <c r="AA1778" s="2" t="s">
        <v>1948</v>
      </c>
      <c r="AB1778" t="s">
        <v>88</v>
      </c>
      <c r="AD1778" s="2" t="s">
        <v>11995</v>
      </c>
      <c r="AE1778" t="s">
        <v>11996</v>
      </c>
      <c r="AG1778" t="s">
        <v>11997</v>
      </c>
      <c r="AH1778" t="s">
        <v>5212</v>
      </c>
      <c r="AI1778" t="s">
        <v>11998</v>
      </c>
    </row>
    <row r="1779" spans="2:35" ht="409.5">
      <c r="B1779" s="1">
        <v>45786</v>
      </c>
      <c r="C1779" s="1">
        <v>45785</v>
      </c>
      <c r="D1779" t="s">
        <v>187</v>
      </c>
      <c r="E1779" t="s">
        <v>11999</v>
      </c>
      <c r="F1779" t="s">
        <v>37</v>
      </c>
      <c r="G1779" t="s">
        <v>189</v>
      </c>
      <c r="H1779" t="s">
        <v>39</v>
      </c>
      <c r="I1779" t="s">
        <v>40</v>
      </c>
      <c r="J1779" s="2" t="s">
        <v>41</v>
      </c>
      <c r="K1779" t="s">
        <v>42</v>
      </c>
      <c r="L1779" t="s">
        <v>1943</v>
      </c>
      <c r="N1779" t="s">
        <v>1944</v>
      </c>
      <c r="Q1779">
        <v>30767</v>
      </c>
      <c r="R1779" t="s">
        <v>322</v>
      </c>
      <c r="S1779" t="s">
        <v>12000</v>
      </c>
      <c r="T1779">
        <v>25</v>
      </c>
      <c r="U1779" s="2" t="s">
        <v>12001</v>
      </c>
      <c r="W1779" t="s">
        <v>373</v>
      </c>
      <c r="X1779">
        <v>110024615</v>
      </c>
      <c r="Y1779" s="2" t="s">
        <v>12002</v>
      </c>
      <c r="Z1779" t="s">
        <v>9272</v>
      </c>
      <c r="AA1779" s="2" t="s">
        <v>12003</v>
      </c>
      <c r="AB1779" t="s">
        <v>88</v>
      </c>
      <c r="AG1779" t="s">
        <v>12004</v>
      </c>
      <c r="AH1779" t="s">
        <v>12005</v>
      </c>
      <c r="AI1779" t="s">
        <v>12006</v>
      </c>
    </row>
    <row r="1780" spans="2:35" ht="105">
      <c r="B1780" s="1">
        <v>45786</v>
      </c>
      <c r="C1780" s="1">
        <v>45786</v>
      </c>
      <c r="D1780" t="s">
        <v>5563</v>
      </c>
      <c r="E1780" t="s">
        <v>1555</v>
      </c>
      <c r="F1780">
        <v>7</v>
      </c>
      <c r="G1780" t="s">
        <v>432</v>
      </c>
      <c r="H1780" t="s">
        <v>150</v>
      </c>
      <c r="I1780" t="s">
        <v>40</v>
      </c>
      <c r="J1780" t="s">
        <v>109</v>
      </c>
      <c r="K1780" t="s">
        <v>42</v>
      </c>
      <c r="L1780" t="s">
        <v>343</v>
      </c>
      <c r="N1780" t="s">
        <v>344</v>
      </c>
      <c r="Q1780">
        <v>30766</v>
      </c>
      <c r="R1780" t="s">
        <v>119</v>
      </c>
      <c r="S1780" t="s">
        <v>5564</v>
      </c>
      <c r="T1780">
        <v>27</v>
      </c>
      <c r="U1780" s="2" t="s">
        <v>12007</v>
      </c>
      <c r="W1780" t="s">
        <v>1501</v>
      </c>
      <c r="X1780">
        <v>838561</v>
      </c>
      <c r="Y1780" t="s">
        <v>8412</v>
      </c>
      <c r="Z1780" t="e">
        <f ca="1">-PERFORM Preventive Maintenance: plunger rod, cartridge bay, optic slot, FAN _xludf.filter</f>
        <v>#NAME?</v>
      </c>
      <c r="AA1780" t="e">
        <f ca="1">-Preventive Maintenance
-ARCHIVE tests</f>
        <v>#NAME?</v>
      </c>
      <c r="AB1780" t="s">
        <v>348</v>
      </c>
      <c r="AG1780" t="s">
        <v>12008</v>
      </c>
      <c r="AH1780" t="s">
        <v>5567</v>
      </c>
      <c r="AI1780" t="s">
        <v>12009</v>
      </c>
    </row>
    <row r="1781" spans="2:35" ht="375">
      <c r="B1781" s="1">
        <v>45786</v>
      </c>
      <c r="C1781" s="1">
        <v>45786</v>
      </c>
      <c r="D1781" t="s">
        <v>7213</v>
      </c>
      <c r="E1781" t="s">
        <v>229</v>
      </c>
      <c r="F1781" t="s">
        <v>148</v>
      </c>
      <c r="G1781" t="s">
        <v>230</v>
      </c>
      <c r="H1781" t="s">
        <v>39</v>
      </c>
      <c r="I1781" t="s">
        <v>40</v>
      </c>
      <c r="J1781" s="2" t="s">
        <v>609</v>
      </c>
      <c r="K1781" t="s">
        <v>42</v>
      </c>
      <c r="L1781" t="s">
        <v>175</v>
      </c>
      <c r="N1781" t="s">
        <v>176</v>
      </c>
      <c r="Q1781">
        <v>30765</v>
      </c>
      <c r="R1781" t="s">
        <v>322</v>
      </c>
      <c r="S1781" t="s">
        <v>7214</v>
      </c>
      <c r="T1781">
        <v>25</v>
      </c>
      <c r="W1781" t="s">
        <v>373</v>
      </c>
      <c r="X1781">
        <v>110025111</v>
      </c>
      <c r="Y1781" s="2" t="s">
        <v>12010</v>
      </c>
      <c r="Z1781" t="s">
        <v>12011</v>
      </c>
      <c r="AA1781" s="2" t="s">
        <v>12012</v>
      </c>
      <c r="AB1781" t="s">
        <v>181</v>
      </c>
      <c r="AG1781" t="s">
        <v>12013</v>
      </c>
      <c r="AH1781" t="s">
        <v>12014</v>
      </c>
      <c r="AI1781" t="s">
        <v>12015</v>
      </c>
    </row>
    <row r="1782" spans="2:35" ht="90">
      <c r="B1782" s="1">
        <v>45786</v>
      </c>
      <c r="C1782" s="1">
        <v>45786</v>
      </c>
      <c r="D1782" t="s">
        <v>12016</v>
      </c>
      <c r="E1782" t="s">
        <v>12017</v>
      </c>
      <c r="F1782">
        <v>7</v>
      </c>
      <c r="G1782" t="s">
        <v>432</v>
      </c>
      <c r="H1782" t="s">
        <v>12018</v>
      </c>
      <c r="I1782" t="s">
        <v>40</v>
      </c>
      <c r="J1782" s="2" t="s">
        <v>355</v>
      </c>
      <c r="K1782" t="s">
        <v>387</v>
      </c>
      <c r="L1782" t="s">
        <v>1288</v>
      </c>
      <c r="N1782" t="s">
        <v>1289</v>
      </c>
      <c r="Q1782">
        <v>30764</v>
      </c>
      <c r="R1782" t="s">
        <v>95</v>
      </c>
      <c r="S1782" t="s">
        <v>12019</v>
      </c>
      <c r="T1782">
        <v>23</v>
      </c>
      <c r="W1782" t="s">
        <v>390</v>
      </c>
      <c r="X1782" t="s">
        <v>2402</v>
      </c>
      <c r="Y1782" t="e">
        <f ca="1">-_xludf.Power related issue
-DONOR pressure monitor issue during PROCEDURE</f>
        <v>#NAME?</v>
      </c>
      <c r="Z1782" t="e">
        <f ca="1">-PERFORM Cycle test, passed
-COLLECT DEVICE parameters _xludf.and DIAGNOSTICS Data</f>
        <v>#NAME?</v>
      </c>
      <c r="AA1782" t="e">
        <f ca="1">-PERFORM MULTIMETER Check, _xludf.Power OUTLET is working
-Inspect MCS+ EQUIPMENT _xludf.Power _xludf.and functionality, passed
-INPSECT DONOR pressure monitor functionality, passed
-Inspect _xludf.Power OUTPUT FROM UPS, No _xludf.Power DETECTED</f>
        <v>#NAME?</v>
      </c>
      <c r="AB1782" t="e">
        <f ca="1">-MCS+ EQUIPMENT is operational
-CONFIRMED UPS S/_xludf.n:PB0223121115 is defective _xludf.and _xludf.For Out of warranty Replacement</f>
        <v>#NAME?</v>
      </c>
      <c r="AG1782" t="s">
        <v>12020</v>
      </c>
      <c r="AH1782" t="s">
        <v>12021</v>
      </c>
      <c r="AI1782" t="s">
        <v>12022</v>
      </c>
    </row>
    <row r="1783" spans="2:35" ht="315">
      <c r="B1783" s="1">
        <v>45786</v>
      </c>
      <c r="C1783" s="1">
        <v>45786</v>
      </c>
      <c r="D1783" t="s">
        <v>12016</v>
      </c>
      <c r="E1783" t="s">
        <v>12017</v>
      </c>
      <c r="F1783">
        <v>7</v>
      </c>
      <c r="G1783" t="s">
        <v>432</v>
      </c>
      <c r="H1783" t="s">
        <v>12018</v>
      </c>
      <c r="I1783" t="s">
        <v>40</v>
      </c>
      <c r="J1783" s="2" t="s">
        <v>355</v>
      </c>
      <c r="K1783" t="s">
        <v>387</v>
      </c>
      <c r="L1783" t="s">
        <v>1288</v>
      </c>
      <c r="N1783" t="s">
        <v>1289</v>
      </c>
      <c r="Q1783">
        <v>30763</v>
      </c>
      <c r="R1783" t="s">
        <v>95</v>
      </c>
      <c r="S1783" t="s">
        <v>12019</v>
      </c>
      <c r="T1783">
        <v>23</v>
      </c>
      <c r="W1783" t="s">
        <v>390</v>
      </c>
      <c r="X1783" t="s">
        <v>1557</v>
      </c>
      <c r="Y1783" t="e">
        <f ca="1">-_xludf.Power related issue</f>
        <v>#NAME?</v>
      </c>
      <c r="Z1783" t="e">
        <f ca="1">-PERFORM Cycle test, passed
-COLLECT DEVICE parameters _xludf.and DIAGNOSTICS Data</f>
        <v>#NAME?</v>
      </c>
      <c r="AA1783" t="e">
        <f ca="1">-PERFORM MULTIMETER Check, _xludf.Power OUTLET is working
-Inspect MCS+ EQUIPMENT _xludf.Power _xludf.and functionality, passed
-Inspect _xludf.Power OUTPUT FROM UPS, No _xludf.Power DETECTED</f>
        <v>#NAME?</v>
      </c>
      <c r="AB1783" s="2" t="s">
        <v>12023</v>
      </c>
      <c r="AG1783" t="s">
        <v>12024</v>
      </c>
      <c r="AH1783" t="s">
        <v>12021</v>
      </c>
      <c r="AI1783" t="s">
        <v>12025</v>
      </c>
    </row>
    <row r="1784" spans="2:35" ht="255">
      <c r="B1784" s="1">
        <v>45786</v>
      </c>
      <c r="C1784" s="1">
        <v>45785</v>
      </c>
      <c r="D1784" t="s">
        <v>1081</v>
      </c>
      <c r="E1784" t="s">
        <v>1082</v>
      </c>
      <c r="F1784" t="s">
        <v>148</v>
      </c>
      <c r="G1784" t="s">
        <v>785</v>
      </c>
      <c r="H1784" t="s">
        <v>386</v>
      </c>
      <c r="I1784" t="s">
        <v>40</v>
      </c>
      <c r="J1784" t="s">
        <v>109</v>
      </c>
      <c r="K1784" t="s">
        <v>387</v>
      </c>
      <c r="L1784" t="s">
        <v>43</v>
      </c>
      <c r="N1784" t="s">
        <v>44</v>
      </c>
      <c r="Q1784">
        <v>30760</v>
      </c>
      <c r="R1784" t="s">
        <v>95</v>
      </c>
      <c r="S1784" t="s">
        <v>2074</v>
      </c>
      <c r="T1784">
        <v>22</v>
      </c>
      <c r="W1784" t="s">
        <v>390</v>
      </c>
      <c r="X1784" t="s">
        <v>2075</v>
      </c>
      <c r="Y1784" t="s">
        <v>121</v>
      </c>
      <c r="Z1784" t="s">
        <v>122</v>
      </c>
      <c r="AA1784" s="2" t="s">
        <v>2076</v>
      </c>
      <c r="AB1784" t="s">
        <v>181</v>
      </c>
      <c r="AC1784" t="s">
        <v>12026</v>
      </c>
      <c r="AG1784" t="s">
        <v>12027</v>
      </c>
      <c r="AH1784" t="s">
        <v>12028</v>
      </c>
      <c r="AI1784" t="s">
        <v>12029</v>
      </c>
    </row>
    <row r="1785" spans="2:35" ht="409.5">
      <c r="B1785" s="1">
        <v>45786</v>
      </c>
      <c r="C1785" s="1">
        <v>45785</v>
      </c>
      <c r="D1785" t="s">
        <v>1081</v>
      </c>
      <c r="E1785" t="s">
        <v>1082</v>
      </c>
      <c r="F1785" t="s">
        <v>148</v>
      </c>
      <c r="G1785" t="s">
        <v>785</v>
      </c>
      <c r="H1785" t="s">
        <v>39</v>
      </c>
      <c r="I1785" t="s">
        <v>40</v>
      </c>
      <c r="J1785" t="s">
        <v>109</v>
      </c>
      <c r="K1785" t="s">
        <v>42</v>
      </c>
      <c r="L1785" t="s">
        <v>43</v>
      </c>
      <c r="N1785" t="s">
        <v>44</v>
      </c>
      <c r="Q1785">
        <v>30762</v>
      </c>
      <c r="R1785" t="s">
        <v>95</v>
      </c>
      <c r="S1785" t="s">
        <v>2016</v>
      </c>
      <c r="T1785">
        <v>22</v>
      </c>
      <c r="U1785" s="2" t="s">
        <v>12030</v>
      </c>
      <c r="W1785" t="s">
        <v>5136</v>
      </c>
      <c r="X1785">
        <v>110015767</v>
      </c>
      <c r="Y1785" t="s">
        <v>121</v>
      </c>
      <c r="Z1785" t="s">
        <v>122</v>
      </c>
      <c r="AA1785" s="2" t="s">
        <v>123</v>
      </c>
      <c r="AB1785" t="s">
        <v>88</v>
      </c>
      <c r="AG1785" t="s">
        <v>12031</v>
      </c>
      <c r="AH1785" t="s">
        <v>12032</v>
      </c>
      <c r="AI1785" t="s">
        <v>12033</v>
      </c>
    </row>
    <row r="1786" spans="2:35" ht="255">
      <c r="B1786" s="1">
        <v>45786</v>
      </c>
      <c r="C1786" s="1">
        <v>45785</v>
      </c>
      <c r="D1786" t="s">
        <v>1081</v>
      </c>
      <c r="E1786" t="s">
        <v>1082</v>
      </c>
      <c r="F1786" t="s">
        <v>148</v>
      </c>
      <c r="G1786" t="s">
        <v>785</v>
      </c>
      <c r="H1786" t="s">
        <v>1083</v>
      </c>
      <c r="I1786" t="s">
        <v>40</v>
      </c>
      <c r="J1786" t="s">
        <v>109</v>
      </c>
      <c r="K1786" t="s">
        <v>387</v>
      </c>
      <c r="L1786" t="s">
        <v>43</v>
      </c>
      <c r="N1786" t="s">
        <v>44</v>
      </c>
      <c r="Q1786">
        <v>30761</v>
      </c>
      <c r="R1786" t="s">
        <v>95</v>
      </c>
      <c r="S1786" t="s">
        <v>1084</v>
      </c>
      <c r="T1786">
        <v>22</v>
      </c>
      <c r="W1786" t="s">
        <v>390</v>
      </c>
      <c r="X1786" t="s">
        <v>5969</v>
      </c>
      <c r="Y1786" t="s">
        <v>121</v>
      </c>
      <c r="Z1786" t="s">
        <v>122</v>
      </c>
      <c r="AA1786" s="2" t="s">
        <v>12034</v>
      </c>
      <c r="AB1786" t="s">
        <v>88</v>
      </c>
      <c r="AG1786" t="s">
        <v>12035</v>
      </c>
      <c r="AH1786" t="s">
        <v>8289</v>
      </c>
      <c r="AI1786" t="s">
        <v>12036</v>
      </c>
    </row>
    <row r="1787" spans="2:35" ht="180">
      <c r="B1787" s="1">
        <v>45785</v>
      </c>
      <c r="C1787" s="1">
        <v>45785</v>
      </c>
      <c r="D1787" t="s">
        <v>855</v>
      </c>
      <c r="E1787" t="s">
        <v>12037</v>
      </c>
      <c r="F1787" t="s">
        <v>148</v>
      </c>
      <c r="G1787" t="s">
        <v>310</v>
      </c>
      <c r="H1787" t="s">
        <v>39</v>
      </c>
      <c r="I1787" t="s">
        <v>40</v>
      </c>
      <c r="J1787" t="s">
        <v>525</v>
      </c>
      <c r="K1787" t="s">
        <v>42</v>
      </c>
      <c r="L1787" t="s">
        <v>857</v>
      </c>
      <c r="N1787" t="s">
        <v>858</v>
      </c>
      <c r="Q1787">
        <v>30759</v>
      </c>
      <c r="R1787" t="s">
        <v>322</v>
      </c>
      <c r="S1787" t="s">
        <v>859</v>
      </c>
      <c r="T1787">
        <v>22</v>
      </c>
      <c r="W1787" t="s">
        <v>860</v>
      </c>
      <c r="X1787">
        <v>809643</v>
      </c>
      <c r="Y1787" t="s">
        <v>12038</v>
      </c>
      <c r="Z1787" s="2" t="s">
        <v>12039</v>
      </c>
      <c r="AA1787" t="s">
        <v>12040</v>
      </c>
      <c r="AB1787" t="s">
        <v>12041</v>
      </c>
      <c r="AG1787" t="s">
        <v>12042</v>
      </c>
      <c r="AH1787" t="s">
        <v>12043</v>
      </c>
      <c r="AI1787" t="s">
        <v>12044</v>
      </c>
    </row>
    <row r="1788" spans="2:35" ht="270">
      <c r="B1788" s="1">
        <v>45785</v>
      </c>
      <c r="C1788" s="1">
        <v>45785</v>
      </c>
      <c r="D1788" t="s">
        <v>5626</v>
      </c>
      <c r="E1788" t="s">
        <v>12045</v>
      </c>
      <c r="F1788">
        <v>11</v>
      </c>
      <c r="G1788" t="s">
        <v>2137</v>
      </c>
      <c r="H1788" t="s">
        <v>202</v>
      </c>
      <c r="I1788" t="s">
        <v>40</v>
      </c>
      <c r="J1788" t="s">
        <v>109</v>
      </c>
      <c r="K1788" t="s">
        <v>42</v>
      </c>
      <c r="L1788" t="s">
        <v>204</v>
      </c>
      <c r="N1788" t="s">
        <v>205</v>
      </c>
      <c r="Q1788">
        <v>30758</v>
      </c>
      <c r="R1788" t="s">
        <v>967</v>
      </c>
      <c r="S1788" t="s">
        <v>5628</v>
      </c>
      <c r="T1788">
        <v>24.8</v>
      </c>
      <c r="U1788" s="2" t="s">
        <v>12046</v>
      </c>
      <c r="W1788" t="s">
        <v>2550</v>
      </c>
      <c r="X1788">
        <v>110023521</v>
      </c>
      <c r="Y1788" t="s">
        <v>1052</v>
      </c>
      <c r="Z1788" s="2" t="s">
        <v>12047</v>
      </c>
      <c r="AA1788" t="s">
        <v>2551</v>
      </c>
      <c r="AB1788" t="s">
        <v>1211</v>
      </c>
      <c r="AG1788" t="s">
        <v>12048</v>
      </c>
      <c r="AH1788" t="s">
        <v>12049</v>
      </c>
      <c r="AI1788" t="s">
        <v>12050</v>
      </c>
    </row>
    <row r="1789" spans="2:35">
      <c r="B1789" s="1">
        <v>45785</v>
      </c>
      <c r="C1789" s="1">
        <v>45785</v>
      </c>
      <c r="D1789" t="s">
        <v>1040</v>
      </c>
      <c r="E1789" t="s">
        <v>582</v>
      </c>
      <c r="F1789" t="s">
        <v>148</v>
      </c>
      <c r="G1789" t="s">
        <v>447</v>
      </c>
      <c r="H1789" t="s">
        <v>39</v>
      </c>
      <c r="I1789" t="s">
        <v>40</v>
      </c>
      <c r="J1789" t="s">
        <v>321</v>
      </c>
      <c r="K1789" t="s">
        <v>42</v>
      </c>
      <c r="L1789" t="s">
        <v>175</v>
      </c>
      <c r="N1789" t="s">
        <v>176</v>
      </c>
      <c r="Q1789">
        <v>30757</v>
      </c>
      <c r="R1789" t="s">
        <v>322</v>
      </c>
      <c r="S1789" t="s">
        <v>1041</v>
      </c>
      <c r="T1789">
        <v>25</v>
      </c>
      <c r="W1789" t="s">
        <v>373</v>
      </c>
      <c r="X1789">
        <v>110020696</v>
      </c>
      <c r="Y1789" t="s">
        <v>8338</v>
      </c>
      <c r="Z1789" t="s">
        <v>103</v>
      </c>
      <c r="AA1789" t="e">
        <f ca="1">- installed Unit
- generated reports
- performed functionality test
- uploaded database FROM other Unit</f>
        <v>#NAME?</v>
      </c>
      <c r="AB1789" t="s">
        <v>181</v>
      </c>
      <c r="AG1789" t="s">
        <v>12051</v>
      </c>
      <c r="AH1789" t="s">
        <v>12052</v>
      </c>
      <c r="AI1789" t="s">
        <v>12053</v>
      </c>
    </row>
    <row r="1790" spans="2:35" ht="409.5">
      <c r="B1790" s="1">
        <v>45785</v>
      </c>
      <c r="C1790" s="1">
        <v>45783</v>
      </c>
      <c r="D1790" t="s">
        <v>6783</v>
      </c>
      <c r="E1790" t="s">
        <v>2569</v>
      </c>
      <c r="F1790" t="s">
        <v>148</v>
      </c>
      <c r="G1790" t="s">
        <v>447</v>
      </c>
      <c r="H1790" t="s">
        <v>39</v>
      </c>
      <c r="I1790" t="s">
        <v>40</v>
      </c>
      <c r="J1790" t="s">
        <v>109</v>
      </c>
      <c r="K1790" t="s">
        <v>42</v>
      </c>
      <c r="L1790" t="s">
        <v>448</v>
      </c>
      <c r="N1790" t="s">
        <v>650</v>
      </c>
      <c r="Q1790">
        <v>30756</v>
      </c>
      <c r="R1790" t="s">
        <v>95</v>
      </c>
      <c r="S1790" t="s">
        <v>12054</v>
      </c>
      <c r="T1790">
        <v>28</v>
      </c>
      <c r="U1790" s="2" t="s">
        <v>12055</v>
      </c>
      <c r="W1790" t="s">
        <v>6785</v>
      </c>
      <c r="X1790">
        <v>839306</v>
      </c>
      <c r="Y1790" s="2" t="s">
        <v>12056</v>
      </c>
      <c r="Z1790" s="2" t="s">
        <v>2011</v>
      </c>
      <c r="AA1790" t="s">
        <v>122</v>
      </c>
      <c r="AB1790" t="s">
        <v>12057</v>
      </c>
      <c r="AG1790" t="s">
        <v>12058</v>
      </c>
      <c r="AH1790" t="s">
        <v>12059</v>
      </c>
      <c r="AI1790" t="s">
        <v>12060</v>
      </c>
    </row>
    <row r="1791" spans="2:35">
      <c r="B1791" s="1">
        <v>45784</v>
      </c>
      <c r="C1791" s="1">
        <v>45784</v>
      </c>
      <c r="D1791" t="s">
        <v>9762</v>
      </c>
      <c r="E1791" t="s">
        <v>9763</v>
      </c>
      <c r="F1791">
        <v>8</v>
      </c>
      <c r="G1791" t="s">
        <v>2945</v>
      </c>
      <c r="H1791" t="s">
        <v>258</v>
      </c>
      <c r="I1791" t="s">
        <v>40</v>
      </c>
      <c r="J1791" t="s">
        <v>109</v>
      </c>
      <c r="K1791" t="s">
        <v>42</v>
      </c>
      <c r="L1791" t="s">
        <v>259</v>
      </c>
      <c r="N1791" t="s">
        <v>260</v>
      </c>
      <c r="O1791" t="s">
        <v>260</v>
      </c>
      <c r="Q1791">
        <v>30755</v>
      </c>
      <c r="R1791" t="s">
        <v>119</v>
      </c>
      <c r="S1791" t="s">
        <v>260</v>
      </c>
      <c r="T1791">
        <v>28</v>
      </c>
      <c r="V1791" s="1">
        <v>45784</v>
      </c>
      <c r="W1791" t="s">
        <v>84</v>
      </c>
      <c r="X1791">
        <v>838548</v>
      </c>
      <c r="Y1791" t="s">
        <v>1716</v>
      </c>
      <c r="Z1791" t="s">
        <v>1716</v>
      </c>
      <c r="AA1791" t="e">
        <f ca="1">- Preventive Maintenance
- cleaned plunger rod, cartridge bay _xludf.and _xludf.filter
- performed functionality test</f>
        <v>#NAME?</v>
      </c>
      <c r="AB1791" t="s">
        <v>70</v>
      </c>
      <c r="AG1791" t="s">
        <v>12061</v>
      </c>
      <c r="AH1791" t="s">
        <v>12062</v>
      </c>
      <c r="AI1791" t="s">
        <v>12063</v>
      </c>
    </row>
    <row r="1792" spans="2:35" ht="45">
      <c r="B1792" s="1">
        <v>45784</v>
      </c>
      <c r="C1792" s="1">
        <v>45784</v>
      </c>
      <c r="D1792" t="s">
        <v>12064</v>
      </c>
      <c r="E1792" t="s">
        <v>8484</v>
      </c>
      <c r="F1792">
        <v>10</v>
      </c>
      <c r="G1792" t="s">
        <v>1395</v>
      </c>
      <c r="H1792" t="s">
        <v>2125</v>
      </c>
      <c r="I1792" t="s">
        <v>40</v>
      </c>
      <c r="J1792" s="2" t="s">
        <v>41</v>
      </c>
      <c r="K1792" t="s">
        <v>42</v>
      </c>
      <c r="L1792" t="s">
        <v>933</v>
      </c>
      <c r="N1792" t="s">
        <v>934</v>
      </c>
      <c r="Q1792">
        <v>30754</v>
      </c>
      <c r="R1792" t="s">
        <v>119</v>
      </c>
      <c r="S1792" t="s">
        <v>12065</v>
      </c>
      <c r="T1792">
        <v>25</v>
      </c>
      <c r="V1792" s="1">
        <v>45768</v>
      </c>
      <c r="W1792" t="s">
        <v>12066</v>
      </c>
      <c r="X1792">
        <v>838574</v>
      </c>
      <c r="Y1792" t="s">
        <v>12067</v>
      </c>
      <c r="Z1792" t="s">
        <v>2129</v>
      </c>
      <c r="AA1792" t="s">
        <v>12068</v>
      </c>
      <c r="AB1792" t="s">
        <v>2131</v>
      </c>
      <c r="AD1792" t="s">
        <v>10128</v>
      </c>
      <c r="AE1792">
        <v>12949</v>
      </c>
      <c r="AG1792" t="s">
        <v>12069</v>
      </c>
      <c r="AH1792" t="s">
        <v>12070</v>
      </c>
      <c r="AI1792" t="s">
        <v>12071</v>
      </c>
    </row>
    <row r="1793" spans="2:35" ht="225">
      <c r="B1793" s="1">
        <v>45784</v>
      </c>
      <c r="C1793" s="1">
        <v>45776</v>
      </c>
      <c r="D1793" t="s">
        <v>2264</v>
      </c>
      <c r="E1793" t="s">
        <v>12072</v>
      </c>
      <c r="F1793" t="s">
        <v>148</v>
      </c>
      <c r="G1793" t="s">
        <v>2007</v>
      </c>
      <c r="H1793" t="s">
        <v>39</v>
      </c>
      <c r="I1793" t="s">
        <v>40</v>
      </c>
      <c r="J1793" t="s">
        <v>109</v>
      </c>
      <c r="K1793" t="s">
        <v>42</v>
      </c>
      <c r="L1793" t="s">
        <v>43</v>
      </c>
      <c r="N1793" t="s">
        <v>44</v>
      </c>
      <c r="O1793" t="s">
        <v>2266</v>
      </c>
      <c r="Q1793">
        <v>30753</v>
      </c>
      <c r="R1793" t="s">
        <v>95</v>
      </c>
      <c r="S1793" t="s">
        <v>12073</v>
      </c>
      <c r="T1793">
        <v>24</v>
      </c>
      <c r="U1793" s="2" t="s">
        <v>12074</v>
      </c>
      <c r="W1793" t="s">
        <v>153</v>
      </c>
      <c r="X1793">
        <v>110023460</v>
      </c>
      <c r="Y1793" t="s">
        <v>121</v>
      </c>
      <c r="Z1793" t="s">
        <v>122</v>
      </c>
      <c r="AA1793" s="2" t="s">
        <v>9744</v>
      </c>
      <c r="AB1793" t="s">
        <v>88</v>
      </c>
      <c r="AG1793" t="s">
        <v>12075</v>
      </c>
      <c r="AH1793" t="s">
        <v>2270</v>
      </c>
      <c r="AI1793" t="s">
        <v>12076</v>
      </c>
    </row>
    <row r="1794" spans="2:35" ht="330">
      <c r="B1794" s="1">
        <v>45783</v>
      </c>
      <c r="C1794" s="1">
        <v>45776</v>
      </c>
      <c r="D1794" t="s">
        <v>7593</v>
      </c>
      <c r="E1794" t="s">
        <v>7594</v>
      </c>
      <c r="F1794">
        <v>1</v>
      </c>
      <c r="G1794" t="s">
        <v>1909</v>
      </c>
      <c r="H1794" t="s">
        <v>39</v>
      </c>
      <c r="I1794" t="s">
        <v>40</v>
      </c>
      <c r="J1794" s="2" t="s">
        <v>41</v>
      </c>
      <c r="K1794" t="s">
        <v>42</v>
      </c>
      <c r="L1794" t="s">
        <v>1048</v>
      </c>
      <c r="N1794" t="s">
        <v>1049</v>
      </c>
      <c r="Q1794">
        <v>30752</v>
      </c>
      <c r="R1794" t="s">
        <v>119</v>
      </c>
      <c r="S1794" t="s">
        <v>7595</v>
      </c>
      <c r="T1794">
        <v>25</v>
      </c>
      <c r="V1794" s="1">
        <v>45768</v>
      </c>
      <c r="W1794" t="s">
        <v>1051</v>
      </c>
      <c r="X1794">
        <v>838246</v>
      </c>
      <c r="Y1794" t="s">
        <v>1924</v>
      </c>
      <c r="Z1794" s="2" t="s">
        <v>12077</v>
      </c>
      <c r="AA1794" t="s">
        <v>1926</v>
      </c>
      <c r="AB1794" t="s">
        <v>1428</v>
      </c>
      <c r="AC1794" t="s">
        <v>11073</v>
      </c>
      <c r="AD1794" t="s">
        <v>12078</v>
      </c>
      <c r="AE1794" t="s">
        <v>12079</v>
      </c>
      <c r="AG1794" t="s">
        <v>12080</v>
      </c>
      <c r="AH1794" t="s">
        <v>10444</v>
      </c>
      <c r="AI1794" t="s">
        <v>12081</v>
      </c>
    </row>
    <row r="1795" spans="2:35" ht="75">
      <c r="B1795" s="1">
        <v>45783</v>
      </c>
      <c r="C1795" s="1">
        <v>45776</v>
      </c>
      <c r="D1795" t="s">
        <v>1065</v>
      </c>
      <c r="E1795" t="s">
        <v>1066</v>
      </c>
      <c r="F1795">
        <v>1</v>
      </c>
      <c r="G1795" t="s">
        <v>1046</v>
      </c>
      <c r="H1795" t="s">
        <v>1047</v>
      </c>
      <c r="I1795" t="s">
        <v>40</v>
      </c>
      <c r="J1795" s="2" t="s">
        <v>190</v>
      </c>
      <c r="K1795" t="s">
        <v>42</v>
      </c>
      <c r="L1795" t="s">
        <v>1048</v>
      </c>
      <c r="N1795" t="s">
        <v>1049</v>
      </c>
      <c r="Q1795">
        <v>30751</v>
      </c>
      <c r="R1795" t="s">
        <v>119</v>
      </c>
      <c r="S1795" t="s">
        <v>1067</v>
      </c>
      <c r="T1795">
        <v>28</v>
      </c>
      <c r="W1795" t="s">
        <v>1051</v>
      </c>
      <c r="X1795">
        <v>838284</v>
      </c>
      <c r="Y1795" t="s">
        <v>12082</v>
      </c>
      <c r="Z1795" t="e">
        <f ca="1">- cleaned cartridge Bays, plunger Rods _xludf.and I-CORE
- generated reports</f>
        <v>#NAME?</v>
      </c>
      <c r="AA1795" t="s">
        <v>12083</v>
      </c>
      <c r="AB1795" t="s">
        <v>12084</v>
      </c>
      <c r="AG1795" t="s">
        <v>12085</v>
      </c>
      <c r="AH1795" t="s">
        <v>1069</v>
      </c>
      <c r="AI1795" t="s">
        <v>12086</v>
      </c>
    </row>
    <row r="1796" spans="2:35">
      <c r="B1796" s="1">
        <v>45783</v>
      </c>
      <c r="C1796" s="1">
        <v>45783</v>
      </c>
      <c r="D1796" t="s">
        <v>7471</v>
      </c>
      <c r="E1796" t="s">
        <v>8712</v>
      </c>
      <c r="F1796">
        <v>8</v>
      </c>
      <c r="G1796" t="s">
        <v>342</v>
      </c>
      <c r="H1796" t="s">
        <v>258</v>
      </c>
      <c r="I1796" t="s">
        <v>40</v>
      </c>
      <c r="J1796" t="s">
        <v>109</v>
      </c>
      <c r="K1796" t="s">
        <v>42</v>
      </c>
      <c r="L1796" t="s">
        <v>259</v>
      </c>
      <c r="N1796" t="s">
        <v>260</v>
      </c>
      <c r="Q1796">
        <v>30750</v>
      </c>
      <c r="R1796" t="s">
        <v>119</v>
      </c>
      <c r="S1796" t="s">
        <v>7473</v>
      </c>
      <c r="T1796">
        <v>26</v>
      </c>
      <c r="V1796" s="1">
        <v>45783</v>
      </c>
      <c r="W1796" t="s">
        <v>84</v>
      </c>
      <c r="X1796">
        <v>838421</v>
      </c>
      <c r="Y1796" t="s">
        <v>1716</v>
      </c>
      <c r="Z1796" t="s">
        <v>1716</v>
      </c>
      <c r="AA1796" t="s">
        <v>9869</v>
      </c>
      <c r="AB1796" t="s">
        <v>7675</v>
      </c>
      <c r="AG1796" t="s">
        <v>12087</v>
      </c>
      <c r="AH1796" t="s">
        <v>11242</v>
      </c>
      <c r="AI1796" t="s">
        <v>12088</v>
      </c>
    </row>
    <row r="1797" spans="2:35">
      <c r="B1797" s="1">
        <v>45783</v>
      </c>
      <c r="C1797" s="1">
        <v>45783</v>
      </c>
      <c r="D1797" t="s">
        <v>7209</v>
      </c>
      <c r="E1797" t="s">
        <v>229</v>
      </c>
      <c r="F1797" t="s">
        <v>148</v>
      </c>
      <c r="G1797" t="s">
        <v>230</v>
      </c>
      <c r="H1797" t="s">
        <v>39</v>
      </c>
      <c r="I1797" t="s">
        <v>40</v>
      </c>
      <c r="J1797" t="s">
        <v>109</v>
      </c>
      <c r="K1797" t="s">
        <v>42</v>
      </c>
      <c r="L1797" t="s">
        <v>175</v>
      </c>
      <c r="N1797" t="s">
        <v>176</v>
      </c>
      <c r="Q1797">
        <v>30749</v>
      </c>
      <c r="R1797" t="s">
        <v>95</v>
      </c>
      <c r="S1797" t="s">
        <v>4880</v>
      </c>
      <c r="T1797">
        <v>25</v>
      </c>
      <c r="W1797" t="s">
        <v>373</v>
      </c>
      <c r="X1797">
        <v>120003480</v>
      </c>
      <c r="Y1797" t="s">
        <v>374</v>
      </c>
      <c r="Z1797" t="s">
        <v>103</v>
      </c>
      <c r="AA1797" t="e">
        <f ca="1">- checked _xludf.and cleaned cartridge bay, plunger rod, _xludf.filter, icore slot
- performed self test
- generated reports</f>
        <v>#NAME?</v>
      </c>
      <c r="AB1797" t="s">
        <v>181</v>
      </c>
      <c r="AG1797" t="s">
        <v>12089</v>
      </c>
      <c r="AH1797" t="s">
        <v>8257</v>
      </c>
      <c r="AI1797" t="s">
        <v>12090</v>
      </c>
    </row>
    <row r="1798" spans="2:35" ht="409.5">
      <c r="B1798" s="1">
        <v>45783</v>
      </c>
      <c r="C1798" s="1">
        <v>45776</v>
      </c>
      <c r="D1798" t="s">
        <v>8748</v>
      </c>
      <c r="E1798" t="s">
        <v>8749</v>
      </c>
      <c r="F1798">
        <v>12</v>
      </c>
      <c r="G1798" t="s">
        <v>294</v>
      </c>
      <c r="H1798" t="s">
        <v>1473</v>
      </c>
      <c r="I1798" t="s">
        <v>40</v>
      </c>
      <c r="J1798" s="2" t="s">
        <v>190</v>
      </c>
      <c r="K1798" t="s">
        <v>42</v>
      </c>
      <c r="L1798" t="s">
        <v>296</v>
      </c>
      <c r="N1798" t="s">
        <v>297</v>
      </c>
      <c r="Q1798">
        <v>30747</v>
      </c>
      <c r="R1798" t="s">
        <v>119</v>
      </c>
      <c r="S1798" t="s">
        <v>8750</v>
      </c>
      <c r="T1798">
        <v>25.9</v>
      </c>
      <c r="U1798" s="2" t="s">
        <v>12091</v>
      </c>
      <c r="W1798" t="s">
        <v>981</v>
      </c>
      <c r="X1798">
        <v>838556</v>
      </c>
      <c r="Y1798" s="2" t="s">
        <v>12092</v>
      </c>
      <c r="Z1798" s="2" t="s">
        <v>12093</v>
      </c>
      <c r="AA1798" s="2" t="s">
        <v>12094</v>
      </c>
      <c r="AB1798" t="s">
        <v>7205</v>
      </c>
      <c r="AG1798" t="s">
        <v>12095</v>
      </c>
      <c r="AH1798" t="s">
        <v>8754</v>
      </c>
      <c r="AI1798" t="s">
        <v>12096</v>
      </c>
    </row>
    <row r="1799" spans="2:35" ht="409.5">
      <c r="B1799" s="1">
        <v>45783</v>
      </c>
      <c r="C1799" s="1">
        <v>45779</v>
      </c>
      <c r="D1799" t="s">
        <v>7325</v>
      </c>
      <c r="E1799" t="s">
        <v>12097</v>
      </c>
      <c r="F1799">
        <v>12</v>
      </c>
      <c r="G1799" t="s">
        <v>978</v>
      </c>
      <c r="H1799" t="s">
        <v>1473</v>
      </c>
      <c r="I1799" t="s">
        <v>40</v>
      </c>
      <c r="J1799" s="2" t="s">
        <v>41</v>
      </c>
      <c r="K1799" t="s">
        <v>42</v>
      </c>
      <c r="L1799" t="s">
        <v>296</v>
      </c>
      <c r="N1799" t="s">
        <v>297</v>
      </c>
      <c r="Q1799">
        <v>30748</v>
      </c>
      <c r="R1799" t="s">
        <v>119</v>
      </c>
      <c r="S1799" t="s">
        <v>7327</v>
      </c>
      <c r="T1799">
        <v>27.6</v>
      </c>
      <c r="U1799" s="2" t="s">
        <v>7328</v>
      </c>
      <c r="V1799" s="1">
        <v>45779</v>
      </c>
      <c r="W1799" t="s">
        <v>981</v>
      </c>
      <c r="X1799">
        <v>838265</v>
      </c>
      <c r="Y1799" t="s">
        <v>12098</v>
      </c>
      <c r="Z1799" s="2" t="s">
        <v>12099</v>
      </c>
      <c r="AA1799" s="2" t="s">
        <v>12100</v>
      </c>
      <c r="AB1799" t="s">
        <v>7205</v>
      </c>
      <c r="AD1799" t="s">
        <v>12101</v>
      </c>
      <c r="AE1799" t="s">
        <v>12102</v>
      </c>
      <c r="AG1799" t="s">
        <v>12103</v>
      </c>
      <c r="AH1799" t="s">
        <v>12104</v>
      </c>
      <c r="AI1799" t="s">
        <v>12105</v>
      </c>
    </row>
    <row r="1800" spans="2:35">
      <c r="B1800" s="1">
        <v>45782</v>
      </c>
      <c r="C1800" s="1">
        <v>45772</v>
      </c>
      <c r="D1800" t="s">
        <v>4528</v>
      </c>
      <c r="E1800" t="s">
        <v>4529</v>
      </c>
      <c r="F1800">
        <v>1</v>
      </c>
      <c r="G1800" t="s">
        <v>1046</v>
      </c>
      <c r="H1800" t="s">
        <v>1047</v>
      </c>
      <c r="I1800" t="s">
        <v>40</v>
      </c>
      <c r="J1800" t="s">
        <v>109</v>
      </c>
      <c r="K1800" t="s">
        <v>42</v>
      </c>
      <c r="L1800" t="s">
        <v>1048</v>
      </c>
      <c r="N1800" t="s">
        <v>1049</v>
      </c>
      <c r="Q1800">
        <v>30746</v>
      </c>
      <c r="R1800" t="s">
        <v>119</v>
      </c>
      <c r="S1800" t="s">
        <v>4530</v>
      </c>
      <c r="T1800">
        <v>30</v>
      </c>
      <c r="W1800" t="s">
        <v>1051</v>
      </c>
      <c r="X1800">
        <v>838472</v>
      </c>
      <c r="Y1800" t="s">
        <v>1052</v>
      </c>
      <c r="Z1800" t="e">
        <f ca="1">- cleaned cartridge Bays, plunger Rods _xludf.and  I-CORE
- generated reports</f>
        <v>#NAME?</v>
      </c>
      <c r="AA1800" t="s">
        <v>820</v>
      </c>
      <c r="AB1800" t="s">
        <v>1428</v>
      </c>
      <c r="AG1800" t="s">
        <v>12106</v>
      </c>
      <c r="AH1800" t="s">
        <v>4532</v>
      </c>
      <c r="AI1800" t="s">
        <v>12107</v>
      </c>
    </row>
    <row r="1801" spans="2:35">
      <c r="B1801" s="1">
        <v>45782</v>
      </c>
      <c r="C1801" s="1">
        <v>45772</v>
      </c>
      <c r="D1801" t="s">
        <v>3732</v>
      </c>
      <c r="E1801" t="s">
        <v>3733</v>
      </c>
      <c r="F1801">
        <v>1</v>
      </c>
      <c r="G1801" t="s">
        <v>1046</v>
      </c>
      <c r="H1801" t="s">
        <v>1047</v>
      </c>
      <c r="I1801" t="s">
        <v>40</v>
      </c>
      <c r="J1801" t="s">
        <v>109</v>
      </c>
      <c r="K1801" t="s">
        <v>42</v>
      </c>
      <c r="L1801" t="s">
        <v>1048</v>
      </c>
      <c r="N1801" t="s">
        <v>1049</v>
      </c>
      <c r="Q1801">
        <v>30745</v>
      </c>
      <c r="R1801" t="s">
        <v>119</v>
      </c>
      <c r="S1801" t="s">
        <v>3734</v>
      </c>
      <c r="T1801">
        <v>27</v>
      </c>
      <c r="W1801" t="s">
        <v>1051</v>
      </c>
      <c r="X1801">
        <v>838273</v>
      </c>
      <c r="Y1801" t="s">
        <v>1052</v>
      </c>
      <c r="Z1801" t="e">
        <f ca="1">- cleaned cartridge Bays, plunger Rods _xludf.and I-CORE
- generated reports</f>
        <v>#NAME?</v>
      </c>
      <c r="AA1801" t="s">
        <v>820</v>
      </c>
      <c r="AB1801" t="s">
        <v>1428</v>
      </c>
      <c r="AG1801" t="s">
        <v>12108</v>
      </c>
      <c r="AH1801" t="s">
        <v>7274</v>
      </c>
      <c r="AI1801" t="s">
        <v>12109</v>
      </c>
    </row>
    <row r="1802" spans="2:35">
      <c r="B1802" s="1">
        <v>45782</v>
      </c>
      <c r="C1802" s="1">
        <v>45771</v>
      </c>
      <c r="D1802" t="s">
        <v>1057</v>
      </c>
      <c r="E1802" t="s">
        <v>1058</v>
      </c>
      <c r="F1802">
        <v>1</v>
      </c>
      <c r="G1802" t="s">
        <v>1046</v>
      </c>
      <c r="H1802" t="s">
        <v>39</v>
      </c>
      <c r="I1802" t="s">
        <v>40</v>
      </c>
      <c r="J1802" t="s">
        <v>109</v>
      </c>
      <c r="K1802" t="s">
        <v>42</v>
      </c>
      <c r="L1802" t="s">
        <v>1048</v>
      </c>
      <c r="N1802" t="s">
        <v>1049</v>
      </c>
      <c r="Q1802">
        <v>30744</v>
      </c>
      <c r="R1802" t="s">
        <v>95</v>
      </c>
      <c r="S1802" t="s">
        <v>1059</v>
      </c>
      <c r="T1802">
        <v>25</v>
      </c>
      <c r="W1802" t="s">
        <v>1051</v>
      </c>
      <c r="X1802">
        <v>820303</v>
      </c>
      <c r="Y1802" t="s">
        <v>1052</v>
      </c>
      <c r="Z1802" t="e">
        <f ca="1">- cleaned cartridge Bays, plunger Rods _xludf.and I-CORE
- generated reports</f>
        <v>#NAME?</v>
      </c>
      <c r="AA1802" t="s">
        <v>820</v>
      </c>
      <c r="AB1802" t="s">
        <v>1936</v>
      </c>
      <c r="AG1802" t="s">
        <v>12110</v>
      </c>
      <c r="AH1802" t="s">
        <v>3393</v>
      </c>
      <c r="AI1802" t="s">
        <v>12111</v>
      </c>
    </row>
    <row r="1803" spans="2:35" ht="105">
      <c r="B1803" s="1">
        <v>45782</v>
      </c>
      <c r="C1803" s="1">
        <v>45771</v>
      </c>
      <c r="D1803" t="s">
        <v>4503</v>
      </c>
      <c r="E1803" t="s">
        <v>4504</v>
      </c>
      <c r="F1803">
        <v>1</v>
      </c>
      <c r="G1803" t="s">
        <v>1046</v>
      </c>
      <c r="H1803" t="s">
        <v>1047</v>
      </c>
      <c r="I1803" t="s">
        <v>40</v>
      </c>
      <c r="J1803" s="2" t="s">
        <v>190</v>
      </c>
      <c r="K1803" t="s">
        <v>42</v>
      </c>
      <c r="L1803" t="s">
        <v>1048</v>
      </c>
      <c r="N1803" t="s">
        <v>1049</v>
      </c>
      <c r="Q1803">
        <v>30743</v>
      </c>
      <c r="R1803" t="s">
        <v>119</v>
      </c>
      <c r="S1803" t="s">
        <v>4505</v>
      </c>
      <c r="T1803">
        <v>30</v>
      </c>
      <c r="U1803" s="2" t="s">
        <v>1643</v>
      </c>
      <c r="W1803" t="s">
        <v>1051</v>
      </c>
      <c r="X1803">
        <v>838516</v>
      </c>
      <c r="Y1803" t="s">
        <v>12112</v>
      </c>
      <c r="Z1803" t="e">
        <f ca="1">- checked CPU Connections
- cleaned cartridge Bays, plunger Rods _xludf.and I-CORE
- generated reports</f>
        <v>#NAME?</v>
      </c>
      <c r="AA1803" t="s">
        <v>1935</v>
      </c>
      <c r="AB1803" s="2" t="s">
        <v>12113</v>
      </c>
      <c r="AG1803" t="s">
        <v>12114</v>
      </c>
      <c r="AH1803" t="s">
        <v>4507</v>
      </c>
      <c r="AI1803" t="s">
        <v>12115</v>
      </c>
    </row>
    <row r="1804" spans="2:35" ht="90">
      <c r="B1804" s="1">
        <v>45782</v>
      </c>
      <c r="C1804" s="1">
        <v>45771</v>
      </c>
      <c r="D1804" t="s">
        <v>3738</v>
      </c>
      <c r="E1804" t="s">
        <v>3739</v>
      </c>
      <c r="F1804">
        <v>1</v>
      </c>
      <c r="G1804" t="s">
        <v>1046</v>
      </c>
      <c r="H1804" t="s">
        <v>39</v>
      </c>
      <c r="I1804" t="s">
        <v>40</v>
      </c>
      <c r="J1804" s="2" t="s">
        <v>190</v>
      </c>
      <c r="K1804" t="s">
        <v>42</v>
      </c>
      <c r="L1804" t="s">
        <v>1048</v>
      </c>
      <c r="N1804" t="s">
        <v>1049</v>
      </c>
      <c r="Q1804">
        <v>30742</v>
      </c>
      <c r="R1804" t="s">
        <v>119</v>
      </c>
      <c r="S1804" t="s">
        <v>3740</v>
      </c>
      <c r="T1804">
        <v>30</v>
      </c>
      <c r="W1804" t="s">
        <v>1051</v>
      </c>
      <c r="X1804">
        <v>838438</v>
      </c>
      <c r="Y1804" t="s">
        <v>1934</v>
      </c>
      <c r="Z1804" t="e">
        <f ca="1">- checked Fuse of GeneXpert
- cleaned cartridge Bays, plunger _xludf.and I-CORE
- Charged UPS with No Load
- generated reports</f>
        <v>#NAME?</v>
      </c>
      <c r="AA1804" t="s">
        <v>1935</v>
      </c>
      <c r="AB1804" s="2" t="s">
        <v>12116</v>
      </c>
      <c r="AG1804" t="s">
        <v>12117</v>
      </c>
      <c r="AH1804" t="s">
        <v>3742</v>
      </c>
      <c r="AI1804" t="s">
        <v>12118</v>
      </c>
    </row>
    <row r="1805" spans="2:35" ht="409.5">
      <c r="B1805" s="1">
        <v>45782</v>
      </c>
      <c r="C1805" s="1">
        <v>45779</v>
      </c>
      <c r="D1805" t="s">
        <v>5903</v>
      </c>
      <c r="E1805" t="s">
        <v>2569</v>
      </c>
      <c r="F1805" t="s">
        <v>148</v>
      </c>
      <c r="G1805" t="s">
        <v>447</v>
      </c>
      <c r="H1805" t="s">
        <v>662</v>
      </c>
      <c r="I1805" t="s">
        <v>40</v>
      </c>
      <c r="J1805" t="s">
        <v>109</v>
      </c>
      <c r="K1805" t="s">
        <v>42</v>
      </c>
      <c r="L1805" t="s">
        <v>448</v>
      </c>
      <c r="N1805" t="s">
        <v>450</v>
      </c>
      <c r="O1805" t="s">
        <v>650</v>
      </c>
      <c r="Q1805">
        <v>30741</v>
      </c>
      <c r="R1805" t="s">
        <v>322</v>
      </c>
      <c r="S1805" t="s">
        <v>650</v>
      </c>
      <c r="T1805">
        <v>28</v>
      </c>
      <c r="U1805" s="2" t="s">
        <v>12119</v>
      </c>
      <c r="W1805" t="s">
        <v>7420</v>
      </c>
      <c r="X1805">
        <v>110014171</v>
      </c>
      <c r="Y1805" t="s">
        <v>12120</v>
      </c>
      <c r="Z1805" s="2" t="s">
        <v>2575</v>
      </c>
      <c r="AA1805" t="s">
        <v>122</v>
      </c>
      <c r="AB1805" s="2" t="s">
        <v>12121</v>
      </c>
      <c r="AG1805" t="s">
        <v>12122</v>
      </c>
      <c r="AH1805" t="s">
        <v>660</v>
      </c>
      <c r="AI1805" t="s">
        <v>12123</v>
      </c>
    </row>
    <row r="1806" spans="2:35" ht="75">
      <c r="B1806" s="1">
        <v>45779</v>
      </c>
      <c r="C1806" s="1">
        <v>45779</v>
      </c>
      <c r="D1806" t="s">
        <v>1496</v>
      </c>
      <c r="E1806" t="s">
        <v>1497</v>
      </c>
      <c r="F1806">
        <v>8</v>
      </c>
      <c r="G1806" t="s">
        <v>342</v>
      </c>
      <c r="H1806" t="s">
        <v>1498</v>
      </c>
      <c r="I1806" t="s">
        <v>40</v>
      </c>
      <c r="J1806" s="2" t="s">
        <v>1444</v>
      </c>
      <c r="K1806" t="s">
        <v>42</v>
      </c>
      <c r="L1806" t="s">
        <v>343</v>
      </c>
      <c r="N1806" t="s">
        <v>344</v>
      </c>
      <c r="Q1806">
        <v>30740</v>
      </c>
      <c r="R1806" t="s">
        <v>119</v>
      </c>
      <c r="S1806" t="s">
        <v>7820</v>
      </c>
      <c r="T1806">
        <v>26</v>
      </c>
      <c r="W1806" t="s">
        <v>1501</v>
      </c>
      <c r="X1806">
        <v>838297</v>
      </c>
      <c r="Y1806" t="s">
        <v>12124</v>
      </c>
      <c r="Z1806" t="s">
        <v>12125</v>
      </c>
      <c r="AA1806" t="e">
        <f ca="1">-XpertCheck CALIBRATION</f>
        <v>#NAME?</v>
      </c>
      <c r="AB1806" t="s">
        <v>12126</v>
      </c>
      <c r="AG1806" t="s">
        <v>12127</v>
      </c>
      <c r="AH1806" t="s">
        <v>7824</v>
      </c>
      <c r="AI1806" t="s">
        <v>12128</v>
      </c>
    </row>
    <row r="1807" spans="2:35" ht="165">
      <c r="B1807" s="1">
        <v>45779</v>
      </c>
      <c r="C1807" s="1">
        <v>45779</v>
      </c>
      <c r="D1807" t="s">
        <v>6392</v>
      </c>
      <c r="E1807" t="s">
        <v>12129</v>
      </c>
      <c r="F1807">
        <v>2</v>
      </c>
      <c r="G1807" t="s">
        <v>2668</v>
      </c>
      <c r="H1807" t="s">
        <v>39</v>
      </c>
      <c r="I1807" t="s">
        <v>40</v>
      </c>
      <c r="J1807" s="2" t="s">
        <v>1592</v>
      </c>
      <c r="K1807" t="s">
        <v>42</v>
      </c>
      <c r="L1807" t="s">
        <v>63</v>
      </c>
      <c r="N1807" t="s">
        <v>64</v>
      </c>
      <c r="Q1807">
        <v>30739</v>
      </c>
      <c r="R1807" t="s">
        <v>119</v>
      </c>
      <c r="S1807" t="s">
        <v>6394</v>
      </c>
      <c r="T1807">
        <v>28</v>
      </c>
      <c r="U1807" s="2" t="s">
        <v>12130</v>
      </c>
      <c r="V1807" s="1">
        <v>45798</v>
      </c>
      <c r="W1807" t="s">
        <v>66</v>
      </c>
      <c r="X1807">
        <v>838484</v>
      </c>
      <c r="Y1807" t="s">
        <v>12131</v>
      </c>
      <c r="Z1807" s="2" t="s">
        <v>12132</v>
      </c>
      <c r="AA1807" s="2" t="s">
        <v>1727</v>
      </c>
      <c r="AB1807" t="s">
        <v>70</v>
      </c>
      <c r="AD1807" t="s">
        <v>12133</v>
      </c>
      <c r="AE1807">
        <v>12941</v>
      </c>
      <c r="AG1807" t="s">
        <v>12134</v>
      </c>
      <c r="AH1807" t="s">
        <v>12135</v>
      </c>
      <c r="AI1807" t="s">
        <v>12136</v>
      </c>
    </row>
    <row r="1808" spans="2:35" ht="165">
      <c r="B1808" s="1">
        <v>45779</v>
      </c>
      <c r="C1808" s="1">
        <v>45779</v>
      </c>
      <c r="D1808" t="s">
        <v>6392</v>
      </c>
      <c r="E1808" t="s">
        <v>12129</v>
      </c>
      <c r="F1808">
        <v>2</v>
      </c>
      <c r="G1808" t="s">
        <v>2668</v>
      </c>
      <c r="H1808" t="s">
        <v>39</v>
      </c>
      <c r="I1808" t="s">
        <v>40</v>
      </c>
      <c r="J1808" s="2" t="s">
        <v>1592</v>
      </c>
      <c r="K1808" t="s">
        <v>42</v>
      </c>
      <c r="L1808" t="s">
        <v>63</v>
      </c>
      <c r="N1808" t="s">
        <v>64</v>
      </c>
      <c r="Q1808">
        <v>30738</v>
      </c>
      <c r="R1808" t="s">
        <v>119</v>
      </c>
      <c r="S1808" t="s">
        <v>6394</v>
      </c>
      <c r="T1808">
        <v>28</v>
      </c>
      <c r="U1808" s="2" t="s">
        <v>12130</v>
      </c>
      <c r="V1808" s="1">
        <v>45798</v>
      </c>
      <c r="W1808" t="s">
        <v>66</v>
      </c>
      <c r="X1808">
        <v>838484</v>
      </c>
      <c r="Y1808" t="s">
        <v>12131</v>
      </c>
      <c r="Z1808" s="2" t="s">
        <v>12132</v>
      </c>
      <c r="AA1808" s="2" t="s">
        <v>1727</v>
      </c>
      <c r="AB1808" t="s">
        <v>70</v>
      </c>
      <c r="AD1808" t="s">
        <v>12133</v>
      </c>
      <c r="AE1808">
        <v>12941</v>
      </c>
      <c r="AG1808" t="s">
        <v>12137</v>
      </c>
      <c r="AH1808" t="s">
        <v>12135</v>
      </c>
      <c r="AI1808" t="s">
        <v>12138</v>
      </c>
    </row>
    <row r="1809" spans="2:35">
      <c r="B1809" s="1">
        <v>45777</v>
      </c>
      <c r="C1809" s="1">
        <v>45777</v>
      </c>
      <c r="D1809" t="s">
        <v>340</v>
      </c>
      <c r="E1809" t="s">
        <v>341</v>
      </c>
      <c r="F1809">
        <v>8</v>
      </c>
      <c r="G1809" t="s">
        <v>342</v>
      </c>
      <c r="H1809" t="s">
        <v>1498</v>
      </c>
      <c r="I1809" t="s">
        <v>40</v>
      </c>
      <c r="J1809" t="s">
        <v>109</v>
      </c>
      <c r="K1809" t="s">
        <v>42</v>
      </c>
      <c r="L1809" t="s">
        <v>343</v>
      </c>
      <c r="N1809" t="s">
        <v>344</v>
      </c>
      <c r="Q1809">
        <v>30737</v>
      </c>
      <c r="R1809" t="s">
        <v>119</v>
      </c>
      <c r="S1809" t="s">
        <v>345</v>
      </c>
      <c r="T1809">
        <v>27</v>
      </c>
      <c r="W1809" t="s">
        <v>1501</v>
      </c>
      <c r="X1809">
        <v>838555</v>
      </c>
      <c r="Y1809" t="s">
        <v>7415</v>
      </c>
      <c r="Z1809" t="e">
        <f ca="1">-PERFORM Preventive Maintenance: plunger rod, optic slots, cartridge bay, FAN _xludf.filter</f>
        <v>#NAME?</v>
      </c>
      <c r="AA1809" t="e">
        <f ca="1">-Preventive Maintenance</f>
        <v>#NAME?</v>
      </c>
      <c r="AB1809" t="s">
        <v>348</v>
      </c>
      <c r="AG1809" t="s">
        <v>12139</v>
      </c>
      <c r="AH1809" t="s">
        <v>350</v>
      </c>
      <c r="AI1809" t="s">
        <v>12140</v>
      </c>
    </row>
    <row r="1810" spans="2:35" ht="180">
      <c r="B1810" s="1">
        <v>45777</v>
      </c>
      <c r="C1810" s="1">
        <v>45777</v>
      </c>
      <c r="D1810" t="s">
        <v>7634</v>
      </c>
      <c r="E1810" t="s">
        <v>12141</v>
      </c>
      <c r="F1810">
        <v>13</v>
      </c>
      <c r="G1810" t="s">
        <v>4484</v>
      </c>
      <c r="H1810" t="s">
        <v>2125</v>
      </c>
      <c r="I1810" t="s">
        <v>40</v>
      </c>
      <c r="J1810" s="2" t="s">
        <v>41</v>
      </c>
      <c r="K1810" t="s">
        <v>42</v>
      </c>
      <c r="L1810" t="s">
        <v>933</v>
      </c>
      <c r="N1810" t="s">
        <v>934</v>
      </c>
      <c r="Q1810">
        <v>30736</v>
      </c>
      <c r="R1810" t="s">
        <v>119</v>
      </c>
      <c r="S1810" t="s">
        <v>12142</v>
      </c>
      <c r="T1810">
        <v>23</v>
      </c>
      <c r="V1810" s="1">
        <v>45770</v>
      </c>
      <c r="W1810" t="s">
        <v>12066</v>
      </c>
      <c r="X1810">
        <v>837611</v>
      </c>
      <c r="Y1810" t="s">
        <v>12143</v>
      </c>
      <c r="Z1810" t="s">
        <v>2129</v>
      </c>
      <c r="AA1810" s="2" t="s">
        <v>12144</v>
      </c>
      <c r="AB1810" t="s">
        <v>938</v>
      </c>
      <c r="AD1810" t="s">
        <v>12145</v>
      </c>
      <c r="AE1810">
        <v>12943</v>
      </c>
      <c r="AG1810" t="s">
        <v>12146</v>
      </c>
      <c r="AH1810" t="s">
        <v>12147</v>
      </c>
      <c r="AI1810" t="s">
        <v>12148</v>
      </c>
    </row>
    <row r="1811" spans="2:35" ht="409.5">
      <c r="B1811" s="1">
        <v>45777</v>
      </c>
      <c r="C1811" s="1">
        <v>45777</v>
      </c>
      <c r="D1811" t="s">
        <v>7476</v>
      </c>
      <c r="E1811" t="s">
        <v>7477</v>
      </c>
      <c r="F1811">
        <v>11</v>
      </c>
      <c r="G1811" t="s">
        <v>1205</v>
      </c>
      <c r="H1811" t="s">
        <v>202</v>
      </c>
      <c r="I1811" t="s">
        <v>40</v>
      </c>
      <c r="J1811" s="2" t="s">
        <v>41</v>
      </c>
      <c r="K1811" t="s">
        <v>42</v>
      </c>
      <c r="L1811" t="s">
        <v>204</v>
      </c>
      <c r="N1811" t="s">
        <v>205</v>
      </c>
      <c r="Q1811">
        <v>30735</v>
      </c>
      <c r="R1811" t="s">
        <v>119</v>
      </c>
      <c r="S1811" t="s">
        <v>7478</v>
      </c>
      <c r="T1811">
        <v>23.7</v>
      </c>
      <c r="U1811" s="2" t="s">
        <v>12149</v>
      </c>
      <c r="V1811" s="1">
        <v>45768</v>
      </c>
      <c r="W1811" t="s">
        <v>208</v>
      </c>
      <c r="X1811">
        <v>838507</v>
      </c>
      <c r="Y1811" s="2" t="s">
        <v>12150</v>
      </c>
      <c r="Z1811" s="2" t="s">
        <v>12151</v>
      </c>
      <c r="AA1811" t="s">
        <v>12152</v>
      </c>
      <c r="AB1811" t="s">
        <v>12153</v>
      </c>
      <c r="AC1811" t="s">
        <v>12154</v>
      </c>
      <c r="AD1811" t="s">
        <v>10253</v>
      </c>
      <c r="AE1811" t="s">
        <v>12155</v>
      </c>
      <c r="AG1811" t="s">
        <v>12156</v>
      </c>
      <c r="AH1811" t="s">
        <v>12157</v>
      </c>
      <c r="AI1811" t="s">
        <v>12158</v>
      </c>
    </row>
    <row r="1812" spans="2:35" ht="120">
      <c r="B1812" s="1">
        <v>45777</v>
      </c>
      <c r="C1812" s="1">
        <v>45777</v>
      </c>
      <c r="D1812" t="s">
        <v>2470</v>
      </c>
      <c r="E1812" t="s">
        <v>9436</v>
      </c>
      <c r="F1812" t="s">
        <v>148</v>
      </c>
      <c r="G1812" t="s">
        <v>230</v>
      </c>
      <c r="H1812" t="s">
        <v>513</v>
      </c>
      <c r="I1812" t="s">
        <v>40</v>
      </c>
      <c r="J1812" t="s">
        <v>996</v>
      </c>
      <c r="K1812" t="s">
        <v>387</v>
      </c>
      <c r="L1812" t="s">
        <v>175</v>
      </c>
      <c r="N1812" t="s">
        <v>176</v>
      </c>
      <c r="Q1812">
        <v>30734</v>
      </c>
      <c r="R1812" t="s">
        <v>322</v>
      </c>
      <c r="S1812" t="s">
        <v>4894</v>
      </c>
      <c r="T1812">
        <v>25</v>
      </c>
      <c r="V1812" s="1">
        <v>45777</v>
      </c>
      <c r="W1812" t="s">
        <v>390</v>
      </c>
      <c r="X1812" t="s">
        <v>2472</v>
      </c>
      <c r="Y1812" t="s">
        <v>998</v>
      </c>
      <c r="Z1812" t="e">
        <f ca="1">- checked CALIBRATION parameters (ALL values are within acceptable range)
- checked rotor roller pumps
- performed self tezt</f>
        <v>#NAME?</v>
      </c>
      <c r="AA1812" t="s">
        <v>5230</v>
      </c>
      <c r="AB1812" s="2" t="s">
        <v>11008</v>
      </c>
      <c r="AD1812" t="s">
        <v>12159</v>
      </c>
      <c r="AE1812" t="s">
        <v>103</v>
      </c>
      <c r="AG1812" t="s">
        <v>12160</v>
      </c>
      <c r="AH1812" t="s">
        <v>4898</v>
      </c>
      <c r="AI1812" t="s">
        <v>12161</v>
      </c>
    </row>
    <row r="1813" spans="2:35" ht="409.5">
      <c r="B1813" s="1">
        <v>45777</v>
      </c>
      <c r="C1813" s="1">
        <v>45777</v>
      </c>
      <c r="D1813" t="s">
        <v>8914</v>
      </c>
      <c r="E1813" t="s">
        <v>9038</v>
      </c>
      <c r="F1813">
        <v>5</v>
      </c>
      <c r="G1813" t="s">
        <v>839</v>
      </c>
      <c r="H1813" t="s">
        <v>39</v>
      </c>
      <c r="I1813" t="s">
        <v>94</v>
      </c>
      <c r="J1813" s="2" t="s">
        <v>1592</v>
      </c>
      <c r="K1813" t="s">
        <v>42</v>
      </c>
      <c r="L1813" t="s">
        <v>761</v>
      </c>
      <c r="N1813" t="s">
        <v>762</v>
      </c>
      <c r="Q1813">
        <v>30733</v>
      </c>
      <c r="R1813" t="s">
        <v>119</v>
      </c>
      <c r="S1813" t="s">
        <v>12162</v>
      </c>
      <c r="T1813">
        <v>27</v>
      </c>
      <c r="U1813" s="2" t="s">
        <v>12163</v>
      </c>
      <c r="W1813" t="s">
        <v>765</v>
      </c>
      <c r="X1813">
        <v>838558</v>
      </c>
      <c r="Y1813" s="2" t="s">
        <v>12164</v>
      </c>
      <c r="Z1813" s="2" t="s">
        <v>12165</v>
      </c>
      <c r="AA1813" s="2" t="s">
        <v>12166</v>
      </c>
      <c r="AB1813" s="2" t="s">
        <v>12167</v>
      </c>
      <c r="AC1813" t="s">
        <v>12168</v>
      </c>
      <c r="AG1813" t="s">
        <v>12169</v>
      </c>
      <c r="AH1813" t="s">
        <v>12170</v>
      </c>
      <c r="AI1813" t="s">
        <v>12171</v>
      </c>
    </row>
    <row r="1814" spans="2:35" ht="120">
      <c r="B1814" s="1">
        <v>45777</v>
      </c>
      <c r="C1814" s="1">
        <v>45777</v>
      </c>
      <c r="D1814" t="s">
        <v>2470</v>
      </c>
      <c r="E1814" t="s">
        <v>9436</v>
      </c>
      <c r="F1814" t="s">
        <v>148</v>
      </c>
      <c r="G1814" t="s">
        <v>230</v>
      </c>
      <c r="H1814" t="s">
        <v>513</v>
      </c>
      <c r="I1814" t="s">
        <v>40</v>
      </c>
      <c r="J1814" t="s">
        <v>996</v>
      </c>
      <c r="K1814" t="s">
        <v>387</v>
      </c>
      <c r="L1814" t="s">
        <v>175</v>
      </c>
      <c r="N1814" t="s">
        <v>176</v>
      </c>
      <c r="Q1814">
        <v>30732</v>
      </c>
      <c r="R1814" t="s">
        <v>322</v>
      </c>
      <c r="S1814" t="s">
        <v>4894</v>
      </c>
      <c r="T1814">
        <v>25</v>
      </c>
      <c r="V1814" s="1">
        <v>45777</v>
      </c>
      <c r="W1814" t="s">
        <v>390</v>
      </c>
      <c r="X1814" t="s">
        <v>5622</v>
      </c>
      <c r="Y1814" t="s">
        <v>998</v>
      </c>
      <c r="Z1814" t="e">
        <f ca="1">- checked CALIBRATION parameters (ALL values are within acceptable range)
- checked rotor roller pumps
- performed self test</f>
        <v>#NAME?</v>
      </c>
      <c r="AA1814" t="s">
        <v>12172</v>
      </c>
      <c r="AB1814" s="2" t="s">
        <v>11008</v>
      </c>
      <c r="AD1814" t="s">
        <v>12159</v>
      </c>
      <c r="AE1814" t="s">
        <v>103</v>
      </c>
      <c r="AG1814" t="s">
        <v>12173</v>
      </c>
      <c r="AH1814" t="s">
        <v>4898</v>
      </c>
      <c r="AI1814" t="s">
        <v>12174</v>
      </c>
    </row>
    <row r="1815" spans="2:35" ht="120">
      <c r="B1815" s="1">
        <v>45776</v>
      </c>
      <c r="C1815" s="1">
        <v>45776</v>
      </c>
      <c r="D1815" t="s">
        <v>4118</v>
      </c>
      <c r="E1815" t="s">
        <v>12175</v>
      </c>
      <c r="F1815">
        <v>5</v>
      </c>
      <c r="G1815" t="s">
        <v>759</v>
      </c>
      <c r="H1815" t="s">
        <v>39</v>
      </c>
      <c r="I1815" t="s">
        <v>94</v>
      </c>
      <c r="J1815" t="s">
        <v>109</v>
      </c>
      <c r="K1815" t="s">
        <v>42</v>
      </c>
      <c r="L1815" t="s">
        <v>761</v>
      </c>
      <c r="N1815" t="s">
        <v>762</v>
      </c>
      <c r="O1815" t="s">
        <v>6291</v>
      </c>
      <c r="Q1815">
        <v>30731</v>
      </c>
      <c r="R1815" t="s">
        <v>95</v>
      </c>
      <c r="S1815" t="s">
        <v>12176</v>
      </c>
      <c r="T1815">
        <v>28</v>
      </c>
      <c r="W1815" t="s">
        <v>817</v>
      </c>
      <c r="X1815">
        <v>110017942</v>
      </c>
      <c r="Y1815" t="s">
        <v>818</v>
      </c>
      <c r="Z1815" s="2" t="s">
        <v>7933</v>
      </c>
      <c r="AA1815" t="s">
        <v>820</v>
      </c>
      <c r="AB1815" t="s">
        <v>70</v>
      </c>
      <c r="AG1815" t="s">
        <v>12177</v>
      </c>
      <c r="AH1815" t="s">
        <v>4123</v>
      </c>
      <c r="AI1815" t="s">
        <v>12178</v>
      </c>
    </row>
    <row r="1816" spans="2:35" ht="409.5">
      <c r="B1816" s="1">
        <v>45776</v>
      </c>
      <c r="C1816" s="1">
        <v>45776</v>
      </c>
      <c r="D1816" t="s">
        <v>1316</v>
      </c>
      <c r="E1816" t="s">
        <v>6893</v>
      </c>
      <c r="F1816">
        <v>11</v>
      </c>
      <c r="G1816" t="s">
        <v>1205</v>
      </c>
      <c r="H1816" t="s">
        <v>1317</v>
      </c>
      <c r="I1816" t="s">
        <v>40</v>
      </c>
      <c r="J1816" t="s">
        <v>79</v>
      </c>
      <c r="K1816" t="s">
        <v>42</v>
      </c>
      <c r="L1816" t="s">
        <v>204</v>
      </c>
      <c r="N1816" t="s">
        <v>205</v>
      </c>
      <c r="Q1816">
        <v>30730</v>
      </c>
      <c r="R1816" t="s">
        <v>119</v>
      </c>
      <c r="S1816" t="s">
        <v>1318</v>
      </c>
      <c r="T1816">
        <v>25.8</v>
      </c>
      <c r="U1816" s="2" t="s">
        <v>12179</v>
      </c>
      <c r="V1816" s="1">
        <v>45768</v>
      </c>
      <c r="W1816" t="s">
        <v>208</v>
      </c>
      <c r="X1816">
        <v>838262</v>
      </c>
      <c r="Y1816" t="s">
        <v>12180</v>
      </c>
      <c r="Z1816" s="2" t="s">
        <v>12181</v>
      </c>
      <c r="AA1816" t="s">
        <v>12182</v>
      </c>
      <c r="AB1816" t="s">
        <v>1211</v>
      </c>
      <c r="AD1816" t="s">
        <v>10253</v>
      </c>
      <c r="AE1816" t="s">
        <v>12183</v>
      </c>
      <c r="AG1816" t="s">
        <v>12184</v>
      </c>
      <c r="AH1816" t="s">
        <v>12185</v>
      </c>
      <c r="AI1816" t="s">
        <v>12186</v>
      </c>
    </row>
    <row r="1817" spans="2:35">
      <c r="B1817" s="1">
        <v>45776</v>
      </c>
      <c r="C1817" s="1">
        <v>45776</v>
      </c>
      <c r="D1817" t="s">
        <v>1496</v>
      </c>
      <c r="E1817" t="s">
        <v>1497</v>
      </c>
      <c r="F1817">
        <v>8</v>
      </c>
      <c r="G1817" t="s">
        <v>342</v>
      </c>
      <c r="H1817" t="s">
        <v>1498</v>
      </c>
      <c r="I1817" t="s">
        <v>40</v>
      </c>
      <c r="J1817" t="s">
        <v>109</v>
      </c>
      <c r="K1817" t="s">
        <v>42</v>
      </c>
      <c r="L1817" t="s">
        <v>343</v>
      </c>
      <c r="N1817" t="s">
        <v>344</v>
      </c>
      <c r="Q1817">
        <v>30729</v>
      </c>
      <c r="R1817" t="s">
        <v>119</v>
      </c>
      <c r="S1817" t="s">
        <v>7820</v>
      </c>
      <c r="T1817">
        <v>26</v>
      </c>
      <c r="W1817" t="s">
        <v>1501</v>
      </c>
      <c r="X1817">
        <v>838297</v>
      </c>
      <c r="Y1817" t="s">
        <v>7415</v>
      </c>
      <c r="Z1817" t="e">
        <f ca="1">-Preventive Maintenance: plunger rod, cartridge bay, FAN _xludf.filter, optic slot</f>
        <v>#NAME?</v>
      </c>
      <c r="AA1817" t="e">
        <f ca="1">-Preventive Maintenance</f>
        <v>#NAME?</v>
      </c>
      <c r="AB1817" t="s">
        <v>12187</v>
      </c>
      <c r="AG1817" t="s">
        <v>12188</v>
      </c>
      <c r="AH1817" t="s">
        <v>7824</v>
      </c>
      <c r="AI1817" t="s">
        <v>12189</v>
      </c>
    </row>
    <row r="1818" spans="2:35" ht="409.5">
      <c r="B1818" s="1">
        <v>45776</v>
      </c>
      <c r="C1818" s="1">
        <v>45776</v>
      </c>
      <c r="D1818" t="s">
        <v>11888</v>
      </c>
      <c r="E1818" t="s">
        <v>11889</v>
      </c>
      <c r="F1818" t="s">
        <v>148</v>
      </c>
      <c r="G1818" t="s">
        <v>310</v>
      </c>
      <c r="H1818" t="s">
        <v>39</v>
      </c>
      <c r="I1818" t="s">
        <v>40</v>
      </c>
      <c r="J1818" t="s">
        <v>109</v>
      </c>
      <c r="K1818" t="s">
        <v>42</v>
      </c>
      <c r="L1818" t="s">
        <v>1943</v>
      </c>
      <c r="N1818" t="s">
        <v>1944</v>
      </c>
      <c r="Q1818">
        <v>30728</v>
      </c>
      <c r="R1818" t="s">
        <v>322</v>
      </c>
      <c r="S1818" t="s">
        <v>11890</v>
      </c>
      <c r="T1818">
        <v>25</v>
      </c>
      <c r="W1818" t="s">
        <v>84</v>
      </c>
      <c r="X1818">
        <v>808015</v>
      </c>
      <c r="Y1818" t="s">
        <v>2099</v>
      </c>
      <c r="Z1818" t="s">
        <v>2100</v>
      </c>
      <c r="AA1818" s="2" t="s">
        <v>2101</v>
      </c>
      <c r="AB1818" t="s">
        <v>181</v>
      </c>
      <c r="AG1818" t="s">
        <v>12190</v>
      </c>
      <c r="AH1818" t="s">
        <v>12191</v>
      </c>
      <c r="AI1818" t="s">
        <v>12192</v>
      </c>
    </row>
    <row r="1819" spans="2:35" ht="409.5">
      <c r="B1819" s="1">
        <v>45776</v>
      </c>
      <c r="C1819" s="1">
        <v>45776</v>
      </c>
      <c r="D1819" t="s">
        <v>12193</v>
      </c>
      <c r="E1819" t="s">
        <v>11889</v>
      </c>
      <c r="F1819" t="s">
        <v>148</v>
      </c>
      <c r="G1819" t="s">
        <v>310</v>
      </c>
      <c r="H1819" t="s">
        <v>39</v>
      </c>
      <c r="I1819" t="s">
        <v>40</v>
      </c>
      <c r="J1819" t="s">
        <v>109</v>
      </c>
      <c r="K1819" t="s">
        <v>42</v>
      </c>
      <c r="L1819" t="s">
        <v>1943</v>
      </c>
      <c r="N1819" t="s">
        <v>1944</v>
      </c>
      <c r="Q1819">
        <v>30727</v>
      </c>
      <c r="R1819" t="s">
        <v>322</v>
      </c>
      <c r="S1819" t="s">
        <v>12194</v>
      </c>
      <c r="T1819">
        <v>25</v>
      </c>
      <c r="U1819" s="2" t="s">
        <v>12195</v>
      </c>
      <c r="W1819" t="s">
        <v>5225</v>
      </c>
      <c r="X1819">
        <v>110014186</v>
      </c>
      <c r="Y1819" t="s">
        <v>2099</v>
      </c>
      <c r="Z1819" t="s">
        <v>2100</v>
      </c>
      <c r="AA1819" s="2" t="s">
        <v>2101</v>
      </c>
      <c r="AB1819" t="s">
        <v>88</v>
      </c>
      <c r="AG1819" t="s">
        <v>12196</v>
      </c>
      <c r="AH1819" t="s">
        <v>12191</v>
      </c>
      <c r="AI1819" t="s">
        <v>12197</v>
      </c>
    </row>
    <row r="1820" spans="2:35" ht="409.5">
      <c r="B1820" s="1">
        <v>45776</v>
      </c>
      <c r="C1820" s="1">
        <v>45776</v>
      </c>
      <c r="D1820" t="s">
        <v>12198</v>
      </c>
      <c r="E1820" t="s">
        <v>12199</v>
      </c>
      <c r="F1820" t="s">
        <v>148</v>
      </c>
      <c r="G1820" t="s">
        <v>310</v>
      </c>
      <c r="H1820" t="s">
        <v>61</v>
      </c>
      <c r="I1820" t="s">
        <v>40</v>
      </c>
      <c r="J1820" t="s">
        <v>109</v>
      </c>
      <c r="K1820" t="s">
        <v>42</v>
      </c>
      <c r="L1820" t="s">
        <v>1943</v>
      </c>
      <c r="N1820" t="s">
        <v>1944</v>
      </c>
      <c r="Q1820">
        <v>30726</v>
      </c>
      <c r="R1820" t="s">
        <v>322</v>
      </c>
      <c r="S1820" t="s">
        <v>12200</v>
      </c>
      <c r="T1820">
        <v>25</v>
      </c>
      <c r="U1820" s="2" t="s">
        <v>12201</v>
      </c>
      <c r="W1820" t="s">
        <v>895</v>
      </c>
      <c r="X1820">
        <v>844975</v>
      </c>
      <c r="Y1820" t="s">
        <v>2099</v>
      </c>
      <c r="Z1820" t="s">
        <v>2100</v>
      </c>
      <c r="AA1820" s="2" t="s">
        <v>2101</v>
      </c>
      <c r="AB1820" t="s">
        <v>88</v>
      </c>
      <c r="AG1820" t="s">
        <v>12202</v>
      </c>
      <c r="AH1820" t="s">
        <v>12203</v>
      </c>
      <c r="AI1820" t="s">
        <v>12204</v>
      </c>
    </row>
    <row r="1821" spans="2:35" ht="409.5">
      <c r="B1821" s="1">
        <v>45776</v>
      </c>
      <c r="C1821" s="1">
        <v>45776</v>
      </c>
      <c r="D1821" t="s">
        <v>12198</v>
      </c>
      <c r="E1821" t="s">
        <v>12199</v>
      </c>
      <c r="F1821" t="s">
        <v>148</v>
      </c>
      <c r="G1821" t="s">
        <v>310</v>
      </c>
      <c r="H1821" t="s">
        <v>61</v>
      </c>
      <c r="I1821" t="s">
        <v>40</v>
      </c>
      <c r="J1821" t="s">
        <v>109</v>
      </c>
      <c r="K1821" t="s">
        <v>42</v>
      </c>
      <c r="L1821" t="s">
        <v>1943</v>
      </c>
      <c r="N1821" t="s">
        <v>1944</v>
      </c>
      <c r="Q1821">
        <v>30725</v>
      </c>
      <c r="R1821" t="s">
        <v>322</v>
      </c>
      <c r="S1821" t="s">
        <v>12200</v>
      </c>
      <c r="T1821">
        <v>25</v>
      </c>
      <c r="U1821" s="2" t="s">
        <v>12201</v>
      </c>
      <c r="W1821" t="s">
        <v>895</v>
      </c>
      <c r="X1821">
        <v>844975</v>
      </c>
      <c r="Y1821" t="s">
        <v>2099</v>
      </c>
      <c r="Z1821" t="s">
        <v>2100</v>
      </c>
      <c r="AA1821" s="2" t="s">
        <v>2101</v>
      </c>
      <c r="AB1821" t="s">
        <v>88</v>
      </c>
      <c r="AG1821" t="s">
        <v>12205</v>
      </c>
      <c r="AH1821" t="s">
        <v>12203</v>
      </c>
      <c r="AI1821" t="s">
        <v>12206</v>
      </c>
    </row>
    <row r="1822" spans="2:35" ht="180">
      <c r="B1822" s="1">
        <v>45776</v>
      </c>
      <c r="C1822" s="1">
        <v>45772</v>
      </c>
      <c r="D1822" t="s">
        <v>606</v>
      </c>
      <c r="E1822" t="s">
        <v>607</v>
      </c>
      <c r="F1822">
        <v>7</v>
      </c>
      <c r="G1822" t="s">
        <v>432</v>
      </c>
      <c r="H1822" t="s">
        <v>608</v>
      </c>
      <c r="I1822" t="s">
        <v>40</v>
      </c>
      <c r="J1822" s="2" t="s">
        <v>190</v>
      </c>
      <c r="K1822" t="s">
        <v>42</v>
      </c>
      <c r="L1822" t="s">
        <v>610</v>
      </c>
      <c r="N1822" t="s">
        <v>611</v>
      </c>
      <c r="Q1822">
        <v>30724</v>
      </c>
      <c r="R1822" t="s">
        <v>119</v>
      </c>
      <c r="S1822" t="s">
        <v>613</v>
      </c>
      <c r="T1822">
        <v>24</v>
      </c>
      <c r="W1822" t="s">
        <v>360</v>
      </c>
      <c r="X1822">
        <v>838559</v>
      </c>
      <c r="Y1822" t="e">
        <f ca="1">- B2 encountered _xludf.error during running in MTB-ultra</f>
        <v>#NAME?</v>
      </c>
      <c r="Z1822" s="2" t="s">
        <v>12207</v>
      </c>
      <c r="AA1822" t="e">
        <f ca="1">- Generate Data _xludf.and _xludf.Clean up module B2
- Generate IQR, system _xludf.Log, _xludf.and gxx _xludf.files</f>
        <v>#NAME?</v>
      </c>
      <c r="AB1822" t="s">
        <v>12208</v>
      </c>
      <c r="AG1822" t="s">
        <v>12209</v>
      </c>
      <c r="AH1822" t="s">
        <v>10247</v>
      </c>
      <c r="AI1822" t="s">
        <v>12210</v>
      </c>
    </row>
    <row r="1823" spans="2:35">
      <c r="B1823" s="1">
        <v>45776</v>
      </c>
      <c r="C1823" s="1">
        <v>45772</v>
      </c>
      <c r="D1823" t="s">
        <v>5546</v>
      </c>
      <c r="E1823" t="s">
        <v>1555</v>
      </c>
      <c r="F1823">
        <v>7</v>
      </c>
      <c r="G1823" t="s">
        <v>432</v>
      </c>
      <c r="H1823" t="s">
        <v>39</v>
      </c>
      <c r="I1823" t="s">
        <v>40</v>
      </c>
      <c r="J1823" t="s">
        <v>109</v>
      </c>
      <c r="K1823" t="s">
        <v>42</v>
      </c>
      <c r="L1823" t="s">
        <v>433</v>
      </c>
      <c r="N1823" t="s">
        <v>434</v>
      </c>
      <c r="Q1823">
        <v>30723</v>
      </c>
      <c r="R1823" t="s">
        <v>119</v>
      </c>
      <c r="S1823" t="s">
        <v>12211</v>
      </c>
      <c r="T1823">
        <v>29</v>
      </c>
      <c r="W1823" t="s">
        <v>12212</v>
      </c>
      <c r="X1823">
        <v>838527</v>
      </c>
      <c r="Y1823" t="s">
        <v>54</v>
      </c>
      <c r="Z1823" t="s">
        <v>9869</v>
      </c>
      <c r="AA1823" t="s">
        <v>9869</v>
      </c>
      <c r="AB1823" t="s">
        <v>1011</v>
      </c>
      <c r="AG1823" t="s">
        <v>12213</v>
      </c>
      <c r="AH1823" t="s">
        <v>12214</v>
      </c>
      <c r="AI1823" t="s">
        <v>12215</v>
      </c>
    </row>
    <row r="1824" spans="2:35" ht="105">
      <c r="B1824" s="1">
        <v>45776</v>
      </c>
      <c r="C1824" s="1">
        <v>45775</v>
      </c>
      <c r="D1824" t="s">
        <v>606</v>
      </c>
      <c r="E1824" t="s">
        <v>607</v>
      </c>
      <c r="F1824">
        <v>7</v>
      </c>
      <c r="G1824" t="s">
        <v>432</v>
      </c>
      <c r="H1824" t="s">
        <v>608</v>
      </c>
      <c r="I1824" t="s">
        <v>40</v>
      </c>
      <c r="J1824" t="s">
        <v>996</v>
      </c>
      <c r="K1824" t="s">
        <v>42</v>
      </c>
      <c r="L1824" t="s">
        <v>610</v>
      </c>
      <c r="N1824" t="s">
        <v>611</v>
      </c>
      <c r="Q1824">
        <v>30722</v>
      </c>
      <c r="R1824" t="s">
        <v>119</v>
      </c>
      <c r="S1824" t="s">
        <v>613</v>
      </c>
      <c r="T1824">
        <v>24</v>
      </c>
      <c r="U1824" s="2" t="s">
        <v>12216</v>
      </c>
      <c r="W1824" t="s">
        <v>360</v>
      </c>
      <c r="X1824">
        <v>838559</v>
      </c>
      <c r="Y1824" t="s">
        <v>12217</v>
      </c>
      <c r="Z1824" t="s">
        <v>12218</v>
      </c>
      <c r="AA1824" t="s">
        <v>12219</v>
      </c>
      <c r="AB1824" t="s">
        <v>12220</v>
      </c>
      <c r="AG1824" t="s">
        <v>12221</v>
      </c>
      <c r="AH1824" t="s">
        <v>10247</v>
      </c>
      <c r="AI1824" t="s">
        <v>12222</v>
      </c>
    </row>
    <row r="1825" spans="2:35" ht="60">
      <c r="B1825" s="1">
        <v>45776</v>
      </c>
      <c r="C1825" s="1">
        <v>45771</v>
      </c>
      <c r="D1825" t="s">
        <v>1071</v>
      </c>
      <c r="E1825" t="s">
        <v>1072</v>
      </c>
      <c r="F1825">
        <v>7</v>
      </c>
      <c r="G1825" t="s">
        <v>432</v>
      </c>
      <c r="H1825" t="s">
        <v>386</v>
      </c>
      <c r="I1825" t="s">
        <v>40</v>
      </c>
      <c r="J1825" s="2" t="s">
        <v>760</v>
      </c>
      <c r="K1825" t="s">
        <v>387</v>
      </c>
      <c r="L1825" t="s">
        <v>610</v>
      </c>
      <c r="N1825" t="s">
        <v>611</v>
      </c>
      <c r="Q1825">
        <v>30721</v>
      </c>
      <c r="R1825" t="s">
        <v>95</v>
      </c>
      <c r="S1825" t="s">
        <v>1073</v>
      </c>
      <c r="T1825">
        <v>24</v>
      </c>
      <c r="W1825" t="s">
        <v>390</v>
      </c>
      <c r="X1825" t="s">
        <v>1074</v>
      </c>
      <c r="Y1825" t="e">
        <f ca="1">-Red cells spillage during Collection of platelets last procedure.</f>
        <v>#NAME?</v>
      </c>
      <c r="Z1825" t="e">
        <f ca="1">- Troubleshoot _xludf.and Check MCS+
-_xludf.Clean up bowl sensor _xludf.and line sensor
-performed DIAGNOSTICS in ALL transducer</f>
        <v>#NAME?</v>
      </c>
      <c r="AA1825" t="e">
        <f ca="1">- Troubleshoot _xludf.and Check MCS+
-_xludf.Clean up bowl sensor _xludf.and line sensor
-performed DIAGNOSTICS in ALL transducer</f>
        <v>#NAME?</v>
      </c>
      <c r="AB1825" t="s">
        <v>12223</v>
      </c>
      <c r="AG1825" t="s">
        <v>12224</v>
      </c>
      <c r="AH1825" t="s">
        <v>1071</v>
      </c>
      <c r="AI1825" t="s">
        <v>12225</v>
      </c>
    </row>
    <row r="1826" spans="2:35" ht="330">
      <c r="B1826" s="1">
        <v>45775</v>
      </c>
      <c r="C1826" s="1">
        <v>45769</v>
      </c>
      <c r="D1826" t="s">
        <v>7200</v>
      </c>
      <c r="E1826" t="s">
        <v>12226</v>
      </c>
      <c r="F1826">
        <v>12</v>
      </c>
      <c r="G1826" t="s">
        <v>978</v>
      </c>
      <c r="H1826" t="s">
        <v>1473</v>
      </c>
      <c r="I1826" t="s">
        <v>40</v>
      </c>
      <c r="J1826" t="s">
        <v>109</v>
      </c>
      <c r="K1826" t="s">
        <v>42</v>
      </c>
      <c r="L1826" t="s">
        <v>296</v>
      </c>
      <c r="N1826" t="s">
        <v>297</v>
      </c>
      <c r="Q1826">
        <v>30720</v>
      </c>
      <c r="R1826" t="s">
        <v>119</v>
      </c>
      <c r="S1826" t="s">
        <v>7202</v>
      </c>
      <c r="T1826">
        <v>26.9</v>
      </c>
      <c r="U1826" s="2" t="s">
        <v>8276</v>
      </c>
      <c r="W1826" t="s">
        <v>981</v>
      </c>
      <c r="X1826">
        <v>838504</v>
      </c>
      <c r="Y1826" t="s">
        <v>301</v>
      </c>
      <c r="Z1826" s="2" t="s">
        <v>12227</v>
      </c>
      <c r="AA1826" t="s">
        <v>303</v>
      </c>
      <c r="AB1826" t="s">
        <v>7205</v>
      </c>
      <c r="AG1826" t="s">
        <v>12228</v>
      </c>
      <c r="AH1826" t="s">
        <v>9170</v>
      </c>
      <c r="AI1826" t="s">
        <v>12229</v>
      </c>
    </row>
    <row r="1827" spans="2:35" ht="409.5">
      <c r="B1827" s="1">
        <v>45775</v>
      </c>
      <c r="C1827" s="1">
        <v>45772</v>
      </c>
      <c r="D1827" t="s">
        <v>1145</v>
      </c>
      <c r="E1827" t="s">
        <v>473</v>
      </c>
      <c r="F1827" t="s">
        <v>148</v>
      </c>
      <c r="G1827" t="s">
        <v>447</v>
      </c>
      <c r="H1827" t="s">
        <v>386</v>
      </c>
      <c r="I1827" t="s">
        <v>40</v>
      </c>
      <c r="J1827" s="2" t="s">
        <v>62</v>
      </c>
      <c r="K1827" t="s">
        <v>387</v>
      </c>
      <c r="L1827" t="s">
        <v>448</v>
      </c>
      <c r="N1827" t="s">
        <v>650</v>
      </c>
      <c r="Q1827">
        <v>30719</v>
      </c>
      <c r="R1827" t="s">
        <v>322</v>
      </c>
      <c r="S1827" t="s">
        <v>5004</v>
      </c>
      <c r="T1827">
        <v>26</v>
      </c>
      <c r="W1827" t="s">
        <v>390</v>
      </c>
      <c r="X1827" t="s">
        <v>5005</v>
      </c>
      <c r="Y1827" s="2" t="s">
        <v>12230</v>
      </c>
      <c r="Z1827" s="2" t="s">
        <v>12231</v>
      </c>
      <c r="AA1827" t="s">
        <v>122</v>
      </c>
      <c r="AB1827" s="2" t="s">
        <v>12232</v>
      </c>
      <c r="AG1827" t="s">
        <v>12233</v>
      </c>
      <c r="AH1827" t="s">
        <v>5010</v>
      </c>
      <c r="AI1827" t="s">
        <v>12234</v>
      </c>
    </row>
    <row r="1828" spans="2:35" ht="405">
      <c r="B1828" s="1">
        <v>45775</v>
      </c>
      <c r="C1828" s="1">
        <v>45772</v>
      </c>
      <c r="D1828" t="s">
        <v>1145</v>
      </c>
      <c r="E1828" t="s">
        <v>9209</v>
      </c>
      <c r="F1828" t="s">
        <v>148</v>
      </c>
      <c r="G1828" t="s">
        <v>447</v>
      </c>
      <c r="H1828" t="s">
        <v>5486</v>
      </c>
      <c r="I1828" t="s">
        <v>40</v>
      </c>
      <c r="J1828" s="2" t="s">
        <v>62</v>
      </c>
      <c r="K1828" t="s">
        <v>387</v>
      </c>
      <c r="L1828" t="s">
        <v>448</v>
      </c>
      <c r="N1828" t="s">
        <v>650</v>
      </c>
      <c r="Q1828">
        <v>30718</v>
      </c>
      <c r="R1828" t="s">
        <v>322</v>
      </c>
      <c r="S1828" t="s">
        <v>5004</v>
      </c>
      <c r="T1828">
        <v>25</v>
      </c>
      <c r="W1828" t="s">
        <v>476</v>
      </c>
      <c r="X1828" t="s">
        <v>7383</v>
      </c>
      <c r="Y1828" s="2" t="s">
        <v>12235</v>
      </c>
      <c r="Z1828" s="2" t="s">
        <v>6718</v>
      </c>
      <c r="AA1828" t="s">
        <v>6279</v>
      </c>
      <c r="AB1828" t="s">
        <v>12236</v>
      </c>
      <c r="AG1828" t="s">
        <v>12237</v>
      </c>
      <c r="AH1828" t="s">
        <v>5010</v>
      </c>
      <c r="AI1828" t="s">
        <v>12238</v>
      </c>
    </row>
    <row r="1829" spans="2:35" ht="300">
      <c r="B1829" s="1">
        <v>45775</v>
      </c>
      <c r="C1829" s="1">
        <v>45772</v>
      </c>
      <c r="D1829" t="s">
        <v>2176</v>
      </c>
      <c r="E1829" t="s">
        <v>2580</v>
      </c>
      <c r="F1829" t="s">
        <v>148</v>
      </c>
      <c r="G1829" t="s">
        <v>447</v>
      </c>
      <c r="H1829" t="s">
        <v>386</v>
      </c>
      <c r="I1829" t="s">
        <v>40</v>
      </c>
      <c r="J1829" t="s">
        <v>109</v>
      </c>
      <c r="K1829" t="s">
        <v>387</v>
      </c>
      <c r="L1829" t="s">
        <v>448</v>
      </c>
      <c r="N1829" t="s">
        <v>450</v>
      </c>
      <c r="O1829" t="s">
        <v>4140</v>
      </c>
      <c r="Q1829">
        <v>30717</v>
      </c>
      <c r="R1829" t="s">
        <v>322</v>
      </c>
      <c r="S1829" t="s">
        <v>2179</v>
      </c>
      <c r="T1829">
        <v>26</v>
      </c>
      <c r="W1829" t="s">
        <v>476</v>
      </c>
      <c r="X1829" t="s">
        <v>4142</v>
      </c>
      <c r="Y1829" s="2" t="s">
        <v>12239</v>
      </c>
      <c r="Z1829" s="2" t="s">
        <v>12240</v>
      </c>
      <c r="AA1829" t="s">
        <v>122</v>
      </c>
      <c r="AB1829" t="s">
        <v>12241</v>
      </c>
      <c r="AG1829" t="s">
        <v>12242</v>
      </c>
      <c r="AH1829" t="s">
        <v>4147</v>
      </c>
      <c r="AI1829" t="s">
        <v>12243</v>
      </c>
    </row>
    <row r="1830" spans="2:35" ht="360">
      <c r="B1830" s="1">
        <v>45775</v>
      </c>
      <c r="C1830" s="1">
        <v>45775</v>
      </c>
      <c r="D1830" t="s">
        <v>9326</v>
      </c>
      <c r="E1830" t="s">
        <v>7572</v>
      </c>
      <c r="F1830">
        <v>3</v>
      </c>
      <c r="G1830" t="s">
        <v>134</v>
      </c>
      <c r="H1830" t="s">
        <v>39</v>
      </c>
      <c r="I1830" t="s">
        <v>40</v>
      </c>
      <c r="J1830" s="2" t="s">
        <v>190</v>
      </c>
      <c r="K1830" t="s">
        <v>42</v>
      </c>
      <c r="L1830" t="s">
        <v>135</v>
      </c>
      <c r="N1830" t="s">
        <v>136</v>
      </c>
      <c r="Q1830">
        <v>30716</v>
      </c>
      <c r="R1830" t="s">
        <v>322</v>
      </c>
      <c r="S1830" t="s">
        <v>9328</v>
      </c>
      <c r="T1830">
        <v>30</v>
      </c>
      <c r="U1830" s="2" t="s">
        <v>12244</v>
      </c>
      <c r="W1830" t="s">
        <v>3335</v>
      </c>
      <c r="X1830">
        <v>110013748</v>
      </c>
      <c r="Y1830" s="2" t="s">
        <v>12245</v>
      </c>
      <c r="Z1830" s="2" t="s">
        <v>12246</v>
      </c>
      <c r="AA1830" s="2" t="s">
        <v>4316</v>
      </c>
      <c r="AB1830" s="2" t="s">
        <v>12247</v>
      </c>
      <c r="AC1830" t="s">
        <v>12248</v>
      </c>
      <c r="AG1830" t="s">
        <v>12249</v>
      </c>
      <c r="AH1830" t="s">
        <v>12250</v>
      </c>
      <c r="AI1830" t="s">
        <v>12251</v>
      </c>
    </row>
    <row r="1831" spans="2:35" ht="360">
      <c r="B1831" s="1">
        <v>45775</v>
      </c>
      <c r="C1831" s="1">
        <v>45775</v>
      </c>
      <c r="D1831" t="s">
        <v>9326</v>
      </c>
      <c r="E1831" t="s">
        <v>7572</v>
      </c>
      <c r="F1831">
        <v>3</v>
      </c>
      <c r="G1831" t="s">
        <v>1046</v>
      </c>
      <c r="H1831" t="s">
        <v>39</v>
      </c>
      <c r="I1831" t="s">
        <v>40</v>
      </c>
      <c r="J1831" t="s">
        <v>109</v>
      </c>
      <c r="K1831" t="s">
        <v>42</v>
      </c>
      <c r="L1831" t="s">
        <v>135</v>
      </c>
      <c r="N1831" t="s">
        <v>136</v>
      </c>
      <c r="Q1831">
        <v>30715</v>
      </c>
      <c r="R1831" t="s">
        <v>322</v>
      </c>
      <c r="S1831" t="s">
        <v>11499</v>
      </c>
      <c r="T1831">
        <v>25</v>
      </c>
      <c r="U1831" s="2" t="s">
        <v>12252</v>
      </c>
      <c r="W1831" t="s">
        <v>3335</v>
      </c>
      <c r="X1831">
        <v>110012825</v>
      </c>
      <c r="Y1831" t="s">
        <v>9315</v>
      </c>
      <c r="Z1831" t="s">
        <v>4315</v>
      </c>
      <c r="AA1831" s="2" t="s">
        <v>4316</v>
      </c>
      <c r="AB1831" t="s">
        <v>181</v>
      </c>
      <c r="AG1831" t="s">
        <v>12253</v>
      </c>
      <c r="AH1831" t="s">
        <v>12254</v>
      </c>
      <c r="AI1831" t="s">
        <v>12255</v>
      </c>
    </row>
    <row r="1832" spans="2:35" ht="225">
      <c r="B1832" s="1">
        <v>45775</v>
      </c>
      <c r="C1832" s="1">
        <v>45775</v>
      </c>
      <c r="D1832" t="s">
        <v>7296</v>
      </c>
      <c r="E1832" t="s">
        <v>7297</v>
      </c>
      <c r="F1832">
        <v>5</v>
      </c>
      <c r="G1832" t="s">
        <v>759</v>
      </c>
      <c r="H1832" t="s">
        <v>39</v>
      </c>
      <c r="I1832" t="s">
        <v>94</v>
      </c>
      <c r="J1832" s="2" t="s">
        <v>41</v>
      </c>
      <c r="K1832" t="s">
        <v>42</v>
      </c>
      <c r="L1832" t="s">
        <v>761</v>
      </c>
      <c r="N1832" t="s">
        <v>762</v>
      </c>
      <c r="Q1832">
        <v>30714</v>
      </c>
      <c r="R1832" t="s">
        <v>119</v>
      </c>
      <c r="S1832" t="s">
        <v>7298</v>
      </c>
      <c r="T1832">
        <v>29</v>
      </c>
      <c r="U1832" s="2" t="s">
        <v>1617</v>
      </c>
      <c r="W1832" t="s">
        <v>765</v>
      </c>
      <c r="X1832">
        <v>838264</v>
      </c>
      <c r="Y1832" t="s">
        <v>12256</v>
      </c>
      <c r="Z1832" s="2" t="s">
        <v>12257</v>
      </c>
      <c r="AA1832" s="2" t="s">
        <v>12258</v>
      </c>
      <c r="AB1832" t="s">
        <v>70</v>
      </c>
      <c r="AG1832" t="s">
        <v>12259</v>
      </c>
      <c r="AH1832" t="s">
        <v>11742</v>
      </c>
      <c r="AI1832" t="s">
        <v>12260</v>
      </c>
    </row>
    <row r="1833" spans="2:35" ht="225">
      <c r="B1833" s="1">
        <v>45775</v>
      </c>
      <c r="C1833" s="1">
        <v>45772</v>
      </c>
      <c r="D1833" t="s">
        <v>12261</v>
      </c>
      <c r="E1833" t="s">
        <v>1027</v>
      </c>
      <c r="F1833" t="s">
        <v>148</v>
      </c>
      <c r="G1833" t="s">
        <v>774</v>
      </c>
      <c r="H1833" t="s">
        <v>513</v>
      </c>
      <c r="I1833" t="s">
        <v>40</v>
      </c>
      <c r="J1833" t="s">
        <v>109</v>
      </c>
      <c r="K1833" t="s">
        <v>387</v>
      </c>
      <c r="L1833" t="s">
        <v>1028</v>
      </c>
      <c r="N1833" t="s">
        <v>1029</v>
      </c>
      <c r="O1833" t="s">
        <v>10944</v>
      </c>
      <c r="Q1833">
        <v>30713</v>
      </c>
      <c r="R1833" t="s">
        <v>95</v>
      </c>
      <c r="S1833" t="s">
        <v>3772</v>
      </c>
      <c r="T1833">
        <v>25</v>
      </c>
      <c r="W1833" t="s">
        <v>390</v>
      </c>
      <c r="X1833" t="s">
        <v>5184</v>
      </c>
      <c r="Y1833" t="s">
        <v>1978</v>
      </c>
      <c r="Z1833" t="s">
        <v>1548</v>
      </c>
      <c r="AA1833" s="2" t="s">
        <v>12262</v>
      </c>
      <c r="AB1833" t="s">
        <v>3777</v>
      </c>
      <c r="AC1833" t="s">
        <v>12263</v>
      </c>
      <c r="AG1833" t="s">
        <v>12264</v>
      </c>
      <c r="AH1833" t="s">
        <v>12265</v>
      </c>
      <c r="AI1833" t="s">
        <v>12266</v>
      </c>
    </row>
    <row r="1834" spans="2:35" ht="225">
      <c r="B1834" s="1">
        <v>45775</v>
      </c>
      <c r="C1834" s="1">
        <v>45772</v>
      </c>
      <c r="D1834" t="s">
        <v>1026</v>
      </c>
      <c r="E1834" t="s">
        <v>1027</v>
      </c>
      <c r="F1834" t="s">
        <v>148</v>
      </c>
      <c r="G1834" t="s">
        <v>774</v>
      </c>
      <c r="H1834" t="s">
        <v>513</v>
      </c>
      <c r="I1834" t="s">
        <v>40</v>
      </c>
      <c r="J1834" t="s">
        <v>109</v>
      </c>
      <c r="K1834" t="s">
        <v>387</v>
      </c>
      <c r="L1834" t="s">
        <v>1028</v>
      </c>
      <c r="N1834" t="s">
        <v>1029</v>
      </c>
      <c r="O1834" t="s">
        <v>10944</v>
      </c>
      <c r="Q1834">
        <v>30712</v>
      </c>
      <c r="R1834" t="s">
        <v>95</v>
      </c>
      <c r="S1834" t="s">
        <v>3772</v>
      </c>
      <c r="T1834">
        <v>25</v>
      </c>
      <c r="W1834" t="s">
        <v>390</v>
      </c>
      <c r="X1834" t="s">
        <v>12267</v>
      </c>
      <c r="Y1834" t="s">
        <v>1978</v>
      </c>
      <c r="Z1834" t="s">
        <v>1548</v>
      </c>
      <c r="AA1834" s="2" t="s">
        <v>12262</v>
      </c>
      <c r="AB1834" t="s">
        <v>3777</v>
      </c>
      <c r="AC1834" t="s">
        <v>12263</v>
      </c>
      <c r="AG1834" t="s">
        <v>12268</v>
      </c>
      <c r="AH1834" t="s">
        <v>12265</v>
      </c>
      <c r="AI1834" t="s">
        <v>12269</v>
      </c>
    </row>
    <row r="1835" spans="2:35" ht="405">
      <c r="B1835" s="1">
        <v>45775</v>
      </c>
      <c r="C1835" s="1">
        <v>45770</v>
      </c>
      <c r="D1835" t="s">
        <v>8225</v>
      </c>
      <c r="E1835" t="s">
        <v>8226</v>
      </c>
      <c r="F1835" t="s">
        <v>37</v>
      </c>
      <c r="G1835" t="s">
        <v>748</v>
      </c>
      <c r="H1835" t="s">
        <v>39</v>
      </c>
      <c r="I1835" t="s">
        <v>40</v>
      </c>
      <c r="J1835" s="2" t="s">
        <v>62</v>
      </c>
      <c r="K1835" t="s">
        <v>42</v>
      </c>
      <c r="L1835" t="s">
        <v>1028</v>
      </c>
      <c r="N1835" t="s">
        <v>1029</v>
      </c>
      <c r="Q1835">
        <v>30709</v>
      </c>
      <c r="R1835" t="s">
        <v>322</v>
      </c>
      <c r="S1835" t="s">
        <v>12270</v>
      </c>
      <c r="T1835">
        <v>28</v>
      </c>
      <c r="U1835" s="2" t="s">
        <v>12271</v>
      </c>
      <c r="W1835" t="s">
        <v>1032</v>
      </c>
      <c r="X1835">
        <v>110016785</v>
      </c>
      <c r="Y1835" t="s">
        <v>1547</v>
      </c>
      <c r="Z1835" s="2" t="s">
        <v>3787</v>
      </c>
      <c r="AA1835" s="2" t="s">
        <v>12272</v>
      </c>
      <c r="AB1835" t="s">
        <v>12273</v>
      </c>
      <c r="AG1835" t="s">
        <v>12274</v>
      </c>
      <c r="AH1835" t="s">
        <v>12275</v>
      </c>
      <c r="AI1835" t="s">
        <v>12276</v>
      </c>
    </row>
    <row r="1836" spans="2:35" ht="285">
      <c r="B1836" s="1">
        <v>45775</v>
      </c>
      <c r="C1836" s="1">
        <v>45762</v>
      </c>
      <c r="D1836" t="s">
        <v>7219</v>
      </c>
      <c r="E1836" t="s">
        <v>353</v>
      </c>
      <c r="F1836" t="s">
        <v>148</v>
      </c>
      <c r="G1836" t="s">
        <v>310</v>
      </c>
      <c r="H1836" t="s">
        <v>7019</v>
      </c>
      <c r="I1836" t="s">
        <v>40</v>
      </c>
      <c r="J1836" t="s">
        <v>109</v>
      </c>
      <c r="K1836" t="s">
        <v>42</v>
      </c>
      <c r="L1836" t="s">
        <v>1028</v>
      </c>
      <c r="N1836" t="s">
        <v>1029</v>
      </c>
      <c r="Q1836">
        <v>30708</v>
      </c>
      <c r="R1836" t="s">
        <v>322</v>
      </c>
      <c r="S1836" t="s">
        <v>12277</v>
      </c>
      <c r="T1836">
        <v>28</v>
      </c>
      <c r="U1836" s="2" t="s">
        <v>12278</v>
      </c>
      <c r="W1836" t="s">
        <v>1967</v>
      </c>
      <c r="X1836">
        <v>839147</v>
      </c>
      <c r="Y1836" t="s">
        <v>1978</v>
      </c>
      <c r="Z1836" t="s">
        <v>1548</v>
      </c>
      <c r="AA1836" s="2" t="s">
        <v>12279</v>
      </c>
      <c r="AB1836" t="s">
        <v>12280</v>
      </c>
      <c r="AG1836" t="s">
        <v>12281</v>
      </c>
      <c r="AH1836" t="s">
        <v>12282</v>
      </c>
      <c r="AI1836" t="s">
        <v>12283</v>
      </c>
    </row>
    <row r="1837" spans="2:35" ht="409.5">
      <c r="B1837" s="1">
        <v>45775</v>
      </c>
      <c r="C1837" s="1">
        <v>45771</v>
      </c>
      <c r="D1837" t="s">
        <v>9540</v>
      </c>
      <c r="E1837" t="s">
        <v>12284</v>
      </c>
      <c r="F1837" t="s">
        <v>148</v>
      </c>
      <c r="G1837" t="s">
        <v>4786</v>
      </c>
      <c r="H1837" t="s">
        <v>662</v>
      </c>
      <c r="I1837" t="s">
        <v>40</v>
      </c>
      <c r="J1837" t="s">
        <v>109</v>
      </c>
      <c r="K1837" t="s">
        <v>42</v>
      </c>
      <c r="L1837" t="s">
        <v>1028</v>
      </c>
      <c r="N1837" t="s">
        <v>1029</v>
      </c>
      <c r="O1837" t="s">
        <v>10335</v>
      </c>
      <c r="Q1837">
        <v>30711</v>
      </c>
      <c r="R1837" t="s">
        <v>95</v>
      </c>
      <c r="S1837" t="s">
        <v>4787</v>
      </c>
      <c r="T1837">
        <v>25</v>
      </c>
      <c r="U1837" s="2" t="s">
        <v>12285</v>
      </c>
      <c r="W1837" t="s">
        <v>1967</v>
      </c>
      <c r="X1837">
        <v>831316</v>
      </c>
      <c r="Y1837" t="s">
        <v>1978</v>
      </c>
      <c r="Z1837" t="s">
        <v>1548</v>
      </c>
      <c r="AA1837" s="2" t="s">
        <v>1979</v>
      </c>
      <c r="AB1837" t="s">
        <v>12286</v>
      </c>
      <c r="AC1837" t="s">
        <v>12287</v>
      </c>
      <c r="AG1837" t="s">
        <v>12288</v>
      </c>
      <c r="AH1837" t="s">
        <v>4793</v>
      </c>
      <c r="AI1837" t="s">
        <v>12289</v>
      </c>
    </row>
    <row r="1838" spans="2:35" ht="409.5">
      <c r="B1838" s="1">
        <v>45775</v>
      </c>
      <c r="C1838" s="1">
        <v>45772</v>
      </c>
      <c r="D1838" t="s">
        <v>1026</v>
      </c>
      <c r="E1838" t="s">
        <v>1027</v>
      </c>
      <c r="F1838" t="s">
        <v>148</v>
      </c>
      <c r="G1838" t="s">
        <v>774</v>
      </c>
      <c r="H1838" t="s">
        <v>662</v>
      </c>
      <c r="I1838" t="s">
        <v>40</v>
      </c>
      <c r="J1838" t="s">
        <v>109</v>
      </c>
      <c r="K1838" t="s">
        <v>42</v>
      </c>
      <c r="L1838" t="s">
        <v>1028</v>
      </c>
      <c r="N1838" t="s">
        <v>1029</v>
      </c>
      <c r="O1838" t="s">
        <v>12290</v>
      </c>
      <c r="Q1838">
        <v>30710</v>
      </c>
      <c r="R1838" t="s">
        <v>95</v>
      </c>
      <c r="S1838" t="s">
        <v>4609</v>
      </c>
      <c r="T1838">
        <v>24</v>
      </c>
      <c r="U1838" s="2" t="s">
        <v>12291</v>
      </c>
      <c r="W1838" t="s">
        <v>1032</v>
      </c>
      <c r="X1838">
        <v>110014996</v>
      </c>
      <c r="Y1838" t="s">
        <v>1978</v>
      </c>
      <c r="Z1838" t="s">
        <v>1548</v>
      </c>
      <c r="AA1838" s="2" t="s">
        <v>7336</v>
      </c>
      <c r="AB1838" t="s">
        <v>3300</v>
      </c>
      <c r="AG1838" t="s">
        <v>12292</v>
      </c>
      <c r="AH1838" t="s">
        <v>6608</v>
      </c>
      <c r="AI1838" t="s">
        <v>12293</v>
      </c>
    </row>
    <row r="1839" spans="2:35" ht="409.5">
      <c r="B1839" s="1">
        <v>45775</v>
      </c>
      <c r="C1839" s="1">
        <v>45771</v>
      </c>
      <c r="D1839" t="s">
        <v>3669</v>
      </c>
      <c r="E1839" t="s">
        <v>10908</v>
      </c>
      <c r="F1839" t="s">
        <v>37</v>
      </c>
      <c r="G1839" t="s">
        <v>38</v>
      </c>
      <c r="H1839" t="s">
        <v>39</v>
      </c>
      <c r="I1839" t="s">
        <v>40</v>
      </c>
      <c r="J1839" t="s">
        <v>109</v>
      </c>
      <c r="K1839" t="s">
        <v>42</v>
      </c>
      <c r="L1839" t="s">
        <v>43</v>
      </c>
      <c r="N1839" t="s">
        <v>44</v>
      </c>
      <c r="Q1839">
        <v>30707</v>
      </c>
      <c r="R1839" t="s">
        <v>95</v>
      </c>
      <c r="S1839" t="s">
        <v>5945</v>
      </c>
      <c r="T1839">
        <v>22</v>
      </c>
      <c r="U1839" s="2" t="s">
        <v>12294</v>
      </c>
      <c r="W1839" t="s">
        <v>48</v>
      </c>
      <c r="X1839">
        <v>110005265</v>
      </c>
      <c r="Y1839" t="s">
        <v>12295</v>
      </c>
      <c r="Z1839" t="s">
        <v>12296</v>
      </c>
      <c r="AA1839" s="2" t="s">
        <v>12297</v>
      </c>
      <c r="AB1839" t="s">
        <v>12298</v>
      </c>
      <c r="AG1839" t="s">
        <v>12299</v>
      </c>
      <c r="AH1839" t="s">
        <v>4652</v>
      </c>
      <c r="AI1839" t="s">
        <v>12300</v>
      </c>
    </row>
    <row r="1840" spans="2:35" ht="300">
      <c r="B1840" s="1">
        <v>45775</v>
      </c>
      <c r="C1840" s="1">
        <v>45771</v>
      </c>
      <c r="D1840" t="s">
        <v>3030</v>
      </c>
      <c r="E1840" t="s">
        <v>8552</v>
      </c>
      <c r="F1840" t="s">
        <v>37</v>
      </c>
      <c r="G1840" t="s">
        <v>38</v>
      </c>
      <c r="H1840" t="s">
        <v>39</v>
      </c>
      <c r="I1840" t="s">
        <v>40</v>
      </c>
      <c r="J1840" t="s">
        <v>109</v>
      </c>
      <c r="K1840" t="s">
        <v>42</v>
      </c>
      <c r="L1840" t="s">
        <v>43</v>
      </c>
      <c r="N1840" t="s">
        <v>44</v>
      </c>
      <c r="Q1840">
        <v>30706</v>
      </c>
      <c r="R1840" t="s">
        <v>967</v>
      </c>
      <c r="S1840" t="s">
        <v>3032</v>
      </c>
      <c r="T1840">
        <v>24</v>
      </c>
      <c r="U1840" s="2" t="s">
        <v>12301</v>
      </c>
      <c r="W1840" t="s">
        <v>153</v>
      </c>
      <c r="X1840">
        <v>110023496</v>
      </c>
      <c r="Y1840" t="s">
        <v>121</v>
      </c>
      <c r="Z1840" t="s">
        <v>122</v>
      </c>
      <c r="AA1840" s="2" t="s">
        <v>123</v>
      </c>
      <c r="AB1840" t="s">
        <v>88</v>
      </c>
      <c r="AG1840" t="s">
        <v>12302</v>
      </c>
      <c r="AH1840" t="s">
        <v>12303</v>
      </c>
      <c r="AI1840" t="s">
        <v>12304</v>
      </c>
    </row>
    <row r="1841" spans="2:35" ht="409.5">
      <c r="B1841" s="1">
        <v>45773</v>
      </c>
      <c r="C1841" s="1">
        <v>45772</v>
      </c>
      <c r="D1841" t="s">
        <v>5105</v>
      </c>
      <c r="E1841" t="s">
        <v>2244</v>
      </c>
      <c r="F1841" t="s">
        <v>37</v>
      </c>
      <c r="G1841" t="s">
        <v>78</v>
      </c>
      <c r="H1841" t="s">
        <v>295</v>
      </c>
      <c r="I1841" t="s">
        <v>40</v>
      </c>
      <c r="J1841" t="s">
        <v>109</v>
      </c>
      <c r="K1841" t="s">
        <v>42</v>
      </c>
      <c r="L1841" t="s">
        <v>1943</v>
      </c>
      <c r="N1841" t="s">
        <v>1944</v>
      </c>
      <c r="Q1841">
        <v>30704</v>
      </c>
      <c r="R1841" t="s">
        <v>322</v>
      </c>
      <c r="S1841" t="s">
        <v>12305</v>
      </c>
      <c r="T1841">
        <v>25</v>
      </c>
      <c r="U1841" s="2" t="s">
        <v>12306</v>
      </c>
      <c r="W1841" t="s">
        <v>895</v>
      </c>
      <c r="X1841">
        <v>844981</v>
      </c>
      <c r="Y1841" t="s">
        <v>2099</v>
      </c>
      <c r="Z1841" t="s">
        <v>2100</v>
      </c>
      <c r="AA1841" s="2" t="s">
        <v>2101</v>
      </c>
      <c r="AB1841" t="s">
        <v>88</v>
      </c>
      <c r="AG1841" t="s">
        <v>12307</v>
      </c>
      <c r="AH1841" t="s">
        <v>12308</v>
      </c>
      <c r="AI1841" t="s">
        <v>12309</v>
      </c>
    </row>
    <row r="1842" spans="2:35" ht="409.5">
      <c r="B1842" s="1">
        <v>45773</v>
      </c>
      <c r="C1842" s="1">
        <v>45772</v>
      </c>
      <c r="D1842" t="s">
        <v>5105</v>
      </c>
      <c r="E1842" t="s">
        <v>2244</v>
      </c>
      <c r="F1842" t="s">
        <v>37</v>
      </c>
      <c r="G1842" t="s">
        <v>78</v>
      </c>
      <c r="H1842" t="s">
        <v>295</v>
      </c>
      <c r="I1842" t="s">
        <v>40</v>
      </c>
      <c r="J1842" t="s">
        <v>109</v>
      </c>
      <c r="K1842" t="s">
        <v>42</v>
      </c>
      <c r="L1842" t="s">
        <v>1943</v>
      </c>
      <c r="N1842" t="s">
        <v>1944</v>
      </c>
      <c r="Q1842">
        <v>30705</v>
      </c>
      <c r="R1842" t="s">
        <v>322</v>
      </c>
      <c r="S1842" t="s">
        <v>12305</v>
      </c>
      <c r="T1842">
        <v>25</v>
      </c>
      <c r="U1842" s="2" t="s">
        <v>12310</v>
      </c>
      <c r="W1842" t="s">
        <v>84</v>
      </c>
      <c r="X1842">
        <v>838522</v>
      </c>
      <c r="Y1842" t="s">
        <v>2099</v>
      </c>
      <c r="Z1842" t="s">
        <v>2100</v>
      </c>
      <c r="AA1842" s="2" t="s">
        <v>2101</v>
      </c>
      <c r="AB1842" t="s">
        <v>88</v>
      </c>
      <c r="AG1842" t="s">
        <v>12311</v>
      </c>
      <c r="AH1842" t="s">
        <v>12308</v>
      </c>
      <c r="AI1842" t="s">
        <v>12312</v>
      </c>
    </row>
    <row r="1843" spans="2:35" ht="240">
      <c r="B1843" s="1">
        <v>45772</v>
      </c>
      <c r="C1843" s="1">
        <v>45772</v>
      </c>
      <c r="D1843" t="s">
        <v>8684</v>
      </c>
      <c r="E1843" t="s">
        <v>8685</v>
      </c>
      <c r="F1843">
        <v>5</v>
      </c>
      <c r="G1843" t="s">
        <v>814</v>
      </c>
      <c r="H1843" t="s">
        <v>39</v>
      </c>
      <c r="I1843" t="s">
        <v>94</v>
      </c>
      <c r="J1843" s="2" t="s">
        <v>41</v>
      </c>
      <c r="K1843" t="s">
        <v>42</v>
      </c>
      <c r="L1843" t="s">
        <v>761</v>
      </c>
      <c r="N1843" t="s">
        <v>762</v>
      </c>
      <c r="Q1843">
        <v>30703</v>
      </c>
      <c r="R1843" t="s">
        <v>119</v>
      </c>
      <c r="S1843" t="s">
        <v>8687</v>
      </c>
      <c r="T1843">
        <v>25</v>
      </c>
      <c r="U1843" s="2" t="s">
        <v>12313</v>
      </c>
      <c r="W1843" t="s">
        <v>765</v>
      </c>
      <c r="X1843">
        <v>838266</v>
      </c>
      <c r="Y1843" t="s">
        <v>12314</v>
      </c>
      <c r="Z1843" s="2" t="s">
        <v>12315</v>
      </c>
      <c r="AA1843" s="2" t="s">
        <v>12316</v>
      </c>
      <c r="AB1843" s="2" t="s">
        <v>12317</v>
      </c>
      <c r="AG1843" t="s">
        <v>12318</v>
      </c>
      <c r="AH1843" t="s">
        <v>12319</v>
      </c>
      <c r="AI1843" t="s">
        <v>12320</v>
      </c>
    </row>
    <row r="1844" spans="2:35" ht="210">
      <c r="B1844" s="1">
        <v>45772</v>
      </c>
      <c r="C1844" s="1">
        <v>45772</v>
      </c>
      <c r="D1844" t="s">
        <v>2221</v>
      </c>
      <c r="E1844" t="s">
        <v>2221</v>
      </c>
      <c r="F1844">
        <v>9</v>
      </c>
      <c r="G1844" t="s">
        <v>2197</v>
      </c>
      <c r="H1844" t="s">
        <v>39</v>
      </c>
      <c r="I1844" t="s">
        <v>40</v>
      </c>
      <c r="J1844" s="2" t="s">
        <v>41</v>
      </c>
      <c r="K1844" t="s">
        <v>42</v>
      </c>
      <c r="L1844" t="s">
        <v>1257</v>
      </c>
      <c r="N1844" t="s">
        <v>1258</v>
      </c>
      <c r="O1844" t="s">
        <v>1258</v>
      </c>
      <c r="Q1844">
        <v>30702</v>
      </c>
      <c r="R1844" t="s">
        <v>119</v>
      </c>
      <c r="S1844" t="s">
        <v>2224</v>
      </c>
      <c r="T1844">
        <v>25</v>
      </c>
      <c r="U1844" s="2" t="s">
        <v>11305</v>
      </c>
      <c r="V1844" s="1">
        <v>45772</v>
      </c>
      <c r="W1844" t="s">
        <v>2384</v>
      </c>
      <c r="X1844">
        <v>838204</v>
      </c>
      <c r="Y1844" t="s">
        <v>12321</v>
      </c>
      <c r="Z1844" t="s">
        <v>12322</v>
      </c>
      <c r="AA1844" t="s">
        <v>12323</v>
      </c>
      <c r="AB1844" t="s">
        <v>12324</v>
      </c>
      <c r="AC1844" t="s">
        <v>12325</v>
      </c>
      <c r="AD1844" t="s">
        <v>54</v>
      </c>
      <c r="AE1844" t="s">
        <v>54</v>
      </c>
      <c r="AG1844" t="s">
        <v>12326</v>
      </c>
      <c r="AH1844" t="s">
        <v>2231</v>
      </c>
      <c r="AI1844" t="s">
        <v>12327</v>
      </c>
    </row>
    <row r="1845" spans="2:35" ht="285">
      <c r="B1845" s="1">
        <v>45772</v>
      </c>
      <c r="C1845" s="1">
        <v>45772</v>
      </c>
      <c r="D1845" t="s">
        <v>1071</v>
      </c>
      <c r="E1845" t="s">
        <v>12328</v>
      </c>
      <c r="F1845">
        <v>7</v>
      </c>
      <c r="G1845" t="s">
        <v>432</v>
      </c>
      <c r="H1845" t="s">
        <v>150</v>
      </c>
      <c r="I1845" t="s">
        <v>40</v>
      </c>
      <c r="J1845" t="s">
        <v>109</v>
      </c>
      <c r="K1845" t="s">
        <v>42</v>
      </c>
      <c r="L1845" t="s">
        <v>343</v>
      </c>
      <c r="N1845" t="s">
        <v>344</v>
      </c>
      <c r="Q1845">
        <v>30701</v>
      </c>
      <c r="R1845" t="s">
        <v>119</v>
      </c>
      <c r="S1845" t="s">
        <v>8679</v>
      </c>
      <c r="T1845">
        <v>25</v>
      </c>
      <c r="U1845" s="2" t="s">
        <v>12329</v>
      </c>
      <c r="W1845" t="s">
        <v>1501</v>
      </c>
      <c r="X1845">
        <v>838285</v>
      </c>
      <c r="Y1845" t="s">
        <v>8412</v>
      </c>
      <c r="Z1845" t="e">
        <f ca="1">-PERFORM Preventive Maintenance: cartridge bay, optic slot, plunger rod, FAN _xludf.filter</f>
        <v>#NAME?</v>
      </c>
      <c r="AA1845" t="e">
        <f ca="1">-Preventive Maintenance</f>
        <v>#NAME?</v>
      </c>
      <c r="AB1845" t="s">
        <v>1467</v>
      </c>
      <c r="AG1845" t="s">
        <v>12330</v>
      </c>
      <c r="AH1845" t="s">
        <v>12331</v>
      </c>
      <c r="AI1845" t="s">
        <v>12332</v>
      </c>
    </row>
    <row r="1846" spans="2:35" ht="409.5">
      <c r="B1846" s="1">
        <v>45772</v>
      </c>
      <c r="C1846" s="1">
        <v>45772</v>
      </c>
      <c r="D1846" t="s">
        <v>5105</v>
      </c>
      <c r="E1846" t="s">
        <v>2244</v>
      </c>
      <c r="F1846" t="s">
        <v>37</v>
      </c>
      <c r="G1846" t="s">
        <v>78</v>
      </c>
      <c r="H1846" t="s">
        <v>39</v>
      </c>
      <c r="I1846" t="s">
        <v>40</v>
      </c>
      <c r="J1846" t="s">
        <v>109</v>
      </c>
      <c r="K1846" t="s">
        <v>42</v>
      </c>
      <c r="L1846" t="s">
        <v>1943</v>
      </c>
      <c r="N1846" t="s">
        <v>1944</v>
      </c>
      <c r="Q1846">
        <v>30700</v>
      </c>
      <c r="R1846" t="s">
        <v>967</v>
      </c>
      <c r="S1846" t="s">
        <v>5107</v>
      </c>
      <c r="T1846">
        <v>25</v>
      </c>
      <c r="U1846" s="2" t="s">
        <v>12333</v>
      </c>
      <c r="W1846" t="s">
        <v>373</v>
      </c>
      <c r="X1846">
        <v>110023497</v>
      </c>
      <c r="Y1846" t="s">
        <v>2099</v>
      </c>
      <c r="Z1846" t="s">
        <v>2100</v>
      </c>
      <c r="AA1846" s="2" t="s">
        <v>2101</v>
      </c>
      <c r="AB1846" t="s">
        <v>88</v>
      </c>
      <c r="AG1846" t="s">
        <v>12334</v>
      </c>
      <c r="AH1846" t="s">
        <v>12335</v>
      </c>
      <c r="AI1846" t="s">
        <v>12336</v>
      </c>
    </row>
    <row r="1847" spans="2:35" ht="409.5">
      <c r="B1847" s="1">
        <v>45772</v>
      </c>
      <c r="C1847" s="1">
        <v>45771</v>
      </c>
      <c r="D1847" t="s">
        <v>12337</v>
      </c>
      <c r="E1847" t="s">
        <v>5914</v>
      </c>
      <c r="F1847" t="s">
        <v>148</v>
      </c>
      <c r="G1847" t="s">
        <v>2007</v>
      </c>
      <c r="H1847" t="s">
        <v>662</v>
      </c>
      <c r="I1847" t="s">
        <v>40</v>
      </c>
      <c r="J1847" t="s">
        <v>525</v>
      </c>
      <c r="K1847" t="s">
        <v>42</v>
      </c>
      <c r="L1847" t="s">
        <v>448</v>
      </c>
      <c r="N1847" t="s">
        <v>650</v>
      </c>
      <c r="Q1847">
        <v>30699</v>
      </c>
      <c r="R1847" t="s">
        <v>95</v>
      </c>
      <c r="S1847" t="s">
        <v>10530</v>
      </c>
      <c r="T1847">
        <v>26</v>
      </c>
      <c r="U1847" s="2" t="s">
        <v>12338</v>
      </c>
      <c r="W1847" t="s">
        <v>2010</v>
      </c>
      <c r="X1847">
        <v>110026448</v>
      </c>
      <c r="Y1847" t="s">
        <v>12339</v>
      </c>
      <c r="Z1847" s="2" t="s">
        <v>12340</v>
      </c>
      <c r="AA1847" t="s">
        <v>768</v>
      </c>
      <c r="AB1847" s="2" t="s">
        <v>12341</v>
      </c>
      <c r="AG1847" t="s">
        <v>12342</v>
      </c>
      <c r="AH1847" t="s">
        <v>12343</v>
      </c>
      <c r="AI1847" t="s">
        <v>12344</v>
      </c>
    </row>
    <row r="1848" spans="2:35" ht="150">
      <c r="B1848" s="1">
        <v>45772</v>
      </c>
      <c r="C1848" s="1">
        <v>45772</v>
      </c>
      <c r="D1848" t="s">
        <v>5563</v>
      </c>
      <c r="E1848" t="s">
        <v>12328</v>
      </c>
      <c r="F1848">
        <v>7</v>
      </c>
      <c r="G1848" t="s">
        <v>432</v>
      </c>
      <c r="H1848" t="s">
        <v>150</v>
      </c>
      <c r="I1848" t="s">
        <v>40</v>
      </c>
      <c r="J1848" t="s">
        <v>79</v>
      </c>
      <c r="K1848" t="s">
        <v>42</v>
      </c>
      <c r="L1848" t="s">
        <v>343</v>
      </c>
      <c r="N1848" t="s">
        <v>344</v>
      </c>
      <c r="Q1848">
        <v>30698</v>
      </c>
      <c r="R1848" t="s">
        <v>119</v>
      </c>
      <c r="S1848" t="s">
        <v>5564</v>
      </c>
      <c r="T1848">
        <v>27</v>
      </c>
      <c r="U1848" s="2" t="s">
        <v>12007</v>
      </c>
      <c r="V1848" s="1">
        <v>45768</v>
      </c>
      <c r="W1848" t="s">
        <v>1501</v>
      </c>
      <c r="X1848">
        <v>838561</v>
      </c>
      <c r="Y1848" t="s">
        <v>12345</v>
      </c>
      <c r="Z1848" t="s">
        <v>12346</v>
      </c>
      <c r="AA1848" t="s">
        <v>301</v>
      </c>
      <c r="AB1848" t="s">
        <v>9638</v>
      </c>
      <c r="AD1848" s="2" t="s">
        <v>12347</v>
      </c>
      <c r="AE1848" t="s">
        <v>12348</v>
      </c>
      <c r="AG1848" t="s">
        <v>12349</v>
      </c>
      <c r="AH1848" t="s">
        <v>5567</v>
      </c>
      <c r="AI1848" t="s">
        <v>12350</v>
      </c>
    </row>
    <row r="1849" spans="2:35">
      <c r="B1849" s="1">
        <v>45771</v>
      </c>
      <c r="C1849" s="1">
        <v>45770</v>
      </c>
      <c r="D1849" t="s">
        <v>7465</v>
      </c>
      <c r="E1849" t="s">
        <v>7466</v>
      </c>
      <c r="F1849">
        <v>8</v>
      </c>
      <c r="G1849" t="s">
        <v>342</v>
      </c>
      <c r="H1849" t="s">
        <v>2290</v>
      </c>
      <c r="I1849" t="s">
        <v>40</v>
      </c>
      <c r="J1849" t="s">
        <v>109</v>
      </c>
      <c r="K1849" t="s">
        <v>42</v>
      </c>
      <c r="L1849" t="s">
        <v>259</v>
      </c>
      <c r="N1849" t="s">
        <v>260</v>
      </c>
      <c r="O1849" t="s">
        <v>260</v>
      </c>
      <c r="Q1849">
        <v>30697</v>
      </c>
      <c r="R1849" t="s">
        <v>119</v>
      </c>
      <c r="S1849" t="s">
        <v>260</v>
      </c>
      <c r="T1849">
        <v>27</v>
      </c>
      <c r="V1849" s="1">
        <v>45770</v>
      </c>
      <c r="W1849" t="s">
        <v>12351</v>
      </c>
      <c r="X1849">
        <v>838551</v>
      </c>
      <c r="Y1849" t="s">
        <v>8412</v>
      </c>
      <c r="Z1849" t="s">
        <v>1716</v>
      </c>
      <c r="AA1849" t="e">
        <f ca="1">- Preventive Maintenance</f>
        <v>#NAME?</v>
      </c>
      <c r="AB1849" t="s">
        <v>70</v>
      </c>
      <c r="AG1849" t="s">
        <v>12352</v>
      </c>
      <c r="AH1849" t="s">
        <v>7469</v>
      </c>
      <c r="AI1849" t="s">
        <v>12353</v>
      </c>
    </row>
    <row r="1850" spans="2:35">
      <c r="B1850" s="1">
        <v>45771</v>
      </c>
      <c r="C1850" s="1">
        <v>45771</v>
      </c>
      <c r="D1850" t="s">
        <v>12354</v>
      </c>
      <c r="E1850" t="s">
        <v>11871</v>
      </c>
      <c r="F1850">
        <v>6</v>
      </c>
      <c r="G1850" t="s">
        <v>1507</v>
      </c>
      <c r="H1850" t="s">
        <v>1498</v>
      </c>
      <c r="I1850" t="s">
        <v>40</v>
      </c>
      <c r="J1850" t="s">
        <v>583</v>
      </c>
      <c r="K1850" t="s">
        <v>42</v>
      </c>
      <c r="L1850" t="s">
        <v>343</v>
      </c>
      <c r="N1850" t="s">
        <v>344</v>
      </c>
      <c r="Q1850">
        <v>30696</v>
      </c>
      <c r="R1850" t="s">
        <v>967</v>
      </c>
      <c r="S1850" t="s">
        <v>5329</v>
      </c>
      <c r="T1850">
        <v>27</v>
      </c>
      <c r="W1850" t="s">
        <v>2949</v>
      </c>
      <c r="X1850">
        <v>110023542</v>
      </c>
      <c r="Y1850" t="s">
        <v>301</v>
      </c>
      <c r="Z1850" t="s">
        <v>301</v>
      </c>
      <c r="AA1850" t="e">
        <f ca="1">-Install HP printer
-print IQR _xludf.For checking</f>
        <v>#NAME?</v>
      </c>
      <c r="AB1850" t="s">
        <v>348</v>
      </c>
      <c r="AG1850" t="s">
        <v>12355</v>
      </c>
      <c r="AH1850" t="s">
        <v>11874</v>
      </c>
      <c r="AI1850" t="s">
        <v>12356</v>
      </c>
    </row>
    <row r="1851" spans="2:35" ht="225">
      <c r="B1851" s="1">
        <v>45771</v>
      </c>
      <c r="C1851" s="1">
        <v>45771</v>
      </c>
      <c r="D1851" t="s">
        <v>12357</v>
      </c>
      <c r="E1851" t="s">
        <v>12358</v>
      </c>
      <c r="F1851">
        <v>5</v>
      </c>
      <c r="G1851" t="s">
        <v>5795</v>
      </c>
      <c r="H1851" t="s">
        <v>39</v>
      </c>
      <c r="I1851" t="s">
        <v>94</v>
      </c>
      <c r="J1851" t="s">
        <v>109</v>
      </c>
      <c r="K1851" t="s">
        <v>42</v>
      </c>
      <c r="L1851" t="s">
        <v>761</v>
      </c>
      <c r="N1851" t="s">
        <v>762</v>
      </c>
      <c r="Q1851">
        <v>30695</v>
      </c>
      <c r="R1851" t="s">
        <v>119</v>
      </c>
      <c r="S1851" t="s">
        <v>5796</v>
      </c>
      <c r="T1851">
        <v>25</v>
      </c>
      <c r="U1851" s="2" t="s">
        <v>12359</v>
      </c>
      <c r="W1851" t="s">
        <v>765</v>
      </c>
      <c r="X1851">
        <v>838576</v>
      </c>
      <c r="Y1851" s="2" t="s">
        <v>12360</v>
      </c>
      <c r="Z1851" s="2" t="s">
        <v>12361</v>
      </c>
      <c r="AA1851" t="s">
        <v>820</v>
      </c>
      <c r="AB1851" t="s">
        <v>70</v>
      </c>
      <c r="AG1851" t="s">
        <v>12362</v>
      </c>
      <c r="AH1851" t="s">
        <v>5805</v>
      </c>
      <c r="AI1851" t="s">
        <v>12363</v>
      </c>
    </row>
    <row r="1852" spans="2:35" ht="180">
      <c r="B1852" s="1">
        <v>45771</v>
      </c>
      <c r="C1852" s="1">
        <v>45771</v>
      </c>
      <c r="D1852" t="s">
        <v>3712</v>
      </c>
      <c r="E1852" t="s">
        <v>3713</v>
      </c>
      <c r="F1852" t="s">
        <v>148</v>
      </c>
      <c r="G1852" t="s">
        <v>310</v>
      </c>
      <c r="H1852" t="s">
        <v>2274</v>
      </c>
      <c r="I1852" t="s">
        <v>40</v>
      </c>
      <c r="J1852" t="s">
        <v>321</v>
      </c>
      <c r="K1852" t="s">
        <v>387</v>
      </c>
      <c r="L1852" t="s">
        <v>1943</v>
      </c>
      <c r="N1852" t="s">
        <v>1944</v>
      </c>
      <c r="O1852" t="s">
        <v>3824</v>
      </c>
      <c r="Q1852">
        <v>30694</v>
      </c>
      <c r="R1852" t="s">
        <v>322</v>
      </c>
      <c r="S1852" t="s">
        <v>12364</v>
      </c>
      <c r="T1852">
        <v>25</v>
      </c>
      <c r="V1852" s="1">
        <v>45770</v>
      </c>
      <c r="W1852" t="s">
        <v>390</v>
      </c>
      <c r="X1852" t="s">
        <v>3715</v>
      </c>
      <c r="Y1852" t="s">
        <v>12365</v>
      </c>
      <c r="Z1852" t="s">
        <v>12366</v>
      </c>
      <c r="AA1852" s="2" t="s">
        <v>12367</v>
      </c>
      <c r="AB1852" t="s">
        <v>88</v>
      </c>
      <c r="AD1852" s="2" t="s">
        <v>12368</v>
      </c>
      <c r="AE1852" t="s">
        <v>12369</v>
      </c>
      <c r="AG1852" t="s">
        <v>12370</v>
      </c>
      <c r="AH1852" t="s">
        <v>12371</v>
      </c>
      <c r="AI1852" t="s">
        <v>12372</v>
      </c>
    </row>
    <row r="1853" spans="2:35" ht="285">
      <c r="B1853" s="1">
        <v>45771</v>
      </c>
      <c r="C1853" s="1">
        <v>45771</v>
      </c>
      <c r="D1853" t="s">
        <v>3712</v>
      </c>
      <c r="E1853" t="s">
        <v>3713</v>
      </c>
      <c r="F1853" t="s">
        <v>148</v>
      </c>
      <c r="G1853" t="s">
        <v>310</v>
      </c>
      <c r="H1853" t="s">
        <v>2274</v>
      </c>
      <c r="I1853" t="s">
        <v>40</v>
      </c>
      <c r="J1853" s="2" t="s">
        <v>1848</v>
      </c>
      <c r="K1853" t="s">
        <v>387</v>
      </c>
      <c r="L1853" t="s">
        <v>1943</v>
      </c>
      <c r="N1853" t="s">
        <v>1944</v>
      </c>
      <c r="O1853" t="s">
        <v>3824</v>
      </c>
      <c r="Q1853">
        <v>30693</v>
      </c>
      <c r="R1853" t="s">
        <v>322</v>
      </c>
      <c r="S1853" t="s">
        <v>12364</v>
      </c>
      <c r="T1853">
        <v>25</v>
      </c>
      <c r="V1853" s="1">
        <v>45770</v>
      </c>
      <c r="W1853" t="s">
        <v>390</v>
      </c>
      <c r="X1853" t="s">
        <v>4180</v>
      </c>
      <c r="Y1853" s="2" t="s">
        <v>12373</v>
      </c>
      <c r="Z1853" t="s">
        <v>12374</v>
      </c>
      <c r="AA1853" s="2" t="s">
        <v>12375</v>
      </c>
      <c r="AB1853" t="s">
        <v>12376</v>
      </c>
      <c r="AD1853" s="2" t="s">
        <v>12377</v>
      </c>
      <c r="AE1853" t="s">
        <v>12369</v>
      </c>
      <c r="AG1853" t="s">
        <v>12378</v>
      </c>
      <c r="AH1853" t="s">
        <v>12371</v>
      </c>
      <c r="AI1853" t="s">
        <v>12379</v>
      </c>
    </row>
    <row r="1854" spans="2:35" ht="409.5">
      <c r="B1854" s="1">
        <v>45771</v>
      </c>
      <c r="C1854" s="1">
        <v>45770</v>
      </c>
      <c r="D1854" t="s">
        <v>1099</v>
      </c>
      <c r="E1854" t="s">
        <v>3993</v>
      </c>
      <c r="F1854" t="s">
        <v>148</v>
      </c>
      <c r="G1854" t="s">
        <v>406</v>
      </c>
      <c r="H1854" t="s">
        <v>39</v>
      </c>
      <c r="I1854" t="s">
        <v>40</v>
      </c>
      <c r="J1854" t="s">
        <v>109</v>
      </c>
      <c r="K1854" t="s">
        <v>42</v>
      </c>
      <c r="L1854" t="s">
        <v>43</v>
      </c>
      <c r="N1854" t="s">
        <v>44</v>
      </c>
      <c r="O1854" t="s">
        <v>1091</v>
      </c>
      <c r="Q1854">
        <v>30691</v>
      </c>
      <c r="R1854" t="s">
        <v>95</v>
      </c>
      <c r="S1854" t="s">
        <v>5690</v>
      </c>
      <c r="T1854">
        <v>22</v>
      </c>
      <c r="U1854" s="2" t="s">
        <v>12380</v>
      </c>
      <c r="W1854" t="s">
        <v>48</v>
      </c>
      <c r="X1854">
        <v>839231</v>
      </c>
      <c r="Y1854" t="s">
        <v>121</v>
      </c>
      <c r="Z1854" t="s">
        <v>122</v>
      </c>
      <c r="AA1854" s="2" t="s">
        <v>12381</v>
      </c>
      <c r="AB1854" t="s">
        <v>12382</v>
      </c>
      <c r="AG1854" t="s">
        <v>12383</v>
      </c>
      <c r="AH1854" t="s">
        <v>12384</v>
      </c>
      <c r="AI1854" t="s">
        <v>12385</v>
      </c>
    </row>
    <row r="1855" spans="2:35" ht="409.5">
      <c r="B1855" s="1">
        <v>45771</v>
      </c>
      <c r="C1855" s="1">
        <v>45770</v>
      </c>
      <c r="D1855" t="s">
        <v>1099</v>
      </c>
      <c r="E1855" t="s">
        <v>3993</v>
      </c>
      <c r="F1855" t="s">
        <v>148</v>
      </c>
      <c r="G1855" t="s">
        <v>406</v>
      </c>
      <c r="H1855" t="s">
        <v>39</v>
      </c>
      <c r="I1855" t="s">
        <v>40</v>
      </c>
      <c r="J1855" t="s">
        <v>109</v>
      </c>
      <c r="K1855" t="s">
        <v>42</v>
      </c>
      <c r="L1855" t="s">
        <v>43</v>
      </c>
      <c r="N1855" t="s">
        <v>44</v>
      </c>
      <c r="O1855" t="s">
        <v>1091</v>
      </c>
      <c r="Q1855">
        <v>30692</v>
      </c>
      <c r="R1855" t="s">
        <v>95</v>
      </c>
      <c r="S1855" t="s">
        <v>5690</v>
      </c>
      <c r="T1855">
        <v>22</v>
      </c>
      <c r="U1855" s="2" t="s">
        <v>12386</v>
      </c>
      <c r="W1855" t="s">
        <v>153</v>
      </c>
      <c r="X1855">
        <v>120002383</v>
      </c>
      <c r="Y1855" t="s">
        <v>121</v>
      </c>
      <c r="Z1855" t="s">
        <v>122</v>
      </c>
      <c r="AA1855" s="2" t="s">
        <v>123</v>
      </c>
      <c r="AB1855" t="s">
        <v>88</v>
      </c>
      <c r="AG1855" t="s">
        <v>12387</v>
      </c>
      <c r="AH1855" t="s">
        <v>12384</v>
      </c>
      <c r="AI1855" t="s">
        <v>12388</v>
      </c>
    </row>
    <row r="1856" spans="2:35" ht="165">
      <c r="B1856" s="1">
        <v>45771</v>
      </c>
      <c r="C1856" s="1">
        <v>45771</v>
      </c>
      <c r="D1856" t="s">
        <v>12389</v>
      </c>
      <c r="E1856" t="s">
        <v>12390</v>
      </c>
      <c r="F1856" t="s">
        <v>148</v>
      </c>
      <c r="G1856" t="s">
        <v>447</v>
      </c>
      <c r="H1856" t="s">
        <v>12391</v>
      </c>
      <c r="I1856" t="s">
        <v>40</v>
      </c>
      <c r="J1856" t="s">
        <v>321</v>
      </c>
      <c r="K1856" t="s">
        <v>2629</v>
      </c>
      <c r="L1856" t="s">
        <v>409</v>
      </c>
      <c r="N1856" t="s">
        <v>410</v>
      </c>
      <c r="Q1856">
        <v>30690</v>
      </c>
      <c r="R1856" t="s">
        <v>95</v>
      </c>
      <c r="S1856" t="s">
        <v>410</v>
      </c>
      <c r="T1856">
        <v>25</v>
      </c>
      <c r="V1856" s="1">
        <v>45729</v>
      </c>
      <c r="W1856" t="s">
        <v>12392</v>
      </c>
      <c r="X1856">
        <v>3150000452</v>
      </c>
      <c r="Y1856" t="s">
        <v>301</v>
      </c>
      <c r="Z1856" t="s">
        <v>301</v>
      </c>
      <c r="AA1856" s="2" t="s">
        <v>12393</v>
      </c>
      <c r="AB1856" t="s">
        <v>181</v>
      </c>
      <c r="AC1856" t="s">
        <v>12394</v>
      </c>
      <c r="AD1856" t="s">
        <v>12395</v>
      </c>
      <c r="AE1856" t="s">
        <v>12396</v>
      </c>
      <c r="AG1856" t="s">
        <v>12397</v>
      </c>
      <c r="AH1856" t="s">
        <v>12398</v>
      </c>
      <c r="AI1856" t="s">
        <v>12399</v>
      </c>
    </row>
    <row r="1857" spans="2:35" ht="360">
      <c r="B1857" s="1">
        <v>45771</v>
      </c>
      <c r="C1857" s="1">
        <v>45771</v>
      </c>
      <c r="D1857" t="s">
        <v>5060</v>
      </c>
      <c r="E1857" t="s">
        <v>8014</v>
      </c>
      <c r="F1857">
        <v>3</v>
      </c>
      <c r="G1857" t="s">
        <v>284</v>
      </c>
      <c r="H1857" t="s">
        <v>9313</v>
      </c>
      <c r="I1857" t="s">
        <v>40</v>
      </c>
      <c r="J1857" t="s">
        <v>109</v>
      </c>
      <c r="K1857" t="s">
        <v>42</v>
      </c>
      <c r="L1857" t="s">
        <v>135</v>
      </c>
      <c r="N1857" t="s">
        <v>136</v>
      </c>
      <c r="Q1857">
        <v>30689</v>
      </c>
      <c r="R1857" t="s">
        <v>322</v>
      </c>
      <c r="S1857" t="s">
        <v>5062</v>
      </c>
      <c r="T1857">
        <v>27</v>
      </c>
      <c r="U1857" s="2" t="s">
        <v>9319</v>
      </c>
      <c r="W1857" t="s">
        <v>138</v>
      </c>
      <c r="X1857">
        <v>829390</v>
      </c>
      <c r="Y1857" t="s">
        <v>9315</v>
      </c>
      <c r="Z1857" t="s">
        <v>4315</v>
      </c>
      <c r="AA1857" s="2" t="s">
        <v>4316</v>
      </c>
      <c r="AB1857" t="s">
        <v>181</v>
      </c>
      <c r="AG1857" t="s">
        <v>12400</v>
      </c>
      <c r="AH1857" t="s">
        <v>9317</v>
      </c>
      <c r="AI1857" t="s">
        <v>12401</v>
      </c>
    </row>
    <row r="1858" spans="2:35" ht="409.5">
      <c r="B1858" s="1">
        <v>45771</v>
      </c>
      <c r="C1858" s="1">
        <v>45771</v>
      </c>
      <c r="D1858" t="s">
        <v>5060</v>
      </c>
      <c r="E1858" t="s">
        <v>8014</v>
      </c>
      <c r="F1858">
        <v>3</v>
      </c>
      <c r="G1858" t="s">
        <v>284</v>
      </c>
      <c r="H1858" t="s">
        <v>9313</v>
      </c>
      <c r="I1858" t="s">
        <v>40</v>
      </c>
      <c r="J1858" t="s">
        <v>109</v>
      </c>
      <c r="K1858" t="s">
        <v>42</v>
      </c>
      <c r="L1858" t="s">
        <v>135</v>
      </c>
      <c r="N1858" t="s">
        <v>136</v>
      </c>
      <c r="Q1858">
        <v>30688</v>
      </c>
      <c r="R1858" t="s">
        <v>322</v>
      </c>
      <c r="S1858" t="s">
        <v>5062</v>
      </c>
      <c r="T1858">
        <v>27</v>
      </c>
      <c r="U1858" s="2" t="s">
        <v>9314</v>
      </c>
      <c r="W1858" t="s">
        <v>3335</v>
      </c>
      <c r="X1858">
        <v>110017894</v>
      </c>
      <c r="Y1858" t="s">
        <v>9315</v>
      </c>
      <c r="Z1858" t="s">
        <v>4315</v>
      </c>
      <c r="AA1858" s="2" t="s">
        <v>4316</v>
      </c>
      <c r="AB1858" t="s">
        <v>181</v>
      </c>
      <c r="AG1858" t="s">
        <v>12402</v>
      </c>
      <c r="AH1858" t="s">
        <v>9317</v>
      </c>
      <c r="AI1858" t="s">
        <v>12403</v>
      </c>
    </row>
    <row r="1859" spans="2:35" ht="360">
      <c r="B1859" s="1">
        <v>45771</v>
      </c>
      <c r="C1859" s="1">
        <v>45771</v>
      </c>
      <c r="D1859" t="s">
        <v>5060</v>
      </c>
      <c r="E1859" t="s">
        <v>8014</v>
      </c>
      <c r="F1859">
        <v>3</v>
      </c>
      <c r="G1859" t="s">
        <v>284</v>
      </c>
      <c r="H1859" t="s">
        <v>9313</v>
      </c>
      <c r="I1859" t="s">
        <v>40</v>
      </c>
      <c r="J1859" t="s">
        <v>109</v>
      </c>
      <c r="K1859" t="s">
        <v>42</v>
      </c>
      <c r="L1859" t="s">
        <v>135</v>
      </c>
      <c r="N1859" t="s">
        <v>136</v>
      </c>
      <c r="Q1859">
        <v>30687</v>
      </c>
      <c r="R1859" t="s">
        <v>322</v>
      </c>
      <c r="S1859" t="s">
        <v>5062</v>
      </c>
      <c r="T1859">
        <v>27</v>
      </c>
      <c r="U1859" s="2" t="s">
        <v>9322</v>
      </c>
      <c r="W1859" t="s">
        <v>3335</v>
      </c>
      <c r="X1859">
        <v>120003587</v>
      </c>
      <c r="Y1859" t="s">
        <v>9315</v>
      </c>
      <c r="Z1859" t="s">
        <v>4315</v>
      </c>
      <c r="AA1859" s="2" t="s">
        <v>4316</v>
      </c>
      <c r="AB1859" t="s">
        <v>9323</v>
      </c>
      <c r="AG1859" t="s">
        <v>12404</v>
      </c>
      <c r="AH1859" t="s">
        <v>9317</v>
      </c>
      <c r="AI1859" t="s">
        <v>12405</v>
      </c>
    </row>
    <row r="1860" spans="2:35" ht="300">
      <c r="B1860" s="1">
        <v>45771</v>
      </c>
      <c r="C1860" s="1">
        <v>45771</v>
      </c>
      <c r="D1860" t="s">
        <v>12389</v>
      </c>
      <c r="E1860" t="s">
        <v>12390</v>
      </c>
      <c r="F1860" t="s">
        <v>148</v>
      </c>
      <c r="G1860" t="s">
        <v>447</v>
      </c>
      <c r="H1860" t="s">
        <v>12391</v>
      </c>
      <c r="I1860" t="s">
        <v>94</v>
      </c>
      <c r="J1860" t="s">
        <v>321</v>
      </c>
      <c r="K1860" t="s">
        <v>2629</v>
      </c>
      <c r="L1860" t="s">
        <v>409</v>
      </c>
      <c r="N1860" t="s">
        <v>410</v>
      </c>
      <c r="Q1860">
        <v>30686</v>
      </c>
      <c r="R1860" t="s">
        <v>95</v>
      </c>
      <c r="S1860" t="s">
        <v>12406</v>
      </c>
      <c r="T1860">
        <v>25</v>
      </c>
      <c r="V1860" s="1">
        <v>45761</v>
      </c>
      <c r="W1860" t="s">
        <v>9964</v>
      </c>
      <c r="X1860">
        <v>3947020979</v>
      </c>
      <c r="Y1860" t="s">
        <v>301</v>
      </c>
      <c r="Z1860" t="s">
        <v>301</v>
      </c>
      <c r="AA1860" s="2" t="s">
        <v>12407</v>
      </c>
      <c r="AB1860" t="s">
        <v>181</v>
      </c>
      <c r="AD1860" s="2" t="s">
        <v>12408</v>
      </c>
      <c r="AE1860" t="s">
        <v>12409</v>
      </c>
      <c r="AG1860" t="s">
        <v>12410</v>
      </c>
      <c r="AH1860" t="s">
        <v>12398</v>
      </c>
      <c r="AI1860" t="s">
        <v>12411</v>
      </c>
    </row>
    <row r="1861" spans="2:35" ht="225">
      <c r="B1861" s="1">
        <v>45771</v>
      </c>
      <c r="C1861" s="1">
        <v>45771</v>
      </c>
      <c r="D1861" t="s">
        <v>7939</v>
      </c>
      <c r="E1861" t="s">
        <v>7940</v>
      </c>
      <c r="F1861">
        <v>5</v>
      </c>
      <c r="G1861" t="s">
        <v>5795</v>
      </c>
      <c r="H1861" t="s">
        <v>39</v>
      </c>
      <c r="I1861" t="s">
        <v>94</v>
      </c>
      <c r="J1861" t="s">
        <v>109</v>
      </c>
      <c r="K1861" t="s">
        <v>42</v>
      </c>
      <c r="L1861" t="s">
        <v>761</v>
      </c>
      <c r="N1861" t="s">
        <v>762</v>
      </c>
      <c r="Q1861">
        <v>30685</v>
      </c>
      <c r="R1861" t="s">
        <v>119</v>
      </c>
      <c r="S1861" t="s">
        <v>7941</v>
      </c>
      <c r="T1861">
        <v>29</v>
      </c>
      <c r="U1861" s="2" t="s">
        <v>12412</v>
      </c>
      <c r="W1861" t="s">
        <v>765</v>
      </c>
      <c r="X1861">
        <v>838207</v>
      </c>
      <c r="Y1861" t="s">
        <v>818</v>
      </c>
      <c r="Z1861" s="2" t="s">
        <v>12413</v>
      </c>
      <c r="AA1861" t="s">
        <v>820</v>
      </c>
      <c r="AB1861" t="s">
        <v>181</v>
      </c>
      <c r="AC1861" t="s">
        <v>12414</v>
      </c>
      <c r="AG1861" t="s">
        <v>12415</v>
      </c>
      <c r="AH1861" t="s">
        <v>12416</v>
      </c>
      <c r="AI1861" t="s">
        <v>12417</v>
      </c>
    </row>
    <row r="1862" spans="2:35" ht="195">
      <c r="B1862" s="1">
        <v>45771</v>
      </c>
      <c r="C1862" s="1">
        <v>45771</v>
      </c>
      <c r="D1862" t="s">
        <v>10122</v>
      </c>
      <c r="E1862" t="s">
        <v>10123</v>
      </c>
      <c r="F1862">
        <v>13</v>
      </c>
      <c r="G1862" t="s">
        <v>931</v>
      </c>
      <c r="H1862" t="s">
        <v>202</v>
      </c>
      <c r="I1862" t="s">
        <v>40</v>
      </c>
      <c r="J1862" s="2" t="s">
        <v>1592</v>
      </c>
      <c r="K1862" t="s">
        <v>42</v>
      </c>
      <c r="L1862" t="s">
        <v>933</v>
      </c>
      <c r="N1862" t="s">
        <v>934</v>
      </c>
      <c r="Q1862">
        <v>30684</v>
      </c>
      <c r="R1862" t="s">
        <v>119</v>
      </c>
      <c r="S1862" t="s">
        <v>12418</v>
      </c>
      <c r="T1862">
        <v>27</v>
      </c>
      <c r="W1862" t="s">
        <v>2127</v>
      </c>
      <c r="X1862">
        <v>838514</v>
      </c>
      <c r="Y1862" s="2" t="s">
        <v>12419</v>
      </c>
      <c r="Z1862" s="2" t="s">
        <v>12420</v>
      </c>
      <c r="AA1862" s="2" t="s">
        <v>12421</v>
      </c>
      <c r="AB1862" s="2" t="s">
        <v>12422</v>
      </c>
      <c r="AG1862" t="s">
        <v>12423</v>
      </c>
      <c r="AH1862" t="s">
        <v>10130</v>
      </c>
      <c r="AI1862" t="s">
        <v>12424</v>
      </c>
    </row>
    <row r="1863" spans="2:35" ht="360">
      <c r="B1863" s="1">
        <v>45771</v>
      </c>
      <c r="C1863" s="1">
        <v>45771</v>
      </c>
      <c r="D1863" t="s">
        <v>1738</v>
      </c>
      <c r="E1863" t="s">
        <v>639</v>
      </c>
      <c r="F1863">
        <v>3</v>
      </c>
      <c r="G1863" t="s">
        <v>284</v>
      </c>
      <c r="H1863" t="s">
        <v>61</v>
      </c>
      <c r="I1863" t="s">
        <v>40</v>
      </c>
      <c r="J1863" t="s">
        <v>109</v>
      </c>
      <c r="K1863" t="s">
        <v>42</v>
      </c>
      <c r="L1863" t="s">
        <v>135</v>
      </c>
      <c r="N1863" t="s">
        <v>136</v>
      </c>
      <c r="Q1863">
        <v>30683</v>
      </c>
      <c r="R1863" t="s">
        <v>322</v>
      </c>
      <c r="S1863" t="s">
        <v>11300</v>
      </c>
      <c r="T1863">
        <v>25</v>
      </c>
      <c r="U1863" s="2" t="s">
        <v>11301</v>
      </c>
      <c r="W1863" t="s">
        <v>2680</v>
      </c>
      <c r="X1863">
        <v>806377</v>
      </c>
      <c r="Y1863" t="s">
        <v>7229</v>
      </c>
      <c r="Z1863" t="s">
        <v>4315</v>
      </c>
      <c r="AA1863" s="2" t="s">
        <v>4316</v>
      </c>
      <c r="AB1863" t="s">
        <v>181</v>
      </c>
      <c r="AG1863" t="s">
        <v>12425</v>
      </c>
      <c r="AH1863" t="s">
        <v>12426</v>
      </c>
      <c r="AI1863" t="s">
        <v>12427</v>
      </c>
    </row>
    <row r="1864" spans="2:35" ht="105">
      <c r="B1864" s="1">
        <v>45771</v>
      </c>
      <c r="C1864" s="1">
        <v>45771</v>
      </c>
      <c r="D1864" t="s">
        <v>9185</v>
      </c>
      <c r="E1864" t="s">
        <v>9186</v>
      </c>
      <c r="F1864">
        <v>9</v>
      </c>
      <c r="G1864" t="s">
        <v>2197</v>
      </c>
      <c r="H1864" t="s">
        <v>39</v>
      </c>
      <c r="I1864" t="s">
        <v>40</v>
      </c>
      <c r="J1864" s="2" t="s">
        <v>62</v>
      </c>
      <c r="K1864" t="s">
        <v>42</v>
      </c>
      <c r="L1864" t="s">
        <v>1257</v>
      </c>
      <c r="N1864" t="s">
        <v>1258</v>
      </c>
      <c r="O1864" t="s">
        <v>1258</v>
      </c>
      <c r="Q1864">
        <v>30682</v>
      </c>
      <c r="R1864" t="s">
        <v>119</v>
      </c>
      <c r="S1864" t="s">
        <v>9187</v>
      </c>
      <c r="T1864">
        <v>25</v>
      </c>
      <c r="U1864" s="2" t="s">
        <v>12428</v>
      </c>
      <c r="V1864" s="1">
        <v>45771</v>
      </c>
      <c r="W1864" t="s">
        <v>6776</v>
      </c>
      <c r="X1864">
        <v>837664</v>
      </c>
      <c r="Y1864" t="s">
        <v>12429</v>
      </c>
      <c r="Z1864" t="s">
        <v>12430</v>
      </c>
      <c r="AA1864" t="s">
        <v>12431</v>
      </c>
      <c r="AB1864" t="s">
        <v>12432</v>
      </c>
      <c r="AC1864" t="s">
        <v>301</v>
      </c>
      <c r="AD1864" t="s">
        <v>5255</v>
      </c>
      <c r="AE1864" t="s">
        <v>54</v>
      </c>
      <c r="AG1864" t="s">
        <v>12433</v>
      </c>
      <c r="AH1864" t="s">
        <v>12434</v>
      </c>
      <c r="AI1864" t="s">
        <v>12435</v>
      </c>
    </row>
    <row r="1865" spans="2:35" ht="105">
      <c r="B1865" s="1">
        <v>45771</v>
      </c>
      <c r="C1865" s="1">
        <v>45769</v>
      </c>
      <c r="D1865" t="s">
        <v>12436</v>
      </c>
      <c r="E1865" t="s">
        <v>12437</v>
      </c>
      <c r="F1865">
        <v>9</v>
      </c>
      <c r="G1865" t="s">
        <v>2903</v>
      </c>
      <c r="H1865" t="s">
        <v>39</v>
      </c>
      <c r="I1865" t="s">
        <v>40</v>
      </c>
      <c r="J1865" s="2" t="s">
        <v>2223</v>
      </c>
      <c r="K1865" t="s">
        <v>42</v>
      </c>
      <c r="L1865" t="s">
        <v>1257</v>
      </c>
      <c r="N1865" t="s">
        <v>2199</v>
      </c>
      <c r="O1865" t="s">
        <v>1258</v>
      </c>
      <c r="Q1865">
        <v>30681</v>
      </c>
      <c r="R1865" t="s">
        <v>967</v>
      </c>
      <c r="S1865" t="s">
        <v>12438</v>
      </c>
      <c r="T1865">
        <v>25</v>
      </c>
      <c r="U1865" s="2" t="s">
        <v>12439</v>
      </c>
      <c r="V1865" s="1">
        <v>45769</v>
      </c>
      <c r="W1865" t="s">
        <v>6776</v>
      </c>
      <c r="X1865">
        <v>110023516</v>
      </c>
      <c r="Y1865" t="s">
        <v>301</v>
      </c>
      <c r="Z1865" t="s">
        <v>12440</v>
      </c>
      <c r="AA1865" t="s">
        <v>7410</v>
      </c>
      <c r="AB1865" t="s">
        <v>3463</v>
      </c>
      <c r="AC1865" t="s">
        <v>301</v>
      </c>
      <c r="AD1865" t="s">
        <v>54</v>
      </c>
      <c r="AE1865" t="s">
        <v>54</v>
      </c>
      <c r="AG1865" t="s">
        <v>12441</v>
      </c>
      <c r="AH1865" t="s">
        <v>12442</v>
      </c>
      <c r="AI1865" t="s">
        <v>12443</v>
      </c>
    </row>
    <row r="1866" spans="2:35" ht="135">
      <c r="B1866" s="1">
        <v>45770</v>
      </c>
      <c r="C1866" s="1">
        <v>45770</v>
      </c>
      <c r="D1866" t="s">
        <v>837</v>
      </c>
      <c r="E1866" t="s">
        <v>10558</v>
      </c>
      <c r="F1866">
        <v>5</v>
      </c>
      <c r="G1866" t="s">
        <v>839</v>
      </c>
      <c r="H1866" t="s">
        <v>513</v>
      </c>
      <c r="I1866" t="s">
        <v>94</v>
      </c>
      <c r="J1866" t="s">
        <v>109</v>
      </c>
      <c r="K1866" t="s">
        <v>387</v>
      </c>
      <c r="L1866" t="s">
        <v>761</v>
      </c>
      <c r="N1866" t="s">
        <v>762</v>
      </c>
      <c r="Q1866">
        <v>30680</v>
      </c>
      <c r="R1866" t="s">
        <v>322</v>
      </c>
      <c r="S1866" t="s">
        <v>9363</v>
      </c>
      <c r="T1866">
        <v>25</v>
      </c>
      <c r="W1866" t="s">
        <v>390</v>
      </c>
      <c r="X1866" t="s">
        <v>841</v>
      </c>
      <c r="Y1866" t="s">
        <v>12444</v>
      </c>
      <c r="Z1866" s="2" t="s">
        <v>12445</v>
      </c>
      <c r="AA1866" t="s">
        <v>820</v>
      </c>
      <c r="AB1866" t="s">
        <v>12446</v>
      </c>
      <c r="AG1866" t="s">
        <v>12447</v>
      </c>
      <c r="AH1866" t="s">
        <v>9368</v>
      </c>
      <c r="AI1866" t="s">
        <v>12448</v>
      </c>
    </row>
    <row r="1867" spans="2:35" ht="345">
      <c r="B1867" s="1">
        <v>45770</v>
      </c>
      <c r="C1867" s="1">
        <v>45770</v>
      </c>
      <c r="D1867" t="s">
        <v>837</v>
      </c>
      <c r="E1867" t="s">
        <v>10558</v>
      </c>
      <c r="F1867">
        <v>5</v>
      </c>
      <c r="G1867" t="s">
        <v>839</v>
      </c>
      <c r="H1867" t="s">
        <v>513</v>
      </c>
      <c r="I1867" t="s">
        <v>94</v>
      </c>
      <c r="J1867" s="2" t="s">
        <v>190</v>
      </c>
      <c r="K1867" t="s">
        <v>387</v>
      </c>
      <c r="L1867" t="s">
        <v>761</v>
      </c>
      <c r="N1867" t="s">
        <v>762</v>
      </c>
      <c r="Q1867">
        <v>30679</v>
      </c>
      <c r="R1867" t="s">
        <v>322</v>
      </c>
      <c r="S1867" t="s">
        <v>9363</v>
      </c>
      <c r="T1867">
        <v>25</v>
      </c>
      <c r="W1867" t="s">
        <v>390</v>
      </c>
      <c r="X1867" t="s">
        <v>847</v>
      </c>
      <c r="Y1867" t="s">
        <v>12449</v>
      </c>
      <c r="Z1867" s="2" t="s">
        <v>12450</v>
      </c>
      <c r="AA1867" s="2" t="s">
        <v>10392</v>
      </c>
      <c r="AB1867" t="s">
        <v>181</v>
      </c>
      <c r="AG1867" t="s">
        <v>12451</v>
      </c>
      <c r="AH1867" t="s">
        <v>9368</v>
      </c>
      <c r="AI1867" t="s">
        <v>12452</v>
      </c>
    </row>
    <row r="1868" spans="2:35" ht="375">
      <c r="B1868" s="1">
        <v>45770</v>
      </c>
      <c r="C1868" s="1">
        <v>45770</v>
      </c>
      <c r="D1868" t="s">
        <v>5932</v>
      </c>
      <c r="E1868" t="s">
        <v>5933</v>
      </c>
      <c r="F1868">
        <v>11</v>
      </c>
      <c r="G1868" t="s">
        <v>2836</v>
      </c>
      <c r="H1868" t="s">
        <v>202</v>
      </c>
      <c r="I1868" t="s">
        <v>40</v>
      </c>
      <c r="J1868" s="2" t="s">
        <v>190</v>
      </c>
      <c r="K1868" t="s">
        <v>42</v>
      </c>
      <c r="L1868" t="s">
        <v>204</v>
      </c>
      <c r="N1868" t="s">
        <v>205</v>
      </c>
      <c r="O1868" t="s">
        <v>7643</v>
      </c>
      <c r="Q1868">
        <v>30678</v>
      </c>
      <c r="R1868" t="s">
        <v>119</v>
      </c>
      <c r="S1868" t="s">
        <v>5934</v>
      </c>
      <c r="T1868">
        <v>26.8</v>
      </c>
      <c r="U1868" s="2" t="s">
        <v>12453</v>
      </c>
      <c r="W1868" t="s">
        <v>208</v>
      </c>
      <c r="X1868">
        <v>838553</v>
      </c>
      <c r="Y1868" s="2" t="s">
        <v>12454</v>
      </c>
      <c r="Z1868" s="2" t="s">
        <v>9413</v>
      </c>
      <c r="AA1868" s="2" t="s">
        <v>12455</v>
      </c>
      <c r="AB1868" s="2" t="s">
        <v>12456</v>
      </c>
      <c r="AG1868" t="s">
        <v>12457</v>
      </c>
      <c r="AH1868" t="s">
        <v>12458</v>
      </c>
      <c r="AI1868" t="s">
        <v>12459</v>
      </c>
    </row>
    <row r="1869" spans="2:35" ht="150">
      <c r="B1869" s="1">
        <v>45770</v>
      </c>
      <c r="C1869" s="1">
        <v>45770</v>
      </c>
      <c r="D1869" t="s">
        <v>12460</v>
      </c>
      <c r="E1869" t="s">
        <v>10197</v>
      </c>
      <c r="F1869">
        <v>6</v>
      </c>
      <c r="G1869" t="s">
        <v>1507</v>
      </c>
      <c r="H1869" t="s">
        <v>39</v>
      </c>
      <c r="I1869" t="s">
        <v>40</v>
      </c>
      <c r="J1869" s="2" t="s">
        <v>8419</v>
      </c>
      <c r="K1869" t="s">
        <v>42</v>
      </c>
      <c r="L1869" t="s">
        <v>343</v>
      </c>
      <c r="N1869" t="s">
        <v>344</v>
      </c>
      <c r="Q1869">
        <v>30677</v>
      </c>
      <c r="R1869" t="s">
        <v>119</v>
      </c>
      <c r="S1869" t="s">
        <v>10198</v>
      </c>
      <c r="T1869">
        <v>27</v>
      </c>
      <c r="W1869" t="s">
        <v>1501</v>
      </c>
      <c r="X1869">
        <v>838296</v>
      </c>
      <c r="Y1869" s="2" t="s">
        <v>12461</v>
      </c>
      <c r="Z1869" s="2" t="s">
        <v>12462</v>
      </c>
      <c r="AA1869" t="e">
        <f ca="1">-Preventive Maintenance</f>
        <v>#NAME?</v>
      </c>
      <c r="AB1869" t="s">
        <v>12463</v>
      </c>
      <c r="AG1869" t="s">
        <v>12464</v>
      </c>
      <c r="AH1869" t="s">
        <v>12465</v>
      </c>
      <c r="AI1869" t="s">
        <v>12466</v>
      </c>
    </row>
    <row r="1870" spans="2:35" ht="180">
      <c r="B1870" s="1">
        <v>45770</v>
      </c>
      <c r="C1870" s="1">
        <v>45770</v>
      </c>
      <c r="D1870" t="s">
        <v>12467</v>
      </c>
      <c r="E1870" t="s">
        <v>582</v>
      </c>
      <c r="F1870" t="s">
        <v>148</v>
      </c>
      <c r="G1870" t="s">
        <v>447</v>
      </c>
      <c r="H1870" t="s">
        <v>39</v>
      </c>
      <c r="I1870" t="s">
        <v>40</v>
      </c>
      <c r="J1870" t="s">
        <v>109</v>
      </c>
      <c r="K1870" t="s">
        <v>42</v>
      </c>
      <c r="L1870" t="s">
        <v>175</v>
      </c>
      <c r="N1870" t="s">
        <v>176</v>
      </c>
      <c r="Q1870">
        <v>30676</v>
      </c>
      <c r="R1870" t="s">
        <v>322</v>
      </c>
      <c r="S1870" t="s">
        <v>12468</v>
      </c>
      <c r="T1870">
        <v>31</v>
      </c>
      <c r="W1870" t="s">
        <v>373</v>
      </c>
      <c r="X1870">
        <v>845462</v>
      </c>
      <c r="Y1870" t="s">
        <v>374</v>
      </c>
      <c r="Z1870" t="s">
        <v>103</v>
      </c>
      <c r="AA1870" t="e">
        <f ca="1">- checked _xludf.and cleaned cartridge bay, plunger rod, _xludf.filter, icore slot
- generated reports
- performed self test</f>
        <v>#NAME?</v>
      </c>
      <c r="AB1870" s="2" t="s">
        <v>12469</v>
      </c>
      <c r="AG1870" t="s">
        <v>12470</v>
      </c>
      <c r="AH1870" t="s">
        <v>12471</v>
      </c>
      <c r="AI1870" t="s">
        <v>12472</v>
      </c>
    </row>
    <row r="1871" spans="2:35">
      <c r="B1871" s="1">
        <v>45770</v>
      </c>
      <c r="C1871" s="1">
        <v>45770</v>
      </c>
      <c r="D1871" t="s">
        <v>12473</v>
      </c>
      <c r="E1871" t="s">
        <v>12474</v>
      </c>
      <c r="F1871">
        <v>13</v>
      </c>
      <c r="G1871" t="s">
        <v>931</v>
      </c>
      <c r="H1871" t="s">
        <v>202</v>
      </c>
      <c r="I1871" t="s">
        <v>40</v>
      </c>
      <c r="J1871" t="s">
        <v>109</v>
      </c>
      <c r="K1871" t="s">
        <v>42</v>
      </c>
      <c r="L1871" t="s">
        <v>933</v>
      </c>
      <c r="N1871" t="s">
        <v>934</v>
      </c>
      <c r="Q1871">
        <v>30675</v>
      </c>
      <c r="R1871" t="s">
        <v>119</v>
      </c>
      <c r="S1871" t="s">
        <v>12475</v>
      </c>
      <c r="T1871">
        <v>27</v>
      </c>
      <c r="W1871" t="s">
        <v>2127</v>
      </c>
      <c r="X1871">
        <v>838444</v>
      </c>
      <c r="Y1871" t="s">
        <v>301</v>
      </c>
      <c r="Z1871" t="s">
        <v>301</v>
      </c>
      <c r="AA1871" t="s">
        <v>3128</v>
      </c>
      <c r="AB1871" t="s">
        <v>2131</v>
      </c>
      <c r="AG1871" t="s">
        <v>12476</v>
      </c>
      <c r="AH1871" t="s">
        <v>12477</v>
      </c>
      <c r="AI1871" t="s">
        <v>12478</v>
      </c>
    </row>
    <row r="1872" spans="2:35" ht="360">
      <c r="B1872" s="1">
        <v>45769</v>
      </c>
      <c r="C1872" s="1">
        <v>45769</v>
      </c>
      <c r="D1872" t="s">
        <v>9342</v>
      </c>
      <c r="E1872" t="s">
        <v>9343</v>
      </c>
      <c r="F1872">
        <v>1</v>
      </c>
      <c r="G1872" t="s">
        <v>1046</v>
      </c>
      <c r="H1872" t="s">
        <v>39</v>
      </c>
      <c r="I1872" t="s">
        <v>40</v>
      </c>
      <c r="J1872" s="2" t="s">
        <v>190</v>
      </c>
      <c r="K1872" t="s">
        <v>42</v>
      </c>
      <c r="L1872" t="s">
        <v>135</v>
      </c>
      <c r="N1872" t="s">
        <v>136</v>
      </c>
      <c r="Q1872">
        <v>30674</v>
      </c>
      <c r="R1872" t="s">
        <v>119</v>
      </c>
      <c r="S1872" t="s">
        <v>9344</v>
      </c>
      <c r="T1872">
        <v>25</v>
      </c>
      <c r="U1872" s="2" t="s">
        <v>10772</v>
      </c>
      <c r="W1872" t="s">
        <v>2680</v>
      </c>
      <c r="X1872">
        <v>838287</v>
      </c>
      <c r="Y1872" s="2" t="s">
        <v>12479</v>
      </c>
      <c r="Z1872" t="s">
        <v>4315</v>
      </c>
      <c r="AA1872" s="2" t="s">
        <v>4316</v>
      </c>
      <c r="AB1872" s="2" t="s">
        <v>12480</v>
      </c>
      <c r="AG1872" t="s">
        <v>12481</v>
      </c>
      <c r="AH1872" t="s">
        <v>9349</v>
      </c>
      <c r="AI1872" t="s">
        <v>12482</v>
      </c>
    </row>
    <row r="1873" spans="2:35" ht="360">
      <c r="B1873" s="1">
        <v>45769</v>
      </c>
      <c r="C1873" s="1">
        <v>45769</v>
      </c>
      <c r="D1873" t="s">
        <v>2620</v>
      </c>
      <c r="E1873" t="s">
        <v>2621</v>
      </c>
      <c r="F1873">
        <v>1</v>
      </c>
      <c r="G1873" t="s">
        <v>1046</v>
      </c>
      <c r="H1873" t="s">
        <v>39</v>
      </c>
      <c r="I1873" t="s">
        <v>40</v>
      </c>
      <c r="J1873" t="s">
        <v>109</v>
      </c>
      <c r="K1873" t="s">
        <v>42</v>
      </c>
      <c r="L1873" t="s">
        <v>135</v>
      </c>
      <c r="N1873" t="s">
        <v>136</v>
      </c>
      <c r="Q1873">
        <v>30673</v>
      </c>
      <c r="R1873" t="s">
        <v>119</v>
      </c>
      <c r="S1873" t="s">
        <v>2622</v>
      </c>
      <c r="T1873">
        <v>25</v>
      </c>
      <c r="U1873" s="2" t="s">
        <v>9304</v>
      </c>
      <c r="W1873" t="s">
        <v>2680</v>
      </c>
      <c r="X1873">
        <v>110023501</v>
      </c>
      <c r="Y1873" t="s">
        <v>12483</v>
      </c>
      <c r="Z1873" t="s">
        <v>4315</v>
      </c>
      <c r="AA1873" s="2" t="s">
        <v>4316</v>
      </c>
      <c r="AB1873" t="s">
        <v>181</v>
      </c>
      <c r="AG1873" t="s">
        <v>12484</v>
      </c>
      <c r="AH1873" t="s">
        <v>11393</v>
      </c>
      <c r="AI1873" t="s">
        <v>12485</v>
      </c>
    </row>
    <row r="1874" spans="2:35" ht="270">
      <c r="B1874" s="1">
        <v>45769</v>
      </c>
      <c r="C1874" s="1">
        <v>45769</v>
      </c>
      <c r="D1874" t="s">
        <v>2568</v>
      </c>
      <c r="E1874" t="s">
        <v>2569</v>
      </c>
      <c r="F1874" t="s">
        <v>148</v>
      </c>
      <c r="G1874" t="s">
        <v>447</v>
      </c>
      <c r="H1874" t="s">
        <v>2570</v>
      </c>
      <c r="I1874" t="s">
        <v>40</v>
      </c>
      <c r="J1874" t="s">
        <v>525</v>
      </c>
      <c r="K1874" t="s">
        <v>42</v>
      </c>
      <c r="L1874" t="s">
        <v>448</v>
      </c>
      <c r="N1874" t="s">
        <v>650</v>
      </c>
      <c r="O1874" t="s">
        <v>2808</v>
      </c>
      <c r="Q1874">
        <v>30672</v>
      </c>
      <c r="R1874" t="s">
        <v>95</v>
      </c>
      <c r="S1874" t="s">
        <v>2571</v>
      </c>
      <c r="T1874">
        <v>33</v>
      </c>
      <c r="W1874" t="s">
        <v>12486</v>
      </c>
      <c r="X1874">
        <v>807155</v>
      </c>
      <c r="Y1874" t="s">
        <v>12487</v>
      </c>
      <c r="Z1874" s="2" t="s">
        <v>12488</v>
      </c>
      <c r="AA1874" t="s">
        <v>768</v>
      </c>
      <c r="AB1874" s="2" t="s">
        <v>4628</v>
      </c>
      <c r="AG1874" t="s">
        <v>12489</v>
      </c>
      <c r="AH1874" t="s">
        <v>2578</v>
      </c>
      <c r="AI1874" t="s">
        <v>12490</v>
      </c>
    </row>
    <row r="1875" spans="2:35">
      <c r="B1875" s="1">
        <v>45769</v>
      </c>
      <c r="C1875" s="1">
        <v>45769</v>
      </c>
      <c r="D1875" t="s">
        <v>12491</v>
      </c>
      <c r="E1875" t="s">
        <v>8921</v>
      </c>
      <c r="F1875">
        <v>13</v>
      </c>
      <c r="G1875" t="s">
        <v>931</v>
      </c>
      <c r="H1875" t="s">
        <v>2125</v>
      </c>
      <c r="I1875" t="s">
        <v>40</v>
      </c>
      <c r="J1875" t="s">
        <v>109</v>
      </c>
      <c r="K1875" t="s">
        <v>42</v>
      </c>
      <c r="L1875" t="s">
        <v>933</v>
      </c>
      <c r="N1875" t="s">
        <v>934</v>
      </c>
      <c r="Q1875">
        <v>30671</v>
      </c>
      <c r="R1875" t="s">
        <v>967</v>
      </c>
      <c r="S1875" t="s">
        <v>12492</v>
      </c>
      <c r="T1875">
        <v>27</v>
      </c>
      <c r="W1875" t="s">
        <v>10115</v>
      </c>
      <c r="X1875">
        <v>110023522</v>
      </c>
      <c r="Y1875" t="s">
        <v>301</v>
      </c>
      <c r="Z1875" t="s">
        <v>301</v>
      </c>
      <c r="AA1875" t="s">
        <v>3128</v>
      </c>
      <c r="AB1875" t="s">
        <v>2131</v>
      </c>
      <c r="AG1875" t="s">
        <v>12493</v>
      </c>
      <c r="AH1875" t="s">
        <v>5620</v>
      </c>
      <c r="AI1875" t="s">
        <v>12494</v>
      </c>
    </row>
    <row r="1876" spans="2:35" ht="210">
      <c r="B1876" s="1">
        <v>45769</v>
      </c>
      <c r="C1876" s="1">
        <v>45769</v>
      </c>
      <c r="D1876" t="s">
        <v>12495</v>
      </c>
      <c r="E1876" t="s">
        <v>12496</v>
      </c>
      <c r="F1876">
        <v>3</v>
      </c>
      <c r="G1876" t="s">
        <v>219</v>
      </c>
      <c r="H1876" t="s">
        <v>2274</v>
      </c>
      <c r="I1876" t="s">
        <v>40</v>
      </c>
      <c r="J1876" s="2" t="s">
        <v>62</v>
      </c>
      <c r="K1876" t="s">
        <v>387</v>
      </c>
      <c r="L1876" t="s">
        <v>135</v>
      </c>
      <c r="N1876" t="s">
        <v>136</v>
      </c>
      <c r="O1876" t="s">
        <v>12497</v>
      </c>
      <c r="Q1876">
        <v>30670</v>
      </c>
      <c r="R1876" t="s">
        <v>322</v>
      </c>
      <c r="S1876" t="s">
        <v>12498</v>
      </c>
      <c r="T1876">
        <v>25</v>
      </c>
      <c r="W1876" t="s">
        <v>390</v>
      </c>
      <c r="X1876" t="s">
        <v>12499</v>
      </c>
      <c r="Y1876" t="s">
        <v>1751</v>
      </c>
      <c r="Z1876" s="2" t="s">
        <v>12500</v>
      </c>
      <c r="AA1876" s="2" t="s">
        <v>12501</v>
      </c>
      <c r="AB1876" t="s">
        <v>181</v>
      </c>
      <c r="AG1876" t="s">
        <v>12502</v>
      </c>
      <c r="AH1876" t="s">
        <v>12503</v>
      </c>
      <c r="AI1876" t="s">
        <v>12504</v>
      </c>
    </row>
    <row r="1877" spans="2:35" ht="360">
      <c r="B1877" s="1">
        <v>45769</v>
      </c>
      <c r="C1877" s="1">
        <v>45769</v>
      </c>
      <c r="D1877" t="s">
        <v>12505</v>
      </c>
      <c r="E1877" t="s">
        <v>12506</v>
      </c>
      <c r="F1877">
        <v>3</v>
      </c>
      <c r="G1877" t="s">
        <v>219</v>
      </c>
      <c r="H1877" t="s">
        <v>61</v>
      </c>
      <c r="I1877" t="s">
        <v>40</v>
      </c>
      <c r="J1877" t="s">
        <v>109</v>
      </c>
      <c r="K1877" t="s">
        <v>42</v>
      </c>
      <c r="L1877" t="s">
        <v>135</v>
      </c>
      <c r="N1877" t="s">
        <v>136</v>
      </c>
      <c r="Q1877">
        <v>30669</v>
      </c>
      <c r="R1877" t="s">
        <v>322</v>
      </c>
      <c r="S1877" t="s">
        <v>12507</v>
      </c>
      <c r="T1877">
        <v>24</v>
      </c>
      <c r="U1877" s="2" t="s">
        <v>12508</v>
      </c>
      <c r="W1877" t="s">
        <v>2680</v>
      </c>
      <c r="X1877">
        <v>838520</v>
      </c>
      <c r="Y1877" t="s">
        <v>9315</v>
      </c>
      <c r="Z1877" t="s">
        <v>4315</v>
      </c>
      <c r="AA1877" s="2" t="s">
        <v>4316</v>
      </c>
      <c r="AB1877" s="2" t="s">
        <v>12509</v>
      </c>
      <c r="AG1877" t="s">
        <v>12510</v>
      </c>
      <c r="AH1877" t="s">
        <v>12511</v>
      </c>
      <c r="AI1877" t="s">
        <v>12512</v>
      </c>
    </row>
    <row r="1878" spans="2:35" ht="255">
      <c r="B1878" s="1">
        <v>45769</v>
      </c>
      <c r="C1878" s="1">
        <v>45769</v>
      </c>
      <c r="D1878" t="s">
        <v>1316</v>
      </c>
      <c r="E1878" t="s">
        <v>2916</v>
      </c>
      <c r="F1878">
        <v>11</v>
      </c>
      <c r="G1878" t="s">
        <v>1205</v>
      </c>
      <c r="H1878" t="s">
        <v>1317</v>
      </c>
      <c r="I1878" t="s">
        <v>40</v>
      </c>
      <c r="J1878" t="s">
        <v>109</v>
      </c>
      <c r="K1878" t="s">
        <v>42</v>
      </c>
      <c r="L1878" t="s">
        <v>204</v>
      </c>
      <c r="N1878" t="s">
        <v>205</v>
      </c>
      <c r="Q1878">
        <v>30668</v>
      </c>
      <c r="R1878" t="s">
        <v>119</v>
      </c>
      <c r="S1878" t="s">
        <v>1318</v>
      </c>
      <c r="T1878">
        <v>26.5</v>
      </c>
      <c r="U1878" s="2" t="s">
        <v>12513</v>
      </c>
      <c r="W1878" t="s">
        <v>208</v>
      </c>
      <c r="X1878">
        <v>838262</v>
      </c>
      <c r="Y1878" t="s">
        <v>1052</v>
      </c>
      <c r="Z1878" s="2" t="s">
        <v>1892</v>
      </c>
      <c r="AA1878" t="s">
        <v>2551</v>
      </c>
      <c r="AB1878" t="s">
        <v>10846</v>
      </c>
      <c r="AG1878" t="s">
        <v>12514</v>
      </c>
      <c r="AH1878" t="s">
        <v>12185</v>
      </c>
      <c r="AI1878" t="s">
        <v>12515</v>
      </c>
    </row>
    <row r="1879" spans="2:35" ht="225">
      <c r="B1879" s="1">
        <v>45769</v>
      </c>
      <c r="C1879" s="1">
        <v>45769</v>
      </c>
      <c r="D1879" t="s">
        <v>1316</v>
      </c>
      <c r="E1879" t="s">
        <v>2916</v>
      </c>
      <c r="F1879">
        <v>11</v>
      </c>
      <c r="G1879" t="s">
        <v>1205</v>
      </c>
      <c r="H1879" t="s">
        <v>1317</v>
      </c>
      <c r="I1879" t="s">
        <v>40</v>
      </c>
      <c r="J1879" t="s">
        <v>109</v>
      </c>
      <c r="K1879" t="s">
        <v>42</v>
      </c>
      <c r="L1879" t="s">
        <v>204</v>
      </c>
      <c r="N1879" t="s">
        <v>205</v>
      </c>
      <c r="Q1879">
        <v>30667</v>
      </c>
      <c r="R1879" t="s">
        <v>322</v>
      </c>
      <c r="S1879" t="s">
        <v>1318</v>
      </c>
      <c r="T1879">
        <v>26.7</v>
      </c>
      <c r="U1879" s="2" t="s">
        <v>12516</v>
      </c>
      <c r="W1879" t="s">
        <v>208</v>
      </c>
      <c r="X1879">
        <v>839236</v>
      </c>
      <c r="Y1879" t="s">
        <v>2851</v>
      </c>
      <c r="Z1879" s="2" t="s">
        <v>12517</v>
      </c>
      <c r="AA1879" t="s">
        <v>2551</v>
      </c>
      <c r="AB1879" s="2" t="s">
        <v>12518</v>
      </c>
      <c r="AG1879" t="s">
        <v>12519</v>
      </c>
      <c r="AH1879" t="s">
        <v>12185</v>
      </c>
      <c r="AI1879" t="s">
        <v>12520</v>
      </c>
    </row>
    <row r="1880" spans="2:35" ht="195">
      <c r="B1880" s="1">
        <v>45769</v>
      </c>
      <c r="C1880" s="1">
        <v>45769</v>
      </c>
      <c r="D1880" t="s">
        <v>7868</v>
      </c>
      <c r="E1880" t="s">
        <v>12521</v>
      </c>
      <c r="F1880">
        <v>7</v>
      </c>
      <c r="G1880" t="s">
        <v>432</v>
      </c>
      <c r="H1880" t="s">
        <v>258</v>
      </c>
      <c r="I1880" t="s">
        <v>40</v>
      </c>
      <c r="J1880" t="s">
        <v>109</v>
      </c>
      <c r="K1880" t="s">
        <v>42</v>
      </c>
      <c r="L1880" t="s">
        <v>594</v>
      </c>
      <c r="N1880" t="s">
        <v>595</v>
      </c>
      <c r="O1880" t="s">
        <v>595</v>
      </c>
      <c r="Q1880">
        <v>30666</v>
      </c>
      <c r="R1880" t="s">
        <v>119</v>
      </c>
      <c r="S1880" t="s">
        <v>1849</v>
      </c>
      <c r="T1880">
        <v>23</v>
      </c>
      <c r="W1880" t="s">
        <v>502</v>
      </c>
      <c r="X1880">
        <v>838564</v>
      </c>
      <c r="Y1880" t="s">
        <v>8412</v>
      </c>
      <c r="Z1880" s="2" t="s">
        <v>12522</v>
      </c>
      <c r="AA1880" t="s">
        <v>12523</v>
      </c>
      <c r="AB1880" t="s">
        <v>12524</v>
      </c>
      <c r="AG1880" t="s">
        <v>12525</v>
      </c>
      <c r="AH1880" t="s">
        <v>10592</v>
      </c>
      <c r="AI1880" t="s">
        <v>12526</v>
      </c>
    </row>
    <row r="1881" spans="2:35" ht="409.5">
      <c r="B1881" s="1">
        <v>45769</v>
      </c>
      <c r="C1881" s="1">
        <v>45769</v>
      </c>
      <c r="D1881" t="s">
        <v>2272</v>
      </c>
      <c r="E1881" t="s">
        <v>7623</v>
      </c>
      <c r="F1881" t="s">
        <v>148</v>
      </c>
      <c r="G1881" t="s">
        <v>310</v>
      </c>
      <c r="H1881" t="s">
        <v>5042</v>
      </c>
      <c r="I1881" t="s">
        <v>40</v>
      </c>
      <c r="J1881" t="s">
        <v>109</v>
      </c>
      <c r="K1881" t="s">
        <v>42</v>
      </c>
      <c r="L1881" t="s">
        <v>1943</v>
      </c>
      <c r="N1881" t="s">
        <v>1944</v>
      </c>
      <c r="O1881" t="s">
        <v>2275</v>
      </c>
      <c r="Q1881">
        <v>30665</v>
      </c>
      <c r="R1881" t="s">
        <v>703</v>
      </c>
      <c r="S1881" t="s">
        <v>6830</v>
      </c>
      <c r="T1881">
        <v>25</v>
      </c>
      <c r="U1881" s="2" t="s">
        <v>12527</v>
      </c>
      <c r="W1881" t="s">
        <v>373</v>
      </c>
      <c r="X1881">
        <v>120002026</v>
      </c>
      <c r="Y1881" t="s">
        <v>2099</v>
      </c>
      <c r="Z1881" t="s">
        <v>2100</v>
      </c>
      <c r="AA1881" s="2" t="s">
        <v>2101</v>
      </c>
      <c r="AB1881" t="s">
        <v>88</v>
      </c>
      <c r="AG1881" t="s">
        <v>12528</v>
      </c>
      <c r="AH1881" t="s">
        <v>12529</v>
      </c>
      <c r="AI1881" t="s">
        <v>12530</v>
      </c>
    </row>
    <row r="1882" spans="2:35" ht="409.5">
      <c r="B1882" s="1">
        <v>45769</v>
      </c>
      <c r="C1882" s="1">
        <v>45769</v>
      </c>
      <c r="D1882" t="s">
        <v>2272</v>
      </c>
      <c r="E1882" t="s">
        <v>7623</v>
      </c>
      <c r="F1882" t="s">
        <v>148</v>
      </c>
      <c r="G1882" t="s">
        <v>310</v>
      </c>
      <c r="H1882" t="s">
        <v>5042</v>
      </c>
      <c r="I1882" t="s">
        <v>40</v>
      </c>
      <c r="J1882" t="s">
        <v>109</v>
      </c>
      <c r="K1882" t="s">
        <v>42</v>
      </c>
      <c r="L1882" t="s">
        <v>1943</v>
      </c>
      <c r="N1882" t="s">
        <v>1944</v>
      </c>
      <c r="O1882" t="s">
        <v>2275</v>
      </c>
      <c r="Q1882">
        <v>30664</v>
      </c>
      <c r="R1882" t="s">
        <v>703</v>
      </c>
      <c r="S1882" t="s">
        <v>6830</v>
      </c>
      <c r="T1882">
        <v>25</v>
      </c>
      <c r="U1882" s="2" t="s">
        <v>12527</v>
      </c>
      <c r="W1882" t="s">
        <v>373</v>
      </c>
      <c r="X1882">
        <v>120002026</v>
      </c>
      <c r="Y1882" t="s">
        <v>2099</v>
      </c>
      <c r="Z1882" t="s">
        <v>2100</v>
      </c>
      <c r="AA1882" s="2" t="s">
        <v>2101</v>
      </c>
      <c r="AB1882" t="s">
        <v>88</v>
      </c>
      <c r="AG1882" t="s">
        <v>12531</v>
      </c>
      <c r="AH1882" t="s">
        <v>12529</v>
      </c>
      <c r="AI1882" t="s">
        <v>12532</v>
      </c>
    </row>
    <row r="1883" spans="2:35" ht="240">
      <c r="B1883" s="1">
        <v>45769</v>
      </c>
      <c r="C1883" s="1">
        <v>45769</v>
      </c>
      <c r="D1883" t="s">
        <v>12354</v>
      </c>
      <c r="E1883" t="s">
        <v>11871</v>
      </c>
      <c r="F1883">
        <v>6</v>
      </c>
      <c r="G1883" t="s">
        <v>1507</v>
      </c>
      <c r="H1883" t="s">
        <v>1498</v>
      </c>
      <c r="I1883" t="s">
        <v>40</v>
      </c>
      <c r="J1883" s="2" t="s">
        <v>760</v>
      </c>
      <c r="K1883" t="s">
        <v>42</v>
      </c>
      <c r="L1883" t="s">
        <v>343</v>
      </c>
      <c r="N1883" t="s">
        <v>344</v>
      </c>
      <c r="Q1883">
        <v>30663</v>
      </c>
      <c r="R1883" t="s">
        <v>967</v>
      </c>
      <c r="S1883" t="s">
        <v>5329</v>
      </c>
      <c r="T1883">
        <v>27</v>
      </c>
      <c r="W1883" t="s">
        <v>2949</v>
      </c>
      <c r="X1883">
        <v>110023542</v>
      </c>
      <c r="Y1883" t="s">
        <v>12533</v>
      </c>
      <c r="Z1883" s="2" t="s">
        <v>12534</v>
      </c>
      <c r="AA1883" t="e">
        <f ca="1">-Preventive Maintenance</f>
        <v>#NAME?</v>
      </c>
      <c r="AB1883" t="s">
        <v>348</v>
      </c>
      <c r="AG1883" t="s">
        <v>12535</v>
      </c>
      <c r="AH1883" t="s">
        <v>11874</v>
      </c>
      <c r="AI1883" t="s">
        <v>12536</v>
      </c>
    </row>
    <row r="1884" spans="2:35" ht="330">
      <c r="B1884" s="1">
        <v>45768</v>
      </c>
      <c r="C1884" s="1">
        <v>45762</v>
      </c>
      <c r="D1884" t="s">
        <v>12537</v>
      </c>
      <c r="E1884" t="s">
        <v>1472</v>
      </c>
      <c r="F1884">
        <v>12</v>
      </c>
      <c r="G1884" t="s">
        <v>978</v>
      </c>
      <c r="H1884" t="s">
        <v>295</v>
      </c>
      <c r="I1884" t="s">
        <v>40</v>
      </c>
      <c r="J1884" t="s">
        <v>109</v>
      </c>
      <c r="K1884" t="s">
        <v>42</v>
      </c>
      <c r="L1884" t="s">
        <v>296</v>
      </c>
      <c r="N1884" t="s">
        <v>297</v>
      </c>
      <c r="Q1884">
        <v>30662</v>
      </c>
      <c r="R1884" t="s">
        <v>322</v>
      </c>
      <c r="S1884" t="s">
        <v>12538</v>
      </c>
      <c r="T1884">
        <v>27.6</v>
      </c>
      <c r="U1884" s="2" t="s">
        <v>12539</v>
      </c>
      <c r="W1884" t="s">
        <v>12540</v>
      </c>
      <c r="X1884">
        <v>839314</v>
      </c>
      <c r="Y1884" t="s">
        <v>12541</v>
      </c>
      <c r="Z1884" s="2" t="s">
        <v>12542</v>
      </c>
      <c r="AA1884" t="s">
        <v>303</v>
      </c>
      <c r="AB1884" t="s">
        <v>6196</v>
      </c>
      <c r="AG1884" t="s">
        <v>12543</v>
      </c>
      <c r="AH1884" t="s">
        <v>12544</v>
      </c>
      <c r="AI1884" t="s">
        <v>12545</v>
      </c>
    </row>
    <row r="1885" spans="2:35" ht="105">
      <c r="B1885" s="1">
        <v>45768</v>
      </c>
      <c r="C1885" s="1">
        <v>45763</v>
      </c>
      <c r="D1885" t="s">
        <v>7593</v>
      </c>
      <c r="E1885" t="s">
        <v>7594</v>
      </c>
      <c r="F1885">
        <v>1</v>
      </c>
      <c r="G1885" t="s">
        <v>1909</v>
      </c>
      <c r="H1885" t="s">
        <v>39</v>
      </c>
      <c r="I1885" t="s">
        <v>40</v>
      </c>
      <c r="J1885" t="s">
        <v>79</v>
      </c>
      <c r="K1885" t="s">
        <v>42</v>
      </c>
      <c r="L1885" t="s">
        <v>1048</v>
      </c>
      <c r="N1885" t="s">
        <v>1049</v>
      </c>
      <c r="Q1885">
        <v>30661</v>
      </c>
      <c r="R1885" t="s">
        <v>119</v>
      </c>
      <c r="S1885" t="s">
        <v>7595</v>
      </c>
      <c r="T1885">
        <v>22</v>
      </c>
      <c r="U1885" s="2" t="s">
        <v>12546</v>
      </c>
      <c r="V1885" s="1">
        <v>45757</v>
      </c>
      <c r="W1885" t="s">
        <v>1051</v>
      </c>
      <c r="X1885">
        <v>838426</v>
      </c>
      <c r="Y1885" t="s">
        <v>7270</v>
      </c>
      <c r="Z1885" t="e">
        <f ca="1">- replaced defective UPS
- cleaned cartridge Bays, plunger Rods _xludf.and I-CORE
- generated reports</f>
        <v>#NAME?</v>
      </c>
      <c r="AA1885" t="s">
        <v>7271</v>
      </c>
      <c r="AB1885" t="e">
        <f ca="1">- Unit is Partially operational</f>
        <v>#NAME?</v>
      </c>
      <c r="AD1885" t="s">
        <v>12547</v>
      </c>
      <c r="AE1885" t="s">
        <v>12548</v>
      </c>
      <c r="AG1885" t="s">
        <v>12549</v>
      </c>
      <c r="AH1885" t="s">
        <v>10444</v>
      </c>
      <c r="AI1885" t="s">
        <v>12550</v>
      </c>
    </row>
    <row r="1886" spans="2:35" ht="390">
      <c r="B1886" s="1">
        <v>45768</v>
      </c>
      <c r="C1886" s="1">
        <v>45761</v>
      </c>
      <c r="D1886" t="s">
        <v>606</v>
      </c>
      <c r="E1886" t="s">
        <v>607</v>
      </c>
      <c r="F1886">
        <v>7</v>
      </c>
      <c r="G1886" t="s">
        <v>432</v>
      </c>
      <c r="H1886" t="s">
        <v>608</v>
      </c>
      <c r="I1886" t="s">
        <v>40</v>
      </c>
      <c r="J1886" s="2" t="s">
        <v>190</v>
      </c>
      <c r="K1886" t="s">
        <v>42</v>
      </c>
      <c r="L1886" t="s">
        <v>610</v>
      </c>
      <c r="N1886" t="s">
        <v>613</v>
      </c>
      <c r="Q1886">
        <v>30660</v>
      </c>
      <c r="R1886" t="s">
        <v>119</v>
      </c>
      <c r="S1886" t="s">
        <v>613</v>
      </c>
      <c r="T1886">
        <v>24</v>
      </c>
      <c r="U1886" s="2" t="s">
        <v>12551</v>
      </c>
      <c r="W1886" t="s">
        <v>360</v>
      </c>
      <c r="X1886">
        <v>838559</v>
      </c>
      <c r="Y1886" s="2" t="s">
        <v>12552</v>
      </c>
      <c r="Z1886" t="s">
        <v>12553</v>
      </c>
      <c r="AA1886" s="2" t="s">
        <v>12554</v>
      </c>
      <c r="AB1886" t="s">
        <v>7886</v>
      </c>
      <c r="AG1886" t="s">
        <v>12555</v>
      </c>
      <c r="AH1886" t="s">
        <v>606</v>
      </c>
      <c r="AI1886" t="s">
        <v>12556</v>
      </c>
    </row>
    <row r="1887" spans="2:35" ht="105">
      <c r="B1887" s="1">
        <v>45768</v>
      </c>
      <c r="C1887" s="1">
        <v>45768</v>
      </c>
      <c r="D1887" t="s">
        <v>12557</v>
      </c>
      <c r="E1887" t="s">
        <v>6446</v>
      </c>
      <c r="F1887">
        <v>10</v>
      </c>
      <c r="G1887" t="s">
        <v>5571</v>
      </c>
      <c r="H1887" t="s">
        <v>39</v>
      </c>
      <c r="I1887" t="s">
        <v>40</v>
      </c>
      <c r="J1887" t="s">
        <v>109</v>
      </c>
      <c r="K1887" t="s">
        <v>42</v>
      </c>
      <c r="L1887" t="s">
        <v>1257</v>
      </c>
      <c r="N1887" t="s">
        <v>2199</v>
      </c>
      <c r="O1887" t="s">
        <v>1258</v>
      </c>
      <c r="Q1887">
        <v>30659</v>
      </c>
      <c r="R1887" t="s">
        <v>119</v>
      </c>
      <c r="S1887" t="s">
        <v>5572</v>
      </c>
      <c r="T1887">
        <v>25</v>
      </c>
      <c r="U1887" s="2" t="s">
        <v>12558</v>
      </c>
      <c r="V1887" s="1">
        <v>45768</v>
      </c>
      <c r="W1887" t="s">
        <v>6776</v>
      </c>
      <c r="X1887">
        <v>110023518</v>
      </c>
      <c r="Y1887" t="s">
        <v>301</v>
      </c>
      <c r="Z1887" t="s">
        <v>12559</v>
      </c>
      <c r="AA1887" t="s">
        <v>12560</v>
      </c>
      <c r="AB1887" t="s">
        <v>3161</v>
      </c>
      <c r="AC1887" t="s">
        <v>301</v>
      </c>
      <c r="AD1887" t="s">
        <v>54</v>
      </c>
      <c r="AE1887" t="s">
        <v>54</v>
      </c>
      <c r="AG1887" t="s">
        <v>12561</v>
      </c>
      <c r="AH1887" t="s">
        <v>12562</v>
      </c>
      <c r="AI1887" t="s">
        <v>12563</v>
      </c>
    </row>
    <row r="1888" spans="2:35">
      <c r="B1888" s="1">
        <v>45768</v>
      </c>
      <c r="C1888" s="1">
        <v>45768</v>
      </c>
      <c r="D1888" t="s">
        <v>3119</v>
      </c>
      <c r="E1888" t="s">
        <v>12564</v>
      </c>
      <c r="F1888" t="s">
        <v>148</v>
      </c>
      <c r="G1888" t="s">
        <v>310</v>
      </c>
      <c r="H1888" t="s">
        <v>61</v>
      </c>
      <c r="I1888" t="s">
        <v>40</v>
      </c>
      <c r="J1888" t="s">
        <v>321</v>
      </c>
      <c r="K1888" t="s">
        <v>42</v>
      </c>
      <c r="L1888" t="s">
        <v>857</v>
      </c>
      <c r="N1888" t="s">
        <v>858</v>
      </c>
      <c r="Q1888">
        <v>30658</v>
      </c>
      <c r="R1888" t="s">
        <v>95</v>
      </c>
      <c r="S1888" t="s">
        <v>3124</v>
      </c>
      <c r="T1888">
        <v>21</v>
      </c>
      <c r="W1888" t="s">
        <v>84</v>
      </c>
      <c r="X1888">
        <v>110001648</v>
      </c>
      <c r="Y1888" t="s">
        <v>12565</v>
      </c>
      <c r="Z1888" t="e">
        <f ca="1">- None</f>
        <v>#NAME?</v>
      </c>
      <c r="AA1888" t="e">
        <f ca="1">- Relocated GeneXpert Unit _xludf.and accessories
- performed functionality test</f>
        <v>#NAME?</v>
      </c>
      <c r="AB1888" t="s">
        <v>12566</v>
      </c>
      <c r="AG1888" t="s">
        <v>12567</v>
      </c>
      <c r="AH1888" t="s">
        <v>6701</v>
      </c>
      <c r="AI1888" t="s">
        <v>12568</v>
      </c>
    </row>
    <row r="1889" spans="2:35" ht="330">
      <c r="B1889" s="1">
        <v>45763</v>
      </c>
      <c r="C1889" s="1">
        <v>45763</v>
      </c>
      <c r="D1889" t="s">
        <v>9021</v>
      </c>
      <c r="E1889" t="s">
        <v>12569</v>
      </c>
      <c r="F1889">
        <v>7</v>
      </c>
      <c r="G1889" t="s">
        <v>432</v>
      </c>
      <c r="H1889" t="s">
        <v>608</v>
      </c>
      <c r="I1889" t="s">
        <v>40</v>
      </c>
      <c r="J1889" t="s">
        <v>79</v>
      </c>
      <c r="K1889" t="s">
        <v>42</v>
      </c>
      <c r="L1889" t="s">
        <v>610</v>
      </c>
      <c r="N1889" t="s">
        <v>611</v>
      </c>
      <c r="Q1889">
        <v>30657</v>
      </c>
      <c r="R1889" t="s">
        <v>119</v>
      </c>
      <c r="S1889" t="s">
        <v>9023</v>
      </c>
      <c r="T1889">
        <v>22</v>
      </c>
      <c r="U1889" s="2" t="s">
        <v>3434</v>
      </c>
      <c r="W1889" t="s">
        <v>360</v>
      </c>
      <c r="X1889">
        <v>838283</v>
      </c>
      <c r="Y1889" t="s">
        <v>12570</v>
      </c>
      <c r="Z1889" s="2" t="s">
        <v>12571</v>
      </c>
      <c r="AA1889" s="2" t="s">
        <v>12571</v>
      </c>
      <c r="AB1889" t="s">
        <v>7886</v>
      </c>
      <c r="AG1889" t="s">
        <v>12572</v>
      </c>
      <c r="AH1889" t="s">
        <v>9029</v>
      </c>
      <c r="AI1889" t="s">
        <v>12573</v>
      </c>
    </row>
    <row r="1890" spans="2:35" ht="409.5">
      <c r="B1890" s="1">
        <v>45763</v>
      </c>
      <c r="C1890" s="1">
        <v>45763</v>
      </c>
      <c r="D1890" t="s">
        <v>3119</v>
      </c>
      <c r="E1890" t="s">
        <v>12574</v>
      </c>
      <c r="F1890" t="s">
        <v>148</v>
      </c>
      <c r="G1890" t="s">
        <v>310</v>
      </c>
      <c r="H1890" t="s">
        <v>61</v>
      </c>
      <c r="I1890" t="s">
        <v>40</v>
      </c>
      <c r="J1890" t="s">
        <v>321</v>
      </c>
      <c r="K1890" t="s">
        <v>42</v>
      </c>
      <c r="L1890" t="s">
        <v>857</v>
      </c>
      <c r="N1890" t="s">
        <v>858</v>
      </c>
      <c r="Q1890">
        <v>30656</v>
      </c>
      <c r="R1890" t="s">
        <v>95</v>
      </c>
      <c r="S1890" t="s">
        <v>3124</v>
      </c>
      <c r="T1890">
        <v>27</v>
      </c>
      <c r="U1890" s="2" t="s">
        <v>12575</v>
      </c>
      <c r="W1890" t="s">
        <v>84</v>
      </c>
      <c r="X1890">
        <v>110001648</v>
      </c>
      <c r="Y1890" t="s">
        <v>12576</v>
      </c>
      <c r="Z1890" t="s">
        <v>301</v>
      </c>
      <c r="AA1890" t="e">
        <f ca="1">-transferred GeneXpert Unit _xludf.and accessories
-performed functionality test</f>
        <v>#NAME?</v>
      </c>
      <c r="AB1890" t="s">
        <v>181</v>
      </c>
      <c r="AG1890" t="s">
        <v>12577</v>
      </c>
      <c r="AH1890" t="s">
        <v>12578</v>
      </c>
      <c r="AI1890" t="s">
        <v>12579</v>
      </c>
    </row>
    <row r="1891" spans="2:35" ht="105">
      <c r="B1891" s="1">
        <v>45763</v>
      </c>
      <c r="C1891" s="1">
        <v>45761</v>
      </c>
      <c r="D1891" t="s">
        <v>5602</v>
      </c>
      <c r="E1891" t="s">
        <v>2580</v>
      </c>
      <c r="F1891" t="s">
        <v>148</v>
      </c>
      <c r="G1891" t="s">
        <v>447</v>
      </c>
      <c r="H1891" t="s">
        <v>662</v>
      </c>
      <c r="I1891" t="s">
        <v>40</v>
      </c>
      <c r="J1891" t="s">
        <v>583</v>
      </c>
      <c r="K1891" t="s">
        <v>42</v>
      </c>
      <c r="L1891" t="s">
        <v>448</v>
      </c>
      <c r="N1891" t="s">
        <v>650</v>
      </c>
      <c r="Q1891">
        <v>30655</v>
      </c>
      <c r="R1891" t="s">
        <v>322</v>
      </c>
      <c r="S1891" t="s">
        <v>5604</v>
      </c>
      <c r="T1891">
        <v>29</v>
      </c>
      <c r="U1891" s="2" t="s">
        <v>12580</v>
      </c>
      <c r="W1891" t="s">
        <v>7420</v>
      </c>
      <c r="X1891">
        <v>804476</v>
      </c>
      <c r="Y1891" t="s">
        <v>12581</v>
      </c>
      <c r="Z1891" t="s">
        <v>12582</v>
      </c>
      <c r="AA1891" t="s">
        <v>12583</v>
      </c>
      <c r="AB1891" t="s">
        <v>12584</v>
      </c>
      <c r="AG1891" t="s">
        <v>12585</v>
      </c>
      <c r="AH1891" t="s">
        <v>12586</v>
      </c>
      <c r="AI1891" t="s">
        <v>12587</v>
      </c>
    </row>
    <row r="1892" spans="2:35" ht="409.5">
      <c r="B1892" s="1">
        <v>45763</v>
      </c>
      <c r="C1892" s="1">
        <v>45762</v>
      </c>
      <c r="D1892" t="s">
        <v>3669</v>
      </c>
      <c r="E1892" t="s">
        <v>10908</v>
      </c>
      <c r="F1892" t="s">
        <v>37</v>
      </c>
      <c r="G1892" t="s">
        <v>38</v>
      </c>
      <c r="H1892" t="s">
        <v>39</v>
      </c>
      <c r="I1892" t="s">
        <v>40</v>
      </c>
      <c r="J1892" s="2" t="s">
        <v>62</v>
      </c>
      <c r="K1892" t="s">
        <v>42</v>
      </c>
      <c r="L1892" t="s">
        <v>43</v>
      </c>
      <c r="N1892" t="s">
        <v>44</v>
      </c>
      <c r="Q1892">
        <v>30653</v>
      </c>
      <c r="R1892" t="s">
        <v>95</v>
      </c>
      <c r="S1892" t="s">
        <v>5945</v>
      </c>
      <c r="T1892">
        <v>22</v>
      </c>
      <c r="U1892" s="2" t="s">
        <v>12588</v>
      </c>
      <c r="W1892" t="s">
        <v>48</v>
      </c>
      <c r="X1892">
        <v>110005265</v>
      </c>
      <c r="Y1892" t="s">
        <v>12589</v>
      </c>
      <c r="Z1892" t="s">
        <v>12296</v>
      </c>
      <c r="AA1892" s="2" t="s">
        <v>12590</v>
      </c>
      <c r="AB1892" t="s">
        <v>12591</v>
      </c>
      <c r="AG1892" t="s">
        <v>12592</v>
      </c>
      <c r="AH1892" t="s">
        <v>12593</v>
      </c>
      <c r="AI1892" t="s">
        <v>12594</v>
      </c>
    </row>
    <row r="1893" spans="2:35" ht="409.5">
      <c r="B1893" s="1">
        <v>45763</v>
      </c>
      <c r="C1893" s="1">
        <v>45761</v>
      </c>
      <c r="D1893" t="s">
        <v>1081</v>
      </c>
      <c r="E1893" t="s">
        <v>2073</v>
      </c>
      <c r="F1893" t="s">
        <v>148</v>
      </c>
      <c r="G1893" t="s">
        <v>785</v>
      </c>
      <c r="H1893" t="s">
        <v>39</v>
      </c>
      <c r="I1893" t="s">
        <v>40</v>
      </c>
      <c r="J1893" s="2" t="s">
        <v>190</v>
      </c>
      <c r="K1893" t="s">
        <v>42</v>
      </c>
      <c r="L1893" t="s">
        <v>43</v>
      </c>
      <c r="N1893" t="s">
        <v>44</v>
      </c>
      <c r="Q1893">
        <v>30654</v>
      </c>
      <c r="R1893" t="s">
        <v>95</v>
      </c>
      <c r="S1893" t="s">
        <v>2016</v>
      </c>
      <c r="T1893">
        <v>22</v>
      </c>
      <c r="U1893" s="2" t="s">
        <v>12595</v>
      </c>
      <c r="W1893" t="s">
        <v>5136</v>
      </c>
      <c r="X1893">
        <v>110015767</v>
      </c>
      <c r="Y1893" t="s">
        <v>12596</v>
      </c>
      <c r="Z1893" t="s">
        <v>122</v>
      </c>
      <c r="AA1893" s="2" t="s">
        <v>12597</v>
      </c>
      <c r="AB1893" t="s">
        <v>12598</v>
      </c>
      <c r="AG1893" t="s">
        <v>12599</v>
      </c>
      <c r="AH1893" t="s">
        <v>12600</v>
      </c>
      <c r="AI1893" t="s">
        <v>12601</v>
      </c>
    </row>
    <row r="1894" spans="2:35">
      <c r="B1894" s="1">
        <v>45762</v>
      </c>
      <c r="C1894" s="1">
        <v>45750</v>
      </c>
      <c r="D1894" t="s">
        <v>9805</v>
      </c>
      <c r="E1894" t="s">
        <v>510</v>
      </c>
      <c r="F1894" t="s">
        <v>511</v>
      </c>
      <c r="G1894" t="s">
        <v>512</v>
      </c>
      <c r="H1894" t="s">
        <v>61</v>
      </c>
      <c r="I1894" t="s">
        <v>40</v>
      </c>
      <c r="J1894" t="s">
        <v>109</v>
      </c>
      <c r="K1894" t="s">
        <v>42</v>
      </c>
      <c r="L1894" t="s">
        <v>1048</v>
      </c>
      <c r="N1894" t="s">
        <v>1049</v>
      </c>
      <c r="Q1894">
        <v>30652</v>
      </c>
      <c r="R1894" t="s">
        <v>322</v>
      </c>
      <c r="S1894" t="s">
        <v>9806</v>
      </c>
      <c r="T1894">
        <v>20</v>
      </c>
      <c r="W1894" t="s">
        <v>1051</v>
      </c>
      <c r="X1894">
        <v>110016112</v>
      </c>
      <c r="Y1894" t="s">
        <v>1052</v>
      </c>
      <c r="Z1894" t="e">
        <f ca="1">- cleaned cartridge Bays, plunger Rods _xludf.and I-CORE
- generated reports</f>
        <v>#NAME?</v>
      </c>
      <c r="AA1894" t="s">
        <v>820</v>
      </c>
      <c r="AB1894" t="s">
        <v>70</v>
      </c>
      <c r="AG1894" t="s">
        <v>12602</v>
      </c>
      <c r="AH1894" t="s">
        <v>12603</v>
      </c>
      <c r="AI1894" t="s">
        <v>12604</v>
      </c>
    </row>
    <row r="1895" spans="2:35">
      <c r="B1895" s="1">
        <v>45762</v>
      </c>
      <c r="C1895" s="1">
        <v>45750</v>
      </c>
      <c r="D1895" t="s">
        <v>1420</v>
      </c>
      <c r="E1895" t="s">
        <v>1456</v>
      </c>
      <c r="F1895" t="s">
        <v>511</v>
      </c>
      <c r="G1895" t="s">
        <v>512</v>
      </c>
      <c r="H1895" t="s">
        <v>1047</v>
      </c>
      <c r="I1895" t="s">
        <v>40</v>
      </c>
      <c r="J1895" t="s">
        <v>109</v>
      </c>
      <c r="K1895" t="s">
        <v>42</v>
      </c>
      <c r="L1895" t="s">
        <v>1048</v>
      </c>
      <c r="N1895" t="s">
        <v>1049</v>
      </c>
      <c r="Q1895">
        <v>30651</v>
      </c>
      <c r="R1895" t="s">
        <v>967</v>
      </c>
      <c r="S1895" t="s">
        <v>1423</v>
      </c>
      <c r="T1895">
        <v>29</v>
      </c>
      <c r="W1895" t="s">
        <v>1424</v>
      </c>
      <c r="X1895">
        <v>110023498</v>
      </c>
      <c r="Y1895" t="s">
        <v>1052</v>
      </c>
      <c r="Z1895" t="e">
        <f ca="1">- cleaned cartridge Bays, plunger Rods _xludf.and I-CORE
- generated reports</f>
        <v>#NAME?</v>
      </c>
      <c r="AA1895" t="s">
        <v>820</v>
      </c>
      <c r="AB1895" t="s">
        <v>1428</v>
      </c>
      <c r="AC1895" t="s">
        <v>11073</v>
      </c>
      <c r="AG1895" t="s">
        <v>12605</v>
      </c>
      <c r="AH1895" t="s">
        <v>12606</v>
      </c>
      <c r="AI1895" t="s">
        <v>12607</v>
      </c>
    </row>
    <row r="1896" spans="2:35">
      <c r="B1896" s="1">
        <v>45762</v>
      </c>
      <c r="C1896" s="1">
        <v>45750</v>
      </c>
      <c r="D1896" t="s">
        <v>12608</v>
      </c>
      <c r="E1896" t="s">
        <v>510</v>
      </c>
      <c r="F1896" t="s">
        <v>511</v>
      </c>
      <c r="G1896" t="s">
        <v>512</v>
      </c>
      <c r="H1896" t="s">
        <v>1047</v>
      </c>
      <c r="I1896" t="s">
        <v>40</v>
      </c>
      <c r="J1896" t="s">
        <v>109</v>
      </c>
      <c r="K1896" t="s">
        <v>42</v>
      </c>
      <c r="L1896" t="s">
        <v>1048</v>
      </c>
      <c r="N1896" t="s">
        <v>1049</v>
      </c>
      <c r="Q1896">
        <v>30650</v>
      </c>
      <c r="R1896" t="s">
        <v>322</v>
      </c>
      <c r="S1896" t="s">
        <v>6920</v>
      </c>
      <c r="T1896">
        <v>19</v>
      </c>
      <c r="W1896" t="s">
        <v>1051</v>
      </c>
      <c r="X1896">
        <v>838281</v>
      </c>
      <c r="Y1896" t="s">
        <v>1052</v>
      </c>
      <c r="Z1896" t="e">
        <f ca="1">- cleaned cartridge Bays,plunger Rods _xludf.and I-CORE
- generated reports</f>
        <v>#NAME?</v>
      </c>
      <c r="AA1896" t="s">
        <v>820</v>
      </c>
      <c r="AB1896" t="s">
        <v>1428</v>
      </c>
      <c r="AG1896" t="s">
        <v>12609</v>
      </c>
      <c r="AH1896" t="s">
        <v>6925</v>
      </c>
      <c r="AI1896" t="s">
        <v>12610</v>
      </c>
    </row>
    <row r="1897" spans="2:35" ht="120">
      <c r="B1897" s="1">
        <v>45762</v>
      </c>
      <c r="C1897" s="1">
        <v>45750</v>
      </c>
      <c r="D1897" t="s">
        <v>11102</v>
      </c>
      <c r="E1897" t="s">
        <v>11103</v>
      </c>
      <c r="F1897" t="s">
        <v>511</v>
      </c>
      <c r="G1897" t="s">
        <v>512</v>
      </c>
      <c r="H1897" t="s">
        <v>1047</v>
      </c>
      <c r="I1897" t="s">
        <v>40</v>
      </c>
      <c r="J1897" t="s">
        <v>109</v>
      </c>
      <c r="K1897" t="s">
        <v>42</v>
      </c>
      <c r="L1897" t="s">
        <v>1048</v>
      </c>
      <c r="N1897" t="s">
        <v>1049</v>
      </c>
      <c r="Q1897">
        <v>30649</v>
      </c>
      <c r="R1897" t="s">
        <v>119</v>
      </c>
      <c r="S1897" t="s">
        <v>11104</v>
      </c>
      <c r="T1897">
        <v>30</v>
      </c>
      <c r="W1897" t="s">
        <v>1051</v>
      </c>
      <c r="X1897">
        <v>838282</v>
      </c>
      <c r="Y1897" t="s">
        <v>1052</v>
      </c>
      <c r="Z1897" t="e">
        <f ca="1">- cleaned cartridge Bays, plunger Rods _xludf.and I-CORE
- generated reports</f>
        <v>#NAME?</v>
      </c>
      <c r="AA1897" t="s">
        <v>820</v>
      </c>
      <c r="AB1897" s="2" t="s">
        <v>12611</v>
      </c>
      <c r="AC1897" t="s">
        <v>11073</v>
      </c>
      <c r="AG1897" t="s">
        <v>12612</v>
      </c>
      <c r="AH1897" t="s">
        <v>12613</v>
      </c>
      <c r="AI1897" t="s">
        <v>12614</v>
      </c>
    </row>
    <row r="1898" spans="2:35" ht="150">
      <c r="B1898" s="1">
        <v>45762</v>
      </c>
      <c r="C1898" s="1">
        <v>45749</v>
      </c>
      <c r="D1898" t="s">
        <v>11087</v>
      </c>
      <c r="E1898" t="s">
        <v>11088</v>
      </c>
      <c r="F1898">
        <v>1</v>
      </c>
      <c r="G1898" t="s">
        <v>4938</v>
      </c>
      <c r="H1898" t="s">
        <v>39</v>
      </c>
      <c r="I1898" t="s">
        <v>40</v>
      </c>
      <c r="J1898" s="2" t="s">
        <v>41</v>
      </c>
      <c r="K1898" t="s">
        <v>42</v>
      </c>
      <c r="L1898" t="s">
        <v>1048</v>
      </c>
      <c r="N1898" t="s">
        <v>1049</v>
      </c>
      <c r="Q1898">
        <v>30648</v>
      </c>
      <c r="R1898" t="s">
        <v>119</v>
      </c>
      <c r="S1898" t="s">
        <v>11089</v>
      </c>
      <c r="T1898">
        <v>26</v>
      </c>
      <c r="V1898" s="1">
        <v>45734</v>
      </c>
      <c r="W1898" t="s">
        <v>1051</v>
      </c>
      <c r="X1898">
        <v>838274</v>
      </c>
      <c r="Y1898" t="s">
        <v>12615</v>
      </c>
      <c r="Z1898" t="e">
        <f ca="1">- Returned Repaired Original Desktop
- Setup Necessary Accounts _xludf.and Assays
- cleaned cartridge Bays, plunger Rods _xludf.and I-CORE
- generated reports</f>
        <v>#NAME?</v>
      </c>
      <c r="AA1898" t="s">
        <v>12616</v>
      </c>
      <c r="AB1898" s="2" t="s">
        <v>12617</v>
      </c>
      <c r="AC1898" t="s">
        <v>12618</v>
      </c>
      <c r="AD1898" t="s">
        <v>12619</v>
      </c>
      <c r="AE1898" t="s">
        <v>12620</v>
      </c>
      <c r="AG1898" t="s">
        <v>12621</v>
      </c>
      <c r="AH1898" t="s">
        <v>11092</v>
      </c>
      <c r="AI1898" t="s">
        <v>12622</v>
      </c>
    </row>
    <row r="1899" spans="2:35" ht="105">
      <c r="B1899" s="1">
        <v>45762</v>
      </c>
      <c r="C1899" s="1">
        <v>45762</v>
      </c>
      <c r="D1899" t="s">
        <v>11065</v>
      </c>
      <c r="E1899" t="s">
        <v>11066</v>
      </c>
      <c r="F1899">
        <v>7</v>
      </c>
      <c r="G1899" t="s">
        <v>269</v>
      </c>
      <c r="H1899" t="s">
        <v>258</v>
      </c>
      <c r="I1899" t="s">
        <v>40</v>
      </c>
      <c r="J1899" t="s">
        <v>109</v>
      </c>
      <c r="K1899" t="s">
        <v>42</v>
      </c>
      <c r="L1899" t="s">
        <v>270</v>
      </c>
      <c r="N1899" t="s">
        <v>2481</v>
      </c>
      <c r="Q1899">
        <v>30647</v>
      </c>
      <c r="R1899" t="s">
        <v>119</v>
      </c>
      <c r="S1899" t="s">
        <v>11067</v>
      </c>
      <c r="T1899">
        <v>23</v>
      </c>
      <c r="U1899" s="2" t="s">
        <v>12623</v>
      </c>
      <c r="W1899" t="s">
        <v>666</v>
      </c>
      <c r="X1899">
        <v>838481</v>
      </c>
      <c r="Y1899" t="s">
        <v>12624</v>
      </c>
      <c r="Z1899" t="s">
        <v>449</v>
      </c>
      <c r="AA1899" t="e">
        <f ca="1">- performed self-tests in module A1, same E4102 errors encountered.
- Generate IQR, system _xludf.Log reports
- Provide extra machine _xludf.filter</f>
        <v>#NAME?</v>
      </c>
      <c r="AB1899" t="e">
        <f ca="1">- module A2, A3, A4 operational
- module A1 disabled, waiting new module FROM Cepheid.</f>
        <v>#NAME?</v>
      </c>
      <c r="AG1899" t="s">
        <v>12625</v>
      </c>
      <c r="AH1899" t="s">
        <v>12626</v>
      </c>
      <c r="AI1899" t="s">
        <v>12627</v>
      </c>
    </row>
    <row r="1900" spans="2:35" ht="255">
      <c r="B1900" s="1">
        <v>45762</v>
      </c>
      <c r="C1900" s="1">
        <v>45762</v>
      </c>
      <c r="D1900" t="s">
        <v>7571</v>
      </c>
      <c r="E1900" t="s">
        <v>12628</v>
      </c>
      <c r="F1900">
        <v>3</v>
      </c>
      <c r="G1900" t="s">
        <v>134</v>
      </c>
      <c r="H1900" t="s">
        <v>513</v>
      </c>
      <c r="I1900" t="s">
        <v>40</v>
      </c>
      <c r="J1900" s="2" t="s">
        <v>190</v>
      </c>
      <c r="K1900" t="s">
        <v>387</v>
      </c>
      <c r="L1900" t="s">
        <v>135</v>
      </c>
      <c r="N1900" t="s">
        <v>136</v>
      </c>
      <c r="Q1900">
        <v>30646</v>
      </c>
      <c r="R1900" t="s">
        <v>95</v>
      </c>
      <c r="S1900" t="s">
        <v>12629</v>
      </c>
      <c r="T1900">
        <v>25</v>
      </c>
      <c r="W1900" t="s">
        <v>390</v>
      </c>
      <c r="X1900" t="s">
        <v>7574</v>
      </c>
      <c r="Y1900" t="s">
        <v>12630</v>
      </c>
      <c r="Z1900" s="2" t="s">
        <v>12631</v>
      </c>
      <c r="AA1900" s="2" t="s">
        <v>12632</v>
      </c>
      <c r="AB1900" t="s">
        <v>12633</v>
      </c>
      <c r="AC1900" t="s">
        <v>1751</v>
      </c>
      <c r="AG1900" t="s">
        <v>12634</v>
      </c>
      <c r="AH1900" t="s">
        <v>12635</v>
      </c>
      <c r="AI1900" t="s">
        <v>12636</v>
      </c>
    </row>
    <row r="1901" spans="2:35" ht="255">
      <c r="B1901" s="1">
        <v>45762</v>
      </c>
      <c r="C1901" s="1">
        <v>45758</v>
      </c>
      <c r="D1901" t="s">
        <v>10656</v>
      </c>
      <c r="E1901" t="s">
        <v>8313</v>
      </c>
      <c r="F1901">
        <v>5</v>
      </c>
      <c r="G1901" t="s">
        <v>8314</v>
      </c>
      <c r="H1901" t="s">
        <v>39</v>
      </c>
      <c r="I1901" t="s">
        <v>94</v>
      </c>
      <c r="J1901" s="2" t="s">
        <v>41</v>
      </c>
      <c r="K1901" t="s">
        <v>42</v>
      </c>
      <c r="L1901" t="s">
        <v>761</v>
      </c>
      <c r="N1901" t="s">
        <v>12637</v>
      </c>
      <c r="Q1901">
        <v>30645</v>
      </c>
      <c r="R1901" t="s">
        <v>119</v>
      </c>
      <c r="S1901" t="s">
        <v>10657</v>
      </c>
      <c r="T1901">
        <v>25</v>
      </c>
      <c r="U1901" s="2" t="s">
        <v>12638</v>
      </c>
      <c r="W1901" t="s">
        <v>765</v>
      </c>
      <c r="X1901">
        <v>838563</v>
      </c>
      <c r="Y1901" s="2" t="s">
        <v>12639</v>
      </c>
      <c r="Z1901" s="2" t="s">
        <v>12640</v>
      </c>
      <c r="AA1901" s="2" t="s">
        <v>12641</v>
      </c>
      <c r="AB1901" s="2" t="s">
        <v>12642</v>
      </c>
      <c r="AG1901" t="s">
        <v>12643</v>
      </c>
      <c r="AH1901" t="s">
        <v>8318</v>
      </c>
      <c r="AI1901" t="s">
        <v>12644</v>
      </c>
    </row>
    <row r="1902" spans="2:35" ht="105">
      <c r="B1902" s="1">
        <v>45762</v>
      </c>
      <c r="C1902" s="1">
        <v>45762</v>
      </c>
      <c r="D1902" t="s">
        <v>3897</v>
      </c>
      <c r="E1902" t="s">
        <v>3140</v>
      </c>
      <c r="F1902">
        <v>3</v>
      </c>
      <c r="G1902" t="s">
        <v>174</v>
      </c>
      <c r="H1902" t="s">
        <v>39</v>
      </c>
      <c r="I1902" t="s">
        <v>40</v>
      </c>
      <c r="J1902" s="2" t="s">
        <v>190</v>
      </c>
      <c r="K1902" t="s">
        <v>42</v>
      </c>
      <c r="L1902" t="s">
        <v>175</v>
      </c>
      <c r="N1902" t="s">
        <v>176</v>
      </c>
      <c r="Q1902">
        <v>30644</v>
      </c>
      <c r="R1902" t="s">
        <v>95</v>
      </c>
      <c r="S1902" t="s">
        <v>3898</v>
      </c>
      <c r="T1902">
        <v>25</v>
      </c>
      <c r="V1902" s="1">
        <v>45758</v>
      </c>
      <c r="W1902" t="s">
        <v>84</v>
      </c>
      <c r="X1902">
        <v>110008530</v>
      </c>
      <c r="Y1902" s="2" t="s">
        <v>12645</v>
      </c>
      <c r="Z1902" t="s">
        <v>12646</v>
      </c>
      <c r="AA1902" t="e">
        <f ca="1">- checked _xludf.and cleaned cartridge bay, plunger rod, _xludf.filter, icore slot
- performed blank cartridge test on B1
- generated reports
- performed self test</f>
        <v>#NAME?</v>
      </c>
      <c r="AB1902" s="2" t="s">
        <v>12647</v>
      </c>
      <c r="AD1902" t="s">
        <v>12648</v>
      </c>
      <c r="AE1902">
        <v>12922</v>
      </c>
      <c r="AG1902" t="s">
        <v>12649</v>
      </c>
      <c r="AH1902" t="s">
        <v>8887</v>
      </c>
      <c r="AI1902" t="s">
        <v>12650</v>
      </c>
    </row>
    <row r="1903" spans="2:35" ht="165">
      <c r="B1903" s="1">
        <v>45762</v>
      </c>
      <c r="C1903" s="1">
        <v>45755</v>
      </c>
      <c r="D1903" t="s">
        <v>11127</v>
      </c>
      <c r="E1903" t="s">
        <v>12651</v>
      </c>
      <c r="F1903">
        <v>5</v>
      </c>
      <c r="G1903" t="s">
        <v>759</v>
      </c>
      <c r="H1903" t="s">
        <v>39</v>
      </c>
      <c r="I1903" t="s">
        <v>94</v>
      </c>
      <c r="J1903" s="2" t="s">
        <v>41</v>
      </c>
      <c r="K1903" t="s">
        <v>42</v>
      </c>
      <c r="L1903" t="s">
        <v>761</v>
      </c>
      <c r="N1903" t="s">
        <v>762</v>
      </c>
      <c r="Q1903">
        <v>30643</v>
      </c>
      <c r="R1903" t="s">
        <v>119</v>
      </c>
      <c r="S1903" t="s">
        <v>11128</v>
      </c>
      <c r="T1903">
        <v>25</v>
      </c>
      <c r="U1903" s="2" t="s">
        <v>12652</v>
      </c>
      <c r="W1903" t="s">
        <v>765</v>
      </c>
      <c r="X1903">
        <v>838565</v>
      </c>
      <c r="Y1903" t="s">
        <v>12653</v>
      </c>
      <c r="Z1903" s="2" t="s">
        <v>12654</v>
      </c>
      <c r="AA1903" s="2" t="s">
        <v>12655</v>
      </c>
      <c r="AB1903" t="s">
        <v>181</v>
      </c>
      <c r="AG1903" t="s">
        <v>12656</v>
      </c>
      <c r="AH1903" t="s">
        <v>11133</v>
      </c>
      <c r="AI1903" t="s">
        <v>12657</v>
      </c>
    </row>
    <row r="1904" spans="2:35" ht="345">
      <c r="B1904" s="1">
        <v>45761</v>
      </c>
      <c r="C1904" s="1">
        <v>45755</v>
      </c>
      <c r="D1904" t="s">
        <v>965</v>
      </c>
      <c r="E1904" t="s">
        <v>966</v>
      </c>
      <c r="F1904">
        <v>12</v>
      </c>
      <c r="G1904" t="s">
        <v>294</v>
      </c>
      <c r="H1904" t="s">
        <v>1473</v>
      </c>
      <c r="I1904" t="s">
        <v>40</v>
      </c>
      <c r="J1904" t="s">
        <v>109</v>
      </c>
      <c r="K1904" t="s">
        <v>42</v>
      </c>
      <c r="L1904" t="s">
        <v>296</v>
      </c>
      <c r="N1904" t="s">
        <v>297</v>
      </c>
      <c r="O1904" t="s">
        <v>12658</v>
      </c>
      <c r="Q1904">
        <v>30641</v>
      </c>
      <c r="R1904" t="s">
        <v>967</v>
      </c>
      <c r="S1904" t="s">
        <v>12659</v>
      </c>
      <c r="T1904">
        <v>24.8</v>
      </c>
      <c r="U1904" s="2" t="s">
        <v>12660</v>
      </c>
      <c r="W1904" t="s">
        <v>970</v>
      </c>
      <c r="X1904">
        <v>110023520</v>
      </c>
      <c r="Y1904" t="s">
        <v>301</v>
      </c>
      <c r="Z1904" s="2" t="s">
        <v>12661</v>
      </c>
      <c r="AA1904" t="s">
        <v>303</v>
      </c>
      <c r="AB1904" t="s">
        <v>7205</v>
      </c>
      <c r="AG1904" t="s">
        <v>12662</v>
      </c>
      <c r="AH1904" t="s">
        <v>12663</v>
      </c>
      <c r="AI1904" t="s">
        <v>12664</v>
      </c>
    </row>
    <row r="1905" spans="2:35" ht="270">
      <c r="B1905" s="1">
        <v>45761</v>
      </c>
      <c r="C1905" s="1">
        <v>45757</v>
      </c>
      <c r="D1905" t="s">
        <v>4413</v>
      </c>
      <c r="E1905" t="s">
        <v>7497</v>
      </c>
      <c r="F1905">
        <v>12</v>
      </c>
      <c r="G1905" t="s">
        <v>978</v>
      </c>
      <c r="H1905" t="s">
        <v>1473</v>
      </c>
      <c r="I1905" t="s">
        <v>40</v>
      </c>
      <c r="J1905" t="s">
        <v>109</v>
      </c>
      <c r="K1905" t="s">
        <v>42</v>
      </c>
      <c r="L1905" t="s">
        <v>296</v>
      </c>
      <c r="N1905" t="s">
        <v>297</v>
      </c>
      <c r="Q1905">
        <v>30642</v>
      </c>
      <c r="R1905" t="s">
        <v>119</v>
      </c>
      <c r="S1905" t="s">
        <v>7498</v>
      </c>
      <c r="T1905">
        <v>26.3</v>
      </c>
      <c r="U1905" s="2" t="s">
        <v>12665</v>
      </c>
      <c r="W1905" t="s">
        <v>981</v>
      </c>
      <c r="X1905">
        <v>838544</v>
      </c>
      <c r="Y1905" t="s">
        <v>12666</v>
      </c>
      <c r="Z1905" s="2" t="s">
        <v>12667</v>
      </c>
      <c r="AA1905" t="s">
        <v>303</v>
      </c>
      <c r="AB1905" t="s">
        <v>7205</v>
      </c>
      <c r="AG1905" t="s">
        <v>12668</v>
      </c>
      <c r="AH1905" t="s">
        <v>7502</v>
      </c>
      <c r="AI1905" t="s">
        <v>12669</v>
      </c>
    </row>
    <row r="1906" spans="2:35" ht="270">
      <c r="B1906" s="1">
        <v>45761</v>
      </c>
      <c r="C1906" s="1">
        <v>45761</v>
      </c>
      <c r="D1906" t="s">
        <v>12670</v>
      </c>
      <c r="E1906" t="s">
        <v>6810</v>
      </c>
      <c r="F1906">
        <v>11</v>
      </c>
      <c r="G1906" t="s">
        <v>201</v>
      </c>
      <c r="H1906" t="s">
        <v>202</v>
      </c>
      <c r="I1906" t="s">
        <v>40</v>
      </c>
      <c r="J1906" t="s">
        <v>109</v>
      </c>
      <c r="K1906" t="s">
        <v>42</v>
      </c>
      <c r="L1906" t="s">
        <v>204</v>
      </c>
      <c r="N1906" t="s">
        <v>205</v>
      </c>
      <c r="Q1906">
        <v>30640</v>
      </c>
      <c r="R1906" t="s">
        <v>119</v>
      </c>
      <c r="S1906" t="s">
        <v>6811</v>
      </c>
      <c r="T1906">
        <v>26.8</v>
      </c>
      <c r="U1906" s="2" t="s">
        <v>12671</v>
      </c>
      <c r="W1906" t="s">
        <v>208</v>
      </c>
      <c r="X1906">
        <v>838490</v>
      </c>
      <c r="Y1906" t="s">
        <v>2851</v>
      </c>
      <c r="Z1906" s="2" t="s">
        <v>9413</v>
      </c>
      <c r="AA1906" t="s">
        <v>2551</v>
      </c>
      <c r="AB1906" t="s">
        <v>1211</v>
      </c>
      <c r="AG1906" t="s">
        <v>12672</v>
      </c>
      <c r="AH1906" t="s">
        <v>10600</v>
      </c>
      <c r="AI1906" t="s">
        <v>12673</v>
      </c>
    </row>
    <row r="1907" spans="2:35" ht="105">
      <c r="B1907" s="1">
        <v>45761</v>
      </c>
      <c r="C1907" s="1">
        <v>45761</v>
      </c>
      <c r="D1907" t="s">
        <v>8529</v>
      </c>
      <c r="E1907" t="s">
        <v>8530</v>
      </c>
      <c r="F1907">
        <v>7</v>
      </c>
      <c r="G1907" t="s">
        <v>432</v>
      </c>
      <c r="H1907" t="s">
        <v>1498</v>
      </c>
      <c r="I1907" t="s">
        <v>40</v>
      </c>
      <c r="J1907" t="s">
        <v>109</v>
      </c>
      <c r="K1907" t="s">
        <v>42</v>
      </c>
      <c r="L1907" t="s">
        <v>343</v>
      </c>
      <c r="N1907" t="s">
        <v>344</v>
      </c>
      <c r="Q1907">
        <v>30639</v>
      </c>
      <c r="R1907" t="s">
        <v>119</v>
      </c>
      <c r="S1907" t="s">
        <v>8531</v>
      </c>
      <c r="T1907">
        <v>28</v>
      </c>
      <c r="U1907" s="2" t="s">
        <v>12674</v>
      </c>
      <c r="W1907" t="s">
        <v>1501</v>
      </c>
      <c r="X1907">
        <v>838279</v>
      </c>
      <c r="Y1907" t="s">
        <v>7415</v>
      </c>
      <c r="Z1907" t="e">
        <f ca="1">-PERFORM Preventive Maintenance: FAN _xludf.filter, cartridge bay, optic slot, plunger rod</f>
        <v>#NAME?</v>
      </c>
      <c r="AA1907" t="e">
        <f ca="1">-Preventive Maintenance</f>
        <v>#NAME?</v>
      </c>
      <c r="AB1907" t="s">
        <v>348</v>
      </c>
      <c r="AC1907" t="s">
        <v>12675</v>
      </c>
      <c r="AG1907" t="s">
        <v>12676</v>
      </c>
      <c r="AH1907" t="s">
        <v>9836</v>
      </c>
      <c r="AI1907" t="s">
        <v>12677</v>
      </c>
    </row>
    <row r="1908" spans="2:35">
      <c r="B1908" s="1">
        <v>45761</v>
      </c>
      <c r="C1908" s="1">
        <v>45761</v>
      </c>
      <c r="D1908" t="s">
        <v>10465</v>
      </c>
      <c r="E1908" t="s">
        <v>10466</v>
      </c>
      <c r="F1908">
        <v>10</v>
      </c>
      <c r="G1908" t="s">
        <v>1395</v>
      </c>
      <c r="H1908" t="s">
        <v>2125</v>
      </c>
      <c r="I1908" t="s">
        <v>40</v>
      </c>
      <c r="J1908" t="s">
        <v>109</v>
      </c>
      <c r="K1908" t="s">
        <v>42</v>
      </c>
      <c r="L1908" t="s">
        <v>933</v>
      </c>
      <c r="N1908" t="s">
        <v>934</v>
      </c>
      <c r="Q1908">
        <v>30638</v>
      </c>
      <c r="R1908" t="s">
        <v>119</v>
      </c>
      <c r="S1908" t="s">
        <v>12678</v>
      </c>
      <c r="T1908">
        <v>27</v>
      </c>
      <c r="W1908" t="s">
        <v>2127</v>
      </c>
      <c r="X1908">
        <v>838557</v>
      </c>
      <c r="Y1908" t="s">
        <v>301</v>
      </c>
      <c r="Z1908" t="s">
        <v>301</v>
      </c>
      <c r="AA1908" t="s">
        <v>3128</v>
      </c>
      <c r="AB1908" t="s">
        <v>2131</v>
      </c>
      <c r="AG1908" t="s">
        <v>12679</v>
      </c>
      <c r="AH1908" t="s">
        <v>12680</v>
      </c>
      <c r="AI1908" t="s">
        <v>12681</v>
      </c>
    </row>
    <row r="1909" spans="2:35" ht="409.5">
      <c r="B1909" s="1">
        <v>45761</v>
      </c>
      <c r="C1909" s="1">
        <v>45736</v>
      </c>
      <c r="D1909" t="s">
        <v>9540</v>
      </c>
      <c r="E1909" t="s">
        <v>9541</v>
      </c>
      <c r="F1909" t="s">
        <v>148</v>
      </c>
      <c r="G1909" t="s">
        <v>4786</v>
      </c>
      <c r="H1909" t="s">
        <v>662</v>
      </c>
      <c r="I1909" t="s">
        <v>40</v>
      </c>
      <c r="J1909" t="s">
        <v>525</v>
      </c>
      <c r="K1909" t="s">
        <v>42</v>
      </c>
      <c r="L1909" t="s">
        <v>1028</v>
      </c>
      <c r="N1909" t="s">
        <v>1029</v>
      </c>
      <c r="O1909" t="s">
        <v>10335</v>
      </c>
      <c r="Q1909">
        <v>30637</v>
      </c>
      <c r="R1909" t="s">
        <v>95</v>
      </c>
      <c r="S1909" t="s">
        <v>4787</v>
      </c>
      <c r="T1909">
        <v>25</v>
      </c>
      <c r="U1909" s="2" t="s">
        <v>12682</v>
      </c>
      <c r="W1909" t="s">
        <v>1967</v>
      </c>
      <c r="X1909">
        <v>831316</v>
      </c>
      <c r="Y1909" t="s">
        <v>12683</v>
      </c>
      <c r="Z1909" t="s">
        <v>10920</v>
      </c>
      <c r="AA1909" s="2" t="s">
        <v>12684</v>
      </c>
      <c r="AB1909" t="s">
        <v>12685</v>
      </c>
      <c r="AG1909" t="s">
        <v>12686</v>
      </c>
      <c r="AH1909" t="s">
        <v>4793</v>
      </c>
      <c r="AI1909" t="s">
        <v>12687</v>
      </c>
    </row>
    <row r="1910" spans="2:35" ht="409.5">
      <c r="B1910" s="1">
        <v>45761</v>
      </c>
      <c r="C1910" s="1">
        <v>45758</v>
      </c>
      <c r="D1910" t="s">
        <v>3669</v>
      </c>
      <c r="E1910" t="s">
        <v>10908</v>
      </c>
      <c r="F1910" t="s">
        <v>37</v>
      </c>
      <c r="G1910" t="s">
        <v>38</v>
      </c>
      <c r="H1910" t="s">
        <v>39</v>
      </c>
      <c r="I1910" t="s">
        <v>40</v>
      </c>
      <c r="J1910" s="2" t="s">
        <v>62</v>
      </c>
      <c r="K1910" t="s">
        <v>42</v>
      </c>
      <c r="L1910" t="s">
        <v>43</v>
      </c>
      <c r="N1910" t="s">
        <v>44</v>
      </c>
      <c r="Q1910">
        <v>30636</v>
      </c>
      <c r="R1910" t="s">
        <v>95</v>
      </c>
      <c r="S1910" t="s">
        <v>5945</v>
      </c>
      <c r="T1910">
        <v>22</v>
      </c>
      <c r="U1910" s="2" t="s">
        <v>12688</v>
      </c>
      <c r="W1910" t="s">
        <v>48</v>
      </c>
      <c r="X1910">
        <v>110005265</v>
      </c>
      <c r="Y1910" t="s">
        <v>1111</v>
      </c>
      <c r="Z1910" t="s">
        <v>1519</v>
      </c>
      <c r="AA1910" s="2" t="s">
        <v>12689</v>
      </c>
      <c r="AB1910" t="s">
        <v>12690</v>
      </c>
      <c r="AG1910" t="s">
        <v>12691</v>
      </c>
      <c r="AH1910" t="s">
        <v>12593</v>
      </c>
      <c r="AI1910" t="s">
        <v>12692</v>
      </c>
    </row>
    <row r="1911" spans="2:35" ht="375">
      <c r="B1911" s="1">
        <v>45761</v>
      </c>
      <c r="C1911" s="1">
        <v>45758</v>
      </c>
      <c r="D1911" t="s">
        <v>2176</v>
      </c>
      <c r="E1911" t="s">
        <v>2580</v>
      </c>
      <c r="F1911" t="s">
        <v>148</v>
      </c>
      <c r="G1911" t="s">
        <v>447</v>
      </c>
      <c r="H1911" t="s">
        <v>662</v>
      </c>
      <c r="I1911" t="s">
        <v>40</v>
      </c>
      <c r="J1911" t="s">
        <v>109</v>
      </c>
      <c r="K1911" t="s">
        <v>42</v>
      </c>
      <c r="L1911" t="s">
        <v>448</v>
      </c>
      <c r="N1911" t="s">
        <v>650</v>
      </c>
      <c r="O1911" t="s">
        <v>4140</v>
      </c>
      <c r="Q1911">
        <v>30635</v>
      </c>
      <c r="R1911" t="s">
        <v>967</v>
      </c>
      <c r="S1911" t="s">
        <v>12693</v>
      </c>
      <c r="T1911">
        <v>28</v>
      </c>
      <c r="U1911" s="2" t="s">
        <v>12694</v>
      </c>
      <c r="W1911" t="s">
        <v>7167</v>
      </c>
      <c r="X1911">
        <v>110016781</v>
      </c>
      <c r="Y1911" t="s">
        <v>485</v>
      </c>
      <c r="Z1911" s="2" t="s">
        <v>2011</v>
      </c>
      <c r="AA1911" t="s">
        <v>122</v>
      </c>
      <c r="AB1911" t="s">
        <v>486</v>
      </c>
      <c r="AG1911" t="s">
        <v>12695</v>
      </c>
      <c r="AH1911" t="s">
        <v>12696</v>
      </c>
      <c r="AI1911" t="s">
        <v>12697</v>
      </c>
    </row>
    <row r="1912" spans="2:35" ht="180">
      <c r="B1912" s="1">
        <v>45761</v>
      </c>
      <c r="C1912" s="1">
        <v>45758</v>
      </c>
      <c r="D1912" t="s">
        <v>2176</v>
      </c>
      <c r="E1912" t="s">
        <v>2580</v>
      </c>
      <c r="F1912" t="s">
        <v>148</v>
      </c>
      <c r="G1912" t="s">
        <v>447</v>
      </c>
      <c r="H1912" t="s">
        <v>12698</v>
      </c>
      <c r="I1912" t="s">
        <v>40</v>
      </c>
      <c r="J1912" t="s">
        <v>109</v>
      </c>
      <c r="K1912" t="s">
        <v>42</v>
      </c>
      <c r="L1912" t="s">
        <v>448</v>
      </c>
      <c r="N1912" t="s">
        <v>650</v>
      </c>
      <c r="O1912" t="s">
        <v>4140</v>
      </c>
      <c r="Q1912">
        <v>30634</v>
      </c>
      <c r="R1912" t="s">
        <v>322</v>
      </c>
      <c r="S1912" t="s">
        <v>12699</v>
      </c>
      <c r="T1912">
        <v>28</v>
      </c>
      <c r="U1912" s="2" t="s">
        <v>12700</v>
      </c>
      <c r="W1912" t="s">
        <v>12701</v>
      </c>
      <c r="X1912">
        <v>110014085</v>
      </c>
      <c r="Y1912" s="2" t="s">
        <v>12702</v>
      </c>
      <c r="Z1912" s="2" t="s">
        <v>2011</v>
      </c>
      <c r="AA1912" t="s">
        <v>122</v>
      </c>
      <c r="AB1912" t="s">
        <v>12703</v>
      </c>
      <c r="AC1912" t="s">
        <v>12704</v>
      </c>
      <c r="AG1912" t="s">
        <v>12705</v>
      </c>
      <c r="AH1912" t="s">
        <v>12706</v>
      </c>
      <c r="AI1912" t="s">
        <v>12707</v>
      </c>
    </row>
    <row r="1913" spans="2:35" ht="375">
      <c r="B1913" s="1">
        <v>45761</v>
      </c>
      <c r="C1913" s="1">
        <v>45758</v>
      </c>
      <c r="D1913" t="s">
        <v>3712</v>
      </c>
      <c r="E1913" t="s">
        <v>3713</v>
      </c>
      <c r="F1913" t="s">
        <v>148</v>
      </c>
      <c r="G1913" t="s">
        <v>310</v>
      </c>
      <c r="H1913" t="s">
        <v>2274</v>
      </c>
      <c r="I1913" t="s">
        <v>40</v>
      </c>
      <c r="J1913" s="2" t="s">
        <v>190</v>
      </c>
      <c r="K1913" t="s">
        <v>387</v>
      </c>
      <c r="L1913" t="s">
        <v>1943</v>
      </c>
      <c r="N1913" t="s">
        <v>1944</v>
      </c>
      <c r="Q1913">
        <v>30633</v>
      </c>
      <c r="R1913" t="s">
        <v>322</v>
      </c>
      <c r="S1913" t="s">
        <v>3824</v>
      </c>
      <c r="T1913">
        <v>25</v>
      </c>
      <c r="W1913" t="s">
        <v>390</v>
      </c>
      <c r="X1913" t="s">
        <v>3715</v>
      </c>
      <c r="Y1913" s="2" t="s">
        <v>12708</v>
      </c>
      <c r="Z1913" t="s">
        <v>4402</v>
      </c>
      <c r="AA1913" s="2" t="s">
        <v>12709</v>
      </c>
      <c r="AB1913" t="s">
        <v>12710</v>
      </c>
      <c r="AG1913" t="s">
        <v>12711</v>
      </c>
      <c r="AH1913" t="s">
        <v>12712</v>
      </c>
      <c r="AI1913" t="s">
        <v>12713</v>
      </c>
    </row>
    <row r="1914" spans="2:35" ht="375">
      <c r="B1914" s="1">
        <v>45761</v>
      </c>
      <c r="C1914" s="1">
        <v>45758</v>
      </c>
      <c r="D1914" t="s">
        <v>3712</v>
      </c>
      <c r="E1914" t="s">
        <v>3713</v>
      </c>
      <c r="F1914" t="s">
        <v>148</v>
      </c>
      <c r="G1914" t="s">
        <v>310</v>
      </c>
      <c r="H1914" t="s">
        <v>2274</v>
      </c>
      <c r="I1914" t="s">
        <v>40</v>
      </c>
      <c r="J1914" s="2" t="s">
        <v>190</v>
      </c>
      <c r="K1914" t="s">
        <v>387</v>
      </c>
      <c r="L1914" t="s">
        <v>1943</v>
      </c>
      <c r="N1914" t="s">
        <v>1944</v>
      </c>
      <c r="Q1914">
        <v>30632</v>
      </c>
      <c r="R1914" t="s">
        <v>322</v>
      </c>
      <c r="S1914" t="s">
        <v>3824</v>
      </c>
      <c r="T1914">
        <v>25</v>
      </c>
      <c r="W1914" t="s">
        <v>390</v>
      </c>
      <c r="X1914" t="s">
        <v>4180</v>
      </c>
      <c r="Y1914" s="2" t="s">
        <v>12714</v>
      </c>
      <c r="Z1914" t="s">
        <v>4402</v>
      </c>
      <c r="AA1914" s="2" t="s">
        <v>12709</v>
      </c>
      <c r="AB1914" t="s">
        <v>12715</v>
      </c>
      <c r="AG1914" t="s">
        <v>12716</v>
      </c>
      <c r="AH1914" t="s">
        <v>3717</v>
      </c>
      <c r="AI1914" t="s">
        <v>12717</v>
      </c>
    </row>
    <row r="1915" spans="2:35" ht="375">
      <c r="B1915" s="1">
        <v>45761</v>
      </c>
      <c r="C1915" s="1">
        <v>45758</v>
      </c>
      <c r="D1915" t="s">
        <v>3712</v>
      </c>
      <c r="E1915" t="s">
        <v>3713</v>
      </c>
      <c r="F1915" t="s">
        <v>148</v>
      </c>
      <c r="G1915" t="s">
        <v>310</v>
      </c>
      <c r="H1915" t="s">
        <v>2274</v>
      </c>
      <c r="I1915" t="s">
        <v>40</v>
      </c>
      <c r="J1915" s="2" t="s">
        <v>190</v>
      </c>
      <c r="K1915" t="s">
        <v>387</v>
      </c>
      <c r="L1915" t="s">
        <v>1943</v>
      </c>
      <c r="N1915" t="s">
        <v>1944</v>
      </c>
      <c r="Q1915">
        <v>30631</v>
      </c>
      <c r="R1915" t="s">
        <v>322</v>
      </c>
      <c r="S1915" t="s">
        <v>3824</v>
      </c>
      <c r="T1915">
        <v>25</v>
      </c>
      <c r="W1915" t="s">
        <v>390</v>
      </c>
      <c r="X1915" t="s">
        <v>4180</v>
      </c>
      <c r="Y1915" s="2" t="s">
        <v>12708</v>
      </c>
      <c r="Z1915" t="s">
        <v>4402</v>
      </c>
      <c r="AA1915" s="2" t="s">
        <v>12709</v>
      </c>
      <c r="AB1915" t="s">
        <v>12718</v>
      </c>
      <c r="AG1915" t="s">
        <v>12719</v>
      </c>
      <c r="AH1915" t="s">
        <v>3717</v>
      </c>
      <c r="AI1915" t="s">
        <v>12720</v>
      </c>
    </row>
    <row r="1916" spans="2:35" ht="375">
      <c r="B1916" s="1">
        <v>45761</v>
      </c>
      <c r="C1916" s="1">
        <v>45758</v>
      </c>
      <c r="D1916" t="s">
        <v>3712</v>
      </c>
      <c r="E1916" t="s">
        <v>3713</v>
      </c>
      <c r="F1916" t="s">
        <v>148</v>
      </c>
      <c r="G1916" t="s">
        <v>310</v>
      </c>
      <c r="H1916" t="s">
        <v>2274</v>
      </c>
      <c r="I1916" t="s">
        <v>40</v>
      </c>
      <c r="J1916" s="2" t="s">
        <v>190</v>
      </c>
      <c r="K1916" t="s">
        <v>387</v>
      </c>
      <c r="L1916" t="s">
        <v>1943</v>
      </c>
      <c r="N1916" t="s">
        <v>1944</v>
      </c>
      <c r="Q1916">
        <v>30630</v>
      </c>
      <c r="R1916" t="s">
        <v>322</v>
      </c>
      <c r="S1916" t="s">
        <v>3824</v>
      </c>
      <c r="T1916">
        <v>25</v>
      </c>
      <c r="W1916" t="s">
        <v>390</v>
      </c>
      <c r="X1916" t="s">
        <v>3715</v>
      </c>
      <c r="Y1916" s="2" t="s">
        <v>12708</v>
      </c>
      <c r="Z1916" t="s">
        <v>4402</v>
      </c>
      <c r="AA1916" s="2" t="s">
        <v>12709</v>
      </c>
      <c r="AB1916" t="s">
        <v>12710</v>
      </c>
      <c r="AG1916" t="s">
        <v>12721</v>
      </c>
      <c r="AH1916" t="s">
        <v>12712</v>
      </c>
      <c r="AI1916" t="s">
        <v>12722</v>
      </c>
    </row>
    <row r="1917" spans="2:35" ht="195">
      <c r="B1917" s="1">
        <v>45758</v>
      </c>
      <c r="C1917" s="1">
        <v>45758</v>
      </c>
      <c r="D1917" t="s">
        <v>12723</v>
      </c>
      <c r="E1917" t="s">
        <v>1555</v>
      </c>
      <c r="F1917">
        <v>7</v>
      </c>
      <c r="G1917" t="s">
        <v>432</v>
      </c>
      <c r="H1917" t="s">
        <v>39</v>
      </c>
      <c r="I1917" t="s">
        <v>40</v>
      </c>
      <c r="J1917" t="s">
        <v>109</v>
      </c>
      <c r="K1917" t="s">
        <v>42</v>
      </c>
      <c r="L1917" t="s">
        <v>594</v>
      </c>
      <c r="N1917" t="s">
        <v>595</v>
      </c>
      <c r="O1917" t="s">
        <v>595</v>
      </c>
      <c r="Q1917">
        <v>30629</v>
      </c>
      <c r="R1917" t="s">
        <v>95</v>
      </c>
      <c r="S1917" t="s">
        <v>595</v>
      </c>
      <c r="T1917">
        <v>22</v>
      </c>
      <c r="W1917" t="s">
        <v>502</v>
      </c>
      <c r="X1917">
        <v>110008542</v>
      </c>
      <c r="Y1917" t="s">
        <v>12724</v>
      </c>
      <c r="Z1917" s="2" t="s">
        <v>12725</v>
      </c>
      <c r="AA1917" s="2" t="s">
        <v>12726</v>
      </c>
      <c r="AB1917" s="2" t="s">
        <v>12727</v>
      </c>
      <c r="AG1917" t="s">
        <v>12728</v>
      </c>
      <c r="AH1917" t="s">
        <v>12729</v>
      </c>
      <c r="AI1917" t="s">
        <v>12730</v>
      </c>
    </row>
    <row r="1918" spans="2:35" ht="270">
      <c r="B1918" s="1">
        <v>45758</v>
      </c>
      <c r="C1918" s="1">
        <v>45755</v>
      </c>
      <c r="D1918" t="s">
        <v>4765</v>
      </c>
      <c r="E1918" t="s">
        <v>5121</v>
      </c>
      <c r="F1918" t="s">
        <v>148</v>
      </c>
      <c r="G1918" t="s">
        <v>785</v>
      </c>
      <c r="H1918" t="s">
        <v>39</v>
      </c>
      <c r="I1918" t="s">
        <v>40</v>
      </c>
      <c r="J1918" s="2" t="s">
        <v>62</v>
      </c>
      <c r="K1918" t="s">
        <v>42</v>
      </c>
      <c r="L1918" t="s">
        <v>43</v>
      </c>
      <c r="N1918" t="s">
        <v>44</v>
      </c>
      <c r="Q1918">
        <v>30628</v>
      </c>
      <c r="R1918" t="s">
        <v>322</v>
      </c>
      <c r="S1918" t="s">
        <v>4704</v>
      </c>
      <c r="T1918">
        <v>24</v>
      </c>
      <c r="U1918" s="2" t="s">
        <v>12731</v>
      </c>
      <c r="W1918" t="s">
        <v>153</v>
      </c>
      <c r="X1918">
        <v>110024245</v>
      </c>
      <c r="Y1918" t="s">
        <v>1111</v>
      </c>
      <c r="Z1918" t="s">
        <v>1519</v>
      </c>
      <c r="AA1918" s="2" t="s">
        <v>12732</v>
      </c>
      <c r="AB1918" t="s">
        <v>1521</v>
      </c>
      <c r="AG1918" t="s">
        <v>12733</v>
      </c>
      <c r="AH1918" t="s">
        <v>6075</v>
      </c>
      <c r="AI1918" t="s">
        <v>12734</v>
      </c>
    </row>
    <row r="1919" spans="2:35" ht="270">
      <c r="B1919" s="1">
        <v>45758</v>
      </c>
      <c r="C1919" s="1">
        <v>45758</v>
      </c>
      <c r="D1919" t="s">
        <v>1686</v>
      </c>
      <c r="E1919" t="s">
        <v>12735</v>
      </c>
      <c r="F1919" t="s">
        <v>148</v>
      </c>
      <c r="G1919" t="s">
        <v>785</v>
      </c>
      <c r="H1919" t="s">
        <v>39</v>
      </c>
      <c r="I1919" t="s">
        <v>40</v>
      </c>
      <c r="J1919" s="2" t="s">
        <v>62</v>
      </c>
      <c r="K1919" t="s">
        <v>42</v>
      </c>
      <c r="L1919" t="s">
        <v>43</v>
      </c>
      <c r="N1919" t="s">
        <v>44</v>
      </c>
      <c r="Q1919">
        <v>30626</v>
      </c>
      <c r="R1919" t="s">
        <v>322</v>
      </c>
      <c r="S1919" t="s">
        <v>1688</v>
      </c>
      <c r="T1919">
        <v>22</v>
      </c>
      <c r="U1919" s="2" t="s">
        <v>12736</v>
      </c>
      <c r="W1919" t="s">
        <v>153</v>
      </c>
      <c r="X1919">
        <v>110024247</v>
      </c>
      <c r="Y1919" t="s">
        <v>1111</v>
      </c>
      <c r="Z1919" t="s">
        <v>1519</v>
      </c>
      <c r="AA1919" s="2" t="s">
        <v>12737</v>
      </c>
      <c r="AB1919" t="s">
        <v>1521</v>
      </c>
      <c r="AG1919" t="s">
        <v>12738</v>
      </c>
      <c r="AH1919" t="s">
        <v>1692</v>
      </c>
      <c r="AI1919" t="s">
        <v>12739</v>
      </c>
    </row>
    <row r="1920" spans="2:35" ht="270">
      <c r="B1920" s="1">
        <v>45758</v>
      </c>
      <c r="C1920" s="1">
        <v>45755</v>
      </c>
      <c r="D1920" t="s">
        <v>1678</v>
      </c>
      <c r="E1920" t="s">
        <v>1679</v>
      </c>
      <c r="F1920" t="s">
        <v>148</v>
      </c>
      <c r="G1920" t="s">
        <v>785</v>
      </c>
      <c r="H1920" t="s">
        <v>39</v>
      </c>
      <c r="I1920" t="s">
        <v>40</v>
      </c>
      <c r="J1920" s="2" t="s">
        <v>62</v>
      </c>
      <c r="K1920" t="s">
        <v>42</v>
      </c>
      <c r="L1920" t="s">
        <v>43</v>
      </c>
      <c r="N1920" t="s">
        <v>44</v>
      </c>
      <c r="Q1920">
        <v>30627</v>
      </c>
      <c r="R1920" t="s">
        <v>322</v>
      </c>
      <c r="S1920" t="s">
        <v>1680</v>
      </c>
      <c r="T1920">
        <v>22</v>
      </c>
      <c r="U1920" s="2" t="s">
        <v>7193</v>
      </c>
      <c r="W1920" t="s">
        <v>153</v>
      </c>
      <c r="X1920">
        <v>110024246</v>
      </c>
      <c r="Y1920" t="s">
        <v>1111</v>
      </c>
      <c r="Z1920" t="s">
        <v>1519</v>
      </c>
      <c r="AA1920" s="2" t="s">
        <v>12740</v>
      </c>
      <c r="AB1920" t="s">
        <v>1521</v>
      </c>
      <c r="AG1920" t="s">
        <v>12741</v>
      </c>
      <c r="AH1920" t="s">
        <v>1684</v>
      </c>
      <c r="AI1920" t="s">
        <v>12742</v>
      </c>
    </row>
    <row r="1921" spans="2:35" ht="165">
      <c r="B1921" s="1">
        <v>45758</v>
      </c>
      <c r="C1921" s="1">
        <v>45758</v>
      </c>
      <c r="D1921" t="s">
        <v>8341</v>
      </c>
      <c r="E1921" t="s">
        <v>12743</v>
      </c>
      <c r="F1921">
        <v>2</v>
      </c>
      <c r="G1921" t="s">
        <v>60</v>
      </c>
      <c r="H1921" t="s">
        <v>39</v>
      </c>
      <c r="I1921" t="s">
        <v>40</v>
      </c>
      <c r="J1921" s="2" t="s">
        <v>1592</v>
      </c>
      <c r="K1921" t="s">
        <v>42</v>
      </c>
      <c r="L1921" t="s">
        <v>63</v>
      </c>
      <c r="N1921" t="s">
        <v>64</v>
      </c>
      <c r="Q1921">
        <v>30625</v>
      </c>
      <c r="R1921" t="s">
        <v>119</v>
      </c>
      <c r="S1921" t="s">
        <v>8343</v>
      </c>
      <c r="T1921">
        <v>29</v>
      </c>
      <c r="U1921" s="2" t="s">
        <v>9005</v>
      </c>
      <c r="V1921" s="1">
        <v>45747</v>
      </c>
      <c r="W1921" t="s">
        <v>66</v>
      </c>
      <c r="X1921">
        <v>838201</v>
      </c>
      <c r="Y1921" t="s">
        <v>6973</v>
      </c>
      <c r="Z1921" t="s">
        <v>9395</v>
      </c>
      <c r="AA1921" s="2" t="s">
        <v>1727</v>
      </c>
      <c r="AB1921" t="s">
        <v>70</v>
      </c>
      <c r="AD1921" t="s">
        <v>1859</v>
      </c>
      <c r="AE1921">
        <v>12891</v>
      </c>
      <c r="AG1921" t="s">
        <v>12744</v>
      </c>
      <c r="AH1921" t="s">
        <v>12745</v>
      </c>
      <c r="AI1921" t="s">
        <v>12746</v>
      </c>
    </row>
    <row r="1922" spans="2:35" ht="409.5">
      <c r="B1922" s="1">
        <v>45758</v>
      </c>
      <c r="C1922" s="1">
        <v>45755</v>
      </c>
      <c r="D1922" t="s">
        <v>12747</v>
      </c>
      <c r="E1922" t="s">
        <v>10984</v>
      </c>
      <c r="F1922">
        <v>6</v>
      </c>
      <c r="G1922" t="s">
        <v>1234</v>
      </c>
      <c r="H1922" t="s">
        <v>258</v>
      </c>
      <c r="I1922" t="s">
        <v>40</v>
      </c>
      <c r="J1922" t="s">
        <v>109</v>
      </c>
      <c r="K1922" t="s">
        <v>42</v>
      </c>
      <c r="L1922" t="s">
        <v>270</v>
      </c>
      <c r="N1922" t="s">
        <v>2481</v>
      </c>
      <c r="Q1922">
        <v>30624</v>
      </c>
      <c r="R1922" t="s">
        <v>119</v>
      </c>
      <c r="S1922" t="s">
        <v>12748</v>
      </c>
      <c r="T1922">
        <v>25</v>
      </c>
      <c r="U1922" s="2" t="s">
        <v>12749</v>
      </c>
      <c r="W1922" t="s">
        <v>666</v>
      </c>
      <c r="X1922">
        <v>838464</v>
      </c>
      <c r="Y1922" s="2" t="s">
        <v>12750</v>
      </c>
      <c r="Z1922" t="s">
        <v>12751</v>
      </c>
      <c r="AA1922" t="e">
        <f ca="1">- replaced network _xludf.switch
- Preventive Maintenance
- run XpertCheck in modules A1 _xludf.and
A2.
- Saved IQR, system _xludf.Log _xludf.and gxc file.</f>
        <v>#NAME?</v>
      </c>
      <c r="AB1922" s="2" t="s">
        <v>12752</v>
      </c>
      <c r="AG1922" t="s">
        <v>12753</v>
      </c>
      <c r="AH1922" t="s">
        <v>10993</v>
      </c>
      <c r="AI1922" t="s">
        <v>12754</v>
      </c>
    </row>
    <row r="1923" spans="2:35" ht="405">
      <c r="B1923" s="1">
        <v>45758</v>
      </c>
      <c r="C1923" s="1">
        <v>45758</v>
      </c>
      <c r="D1923" t="s">
        <v>7826</v>
      </c>
      <c r="E1923" t="s">
        <v>10016</v>
      </c>
      <c r="F1923">
        <v>11</v>
      </c>
      <c r="G1923" t="s">
        <v>1759</v>
      </c>
      <c r="H1923" t="s">
        <v>202</v>
      </c>
      <c r="I1923" t="s">
        <v>40</v>
      </c>
      <c r="J1923" s="2" t="s">
        <v>41</v>
      </c>
      <c r="K1923" t="s">
        <v>42</v>
      </c>
      <c r="L1923" t="s">
        <v>204</v>
      </c>
      <c r="N1923" t="s">
        <v>205</v>
      </c>
      <c r="Q1923">
        <v>30623</v>
      </c>
      <c r="R1923" t="s">
        <v>119</v>
      </c>
      <c r="S1923" t="s">
        <v>7828</v>
      </c>
      <c r="T1923">
        <v>28.6</v>
      </c>
      <c r="U1923" s="2" t="s">
        <v>12755</v>
      </c>
      <c r="W1923" t="s">
        <v>208</v>
      </c>
      <c r="X1923">
        <v>838487</v>
      </c>
      <c r="Y1923" s="2" t="s">
        <v>12756</v>
      </c>
      <c r="Z1923" s="2" t="s">
        <v>12757</v>
      </c>
      <c r="AA1923" t="s">
        <v>12758</v>
      </c>
      <c r="AB1923" s="2" t="s">
        <v>12759</v>
      </c>
      <c r="AC1923" t="s">
        <v>12760</v>
      </c>
      <c r="AG1923" t="s">
        <v>12761</v>
      </c>
      <c r="AH1923" t="s">
        <v>7833</v>
      </c>
      <c r="AI1923" t="s">
        <v>12762</v>
      </c>
    </row>
    <row r="1924" spans="2:35" ht="60">
      <c r="B1924" s="1">
        <v>45758</v>
      </c>
      <c r="C1924" s="1">
        <v>45758</v>
      </c>
      <c r="D1924" t="s">
        <v>7751</v>
      </c>
      <c r="E1924" t="s">
        <v>7752</v>
      </c>
      <c r="F1924">
        <v>13</v>
      </c>
      <c r="G1924" t="s">
        <v>4484</v>
      </c>
      <c r="H1924" t="s">
        <v>39</v>
      </c>
      <c r="I1924" t="s">
        <v>40</v>
      </c>
      <c r="J1924" s="2" t="s">
        <v>1808</v>
      </c>
      <c r="K1924" t="s">
        <v>42</v>
      </c>
      <c r="L1924" t="s">
        <v>933</v>
      </c>
      <c r="N1924" t="s">
        <v>934</v>
      </c>
      <c r="Q1924">
        <v>30622</v>
      </c>
      <c r="R1924" t="s">
        <v>119</v>
      </c>
      <c r="S1924" t="s">
        <v>7753</v>
      </c>
      <c r="T1924">
        <v>30</v>
      </c>
      <c r="W1924" t="s">
        <v>2127</v>
      </c>
      <c r="X1924">
        <v>838403</v>
      </c>
      <c r="Y1924" t="s">
        <v>301</v>
      </c>
      <c r="Z1924" t="s">
        <v>301</v>
      </c>
      <c r="AA1924" t="s">
        <v>12763</v>
      </c>
      <c r="AB1924" t="s">
        <v>2131</v>
      </c>
      <c r="AG1924" t="s">
        <v>12764</v>
      </c>
      <c r="AH1924" t="s">
        <v>12765</v>
      </c>
      <c r="AI1924" t="s">
        <v>12766</v>
      </c>
    </row>
    <row r="1925" spans="2:35" ht="60">
      <c r="B1925" s="1">
        <v>45758</v>
      </c>
      <c r="C1925" s="1">
        <v>45757</v>
      </c>
      <c r="D1925" t="s">
        <v>8123</v>
      </c>
      <c r="E1925" t="s">
        <v>8124</v>
      </c>
      <c r="F1925">
        <v>13</v>
      </c>
      <c r="G1925" t="s">
        <v>4484</v>
      </c>
      <c r="H1925" t="s">
        <v>39</v>
      </c>
      <c r="I1925" t="s">
        <v>40</v>
      </c>
      <c r="J1925" s="2" t="s">
        <v>1808</v>
      </c>
      <c r="K1925" t="s">
        <v>42</v>
      </c>
      <c r="L1925" t="s">
        <v>933</v>
      </c>
      <c r="N1925" t="s">
        <v>934</v>
      </c>
      <c r="Q1925">
        <v>30621</v>
      </c>
      <c r="R1925" t="s">
        <v>119</v>
      </c>
      <c r="S1925" t="s">
        <v>8125</v>
      </c>
      <c r="T1925">
        <v>30</v>
      </c>
      <c r="W1925" t="s">
        <v>2127</v>
      </c>
      <c r="X1925">
        <v>838554</v>
      </c>
      <c r="Y1925" t="s">
        <v>301</v>
      </c>
      <c r="Z1925" t="s">
        <v>301</v>
      </c>
      <c r="AA1925" t="s">
        <v>12763</v>
      </c>
      <c r="AB1925" t="s">
        <v>2131</v>
      </c>
      <c r="AG1925" t="s">
        <v>12767</v>
      </c>
      <c r="AH1925" t="s">
        <v>8129</v>
      </c>
      <c r="AI1925" t="s">
        <v>12768</v>
      </c>
    </row>
    <row r="1926" spans="2:35" ht="315">
      <c r="B1926" s="1">
        <v>45758</v>
      </c>
      <c r="C1926" s="1">
        <v>45758</v>
      </c>
      <c r="D1926" t="s">
        <v>2272</v>
      </c>
      <c r="E1926" t="s">
        <v>2282</v>
      </c>
      <c r="F1926" t="s">
        <v>148</v>
      </c>
      <c r="G1926" t="s">
        <v>310</v>
      </c>
      <c r="H1926" t="s">
        <v>2274</v>
      </c>
      <c r="I1926" t="s">
        <v>40</v>
      </c>
      <c r="J1926" s="2" t="s">
        <v>190</v>
      </c>
      <c r="K1926" t="s">
        <v>387</v>
      </c>
      <c r="L1926" t="s">
        <v>1943</v>
      </c>
      <c r="N1926" t="s">
        <v>1944</v>
      </c>
      <c r="Q1926">
        <v>30620</v>
      </c>
      <c r="R1926" t="s">
        <v>95</v>
      </c>
      <c r="S1926" t="s">
        <v>2276</v>
      </c>
      <c r="T1926">
        <v>25</v>
      </c>
      <c r="W1926" t="s">
        <v>390</v>
      </c>
      <c r="X1926" t="s">
        <v>2277</v>
      </c>
      <c r="Y1926" s="2" t="s">
        <v>12769</v>
      </c>
      <c r="Z1926" t="s">
        <v>2100</v>
      </c>
      <c r="AA1926" s="2" t="s">
        <v>2278</v>
      </c>
      <c r="AB1926" t="s">
        <v>12770</v>
      </c>
      <c r="AG1926" t="s">
        <v>12771</v>
      </c>
      <c r="AH1926" t="s">
        <v>12772</v>
      </c>
      <c r="AI1926" t="s">
        <v>12773</v>
      </c>
    </row>
    <row r="1927" spans="2:35" ht="105">
      <c r="B1927" s="1">
        <v>45757</v>
      </c>
      <c r="C1927" s="1">
        <v>45757</v>
      </c>
      <c r="D1927" t="s">
        <v>5306</v>
      </c>
      <c r="E1927" t="s">
        <v>5307</v>
      </c>
      <c r="F1927">
        <v>2</v>
      </c>
      <c r="G1927" t="s">
        <v>2668</v>
      </c>
      <c r="H1927" t="s">
        <v>150</v>
      </c>
      <c r="I1927" t="s">
        <v>40</v>
      </c>
      <c r="J1927" t="s">
        <v>109</v>
      </c>
      <c r="K1927" t="s">
        <v>42</v>
      </c>
      <c r="L1927" t="s">
        <v>63</v>
      </c>
      <c r="N1927" t="s">
        <v>64</v>
      </c>
      <c r="Q1927">
        <v>30619</v>
      </c>
      <c r="R1927" t="s">
        <v>967</v>
      </c>
      <c r="S1927" t="s">
        <v>5308</v>
      </c>
      <c r="T1927">
        <v>29</v>
      </c>
      <c r="U1927" s="2" t="s">
        <v>12774</v>
      </c>
      <c r="W1927" t="s">
        <v>12775</v>
      </c>
      <c r="X1927">
        <v>110023504</v>
      </c>
      <c r="Y1927" t="s">
        <v>2692</v>
      </c>
      <c r="Z1927" t="s">
        <v>10275</v>
      </c>
      <c r="AA1927" s="2" t="s">
        <v>7015</v>
      </c>
      <c r="AB1927" t="s">
        <v>70</v>
      </c>
      <c r="AG1927" t="s">
        <v>12776</v>
      </c>
      <c r="AH1927" t="s">
        <v>10788</v>
      </c>
      <c r="AI1927" t="s">
        <v>12777</v>
      </c>
    </row>
    <row r="1928" spans="2:35">
      <c r="B1928" s="1">
        <v>45757</v>
      </c>
      <c r="C1928" s="1">
        <v>45757</v>
      </c>
      <c r="D1928" t="s">
        <v>5228</v>
      </c>
      <c r="E1928" t="s">
        <v>582</v>
      </c>
      <c r="F1928" t="s">
        <v>148</v>
      </c>
      <c r="G1928" t="s">
        <v>447</v>
      </c>
      <c r="H1928" t="s">
        <v>39</v>
      </c>
      <c r="I1928" t="s">
        <v>40</v>
      </c>
      <c r="J1928" t="s">
        <v>109</v>
      </c>
      <c r="K1928" t="s">
        <v>42</v>
      </c>
      <c r="L1928" t="s">
        <v>175</v>
      </c>
      <c r="N1928" t="s">
        <v>176</v>
      </c>
      <c r="Q1928">
        <v>30618</v>
      </c>
      <c r="R1928" t="s">
        <v>322</v>
      </c>
      <c r="S1928" t="s">
        <v>8157</v>
      </c>
      <c r="T1928">
        <v>25</v>
      </c>
      <c r="W1928" t="s">
        <v>373</v>
      </c>
      <c r="X1928">
        <v>110012766</v>
      </c>
      <c r="Y1928" t="s">
        <v>374</v>
      </c>
      <c r="Z1928" t="s">
        <v>103</v>
      </c>
      <c r="AA1928" t="e">
        <f ca="1">- checked _xludf.and cleaned cartridge bay, plunger rod, _xludf.filter, icore slot
- generated reports
- performed self test</f>
        <v>#NAME?</v>
      </c>
      <c r="AB1928" t="s">
        <v>181</v>
      </c>
      <c r="AG1928" t="s">
        <v>12778</v>
      </c>
      <c r="AH1928" t="s">
        <v>5238</v>
      </c>
      <c r="AI1928" t="s">
        <v>12779</v>
      </c>
    </row>
    <row r="1929" spans="2:35">
      <c r="B1929" s="1">
        <v>45757</v>
      </c>
      <c r="C1929" s="1">
        <v>45757</v>
      </c>
      <c r="D1929" t="s">
        <v>5228</v>
      </c>
      <c r="E1929" t="s">
        <v>582</v>
      </c>
      <c r="F1929" t="s">
        <v>148</v>
      </c>
      <c r="G1929" t="s">
        <v>447</v>
      </c>
      <c r="H1929" t="s">
        <v>12780</v>
      </c>
      <c r="I1929" t="s">
        <v>40</v>
      </c>
      <c r="J1929" t="s">
        <v>109</v>
      </c>
      <c r="K1929" t="s">
        <v>42</v>
      </c>
      <c r="L1929" t="s">
        <v>175</v>
      </c>
      <c r="N1929" t="s">
        <v>176</v>
      </c>
      <c r="Q1929">
        <v>30617</v>
      </c>
      <c r="R1929" t="s">
        <v>967</v>
      </c>
      <c r="S1929" t="s">
        <v>5229</v>
      </c>
      <c r="T1929">
        <v>25</v>
      </c>
      <c r="W1929" t="s">
        <v>373</v>
      </c>
      <c r="X1929">
        <v>110023495</v>
      </c>
      <c r="Y1929" t="s">
        <v>374</v>
      </c>
      <c r="Z1929" t="s">
        <v>103</v>
      </c>
      <c r="AA1929" t="e">
        <f ca="1">- checked _xludf.and cleaned cartridge bay, plunger rod, _xludf.filter, icore slot
- generated reports
- performed self test</f>
        <v>#NAME?</v>
      </c>
      <c r="AB1929" t="s">
        <v>181</v>
      </c>
      <c r="AG1929" t="s">
        <v>12781</v>
      </c>
      <c r="AH1929" t="s">
        <v>5233</v>
      </c>
      <c r="AI1929" t="s">
        <v>12782</v>
      </c>
    </row>
    <row r="1930" spans="2:35" ht="105">
      <c r="B1930" s="1">
        <v>45757</v>
      </c>
      <c r="C1930" s="1">
        <v>45757</v>
      </c>
      <c r="D1930" t="s">
        <v>5563</v>
      </c>
      <c r="E1930" t="s">
        <v>12328</v>
      </c>
      <c r="F1930">
        <v>7</v>
      </c>
      <c r="G1930" t="s">
        <v>432</v>
      </c>
      <c r="H1930" t="s">
        <v>150</v>
      </c>
      <c r="I1930" t="s">
        <v>40</v>
      </c>
      <c r="J1930" t="s">
        <v>109</v>
      </c>
      <c r="K1930" t="s">
        <v>42</v>
      </c>
      <c r="L1930" t="s">
        <v>343</v>
      </c>
      <c r="N1930" t="s">
        <v>344</v>
      </c>
      <c r="Q1930">
        <v>30616</v>
      </c>
      <c r="R1930" t="s">
        <v>119</v>
      </c>
      <c r="S1930" t="s">
        <v>5564</v>
      </c>
      <c r="T1930">
        <v>27</v>
      </c>
      <c r="U1930" s="2" t="s">
        <v>12783</v>
      </c>
      <c r="W1930" t="s">
        <v>1501</v>
      </c>
      <c r="X1930">
        <v>838561</v>
      </c>
      <c r="Y1930" t="s">
        <v>8412</v>
      </c>
      <c r="Z1930" t="s">
        <v>12784</v>
      </c>
      <c r="AA1930" t="e">
        <f ca="1">-Preventive Maintenance</f>
        <v>#NAME?</v>
      </c>
      <c r="AB1930" t="s">
        <v>12785</v>
      </c>
      <c r="AG1930" t="s">
        <v>12786</v>
      </c>
      <c r="AH1930" t="s">
        <v>5567</v>
      </c>
      <c r="AI1930" t="s">
        <v>12787</v>
      </c>
    </row>
    <row r="1931" spans="2:35" ht="105">
      <c r="B1931" s="1">
        <v>45757</v>
      </c>
      <c r="C1931" s="1">
        <v>45757</v>
      </c>
      <c r="D1931" t="s">
        <v>340</v>
      </c>
      <c r="E1931" t="s">
        <v>8872</v>
      </c>
      <c r="F1931">
        <v>8</v>
      </c>
      <c r="G1931" t="s">
        <v>342</v>
      </c>
      <c r="H1931" t="s">
        <v>2290</v>
      </c>
      <c r="I1931" t="s">
        <v>40</v>
      </c>
      <c r="J1931" s="2" t="s">
        <v>1157</v>
      </c>
      <c r="K1931" t="s">
        <v>42</v>
      </c>
      <c r="L1931" t="s">
        <v>259</v>
      </c>
      <c r="N1931" t="s">
        <v>260</v>
      </c>
      <c r="Q1931">
        <v>30615</v>
      </c>
      <c r="R1931" t="s">
        <v>119</v>
      </c>
      <c r="S1931" t="s">
        <v>345</v>
      </c>
      <c r="T1931">
        <v>23</v>
      </c>
      <c r="U1931" s="2" t="s">
        <v>12788</v>
      </c>
      <c r="V1931" s="1">
        <v>45757</v>
      </c>
      <c r="W1931" t="s">
        <v>84</v>
      </c>
      <c r="X1931">
        <v>838555</v>
      </c>
      <c r="Y1931" t="s">
        <v>12789</v>
      </c>
      <c r="Z1931" t="e">
        <f ca="1">- CALIBRATION
- Troubleshooting
- Preventive Maintenance</f>
        <v>#NAME?</v>
      </c>
      <c r="AA1931" t="e">
        <f ca="1">- performed Preventive Maintenance, Troubleshooting
- XpertCheck CALIBRATION on module B4
- Generate reports</f>
        <v>#NAME?</v>
      </c>
      <c r="AB1931" t="s">
        <v>70</v>
      </c>
      <c r="AD1931" t="s">
        <v>12790</v>
      </c>
      <c r="AE1931" t="s">
        <v>119</v>
      </c>
      <c r="AG1931" t="s">
        <v>12791</v>
      </c>
      <c r="AH1931" t="s">
        <v>8455</v>
      </c>
      <c r="AI1931" t="s">
        <v>12792</v>
      </c>
    </row>
    <row r="1932" spans="2:35" ht="210">
      <c r="B1932" s="1">
        <v>45757</v>
      </c>
      <c r="C1932" s="1">
        <v>45757</v>
      </c>
      <c r="D1932" t="s">
        <v>11412</v>
      </c>
      <c r="E1932" t="s">
        <v>12793</v>
      </c>
      <c r="F1932">
        <v>2</v>
      </c>
      <c r="G1932" t="s">
        <v>2668</v>
      </c>
      <c r="H1932" t="s">
        <v>39</v>
      </c>
      <c r="I1932" t="s">
        <v>40</v>
      </c>
      <c r="J1932" s="2" t="s">
        <v>62</v>
      </c>
      <c r="K1932" t="s">
        <v>42</v>
      </c>
      <c r="L1932" t="s">
        <v>63</v>
      </c>
      <c r="N1932" t="s">
        <v>64</v>
      </c>
      <c r="Q1932">
        <v>30614</v>
      </c>
      <c r="R1932" t="s">
        <v>322</v>
      </c>
      <c r="S1932" t="s">
        <v>12794</v>
      </c>
      <c r="T1932">
        <v>29</v>
      </c>
      <c r="V1932" s="1">
        <v>45728</v>
      </c>
      <c r="W1932" t="s">
        <v>12775</v>
      </c>
      <c r="X1932">
        <v>110024248</v>
      </c>
      <c r="Y1932" t="s">
        <v>67</v>
      </c>
      <c r="Z1932" s="2" t="s">
        <v>12795</v>
      </c>
      <c r="AA1932" s="2" t="s">
        <v>2726</v>
      </c>
      <c r="AB1932" t="s">
        <v>70</v>
      </c>
      <c r="AD1932" t="s">
        <v>948</v>
      </c>
      <c r="AE1932">
        <v>12834</v>
      </c>
      <c r="AG1932" t="s">
        <v>12796</v>
      </c>
      <c r="AH1932" t="s">
        <v>12797</v>
      </c>
      <c r="AI1932" t="s">
        <v>12798</v>
      </c>
    </row>
    <row r="1933" spans="2:35" ht="165">
      <c r="B1933" s="1">
        <v>45756</v>
      </c>
      <c r="C1933" s="1">
        <v>45756</v>
      </c>
      <c r="D1933" t="s">
        <v>10876</v>
      </c>
      <c r="E1933" t="s">
        <v>10877</v>
      </c>
      <c r="F1933">
        <v>2</v>
      </c>
      <c r="G1933" t="s">
        <v>10878</v>
      </c>
      <c r="H1933" t="s">
        <v>39</v>
      </c>
      <c r="I1933" t="s">
        <v>40</v>
      </c>
      <c r="J1933" s="2" t="s">
        <v>1592</v>
      </c>
      <c r="K1933" t="s">
        <v>42</v>
      </c>
      <c r="L1933" t="s">
        <v>63</v>
      </c>
      <c r="N1933" t="s">
        <v>64</v>
      </c>
      <c r="Q1933">
        <v>30613</v>
      </c>
      <c r="R1933" t="s">
        <v>119</v>
      </c>
      <c r="S1933" t="s">
        <v>10879</v>
      </c>
      <c r="T1933">
        <v>29</v>
      </c>
      <c r="U1933" s="2" t="s">
        <v>7241</v>
      </c>
      <c r="V1933" s="1">
        <v>45749</v>
      </c>
      <c r="W1933" t="s">
        <v>66</v>
      </c>
      <c r="X1933">
        <v>838469</v>
      </c>
      <c r="Y1933" s="2" t="s">
        <v>12799</v>
      </c>
      <c r="Z1933" s="2" t="s">
        <v>12800</v>
      </c>
      <c r="AA1933" s="2" t="s">
        <v>1727</v>
      </c>
      <c r="AB1933" t="s">
        <v>70</v>
      </c>
      <c r="AD1933" s="2" t="s">
        <v>12801</v>
      </c>
      <c r="AE1933">
        <v>12898</v>
      </c>
      <c r="AG1933" t="s">
        <v>12802</v>
      </c>
      <c r="AH1933" t="s">
        <v>12803</v>
      </c>
      <c r="AI1933" t="s">
        <v>12804</v>
      </c>
    </row>
    <row r="1934" spans="2:35" ht="195">
      <c r="B1934" s="1">
        <v>45755</v>
      </c>
      <c r="C1934" s="1">
        <v>45755</v>
      </c>
      <c r="D1934" t="s">
        <v>2233</v>
      </c>
      <c r="E1934" t="s">
        <v>9633</v>
      </c>
      <c r="F1934">
        <v>7</v>
      </c>
      <c r="G1934" t="s">
        <v>432</v>
      </c>
      <c r="H1934" t="s">
        <v>258</v>
      </c>
      <c r="I1934" t="s">
        <v>40</v>
      </c>
      <c r="J1934" t="s">
        <v>109</v>
      </c>
      <c r="K1934" t="s">
        <v>42</v>
      </c>
      <c r="L1934" t="s">
        <v>594</v>
      </c>
      <c r="N1934" t="s">
        <v>595</v>
      </c>
      <c r="O1934" t="s">
        <v>595</v>
      </c>
      <c r="Q1934">
        <v>30612</v>
      </c>
      <c r="R1934" t="s">
        <v>119</v>
      </c>
      <c r="S1934" t="s">
        <v>9634</v>
      </c>
      <c r="T1934">
        <v>22</v>
      </c>
      <c r="V1934" s="1">
        <v>45755</v>
      </c>
      <c r="W1934" t="s">
        <v>360</v>
      </c>
      <c r="X1934">
        <v>838231</v>
      </c>
      <c r="Y1934" t="s">
        <v>12805</v>
      </c>
      <c r="Z1934" s="2" t="s">
        <v>12806</v>
      </c>
      <c r="AA1934" t="s">
        <v>12807</v>
      </c>
      <c r="AB1934" t="s">
        <v>4253</v>
      </c>
      <c r="AG1934" t="s">
        <v>12808</v>
      </c>
      <c r="AH1934" t="s">
        <v>12809</v>
      </c>
      <c r="AI1934" t="s">
        <v>12810</v>
      </c>
    </row>
    <row r="1935" spans="2:35" ht="409.5">
      <c r="B1935" s="1">
        <v>45755</v>
      </c>
      <c r="C1935" s="1">
        <v>45754</v>
      </c>
      <c r="D1935" t="s">
        <v>9780</v>
      </c>
      <c r="E1935" t="s">
        <v>5914</v>
      </c>
      <c r="F1935" t="s">
        <v>148</v>
      </c>
      <c r="G1935" t="s">
        <v>2007</v>
      </c>
      <c r="H1935" t="s">
        <v>662</v>
      </c>
      <c r="I1935" t="s">
        <v>40</v>
      </c>
      <c r="J1935" t="s">
        <v>525</v>
      </c>
      <c r="K1935" t="s">
        <v>42</v>
      </c>
      <c r="L1935" t="s">
        <v>448</v>
      </c>
      <c r="N1935" t="s">
        <v>450</v>
      </c>
      <c r="Q1935">
        <v>30611</v>
      </c>
      <c r="R1935" t="s">
        <v>95</v>
      </c>
      <c r="S1935" t="s">
        <v>4273</v>
      </c>
      <c r="T1935">
        <v>26</v>
      </c>
      <c r="U1935" s="2" t="s">
        <v>12811</v>
      </c>
      <c r="W1935" t="s">
        <v>12812</v>
      </c>
      <c r="X1935">
        <v>110026448</v>
      </c>
      <c r="Y1935" s="2" t="s">
        <v>12813</v>
      </c>
      <c r="Z1935" s="2" t="s">
        <v>12814</v>
      </c>
      <c r="AA1935" t="s">
        <v>4487</v>
      </c>
      <c r="AB1935" t="s">
        <v>12815</v>
      </c>
      <c r="AG1935" t="s">
        <v>12816</v>
      </c>
      <c r="AH1935" t="s">
        <v>7000</v>
      </c>
      <c r="AI1935" t="s">
        <v>12817</v>
      </c>
    </row>
    <row r="1936" spans="2:35" ht="330">
      <c r="B1936" s="1">
        <v>45755</v>
      </c>
      <c r="C1936" s="1">
        <v>45755</v>
      </c>
      <c r="D1936" t="s">
        <v>12818</v>
      </c>
      <c r="E1936" t="s">
        <v>12819</v>
      </c>
      <c r="F1936">
        <v>7</v>
      </c>
      <c r="G1936" t="s">
        <v>432</v>
      </c>
      <c r="H1936" t="s">
        <v>386</v>
      </c>
      <c r="I1936" t="s">
        <v>40</v>
      </c>
      <c r="J1936" s="2" t="s">
        <v>2170</v>
      </c>
      <c r="K1936" t="s">
        <v>387</v>
      </c>
      <c r="L1936" t="s">
        <v>610</v>
      </c>
      <c r="N1936" t="s">
        <v>611</v>
      </c>
      <c r="Q1936">
        <v>30610</v>
      </c>
      <c r="R1936" t="s">
        <v>95</v>
      </c>
      <c r="S1936" t="s">
        <v>12820</v>
      </c>
      <c r="T1936">
        <v>23</v>
      </c>
      <c r="W1936" t="s">
        <v>436</v>
      </c>
      <c r="X1936" t="s">
        <v>6040</v>
      </c>
      <c r="Y1936" t="s">
        <v>12821</v>
      </c>
      <c r="Z1936" s="2" t="s">
        <v>12822</v>
      </c>
      <c r="AA1936" s="2" t="s">
        <v>12822</v>
      </c>
      <c r="AB1936" t="s">
        <v>88</v>
      </c>
      <c r="AG1936" t="s">
        <v>12823</v>
      </c>
      <c r="AH1936" t="s">
        <v>12824</v>
      </c>
      <c r="AI1936" t="s">
        <v>12825</v>
      </c>
    </row>
    <row r="1937" spans="2:35" ht="105">
      <c r="B1937" s="1">
        <v>45755</v>
      </c>
      <c r="C1937" s="1">
        <v>45755</v>
      </c>
      <c r="D1937" t="s">
        <v>11901</v>
      </c>
      <c r="E1937" t="s">
        <v>11902</v>
      </c>
      <c r="F1937">
        <v>6</v>
      </c>
      <c r="G1937" t="s">
        <v>1234</v>
      </c>
      <c r="H1937" t="s">
        <v>39</v>
      </c>
      <c r="I1937" t="s">
        <v>40</v>
      </c>
      <c r="J1937" t="s">
        <v>109</v>
      </c>
      <c r="K1937" t="s">
        <v>42</v>
      </c>
      <c r="L1937" t="s">
        <v>270</v>
      </c>
      <c r="N1937" t="s">
        <v>2481</v>
      </c>
      <c r="Q1937">
        <v>30609</v>
      </c>
      <c r="R1937" t="s">
        <v>119</v>
      </c>
      <c r="S1937" t="s">
        <v>11903</v>
      </c>
      <c r="T1937">
        <v>25</v>
      </c>
      <c r="U1937" s="2" t="s">
        <v>12826</v>
      </c>
      <c r="W1937" t="s">
        <v>666</v>
      </c>
      <c r="X1937">
        <v>837612</v>
      </c>
      <c r="Y1937" t="s">
        <v>301</v>
      </c>
      <c r="Z1937" t="s">
        <v>12751</v>
      </c>
      <c r="AA1937" t="s">
        <v>3128</v>
      </c>
      <c r="AB1937" t="s">
        <v>4668</v>
      </c>
      <c r="AG1937" t="s">
        <v>12827</v>
      </c>
      <c r="AH1937" t="s">
        <v>11908</v>
      </c>
      <c r="AI1937" t="s">
        <v>12828</v>
      </c>
    </row>
    <row r="1938" spans="2:35" ht="360">
      <c r="B1938" s="1">
        <v>45754</v>
      </c>
      <c r="C1938" s="1">
        <v>45750</v>
      </c>
      <c r="D1938" t="s">
        <v>6844</v>
      </c>
      <c r="E1938" t="s">
        <v>8927</v>
      </c>
      <c r="F1938">
        <v>12</v>
      </c>
      <c r="G1938" t="s">
        <v>294</v>
      </c>
      <c r="H1938" t="s">
        <v>1473</v>
      </c>
      <c r="I1938" t="s">
        <v>40</v>
      </c>
      <c r="J1938" s="2" t="s">
        <v>190</v>
      </c>
      <c r="K1938" t="s">
        <v>42</v>
      </c>
      <c r="L1938" t="s">
        <v>296</v>
      </c>
      <c r="N1938" t="s">
        <v>297</v>
      </c>
      <c r="Q1938">
        <v>30608</v>
      </c>
      <c r="R1938" t="s">
        <v>119</v>
      </c>
      <c r="S1938" t="s">
        <v>6846</v>
      </c>
      <c r="T1938">
        <v>26.8</v>
      </c>
      <c r="U1938" s="2" t="s">
        <v>12829</v>
      </c>
      <c r="W1938" t="s">
        <v>981</v>
      </c>
      <c r="X1938">
        <v>838261</v>
      </c>
      <c r="Y1938" t="s">
        <v>12830</v>
      </c>
      <c r="Z1938" s="2" t="s">
        <v>12831</v>
      </c>
      <c r="AA1938" s="2" t="s">
        <v>12832</v>
      </c>
      <c r="AB1938" t="s">
        <v>12833</v>
      </c>
      <c r="AC1938" t="s">
        <v>12834</v>
      </c>
      <c r="AG1938" t="s">
        <v>12835</v>
      </c>
      <c r="AH1938" t="s">
        <v>12836</v>
      </c>
      <c r="AI1938" t="s">
        <v>12837</v>
      </c>
    </row>
    <row r="1939" spans="2:35" ht="120">
      <c r="B1939" s="1">
        <v>45754</v>
      </c>
      <c r="C1939" s="1">
        <v>45754</v>
      </c>
      <c r="D1939" t="s">
        <v>12838</v>
      </c>
      <c r="E1939" t="s">
        <v>12839</v>
      </c>
      <c r="F1939">
        <v>6</v>
      </c>
      <c r="G1939" t="s">
        <v>1234</v>
      </c>
      <c r="H1939" t="s">
        <v>39</v>
      </c>
      <c r="I1939" t="s">
        <v>40</v>
      </c>
      <c r="J1939" s="2" t="s">
        <v>41</v>
      </c>
      <c r="K1939" t="s">
        <v>42</v>
      </c>
      <c r="L1939" t="s">
        <v>270</v>
      </c>
      <c r="N1939" t="s">
        <v>2481</v>
      </c>
      <c r="Q1939">
        <v>30607</v>
      </c>
      <c r="R1939" t="s">
        <v>119</v>
      </c>
      <c r="S1939" t="s">
        <v>12840</v>
      </c>
      <c r="T1939">
        <v>27</v>
      </c>
      <c r="W1939" t="s">
        <v>666</v>
      </c>
      <c r="X1939">
        <v>838280</v>
      </c>
      <c r="Y1939" s="2" t="s">
        <v>12841</v>
      </c>
      <c r="Z1939" t="s">
        <v>12842</v>
      </c>
      <c r="AA1939" t="e">
        <f ca="1">- cleaned motherboard
- cleaned _xludf.and Reset RAM Card
- Reser _xludf.Power SUPPLY connectors to motherboard
- replaced CMOS battery, adjusted _xludf.Date/_xludf.time settings.</f>
        <v>#NAME?</v>
      </c>
      <c r="AB1939" s="2" t="s">
        <v>12843</v>
      </c>
      <c r="AG1939" t="s">
        <v>12844</v>
      </c>
      <c r="AH1939" t="s">
        <v>12845</v>
      </c>
      <c r="AI1939" t="s">
        <v>12846</v>
      </c>
    </row>
    <row r="1940" spans="2:35" ht="409.5">
      <c r="B1940" s="1">
        <v>45754</v>
      </c>
      <c r="C1940" s="1">
        <v>45751</v>
      </c>
      <c r="D1940" t="s">
        <v>660</v>
      </c>
      <c r="E1940" t="s">
        <v>2569</v>
      </c>
      <c r="F1940" t="s">
        <v>148</v>
      </c>
      <c r="G1940" t="s">
        <v>447</v>
      </c>
      <c r="H1940" t="s">
        <v>662</v>
      </c>
      <c r="I1940" t="s">
        <v>94</v>
      </c>
      <c r="J1940" s="2" t="s">
        <v>62</v>
      </c>
      <c r="K1940" t="s">
        <v>42</v>
      </c>
      <c r="L1940" t="s">
        <v>448</v>
      </c>
      <c r="N1940" t="s">
        <v>650</v>
      </c>
      <c r="O1940" t="s">
        <v>5904</v>
      </c>
      <c r="Q1940">
        <v>30606</v>
      </c>
      <c r="R1940" t="s">
        <v>322</v>
      </c>
      <c r="S1940" t="s">
        <v>3987</v>
      </c>
      <c r="T1940">
        <v>26</v>
      </c>
      <c r="U1940" s="2" t="s">
        <v>12847</v>
      </c>
      <c r="V1940" s="1">
        <v>45751</v>
      </c>
      <c r="W1940" t="s">
        <v>7420</v>
      </c>
      <c r="X1940">
        <v>110014171</v>
      </c>
      <c r="Y1940" s="2" t="s">
        <v>12848</v>
      </c>
      <c r="Z1940" s="2" t="s">
        <v>3071</v>
      </c>
      <c r="AA1940" t="s">
        <v>881</v>
      </c>
      <c r="AB1940" s="2" t="s">
        <v>12849</v>
      </c>
      <c r="AC1940" t="s">
        <v>12850</v>
      </c>
      <c r="AD1940" t="s">
        <v>3628</v>
      </c>
      <c r="AE1940" t="s">
        <v>449</v>
      </c>
      <c r="AG1940" t="s">
        <v>12851</v>
      </c>
      <c r="AH1940" t="s">
        <v>12852</v>
      </c>
      <c r="AI1940" t="s">
        <v>12853</v>
      </c>
    </row>
    <row r="1941" spans="2:35" ht="255">
      <c r="B1941" s="1">
        <v>45754</v>
      </c>
      <c r="C1941" s="1">
        <v>45750</v>
      </c>
      <c r="D1941" t="s">
        <v>2208</v>
      </c>
      <c r="E1941" t="s">
        <v>12854</v>
      </c>
      <c r="F1941" t="s">
        <v>1181</v>
      </c>
      <c r="G1941" t="s">
        <v>1182</v>
      </c>
      <c r="H1941" t="s">
        <v>39</v>
      </c>
      <c r="I1941" t="s">
        <v>40</v>
      </c>
      <c r="J1941" s="2" t="s">
        <v>62</v>
      </c>
      <c r="K1941" t="s">
        <v>42</v>
      </c>
      <c r="L1941" t="s">
        <v>43</v>
      </c>
      <c r="N1941" t="s">
        <v>44</v>
      </c>
      <c r="Q1941">
        <v>30605</v>
      </c>
      <c r="R1941" t="s">
        <v>322</v>
      </c>
      <c r="S1941" t="s">
        <v>2211</v>
      </c>
      <c r="T1941">
        <v>24</v>
      </c>
      <c r="U1941" s="2" t="s">
        <v>12855</v>
      </c>
      <c r="W1941" t="s">
        <v>5136</v>
      </c>
      <c r="X1941">
        <v>110021518</v>
      </c>
      <c r="Y1941" t="s">
        <v>121</v>
      </c>
      <c r="Z1941" t="s">
        <v>1519</v>
      </c>
      <c r="AA1941" s="2" t="s">
        <v>12856</v>
      </c>
      <c r="AB1941" t="s">
        <v>1521</v>
      </c>
      <c r="AG1941" t="s">
        <v>12857</v>
      </c>
      <c r="AH1941" t="s">
        <v>2215</v>
      </c>
      <c r="AI1941" t="s">
        <v>12858</v>
      </c>
    </row>
    <row r="1942" spans="2:35" ht="210">
      <c r="B1942" s="1">
        <v>45754</v>
      </c>
      <c r="C1942" s="1">
        <v>45750</v>
      </c>
      <c r="D1942" t="s">
        <v>2208</v>
      </c>
      <c r="E1942" t="s">
        <v>12859</v>
      </c>
      <c r="F1942" t="s">
        <v>1181</v>
      </c>
      <c r="G1942" t="s">
        <v>1182</v>
      </c>
      <c r="H1942" t="s">
        <v>39</v>
      </c>
      <c r="I1942" t="s">
        <v>40</v>
      </c>
      <c r="J1942" t="s">
        <v>109</v>
      </c>
      <c r="K1942" t="s">
        <v>42</v>
      </c>
      <c r="L1942" t="s">
        <v>43</v>
      </c>
      <c r="N1942" t="s">
        <v>44</v>
      </c>
      <c r="Q1942">
        <v>30603</v>
      </c>
      <c r="R1942" t="s">
        <v>967</v>
      </c>
      <c r="S1942" t="s">
        <v>2211</v>
      </c>
      <c r="T1942">
        <v>24</v>
      </c>
      <c r="U1942" s="2" t="s">
        <v>12860</v>
      </c>
      <c r="W1942" t="s">
        <v>153</v>
      </c>
      <c r="X1942">
        <v>110023510</v>
      </c>
      <c r="Y1942" t="s">
        <v>121</v>
      </c>
      <c r="Z1942" t="s">
        <v>122</v>
      </c>
      <c r="AA1942" s="2" t="s">
        <v>12861</v>
      </c>
      <c r="AB1942" t="s">
        <v>88</v>
      </c>
      <c r="AG1942" t="s">
        <v>12862</v>
      </c>
      <c r="AH1942" t="s">
        <v>2215</v>
      </c>
      <c r="AI1942" t="s">
        <v>12863</v>
      </c>
    </row>
    <row r="1943" spans="2:35" ht="270">
      <c r="B1943" s="1">
        <v>45754</v>
      </c>
      <c r="C1943" s="1">
        <v>45749</v>
      </c>
      <c r="D1943" t="s">
        <v>12864</v>
      </c>
      <c r="E1943" t="s">
        <v>12865</v>
      </c>
      <c r="F1943" t="s">
        <v>1181</v>
      </c>
      <c r="G1943" t="s">
        <v>1182</v>
      </c>
      <c r="H1943" t="s">
        <v>39</v>
      </c>
      <c r="I1943" t="s">
        <v>40</v>
      </c>
      <c r="J1943" s="2" t="s">
        <v>62</v>
      </c>
      <c r="K1943" t="s">
        <v>42</v>
      </c>
      <c r="L1943" t="s">
        <v>43</v>
      </c>
      <c r="N1943" t="s">
        <v>44</v>
      </c>
      <c r="Q1943">
        <v>30604</v>
      </c>
      <c r="R1943" t="s">
        <v>322</v>
      </c>
      <c r="S1943" t="s">
        <v>12866</v>
      </c>
      <c r="T1943">
        <v>22</v>
      </c>
      <c r="U1943" s="2" t="s">
        <v>12867</v>
      </c>
      <c r="W1943" t="s">
        <v>12868</v>
      </c>
      <c r="X1943">
        <v>120002441</v>
      </c>
      <c r="Y1943" t="s">
        <v>1111</v>
      </c>
      <c r="Z1943" t="s">
        <v>1519</v>
      </c>
      <c r="AA1943" s="2" t="s">
        <v>12740</v>
      </c>
      <c r="AB1943" t="s">
        <v>1521</v>
      </c>
      <c r="AG1943" t="s">
        <v>12869</v>
      </c>
      <c r="AH1943" t="s">
        <v>12870</v>
      </c>
      <c r="AI1943" t="s">
        <v>12871</v>
      </c>
    </row>
    <row r="1944" spans="2:35" ht="409.5">
      <c r="B1944" s="1">
        <v>45751</v>
      </c>
      <c r="C1944" s="1">
        <v>45749</v>
      </c>
      <c r="D1944" t="s">
        <v>472</v>
      </c>
      <c r="E1944" t="s">
        <v>473</v>
      </c>
      <c r="F1944" t="s">
        <v>148</v>
      </c>
      <c r="G1944" t="s">
        <v>447</v>
      </c>
      <c r="H1944" t="s">
        <v>4614</v>
      </c>
      <c r="I1944" t="s">
        <v>40</v>
      </c>
      <c r="J1944" t="s">
        <v>79</v>
      </c>
      <c r="K1944" t="s">
        <v>387</v>
      </c>
      <c r="L1944" t="s">
        <v>448</v>
      </c>
      <c r="N1944" t="s">
        <v>450</v>
      </c>
      <c r="Q1944">
        <v>30602</v>
      </c>
      <c r="R1944" t="s">
        <v>322</v>
      </c>
      <c r="S1944" t="s">
        <v>6331</v>
      </c>
      <c r="T1944">
        <v>26</v>
      </c>
      <c r="V1944" s="1">
        <v>45744</v>
      </c>
      <c r="W1944" t="s">
        <v>476</v>
      </c>
      <c r="X1944" t="s">
        <v>12872</v>
      </c>
      <c r="Y1944" t="s">
        <v>12873</v>
      </c>
      <c r="Z1944" s="2" t="s">
        <v>12874</v>
      </c>
      <c r="AA1944" t="s">
        <v>914</v>
      </c>
      <c r="AB1944" t="s">
        <v>486</v>
      </c>
      <c r="AD1944" t="s">
        <v>12875</v>
      </c>
      <c r="AE1944">
        <v>12895</v>
      </c>
      <c r="AG1944" t="s">
        <v>12876</v>
      </c>
      <c r="AH1944" t="s">
        <v>6334</v>
      </c>
      <c r="AI1944" t="s">
        <v>12877</v>
      </c>
    </row>
    <row r="1945" spans="2:35" ht="45">
      <c r="B1945" s="1">
        <v>45751</v>
      </c>
      <c r="C1945" s="1">
        <v>45751</v>
      </c>
      <c r="D1945" t="s">
        <v>4246</v>
      </c>
      <c r="E1945" t="s">
        <v>12878</v>
      </c>
      <c r="F1945" t="s">
        <v>1255</v>
      </c>
      <c r="G1945" t="s">
        <v>3346</v>
      </c>
      <c r="H1945" t="s">
        <v>39</v>
      </c>
      <c r="I1945" t="s">
        <v>40</v>
      </c>
      <c r="J1945" s="2" t="s">
        <v>41</v>
      </c>
      <c r="K1945" t="s">
        <v>42</v>
      </c>
      <c r="L1945" t="s">
        <v>1257</v>
      </c>
      <c r="N1945" t="s">
        <v>1258</v>
      </c>
      <c r="O1945" t="s">
        <v>1258</v>
      </c>
      <c r="Q1945">
        <v>30601</v>
      </c>
      <c r="R1945" t="s">
        <v>119</v>
      </c>
      <c r="S1945" t="s">
        <v>11609</v>
      </c>
      <c r="T1945">
        <v>28</v>
      </c>
      <c r="V1945" s="1">
        <v>45751</v>
      </c>
      <c r="W1945" t="s">
        <v>2384</v>
      </c>
      <c r="X1945">
        <v>838832</v>
      </c>
      <c r="Y1945" t="s">
        <v>12879</v>
      </c>
      <c r="Z1945" t="s">
        <v>12880</v>
      </c>
      <c r="AA1945" t="s">
        <v>12881</v>
      </c>
      <c r="AB1945" t="s">
        <v>3463</v>
      </c>
      <c r="AC1945" t="s">
        <v>301</v>
      </c>
      <c r="AD1945" t="s">
        <v>54</v>
      </c>
      <c r="AE1945" t="s">
        <v>54</v>
      </c>
      <c r="AG1945" t="s">
        <v>12882</v>
      </c>
      <c r="AH1945" t="s">
        <v>12883</v>
      </c>
      <c r="AI1945" t="s">
        <v>12884</v>
      </c>
    </row>
    <row r="1946" spans="2:35" ht="409.5">
      <c r="B1946" s="1">
        <v>45751</v>
      </c>
      <c r="C1946" s="1">
        <v>45751</v>
      </c>
      <c r="D1946" t="s">
        <v>1203</v>
      </c>
      <c r="E1946" t="s">
        <v>12885</v>
      </c>
      <c r="F1946">
        <v>11</v>
      </c>
      <c r="G1946" t="s">
        <v>1205</v>
      </c>
      <c r="H1946" t="s">
        <v>2548</v>
      </c>
      <c r="I1946" t="s">
        <v>40</v>
      </c>
      <c r="J1946" t="s">
        <v>109</v>
      </c>
      <c r="K1946" t="s">
        <v>42</v>
      </c>
      <c r="L1946" t="s">
        <v>204</v>
      </c>
      <c r="N1946" t="s">
        <v>205</v>
      </c>
      <c r="Q1946">
        <v>30600</v>
      </c>
      <c r="R1946" t="s">
        <v>967</v>
      </c>
      <c r="S1946" t="s">
        <v>1206</v>
      </c>
      <c r="T1946">
        <v>26.8</v>
      </c>
      <c r="U1946" s="2" t="s">
        <v>12886</v>
      </c>
      <c r="W1946" t="s">
        <v>2550</v>
      </c>
      <c r="X1946">
        <v>110023505</v>
      </c>
      <c r="Y1946" t="s">
        <v>1052</v>
      </c>
      <c r="Z1946" s="2" t="s">
        <v>1892</v>
      </c>
      <c r="AA1946" t="s">
        <v>2551</v>
      </c>
      <c r="AB1946" t="s">
        <v>1211</v>
      </c>
      <c r="AG1946" t="s">
        <v>12887</v>
      </c>
      <c r="AH1946" t="s">
        <v>12888</v>
      </c>
      <c r="AI1946" t="s">
        <v>12889</v>
      </c>
    </row>
    <row r="1947" spans="2:35" ht="300">
      <c r="B1947" s="1">
        <v>45751</v>
      </c>
      <c r="C1947" s="1">
        <v>45751</v>
      </c>
      <c r="D1947" t="s">
        <v>1203</v>
      </c>
      <c r="E1947" t="s">
        <v>12890</v>
      </c>
      <c r="F1947">
        <v>11</v>
      </c>
      <c r="G1947" t="s">
        <v>1205</v>
      </c>
      <c r="H1947" t="s">
        <v>2548</v>
      </c>
      <c r="I1947" t="s">
        <v>40</v>
      </c>
      <c r="J1947" t="s">
        <v>109</v>
      </c>
      <c r="K1947" t="s">
        <v>42</v>
      </c>
      <c r="L1947" t="s">
        <v>204</v>
      </c>
      <c r="N1947" t="s">
        <v>205</v>
      </c>
      <c r="Q1947">
        <v>30599</v>
      </c>
      <c r="R1947" t="s">
        <v>967</v>
      </c>
      <c r="S1947" t="s">
        <v>1206</v>
      </c>
      <c r="T1947">
        <v>26.8</v>
      </c>
      <c r="U1947" s="2" t="s">
        <v>12891</v>
      </c>
      <c r="W1947" t="s">
        <v>2550</v>
      </c>
      <c r="X1947">
        <v>110023506</v>
      </c>
      <c r="Y1947" t="s">
        <v>1052</v>
      </c>
      <c r="Z1947" s="2" t="s">
        <v>1892</v>
      </c>
      <c r="AA1947" t="s">
        <v>2551</v>
      </c>
      <c r="AB1947" t="s">
        <v>1211</v>
      </c>
      <c r="AG1947" t="s">
        <v>12892</v>
      </c>
      <c r="AH1947" t="s">
        <v>12888</v>
      </c>
      <c r="AI1947" t="s">
        <v>12893</v>
      </c>
    </row>
    <row r="1948" spans="2:35" ht="210">
      <c r="B1948" s="1">
        <v>45750</v>
      </c>
      <c r="C1948" s="1">
        <v>45750</v>
      </c>
      <c r="D1948" t="s">
        <v>4482</v>
      </c>
      <c r="E1948" t="s">
        <v>4483</v>
      </c>
      <c r="F1948">
        <v>13</v>
      </c>
      <c r="G1948" t="s">
        <v>7763</v>
      </c>
      <c r="H1948" t="s">
        <v>61</v>
      </c>
      <c r="I1948" t="s">
        <v>40</v>
      </c>
      <c r="J1948" s="2" t="s">
        <v>1808</v>
      </c>
      <c r="K1948" t="s">
        <v>42</v>
      </c>
      <c r="L1948" t="s">
        <v>933</v>
      </c>
      <c r="N1948" t="s">
        <v>934</v>
      </c>
      <c r="Q1948">
        <v>30598</v>
      </c>
      <c r="R1948" t="s">
        <v>95</v>
      </c>
      <c r="S1948" t="s">
        <v>8025</v>
      </c>
      <c r="T1948">
        <v>23</v>
      </c>
      <c r="W1948" t="s">
        <v>2127</v>
      </c>
      <c r="X1948">
        <v>831292</v>
      </c>
      <c r="Y1948" t="s">
        <v>12894</v>
      </c>
      <c r="Z1948" t="s">
        <v>301</v>
      </c>
      <c r="AA1948" t="s">
        <v>12895</v>
      </c>
      <c r="AB1948" s="2" t="s">
        <v>12896</v>
      </c>
      <c r="AC1948" t="s">
        <v>12897</v>
      </c>
      <c r="AG1948" t="s">
        <v>12898</v>
      </c>
      <c r="AH1948" t="s">
        <v>8030</v>
      </c>
      <c r="AI1948" t="s">
        <v>12899</v>
      </c>
    </row>
    <row r="1949" spans="2:35" ht="390">
      <c r="B1949" s="1">
        <v>45750</v>
      </c>
      <c r="C1949" s="1">
        <v>45750</v>
      </c>
      <c r="D1949" t="s">
        <v>12900</v>
      </c>
      <c r="E1949" t="s">
        <v>12901</v>
      </c>
      <c r="F1949">
        <v>3</v>
      </c>
      <c r="G1949" t="s">
        <v>219</v>
      </c>
      <c r="H1949" t="s">
        <v>513</v>
      </c>
      <c r="I1949" t="s">
        <v>40</v>
      </c>
      <c r="J1949" s="2" t="s">
        <v>760</v>
      </c>
      <c r="K1949" t="s">
        <v>387</v>
      </c>
      <c r="L1949" t="s">
        <v>80</v>
      </c>
      <c r="N1949" t="s">
        <v>81</v>
      </c>
      <c r="O1949" t="s">
        <v>12902</v>
      </c>
      <c r="Q1949">
        <v>30597</v>
      </c>
      <c r="R1949" t="s">
        <v>95</v>
      </c>
      <c r="S1949" t="s">
        <v>12498</v>
      </c>
      <c r="T1949">
        <v>29</v>
      </c>
      <c r="V1949" s="1">
        <v>45750</v>
      </c>
      <c r="W1949" t="s">
        <v>476</v>
      </c>
      <c r="X1949" t="s">
        <v>12499</v>
      </c>
      <c r="Y1949" t="s">
        <v>12903</v>
      </c>
      <c r="Z1949" t="s">
        <v>12904</v>
      </c>
      <c r="AA1949" s="2" t="s">
        <v>12905</v>
      </c>
      <c r="AB1949" t="s">
        <v>88</v>
      </c>
      <c r="AC1949" t="s">
        <v>103</v>
      </c>
      <c r="AD1949" t="s">
        <v>103</v>
      </c>
      <c r="AE1949" t="s">
        <v>103</v>
      </c>
      <c r="AG1949" t="s">
        <v>12906</v>
      </c>
      <c r="AH1949" t="s">
        <v>12907</v>
      </c>
      <c r="AI1949" t="s">
        <v>12908</v>
      </c>
    </row>
    <row r="1950" spans="2:35" ht="105">
      <c r="B1950" s="1">
        <v>45750</v>
      </c>
      <c r="C1950" s="1">
        <v>45750</v>
      </c>
      <c r="D1950" t="s">
        <v>340</v>
      </c>
      <c r="E1950" t="s">
        <v>341</v>
      </c>
      <c r="F1950">
        <v>8</v>
      </c>
      <c r="G1950" t="s">
        <v>342</v>
      </c>
      <c r="H1950" t="s">
        <v>1498</v>
      </c>
      <c r="I1950" t="s">
        <v>40</v>
      </c>
      <c r="J1950" s="2" t="s">
        <v>190</v>
      </c>
      <c r="K1950" t="s">
        <v>42</v>
      </c>
      <c r="L1950" t="s">
        <v>343</v>
      </c>
      <c r="N1950" t="s">
        <v>344</v>
      </c>
      <c r="Q1950">
        <v>30596</v>
      </c>
      <c r="R1950" t="s">
        <v>119</v>
      </c>
      <c r="S1950" t="s">
        <v>345</v>
      </c>
      <c r="T1950">
        <v>26</v>
      </c>
      <c r="U1950" s="2" t="s">
        <v>12909</v>
      </c>
      <c r="W1950" t="s">
        <v>12910</v>
      </c>
      <c r="X1950">
        <v>838555</v>
      </c>
      <c r="Y1950" t="s">
        <v>12911</v>
      </c>
      <c r="Z1950" t="e">
        <f ca="1">-Remove stuck cartridge _xludf.and run XpertCheck on module B4
-PERFORM Preventive Maintenance: FAN _xludf.filter, cartridge bay, plunger rod, optic slot</f>
        <v>#NAME?</v>
      </c>
      <c r="AA1950" t="e">
        <f ca="1">-Preventive Maintenance
-XpertCheck CALIBRATION</f>
        <v>#NAME?</v>
      </c>
      <c r="AB1950" t="s">
        <v>12912</v>
      </c>
      <c r="AG1950" t="s">
        <v>12913</v>
      </c>
      <c r="AH1950" t="s">
        <v>350</v>
      </c>
      <c r="AI1950" t="s">
        <v>12914</v>
      </c>
    </row>
    <row r="1951" spans="2:35" ht="390">
      <c r="B1951" s="1">
        <v>45749</v>
      </c>
      <c r="C1951" s="1">
        <v>45749</v>
      </c>
      <c r="D1951" t="s">
        <v>7743</v>
      </c>
      <c r="E1951" t="s">
        <v>12915</v>
      </c>
      <c r="F1951">
        <v>11</v>
      </c>
      <c r="G1951" t="s">
        <v>1205</v>
      </c>
      <c r="H1951" t="s">
        <v>202</v>
      </c>
      <c r="I1951" t="s">
        <v>40</v>
      </c>
      <c r="J1951" s="2" t="s">
        <v>609</v>
      </c>
      <c r="K1951" t="s">
        <v>42</v>
      </c>
      <c r="L1951" t="s">
        <v>204</v>
      </c>
      <c r="N1951" t="s">
        <v>205</v>
      </c>
      <c r="Q1951">
        <v>30595</v>
      </c>
      <c r="R1951" t="s">
        <v>119</v>
      </c>
      <c r="S1951" t="s">
        <v>7745</v>
      </c>
      <c r="T1951">
        <v>26.8</v>
      </c>
      <c r="U1951" s="2" t="s">
        <v>12916</v>
      </c>
      <c r="W1951" t="s">
        <v>208</v>
      </c>
      <c r="X1951">
        <v>838492</v>
      </c>
      <c r="Y1951" t="s">
        <v>12917</v>
      </c>
      <c r="Z1951" s="2" t="s">
        <v>12918</v>
      </c>
      <c r="AA1951" t="s">
        <v>12919</v>
      </c>
      <c r="AB1951" t="s">
        <v>12920</v>
      </c>
      <c r="AC1951" t="s">
        <v>12921</v>
      </c>
      <c r="AG1951" t="s">
        <v>12922</v>
      </c>
      <c r="AH1951" t="s">
        <v>7749</v>
      </c>
      <c r="AI1951" t="s">
        <v>12923</v>
      </c>
    </row>
    <row r="1952" spans="2:35">
      <c r="B1952" s="1">
        <v>45749</v>
      </c>
      <c r="C1952" s="1">
        <v>45749</v>
      </c>
      <c r="D1952" t="s">
        <v>1496</v>
      </c>
      <c r="E1952" t="s">
        <v>1497</v>
      </c>
      <c r="F1952">
        <v>8</v>
      </c>
      <c r="G1952" t="s">
        <v>342</v>
      </c>
      <c r="H1952" t="s">
        <v>1498</v>
      </c>
      <c r="I1952" t="s">
        <v>40</v>
      </c>
      <c r="J1952" t="s">
        <v>109</v>
      </c>
      <c r="K1952" t="s">
        <v>42</v>
      </c>
      <c r="L1952" t="s">
        <v>343</v>
      </c>
      <c r="N1952" t="s">
        <v>344</v>
      </c>
      <c r="Q1952">
        <v>30594</v>
      </c>
      <c r="R1952" t="s">
        <v>119</v>
      </c>
      <c r="S1952" t="s">
        <v>7820</v>
      </c>
      <c r="T1952">
        <v>28</v>
      </c>
      <c r="W1952" t="s">
        <v>1501</v>
      </c>
      <c r="X1952">
        <v>838297</v>
      </c>
      <c r="Y1952" t="s">
        <v>7415</v>
      </c>
      <c r="Z1952" t="s">
        <v>12924</v>
      </c>
      <c r="AA1952" t="s">
        <v>3128</v>
      </c>
      <c r="AB1952" t="s">
        <v>1467</v>
      </c>
      <c r="AG1952" t="s">
        <v>12925</v>
      </c>
      <c r="AH1952" t="s">
        <v>12926</v>
      </c>
      <c r="AI1952" t="s">
        <v>12927</v>
      </c>
    </row>
    <row r="1953" spans="2:35">
      <c r="B1953" s="1">
        <v>45749</v>
      </c>
      <c r="C1953" s="1">
        <v>45749</v>
      </c>
      <c r="D1953" t="s">
        <v>3139</v>
      </c>
      <c r="E1953" t="s">
        <v>3140</v>
      </c>
      <c r="F1953">
        <v>3</v>
      </c>
      <c r="G1953" t="s">
        <v>174</v>
      </c>
      <c r="H1953" t="s">
        <v>39</v>
      </c>
      <c r="I1953" t="s">
        <v>40</v>
      </c>
      <c r="J1953" t="s">
        <v>109</v>
      </c>
      <c r="K1953" t="s">
        <v>42</v>
      </c>
      <c r="L1953" t="s">
        <v>175</v>
      </c>
      <c r="N1953" t="s">
        <v>176</v>
      </c>
      <c r="Q1953">
        <v>30593</v>
      </c>
      <c r="R1953" t="s">
        <v>967</v>
      </c>
      <c r="S1953" t="s">
        <v>3141</v>
      </c>
      <c r="T1953">
        <v>25</v>
      </c>
      <c r="W1953" t="s">
        <v>373</v>
      </c>
      <c r="X1953">
        <v>110023507</v>
      </c>
      <c r="Y1953" t="s">
        <v>374</v>
      </c>
      <c r="Z1953" t="s">
        <v>103</v>
      </c>
      <c r="AA1953" t="e">
        <f ca="1">- checked _xludf.and cleaned cartridge bay, plunger rod, _xludf.filter, icore slot
- generated reports
- performed self test</f>
        <v>#NAME?</v>
      </c>
      <c r="AB1953" t="s">
        <v>181</v>
      </c>
      <c r="AG1953" t="s">
        <v>12928</v>
      </c>
      <c r="AH1953" t="s">
        <v>3145</v>
      </c>
      <c r="AI1953" t="s">
        <v>12929</v>
      </c>
    </row>
    <row r="1954" spans="2:35" ht="105">
      <c r="B1954" s="1">
        <v>45749</v>
      </c>
      <c r="C1954" s="1">
        <v>45749</v>
      </c>
      <c r="D1954" t="s">
        <v>7471</v>
      </c>
      <c r="E1954" t="s">
        <v>12930</v>
      </c>
      <c r="F1954">
        <v>8</v>
      </c>
      <c r="G1954" t="s">
        <v>342</v>
      </c>
      <c r="H1954" t="s">
        <v>258</v>
      </c>
      <c r="I1954" t="s">
        <v>40</v>
      </c>
      <c r="J1954" t="s">
        <v>109</v>
      </c>
      <c r="K1954" t="s">
        <v>42</v>
      </c>
      <c r="L1954" t="s">
        <v>259</v>
      </c>
      <c r="N1954" t="s">
        <v>260</v>
      </c>
      <c r="Q1954">
        <v>30592</v>
      </c>
      <c r="R1954" t="s">
        <v>119</v>
      </c>
      <c r="S1954" t="s">
        <v>7473</v>
      </c>
      <c r="T1954">
        <v>24</v>
      </c>
      <c r="U1954" s="2" t="s">
        <v>12931</v>
      </c>
      <c r="V1954" s="1">
        <v>45749</v>
      </c>
      <c r="W1954" t="s">
        <v>84</v>
      </c>
      <c r="X1954">
        <v>838421</v>
      </c>
      <c r="Y1954" t="s">
        <v>1716</v>
      </c>
      <c r="Z1954" t="s">
        <v>1716</v>
      </c>
      <c r="AA1954" t="s">
        <v>9869</v>
      </c>
      <c r="AB1954" t="s">
        <v>7675</v>
      </c>
      <c r="AG1954" t="s">
        <v>12932</v>
      </c>
      <c r="AH1954" t="s">
        <v>9129</v>
      </c>
      <c r="AI1954" t="s">
        <v>12933</v>
      </c>
    </row>
    <row r="1955" spans="2:35" ht="285">
      <c r="B1955" s="1">
        <v>45748</v>
      </c>
      <c r="C1955" s="1">
        <v>45743</v>
      </c>
      <c r="D1955" t="s">
        <v>2364</v>
      </c>
      <c r="E1955" t="s">
        <v>12934</v>
      </c>
      <c r="F1955">
        <v>12</v>
      </c>
      <c r="G1955" t="s">
        <v>978</v>
      </c>
      <c r="H1955" t="s">
        <v>1473</v>
      </c>
      <c r="I1955" t="s">
        <v>40</v>
      </c>
      <c r="J1955" t="s">
        <v>109</v>
      </c>
      <c r="K1955" t="s">
        <v>42</v>
      </c>
      <c r="L1955" t="s">
        <v>296</v>
      </c>
      <c r="N1955" t="s">
        <v>297</v>
      </c>
      <c r="Q1955">
        <v>30590</v>
      </c>
      <c r="R1955" t="s">
        <v>119</v>
      </c>
      <c r="S1955" t="s">
        <v>7484</v>
      </c>
      <c r="T1955">
        <v>28.6</v>
      </c>
      <c r="U1955" s="2" t="s">
        <v>7841</v>
      </c>
      <c r="W1955" t="s">
        <v>981</v>
      </c>
      <c r="X1955">
        <v>838570</v>
      </c>
      <c r="Y1955" t="s">
        <v>301</v>
      </c>
      <c r="Z1955" s="2" t="s">
        <v>12935</v>
      </c>
      <c r="AA1955" t="s">
        <v>303</v>
      </c>
      <c r="AB1955" t="s">
        <v>7205</v>
      </c>
      <c r="AG1955" t="s">
        <v>12936</v>
      </c>
      <c r="AH1955" t="s">
        <v>12937</v>
      </c>
      <c r="AI1955" t="s">
        <v>12938</v>
      </c>
    </row>
    <row r="1956" spans="2:35" ht="225">
      <c r="B1956" s="1">
        <v>45748</v>
      </c>
      <c r="C1956" s="1">
        <v>45741</v>
      </c>
      <c r="D1956" t="s">
        <v>976</v>
      </c>
      <c r="E1956" t="s">
        <v>977</v>
      </c>
      <c r="F1956">
        <v>12</v>
      </c>
      <c r="G1956" t="s">
        <v>978</v>
      </c>
      <c r="H1956" t="s">
        <v>1473</v>
      </c>
      <c r="I1956" t="s">
        <v>40</v>
      </c>
      <c r="J1956" t="s">
        <v>109</v>
      </c>
      <c r="K1956" t="s">
        <v>42</v>
      </c>
      <c r="L1956" t="s">
        <v>296</v>
      </c>
      <c r="N1956" t="s">
        <v>297</v>
      </c>
      <c r="Q1956">
        <v>30591</v>
      </c>
      <c r="R1956" t="s">
        <v>119</v>
      </c>
      <c r="S1956" t="s">
        <v>979</v>
      </c>
      <c r="T1956">
        <v>21.8</v>
      </c>
      <c r="U1956" s="2" t="s">
        <v>12939</v>
      </c>
      <c r="W1956" t="s">
        <v>981</v>
      </c>
      <c r="X1956">
        <v>838543</v>
      </c>
      <c r="Y1956" t="s">
        <v>301</v>
      </c>
      <c r="Z1956" s="2" t="s">
        <v>12940</v>
      </c>
      <c r="AA1956" t="s">
        <v>303</v>
      </c>
      <c r="AB1956" t="s">
        <v>7205</v>
      </c>
      <c r="AG1956" t="s">
        <v>12941</v>
      </c>
      <c r="AH1956" t="s">
        <v>12942</v>
      </c>
      <c r="AI1956" t="s">
        <v>12943</v>
      </c>
    </row>
    <row r="1957" spans="2:35" ht="75">
      <c r="B1957" s="1">
        <v>45748</v>
      </c>
      <c r="C1957" s="1">
        <v>45742</v>
      </c>
      <c r="D1957" t="s">
        <v>12944</v>
      </c>
      <c r="E1957" t="s">
        <v>4655</v>
      </c>
      <c r="F1957">
        <v>10</v>
      </c>
      <c r="G1957" t="s">
        <v>1395</v>
      </c>
      <c r="H1957" t="s">
        <v>39</v>
      </c>
      <c r="I1957" t="s">
        <v>40</v>
      </c>
      <c r="J1957" s="2" t="s">
        <v>190</v>
      </c>
      <c r="K1957" t="s">
        <v>42</v>
      </c>
      <c r="L1957" t="s">
        <v>933</v>
      </c>
      <c r="N1957" t="s">
        <v>934</v>
      </c>
      <c r="Q1957">
        <v>30589</v>
      </c>
      <c r="R1957" t="s">
        <v>119</v>
      </c>
      <c r="S1957" t="s">
        <v>10835</v>
      </c>
      <c r="T1957">
        <v>27</v>
      </c>
      <c r="W1957" t="s">
        <v>11731</v>
      </c>
      <c r="X1957">
        <v>838441</v>
      </c>
      <c r="Y1957" t="s">
        <v>12945</v>
      </c>
      <c r="Z1957" t="s">
        <v>12946</v>
      </c>
      <c r="AA1957" t="s">
        <v>12947</v>
      </c>
      <c r="AB1957" t="s">
        <v>12948</v>
      </c>
      <c r="AG1957" t="s">
        <v>12949</v>
      </c>
      <c r="AH1957" t="s">
        <v>12950</v>
      </c>
      <c r="AI1957" t="s">
        <v>12951</v>
      </c>
    </row>
    <row r="1958" spans="2:35">
      <c r="B1958" s="1">
        <v>45748</v>
      </c>
      <c r="C1958" s="1">
        <v>45742</v>
      </c>
      <c r="D1958" t="s">
        <v>12952</v>
      </c>
      <c r="E1958" t="s">
        <v>4655</v>
      </c>
      <c r="F1958">
        <v>10</v>
      </c>
      <c r="G1958" t="s">
        <v>1395</v>
      </c>
      <c r="H1958" t="s">
        <v>2138</v>
      </c>
      <c r="I1958" t="s">
        <v>40</v>
      </c>
      <c r="J1958" t="s">
        <v>525</v>
      </c>
      <c r="K1958" t="s">
        <v>387</v>
      </c>
      <c r="L1958" t="s">
        <v>933</v>
      </c>
      <c r="N1958" t="s">
        <v>934</v>
      </c>
      <c r="Q1958">
        <v>30588</v>
      </c>
      <c r="R1958" t="s">
        <v>95</v>
      </c>
      <c r="S1958" t="s">
        <v>12953</v>
      </c>
      <c r="T1958">
        <v>26</v>
      </c>
      <c r="W1958" t="s">
        <v>390</v>
      </c>
      <c r="X1958" t="s">
        <v>4573</v>
      </c>
      <c r="Y1958" t="s">
        <v>301</v>
      </c>
      <c r="Z1958" t="s">
        <v>301</v>
      </c>
      <c r="AA1958" t="s">
        <v>12954</v>
      </c>
      <c r="AB1958" t="s">
        <v>12955</v>
      </c>
      <c r="AG1958" t="s">
        <v>12956</v>
      </c>
      <c r="AH1958" t="s">
        <v>12957</v>
      </c>
      <c r="AI1958" t="s">
        <v>12958</v>
      </c>
    </row>
    <row r="1959" spans="2:35" ht="180">
      <c r="B1959" s="1">
        <v>45748</v>
      </c>
      <c r="C1959" s="1">
        <v>45748</v>
      </c>
      <c r="D1959" t="s">
        <v>146</v>
      </c>
      <c r="E1959" t="s">
        <v>12959</v>
      </c>
      <c r="F1959" t="s">
        <v>148</v>
      </c>
      <c r="G1959" t="s">
        <v>149</v>
      </c>
      <c r="H1959" t="s">
        <v>513</v>
      </c>
      <c r="I1959" t="s">
        <v>40</v>
      </c>
      <c r="J1959" s="2" t="s">
        <v>760</v>
      </c>
      <c r="K1959" t="s">
        <v>387</v>
      </c>
      <c r="L1959" t="s">
        <v>80</v>
      </c>
      <c r="N1959" t="s">
        <v>81</v>
      </c>
      <c r="Q1959">
        <v>30587</v>
      </c>
      <c r="R1959" t="s">
        <v>95</v>
      </c>
      <c r="S1959" t="s">
        <v>12960</v>
      </c>
      <c r="T1959">
        <v>28</v>
      </c>
      <c r="V1959" s="1">
        <v>45748</v>
      </c>
      <c r="W1959" t="s">
        <v>390</v>
      </c>
      <c r="X1959" t="s">
        <v>391</v>
      </c>
      <c r="Y1959" t="s">
        <v>12961</v>
      </c>
      <c r="Z1959" s="2" t="s">
        <v>12962</v>
      </c>
      <c r="AA1959" s="2" t="s">
        <v>12963</v>
      </c>
      <c r="AB1959" t="s">
        <v>12964</v>
      </c>
      <c r="AC1959" t="s">
        <v>103</v>
      </c>
      <c r="AD1959" t="s">
        <v>103</v>
      </c>
      <c r="AE1959" t="s">
        <v>103</v>
      </c>
      <c r="AG1959" t="s">
        <v>12965</v>
      </c>
      <c r="AH1959" t="s">
        <v>12966</v>
      </c>
      <c r="AI1959" t="s">
        <v>12967</v>
      </c>
    </row>
    <row r="1960" spans="2:35" ht="240">
      <c r="B1960" s="1">
        <v>45748</v>
      </c>
      <c r="C1960" s="1">
        <v>45743</v>
      </c>
      <c r="D1960" t="s">
        <v>4765</v>
      </c>
      <c r="E1960" t="s">
        <v>12968</v>
      </c>
      <c r="F1960" t="s">
        <v>148</v>
      </c>
      <c r="G1960" t="s">
        <v>785</v>
      </c>
      <c r="H1960" t="s">
        <v>39</v>
      </c>
      <c r="I1960" t="s">
        <v>40</v>
      </c>
      <c r="J1960" s="2" t="s">
        <v>190</v>
      </c>
      <c r="K1960" t="s">
        <v>42</v>
      </c>
      <c r="L1960" t="s">
        <v>43</v>
      </c>
      <c r="N1960" t="s">
        <v>44</v>
      </c>
      <c r="Q1960">
        <v>30586</v>
      </c>
      <c r="R1960" t="s">
        <v>322</v>
      </c>
      <c r="S1960" t="s">
        <v>4704</v>
      </c>
      <c r="T1960">
        <v>26</v>
      </c>
      <c r="U1960" s="2" t="s">
        <v>12969</v>
      </c>
      <c r="W1960" t="s">
        <v>153</v>
      </c>
      <c r="X1960">
        <v>110024245</v>
      </c>
      <c r="Y1960" t="s">
        <v>12970</v>
      </c>
      <c r="Z1960" t="s">
        <v>122</v>
      </c>
      <c r="AA1960" s="2" t="s">
        <v>12971</v>
      </c>
      <c r="AB1960" t="s">
        <v>12972</v>
      </c>
      <c r="AG1960" t="s">
        <v>12973</v>
      </c>
      <c r="AH1960" t="s">
        <v>4773</v>
      </c>
      <c r="AI1960" t="s">
        <v>12974</v>
      </c>
    </row>
    <row r="1961" spans="2:35">
      <c r="B1961" s="1">
        <v>45747</v>
      </c>
      <c r="C1961" s="1">
        <v>45742</v>
      </c>
      <c r="D1961" t="s">
        <v>4246</v>
      </c>
      <c r="E1961" t="s">
        <v>12975</v>
      </c>
      <c r="F1961" t="s">
        <v>1255</v>
      </c>
      <c r="G1961" t="s">
        <v>3346</v>
      </c>
      <c r="H1961" t="s">
        <v>39</v>
      </c>
      <c r="I1961" t="s">
        <v>40</v>
      </c>
      <c r="J1961" t="s">
        <v>525</v>
      </c>
      <c r="K1961" t="s">
        <v>42</v>
      </c>
      <c r="L1961" t="s">
        <v>1257</v>
      </c>
      <c r="N1961" t="s">
        <v>1258</v>
      </c>
      <c r="O1961" t="s">
        <v>1258</v>
      </c>
      <c r="Q1961">
        <v>30585</v>
      </c>
      <c r="R1961" t="s">
        <v>119</v>
      </c>
      <c r="S1961" t="s">
        <v>11334</v>
      </c>
      <c r="T1961">
        <v>25</v>
      </c>
      <c r="V1961" s="1">
        <v>45742</v>
      </c>
      <c r="W1961" t="s">
        <v>2384</v>
      </c>
      <c r="X1961">
        <v>838832</v>
      </c>
      <c r="Y1961" t="s">
        <v>12976</v>
      </c>
      <c r="Z1961" t="s">
        <v>12977</v>
      </c>
      <c r="AA1961" t="s">
        <v>12978</v>
      </c>
      <c r="AB1961" t="s">
        <v>12979</v>
      </c>
      <c r="AC1961" t="s">
        <v>301</v>
      </c>
      <c r="AD1961" t="s">
        <v>54</v>
      </c>
      <c r="AE1961" t="s">
        <v>54</v>
      </c>
      <c r="AG1961" t="s">
        <v>12980</v>
      </c>
      <c r="AH1961" t="s">
        <v>12981</v>
      </c>
      <c r="AI1961" t="s">
        <v>12982</v>
      </c>
    </row>
    <row r="1962" spans="2:35" ht="210">
      <c r="B1962" s="1">
        <v>45747</v>
      </c>
      <c r="C1962" s="1">
        <v>45747</v>
      </c>
      <c r="D1962" t="s">
        <v>12983</v>
      </c>
      <c r="E1962" t="s">
        <v>12984</v>
      </c>
      <c r="F1962">
        <v>7</v>
      </c>
      <c r="G1962" t="s">
        <v>6529</v>
      </c>
      <c r="H1962" t="s">
        <v>39</v>
      </c>
      <c r="I1962" t="s">
        <v>40</v>
      </c>
      <c r="J1962" s="2" t="s">
        <v>355</v>
      </c>
      <c r="K1962" t="s">
        <v>42</v>
      </c>
      <c r="L1962" t="s">
        <v>433</v>
      </c>
      <c r="N1962" t="s">
        <v>434</v>
      </c>
      <c r="Q1962">
        <v>30584</v>
      </c>
      <c r="R1962" t="s">
        <v>119</v>
      </c>
      <c r="S1962" t="s">
        <v>12985</v>
      </c>
      <c r="T1962">
        <v>27</v>
      </c>
      <c r="W1962" t="s">
        <v>502</v>
      </c>
      <c r="X1962">
        <v>838394</v>
      </c>
      <c r="Y1962" t="s">
        <v>7765</v>
      </c>
      <c r="Z1962" s="2" t="s">
        <v>12986</v>
      </c>
      <c r="AA1962" t="s">
        <v>12987</v>
      </c>
      <c r="AB1962" t="s">
        <v>7765</v>
      </c>
      <c r="AG1962" t="s">
        <v>12988</v>
      </c>
      <c r="AH1962" t="s">
        <v>12989</v>
      </c>
      <c r="AI1962" t="s">
        <v>12990</v>
      </c>
    </row>
    <row r="1963" spans="2:35" ht="225">
      <c r="B1963" s="1">
        <v>45747</v>
      </c>
      <c r="C1963" s="1">
        <v>45747</v>
      </c>
      <c r="D1963" t="s">
        <v>10354</v>
      </c>
      <c r="E1963" t="s">
        <v>12991</v>
      </c>
      <c r="F1963">
        <v>7</v>
      </c>
      <c r="G1963" t="s">
        <v>432</v>
      </c>
      <c r="H1963" t="s">
        <v>39</v>
      </c>
      <c r="I1963" t="s">
        <v>40</v>
      </c>
      <c r="J1963" s="2" t="s">
        <v>1370</v>
      </c>
      <c r="K1963" t="s">
        <v>42</v>
      </c>
      <c r="L1963" t="s">
        <v>433</v>
      </c>
      <c r="N1963" t="s">
        <v>434</v>
      </c>
      <c r="Q1963">
        <v>30583</v>
      </c>
      <c r="R1963" t="s">
        <v>119</v>
      </c>
      <c r="S1963" t="s">
        <v>12992</v>
      </c>
      <c r="T1963">
        <v>26</v>
      </c>
      <c r="W1963" t="s">
        <v>502</v>
      </c>
      <c r="X1963">
        <v>838494</v>
      </c>
      <c r="Y1963" t="s">
        <v>12993</v>
      </c>
      <c r="Z1963" s="2" t="s">
        <v>12994</v>
      </c>
      <c r="AA1963" s="2" t="s">
        <v>12994</v>
      </c>
      <c r="AB1963" t="s">
        <v>1011</v>
      </c>
      <c r="AG1963" t="s">
        <v>12995</v>
      </c>
      <c r="AH1963" t="s">
        <v>12996</v>
      </c>
      <c r="AI1963" t="s">
        <v>12997</v>
      </c>
    </row>
    <row r="1964" spans="2:35" ht="90">
      <c r="B1964" s="1">
        <v>45747</v>
      </c>
      <c r="C1964" s="1">
        <v>45744</v>
      </c>
      <c r="D1964" t="s">
        <v>7593</v>
      </c>
      <c r="E1964" t="s">
        <v>7594</v>
      </c>
      <c r="F1964">
        <v>1</v>
      </c>
      <c r="G1964" t="s">
        <v>1909</v>
      </c>
      <c r="H1964" t="s">
        <v>39</v>
      </c>
      <c r="I1964" t="s">
        <v>40</v>
      </c>
      <c r="J1964" t="s">
        <v>525</v>
      </c>
      <c r="K1964" t="s">
        <v>42</v>
      </c>
      <c r="L1964" t="s">
        <v>1048</v>
      </c>
      <c r="N1964" t="s">
        <v>1049</v>
      </c>
      <c r="Q1964">
        <v>30582</v>
      </c>
      <c r="R1964" t="s">
        <v>119</v>
      </c>
      <c r="S1964" t="s">
        <v>7595</v>
      </c>
      <c r="T1964">
        <v>25</v>
      </c>
      <c r="W1964" t="s">
        <v>1051</v>
      </c>
      <c r="X1964">
        <v>838426</v>
      </c>
      <c r="Y1964" t="s">
        <v>12998</v>
      </c>
      <c r="Z1964" t="e">
        <f ca="1">- checked Connections
- checked AVR OUTPUT voltage
- checked UPS Fuse</f>
        <v>#NAME?</v>
      </c>
      <c r="AA1964" t="s">
        <v>1935</v>
      </c>
      <c r="AB1964" s="2" t="s">
        <v>12999</v>
      </c>
      <c r="AG1964" t="s">
        <v>13000</v>
      </c>
      <c r="AH1964" t="s">
        <v>10444</v>
      </c>
      <c r="AI1964" t="s">
        <v>13001</v>
      </c>
    </row>
    <row r="1965" spans="2:35">
      <c r="B1965" s="1">
        <v>45747</v>
      </c>
      <c r="C1965" s="1">
        <v>45744</v>
      </c>
      <c r="D1965" t="s">
        <v>1907</v>
      </c>
      <c r="E1965" t="s">
        <v>13002</v>
      </c>
      <c r="F1965">
        <v>1</v>
      </c>
      <c r="G1965" t="s">
        <v>1909</v>
      </c>
      <c r="H1965" t="s">
        <v>39</v>
      </c>
      <c r="I1965" t="s">
        <v>40</v>
      </c>
      <c r="J1965" t="s">
        <v>109</v>
      </c>
      <c r="K1965" t="s">
        <v>42</v>
      </c>
      <c r="L1965" t="s">
        <v>1048</v>
      </c>
      <c r="N1965" t="s">
        <v>1049</v>
      </c>
      <c r="Q1965">
        <v>30581</v>
      </c>
      <c r="R1965" t="s">
        <v>322</v>
      </c>
      <c r="S1965" t="s">
        <v>6928</v>
      </c>
      <c r="T1965">
        <v>26</v>
      </c>
      <c r="W1965" t="s">
        <v>1051</v>
      </c>
      <c r="X1965">
        <v>120003504</v>
      </c>
      <c r="Y1965" t="s">
        <v>1052</v>
      </c>
      <c r="Z1965" t="e">
        <f ca="1">- cleaned cartridge Bays, plunger Rods _xludf.and I-CORE
- generated reports</f>
        <v>#NAME?</v>
      </c>
      <c r="AA1965" t="s">
        <v>820</v>
      </c>
      <c r="AB1965" t="s">
        <v>1428</v>
      </c>
      <c r="AG1965" t="s">
        <v>13003</v>
      </c>
      <c r="AH1965" t="s">
        <v>13004</v>
      </c>
      <c r="AI1965" t="s">
        <v>13005</v>
      </c>
    </row>
    <row r="1966" spans="2:35">
      <c r="B1966" s="1">
        <v>45747</v>
      </c>
      <c r="C1966" s="1">
        <v>45742</v>
      </c>
      <c r="D1966" t="s">
        <v>3738</v>
      </c>
      <c r="E1966" t="s">
        <v>3739</v>
      </c>
      <c r="F1966">
        <v>1</v>
      </c>
      <c r="G1966" t="s">
        <v>1046</v>
      </c>
      <c r="H1966" t="s">
        <v>39</v>
      </c>
      <c r="I1966" t="s">
        <v>40</v>
      </c>
      <c r="J1966" t="s">
        <v>109</v>
      </c>
      <c r="K1966" t="s">
        <v>42</v>
      </c>
      <c r="L1966" t="s">
        <v>1048</v>
      </c>
      <c r="N1966" t="s">
        <v>1049</v>
      </c>
      <c r="Q1966">
        <v>30580</v>
      </c>
      <c r="R1966" t="s">
        <v>119</v>
      </c>
      <c r="S1966" t="s">
        <v>3740</v>
      </c>
      <c r="T1966">
        <v>30</v>
      </c>
      <c r="W1966" t="s">
        <v>1051</v>
      </c>
      <c r="X1966">
        <v>838438</v>
      </c>
      <c r="Y1966" t="s">
        <v>1052</v>
      </c>
      <c r="Z1966" t="e">
        <f ca="1">- cleaned cartridge Bays, plunger Rods _xludf.and I-CORE
- generated reports</f>
        <v>#NAME?</v>
      </c>
      <c r="AA1966" t="s">
        <v>820</v>
      </c>
      <c r="AB1966" t="s">
        <v>1428</v>
      </c>
      <c r="AG1966" t="s">
        <v>13006</v>
      </c>
      <c r="AH1966" t="s">
        <v>3742</v>
      </c>
      <c r="AI1966" t="s">
        <v>13007</v>
      </c>
    </row>
    <row r="1967" spans="2:35">
      <c r="B1967" s="1">
        <v>45747</v>
      </c>
      <c r="C1967" s="1">
        <v>45742</v>
      </c>
      <c r="D1967" t="s">
        <v>1057</v>
      </c>
      <c r="E1967" t="s">
        <v>1058</v>
      </c>
      <c r="F1967">
        <v>1</v>
      </c>
      <c r="G1967" t="s">
        <v>1046</v>
      </c>
      <c r="H1967" t="s">
        <v>39</v>
      </c>
      <c r="I1967" t="s">
        <v>40</v>
      </c>
      <c r="J1967" t="s">
        <v>109</v>
      </c>
      <c r="K1967" t="s">
        <v>42</v>
      </c>
      <c r="L1967" t="s">
        <v>1048</v>
      </c>
      <c r="N1967" t="s">
        <v>1049</v>
      </c>
      <c r="Q1967">
        <v>30579</v>
      </c>
      <c r="R1967" t="s">
        <v>95</v>
      </c>
      <c r="S1967" t="s">
        <v>1059</v>
      </c>
      <c r="T1967">
        <v>28</v>
      </c>
      <c r="W1967" t="s">
        <v>1060</v>
      </c>
      <c r="X1967">
        <v>820303</v>
      </c>
      <c r="Y1967" t="s">
        <v>1052</v>
      </c>
      <c r="Z1967" t="e">
        <f ca="1">- cleaned cartridge Bays, plunger Rods _xludf.and I-CORE
- generated reports</f>
        <v>#NAME?</v>
      </c>
      <c r="AA1967" t="s">
        <v>820</v>
      </c>
      <c r="AB1967" t="s">
        <v>1428</v>
      </c>
      <c r="AG1967" t="s">
        <v>13008</v>
      </c>
      <c r="AH1967" t="s">
        <v>3393</v>
      </c>
      <c r="AI1967" t="s">
        <v>13009</v>
      </c>
    </row>
    <row r="1968" spans="2:35">
      <c r="B1968" s="1">
        <v>45747</v>
      </c>
      <c r="C1968" s="1">
        <v>45742</v>
      </c>
      <c r="D1968" t="s">
        <v>4503</v>
      </c>
      <c r="E1968" t="s">
        <v>4504</v>
      </c>
      <c r="F1968">
        <v>1</v>
      </c>
      <c r="G1968" t="s">
        <v>1046</v>
      </c>
      <c r="H1968" t="s">
        <v>1047</v>
      </c>
      <c r="I1968" t="s">
        <v>40</v>
      </c>
      <c r="J1968" t="s">
        <v>109</v>
      </c>
      <c r="K1968" t="s">
        <v>42</v>
      </c>
      <c r="L1968" t="s">
        <v>1048</v>
      </c>
      <c r="N1968" t="s">
        <v>1049</v>
      </c>
      <c r="Q1968">
        <v>30578</v>
      </c>
      <c r="R1968" t="s">
        <v>119</v>
      </c>
      <c r="S1968" t="s">
        <v>4505</v>
      </c>
      <c r="T1968">
        <v>27</v>
      </c>
      <c r="W1968" t="s">
        <v>1051</v>
      </c>
      <c r="X1968">
        <v>838516</v>
      </c>
      <c r="Y1968" t="s">
        <v>1052</v>
      </c>
      <c r="Z1968" t="e">
        <f ca="1">- cleaned cartridge Bays, plunger Rods _xludf.and I-CORE
- generated reports</f>
        <v>#NAME?</v>
      </c>
      <c r="AA1968" t="s">
        <v>820</v>
      </c>
      <c r="AB1968" t="s">
        <v>1428</v>
      </c>
      <c r="AG1968" t="s">
        <v>13010</v>
      </c>
      <c r="AH1968" t="s">
        <v>4507</v>
      </c>
      <c r="AI1968" t="s">
        <v>13011</v>
      </c>
    </row>
    <row r="1969" spans="2:35" ht="135">
      <c r="B1969" s="1">
        <v>45747</v>
      </c>
      <c r="C1969" s="1">
        <v>45737</v>
      </c>
      <c r="D1969" t="s">
        <v>4517</v>
      </c>
      <c r="E1969" t="s">
        <v>4518</v>
      </c>
      <c r="F1969">
        <v>1</v>
      </c>
      <c r="G1969" t="s">
        <v>1046</v>
      </c>
      <c r="H1969" t="s">
        <v>39</v>
      </c>
      <c r="I1969" t="s">
        <v>40</v>
      </c>
      <c r="J1969" s="2" t="s">
        <v>190</v>
      </c>
      <c r="K1969" t="s">
        <v>42</v>
      </c>
      <c r="L1969" t="s">
        <v>1048</v>
      </c>
      <c r="N1969" t="s">
        <v>1049</v>
      </c>
      <c r="Q1969">
        <v>30577</v>
      </c>
      <c r="R1969" t="s">
        <v>119</v>
      </c>
      <c r="S1969" t="s">
        <v>7992</v>
      </c>
      <c r="T1969">
        <v>30</v>
      </c>
      <c r="W1969" t="s">
        <v>1051</v>
      </c>
      <c r="X1969">
        <v>838467</v>
      </c>
      <c r="Y1969" t="s">
        <v>1934</v>
      </c>
      <c r="Z1969" t="e">
        <f ca="1">- cleaned cartridge Bays, plunger Rods _xludf.and I-CORE
- performed reliability test
- generated reports</f>
        <v>#NAME?</v>
      </c>
      <c r="AA1969" t="s">
        <v>1935</v>
      </c>
      <c r="AB1969" s="2" t="s">
        <v>13012</v>
      </c>
      <c r="AG1969" t="s">
        <v>13013</v>
      </c>
      <c r="AH1969" t="s">
        <v>13014</v>
      </c>
      <c r="AI1969" t="s">
        <v>13015</v>
      </c>
    </row>
    <row r="1970" spans="2:35" ht="60">
      <c r="B1970" s="1">
        <v>45747</v>
      </c>
      <c r="C1970" s="1">
        <v>45735</v>
      </c>
      <c r="D1970" t="s">
        <v>3732</v>
      </c>
      <c r="E1970" t="s">
        <v>3733</v>
      </c>
      <c r="F1970">
        <v>1</v>
      </c>
      <c r="G1970" t="s">
        <v>1046</v>
      </c>
      <c r="H1970" t="s">
        <v>1047</v>
      </c>
      <c r="I1970" t="s">
        <v>40</v>
      </c>
      <c r="J1970" s="2" t="s">
        <v>62</v>
      </c>
      <c r="K1970" t="s">
        <v>42</v>
      </c>
      <c r="L1970" t="s">
        <v>1048</v>
      </c>
      <c r="N1970" t="s">
        <v>1049</v>
      </c>
      <c r="Q1970">
        <v>30576</v>
      </c>
      <c r="R1970" t="s">
        <v>119</v>
      </c>
      <c r="S1970" t="s">
        <v>3734</v>
      </c>
      <c r="T1970">
        <v>25</v>
      </c>
      <c r="V1970" s="1">
        <v>45735</v>
      </c>
      <c r="W1970" t="s">
        <v>1051</v>
      </c>
      <c r="X1970">
        <v>838473</v>
      </c>
      <c r="Y1970" t="s">
        <v>13016</v>
      </c>
      <c r="Z1970" t="e">
        <f ca="1">- performed Troubleshooting steps FROM Tech support
- cleaned cartridge Bays, plunger Rods _xludf.and I-CORE
- performed XpertCheck
- generated reports</f>
        <v>#NAME?</v>
      </c>
      <c r="AA1970" t="s">
        <v>13017</v>
      </c>
      <c r="AB1970" t="s">
        <v>1428</v>
      </c>
      <c r="AD1970" t="s">
        <v>1958</v>
      </c>
      <c r="AE1970" t="s">
        <v>4448</v>
      </c>
      <c r="AG1970" t="s">
        <v>13018</v>
      </c>
      <c r="AH1970" t="s">
        <v>7274</v>
      </c>
      <c r="AI1970" t="s">
        <v>13019</v>
      </c>
    </row>
    <row r="1971" spans="2:35">
      <c r="B1971" s="1">
        <v>45747</v>
      </c>
      <c r="C1971" s="1">
        <v>45734</v>
      </c>
      <c r="D1971" t="s">
        <v>4517</v>
      </c>
      <c r="E1971" t="s">
        <v>13020</v>
      </c>
      <c r="F1971">
        <v>1</v>
      </c>
      <c r="G1971" t="s">
        <v>1046</v>
      </c>
      <c r="H1971" t="s">
        <v>39</v>
      </c>
      <c r="I1971" t="s">
        <v>40</v>
      </c>
      <c r="J1971" t="s">
        <v>79</v>
      </c>
      <c r="K1971" t="s">
        <v>42</v>
      </c>
      <c r="L1971" t="s">
        <v>1048</v>
      </c>
      <c r="N1971" t="s">
        <v>1049</v>
      </c>
      <c r="Q1971">
        <v>30575</v>
      </c>
      <c r="R1971" t="s">
        <v>119</v>
      </c>
      <c r="S1971" t="s">
        <v>7992</v>
      </c>
      <c r="T1971">
        <v>30</v>
      </c>
      <c r="W1971" t="s">
        <v>1051</v>
      </c>
      <c r="X1971">
        <v>838467</v>
      </c>
      <c r="Y1971" t="s">
        <v>13021</v>
      </c>
      <c r="Z1971" t="e">
        <f ca="1">- removed stuck cartridge
- cleaned cartridge Bays, plunger Rods _xludf.and I-CORE
- generated reports</f>
        <v>#NAME?</v>
      </c>
      <c r="AA1971" t="s">
        <v>13022</v>
      </c>
      <c r="AB1971" t="s">
        <v>1936</v>
      </c>
      <c r="AG1971" t="s">
        <v>13023</v>
      </c>
      <c r="AH1971" t="s">
        <v>13014</v>
      </c>
      <c r="AI1971" t="s">
        <v>13024</v>
      </c>
    </row>
    <row r="1972" spans="2:35" ht="315">
      <c r="B1972" s="1">
        <v>45747</v>
      </c>
      <c r="C1972" s="1">
        <v>45734</v>
      </c>
      <c r="D1972" t="s">
        <v>4528</v>
      </c>
      <c r="E1972" t="s">
        <v>4529</v>
      </c>
      <c r="F1972">
        <v>1</v>
      </c>
      <c r="G1972" t="s">
        <v>1046</v>
      </c>
      <c r="H1972" t="s">
        <v>1047</v>
      </c>
      <c r="I1972" t="s">
        <v>40</v>
      </c>
      <c r="J1972" s="2" t="s">
        <v>41</v>
      </c>
      <c r="K1972" t="s">
        <v>42</v>
      </c>
      <c r="L1972" t="s">
        <v>1048</v>
      </c>
      <c r="N1972" t="s">
        <v>1049</v>
      </c>
      <c r="Q1972">
        <v>30574</v>
      </c>
      <c r="R1972" t="s">
        <v>119</v>
      </c>
      <c r="S1972" t="s">
        <v>4530</v>
      </c>
      <c r="T1972">
        <v>27</v>
      </c>
      <c r="V1972" s="1">
        <v>45730</v>
      </c>
      <c r="W1972" t="s">
        <v>1051</v>
      </c>
      <c r="X1972">
        <v>838472</v>
      </c>
      <c r="Y1972" t="s">
        <v>1924</v>
      </c>
      <c r="Z1972" s="2" t="s">
        <v>13025</v>
      </c>
      <c r="AA1972" t="s">
        <v>1926</v>
      </c>
      <c r="AB1972" t="s">
        <v>1428</v>
      </c>
      <c r="AC1972" t="s">
        <v>12618</v>
      </c>
      <c r="AD1972" t="s">
        <v>13026</v>
      </c>
      <c r="AE1972" t="s">
        <v>13027</v>
      </c>
      <c r="AG1972" t="s">
        <v>13028</v>
      </c>
      <c r="AH1972" t="s">
        <v>4532</v>
      </c>
      <c r="AI1972" t="s">
        <v>13029</v>
      </c>
    </row>
    <row r="1973" spans="2:35" ht="315">
      <c r="B1973" s="1">
        <v>45747</v>
      </c>
      <c r="C1973" s="1">
        <v>45743</v>
      </c>
      <c r="D1973" t="s">
        <v>3712</v>
      </c>
      <c r="E1973" t="s">
        <v>3713</v>
      </c>
      <c r="F1973" t="s">
        <v>148</v>
      </c>
      <c r="G1973" t="s">
        <v>310</v>
      </c>
      <c r="H1973" t="s">
        <v>2274</v>
      </c>
      <c r="I1973" t="s">
        <v>40</v>
      </c>
      <c r="J1973" s="2" t="s">
        <v>41</v>
      </c>
      <c r="K1973" t="s">
        <v>387</v>
      </c>
      <c r="L1973" t="s">
        <v>1943</v>
      </c>
      <c r="N1973" t="s">
        <v>1944</v>
      </c>
      <c r="Q1973">
        <v>30573</v>
      </c>
      <c r="R1973" t="s">
        <v>322</v>
      </c>
      <c r="S1973" t="s">
        <v>3824</v>
      </c>
      <c r="T1973">
        <v>25</v>
      </c>
      <c r="V1973" s="1">
        <v>45742</v>
      </c>
      <c r="W1973" t="s">
        <v>390</v>
      </c>
      <c r="X1973" t="s">
        <v>3715</v>
      </c>
      <c r="Y1973" s="2" t="s">
        <v>13030</v>
      </c>
      <c r="Z1973" t="s">
        <v>2443</v>
      </c>
      <c r="AA1973" s="2" t="s">
        <v>13031</v>
      </c>
      <c r="AB1973" t="s">
        <v>6032</v>
      </c>
      <c r="AC1973" t="s">
        <v>13032</v>
      </c>
      <c r="AD1973" s="2" t="s">
        <v>13033</v>
      </c>
      <c r="AE1973" t="s">
        <v>13034</v>
      </c>
      <c r="AG1973" t="s">
        <v>13035</v>
      </c>
      <c r="AH1973" t="s">
        <v>3717</v>
      </c>
      <c r="AI1973" t="s">
        <v>13036</v>
      </c>
    </row>
    <row r="1974" spans="2:35" ht="90">
      <c r="B1974" s="1">
        <v>45747</v>
      </c>
      <c r="C1974" s="1">
        <v>45744</v>
      </c>
      <c r="D1974" t="s">
        <v>2005</v>
      </c>
      <c r="E1974" t="s">
        <v>13037</v>
      </c>
      <c r="F1974" t="s">
        <v>148</v>
      </c>
      <c r="G1974" t="s">
        <v>2007</v>
      </c>
      <c r="H1974" t="s">
        <v>662</v>
      </c>
      <c r="I1974" t="s">
        <v>40</v>
      </c>
      <c r="J1974" t="s">
        <v>321</v>
      </c>
      <c r="K1974" t="s">
        <v>42</v>
      </c>
      <c r="L1974" t="s">
        <v>448</v>
      </c>
      <c r="N1974" t="s">
        <v>650</v>
      </c>
      <c r="Q1974">
        <v>30572</v>
      </c>
      <c r="R1974" t="s">
        <v>95</v>
      </c>
      <c r="S1974" t="s">
        <v>4273</v>
      </c>
      <c r="T1974">
        <v>26</v>
      </c>
      <c r="W1974" t="s">
        <v>2010</v>
      </c>
      <c r="X1974">
        <v>110026448</v>
      </c>
      <c r="Y1974" t="s">
        <v>750</v>
      </c>
      <c r="Z1974" s="2" t="s">
        <v>13038</v>
      </c>
      <c r="AA1974" t="s">
        <v>2593</v>
      </c>
      <c r="AB1974" t="s">
        <v>486</v>
      </c>
      <c r="AG1974" t="s">
        <v>13039</v>
      </c>
      <c r="AH1974" t="s">
        <v>7000</v>
      </c>
      <c r="AI1974" t="s">
        <v>13040</v>
      </c>
    </row>
    <row r="1975" spans="2:35" ht="300">
      <c r="B1975" s="1">
        <v>45744</v>
      </c>
      <c r="C1975" s="1">
        <v>45744</v>
      </c>
      <c r="D1975" t="s">
        <v>11870</v>
      </c>
      <c r="E1975" t="s">
        <v>11871</v>
      </c>
      <c r="F1975">
        <v>6</v>
      </c>
      <c r="G1975" t="s">
        <v>1507</v>
      </c>
      <c r="H1975" t="s">
        <v>258</v>
      </c>
      <c r="I1975" t="s">
        <v>40</v>
      </c>
      <c r="J1975" s="2" t="s">
        <v>355</v>
      </c>
      <c r="K1975" t="s">
        <v>42</v>
      </c>
      <c r="L1975" t="s">
        <v>1288</v>
      </c>
      <c r="N1975" t="s">
        <v>1289</v>
      </c>
      <c r="Q1975">
        <v>30571</v>
      </c>
      <c r="R1975" t="s">
        <v>967</v>
      </c>
      <c r="S1975" t="s">
        <v>5329</v>
      </c>
      <c r="T1975">
        <v>23</v>
      </c>
      <c r="W1975" t="s">
        <v>9206</v>
      </c>
      <c r="X1975">
        <v>110023542</v>
      </c>
      <c r="Y1975" t="e">
        <f ca="1">-system Unit HAS No _xludf.Power</f>
        <v>#NAME?</v>
      </c>
      <c r="Z1975" t="e">
        <f ca="1">-COLLECT system Unit _xludf.and GENEXERT DETAILS</f>
        <v>#NAME?</v>
      </c>
      <c r="AA1975" s="2" t="s">
        <v>13041</v>
      </c>
      <c r="AB1975" t="s">
        <v>13042</v>
      </c>
      <c r="AG1975" t="s">
        <v>13043</v>
      </c>
      <c r="AH1975" t="s">
        <v>11874</v>
      </c>
      <c r="AI1975" t="s">
        <v>13044</v>
      </c>
    </row>
    <row r="1976" spans="2:35" ht="210">
      <c r="B1976" s="1">
        <v>45744</v>
      </c>
      <c r="C1976" s="1">
        <v>45744</v>
      </c>
      <c r="D1976" t="s">
        <v>3383</v>
      </c>
      <c r="E1976" t="s">
        <v>13045</v>
      </c>
      <c r="F1976">
        <v>6</v>
      </c>
      <c r="G1976" t="s">
        <v>1286</v>
      </c>
      <c r="H1976" t="s">
        <v>1047</v>
      </c>
      <c r="I1976" t="s">
        <v>40</v>
      </c>
      <c r="J1976" s="2" t="s">
        <v>609</v>
      </c>
      <c r="K1976" t="s">
        <v>42</v>
      </c>
      <c r="L1976" t="s">
        <v>1288</v>
      </c>
      <c r="N1976" t="s">
        <v>1289</v>
      </c>
      <c r="Q1976">
        <v>30570</v>
      </c>
      <c r="R1976" t="s">
        <v>119</v>
      </c>
      <c r="S1976" t="s">
        <v>13046</v>
      </c>
      <c r="T1976">
        <v>22</v>
      </c>
      <c r="U1976" s="2" t="s">
        <v>13047</v>
      </c>
      <c r="W1976" t="s">
        <v>1292</v>
      </c>
      <c r="X1976">
        <v>838289</v>
      </c>
      <c r="Y1976" s="2" t="s">
        <v>13048</v>
      </c>
      <c r="Z1976" t="e">
        <f ca="1">-COLLECT IQR, system _xludf.Log, _xludf.and ARCHIVE</f>
        <v>#NAME?</v>
      </c>
      <c r="AA1976" t="e">
        <f ca="1">-PERFORM Preventive Maintenance PROCEDURE
-_xludf.Clean FAN _xludf.filter, plunger rod, cartridge bay, _xludf.and PROBES</f>
        <v>#NAME?</v>
      </c>
      <c r="AB1976" t="s">
        <v>1303</v>
      </c>
      <c r="AG1976" t="s">
        <v>13049</v>
      </c>
      <c r="AH1976" t="s">
        <v>13050</v>
      </c>
      <c r="AI1976" t="s">
        <v>13051</v>
      </c>
    </row>
    <row r="1977" spans="2:35" ht="120">
      <c r="B1977" s="1">
        <v>45744</v>
      </c>
      <c r="C1977" s="1">
        <v>45744</v>
      </c>
      <c r="D1977" t="s">
        <v>2470</v>
      </c>
      <c r="E1977" t="s">
        <v>9436</v>
      </c>
      <c r="F1977" t="s">
        <v>148</v>
      </c>
      <c r="G1977" t="s">
        <v>230</v>
      </c>
      <c r="H1977" t="s">
        <v>513</v>
      </c>
      <c r="I1977" t="s">
        <v>40</v>
      </c>
      <c r="J1977" t="s">
        <v>525</v>
      </c>
      <c r="K1977" t="s">
        <v>387</v>
      </c>
      <c r="L1977" t="s">
        <v>175</v>
      </c>
      <c r="N1977" t="s">
        <v>176</v>
      </c>
      <c r="Q1977">
        <v>30569</v>
      </c>
      <c r="R1977" t="s">
        <v>322</v>
      </c>
      <c r="S1977" t="s">
        <v>4894</v>
      </c>
      <c r="T1977">
        <v>25</v>
      </c>
      <c r="W1977" t="s">
        <v>390</v>
      </c>
      <c r="X1977" t="s">
        <v>5622</v>
      </c>
      <c r="Y1977" t="s">
        <v>13052</v>
      </c>
      <c r="Z1977" t="s">
        <v>103</v>
      </c>
      <c r="AA1977" t="e">
        <f ca="1">- checked pressure CALIBRATION parameters (values within acceptable range)
- performed self test</f>
        <v>#NAME?</v>
      </c>
      <c r="AB1977" s="2" t="s">
        <v>13053</v>
      </c>
      <c r="AC1977" t="s">
        <v>13054</v>
      </c>
      <c r="AG1977" t="s">
        <v>13055</v>
      </c>
      <c r="AH1977" t="s">
        <v>4898</v>
      </c>
      <c r="AI1977" t="s">
        <v>13056</v>
      </c>
    </row>
    <row r="1978" spans="2:35" ht="240">
      <c r="B1978" s="1">
        <v>45744</v>
      </c>
      <c r="C1978" s="1">
        <v>45743</v>
      </c>
      <c r="D1978" t="s">
        <v>8698</v>
      </c>
      <c r="E1978" t="s">
        <v>8699</v>
      </c>
      <c r="F1978">
        <v>5</v>
      </c>
      <c r="G1978" t="s">
        <v>839</v>
      </c>
      <c r="H1978" t="s">
        <v>39</v>
      </c>
      <c r="I1978" t="s">
        <v>94</v>
      </c>
      <c r="J1978" t="s">
        <v>79</v>
      </c>
      <c r="K1978" t="s">
        <v>42</v>
      </c>
      <c r="L1978" t="s">
        <v>761</v>
      </c>
      <c r="N1978" t="s">
        <v>762</v>
      </c>
      <c r="Q1978">
        <v>30568</v>
      </c>
      <c r="R1978" t="s">
        <v>119</v>
      </c>
      <c r="S1978" t="s">
        <v>13057</v>
      </c>
      <c r="T1978">
        <v>26</v>
      </c>
      <c r="W1978" t="s">
        <v>765</v>
      </c>
      <c r="X1978">
        <v>838560</v>
      </c>
      <c r="Y1978" t="s">
        <v>10382</v>
      </c>
      <c r="Z1978" s="2" t="s">
        <v>13058</v>
      </c>
      <c r="AA1978" s="2" t="s">
        <v>11841</v>
      </c>
      <c r="AB1978" t="s">
        <v>70</v>
      </c>
      <c r="AG1978" t="s">
        <v>13059</v>
      </c>
      <c r="AH1978" t="s">
        <v>13060</v>
      </c>
      <c r="AI1978" t="s">
        <v>13061</v>
      </c>
    </row>
    <row r="1979" spans="2:35" ht="255">
      <c r="B1979" s="1">
        <v>45744</v>
      </c>
      <c r="C1979" s="1">
        <v>45744</v>
      </c>
      <c r="D1979" t="s">
        <v>4206</v>
      </c>
      <c r="E1979" t="s">
        <v>8265</v>
      </c>
      <c r="F1979">
        <v>11</v>
      </c>
      <c r="G1979" t="s">
        <v>2836</v>
      </c>
      <c r="H1979" t="s">
        <v>202</v>
      </c>
      <c r="I1979" t="s">
        <v>40</v>
      </c>
      <c r="J1979" t="s">
        <v>109</v>
      </c>
      <c r="K1979" t="s">
        <v>42</v>
      </c>
      <c r="L1979" t="s">
        <v>204</v>
      </c>
      <c r="N1979" t="s">
        <v>205</v>
      </c>
      <c r="Q1979">
        <v>30567</v>
      </c>
      <c r="R1979" t="s">
        <v>119</v>
      </c>
      <c r="S1979" t="s">
        <v>4209</v>
      </c>
      <c r="T1979">
        <v>24.3</v>
      </c>
      <c r="U1979" s="2" t="s">
        <v>13062</v>
      </c>
      <c r="W1979" t="s">
        <v>208</v>
      </c>
      <c r="X1979">
        <v>838295</v>
      </c>
      <c r="Y1979" t="s">
        <v>1052</v>
      </c>
      <c r="Z1979" s="2" t="s">
        <v>9722</v>
      </c>
      <c r="AA1979" t="s">
        <v>2551</v>
      </c>
      <c r="AB1979" t="s">
        <v>1211</v>
      </c>
      <c r="AG1979" t="s">
        <v>13063</v>
      </c>
      <c r="AH1979" t="s">
        <v>4216</v>
      </c>
      <c r="AI1979" t="s">
        <v>13064</v>
      </c>
    </row>
    <row r="1980" spans="2:35" ht="60">
      <c r="B1980" s="1">
        <v>45743</v>
      </c>
      <c r="C1980" s="1">
        <v>45743</v>
      </c>
      <c r="D1980" t="s">
        <v>9711</v>
      </c>
      <c r="E1980" t="s">
        <v>13065</v>
      </c>
      <c r="F1980">
        <v>10</v>
      </c>
      <c r="G1980" t="s">
        <v>2392</v>
      </c>
      <c r="H1980" t="s">
        <v>2125</v>
      </c>
      <c r="I1980" t="s">
        <v>40</v>
      </c>
      <c r="J1980" s="2" t="s">
        <v>62</v>
      </c>
      <c r="K1980" t="s">
        <v>42</v>
      </c>
      <c r="L1980" t="s">
        <v>933</v>
      </c>
      <c r="N1980" t="s">
        <v>934</v>
      </c>
      <c r="Q1980">
        <v>30566</v>
      </c>
      <c r="R1980" t="s">
        <v>119</v>
      </c>
      <c r="S1980" t="s">
        <v>9713</v>
      </c>
      <c r="T1980">
        <v>25</v>
      </c>
      <c r="W1980" t="s">
        <v>2127</v>
      </c>
      <c r="X1980">
        <v>838227</v>
      </c>
      <c r="Y1980" t="s">
        <v>13066</v>
      </c>
      <c r="Z1980" t="s">
        <v>2129</v>
      </c>
      <c r="AA1980" t="s">
        <v>13067</v>
      </c>
      <c r="AB1980" t="s">
        <v>2131</v>
      </c>
      <c r="AG1980" t="s">
        <v>13068</v>
      </c>
      <c r="AH1980" t="s">
        <v>10681</v>
      </c>
      <c r="AI1980" t="s">
        <v>13069</v>
      </c>
    </row>
    <row r="1981" spans="2:35" ht="225">
      <c r="B1981" s="1">
        <v>45743</v>
      </c>
      <c r="C1981" s="1">
        <v>45743</v>
      </c>
      <c r="D1981" t="s">
        <v>13070</v>
      </c>
      <c r="E1981" t="s">
        <v>13071</v>
      </c>
      <c r="F1981">
        <v>7</v>
      </c>
      <c r="G1981" t="s">
        <v>432</v>
      </c>
      <c r="H1981" t="s">
        <v>39</v>
      </c>
      <c r="I1981" t="s">
        <v>40</v>
      </c>
      <c r="J1981" s="2" t="s">
        <v>1370</v>
      </c>
      <c r="K1981" t="s">
        <v>42</v>
      </c>
      <c r="L1981" t="s">
        <v>433</v>
      </c>
      <c r="N1981" t="s">
        <v>434</v>
      </c>
      <c r="Q1981">
        <v>30565</v>
      </c>
      <c r="R1981" t="s">
        <v>119</v>
      </c>
      <c r="S1981" t="s">
        <v>1818</v>
      </c>
      <c r="T1981">
        <v>25</v>
      </c>
      <c r="W1981" t="s">
        <v>1008</v>
      </c>
      <c r="X1981">
        <v>838263</v>
      </c>
      <c r="Y1981" t="s">
        <v>13072</v>
      </c>
      <c r="Z1981" s="2" t="s">
        <v>13073</v>
      </c>
      <c r="AA1981" s="2" t="s">
        <v>13073</v>
      </c>
      <c r="AB1981" t="s">
        <v>1011</v>
      </c>
      <c r="AG1981" t="s">
        <v>13074</v>
      </c>
      <c r="AH1981" t="s">
        <v>8065</v>
      </c>
      <c r="AI1981" t="s">
        <v>13075</v>
      </c>
    </row>
    <row r="1982" spans="2:35">
      <c r="B1982" s="1">
        <v>45743</v>
      </c>
      <c r="C1982" s="1">
        <v>45743</v>
      </c>
      <c r="D1982" t="s">
        <v>13076</v>
      </c>
      <c r="E1982" t="s">
        <v>1285</v>
      </c>
      <c r="F1982">
        <v>6</v>
      </c>
      <c r="G1982" t="s">
        <v>1286</v>
      </c>
      <c r="H1982" t="s">
        <v>39</v>
      </c>
      <c r="I1982" t="s">
        <v>40</v>
      </c>
      <c r="J1982" t="s">
        <v>109</v>
      </c>
      <c r="K1982" t="s">
        <v>42</v>
      </c>
      <c r="L1982" t="s">
        <v>1288</v>
      </c>
      <c r="N1982" t="s">
        <v>1289</v>
      </c>
      <c r="Q1982">
        <v>30564</v>
      </c>
      <c r="R1982" t="s">
        <v>119</v>
      </c>
      <c r="S1982" t="s">
        <v>7853</v>
      </c>
      <c r="T1982">
        <v>28</v>
      </c>
      <c r="W1982" t="s">
        <v>1292</v>
      </c>
      <c r="X1982">
        <v>838290</v>
      </c>
      <c r="Y1982" t="e">
        <f ca="1">-_xludf.For PM
-_xludf.For functionality testing</f>
        <v>#NAME?</v>
      </c>
      <c r="Z1982" t="e">
        <f ca="1">-COLLECT IQR _xludf.and system _xludf.Log</f>
        <v>#NAME?</v>
      </c>
      <c r="AA1982" t="e">
        <f ca="1">-PERFORM PM PROCEDURE
-_xludf.Power up GX EQUIPMENT _xludf.and system Unit, ALL SYSTEMS are functional</f>
        <v>#NAME?</v>
      </c>
      <c r="AB1982" t="s">
        <v>1293</v>
      </c>
      <c r="AG1982" t="s">
        <v>13077</v>
      </c>
      <c r="AH1982" t="s">
        <v>11762</v>
      </c>
      <c r="AI1982" t="s">
        <v>13078</v>
      </c>
    </row>
    <row r="1983" spans="2:35" ht="150">
      <c r="B1983" s="1">
        <v>45743</v>
      </c>
      <c r="C1983" s="1">
        <v>45743</v>
      </c>
      <c r="D1983" t="s">
        <v>1855</v>
      </c>
      <c r="E1983" t="s">
        <v>5451</v>
      </c>
      <c r="F1983" t="s">
        <v>148</v>
      </c>
      <c r="G1983" t="s">
        <v>447</v>
      </c>
      <c r="H1983" t="s">
        <v>5452</v>
      </c>
      <c r="I1983" t="s">
        <v>40</v>
      </c>
      <c r="J1983" t="s">
        <v>79</v>
      </c>
      <c r="K1983" t="s">
        <v>408</v>
      </c>
      <c r="L1983" t="s">
        <v>448</v>
      </c>
      <c r="N1983" t="s">
        <v>450</v>
      </c>
      <c r="O1983" t="s">
        <v>450</v>
      </c>
      <c r="P1983" t="s">
        <v>1859</v>
      </c>
      <c r="Q1983">
        <v>30563</v>
      </c>
      <c r="R1983" t="s">
        <v>322</v>
      </c>
      <c r="S1983" t="s">
        <v>450</v>
      </c>
      <c r="T1983">
        <v>26</v>
      </c>
      <c r="V1983" s="1">
        <v>45684</v>
      </c>
      <c r="W1983" t="s">
        <v>10003</v>
      </c>
      <c r="X1983" t="s">
        <v>13079</v>
      </c>
      <c r="Y1983" t="s">
        <v>13080</v>
      </c>
      <c r="Z1983" s="2" t="s">
        <v>13081</v>
      </c>
      <c r="AA1983" t="s">
        <v>9749</v>
      </c>
      <c r="AB1983" t="s">
        <v>13082</v>
      </c>
      <c r="AE1983" t="s">
        <v>10004</v>
      </c>
      <c r="AG1983" t="s">
        <v>13083</v>
      </c>
      <c r="AH1983" t="s">
        <v>5087</v>
      </c>
      <c r="AI1983" t="s">
        <v>13084</v>
      </c>
    </row>
    <row r="1984" spans="2:35" ht="409.5">
      <c r="B1984" s="1">
        <v>45743</v>
      </c>
      <c r="C1984" s="1">
        <v>45743</v>
      </c>
      <c r="D1984" t="s">
        <v>13076</v>
      </c>
      <c r="E1984" t="s">
        <v>1285</v>
      </c>
      <c r="F1984">
        <v>6</v>
      </c>
      <c r="G1984" t="s">
        <v>1286</v>
      </c>
      <c r="H1984" t="s">
        <v>61</v>
      </c>
      <c r="I1984" t="s">
        <v>40</v>
      </c>
      <c r="J1984" t="s">
        <v>109</v>
      </c>
      <c r="K1984" t="s">
        <v>42</v>
      </c>
      <c r="L1984" t="s">
        <v>1288</v>
      </c>
      <c r="N1984" t="s">
        <v>1289</v>
      </c>
      <c r="Q1984">
        <v>30562</v>
      </c>
      <c r="R1984" t="s">
        <v>967</v>
      </c>
      <c r="S1984" t="s">
        <v>7853</v>
      </c>
      <c r="T1984">
        <v>22</v>
      </c>
      <c r="U1984" s="2" t="s">
        <v>13085</v>
      </c>
      <c r="W1984" t="s">
        <v>1292</v>
      </c>
      <c r="X1984">
        <v>110021716</v>
      </c>
      <c r="Y1984" t="s">
        <v>9143</v>
      </c>
      <c r="Z1984" t="e">
        <f ca="1">-COLLECT IQR,system _xludf.Log, _xludf.and ARCHIVE</f>
        <v>#NAME?</v>
      </c>
      <c r="AA1984" t="e">
        <f ca="1">-PERFORM Preventive Maintenance PROCEDURE
-_xludf.Clean FAN _xludf.filter, plunger rod, cartridge bay, _xludf.and PROBES</f>
        <v>#NAME?</v>
      </c>
      <c r="AB1984" t="s">
        <v>1293</v>
      </c>
      <c r="AG1984" t="s">
        <v>13086</v>
      </c>
      <c r="AH1984" t="s">
        <v>7856</v>
      </c>
      <c r="AI1984" t="s">
        <v>13087</v>
      </c>
    </row>
    <row r="1985" spans="2:35" ht="150">
      <c r="B1985" s="1">
        <v>45743</v>
      </c>
      <c r="C1985" s="1">
        <v>45743</v>
      </c>
      <c r="D1985" t="s">
        <v>1855</v>
      </c>
      <c r="E1985" t="s">
        <v>5451</v>
      </c>
      <c r="F1985" t="s">
        <v>148</v>
      </c>
      <c r="G1985" t="s">
        <v>447</v>
      </c>
      <c r="H1985" t="s">
        <v>5452</v>
      </c>
      <c r="I1985" t="s">
        <v>40</v>
      </c>
      <c r="J1985" t="s">
        <v>79</v>
      </c>
      <c r="K1985" t="s">
        <v>408</v>
      </c>
      <c r="L1985" t="s">
        <v>448</v>
      </c>
      <c r="N1985" t="s">
        <v>450</v>
      </c>
      <c r="O1985" t="s">
        <v>450</v>
      </c>
      <c r="P1985" t="s">
        <v>1859</v>
      </c>
      <c r="Q1985">
        <v>30561</v>
      </c>
      <c r="R1985" t="s">
        <v>322</v>
      </c>
      <c r="S1985" t="s">
        <v>450</v>
      </c>
      <c r="T1985">
        <v>26</v>
      </c>
      <c r="V1985" s="1">
        <v>45684</v>
      </c>
      <c r="W1985" t="s">
        <v>10003</v>
      </c>
      <c r="X1985" t="s">
        <v>13088</v>
      </c>
      <c r="Y1985" t="s">
        <v>13080</v>
      </c>
      <c r="Z1985" s="2" t="s">
        <v>13089</v>
      </c>
      <c r="AA1985" t="s">
        <v>9749</v>
      </c>
      <c r="AB1985" t="s">
        <v>486</v>
      </c>
      <c r="AD1985" t="s">
        <v>13090</v>
      </c>
      <c r="AE1985" t="s">
        <v>10004</v>
      </c>
      <c r="AG1985" t="s">
        <v>13091</v>
      </c>
      <c r="AH1985" t="s">
        <v>5087</v>
      </c>
      <c r="AI1985" t="s">
        <v>13092</v>
      </c>
    </row>
    <row r="1986" spans="2:35">
      <c r="B1986" s="1">
        <v>45743</v>
      </c>
      <c r="C1986" s="1">
        <v>45743</v>
      </c>
      <c r="D1986" t="s">
        <v>1855</v>
      </c>
      <c r="E1986" t="s">
        <v>5451</v>
      </c>
      <c r="F1986" t="s">
        <v>148</v>
      </c>
      <c r="G1986" t="s">
        <v>447</v>
      </c>
      <c r="H1986" t="s">
        <v>5452</v>
      </c>
      <c r="I1986" t="s">
        <v>40</v>
      </c>
      <c r="J1986" t="s">
        <v>79</v>
      </c>
      <c r="K1986" t="s">
        <v>408</v>
      </c>
      <c r="L1986" t="s">
        <v>448</v>
      </c>
      <c r="N1986" t="s">
        <v>450</v>
      </c>
      <c r="O1986" t="s">
        <v>450</v>
      </c>
      <c r="P1986" t="s">
        <v>1859</v>
      </c>
      <c r="Q1986">
        <v>30560</v>
      </c>
      <c r="R1986" t="s">
        <v>322</v>
      </c>
      <c r="S1986" t="s">
        <v>450</v>
      </c>
      <c r="T1986">
        <v>26</v>
      </c>
      <c r="V1986" s="1">
        <v>45684</v>
      </c>
      <c r="W1986" t="s">
        <v>10003</v>
      </c>
      <c r="X1986" t="s">
        <v>13093</v>
      </c>
      <c r="Y1986" t="s">
        <v>13094</v>
      </c>
      <c r="Z1986" t="s">
        <v>13095</v>
      </c>
      <c r="AA1986" t="s">
        <v>9749</v>
      </c>
      <c r="AB1986" t="s">
        <v>486</v>
      </c>
      <c r="AD1986" t="s">
        <v>1873</v>
      </c>
      <c r="AE1986" t="s">
        <v>10004</v>
      </c>
      <c r="AG1986" t="s">
        <v>13096</v>
      </c>
      <c r="AH1986" t="s">
        <v>5087</v>
      </c>
      <c r="AI1986" t="s">
        <v>13097</v>
      </c>
    </row>
    <row r="1987" spans="2:35" ht="105">
      <c r="B1987" s="1">
        <v>45743</v>
      </c>
      <c r="C1987" s="1">
        <v>45743</v>
      </c>
      <c r="D1987" t="s">
        <v>9062</v>
      </c>
      <c r="E1987" t="s">
        <v>9063</v>
      </c>
      <c r="F1987">
        <v>8</v>
      </c>
      <c r="G1987" t="s">
        <v>342</v>
      </c>
      <c r="H1987" t="s">
        <v>13098</v>
      </c>
      <c r="I1987" t="s">
        <v>40</v>
      </c>
      <c r="J1987" t="s">
        <v>109</v>
      </c>
      <c r="K1987" t="s">
        <v>42</v>
      </c>
      <c r="L1987" t="s">
        <v>343</v>
      </c>
      <c r="N1987" t="s">
        <v>344</v>
      </c>
      <c r="Q1987">
        <v>30559</v>
      </c>
      <c r="R1987" t="s">
        <v>119</v>
      </c>
      <c r="S1987" t="s">
        <v>11350</v>
      </c>
      <c r="T1987">
        <v>26</v>
      </c>
      <c r="U1987" s="2" t="s">
        <v>13099</v>
      </c>
      <c r="W1987" t="s">
        <v>1501</v>
      </c>
      <c r="X1987">
        <v>838399</v>
      </c>
      <c r="Y1987" t="s">
        <v>7415</v>
      </c>
      <c r="Z1987" t="s">
        <v>13100</v>
      </c>
      <c r="AA1987" t="e">
        <f ca="1">-Preventive Maintenance</f>
        <v>#NAME?</v>
      </c>
      <c r="AB1987" t="s">
        <v>1467</v>
      </c>
      <c r="AG1987" t="s">
        <v>13101</v>
      </c>
      <c r="AH1987" t="s">
        <v>13102</v>
      </c>
      <c r="AI1987" t="s">
        <v>13103</v>
      </c>
    </row>
    <row r="1988" spans="2:35" ht="210">
      <c r="B1988" s="1">
        <v>45743</v>
      </c>
      <c r="C1988" s="1">
        <v>45742</v>
      </c>
      <c r="D1988" t="s">
        <v>2005</v>
      </c>
      <c r="E1988" t="s">
        <v>13104</v>
      </c>
      <c r="F1988" t="s">
        <v>148</v>
      </c>
      <c r="G1988" t="s">
        <v>2007</v>
      </c>
      <c r="H1988" t="s">
        <v>662</v>
      </c>
      <c r="I1988" t="s">
        <v>40</v>
      </c>
      <c r="J1988" t="s">
        <v>79</v>
      </c>
      <c r="K1988" t="s">
        <v>42</v>
      </c>
      <c r="L1988" t="s">
        <v>448</v>
      </c>
      <c r="N1988" t="s">
        <v>450</v>
      </c>
      <c r="Q1988">
        <v>30558</v>
      </c>
      <c r="R1988" t="s">
        <v>95</v>
      </c>
      <c r="S1988" t="s">
        <v>13105</v>
      </c>
      <c r="T1988">
        <v>28</v>
      </c>
      <c r="U1988" s="2" t="s">
        <v>13106</v>
      </c>
      <c r="W1988" t="s">
        <v>13107</v>
      </c>
      <c r="X1988">
        <v>807128</v>
      </c>
      <c r="Y1988" t="s">
        <v>13108</v>
      </c>
      <c r="Z1988" t="s">
        <v>13109</v>
      </c>
      <c r="AA1988" t="s">
        <v>13110</v>
      </c>
      <c r="AB1988" t="s">
        <v>4741</v>
      </c>
      <c r="AG1988" t="s">
        <v>13111</v>
      </c>
      <c r="AH1988" t="s">
        <v>13112</v>
      </c>
      <c r="AI1988" t="s">
        <v>13113</v>
      </c>
    </row>
    <row r="1989" spans="2:35" ht="165">
      <c r="B1989" s="1">
        <v>45742</v>
      </c>
      <c r="C1989" s="1">
        <v>45742</v>
      </c>
      <c r="D1989" t="s">
        <v>1155</v>
      </c>
      <c r="E1989" t="s">
        <v>8331</v>
      </c>
      <c r="F1989" t="s">
        <v>148</v>
      </c>
      <c r="G1989" t="s">
        <v>230</v>
      </c>
      <c r="H1989" t="s">
        <v>39</v>
      </c>
      <c r="I1989" t="s">
        <v>40</v>
      </c>
      <c r="J1989" t="s">
        <v>525</v>
      </c>
      <c r="K1989" t="s">
        <v>42</v>
      </c>
      <c r="L1989" t="s">
        <v>175</v>
      </c>
      <c r="N1989" t="s">
        <v>176</v>
      </c>
      <c r="Q1989">
        <v>30557</v>
      </c>
      <c r="R1989" t="s">
        <v>322</v>
      </c>
      <c r="S1989" t="s">
        <v>8332</v>
      </c>
      <c r="T1989">
        <v>25</v>
      </c>
      <c r="V1989" s="1">
        <v>45740</v>
      </c>
      <c r="W1989" t="s">
        <v>84</v>
      </c>
      <c r="X1989">
        <v>807112</v>
      </c>
      <c r="Y1989" t="s">
        <v>13114</v>
      </c>
      <c r="Z1989" t="s">
        <v>13115</v>
      </c>
      <c r="AA1989" t="e">
        <f ca="1">- performed blank cartridge test on C2, C3
- generated reports
- performed self test
- checked _xludf.and cleaned cartridge bay, plunger rod, _xludf.filter, icore slot</f>
        <v>#NAME?</v>
      </c>
      <c r="AB1989" s="2" t="s">
        <v>13116</v>
      </c>
      <c r="AD1989" t="s">
        <v>13117</v>
      </c>
      <c r="AE1989">
        <v>12872</v>
      </c>
      <c r="AG1989" t="s">
        <v>13118</v>
      </c>
      <c r="AH1989" t="s">
        <v>13119</v>
      </c>
      <c r="AI1989" t="s">
        <v>13120</v>
      </c>
    </row>
    <row r="1990" spans="2:35" ht="409.5">
      <c r="B1990" s="1">
        <v>45742</v>
      </c>
      <c r="C1990" s="1">
        <v>45742</v>
      </c>
      <c r="D1990" t="s">
        <v>1155</v>
      </c>
      <c r="E1990" t="s">
        <v>8331</v>
      </c>
      <c r="F1990" t="s">
        <v>148</v>
      </c>
      <c r="G1990" t="s">
        <v>230</v>
      </c>
      <c r="H1990" t="s">
        <v>39</v>
      </c>
      <c r="I1990" t="s">
        <v>40</v>
      </c>
      <c r="J1990" s="2" t="s">
        <v>760</v>
      </c>
      <c r="K1990" t="s">
        <v>42</v>
      </c>
      <c r="L1990" t="s">
        <v>175</v>
      </c>
      <c r="N1990" t="s">
        <v>176</v>
      </c>
      <c r="Q1990">
        <v>30556</v>
      </c>
      <c r="R1990" t="s">
        <v>322</v>
      </c>
      <c r="S1990" t="s">
        <v>8332</v>
      </c>
      <c r="T1990">
        <v>25</v>
      </c>
      <c r="V1990" s="1">
        <v>45740</v>
      </c>
      <c r="W1990" t="s">
        <v>84</v>
      </c>
      <c r="X1990">
        <v>807957</v>
      </c>
      <c r="Y1990" t="e">
        <f ca="1">- Barcode scanner _xludf.For Installation
- modules D2, D3 _xludf.For Troubleshooting
- monitor shutting down problem</f>
        <v>#NAME?</v>
      </c>
      <c r="Z1990" t="e">
        <f ca="1">- installed Barcode scanner
- performed test on D2, D3</f>
        <v>#NAME?</v>
      </c>
      <c r="AA1990" s="2" t="s">
        <v>13121</v>
      </c>
      <c r="AB1990" s="2" t="s">
        <v>13122</v>
      </c>
      <c r="AD1990" s="2" t="s">
        <v>13123</v>
      </c>
      <c r="AE1990" t="s">
        <v>13124</v>
      </c>
      <c r="AG1990" t="s">
        <v>13125</v>
      </c>
      <c r="AH1990" t="s">
        <v>1166</v>
      </c>
      <c r="AI1990" t="s">
        <v>13126</v>
      </c>
    </row>
    <row r="1991" spans="2:35" ht="345">
      <c r="B1991" s="1">
        <v>45741</v>
      </c>
      <c r="C1991" s="1">
        <v>45741</v>
      </c>
      <c r="D1991" t="s">
        <v>837</v>
      </c>
      <c r="E1991" t="s">
        <v>13127</v>
      </c>
      <c r="F1991">
        <v>5</v>
      </c>
      <c r="G1991" t="s">
        <v>839</v>
      </c>
      <c r="H1991" t="s">
        <v>513</v>
      </c>
      <c r="I1991" t="s">
        <v>94</v>
      </c>
      <c r="J1991" t="s">
        <v>525</v>
      </c>
      <c r="K1991" t="s">
        <v>387</v>
      </c>
      <c r="L1991" t="s">
        <v>761</v>
      </c>
      <c r="N1991" t="s">
        <v>762</v>
      </c>
      <c r="Q1991">
        <v>30555</v>
      </c>
      <c r="R1991" t="s">
        <v>322</v>
      </c>
      <c r="S1991" t="s">
        <v>13128</v>
      </c>
      <c r="T1991">
        <v>25</v>
      </c>
      <c r="W1991" t="s">
        <v>390</v>
      </c>
      <c r="X1991" t="s">
        <v>847</v>
      </c>
      <c r="Y1991" t="s">
        <v>13129</v>
      </c>
      <c r="Z1991" s="2" t="s">
        <v>13130</v>
      </c>
      <c r="AA1991" t="s">
        <v>1935</v>
      </c>
      <c r="AB1991" t="s">
        <v>181</v>
      </c>
      <c r="AG1991" t="s">
        <v>13131</v>
      </c>
      <c r="AH1991" t="s">
        <v>10563</v>
      </c>
      <c r="AI1991" t="s">
        <v>13132</v>
      </c>
    </row>
    <row r="1992" spans="2:35" ht="195">
      <c r="B1992" s="1">
        <v>45741</v>
      </c>
      <c r="C1992" s="1">
        <v>45741</v>
      </c>
      <c r="D1992" t="s">
        <v>837</v>
      </c>
      <c r="E1992" t="s">
        <v>10558</v>
      </c>
      <c r="F1992">
        <v>5</v>
      </c>
      <c r="G1992" t="s">
        <v>839</v>
      </c>
      <c r="H1992" t="s">
        <v>513</v>
      </c>
      <c r="I1992" t="s">
        <v>94</v>
      </c>
      <c r="J1992" t="s">
        <v>525</v>
      </c>
      <c r="K1992" t="s">
        <v>387</v>
      </c>
      <c r="L1992" t="s">
        <v>761</v>
      </c>
      <c r="N1992" t="s">
        <v>762</v>
      </c>
      <c r="Q1992">
        <v>30554</v>
      </c>
      <c r="R1992" t="s">
        <v>322</v>
      </c>
      <c r="S1992" t="s">
        <v>13128</v>
      </c>
      <c r="T1992">
        <v>25</v>
      </c>
      <c r="W1992" t="s">
        <v>390</v>
      </c>
      <c r="X1992" t="s">
        <v>841</v>
      </c>
      <c r="Y1992" t="s">
        <v>13133</v>
      </c>
      <c r="Z1992" s="2" t="s">
        <v>13134</v>
      </c>
      <c r="AA1992" t="s">
        <v>1935</v>
      </c>
      <c r="AB1992" t="s">
        <v>13135</v>
      </c>
      <c r="AC1992" t="s">
        <v>13136</v>
      </c>
      <c r="AG1992" t="s">
        <v>13137</v>
      </c>
      <c r="AH1992" t="s">
        <v>10563</v>
      </c>
      <c r="AI1992" t="s">
        <v>13138</v>
      </c>
    </row>
    <row r="1993" spans="2:35" ht="150">
      <c r="B1993" s="1">
        <v>45741</v>
      </c>
      <c r="C1993" s="1">
        <v>45741</v>
      </c>
      <c r="D1993" t="s">
        <v>3712</v>
      </c>
      <c r="E1993" t="s">
        <v>6028</v>
      </c>
      <c r="F1993" t="s">
        <v>148</v>
      </c>
      <c r="G1993" t="s">
        <v>310</v>
      </c>
      <c r="H1993" t="s">
        <v>2274</v>
      </c>
      <c r="I1993" t="s">
        <v>40</v>
      </c>
      <c r="J1993" s="2" t="s">
        <v>1899</v>
      </c>
      <c r="K1993" t="s">
        <v>387</v>
      </c>
      <c r="L1993" t="s">
        <v>1943</v>
      </c>
      <c r="N1993" t="s">
        <v>1944</v>
      </c>
      <c r="Q1993">
        <v>30553</v>
      </c>
      <c r="R1993" t="s">
        <v>322</v>
      </c>
      <c r="S1993" t="s">
        <v>9747</v>
      </c>
      <c r="T1993">
        <v>25</v>
      </c>
      <c r="W1993" t="s">
        <v>390</v>
      </c>
      <c r="X1993" t="s">
        <v>3715</v>
      </c>
      <c r="Y1993" t="s">
        <v>13139</v>
      </c>
      <c r="Z1993" t="s">
        <v>2443</v>
      </c>
      <c r="AA1993" s="2" t="s">
        <v>13140</v>
      </c>
      <c r="AB1993" t="s">
        <v>13141</v>
      </c>
      <c r="AG1993" t="s">
        <v>13142</v>
      </c>
      <c r="AH1993" t="s">
        <v>10576</v>
      </c>
      <c r="AI1993" t="s">
        <v>13143</v>
      </c>
    </row>
    <row r="1994" spans="2:35">
      <c r="B1994" s="1">
        <v>45741</v>
      </c>
      <c r="C1994" s="1">
        <v>45741</v>
      </c>
      <c r="D1994" t="s">
        <v>2470</v>
      </c>
      <c r="E1994" t="s">
        <v>9436</v>
      </c>
      <c r="F1994" t="s">
        <v>148</v>
      </c>
      <c r="G1994" t="s">
        <v>230</v>
      </c>
      <c r="H1994" t="s">
        <v>513</v>
      </c>
      <c r="I1994" t="s">
        <v>40</v>
      </c>
      <c r="J1994" t="s">
        <v>525</v>
      </c>
      <c r="K1994" t="s">
        <v>387</v>
      </c>
      <c r="L1994" t="s">
        <v>175</v>
      </c>
      <c r="N1994" t="s">
        <v>176</v>
      </c>
      <c r="Q1994">
        <v>30552</v>
      </c>
      <c r="R1994" t="s">
        <v>322</v>
      </c>
      <c r="S1994" t="s">
        <v>2471</v>
      </c>
      <c r="T1994">
        <v>25</v>
      </c>
      <c r="W1994" t="s">
        <v>390</v>
      </c>
      <c r="X1994" t="s">
        <v>5622</v>
      </c>
      <c r="Y1994" t="s">
        <v>13144</v>
      </c>
      <c r="Z1994" t="s">
        <v>13145</v>
      </c>
      <c r="AA1994" t="e">
        <f ca="1">- checked _xludf.and tightened centrifuge cover screws
- checked CALIBRATION parameters (ALL withi  acceptable range)
- checked rotor roller pumps
- performed self test</f>
        <v>#NAME?</v>
      </c>
      <c r="AB1994" t="s">
        <v>181</v>
      </c>
      <c r="AG1994" t="s">
        <v>13146</v>
      </c>
      <c r="AH1994" t="s">
        <v>13147</v>
      </c>
      <c r="AI1994" t="s">
        <v>13148</v>
      </c>
    </row>
    <row r="1995" spans="2:35" ht="105">
      <c r="B1995" s="1">
        <v>45741</v>
      </c>
      <c r="C1995" s="1">
        <v>45741</v>
      </c>
      <c r="D1995" t="s">
        <v>1071</v>
      </c>
      <c r="E1995" t="s">
        <v>1555</v>
      </c>
      <c r="F1995">
        <v>7</v>
      </c>
      <c r="G1995" t="s">
        <v>432</v>
      </c>
      <c r="H1995" t="s">
        <v>150</v>
      </c>
      <c r="I1995" t="s">
        <v>40</v>
      </c>
      <c r="J1995" t="s">
        <v>109</v>
      </c>
      <c r="K1995" t="s">
        <v>42</v>
      </c>
      <c r="L1995" t="s">
        <v>343</v>
      </c>
      <c r="N1995" t="s">
        <v>344</v>
      </c>
      <c r="Q1995">
        <v>30551</v>
      </c>
      <c r="R1995" t="s">
        <v>119</v>
      </c>
      <c r="S1995" t="s">
        <v>8679</v>
      </c>
      <c r="T1995">
        <v>26</v>
      </c>
      <c r="U1995" s="2" t="s">
        <v>13149</v>
      </c>
      <c r="W1995" t="s">
        <v>1501</v>
      </c>
      <c r="X1995">
        <v>838285</v>
      </c>
      <c r="Y1995" t="s">
        <v>8412</v>
      </c>
      <c r="Z1995" t="e">
        <f ca="1">-PERFORM Preventive Maintenance _xludf.and routine Check-up</f>
        <v>#NAME?</v>
      </c>
      <c r="AA1995" t="e">
        <f ca="1">-Preventive Maintenance</f>
        <v>#NAME?</v>
      </c>
      <c r="AB1995" t="s">
        <v>348</v>
      </c>
      <c r="AG1995" t="s">
        <v>13150</v>
      </c>
      <c r="AH1995" t="s">
        <v>13151</v>
      </c>
      <c r="AI1995" t="s">
        <v>13152</v>
      </c>
    </row>
    <row r="1996" spans="2:35" ht="409.5">
      <c r="B1996" s="1">
        <v>45741</v>
      </c>
      <c r="C1996" s="1">
        <v>45741</v>
      </c>
      <c r="D1996" t="s">
        <v>7449</v>
      </c>
      <c r="E1996" t="s">
        <v>13153</v>
      </c>
      <c r="F1996" t="s">
        <v>148</v>
      </c>
      <c r="G1996" t="s">
        <v>447</v>
      </c>
      <c r="H1996" t="s">
        <v>295</v>
      </c>
      <c r="I1996" t="s">
        <v>40</v>
      </c>
      <c r="J1996" t="s">
        <v>109</v>
      </c>
      <c r="K1996" t="s">
        <v>42</v>
      </c>
      <c r="L1996" t="s">
        <v>1943</v>
      </c>
      <c r="N1996" t="s">
        <v>1944</v>
      </c>
      <c r="Q1996">
        <v>30550</v>
      </c>
      <c r="R1996" t="s">
        <v>703</v>
      </c>
      <c r="S1996" t="s">
        <v>3698</v>
      </c>
      <c r="T1996">
        <v>25</v>
      </c>
      <c r="U1996" s="2" t="s">
        <v>13154</v>
      </c>
      <c r="W1996" t="s">
        <v>84</v>
      </c>
      <c r="X1996">
        <v>835601</v>
      </c>
      <c r="Y1996" t="s">
        <v>2099</v>
      </c>
      <c r="Z1996" t="s">
        <v>2100</v>
      </c>
      <c r="AA1996" s="2" t="s">
        <v>2101</v>
      </c>
      <c r="AB1996" t="s">
        <v>88</v>
      </c>
      <c r="AG1996" t="s">
        <v>13155</v>
      </c>
      <c r="AH1996" t="s">
        <v>7452</v>
      </c>
      <c r="AI1996" t="s">
        <v>13156</v>
      </c>
    </row>
    <row r="1997" spans="2:35" ht="409.5">
      <c r="B1997" s="1">
        <v>45741</v>
      </c>
      <c r="C1997" s="1">
        <v>45741</v>
      </c>
      <c r="D1997" t="s">
        <v>7449</v>
      </c>
      <c r="E1997" t="s">
        <v>13153</v>
      </c>
      <c r="F1997" t="s">
        <v>148</v>
      </c>
      <c r="G1997" t="s">
        <v>447</v>
      </c>
      <c r="H1997" t="s">
        <v>295</v>
      </c>
      <c r="I1997" t="s">
        <v>40</v>
      </c>
      <c r="J1997" t="s">
        <v>109</v>
      </c>
      <c r="K1997" t="s">
        <v>42</v>
      </c>
      <c r="L1997" t="s">
        <v>1943</v>
      </c>
      <c r="N1997" t="s">
        <v>1944</v>
      </c>
      <c r="Q1997">
        <v>30549</v>
      </c>
      <c r="R1997" t="s">
        <v>703</v>
      </c>
      <c r="S1997" t="s">
        <v>3698</v>
      </c>
      <c r="T1997">
        <v>25</v>
      </c>
      <c r="U1997" s="2" t="s">
        <v>13157</v>
      </c>
      <c r="W1997" t="s">
        <v>84</v>
      </c>
      <c r="X1997">
        <v>835602</v>
      </c>
      <c r="Y1997" t="s">
        <v>2099</v>
      </c>
      <c r="Z1997" t="s">
        <v>2100</v>
      </c>
      <c r="AA1997" s="2" t="s">
        <v>2101</v>
      </c>
      <c r="AB1997" t="s">
        <v>88</v>
      </c>
      <c r="AG1997" t="s">
        <v>13158</v>
      </c>
      <c r="AH1997" t="s">
        <v>7452</v>
      </c>
      <c r="AI1997" t="s">
        <v>13159</v>
      </c>
    </row>
    <row r="1998" spans="2:35" ht="105">
      <c r="B1998" s="1">
        <v>45741</v>
      </c>
      <c r="C1998" s="1">
        <v>45741</v>
      </c>
      <c r="D1998" t="s">
        <v>7465</v>
      </c>
      <c r="E1998" t="s">
        <v>7466</v>
      </c>
      <c r="F1998">
        <v>8</v>
      </c>
      <c r="G1998" t="s">
        <v>342</v>
      </c>
      <c r="H1998" t="s">
        <v>13160</v>
      </c>
      <c r="I1998" t="s">
        <v>40</v>
      </c>
      <c r="J1998" s="2" t="s">
        <v>190</v>
      </c>
      <c r="K1998" t="s">
        <v>42</v>
      </c>
      <c r="L1998" t="s">
        <v>259</v>
      </c>
      <c r="N1998" t="s">
        <v>260</v>
      </c>
      <c r="O1998" t="s">
        <v>260</v>
      </c>
      <c r="Q1998">
        <v>30548</v>
      </c>
      <c r="R1998" t="s">
        <v>119</v>
      </c>
      <c r="S1998" t="s">
        <v>260</v>
      </c>
      <c r="T1998">
        <v>26</v>
      </c>
      <c r="U1998" s="2" t="s">
        <v>13161</v>
      </c>
      <c r="V1998" s="1">
        <v>45741</v>
      </c>
      <c r="W1998" t="s">
        <v>84</v>
      </c>
      <c r="X1998">
        <v>838551</v>
      </c>
      <c r="Y1998" t="s">
        <v>13162</v>
      </c>
      <c r="Z1998" t="e">
        <f ca="1">- Troubleshooting
- Preventive Maintenance</f>
        <v>#NAME?</v>
      </c>
      <c r="AA1998" t="e">
        <f ca="1">- performed functionality test
-  Preventive Maintenance
- Generate IQR _xludf.and system _xludf.Log</f>
        <v>#NAME?</v>
      </c>
      <c r="AB1998" t="s">
        <v>70</v>
      </c>
      <c r="AG1998" t="s">
        <v>13163</v>
      </c>
      <c r="AH1998" t="s">
        <v>7469</v>
      </c>
      <c r="AI1998" t="s">
        <v>13164</v>
      </c>
    </row>
    <row r="1999" spans="2:35" ht="409.5">
      <c r="B1999" s="1">
        <v>45741</v>
      </c>
      <c r="C1999" s="1">
        <v>45628</v>
      </c>
      <c r="D1999" t="s">
        <v>1071</v>
      </c>
      <c r="E1999" t="s">
        <v>1072</v>
      </c>
      <c r="F1999">
        <v>7</v>
      </c>
      <c r="G1999" t="s">
        <v>432</v>
      </c>
      <c r="H1999" t="s">
        <v>386</v>
      </c>
      <c r="I1999" t="s">
        <v>40</v>
      </c>
      <c r="J1999" s="2" t="s">
        <v>62</v>
      </c>
      <c r="K1999" t="s">
        <v>387</v>
      </c>
      <c r="L1999" t="s">
        <v>610</v>
      </c>
      <c r="N1999" t="s">
        <v>611</v>
      </c>
      <c r="Q1999">
        <v>30547</v>
      </c>
      <c r="R1999" t="s">
        <v>95</v>
      </c>
      <c r="S1999" t="s">
        <v>1073</v>
      </c>
      <c r="T1999">
        <v>24</v>
      </c>
      <c r="W1999" t="s">
        <v>390</v>
      </c>
      <c r="X1999" t="s">
        <v>1074</v>
      </c>
      <c r="Y1999" t="s">
        <v>13165</v>
      </c>
      <c r="Z1999" s="2" t="s">
        <v>13166</v>
      </c>
      <c r="AA1999" s="2" t="s">
        <v>13166</v>
      </c>
      <c r="AB1999" t="s">
        <v>13167</v>
      </c>
      <c r="AG1999" t="s">
        <v>13168</v>
      </c>
      <c r="AH1999" t="s">
        <v>1071</v>
      </c>
      <c r="AI1999" t="s">
        <v>13169</v>
      </c>
    </row>
    <row r="2000" spans="2:35" ht="120">
      <c r="B2000" s="1">
        <v>45741</v>
      </c>
      <c r="C2000" s="1">
        <v>45736</v>
      </c>
      <c r="D2000" t="s">
        <v>10656</v>
      </c>
      <c r="E2000" t="s">
        <v>8313</v>
      </c>
      <c r="F2000">
        <v>5</v>
      </c>
      <c r="G2000" t="s">
        <v>8314</v>
      </c>
      <c r="H2000" t="s">
        <v>39</v>
      </c>
      <c r="I2000" t="s">
        <v>94</v>
      </c>
      <c r="J2000" t="s">
        <v>109</v>
      </c>
      <c r="K2000" t="s">
        <v>42</v>
      </c>
      <c r="L2000" t="s">
        <v>761</v>
      </c>
      <c r="N2000" t="s">
        <v>762</v>
      </c>
      <c r="Q2000">
        <v>30546</v>
      </c>
      <c r="R2000" t="s">
        <v>119</v>
      </c>
      <c r="S2000" t="s">
        <v>10657</v>
      </c>
      <c r="T2000">
        <v>26</v>
      </c>
      <c r="U2000" s="2" t="s">
        <v>13170</v>
      </c>
      <c r="W2000" t="s">
        <v>765</v>
      </c>
      <c r="X2000">
        <v>838563</v>
      </c>
      <c r="Y2000" t="s">
        <v>818</v>
      </c>
      <c r="Z2000" s="2" t="s">
        <v>7933</v>
      </c>
      <c r="AA2000" t="s">
        <v>820</v>
      </c>
      <c r="AB2000" t="s">
        <v>70</v>
      </c>
      <c r="AG2000" t="s">
        <v>13171</v>
      </c>
      <c r="AH2000" t="s">
        <v>8318</v>
      </c>
      <c r="AI2000" t="s">
        <v>13172</v>
      </c>
    </row>
    <row r="2001" spans="2:35" ht="210">
      <c r="B2001" s="1">
        <v>45741</v>
      </c>
      <c r="C2001" s="1">
        <v>45737</v>
      </c>
      <c r="D2001" t="s">
        <v>1678</v>
      </c>
      <c r="E2001" t="s">
        <v>13173</v>
      </c>
      <c r="F2001" t="s">
        <v>148</v>
      </c>
      <c r="G2001" t="s">
        <v>785</v>
      </c>
      <c r="H2001" t="s">
        <v>39</v>
      </c>
      <c r="I2001" t="s">
        <v>40</v>
      </c>
      <c r="J2001" t="s">
        <v>109</v>
      </c>
      <c r="K2001" t="s">
        <v>42</v>
      </c>
      <c r="L2001" t="s">
        <v>43</v>
      </c>
      <c r="N2001" t="s">
        <v>44</v>
      </c>
      <c r="Q2001">
        <v>30545</v>
      </c>
      <c r="R2001" t="s">
        <v>322</v>
      </c>
      <c r="S2001" t="s">
        <v>1680</v>
      </c>
      <c r="T2001">
        <v>22</v>
      </c>
      <c r="U2001" s="2" t="s">
        <v>13174</v>
      </c>
      <c r="W2001" t="s">
        <v>153</v>
      </c>
      <c r="X2001">
        <v>110024246</v>
      </c>
      <c r="Y2001" t="s">
        <v>121</v>
      </c>
      <c r="Z2001" t="s">
        <v>122</v>
      </c>
      <c r="AA2001" s="2" t="s">
        <v>13175</v>
      </c>
      <c r="AB2001" t="s">
        <v>548</v>
      </c>
      <c r="AG2001" t="s">
        <v>13176</v>
      </c>
      <c r="AH2001" t="s">
        <v>1684</v>
      </c>
      <c r="AI2001" t="s">
        <v>13177</v>
      </c>
    </row>
    <row r="2002" spans="2:35" ht="210">
      <c r="B2002" s="1">
        <v>45741</v>
      </c>
      <c r="C2002" s="1">
        <v>45737</v>
      </c>
      <c r="D2002" t="s">
        <v>4909</v>
      </c>
      <c r="E2002" t="s">
        <v>13178</v>
      </c>
      <c r="F2002" t="s">
        <v>148</v>
      </c>
      <c r="G2002" t="s">
        <v>785</v>
      </c>
      <c r="H2002" t="s">
        <v>39</v>
      </c>
      <c r="I2002" t="s">
        <v>40</v>
      </c>
      <c r="J2002" t="s">
        <v>109</v>
      </c>
      <c r="K2002" t="s">
        <v>42</v>
      </c>
      <c r="L2002" t="s">
        <v>43</v>
      </c>
      <c r="N2002" t="s">
        <v>44</v>
      </c>
      <c r="Q2002">
        <v>30544</v>
      </c>
      <c r="R2002" t="s">
        <v>322</v>
      </c>
      <c r="S2002" t="s">
        <v>786</v>
      </c>
      <c r="T2002">
        <v>22</v>
      </c>
      <c r="U2002" s="2" t="s">
        <v>13179</v>
      </c>
      <c r="W2002" t="s">
        <v>48</v>
      </c>
      <c r="X2002">
        <v>821648</v>
      </c>
      <c r="Y2002" t="s">
        <v>121</v>
      </c>
      <c r="Z2002" t="s">
        <v>122</v>
      </c>
      <c r="AA2002" s="2" t="s">
        <v>13180</v>
      </c>
      <c r="AB2002" t="s">
        <v>13181</v>
      </c>
      <c r="AG2002" t="s">
        <v>13182</v>
      </c>
      <c r="AH2002" t="s">
        <v>4918</v>
      </c>
      <c r="AI2002" t="s">
        <v>13183</v>
      </c>
    </row>
    <row r="2003" spans="2:35" ht="225">
      <c r="B2003" s="1">
        <v>45740</v>
      </c>
      <c r="C2003" s="1">
        <v>45737</v>
      </c>
      <c r="D2003" t="s">
        <v>9780</v>
      </c>
      <c r="E2003" t="s">
        <v>4260</v>
      </c>
      <c r="F2003" t="s">
        <v>148</v>
      </c>
      <c r="G2003" t="s">
        <v>2007</v>
      </c>
      <c r="H2003" t="s">
        <v>662</v>
      </c>
      <c r="I2003" t="s">
        <v>40</v>
      </c>
      <c r="J2003" t="s">
        <v>525</v>
      </c>
      <c r="K2003" t="s">
        <v>42</v>
      </c>
      <c r="L2003" t="s">
        <v>448</v>
      </c>
      <c r="N2003" t="s">
        <v>450</v>
      </c>
      <c r="Q2003">
        <v>30543</v>
      </c>
      <c r="R2003" t="s">
        <v>95</v>
      </c>
      <c r="S2003" t="s">
        <v>13184</v>
      </c>
      <c r="T2003">
        <v>28</v>
      </c>
      <c r="U2003" s="2" t="s">
        <v>13185</v>
      </c>
      <c r="W2003" t="s">
        <v>13186</v>
      </c>
      <c r="X2003">
        <v>807128</v>
      </c>
      <c r="Y2003" s="2" t="s">
        <v>13187</v>
      </c>
      <c r="Z2003" s="2" t="s">
        <v>13188</v>
      </c>
      <c r="AA2003" t="s">
        <v>768</v>
      </c>
      <c r="AB2003" s="2" t="s">
        <v>13189</v>
      </c>
      <c r="AG2003" t="s">
        <v>13190</v>
      </c>
      <c r="AH2003" t="s">
        <v>13191</v>
      </c>
      <c r="AI2003" t="s">
        <v>13192</v>
      </c>
    </row>
    <row r="2004" spans="2:35" ht="105">
      <c r="B2004" s="1">
        <v>45738</v>
      </c>
      <c r="C2004" s="1">
        <v>45738</v>
      </c>
      <c r="D2004" t="s">
        <v>13193</v>
      </c>
      <c r="E2004" t="s">
        <v>309</v>
      </c>
      <c r="F2004" t="s">
        <v>148</v>
      </c>
      <c r="G2004" t="s">
        <v>310</v>
      </c>
      <c r="H2004" t="s">
        <v>513</v>
      </c>
      <c r="I2004" t="s">
        <v>40</v>
      </c>
      <c r="J2004" t="s">
        <v>525</v>
      </c>
      <c r="K2004" t="s">
        <v>387</v>
      </c>
      <c r="L2004" t="s">
        <v>175</v>
      </c>
      <c r="N2004" t="s">
        <v>176</v>
      </c>
      <c r="Q2004">
        <v>30542</v>
      </c>
      <c r="R2004" t="s">
        <v>322</v>
      </c>
      <c r="S2004" t="s">
        <v>3824</v>
      </c>
      <c r="T2004">
        <v>28</v>
      </c>
      <c r="W2004" t="s">
        <v>390</v>
      </c>
      <c r="X2004" t="s">
        <v>3715</v>
      </c>
      <c r="Y2004" t="s">
        <v>13194</v>
      </c>
      <c r="Z2004" t="s">
        <v>13195</v>
      </c>
      <c r="AA2004" t="e">
        <f ca="1">- checked Unit (keys are working)
- Reset internal ribbon Connections
- performed self test
- checked CALIBRATION parameters
- checked rotor roller pumps</f>
        <v>#NAME?</v>
      </c>
      <c r="AB2004" s="2" t="s">
        <v>13196</v>
      </c>
      <c r="AG2004" t="s">
        <v>13197</v>
      </c>
      <c r="AH2004" t="s">
        <v>6118</v>
      </c>
      <c r="AI2004" t="s">
        <v>13198</v>
      </c>
    </row>
    <row r="2005" spans="2:35" ht="105">
      <c r="B2005" s="1">
        <v>45737</v>
      </c>
      <c r="C2005" s="1">
        <v>45736</v>
      </c>
      <c r="D2005" t="s">
        <v>13199</v>
      </c>
      <c r="E2005" t="s">
        <v>13200</v>
      </c>
      <c r="F2005">
        <v>7</v>
      </c>
      <c r="G2005" t="s">
        <v>432</v>
      </c>
      <c r="H2005" t="s">
        <v>39</v>
      </c>
      <c r="I2005" t="s">
        <v>40</v>
      </c>
      <c r="J2005" s="2" t="s">
        <v>41</v>
      </c>
      <c r="K2005" t="s">
        <v>42</v>
      </c>
      <c r="L2005" t="s">
        <v>1288</v>
      </c>
      <c r="N2005" t="s">
        <v>1289</v>
      </c>
      <c r="Q2005">
        <v>30541</v>
      </c>
      <c r="R2005" t="s">
        <v>119</v>
      </c>
      <c r="S2005" t="s">
        <v>13201</v>
      </c>
      <c r="T2005">
        <v>29</v>
      </c>
      <c r="U2005" s="2" t="s">
        <v>1500</v>
      </c>
      <c r="V2005" s="1">
        <v>45706</v>
      </c>
      <c r="W2005" t="s">
        <v>1292</v>
      </c>
      <c r="X2005">
        <v>838509</v>
      </c>
      <c r="Y2005" t="e">
        <f ca="1">-_xludf.For monitor Replacement
-_xludf.For Preventive Maintenance</f>
        <v>#NAME?</v>
      </c>
      <c r="Z2005" t="e">
        <f ca="1">-COLLECT IQR, system _xludf.Log, _xludf.and ARCHIVE</f>
        <v>#NAME?</v>
      </c>
      <c r="AA2005" t="e">
        <f ca="1">-PERFORM monitor Replacement with new SN:CN461016WL
-PERFORM Preventive Maintenance PROCEDURE</f>
        <v>#NAME?</v>
      </c>
      <c r="AB2005" t="s">
        <v>1293</v>
      </c>
      <c r="AD2005" t="s">
        <v>13202</v>
      </c>
      <c r="AE2005">
        <v>12757</v>
      </c>
      <c r="AG2005" t="s">
        <v>13203</v>
      </c>
      <c r="AH2005" t="s">
        <v>8469</v>
      </c>
      <c r="AI2005" t="s">
        <v>13204</v>
      </c>
    </row>
    <row r="2006" spans="2:35" ht="300">
      <c r="B2006" s="1">
        <v>45736</v>
      </c>
      <c r="C2006" s="1">
        <v>45734</v>
      </c>
      <c r="D2006" t="s">
        <v>542</v>
      </c>
      <c r="E2006" t="s">
        <v>543</v>
      </c>
      <c r="F2006" t="s">
        <v>148</v>
      </c>
      <c r="G2006" t="s">
        <v>544</v>
      </c>
      <c r="H2006" t="s">
        <v>39</v>
      </c>
      <c r="I2006" t="s">
        <v>40</v>
      </c>
      <c r="J2006" t="s">
        <v>109</v>
      </c>
      <c r="K2006" t="s">
        <v>42</v>
      </c>
      <c r="L2006" t="s">
        <v>43</v>
      </c>
      <c r="N2006" t="s">
        <v>44</v>
      </c>
      <c r="Q2006">
        <v>30537</v>
      </c>
      <c r="R2006" t="s">
        <v>322</v>
      </c>
      <c r="S2006" t="s">
        <v>6737</v>
      </c>
      <c r="T2006">
        <v>24</v>
      </c>
      <c r="U2006" s="2" t="s">
        <v>13205</v>
      </c>
      <c r="W2006" t="s">
        <v>153</v>
      </c>
      <c r="X2006">
        <v>120000613</v>
      </c>
      <c r="Y2006" t="s">
        <v>121</v>
      </c>
      <c r="Z2006" t="s">
        <v>122</v>
      </c>
      <c r="AA2006" s="2" t="s">
        <v>9744</v>
      </c>
      <c r="AB2006" t="s">
        <v>548</v>
      </c>
      <c r="AG2006" t="s">
        <v>13206</v>
      </c>
      <c r="AH2006" t="s">
        <v>13207</v>
      </c>
      <c r="AI2006" t="s">
        <v>13208</v>
      </c>
    </row>
    <row r="2007" spans="2:35" ht="300">
      <c r="B2007" s="1">
        <v>45736</v>
      </c>
      <c r="C2007" s="1">
        <v>45734</v>
      </c>
      <c r="D2007" t="s">
        <v>542</v>
      </c>
      <c r="E2007" t="s">
        <v>543</v>
      </c>
      <c r="F2007" t="s">
        <v>148</v>
      </c>
      <c r="G2007" t="s">
        <v>544</v>
      </c>
      <c r="H2007" t="s">
        <v>39</v>
      </c>
      <c r="I2007" t="s">
        <v>40</v>
      </c>
      <c r="J2007" t="s">
        <v>109</v>
      </c>
      <c r="K2007" t="s">
        <v>42</v>
      </c>
      <c r="L2007" t="s">
        <v>43</v>
      </c>
      <c r="N2007" t="s">
        <v>44</v>
      </c>
      <c r="Q2007">
        <v>30536</v>
      </c>
      <c r="R2007" t="s">
        <v>322</v>
      </c>
      <c r="S2007" t="s">
        <v>6737</v>
      </c>
      <c r="T2007">
        <v>20</v>
      </c>
      <c r="U2007" s="2" t="s">
        <v>13209</v>
      </c>
      <c r="W2007" t="s">
        <v>153</v>
      </c>
      <c r="X2007">
        <v>110024073</v>
      </c>
      <c r="Y2007" t="s">
        <v>121</v>
      </c>
      <c r="Z2007" t="s">
        <v>122</v>
      </c>
      <c r="AA2007" s="2" t="s">
        <v>9740</v>
      </c>
      <c r="AB2007" t="s">
        <v>548</v>
      </c>
      <c r="AG2007" t="s">
        <v>13210</v>
      </c>
      <c r="AH2007" t="s">
        <v>13207</v>
      </c>
      <c r="AI2007" t="s">
        <v>13211</v>
      </c>
    </row>
    <row r="2008" spans="2:35" ht="300">
      <c r="B2008" s="1">
        <v>45736</v>
      </c>
      <c r="C2008" s="1">
        <v>45736</v>
      </c>
      <c r="D2008" t="s">
        <v>3030</v>
      </c>
      <c r="E2008" t="s">
        <v>13212</v>
      </c>
      <c r="F2008" t="s">
        <v>37</v>
      </c>
      <c r="G2008" t="s">
        <v>38</v>
      </c>
      <c r="H2008" t="s">
        <v>39</v>
      </c>
      <c r="I2008" t="s">
        <v>40</v>
      </c>
      <c r="J2008" t="s">
        <v>109</v>
      </c>
      <c r="K2008" t="s">
        <v>42</v>
      </c>
      <c r="L2008" t="s">
        <v>43</v>
      </c>
      <c r="N2008" t="s">
        <v>44</v>
      </c>
      <c r="Q2008">
        <v>30539</v>
      </c>
      <c r="R2008" t="s">
        <v>967</v>
      </c>
      <c r="S2008" t="s">
        <v>3032</v>
      </c>
      <c r="T2008">
        <v>22</v>
      </c>
      <c r="U2008" s="2" t="s">
        <v>13213</v>
      </c>
      <c r="W2008" t="s">
        <v>153</v>
      </c>
      <c r="X2008">
        <v>110023496</v>
      </c>
      <c r="Y2008" t="s">
        <v>121</v>
      </c>
      <c r="Z2008" t="s">
        <v>122</v>
      </c>
      <c r="AA2008" s="2" t="s">
        <v>123</v>
      </c>
      <c r="AB2008" t="s">
        <v>548</v>
      </c>
      <c r="AG2008" t="s">
        <v>13214</v>
      </c>
      <c r="AH2008" t="s">
        <v>3035</v>
      </c>
      <c r="AI2008" t="s">
        <v>13215</v>
      </c>
    </row>
    <row r="2009" spans="2:35" ht="300">
      <c r="B2009" s="1">
        <v>45736</v>
      </c>
      <c r="C2009" s="1">
        <v>45734</v>
      </c>
      <c r="D2009" t="s">
        <v>542</v>
      </c>
      <c r="E2009" t="s">
        <v>543</v>
      </c>
      <c r="F2009" t="s">
        <v>148</v>
      </c>
      <c r="G2009" t="s">
        <v>544</v>
      </c>
      <c r="H2009" t="s">
        <v>39</v>
      </c>
      <c r="I2009" t="s">
        <v>40</v>
      </c>
      <c r="J2009" t="s">
        <v>109</v>
      </c>
      <c r="K2009" t="s">
        <v>42</v>
      </c>
      <c r="L2009" t="s">
        <v>43</v>
      </c>
      <c r="N2009" t="s">
        <v>44</v>
      </c>
      <c r="Q2009">
        <v>30540</v>
      </c>
      <c r="R2009" t="s">
        <v>322</v>
      </c>
      <c r="S2009" t="s">
        <v>6737</v>
      </c>
      <c r="T2009">
        <v>22</v>
      </c>
      <c r="U2009" s="2" t="s">
        <v>13216</v>
      </c>
      <c r="W2009" t="s">
        <v>153</v>
      </c>
      <c r="X2009">
        <v>110016107</v>
      </c>
      <c r="Y2009" t="s">
        <v>121</v>
      </c>
      <c r="Z2009" t="s">
        <v>122</v>
      </c>
      <c r="AA2009" s="2" t="s">
        <v>9744</v>
      </c>
      <c r="AB2009" t="s">
        <v>548</v>
      </c>
      <c r="AG2009" t="s">
        <v>13217</v>
      </c>
      <c r="AH2009" t="s">
        <v>13207</v>
      </c>
      <c r="AI2009" t="s">
        <v>13218</v>
      </c>
    </row>
    <row r="2010" spans="2:35" ht="225">
      <c r="B2010" s="1">
        <v>45736</v>
      </c>
      <c r="C2010" s="1">
        <v>45734</v>
      </c>
      <c r="D2010" t="s">
        <v>542</v>
      </c>
      <c r="E2010" t="s">
        <v>543</v>
      </c>
      <c r="F2010" t="s">
        <v>148</v>
      </c>
      <c r="G2010" t="s">
        <v>544</v>
      </c>
      <c r="H2010" t="s">
        <v>39</v>
      </c>
      <c r="I2010" t="s">
        <v>40</v>
      </c>
      <c r="J2010" t="s">
        <v>109</v>
      </c>
      <c r="K2010" t="s">
        <v>42</v>
      </c>
      <c r="L2010" t="s">
        <v>43</v>
      </c>
      <c r="N2010" t="s">
        <v>44</v>
      </c>
      <c r="Q2010">
        <v>30538</v>
      </c>
      <c r="R2010" t="s">
        <v>322</v>
      </c>
      <c r="S2010" t="s">
        <v>6737</v>
      </c>
      <c r="T2010">
        <v>20</v>
      </c>
      <c r="U2010" s="2" t="s">
        <v>13219</v>
      </c>
      <c r="W2010" t="s">
        <v>153</v>
      </c>
      <c r="X2010">
        <v>110024072</v>
      </c>
      <c r="Y2010" t="s">
        <v>121</v>
      </c>
      <c r="Z2010" t="s">
        <v>122</v>
      </c>
      <c r="AA2010" s="2" t="s">
        <v>9744</v>
      </c>
      <c r="AB2010" t="s">
        <v>548</v>
      </c>
      <c r="AG2010" t="s">
        <v>13220</v>
      </c>
      <c r="AH2010" t="s">
        <v>13207</v>
      </c>
      <c r="AI2010" t="s">
        <v>13221</v>
      </c>
    </row>
    <row r="2011" spans="2:35" ht="390">
      <c r="B2011" s="1">
        <v>45736</v>
      </c>
      <c r="C2011" s="1">
        <v>45736</v>
      </c>
      <c r="D2011" t="s">
        <v>9342</v>
      </c>
      <c r="E2011" t="s">
        <v>9343</v>
      </c>
      <c r="F2011">
        <v>1</v>
      </c>
      <c r="G2011" t="s">
        <v>1046</v>
      </c>
      <c r="H2011" t="s">
        <v>39</v>
      </c>
      <c r="I2011" t="s">
        <v>40</v>
      </c>
      <c r="J2011" s="2" t="s">
        <v>41</v>
      </c>
      <c r="K2011" t="s">
        <v>42</v>
      </c>
      <c r="L2011" t="s">
        <v>135</v>
      </c>
      <c r="N2011" t="s">
        <v>136</v>
      </c>
      <c r="Q2011">
        <v>30535</v>
      </c>
      <c r="R2011" t="s">
        <v>119</v>
      </c>
      <c r="S2011" t="s">
        <v>9344</v>
      </c>
      <c r="T2011">
        <v>27</v>
      </c>
      <c r="U2011" s="2" t="s">
        <v>13222</v>
      </c>
      <c r="V2011" s="1">
        <v>45730</v>
      </c>
      <c r="W2011" t="s">
        <v>2680</v>
      </c>
      <c r="X2011">
        <v>838287</v>
      </c>
      <c r="Y2011" s="2" t="s">
        <v>13223</v>
      </c>
      <c r="Z2011" s="2" t="s">
        <v>140</v>
      </c>
      <c r="AA2011" s="2" t="s">
        <v>5713</v>
      </c>
      <c r="AB2011" s="2" t="s">
        <v>13224</v>
      </c>
      <c r="AD2011" t="s">
        <v>13225</v>
      </c>
      <c r="AE2011">
        <v>12850</v>
      </c>
      <c r="AG2011" t="s">
        <v>13226</v>
      </c>
      <c r="AH2011" t="s">
        <v>13227</v>
      </c>
      <c r="AI2011" t="s">
        <v>13228</v>
      </c>
    </row>
    <row r="2012" spans="2:35" ht="390">
      <c r="B2012" s="1">
        <v>45736</v>
      </c>
      <c r="C2012" s="1">
        <v>45736</v>
      </c>
      <c r="D2012" t="s">
        <v>9342</v>
      </c>
      <c r="E2012" t="s">
        <v>9343</v>
      </c>
      <c r="F2012">
        <v>1</v>
      </c>
      <c r="G2012" t="s">
        <v>1046</v>
      </c>
      <c r="H2012" t="s">
        <v>39</v>
      </c>
      <c r="I2012" t="s">
        <v>40</v>
      </c>
      <c r="J2012" s="2" t="s">
        <v>41</v>
      </c>
      <c r="K2012" t="s">
        <v>42</v>
      </c>
      <c r="L2012" t="s">
        <v>135</v>
      </c>
      <c r="N2012" t="s">
        <v>136</v>
      </c>
      <c r="Q2012">
        <v>30534</v>
      </c>
      <c r="R2012" t="s">
        <v>119</v>
      </c>
      <c r="S2012" t="s">
        <v>9344</v>
      </c>
      <c r="T2012">
        <v>27</v>
      </c>
      <c r="U2012" s="2" t="s">
        <v>13222</v>
      </c>
      <c r="V2012" s="1">
        <v>45730</v>
      </c>
      <c r="W2012" t="s">
        <v>2680</v>
      </c>
      <c r="X2012">
        <v>838287</v>
      </c>
      <c r="Y2012" s="2" t="s">
        <v>13223</v>
      </c>
      <c r="Z2012" s="2" t="s">
        <v>140</v>
      </c>
      <c r="AA2012" s="2" t="s">
        <v>5713</v>
      </c>
      <c r="AB2012" s="2" t="s">
        <v>13224</v>
      </c>
      <c r="AD2012" t="s">
        <v>13225</v>
      </c>
      <c r="AE2012">
        <v>12850</v>
      </c>
      <c r="AG2012" t="s">
        <v>13229</v>
      </c>
      <c r="AH2012" t="s">
        <v>13227</v>
      </c>
      <c r="AI2012" t="s">
        <v>13230</v>
      </c>
    </row>
    <row r="2013" spans="2:35">
      <c r="B2013" s="1">
        <v>45736</v>
      </c>
      <c r="C2013" s="1">
        <v>45736</v>
      </c>
      <c r="D2013" t="s">
        <v>6471</v>
      </c>
      <c r="E2013" t="s">
        <v>582</v>
      </c>
      <c r="F2013" t="s">
        <v>148</v>
      </c>
      <c r="G2013" t="s">
        <v>447</v>
      </c>
      <c r="H2013" t="s">
        <v>513</v>
      </c>
      <c r="I2013" t="s">
        <v>40</v>
      </c>
      <c r="J2013" t="s">
        <v>79</v>
      </c>
      <c r="K2013" t="s">
        <v>387</v>
      </c>
      <c r="L2013" t="s">
        <v>175</v>
      </c>
      <c r="N2013" t="s">
        <v>176</v>
      </c>
      <c r="Q2013">
        <v>30533</v>
      </c>
      <c r="R2013" t="s">
        <v>322</v>
      </c>
      <c r="S2013" t="s">
        <v>4306</v>
      </c>
      <c r="T2013">
        <v>28</v>
      </c>
      <c r="V2013" s="1">
        <v>45733</v>
      </c>
      <c r="W2013" t="s">
        <v>390</v>
      </c>
      <c r="X2013" t="s">
        <v>4307</v>
      </c>
      <c r="Y2013" t="s">
        <v>13231</v>
      </c>
      <c r="Z2013" t="s">
        <v>13232</v>
      </c>
      <c r="AA2013" t="e">
        <f ca="1">- replaced IV Pole
- checked CALIBRATION parameters</f>
        <v>#NAME?</v>
      </c>
      <c r="AB2013" t="s">
        <v>181</v>
      </c>
      <c r="AD2013" t="s">
        <v>13233</v>
      </c>
      <c r="AE2013">
        <v>12861</v>
      </c>
      <c r="AG2013" t="s">
        <v>13234</v>
      </c>
      <c r="AH2013" t="s">
        <v>13235</v>
      </c>
      <c r="AI2013" t="s">
        <v>13236</v>
      </c>
    </row>
    <row r="2014" spans="2:35" ht="195">
      <c r="B2014" s="1">
        <v>45736</v>
      </c>
      <c r="C2014" s="1">
        <v>45736</v>
      </c>
      <c r="D2014" t="s">
        <v>8074</v>
      </c>
      <c r="E2014" t="s">
        <v>8075</v>
      </c>
      <c r="F2014">
        <v>6</v>
      </c>
      <c r="G2014" t="s">
        <v>4457</v>
      </c>
      <c r="H2014" t="s">
        <v>39</v>
      </c>
      <c r="I2014" t="s">
        <v>40</v>
      </c>
      <c r="J2014" s="2" t="s">
        <v>1592</v>
      </c>
      <c r="K2014" t="s">
        <v>42</v>
      </c>
      <c r="L2014" t="s">
        <v>343</v>
      </c>
      <c r="N2014" t="s">
        <v>344</v>
      </c>
      <c r="Q2014">
        <v>30532</v>
      </c>
      <c r="R2014" t="s">
        <v>119</v>
      </c>
      <c r="S2014" t="s">
        <v>8076</v>
      </c>
      <c r="T2014">
        <v>26</v>
      </c>
      <c r="V2014" s="1">
        <v>45715</v>
      </c>
      <c r="W2014" t="s">
        <v>1501</v>
      </c>
      <c r="X2014">
        <v>838457</v>
      </c>
      <c r="Y2014" t="e">
        <f ca="1">-module B3 H/W fail
-CPU _xludf.not turning on</f>
        <v>#NAME?</v>
      </c>
      <c r="Z2014" s="2" t="s">
        <v>13237</v>
      </c>
      <c r="AA2014" t="e">
        <f ca="1">-Preventive Maintenance
-module Replacement
-CPU Troubleshooting</f>
        <v>#NAME?</v>
      </c>
      <c r="AB2014" t="s">
        <v>13238</v>
      </c>
      <c r="AD2014" s="2" t="s">
        <v>13239</v>
      </c>
      <c r="AE2014" t="s">
        <v>13240</v>
      </c>
      <c r="AG2014" t="s">
        <v>13241</v>
      </c>
      <c r="AH2014" t="s">
        <v>8079</v>
      </c>
      <c r="AI2014" t="s">
        <v>13242</v>
      </c>
    </row>
    <row r="2015" spans="2:35" ht="300">
      <c r="B2015" s="1">
        <v>45736</v>
      </c>
      <c r="C2015" s="1">
        <v>45735</v>
      </c>
      <c r="D2015" t="s">
        <v>10170</v>
      </c>
      <c r="E2015" t="s">
        <v>10171</v>
      </c>
      <c r="F2015">
        <v>7</v>
      </c>
      <c r="G2015" t="s">
        <v>432</v>
      </c>
      <c r="H2015" t="s">
        <v>608</v>
      </c>
      <c r="I2015" t="s">
        <v>40</v>
      </c>
      <c r="J2015" t="s">
        <v>109</v>
      </c>
      <c r="K2015" t="s">
        <v>42</v>
      </c>
      <c r="L2015" t="s">
        <v>610</v>
      </c>
      <c r="N2015" t="s">
        <v>611</v>
      </c>
      <c r="Q2015">
        <v>30531</v>
      </c>
      <c r="R2015" t="s">
        <v>119</v>
      </c>
      <c r="S2015" t="s">
        <v>6211</v>
      </c>
      <c r="T2015">
        <v>24</v>
      </c>
      <c r="U2015" s="2" t="s">
        <v>13243</v>
      </c>
      <c r="W2015" t="s">
        <v>360</v>
      </c>
      <c r="X2015">
        <v>838534</v>
      </c>
      <c r="Y2015" t="s">
        <v>2851</v>
      </c>
      <c r="Z2015" s="2" t="s">
        <v>8851</v>
      </c>
      <c r="AA2015" s="2" t="s">
        <v>8851</v>
      </c>
      <c r="AB2015" t="s">
        <v>7886</v>
      </c>
      <c r="AG2015" t="s">
        <v>13244</v>
      </c>
      <c r="AH2015" t="s">
        <v>10175</v>
      </c>
      <c r="AI2015" t="s">
        <v>13245</v>
      </c>
    </row>
    <row r="2016" spans="2:35" ht="105">
      <c r="B2016" s="1">
        <v>45736</v>
      </c>
      <c r="C2016" s="1">
        <v>45736</v>
      </c>
      <c r="D2016" t="s">
        <v>9682</v>
      </c>
      <c r="E2016" t="s">
        <v>13246</v>
      </c>
      <c r="F2016">
        <v>9</v>
      </c>
      <c r="G2016" t="s">
        <v>2197</v>
      </c>
      <c r="H2016" t="s">
        <v>39</v>
      </c>
      <c r="I2016" t="s">
        <v>40</v>
      </c>
      <c r="J2016" s="2" t="s">
        <v>1444</v>
      </c>
      <c r="K2016" t="s">
        <v>42</v>
      </c>
      <c r="L2016" t="s">
        <v>1257</v>
      </c>
      <c r="N2016" t="s">
        <v>1258</v>
      </c>
      <c r="O2016" t="s">
        <v>1258</v>
      </c>
      <c r="Q2016">
        <v>30530</v>
      </c>
      <c r="R2016" t="s">
        <v>119</v>
      </c>
      <c r="S2016" t="s">
        <v>13247</v>
      </c>
      <c r="T2016">
        <v>26</v>
      </c>
      <c r="U2016" s="2" t="s">
        <v>13248</v>
      </c>
      <c r="V2016" s="1">
        <v>45736</v>
      </c>
      <c r="W2016" t="s">
        <v>6776</v>
      </c>
      <c r="X2016">
        <v>838568</v>
      </c>
      <c r="Y2016" t="s">
        <v>13249</v>
      </c>
      <c r="Z2016" t="s">
        <v>13250</v>
      </c>
      <c r="AA2016" t="s">
        <v>13250</v>
      </c>
      <c r="AB2016" t="s">
        <v>13251</v>
      </c>
      <c r="AC2016" t="s">
        <v>13252</v>
      </c>
      <c r="AD2016" t="s">
        <v>54</v>
      </c>
      <c r="AE2016" t="s">
        <v>54</v>
      </c>
      <c r="AG2016" t="s">
        <v>13253</v>
      </c>
      <c r="AH2016" t="s">
        <v>13254</v>
      </c>
      <c r="AI2016" t="s">
        <v>13255</v>
      </c>
    </row>
    <row r="2017" spans="2:35" ht="255">
      <c r="B2017" s="1">
        <v>45736</v>
      </c>
      <c r="C2017" s="1">
        <v>45736</v>
      </c>
      <c r="D2017" t="s">
        <v>7810</v>
      </c>
      <c r="E2017" t="s">
        <v>7811</v>
      </c>
      <c r="F2017">
        <v>11</v>
      </c>
      <c r="G2017" t="s">
        <v>1205</v>
      </c>
      <c r="H2017" t="s">
        <v>202</v>
      </c>
      <c r="I2017" t="s">
        <v>40</v>
      </c>
      <c r="J2017" t="s">
        <v>109</v>
      </c>
      <c r="K2017" t="s">
        <v>42</v>
      </c>
      <c r="L2017" t="s">
        <v>204</v>
      </c>
      <c r="N2017" t="s">
        <v>205</v>
      </c>
      <c r="Q2017">
        <v>30529</v>
      </c>
      <c r="R2017" t="s">
        <v>119</v>
      </c>
      <c r="S2017" t="s">
        <v>7812</v>
      </c>
      <c r="T2017">
        <v>24.8</v>
      </c>
      <c r="U2017" s="2" t="s">
        <v>13256</v>
      </c>
      <c r="W2017" t="s">
        <v>208</v>
      </c>
      <c r="X2017">
        <v>838232</v>
      </c>
      <c r="Y2017" t="s">
        <v>1052</v>
      </c>
      <c r="Z2017" s="2" t="s">
        <v>1892</v>
      </c>
      <c r="AA2017" t="s">
        <v>2551</v>
      </c>
      <c r="AB2017" t="s">
        <v>1211</v>
      </c>
      <c r="AG2017" t="s">
        <v>13257</v>
      </c>
      <c r="AH2017" t="s">
        <v>13258</v>
      </c>
      <c r="AI2017" t="s">
        <v>13259</v>
      </c>
    </row>
    <row r="2018" spans="2:35">
      <c r="B2018" s="1">
        <v>45736</v>
      </c>
      <c r="C2018" s="1">
        <v>45708</v>
      </c>
      <c r="D2018" t="s">
        <v>7209</v>
      </c>
      <c r="E2018" t="s">
        <v>229</v>
      </c>
      <c r="F2018" t="s">
        <v>148</v>
      </c>
      <c r="G2018" t="s">
        <v>230</v>
      </c>
      <c r="H2018" t="s">
        <v>39</v>
      </c>
      <c r="I2018" t="s">
        <v>40</v>
      </c>
      <c r="J2018" t="s">
        <v>109</v>
      </c>
      <c r="K2018" t="s">
        <v>42</v>
      </c>
      <c r="L2018" t="s">
        <v>175</v>
      </c>
      <c r="N2018" t="s">
        <v>176</v>
      </c>
      <c r="Q2018">
        <v>30528</v>
      </c>
      <c r="R2018" t="s">
        <v>95</v>
      </c>
      <c r="S2018" t="s">
        <v>4880</v>
      </c>
      <c r="T2018">
        <v>25</v>
      </c>
      <c r="W2018" t="s">
        <v>373</v>
      </c>
      <c r="X2018">
        <v>120003480</v>
      </c>
      <c r="Y2018" t="s">
        <v>374</v>
      </c>
      <c r="Z2018" t="s">
        <v>103</v>
      </c>
      <c r="AA2018" t="e">
        <f ca="1">- checked _xludf.and cleaned cartridge bay, plunger rod, _xludf.filter, icore slot
- generated reports
- performrd self test</f>
        <v>#NAME?</v>
      </c>
      <c r="AB2018" t="s">
        <v>181</v>
      </c>
      <c r="AG2018" t="s">
        <v>13260</v>
      </c>
      <c r="AH2018" t="s">
        <v>8257</v>
      </c>
      <c r="AI2018" t="s">
        <v>13261</v>
      </c>
    </row>
    <row r="2019" spans="2:35" ht="409.5">
      <c r="B2019" s="1">
        <v>45736</v>
      </c>
      <c r="C2019" s="1">
        <v>45736</v>
      </c>
      <c r="D2019" t="s">
        <v>13262</v>
      </c>
      <c r="E2019" t="s">
        <v>7609</v>
      </c>
      <c r="F2019" t="s">
        <v>1181</v>
      </c>
      <c r="G2019" t="s">
        <v>3753</v>
      </c>
      <c r="H2019" t="s">
        <v>39</v>
      </c>
      <c r="I2019" t="s">
        <v>40</v>
      </c>
      <c r="J2019" s="2" t="s">
        <v>41</v>
      </c>
      <c r="K2019" t="s">
        <v>42</v>
      </c>
      <c r="L2019" t="s">
        <v>1943</v>
      </c>
      <c r="N2019" t="s">
        <v>1944</v>
      </c>
      <c r="Q2019">
        <v>30527</v>
      </c>
      <c r="R2019" t="s">
        <v>119</v>
      </c>
      <c r="S2019" t="s">
        <v>7610</v>
      </c>
      <c r="T2019">
        <v>25</v>
      </c>
      <c r="U2019" s="2" t="s">
        <v>13263</v>
      </c>
      <c r="V2019" s="1">
        <v>45733</v>
      </c>
      <c r="W2019" t="s">
        <v>84</v>
      </c>
      <c r="X2019">
        <v>838230</v>
      </c>
      <c r="Y2019" s="2" t="s">
        <v>13264</v>
      </c>
      <c r="Z2019" t="s">
        <v>1947</v>
      </c>
      <c r="AA2019" s="2" t="s">
        <v>1948</v>
      </c>
      <c r="AB2019" t="s">
        <v>88</v>
      </c>
      <c r="AD2019" t="s">
        <v>13265</v>
      </c>
      <c r="AE2019" t="s">
        <v>13266</v>
      </c>
      <c r="AG2019" t="s">
        <v>13267</v>
      </c>
      <c r="AH2019" t="s">
        <v>13268</v>
      </c>
      <c r="AI2019" t="s">
        <v>13269</v>
      </c>
    </row>
    <row r="2020" spans="2:35" ht="409.5">
      <c r="B2020" s="1">
        <v>45736</v>
      </c>
      <c r="C2020" s="1">
        <v>45736</v>
      </c>
      <c r="D2020" t="s">
        <v>13262</v>
      </c>
      <c r="E2020" t="s">
        <v>7609</v>
      </c>
      <c r="F2020" t="s">
        <v>1181</v>
      </c>
      <c r="G2020" t="s">
        <v>3753</v>
      </c>
      <c r="H2020" t="s">
        <v>39</v>
      </c>
      <c r="I2020" t="s">
        <v>40</v>
      </c>
      <c r="J2020" s="2" t="s">
        <v>41</v>
      </c>
      <c r="K2020" t="s">
        <v>42</v>
      </c>
      <c r="L2020" t="s">
        <v>1943</v>
      </c>
      <c r="N2020" t="s">
        <v>1944</v>
      </c>
      <c r="Q2020">
        <v>30526</v>
      </c>
      <c r="R2020" t="s">
        <v>119</v>
      </c>
      <c r="S2020" t="s">
        <v>7610</v>
      </c>
      <c r="T2020">
        <v>25</v>
      </c>
      <c r="U2020" s="2" t="s">
        <v>13263</v>
      </c>
      <c r="V2020" s="1">
        <v>45733</v>
      </c>
      <c r="W2020" t="s">
        <v>84</v>
      </c>
      <c r="X2020">
        <v>838230</v>
      </c>
      <c r="Y2020" s="2" t="s">
        <v>13264</v>
      </c>
      <c r="Z2020" t="s">
        <v>1947</v>
      </c>
      <c r="AA2020" s="2" t="s">
        <v>1948</v>
      </c>
      <c r="AB2020" t="s">
        <v>88</v>
      </c>
      <c r="AD2020" t="s">
        <v>13265</v>
      </c>
      <c r="AE2020" t="s">
        <v>13266</v>
      </c>
      <c r="AG2020" t="s">
        <v>13270</v>
      </c>
      <c r="AH2020" t="s">
        <v>13268</v>
      </c>
      <c r="AI2020" t="s">
        <v>13271</v>
      </c>
    </row>
    <row r="2021" spans="2:35" ht="165">
      <c r="B2021" s="1">
        <v>45736</v>
      </c>
      <c r="C2021" s="1">
        <v>45736</v>
      </c>
      <c r="D2021" t="s">
        <v>1855</v>
      </c>
      <c r="E2021" t="s">
        <v>5451</v>
      </c>
      <c r="F2021" t="s">
        <v>148</v>
      </c>
      <c r="G2021" t="s">
        <v>447</v>
      </c>
      <c r="H2021" t="s">
        <v>5452</v>
      </c>
      <c r="I2021" t="s">
        <v>40</v>
      </c>
      <c r="J2021" t="s">
        <v>525</v>
      </c>
      <c r="K2021" t="s">
        <v>408</v>
      </c>
      <c r="L2021" t="s">
        <v>448</v>
      </c>
      <c r="N2021" t="s">
        <v>450</v>
      </c>
      <c r="P2021" t="s">
        <v>6539</v>
      </c>
      <c r="Q2021">
        <v>30525</v>
      </c>
      <c r="R2021" t="s">
        <v>322</v>
      </c>
      <c r="S2021" t="s">
        <v>450</v>
      </c>
      <c r="T2021">
        <v>28</v>
      </c>
      <c r="W2021" t="s">
        <v>13272</v>
      </c>
      <c r="X2021" t="s">
        <v>13273</v>
      </c>
      <c r="Y2021" s="2" t="s">
        <v>13274</v>
      </c>
      <c r="Z2021" s="2" t="s">
        <v>13275</v>
      </c>
      <c r="AA2021" t="s">
        <v>768</v>
      </c>
      <c r="AB2021" t="s">
        <v>13276</v>
      </c>
      <c r="AG2021" t="s">
        <v>13277</v>
      </c>
      <c r="AH2021" t="s">
        <v>1855</v>
      </c>
      <c r="AI2021" t="s">
        <v>13278</v>
      </c>
    </row>
    <row r="2022" spans="2:35" ht="330">
      <c r="B2022" s="1">
        <v>45736</v>
      </c>
      <c r="C2022" s="1">
        <v>45735</v>
      </c>
      <c r="D2022" t="s">
        <v>4492</v>
      </c>
      <c r="E2022" t="s">
        <v>13279</v>
      </c>
      <c r="F2022" t="s">
        <v>148</v>
      </c>
      <c r="G2022" t="s">
        <v>447</v>
      </c>
      <c r="H2022" t="s">
        <v>39</v>
      </c>
      <c r="I2022" t="s">
        <v>40</v>
      </c>
      <c r="J2022" t="s">
        <v>525</v>
      </c>
      <c r="K2022" t="s">
        <v>42</v>
      </c>
      <c r="L2022" t="s">
        <v>448</v>
      </c>
      <c r="N2022" t="s">
        <v>650</v>
      </c>
      <c r="Q2022">
        <v>30524</v>
      </c>
      <c r="R2022" t="s">
        <v>95</v>
      </c>
      <c r="S2022" t="s">
        <v>6791</v>
      </c>
      <c r="T2022">
        <v>25</v>
      </c>
      <c r="U2022" s="2" t="s">
        <v>13280</v>
      </c>
      <c r="W2022" t="s">
        <v>6121</v>
      </c>
      <c r="X2022">
        <v>110008529</v>
      </c>
      <c r="Y2022" t="s">
        <v>13281</v>
      </c>
      <c r="Z2022" s="2" t="s">
        <v>13282</v>
      </c>
      <c r="AA2022" t="s">
        <v>768</v>
      </c>
      <c r="AB2022" t="s">
        <v>486</v>
      </c>
      <c r="AG2022" t="s">
        <v>13283</v>
      </c>
      <c r="AH2022" t="s">
        <v>4492</v>
      </c>
      <c r="AI2022" t="s">
        <v>13284</v>
      </c>
    </row>
    <row r="2023" spans="2:35" ht="240">
      <c r="B2023" s="1">
        <v>45735</v>
      </c>
      <c r="C2023" s="1">
        <v>45730</v>
      </c>
      <c r="D2023" t="s">
        <v>4601</v>
      </c>
      <c r="E2023" t="s">
        <v>13285</v>
      </c>
      <c r="F2023" t="s">
        <v>37</v>
      </c>
      <c r="G2023" t="s">
        <v>748</v>
      </c>
      <c r="H2023" t="s">
        <v>39</v>
      </c>
      <c r="I2023" t="s">
        <v>40</v>
      </c>
      <c r="J2023" t="s">
        <v>109</v>
      </c>
      <c r="K2023" t="s">
        <v>42</v>
      </c>
      <c r="L2023" t="s">
        <v>1028</v>
      </c>
      <c r="N2023" t="s">
        <v>1029</v>
      </c>
      <c r="Q2023">
        <v>30523</v>
      </c>
      <c r="R2023" t="s">
        <v>322</v>
      </c>
      <c r="S2023" t="s">
        <v>13286</v>
      </c>
      <c r="T2023">
        <v>25</v>
      </c>
      <c r="U2023" s="2" t="s">
        <v>13287</v>
      </c>
      <c r="W2023" t="s">
        <v>1032</v>
      </c>
      <c r="X2023">
        <v>120003582</v>
      </c>
      <c r="Y2023" t="s">
        <v>1978</v>
      </c>
      <c r="Z2023" t="s">
        <v>1548</v>
      </c>
      <c r="AA2023" s="2" t="s">
        <v>1979</v>
      </c>
      <c r="AB2023" t="s">
        <v>3300</v>
      </c>
      <c r="AG2023" t="s">
        <v>13288</v>
      </c>
      <c r="AH2023" t="s">
        <v>13289</v>
      </c>
      <c r="AI2023" t="s">
        <v>13290</v>
      </c>
    </row>
    <row r="2024" spans="2:35">
      <c r="B2024" s="1">
        <v>45735</v>
      </c>
      <c r="C2024" s="1">
        <v>45735</v>
      </c>
      <c r="D2024" t="s">
        <v>13291</v>
      </c>
      <c r="E2024" t="s">
        <v>582</v>
      </c>
      <c r="F2024" t="s">
        <v>148</v>
      </c>
      <c r="G2024" t="s">
        <v>447</v>
      </c>
      <c r="H2024" t="s">
        <v>39</v>
      </c>
      <c r="I2024" t="s">
        <v>40</v>
      </c>
      <c r="J2024" t="s">
        <v>109</v>
      </c>
      <c r="K2024" t="s">
        <v>42</v>
      </c>
      <c r="L2024" t="s">
        <v>175</v>
      </c>
      <c r="N2024" t="s">
        <v>176</v>
      </c>
      <c r="Q2024">
        <v>30522</v>
      </c>
      <c r="R2024" t="s">
        <v>95</v>
      </c>
      <c r="S2024" t="s">
        <v>4447</v>
      </c>
      <c r="T2024">
        <v>28</v>
      </c>
      <c r="W2024" t="s">
        <v>8846</v>
      </c>
      <c r="X2024">
        <v>110025174</v>
      </c>
      <c r="Y2024" t="s">
        <v>374</v>
      </c>
      <c r="Z2024" t="s">
        <v>103</v>
      </c>
      <c r="AA2024" t="e">
        <f ca="1">- checked _xludf.and cleaned cartridge bay, plunger rod,  _xludf.filter, icore slot
- generated reports
- performed self test
- performed GX reliability test</f>
        <v>#NAME?</v>
      </c>
      <c r="AB2024" t="s">
        <v>181</v>
      </c>
      <c r="AG2024" t="s">
        <v>13292</v>
      </c>
      <c r="AH2024" t="s">
        <v>4451</v>
      </c>
      <c r="AI2024" t="s">
        <v>13293</v>
      </c>
    </row>
    <row r="2025" spans="2:35" ht="409.5">
      <c r="B2025" s="1">
        <v>45735</v>
      </c>
      <c r="C2025" s="1">
        <v>45734</v>
      </c>
      <c r="D2025" t="s">
        <v>5602</v>
      </c>
      <c r="E2025" t="s">
        <v>2580</v>
      </c>
      <c r="F2025" t="s">
        <v>148</v>
      </c>
      <c r="G2025" t="s">
        <v>447</v>
      </c>
      <c r="H2025" t="s">
        <v>662</v>
      </c>
      <c r="I2025" t="s">
        <v>40</v>
      </c>
      <c r="J2025" t="s">
        <v>79</v>
      </c>
      <c r="K2025" t="s">
        <v>42</v>
      </c>
      <c r="L2025" t="s">
        <v>448</v>
      </c>
      <c r="N2025" t="s">
        <v>450</v>
      </c>
      <c r="Q2025">
        <v>30521</v>
      </c>
      <c r="R2025" t="s">
        <v>322</v>
      </c>
      <c r="S2025" t="s">
        <v>450</v>
      </c>
      <c r="T2025">
        <v>26</v>
      </c>
      <c r="U2025" s="2" t="s">
        <v>13294</v>
      </c>
      <c r="V2025" s="1">
        <v>45727</v>
      </c>
      <c r="W2025" t="s">
        <v>7420</v>
      </c>
      <c r="X2025">
        <v>110005587</v>
      </c>
      <c r="Y2025" t="s">
        <v>13295</v>
      </c>
      <c r="Z2025" s="2" t="s">
        <v>2585</v>
      </c>
      <c r="AA2025" t="s">
        <v>456</v>
      </c>
      <c r="AB2025" s="2" t="s">
        <v>11933</v>
      </c>
      <c r="AD2025" t="s">
        <v>13296</v>
      </c>
      <c r="AE2025">
        <v>12827</v>
      </c>
      <c r="AG2025" t="s">
        <v>13297</v>
      </c>
      <c r="AH2025" t="s">
        <v>5609</v>
      </c>
      <c r="AI2025" t="s">
        <v>13298</v>
      </c>
    </row>
    <row r="2026" spans="2:35" ht="315">
      <c r="B2026" s="1">
        <v>45734</v>
      </c>
      <c r="C2026" s="1">
        <v>45734</v>
      </c>
      <c r="D2026" t="s">
        <v>11127</v>
      </c>
      <c r="E2026" t="s">
        <v>12651</v>
      </c>
      <c r="F2026">
        <v>5</v>
      </c>
      <c r="G2026" t="s">
        <v>759</v>
      </c>
      <c r="H2026" t="s">
        <v>39</v>
      </c>
      <c r="I2026" t="s">
        <v>94</v>
      </c>
      <c r="J2026" t="s">
        <v>109</v>
      </c>
      <c r="K2026" t="s">
        <v>42</v>
      </c>
      <c r="L2026" t="s">
        <v>761</v>
      </c>
      <c r="N2026" t="s">
        <v>762</v>
      </c>
      <c r="Q2026">
        <v>30520</v>
      </c>
      <c r="R2026" t="s">
        <v>119</v>
      </c>
      <c r="S2026" t="s">
        <v>11128</v>
      </c>
      <c r="T2026">
        <v>19</v>
      </c>
      <c r="U2026" s="2" t="s">
        <v>2367</v>
      </c>
      <c r="W2026" t="s">
        <v>765</v>
      </c>
      <c r="X2026">
        <v>838565</v>
      </c>
      <c r="Y2026" t="s">
        <v>818</v>
      </c>
      <c r="Z2026" s="2" t="s">
        <v>13299</v>
      </c>
      <c r="AA2026" t="s">
        <v>820</v>
      </c>
      <c r="AB2026" t="s">
        <v>70</v>
      </c>
      <c r="AG2026" t="s">
        <v>13300</v>
      </c>
      <c r="AH2026" t="s">
        <v>13301</v>
      </c>
      <c r="AI2026" t="s">
        <v>13302</v>
      </c>
    </row>
    <row r="2027" spans="2:35" ht="165">
      <c r="B2027" s="1">
        <v>45734</v>
      </c>
      <c r="C2027" s="1">
        <v>45734</v>
      </c>
      <c r="D2027" t="s">
        <v>9251</v>
      </c>
      <c r="E2027" t="s">
        <v>9252</v>
      </c>
      <c r="F2027">
        <v>2</v>
      </c>
      <c r="G2027" t="s">
        <v>60</v>
      </c>
      <c r="H2027" t="s">
        <v>39</v>
      </c>
      <c r="I2027" t="s">
        <v>40</v>
      </c>
      <c r="J2027" s="2" t="s">
        <v>41</v>
      </c>
      <c r="K2027" t="s">
        <v>42</v>
      </c>
      <c r="L2027" t="s">
        <v>63</v>
      </c>
      <c r="N2027" t="s">
        <v>64</v>
      </c>
      <c r="Q2027">
        <v>30519</v>
      </c>
      <c r="R2027" t="s">
        <v>119</v>
      </c>
      <c r="S2027" t="s">
        <v>9253</v>
      </c>
      <c r="T2027">
        <v>28</v>
      </c>
      <c r="U2027" s="2" t="s">
        <v>13303</v>
      </c>
      <c r="V2027" s="1">
        <v>45720</v>
      </c>
      <c r="W2027" t="s">
        <v>66</v>
      </c>
      <c r="X2027">
        <v>838272</v>
      </c>
      <c r="Y2027" t="s">
        <v>6418</v>
      </c>
      <c r="Z2027" t="s">
        <v>13304</v>
      </c>
      <c r="AA2027" s="2" t="s">
        <v>1727</v>
      </c>
      <c r="AB2027" t="s">
        <v>70</v>
      </c>
      <c r="AD2027" t="s">
        <v>9432</v>
      </c>
      <c r="AE2027">
        <v>12806</v>
      </c>
      <c r="AG2027" t="s">
        <v>13305</v>
      </c>
      <c r="AH2027" t="s">
        <v>11348</v>
      </c>
      <c r="AI2027" t="s">
        <v>13306</v>
      </c>
    </row>
    <row r="2028" spans="2:35" ht="409.5">
      <c r="B2028" s="1">
        <v>45734</v>
      </c>
      <c r="C2028" s="1">
        <v>45734</v>
      </c>
      <c r="D2028" t="s">
        <v>3669</v>
      </c>
      <c r="E2028" t="s">
        <v>3670</v>
      </c>
      <c r="F2028" t="s">
        <v>37</v>
      </c>
      <c r="G2028" t="s">
        <v>38</v>
      </c>
      <c r="H2028" t="s">
        <v>39</v>
      </c>
      <c r="I2028" t="s">
        <v>40</v>
      </c>
      <c r="J2028" s="2" t="s">
        <v>190</v>
      </c>
      <c r="K2028" t="s">
        <v>42</v>
      </c>
      <c r="L2028" t="s">
        <v>43</v>
      </c>
      <c r="N2028" t="s">
        <v>44</v>
      </c>
      <c r="Q2028">
        <v>30518</v>
      </c>
      <c r="R2028" t="s">
        <v>95</v>
      </c>
      <c r="S2028" t="s">
        <v>5580</v>
      </c>
      <c r="T2028">
        <v>22</v>
      </c>
      <c r="U2028" s="2" t="s">
        <v>11652</v>
      </c>
      <c r="W2028" t="s">
        <v>48</v>
      </c>
      <c r="X2028">
        <v>110005265</v>
      </c>
      <c r="Y2028" t="s">
        <v>11653</v>
      </c>
      <c r="Z2028" t="s">
        <v>11654</v>
      </c>
      <c r="AA2028" s="2" t="s">
        <v>11655</v>
      </c>
      <c r="AB2028" t="s">
        <v>11656</v>
      </c>
      <c r="AC2028" t="s">
        <v>11657</v>
      </c>
      <c r="AG2028" t="s">
        <v>13307</v>
      </c>
      <c r="AH2028" t="s">
        <v>11659</v>
      </c>
      <c r="AI2028" t="s">
        <v>13308</v>
      </c>
    </row>
    <row r="2029" spans="2:35" ht="409.5">
      <c r="B2029" s="1">
        <v>45734</v>
      </c>
      <c r="C2029" s="1">
        <v>45734</v>
      </c>
      <c r="D2029" t="s">
        <v>5207</v>
      </c>
      <c r="E2029" t="s">
        <v>5208</v>
      </c>
      <c r="F2029" t="s">
        <v>148</v>
      </c>
      <c r="G2029" t="s">
        <v>310</v>
      </c>
      <c r="H2029" t="s">
        <v>39</v>
      </c>
      <c r="I2029" t="s">
        <v>40</v>
      </c>
      <c r="J2029" s="2" t="s">
        <v>41</v>
      </c>
      <c r="K2029" t="s">
        <v>42</v>
      </c>
      <c r="L2029" t="s">
        <v>1943</v>
      </c>
      <c r="N2029" t="s">
        <v>1944</v>
      </c>
      <c r="O2029" t="s">
        <v>5209</v>
      </c>
      <c r="Q2029">
        <v>30517</v>
      </c>
      <c r="R2029" t="s">
        <v>322</v>
      </c>
      <c r="S2029" t="s">
        <v>11992</v>
      </c>
      <c r="T2029">
        <v>25</v>
      </c>
      <c r="V2029" s="1">
        <v>45733</v>
      </c>
      <c r="W2029" t="s">
        <v>5225</v>
      </c>
      <c r="X2029">
        <v>110016343</v>
      </c>
      <c r="Y2029" s="2" t="s">
        <v>13309</v>
      </c>
      <c r="Z2029" t="s">
        <v>1947</v>
      </c>
      <c r="AA2029" s="2" t="s">
        <v>1948</v>
      </c>
      <c r="AB2029" t="s">
        <v>88</v>
      </c>
      <c r="AD2029" t="s">
        <v>13310</v>
      </c>
      <c r="AE2029" t="s">
        <v>13311</v>
      </c>
      <c r="AG2029" t="s">
        <v>13312</v>
      </c>
      <c r="AH2029" t="s">
        <v>5212</v>
      </c>
      <c r="AI2029" t="s">
        <v>13313</v>
      </c>
    </row>
    <row r="2030" spans="2:35" ht="210">
      <c r="B2030" s="1">
        <v>45734</v>
      </c>
      <c r="C2030" s="1">
        <v>45734</v>
      </c>
      <c r="D2030" t="s">
        <v>7868</v>
      </c>
      <c r="E2030" t="s">
        <v>12521</v>
      </c>
      <c r="F2030">
        <v>7</v>
      </c>
      <c r="G2030" t="s">
        <v>432</v>
      </c>
      <c r="H2030" t="s">
        <v>13314</v>
      </c>
      <c r="I2030" t="s">
        <v>40</v>
      </c>
      <c r="J2030" s="2" t="s">
        <v>190</v>
      </c>
      <c r="K2030" t="s">
        <v>42</v>
      </c>
      <c r="L2030" t="s">
        <v>594</v>
      </c>
      <c r="N2030" t="s">
        <v>595</v>
      </c>
      <c r="Q2030">
        <v>30516</v>
      </c>
      <c r="R2030" t="s">
        <v>119</v>
      </c>
      <c r="S2030" t="s">
        <v>13315</v>
      </c>
      <c r="T2030">
        <v>23</v>
      </c>
      <c r="V2030" s="1">
        <v>45734</v>
      </c>
      <c r="W2030" t="s">
        <v>502</v>
      </c>
      <c r="X2030">
        <v>838564</v>
      </c>
      <c r="Y2030" s="2" t="s">
        <v>13316</v>
      </c>
      <c r="Z2030" s="2" t="s">
        <v>13317</v>
      </c>
      <c r="AA2030" t="s">
        <v>13318</v>
      </c>
      <c r="AB2030" t="s">
        <v>4253</v>
      </c>
      <c r="AG2030" t="s">
        <v>13319</v>
      </c>
      <c r="AH2030" t="s">
        <v>10592</v>
      </c>
      <c r="AI2030" t="s">
        <v>13320</v>
      </c>
    </row>
    <row r="2031" spans="2:35" ht="105">
      <c r="B2031" s="1">
        <v>45734</v>
      </c>
      <c r="C2031" s="1">
        <v>45734</v>
      </c>
      <c r="D2031" t="s">
        <v>8369</v>
      </c>
      <c r="E2031" t="s">
        <v>8370</v>
      </c>
      <c r="F2031">
        <v>2</v>
      </c>
      <c r="G2031" t="s">
        <v>2668</v>
      </c>
      <c r="H2031" t="s">
        <v>39</v>
      </c>
      <c r="I2031" t="s">
        <v>40</v>
      </c>
      <c r="J2031" t="s">
        <v>109</v>
      </c>
      <c r="K2031" t="s">
        <v>42</v>
      </c>
      <c r="L2031" t="s">
        <v>63</v>
      </c>
      <c r="N2031" t="s">
        <v>64</v>
      </c>
      <c r="Q2031">
        <v>30515</v>
      </c>
      <c r="R2031" t="s">
        <v>119</v>
      </c>
      <c r="S2031" t="s">
        <v>8371</v>
      </c>
      <c r="T2031">
        <v>26</v>
      </c>
      <c r="U2031" s="2" t="s">
        <v>13321</v>
      </c>
      <c r="W2031" t="s">
        <v>66</v>
      </c>
      <c r="X2031">
        <v>838480</v>
      </c>
      <c r="Y2031" t="s">
        <v>2692</v>
      </c>
      <c r="Z2031" t="s">
        <v>10275</v>
      </c>
      <c r="AA2031" s="2" t="s">
        <v>7015</v>
      </c>
      <c r="AB2031" t="s">
        <v>70</v>
      </c>
      <c r="AG2031" t="s">
        <v>13322</v>
      </c>
      <c r="AH2031" t="s">
        <v>10775</v>
      </c>
      <c r="AI2031" t="s">
        <v>13323</v>
      </c>
    </row>
    <row r="2032" spans="2:35" ht="409.5">
      <c r="B2032" s="1">
        <v>45733</v>
      </c>
      <c r="C2032" s="1">
        <v>45729</v>
      </c>
      <c r="D2032" t="s">
        <v>1885</v>
      </c>
      <c r="E2032" t="s">
        <v>2136</v>
      </c>
      <c r="F2032" t="s">
        <v>1255</v>
      </c>
      <c r="G2032" t="s">
        <v>1887</v>
      </c>
      <c r="H2032" t="s">
        <v>295</v>
      </c>
      <c r="I2032" t="s">
        <v>40</v>
      </c>
      <c r="J2032" t="s">
        <v>109</v>
      </c>
      <c r="K2032" t="s">
        <v>42</v>
      </c>
      <c r="L2032" t="s">
        <v>296</v>
      </c>
      <c r="N2032" t="s">
        <v>297</v>
      </c>
      <c r="Q2032">
        <v>30514</v>
      </c>
      <c r="R2032" t="s">
        <v>119</v>
      </c>
      <c r="S2032" t="s">
        <v>1888</v>
      </c>
      <c r="T2032">
        <v>22.6</v>
      </c>
      <c r="U2032" s="2" t="s">
        <v>13324</v>
      </c>
      <c r="W2032" t="s">
        <v>981</v>
      </c>
      <c r="X2032">
        <v>837662</v>
      </c>
      <c r="Y2032" t="s">
        <v>301</v>
      </c>
      <c r="Z2032" s="2" t="s">
        <v>13325</v>
      </c>
      <c r="AA2032" t="s">
        <v>303</v>
      </c>
      <c r="AB2032" t="s">
        <v>7205</v>
      </c>
      <c r="AG2032" t="s">
        <v>13326</v>
      </c>
      <c r="AH2032" t="s">
        <v>13327</v>
      </c>
      <c r="AI2032" t="s">
        <v>13328</v>
      </c>
    </row>
    <row r="2033" spans="2:35" ht="135">
      <c r="B2033" s="1">
        <v>45733</v>
      </c>
      <c r="C2033" s="1">
        <v>45733</v>
      </c>
      <c r="D2033" t="s">
        <v>1855</v>
      </c>
      <c r="E2033" t="s">
        <v>5451</v>
      </c>
      <c r="F2033" t="s">
        <v>148</v>
      </c>
      <c r="G2033" t="s">
        <v>447</v>
      </c>
      <c r="H2033" t="s">
        <v>5452</v>
      </c>
      <c r="I2033" t="s">
        <v>40</v>
      </c>
      <c r="J2033" t="s">
        <v>79</v>
      </c>
      <c r="K2033" t="s">
        <v>408</v>
      </c>
      <c r="L2033" t="s">
        <v>448</v>
      </c>
      <c r="N2033" t="s">
        <v>450</v>
      </c>
      <c r="O2033" t="s">
        <v>650</v>
      </c>
      <c r="P2033" t="s">
        <v>6539</v>
      </c>
      <c r="Q2033">
        <v>30513</v>
      </c>
      <c r="R2033" t="s">
        <v>322</v>
      </c>
      <c r="S2033" t="s">
        <v>650</v>
      </c>
      <c r="T2033">
        <v>28</v>
      </c>
      <c r="V2033" s="1">
        <v>45728</v>
      </c>
      <c r="W2033" t="s">
        <v>6539</v>
      </c>
      <c r="X2033" t="s">
        <v>13329</v>
      </c>
      <c r="Y2033" s="2" t="s">
        <v>13330</v>
      </c>
      <c r="Z2033" s="2" t="s">
        <v>13331</v>
      </c>
      <c r="AA2033" t="s">
        <v>914</v>
      </c>
      <c r="AB2033" t="s">
        <v>486</v>
      </c>
      <c r="AD2033" t="s">
        <v>13332</v>
      </c>
      <c r="AE2033" t="s">
        <v>13333</v>
      </c>
      <c r="AG2033" t="s">
        <v>13334</v>
      </c>
      <c r="AH2033" t="s">
        <v>1855</v>
      </c>
      <c r="AI2033" t="s">
        <v>13335</v>
      </c>
    </row>
    <row r="2034" spans="2:35" ht="375">
      <c r="B2034" s="1">
        <v>45733</v>
      </c>
      <c r="C2034" s="1">
        <v>45733</v>
      </c>
      <c r="D2034" t="s">
        <v>13336</v>
      </c>
      <c r="E2034" t="s">
        <v>8671</v>
      </c>
      <c r="F2034" t="s">
        <v>148</v>
      </c>
      <c r="G2034" t="s">
        <v>310</v>
      </c>
      <c r="H2034" t="s">
        <v>5452</v>
      </c>
      <c r="I2034" t="s">
        <v>40</v>
      </c>
      <c r="J2034" t="s">
        <v>79</v>
      </c>
      <c r="K2034" t="s">
        <v>408</v>
      </c>
      <c r="L2034" t="s">
        <v>1943</v>
      </c>
      <c r="N2034" t="s">
        <v>1944</v>
      </c>
      <c r="P2034" t="s">
        <v>13337</v>
      </c>
      <c r="Q2034">
        <v>30512</v>
      </c>
      <c r="R2034" t="s">
        <v>119</v>
      </c>
      <c r="S2034" t="s">
        <v>3122</v>
      </c>
      <c r="T2034">
        <v>25</v>
      </c>
      <c r="W2034" t="s">
        <v>13338</v>
      </c>
      <c r="X2034" t="s">
        <v>13339</v>
      </c>
      <c r="Y2034" t="s">
        <v>13340</v>
      </c>
      <c r="Z2034" t="s">
        <v>2443</v>
      </c>
      <c r="AA2034" s="2" t="s">
        <v>13341</v>
      </c>
      <c r="AB2034" t="s">
        <v>13342</v>
      </c>
      <c r="AG2034" t="s">
        <v>13343</v>
      </c>
      <c r="AH2034" t="s">
        <v>13344</v>
      </c>
      <c r="AI2034" t="s">
        <v>13345</v>
      </c>
    </row>
    <row r="2035" spans="2:35" ht="255">
      <c r="B2035" s="1">
        <v>45733</v>
      </c>
      <c r="C2035" s="1">
        <v>45728</v>
      </c>
      <c r="D2035" t="s">
        <v>6953</v>
      </c>
      <c r="E2035" t="s">
        <v>13346</v>
      </c>
      <c r="F2035">
        <v>5</v>
      </c>
      <c r="G2035" t="s">
        <v>839</v>
      </c>
      <c r="H2035" t="s">
        <v>39</v>
      </c>
      <c r="I2035" t="s">
        <v>94</v>
      </c>
      <c r="J2035" t="s">
        <v>109</v>
      </c>
      <c r="K2035" t="s">
        <v>42</v>
      </c>
      <c r="L2035" t="s">
        <v>761</v>
      </c>
      <c r="N2035" t="s">
        <v>762</v>
      </c>
      <c r="Q2035">
        <v>30511</v>
      </c>
      <c r="R2035" t="s">
        <v>322</v>
      </c>
      <c r="S2035" t="s">
        <v>13347</v>
      </c>
      <c r="T2035">
        <v>24</v>
      </c>
      <c r="W2035" t="s">
        <v>817</v>
      </c>
      <c r="X2035">
        <v>120003510</v>
      </c>
      <c r="Y2035" t="s">
        <v>818</v>
      </c>
      <c r="Z2035" s="2" t="s">
        <v>13348</v>
      </c>
      <c r="AA2035" t="s">
        <v>13349</v>
      </c>
      <c r="AB2035" t="s">
        <v>13135</v>
      </c>
      <c r="AG2035" t="s">
        <v>13350</v>
      </c>
      <c r="AH2035" t="s">
        <v>13351</v>
      </c>
      <c r="AI2035" t="s">
        <v>13352</v>
      </c>
    </row>
    <row r="2036" spans="2:35" ht="409.5">
      <c r="B2036" s="1">
        <v>45733</v>
      </c>
      <c r="C2036" s="1">
        <v>45727</v>
      </c>
      <c r="D2036" t="s">
        <v>4379</v>
      </c>
      <c r="E2036" t="s">
        <v>4380</v>
      </c>
      <c r="F2036" t="s">
        <v>148</v>
      </c>
      <c r="G2036" t="s">
        <v>785</v>
      </c>
      <c r="H2036" t="s">
        <v>39</v>
      </c>
      <c r="I2036" t="s">
        <v>40</v>
      </c>
      <c r="J2036" t="s">
        <v>525</v>
      </c>
      <c r="K2036" t="s">
        <v>42</v>
      </c>
      <c r="L2036" t="s">
        <v>43</v>
      </c>
      <c r="N2036" t="s">
        <v>44</v>
      </c>
      <c r="O2036" t="s">
        <v>13353</v>
      </c>
      <c r="Q2036">
        <v>30510</v>
      </c>
      <c r="R2036" t="s">
        <v>322</v>
      </c>
      <c r="S2036" t="s">
        <v>4382</v>
      </c>
      <c r="T2036">
        <v>22</v>
      </c>
      <c r="U2036" s="2" t="s">
        <v>13354</v>
      </c>
      <c r="W2036" t="s">
        <v>3178</v>
      </c>
      <c r="X2036">
        <v>838627</v>
      </c>
      <c r="Y2036" t="s">
        <v>13355</v>
      </c>
      <c r="Z2036" t="s">
        <v>13356</v>
      </c>
      <c r="AA2036" s="2" t="s">
        <v>13357</v>
      </c>
      <c r="AB2036" t="s">
        <v>13358</v>
      </c>
      <c r="AC2036" t="s">
        <v>13359</v>
      </c>
      <c r="AG2036" t="s">
        <v>13360</v>
      </c>
      <c r="AH2036" t="s">
        <v>4387</v>
      </c>
      <c r="AI2036" t="s">
        <v>13361</v>
      </c>
    </row>
    <row r="2037" spans="2:35" ht="255">
      <c r="B2037" s="1">
        <v>45733</v>
      </c>
      <c r="C2037" s="1">
        <v>45728</v>
      </c>
      <c r="D2037" t="s">
        <v>146</v>
      </c>
      <c r="E2037" t="s">
        <v>13362</v>
      </c>
      <c r="F2037" t="s">
        <v>148</v>
      </c>
      <c r="G2037" t="s">
        <v>149</v>
      </c>
      <c r="H2037" t="s">
        <v>386</v>
      </c>
      <c r="I2037" t="s">
        <v>40</v>
      </c>
      <c r="J2037" t="s">
        <v>109</v>
      </c>
      <c r="K2037" t="s">
        <v>387</v>
      </c>
      <c r="L2037" t="s">
        <v>43</v>
      </c>
      <c r="N2037" t="s">
        <v>44</v>
      </c>
      <c r="O2037" t="s">
        <v>388</v>
      </c>
      <c r="Q2037">
        <v>30509</v>
      </c>
      <c r="R2037" t="s">
        <v>95</v>
      </c>
      <c r="S2037" t="s">
        <v>13363</v>
      </c>
      <c r="T2037">
        <v>22</v>
      </c>
      <c r="W2037" t="s">
        <v>390</v>
      </c>
      <c r="X2037" t="s">
        <v>391</v>
      </c>
      <c r="Y2037" t="s">
        <v>121</v>
      </c>
      <c r="Z2037" t="s">
        <v>122</v>
      </c>
      <c r="AA2037" s="2" t="s">
        <v>12034</v>
      </c>
      <c r="AB2037" t="s">
        <v>88</v>
      </c>
      <c r="AG2037" t="s">
        <v>13364</v>
      </c>
      <c r="AH2037" t="s">
        <v>13365</v>
      </c>
      <c r="AI2037" t="s">
        <v>13366</v>
      </c>
    </row>
    <row r="2038" spans="2:35" ht="255">
      <c r="B2038" s="1">
        <v>45733</v>
      </c>
      <c r="C2038" s="1">
        <v>45728</v>
      </c>
      <c r="D2038" t="s">
        <v>146</v>
      </c>
      <c r="E2038" t="s">
        <v>13367</v>
      </c>
      <c r="F2038" t="s">
        <v>148</v>
      </c>
      <c r="G2038" t="s">
        <v>149</v>
      </c>
      <c r="H2038" t="s">
        <v>39</v>
      </c>
      <c r="I2038" t="s">
        <v>40</v>
      </c>
      <c r="J2038" t="s">
        <v>109</v>
      </c>
      <c r="K2038" t="s">
        <v>42</v>
      </c>
      <c r="L2038" t="s">
        <v>43</v>
      </c>
      <c r="N2038" t="s">
        <v>44</v>
      </c>
      <c r="O2038" t="s">
        <v>388</v>
      </c>
      <c r="Q2038">
        <v>30508</v>
      </c>
      <c r="R2038" t="s">
        <v>95</v>
      </c>
      <c r="S2038" t="s">
        <v>11044</v>
      </c>
      <c r="T2038">
        <v>22</v>
      </c>
      <c r="U2038" s="2" t="s">
        <v>13368</v>
      </c>
      <c r="W2038" t="s">
        <v>153</v>
      </c>
      <c r="X2038">
        <v>110003714</v>
      </c>
      <c r="Y2038" t="s">
        <v>121</v>
      </c>
      <c r="Z2038" t="s">
        <v>122</v>
      </c>
      <c r="AA2038" s="2" t="s">
        <v>9744</v>
      </c>
      <c r="AB2038" t="s">
        <v>88</v>
      </c>
      <c r="AG2038" t="s">
        <v>13369</v>
      </c>
      <c r="AH2038" t="s">
        <v>11051</v>
      </c>
      <c r="AI2038" t="s">
        <v>13370</v>
      </c>
    </row>
    <row r="2039" spans="2:35" ht="240">
      <c r="B2039" s="1">
        <v>45733</v>
      </c>
      <c r="C2039" s="1">
        <v>45730</v>
      </c>
      <c r="D2039" t="s">
        <v>1081</v>
      </c>
      <c r="E2039" t="s">
        <v>2073</v>
      </c>
      <c r="F2039" t="s">
        <v>148</v>
      </c>
      <c r="G2039" t="s">
        <v>785</v>
      </c>
      <c r="H2039" t="s">
        <v>39</v>
      </c>
      <c r="I2039" t="s">
        <v>40</v>
      </c>
      <c r="J2039" t="s">
        <v>13371</v>
      </c>
      <c r="K2039" t="s">
        <v>408</v>
      </c>
      <c r="L2039" t="s">
        <v>43</v>
      </c>
      <c r="N2039" t="s">
        <v>44</v>
      </c>
      <c r="P2039" t="s">
        <v>13372</v>
      </c>
      <c r="Q2039">
        <v>30507</v>
      </c>
      <c r="R2039" t="s">
        <v>95</v>
      </c>
      <c r="S2039" t="s">
        <v>13373</v>
      </c>
      <c r="T2039">
        <v>22</v>
      </c>
      <c r="W2039" t="s">
        <v>13374</v>
      </c>
      <c r="X2039">
        <v>37020508</v>
      </c>
      <c r="Y2039" t="s">
        <v>13375</v>
      </c>
      <c r="Z2039" t="s">
        <v>13376</v>
      </c>
      <c r="AA2039" s="2" t="s">
        <v>13377</v>
      </c>
      <c r="AB2039" t="s">
        <v>88</v>
      </c>
      <c r="AG2039" t="s">
        <v>13378</v>
      </c>
      <c r="AH2039" t="s">
        <v>9524</v>
      </c>
      <c r="AI2039" t="s">
        <v>13379</v>
      </c>
    </row>
    <row r="2040" spans="2:35" ht="225">
      <c r="B2040" s="1">
        <v>45733</v>
      </c>
      <c r="C2040" s="1">
        <v>45729</v>
      </c>
      <c r="D2040" t="s">
        <v>13380</v>
      </c>
      <c r="E2040" t="s">
        <v>13381</v>
      </c>
      <c r="F2040" t="s">
        <v>148</v>
      </c>
      <c r="G2040" t="s">
        <v>544</v>
      </c>
      <c r="H2040" t="s">
        <v>39</v>
      </c>
      <c r="I2040" t="s">
        <v>40</v>
      </c>
      <c r="J2040" t="s">
        <v>109</v>
      </c>
      <c r="K2040" t="s">
        <v>42</v>
      </c>
      <c r="L2040" t="s">
        <v>43</v>
      </c>
      <c r="N2040" t="s">
        <v>44</v>
      </c>
      <c r="Q2040">
        <v>30506</v>
      </c>
      <c r="R2040" t="s">
        <v>703</v>
      </c>
      <c r="S2040" t="s">
        <v>13382</v>
      </c>
      <c r="T2040">
        <v>22</v>
      </c>
      <c r="U2040" s="2" t="s">
        <v>13383</v>
      </c>
      <c r="W2040" t="s">
        <v>48</v>
      </c>
      <c r="X2040">
        <v>110008418</v>
      </c>
      <c r="Y2040" t="s">
        <v>121</v>
      </c>
      <c r="Z2040" t="s">
        <v>122</v>
      </c>
      <c r="AA2040" s="2" t="s">
        <v>123</v>
      </c>
      <c r="AB2040" t="s">
        <v>13384</v>
      </c>
      <c r="AG2040" t="s">
        <v>13385</v>
      </c>
      <c r="AH2040" t="s">
        <v>13386</v>
      </c>
      <c r="AI2040" t="s">
        <v>13387</v>
      </c>
    </row>
    <row r="2041" spans="2:35" ht="409.5">
      <c r="B2041" s="1">
        <v>45733</v>
      </c>
      <c r="C2041" s="1">
        <v>45730</v>
      </c>
      <c r="D2041" t="s">
        <v>1081</v>
      </c>
      <c r="E2041" t="s">
        <v>1082</v>
      </c>
      <c r="F2041" t="s">
        <v>148</v>
      </c>
      <c r="G2041" t="s">
        <v>785</v>
      </c>
      <c r="H2041" t="s">
        <v>39</v>
      </c>
      <c r="I2041" t="s">
        <v>40</v>
      </c>
      <c r="J2041" t="s">
        <v>109</v>
      </c>
      <c r="K2041" t="s">
        <v>42</v>
      </c>
      <c r="L2041" t="s">
        <v>43</v>
      </c>
      <c r="N2041" t="s">
        <v>44</v>
      </c>
      <c r="Q2041">
        <v>30505</v>
      </c>
      <c r="R2041" t="s">
        <v>95</v>
      </c>
      <c r="S2041" t="s">
        <v>2016</v>
      </c>
      <c r="T2041">
        <v>22</v>
      </c>
      <c r="U2041" s="2" t="s">
        <v>13388</v>
      </c>
      <c r="W2041" t="s">
        <v>5136</v>
      </c>
      <c r="X2041">
        <v>10015767</v>
      </c>
      <c r="Y2041" t="s">
        <v>121</v>
      </c>
      <c r="Z2041" t="s">
        <v>122</v>
      </c>
      <c r="AA2041" s="2" t="s">
        <v>13389</v>
      </c>
      <c r="AB2041" t="s">
        <v>88</v>
      </c>
      <c r="AG2041" t="s">
        <v>13390</v>
      </c>
      <c r="AH2041" t="s">
        <v>13391</v>
      </c>
      <c r="AI2041" t="s">
        <v>13392</v>
      </c>
    </row>
    <row r="2042" spans="2:35" ht="285">
      <c r="B2042" s="1">
        <v>45733</v>
      </c>
      <c r="C2042" s="1">
        <v>45730</v>
      </c>
      <c r="D2042" t="s">
        <v>4517</v>
      </c>
      <c r="E2042" t="s">
        <v>4518</v>
      </c>
      <c r="F2042">
        <v>1</v>
      </c>
      <c r="G2042" t="s">
        <v>1046</v>
      </c>
      <c r="H2042" t="s">
        <v>39</v>
      </c>
      <c r="I2042" t="s">
        <v>40</v>
      </c>
      <c r="J2042" t="s">
        <v>79</v>
      </c>
      <c r="K2042" t="s">
        <v>42</v>
      </c>
      <c r="L2042" t="s">
        <v>1048</v>
      </c>
      <c r="N2042" t="s">
        <v>1049</v>
      </c>
      <c r="Q2042">
        <v>30504</v>
      </c>
      <c r="R2042" t="s">
        <v>119</v>
      </c>
      <c r="S2042" t="s">
        <v>7992</v>
      </c>
      <c r="T2042">
        <v>30</v>
      </c>
      <c r="U2042" s="2" t="s">
        <v>6447</v>
      </c>
      <c r="W2042" t="s">
        <v>1051</v>
      </c>
      <c r="X2042">
        <v>838467</v>
      </c>
      <c r="Y2042" t="s">
        <v>13393</v>
      </c>
      <c r="Z2042" s="2" t="s">
        <v>13394</v>
      </c>
      <c r="AA2042" t="s">
        <v>13395</v>
      </c>
      <c r="AB2042" t="s">
        <v>1936</v>
      </c>
      <c r="AG2042" t="s">
        <v>13396</v>
      </c>
      <c r="AH2042" t="s">
        <v>13014</v>
      </c>
      <c r="AI2042" t="s">
        <v>13397</v>
      </c>
    </row>
    <row r="2043" spans="2:35" ht="120">
      <c r="B2043" s="1">
        <v>45733</v>
      </c>
      <c r="C2043" s="1">
        <v>45730</v>
      </c>
      <c r="D2043" t="s">
        <v>2005</v>
      </c>
      <c r="E2043" t="s">
        <v>4260</v>
      </c>
      <c r="F2043" t="s">
        <v>148</v>
      </c>
      <c r="G2043" t="s">
        <v>2007</v>
      </c>
      <c r="H2043" t="s">
        <v>662</v>
      </c>
      <c r="I2043" t="s">
        <v>40</v>
      </c>
      <c r="J2043" t="s">
        <v>321</v>
      </c>
      <c r="K2043" t="s">
        <v>42</v>
      </c>
      <c r="L2043" t="s">
        <v>448</v>
      </c>
      <c r="N2043" t="s">
        <v>450</v>
      </c>
      <c r="Q2043">
        <v>30503</v>
      </c>
      <c r="R2043" t="s">
        <v>95</v>
      </c>
      <c r="S2043" t="s">
        <v>13184</v>
      </c>
      <c r="T2043">
        <v>26</v>
      </c>
      <c r="V2043" s="1">
        <v>45729</v>
      </c>
      <c r="W2043" t="s">
        <v>13398</v>
      </c>
      <c r="X2043">
        <v>807128</v>
      </c>
      <c r="Y2043" t="s">
        <v>13399</v>
      </c>
      <c r="Z2043" s="2" t="s">
        <v>13400</v>
      </c>
      <c r="AA2043" t="s">
        <v>2593</v>
      </c>
      <c r="AB2043" t="s">
        <v>486</v>
      </c>
      <c r="AE2043">
        <v>12840</v>
      </c>
      <c r="AG2043" t="s">
        <v>13401</v>
      </c>
      <c r="AH2043" t="s">
        <v>13191</v>
      </c>
      <c r="AI2043" t="s">
        <v>13402</v>
      </c>
    </row>
    <row r="2044" spans="2:35" ht="255">
      <c r="B2044" s="1">
        <v>45733</v>
      </c>
      <c r="C2044" s="1">
        <v>45730</v>
      </c>
      <c r="D2044" t="s">
        <v>5602</v>
      </c>
      <c r="E2044" t="s">
        <v>2580</v>
      </c>
      <c r="F2044" t="s">
        <v>148</v>
      </c>
      <c r="G2044" t="s">
        <v>447</v>
      </c>
      <c r="H2044" t="s">
        <v>39</v>
      </c>
      <c r="I2044" t="s">
        <v>40</v>
      </c>
      <c r="J2044" t="s">
        <v>79</v>
      </c>
      <c r="K2044" t="s">
        <v>408</v>
      </c>
      <c r="L2044" t="s">
        <v>448</v>
      </c>
      <c r="N2044" t="s">
        <v>450</v>
      </c>
      <c r="P2044" t="s">
        <v>13403</v>
      </c>
      <c r="Q2044">
        <v>30502</v>
      </c>
      <c r="R2044" t="s">
        <v>322</v>
      </c>
      <c r="S2044" t="s">
        <v>6883</v>
      </c>
      <c r="T2044">
        <v>26</v>
      </c>
      <c r="V2044" s="1">
        <v>45730</v>
      </c>
      <c r="W2044">
        <v>864</v>
      </c>
      <c r="X2044">
        <v>864000000213</v>
      </c>
      <c r="Y2044" t="s">
        <v>13404</v>
      </c>
      <c r="Z2044" s="2" t="s">
        <v>13405</v>
      </c>
      <c r="AA2044" t="s">
        <v>914</v>
      </c>
      <c r="AB2044" s="2" t="s">
        <v>13406</v>
      </c>
      <c r="AD2044" s="2" t="s">
        <v>13407</v>
      </c>
      <c r="AE2044">
        <v>12842</v>
      </c>
      <c r="AG2044" t="s">
        <v>13408</v>
      </c>
      <c r="AH2044" t="s">
        <v>13409</v>
      </c>
      <c r="AI2044" t="s">
        <v>13410</v>
      </c>
    </row>
    <row r="2045" spans="2:35" ht="390">
      <c r="B2045" s="1">
        <v>45731</v>
      </c>
      <c r="C2045" s="1">
        <v>45731</v>
      </c>
      <c r="D2045" t="s">
        <v>1057</v>
      </c>
      <c r="E2045" t="s">
        <v>1058</v>
      </c>
      <c r="F2045">
        <v>1</v>
      </c>
      <c r="G2045" t="s">
        <v>1046</v>
      </c>
      <c r="H2045" t="s">
        <v>39</v>
      </c>
      <c r="I2045" t="s">
        <v>94</v>
      </c>
      <c r="J2045" s="2" t="s">
        <v>41</v>
      </c>
      <c r="K2045" t="s">
        <v>42</v>
      </c>
      <c r="L2045" t="s">
        <v>135</v>
      </c>
      <c r="N2045" t="s">
        <v>136</v>
      </c>
      <c r="Q2045">
        <v>30501</v>
      </c>
      <c r="R2045" t="s">
        <v>95</v>
      </c>
      <c r="S2045" t="s">
        <v>13411</v>
      </c>
      <c r="T2045">
        <v>28</v>
      </c>
      <c r="U2045" s="2" t="s">
        <v>13412</v>
      </c>
      <c r="V2045" s="1">
        <v>45788</v>
      </c>
      <c r="W2045" t="s">
        <v>3418</v>
      </c>
      <c r="X2045">
        <v>820303</v>
      </c>
      <c r="Y2045" t="s">
        <v>13413</v>
      </c>
      <c r="Z2045" s="2" t="s">
        <v>140</v>
      </c>
      <c r="AA2045" s="2" t="s">
        <v>5713</v>
      </c>
      <c r="AB2045" s="2" t="s">
        <v>13414</v>
      </c>
      <c r="AD2045" t="s">
        <v>13415</v>
      </c>
      <c r="AE2045">
        <v>12822</v>
      </c>
      <c r="AG2045" t="s">
        <v>13416</v>
      </c>
      <c r="AH2045" t="s">
        <v>13417</v>
      </c>
      <c r="AI2045" t="s">
        <v>13418</v>
      </c>
    </row>
    <row r="2046" spans="2:35" ht="330">
      <c r="B2046" s="1">
        <v>45731</v>
      </c>
      <c r="C2046" s="1">
        <v>45730</v>
      </c>
      <c r="D2046" t="s">
        <v>7881</v>
      </c>
      <c r="E2046" t="s">
        <v>7882</v>
      </c>
      <c r="F2046">
        <v>7</v>
      </c>
      <c r="G2046" t="s">
        <v>432</v>
      </c>
      <c r="H2046" t="s">
        <v>608</v>
      </c>
      <c r="I2046" t="s">
        <v>40</v>
      </c>
      <c r="J2046" s="2" t="s">
        <v>4208</v>
      </c>
      <c r="K2046" t="s">
        <v>42</v>
      </c>
      <c r="L2046" t="s">
        <v>610</v>
      </c>
      <c r="N2046" t="s">
        <v>611</v>
      </c>
      <c r="Q2046">
        <v>30500</v>
      </c>
      <c r="R2046" t="s">
        <v>119</v>
      </c>
      <c r="S2046" t="s">
        <v>13419</v>
      </c>
      <c r="T2046">
        <v>23</v>
      </c>
      <c r="U2046" s="2" t="s">
        <v>13420</v>
      </c>
      <c r="W2046" t="s">
        <v>360</v>
      </c>
      <c r="X2046">
        <v>838512</v>
      </c>
      <c r="Y2046" t="s">
        <v>13421</v>
      </c>
      <c r="Z2046" s="2" t="s">
        <v>13422</v>
      </c>
      <c r="AA2046" s="2" t="s">
        <v>13422</v>
      </c>
      <c r="AB2046" t="s">
        <v>13423</v>
      </c>
      <c r="AG2046" t="s">
        <v>13424</v>
      </c>
      <c r="AH2046" t="s">
        <v>13425</v>
      </c>
      <c r="AI2046" t="s">
        <v>13426</v>
      </c>
    </row>
    <row r="2047" spans="2:35">
      <c r="B2047" s="1">
        <v>45730</v>
      </c>
      <c r="C2047" s="1">
        <v>45730</v>
      </c>
      <c r="D2047" t="s">
        <v>11603</v>
      </c>
      <c r="E2047" t="s">
        <v>420</v>
      </c>
      <c r="F2047" t="s">
        <v>148</v>
      </c>
      <c r="G2047" t="s">
        <v>421</v>
      </c>
      <c r="H2047" t="s">
        <v>39</v>
      </c>
      <c r="I2047" t="s">
        <v>40</v>
      </c>
      <c r="J2047" t="s">
        <v>109</v>
      </c>
      <c r="K2047" t="s">
        <v>42</v>
      </c>
      <c r="L2047" t="s">
        <v>175</v>
      </c>
      <c r="N2047" t="s">
        <v>176</v>
      </c>
      <c r="Q2047">
        <v>30499</v>
      </c>
      <c r="R2047" t="s">
        <v>95</v>
      </c>
      <c r="S2047" t="s">
        <v>11604</v>
      </c>
      <c r="T2047">
        <v>25</v>
      </c>
      <c r="W2047" t="s">
        <v>373</v>
      </c>
      <c r="X2047">
        <v>110020699</v>
      </c>
      <c r="Y2047" t="s">
        <v>374</v>
      </c>
      <c r="Z2047" t="s">
        <v>375</v>
      </c>
      <c r="AA2047" t="e">
        <f ca="1">- checked _xludf.and cleaned cartridge bay, plunger rod, _xludf.filter, icore slot
- generated reports
- scanned system _xludf.Log _xludf.For hardware errors (None)
- performed self test</f>
        <v>#NAME?</v>
      </c>
      <c r="AB2047" t="s">
        <v>181</v>
      </c>
      <c r="AG2047" t="s">
        <v>13427</v>
      </c>
      <c r="AH2047" t="s">
        <v>13428</v>
      </c>
      <c r="AI2047" t="s">
        <v>13429</v>
      </c>
    </row>
    <row r="2048" spans="2:35" ht="390">
      <c r="B2048" s="1">
        <v>45730</v>
      </c>
      <c r="C2048" s="1">
        <v>45730</v>
      </c>
      <c r="D2048" t="s">
        <v>267</v>
      </c>
      <c r="E2048" t="s">
        <v>13430</v>
      </c>
      <c r="F2048">
        <v>7</v>
      </c>
      <c r="G2048" t="s">
        <v>269</v>
      </c>
      <c r="H2048" t="s">
        <v>39</v>
      </c>
      <c r="I2048" t="s">
        <v>40</v>
      </c>
      <c r="J2048" t="s">
        <v>79</v>
      </c>
      <c r="K2048" t="s">
        <v>42</v>
      </c>
      <c r="L2048" t="s">
        <v>270</v>
      </c>
      <c r="N2048" t="s">
        <v>2481</v>
      </c>
      <c r="Q2048">
        <v>30498</v>
      </c>
      <c r="R2048" t="s">
        <v>119</v>
      </c>
      <c r="S2048" t="s">
        <v>13431</v>
      </c>
      <c r="T2048">
        <v>25</v>
      </c>
      <c r="U2048" s="2" t="s">
        <v>13432</v>
      </c>
      <c r="W2048" t="s">
        <v>360</v>
      </c>
      <c r="X2048">
        <v>838475</v>
      </c>
      <c r="Y2048" t="s">
        <v>13433</v>
      </c>
      <c r="Z2048" t="s">
        <v>12751</v>
      </c>
      <c r="AA2048" s="2" t="s">
        <v>13434</v>
      </c>
      <c r="AB2048" t="s">
        <v>13435</v>
      </c>
      <c r="AG2048" t="s">
        <v>13436</v>
      </c>
      <c r="AH2048" t="s">
        <v>13437</v>
      </c>
      <c r="AI2048" t="s">
        <v>13438</v>
      </c>
    </row>
    <row r="2049" spans="2:35" ht="105">
      <c r="B2049" s="1">
        <v>45730</v>
      </c>
      <c r="C2049" s="1">
        <v>45730</v>
      </c>
      <c r="D2049" t="s">
        <v>5563</v>
      </c>
      <c r="E2049" t="s">
        <v>1555</v>
      </c>
      <c r="F2049">
        <v>7</v>
      </c>
      <c r="G2049" t="s">
        <v>432</v>
      </c>
      <c r="H2049" t="s">
        <v>150</v>
      </c>
      <c r="I2049" t="s">
        <v>40</v>
      </c>
      <c r="J2049" s="2" t="s">
        <v>1444</v>
      </c>
      <c r="K2049" t="s">
        <v>42</v>
      </c>
      <c r="L2049" t="s">
        <v>343</v>
      </c>
      <c r="N2049" t="s">
        <v>344</v>
      </c>
      <c r="Q2049">
        <v>30497</v>
      </c>
      <c r="R2049" t="s">
        <v>119</v>
      </c>
      <c r="S2049" t="s">
        <v>5564</v>
      </c>
      <c r="T2049">
        <v>28</v>
      </c>
      <c r="U2049" s="2" t="s">
        <v>13439</v>
      </c>
      <c r="W2049" t="s">
        <v>1501</v>
      </c>
      <c r="X2049">
        <v>838561</v>
      </c>
      <c r="Y2049" t="s">
        <v>13440</v>
      </c>
      <c r="Z2049" t="s">
        <v>103</v>
      </c>
      <c r="AA2049" t="e">
        <f ca="1">-run XpertCheck on concerned module B3 _xludf.For Reporting</f>
        <v>#NAME?</v>
      </c>
      <c r="AB2049" t="s">
        <v>13441</v>
      </c>
      <c r="AG2049" t="s">
        <v>13442</v>
      </c>
      <c r="AH2049" t="s">
        <v>5567</v>
      </c>
      <c r="AI2049" t="s">
        <v>13443</v>
      </c>
    </row>
    <row r="2050" spans="2:35" ht="105">
      <c r="B2050" s="1">
        <v>45730</v>
      </c>
      <c r="C2050" s="1">
        <v>45730</v>
      </c>
      <c r="D2050" t="s">
        <v>13444</v>
      </c>
      <c r="E2050" t="s">
        <v>13445</v>
      </c>
      <c r="F2050">
        <v>6</v>
      </c>
      <c r="G2050" t="s">
        <v>5216</v>
      </c>
      <c r="H2050" t="s">
        <v>10969</v>
      </c>
      <c r="I2050" t="s">
        <v>40</v>
      </c>
      <c r="J2050" s="2" t="s">
        <v>41</v>
      </c>
      <c r="K2050" t="s">
        <v>42</v>
      </c>
      <c r="L2050" t="s">
        <v>1288</v>
      </c>
      <c r="N2050" t="s">
        <v>1289</v>
      </c>
      <c r="Q2050">
        <v>30496</v>
      </c>
      <c r="R2050" t="s">
        <v>119</v>
      </c>
      <c r="S2050" t="s">
        <v>13446</v>
      </c>
      <c r="T2050">
        <v>30</v>
      </c>
      <c r="U2050" s="2" t="s">
        <v>13447</v>
      </c>
      <c r="V2050" s="1">
        <v>45706</v>
      </c>
      <c r="W2050" t="s">
        <v>1292</v>
      </c>
      <c r="X2050">
        <v>838291</v>
      </c>
      <c r="Y2050" t="e">
        <f ca="1">-_xludf.For Desktop monitor Replacement</f>
        <v>#NAME?</v>
      </c>
      <c r="Z2050" t="e">
        <f ca="1">-COLLECT IQR,system _xludf.Log, _xludf.and ARCHIVE</f>
        <v>#NAME?</v>
      </c>
      <c r="AA2050" t="e">
        <f ca="1">-PERFORM Desktop monitor Replacement with new monitor SN:CN461016X2
-PERFORM Preventive Maintenance PROCEDURE</f>
        <v>#NAME?</v>
      </c>
      <c r="AB2050" t="s">
        <v>1293</v>
      </c>
      <c r="AD2050" t="s">
        <v>13202</v>
      </c>
      <c r="AE2050">
        <v>12756</v>
      </c>
      <c r="AG2050" t="s">
        <v>13448</v>
      </c>
      <c r="AH2050" t="s">
        <v>13449</v>
      </c>
      <c r="AI2050" t="s">
        <v>13450</v>
      </c>
    </row>
    <row r="2051" spans="2:35" ht="360">
      <c r="B2051" s="1">
        <v>45730</v>
      </c>
      <c r="C2051" s="1">
        <v>45730</v>
      </c>
      <c r="D2051" t="s">
        <v>9302</v>
      </c>
      <c r="E2051" t="s">
        <v>9296</v>
      </c>
      <c r="F2051">
        <v>3</v>
      </c>
      <c r="G2051" t="s">
        <v>730</v>
      </c>
      <c r="H2051" t="s">
        <v>39</v>
      </c>
      <c r="I2051" t="s">
        <v>40</v>
      </c>
      <c r="J2051" t="s">
        <v>109</v>
      </c>
      <c r="K2051" t="s">
        <v>42</v>
      </c>
      <c r="L2051" t="s">
        <v>135</v>
      </c>
      <c r="N2051" t="s">
        <v>136</v>
      </c>
      <c r="Q2051">
        <v>30495</v>
      </c>
      <c r="R2051" t="s">
        <v>95</v>
      </c>
      <c r="S2051" t="s">
        <v>9303</v>
      </c>
      <c r="T2051">
        <v>24</v>
      </c>
      <c r="U2051" s="2" t="s">
        <v>13451</v>
      </c>
      <c r="W2051" t="s">
        <v>2680</v>
      </c>
      <c r="X2051">
        <v>839232</v>
      </c>
      <c r="Y2051" t="s">
        <v>7229</v>
      </c>
      <c r="Z2051" t="s">
        <v>4315</v>
      </c>
      <c r="AA2051" s="2" t="s">
        <v>4316</v>
      </c>
      <c r="AB2051" t="s">
        <v>181</v>
      </c>
      <c r="AG2051" t="s">
        <v>13452</v>
      </c>
      <c r="AH2051" t="s">
        <v>13453</v>
      </c>
      <c r="AI2051" t="s">
        <v>13454</v>
      </c>
    </row>
    <row r="2052" spans="2:35" ht="360">
      <c r="B2052" s="1">
        <v>45730</v>
      </c>
      <c r="C2052" s="1">
        <v>45730</v>
      </c>
      <c r="D2052" t="s">
        <v>9302</v>
      </c>
      <c r="E2052" t="s">
        <v>13455</v>
      </c>
      <c r="F2052">
        <v>3</v>
      </c>
      <c r="G2052" t="s">
        <v>730</v>
      </c>
      <c r="H2052" t="s">
        <v>39</v>
      </c>
      <c r="I2052" t="s">
        <v>40</v>
      </c>
      <c r="J2052" t="s">
        <v>109</v>
      </c>
      <c r="K2052" t="s">
        <v>42</v>
      </c>
      <c r="L2052" t="s">
        <v>135</v>
      </c>
      <c r="N2052" t="s">
        <v>136</v>
      </c>
      <c r="Q2052">
        <v>30494</v>
      </c>
      <c r="R2052" t="s">
        <v>95</v>
      </c>
      <c r="S2052" t="s">
        <v>9303</v>
      </c>
      <c r="T2052">
        <v>24</v>
      </c>
      <c r="U2052" s="2" t="s">
        <v>13451</v>
      </c>
      <c r="W2052" t="s">
        <v>3418</v>
      </c>
      <c r="X2052">
        <v>830841</v>
      </c>
      <c r="Y2052" t="s">
        <v>7229</v>
      </c>
      <c r="Z2052" t="s">
        <v>4315</v>
      </c>
      <c r="AA2052" s="2" t="s">
        <v>4316</v>
      </c>
      <c r="AB2052" t="s">
        <v>181</v>
      </c>
      <c r="AG2052" t="s">
        <v>13456</v>
      </c>
      <c r="AH2052" t="s">
        <v>13453</v>
      </c>
      <c r="AI2052" t="s">
        <v>13457</v>
      </c>
    </row>
    <row r="2053" spans="2:35" ht="345">
      <c r="B2053" s="1">
        <v>45730</v>
      </c>
      <c r="C2053" s="1">
        <v>45729</v>
      </c>
      <c r="D2053" t="s">
        <v>2327</v>
      </c>
      <c r="E2053" t="s">
        <v>2328</v>
      </c>
      <c r="F2053">
        <v>7</v>
      </c>
      <c r="G2053" t="s">
        <v>432</v>
      </c>
      <c r="H2053" t="s">
        <v>608</v>
      </c>
      <c r="I2053" t="s">
        <v>40</v>
      </c>
      <c r="J2053" t="s">
        <v>109</v>
      </c>
      <c r="K2053" t="s">
        <v>42</v>
      </c>
      <c r="L2053" t="s">
        <v>610</v>
      </c>
      <c r="N2053" t="s">
        <v>611</v>
      </c>
      <c r="O2053" t="s">
        <v>2329</v>
      </c>
      <c r="Q2053">
        <v>30493</v>
      </c>
      <c r="R2053" t="s">
        <v>119</v>
      </c>
      <c r="S2053" t="s">
        <v>2329</v>
      </c>
      <c r="T2053">
        <v>23</v>
      </c>
      <c r="U2053" s="2" t="s">
        <v>13458</v>
      </c>
      <c r="W2053" t="s">
        <v>360</v>
      </c>
      <c r="X2053">
        <v>838506</v>
      </c>
      <c r="Y2053" s="2" t="s">
        <v>13459</v>
      </c>
      <c r="Z2053" t="s">
        <v>13460</v>
      </c>
      <c r="AA2053" t="s">
        <v>13460</v>
      </c>
      <c r="AB2053" t="s">
        <v>9638</v>
      </c>
      <c r="AG2053" t="s">
        <v>13461</v>
      </c>
      <c r="AH2053" t="s">
        <v>13462</v>
      </c>
      <c r="AI2053" t="s">
        <v>13463</v>
      </c>
    </row>
    <row r="2054" spans="2:35" ht="409.5">
      <c r="B2054" s="1">
        <v>45729</v>
      </c>
      <c r="C2054" s="1">
        <v>45729</v>
      </c>
      <c r="D2054" t="s">
        <v>5207</v>
      </c>
      <c r="E2054" t="s">
        <v>5208</v>
      </c>
      <c r="F2054" t="s">
        <v>148</v>
      </c>
      <c r="G2054" t="s">
        <v>310</v>
      </c>
      <c r="H2054" t="s">
        <v>39</v>
      </c>
      <c r="I2054" t="s">
        <v>40</v>
      </c>
      <c r="J2054" s="2" t="s">
        <v>62</v>
      </c>
      <c r="K2054" t="s">
        <v>42</v>
      </c>
      <c r="L2054" t="s">
        <v>1943</v>
      </c>
      <c r="N2054" t="s">
        <v>1944</v>
      </c>
      <c r="O2054" t="s">
        <v>5209</v>
      </c>
      <c r="Q2054">
        <v>30492</v>
      </c>
      <c r="R2054" t="s">
        <v>322</v>
      </c>
      <c r="S2054" t="s">
        <v>11992</v>
      </c>
      <c r="T2054">
        <v>25</v>
      </c>
      <c r="U2054" s="2" t="s">
        <v>13464</v>
      </c>
      <c r="V2054" s="1">
        <v>45728</v>
      </c>
      <c r="W2054" t="s">
        <v>5225</v>
      </c>
      <c r="X2054">
        <v>110016343</v>
      </c>
      <c r="Y2054" s="2" t="s">
        <v>13465</v>
      </c>
      <c r="Z2054" t="s">
        <v>13466</v>
      </c>
      <c r="AA2054" s="2" t="s">
        <v>3046</v>
      </c>
      <c r="AB2054" s="2" t="s">
        <v>13467</v>
      </c>
      <c r="AD2054" t="s">
        <v>13468</v>
      </c>
      <c r="AE2054" t="s">
        <v>13469</v>
      </c>
      <c r="AG2054" t="s">
        <v>13470</v>
      </c>
      <c r="AH2054" t="s">
        <v>5212</v>
      </c>
      <c r="AI2054" t="s">
        <v>13471</v>
      </c>
    </row>
    <row r="2055" spans="2:35" ht="409.5">
      <c r="B2055" s="1">
        <v>45729</v>
      </c>
      <c r="C2055" s="1">
        <v>45729</v>
      </c>
      <c r="D2055" t="s">
        <v>6471</v>
      </c>
      <c r="E2055" t="s">
        <v>7442</v>
      </c>
      <c r="F2055" t="s">
        <v>148</v>
      </c>
      <c r="G2055" t="s">
        <v>447</v>
      </c>
      <c r="H2055" t="s">
        <v>39</v>
      </c>
      <c r="I2055" t="s">
        <v>40</v>
      </c>
      <c r="J2055" t="s">
        <v>109</v>
      </c>
      <c r="K2055" t="s">
        <v>42</v>
      </c>
      <c r="L2055" t="s">
        <v>175</v>
      </c>
      <c r="N2055" t="s">
        <v>176</v>
      </c>
      <c r="Q2055">
        <v>30491</v>
      </c>
      <c r="R2055" t="s">
        <v>703</v>
      </c>
      <c r="S2055" t="s">
        <v>6472</v>
      </c>
      <c r="T2055">
        <v>25</v>
      </c>
      <c r="W2055" t="s">
        <v>84</v>
      </c>
      <c r="X2055">
        <v>847578</v>
      </c>
      <c r="Y2055" s="2" t="s">
        <v>13472</v>
      </c>
      <c r="Z2055" t="s">
        <v>103</v>
      </c>
      <c r="AA2055" s="2" t="s">
        <v>13473</v>
      </c>
      <c r="AB2055" s="2" t="s">
        <v>13474</v>
      </c>
      <c r="AG2055" t="s">
        <v>13475</v>
      </c>
      <c r="AH2055" t="s">
        <v>3332</v>
      </c>
      <c r="AI2055" t="s">
        <v>13476</v>
      </c>
    </row>
    <row r="2056" spans="2:35" ht="90">
      <c r="B2056" s="1">
        <v>45729</v>
      </c>
      <c r="C2056" s="1">
        <v>45729</v>
      </c>
      <c r="D2056" t="s">
        <v>6471</v>
      </c>
      <c r="E2056" t="s">
        <v>7442</v>
      </c>
      <c r="F2056" t="s">
        <v>148</v>
      </c>
      <c r="G2056" t="s">
        <v>447</v>
      </c>
      <c r="H2056" t="s">
        <v>513</v>
      </c>
      <c r="I2056" t="s">
        <v>40</v>
      </c>
      <c r="J2056" t="s">
        <v>109</v>
      </c>
      <c r="K2056" t="s">
        <v>387</v>
      </c>
      <c r="L2056" t="s">
        <v>175</v>
      </c>
      <c r="N2056" t="s">
        <v>176</v>
      </c>
      <c r="Q2056">
        <v>30490</v>
      </c>
      <c r="R2056" t="s">
        <v>322</v>
      </c>
      <c r="S2056" t="s">
        <v>6064</v>
      </c>
      <c r="T2056">
        <v>28</v>
      </c>
      <c r="W2056" t="s">
        <v>390</v>
      </c>
      <c r="X2056" t="s">
        <v>4307</v>
      </c>
      <c r="Y2056" t="s">
        <v>374</v>
      </c>
      <c r="Z2056" s="2" t="s">
        <v>13477</v>
      </c>
      <c r="AA2056" t="e">
        <f ca="1">- checked rotor roller pumps
- checked CALIBRATION parameters
- performed self test
- cleaned centrifuge FROM spillage</f>
        <v>#NAME?</v>
      </c>
      <c r="AB2056" t="s">
        <v>181</v>
      </c>
      <c r="AG2056" t="s">
        <v>13478</v>
      </c>
      <c r="AH2056" t="s">
        <v>13479</v>
      </c>
      <c r="AI2056" t="s">
        <v>13480</v>
      </c>
    </row>
    <row r="2057" spans="2:35" ht="105">
      <c r="B2057" s="1">
        <v>45729</v>
      </c>
      <c r="C2057" s="1">
        <v>45729</v>
      </c>
      <c r="D2057" t="s">
        <v>7465</v>
      </c>
      <c r="E2057" t="s">
        <v>7466</v>
      </c>
      <c r="F2057">
        <v>8</v>
      </c>
      <c r="G2057" t="s">
        <v>342</v>
      </c>
      <c r="H2057" t="s">
        <v>13481</v>
      </c>
      <c r="I2057" t="s">
        <v>40</v>
      </c>
      <c r="J2057" t="s">
        <v>109</v>
      </c>
      <c r="K2057" t="s">
        <v>42</v>
      </c>
      <c r="L2057" t="s">
        <v>259</v>
      </c>
      <c r="N2057" t="s">
        <v>260</v>
      </c>
      <c r="Q2057">
        <v>30489</v>
      </c>
      <c r="R2057" t="s">
        <v>119</v>
      </c>
      <c r="S2057" t="s">
        <v>13482</v>
      </c>
      <c r="T2057">
        <v>26</v>
      </c>
      <c r="U2057" s="2" t="s">
        <v>13483</v>
      </c>
      <c r="V2057" s="1">
        <v>45729</v>
      </c>
      <c r="W2057" t="s">
        <v>84</v>
      </c>
      <c r="X2057">
        <v>838551</v>
      </c>
      <c r="Y2057" t="s">
        <v>1716</v>
      </c>
      <c r="Z2057" t="s">
        <v>1716</v>
      </c>
      <c r="AA2057" t="e">
        <f ca="1">- Preventive Maintenance
- Changed FAN _xludf.filter</f>
        <v>#NAME?</v>
      </c>
      <c r="AB2057" t="s">
        <v>70</v>
      </c>
      <c r="AG2057" t="s">
        <v>13484</v>
      </c>
      <c r="AH2057" t="s">
        <v>7469</v>
      </c>
      <c r="AI2057" t="s">
        <v>13485</v>
      </c>
    </row>
    <row r="2058" spans="2:35" ht="270">
      <c r="B2058" s="1">
        <v>45729</v>
      </c>
      <c r="C2058" s="1">
        <v>45729</v>
      </c>
      <c r="D2058" t="s">
        <v>4654</v>
      </c>
      <c r="E2058" t="s">
        <v>4655</v>
      </c>
      <c r="F2058">
        <v>10</v>
      </c>
      <c r="G2058" t="s">
        <v>1395</v>
      </c>
      <c r="H2058" t="s">
        <v>513</v>
      </c>
      <c r="I2058" t="s">
        <v>40</v>
      </c>
      <c r="J2058" t="s">
        <v>525</v>
      </c>
      <c r="K2058" t="s">
        <v>387</v>
      </c>
      <c r="L2058" t="s">
        <v>933</v>
      </c>
      <c r="N2058" t="s">
        <v>934</v>
      </c>
      <c r="Q2058">
        <v>30488</v>
      </c>
      <c r="R2058" t="s">
        <v>95</v>
      </c>
      <c r="S2058" t="s">
        <v>12953</v>
      </c>
      <c r="T2058">
        <v>25</v>
      </c>
      <c r="W2058" t="s">
        <v>390</v>
      </c>
      <c r="X2058" t="s">
        <v>4573</v>
      </c>
      <c r="Y2058" t="s">
        <v>13486</v>
      </c>
      <c r="Z2058" t="s">
        <v>301</v>
      </c>
      <c r="AA2058" s="2" t="s">
        <v>13487</v>
      </c>
      <c r="AB2058" t="s">
        <v>656</v>
      </c>
      <c r="AG2058" t="s">
        <v>13488</v>
      </c>
      <c r="AH2058" t="s">
        <v>13489</v>
      </c>
      <c r="AI2058" t="s">
        <v>13490</v>
      </c>
    </row>
    <row r="2059" spans="2:35" ht="409.5">
      <c r="B2059" s="1">
        <v>45729</v>
      </c>
      <c r="C2059" s="1">
        <v>45729</v>
      </c>
      <c r="D2059" t="s">
        <v>10196</v>
      </c>
      <c r="E2059" t="s">
        <v>10197</v>
      </c>
      <c r="F2059">
        <v>6</v>
      </c>
      <c r="G2059" t="s">
        <v>1507</v>
      </c>
      <c r="H2059" t="s">
        <v>10969</v>
      </c>
      <c r="I2059" t="s">
        <v>40</v>
      </c>
      <c r="J2059" s="2" t="s">
        <v>190</v>
      </c>
      <c r="K2059" t="s">
        <v>42</v>
      </c>
      <c r="L2059" t="s">
        <v>1288</v>
      </c>
      <c r="N2059" t="s">
        <v>1289</v>
      </c>
      <c r="Q2059">
        <v>30487</v>
      </c>
      <c r="R2059" t="s">
        <v>119</v>
      </c>
      <c r="S2059" t="s">
        <v>10198</v>
      </c>
      <c r="T2059">
        <v>30</v>
      </c>
      <c r="U2059" s="2" t="s">
        <v>13491</v>
      </c>
      <c r="W2059" t="s">
        <v>1292</v>
      </c>
      <c r="X2059">
        <v>838296</v>
      </c>
      <c r="Y2059" t="s">
        <v>13492</v>
      </c>
      <c r="Z2059" t="e">
        <f ca="1">-COLLECT Data</f>
        <v>#NAME?</v>
      </c>
      <c r="AA2059" s="2" t="s">
        <v>13493</v>
      </c>
      <c r="AB2059" t="s">
        <v>13494</v>
      </c>
      <c r="AG2059" t="s">
        <v>13495</v>
      </c>
      <c r="AH2059" t="s">
        <v>10203</v>
      </c>
      <c r="AI2059" t="s">
        <v>13496</v>
      </c>
    </row>
    <row r="2060" spans="2:35" ht="315">
      <c r="B2060" s="1">
        <v>45729</v>
      </c>
      <c r="C2060" s="1">
        <v>45728</v>
      </c>
      <c r="D2060" t="s">
        <v>7476</v>
      </c>
      <c r="E2060" t="s">
        <v>7477</v>
      </c>
      <c r="F2060">
        <v>11</v>
      </c>
      <c r="G2060" t="s">
        <v>1205</v>
      </c>
      <c r="H2060" t="s">
        <v>202</v>
      </c>
      <c r="I2060" t="s">
        <v>40</v>
      </c>
      <c r="J2060" s="2" t="s">
        <v>190</v>
      </c>
      <c r="K2060" t="s">
        <v>42</v>
      </c>
      <c r="L2060" t="s">
        <v>204</v>
      </c>
      <c r="N2060" t="s">
        <v>205</v>
      </c>
      <c r="Q2060">
        <v>30486</v>
      </c>
      <c r="R2060" t="s">
        <v>119</v>
      </c>
      <c r="S2060" t="s">
        <v>7478</v>
      </c>
      <c r="T2060">
        <v>23.8</v>
      </c>
      <c r="W2060" t="s">
        <v>208</v>
      </c>
      <c r="X2060">
        <v>838507</v>
      </c>
      <c r="Y2060" s="2" t="s">
        <v>13497</v>
      </c>
      <c r="Z2060" s="2" t="s">
        <v>13498</v>
      </c>
      <c r="AA2060" t="s">
        <v>2924</v>
      </c>
      <c r="AB2060" s="2" t="s">
        <v>13499</v>
      </c>
      <c r="AC2060" t="s">
        <v>13500</v>
      </c>
      <c r="AG2060" t="s">
        <v>13501</v>
      </c>
      <c r="AH2060" t="s">
        <v>13502</v>
      </c>
      <c r="AI2060" t="s">
        <v>13503</v>
      </c>
    </row>
    <row r="2061" spans="2:35" ht="409.5">
      <c r="B2061" s="1">
        <v>45728</v>
      </c>
      <c r="C2061" s="1">
        <v>45728</v>
      </c>
      <c r="D2061" t="s">
        <v>5207</v>
      </c>
      <c r="E2061" t="s">
        <v>5208</v>
      </c>
      <c r="F2061" t="s">
        <v>148</v>
      </c>
      <c r="G2061" t="s">
        <v>310</v>
      </c>
      <c r="H2061" t="s">
        <v>39</v>
      </c>
      <c r="I2061" t="s">
        <v>40</v>
      </c>
      <c r="J2061" s="2" t="s">
        <v>41</v>
      </c>
      <c r="K2061" t="s">
        <v>42</v>
      </c>
      <c r="L2061" t="s">
        <v>1943</v>
      </c>
      <c r="N2061" t="s">
        <v>1944</v>
      </c>
      <c r="O2061" t="s">
        <v>5209</v>
      </c>
      <c r="Q2061">
        <v>30485</v>
      </c>
      <c r="R2061" t="s">
        <v>322</v>
      </c>
      <c r="S2061" t="s">
        <v>11992</v>
      </c>
      <c r="T2061">
        <v>25</v>
      </c>
      <c r="V2061" s="1">
        <v>45727</v>
      </c>
      <c r="W2061" t="s">
        <v>5225</v>
      </c>
      <c r="X2061">
        <v>110016343</v>
      </c>
      <c r="Y2061" s="2" t="s">
        <v>13504</v>
      </c>
      <c r="Z2061" t="s">
        <v>1947</v>
      </c>
      <c r="AA2061" s="2" t="s">
        <v>1948</v>
      </c>
      <c r="AB2061" t="s">
        <v>88</v>
      </c>
      <c r="AD2061" t="s">
        <v>13505</v>
      </c>
      <c r="AE2061" t="s">
        <v>13506</v>
      </c>
      <c r="AG2061" t="s">
        <v>13507</v>
      </c>
      <c r="AH2061" t="s">
        <v>5212</v>
      </c>
      <c r="AI2061" t="s">
        <v>13508</v>
      </c>
    </row>
    <row r="2062" spans="2:35" ht="165">
      <c r="B2062" s="1">
        <v>45728</v>
      </c>
      <c r="C2062" s="1">
        <v>45728</v>
      </c>
      <c r="D2062" t="s">
        <v>8483</v>
      </c>
      <c r="E2062" t="s">
        <v>8484</v>
      </c>
      <c r="F2062">
        <v>10</v>
      </c>
      <c r="G2062" t="s">
        <v>1395</v>
      </c>
      <c r="H2062" t="s">
        <v>2125</v>
      </c>
      <c r="I2062" t="s">
        <v>40</v>
      </c>
      <c r="J2062" s="2" t="s">
        <v>190</v>
      </c>
      <c r="K2062" t="s">
        <v>42</v>
      </c>
      <c r="L2062" t="s">
        <v>933</v>
      </c>
      <c r="N2062" t="s">
        <v>934</v>
      </c>
      <c r="Q2062">
        <v>30484</v>
      </c>
      <c r="R2062" t="s">
        <v>119</v>
      </c>
      <c r="S2062" t="s">
        <v>13509</v>
      </c>
      <c r="T2062">
        <v>25</v>
      </c>
      <c r="W2062" t="s">
        <v>2127</v>
      </c>
      <c r="X2062">
        <v>838574</v>
      </c>
      <c r="Y2062" s="2" t="s">
        <v>13510</v>
      </c>
      <c r="Z2062" s="2" t="s">
        <v>13511</v>
      </c>
      <c r="AA2062" s="2" t="s">
        <v>13512</v>
      </c>
      <c r="AB2062" t="s">
        <v>13513</v>
      </c>
      <c r="AG2062" t="s">
        <v>13514</v>
      </c>
      <c r="AH2062" t="s">
        <v>8488</v>
      </c>
      <c r="AI2062" t="s">
        <v>13515</v>
      </c>
    </row>
    <row r="2063" spans="2:35" ht="360">
      <c r="B2063" s="1">
        <v>45728</v>
      </c>
      <c r="C2063" s="1">
        <v>45728</v>
      </c>
      <c r="D2063" t="s">
        <v>10703</v>
      </c>
      <c r="E2063" t="s">
        <v>9712</v>
      </c>
      <c r="F2063">
        <v>10</v>
      </c>
      <c r="G2063" t="s">
        <v>2392</v>
      </c>
      <c r="H2063" t="s">
        <v>1498</v>
      </c>
      <c r="I2063" t="s">
        <v>40</v>
      </c>
      <c r="J2063" s="2" t="s">
        <v>1157</v>
      </c>
      <c r="K2063" t="s">
        <v>42</v>
      </c>
      <c r="L2063" t="s">
        <v>343</v>
      </c>
      <c r="N2063" t="s">
        <v>344</v>
      </c>
      <c r="Q2063">
        <v>30483</v>
      </c>
      <c r="R2063" t="s">
        <v>119</v>
      </c>
      <c r="S2063" t="s">
        <v>10705</v>
      </c>
      <c r="T2063">
        <v>29</v>
      </c>
      <c r="U2063" s="2" t="s">
        <v>13516</v>
      </c>
      <c r="W2063" t="s">
        <v>1501</v>
      </c>
      <c r="X2063">
        <v>838294</v>
      </c>
      <c r="Y2063" s="2" t="s">
        <v>13517</v>
      </c>
      <c r="Z2063" s="2" t="s">
        <v>13518</v>
      </c>
      <c r="AA2063" t="s">
        <v>13519</v>
      </c>
      <c r="AB2063" t="s">
        <v>348</v>
      </c>
      <c r="AG2063" t="s">
        <v>13520</v>
      </c>
      <c r="AH2063" t="s">
        <v>10708</v>
      </c>
      <c r="AI2063" t="s">
        <v>13521</v>
      </c>
    </row>
    <row r="2064" spans="2:35" ht="330">
      <c r="B2064" s="1">
        <v>45728</v>
      </c>
      <c r="C2064" s="1">
        <v>45728</v>
      </c>
      <c r="D2064" t="s">
        <v>5645</v>
      </c>
      <c r="E2064" t="s">
        <v>2136</v>
      </c>
      <c r="F2064" t="s">
        <v>1255</v>
      </c>
      <c r="G2064" t="s">
        <v>1887</v>
      </c>
      <c r="H2064" t="s">
        <v>1473</v>
      </c>
      <c r="I2064" t="s">
        <v>40</v>
      </c>
      <c r="J2064" s="2" t="s">
        <v>190</v>
      </c>
      <c r="K2064" t="s">
        <v>42</v>
      </c>
      <c r="L2064" t="s">
        <v>296</v>
      </c>
      <c r="N2064" t="s">
        <v>297</v>
      </c>
      <c r="Q2064">
        <v>30482</v>
      </c>
      <c r="R2064" t="s">
        <v>967</v>
      </c>
      <c r="S2064" t="s">
        <v>13522</v>
      </c>
      <c r="T2064">
        <v>29.6</v>
      </c>
      <c r="U2064" s="2" t="s">
        <v>13523</v>
      </c>
      <c r="W2064" t="s">
        <v>970</v>
      </c>
      <c r="X2064">
        <v>110023524</v>
      </c>
      <c r="Y2064" t="s">
        <v>7194</v>
      </c>
      <c r="Z2064" s="2" t="s">
        <v>13524</v>
      </c>
      <c r="AA2064" s="2" t="s">
        <v>13525</v>
      </c>
      <c r="AB2064" t="s">
        <v>7205</v>
      </c>
      <c r="AG2064" t="s">
        <v>13526</v>
      </c>
      <c r="AH2064" t="s">
        <v>13527</v>
      </c>
      <c r="AI2064" t="s">
        <v>13528</v>
      </c>
    </row>
    <row r="2065" spans="2:35" ht="255">
      <c r="B2065" s="1">
        <v>45728</v>
      </c>
      <c r="C2065" s="1">
        <v>45728</v>
      </c>
      <c r="D2065" t="s">
        <v>5645</v>
      </c>
      <c r="E2065" t="s">
        <v>2136</v>
      </c>
      <c r="F2065" t="s">
        <v>1255</v>
      </c>
      <c r="G2065" t="s">
        <v>1887</v>
      </c>
      <c r="H2065" t="s">
        <v>1473</v>
      </c>
      <c r="I2065" t="s">
        <v>40</v>
      </c>
      <c r="J2065" t="s">
        <v>109</v>
      </c>
      <c r="K2065" t="s">
        <v>42</v>
      </c>
      <c r="L2065" t="s">
        <v>296</v>
      </c>
      <c r="N2065" t="s">
        <v>297</v>
      </c>
      <c r="Q2065">
        <v>30481</v>
      </c>
      <c r="R2065" t="s">
        <v>119</v>
      </c>
      <c r="S2065" t="s">
        <v>13522</v>
      </c>
      <c r="T2065">
        <v>29.8</v>
      </c>
      <c r="U2065" s="2" t="s">
        <v>13529</v>
      </c>
      <c r="W2065" t="s">
        <v>981</v>
      </c>
      <c r="X2065">
        <v>838528</v>
      </c>
      <c r="Y2065" t="s">
        <v>13530</v>
      </c>
      <c r="Z2065" s="2" t="s">
        <v>13531</v>
      </c>
      <c r="AA2065" t="s">
        <v>303</v>
      </c>
      <c r="AB2065" t="s">
        <v>7205</v>
      </c>
      <c r="AG2065" t="s">
        <v>13532</v>
      </c>
      <c r="AH2065" t="s">
        <v>13527</v>
      </c>
      <c r="AI2065" t="s">
        <v>13533</v>
      </c>
    </row>
    <row r="2066" spans="2:35" ht="390">
      <c r="B2066" s="1">
        <v>45728</v>
      </c>
      <c r="C2066" s="1">
        <v>45726</v>
      </c>
      <c r="D2066" t="s">
        <v>7325</v>
      </c>
      <c r="E2066" t="s">
        <v>7326</v>
      </c>
      <c r="F2066">
        <v>12</v>
      </c>
      <c r="G2066" t="s">
        <v>978</v>
      </c>
      <c r="H2066" t="s">
        <v>1473</v>
      </c>
      <c r="I2066" t="s">
        <v>40</v>
      </c>
      <c r="J2066" s="2" t="s">
        <v>190</v>
      </c>
      <c r="K2066" t="s">
        <v>42</v>
      </c>
      <c r="L2066" t="s">
        <v>296</v>
      </c>
      <c r="N2066" t="s">
        <v>297</v>
      </c>
      <c r="Q2066">
        <v>30480</v>
      </c>
      <c r="R2066" t="s">
        <v>119</v>
      </c>
      <c r="S2066" t="s">
        <v>7327</v>
      </c>
      <c r="T2066">
        <v>25.6</v>
      </c>
      <c r="U2066" s="2" t="s">
        <v>2367</v>
      </c>
      <c r="W2066" t="s">
        <v>981</v>
      </c>
      <c r="X2066">
        <v>838265</v>
      </c>
      <c r="Y2066" t="s">
        <v>13534</v>
      </c>
      <c r="Z2066" s="2" t="s">
        <v>13535</v>
      </c>
      <c r="AA2066" s="2" t="s">
        <v>13536</v>
      </c>
      <c r="AB2066" s="2" t="s">
        <v>13537</v>
      </c>
      <c r="AG2066" t="s">
        <v>13538</v>
      </c>
      <c r="AH2066" t="s">
        <v>7331</v>
      </c>
      <c r="AI2066" t="s">
        <v>13539</v>
      </c>
    </row>
    <row r="2067" spans="2:35" ht="225">
      <c r="B2067" s="1">
        <v>45728</v>
      </c>
      <c r="C2067" s="1">
        <v>45728</v>
      </c>
      <c r="D2067" t="s">
        <v>592</v>
      </c>
      <c r="E2067" t="s">
        <v>6691</v>
      </c>
      <c r="F2067">
        <v>7</v>
      </c>
      <c r="G2067" t="s">
        <v>432</v>
      </c>
      <c r="H2067" t="s">
        <v>61</v>
      </c>
      <c r="I2067" t="s">
        <v>94</v>
      </c>
      <c r="J2067" s="2" t="s">
        <v>62</v>
      </c>
      <c r="K2067" t="s">
        <v>42</v>
      </c>
      <c r="L2067" t="s">
        <v>594</v>
      </c>
      <c r="N2067" t="s">
        <v>595</v>
      </c>
      <c r="O2067" t="s">
        <v>595</v>
      </c>
      <c r="Q2067">
        <v>30479</v>
      </c>
      <c r="R2067" t="s">
        <v>95</v>
      </c>
      <c r="S2067" t="s">
        <v>596</v>
      </c>
      <c r="T2067">
        <v>20</v>
      </c>
      <c r="V2067" s="1">
        <v>45728</v>
      </c>
      <c r="W2067" t="s">
        <v>360</v>
      </c>
      <c r="X2067">
        <v>821471</v>
      </c>
      <c r="Y2067" t="s">
        <v>598</v>
      </c>
      <c r="Z2067" s="2" t="s">
        <v>13540</v>
      </c>
      <c r="AA2067" t="s">
        <v>13541</v>
      </c>
      <c r="AB2067" t="s">
        <v>13542</v>
      </c>
      <c r="AG2067" t="s">
        <v>13543</v>
      </c>
      <c r="AH2067" t="s">
        <v>13544</v>
      </c>
      <c r="AI2067" t="s">
        <v>13545</v>
      </c>
    </row>
    <row r="2068" spans="2:35" ht="105">
      <c r="B2068" s="1">
        <v>45728</v>
      </c>
      <c r="C2068" s="1">
        <v>45728</v>
      </c>
      <c r="D2068" t="s">
        <v>11826</v>
      </c>
      <c r="E2068" t="s">
        <v>11475</v>
      </c>
      <c r="F2068">
        <v>6</v>
      </c>
      <c r="G2068" t="s">
        <v>1234</v>
      </c>
      <c r="H2068" t="s">
        <v>39</v>
      </c>
      <c r="I2068" t="s">
        <v>40</v>
      </c>
      <c r="J2068" t="s">
        <v>79</v>
      </c>
      <c r="K2068" t="s">
        <v>42</v>
      </c>
      <c r="L2068" t="s">
        <v>270</v>
      </c>
      <c r="N2068" t="s">
        <v>2481</v>
      </c>
      <c r="Q2068">
        <v>30478</v>
      </c>
      <c r="R2068" t="s">
        <v>119</v>
      </c>
      <c r="S2068" t="s">
        <v>11476</v>
      </c>
      <c r="T2068">
        <v>24</v>
      </c>
      <c r="U2068" s="2" t="s">
        <v>5149</v>
      </c>
      <c r="V2068" s="1">
        <v>45706</v>
      </c>
      <c r="W2068" t="s">
        <v>360</v>
      </c>
      <c r="X2068">
        <v>838483</v>
      </c>
      <c r="Y2068" t="s">
        <v>13546</v>
      </c>
      <c r="Z2068" t="s">
        <v>13547</v>
      </c>
      <c r="AA2068" t="s">
        <v>13548</v>
      </c>
      <c r="AB2068" t="s">
        <v>4668</v>
      </c>
      <c r="AD2068" t="s">
        <v>7893</v>
      </c>
      <c r="AE2068" t="s">
        <v>13549</v>
      </c>
      <c r="AG2068" t="s">
        <v>13550</v>
      </c>
      <c r="AH2068" t="s">
        <v>13551</v>
      </c>
      <c r="AI2068" t="s">
        <v>13552</v>
      </c>
    </row>
    <row r="2069" spans="2:35" ht="409.5">
      <c r="B2069" s="1">
        <v>45728</v>
      </c>
      <c r="C2069" s="1">
        <v>45728</v>
      </c>
      <c r="D2069" t="s">
        <v>837</v>
      </c>
      <c r="E2069" t="s">
        <v>10558</v>
      </c>
      <c r="F2069">
        <v>5</v>
      </c>
      <c r="G2069" t="s">
        <v>839</v>
      </c>
      <c r="H2069" t="s">
        <v>61</v>
      </c>
      <c r="I2069" t="s">
        <v>94</v>
      </c>
      <c r="J2069" t="s">
        <v>109</v>
      </c>
      <c r="K2069" t="s">
        <v>42</v>
      </c>
      <c r="L2069" t="s">
        <v>761</v>
      </c>
      <c r="N2069" t="s">
        <v>762</v>
      </c>
      <c r="Q2069">
        <v>30477</v>
      </c>
      <c r="R2069" t="s">
        <v>322</v>
      </c>
      <c r="S2069" t="s">
        <v>13553</v>
      </c>
      <c r="T2069">
        <v>25</v>
      </c>
      <c r="U2069" s="2" t="s">
        <v>13554</v>
      </c>
      <c r="W2069" t="s">
        <v>765</v>
      </c>
      <c r="X2069">
        <v>110008458</v>
      </c>
      <c r="Y2069" t="s">
        <v>818</v>
      </c>
      <c r="Z2069" s="2" t="s">
        <v>13555</v>
      </c>
      <c r="AA2069" t="s">
        <v>820</v>
      </c>
      <c r="AB2069" t="s">
        <v>70</v>
      </c>
      <c r="AC2069" t="s">
        <v>13556</v>
      </c>
      <c r="AG2069" t="s">
        <v>13557</v>
      </c>
      <c r="AH2069" t="s">
        <v>13558</v>
      </c>
      <c r="AI2069" t="s">
        <v>13559</v>
      </c>
    </row>
    <row r="2070" spans="2:35" ht="105">
      <c r="B2070" s="1">
        <v>45728</v>
      </c>
      <c r="C2070" s="1">
        <v>45728</v>
      </c>
      <c r="D2070" t="s">
        <v>8654</v>
      </c>
      <c r="E2070" t="s">
        <v>8655</v>
      </c>
      <c r="F2070">
        <v>8</v>
      </c>
      <c r="G2070" t="s">
        <v>257</v>
      </c>
      <c r="H2070" t="s">
        <v>258</v>
      </c>
      <c r="I2070" t="s">
        <v>40</v>
      </c>
      <c r="J2070" t="s">
        <v>109</v>
      </c>
      <c r="K2070" t="s">
        <v>42</v>
      </c>
      <c r="L2070" t="s">
        <v>259</v>
      </c>
      <c r="N2070" t="s">
        <v>260</v>
      </c>
      <c r="Q2070">
        <v>30476</v>
      </c>
      <c r="R2070" t="s">
        <v>119</v>
      </c>
      <c r="S2070" t="s">
        <v>8656</v>
      </c>
      <c r="T2070">
        <v>25</v>
      </c>
      <c r="U2070" s="2" t="s">
        <v>13560</v>
      </c>
      <c r="V2070" s="1">
        <v>45728</v>
      </c>
      <c r="W2070" t="s">
        <v>84</v>
      </c>
      <c r="X2070">
        <v>838409</v>
      </c>
      <c r="Y2070" t="s">
        <v>1716</v>
      </c>
      <c r="Z2070" t="s">
        <v>13561</v>
      </c>
      <c r="AA2070" t="s">
        <v>3128</v>
      </c>
      <c r="AB2070" t="s">
        <v>7675</v>
      </c>
      <c r="AG2070" t="s">
        <v>13562</v>
      </c>
      <c r="AH2070" t="s">
        <v>13563</v>
      </c>
      <c r="AI2070" t="s">
        <v>13564</v>
      </c>
    </row>
    <row r="2071" spans="2:35" ht="105">
      <c r="B2071" s="1">
        <v>45728</v>
      </c>
      <c r="C2071" s="1">
        <v>45728</v>
      </c>
      <c r="D2071" t="s">
        <v>606</v>
      </c>
      <c r="E2071" t="s">
        <v>607</v>
      </c>
      <c r="F2071">
        <v>7</v>
      </c>
      <c r="G2071" t="s">
        <v>432</v>
      </c>
      <c r="H2071" t="s">
        <v>608</v>
      </c>
      <c r="I2071" t="s">
        <v>40</v>
      </c>
      <c r="J2071" t="s">
        <v>109</v>
      </c>
      <c r="K2071" t="s">
        <v>42</v>
      </c>
      <c r="L2071" t="s">
        <v>610</v>
      </c>
      <c r="N2071" t="s">
        <v>611</v>
      </c>
      <c r="Q2071">
        <v>30475</v>
      </c>
      <c r="R2071" t="s">
        <v>119</v>
      </c>
      <c r="S2071" t="s">
        <v>613</v>
      </c>
      <c r="T2071">
        <v>25</v>
      </c>
      <c r="U2071" s="2" t="s">
        <v>10706</v>
      </c>
      <c r="W2071" t="s">
        <v>360</v>
      </c>
      <c r="X2071">
        <v>838559</v>
      </c>
      <c r="Y2071" t="s">
        <v>7287</v>
      </c>
      <c r="Z2071" t="s">
        <v>13460</v>
      </c>
      <c r="AA2071" t="s">
        <v>13460</v>
      </c>
      <c r="AB2071" t="s">
        <v>9638</v>
      </c>
      <c r="AG2071" t="s">
        <v>13565</v>
      </c>
      <c r="AH2071" t="s">
        <v>10247</v>
      </c>
      <c r="AI2071" t="s">
        <v>13566</v>
      </c>
    </row>
    <row r="2072" spans="2:35" ht="120">
      <c r="B2072" s="1">
        <v>45728</v>
      </c>
      <c r="C2072" s="1">
        <v>45728</v>
      </c>
      <c r="D2072" t="s">
        <v>7155</v>
      </c>
      <c r="E2072" t="s">
        <v>7156</v>
      </c>
      <c r="F2072">
        <v>5</v>
      </c>
      <c r="G2072" t="s">
        <v>839</v>
      </c>
      <c r="H2072" t="s">
        <v>39</v>
      </c>
      <c r="I2072" t="s">
        <v>94</v>
      </c>
      <c r="J2072" t="s">
        <v>109</v>
      </c>
      <c r="K2072" t="s">
        <v>42</v>
      </c>
      <c r="L2072" t="s">
        <v>761</v>
      </c>
      <c r="N2072" t="s">
        <v>762</v>
      </c>
      <c r="Q2072">
        <v>30474</v>
      </c>
      <c r="R2072" t="s">
        <v>119</v>
      </c>
      <c r="S2072" t="s">
        <v>7158</v>
      </c>
      <c r="T2072">
        <v>29</v>
      </c>
      <c r="U2072" s="2" t="s">
        <v>13567</v>
      </c>
      <c r="W2072" t="s">
        <v>765</v>
      </c>
      <c r="X2072">
        <v>838496</v>
      </c>
      <c r="Y2072" t="s">
        <v>818</v>
      </c>
      <c r="Z2072" s="2" t="s">
        <v>7933</v>
      </c>
      <c r="AA2072" t="s">
        <v>820</v>
      </c>
      <c r="AB2072" t="s">
        <v>70</v>
      </c>
      <c r="AG2072" t="s">
        <v>13568</v>
      </c>
      <c r="AH2072" t="s">
        <v>7162</v>
      </c>
      <c r="AI2072" t="s">
        <v>13569</v>
      </c>
    </row>
    <row r="2073" spans="2:35" ht="210">
      <c r="B2073" s="1">
        <v>45728</v>
      </c>
      <c r="C2073" s="1">
        <v>45728</v>
      </c>
      <c r="D2073" t="s">
        <v>5602</v>
      </c>
      <c r="E2073" t="s">
        <v>2580</v>
      </c>
      <c r="F2073" t="s">
        <v>148</v>
      </c>
      <c r="G2073" t="s">
        <v>447</v>
      </c>
      <c r="H2073" t="s">
        <v>39</v>
      </c>
      <c r="I2073" t="s">
        <v>40</v>
      </c>
      <c r="J2073" t="s">
        <v>525</v>
      </c>
      <c r="K2073" t="s">
        <v>408</v>
      </c>
      <c r="L2073" t="s">
        <v>448</v>
      </c>
      <c r="N2073" t="s">
        <v>450</v>
      </c>
      <c r="P2073" t="s">
        <v>13403</v>
      </c>
      <c r="Q2073">
        <v>30473</v>
      </c>
      <c r="R2073" t="s">
        <v>322</v>
      </c>
      <c r="S2073" t="s">
        <v>6883</v>
      </c>
      <c r="T2073">
        <v>28</v>
      </c>
      <c r="W2073">
        <v>864</v>
      </c>
      <c r="X2073">
        <v>864000009213</v>
      </c>
      <c r="Y2073" s="2" t="s">
        <v>13570</v>
      </c>
      <c r="Z2073" t="s">
        <v>13571</v>
      </c>
      <c r="AA2073" t="s">
        <v>768</v>
      </c>
      <c r="AB2073" t="s">
        <v>13572</v>
      </c>
      <c r="AG2073" t="s">
        <v>13573</v>
      </c>
      <c r="AH2073" t="s">
        <v>13409</v>
      </c>
      <c r="AI2073" t="s">
        <v>13574</v>
      </c>
    </row>
    <row r="2074" spans="2:35" ht="409.5">
      <c r="B2074" s="1">
        <v>45728</v>
      </c>
      <c r="C2074" s="1">
        <v>45727</v>
      </c>
      <c r="D2074" t="s">
        <v>9780</v>
      </c>
      <c r="E2074" t="s">
        <v>13575</v>
      </c>
      <c r="F2074" t="s">
        <v>148</v>
      </c>
      <c r="G2074" t="s">
        <v>2007</v>
      </c>
      <c r="H2074" t="s">
        <v>662</v>
      </c>
      <c r="I2074" t="s">
        <v>40</v>
      </c>
      <c r="J2074" t="s">
        <v>525</v>
      </c>
      <c r="K2074" t="s">
        <v>42</v>
      </c>
      <c r="L2074" t="s">
        <v>448</v>
      </c>
      <c r="N2074" t="s">
        <v>450</v>
      </c>
      <c r="Q2074">
        <v>30472</v>
      </c>
      <c r="R2074" t="s">
        <v>95</v>
      </c>
      <c r="S2074" t="s">
        <v>10530</v>
      </c>
      <c r="T2074">
        <v>26</v>
      </c>
      <c r="U2074" s="2" t="s">
        <v>13576</v>
      </c>
      <c r="V2074" s="1">
        <v>45727</v>
      </c>
      <c r="W2074" t="s">
        <v>7167</v>
      </c>
      <c r="X2074">
        <v>110001647</v>
      </c>
      <c r="Y2074" t="s">
        <v>13577</v>
      </c>
      <c r="Z2074" s="2" t="s">
        <v>13578</v>
      </c>
      <c r="AA2074" t="s">
        <v>768</v>
      </c>
      <c r="AB2074" s="2" t="s">
        <v>13579</v>
      </c>
      <c r="AD2074" t="s">
        <v>13580</v>
      </c>
      <c r="AE2074">
        <v>12820</v>
      </c>
      <c r="AG2074" t="s">
        <v>13581</v>
      </c>
      <c r="AH2074" t="s">
        <v>11580</v>
      </c>
      <c r="AI2074" t="s">
        <v>13582</v>
      </c>
    </row>
    <row r="2075" spans="2:35" ht="105">
      <c r="B2075" s="1">
        <v>45728</v>
      </c>
      <c r="C2075" s="1">
        <v>45728</v>
      </c>
      <c r="D2075" t="s">
        <v>9711</v>
      </c>
      <c r="E2075" t="s">
        <v>9712</v>
      </c>
      <c r="F2075">
        <v>10</v>
      </c>
      <c r="G2075" t="s">
        <v>2392</v>
      </c>
      <c r="H2075" t="s">
        <v>1498</v>
      </c>
      <c r="I2075" t="s">
        <v>40</v>
      </c>
      <c r="J2075" t="s">
        <v>109</v>
      </c>
      <c r="K2075" t="s">
        <v>42</v>
      </c>
      <c r="L2075" t="s">
        <v>343</v>
      </c>
      <c r="N2075" t="s">
        <v>344</v>
      </c>
      <c r="Q2075">
        <v>30471</v>
      </c>
      <c r="R2075" t="s">
        <v>119</v>
      </c>
      <c r="S2075" t="s">
        <v>9713</v>
      </c>
      <c r="T2075">
        <v>22</v>
      </c>
      <c r="U2075" s="2" t="s">
        <v>13099</v>
      </c>
      <c r="W2075" t="s">
        <v>1501</v>
      </c>
      <c r="X2075">
        <v>838327</v>
      </c>
      <c r="Y2075" t="s">
        <v>7415</v>
      </c>
      <c r="Z2075" t="s">
        <v>13583</v>
      </c>
      <c r="AA2075" t="e">
        <f ca="1">-Preventive Maintenance</f>
        <v>#NAME?</v>
      </c>
      <c r="AB2075" t="s">
        <v>13584</v>
      </c>
      <c r="AG2075" t="s">
        <v>13585</v>
      </c>
      <c r="AH2075" t="s">
        <v>9718</v>
      </c>
      <c r="AI2075" t="s">
        <v>13586</v>
      </c>
    </row>
    <row r="2076" spans="2:35" ht="195">
      <c r="B2076" s="1">
        <v>45728</v>
      </c>
      <c r="C2076" s="1">
        <v>45727</v>
      </c>
      <c r="D2076" t="s">
        <v>8907</v>
      </c>
      <c r="E2076" t="s">
        <v>8908</v>
      </c>
      <c r="F2076">
        <v>5</v>
      </c>
      <c r="G2076" t="s">
        <v>839</v>
      </c>
      <c r="H2076" t="s">
        <v>39</v>
      </c>
      <c r="I2076" t="s">
        <v>94</v>
      </c>
      <c r="J2076" t="s">
        <v>79</v>
      </c>
      <c r="K2076" t="s">
        <v>42</v>
      </c>
      <c r="L2076" t="s">
        <v>761</v>
      </c>
      <c r="N2076" t="s">
        <v>762</v>
      </c>
      <c r="Q2076">
        <v>30470</v>
      </c>
      <c r="R2076" t="s">
        <v>119</v>
      </c>
      <c r="S2076" t="s">
        <v>8909</v>
      </c>
      <c r="T2076">
        <v>25</v>
      </c>
      <c r="W2076" t="s">
        <v>765</v>
      </c>
      <c r="X2076">
        <v>838389</v>
      </c>
      <c r="Y2076" t="s">
        <v>962</v>
      </c>
      <c r="Z2076" s="2" t="s">
        <v>13587</v>
      </c>
      <c r="AA2076" t="s">
        <v>777</v>
      </c>
      <c r="AB2076" t="s">
        <v>70</v>
      </c>
      <c r="AG2076" t="s">
        <v>13588</v>
      </c>
      <c r="AH2076" t="s">
        <v>8912</v>
      </c>
      <c r="AI2076" t="s">
        <v>13589</v>
      </c>
    </row>
    <row r="2077" spans="2:35" ht="105">
      <c r="B2077" s="1">
        <v>45728</v>
      </c>
      <c r="C2077" s="1">
        <v>45723</v>
      </c>
      <c r="D2077" t="s">
        <v>5496</v>
      </c>
      <c r="E2077" t="s">
        <v>13590</v>
      </c>
      <c r="F2077">
        <v>5</v>
      </c>
      <c r="G2077" t="s">
        <v>839</v>
      </c>
      <c r="H2077" t="s">
        <v>39</v>
      </c>
      <c r="I2077" t="s">
        <v>94</v>
      </c>
      <c r="J2077" t="s">
        <v>109</v>
      </c>
      <c r="K2077" t="s">
        <v>42</v>
      </c>
      <c r="L2077" t="s">
        <v>761</v>
      </c>
      <c r="N2077" t="s">
        <v>762</v>
      </c>
      <c r="Q2077">
        <v>30469</v>
      </c>
      <c r="R2077" t="s">
        <v>967</v>
      </c>
      <c r="S2077" t="s">
        <v>9081</v>
      </c>
      <c r="T2077">
        <v>25</v>
      </c>
      <c r="U2077" s="2" t="s">
        <v>13591</v>
      </c>
      <c r="W2077" t="s">
        <v>817</v>
      </c>
      <c r="X2077">
        <v>110023511</v>
      </c>
      <c r="Y2077" t="s">
        <v>818</v>
      </c>
      <c r="Z2077" s="2" t="s">
        <v>1415</v>
      </c>
      <c r="AA2077" t="s">
        <v>820</v>
      </c>
      <c r="AB2077" t="s">
        <v>70</v>
      </c>
      <c r="AG2077" t="s">
        <v>13592</v>
      </c>
      <c r="AH2077" t="s">
        <v>9084</v>
      </c>
      <c r="AI2077" t="s">
        <v>13593</v>
      </c>
    </row>
    <row r="2078" spans="2:35" ht="210">
      <c r="B2078" s="1">
        <v>45728</v>
      </c>
      <c r="C2078" s="1">
        <v>45723</v>
      </c>
      <c r="D2078" t="s">
        <v>5496</v>
      </c>
      <c r="E2078" t="s">
        <v>13594</v>
      </c>
      <c r="F2078">
        <v>5</v>
      </c>
      <c r="G2078" t="s">
        <v>839</v>
      </c>
      <c r="H2078" t="s">
        <v>39</v>
      </c>
      <c r="I2078" t="s">
        <v>94</v>
      </c>
      <c r="J2078" s="2" t="s">
        <v>41</v>
      </c>
      <c r="K2078" t="s">
        <v>42</v>
      </c>
      <c r="L2078" t="s">
        <v>761</v>
      </c>
      <c r="N2078" t="s">
        <v>762</v>
      </c>
      <c r="Q2078">
        <v>30468</v>
      </c>
      <c r="R2078" t="s">
        <v>119</v>
      </c>
      <c r="S2078" t="s">
        <v>9081</v>
      </c>
      <c r="T2078">
        <v>27</v>
      </c>
      <c r="U2078" s="2" t="s">
        <v>13595</v>
      </c>
      <c r="W2078" t="s">
        <v>765</v>
      </c>
      <c r="X2078">
        <v>838391</v>
      </c>
      <c r="Y2078" t="s">
        <v>13596</v>
      </c>
      <c r="Z2078" s="2" t="s">
        <v>13597</v>
      </c>
      <c r="AA2078" s="2" t="s">
        <v>13598</v>
      </c>
      <c r="AB2078" t="s">
        <v>181</v>
      </c>
      <c r="AG2078" t="s">
        <v>13599</v>
      </c>
      <c r="AH2078" t="s">
        <v>9084</v>
      </c>
      <c r="AI2078" t="s">
        <v>13600</v>
      </c>
    </row>
    <row r="2079" spans="2:35" ht="165">
      <c r="B2079" s="1">
        <v>45728</v>
      </c>
      <c r="C2079" s="1">
        <v>45722</v>
      </c>
      <c r="D2079" t="s">
        <v>8907</v>
      </c>
      <c r="E2079" t="s">
        <v>8908</v>
      </c>
      <c r="F2079">
        <v>5</v>
      </c>
      <c r="G2079" t="s">
        <v>839</v>
      </c>
      <c r="H2079" t="s">
        <v>39</v>
      </c>
      <c r="I2079" t="s">
        <v>94</v>
      </c>
      <c r="J2079" s="2" t="s">
        <v>41</v>
      </c>
      <c r="K2079" t="s">
        <v>42</v>
      </c>
      <c r="L2079" t="s">
        <v>761</v>
      </c>
      <c r="N2079" t="s">
        <v>762</v>
      </c>
      <c r="Q2079">
        <v>30467</v>
      </c>
      <c r="R2079" t="s">
        <v>119</v>
      </c>
      <c r="S2079" t="s">
        <v>8909</v>
      </c>
      <c r="T2079">
        <v>26</v>
      </c>
      <c r="W2079" t="s">
        <v>765</v>
      </c>
      <c r="X2079">
        <v>838389</v>
      </c>
      <c r="Y2079" s="2" t="s">
        <v>13601</v>
      </c>
      <c r="Z2079" s="2" t="s">
        <v>13602</v>
      </c>
      <c r="AA2079" s="2" t="s">
        <v>13603</v>
      </c>
      <c r="AB2079" s="2" t="s">
        <v>13604</v>
      </c>
      <c r="AC2079" t="s">
        <v>13605</v>
      </c>
      <c r="AG2079" t="s">
        <v>13606</v>
      </c>
      <c r="AH2079" t="s">
        <v>8912</v>
      </c>
      <c r="AI2079" t="s">
        <v>13607</v>
      </c>
    </row>
    <row r="2080" spans="2:35" ht="180">
      <c r="B2080" s="1">
        <v>45728</v>
      </c>
      <c r="C2080" s="1">
        <v>45712</v>
      </c>
      <c r="D2080" t="s">
        <v>5602</v>
      </c>
      <c r="E2080" t="s">
        <v>13608</v>
      </c>
      <c r="F2080" t="s">
        <v>148</v>
      </c>
      <c r="G2080" t="s">
        <v>447</v>
      </c>
      <c r="H2080" t="s">
        <v>13609</v>
      </c>
      <c r="I2080" t="s">
        <v>40</v>
      </c>
      <c r="J2080" t="s">
        <v>321</v>
      </c>
      <c r="K2080" t="s">
        <v>408</v>
      </c>
      <c r="L2080" t="s">
        <v>409</v>
      </c>
      <c r="N2080" t="s">
        <v>410</v>
      </c>
      <c r="P2080" t="s">
        <v>5287</v>
      </c>
      <c r="Q2080">
        <v>30466</v>
      </c>
      <c r="R2080" t="s">
        <v>95</v>
      </c>
      <c r="S2080" t="s">
        <v>410</v>
      </c>
      <c r="T2080">
        <v>25</v>
      </c>
      <c r="V2080" s="1">
        <v>45712</v>
      </c>
      <c r="W2080" t="s">
        <v>13610</v>
      </c>
      <c r="X2080">
        <v>37020507</v>
      </c>
      <c r="Y2080" t="s">
        <v>54</v>
      </c>
      <c r="Z2080" t="s">
        <v>54</v>
      </c>
      <c r="AA2080" t="s">
        <v>13611</v>
      </c>
      <c r="AB2080" t="s">
        <v>181</v>
      </c>
      <c r="AD2080" s="2" t="s">
        <v>13612</v>
      </c>
      <c r="AE2080" t="s">
        <v>13613</v>
      </c>
      <c r="AG2080" t="s">
        <v>13614</v>
      </c>
      <c r="AH2080" t="s">
        <v>449</v>
      </c>
      <c r="AI2080" t="s">
        <v>13615</v>
      </c>
    </row>
    <row r="2081" spans="2:35" ht="210">
      <c r="B2081" s="1">
        <v>45727</v>
      </c>
      <c r="C2081" s="1">
        <v>45727</v>
      </c>
      <c r="D2081" t="s">
        <v>3383</v>
      </c>
      <c r="E2081" t="s">
        <v>3384</v>
      </c>
      <c r="F2081">
        <v>6</v>
      </c>
      <c r="G2081" t="s">
        <v>1286</v>
      </c>
      <c r="H2081" t="s">
        <v>10969</v>
      </c>
      <c r="I2081" t="s">
        <v>40</v>
      </c>
      <c r="J2081" t="s">
        <v>109</v>
      </c>
      <c r="K2081" t="s">
        <v>42</v>
      </c>
      <c r="L2081" t="s">
        <v>1288</v>
      </c>
      <c r="N2081" t="s">
        <v>1289</v>
      </c>
      <c r="Q2081">
        <v>30465</v>
      </c>
      <c r="R2081" t="s">
        <v>119</v>
      </c>
      <c r="S2081" t="s">
        <v>6416</v>
      </c>
      <c r="T2081">
        <v>28</v>
      </c>
      <c r="U2081" s="2" t="s">
        <v>13616</v>
      </c>
      <c r="W2081" t="s">
        <v>1292</v>
      </c>
      <c r="X2081">
        <v>838289</v>
      </c>
      <c r="Y2081" t="e">
        <f ca="1">-_xludf.For Preventive Maintenance</f>
        <v>#NAME?</v>
      </c>
      <c r="Z2081" t="e">
        <f ca="1">-COLLECT IQR, system _xludf.Log, _xludf.and ARCHIVE</f>
        <v>#NAME?</v>
      </c>
      <c r="AA2081" t="e">
        <f ca="1">-PERFORM Cleaning of GeneXpert workstation _xludf.and EQUIPMENT
-PERFORM Preventive Maintenance PROCEDURE
-_xludf.Replace FAN _xludf.filter</f>
        <v>#NAME?</v>
      </c>
      <c r="AB2081" t="s">
        <v>1293</v>
      </c>
      <c r="AG2081" t="s">
        <v>13617</v>
      </c>
      <c r="AH2081" t="s">
        <v>13050</v>
      </c>
      <c r="AI2081" t="s">
        <v>13618</v>
      </c>
    </row>
    <row r="2082" spans="2:35" ht="105">
      <c r="B2082" s="1">
        <v>45727</v>
      </c>
      <c r="C2082" s="1">
        <v>45727</v>
      </c>
      <c r="D2082" t="s">
        <v>4746</v>
      </c>
      <c r="E2082" t="s">
        <v>4747</v>
      </c>
      <c r="F2082">
        <v>6</v>
      </c>
      <c r="G2082" t="s">
        <v>1286</v>
      </c>
      <c r="H2082" t="s">
        <v>10969</v>
      </c>
      <c r="I2082" t="s">
        <v>40</v>
      </c>
      <c r="J2082" s="2" t="s">
        <v>609</v>
      </c>
      <c r="K2082" t="s">
        <v>42</v>
      </c>
      <c r="L2082" t="s">
        <v>1288</v>
      </c>
      <c r="N2082" t="s">
        <v>1289</v>
      </c>
      <c r="Q2082">
        <v>30464</v>
      </c>
      <c r="R2082" t="s">
        <v>119</v>
      </c>
      <c r="S2082" t="s">
        <v>4748</v>
      </c>
      <c r="T2082">
        <v>27</v>
      </c>
      <c r="U2082" s="2" t="s">
        <v>13619</v>
      </c>
      <c r="W2082" t="s">
        <v>1292</v>
      </c>
      <c r="X2082">
        <v>838501</v>
      </c>
      <c r="Y2082" t="s">
        <v>13620</v>
      </c>
      <c r="Z2082" t="e">
        <f ca="1">-COLLECT IQR,system _xludf.Log, _xludf.and ARCHIVE</f>
        <v>#NAME?</v>
      </c>
      <c r="AA2082" t="e">
        <f ca="1">-PERFORM Preventive Maintenance PROCEDURE
-_xludf.Replace GeneXpert FAN _xludf.filter</f>
        <v>#NAME?</v>
      </c>
      <c r="AB2082" t="s">
        <v>13621</v>
      </c>
      <c r="AG2082" t="s">
        <v>13622</v>
      </c>
      <c r="AH2082" t="s">
        <v>7839</v>
      </c>
      <c r="AI2082" t="s">
        <v>13623</v>
      </c>
    </row>
    <row r="2083" spans="2:35" ht="240">
      <c r="B2083" s="1">
        <v>45727</v>
      </c>
      <c r="C2083" s="1">
        <v>45727</v>
      </c>
      <c r="D2083" t="s">
        <v>13624</v>
      </c>
      <c r="E2083" t="s">
        <v>499</v>
      </c>
      <c r="F2083">
        <v>7</v>
      </c>
      <c r="G2083" t="s">
        <v>432</v>
      </c>
      <c r="H2083" t="s">
        <v>386</v>
      </c>
      <c r="I2083" t="s">
        <v>40</v>
      </c>
      <c r="J2083" s="2" t="s">
        <v>62</v>
      </c>
      <c r="K2083" t="s">
        <v>387</v>
      </c>
      <c r="L2083" t="s">
        <v>433</v>
      </c>
      <c r="N2083" t="s">
        <v>434</v>
      </c>
      <c r="O2083" t="s">
        <v>13625</v>
      </c>
      <c r="Q2083">
        <v>30463</v>
      </c>
      <c r="R2083" t="s">
        <v>95</v>
      </c>
      <c r="S2083" t="s">
        <v>13626</v>
      </c>
      <c r="T2083">
        <v>28</v>
      </c>
      <c r="W2083" t="s">
        <v>436</v>
      </c>
      <c r="X2083" t="s">
        <v>437</v>
      </c>
      <c r="Y2083" t="s">
        <v>13627</v>
      </c>
      <c r="Z2083" t="s">
        <v>13628</v>
      </c>
      <c r="AA2083" t="s">
        <v>13628</v>
      </c>
      <c r="AB2083" s="2" t="s">
        <v>13629</v>
      </c>
      <c r="AG2083" t="s">
        <v>13630</v>
      </c>
      <c r="AH2083" t="s">
        <v>13631</v>
      </c>
      <c r="AI2083" t="s">
        <v>13632</v>
      </c>
    </row>
    <row r="2084" spans="2:35" ht="105">
      <c r="B2084" s="1">
        <v>45727</v>
      </c>
      <c r="C2084" s="1">
        <v>45727</v>
      </c>
      <c r="D2084" t="s">
        <v>1040</v>
      </c>
      <c r="E2084" t="s">
        <v>582</v>
      </c>
      <c r="F2084" t="s">
        <v>148</v>
      </c>
      <c r="G2084" t="s">
        <v>447</v>
      </c>
      <c r="H2084" t="s">
        <v>39</v>
      </c>
      <c r="I2084" t="s">
        <v>40</v>
      </c>
      <c r="J2084" t="s">
        <v>109</v>
      </c>
      <c r="K2084" t="s">
        <v>42</v>
      </c>
      <c r="L2084" t="s">
        <v>175</v>
      </c>
      <c r="N2084" t="s">
        <v>176</v>
      </c>
      <c r="Q2084">
        <v>30462</v>
      </c>
      <c r="R2084" t="s">
        <v>95</v>
      </c>
      <c r="S2084" t="s">
        <v>13633</v>
      </c>
      <c r="T2084">
        <v>25</v>
      </c>
      <c r="W2084" t="s">
        <v>373</v>
      </c>
      <c r="X2084">
        <v>120003581</v>
      </c>
      <c r="Y2084" t="s">
        <v>374</v>
      </c>
      <c r="Z2084" t="e">
        <f ca="1">- organized cabling Management
- repositioned Barcode scanner</f>
        <v>#NAME?</v>
      </c>
      <c r="AA2084" t="e">
        <f ca="1">- checked _xludf.and cleaned cartridge bay, plunger rod, _xludf.filter
- generated reports
- performed self test
- rearranged system</f>
        <v>#NAME?</v>
      </c>
      <c r="AB2084" s="2" t="s">
        <v>13634</v>
      </c>
      <c r="AG2084" t="s">
        <v>13635</v>
      </c>
      <c r="AH2084" t="s">
        <v>13636</v>
      </c>
      <c r="AI2084" t="s">
        <v>13637</v>
      </c>
    </row>
    <row r="2085" spans="2:35" ht="105">
      <c r="B2085" s="1">
        <v>45727</v>
      </c>
      <c r="C2085" s="1">
        <v>45727</v>
      </c>
      <c r="D2085" t="s">
        <v>9663</v>
      </c>
      <c r="E2085" t="s">
        <v>9664</v>
      </c>
      <c r="F2085">
        <v>10</v>
      </c>
      <c r="G2085" t="s">
        <v>2392</v>
      </c>
      <c r="H2085" t="s">
        <v>1498</v>
      </c>
      <c r="I2085" t="s">
        <v>40</v>
      </c>
      <c r="J2085" t="s">
        <v>109</v>
      </c>
      <c r="K2085" t="s">
        <v>42</v>
      </c>
      <c r="L2085" t="s">
        <v>343</v>
      </c>
      <c r="N2085" t="s">
        <v>344</v>
      </c>
      <c r="Q2085">
        <v>30461</v>
      </c>
      <c r="R2085" t="s">
        <v>119</v>
      </c>
      <c r="S2085" t="s">
        <v>9665</v>
      </c>
      <c r="T2085">
        <v>29</v>
      </c>
      <c r="U2085" s="2" t="s">
        <v>13638</v>
      </c>
      <c r="W2085" t="s">
        <v>1501</v>
      </c>
      <c r="X2085">
        <v>838402</v>
      </c>
      <c r="Y2085" t="s">
        <v>7415</v>
      </c>
      <c r="Z2085" t="s">
        <v>13639</v>
      </c>
      <c r="AA2085" t="e">
        <f ca="1">-Preventive Maintenance</f>
        <v>#NAME?</v>
      </c>
      <c r="AB2085" t="s">
        <v>348</v>
      </c>
      <c r="AG2085" t="s">
        <v>13640</v>
      </c>
      <c r="AH2085" t="s">
        <v>9669</v>
      </c>
      <c r="AI2085" t="s">
        <v>13641</v>
      </c>
    </row>
    <row r="2086" spans="2:35" ht="120">
      <c r="B2086" s="1">
        <v>45726</v>
      </c>
      <c r="C2086" s="1">
        <v>45726</v>
      </c>
      <c r="D2086" t="s">
        <v>13642</v>
      </c>
      <c r="E2086" t="s">
        <v>13643</v>
      </c>
      <c r="F2086" t="s">
        <v>148</v>
      </c>
      <c r="G2086" t="s">
        <v>447</v>
      </c>
      <c r="H2086" t="s">
        <v>5452</v>
      </c>
      <c r="I2086" t="s">
        <v>40</v>
      </c>
      <c r="J2086" t="s">
        <v>525</v>
      </c>
      <c r="K2086" t="s">
        <v>408</v>
      </c>
      <c r="L2086" t="s">
        <v>448</v>
      </c>
      <c r="N2086" t="s">
        <v>450</v>
      </c>
      <c r="P2086" t="s">
        <v>10003</v>
      </c>
      <c r="Q2086">
        <v>30460</v>
      </c>
      <c r="R2086" t="s">
        <v>322</v>
      </c>
      <c r="S2086" t="s">
        <v>650</v>
      </c>
      <c r="T2086">
        <v>28</v>
      </c>
      <c r="W2086" t="s">
        <v>13644</v>
      </c>
      <c r="X2086" t="s">
        <v>13329</v>
      </c>
      <c r="Y2086" s="2" t="s">
        <v>13645</v>
      </c>
      <c r="Z2086" s="2" t="s">
        <v>13646</v>
      </c>
      <c r="AA2086" t="s">
        <v>768</v>
      </c>
      <c r="AB2086" t="s">
        <v>13647</v>
      </c>
      <c r="AG2086" t="s">
        <v>13648</v>
      </c>
      <c r="AH2086" t="s">
        <v>5087</v>
      </c>
      <c r="AI2086" t="s">
        <v>13649</v>
      </c>
    </row>
    <row r="2087" spans="2:35">
      <c r="B2087" s="1">
        <v>45726</v>
      </c>
      <c r="C2087" s="1">
        <v>45723</v>
      </c>
      <c r="D2087" t="s">
        <v>8123</v>
      </c>
      <c r="E2087" t="s">
        <v>8124</v>
      </c>
      <c r="F2087">
        <v>13</v>
      </c>
      <c r="G2087" t="s">
        <v>4484</v>
      </c>
      <c r="H2087" t="s">
        <v>2125</v>
      </c>
      <c r="I2087" t="s">
        <v>40</v>
      </c>
      <c r="J2087" t="s">
        <v>109</v>
      </c>
      <c r="K2087" t="s">
        <v>42</v>
      </c>
      <c r="L2087" t="s">
        <v>933</v>
      </c>
      <c r="N2087" t="s">
        <v>934</v>
      </c>
      <c r="Q2087">
        <v>30459</v>
      </c>
      <c r="R2087" t="s">
        <v>119</v>
      </c>
      <c r="S2087" t="s">
        <v>8125</v>
      </c>
      <c r="T2087">
        <v>29</v>
      </c>
      <c r="W2087" t="s">
        <v>10610</v>
      </c>
      <c r="X2087">
        <v>838554</v>
      </c>
      <c r="Y2087" t="s">
        <v>301</v>
      </c>
      <c r="Z2087" t="s">
        <v>301</v>
      </c>
      <c r="AA2087" t="s">
        <v>3128</v>
      </c>
      <c r="AB2087" t="s">
        <v>13650</v>
      </c>
      <c r="AG2087" t="s">
        <v>13651</v>
      </c>
      <c r="AH2087" t="s">
        <v>8129</v>
      </c>
      <c r="AI2087" t="s">
        <v>13652</v>
      </c>
    </row>
    <row r="2088" spans="2:35" ht="75">
      <c r="B2088" s="1">
        <v>45726</v>
      </c>
      <c r="C2088" s="1">
        <v>45719</v>
      </c>
      <c r="D2088" t="s">
        <v>7634</v>
      </c>
      <c r="E2088" t="s">
        <v>12141</v>
      </c>
      <c r="F2088">
        <v>13</v>
      </c>
      <c r="G2088" t="s">
        <v>4484</v>
      </c>
      <c r="H2088" t="s">
        <v>2125</v>
      </c>
      <c r="I2088" t="s">
        <v>40</v>
      </c>
      <c r="J2088" s="2" t="s">
        <v>190</v>
      </c>
      <c r="K2088" t="s">
        <v>42</v>
      </c>
      <c r="L2088" t="s">
        <v>933</v>
      </c>
      <c r="N2088" t="s">
        <v>934</v>
      </c>
      <c r="Q2088">
        <v>30458</v>
      </c>
      <c r="R2088" t="s">
        <v>119</v>
      </c>
      <c r="S2088" t="s">
        <v>12142</v>
      </c>
      <c r="T2088">
        <v>27</v>
      </c>
      <c r="W2088" t="s">
        <v>2127</v>
      </c>
      <c r="X2088">
        <v>837611</v>
      </c>
      <c r="Y2088" t="s">
        <v>13653</v>
      </c>
      <c r="Z2088" t="s">
        <v>13654</v>
      </c>
      <c r="AA2088" t="s">
        <v>13655</v>
      </c>
      <c r="AB2088" t="s">
        <v>13656</v>
      </c>
      <c r="AG2088" t="s">
        <v>13657</v>
      </c>
      <c r="AH2088" t="s">
        <v>13658</v>
      </c>
      <c r="AI2088" t="s">
        <v>13659</v>
      </c>
    </row>
    <row r="2089" spans="2:35" ht="120">
      <c r="B2089" s="1">
        <v>45726</v>
      </c>
      <c r="C2089" s="1">
        <v>45722</v>
      </c>
      <c r="D2089" t="s">
        <v>13660</v>
      </c>
      <c r="E2089" t="s">
        <v>309</v>
      </c>
      <c r="F2089" t="s">
        <v>148</v>
      </c>
      <c r="G2089" t="s">
        <v>310</v>
      </c>
      <c r="H2089" t="s">
        <v>39</v>
      </c>
      <c r="I2089" t="s">
        <v>40</v>
      </c>
      <c r="J2089" t="s">
        <v>109</v>
      </c>
      <c r="K2089" t="s">
        <v>42</v>
      </c>
      <c r="L2089" t="s">
        <v>175</v>
      </c>
      <c r="N2089" t="s">
        <v>176</v>
      </c>
      <c r="Q2089">
        <v>30457</v>
      </c>
      <c r="R2089" t="s">
        <v>703</v>
      </c>
      <c r="S2089" t="s">
        <v>13661</v>
      </c>
      <c r="T2089">
        <v>25</v>
      </c>
      <c r="W2089" t="s">
        <v>84</v>
      </c>
      <c r="X2089">
        <v>840974</v>
      </c>
      <c r="Y2089" t="s">
        <v>374</v>
      </c>
      <c r="Z2089" t="s">
        <v>103</v>
      </c>
      <c r="AA2089" t="e">
        <f ca="1">- checked _xludf.and cleaned cartridge bay, plunger rod, _xludf.filter, icore slot
- generated reports
- performed self test</f>
        <v>#NAME?</v>
      </c>
      <c r="AB2089" s="2" t="s">
        <v>13662</v>
      </c>
      <c r="AG2089" t="s">
        <v>13663</v>
      </c>
      <c r="AH2089" t="s">
        <v>13664</v>
      </c>
      <c r="AI2089" t="s">
        <v>13665</v>
      </c>
    </row>
    <row r="2090" spans="2:35" ht="345">
      <c r="B2090" s="1">
        <v>45726</v>
      </c>
      <c r="C2090" s="1">
        <v>45720</v>
      </c>
      <c r="D2090" t="s">
        <v>6919</v>
      </c>
      <c r="E2090" t="s">
        <v>510</v>
      </c>
      <c r="F2090" t="s">
        <v>511</v>
      </c>
      <c r="G2090" t="s">
        <v>512</v>
      </c>
      <c r="H2090" t="s">
        <v>39</v>
      </c>
      <c r="I2090" t="s">
        <v>40</v>
      </c>
      <c r="J2090" s="2" t="s">
        <v>41</v>
      </c>
      <c r="K2090" t="s">
        <v>42</v>
      </c>
      <c r="L2090" t="s">
        <v>1048</v>
      </c>
      <c r="N2090" t="s">
        <v>1049</v>
      </c>
      <c r="Q2090">
        <v>30456</v>
      </c>
      <c r="R2090" t="s">
        <v>119</v>
      </c>
      <c r="S2090" t="s">
        <v>6920</v>
      </c>
      <c r="T2090">
        <v>26</v>
      </c>
      <c r="U2090" s="2" t="s">
        <v>13666</v>
      </c>
      <c r="V2090" s="1">
        <v>45708</v>
      </c>
      <c r="W2090" t="s">
        <v>1051</v>
      </c>
      <c r="X2090">
        <v>838281</v>
      </c>
      <c r="Y2090" t="s">
        <v>1924</v>
      </c>
      <c r="Z2090" s="2" t="s">
        <v>13667</v>
      </c>
      <c r="AA2090" t="s">
        <v>1926</v>
      </c>
      <c r="AB2090" t="s">
        <v>1428</v>
      </c>
      <c r="AD2090" t="s">
        <v>13668</v>
      </c>
      <c r="AE2090" t="s">
        <v>13669</v>
      </c>
      <c r="AG2090" t="s">
        <v>13670</v>
      </c>
      <c r="AH2090" t="s">
        <v>6925</v>
      </c>
      <c r="AI2090" t="s">
        <v>13671</v>
      </c>
    </row>
    <row r="2091" spans="2:35" ht="135">
      <c r="B2091" s="1">
        <v>45726</v>
      </c>
      <c r="C2091" s="1">
        <v>45722</v>
      </c>
      <c r="D2091" t="s">
        <v>4379</v>
      </c>
      <c r="E2091" t="s">
        <v>13672</v>
      </c>
      <c r="F2091" t="s">
        <v>148</v>
      </c>
      <c r="G2091" t="s">
        <v>785</v>
      </c>
      <c r="H2091" t="s">
        <v>39</v>
      </c>
      <c r="I2091" t="s">
        <v>40</v>
      </c>
      <c r="J2091" t="s">
        <v>109</v>
      </c>
      <c r="K2091" t="s">
        <v>42</v>
      </c>
      <c r="L2091" t="s">
        <v>43</v>
      </c>
      <c r="N2091" t="s">
        <v>44</v>
      </c>
      <c r="O2091" t="s">
        <v>13353</v>
      </c>
      <c r="Q2091">
        <v>30455</v>
      </c>
      <c r="R2091" t="s">
        <v>322</v>
      </c>
      <c r="S2091" t="s">
        <v>4382</v>
      </c>
      <c r="T2091">
        <v>22</v>
      </c>
      <c r="W2091" t="s">
        <v>3178</v>
      </c>
      <c r="X2091">
        <v>838627</v>
      </c>
      <c r="Y2091" t="s">
        <v>13355</v>
      </c>
      <c r="Z2091" t="s">
        <v>13673</v>
      </c>
      <c r="AA2091" s="2" t="s">
        <v>13674</v>
      </c>
      <c r="AB2091" t="s">
        <v>13675</v>
      </c>
      <c r="AG2091" t="s">
        <v>13676</v>
      </c>
      <c r="AH2091" t="s">
        <v>4387</v>
      </c>
      <c r="AI2091" t="s">
        <v>13677</v>
      </c>
    </row>
    <row r="2092" spans="2:35" ht="225">
      <c r="B2092" s="1">
        <v>45726</v>
      </c>
      <c r="C2092" s="1">
        <v>45723</v>
      </c>
      <c r="D2092" t="s">
        <v>806</v>
      </c>
      <c r="E2092" t="s">
        <v>13678</v>
      </c>
      <c r="F2092" t="s">
        <v>148</v>
      </c>
      <c r="G2092" t="s">
        <v>785</v>
      </c>
      <c r="H2092" t="s">
        <v>39</v>
      </c>
      <c r="I2092" t="s">
        <v>40</v>
      </c>
      <c r="J2092" t="s">
        <v>109</v>
      </c>
      <c r="K2092" t="s">
        <v>42</v>
      </c>
      <c r="L2092" t="s">
        <v>43</v>
      </c>
      <c r="N2092" t="s">
        <v>44</v>
      </c>
      <c r="O2092" t="s">
        <v>786</v>
      </c>
      <c r="Q2092">
        <v>30452</v>
      </c>
      <c r="R2092" t="s">
        <v>322</v>
      </c>
      <c r="S2092" t="s">
        <v>787</v>
      </c>
      <c r="T2092">
        <v>24</v>
      </c>
      <c r="U2092" s="2" t="s">
        <v>13679</v>
      </c>
      <c r="W2092" t="s">
        <v>153</v>
      </c>
      <c r="X2092">
        <v>110025127</v>
      </c>
      <c r="Y2092" t="s">
        <v>121</v>
      </c>
      <c r="Z2092" t="s">
        <v>122</v>
      </c>
      <c r="AA2092" s="2" t="s">
        <v>9744</v>
      </c>
      <c r="AB2092" t="s">
        <v>548</v>
      </c>
      <c r="AG2092" t="s">
        <v>13680</v>
      </c>
      <c r="AH2092" t="s">
        <v>13681</v>
      </c>
      <c r="AI2092" t="s">
        <v>13682</v>
      </c>
    </row>
    <row r="2093" spans="2:35" ht="135">
      <c r="B2093" s="1">
        <v>45726</v>
      </c>
      <c r="C2093" s="1">
        <v>45722</v>
      </c>
      <c r="D2093" t="s">
        <v>4379</v>
      </c>
      <c r="E2093" t="s">
        <v>13672</v>
      </c>
      <c r="F2093" t="s">
        <v>148</v>
      </c>
      <c r="G2093" t="s">
        <v>785</v>
      </c>
      <c r="H2093" t="s">
        <v>39</v>
      </c>
      <c r="I2093" t="s">
        <v>40</v>
      </c>
      <c r="J2093" t="s">
        <v>109</v>
      </c>
      <c r="K2093" t="s">
        <v>42</v>
      </c>
      <c r="L2093" t="s">
        <v>43</v>
      </c>
      <c r="N2093" t="s">
        <v>44</v>
      </c>
      <c r="O2093" t="s">
        <v>13353</v>
      </c>
      <c r="Q2093">
        <v>30453</v>
      </c>
      <c r="R2093" t="s">
        <v>322</v>
      </c>
      <c r="S2093" t="s">
        <v>4382</v>
      </c>
      <c r="T2093">
        <v>22</v>
      </c>
      <c r="W2093" t="s">
        <v>3178</v>
      </c>
      <c r="X2093">
        <v>838627</v>
      </c>
      <c r="Y2093" t="s">
        <v>13355</v>
      </c>
      <c r="Z2093" t="s">
        <v>13673</v>
      </c>
      <c r="AA2093" s="2" t="s">
        <v>13674</v>
      </c>
      <c r="AB2093" t="s">
        <v>13675</v>
      </c>
      <c r="AG2093" t="s">
        <v>13683</v>
      </c>
      <c r="AH2093" t="s">
        <v>4387</v>
      </c>
      <c r="AI2093" t="s">
        <v>13684</v>
      </c>
    </row>
    <row r="2094" spans="2:35" ht="180">
      <c r="B2094" s="1">
        <v>45726</v>
      </c>
      <c r="C2094" s="1">
        <v>45721</v>
      </c>
      <c r="D2094" t="s">
        <v>4379</v>
      </c>
      <c r="E2094" t="s">
        <v>4380</v>
      </c>
      <c r="F2094" t="s">
        <v>148</v>
      </c>
      <c r="G2094" t="s">
        <v>785</v>
      </c>
      <c r="H2094" t="s">
        <v>39</v>
      </c>
      <c r="I2094" t="s">
        <v>40</v>
      </c>
      <c r="J2094" t="s">
        <v>525</v>
      </c>
      <c r="K2094" t="s">
        <v>42</v>
      </c>
      <c r="L2094" t="s">
        <v>43</v>
      </c>
      <c r="N2094" t="s">
        <v>44</v>
      </c>
      <c r="Q2094">
        <v>30454</v>
      </c>
      <c r="R2094" t="s">
        <v>322</v>
      </c>
      <c r="S2094" t="s">
        <v>4382</v>
      </c>
      <c r="T2094">
        <v>22</v>
      </c>
      <c r="W2094" t="s">
        <v>3178</v>
      </c>
      <c r="X2094">
        <v>838627</v>
      </c>
      <c r="Y2094" t="s">
        <v>13685</v>
      </c>
      <c r="Z2094" t="s">
        <v>13673</v>
      </c>
      <c r="AA2094" s="2" t="s">
        <v>13686</v>
      </c>
      <c r="AB2094" t="s">
        <v>13687</v>
      </c>
      <c r="AG2094" t="s">
        <v>13688</v>
      </c>
      <c r="AH2094" t="s">
        <v>13689</v>
      </c>
      <c r="AI2094" t="s">
        <v>13690</v>
      </c>
    </row>
    <row r="2095" spans="2:35" ht="409.5">
      <c r="B2095" s="1">
        <v>45726</v>
      </c>
      <c r="C2095" s="1">
        <v>45723</v>
      </c>
      <c r="D2095" t="s">
        <v>1145</v>
      </c>
      <c r="E2095" t="s">
        <v>4267</v>
      </c>
      <c r="F2095" t="s">
        <v>148</v>
      </c>
      <c r="G2095" t="s">
        <v>447</v>
      </c>
      <c r="H2095" t="s">
        <v>150</v>
      </c>
      <c r="I2095" t="s">
        <v>40</v>
      </c>
      <c r="J2095" t="s">
        <v>109</v>
      </c>
      <c r="K2095" t="s">
        <v>42</v>
      </c>
      <c r="L2095" t="s">
        <v>448</v>
      </c>
      <c r="N2095" t="s">
        <v>450</v>
      </c>
      <c r="Q2095">
        <v>30451</v>
      </c>
      <c r="R2095" t="s">
        <v>322</v>
      </c>
      <c r="S2095" t="s">
        <v>1147</v>
      </c>
      <c r="T2095">
        <v>28</v>
      </c>
      <c r="U2095" s="2" t="s">
        <v>13691</v>
      </c>
      <c r="W2095" t="s">
        <v>1139</v>
      </c>
      <c r="X2095">
        <v>838837</v>
      </c>
      <c r="Y2095" t="s">
        <v>13692</v>
      </c>
      <c r="Z2095" s="2" t="s">
        <v>13693</v>
      </c>
      <c r="AA2095" t="s">
        <v>122</v>
      </c>
      <c r="AB2095" s="2" t="s">
        <v>13694</v>
      </c>
      <c r="AG2095" t="s">
        <v>13695</v>
      </c>
      <c r="AH2095" t="s">
        <v>1153</v>
      </c>
      <c r="AI2095" t="s">
        <v>13696</v>
      </c>
    </row>
    <row r="2096" spans="2:35" ht="210">
      <c r="B2096" s="1">
        <v>45725</v>
      </c>
      <c r="C2096" s="1">
        <v>45722</v>
      </c>
      <c r="D2096" t="s">
        <v>4694</v>
      </c>
      <c r="E2096" t="s">
        <v>13697</v>
      </c>
      <c r="F2096">
        <v>12</v>
      </c>
      <c r="G2096" t="s">
        <v>2137</v>
      </c>
      <c r="H2096" t="s">
        <v>1473</v>
      </c>
      <c r="I2096" t="s">
        <v>40</v>
      </c>
      <c r="J2096" t="s">
        <v>109</v>
      </c>
      <c r="K2096" t="s">
        <v>42</v>
      </c>
      <c r="L2096" t="s">
        <v>296</v>
      </c>
      <c r="N2096" t="s">
        <v>297</v>
      </c>
      <c r="Q2096">
        <v>30450</v>
      </c>
      <c r="R2096" t="s">
        <v>119</v>
      </c>
      <c r="S2096" t="s">
        <v>10641</v>
      </c>
      <c r="T2096">
        <v>26.8</v>
      </c>
      <c r="U2096" s="2" t="s">
        <v>13698</v>
      </c>
      <c r="W2096" t="s">
        <v>981</v>
      </c>
      <c r="X2096">
        <v>838545</v>
      </c>
      <c r="Y2096" t="s">
        <v>301</v>
      </c>
      <c r="Z2096" s="2" t="s">
        <v>13699</v>
      </c>
      <c r="AA2096" t="s">
        <v>303</v>
      </c>
      <c r="AB2096" t="s">
        <v>7205</v>
      </c>
      <c r="AG2096" t="s">
        <v>13700</v>
      </c>
      <c r="AH2096" t="s">
        <v>13701</v>
      </c>
      <c r="AI2096" t="s">
        <v>13702</v>
      </c>
    </row>
    <row r="2097" spans="2:35">
      <c r="B2097" s="1">
        <v>45725</v>
      </c>
      <c r="C2097" s="1">
        <v>45725</v>
      </c>
      <c r="D2097" t="s">
        <v>3423</v>
      </c>
      <c r="E2097" t="s">
        <v>3116</v>
      </c>
      <c r="F2097">
        <v>7</v>
      </c>
      <c r="G2097" t="s">
        <v>432</v>
      </c>
      <c r="H2097" t="s">
        <v>386</v>
      </c>
      <c r="I2097" t="s">
        <v>40</v>
      </c>
      <c r="J2097" t="s">
        <v>79</v>
      </c>
      <c r="K2097" t="s">
        <v>387</v>
      </c>
      <c r="L2097" t="s">
        <v>610</v>
      </c>
      <c r="N2097" t="s">
        <v>611</v>
      </c>
      <c r="O2097" t="s">
        <v>3424</v>
      </c>
      <c r="Q2097">
        <v>30449</v>
      </c>
      <c r="R2097" t="s">
        <v>95</v>
      </c>
      <c r="S2097" t="s">
        <v>3424</v>
      </c>
      <c r="T2097">
        <v>23</v>
      </c>
      <c r="W2097" t="s">
        <v>390</v>
      </c>
      <c r="X2097" t="s">
        <v>10711</v>
      </c>
      <c r="Y2097" t="s">
        <v>13703</v>
      </c>
      <c r="Z2097" t="s">
        <v>13704</v>
      </c>
      <c r="AA2097" t="s">
        <v>13704</v>
      </c>
      <c r="AB2097" t="s">
        <v>88</v>
      </c>
      <c r="AG2097" t="s">
        <v>13705</v>
      </c>
      <c r="AH2097" t="s">
        <v>3429</v>
      </c>
      <c r="AI2097" t="s">
        <v>13706</v>
      </c>
    </row>
    <row r="2098" spans="2:35" ht="105">
      <c r="B2098" s="1">
        <v>45724</v>
      </c>
      <c r="C2098" s="1">
        <v>45724</v>
      </c>
      <c r="D2098" t="s">
        <v>3423</v>
      </c>
      <c r="E2098" t="s">
        <v>3116</v>
      </c>
      <c r="F2098">
        <v>7</v>
      </c>
      <c r="G2098" t="s">
        <v>432</v>
      </c>
      <c r="H2098" t="s">
        <v>386</v>
      </c>
      <c r="I2098" t="s">
        <v>40</v>
      </c>
      <c r="J2098" s="2" t="s">
        <v>1899</v>
      </c>
      <c r="K2098" t="s">
        <v>387</v>
      </c>
      <c r="L2098" t="s">
        <v>610</v>
      </c>
      <c r="N2098" t="s">
        <v>611</v>
      </c>
      <c r="O2098" t="s">
        <v>3424</v>
      </c>
      <c r="Q2098">
        <v>30448</v>
      </c>
      <c r="R2098" t="s">
        <v>95</v>
      </c>
      <c r="S2098" t="s">
        <v>3424</v>
      </c>
      <c r="T2098">
        <v>23</v>
      </c>
      <c r="W2098" t="s">
        <v>390</v>
      </c>
      <c r="X2098" t="s">
        <v>10711</v>
      </c>
      <c r="Y2098" t="s">
        <v>13707</v>
      </c>
      <c r="Z2098" t="s">
        <v>13708</v>
      </c>
      <c r="AA2098" t="s">
        <v>13709</v>
      </c>
      <c r="AB2098" t="s">
        <v>13710</v>
      </c>
      <c r="AG2098" t="s">
        <v>13711</v>
      </c>
      <c r="AH2098" t="s">
        <v>3429</v>
      </c>
      <c r="AI2098" t="s">
        <v>13712</v>
      </c>
    </row>
    <row r="2099" spans="2:35" ht="390">
      <c r="B2099" s="1">
        <v>45723</v>
      </c>
      <c r="C2099" s="1">
        <v>45723</v>
      </c>
      <c r="D2099" t="s">
        <v>3423</v>
      </c>
      <c r="E2099" t="s">
        <v>3116</v>
      </c>
      <c r="F2099">
        <v>7</v>
      </c>
      <c r="G2099" t="s">
        <v>432</v>
      </c>
      <c r="H2099" t="s">
        <v>386</v>
      </c>
      <c r="I2099" t="s">
        <v>40</v>
      </c>
      <c r="J2099" t="s">
        <v>996</v>
      </c>
      <c r="K2099" t="s">
        <v>387</v>
      </c>
      <c r="L2099" t="s">
        <v>610</v>
      </c>
      <c r="N2099" t="s">
        <v>611</v>
      </c>
      <c r="Q2099">
        <v>30447</v>
      </c>
      <c r="R2099" t="s">
        <v>95</v>
      </c>
      <c r="S2099" t="s">
        <v>3424</v>
      </c>
      <c r="T2099">
        <v>23</v>
      </c>
      <c r="W2099" t="s">
        <v>390</v>
      </c>
      <c r="X2099" t="s">
        <v>10711</v>
      </c>
      <c r="Y2099" t="e">
        <f ca="1">-DUE _xludf.For CALIBRATION annual of MCS+ _xludf.and Preventive Maintenance</f>
        <v>#NAME?</v>
      </c>
      <c r="Z2099" s="2" t="s">
        <v>13713</v>
      </c>
      <c r="AA2099" s="2" t="s">
        <v>13713</v>
      </c>
      <c r="AB2099" t="s">
        <v>13714</v>
      </c>
      <c r="AG2099" t="s">
        <v>13715</v>
      </c>
      <c r="AH2099" t="s">
        <v>3429</v>
      </c>
      <c r="AI2099" t="s">
        <v>13716</v>
      </c>
    </row>
    <row r="2100" spans="2:35" ht="120">
      <c r="B2100" s="1">
        <v>45723</v>
      </c>
      <c r="C2100" s="1">
        <v>45723</v>
      </c>
      <c r="D2100" t="s">
        <v>13717</v>
      </c>
      <c r="E2100" t="s">
        <v>1555</v>
      </c>
      <c r="F2100">
        <v>7</v>
      </c>
      <c r="G2100" t="s">
        <v>432</v>
      </c>
      <c r="H2100" t="s">
        <v>39</v>
      </c>
      <c r="I2100" t="s">
        <v>40</v>
      </c>
      <c r="J2100" s="2" t="s">
        <v>62</v>
      </c>
      <c r="K2100" t="s">
        <v>387</v>
      </c>
      <c r="L2100" t="s">
        <v>433</v>
      </c>
      <c r="N2100" t="s">
        <v>434</v>
      </c>
      <c r="Q2100">
        <v>30446</v>
      </c>
      <c r="R2100" t="s">
        <v>95</v>
      </c>
      <c r="S2100" t="s">
        <v>3424</v>
      </c>
      <c r="T2100">
        <v>23</v>
      </c>
      <c r="W2100" t="s">
        <v>436</v>
      </c>
      <c r="X2100" t="s">
        <v>3425</v>
      </c>
      <c r="Y2100" t="s">
        <v>13718</v>
      </c>
      <c r="Z2100" s="2" t="s">
        <v>13719</v>
      </c>
      <c r="AA2100" s="2" t="s">
        <v>13719</v>
      </c>
      <c r="AB2100" t="s">
        <v>1011</v>
      </c>
      <c r="AG2100" t="s">
        <v>13720</v>
      </c>
      <c r="AH2100" t="s">
        <v>13721</v>
      </c>
      <c r="AI2100" t="s">
        <v>13722</v>
      </c>
    </row>
    <row r="2101" spans="2:35" ht="409.5">
      <c r="B2101" s="1">
        <v>45723</v>
      </c>
      <c r="C2101" s="1">
        <v>45723</v>
      </c>
      <c r="D2101" t="s">
        <v>13723</v>
      </c>
      <c r="E2101" t="s">
        <v>1555</v>
      </c>
      <c r="F2101">
        <v>7</v>
      </c>
      <c r="G2101" t="s">
        <v>432</v>
      </c>
      <c r="H2101" t="s">
        <v>39</v>
      </c>
      <c r="I2101" t="s">
        <v>40</v>
      </c>
      <c r="J2101" t="s">
        <v>109</v>
      </c>
      <c r="K2101" t="s">
        <v>42</v>
      </c>
      <c r="L2101" t="s">
        <v>1288</v>
      </c>
      <c r="N2101" t="s">
        <v>1289</v>
      </c>
      <c r="Q2101">
        <v>30445</v>
      </c>
      <c r="R2101" t="s">
        <v>95</v>
      </c>
      <c r="S2101" t="s">
        <v>11987</v>
      </c>
      <c r="T2101">
        <v>24</v>
      </c>
      <c r="U2101" s="2" t="s">
        <v>13724</v>
      </c>
      <c r="W2101" t="s">
        <v>1292</v>
      </c>
      <c r="X2101">
        <v>110008524</v>
      </c>
      <c r="Y2101" t="s">
        <v>9143</v>
      </c>
      <c r="Z2101" t="e">
        <f ca="1">-COLLECT IQR,system _xludf.Log, _xludf.and ARCHIVE</f>
        <v>#NAME?</v>
      </c>
      <c r="AA2101" t="e">
        <f ca="1">-PERFORM Cleaning of GX EQUIPMENT _xludf.and workstation
-PERFORM Preventive Maintenance PROCEDURE</f>
        <v>#NAME?</v>
      </c>
      <c r="AB2101" t="s">
        <v>1293</v>
      </c>
      <c r="AC2101" t="s">
        <v>13725</v>
      </c>
      <c r="AG2101" t="s">
        <v>13726</v>
      </c>
      <c r="AH2101" t="s">
        <v>13727</v>
      </c>
      <c r="AI2101" t="s">
        <v>13728</v>
      </c>
    </row>
    <row r="2102" spans="2:35" ht="409.5">
      <c r="B2102" s="1">
        <v>45723</v>
      </c>
      <c r="C2102" s="1">
        <v>45723</v>
      </c>
      <c r="D2102" t="s">
        <v>13729</v>
      </c>
      <c r="E2102" t="s">
        <v>11572</v>
      </c>
      <c r="F2102" t="s">
        <v>37</v>
      </c>
      <c r="G2102" t="s">
        <v>78</v>
      </c>
      <c r="H2102" t="s">
        <v>61</v>
      </c>
      <c r="I2102" t="s">
        <v>40</v>
      </c>
      <c r="J2102" t="s">
        <v>109</v>
      </c>
      <c r="K2102" t="s">
        <v>42</v>
      </c>
      <c r="L2102" t="s">
        <v>1943</v>
      </c>
      <c r="N2102" t="s">
        <v>1944</v>
      </c>
      <c r="O2102" t="s">
        <v>8350</v>
      </c>
      <c r="Q2102">
        <v>30444</v>
      </c>
      <c r="R2102" t="s">
        <v>703</v>
      </c>
      <c r="S2102" t="s">
        <v>8350</v>
      </c>
      <c r="T2102">
        <v>25</v>
      </c>
      <c r="U2102" s="2" t="s">
        <v>13730</v>
      </c>
      <c r="W2102" t="s">
        <v>373</v>
      </c>
      <c r="X2102">
        <v>110024552</v>
      </c>
      <c r="Y2102" s="2" t="s">
        <v>13731</v>
      </c>
      <c r="Z2102" t="s">
        <v>2100</v>
      </c>
      <c r="AA2102" s="2" t="s">
        <v>13732</v>
      </c>
      <c r="AB2102" t="s">
        <v>88</v>
      </c>
      <c r="AG2102" t="s">
        <v>13733</v>
      </c>
      <c r="AH2102" t="s">
        <v>13734</v>
      </c>
      <c r="AI2102" t="s">
        <v>13735</v>
      </c>
    </row>
    <row r="2103" spans="2:35">
      <c r="B2103" s="1">
        <v>45723</v>
      </c>
      <c r="C2103" s="1">
        <v>45723</v>
      </c>
      <c r="D2103" t="s">
        <v>9278</v>
      </c>
      <c r="E2103" t="s">
        <v>582</v>
      </c>
      <c r="F2103" t="s">
        <v>148</v>
      </c>
      <c r="G2103" t="s">
        <v>447</v>
      </c>
      <c r="H2103" t="s">
        <v>39</v>
      </c>
      <c r="I2103" t="s">
        <v>40</v>
      </c>
      <c r="J2103" t="s">
        <v>109</v>
      </c>
      <c r="K2103" t="s">
        <v>42</v>
      </c>
      <c r="L2103" t="s">
        <v>175</v>
      </c>
      <c r="N2103" t="s">
        <v>176</v>
      </c>
      <c r="Q2103">
        <v>30443</v>
      </c>
      <c r="R2103" t="s">
        <v>967</v>
      </c>
      <c r="S2103" t="s">
        <v>9279</v>
      </c>
      <c r="T2103">
        <v>25</v>
      </c>
      <c r="W2103" t="s">
        <v>373</v>
      </c>
      <c r="X2103">
        <v>120000577</v>
      </c>
      <c r="Y2103" t="s">
        <v>374</v>
      </c>
      <c r="Z2103" t="s">
        <v>103</v>
      </c>
      <c r="AA2103" t="e">
        <f ca="1">- checked _xludf.and cleaned cartridge bay, plunger rod, _xludf.filter, icore slot
- generated reports
- performed self test</f>
        <v>#NAME?</v>
      </c>
      <c r="AB2103" t="s">
        <v>181</v>
      </c>
      <c r="AG2103" t="s">
        <v>13736</v>
      </c>
      <c r="AH2103" t="s">
        <v>9282</v>
      </c>
      <c r="AI2103" t="s">
        <v>13737</v>
      </c>
    </row>
    <row r="2104" spans="2:35" ht="409.5">
      <c r="B2104" s="1">
        <v>45723</v>
      </c>
      <c r="C2104" s="1">
        <v>45723</v>
      </c>
      <c r="D2104" t="s">
        <v>159</v>
      </c>
      <c r="E2104" t="s">
        <v>5764</v>
      </c>
      <c r="F2104" t="s">
        <v>37</v>
      </c>
      <c r="G2104" t="s">
        <v>78</v>
      </c>
      <c r="H2104" t="s">
        <v>150</v>
      </c>
      <c r="I2104" t="s">
        <v>40</v>
      </c>
      <c r="J2104" s="2" t="s">
        <v>62</v>
      </c>
      <c r="K2104" t="s">
        <v>42</v>
      </c>
      <c r="L2104" t="s">
        <v>1943</v>
      </c>
      <c r="N2104" t="s">
        <v>1944</v>
      </c>
      <c r="O2104" t="s">
        <v>161</v>
      </c>
      <c r="Q2104">
        <v>30442</v>
      </c>
      <c r="R2104" t="s">
        <v>95</v>
      </c>
      <c r="S2104" t="s">
        <v>13738</v>
      </c>
      <c r="T2104">
        <v>25</v>
      </c>
      <c r="U2104" s="2" t="s">
        <v>13739</v>
      </c>
      <c r="W2104" t="s">
        <v>5771</v>
      </c>
      <c r="X2104">
        <v>812916</v>
      </c>
      <c r="Y2104" s="2" t="s">
        <v>3044</v>
      </c>
      <c r="Z2104" t="s">
        <v>3756</v>
      </c>
      <c r="AA2104" s="2" t="s">
        <v>3046</v>
      </c>
      <c r="AB2104" t="s">
        <v>2062</v>
      </c>
      <c r="AG2104" t="s">
        <v>13740</v>
      </c>
      <c r="AH2104" t="s">
        <v>13741</v>
      </c>
      <c r="AI2104" t="s">
        <v>13742</v>
      </c>
    </row>
    <row r="2105" spans="2:35" ht="105">
      <c r="B2105" s="1">
        <v>45723</v>
      </c>
      <c r="C2105" s="1">
        <v>45723</v>
      </c>
      <c r="D2105" t="s">
        <v>3970</v>
      </c>
      <c r="E2105" t="s">
        <v>13743</v>
      </c>
      <c r="F2105">
        <v>9</v>
      </c>
      <c r="G2105" t="s">
        <v>2197</v>
      </c>
      <c r="H2105" t="s">
        <v>39</v>
      </c>
      <c r="I2105" t="s">
        <v>40</v>
      </c>
      <c r="J2105" t="s">
        <v>109</v>
      </c>
      <c r="K2105" t="s">
        <v>42</v>
      </c>
      <c r="L2105" t="s">
        <v>1257</v>
      </c>
      <c r="N2105" t="s">
        <v>1258</v>
      </c>
      <c r="O2105" t="s">
        <v>1258</v>
      </c>
      <c r="Q2105">
        <v>30441</v>
      </c>
      <c r="R2105" t="s">
        <v>119</v>
      </c>
      <c r="S2105" t="s">
        <v>3972</v>
      </c>
      <c r="T2105">
        <v>20</v>
      </c>
      <c r="U2105" s="2" t="s">
        <v>13744</v>
      </c>
      <c r="V2105" s="1">
        <v>45723</v>
      </c>
      <c r="W2105" t="s">
        <v>1008</v>
      </c>
      <c r="X2105">
        <v>838233</v>
      </c>
      <c r="Y2105" t="s">
        <v>301</v>
      </c>
      <c r="Z2105" t="s">
        <v>12440</v>
      </c>
      <c r="AA2105" t="s">
        <v>12440</v>
      </c>
      <c r="AB2105" t="s">
        <v>7668</v>
      </c>
      <c r="AC2105" t="s">
        <v>301</v>
      </c>
      <c r="AD2105" t="s">
        <v>54</v>
      </c>
      <c r="AE2105" t="s">
        <v>54</v>
      </c>
      <c r="AG2105" t="s">
        <v>13745</v>
      </c>
      <c r="AH2105" t="s">
        <v>3979</v>
      </c>
      <c r="AI2105" t="s">
        <v>13746</v>
      </c>
    </row>
    <row r="2106" spans="2:35" ht="409.5">
      <c r="B2106" s="1">
        <v>45723</v>
      </c>
      <c r="C2106" s="1">
        <v>45723</v>
      </c>
      <c r="D2106" t="s">
        <v>7343</v>
      </c>
      <c r="E2106" t="s">
        <v>13747</v>
      </c>
      <c r="F2106">
        <v>11</v>
      </c>
      <c r="G2106" t="s">
        <v>4297</v>
      </c>
      <c r="H2106" t="s">
        <v>202</v>
      </c>
      <c r="I2106" t="s">
        <v>40</v>
      </c>
      <c r="J2106" s="2" t="s">
        <v>41</v>
      </c>
      <c r="K2106" t="s">
        <v>42</v>
      </c>
      <c r="L2106" t="s">
        <v>204</v>
      </c>
      <c r="N2106" t="s">
        <v>205</v>
      </c>
      <c r="Q2106">
        <v>30440</v>
      </c>
      <c r="R2106" t="s">
        <v>119</v>
      </c>
      <c r="S2106" t="s">
        <v>13748</v>
      </c>
      <c r="T2106">
        <v>26.9</v>
      </c>
      <c r="U2106" s="2" t="s">
        <v>13749</v>
      </c>
      <c r="V2106" s="1">
        <v>45708</v>
      </c>
      <c r="W2106" t="s">
        <v>208</v>
      </c>
      <c r="X2106">
        <v>838460</v>
      </c>
      <c r="Y2106" s="2" t="s">
        <v>13750</v>
      </c>
      <c r="Z2106" s="2" t="s">
        <v>13751</v>
      </c>
      <c r="AA2106" t="s">
        <v>10252</v>
      </c>
      <c r="AB2106" t="s">
        <v>1211</v>
      </c>
      <c r="AD2106" t="s">
        <v>10253</v>
      </c>
      <c r="AE2106" t="s">
        <v>13752</v>
      </c>
      <c r="AG2106" t="s">
        <v>13753</v>
      </c>
      <c r="AH2106" t="s">
        <v>13754</v>
      </c>
      <c r="AI2106" t="s">
        <v>13755</v>
      </c>
    </row>
    <row r="2107" spans="2:35" ht="60">
      <c r="B2107" s="1">
        <v>45722</v>
      </c>
      <c r="C2107" s="1">
        <v>45722</v>
      </c>
      <c r="D2107" t="s">
        <v>12016</v>
      </c>
      <c r="E2107" t="s">
        <v>12017</v>
      </c>
      <c r="F2107">
        <v>7</v>
      </c>
      <c r="G2107" t="s">
        <v>432</v>
      </c>
      <c r="H2107" t="s">
        <v>12018</v>
      </c>
      <c r="I2107" t="s">
        <v>40</v>
      </c>
      <c r="J2107" s="2" t="s">
        <v>62</v>
      </c>
      <c r="K2107" t="s">
        <v>387</v>
      </c>
      <c r="L2107" t="s">
        <v>1288</v>
      </c>
      <c r="N2107" t="s">
        <v>1289</v>
      </c>
      <c r="Q2107">
        <v>30439</v>
      </c>
      <c r="R2107" t="s">
        <v>95</v>
      </c>
      <c r="S2107" t="s">
        <v>6408</v>
      </c>
      <c r="T2107">
        <v>22</v>
      </c>
      <c r="W2107" t="s">
        <v>390</v>
      </c>
      <c r="X2107" t="s">
        <v>1557</v>
      </c>
      <c r="Y2107" t="s">
        <v>13756</v>
      </c>
      <c r="Z2107" t="e">
        <f ca="1">-COLLECT DIAGNOSTICS _xludf.and CALIBRATION Data</f>
        <v>#NAME?</v>
      </c>
      <c r="AA2107" t="e">
        <f ca="1">-PERFORM Preventive Maintenance PROCEDURE
-Inspect Pump rubber ROLLERS
-PERFORM DIAGNOSTICS, passed
-PERFORM CALIBRATION PROCEDURE</f>
        <v>#NAME?</v>
      </c>
      <c r="AB2107" t="e">
        <f ca="1">-EQUIPMENT is operational</f>
        <v>#NAME?</v>
      </c>
      <c r="AG2107" t="s">
        <v>13757</v>
      </c>
      <c r="AH2107" t="s">
        <v>2406</v>
      </c>
      <c r="AI2107" t="s">
        <v>13758</v>
      </c>
    </row>
    <row r="2108" spans="2:35" ht="60">
      <c r="B2108" s="1">
        <v>45722</v>
      </c>
      <c r="C2108" s="1">
        <v>45722</v>
      </c>
      <c r="D2108" t="s">
        <v>12016</v>
      </c>
      <c r="E2108" t="s">
        <v>12017</v>
      </c>
      <c r="F2108">
        <v>7</v>
      </c>
      <c r="G2108" t="s">
        <v>432</v>
      </c>
      <c r="H2108" t="s">
        <v>12018</v>
      </c>
      <c r="I2108" t="s">
        <v>40</v>
      </c>
      <c r="J2108" s="2" t="s">
        <v>62</v>
      </c>
      <c r="K2108" t="s">
        <v>387</v>
      </c>
      <c r="L2108" t="s">
        <v>1288</v>
      </c>
      <c r="N2108" t="s">
        <v>1289</v>
      </c>
      <c r="Q2108">
        <v>30438</v>
      </c>
      <c r="R2108" t="s">
        <v>95</v>
      </c>
      <c r="S2108" t="s">
        <v>6408</v>
      </c>
      <c r="T2108">
        <v>22</v>
      </c>
      <c r="W2108" t="s">
        <v>390</v>
      </c>
      <c r="X2108" t="s">
        <v>2402</v>
      </c>
      <c r="Y2108" t="s">
        <v>13756</v>
      </c>
      <c r="Z2108" t="e">
        <f ca="1">-COLLECT DIAGNOSTICS _xludf.and CALIBRATION Data</f>
        <v>#NAME?</v>
      </c>
      <c r="AA2108" t="e">
        <f ca="1">-PERFORM Preventive Maintenance PROCEDURE
-Inspect Pump rubber ROLLERS
-PERFORM DIAGNOSTICS, passed
-PERFORM CALIBRATION PROCEDURE</f>
        <v>#NAME?</v>
      </c>
      <c r="AB2108" t="e">
        <f ca="1">-EQUIPMENT is operational</f>
        <v>#NAME?</v>
      </c>
      <c r="AG2108" t="s">
        <v>13759</v>
      </c>
      <c r="AH2108" t="s">
        <v>2406</v>
      </c>
      <c r="AI2108" t="s">
        <v>13760</v>
      </c>
    </row>
    <row r="2109" spans="2:35" ht="150">
      <c r="B2109" s="1">
        <v>45722</v>
      </c>
      <c r="C2109" s="1">
        <v>45722</v>
      </c>
      <c r="D2109" t="s">
        <v>5563</v>
      </c>
      <c r="E2109" t="s">
        <v>1555</v>
      </c>
      <c r="F2109">
        <v>7</v>
      </c>
      <c r="G2109" t="s">
        <v>432</v>
      </c>
      <c r="H2109" t="s">
        <v>150</v>
      </c>
      <c r="I2109" t="s">
        <v>40</v>
      </c>
      <c r="J2109" s="2" t="s">
        <v>190</v>
      </c>
      <c r="K2109" t="s">
        <v>42</v>
      </c>
      <c r="L2109" t="s">
        <v>343</v>
      </c>
      <c r="N2109" t="s">
        <v>344</v>
      </c>
      <c r="Q2109">
        <v>30437</v>
      </c>
      <c r="R2109" t="s">
        <v>119</v>
      </c>
      <c r="S2109" t="s">
        <v>5564</v>
      </c>
      <c r="T2109">
        <v>27</v>
      </c>
      <c r="U2109" s="2" t="s">
        <v>13761</v>
      </c>
      <c r="W2109" t="s">
        <v>1501</v>
      </c>
      <c r="X2109">
        <v>838561</v>
      </c>
      <c r="Y2109" t="s">
        <v>7415</v>
      </c>
      <c r="Z2109" t="s">
        <v>13762</v>
      </c>
      <c r="AA2109" s="2" t="s">
        <v>13763</v>
      </c>
      <c r="AB2109" t="s">
        <v>13764</v>
      </c>
      <c r="AG2109" t="s">
        <v>13765</v>
      </c>
      <c r="AH2109" t="s">
        <v>5567</v>
      </c>
      <c r="AI2109" t="s">
        <v>13766</v>
      </c>
    </row>
    <row r="2110" spans="2:35" ht="105">
      <c r="B2110" s="1">
        <v>45722</v>
      </c>
      <c r="C2110" s="1">
        <v>45722</v>
      </c>
      <c r="D2110" t="s">
        <v>7471</v>
      </c>
      <c r="E2110" t="s">
        <v>8712</v>
      </c>
      <c r="F2110">
        <v>8</v>
      </c>
      <c r="G2110" t="s">
        <v>342</v>
      </c>
      <c r="H2110" t="s">
        <v>258</v>
      </c>
      <c r="I2110" t="s">
        <v>40</v>
      </c>
      <c r="J2110" t="s">
        <v>109</v>
      </c>
      <c r="K2110" t="s">
        <v>42</v>
      </c>
      <c r="L2110" t="s">
        <v>259</v>
      </c>
      <c r="N2110" t="s">
        <v>260</v>
      </c>
      <c r="Q2110">
        <v>30436</v>
      </c>
      <c r="R2110" t="s">
        <v>119</v>
      </c>
      <c r="S2110" t="s">
        <v>7473</v>
      </c>
      <c r="T2110">
        <v>23</v>
      </c>
      <c r="U2110" s="2" t="s">
        <v>11343</v>
      </c>
      <c r="V2110" s="1">
        <v>45722</v>
      </c>
      <c r="W2110" t="s">
        <v>84</v>
      </c>
      <c r="X2110">
        <v>838421</v>
      </c>
      <c r="Y2110" t="s">
        <v>1716</v>
      </c>
      <c r="Z2110" t="s">
        <v>1716</v>
      </c>
      <c r="AA2110" t="e">
        <f ca="1">-performed Monthly Preventive Maintenance</f>
        <v>#NAME?</v>
      </c>
      <c r="AB2110" t="s">
        <v>7675</v>
      </c>
      <c r="AG2110" t="s">
        <v>13767</v>
      </c>
      <c r="AH2110" t="s">
        <v>11242</v>
      </c>
      <c r="AI2110" t="s">
        <v>13768</v>
      </c>
    </row>
    <row r="2111" spans="2:35" ht="105">
      <c r="B2111" s="1">
        <v>45722</v>
      </c>
      <c r="C2111" s="1">
        <v>45722</v>
      </c>
      <c r="D2111" t="s">
        <v>8570</v>
      </c>
      <c r="E2111" t="s">
        <v>8570</v>
      </c>
      <c r="F2111">
        <v>9</v>
      </c>
      <c r="G2111" t="s">
        <v>2197</v>
      </c>
      <c r="H2111" t="s">
        <v>39</v>
      </c>
      <c r="I2111" t="s">
        <v>40</v>
      </c>
      <c r="J2111" s="2" t="s">
        <v>41</v>
      </c>
      <c r="K2111" t="s">
        <v>42</v>
      </c>
      <c r="L2111" t="s">
        <v>1257</v>
      </c>
      <c r="N2111" t="s">
        <v>1258</v>
      </c>
      <c r="O2111" t="s">
        <v>1258</v>
      </c>
      <c r="Q2111">
        <v>30435</v>
      </c>
      <c r="R2111" t="s">
        <v>119</v>
      </c>
      <c r="S2111" t="s">
        <v>13769</v>
      </c>
      <c r="T2111">
        <v>28</v>
      </c>
      <c r="U2111" s="2" t="s">
        <v>13770</v>
      </c>
      <c r="V2111" s="1">
        <v>45722</v>
      </c>
      <c r="W2111" t="s">
        <v>2384</v>
      </c>
      <c r="X2111">
        <v>838276</v>
      </c>
      <c r="Y2111" t="s">
        <v>9489</v>
      </c>
      <c r="Z2111" t="s">
        <v>13771</v>
      </c>
      <c r="AA2111" t="s">
        <v>13771</v>
      </c>
      <c r="AB2111" t="s">
        <v>13772</v>
      </c>
      <c r="AC2111" t="s">
        <v>13773</v>
      </c>
      <c r="AD2111" t="s">
        <v>54</v>
      </c>
      <c r="AE2111" t="s">
        <v>54</v>
      </c>
      <c r="AG2111" t="s">
        <v>13774</v>
      </c>
      <c r="AH2111" t="s">
        <v>13775</v>
      </c>
      <c r="AI2111" t="s">
        <v>13776</v>
      </c>
    </row>
    <row r="2112" spans="2:35" ht="345">
      <c r="B2112" s="1">
        <v>45721</v>
      </c>
      <c r="C2112" s="1">
        <v>45721</v>
      </c>
      <c r="D2112" t="s">
        <v>5060</v>
      </c>
      <c r="E2112" t="s">
        <v>13777</v>
      </c>
      <c r="F2112">
        <v>3</v>
      </c>
      <c r="G2112" t="s">
        <v>284</v>
      </c>
      <c r="H2112" t="s">
        <v>8015</v>
      </c>
      <c r="I2112" t="s">
        <v>40</v>
      </c>
      <c r="J2112" s="2" t="s">
        <v>1808</v>
      </c>
      <c r="K2112" t="s">
        <v>42</v>
      </c>
      <c r="L2112" t="s">
        <v>135</v>
      </c>
      <c r="N2112" t="s">
        <v>136</v>
      </c>
      <c r="Q2112">
        <v>30434</v>
      </c>
      <c r="R2112" t="s">
        <v>322</v>
      </c>
      <c r="S2112" t="s">
        <v>8016</v>
      </c>
      <c r="T2112">
        <v>25</v>
      </c>
      <c r="U2112" s="2" t="s">
        <v>13778</v>
      </c>
      <c r="W2112" t="s">
        <v>3335</v>
      </c>
      <c r="X2112">
        <v>120003587</v>
      </c>
      <c r="Y2112" t="s">
        <v>13779</v>
      </c>
      <c r="Z2112" s="2" t="s">
        <v>13780</v>
      </c>
      <c r="AA2112" s="2" t="s">
        <v>13781</v>
      </c>
      <c r="AB2112" t="s">
        <v>13782</v>
      </c>
      <c r="AG2112" t="s">
        <v>13783</v>
      </c>
      <c r="AH2112" t="s">
        <v>8806</v>
      </c>
      <c r="AI2112" t="s">
        <v>13784</v>
      </c>
    </row>
    <row r="2113" spans="2:35" ht="330">
      <c r="B2113" s="1">
        <v>45721</v>
      </c>
      <c r="C2113" s="1">
        <v>45721</v>
      </c>
      <c r="D2113" t="s">
        <v>13785</v>
      </c>
      <c r="E2113" t="s">
        <v>10648</v>
      </c>
      <c r="F2113">
        <v>12</v>
      </c>
      <c r="G2113" t="s">
        <v>2137</v>
      </c>
      <c r="H2113" t="s">
        <v>1473</v>
      </c>
      <c r="I2113" t="s">
        <v>40</v>
      </c>
      <c r="J2113" s="2" t="s">
        <v>62</v>
      </c>
      <c r="K2113" t="s">
        <v>42</v>
      </c>
      <c r="L2113" t="s">
        <v>296</v>
      </c>
      <c r="N2113" t="s">
        <v>297</v>
      </c>
      <c r="Q2113">
        <v>30433</v>
      </c>
      <c r="R2113" t="s">
        <v>322</v>
      </c>
      <c r="S2113" t="s">
        <v>10649</v>
      </c>
      <c r="T2113">
        <v>23.6</v>
      </c>
      <c r="U2113" s="2" t="s">
        <v>13786</v>
      </c>
      <c r="V2113" s="1">
        <v>45721</v>
      </c>
      <c r="W2113" t="s">
        <v>970</v>
      </c>
      <c r="X2113">
        <v>110024249</v>
      </c>
      <c r="Y2113" t="s">
        <v>301</v>
      </c>
      <c r="Z2113" s="2" t="s">
        <v>13787</v>
      </c>
      <c r="AA2113" s="2" t="s">
        <v>13788</v>
      </c>
      <c r="AB2113" s="2" t="s">
        <v>13789</v>
      </c>
      <c r="AC2113" t="s">
        <v>13790</v>
      </c>
      <c r="AD2113" s="2" t="s">
        <v>13791</v>
      </c>
      <c r="AE2113" t="s">
        <v>13792</v>
      </c>
      <c r="AG2113" t="s">
        <v>13793</v>
      </c>
      <c r="AH2113" t="s">
        <v>10654</v>
      </c>
      <c r="AI2113" t="s">
        <v>13794</v>
      </c>
    </row>
    <row r="2114" spans="2:35" ht="210">
      <c r="B2114" s="1">
        <v>45721</v>
      </c>
      <c r="C2114" s="1">
        <v>45721</v>
      </c>
      <c r="D2114" t="s">
        <v>7897</v>
      </c>
      <c r="E2114" t="s">
        <v>7898</v>
      </c>
      <c r="F2114">
        <v>12</v>
      </c>
      <c r="G2114" t="s">
        <v>2137</v>
      </c>
      <c r="H2114" t="s">
        <v>1473</v>
      </c>
      <c r="I2114" t="s">
        <v>40</v>
      </c>
      <c r="J2114" t="s">
        <v>109</v>
      </c>
      <c r="K2114" t="s">
        <v>42</v>
      </c>
      <c r="L2114" t="s">
        <v>296</v>
      </c>
      <c r="N2114" t="s">
        <v>297</v>
      </c>
      <c r="Q2114">
        <v>30432</v>
      </c>
      <c r="R2114" t="s">
        <v>119</v>
      </c>
      <c r="S2114" t="s">
        <v>7899</v>
      </c>
      <c r="T2114">
        <v>20.6</v>
      </c>
      <c r="U2114" s="2" t="s">
        <v>10098</v>
      </c>
      <c r="W2114" t="s">
        <v>981</v>
      </c>
      <c r="X2114">
        <v>838259</v>
      </c>
      <c r="Y2114" t="s">
        <v>301</v>
      </c>
      <c r="Z2114" t="s">
        <v>303</v>
      </c>
      <c r="AA2114" t="s">
        <v>303</v>
      </c>
      <c r="AB2114" s="2" t="s">
        <v>13795</v>
      </c>
      <c r="AG2114" t="s">
        <v>13796</v>
      </c>
      <c r="AH2114" t="s">
        <v>13797</v>
      </c>
      <c r="AI2114" t="s">
        <v>13798</v>
      </c>
    </row>
    <row r="2115" spans="2:35" ht="315">
      <c r="B2115" s="1">
        <v>45721</v>
      </c>
      <c r="C2115" s="1">
        <v>45721</v>
      </c>
      <c r="D2115" t="s">
        <v>1155</v>
      </c>
      <c r="E2115" t="s">
        <v>8331</v>
      </c>
      <c r="F2115" t="s">
        <v>148</v>
      </c>
      <c r="G2115" t="s">
        <v>230</v>
      </c>
      <c r="H2115" t="s">
        <v>39</v>
      </c>
      <c r="I2115" t="s">
        <v>40</v>
      </c>
      <c r="J2115" t="s">
        <v>79</v>
      </c>
      <c r="K2115" t="s">
        <v>42</v>
      </c>
      <c r="L2115" t="s">
        <v>175</v>
      </c>
      <c r="N2115" t="s">
        <v>176</v>
      </c>
      <c r="Q2115">
        <v>30431</v>
      </c>
      <c r="R2115" t="s">
        <v>322</v>
      </c>
      <c r="S2115" t="s">
        <v>8332</v>
      </c>
      <c r="T2115">
        <v>25</v>
      </c>
      <c r="U2115" s="2" t="s">
        <v>13799</v>
      </c>
      <c r="V2115" s="1">
        <v>45714</v>
      </c>
      <c r="W2115" t="s">
        <v>84</v>
      </c>
      <c r="X2115">
        <v>807956</v>
      </c>
      <c r="Y2115" t="s">
        <v>13800</v>
      </c>
      <c r="Z2115" t="s">
        <v>103</v>
      </c>
      <c r="AA2115" s="2" t="s">
        <v>13801</v>
      </c>
      <c r="AB2115" s="2" t="s">
        <v>13802</v>
      </c>
      <c r="AC2115" t="s">
        <v>13803</v>
      </c>
      <c r="AD2115" s="2" t="s">
        <v>13804</v>
      </c>
      <c r="AE2115">
        <v>12788</v>
      </c>
      <c r="AG2115" t="s">
        <v>13805</v>
      </c>
      <c r="AH2115" t="s">
        <v>1166</v>
      </c>
      <c r="AI2115" t="s">
        <v>13806</v>
      </c>
    </row>
    <row r="2116" spans="2:35" ht="105">
      <c r="B2116" s="1">
        <v>45721</v>
      </c>
      <c r="C2116" s="1">
        <v>45721</v>
      </c>
      <c r="D2116" t="s">
        <v>9179</v>
      </c>
      <c r="E2116" t="s">
        <v>13807</v>
      </c>
      <c r="F2116">
        <v>9</v>
      </c>
      <c r="G2116" t="s">
        <v>2197</v>
      </c>
      <c r="H2116" t="s">
        <v>39</v>
      </c>
      <c r="I2116" t="s">
        <v>40</v>
      </c>
      <c r="J2116" t="s">
        <v>109</v>
      </c>
      <c r="K2116" t="s">
        <v>42</v>
      </c>
      <c r="L2116" t="s">
        <v>1257</v>
      </c>
      <c r="N2116" t="s">
        <v>1258</v>
      </c>
      <c r="O2116" t="s">
        <v>1258</v>
      </c>
      <c r="Q2116">
        <v>30430</v>
      </c>
      <c r="R2116" t="s">
        <v>119</v>
      </c>
      <c r="S2116" t="s">
        <v>13808</v>
      </c>
      <c r="T2116">
        <v>28</v>
      </c>
      <c r="U2116" s="2" t="s">
        <v>8191</v>
      </c>
      <c r="V2116" s="1">
        <v>45721</v>
      </c>
      <c r="W2116" t="s">
        <v>2384</v>
      </c>
      <c r="X2116">
        <v>838443</v>
      </c>
      <c r="Y2116" t="s">
        <v>301</v>
      </c>
      <c r="Z2116" t="s">
        <v>13809</v>
      </c>
      <c r="AA2116" t="s">
        <v>13809</v>
      </c>
      <c r="AB2116" t="s">
        <v>7411</v>
      </c>
      <c r="AC2116" t="s">
        <v>301</v>
      </c>
      <c r="AD2116" t="s">
        <v>54</v>
      </c>
      <c r="AE2116" t="s">
        <v>54</v>
      </c>
      <c r="AG2116" t="s">
        <v>13810</v>
      </c>
      <c r="AH2116" t="s">
        <v>9183</v>
      </c>
      <c r="AI2116" t="s">
        <v>13811</v>
      </c>
    </row>
    <row r="2117" spans="2:35" ht="409.5">
      <c r="B2117" s="1">
        <v>45721</v>
      </c>
      <c r="C2117" s="1">
        <v>45721</v>
      </c>
      <c r="D2117" t="s">
        <v>2865</v>
      </c>
      <c r="E2117" t="s">
        <v>2835</v>
      </c>
      <c r="F2117">
        <v>11</v>
      </c>
      <c r="G2117" t="s">
        <v>2836</v>
      </c>
      <c r="H2117" t="s">
        <v>513</v>
      </c>
      <c r="I2117" t="s">
        <v>40</v>
      </c>
      <c r="J2117" t="s">
        <v>109</v>
      </c>
      <c r="K2117" t="s">
        <v>387</v>
      </c>
      <c r="L2117" t="s">
        <v>204</v>
      </c>
      <c r="N2117" t="s">
        <v>205</v>
      </c>
      <c r="O2117" t="s">
        <v>2867</v>
      </c>
      <c r="Q2117">
        <v>30429</v>
      </c>
      <c r="R2117" t="s">
        <v>95</v>
      </c>
      <c r="S2117" t="s">
        <v>13812</v>
      </c>
      <c r="T2117">
        <v>27.9</v>
      </c>
      <c r="W2117" t="s">
        <v>390</v>
      </c>
      <c r="X2117" t="s">
        <v>2869</v>
      </c>
      <c r="Y2117" t="s">
        <v>1052</v>
      </c>
      <c r="Z2117" s="2" t="s">
        <v>13813</v>
      </c>
      <c r="AA2117" t="s">
        <v>2551</v>
      </c>
      <c r="AB2117" t="s">
        <v>364</v>
      </c>
      <c r="AG2117" t="s">
        <v>13814</v>
      </c>
      <c r="AH2117" t="s">
        <v>13815</v>
      </c>
      <c r="AI2117" t="s">
        <v>13816</v>
      </c>
    </row>
    <row r="2118" spans="2:35" ht="409.5">
      <c r="B2118" s="1">
        <v>45721</v>
      </c>
      <c r="C2118" s="1">
        <v>45720</v>
      </c>
      <c r="D2118" t="s">
        <v>13817</v>
      </c>
      <c r="E2118" t="s">
        <v>4002</v>
      </c>
      <c r="F2118" t="s">
        <v>148</v>
      </c>
      <c r="G2118" t="s">
        <v>406</v>
      </c>
      <c r="H2118" t="s">
        <v>39</v>
      </c>
      <c r="I2118" t="s">
        <v>40</v>
      </c>
      <c r="J2118" t="s">
        <v>109</v>
      </c>
      <c r="K2118" t="s">
        <v>42</v>
      </c>
      <c r="L2118" t="s">
        <v>43</v>
      </c>
      <c r="N2118" t="s">
        <v>44</v>
      </c>
      <c r="O2118" t="s">
        <v>1091</v>
      </c>
      <c r="Q2118">
        <v>30428</v>
      </c>
      <c r="R2118" t="s">
        <v>95</v>
      </c>
      <c r="S2118" t="s">
        <v>5690</v>
      </c>
      <c r="T2118">
        <v>22</v>
      </c>
      <c r="U2118" s="2" t="s">
        <v>13818</v>
      </c>
      <c r="W2118" t="s">
        <v>153</v>
      </c>
      <c r="X2118">
        <v>120002383</v>
      </c>
      <c r="Y2118" t="s">
        <v>121</v>
      </c>
      <c r="Z2118" t="s">
        <v>122</v>
      </c>
      <c r="AA2118" s="2" t="s">
        <v>123</v>
      </c>
      <c r="AB2118" t="s">
        <v>548</v>
      </c>
      <c r="AG2118" t="s">
        <v>13819</v>
      </c>
      <c r="AH2118" t="s">
        <v>13820</v>
      </c>
      <c r="AI2118" t="s">
        <v>13821</v>
      </c>
    </row>
    <row r="2119" spans="2:35" ht="300">
      <c r="B2119" s="1">
        <v>45721</v>
      </c>
      <c r="C2119" s="1">
        <v>45720</v>
      </c>
      <c r="D2119" t="s">
        <v>13817</v>
      </c>
      <c r="E2119" t="s">
        <v>4002</v>
      </c>
      <c r="F2119" t="s">
        <v>148</v>
      </c>
      <c r="G2119" t="s">
        <v>406</v>
      </c>
      <c r="H2119" t="s">
        <v>39</v>
      </c>
      <c r="I2119" t="s">
        <v>40</v>
      </c>
      <c r="J2119" t="s">
        <v>109</v>
      </c>
      <c r="K2119" t="s">
        <v>387</v>
      </c>
      <c r="L2119" t="s">
        <v>43</v>
      </c>
      <c r="N2119" t="s">
        <v>44</v>
      </c>
      <c r="O2119" t="s">
        <v>1091</v>
      </c>
      <c r="Q2119">
        <v>30427</v>
      </c>
      <c r="R2119" t="s">
        <v>95</v>
      </c>
      <c r="S2119" t="s">
        <v>5701</v>
      </c>
      <c r="T2119">
        <v>22</v>
      </c>
      <c r="V2119" s="1">
        <v>45719</v>
      </c>
      <c r="W2119" t="s">
        <v>390</v>
      </c>
      <c r="X2119" t="s">
        <v>5702</v>
      </c>
      <c r="Y2119" s="2" t="s">
        <v>13822</v>
      </c>
      <c r="Z2119" t="s">
        <v>122</v>
      </c>
      <c r="AA2119" s="2" t="s">
        <v>13823</v>
      </c>
      <c r="AB2119" t="s">
        <v>88</v>
      </c>
      <c r="AD2119" t="s">
        <v>13824</v>
      </c>
      <c r="AE2119" t="s">
        <v>13825</v>
      </c>
      <c r="AG2119" t="s">
        <v>13826</v>
      </c>
      <c r="AH2119" t="s">
        <v>5705</v>
      </c>
      <c r="AI2119" t="s">
        <v>13827</v>
      </c>
    </row>
    <row r="2120" spans="2:35" ht="409.5">
      <c r="B2120" s="1">
        <v>45721</v>
      </c>
      <c r="C2120" s="1">
        <v>45720</v>
      </c>
      <c r="D2120" t="s">
        <v>13817</v>
      </c>
      <c r="E2120" t="s">
        <v>4002</v>
      </c>
      <c r="F2120" t="s">
        <v>148</v>
      </c>
      <c r="G2120" t="s">
        <v>406</v>
      </c>
      <c r="H2120" t="s">
        <v>39</v>
      </c>
      <c r="I2120" t="s">
        <v>40</v>
      </c>
      <c r="J2120" t="s">
        <v>109</v>
      </c>
      <c r="K2120" t="s">
        <v>42</v>
      </c>
      <c r="L2120" t="s">
        <v>43</v>
      </c>
      <c r="N2120" t="s">
        <v>44</v>
      </c>
      <c r="O2120" t="s">
        <v>1091</v>
      </c>
      <c r="Q2120">
        <v>30426</v>
      </c>
      <c r="R2120" t="s">
        <v>95</v>
      </c>
      <c r="S2120" t="s">
        <v>5690</v>
      </c>
      <c r="T2120">
        <v>22</v>
      </c>
      <c r="U2120" s="2" t="s">
        <v>13828</v>
      </c>
      <c r="W2120" t="s">
        <v>48</v>
      </c>
      <c r="X2120">
        <v>839231</v>
      </c>
      <c r="Y2120" t="s">
        <v>121</v>
      </c>
      <c r="Z2120" t="s">
        <v>122</v>
      </c>
      <c r="AA2120" s="2" t="s">
        <v>123</v>
      </c>
      <c r="AB2120" t="s">
        <v>13829</v>
      </c>
      <c r="AG2120" t="s">
        <v>13830</v>
      </c>
      <c r="AH2120" t="s">
        <v>13820</v>
      </c>
      <c r="AI2120" t="s">
        <v>13831</v>
      </c>
    </row>
    <row r="2121" spans="2:35" ht="210">
      <c r="B2121" s="1">
        <v>45720</v>
      </c>
      <c r="C2121" s="1">
        <v>45720</v>
      </c>
      <c r="D2121" t="s">
        <v>2221</v>
      </c>
      <c r="E2121" t="s">
        <v>13832</v>
      </c>
      <c r="F2121">
        <v>9</v>
      </c>
      <c r="G2121" t="s">
        <v>2197</v>
      </c>
      <c r="H2121" t="s">
        <v>39</v>
      </c>
      <c r="I2121" t="s">
        <v>40</v>
      </c>
      <c r="J2121" t="s">
        <v>109</v>
      </c>
      <c r="K2121" t="s">
        <v>42</v>
      </c>
      <c r="L2121" t="s">
        <v>1257</v>
      </c>
      <c r="N2121" t="s">
        <v>1258</v>
      </c>
      <c r="O2121" t="s">
        <v>1258</v>
      </c>
      <c r="Q2121">
        <v>30425</v>
      </c>
      <c r="R2121" t="s">
        <v>119</v>
      </c>
      <c r="S2121" t="s">
        <v>2224</v>
      </c>
      <c r="T2121">
        <v>27</v>
      </c>
      <c r="U2121" s="2" t="s">
        <v>13833</v>
      </c>
      <c r="V2121" s="1">
        <v>45720</v>
      </c>
      <c r="W2121" t="s">
        <v>2384</v>
      </c>
      <c r="X2121">
        <v>838204</v>
      </c>
      <c r="Y2121" t="s">
        <v>301</v>
      </c>
      <c r="Z2121" t="s">
        <v>13809</v>
      </c>
      <c r="AA2121" t="s">
        <v>13809</v>
      </c>
      <c r="AB2121" t="s">
        <v>7668</v>
      </c>
      <c r="AC2121" t="s">
        <v>13834</v>
      </c>
      <c r="AD2121" t="s">
        <v>54</v>
      </c>
      <c r="AE2121" t="s">
        <v>54</v>
      </c>
      <c r="AG2121" t="s">
        <v>13835</v>
      </c>
      <c r="AH2121" t="s">
        <v>2231</v>
      </c>
      <c r="AI2121" t="s">
        <v>13836</v>
      </c>
    </row>
    <row r="2122" spans="2:35" ht="315">
      <c r="B2122" s="1">
        <v>45720</v>
      </c>
      <c r="C2122" s="1">
        <v>45720</v>
      </c>
      <c r="D2122" t="s">
        <v>1316</v>
      </c>
      <c r="E2122" t="s">
        <v>13837</v>
      </c>
      <c r="F2122">
        <v>11</v>
      </c>
      <c r="G2122" t="s">
        <v>1205</v>
      </c>
      <c r="H2122" t="s">
        <v>1317</v>
      </c>
      <c r="I2122" t="s">
        <v>40</v>
      </c>
      <c r="J2122" s="2" t="s">
        <v>190</v>
      </c>
      <c r="K2122" t="s">
        <v>42</v>
      </c>
      <c r="L2122" t="s">
        <v>204</v>
      </c>
      <c r="N2122" t="s">
        <v>205</v>
      </c>
      <c r="Q2122">
        <v>30424</v>
      </c>
      <c r="R2122" t="s">
        <v>119</v>
      </c>
      <c r="S2122" t="s">
        <v>1318</v>
      </c>
      <c r="T2122">
        <v>25.8</v>
      </c>
      <c r="U2122" s="2" t="s">
        <v>13838</v>
      </c>
      <c r="W2122" t="s">
        <v>208</v>
      </c>
      <c r="X2122">
        <v>838262</v>
      </c>
      <c r="Y2122" s="2" t="s">
        <v>13839</v>
      </c>
      <c r="Z2122" s="2" t="s">
        <v>13840</v>
      </c>
      <c r="AA2122" t="s">
        <v>13841</v>
      </c>
      <c r="AB2122" s="2" t="s">
        <v>13842</v>
      </c>
      <c r="AC2122" t="s">
        <v>13843</v>
      </c>
      <c r="AG2122" t="s">
        <v>13844</v>
      </c>
      <c r="AH2122" t="s">
        <v>1325</v>
      </c>
      <c r="AI2122" t="s">
        <v>13845</v>
      </c>
    </row>
    <row r="2123" spans="2:35" ht="285">
      <c r="B2123" s="1">
        <v>45720</v>
      </c>
      <c r="C2123" s="1">
        <v>45720</v>
      </c>
      <c r="D2123" t="s">
        <v>1316</v>
      </c>
      <c r="E2123" t="s">
        <v>2916</v>
      </c>
      <c r="F2123">
        <v>11</v>
      </c>
      <c r="G2123" t="s">
        <v>1205</v>
      </c>
      <c r="H2123" t="s">
        <v>1317</v>
      </c>
      <c r="I2123" t="s">
        <v>40</v>
      </c>
      <c r="J2123" t="s">
        <v>109</v>
      </c>
      <c r="K2123" t="s">
        <v>42</v>
      </c>
      <c r="L2123" t="s">
        <v>204</v>
      </c>
      <c r="N2123" t="s">
        <v>205</v>
      </c>
      <c r="Q2123">
        <v>30423</v>
      </c>
      <c r="R2123" t="s">
        <v>322</v>
      </c>
      <c r="S2123" t="s">
        <v>1318</v>
      </c>
      <c r="T2123">
        <v>26.5</v>
      </c>
      <c r="U2123" s="2" t="s">
        <v>13846</v>
      </c>
      <c r="W2123" t="s">
        <v>208</v>
      </c>
      <c r="X2123">
        <v>839236</v>
      </c>
      <c r="Y2123" t="s">
        <v>1052</v>
      </c>
      <c r="Z2123" s="2" t="s">
        <v>1892</v>
      </c>
      <c r="AA2123" t="s">
        <v>2551</v>
      </c>
      <c r="AB2123" t="s">
        <v>10846</v>
      </c>
      <c r="AC2123" t="s">
        <v>13847</v>
      </c>
      <c r="AG2123" t="s">
        <v>13848</v>
      </c>
      <c r="AH2123" t="s">
        <v>1325</v>
      </c>
      <c r="AI2123" t="s">
        <v>13849</v>
      </c>
    </row>
    <row r="2124" spans="2:35" ht="240">
      <c r="B2124" s="1">
        <v>45720</v>
      </c>
      <c r="C2124" s="1">
        <v>45719</v>
      </c>
      <c r="D2124" t="s">
        <v>10218</v>
      </c>
      <c r="E2124" t="s">
        <v>13850</v>
      </c>
      <c r="F2124">
        <v>7</v>
      </c>
      <c r="G2124" t="s">
        <v>6529</v>
      </c>
      <c r="H2124" t="s">
        <v>39</v>
      </c>
      <c r="I2124" t="s">
        <v>40</v>
      </c>
      <c r="J2124" s="2" t="s">
        <v>41</v>
      </c>
      <c r="K2124" t="s">
        <v>42</v>
      </c>
      <c r="L2124" t="s">
        <v>433</v>
      </c>
      <c r="N2124" t="s">
        <v>434</v>
      </c>
      <c r="Q2124">
        <v>30422</v>
      </c>
      <c r="R2124" t="s">
        <v>119</v>
      </c>
      <c r="S2124" t="s">
        <v>10220</v>
      </c>
      <c r="T2124">
        <v>28</v>
      </c>
      <c r="W2124" t="s">
        <v>502</v>
      </c>
      <c r="X2124">
        <v>838396</v>
      </c>
      <c r="Y2124" t="s">
        <v>13851</v>
      </c>
      <c r="Z2124" s="2" t="s">
        <v>13852</v>
      </c>
      <c r="AA2124" s="2" t="s">
        <v>13852</v>
      </c>
      <c r="AB2124" t="s">
        <v>1011</v>
      </c>
      <c r="AG2124" t="s">
        <v>13853</v>
      </c>
      <c r="AH2124" t="s">
        <v>13854</v>
      </c>
      <c r="AI2124" t="s">
        <v>13855</v>
      </c>
    </row>
    <row r="2125" spans="2:35" ht="225">
      <c r="B2125" s="1">
        <v>45719</v>
      </c>
      <c r="C2125" s="1">
        <v>45713</v>
      </c>
      <c r="D2125" t="s">
        <v>13856</v>
      </c>
      <c r="E2125" t="s">
        <v>13857</v>
      </c>
      <c r="F2125" t="s">
        <v>1255</v>
      </c>
      <c r="G2125" t="s">
        <v>1887</v>
      </c>
      <c r="H2125" t="s">
        <v>1473</v>
      </c>
      <c r="I2125" t="s">
        <v>40</v>
      </c>
      <c r="J2125" t="s">
        <v>109</v>
      </c>
      <c r="K2125" t="s">
        <v>42</v>
      </c>
      <c r="L2125" t="s">
        <v>296</v>
      </c>
      <c r="N2125" t="s">
        <v>297</v>
      </c>
      <c r="Q2125">
        <v>30421</v>
      </c>
      <c r="R2125" t="s">
        <v>119</v>
      </c>
      <c r="S2125" t="s">
        <v>13858</v>
      </c>
      <c r="T2125">
        <v>25.6</v>
      </c>
      <c r="U2125" s="2" t="s">
        <v>13859</v>
      </c>
      <c r="W2125" t="s">
        <v>981</v>
      </c>
      <c r="X2125">
        <v>838205</v>
      </c>
      <c r="Y2125" t="s">
        <v>301</v>
      </c>
      <c r="Z2125" s="2" t="s">
        <v>13325</v>
      </c>
      <c r="AA2125" t="s">
        <v>303</v>
      </c>
      <c r="AB2125" t="s">
        <v>972</v>
      </c>
      <c r="AG2125" t="s">
        <v>13860</v>
      </c>
      <c r="AH2125" t="s">
        <v>13861</v>
      </c>
      <c r="AI2125" t="s">
        <v>13862</v>
      </c>
    </row>
    <row r="2126" spans="2:35">
      <c r="B2126" s="1">
        <v>45719</v>
      </c>
      <c r="C2126" s="1">
        <v>45719</v>
      </c>
      <c r="D2126" t="s">
        <v>13863</v>
      </c>
      <c r="E2126" t="s">
        <v>1555</v>
      </c>
      <c r="F2126">
        <v>7</v>
      </c>
      <c r="G2126" t="s">
        <v>432</v>
      </c>
      <c r="H2126" t="s">
        <v>258</v>
      </c>
      <c r="I2126" t="s">
        <v>40</v>
      </c>
      <c r="J2126" t="s">
        <v>957</v>
      </c>
      <c r="K2126" t="s">
        <v>42</v>
      </c>
      <c r="L2126" t="s">
        <v>594</v>
      </c>
      <c r="N2126" t="s">
        <v>595</v>
      </c>
      <c r="O2126" t="s">
        <v>595</v>
      </c>
      <c r="Q2126">
        <v>30420</v>
      </c>
      <c r="R2126" t="s">
        <v>119</v>
      </c>
      <c r="S2126" t="s">
        <v>1818</v>
      </c>
      <c r="T2126">
        <v>23</v>
      </c>
      <c r="V2126" s="1">
        <v>45719</v>
      </c>
      <c r="W2126" t="s">
        <v>360</v>
      </c>
      <c r="X2126">
        <v>838263</v>
      </c>
      <c r="Y2126" t="s">
        <v>13864</v>
      </c>
      <c r="Z2126" t="s">
        <v>957</v>
      </c>
      <c r="AA2126" t="s">
        <v>13865</v>
      </c>
      <c r="AB2126" t="s">
        <v>13866</v>
      </c>
      <c r="AG2126" t="s">
        <v>13867</v>
      </c>
      <c r="AH2126" t="s">
        <v>4234</v>
      </c>
      <c r="AI2126" t="s">
        <v>13868</v>
      </c>
    </row>
    <row r="2127" spans="2:35" ht="285">
      <c r="B2127" s="1">
        <v>45719</v>
      </c>
      <c r="C2127" s="1">
        <v>45715</v>
      </c>
      <c r="D2127" t="s">
        <v>2233</v>
      </c>
      <c r="E2127" t="s">
        <v>2234</v>
      </c>
      <c r="F2127">
        <v>7</v>
      </c>
      <c r="G2127" t="s">
        <v>432</v>
      </c>
      <c r="H2127" t="s">
        <v>258</v>
      </c>
      <c r="I2127" t="s">
        <v>40</v>
      </c>
      <c r="J2127" t="s">
        <v>109</v>
      </c>
      <c r="K2127" t="s">
        <v>42</v>
      </c>
      <c r="L2127" t="s">
        <v>594</v>
      </c>
      <c r="N2127" t="s">
        <v>595</v>
      </c>
      <c r="O2127" t="s">
        <v>595</v>
      </c>
      <c r="Q2127">
        <v>30419</v>
      </c>
      <c r="R2127" t="s">
        <v>119</v>
      </c>
      <c r="S2127" t="s">
        <v>2235</v>
      </c>
      <c r="T2127">
        <v>23</v>
      </c>
      <c r="V2127" s="1">
        <v>45715</v>
      </c>
      <c r="W2127" t="s">
        <v>360</v>
      </c>
      <c r="X2127">
        <v>838231</v>
      </c>
      <c r="Y2127" s="2" t="s">
        <v>13869</v>
      </c>
      <c r="Z2127" s="2" t="s">
        <v>13870</v>
      </c>
      <c r="AA2127" s="2" t="s">
        <v>13871</v>
      </c>
      <c r="AB2127" s="2" t="s">
        <v>13872</v>
      </c>
      <c r="AG2127" t="s">
        <v>13873</v>
      </c>
      <c r="AH2127" t="s">
        <v>2241</v>
      </c>
      <c r="AI2127" t="s">
        <v>13874</v>
      </c>
    </row>
    <row r="2128" spans="2:35" ht="390">
      <c r="B2128" s="1">
        <v>45719</v>
      </c>
      <c r="C2128" s="1">
        <v>45716</v>
      </c>
      <c r="D2128" t="s">
        <v>11087</v>
      </c>
      <c r="E2128" t="s">
        <v>11088</v>
      </c>
      <c r="F2128">
        <v>1</v>
      </c>
      <c r="G2128" t="s">
        <v>4938</v>
      </c>
      <c r="H2128" t="s">
        <v>39</v>
      </c>
      <c r="I2128" t="s">
        <v>40</v>
      </c>
      <c r="J2128" s="2" t="s">
        <v>41</v>
      </c>
      <c r="K2128" t="s">
        <v>42</v>
      </c>
      <c r="L2128" t="s">
        <v>1048</v>
      </c>
      <c r="N2128" t="s">
        <v>1049</v>
      </c>
      <c r="Q2128">
        <v>30418</v>
      </c>
      <c r="R2128" t="s">
        <v>119</v>
      </c>
      <c r="S2128" t="s">
        <v>11089</v>
      </c>
      <c r="T2128">
        <v>30</v>
      </c>
      <c r="V2128" s="1">
        <v>45708</v>
      </c>
      <c r="W2128" t="s">
        <v>1051</v>
      </c>
      <c r="X2128">
        <v>838274</v>
      </c>
      <c r="Y2128" t="s">
        <v>13875</v>
      </c>
      <c r="Z2128" s="2" t="s">
        <v>13876</v>
      </c>
      <c r="AA2128" t="s">
        <v>13877</v>
      </c>
      <c r="AB2128" t="s">
        <v>1428</v>
      </c>
      <c r="AD2128" s="2" t="s">
        <v>13878</v>
      </c>
      <c r="AE2128" t="s">
        <v>13879</v>
      </c>
      <c r="AG2128" t="s">
        <v>13880</v>
      </c>
      <c r="AH2128" t="s">
        <v>13881</v>
      </c>
      <c r="AI2128" t="s">
        <v>13882</v>
      </c>
    </row>
    <row r="2129" spans="2:35" ht="409.5">
      <c r="B2129" s="1">
        <v>45719</v>
      </c>
      <c r="C2129" s="1">
        <v>45715</v>
      </c>
      <c r="D2129" t="s">
        <v>1081</v>
      </c>
      <c r="E2129" t="s">
        <v>1082</v>
      </c>
      <c r="F2129" t="s">
        <v>148</v>
      </c>
      <c r="G2129" t="s">
        <v>785</v>
      </c>
      <c r="H2129" t="s">
        <v>39</v>
      </c>
      <c r="I2129" t="s">
        <v>40</v>
      </c>
      <c r="J2129" t="s">
        <v>109</v>
      </c>
      <c r="K2129" t="s">
        <v>42</v>
      </c>
      <c r="L2129" t="s">
        <v>43</v>
      </c>
      <c r="N2129" t="s">
        <v>44</v>
      </c>
      <c r="Q2129">
        <v>30417</v>
      </c>
      <c r="R2129" t="s">
        <v>95</v>
      </c>
      <c r="S2129" t="s">
        <v>2016</v>
      </c>
      <c r="T2129">
        <v>22</v>
      </c>
      <c r="U2129" s="2" t="s">
        <v>13883</v>
      </c>
      <c r="W2129" t="s">
        <v>5136</v>
      </c>
      <c r="X2129">
        <v>110015767</v>
      </c>
      <c r="Y2129" t="s">
        <v>3891</v>
      </c>
      <c r="Z2129" t="s">
        <v>122</v>
      </c>
      <c r="AA2129" s="2" t="s">
        <v>13884</v>
      </c>
      <c r="AB2129" t="s">
        <v>13885</v>
      </c>
      <c r="AG2129" t="s">
        <v>13886</v>
      </c>
      <c r="AH2129" t="s">
        <v>9532</v>
      </c>
      <c r="AI2129" t="s">
        <v>13887</v>
      </c>
    </row>
    <row r="2130" spans="2:35" ht="225">
      <c r="B2130" s="1">
        <v>45719</v>
      </c>
      <c r="C2130" s="1">
        <v>45716</v>
      </c>
      <c r="D2130" t="s">
        <v>2264</v>
      </c>
      <c r="E2130" t="s">
        <v>5505</v>
      </c>
      <c r="F2130" t="s">
        <v>148</v>
      </c>
      <c r="G2130" t="s">
        <v>2007</v>
      </c>
      <c r="H2130" t="s">
        <v>39</v>
      </c>
      <c r="I2130" t="s">
        <v>40</v>
      </c>
      <c r="J2130" t="s">
        <v>109</v>
      </c>
      <c r="K2130" t="s">
        <v>42</v>
      </c>
      <c r="L2130" t="s">
        <v>43</v>
      </c>
      <c r="N2130" t="s">
        <v>44</v>
      </c>
      <c r="O2130" t="s">
        <v>13888</v>
      </c>
      <c r="Q2130">
        <v>30416</v>
      </c>
      <c r="R2130" t="s">
        <v>95</v>
      </c>
      <c r="S2130" t="s">
        <v>13889</v>
      </c>
      <c r="T2130">
        <v>22</v>
      </c>
      <c r="U2130" s="2" t="s">
        <v>13890</v>
      </c>
      <c r="W2130" t="s">
        <v>153</v>
      </c>
      <c r="X2130">
        <v>110023460</v>
      </c>
      <c r="Y2130" t="s">
        <v>121</v>
      </c>
      <c r="Z2130" t="s">
        <v>122</v>
      </c>
      <c r="AA2130" s="2" t="s">
        <v>9744</v>
      </c>
      <c r="AB2130" t="s">
        <v>548</v>
      </c>
      <c r="AG2130" t="s">
        <v>13891</v>
      </c>
      <c r="AH2130" t="s">
        <v>13892</v>
      </c>
      <c r="AI2130" t="s">
        <v>13893</v>
      </c>
    </row>
    <row r="2131" spans="2:35" ht="105">
      <c r="B2131" s="1">
        <v>45719</v>
      </c>
      <c r="C2131" s="1">
        <v>45715</v>
      </c>
      <c r="D2131" t="s">
        <v>7254</v>
      </c>
      <c r="E2131" t="s">
        <v>7255</v>
      </c>
      <c r="F2131">
        <v>1</v>
      </c>
      <c r="G2131" t="s">
        <v>2599</v>
      </c>
      <c r="H2131" t="s">
        <v>39</v>
      </c>
      <c r="I2131" t="s">
        <v>40</v>
      </c>
      <c r="J2131" t="s">
        <v>109</v>
      </c>
      <c r="K2131" t="s">
        <v>42</v>
      </c>
      <c r="L2131" t="s">
        <v>1048</v>
      </c>
      <c r="N2131" t="s">
        <v>1049</v>
      </c>
      <c r="Q2131">
        <v>30415</v>
      </c>
      <c r="R2131" t="s">
        <v>119</v>
      </c>
      <c r="S2131" t="s">
        <v>7256</v>
      </c>
      <c r="T2131">
        <v>29</v>
      </c>
      <c r="U2131" s="2" t="s">
        <v>13894</v>
      </c>
      <c r="W2131" t="s">
        <v>1051</v>
      </c>
      <c r="X2131">
        <v>838416</v>
      </c>
      <c r="Y2131" t="s">
        <v>1052</v>
      </c>
      <c r="Z2131" t="e">
        <f ca="1">- cleaned cartridge Bays, plunger Rods _xludf.and I-CORE
- performed Preventive Maintenance</f>
        <v>#NAME?</v>
      </c>
      <c r="AA2131" t="s">
        <v>820</v>
      </c>
      <c r="AB2131" t="s">
        <v>1428</v>
      </c>
      <c r="AG2131" t="s">
        <v>13895</v>
      </c>
      <c r="AH2131" t="s">
        <v>11075</v>
      </c>
      <c r="AI2131" t="s">
        <v>13896</v>
      </c>
    </row>
    <row r="2132" spans="2:35" ht="105">
      <c r="B2132" s="1">
        <v>45719</v>
      </c>
      <c r="C2132" s="1">
        <v>45715</v>
      </c>
      <c r="D2132" t="s">
        <v>13897</v>
      </c>
      <c r="E2132" t="s">
        <v>13898</v>
      </c>
      <c r="F2132">
        <v>1</v>
      </c>
      <c r="G2132" t="s">
        <v>2599</v>
      </c>
      <c r="H2132" t="s">
        <v>39</v>
      </c>
      <c r="I2132" t="s">
        <v>40</v>
      </c>
      <c r="J2132" t="s">
        <v>109</v>
      </c>
      <c r="K2132" t="s">
        <v>42</v>
      </c>
      <c r="L2132" t="s">
        <v>1048</v>
      </c>
      <c r="N2132" t="s">
        <v>1049</v>
      </c>
      <c r="Q2132">
        <v>30414</v>
      </c>
      <c r="R2132" t="s">
        <v>703</v>
      </c>
      <c r="S2132" t="s">
        <v>13899</v>
      </c>
      <c r="T2132">
        <v>25</v>
      </c>
      <c r="U2132" s="2" t="s">
        <v>13900</v>
      </c>
      <c r="W2132" t="s">
        <v>1051</v>
      </c>
      <c r="X2132">
        <v>835542</v>
      </c>
      <c r="Y2132" t="s">
        <v>1052</v>
      </c>
      <c r="Z2132" t="e">
        <f ca="1">- cleaned cartridge Bays,plunger Rods _xludf.and I-CORE
- generated reports</f>
        <v>#NAME?</v>
      </c>
      <c r="AA2132" t="s">
        <v>820</v>
      </c>
      <c r="AB2132" t="s">
        <v>1428</v>
      </c>
      <c r="AG2132" t="s">
        <v>13901</v>
      </c>
      <c r="AH2132" t="s">
        <v>13902</v>
      </c>
      <c r="AI2132" t="s">
        <v>13903</v>
      </c>
    </row>
    <row r="2133" spans="2:35" ht="105">
      <c r="B2133" s="1">
        <v>45719</v>
      </c>
      <c r="C2133" s="1">
        <v>45715</v>
      </c>
      <c r="D2133" t="s">
        <v>7248</v>
      </c>
      <c r="E2133" t="s">
        <v>11082</v>
      </c>
      <c r="F2133">
        <v>1</v>
      </c>
      <c r="G2133" t="s">
        <v>1922</v>
      </c>
      <c r="H2133" t="s">
        <v>39</v>
      </c>
      <c r="I2133" t="s">
        <v>40</v>
      </c>
      <c r="J2133" s="2" t="s">
        <v>190</v>
      </c>
      <c r="K2133" t="s">
        <v>42</v>
      </c>
      <c r="L2133" t="s">
        <v>1048</v>
      </c>
      <c r="N2133" t="s">
        <v>1049</v>
      </c>
      <c r="Q2133">
        <v>30413</v>
      </c>
      <c r="R2133" t="s">
        <v>119</v>
      </c>
      <c r="S2133" t="s">
        <v>7250</v>
      </c>
      <c r="T2133">
        <v>30</v>
      </c>
      <c r="U2133" s="2" t="s">
        <v>13904</v>
      </c>
      <c r="W2133" t="s">
        <v>1051</v>
      </c>
      <c r="X2133">
        <v>838277</v>
      </c>
      <c r="Y2133" t="s">
        <v>7984</v>
      </c>
      <c r="Z2133" t="e">
        <f ca="1">- cleaned cartridge Bays, plunger Rods _xludf.and I-CORE
- generated reports</f>
        <v>#NAME?</v>
      </c>
      <c r="AA2133" t="s">
        <v>7985</v>
      </c>
      <c r="AB2133" s="2" t="s">
        <v>13905</v>
      </c>
      <c r="AG2133" t="s">
        <v>13906</v>
      </c>
      <c r="AH2133" t="s">
        <v>13907</v>
      </c>
      <c r="AI2133" t="s">
        <v>13908</v>
      </c>
    </row>
    <row r="2134" spans="2:35" ht="90">
      <c r="B2134" s="1">
        <v>45719</v>
      </c>
      <c r="C2134" s="1">
        <v>45713</v>
      </c>
      <c r="D2134" t="s">
        <v>3732</v>
      </c>
      <c r="E2134" t="s">
        <v>3733</v>
      </c>
      <c r="F2134">
        <v>1</v>
      </c>
      <c r="G2134" t="s">
        <v>1046</v>
      </c>
      <c r="H2134" t="s">
        <v>1047</v>
      </c>
      <c r="I2134" t="s">
        <v>40</v>
      </c>
      <c r="J2134" t="s">
        <v>525</v>
      </c>
      <c r="K2134" t="s">
        <v>42</v>
      </c>
      <c r="L2134" t="s">
        <v>1048</v>
      </c>
      <c r="N2134" t="s">
        <v>1049</v>
      </c>
      <c r="Q2134">
        <v>30412</v>
      </c>
      <c r="R2134" t="s">
        <v>119</v>
      </c>
      <c r="S2134" t="s">
        <v>3734</v>
      </c>
      <c r="T2134">
        <v>22</v>
      </c>
      <c r="U2134" s="2" t="s">
        <v>13909</v>
      </c>
      <c r="W2134" t="s">
        <v>1051</v>
      </c>
      <c r="X2134">
        <v>838473</v>
      </c>
      <c r="Y2134" t="s">
        <v>1934</v>
      </c>
      <c r="Z2134" t="e">
        <f ca="1">- temporarily swapped Gatewayboard</f>
        <v>#NAME?</v>
      </c>
      <c r="AA2134" t="s">
        <v>1935</v>
      </c>
      <c r="AB2134" t="s">
        <v>13910</v>
      </c>
      <c r="AG2134" t="s">
        <v>13911</v>
      </c>
      <c r="AH2134" t="s">
        <v>7274</v>
      </c>
      <c r="AI2134" t="s">
        <v>13912</v>
      </c>
    </row>
    <row r="2135" spans="2:35" ht="105">
      <c r="B2135" s="1">
        <v>45719</v>
      </c>
      <c r="C2135" s="1">
        <v>45715</v>
      </c>
      <c r="D2135" t="s">
        <v>7264</v>
      </c>
      <c r="E2135" t="s">
        <v>7265</v>
      </c>
      <c r="F2135">
        <v>1</v>
      </c>
      <c r="G2135" t="s">
        <v>1046</v>
      </c>
      <c r="H2135" t="s">
        <v>1047</v>
      </c>
      <c r="I2135" t="s">
        <v>40</v>
      </c>
      <c r="J2135" t="s">
        <v>109</v>
      </c>
      <c r="K2135" t="s">
        <v>42</v>
      </c>
      <c r="L2135" t="s">
        <v>1048</v>
      </c>
      <c r="N2135" t="s">
        <v>1049</v>
      </c>
      <c r="Q2135">
        <v>30411</v>
      </c>
      <c r="R2135" t="s">
        <v>119</v>
      </c>
      <c r="S2135" t="s">
        <v>7266</v>
      </c>
      <c r="T2135">
        <v>26</v>
      </c>
      <c r="U2135" s="2" t="s">
        <v>13913</v>
      </c>
      <c r="W2135" t="s">
        <v>1051</v>
      </c>
      <c r="X2135">
        <v>838270</v>
      </c>
      <c r="Y2135" t="s">
        <v>1052</v>
      </c>
      <c r="Z2135" t="e">
        <f ca="1">- cleaned cartridge Bays, plunger Rods _xludf.and I-CORE
- generated reports</f>
        <v>#NAME?</v>
      </c>
      <c r="AA2135" t="s">
        <v>820</v>
      </c>
      <c r="AB2135" t="s">
        <v>1428</v>
      </c>
      <c r="AG2135" t="s">
        <v>13914</v>
      </c>
      <c r="AH2135" t="s">
        <v>13915</v>
      </c>
      <c r="AI2135" t="s">
        <v>13916</v>
      </c>
    </row>
    <row r="2136" spans="2:35" ht="330">
      <c r="B2136" s="1">
        <v>45719</v>
      </c>
      <c r="C2136" s="1">
        <v>45713</v>
      </c>
      <c r="D2136" t="s">
        <v>1057</v>
      </c>
      <c r="E2136" t="s">
        <v>1058</v>
      </c>
      <c r="F2136">
        <v>1</v>
      </c>
      <c r="G2136" t="s">
        <v>1046</v>
      </c>
      <c r="H2136" t="s">
        <v>39</v>
      </c>
      <c r="I2136" t="s">
        <v>40</v>
      </c>
      <c r="J2136" s="2" t="s">
        <v>190</v>
      </c>
      <c r="K2136" t="s">
        <v>42</v>
      </c>
      <c r="L2136" t="s">
        <v>1048</v>
      </c>
      <c r="N2136" t="s">
        <v>1049</v>
      </c>
      <c r="Q2136">
        <v>30410</v>
      </c>
      <c r="R2136" t="s">
        <v>119</v>
      </c>
      <c r="S2136" t="s">
        <v>1059</v>
      </c>
      <c r="T2136">
        <v>30</v>
      </c>
      <c r="U2136" s="2" t="s">
        <v>13917</v>
      </c>
      <c r="W2136" t="s">
        <v>1060</v>
      </c>
      <c r="X2136">
        <v>820303</v>
      </c>
      <c r="Y2136" t="s">
        <v>13918</v>
      </c>
      <c r="Z2136" t="e">
        <f ca="1">- cleaned cartridge Bays, plunger Rods _xludf.and I-CORE
- generated reports</f>
        <v>#NAME?</v>
      </c>
      <c r="AA2136" t="s">
        <v>1935</v>
      </c>
      <c r="AB2136" s="2" t="s">
        <v>13919</v>
      </c>
      <c r="AG2136" t="s">
        <v>13920</v>
      </c>
      <c r="AH2136" t="s">
        <v>3393</v>
      </c>
      <c r="AI2136" t="s">
        <v>13921</v>
      </c>
    </row>
    <row r="2137" spans="2:35" ht="105">
      <c r="B2137" s="1">
        <v>45719</v>
      </c>
      <c r="C2137" s="1">
        <v>45713</v>
      </c>
      <c r="D2137" t="s">
        <v>3732</v>
      </c>
      <c r="E2137" t="s">
        <v>3733</v>
      </c>
      <c r="F2137">
        <v>1</v>
      </c>
      <c r="G2137" t="s">
        <v>1046</v>
      </c>
      <c r="H2137" t="s">
        <v>1047</v>
      </c>
      <c r="I2137" t="s">
        <v>40</v>
      </c>
      <c r="J2137" t="s">
        <v>525</v>
      </c>
      <c r="K2137" t="s">
        <v>42</v>
      </c>
      <c r="L2137" t="s">
        <v>1048</v>
      </c>
      <c r="N2137" t="s">
        <v>1049</v>
      </c>
      <c r="Q2137">
        <v>30409</v>
      </c>
      <c r="R2137" t="s">
        <v>119</v>
      </c>
      <c r="S2137" t="s">
        <v>3734</v>
      </c>
      <c r="T2137">
        <v>22</v>
      </c>
      <c r="U2137" s="2" t="s">
        <v>13922</v>
      </c>
      <c r="W2137" t="s">
        <v>1051</v>
      </c>
      <c r="X2137">
        <v>838473</v>
      </c>
      <c r="Y2137" t="s">
        <v>13923</v>
      </c>
      <c r="Z2137" t="e">
        <f ca="1">- temporarily swapped Gatewayboard</f>
        <v>#NAME?</v>
      </c>
      <c r="AA2137" t="s">
        <v>1935</v>
      </c>
      <c r="AB2137" t="s">
        <v>13924</v>
      </c>
      <c r="AG2137" t="s">
        <v>13925</v>
      </c>
      <c r="AH2137" t="s">
        <v>7274</v>
      </c>
      <c r="AI2137" t="s">
        <v>13926</v>
      </c>
    </row>
    <row r="2138" spans="2:35" ht="409.5">
      <c r="B2138" s="1">
        <v>45719</v>
      </c>
      <c r="C2138" s="1">
        <v>45719</v>
      </c>
      <c r="D2138" t="s">
        <v>7826</v>
      </c>
      <c r="E2138" t="s">
        <v>7827</v>
      </c>
      <c r="F2138">
        <v>11</v>
      </c>
      <c r="G2138" t="s">
        <v>1759</v>
      </c>
      <c r="H2138" t="s">
        <v>202</v>
      </c>
      <c r="I2138" t="s">
        <v>40</v>
      </c>
      <c r="J2138" s="2" t="s">
        <v>41</v>
      </c>
      <c r="K2138" t="s">
        <v>42</v>
      </c>
      <c r="L2138" t="s">
        <v>204</v>
      </c>
      <c r="N2138" t="s">
        <v>205</v>
      </c>
      <c r="Q2138">
        <v>30408</v>
      </c>
      <c r="R2138" t="s">
        <v>119</v>
      </c>
      <c r="S2138" t="s">
        <v>7828</v>
      </c>
      <c r="T2138">
        <v>25.9</v>
      </c>
      <c r="U2138" s="2" t="s">
        <v>13927</v>
      </c>
      <c r="V2138" s="1">
        <v>45706</v>
      </c>
      <c r="W2138" t="s">
        <v>208</v>
      </c>
      <c r="X2138">
        <v>838487</v>
      </c>
      <c r="Y2138" s="2" t="s">
        <v>13928</v>
      </c>
      <c r="Z2138" s="2" t="s">
        <v>13929</v>
      </c>
      <c r="AA2138" t="s">
        <v>13930</v>
      </c>
      <c r="AB2138" s="2" t="s">
        <v>13931</v>
      </c>
      <c r="AD2138" t="s">
        <v>13932</v>
      </c>
      <c r="AE2138" t="s">
        <v>13933</v>
      </c>
      <c r="AG2138" t="s">
        <v>13934</v>
      </c>
      <c r="AH2138" t="s">
        <v>13935</v>
      </c>
      <c r="AI2138" t="s">
        <v>13936</v>
      </c>
    </row>
    <row r="2139" spans="2:35" ht="240">
      <c r="B2139" s="1">
        <v>45719</v>
      </c>
      <c r="C2139" s="1">
        <v>45716</v>
      </c>
      <c r="D2139" t="s">
        <v>13937</v>
      </c>
      <c r="E2139" t="s">
        <v>13938</v>
      </c>
      <c r="F2139" t="s">
        <v>37</v>
      </c>
      <c r="G2139" t="s">
        <v>748</v>
      </c>
      <c r="H2139" t="s">
        <v>39</v>
      </c>
      <c r="I2139" t="s">
        <v>40</v>
      </c>
      <c r="J2139" t="s">
        <v>109</v>
      </c>
      <c r="K2139" t="s">
        <v>42</v>
      </c>
      <c r="L2139" t="s">
        <v>1028</v>
      </c>
      <c r="N2139" t="s">
        <v>1029</v>
      </c>
      <c r="Q2139">
        <v>30406</v>
      </c>
      <c r="R2139" t="s">
        <v>703</v>
      </c>
      <c r="S2139" t="s">
        <v>13939</v>
      </c>
      <c r="T2139">
        <v>22</v>
      </c>
      <c r="U2139" s="2" t="s">
        <v>13940</v>
      </c>
      <c r="W2139" t="s">
        <v>3299</v>
      </c>
      <c r="X2139">
        <v>842166</v>
      </c>
      <c r="Y2139" t="s">
        <v>1978</v>
      </c>
      <c r="Z2139" t="s">
        <v>1548</v>
      </c>
      <c r="AA2139" s="2" t="s">
        <v>13941</v>
      </c>
      <c r="AB2139" t="s">
        <v>13942</v>
      </c>
      <c r="AG2139" t="s">
        <v>13943</v>
      </c>
      <c r="AH2139" t="s">
        <v>13944</v>
      </c>
      <c r="AI2139" t="s">
        <v>13945</v>
      </c>
    </row>
    <row r="2140" spans="2:35" ht="240">
      <c r="B2140" s="1">
        <v>45719</v>
      </c>
      <c r="C2140" s="1">
        <v>45716</v>
      </c>
      <c r="D2140" t="s">
        <v>13937</v>
      </c>
      <c r="E2140" t="s">
        <v>13938</v>
      </c>
      <c r="F2140" t="s">
        <v>37</v>
      </c>
      <c r="G2140" t="s">
        <v>748</v>
      </c>
      <c r="H2140" t="s">
        <v>39</v>
      </c>
      <c r="I2140" t="s">
        <v>40</v>
      </c>
      <c r="J2140" t="s">
        <v>109</v>
      </c>
      <c r="K2140" t="s">
        <v>42</v>
      </c>
      <c r="L2140" t="s">
        <v>1028</v>
      </c>
      <c r="N2140" t="s">
        <v>1029</v>
      </c>
      <c r="Q2140">
        <v>30407</v>
      </c>
      <c r="R2140" t="s">
        <v>703</v>
      </c>
      <c r="S2140" t="s">
        <v>13946</v>
      </c>
      <c r="T2140">
        <v>25</v>
      </c>
      <c r="W2140" t="s">
        <v>13947</v>
      </c>
      <c r="X2140">
        <v>110012951</v>
      </c>
      <c r="Y2140" t="s">
        <v>1978</v>
      </c>
      <c r="Z2140" t="s">
        <v>1548</v>
      </c>
      <c r="AA2140" s="2" t="s">
        <v>13948</v>
      </c>
      <c r="AB2140" t="s">
        <v>3300</v>
      </c>
      <c r="AG2140" t="s">
        <v>13949</v>
      </c>
      <c r="AH2140" t="s">
        <v>13950</v>
      </c>
      <c r="AI2140" t="s">
        <v>13951</v>
      </c>
    </row>
    <row r="2141" spans="2:35" ht="240">
      <c r="B2141" s="1">
        <v>45719</v>
      </c>
      <c r="C2141" s="1">
        <v>45716</v>
      </c>
      <c r="D2141" t="s">
        <v>13937</v>
      </c>
      <c r="E2141" t="s">
        <v>13938</v>
      </c>
      <c r="F2141" t="s">
        <v>37</v>
      </c>
      <c r="G2141" t="s">
        <v>748</v>
      </c>
      <c r="H2141" t="s">
        <v>39</v>
      </c>
      <c r="I2141" t="s">
        <v>40</v>
      </c>
      <c r="J2141" t="s">
        <v>109</v>
      </c>
      <c r="K2141" t="s">
        <v>42</v>
      </c>
      <c r="L2141" t="s">
        <v>1028</v>
      </c>
      <c r="N2141" t="s">
        <v>1029</v>
      </c>
      <c r="Q2141">
        <v>30405</v>
      </c>
      <c r="R2141" t="s">
        <v>703</v>
      </c>
      <c r="S2141" t="s">
        <v>13939</v>
      </c>
      <c r="T2141">
        <v>25</v>
      </c>
      <c r="U2141" s="2" t="s">
        <v>13952</v>
      </c>
      <c r="W2141" t="s">
        <v>1967</v>
      </c>
      <c r="X2141">
        <v>812380</v>
      </c>
      <c r="Y2141" t="s">
        <v>1978</v>
      </c>
      <c r="Z2141" t="s">
        <v>1548</v>
      </c>
      <c r="AA2141" s="2" t="s">
        <v>1979</v>
      </c>
      <c r="AB2141" t="s">
        <v>13953</v>
      </c>
      <c r="AG2141" t="s">
        <v>13954</v>
      </c>
      <c r="AH2141" t="s">
        <v>13944</v>
      </c>
      <c r="AI2141" t="s">
        <v>13955</v>
      </c>
    </row>
    <row r="2142" spans="2:35" ht="225">
      <c r="B2142" s="1">
        <v>45719</v>
      </c>
      <c r="C2142" s="1">
        <v>45716</v>
      </c>
      <c r="D2142" t="s">
        <v>4259</v>
      </c>
      <c r="E2142" t="s">
        <v>13575</v>
      </c>
      <c r="F2142" t="s">
        <v>148</v>
      </c>
      <c r="G2142" t="s">
        <v>2007</v>
      </c>
      <c r="H2142" t="s">
        <v>39</v>
      </c>
      <c r="I2142" t="s">
        <v>40</v>
      </c>
      <c r="J2142" t="s">
        <v>109</v>
      </c>
      <c r="K2142" t="s">
        <v>42</v>
      </c>
      <c r="L2142" t="s">
        <v>448</v>
      </c>
      <c r="N2142" t="s">
        <v>450</v>
      </c>
      <c r="Q2142">
        <v>30404</v>
      </c>
      <c r="R2142" t="s">
        <v>703</v>
      </c>
      <c r="S2142" t="s">
        <v>4261</v>
      </c>
      <c r="T2142">
        <v>27</v>
      </c>
      <c r="U2142" s="2" t="s">
        <v>13956</v>
      </c>
      <c r="W2142" t="s">
        <v>13957</v>
      </c>
      <c r="X2142">
        <v>812560</v>
      </c>
      <c r="Y2142" s="2" t="s">
        <v>13958</v>
      </c>
      <c r="Z2142" s="2" t="s">
        <v>13693</v>
      </c>
      <c r="AA2142" t="s">
        <v>122</v>
      </c>
      <c r="AB2142" t="s">
        <v>13959</v>
      </c>
      <c r="AG2142" t="s">
        <v>13960</v>
      </c>
      <c r="AH2142" t="s">
        <v>6189</v>
      </c>
      <c r="AI2142" t="s">
        <v>13961</v>
      </c>
    </row>
    <row r="2143" spans="2:35">
      <c r="B2143" s="1">
        <v>45719</v>
      </c>
      <c r="C2143" s="1">
        <v>45714</v>
      </c>
      <c r="D2143" t="s">
        <v>1203</v>
      </c>
      <c r="E2143" t="s">
        <v>13962</v>
      </c>
      <c r="F2143">
        <v>11</v>
      </c>
      <c r="G2143" t="s">
        <v>1205</v>
      </c>
      <c r="H2143" t="s">
        <v>2548</v>
      </c>
      <c r="I2143" t="s">
        <v>40</v>
      </c>
      <c r="J2143" t="s">
        <v>583</v>
      </c>
      <c r="K2143" t="s">
        <v>42</v>
      </c>
      <c r="L2143" t="s">
        <v>204</v>
      </c>
      <c r="N2143" t="s">
        <v>205</v>
      </c>
      <c r="Q2143">
        <v>30403</v>
      </c>
      <c r="R2143" t="s">
        <v>967</v>
      </c>
      <c r="S2143" t="s">
        <v>1206</v>
      </c>
      <c r="T2143">
        <v>24.5</v>
      </c>
      <c r="W2143" t="s">
        <v>2550</v>
      </c>
      <c r="X2143">
        <v>110023506</v>
      </c>
      <c r="Y2143" t="s">
        <v>13963</v>
      </c>
      <c r="Z2143" t="s">
        <v>13964</v>
      </c>
      <c r="AA2143" t="s">
        <v>13965</v>
      </c>
      <c r="AB2143" t="s">
        <v>13966</v>
      </c>
      <c r="AG2143" t="s">
        <v>13967</v>
      </c>
      <c r="AH2143" t="s">
        <v>13968</v>
      </c>
      <c r="AI2143" t="s">
        <v>13969</v>
      </c>
    </row>
    <row r="2144" spans="2:35" ht="120">
      <c r="B2144" s="1">
        <v>45718</v>
      </c>
      <c r="C2144" s="1">
        <v>45713</v>
      </c>
      <c r="D2144" t="s">
        <v>4118</v>
      </c>
      <c r="E2144" t="s">
        <v>7946</v>
      </c>
      <c r="F2144">
        <v>5</v>
      </c>
      <c r="G2144" t="s">
        <v>759</v>
      </c>
      <c r="H2144" t="s">
        <v>39</v>
      </c>
      <c r="I2144" t="s">
        <v>94</v>
      </c>
      <c r="J2144" t="s">
        <v>109</v>
      </c>
      <c r="K2144" t="s">
        <v>42</v>
      </c>
      <c r="L2144" t="s">
        <v>761</v>
      </c>
      <c r="N2144" t="s">
        <v>762</v>
      </c>
      <c r="Q2144">
        <v>30402</v>
      </c>
      <c r="R2144" t="s">
        <v>95</v>
      </c>
      <c r="S2144" t="s">
        <v>12176</v>
      </c>
      <c r="T2144">
        <v>27</v>
      </c>
      <c r="W2144" t="s">
        <v>817</v>
      </c>
      <c r="X2144">
        <v>110017942</v>
      </c>
      <c r="Y2144" t="s">
        <v>818</v>
      </c>
      <c r="Z2144" s="2" t="s">
        <v>7933</v>
      </c>
      <c r="AA2144" t="s">
        <v>820</v>
      </c>
      <c r="AB2144" t="s">
        <v>70</v>
      </c>
      <c r="AG2144" t="s">
        <v>13970</v>
      </c>
      <c r="AH2144" t="s">
        <v>13971</v>
      </c>
      <c r="AI2144" t="s">
        <v>13972</v>
      </c>
    </row>
    <row r="2145" spans="2:35" ht="409.5">
      <c r="B2145" s="1">
        <v>45716</v>
      </c>
      <c r="C2145" s="1">
        <v>45716</v>
      </c>
      <c r="D2145" t="s">
        <v>187</v>
      </c>
      <c r="E2145" t="s">
        <v>9268</v>
      </c>
      <c r="F2145" t="s">
        <v>37</v>
      </c>
      <c r="G2145" t="s">
        <v>189</v>
      </c>
      <c r="H2145" t="s">
        <v>39</v>
      </c>
      <c r="I2145" t="s">
        <v>40</v>
      </c>
      <c r="J2145" t="s">
        <v>109</v>
      </c>
      <c r="K2145" t="s">
        <v>42</v>
      </c>
      <c r="L2145" t="s">
        <v>1943</v>
      </c>
      <c r="N2145" t="s">
        <v>1944</v>
      </c>
      <c r="O2145" t="s">
        <v>12000</v>
      </c>
      <c r="Q2145">
        <v>30401</v>
      </c>
      <c r="R2145" t="s">
        <v>322</v>
      </c>
      <c r="S2145" t="s">
        <v>13973</v>
      </c>
      <c r="T2145">
        <v>25</v>
      </c>
      <c r="U2145" s="2" t="s">
        <v>13974</v>
      </c>
      <c r="W2145" t="s">
        <v>373</v>
      </c>
      <c r="X2145">
        <v>110024615</v>
      </c>
      <c r="Y2145" t="s">
        <v>2099</v>
      </c>
      <c r="Z2145" t="s">
        <v>2100</v>
      </c>
      <c r="AA2145" s="2" t="s">
        <v>2101</v>
      </c>
      <c r="AB2145" t="s">
        <v>88</v>
      </c>
      <c r="AG2145" t="s">
        <v>13975</v>
      </c>
      <c r="AH2145" t="s">
        <v>13976</v>
      </c>
      <c r="AI2145" t="s">
        <v>13977</v>
      </c>
    </row>
    <row r="2146" spans="2:35" ht="285">
      <c r="B2146" s="1">
        <v>45716</v>
      </c>
      <c r="C2146" s="1">
        <v>45716</v>
      </c>
      <c r="D2146" t="s">
        <v>1071</v>
      </c>
      <c r="E2146" t="s">
        <v>1555</v>
      </c>
      <c r="F2146">
        <v>7</v>
      </c>
      <c r="G2146" t="s">
        <v>432</v>
      </c>
      <c r="H2146" t="s">
        <v>1498</v>
      </c>
      <c r="I2146" t="s">
        <v>40</v>
      </c>
      <c r="J2146" t="s">
        <v>109</v>
      </c>
      <c r="K2146" t="s">
        <v>42</v>
      </c>
      <c r="L2146" t="s">
        <v>343</v>
      </c>
      <c r="N2146" t="s">
        <v>344</v>
      </c>
      <c r="Q2146">
        <v>30400</v>
      </c>
      <c r="R2146" t="s">
        <v>119</v>
      </c>
      <c r="S2146" t="s">
        <v>8679</v>
      </c>
      <c r="T2146">
        <v>28</v>
      </c>
      <c r="U2146" s="2" t="s">
        <v>13978</v>
      </c>
      <c r="W2146" t="s">
        <v>12910</v>
      </c>
      <c r="X2146">
        <v>838285</v>
      </c>
      <c r="Y2146" t="s">
        <v>7415</v>
      </c>
      <c r="Z2146" t="s">
        <v>13979</v>
      </c>
      <c r="AA2146" t="e">
        <f ca="1">-Preventive Maintenance</f>
        <v>#NAME?</v>
      </c>
      <c r="AB2146" t="s">
        <v>1467</v>
      </c>
      <c r="AG2146" t="s">
        <v>13980</v>
      </c>
      <c r="AH2146" t="s">
        <v>4411</v>
      </c>
      <c r="AI2146" t="s">
        <v>13981</v>
      </c>
    </row>
    <row r="2147" spans="2:35" ht="120">
      <c r="B2147" s="1">
        <v>45716</v>
      </c>
      <c r="C2147" s="1">
        <v>45716</v>
      </c>
      <c r="D2147" t="s">
        <v>5546</v>
      </c>
      <c r="E2147" t="s">
        <v>1555</v>
      </c>
      <c r="F2147">
        <v>7</v>
      </c>
      <c r="G2147" t="s">
        <v>432</v>
      </c>
      <c r="H2147" t="s">
        <v>39</v>
      </c>
      <c r="I2147" t="s">
        <v>40</v>
      </c>
      <c r="J2147" s="2" t="s">
        <v>609</v>
      </c>
      <c r="K2147" t="s">
        <v>42</v>
      </c>
      <c r="L2147" t="s">
        <v>433</v>
      </c>
      <c r="N2147" t="s">
        <v>434</v>
      </c>
      <c r="Q2147">
        <v>30399</v>
      </c>
      <c r="R2147" t="s">
        <v>967</v>
      </c>
      <c r="S2147" t="s">
        <v>5548</v>
      </c>
      <c r="T2147">
        <v>28</v>
      </c>
      <c r="W2147" t="s">
        <v>502</v>
      </c>
      <c r="X2147">
        <v>110023513</v>
      </c>
      <c r="Y2147" t="s">
        <v>54</v>
      </c>
      <c r="Z2147" s="2" t="s">
        <v>13982</v>
      </c>
      <c r="AA2147" s="2" t="s">
        <v>13982</v>
      </c>
      <c r="AB2147" t="s">
        <v>1011</v>
      </c>
      <c r="AG2147" t="s">
        <v>13983</v>
      </c>
      <c r="AH2147" t="s">
        <v>7130</v>
      </c>
      <c r="AI2147" t="s">
        <v>13984</v>
      </c>
    </row>
    <row r="2148" spans="2:35" ht="120">
      <c r="B2148" s="1">
        <v>45716</v>
      </c>
      <c r="C2148" s="1">
        <v>45716</v>
      </c>
      <c r="D2148" t="s">
        <v>5546</v>
      </c>
      <c r="E2148" t="s">
        <v>1555</v>
      </c>
      <c r="F2148">
        <v>7</v>
      </c>
      <c r="G2148" t="s">
        <v>432</v>
      </c>
      <c r="H2148" t="s">
        <v>39</v>
      </c>
      <c r="I2148" t="s">
        <v>40</v>
      </c>
      <c r="J2148" s="2" t="s">
        <v>609</v>
      </c>
      <c r="K2148" t="s">
        <v>42</v>
      </c>
      <c r="L2148" t="s">
        <v>433</v>
      </c>
      <c r="N2148" t="s">
        <v>434</v>
      </c>
      <c r="Q2148">
        <v>30398</v>
      </c>
      <c r="R2148" t="s">
        <v>119</v>
      </c>
      <c r="S2148" t="s">
        <v>5548</v>
      </c>
      <c r="T2148">
        <v>29</v>
      </c>
      <c r="W2148" t="s">
        <v>1008</v>
      </c>
      <c r="X2148">
        <v>838527</v>
      </c>
      <c r="Y2148" t="s">
        <v>54</v>
      </c>
      <c r="Z2148" s="2" t="s">
        <v>13985</v>
      </c>
      <c r="AA2148" s="2" t="s">
        <v>13985</v>
      </c>
      <c r="AB2148" t="s">
        <v>5438</v>
      </c>
      <c r="AG2148" t="s">
        <v>13986</v>
      </c>
      <c r="AH2148" t="s">
        <v>5551</v>
      </c>
      <c r="AI2148" t="s">
        <v>13987</v>
      </c>
    </row>
    <row r="2149" spans="2:35" ht="135">
      <c r="B2149" s="1">
        <v>45716</v>
      </c>
      <c r="C2149" s="1">
        <v>45716</v>
      </c>
      <c r="D2149" t="s">
        <v>9682</v>
      </c>
      <c r="E2149" t="s">
        <v>13246</v>
      </c>
      <c r="F2149">
        <v>9</v>
      </c>
      <c r="G2149" t="s">
        <v>2197</v>
      </c>
      <c r="H2149" t="s">
        <v>39</v>
      </c>
      <c r="I2149" t="s">
        <v>40</v>
      </c>
      <c r="J2149" s="2" t="s">
        <v>13988</v>
      </c>
      <c r="K2149" t="s">
        <v>42</v>
      </c>
      <c r="L2149" t="s">
        <v>1257</v>
      </c>
      <c r="N2149" t="s">
        <v>1258</v>
      </c>
      <c r="O2149" t="s">
        <v>1258</v>
      </c>
      <c r="Q2149">
        <v>30397</v>
      </c>
      <c r="R2149" t="s">
        <v>119</v>
      </c>
      <c r="S2149" t="s">
        <v>13989</v>
      </c>
      <c r="T2149">
        <v>28</v>
      </c>
      <c r="U2149" s="2" t="s">
        <v>3070</v>
      </c>
      <c r="V2149" s="1">
        <v>45713</v>
      </c>
      <c r="W2149" t="s">
        <v>2384</v>
      </c>
      <c r="X2149">
        <v>838568</v>
      </c>
      <c r="Y2149" t="s">
        <v>13990</v>
      </c>
      <c r="Z2149" t="s">
        <v>13991</v>
      </c>
      <c r="AA2149" t="s">
        <v>13991</v>
      </c>
      <c r="AB2149" t="s">
        <v>13992</v>
      </c>
      <c r="AC2149" t="s">
        <v>13993</v>
      </c>
      <c r="AD2149" t="s">
        <v>54</v>
      </c>
      <c r="AE2149" t="s">
        <v>54</v>
      </c>
      <c r="AG2149" t="s">
        <v>13994</v>
      </c>
      <c r="AH2149" t="s">
        <v>13254</v>
      </c>
      <c r="AI2149" t="s">
        <v>13995</v>
      </c>
    </row>
    <row r="2150" spans="2:35" ht="120">
      <c r="B2150" s="1">
        <v>45716</v>
      </c>
      <c r="C2150" s="1">
        <v>45715</v>
      </c>
      <c r="D2150" t="s">
        <v>2910</v>
      </c>
      <c r="E2150" t="s">
        <v>2911</v>
      </c>
      <c r="F2150" t="s">
        <v>148</v>
      </c>
      <c r="G2150" t="s">
        <v>310</v>
      </c>
      <c r="H2150" t="s">
        <v>39</v>
      </c>
      <c r="I2150" t="s">
        <v>40</v>
      </c>
      <c r="J2150" t="s">
        <v>1740</v>
      </c>
      <c r="K2150" t="s">
        <v>42</v>
      </c>
      <c r="L2150" t="s">
        <v>1028</v>
      </c>
      <c r="N2150" t="s">
        <v>1029</v>
      </c>
      <c r="Q2150">
        <v>30395</v>
      </c>
      <c r="R2150" t="s">
        <v>703</v>
      </c>
      <c r="S2150" t="s">
        <v>13996</v>
      </c>
      <c r="T2150">
        <v>25</v>
      </c>
      <c r="W2150" t="s">
        <v>1967</v>
      </c>
      <c r="X2150">
        <v>835540</v>
      </c>
      <c r="Y2150" t="s">
        <v>13997</v>
      </c>
      <c r="Z2150" t="s">
        <v>13998</v>
      </c>
      <c r="AA2150" s="2" t="s">
        <v>13999</v>
      </c>
      <c r="AB2150" t="s">
        <v>14000</v>
      </c>
      <c r="AG2150" t="s">
        <v>14001</v>
      </c>
      <c r="AH2150" t="s">
        <v>14002</v>
      </c>
      <c r="AI2150" t="s">
        <v>14003</v>
      </c>
    </row>
    <row r="2151" spans="2:35" ht="150">
      <c r="B2151" s="1">
        <v>45716</v>
      </c>
      <c r="C2151" s="1">
        <v>45715</v>
      </c>
      <c r="D2151" t="s">
        <v>2910</v>
      </c>
      <c r="E2151" t="s">
        <v>2911</v>
      </c>
      <c r="F2151" t="s">
        <v>148</v>
      </c>
      <c r="G2151" t="s">
        <v>310</v>
      </c>
      <c r="H2151" t="s">
        <v>39</v>
      </c>
      <c r="I2151" t="s">
        <v>40</v>
      </c>
      <c r="J2151" t="s">
        <v>79</v>
      </c>
      <c r="K2151" t="s">
        <v>42</v>
      </c>
      <c r="L2151" t="s">
        <v>1028</v>
      </c>
      <c r="N2151" t="s">
        <v>1029</v>
      </c>
      <c r="Q2151">
        <v>30396</v>
      </c>
      <c r="R2151" t="s">
        <v>703</v>
      </c>
      <c r="S2151" t="s">
        <v>14004</v>
      </c>
      <c r="T2151">
        <v>25</v>
      </c>
      <c r="W2151" t="s">
        <v>1967</v>
      </c>
      <c r="X2151">
        <v>835540</v>
      </c>
      <c r="Y2151" t="s">
        <v>13997</v>
      </c>
      <c r="Z2151" t="s">
        <v>9749</v>
      </c>
      <c r="AA2151" s="2" t="s">
        <v>14005</v>
      </c>
      <c r="AB2151" t="s">
        <v>14006</v>
      </c>
      <c r="AG2151" t="s">
        <v>14007</v>
      </c>
      <c r="AH2151" t="s">
        <v>14008</v>
      </c>
      <c r="AI2151" t="s">
        <v>14009</v>
      </c>
    </row>
    <row r="2152" spans="2:35" ht="300">
      <c r="B2152" s="1">
        <v>45716</v>
      </c>
      <c r="C2152" s="1">
        <v>45709</v>
      </c>
      <c r="D2152" t="s">
        <v>14010</v>
      </c>
      <c r="E2152" t="s">
        <v>14011</v>
      </c>
      <c r="F2152" t="s">
        <v>148</v>
      </c>
      <c r="G2152" t="s">
        <v>774</v>
      </c>
      <c r="H2152" t="s">
        <v>39</v>
      </c>
      <c r="I2152" t="s">
        <v>40</v>
      </c>
      <c r="J2152" t="s">
        <v>109</v>
      </c>
      <c r="K2152" t="s">
        <v>42</v>
      </c>
      <c r="L2152" t="s">
        <v>1028</v>
      </c>
      <c r="N2152" t="s">
        <v>1029</v>
      </c>
      <c r="Q2152">
        <v>30392</v>
      </c>
      <c r="R2152" t="s">
        <v>322</v>
      </c>
      <c r="S2152" t="s">
        <v>14012</v>
      </c>
      <c r="T2152">
        <v>24</v>
      </c>
      <c r="U2152" s="2" t="s">
        <v>14013</v>
      </c>
      <c r="W2152" t="s">
        <v>14014</v>
      </c>
      <c r="X2152">
        <v>110017869</v>
      </c>
      <c r="Y2152" t="s">
        <v>1978</v>
      </c>
      <c r="Z2152" t="s">
        <v>1548</v>
      </c>
      <c r="AA2152" s="2" t="s">
        <v>14015</v>
      </c>
      <c r="AB2152" t="s">
        <v>3300</v>
      </c>
      <c r="AG2152" t="s">
        <v>14016</v>
      </c>
      <c r="AH2152" t="s">
        <v>14017</v>
      </c>
      <c r="AI2152" t="s">
        <v>14018</v>
      </c>
    </row>
    <row r="2153" spans="2:35" ht="255">
      <c r="B2153" s="1">
        <v>45716</v>
      </c>
      <c r="C2153" s="1">
        <v>45713</v>
      </c>
      <c r="D2153" t="s">
        <v>919</v>
      </c>
      <c r="E2153" t="s">
        <v>1976</v>
      </c>
      <c r="F2153" t="s">
        <v>148</v>
      </c>
      <c r="G2153" t="s">
        <v>310</v>
      </c>
      <c r="H2153" t="s">
        <v>39</v>
      </c>
      <c r="I2153" t="s">
        <v>40</v>
      </c>
      <c r="J2153" t="s">
        <v>109</v>
      </c>
      <c r="K2153" t="s">
        <v>42</v>
      </c>
      <c r="L2153" t="s">
        <v>1028</v>
      </c>
      <c r="N2153" t="s">
        <v>1029</v>
      </c>
      <c r="Q2153">
        <v>30394</v>
      </c>
      <c r="R2153" t="s">
        <v>703</v>
      </c>
      <c r="S2153" t="s">
        <v>942</v>
      </c>
      <c r="T2153">
        <v>25</v>
      </c>
      <c r="U2153" s="2" t="s">
        <v>14019</v>
      </c>
      <c r="W2153" t="s">
        <v>1967</v>
      </c>
      <c r="X2153">
        <v>110000711</v>
      </c>
      <c r="Y2153" t="s">
        <v>1978</v>
      </c>
      <c r="Z2153" t="s">
        <v>1548</v>
      </c>
      <c r="AA2153" s="2" t="s">
        <v>14020</v>
      </c>
      <c r="AB2153" t="s">
        <v>3300</v>
      </c>
      <c r="AG2153" t="s">
        <v>14021</v>
      </c>
      <c r="AH2153" t="s">
        <v>14022</v>
      </c>
      <c r="AI2153" t="s">
        <v>14023</v>
      </c>
    </row>
    <row r="2154" spans="2:35" ht="409.5">
      <c r="B2154" s="1">
        <v>45716</v>
      </c>
      <c r="C2154" s="1">
        <v>45708</v>
      </c>
      <c r="D2154" t="s">
        <v>9540</v>
      </c>
      <c r="E2154" t="s">
        <v>9541</v>
      </c>
      <c r="F2154" t="s">
        <v>148</v>
      </c>
      <c r="G2154" t="s">
        <v>4786</v>
      </c>
      <c r="H2154" t="s">
        <v>662</v>
      </c>
      <c r="I2154" t="s">
        <v>40</v>
      </c>
      <c r="J2154" t="s">
        <v>996</v>
      </c>
      <c r="K2154" t="s">
        <v>42</v>
      </c>
      <c r="L2154" t="s">
        <v>1028</v>
      </c>
      <c r="N2154" t="s">
        <v>1029</v>
      </c>
      <c r="O2154" t="s">
        <v>10335</v>
      </c>
      <c r="Q2154">
        <v>30391</v>
      </c>
      <c r="R2154" t="s">
        <v>95</v>
      </c>
      <c r="S2154" t="s">
        <v>4787</v>
      </c>
      <c r="T2154">
        <v>25</v>
      </c>
      <c r="U2154" s="2" t="s">
        <v>14024</v>
      </c>
      <c r="W2154" t="s">
        <v>1967</v>
      </c>
      <c r="X2154">
        <v>831316</v>
      </c>
      <c r="Y2154" t="s">
        <v>1547</v>
      </c>
      <c r="Z2154" t="s">
        <v>5150</v>
      </c>
      <c r="AA2154" s="2" t="s">
        <v>14025</v>
      </c>
      <c r="AB2154" s="2" t="s">
        <v>14026</v>
      </c>
      <c r="AC2154" t="s">
        <v>14027</v>
      </c>
      <c r="AG2154" t="s">
        <v>14028</v>
      </c>
      <c r="AH2154" t="s">
        <v>4793</v>
      </c>
      <c r="AI2154" t="s">
        <v>14029</v>
      </c>
    </row>
    <row r="2155" spans="2:35" ht="135">
      <c r="B2155" s="1">
        <v>45716</v>
      </c>
      <c r="C2155" s="1">
        <v>45709</v>
      </c>
      <c r="D2155" t="s">
        <v>5174</v>
      </c>
      <c r="E2155" t="s">
        <v>11803</v>
      </c>
      <c r="F2155" t="s">
        <v>37</v>
      </c>
      <c r="G2155" t="s">
        <v>748</v>
      </c>
      <c r="H2155" t="s">
        <v>39</v>
      </c>
      <c r="I2155" t="s">
        <v>40</v>
      </c>
      <c r="J2155" t="s">
        <v>79</v>
      </c>
      <c r="K2155" t="s">
        <v>42</v>
      </c>
      <c r="L2155" t="s">
        <v>1028</v>
      </c>
      <c r="N2155" t="s">
        <v>1029</v>
      </c>
      <c r="Q2155">
        <v>30393</v>
      </c>
      <c r="R2155" t="s">
        <v>119</v>
      </c>
      <c r="S2155" t="s">
        <v>14030</v>
      </c>
      <c r="T2155">
        <v>25</v>
      </c>
      <c r="U2155" s="2" t="s">
        <v>14031</v>
      </c>
      <c r="V2155" s="1">
        <v>45707</v>
      </c>
      <c r="W2155" t="s">
        <v>1967</v>
      </c>
      <c r="X2155">
        <v>838535</v>
      </c>
      <c r="Y2155" t="s">
        <v>14032</v>
      </c>
      <c r="Z2155" t="s">
        <v>14033</v>
      </c>
      <c r="AA2155" s="2" t="s">
        <v>14034</v>
      </c>
      <c r="AB2155" t="s">
        <v>3300</v>
      </c>
      <c r="AD2155" t="s">
        <v>14035</v>
      </c>
      <c r="AE2155" t="s">
        <v>14036</v>
      </c>
      <c r="AG2155" t="s">
        <v>14037</v>
      </c>
      <c r="AH2155" t="s">
        <v>14038</v>
      </c>
      <c r="AI2155" t="s">
        <v>14039</v>
      </c>
    </row>
    <row r="2156" spans="2:35" ht="300">
      <c r="B2156" s="1">
        <v>45716</v>
      </c>
      <c r="C2156" s="1">
        <v>45709</v>
      </c>
      <c r="D2156" t="s">
        <v>14010</v>
      </c>
      <c r="E2156" t="s">
        <v>14011</v>
      </c>
      <c r="F2156" t="s">
        <v>148</v>
      </c>
      <c r="G2156" t="s">
        <v>774</v>
      </c>
      <c r="H2156" t="s">
        <v>39</v>
      </c>
      <c r="I2156" t="s">
        <v>40</v>
      </c>
      <c r="J2156" t="s">
        <v>109</v>
      </c>
      <c r="K2156" t="s">
        <v>42</v>
      </c>
      <c r="L2156" t="s">
        <v>1028</v>
      </c>
      <c r="N2156" t="s">
        <v>1029</v>
      </c>
      <c r="Q2156">
        <v>30390</v>
      </c>
      <c r="R2156" t="s">
        <v>322</v>
      </c>
      <c r="S2156" t="s">
        <v>14012</v>
      </c>
      <c r="T2156">
        <v>24</v>
      </c>
      <c r="U2156" s="2" t="s">
        <v>14040</v>
      </c>
      <c r="W2156" t="s">
        <v>14014</v>
      </c>
      <c r="X2156">
        <v>110017870</v>
      </c>
      <c r="Y2156" t="s">
        <v>1978</v>
      </c>
      <c r="Z2156" t="s">
        <v>1548</v>
      </c>
      <c r="AA2156" s="2" t="s">
        <v>14015</v>
      </c>
      <c r="AB2156" t="s">
        <v>3300</v>
      </c>
      <c r="AG2156" t="s">
        <v>14041</v>
      </c>
      <c r="AH2156" t="s">
        <v>14017</v>
      </c>
      <c r="AI2156" t="s">
        <v>14042</v>
      </c>
    </row>
    <row r="2157" spans="2:35">
      <c r="B2157" s="1">
        <v>45715</v>
      </c>
      <c r="C2157" s="1">
        <v>45715</v>
      </c>
      <c r="D2157" t="s">
        <v>7213</v>
      </c>
      <c r="E2157" t="s">
        <v>229</v>
      </c>
      <c r="F2157" t="s">
        <v>148</v>
      </c>
      <c r="G2157" t="s">
        <v>230</v>
      </c>
      <c r="H2157" t="s">
        <v>39</v>
      </c>
      <c r="I2157" t="s">
        <v>40</v>
      </c>
      <c r="J2157" t="s">
        <v>109</v>
      </c>
      <c r="K2157" t="s">
        <v>42</v>
      </c>
      <c r="L2157" t="s">
        <v>175</v>
      </c>
      <c r="N2157" t="s">
        <v>176</v>
      </c>
      <c r="Q2157">
        <v>30389</v>
      </c>
      <c r="R2157" t="s">
        <v>95</v>
      </c>
      <c r="S2157" t="s">
        <v>7214</v>
      </c>
      <c r="T2157">
        <v>25</v>
      </c>
      <c r="W2157" t="s">
        <v>373</v>
      </c>
      <c r="X2157">
        <v>110025111</v>
      </c>
      <c r="Y2157" t="s">
        <v>374</v>
      </c>
      <c r="Z2157" t="s">
        <v>103</v>
      </c>
      <c r="AA2157" t="e">
        <f ca="1">- checked _xludf.and cleaned cartridge bay, plunger rod, _xludf.filter, icore slot
- generated reports
- scanned system _xludf.Log _xludf.For hardware errors (None)
- performed self test</f>
        <v>#NAME?</v>
      </c>
      <c r="AB2157" t="s">
        <v>181</v>
      </c>
      <c r="AG2157" t="s">
        <v>14043</v>
      </c>
      <c r="AH2157" t="s">
        <v>14044</v>
      </c>
      <c r="AI2157" t="s">
        <v>14045</v>
      </c>
    </row>
    <row r="2158" spans="2:35" ht="409.5">
      <c r="B2158" s="1">
        <v>45715</v>
      </c>
      <c r="C2158" s="1">
        <v>45713</v>
      </c>
      <c r="D2158" t="s">
        <v>9780</v>
      </c>
      <c r="E2158" t="s">
        <v>5914</v>
      </c>
      <c r="F2158" t="s">
        <v>148</v>
      </c>
      <c r="G2158" t="s">
        <v>2007</v>
      </c>
      <c r="H2158" t="s">
        <v>662</v>
      </c>
      <c r="I2158" t="s">
        <v>40</v>
      </c>
      <c r="J2158" t="s">
        <v>583</v>
      </c>
      <c r="K2158" t="s">
        <v>42</v>
      </c>
      <c r="L2158" t="s">
        <v>448</v>
      </c>
      <c r="N2158" t="s">
        <v>450</v>
      </c>
      <c r="Q2158">
        <v>30388</v>
      </c>
      <c r="R2158" t="s">
        <v>95</v>
      </c>
      <c r="S2158" t="s">
        <v>4273</v>
      </c>
      <c r="T2158">
        <v>30</v>
      </c>
      <c r="U2158" s="2" t="s">
        <v>14046</v>
      </c>
      <c r="W2158" t="s">
        <v>12701</v>
      </c>
      <c r="X2158">
        <v>110001647</v>
      </c>
      <c r="Y2158" t="s">
        <v>14047</v>
      </c>
      <c r="Z2158" s="2" t="s">
        <v>14048</v>
      </c>
      <c r="AA2158" t="s">
        <v>14049</v>
      </c>
      <c r="AB2158" t="s">
        <v>14050</v>
      </c>
      <c r="AG2158" t="s">
        <v>14051</v>
      </c>
      <c r="AH2158" t="s">
        <v>4278</v>
      </c>
      <c r="AI2158" t="s">
        <v>14052</v>
      </c>
    </row>
    <row r="2159" spans="2:35" ht="255">
      <c r="B2159" s="1">
        <v>45714</v>
      </c>
      <c r="C2159" s="1">
        <v>45713</v>
      </c>
      <c r="D2159" t="s">
        <v>4379</v>
      </c>
      <c r="E2159" t="s">
        <v>13672</v>
      </c>
      <c r="F2159" t="s">
        <v>148</v>
      </c>
      <c r="G2159" t="s">
        <v>785</v>
      </c>
      <c r="H2159" t="s">
        <v>39</v>
      </c>
      <c r="I2159" t="s">
        <v>40</v>
      </c>
      <c r="J2159" t="s">
        <v>109</v>
      </c>
      <c r="K2159" t="s">
        <v>387</v>
      </c>
      <c r="L2159" t="s">
        <v>43</v>
      </c>
      <c r="N2159" t="s">
        <v>44</v>
      </c>
      <c r="O2159" t="s">
        <v>13353</v>
      </c>
      <c r="Q2159">
        <v>30387</v>
      </c>
      <c r="R2159" t="s">
        <v>95</v>
      </c>
      <c r="S2159" t="s">
        <v>4389</v>
      </c>
      <c r="T2159">
        <v>24</v>
      </c>
      <c r="W2159" t="s">
        <v>390</v>
      </c>
      <c r="X2159" t="s">
        <v>4390</v>
      </c>
      <c r="Y2159" t="s">
        <v>121</v>
      </c>
      <c r="Z2159" t="s">
        <v>122</v>
      </c>
      <c r="AA2159" s="2" t="s">
        <v>14053</v>
      </c>
      <c r="AB2159" t="s">
        <v>88</v>
      </c>
      <c r="AG2159" t="s">
        <v>14054</v>
      </c>
      <c r="AH2159" t="s">
        <v>14055</v>
      </c>
      <c r="AI2159" t="s">
        <v>14056</v>
      </c>
    </row>
    <row r="2160" spans="2:35" ht="240">
      <c r="B2160" s="1">
        <v>45714</v>
      </c>
      <c r="C2160" s="1">
        <v>45713</v>
      </c>
      <c r="D2160" t="s">
        <v>4765</v>
      </c>
      <c r="E2160" t="s">
        <v>10913</v>
      </c>
      <c r="F2160" t="s">
        <v>148</v>
      </c>
      <c r="G2160" t="s">
        <v>785</v>
      </c>
      <c r="H2160" t="s">
        <v>39</v>
      </c>
      <c r="I2160" t="s">
        <v>40</v>
      </c>
      <c r="J2160" t="s">
        <v>109</v>
      </c>
      <c r="K2160" t="s">
        <v>42</v>
      </c>
      <c r="L2160" t="s">
        <v>43</v>
      </c>
      <c r="N2160" t="s">
        <v>44</v>
      </c>
      <c r="Q2160">
        <v>30386</v>
      </c>
      <c r="R2160" t="s">
        <v>322</v>
      </c>
      <c r="S2160" t="s">
        <v>4704</v>
      </c>
      <c r="T2160">
        <v>24</v>
      </c>
      <c r="U2160" s="2" t="s">
        <v>14057</v>
      </c>
      <c r="W2160" t="s">
        <v>153</v>
      </c>
      <c r="X2160">
        <v>110024245</v>
      </c>
      <c r="Y2160" t="s">
        <v>121</v>
      </c>
      <c r="Z2160" t="s">
        <v>122</v>
      </c>
      <c r="AA2160" s="2" t="s">
        <v>12971</v>
      </c>
      <c r="AB2160" t="s">
        <v>548</v>
      </c>
      <c r="AG2160" t="s">
        <v>14058</v>
      </c>
      <c r="AH2160" t="s">
        <v>4773</v>
      </c>
      <c r="AI2160" t="s">
        <v>14059</v>
      </c>
    </row>
    <row r="2161" spans="2:35" ht="409.5">
      <c r="B2161" s="1">
        <v>45714</v>
      </c>
      <c r="C2161" s="1">
        <v>45713</v>
      </c>
      <c r="D2161" t="s">
        <v>4379</v>
      </c>
      <c r="E2161" t="s">
        <v>4380</v>
      </c>
      <c r="F2161" t="s">
        <v>148</v>
      </c>
      <c r="G2161" t="s">
        <v>785</v>
      </c>
      <c r="H2161" t="s">
        <v>39</v>
      </c>
      <c r="I2161" t="s">
        <v>40</v>
      </c>
      <c r="J2161" s="2" t="s">
        <v>190</v>
      </c>
      <c r="K2161" t="s">
        <v>42</v>
      </c>
      <c r="L2161" t="s">
        <v>43</v>
      </c>
      <c r="N2161" t="s">
        <v>44</v>
      </c>
      <c r="O2161" t="s">
        <v>13353</v>
      </c>
      <c r="Q2161">
        <v>30385</v>
      </c>
      <c r="R2161" t="s">
        <v>322</v>
      </c>
      <c r="S2161" t="s">
        <v>4382</v>
      </c>
      <c r="T2161">
        <v>22</v>
      </c>
      <c r="U2161" s="2" t="s">
        <v>14060</v>
      </c>
      <c r="W2161" t="s">
        <v>3178</v>
      </c>
      <c r="X2161">
        <v>838627</v>
      </c>
      <c r="Y2161" t="s">
        <v>14061</v>
      </c>
      <c r="Z2161" t="s">
        <v>14062</v>
      </c>
      <c r="AA2161" s="2" t="s">
        <v>14063</v>
      </c>
      <c r="AB2161" t="s">
        <v>88</v>
      </c>
      <c r="AG2161" t="s">
        <v>14064</v>
      </c>
      <c r="AH2161" t="s">
        <v>4387</v>
      </c>
      <c r="AI2161" t="s">
        <v>14065</v>
      </c>
    </row>
    <row r="2162" spans="2:35" ht="345">
      <c r="B2162" s="1">
        <v>45714</v>
      </c>
      <c r="C2162" s="1">
        <v>45714</v>
      </c>
      <c r="D2162" t="s">
        <v>7172</v>
      </c>
      <c r="E2162" t="s">
        <v>2911</v>
      </c>
      <c r="F2162" t="s">
        <v>148</v>
      </c>
      <c r="G2162" t="s">
        <v>310</v>
      </c>
      <c r="H2162" t="s">
        <v>39</v>
      </c>
      <c r="I2162" t="s">
        <v>40</v>
      </c>
      <c r="J2162" s="2" t="s">
        <v>355</v>
      </c>
      <c r="K2162" t="s">
        <v>42</v>
      </c>
      <c r="L2162" t="s">
        <v>1943</v>
      </c>
      <c r="N2162" t="s">
        <v>1944</v>
      </c>
      <c r="Q2162">
        <v>30384</v>
      </c>
      <c r="R2162" t="s">
        <v>703</v>
      </c>
      <c r="S2162" t="s">
        <v>2912</v>
      </c>
      <c r="T2162">
        <v>25</v>
      </c>
      <c r="W2162" t="s">
        <v>84</v>
      </c>
      <c r="X2162">
        <v>835540</v>
      </c>
      <c r="Y2162" t="s">
        <v>14066</v>
      </c>
      <c r="Z2162" t="s">
        <v>14067</v>
      </c>
      <c r="AA2162" s="2" t="s">
        <v>14068</v>
      </c>
      <c r="AB2162" t="s">
        <v>14069</v>
      </c>
      <c r="AG2162" t="s">
        <v>14070</v>
      </c>
      <c r="AH2162" t="s">
        <v>14071</v>
      </c>
      <c r="AI2162" t="s">
        <v>14072</v>
      </c>
    </row>
    <row r="2163" spans="2:35" ht="409.5">
      <c r="B2163" s="1">
        <v>45713</v>
      </c>
      <c r="C2163" s="1">
        <v>45713</v>
      </c>
      <c r="D2163" t="s">
        <v>1203</v>
      </c>
      <c r="E2163" t="s">
        <v>14073</v>
      </c>
      <c r="F2163">
        <v>11</v>
      </c>
      <c r="G2163" t="s">
        <v>1205</v>
      </c>
      <c r="H2163" t="s">
        <v>2548</v>
      </c>
      <c r="I2163" t="s">
        <v>40</v>
      </c>
      <c r="J2163" t="s">
        <v>109</v>
      </c>
      <c r="K2163" t="s">
        <v>42</v>
      </c>
      <c r="L2163" t="s">
        <v>204</v>
      </c>
      <c r="N2163" t="s">
        <v>205</v>
      </c>
      <c r="Q2163">
        <v>30383</v>
      </c>
      <c r="R2163" t="s">
        <v>967</v>
      </c>
      <c r="S2163" t="s">
        <v>1206</v>
      </c>
      <c r="T2163">
        <v>25.6</v>
      </c>
      <c r="U2163" s="2" t="s">
        <v>14074</v>
      </c>
      <c r="W2163" t="s">
        <v>2550</v>
      </c>
      <c r="X2163">
        <v>110023505</v>
      </c>
      <c r="Y2163" t="s">
        <v>2851</v>
      </c>
      <c r="Z2163" s="2" t="s">
        <v>1892</v>
      </c>
      <c r="AA2163" t="s">
        <v>2551</v>
      </c>
      <c r="AB2163" t="s">
        <v>1211</v>
      </c>
      <c r="AG2163" t="s">
        <v>14075</v>
      </c>
      <c r="AH2163" t="s">
        <v>14076</v>
      </c>
      <c r="AI2163" t="s">
        <v>14077</v>
      </c>
    </row>
    <row r="2164" spans="2:35" ht="409.5">
      <c r="B2164" s="1">
        <v>45713</v>
      </c>
      <c r="C2164" s="1">
        <v>45713</v>
      </c>
      <c r="D2164" t="s">
        <v>1203</v>
      </c>
      <c r="E2164" t="s">
        <v>12890</v>
      </c>
      <c r="F2164">
        <v>11</v>
      </c>
      <c r="G2164" t="s">
        <v>1205</v>
      </c>
      <c r="H2164" t="s">
        <v>2548</v>
      </c>
      <c r="I2164" t="s">
        <v>40</v>
      </c>
      <c r="J2164" s="2" t="s">
        <v>609</v>
      </c>
      <c r="K2164" t="s">
        <v>42</v>
      </c>
      <c r="L2164" t="s">
        <v>204</v>
      </c>
      <c r="N2164" t="s">
        <v>205</v>
      </c>
      <c r="Q2164">
        <v>30382</v>
      </c>
      <c r="R2164" t="s">
        <v>967</v>
      </c>
      <c r="S2164" t="s">
        <v>1206</v>
      </c>
      <c r="T2164">
        <v>24.6</v>
      </c>
      <c r="U2164" s="2" t="s">
        <v>14078</v>
      </c>
      <c r="W2164" t="s">
        <v>2550</v>
      </c>
      <c r="X2164">
        <v>110023506</v>
      </c>
      <c r="Y2164" s="2" t="s">
        <v>14079</v>
      </c>
      <c r="Z2164" s="2" t="s">
        <v>14080</v>
      </c>
      <c r="AA2164" s="2" t="s">
        <v>14081</v>
      </c>
      <c r="AB2164" t="s">
        <v>1211</v>
      </c>
      <c r="AG2164" t="s">
        <v>14082</v>
      </c>
      <c r="AH2164" t="s">
        <v>10698</v>
      </c>
      <c r="AI2164" t="s">
        <v>14083</v>
      </c>
    </row>
    <row r="2165" spans="2:35" ht="180">
      <c r="B2165" s="1">
        <v>45713</v>
      </c>
      <c r="C2165" s="1">
        <v>45713</v>
      </c>
      <c r="D2165" t="s">
        <v>14084</v>
      </c>
      <c r="E2165" t="s">
        <v>2428</v>
      </c>
      <c r="F2165" t="s">
        <v>148</v>
      </c>
      <c r="G2165" t="s">
        <v>447</v>
      </c>
      <c r="H2165" t="s">
        <v>513</v>
      </c>
      <c r="I2165" t="s">
        <v>40</v>
      </c>
      <c r="J2165" t="s">
        <v>79</v>
      </c>
      <c r="K2165" t="s">
        <v>387</v>
      </c>
      <c r="L2165" t="s">
        <v>80</v>
      </c>
      <c r="N2165" t="s">
        <v>81</v>
      </c>
      <c r="Q2165">
        <v>30381</v>
      </c>
      <c r="R2165" t="s">
        <v>95</v>
      </c>
      <c r="S2165" t="s">
        <v>6331</v>
      </c>
      <c r="T2165">
        <v>26</v>
      </c>
      <c r="V2165" s="1">
        <v>45713</v>
      </c>
      <c r="W2165" t="s">
        <v>476</v>
      </c>
      <c r="X2165" t="s">
        <v>477</v>
      </c>
      <c r="Y2165" t="s">
        <v>14085</v>
      </c>
      <c r="Z2165" s="2" t="s">
        <v>14086</v>
      </c>
      <c r="AA2165" t="s">
        <v>14087</v>
      </c>
      <c r="AB2165" t="s">
        <v>88</v>
      </c>
      <c r="AC2165" t="s">
        <v>103</v>
      </c>
      <c r="AD2165" t="s">
        <v>6251</v>
      </c>
      <c r="AE2165" t="s">
        <v>14088</v>
      </c>
      <c r="AG2165" t="s">
        <v>14089</v>
      </c>
      <c r="AH2165" t="s">
        <v>14090</v>
      </c>
      <c r="AI2165" t="s">
        <v>14091</v>
      </c>
    </row>
    <row r="2166" spans="2:35" ht="409.5">
      <c r="B2166" s="1">
        <v>45713</v>
      </c>
      <c r="C2166" s="1">
        <v>45713</v>
      </c>
      <c r="D2166" t="s">
        <v>2272</v>
      </c>
      <c r="E2166" t="s">
        <v>2282</v>
      </c>
      <c r="F2166" t="s">
        <v>148</v>
      </c>
      <c r="G2166" t="s">
        <v>310</v>
      </c>
      <c r="H2166" t="s">
        <v>5042</v>
      </c>
      <c r="I2166" t="s">
        <v>40</v>
      </c>
      <c r="J2166" t="s">
        <v>109</v>
      </c>
      <c r="K2166" t="s">
        <v>42</v>
      </c>
      <c r="L2166" t="s">
        <v>1943</v>
      </c>
      <c r="N2166" t="s">
        <v>14092</v>
      </c>
      <c r="O2166" t="s">
        <v>2275</v>
      </c>
      <c r="Q2166">
        <v>30380</v>
      </c>
      <c r="R2166" t="s">
        <v>703</v>
      </c>
      <c r="S2166" t="s">
        <v>6830</v>
      </c>
      <c r="T2166">
        <v>25</v>
      </c>
      <c r="U2166" s="2" t="s">
        <v>14093</v>
      </c>
      <c r="W2166" t="s">
        <v>373</v>
      </c>
      <c r="X2166">
        <v>120002026</v>
      </c>
      <c r="Y2166" t="s">
        <v>2099</v>
      </c>
      <c r="Z2166" t="s">
        <v>2100</v>
      </c>
      <c r="AA2166" s="2" t="s">
        <v>2101</v>
      </c>
      <c r="AB2166" t="s">
        <v>88</v>
      </c>
      <c r="AG2166" t="s">
        <v>14094</v>
      </c>
      <c r="AH2166" t="s">
        <v>14095</v>
      </c>
      <c r="AI2166" t="s">
        <v>14096</v>
      </c>
    </row>
    <row r="2167" spans="2:35" ht="409.5">
      <c r="B2167" s="1">
        <v>45713</v>
      </c>
      <c r="C2167" s="1">
        <v>45713</v>
      </c>
      <c r="D2167" t="s">
        <v>2272</v>
      </c>
      <c r="E2167" t="s">
        <v>10512</v>
      </c>
      <c r="F2167" t="s">
        <v>148</v>
      </c>
      <c r="G2167" t="s">
        <v>310</v>
      </c>
      <c r="H2167" t="s">
        <v>14097</v>
      </c>
      <c r="I2167" t="s">
        <v>40</v>
      </c>
      <c r="J2167" t="s">
        <v>109</v>
      </c>
      <c r="K2167" t="s">
        <v>42</v>
      </c>
      <c r="L2167" t="s">
        <v>1943</v>
      </c>
      <c r="N2167" t="s">
        <v>1944</v>
      </c>
      <c r="O2167" t="s">
        <v>2275</v>
      </c>
      <c r="Q2167">
        <v>30379</v>
      </c>
      <c r="R2167" t="s">
        <v>703</v>
      </c>
      <c r="S2167" t="s">
        <v>5674</v>
      </c>
      <c r="T2167">
        <v>25</v>
      </c>
      <c r="W2167" t="s">
        <v>84</v>
      </c>
      <c r="X2167">
        <v>835604</v>
      </c>
      <c r="Y2167" t="s">
        <v>2099</v>
      </c>
      <c r="Z2167" t="s">
        <v>2100</v>
      </c>
      <c r="AA2167" s="2" t="s">
        <v>2101</v>
      </c>
      <c r="AB2167" t="s">
        <v>14098</v>
      </c>
      <c r="AG2167" t="s">
        <v>14099</v>
      </c>
      <c r="AH2167" t="s">
        <v>14100</v>
      </c>
      <c r="AI2167" t="s">
        <v>14101</v>
      </c>
    </row>
    <row r="2168" spans="2:35" ht="240">
      <c r="B2168" s="1">
        <v>45713</v>
      </c>
      <c r="C2168" s="1">
        <v>45706</v>
      </c>
      <c r="D2168" t="s">
        <v>14102</v>
      </c>
      <c r="E2168" t="s">
        <v>14103</v>
      </c>
      <c r="F2168">
        <v>7</v>
      </c>
      <c r="G2168" t="s">
        <v>432</v>
      </c>
      <c r="H2168" t="s">
        <v>608</v>
      </c>
      <c r="I2168" t="s">
        <v>40</v>
      </c>
      <c r="J2168" s="2" t="s">
        <v>14104</v>
      </c>
      <c r="K2168" t="s">
        <v>42</v>
      </c>
      <c r="L2168" t="s">
        <v>610</v>
      </c>
      <c r="N2168" t="s">
        <v>611</v>
      </c>
      <c r="Q2168">
        <v>30378</v>
      </c>
      <c r="R2168" t="s">
        <v>119</v>
      </c>
      <c r="S2168" t="s">
        <v>9023</v>
      </c>
      <c r="T2168">
        <v>25</v>
      </c>
      <c r="U2168" s="2" t="s">
        <v>1509</v>
      </c>
      <c r="W2168" t="s">
        <v>360</v>
      </c>
      <c r="X2168">
        <v>838283</v>
      </c>
      <c r="Y2168" s="2" t="s">
        <v>14105</v>
      </c>
      <c r="Z2168" s="2" t="s">
        <v>14105</v>
      </c>
      <c r="AA2168" s="2" t="s">
        <v>14105</v>
      </c>
      <c r="AB2168" t="s">
        <v>7886</v>
      </c>
      <c r="AG2168" t="s">
        <v>14106</v>
      </c>
      <c r="AH2168" t="s">
        <v>9029</v>
      </c>
      <c r="AI2168" t="s">
        <v>14107</v>
      </c>
    </row>
    <row r="2169" spans="2:35" ht="210">
      <c r="B2169" s="1">
        <v>45712</v>
      </c>
      <c r="C2169" s="1">
        <v>45708</v>
      </c>
      <c r="D2169" t="s">
        <v>6844</v>
      </c>
      <c r="E2169" t="s">
        <v>14108</v>
      </c>
      <c r="F2169">
        <v>12</v>
      </c>
      <c r="G2169" t="s">
        <v>294</v>
      </c>
      <c r="H2169" t="s">
        <v>1473</v>
      </c>
      <c r="I2169" t="s">
        <v>40</v>
      </c>
      <c r="J2169" t="s">
        <v>109</v>
      </c>
      <c r="K2169" t="s">
        <v>42</v>
      </c>
      <c r="L2169" t="s">
        <v>296</v>
      </c>
      <c r="N2169" t="s">
        <v>297</v>
      </c>
      <c r="Q2169">
        <v>30377</v>
      </c>
      <c r="R2169" t="s">
        <v>119</v>
      </c>
      <c r="S2169" t="s">
        <v>8928</v>
      </c>
      <c r="T2169">
        <v>27.1</v>
      </c>
      <c r="U2169" s="2" t="s">
        <v>11188</v>
      </c>
      <c r="W2169" t="s">
        <v>981</v>
      </c>
      <c r="X2169">
        <v>838261</v>
      </c>
      <c r="Y2169" t="s">
        <v>301</v>
      </c>
      <c r="Z2169" s="2" t="s">
        <v>14109</v>
      </c>
      <c r="AA2169" t="s">
        <v>303</v>
      </c>
      <c r="AB2169" t="s">
        <v>972</v>
      </c>
      <c r="AG2169" t="s">
        <v>14110</v>
      </c>
      <c r="AH2169" t="s">
        <v>8935</v>
      </c>
      <c r="AI2169" t="s">
        <v>14111</v>
      </c>
    </row>
    <row r="2170" spans="2:35" ht="135">
      <c r="B2170" s="1">
        <v>45712</v>
      </c>
      <c r="C2170" s="1">
        <v>45709</v>
      </c>
      <c r="D2170" t="s">
        <v>7593</v>
      </c>
      <c r="E2170" t="s">
        <v>7594</v>
      </c>
      <c r="F2170">
        <v>1</v>
      </c>
      <c r="G2170" t="s">
        <v>1909</v>
      </c>
      <c r="H2170" t="s">
        <v>39</v>
      </c>
      <c r="I2170" t="s">
        <v>40</v>
      </c>
      <c r="J2170" t="s">
        <v>109</v>
      </c>
      <c r="K2170" t="s">
        <v>42</v>
      </c>
      <c r="L2170" t="s">
        <v>1048</v>
      </c>
      <c r="N2170" t="s">
        <v>1049</v>
      </c>
      <c r="Q2170">
        <v>30376</v>
      </c>
      <c r="R2170" t="s">
        <v>119</v>
      </c>
      <c r="S2170" t="s">
        <v>7595</v>
      </c>
      <c r="T2170">
        <v>23</v>
      </c>
      <c r="U2170" s="2" t="s">
        <v>14112</v>
      </c>
      <c r="W2170" t="s">
        <v>1051</v>
      </c>
      <c r="X2170">
        <v>838426</v>
      </c>
      <c r="Y2170" t="s">
        <v>1052</v>
      </c>
      <c r="Z2170" t="e">
        <f ca="1">- cleaned cartridge Bays, plunger Rods _xludf.and I-CORE
- generated reports</f>
        <v>#NAME?</v>
      </c>
      <c r="AA2170" t="s">
        <v>820</v>
      </c>
      <c r="AB2170" s="2" t="s">
        <v>14113</v>
      </c>
      <c r="AG2170" t="s">
        <v>14114</v>
      </c>
      <c r="AH2170" t="s">
        <v>10444</v>
      </c>
      <c r="AI2170" t="s">
        <v>14115</v>
      </c>
    </row>
    <row r="2171" spans="2:35" ht="105">
      <c r="B2171" s="1">
        <v>45712</v>
      </c>
      <c r="C2171" s="1">
        <v>45708</v>
      </c>
      <c r="D2171" t="s">
        <v>1065</v>
      </c>
      <c r="E2171" t="s">
        <v>1066</v>
      </c>
      <c r="F2171">
        <v>1</v>
      </c>
      <c r="G2171" t="s">
        <v>1046</v>
      </c>
      <c r="H2171" t="s">
        <v>1047</v>
      </c>
      <c r="I2171" t="s">
        <v>40</v>
      </c>
      <c r="J2171" t="s">
        <v>109</v>
      </c>
      <c r="K2171" t="s">
        <v>42</v>
      </c>
      <c r="L2171" t="s">
        <v>1048</v>
      </c>
      <c r="N2171" t="s">
        <v>1049</v>
      </c>
      <c r="Q2171">
        <v>30375</v>
      </c>
      <c r="R2171" t="s">
        <v>119</v>
      </c>
      <c r="S2171" t="s">
        <v>1067</v>
      </c>
      <c r="T2171">
        <v>28</v>
      </c>
      <c r="U2171" s="2" t="s">
        <v>14116</v>
      </c>
      <c r="W2171" t="s">
        <v>1051</v>
      </c>
      <c r="X2171">
        <v>838284</v>
      </c>
      <c r="Y2171" t="s">
        <v>1052</v>
      </c>
      <c r="Z2171" t="e">
        <f ca="1">- cleaned cartridge Bays, plunger Rods _xludf.and I-CORE
- generated reports</f>
        <v>#NAME?</v>
      </c>
      <c r="AA2171" t="s">
        <v>820</v>
      </c>
      <c r="AB2171" t="e">
        <f ca="1">- Unit is Fully operational</f>
        <v>#NAME?</v>
      </c>
      <c r="AG2171" t="s">
        <v>14117</v>
      </c>
      <c r="AH2171" t="s">
        <v>1069</v>
      </c>
      <c r="AI2171" t="s">
        <v>14118</v>
      </c>
    </row>
    <row r="2172" spans="2:35" ht="105">
      <c r="B2172" s="1">
        <v>45712</v>
      </c>
      <c r="C2172" s="1">
        <v>45707</v>
      </c>
      <c r="D2172" t="s">
        <v>4523</v>
      </c>
      <c r="E2172" t="s">
        <v>14119</v>
      </c>
      <c r="F2172">
        <v>1</v>
      </c>
      <c r="G2172" t="s">
        <v>1046</v>
      </c>
      <c r="H2172" t="s">
        <v>1047</v>
      </c>
      <c r="I2172" t="s">
        <v>40</v>
      </c>
      <c r="J2172" t="s">
        <v>109</v>
      </c>
      <c r="K2172" t="s">
        <v>42</v>
      </c>
      <c r="L2172" t="s">
        <v>1048</v>
      </c>
      <c r="N2172" t="s">
        <v>1049</v>
      </c>
      <c r="Q2172">
        <v>30374</v>
      </c>
      <c r="R2172" t="s">
        <v>119</v>
      </c>
      <c r="S2172" t="s">
        <v>7964</v>
      </c>
      <c r="T2172">
        <v>28</v>
      </c>
      <c r="U2172" s="2" t="s">
        <v>14120</v>
      </c>
      <c r="W2172" t="s">
        <v>1051</v>
      </c>
      <c r="X2172">
        <v>838286</v>
      </c>
      <c r="Y2172" t="s">
        <v>1052</v>
      </c>
      <c r="Z2172" t="e">
        <f ca="1">- cleaned cartridge Bays, plunger Rods _xludf.and I-CORE
- generated reports</f>
        <v>#NAME?</v>
      </c>
      <c r="AA2172" t="s">
        <v>820</v>
      </c>
      <c r="AB2172" t="s">
        <v>1428</v>
      </c>
      <c r="AG2172" t="s">
        <v>14121</v>
      </c>
      <c r="AH2172" t="s">
        <v>8788</v>
      </c>
      <c r="AI2172" t="s">
        <v>14122</v>
      </c>
    </row>
    <row r="2173" spans="2:35" ht="105">
      <c r="B2173" s="1">
        <v>45712</v>
      </c>
      <c r="C2173" s="1">
        <v>45707</v>
      </c>
      <c r="D2173" t="s">
        <v>4511</v>
      </c>
      <c r="E2173" t="s">
        <v>14123</v>
      </c>
      <c r="F2173">
        <v>1</v>
      </c>
      <c r="G2173" t="s">
        <v>1046</v>
      </c>
      <c r="H2173" t="s">
        <v>1047</v>
      </c>
      <c r="I2173" t="s">
        <v>40</v>
      </c>
      <c r="J2173" t="s">
        <v>109</v>
      </c>
      <c r="K2173" t="s">
        <v>42</v>
      </c>
      <c r="L2173" t="s">
        <v>1048</v>
      </c>
      <c r="N2173" t="s">
        <v>1049</v>
      </c>
      <c r="Q2173">
        <v>30373</v>
      </c>
      <c r="R2173" t="s">
        <v>119</v>
      </c>
      <c r="S2173" t="s">
        <v>4513</v>
      </c>
      <c r="T2173">
        <v>26</v>
      </c>
      <c r="U2173" s="2" t="s">
        <v>14124</v>
      </c>
      <c r="W2173" t="s">
        <v>1051</v>
      </c>
      <c r="X2173">
        <v>838288</v>
      </c>
      <c r="Y2173" t="s">
        <v>1052</v>
      </c>
      <c r="Z2173" t="e">
        <f ca="1">- cleaned cartridge Bays, plunger Rods _xludf.and I-CORE
- generated reports</f>
        <v>#NAME?</v>
      </c>
      <c r="AA2173" t="s">
        <v>820</v>
      </c>
      <c r="AB2173" t="s">
        <v>1428</v>
      </c>
      <c r="AG2173" t="s">
        <v>14125</v>
      </c>
      <c r="AH2173" t="s">
        <v>4515</v>
      </c>
      <c r="AI2173" t="s">
        <v>14126</v>
      </c>
    </row>
    <row r="2174" spans="2:35" ht="105">
      <c r="B2174" s="1">
        <v>45712</v>
      </c>
      <c r="C2174" s="1">
        <v>45707</v>
      </c>
      <c r="D2174" t="s">
        <v>4517</v>
      </c>
      <c r="E2174" t="s">
        <v>4518</v>
      </c>
      <c r="F2174">
        <v>1</v>
      </c>
      <c r="G2174" t="s">
        <v>1046</v>
      </c>
      <c r="H2174" t="s">
        <v>39</v>
      </c>
      <c r="I2174" t="s">
        <v>40</v>
      </c>
      <c r="J2174" t="s">
        <v>109</v>
      </c>
      <c r="K2174" t="s">
        <v>42</v>
      </c>
      <c r="L2174" t="s">
        <v>1048</v>
      </c>
      <c r="N2174" t="s">
        <v>1049</v>
      </c>
      <c r="Q2174">
        <v>30372</v>
      </c>
      <c r="R2174" t="s">
        <v>119</v>
      </c>
      <c r="S2174" t="s">
        <v>7992</v>
      </c>
      <c r="T2174">
        <v>30</v>
      </c>
      <c r="U2174" s="2" t="s">
        <v>14127</v>
      </c>
      <c r="W2174" t="s">
        <v>1051</v>
      </c>
      <c r="X2174">
        <v>838467</v>
      </c>
      <c r="Y2174" t="s">
        <v>1052</v>
      </c>
      <c r="Z2174" t="e">
        <f ca="1">- cleaned cartridge Bays, plunger Rods _xludf.and I-CORE
- generated reports</f>
        <v>#NAME?</v>
      </c>
      <c r="AA2174" t="s">
        <v>820</v>
      </c>
      <c r="AB2174" t="s">
        <v>1428</v>
      </c>
      <c r="AG2174" t="s">
        <v>14128</v>
      </c>
      <c r="AH2174" t="s">
        <v>13014</v>
      </c>
      <c r="AI2174" t="s">
        <v>14129</v>
      </c>
    </row>
    <row r="2175" spans="2:35" ht="409.5">
      <c r="B2175" s="1">
        <v>45712</v>
      </c>
      <c r="C2175" s="1">
        <v>45709</v>
      </c>
      <c r="D2175" t="s">
        <v>3669</v>
      </c>
      <c r="E2175" t="s">
        <v>10908</v>
      </c>
      <c r="F2175" t="s">
        <v>37</v>
      </c>
      <c r="G2175" t="s">
        <v>38</v>
      </c>
      <c r="H2175" t="s">
        <v>39</v>
      </c>
      <c r="I2175" t="s">
        <v>40</v>
      </c>
      <c r="J2175" t="s">
        <v>109</v>
      </c>
      <c r="K2175" t="s">
        <v>42</v>
      </c>
      <c r="L2175" t="s">
        <v>43</v>
      </c>
      <c r="N2175" t="s">
        <v>44</v>
      </c>
      <c r="Q2175">
        <v>30371</v>
      </c>
      <c r="R2175" t="s">
        <v>95</v>
      </c>
      <c r="S2175" t="s">
        <v>5945</v>
      </c>
      <c r="T2175">
        <v>22</v>
      </c>
      <c r="U2175" s="2" t="s">
        <v>14130</v>
      </c>
      <c r="V2175" s="1">
        <v>45705</v>
      </c>
      <c r="W2175" t="s">
        <v>48</v>
      </c>
      <c r="X2175">
        <v>110005265</v>
      </c>
      <c r="Y2175" t="s">
        <v>14131</v>
      </c>
      <c r="Z2175" t="s">
        <v>14132</v>
      </c>
      <c r="AA2175" s="2" t="s">
        <v>14133</v>
      </c>
      <c r="AB2175" t="s">
        <v>548</v>
      </c>
      <c r="AE2175" t="s">
        <v>14134</v>
      </c>
      <c r="AG2175" t="s">
        <v>14135</v>
      </c>
      <c r="AH2175" t="s">
        <v>14136</v>
      </c>
      <c r="AI2175" t="s">
        <v>14137</v>
      </c>
    </row>
    <row r="2176" spans="2:35" ht="345">
      <c r="B2176" s="1">
        <v>45712</v>
      </c>
      <c r="C2176" s="1">
        <v>45709</v>
      </c>
      <c r="D2176" t="s">
        <v>14138</v>
      </c>
      <c r="E2176" t="s">
        <v>2569</v>
      </c>
      <c r="F2176" t="s">
        <v>148</v>
      </c>
      <c r="G2176" t="s">
        <v>447</v>
      </c>
      <c r="H2176" t="s">
        <v>662</v>
      </c>
      <c r="I2176" t="s">
        <v>40</v>
      </c>
      <c r="J2176" t="s">
        <v>109</v>
      </c>
      <c r="K2176" t="s">
        <v>42</v>
      </c>
      <c r="L2176" t="s">
        <v>448</v>
      </c>
      <c r="N2176" t="s">
        <v>450</v>
      </c>
      <c r="O2176" t="s">
        <v>6501</v>
      </c>
      <c r="Q2176">
        <v>30370</v>
      </c>
      <c r="R2176" t="s">
        <v>703</v>
      </c>
      <c r="S2176" t="s">
        <v>14139</v>
      </c>
      <c r="T2176">
        <v>23</v>
      </c>
      <c r="U2176" s="2" t="s">
        <v>14140</v>
      </c>
      <c r="W2176" t="s">
        <v>1139</v>
      </c>
      <c r="X2176">
        <v>110020700</v>
      </c>
      <c r="Y2176" t="s">
        <v>2692</v>
      </c>
      <c r="Z2176" s="2" t="s">
        <v>13693</v>
      </c>
      <c r="AA2176" t="s">
        <v>122</v>
      </c>
      <c r="AB2176" t="s">
        <v>486</v>
      </c>
      <c r="AG2176" t="s">
        <v>14141</v>
      </c>
      <c r="AH2176" t="s">
        <v>6499</v>
      </c>
      <c r="AI2176" t="s">
        <v>14142</v>
      </c>
    </row>
    <row r="2177" spans="2:35" ht="409.5">
      <c r="B2177" s="1">
        <v>45712</v>
      </c>
      <c r="C2177" s="1">
        <v>45709</v>
      </c>
      <c r="D2177" t="s">
        <v>4492</v>
      </c>
      <c r="E2177" t="s">
        <v>14143</v>
      </c>
      <c r="F2177" t="s">
        <v>148</v>
      </c>
      <c r="G2177" t="s">
        <v>447</v>
      </c>
      <c r="H2177" t="s">
        <v>39</v>
      </c>
      <c r="I2177" t="s">
        <v>40</v>
      </c>
      <c r="J2177" t="s">
        <v>109</v>
      </c>
      <c r="K2177" t="s">
        <v>42</v>
      </c>
      <c r="L2177" t="s">
        <v>448</v>
      </c>
      <c r="N2177" t="s">
        <v>650</v>
      </c>
      <c r="O2177" t="s">
        <v>14144</v>
      </c>
      <c r="Q2177">
        <v>30369</v>
      </c>
      <c r="R2177" t="s">
        <v>95</v>
      </c>
      <c r="S2177" t="s">
        <v>6791</v>
      </c>
      <c r="T2177">
        <v>26</v>
      </c>
      <c r="U2177" s="2" t="s">
        <v>14145</v>
      </c>
      <c r="W2177" t="s">
        <v>1139</v>
      </c>
      <c r="X2177">
        <v>110008529</v>
      </c>
      <c r="Y2177" s="2" t="s">
        <v>14146</v>
      </c>
      <c r="Z2177" s="2" t="s">
        <v>13693</v>
      </c>
      <c r="AA2177" t="s">
        <v>122</v>
      </c>
      <c r="AB2177" t="s">
        <v>486</v>
      </c>
      <c r="AG2177" t="s">
        <v>14147</v>
      </c>
      <c r="AH2177" t="s">
        <v>4492</v>
      </c>
      <c r="AI2177" t="s">
        <v>14148</v>
      </c>
    </row>
    <row r="2178" spans="2:35" ht="105">
      <c r="B2178" s="1">
        <v>45712</v>
      </c>
      <c r="C2178" s="1">
        <v>45708</v>
      </c>
      <c r="D2178" t="s">
        <v>5903</v>
      </c>
      <c r="E2178" t="s">
        <v>2569</v>
      </c>
      <c r="F2178" t="s">
        <v>148</v>
      </c>
      <c r="G2178" t="s">
        <v>447</v>
      </c>
      <c r="H2178" t="s">
        <v>4614</v>
      </c>
      <c r="I2178" t="s">
        <v>40</v>
      </c>
      <c r="J2178" s="2" t="s">
        <v>760</v>
      </c>
      <c r="K2178" t="s">
        <v>387</v>
      </c>
      <c r="L2178" t="s">
        <v>448</v>
      </c>
      <c r="N2178" t="s">
        <v>650</v>
      </c>
      <c r="Q2178">
        <v>30368</v>
      </c>
      <c r="R2178" t="s">
        <v>322</v>
      </c>
      <c r="S2178" t="s">
        <v>5905</v>
      </c>
      <c r="T2178">
        <v>26</v>
      </c>
      <c r="W2178" t="s">
        <v>476</v>
      </c>
      <c r="X2178" t="s">
        <v>5906</v>
      </c>
      <c r="Y2178" t="s">
        <v>14149</v>
      </c>
      <c r="Z2178" s="2" t="s">
        <v>14150</v>
      </c>
      <c r="AA2178" t="s">
        <v>14151</v>
      </c>
      <c r="AB2178" t="s">
        <v>486</v>
      </c>
      <c r="AG2178" t="s">
        <v>14152</v>
      </c>
      <c r="AH2178" t="s">
        <v>14153</v>
      </c>
      <c r="AI2178" t="s">
        <v>14154</v>
      </c>
    </row>
    <row r="2179" spans="2:35" ht="405">
      <c r="B2179" s="1">
        <v>45710</v>
      </c>
      <c r="C2179" s="1">
        <v>45709</v>
      </c>
      <c r="D2179" t="s">
        <v>8698</v>
      </c>
      <c r="E2179" t="s">
        <v>10886</v>
      </c>
      <c r="F2179">
        <v>5</v>
      </c>
      <c r="G2179" t="s">
        <v>839</v>
      </c>
      <c r="H2179" t="s">
        <v>39</v>
      </c>
      <c r="I2179" t="s">
        <v>94</v>
      </c>
      <c r="J2179" t="s">
        <v>109</v>
      </c>
      <c r="K2179" t="s">
        <v>42</v>
      </c>
      <c r="L2179" t="s">
        <v>761</v>
      </c>
      <c r="N2179" t="s">
        <v>762</v>
      </c>
      <c r="Q2179">
        <v>30367</v>
      </c>
      <c r="R2179" t="s">
        <v>119</v>
      </c>
      <c r="S2179" t="s">
        <v>8700</v>
      </c>
      <c r="T2179">
        <v>26</v>
      </c>
      <c r="W2179" t="s">
        <v>765</v>
      </c>
      <c r="X2179">
        <v>838560</v>
      </c>
      <c r="Y2179" s="2" t="s">
        <v>14155</v>
      </c>
      <c r="Z2179" s="2" t="s">
        <v>14156</v>
      </c>
      <c r="AA2179" s="2" t="s">
        <v>14157</v>
      </c>
      <c r="AB2179" t="s">
        <v>70</v>
      </c>
      <c r="AC2179" t="s">
        <v>14158</v>
      </c>
      <c r="AG2179" t="s">
        <v>14159</v>
      </c>
      <c r="AH2179" t="s">
        <v>14160</v>
      </c>
      <c r="AI2179" t="s">
        <v>14161</v>
      </c>
    </row>
    <row r="2180" spans="2:35" ht="210">
      <c r="B2180" s="1">
        <v>45710</v>
      </c>
      <c r="C2180" s="1">
        <v>45708</v>
      </c>
      <c r="D2180" t="s">
        <v>8907</v>
      </c>
      <c r="E2180" t="s">
        <v>14162</v>
      </c>
      <c r="F2180">
        <v>5</v>
      </c>
      <c r="G2180" t="s">
        <v>839</v>
      </c>
      <c r="H2180" t="s">
        <v>39</v>
      </c>
      <c r="I2180" t="s">
        <v>94</v>
      </c>
      <c r="J2180" t="s">
        <v>525</v>
      </c>
      <c r="K2180" t="s">
        <v>42</v>
      </c>
      <c r="L2180" t="s">
        <v>761</v>
      </c>
      <c r="N2180" t="s">
        <v>762</v>
      </c>
      <c r="Q2180">
        <v>30366</v>
      </c>
      <c r="R2180" t="s">
        <v>119</v>
      </c>
      <c r="S2180" t="s">
        <v>8909</v>
      </c>
      <c r="T2180">
        <v>28</v>
      </c>
      <c r="W2180" t="s">
        <v>765</v>
      </c>
      <c r="X2180">
        <v>838389</v>
      </c>
      <c r="Y2180" t="s">
        <v>7566</v>
      </c>
      <c r="Z2180" s="2" t="s">
        <v>14163</v>
      </c>
      <c r="AA2180" t="s">
        <v>14164</v>
      </c>
      <c r="AB2180" t="s">
        <v>14165</v>
      </c>
      <c r="AC2180" t="s">
        <v>14166</v>
      </c>
      <c r="AG2180" t="s">
        <v>14167</v>
      </c>
      <c r="AH2180" t="s">
        <v>8912</v>
      </c>
      <c r="AI2180" t="s">
        <v>14168</v>
      </c>
    </row>
    <row r="2181" spans="2:35" ht="375">
      <c r="B2181" s="1">
        <v>45709</v>
      </c>
      <c r="C2181" s="1">
        <v>45709</v>
      </c>
      <c r="D2181" t="s">
        <v>14169</v>
      </c>
      <c r="E2181" t="s">
        <v>1285</v>
      </c>
      <c r="F2181">
        <v>6</v>
      </c>
      <c r="G2181" t="s">
        <v>1286</v>
      </c>
      <c r="H2181" t="s">
        <v>12018</v>
      </c>
      <c r="I2181" t="s">
        <v>40</v>
      </c>
      <c r="J2181" t="s">
        <v>109</v>
      </c>
      <c r="K2181" t="s">
        <v>387</v>
      </c>
      <c r="L2181" t="s">
        <v>1288</v>
      </c>
      <c r="N2181" t="s">
        <v>1289</v>
      </c>
      <c r="Q2181">
        <v>30365</v>
      </c>
      <c r="R2181" t="s">
        <v>95</v>
      </c>
      <c r="S2181" t="s">
        <v>14170</v>
      </c>
      <c r="T2181">
        <v>24</v>
      </c>
      <c r="W2181" t="s">
        <v>390</v>
      </c>
      <c r="X2181" t="s">
        <v>14171</v>
      </c>
      <c r="Y2181" t="s">
        <v>9143</v>
      </c>
      <c r="Z2181" t="e">
        <f ca="1">-COLLECT Configuration _xludf.and DIAGNOSTIC Data</f>
        <v>#NAME?</v>
      </c>
      <c r="AA2181" s="2" t="s">
        <v>14172</v>
      </c>
      <c r="AB2181" t="s">
        <v>1293</v>
      </c>
      <c r="AG2181" t="s">
        <v>14173</v>
      </c>
      <c r="AH2181" t="s">
        <v>14174</v>
      </c>
      <c r="AI2181" t="s">
        <v>14175</v>
      </c>
    </row>
    <row r="2182" spans="2:35" ht="105">
      <c r="B2182" s="1">
        <v>45709</v>
      </c>
      <c r="C2182" s="1">
        <v>45709</v>
      </c>
      <c r="D2182" t="s">
        <v>4746</v>
      </c>
      <c r="E2182" t="s">
        <v>4747</v>
      </c>
      <c r="F2182">
        <v>6</v>
      </c>
      <c r="G2182" t="s">
        <v>1286</v>
      </c>
      <c r="H2182" t="s">
        <v>39</v>
      </c>
      <c r="I2182" t="s">
        <v>40</v>
      </c>
      <c r="J2182" s="2" t="s">
        <v>62</v>
      </c>
      <c r="K2182" t="s">
        <v>42</v>
      </c>
      <c r="L2182" t="s">
        <v>1288</v>
      </c>
      <c r="N2182" t="s">
        <v>1289</v>
      </c>
      <c r="Q2182">
        <v>30364</v>
      </c>
      <c r="R2182" t="s">
        <v>119</v>
      </c>
      <c r="S2182" t="s">
        <v>4748</v>
      </c>
      <c r="T2182">
        <v>24</v>
      </c>
      <c r="U2182" s="2" t="s">
        <v>14176</v>
      </c>
      <c r="W2182" t="s">
        <v>1292</v>
      </c>
      <c r="X2182">
        <v>838501</v>
      </c>
      <c r="Y2182" t="s">
        <v>14177</v>
      </c>
      <c r="Z2182" t="e">
        <f ca="1">-COLLECT IQR, system _xludf.Log, _xludf.and CALIBRATION Data</f>
        <v>#NAME?</v>
      </c>
      <c r="AA2182" t="e">
        <f ca="1">-PERFORM PM PROCEDURE
-PERFORM module B2 CALIBRATION, module passed</f>
        <v>#NAME?</v>
      </c>
      <c r="AB2182" t="e">
        <f ca="1">-EQUIPMENT is operational</f>
        <v>#NAME?</v>
      </c>
      <c r="AG2182" t="s">
        <v>14178</v>
      </c>
      <c r="AH2182" t="s">
        <v>11965</v>
      </c>
      <c r="AI2182" t="s">
        <v>14179</v>
      </c>
    </row>
    <row r="2183" spans="2:35" ht="165">
      <c r="B2183" s="1">
        <v>45709</v>
      </c>
      <c r="C2183" s="1">
        <v>45706</v>
      </c>
      <c r="D2183" t="s">
        <v>6595</v>
      </c>
      <c r="E2183" t="s">
        <v>11765</v>
      </c>
      <c r="F2183" t="s">
        <v>148</v>
      </c>
      <c r="G2183" t="s">
        <v>785</v>
      </c>
      <c r="H2183" t="s">
        <v>39</v>
      </c>
      <c r="I2183" t="s">
        <v>40</v>
      </c>
      <c r="J2183" s="2" t="s">
        <v>41</v>
      </c>
      <c r="K2183" t="s">
        <v>42</v>
      </c>
      <c r="L2183" t="s">
        <v>43</v>
      </c>
      <c r="N2183" t="s">
        <v>44</v>
      </c>
      <c r="Q2183">
        <v>30362</v>
      </c>
      <c r="R2183" t="s">
        <v>322</v>
      </c>
      <c r="S2183" t="s">
        <v>786</v>
      </c>
      <c r="T2183">
        <v>24</v>
      </c>
      <c r="V2183" s="1">
        <v>45706</v>
      </c>
      <c r="W2183" t="s">
        <v>153</v>
      </c>
      <c r="X2183">
        <v>110025128</v>
      </c>
      <c r="Y2183" t="s">
        <v>962</v>
      </c>
      <c r="Z2183" t="s">
        <v>777</v>
      </c>
      <c r="AA2183" s="2" t="s">
        <v>14180</v>
      </c>
      <c r="AB2183" t="s">
        <v>548</v>
      </c>
      <c r="AD2183" s="2" t="s">
        <v>14181</v>
      </c>
      <c r="AE2183" t="s">
        <v>14182</v>
      </c>
      <c r="AG2183" t="s">
        <v>14183</v>
      </c>
      <c r="AH2183" t="s">
        <v>810</v>
      </c>
      <c r="AI2183" t="s">
        <v>14184</v>
      </c>
    </row>
    <row r="2184" spans="2:35" ht="409.5">
      <c r="B2184" s="1">
        <v>45709</v>
      </c>
      <c r="C2184" s="1">
        <v>45706</v>
      </c>
      <c r="D2184" t="s">
        <v>1081</v>
      </c>
      <c r="E2184" t="s">
        <v>1082</v>
      </c>
      <c r="F2184" t="s">
        <v>148</v>
      </c>
      <c r="G2184" t="s">
        <v>785</v>
      </c>
      <c r="H2184" t="s">
        <v>39</v>
      </c>
      <c r="I2184" t="s">
        <v>40</v>
      </c>
      <c r="J2184" s="2" t="s">
        <v>190</v>
      </c>
      <c r="K2184" t="s">
        <v>42</v>
      </c>
      <c r="L2184" t="s">
        <v>43</v>
      </c>
      <c r="N2184" t="s">
        <v>44</v>
      </c>
      <c r="Q2184">
        <v>30363</v>
      </c>
      <c r="R2184" t="s">
        <v>95</v>
      </c>
      <c r="S2184" t="s">
        <v>2016</v>
      </c>
      <c r="T2184">
        <v>22</v>
      </c>
      <c r="U2184" s="2" t="s">
        <v>14185</v>
      </c>
      <c r="V2184" s="1">
        <v>45705</v>
      </c>
      <c r="W2184" t="s">
        <v>5136</v>
      </c>
      <c r="X2184">
        <v>110015767</v>
      </c>
      <c r="Y2184" t="s">
        <v>3891</v>
      </c>
      <c r="Z2184" t="s">
        <v>14132</v>
      </c>
      <c r="AA2184" s="2" t="s">
        <v>14186</v>
      </c>
      <c r="AB2184" t="s">
        <v>548</v>
      </c>
      <c r="AC2184" t="s">
        <v>14187</v>
      </c>
      <c r="AE2184" t="s">
        <v>14188</v>
      </c>
      <c r="AG2184" t="s">
        <v>14189</v>
      </c>
      <c r="AH2184" t="s">
        <v>2022</v>
      </c>
      <c r="AI2184" t="s">
        <v>14190</v>
      </c>
    </row>
    <row r="2185" spans="2:35" ht="195">
      <c r="B2185" s="1">
        <v>45709</v>
      </c>
      <c r="C2185" s="1">
        <v>45708</v>
      </c>
      <c r="D2185" t="s">
        <v>6873</v>
      </c>
      <c r="E2185" t="s">
        <v>5952</v>
      </c>
      <c r="F2185" t="s">
        <v>37</v>
      </c>
      <c r="G2185" t="s">
        <v>78</v>
      </c>
      <c r="H2185" t="s">
        <v>386</v>
      </c>
      <c r="I2185" t="s">
        <v>40</v>
      </c>
      <c r="J2185" s="2" t="s">
        <v>62</v>
      </c>
      <c r="K2185" t="s">
        <v>387</v>
      </c>
      <c r="L2185" t="s">
        <v>43</v>
      </c>
      <c r="N2185" t="s">
        <v>44</v>
      </c>
      <c r="Q2185">
        <v>30361</v>
      </c>
      <c r="R2185" t="s">
        <v>95</v>
      </c>
      <c r="S2185" t="s">
        <v>5953</v>
      </c>
      <c r="T2185">
        <v>24</v>
      </c>
      <c r="W2185" t="s">
        <v>390</v>
      </c>
      <c r="X2185" t="s">
        <v>5954</v>
      </c>
      <c r="Y2185" t="s">
        <v>9934</v>
      </c>
      <c r="Z2185" t="s">
        <v>5230</v>
      </c>
      <c r="AA2185" s="2" t="s">
        <v>14191</v>
      </c>
      <c r="AB2185" t="s">
        <v>14192</v>
      </c>
      <c r="AC2185" t="s">
        <v>14193</v>
      </c>
      <c r="AG2185" t="s">
        <v>14194</v>
      </c>
      <c r="AH2185" t="s">
        <v>14195</v>
      </c>
      <c r="AI2185" t="s">
        <v>14196</v>
      </c>
    </row>
    <row r="2186" spans="2:35" ht="330">
      <c r="B2186" s="1">
        <v>45708</v>
      </c>
      <c r="C2186" s="1">
        <v>45708</v>
      </c>
      <c r="D2186" t="s">
        <v>14197</v>
      </c>
      <c r="E2186" t="s">
        <v>14198</v>
      </c>
      <c r="F2186">
        <v>6</v>
      </c>
      <c r="G2186" t="s">
        <v>1286</v>
      </c>
      <c r="H2186" t="s">
        <v>10969</v>
      </c>
      <c r="I2186" t="s">
        <v>40</v>
      </c>
      <c r="J2186" s="2" t="s">
        <v>41</v>
      </c>
      <c r="K2186" t="s">
        <v>42</v>
      </c>
      <c r="L2186" t="s">
        <v>1288</v>
      </c>
      <c r="N2186" t="s">
        <v>1289</v>
      </c>
      <c r="Q2186">
        <v>30360</v>
      </c>
      <c r="R2186" t="s">
        <v>967</v>
      </c>
      <c r="S2186" t="s">
        <v>14199</v>
      </c>
      <c r="T2186">
        <v>24</v>
      </c>
      <c r="U2186" s="2" t="s">
        <v>14200</v>
      </c>
      <c r="V2186" s="1">
        <v>45684</v>
      </c>
      <c r="W2186" t="s">
        <v>1292</v>
      </c>
      <c r="X2186">
        <v>110023531</v>
      </c>
      <c r="Y2186" t="e">
        <f ca="1">-_xludf.For module B1 Replacement</f>
        <v>#NAME?</v>
      </c>
      <c r="Z2186" t="e">
        <f ca="1">-COLLECT IQR,system _xludf.Log,_xludf.and ARCHIVE</f>
        <v>#NAME?</v>
      </c>
      <c r="AA2186" s="2" t="s">
        <v>14201</v>
      </c>
      <c r="AB2186" t="s">
        <v>1293</v>
      </c>
      <c r="AD2186" t="s">
        <v>14202</v>
      </c>
      <c r="AE2186">
        <v>12603</v>
      </c>
      <c r="AG2186" t="s">
        <v>14203</v>
      </c>
      <c r="AH2186" t="s">
        <v>14204</v>
      </c>
      <c r="AI2186" t="s">
        <v>14205</v>
      </c>
    </row>
    <row r="2187" spans="2:35" ht="330">
      <c r="B2187" s="1">
        <v>45708</v>
      </c>
      <c r="C2187" s="1">
        <v>45708</v>
      </c>
      <c r="D2187" t="s">
        <v>14197</v>
      </c>
      <c r="E2187" t="s">
        <v>14198</v>
      </c>
      <c r="F2187">
        <v>6</v>
      </c>
      <c r="G2187" t="s">
        <v>1286</v>
      </c>
      <c r="H2187" t="s">
        <v>10969</v>
      </c>
      <c r="I2187" t="s">
        <v>40</v>
      </c>
      <c r="J2187" s="2" t="s">
        <v>41</v>
      </c>
      <c r="K2187" t="s">
        <v>42</v>
      </c>
      <c r="L2187" t="s">
        <v>1288</v>
      </c>
      <c r="N2187" t="s">
        <v>1289</v>
      </c>
      <c r="Q2187">
        <v>30359</v>
      </c>
      <c r="R2187" t="s">
        <v>967</v>
      </c>
      <c r="S2187" t="s">
        <v>14199</v>
      </c>
      <c r="T2187">
        <v>24</v>
      </c>
      <c r="U2187" s="2" t="s">
        <v>14200</v>
      </c>
      <c r="V2187" s="1">
        <v>45684</v>
      </c>
      <c r="W2187" t="s">
        <v>1292</v>
      </c>
      <c r="X2187">
        <v>110023531</v>
      </c>
      <c r="Y2187" t="e">
        <f ca="1">-_xludf.For module B1 Replacement</f>
        <v>#NAME?</v>
      </c>
      <c r="Z2187" t="e">
        <f ca="1">-COLLECT IQR,system _xludf.Log,_xludf.and ARCHIVE</f>
        <v>#NAME?</v>
      </c>
      <c r="AA2187" s="2" t="s">
        <v>14201</v>
      </c>
      <c r="AB2187" t="s">
        <v>1293</v>
      </c>
      <c r="AD2187" t="s">
        <v>14202</v>
      </c>
      <c r="AE2187">
        <v>12603</v>
      </c>
      <c r="AG2187" t="s">
        <v>14206</v>
      </c>
      <c r="AH2187" t="s">
        <v>14204</v>
      </c>
      <c r="AI2187" t="s">
        <v>14207</v>
      </c>
    </row>
    <row r="2188" spans="2:35">
      <c r="B2188" s="1">
        <v>45708</v>
      </c>
      <c r="C2188" s="1">
        <v>45708</v>
      </c>
      <c r="D2188" t="s">
        <v>7751</v>
      </c>
      <c r="E2188" t="s">
        <v>7752</v>
      </c>
      <c r="F2188">
        <v>13</v>
      </c>
      <c r="G2188" t="s">
        <v>4484</v>
      </c>
      <c r="H2188" t="s">
        <v>202</v>
      </c>
      <c r="I2188" t="s">
        <v>40</v>
      </c>
      <c r="J2188" t="s">
        <v>109</v>
      </c>
      <c r="K2188" t="s">
        <v>42</v>
      </c>
      <c r="L2188" t="s">
        <v>933</v>
      </c>
      <c r="N2188" t="s">
        <v>934</v>
      </c>
      <c r="Q2188">
        <v>30358</v>
      </c>
      <c r="R2188" t="s">
        <v>119</v>
      </c>
      <c r="S2188" t="s">
        <v>7753</v>
      </c>
      <c r="T2188">
        <v>29</v>
      </c>
      <c r="W2188" t="s">
        <v>2127</v>
      </c>
      <c r="X2188">
        <v>838403</v>
      </c>
      <c r="Y2188" t="s">
        <v>301</v>
      </c>
      <c r="Z2188" t="s">
        <v>301</v>
      </c>
      <c r="AA2188" t="s">
        <v>3128</v>
      </c>
      <c r="AB2188" t="s">
        <v>2131</v>
      </c>
      <c r="AG2188" t="s">
        <v>14208</v>
      </c>
      <c r="AH2188" t="s">
        <v>8835</v>
      </c>
      <c r="AI2188" t="s">
        <v>14209</v>
      </c>
    </row>
    <row r="2189" spans="2:35">
      <c r="B2189" s="1">
        <v>45708</v>
      </c>
      <c r="C2189" s="1">
        <v>45707</v>
      </c>
      <c r="D2189" t="s">
        <v>7761</v>
      </c>
      <c r="E2189" t="s">
        <v>14210</v>
      </c>
      <c r="F2189">
        <v>13</v>
      </c>
      <c r="G2189" t="s">
        <v>7763</v>
      </c>
      <c r="H2189" t="s">
        <v>202</v>
      </c>
      <c r="I2189" t="s">
        <v>40</v>
      </c>
      <c r="J2189" t="s">
        <v>109</v>
      </c>
      <c r="K2189" t="s">
        <v>42</v>
      </c>
      <c r="L2189" t="s">
        <v>933</v>
      </c>
      <c r="N2189" t="s">
        <v>934</v>
      </c>
      <c r="Q2189">
        <v>30357</v>
      </c>
      <c r="R2189" t="s">
        <v>119</v>
      </c>
      <c r="S2189" t="s">
        <v>10603</v>
      </c>
      <c r="T2189">
        <v>27</v>
      </c>
      <c r="W2189" t="s">
        <v>2127</v>
      </c>
      <c r="X2189">
        <v>838275</v>
      </c>
      <c r="Y2189" t="s">
        <v>301</v>
      </c>
      <c r="Z2189" t="s">
        <v>301</v>
      </c>
      <c r="AA2189" t="s">
        <v>3128</v>
      </c>
      <c r="AB2189" t="s">
        <v>2131</v>
      </c>
      <c r="AG2189" t="s">
        <v>14211</v>
      </c>
      <c r="AH2189" t="s">
        <v>10608</v>
      </c>
      <c r="AI2189" t="s">
        <v>14212</v>
      </c>
    </row>
    <row r="2190" spans="2:35" ht="345">
      <c r="B2190" s="1">
        <v>45708</v>
      </c>
      <c r="C2190" s="1">
        <v>45708</v>
      </c>
      <c r="D2190" t="s">
        <v>8914</v>
      </c>
      <c r="E2190" t="s">
        <v>14213</v>
      </c>
      <c r="F2190">
        <v>5</v>
      </c>
      <c r="G2190" t="s">
        <v>759</v>
      </c>
      <c r="H2190" t="s">
        <v>39</v>
      </c>
      <c r="I2190" t="s">
        <v>94</v>
      </c>
      <c r="J2190" t="s">
        <v>525</v>
      </c>
      <c r="K2190" t="s">
        <v>42</v>
      </c>
      <c r="L2190" t="s">
        <v>761</v>
      </c>
      <c r="N2190" t="s">
        <v>762</v>
      </c>
      <c r="Q2190">
        <v>30356</v>
      </c>
      <c r="R2190" t="s">
        <v>119</v>
      </c>
      <c r="S2190" t="s">
        <v>8916</v>
      </c>
      <c r="T2190">
        <v>25</v>
      </c>
      <c r="U2190" s="2" t="s">
        <v>14214</v>
      </c>
      <c r="W2190" t="s">
        <v>765</v>
      </c>
      <c r="X2190">
        <v>838558</v>
      </c>
      <c r="Y2190" t="s">
        <v>14215</v>
      </c>
      <c r="Z2190" s="2" t="s">
        <v>14216</v>
      </c>
      <c r="AA2190" t="s">
        <v>1935</v>
      </c>
      <c r="AB2190" t="s">
        <v>181</v>
      </c>
      <c r="AC2190" t="s">
        <v>14217</v>
      </c>
      <c r="AG2190" t="s">
        <v>14218</v>
      </c>
      <c r="AH2190" t="s">
        <v>14219</v>
      </c>
      <c r="AI2190" t="s">
        <v>14220</v>
      </c>
    </row>
    <row r="2191" spans="2:35">
      <c r="B2191" s="1">
        <v>45708</v>
      </c>
      <c r="C2191" s="1">
        <v>45708</v>
      </c>
      <c r="D2191" t="s">
        <v>8654</v>
      </c>
      <c r="E2191" t="s">
        <v>8655</v>
      </c>
      <c r="F2191">
        <v>8</v>
      </c>
      <c r="G2191" t="s">
        <v>257</v>
      </c>
      <c r="H2191" t="s">
        <v>258</v>
      </c>
      <c r="I2191" t="s">
        <v>40</v>
      </c>
      <c r="J2191" t="s">
        <v>109</v>
      </c>
      <c r="K2191" t="s">
        <v>42</v>
      </c>
      <c r="L2191" t="s">
        <v>259</v>
      </c>
      <c r="N2191" t="s">
        <v>260</v>
      </c>
      <c r="Q2191">
        <v>30355</v>
      </c>
      <c r="R2191" t="s">
        <v>119</v>
      </c>
      <c r="S2191" t="s">
        <v>14221</v>
      </c>
      <c r="T2191">
        <v>27</v>
      </c>
      <c r="V2191" s="1">
        <v>45708</v>
      </c>
      <c r="W2191" t="s">
        <v>84</v>
      </c>
      <c r="X2191">
        <v>838409</v>
      </c>
      <c r="Y2191" t="s">
        <v>1716</v>
      </c>
      <c r="Z2191" t="s">
        <v>1716</v>
      </c>
      <c r="AA2191" t="e">
        <f ca="1">- performed Preventive Maintenance
- functionality test</f>
        <v>#NAME?</v>
      </c>
      <c r="AB2191" t="s">
        <v>70</v>
      </c>
      <c r="AG2191" t="s">
        <v>14222</v>
      </c>
      <c r="AH2191" t="s">
        <v>14223</v>
      </c>
      <c r="AI2191" t="s">
        <v>14224</v>
      </c>
    </row>
    <row r="2192" spans="2:35" ht="180">
      <c r="B2192" s="1">
        <v>45708</v>
      </c>
      <c r="C2192" s="1">
        <v>45708</v>
      </c>
      <c r="D2192" t="s">
        <v>6667</v>
      </c>
      <c r="E2192" t="s">
        <v>370</v>
      </c>
      <c r="F2192" t="s">
        <v>148</v>
      </c>
      <c r="G2192" t="s">
        <v>371</v>
      </c>
      <c r="H2192" t="s">
        <v>39</v>
      </c>
      <c r="I2192" t="s">
        <v>40</v>
      </c>
      <c r="J2192" t="s">
        <v>109</v>
      </c>
      <c r="K2192" t="s">
        <v>42</v>
      </c>
      <c r="L2192" t="s">
        <v>175</v>
      </c>
      <c r="N2192" t="s">
        <v>176</v>
      </c>
      <c r="O2192" t="s">
        <v>5518</v>
      </c>
      <c r="Q2192">
        <v>30354</v>
      </c>
      <c r="R2192" t="s">
        <v>703</v>
      </c>
      <c r="S2192" t="s">
        <v>5519</v>
      </c>
      <c r="T2192">
        <v>25</v>
      </c>
      <c r="W2192" t="s">
        <v>373</v>
      </c>
      <c r="X2192">
        <v>110018008</v>
      </c>
      <c r="Y2192" t="s">
        <v>374</v>
      </c>
      <c r="Z2192" t="s">
        <v>103</v>
      </c>
      <c r="AA2192" t="e">
        <f ca="1">- checked _xludf.and cleaned cartridge bay, plunger rod, _xludf.filter, icore slot
- generated reports
- scanned system _xludf.Log _xludf.For hardware errors (None)
- performed functionality test</f>
        <v>#NAME?</v>
      </c>
      <c r="AB2192" s="2" t="s">
        <v>14225</v>
      </c>
      <c r="AG2192" t="s">
        <v>14226</v>
      </c>
      <c r="AH2192" t="s">
        <v>5521</v>
      </c>
      <c r="AI2192" t="s">
        <v>14227</v>
      </c>
    </row>
    <row r="2193" spans="2:35" ht="330">
      <c r="B2193" s="1">
        <v>45708</v>
      </c>
      <c r="C2193" s="1">
        <v>45708</v>
      </c>
      <c r="D2193" t="s">
        <v>9732</v>
      </c>
      <c r="E2193" t="s">
        <v>5435</v>
      </c>
      <c r="F2193">
        <v>6</v>
      </c>
      <c r="G2193" t="s">
        <v>1286</v>
      </c>
      <c r="H2193" t="s">
        <v>39</v>
      </c>
      <c r="I2193" t="s">
        <v>40</v>
      </c>
      <c r="J2193" s="2" t="s">
        <v>41</v>
      </c>
      <c r="K2193" t="s">
        <v>42</v>
      </c>
      <c r="L2193" t="s">
        <v>1288</v>
      </c>
      <c r="N2193" t="s">
        <v>1289</v>
      </c>
      <c r="Q2193">
        <v>30353</v>
      </c>
      <c r="R2193" t="s">
        <v>967</v>
      </c>
      <c r="S2193" t="s">
        <v>14228</v>
      </c>
      <c r="T2193">
        <v>27</v>
      </c>
      <c r="U2193" s="2" t="s">
        <v>12580</v>
      </c>
      <c r="V2193" s="1">
        <v>45699</v>
      </c>
      <c r="W2193" t="s">
        <v>6776</v>
      </c>
      <c r="X2193">
        <v>110023534</v>
      </c>
      <c r="Y2193" t="s">
        <v>10200</v>
      </c>
      <c r="Z2193" t="e">
        <f ca="1">-COLLECT IQR,system _xludf.Log, _xludf.and ARCHIVE</f>
        <v>#NAME?</v>
      </c>
      <c r="AA2193" s="2" t="s">
        <v>14229</v>
      </c>
      <c r="AB2193" t="s">
        <v>1293</v>
      </c>
      <c r="AD2193" t="s">
        <v>14230</v>
      </c>
      <c r="AE2193">
        <v>12741</v>
      </c>
      <c r="AG2193" t="s">
        <v>14231</v>
      </c>
      <c r="AH2193" t="s">
        <v>14232</v>
      </c>
      <c r="AI2193" t="s">
        <v>14233</v>
      </c>
    </row>
    <row r="2194" spans="2:35" ht="409.5">
      <c r="B2194" s="1">
        <v>45707</v>
      </c>
      <c r="C2194" s="1">
        <v>45706</v>
      </c>
      <c r="D2194" t="s">
        <v>5602</v>
      </c>
      <c r="E2194" t="s">
        <v>2580</v>
      </c>
      <c r="F2194" t="s">
        <v>148</v>
      </c>
      <c r="G2194" t="s">
        <v>447</v>
      </c>
      <c r="H2194" t="s">
        <v>662</v>
      </c>
      <c r="I2194" t="s">
        <v>40</v>
      </c>
      <c r="J2194" s="2" t="s">
        <v>190</v>
      </c>
      <c r="K2194" t="s">
        <v>42</v>
      </c>
      <c r="L2194" t="s">
        <v>448</v>
      </c>
      <c r="N2194" t="s">
        <v>650</v>
      </c>
      <c r="Q2194">
        <v>30352</v>
      </c>
      <c r="R2194" t="s">
        <v>322</v>
      </c>
      <c r="S2194" t="s">
        <v>5604</v>
      </c>
      <c r="T2194">
        <v>28</v>
      </c>
      <c r="U2194" s="2" t="s">
        <v>14234</v>
      </c>
      <c r="W2194" t="s">
        <v>7420</v>
      </c>
      <c r="X2194">
        <v>804476</v>
      </c>
      <c r="Y2194" t="s">
        <v>14235</v>
      </c>
      <c r="Z2194" s="2" t="s">
        <v>13693</v>
      </c>
      <c r="AA2194" t="s">
        <v>680</v>
      </c>
      <c r="AB2194" s="2" t="s">
        <v>14236</v>
      </c>
      <c r="AG2194" t="s">
        <v>14237</v>
      </c>
      <c r="AH2194" t="s">
        <v>7424</v>
      </c>
      <c r="AI2194" t="s">
        <v>14238</v>
      </c>
    </row>
    <row r="2195" spans="2:35" ht="409.5">
      <c r="B2195" s="1">
        <v>45707</v>
      </c>
      <c r="C2195" s="1">
        <v>45706</v>
      </c>
      <c r="D2195" t="s">
        <v>5602</v>
      </c>
      <c r="E2195" t="s">
        <v>2580</v>
      </c>
      <c r="F2195" t="s">
        <v>148</v>
      </c>
      <c r="G2195" t="s">
        <v>447</v>
      </c>
      <c r="H2195" t="s">
        <v>662</v>
      </c>
      <c r="I2195" t="s">
        <v>40</v>
      </c>
      <c r="J2195" s="2" t="s">
        <v>190</v>
      </c>
      <c r="K2195" t="s">
        <v>42</v>
      </c>
      <c r="L2195" t="s">
        <v>448</v>
      </c>
      <c r="N2195" t="s">
        <v>650</v>
      </c>
      <c r="Q2195">
        <v>30351</v>
      </c>
      <c r="R2195" t="s">
        <v>322</v>
      </c>
      <c r="S2195" t="s">
        <v>5604</v>
      </c>
      <c r="T2195">
        <v>28</v>
      </c>
      <c r="U2195" s="2" t="s">
        <v>14234</v>
      </c>
      <c r="W2195" t="s">
        <v>7420</v>
      </c>
      <c r="X2195">
        <v>804476</v>
      </c>
      <c r="Y2195" t="s">
        <v>14235</v>
      </c>
      <c r="Z2195" s="2" t="s">
        <v>13693</v>
      </c>
      <c r="AA2195" t="s">
        <v>680</v>
      </c>
      <c r="AB2195" s="2" t="s">
        <v>14236</v>
      </c>
      <c r="AG2195" t="s">
        <v>14237</v>
      </c>
      <c r="AH2195" t="s">
        <v>7424</v>
      </c>
      <c r="AI2195" t="s">
        <v>14238</v>
      </c>
    </row>
    <row r="2196" spans="2:35" ht="135">
      <c r="B2196" s="1">
        <v>45707</v>
      </c>
      <c r="C2196" s="1">
        <v>45707</v>
      </c>
      <c r="D2196" t="s">
        <v>1155</v>
      </c>
      <c r="E2196" t="s">
        <v>8331</v>
      </c>
      <c r="F2196" t="s">
        <v>148</v>
      </c>
      <c r="G2196" t="s">
        <v>230</v>
      </c>
      <c r="H2196" t="s">
        <v>39</v>
      </c>
      <c r="I2196" t="s">
        <v>40</v>
      </c>
      <c r="J2196" s="2" t="s">
        <v>190</v>
      </c>
      <c r="K2196" t="s">
        <v>42</v>
      </c>
      <c r="L2196" t="s">
        <v>175</v>
      </c>
      <c r="N2196" t="s">
        <v>176</v>
      </c>
      <c r="Q2196">
        <v>30350</v>
      </c>
      <c r="R2196" t="s">
        <v>322</v>
      </c>
      <c r="S2196" t="s">
        <v>8332</v>
      </c>
      <c r="T2196">
        <v>25</v>
      </c>
      <c r="W2196" t="s">
        <v>84</v>
      </c>
      <c r="X2196">
        <v>807956</v>
      </c>
      <c r="Y2196" s="2" t="s">
        <v>14239</v>
      </c>
      <c r="Z2196" t="s">
        <v>103</v>
      </c>
      <c r="AA2196" t="e">
        <f ca="1">- checked _xludf.and cleaned cartridge bay, plunger rod, _xludf.filter, icore slot
- generated reports
- scanned system _xludf.Log _xludf.For errors
- performed self test</f>
        <v>#NAME?</v>
      </c>
      <c r="AB2196" s="2" t="s">
        <v>14240</v>
      </c>
      <c r="AG2196" t="s">
        <v>14241</v>
      </c>
      <c r="AH2196" t="s">
        <v>1166</v>
      </c>
      <c r="AI2196" t="s">
        <v>14242</v>
      </c>
    </row>
    <row r="2197" spans="2:35" ht="409.5">
      <c r="B2197" s="1">
        <v>45707</v>
      </c>
      <c r="C2197" s="1">
        <v>45707</v>
      </c>
      <c r="D2197" t="s">
        <v>14243</v>
      </c>
      <c r="E2197" t="s">
        <v>14244</v>
      </c>
      <c r="F2197" t="s">
        <v>148</v>
      </c>
      <c r="G2197" t="s">
        <v>310</v>
      </c>
      <c r="H2197" t="s">
        <v>295</v>
      </c>
      <c r="I2197" t="s">
        <v>40</v>
      </c>
      <c r="J2197" t="s">
        <v>109</v>
      </c>
      <c r="K2197" t="s">
        <v>42</v>
      </c>
      <c r="L2197" t="s">
        <v>1943</v>
      </c>
      <c r="N2197" t="s">
        <v>1944</v>
      </c>
      <c r="O2197" t="s">
        <v>5841</v>
      </c>
      <c r="Q2197">
        <v>30349</v>
      </c>
      <c r="R2197" t="s">
        <v>703</v>
      </c>
      <c r="S2197" t="s">
        <v>3124</v>
      </c>
      <c r="T2197">
        <v>25</v>
      </c>
      <c r="U2197" s="2" t="s">
        <v>14245</v>
      </c>
      <c r="W2197" t="s">
        <v>373</v>
      </c>
      <c r="X2197">
        <v>110001648</v>
      </c>
      <c r="Y2197" t="s">
        <v>2099</v>
      </c>
      <c r="Z2197" t="s">
        <v>2100</v>
      </c>
      <c r="AA2197" s="2" t="s">
        <v>2101</v>
      </c>
      <c r="AB2197" t="s">
        <v>88</v>
      </c>
      <c r="AG2197" t="s">
        <v>14246</v>
      </c>
      <c r="AH2197" t="s">
        <v>12578</v>
      </c>
      <c r="AI2197" t="s">
        <v>14247</v>
      </c>
    </row>
    <row r="2198" spans="2:35" ht="90">
      <c r="B2198" s="1">
        <v>45707</v>
      </c>
      <c r="C2198" s="1">
        <v>45707</v>
      </c>
      <c r="D2198" t="s">
        <v>1155</v>
      </c>
      <c r="E2198" t="s">
        <v>8331</v>
      </c>
      <c r="F2198" t="s">
        <v>148</v>
      </c>
      <c r="G2198" t="s">
        <v>230</v>
      </c>
      <c r="H2198" t="s">
        <v>39</v>
      </c>
      <c r="I2198" t="s">
        <v>40</v>
      </c>
      <c r="J2198" s="2" t="s">
        <v>190</v>
      </c>
      <c r="K2198" t="s">
        <v>42</v>
      </c>
      <c r="L2198" t="s">
        <v>175</v>
      </c>
      <c r="N2198" t="s">
        <v>176</v>
      </c>
      <c r="Q2198">
        <v>30348</v>
      </c>
      <c r="R2198" t="s">
        <v>322</v>
      </c>
      <c r="S2198" t="s">
        <v>8332</v>
      </c>
      <c r="T2198">
        <v>25</v>
      </c>
      <c r="W2198" t="s">
        <v>84</v>
      </c>
      <c r="X2198">
        <v>807112</v>
      </c>
      <c r="Y2198" s="2" t="s">
        <v>14248</v>
      </c>
      <c r="Z2198" t="s">
        <v>103</v>
      </c>
      <c r="AA2198" t="e">
        <f ca="1">- checked _xludf.and cleaned cartridge bay, plunger rod, _xludf.filter, icore slot
- generated reports
- scanned system _xludf.Log _xludf.For errors
- performed self test</f>
        <v>#NAME?</v>
      </c>
      <c r="AB2198" t="s">
        <v>181</v>
      </c>
      <c r="AG2198" t="s">
        <v>14249</v>
      </c>
      <c r="AH2198" t="s">
        <v>1166</v>
      </c>
      <c r="AI2198" t="s">
        <v>14250</v>
      </c>
    </row>
    <row r="2199" spans="2:35" ht="90">
      <c r="B2199" s="1">
        <v>45707</v>
      </c>
      <c r="C2199" s="1">
        <v>45707</v>
      </c>
      <c r="D2199" t="s">
        <v>1155</v>
      </c>
      <c r="E2199" t="s">
        <v>8331</v>
      </c>
      <c r="F2199" t="s">
        <v>148</v>
      </c>
      <c r="G2199" t="s">
        <v>230</v>
      </c>
      <c r="H2199" t="s">
        <v>39</v>
      </c>
      <c r="I2199" t="s">
        <v>40</v>
      </c>
      <c r="J2199" t="s">
        <v>109</v>
      </c>
      <c r="K2199" t="s">
        <v>42</v>
      </c>
      <c r="L2199" t="s">
        <v>175</v>
      </c>
      <c r="N2199" t="s">
        <v>176</v>
      </c>
      <c r="Q2199">
        <v>30347</v>
      </c>
      <c r="R2199" t="s">
        <v>95</v>
      </c>
      <c r="S2199" t="s">
        <v>8332</v>
      </c>
      <c r="T2199">
        <v>25</v>
      </c>
      <c r="U2199" s="2" t="s">
        <v>13799</v>
      </c>
      <c r="W2199" t="s">
        <v>373</v>
      </c>
      <c r="X2199">
        <v>120002891</v>
      </c>
      <c r="Y2199" t="s">
        <v>374</v>
      </c>
      <c r="Z2199" t="s">
        <v>103</v>
      </c>
      <c r="AA2199" t="e">
        <f ca="1">- checked _xludf.and cleaned cartridge bay, plunger rod, _xludf.filter, icore slot
- generated reports
- performed self test</f>
        <v>#NAME?</v>
      </c>
      <c r="AB2199" t="s">
        <v>181</v>
      </c>
      <c r="AG2199" t="s">
        <v>14251</v>
      </c>
      <c r="AH2199" t="s">
        <v>1166</v>
      </c>
      <c r="AI2199" t="s">
        <v>14252</v>
      </c>
    </row>
    <row r="2200" spans="2:35" ht="225">
      <c r="B2200" s="1">
        <v>45707</v>
      </c>
      <c r="C2200" s="1">
        <v>45707</v>
      </c>
      <c r="D2200" t="s">
        <v>8684</v>
      </c>
      <c r="E2200" t="s">
        <v>8685</v>
      </c>
      <c r="F2200">
        <v>5</v>
      </c>
      <c r="G2200" t="s">
        <v>814</v>
      </c>
      <c r="H2200" t="s">
        <v>39</v>
      </c>
      <c r="I2200" t="s">
        <v>94</v>
      </c>
      <c r="J2200" t="s">
        <v>109</v>
      </c>
      <c r="K2200" t="s">
        <v>42</v>
      </c>
      <c r="L2200" t="s">
        <v>761</v>
      </c>
      <c r="N2200" t="s">
        <v>762</v>
      </c>
      <c r="Q2200">
        <v>30346</v>
      </c>
      <c r="R2200" t="s">
        <v>119</v>
      </c>
      <c r="S2200" t="s">
        <v>14253</v>
      </c>
      <c r="T2200">
        <v>19</v>
      </c>
      <c r="U2200" s="2" t="s">
        <v>14254</v>
      </c>
      <c r="W2200" t="s">
        <v>765</v>
      </c>
      <c r="X2200">
        <v>838266</v>
      </c>
      <c r="Y2200" t="s">
        <v>14255</v>
      </c>
      <c r="Z2200" s="2" t="s">
        <v>14256</v>
      </c>
      <c r="AA2200" t="s">
        <v>1935</v>
      </c>
      <c r="AB2200" t="s">
        <v>70</v>
      </c>
      <c r="AC2200" t="s">
        <v>14257</v>
      </c>
      <c r="AG2200" t="s">
        <v>14258</v>
      </c>
      <c r="AH2200" t="s">
        <v>14259</v>
      </c>
      <c r="AI2200" t="s">
        <v>14260</v>
      </c>
    </row>
    <row r="2201" spans="2:35" ht="255">
      <c r="B2201" s="1">
        <v>45707</v>
      </c>
      <c r="C2201" s="1">
        <v>45707</v>
      </c>
      <c r="D2201" t="s">
        <v>7810</v>
      </c>
      <c r="E2201" t="s">
        <v>7811</v>
      </c>
      <c r="F2201">
        <v>11</v>
      </c>
      <c r="G2201" t="s">
        <v>1205</v>
      </c>
      <c r="H2201" t="s">
        <v>202</v>
      </c>
      <c r="I2201" t="s">
        <v>40</v>
      </c>
      <c r="J2201" t="s">
        <v>109</v>
      </c>
      <c r="K2201" t="s">
        <v>42</v>
      </c>
      <c r="L2201" t="s">
        <v>204</v>
      </c>
      <c r="N2201" t="s">
        <v>205</v>
      </c>
      <c r="Q2201">
        <v>30345</v>
      </c>
      <c r="R2201" t="s">
        <v>119</v>
      </c>
      <c r="S2201" t="s">
        <v>7812</v>
      </c>
      <c r="T2201">
        <v>25.8</v>
      </c>
      <c r="U2201" s="2" t="s">
        <v>14261</v>
      </c>
      <c r="W2201" t="s">
        <v>208</v>
      </c>
      <c r="X2201">
        <v>838232</v>
      </c>
      <c r="Y2201" t="s">
        <v>2851</v>
      </c>
      <c r="Z2201" s="2" t="s">
        <v>1892</v>
      </c>
      <c r="AA2201" t="s">
        <v>2551</v>
      </c>
      <c r="AB2201" t="s">
        <v>1211</v>
      </c>
      <c r="AG2201" t="s">
        <v>14262</v>
      </c>
      <c r="AH2201" t="s">
        <v>14263</v>
      </c>
      <c r="AI2201" t="s">
        <v>14264</v>
      </c>
    </row>
    <row r="2202" spans="2:35" ht="409.5">
      <c r="B2202" s="1">
        <v>45707</v>
      </c>
      <c r="C2202" s="1">
        <v>45707</v>
      </c>
      <c r="D2202" t="s">
        <v>7172</v>
      </c>
      <c r="E2202" t="s">
        <v>14265</v>
      </c>
      <c r="F2202" t="s">
        <v>148</v>
      </c>
      <c r="G2202" t="s">
        <v>310</v>
      </c>
      <c r="H2202" t="s">
        <v>932</v>
      </c>
      <c r="I2202" t="s">
        <v>40</v>
      </c>
      <c r="J2202" t="s">
        <v>109</v>
      </c>
      <c r="K2202" t="s">
        <v>42</v>
      </c>
      <c r="L2202" t="s">
        <v>1943</v>
      </c>
      <c r="N2202" t="s">
        <v>1944</v>
      </c>
      <c r="Q2202">
        <v>30344</v>
      </c>
      <c r="R2202" t="s">
        <v>703</v>
      </c>
      <c r="S2202" t="s">
        <v>2912</v>
      </c>
      <c r="T2202">
        <v>25</v>
      </c>
      <c r="U2202" s="2" t="s">
        <v>14266</v>
      </c>
      <c r="W2202" t="s">
        <v>84</v>
      </c>
      <c r="X2202">
        <v>835540</v>
      </c>
      <c r="Y2202" t="s">
        <v>2099</v>
      </c>
      <c r="Z2202" t="s">
        <v>2100</v>
      </c>
      <c r="AA2202" s="2" t="s">
        <v>2101</v>
      </c>
      <c r="AB2202" t="s">
        <v>88</v>
      </c>
      <c r="AG2202" t="s">
        <v>14267</v>
      </c>
      <c r="AH2202" t="s">
        <v>14071</v>
      </c>
      <c r="AI2202" t="s">
        <v>14268</v>
      </c>
    </row>
    <row r="2203" spans="2:35" ht="330">
      <c r="B2203" s="1">
        <v>45707</v>
      </c>
      <c r="C2203" s="1">
        <v>45695</v>
      </c>
      <c r="D2203" t="s">
        <v>14269</v>
      </c>
      <c r="E2203" t="s">
        <v>14270</v>
      </c>
      <c r="F2203" t="s">
        <v>148</v>
      </c>
      <c r="G2203" t="s">
        <v>4786</v>
      </c>
      <c r="H2203" t="s">
        <v>662</v>
      </c>
      <c r="I2203" t="s">
        <v>40</v>
      </c>
      <c r="J2203" t="s">
        <v>525</v>
      </c>
      <c r="K2203" t="s">
        <v>42</v>
      </c>
      <c r="L2203" t="s">
        <v>1028</v>
      </c>
      <c r="N2203" t="s">
        <v>1029</v>
      </c>
      <c r="O2203" t="s">
        <v>10335</v>
      </c>
      <c r="Q2203">
        <v>30342</v>
      </c>
      <c r="R2203" t="s">
        <v>95</v>
      </c>
      <c r="S2203" t="s">
        <v>4787</v>
      </c>
      <c r="T2203">
        <v>26</v>
      </c>
      <c r="U2203" s="2" t="s">
        <v>14271</v>
      </c>
      <c r="W2203" t="s">
        <v>1967</v>
      </c>
      <c r="X2203">
        <v>831316</v>
      </c>
      <c r="Y2203" t="s">
        <v>14272</v>
      </c>
      <c r="Z2203" t="s">
        <v>5186</v>
      </c>
      <c r="AA2203" s="2" t="s">
        <v>14273</v>
      </c>
      <c r="AB2203" s="2" t="s">
        <v>14274</v>
      </c>
      <c r="AG2203" t="s">
        <v>14275</v>
      </c>
      <c r="AH2203" t="s">
        <v>4793</v>
      </c>
      <c r="AI2203" t="s">
        <v>14276</v>
      </c>
    </row>
    <row r="2204" spans="2:35" ht="300">
      <c r="B2204" s="1">
        <v>45707</v>
      </c>
      <c r="C2204" s="1">
        <v>45700</v>
      </c>
      <c r="D2204" t="s">
        <v>7219</v>
      </c>
      <c r="E2204" t="s">
        <v>14277</v>
      </c>
      <c r="F2204" t="s">
        <v>148</v>
      </c>
      <c r="G2204" t="s">
        <v>310</v>
      </c>
      <c r="H2204" t="s">
        <v>7019</v>
      </c>
      <c r="I2204" t="s">
        <v>40</v>
      </c>
      <c r="J2204" t="s">
        <v>109</v>
      </c>
      <c r="K2204" t="s">
        <v>42</v>
      </c>
      <c r="L2204" t="s">
        <v>1028</v>
      </c>
      <c r="N2204" t="s">
        <v>1029</v>
      </c>
      <c r="Q2204">
        <v>30343</v>
      </c>
      <c r="R2204" t="s">
        <v>322</v>
      </c>
      <c r="S2204" t="s">
        <v>14278</v>
      </c>
      <c r="T2204">
        <v>25</v>
      </c>
      <c r="U2204" s="2" t="s">
        <v>14279</v>
      </c>
      <c r="W2204" t="s">
        <v>1967</v>
      </c>
      <c r="X2204">
        <v>821257</v>
      </c>
      <c r="Y2204" t="s">
        <v>1978</v>
      </c>
      <c r="Z2204" t="s">
        <v>1548</v>
      </c>
      <c r="AA2204" s="2" t="s">
        <v>14280</v>
      </c>
      <c r="AB2204" t="s">
        <v>14281</v>
      </c>
      <c r="AG2204" t="s">
        <v>14282</v>
      </c>
      <c r="AH2204" t="s">
        <v>14283</v>
      </c>
      <c r="AI2204" t="s">
        <v>14284</v>
      </c>
    </row>
    <row r="2205" spans="2:35" ht="270">
      <c r="B2205" s="1">
        <v>45707</v>
      </c>
      <c r="C2205" s="1">
        <v>45702</v>
      </c>
      <c r="D2205" t="s">
        <v>8225</v>
      </c>
      <c r="E2205" t="s">
        <v>8226</v>
      </c>
      <c r="F2205" t="s">
        <v>37</v>
      </c>
      <c r="G2205" t="s">
        <v>748</v>
      </c>
      <c r="H2205" t="s">
        <v>1543</v>
      </c>
      <c r="I2205" t="s">
        <v>40</v>
      </c>
      <c r="J2205" t="s">
        <v>109</v>
      </c>
      <c r="K2205" t="s">
        <v>42</v>
      </c>
      <c r="L2205" t="s">
        <v>1028</v>
      </c>
      <c r="N2205" t="s">
        <v>1029</v>
      </c>
      <c r="Q2205">
        <v>30341</v>
      </c>
      <c r="R2205" t="s">
        <v>322</v>
      </c>
      <c r="S2205" t="s">
        <v>12270</v>
      </c>
      <c r="T2205">
        <v>26</v>
      </c>
      <c r="U2205" s="2" t="s">
        <v>14285</v>
      </c>
      <c r="W2205" t="s">
        <v>1032</v>
      </c>
      <c r="X2205">
        <v>110016785</v>
      </c>
      <c r="Y2205" t="s">
        <v>1978</v>
      </c>
      <c r="Z2205" t="s">
        <v>1548</v>
      </c>
      <c r="AA2205" s="2" t="s">
        <v>14286</v>
      </c>
      <c r="AB2205" t="s">
        <v>3300</v>
      </c>
      <c r="AG2205" t="s">
        <v>14287</v>
      </c>
      <c r="AH2205" t="s">
        <v>12275</v>
      </c>
      <c r="AI2205" t="s">
        <v>14288</v>
      </c>
    </row>
    <row r="2206" spans="2:35" ht="409.5">
      <c r="B2206" s="1">
        <v>45707</v>
      </c>
      <c r="C2206" s="1">
        <v>45706</v>
      </c>
      <c r="D2206" t="s">
        <v>5602</v>
      </c>
      <c r="E2206" t="s">
        <v>2580</v>
      </c>
      <c r="F2206" t="s">
        <v>148</v>
      </c>
      <c r="G2206" t="s">
        <v>447</v>
      </c>
      <c r="H2206" t="s">
        <v>662</v>
      </c>
      <c r="I2206" t="s">
        <v>40</v>
      </c>
      <c r="J2206" t="s">
        <v>109</v>
      </c>
      <c r="K2206" t="s">
        <v>42</v>
      </c>
      <c r="L2206" t="s">
        <v>448</v>
      </c>
      <c r="N2206" t="s">
        <v>650</v>
      </c>
      <c r="Q2206">
        <v>30340</v>
      </c>
      <c r="R2206" t="s">
        <v>322</v>
      </c>
      <c r="S2206" t="s">
        <v>5604</v>
      </c>
      <c r="T2206">
        <v>28</v>
      </c>
      <c r="U2206" s="2" t="s">
        <v>14289</v>
      </c>
      <c r="W2206" t="s">
        <v>7420</v>
      </c>
      <c r="X2206">
        <v>110005587</v>
      </c>
      <c r="Y2206" s="2" t="s">
        <v>14290</v>
      </c>
      <c r="Z2206" s="2" t="s">
        <v>13693</v>
      </c>
      <c r="AA2206" t="s">
        <v>122</v>
      </c>
      <c r="AB2206" s="2" t="s">
        <v>14291</v>
      </c>
      <c r="AG2206" t="s">
        <v>14292</v>
      </c>
      <c r="AH2206" t="s">
        <v>5609</v>
      </c>
      <c r="AI2206" t="s">
        <v>14293</v>
      </c>
    </row>
    <row r="2207" spans="2:35" ht="409.5">
      <c r="B2207" s="1">
        <v>45707</v>
      </c>
      <c r="C2207" s="1">
        <v>45706</v>
      </c>
      <c r="D2207" t="s">
        <v>5602</v>
      </c>
      <c r="E2207" t="s">
        <v>2580</v>
      </c>
      <c r="F2207" t="s">
        <v>148</v>
      </c>
      <c r="G2207" t="s">
        <v>447</v>
      </c>
      <c r="H2207" t="s">
        <v>662</v>
      </c>
      <c r="I2207" t="s">
        <v>40</v>
      </c>
      <c r="J2207" t="s">
        <v>109</v>
      </c>
      <c r="K2207" t="s">
        <v>42</v>
      </c>
      <c r="L2207" t="s">
        <v>448</v>
      </c>
      <c r="N2207" t="s">
        <v>650</v>
      </c>
      <c r="Q2207">
        <v>30339</v>
      </c>
      <c r="R2207" t="s">
        <v>322</v>
      </c>
      <c r="S2207" t="s">
        <v>5604</v>
      </c>
      <c r="T2207">
        <v>26</v>
      </c>
      <c r="U2207" s="2" t="s">
        <v>14294</v>
      </c>
      <c r="W2207" t="s">
        <v>1139</v>
      </c>
      <c r="X2207">
        <v>838524</v>
      </c>
      <c r="Y2207" t="s">
        <v>14295</v>
      </c>
      <c r="Z2207" s="2" t="s">
        <v>13693</v>
      </c>
      <c r="AA2207" t="s">
        <v>122</v>
      </c>
      <c r="AB2207" s="2" t="s">
        <v>14296</v>
      </c>
      <c r="AG2207" t="s">
        <v>14297</v>
      </c>
      <c r="AH2207" t="s">
        <v>5609</v>
      </c>
      <c r="AI2207" t="s">
        <v>14298</v>
      </c>
    </row>
    <row r="2208" spans="2:35" ht="409.5">
      <c r="B2208" s="1">
        <v>45707</v>
      </c>
      <c r="C2208" s="1">
        <v>45706</v>
      </c>
      <c r="D2208" t="s">
        <v>5602</v>
      </c>
      <c r="E2208" t="s">
        <v>2580</v>
      </c>
      <c r="F2208" t="s">
        <v>148</v>
      </c>
      <c r="G2208" t="s">
        <v>447</v>
      </c>
      <c r="H2208" t="s">
        <v>662</v>
      </c>
      <c r="I2208" t="s">
        <v>40</v>
      </c>
      <c r="J2208" s="2" t="s">
        <v>190</v>
      </c>
      <c r="K2208" t="s">
        <v>42</v>
      </c>
      <c r="L2208" t="s">
        <v>448</v>
      </c>
      <c r="N2208" t="s">
        <v>650</v>
      </c>
      <c r="Q2208">
        <v>30338</v>
      </c>
      <c r="R2208" t="s">
        <v>322</v>
      </c>
      <c r="S2208" t="s">
        <v>5604</v>
      </c>
      <c r="T2208">
        <v>28</v>
      </c>
      <c r="U2208" s="2" t="s">
        <v>14234</v>
      </c>
      <c r="W2208" t="s">
        <v>7420</v>
      </c>
      <c r="X2208">
        <v>804476</v>
      </c>
      <c r="Y2208" s="2" t="s">
        <v>14299</v>
      </c>
      <c r="Z2208" s="2" t="s">
        <v>13693</v>
      </c>
      <c r="AA2208" t="s">
        <v>680</v>
      </c>
      <c r="AB2208" s="2" t="s">
        <v>14300</v>
      </c>
      <c r="AG2208" t="s">
        <v>14237</v>
      </c>
      <c r="AH2208" t="s">
        <v>7424</v>
      </c>
      <c r="AI2208" t="s">
        <v>14238</v>
      </c>
    </row>
    <row r="2209" spans="2:35" ht="150">
      <c r="B2209" s="1">
        <v>45706</v>
      </c>
      <c r="C2209" s="1">
        <v>45706</v>
      </c>
      <c r="D2209" t="s">
        <v>10074</v>
      </c>
      <c r="E2209" t="s">
        <v>10075</v>
      </c>
      <c r="F2209">
        <v>6</v>
      </c>
      <c r="G2209" t="s">
        <v>1234</v>
      </c>
      <c r="H2209" t="s">
        <v>258</v>
      </c>
      <c r="I2209" t="s">
        <v>40</v>
      </c>
      <c r="J2209" t="s">
        <v>109</v>
      </c>
      <c r="K2209" t="s">
        <v>42</v>
      </c>
      <c r="L2209" t="s">
        <v>270</v>
      </c>
      <c r="N2209" t="s">
        <v>2481</v>
      </c>
      <c r="Q2209">
        <v>30337</v>
      </c>
      <c r="R2209" t="s">
        <v>119</v>
      </c>
      <c r="S2209" t="s">
        <v>10076</v>
      </c>
      <c r="T2209">
        <v>26</v>
      </c>
      <c r="U2209" s="2" t="s">
        <v>14301</v>
      </c>
      <c r="W2209" t="s">
        <v>360</v>
      </c>
      <c r="X2209">
        <v>838486</v>
      </c>
      <c r="Y2209" t="s">
        <v>14302</v>
      </c>
      <c r="Z2209" t="s">
        <v>14303</v>
      </c>
      <c r="AA2209" t="s">
        <v>14304</v>
      </c>
      <c r="AB2209" s="2" t="s">
        <v>14305</v>
      </c>
      <c r="AG2209" t="s">
        <v>14306</v>
      </c>
      <c r="AH2209" t="s">
        <v>10080</v>
      </c>
      <c r="AI2209" t="s">
        <v>14307</v>
      </c>
    </row>
    <row r="2210" spans="2:35">
      <c r="B2210" s="1">
        <v>45706</v>
      </c>
      <c r="C2210" s="1">
        <v>45706</v>
      </c>
      <c r="D2210" t="s">
        <v>2470</v>
      </c>
      <c r="E2210" t="s">
        <v>9436</v>
      </c>
      <c r="F2210" t="s">
        <v>148</v>
      </c>
      <c r="G2210" t="s">
        <v>230</v>
      </c>
      <c r="H2210" t="s">
        <v>513</v>
      </c>
      <c r="I2210" t="s">
        <v>40</v>
      </c>
      <c r="J2210" t="s">
        <v>525</v>
      </c>
      <c r="K2210" t="s">
        <v>387</v>
      </c>
      <c r="L2210" t="s">
        <v>175</v>
      </c>
      <c r="N2210" t="s">
        <v>176</v>
      </c>
      <c r="Q2210">
        <v>30336</v>
      </c>
      <c r="R2210" t="s">
        <v>322</v>
      </c>
      <c r="S2210" t="s">
        <v>4894</v>
      </c>
      <c r="T2210">
        <v>25</v>
      </c>
      <c r="W2210" t="s">
        <v>390</v>
      </c>
      <c r="X2210" t="s">
        <v>2472</v>
      </c>
      <c r="Y2210" t="s">
        <v>8841</v>
      </c>
      <c r="Z2210" t="s">
        <v>103</v>
      </c>
      <c r="AA2210" t="e">
        <f ca="1">- checked _xludf.and cleaned centrifuge _xludf.For debris
- checked rotor roller pumps
- checked CALIBRATION parameters
- performed self test with latham bowl</f>
        <v>#NAME?</v>
      </c>
      <c r="AB2210" t="s">
        <v>14308</v>
      </c>
      <c r="AG2210" t="s">
        <v>14309</v>
      </c>
      <c r="AH2210" t="s">
        <v>14310</v>
      </c>
      <c r="AI2210" t="s">
        <v>14311</v>
      </c>
    </row>
    <row r="2211" spans="2:35" ht="210">
      <c r="B2211" s="1">
        <v>45706</v>
      </c>
      <c r="C2211" s="1">
        <v>45706</v>
      </c>
      <c r="D2211" t="s">
        <v>4246</v>
      </c>
      <c r="E2211" t="s">
        <v>11608</v>
      </c>
      <c r="F2211" t="s">
        <v>1255</v>
      </c>
      <c r="G2211" t="s">
        <v>3346</v>
      </c>
      <c r="H2211" t="s">
        <v>39</v>
      </c>
      <c r="I2211" t="s">
        <v>40</v>
      </c>
      <c r="J2211" s="2" t="s">
        <v>14312</v>
      </c>
      <c r="K2211" t="s">
        <v>42</v>
      </c>
      <c r="L2211" t="s">
        <v>1257</v>
      </c>
      <c r="N2211" t="s">
        <v>1258</v>
      </c>
      <c r="O2211" t="s">
        <v>1258</v>
      </c>
      <c r="Q2211">
        <v>30335</v>
      </c>
      <c r="R2211" t="s">
        <v>119</v>
      </c>
      <c r="S2211" t="s">
        <v>11609</v>
      </c>
      <c r="T2211">
        <v>28</v>
      </c>
      <c r="U2211" s="2" t="s">
        <v>9645</v>
      </c>
      <c r="V2211" s="1">
        <v>45666</v>
      </c>
      <c r="W2211" t="s">
        <v>2384</v>
      </c>
      <c r="X2211">
        <v>838832</v>
      </c>
      <c r="Y2211" t="s">
        <v>14313</v>
      </c>
      <c r="Z2211" t="s">
        <v>14314</v>
      </c>
      <c r="AA2211" t="s">
        <v>14314</v>
      </c>
      <c r="AB2211" t="s">
        <v>3161</v>
      </c>
      <c r="AC2211" t="s">
        <v>301</v>
      </c>
      <c r="AD2211" t="s">
        <v>14315</v>
      </c>
      <c r="AE2211">
        <v>12549</v>
      </c>
      <c r="AG2211" t="s">
        <v>14316</v>
      </c>
      <c r="AH2211" t="s">
        <v>12883</v>
      </c>
      <c r="AI2211" t="s">
        <v>14317</v>
      </c>
    </row>
    <row r="2212" spans="2:35">
      <c r="B2212" s="1">
        <v>45706</v>
      </c>
      <c r="C2212" s="1">
        <v>45702</v>
      </c>
      <c r="D2212" t="s">
        <v>8123</v>
      </c>
      <c r="E2212" t="s">
        <v>8124</v>
      </c>
      <c r="F2212">
        <v>13</v>
      </c>
      <c r="G2212" t="s">
        <v>4484</v>
      </c>
      <c r="H2212" t="s">
        <v>39</v>
      </c>
      <c r="I2212" t="s">
        <v>40</v>
      </c>
      <c r="J2212" t="s">
        <v>109</v>
      </c>
      <c r="K2212" t="s">
        <v>42</v>
      </c>
      <c r="L2212" t="s">
        <v>933</v>
      </c>
      <c r="N2212" t="s">
        <v>934</v>
      </c>
      <c r="Q2212">
        <v>30334</v>
      </c>
      <c r="R2212" t="s">
        <v>119</v>
      </c>
      <c r="S2212" t="s">
        <v>14318</v>
      </c>
      <c r="T2212">
        <v>27</v>
      </c>
      <c r="W2212" t="s">
        <v>10604</v>
      </c>
      <c r="X2212">
        <v>838554</v>
      </c>
      <c r="Y2212" t="s">
        <v>301</v>
      </c>
      <c r="Z2212" t="s">
        <v>301</v>
      </c>
      <c r="AA2212" t="s">
        <v>3128</v>
      </c>
      <c r="AB2212" t="s">
        <v>2131</v>
      </c>
      <c r="AG2212" t="s">
        <v>14319</v>
      </c>
      <c r="AH2212" t="s">
        <v>8129</v>
      </c>
      <c r="AI2212" t="s">
        <v>14320</v>
      </c>
    </row>
    <row r="2213" spans="2:35" ht="225">
      <c r="B2213" s="1">
        <v>45705</v>
      </c>
      <c r="C2213" s="1">
        <v>45699</v>
      </c>
      <c r="D2213" t="s">
        <v>5783</v>
      </c>
      <c r="E2213" t="s">
        <v>10870</v>
      </c>
      <c r="F2213">
        <v>12</v>
      </c>
      <c r="G2213" t="s">
        <v>5785</v>
      </c>
      <c r="H2213" t="s">
        <v>1473</v>
      </c>
      <c r="I2213" t="s">
        <v>40</v>
      </c>
      <c r="J2213" t="s">
        <v>109</v>
      </c>
      <c r="K2213" t="s">
        <v>42</v>
      </c>
      <c r="L2213" t="s">
        <v>296</v>
      </c>
      <c r="N2213" t="s">
        <v>297</v>
      </c>
      <c r="Q2213">
        <v>30333</v>
      </c>
      <c r="R2213" t="s">
        <v>119</v>
      </c>
      <c r="S2213" t="s">
        <v>14321</v>
      </c>
      <c r="T2213">
        <v>28.4</v>
      </c>
      <c r="U2213" s="2" t="s">
        <v>14322</v>
      </c>
      <c r="W2213" t="s">
        <v>981</v>
      </c>
      <c r="X2213">
        <v>838546</v>
      </c>
      <c r="Y2213" t="s">
        <v>301</v>
      </c>
      <c r="Z2213" s="2" t="s">
        <v>13325</v>
      </c>
      <c r="AA2213" t="s">
        <v>303</v>
      </c>
      <c r="AB2213" t="s">
        <v>972</v>
      </c>
      <c r="AG2213" t="s">
        <v>14323</v>
      </c>
      <c r="AH2213" t="s">
        <v>14324</v>
      </c>
      <c r="AI2213" t="s">
        <v>14325</v>
      </c>
    </row>
    <row r="2214" spans="2:35" ht="210">
      <c r="B2214" s="1">
        <v>45705</v>
      </c>
      <c r="C2214" s="1">
        <v>45700</v>
      </c>
      <c r="D2214" t="s">
        <v>9878</v>
      </c>
      <c r="E2214" t="s">
        <v>9879</v>
      </c>
      <c r="F2214">
        <v>12</v>
      </c>
      <c r="G2214" t="s">
        <v>978</v>
      </c>
      <c r="H2214" t="s">
        <v>1473</v>
      </c>
      <c r="I2214" t="s">
        <v>40</v>
      </c>
      <c r="J2214" t="s">
        <v>109</v>
      </c>
      <c r="K2214" t="s">
        <v>42</v>
      </c>
      <c r="L2214" t="s">
        <v>296</v>
      </c>
      <c r="N2214" t="s">
        <v>297</v>
      </c>
      <c r="Q2214">
        <v>30332</v>
      </c>
      <c r="R2214" t="s">
        <v>119</v>
      </c>
      <c r="S2214" t="s">
        <v>9880</v>
      </c>
      <c r="T2214">
        <v>22.6</v>
      </c>
      <c r="U2214" s="2" t="s">
        <v>14326</v>
      </c>
      <c r="W2214" t="s">
        <v>981</v>
      </c>
      <c r="X2214">
        <v>838542</v>
      </c>
      <c r="Y2214" t="s">
        <v>301</v>
      </c>
      <c r="Z2214" s="2" t="s">
        <v>14327</v>
      </c>
      <c r="AA2214" t="s">
        <v>303</v>
      </c>
      <c r="AB2214" t="s">
        <v>972</v>
      </c>
      <c r="AG2214" t="s">
        <v>14328</v>
      </c>
      <c r="AH2214" t="s">
        <v>14329</v>
      </c>
      <c r="AI2214" t="s">
        <v>14330</v>
      </c>
    </row>
    <row r="2215" spans="2:35">
      <c r="B2215" s="1">
        <v>45705</v>
      </c>
      <c r="C2215" s="1">
        <v>45700</v>
      </c>
      <c r="D2215" t="s">
        <v>1071</v>
      </c>
      <c r="E2215" t="s">
        <v>1072</v>
      </c>
      <c r="F2215">
        <v>7</v>
      </c>
      <c r="G2215" t="s">
        <v>432</v>
      </c>
      <c r="H2215" t="s">
        <v>386</v>
      </c>
      <c r="I2215" t="s">
        <v>40</v>
      </c>
      <c r="J2215" t="s">
        <v>109</v>
      </c>
      <c r="K2215" t="s">
        <v>387</v>
      </c>
      <c r="L2215" t="s">
        <v>610</v>
      </c>
      <c r="N2215" t="s">
        <v>611</v>
      </c>
      <c r="Q2215">
        <v>30331</v>
      </c>
      <c r="R2215" t="s">
        <v>119</v>
      </c>
      <c r="S2215" t="s">
        <v>1073</v>
      </c>
      <c r="T2215">
        <v>22</v>
      </c>
      <c r="W2215" t="s">
        <v>390</v>
      </c>
      <c r="X2215" t="s">
        <v>1074</v>
      </c>
      <c r="Y2215" t="s">
        <v>14331</v>
      </c>
      <c r="Z2215" t="s">
        <v>14332</v>
      </c>
      <c r="AA2215" t="s">
        <v>14332</v>
      </c>
      <c r="AB2215" t="s">
        <v>13714</v>
      </c>
      <c r="AG2215" t="s">
        <v>14333</v>
      </c>
      <c r="AH2215" t="s">
        <v>1079</v>
      </c>
      <c r="AI2215" t="s">
        <v>14334</v>
      </c>
    </row>
    <row r="2216" spans="2:35" ht="409.5">
      <c r="B2216" s="1">
        <v>45705</v>
      </c>
      <c r="C2216" s="1">
        <v>45702</v>
      </c>
      <c r="D2216" t="s">
        <v>7881</v>
      </c>
      <c r="E2216" t="s">
        <v>8756</v>
      </c>
      <c r="F2216">
        <v>7</v>
      </c>
      <c r="G2216" t="s">
        <v>432</v>
      </c>
      <c r="H2216" t="s">
        <v>608</v>
      </c>
      <c r="I2216" t="s">
        <v>40</v>
      </c>
      <c r="J2216" t="s">
        <v>109</v>
      </c>
      <c r="K2216" t="s">
        <v>42</v>
      </c>
      <c r="L2216" t="s">
        <v>610</v>
      </c>
      <c r="N2216" t="s">
        <v>611</v>
      </c>
      <c r="Q2216">
        <v>30330</v>
      </c>
      <c r="R2216" t="s">
        <v>119</v>
      </c>
      <c r="S2216" t="s">
        <v>13419</v>
      </c>
      <c r="T2216">
        <v>22</v>
      </c>
      <c r="U2216" s="2" t="s">
        <v>11012</v>
      </c>
      <c r="W2216" t="s">
        <v>360</v>
      </c>
      <c r="X2216">
        <v>838512</v>
      </c>
      <c r="Y2216" t="s">
        <v>7229</v>
      </c>
      <c r="Z2216" s="2" t="s">
        <v>14335</v>
      </c>
      <c r="AA2216" s="2" t="s">
        <v>14335</v>
      </c>
      <c r="AB2216" t="s">
        <v>1263</v>
      </c>
      <c r="AG2216" t="s">
        <v>14336</v>
      </c>
      <c r="AH2216" t="s">
        <v>14337</v>
      </c>
      <c r="AI2216" t="s">
        <v>14338</v>
      </c>
    </row>
    <row r="2217" spans="2:35" ht="105">
      <c r="B2217" s="1">
        <v>45705</v>
      </c>
      <c r="C2217" s="1">
        <v>45700</v>
      </c>
      <c r="D2217" t="s">
        <v>4953</v>
      </c>
      <c r="E2217" t="s">
        <v>4954</v>
      </c>
      <c r="F2217">
        <v>1</v>
      </c>
      <c r="G2217" t="s">
        <v>1046</v>
      </c>
      <c r="H2217" t="s">
        <v>39</v>
      </c>
      <c r="I2217" t="s">
        <v>40</v>
      </c>
      <c r="J2217" t="s">
        <v>109</v>
      </c>
      <c r="K2217" t="s">
        <v>42</v>
      </c>
      <c r="L2217" t="s">
        <v>1048</v>
      </c>
      <c r="N2217" t="s">
        <v>1049</v>
      </c>
      <c r="Q2217">
        <v>30329</v>
      </c>
      <c r="R2217" t="s">
        <v>119</v>
      </c>
      <c r="S2217" t="s">
        <v>4955</v>
      </c>
      <c r="T2217">
        <v>26</v>
      </c>
      <c r="U2217" s="2" t="s">
        <v>14339</v>
      </c>
      <c r="W2217" t="s">
        <v>1051</v>
      </c>
      <c r="X2217">
        <v>838437</v>
      </c>
      <c r="Y2217" t="s">
        <v>1052</v>
      </c>
      <c r="Z2217" t="e">
        <f ca="1">- cleaned cartridge Bays, plunger Rods _xludf.and I-CORE
- generated reports</f>
        <v>#NAME?</v>
      </c>
      <c r="AA2217" t="s">
        <v>820</v>
      </c>
      <c r="AB2217" t="s">
        <v>1428</v>
      </c>
      <c r="AG2217" t="s">
        <v>14340</v>
      </c>
      <c r="AH2217" t="s">
        <v>4958</v>
      </c>
      <c r="AI2217" t="s">
        <v>14341</v>
      </c>
    </row>
    <row r="2218" spans="2:35" ht="105">
      <c r="B2218" s="1">
        <v>45705</v>
      </c>
      <c r="C2218" s="1">
        <v>45699</v>
      </c>
      <c r="D2218" t="s">
        <v>4528</v>
      </c>
      <c r="E2218" t="s">
        <v>4529</v>
      </c>
      <c r="F2218">
        <v>1</v>
      </c>
      <c r="G2218" t="s">
        <v>1046</v>
      </c>
      <c r="H2218" t="s">
        <v>1047</v>
      </c>
      <c r="I2218" t="s">
        <v>40</v>
      </c>
      <c r="J2218" t="s">
        <v>109</v>
      </c>
      <c r="K2218" t="s">
        <v>42</v>
      </c>
      <c r="L2218" t="s">
        <v>1048</v>
      </c>
      <c r="N2218" t="s">
        <v>1049</v>
      </c>
      <c r="Q2218">
        <v>30328</v>
      </c>
      <c r="R2218" t="s">
        <v>119</v>
      </c>
      <c r="S2218" t="s">
        <v>4530</v>
      </c>
      <c r="T2218">
        <v>30</v>
      </c>
      <c r="U2218" s="2" t="s">
        <v>14342</v>
      </c>
      <c r="W2218" t="s">
        <v>1051</v>
      </c>
      <c r="X2218">
        <v>838472</v>
      </c>
      <c r="Y2218" t="s">
        <v>1052</v>
      </c>
      <c r="Z2218" t="e">
        <f ca="1">- cleaned cartridge Bays, plunger Rods _xludf.and I-CORE
- generated reports</f>
        <v>#NAME?</v>
      </c>
      <c r="AA2218" t="s">
        <v>820</v>
      </c>
      <c r="AB2218" t="e">
        <f ca="1">- Unit is Partially Operational.
- module B4 HAS already been Reported</f>
        <v>#NAME?</v>
      </c>
      <c r="AG2218" t="s">
        <v>14343</v>
      </c>
      <c r="AH2218" t="s">
        <v>4532</v>
      </c>
      <c r="AI2218" t="s">
        <v>14344</v>
      </c>
    </row>
    <row r="2219" spans="2:35" ht="105">
      <c r="B2219" s="1">
        <v>45705</v>
      </c>
      <c r="C2219" s="1">
        <v>45699</v>
      </c>
      <c r="D2219" t="s">
        <v>3732</v>
      </c>
      <c r="E2219" t="s">
        <v>3733</v>
      </c>
      <c r="F2219">
        <v>1</v>
      </c>
      <c r="G2219" t="s">
        <v>1046</v>
      </c>
      <c r="H2219" t="s">
        <v>1047</v>
      </c>
      <c r="I2219" t="s">
        <v>40</v>
      </c>
      <c r="J2219" t="s">
        <v>109</v>
      </c>
      <c r="K2219" t="s">
        <v>42</v>
      </c>
      <c r="L2219" t="s">
        <v>1048</v>
      </c>
      <c r="N2219" t="s">
        <v>1049</v>
      </c>
      <c r="Q2219">
        <v>30327</v>
      </c>
      <c r="R2219" t="s">
        <v>119</v>
      </c>
      <c r="S2219" t="s">
        <v>3734</v>
      </c>
      <c r="T2219">
        <v>26</v>
      </c>
      <c r="U2219" s="2" t="s">
        <v>14345</v>
      </c>
      <c r="W2219" t="s">
        <v>1051</v>
      </c>
      <c r="X2219">
        <v>838473</v>
      </c>
      <c r="Y2219" t="s">
        <v>1052</v>
      </c>
      <c r="Z2219" t="e">
        <f ca="1">- cleaned cartridge Bays, plunger Rods _xludf.and I-CORE
- generated reports</f>
        <v>#NAME?</v>
      </c>
      <c r="AA2219" t="s">
        <v>820</v>
      </c>
      <c r="AB2219" t="e">
        <f ca="1">- Unit is Fully operational</f>
        <v>#NAME?</v>
      </c>
      <c r="AG2219" t="s">
        <v>14346</v>
      </c>
      <c r="AH2219" t="s">
        <v>7274</v>
      </c>
      <c r="AI2219" t="s">
        <v>14347</v>
      </c>
    </row>
    <row r="2220" spans="2:35" ht="270">
      <c r="B2220" s="1">
        <v>45705</v>
      </c>
      <c r="C2220" s="1">
        <v>45705</v>
      </c>
      <c r="D2220" t="s">
        <v>6518</v>
      </c>
      <c r="E2220" t="s">
        <v>6519</v>
      </c>
      <c r="F2220">
        <v>11</v>
      </c>
      <c r="G2220" t="s">
        <v>1205</v>
      </c>
      <c r="H2220" t="s">
        <v>202</v>
      </c>
      <c r="I2220" t="s">
        <v>40</v>
      </c>
      <c r="J2220" t="s">
        <v>996</v>
      </c>
      <c r="K2220" t="s">
        <v>42</v>
      </c>
      <c r="L2220" t="s">
        <v>204</v>
      </c>
      <c r="N2220" t="s">
        <v>205</v>
      </c>
      <c r="Q2220">
        <v>30326</v>
      </c>
      <c r="R2220" t="s">
        <v>119</v>
      </c>
      <c r="S2220" t="s">
        <v>6520</v>
      </c>
      <c r="T2220">
        <v>27.8</v>
      </c>
      <c r="U2220" s="2" t="s">
        <v>14348</v>
      </c>
      <c r="W2220" t="s">
        <v>208</v>
      </c>
      <c r="X2220">
        <v>838505</v>
      </c>
      <c r="Y2220" t="s">
        <v>2851</v>
      </c>
      <c r="Z2220" s="2" t="s">
        <v>9413</v>
      </c>
      <c r="AA2220" t="s">
        <v>2551</v>
      </c>
      <c r="AB2220" t="s">
        <v>1211</v>
      </c>
      <c r="AG2220" t="s">
        <v>14349</v>
      </c>
      <c r="AH2220" t="s">
        <v>14350</v>
      </c>
      <c r="AI2220" t="s">
        <v>14351</v>
      </c>
    </row>
    <row r="2221" spans="2:35" ht="180">
      <c r="B2221" s="1">
        <v>45705</v>
      </c>
      <c r="C2221" s="1">
        <v>45701</v>
      </c>
      <c r="D2221" t="s">
        <v>1678</v>
      </c>
      <c r="E2221" t="s">
        <v>14352</v>
      </c>
      <c r="F2221" t="s">
        <v>148</v>
      </c>
      <c r="G2221" t="s">
        <v>785</v>
      </c>
      <c r="H2221" t="s">
        <v>39</v>
      </c>
      <c r="I2221" t="s">
        <v>40</v>
      </c>
      <c r="J2221" s="2" t="s">
        <v>6184</v>
      </c>
      <c r="K2221" t="s">
        <v>42</v>
      </c>
      <c r="L2221" t="s">
        <v>43</v>
      </c>
      <c r="N2221" t="s">
        <v>44</v>
      </c>
      <c r="Q2221">
        <v>30325</v>
      </c>
      <c r="R2221" t="s">
        <v>322</v>
      </c>
      <c r="S2221" t="s">
        <v>1680</v>
      </c>
      <c r="T2221">
        <v>22</v>
      </c>
      <c r="U2221" s="2" t="s">
        <v>14353</v>
      </c>
      <c r="W2221" t="s">
        <v>153</v>
      </c>
      <c r="X2221">
        <v>110024246</v>
      </c>
      <c r="Y2221" t="s">
        <v>4709</v>
      </c>
      <c r="Z2221" s="2" t="s">
        <v>14354</v>
      </c>
      <c r="AA2221" t="s">
        <v>14355</v>
      </c>
      <c r="AB2221" t="s">
        <v>548</v>
      </c>
      <c r="AG2221" t="s">
        <v>14356</v>
      </c>
      <c r="AH2221" t="s">
        <v>14357</v>
      </c>
      <c r="AI2221" t="s">
        <v>14358</v>
      </c>
    </row>
    <row r="2222" spans="2:35" ht="225">
      <c r="B2222" s="1">
        <v>45705</v>
      </c>
      <c r="C2222" s="1">
        <v>45702</v>
      </c>
      <c r="D2222" t="s">
        <v>5125</v>
      </c>
      <c r="E2222" t="s">
        <v>14359</v>
      </c>
      <c r="F2222" t="s">
        <v>148</v>
      </c>
      <c r="G2222" t="s">
        <v>447</v>
      </c>
      <c r="H2222" t="s">
        <v>39</v>
      </c>
      <c r="I2222" t="s">
        <v>40</v>
      </c>
      <c r="J2222" t="s">
        <v>109</v>
      </c>
      <c r="K2222" t="s">
        <v>42</v>
      </c>
      <c r="L2222" t="s">
        <v>43</v>
      </c>
      <c r="N2222" t="s">
        <v>44</v>
      </c>
      <c r="Q2222">
        <v>30324</v>
      </c>
      <c r="R2222" t="s">
        <v>322</v>
      </c>
      <c r="S2222" t="s">
        <v>14360</v>
      </c>
      <c r="T2222">
        <v>22</v>
      </c>
      <c r="U2222" s="2" t="s">
        <v>14361</v>
      </c>
      <c r="W2222" t="s">
        <v>153</v>
      </c>
      <c r="X2222">
        <v>110020698</v>
      </c>
      <c r="Y2222" t="s">
        <v>121</v>
      </c>
      <c r="Z2222" t="s">
        <v>122</v>
      </c>
      <c r="AA2222" s="2" t="s">
        <v>9740</v>
      </c>
      <c r="AB2222" t="s">
        <v>548</v>
      </c>
      <c r="AG2222" t="s">
        <v>14362</v>
      </c>
      <c r="AH2222" t="s">
        <v>11779</v>
      </c>
      <c r="AI2222" t="s">
        <v>14363</v>
      </c>
    </row>
    <row r="2223" spans="2:35" ht="210">
      <c r="B2223" s="1">
        <v>45705</v>
      </c>
      <c r="C2223" s="1">
        <v>45702</v>
      </c>
      <c r="D2223" t="s">
        <v>1686</v>
      </c>
      <c r="E2223" t="s">
        <v>10904</v>
      </c>
      <c r="F2223" t="s">
        <v>148</v>
      </c>
      <c r="G2223" t="s">
        <v>785</v>
      </c>
      <c r="H2223" t="s">
        <v>39</v>
      </c>
      <c r="I2223" t="s">
        <v>40</v>
      </c>
      <c r="J2223" t="s">
        <v>109</v>
      </c>
      <c r="K2223" t="s">
        <v>42</v>
      </c>
      <c r="L2223" t="s">
        <v>43</v>
      </c>
      <c r="N2223" t="s">
        <v>44</v>
      </c>
      <c r="Q2223">
        <v>30323</v>
      </c>
      <c r="R2223" t="s">
        <v>322</v>
      </c>
      <c r="S2223" t="s">
        <v>1688</v>
      </c>
      <c r="T2223">
        <v>22</v>
      </c>
      <c r="U2223" s="2" t="s">
        <v>14364</v>
      </c>
      <c r="W2223" t="s">
        <v>153</v>
      </c>
      <c r="X2223">
        <v>110024247</v>
      </c>
      <c r="Y2223" t="s">
        <v>121</v>
      </c>
      <c r="Z2223" t="s">
        <v>122</v>
      </c>
      <c r="AA2223" s="2" t="s">
        <v>14365</v>
      </c>
      <c r="AB2223" t="s">
        <v>548</v>
      </c>
      <c r="AG2223" t="s">
        <v>14366</v>
      </c>
      <c r="AH2223" t="s">
        <v>8273</v>
      </c>
      <c r="AI2223" t="s">
        <v>14367</v>
      </c>
    </row>
    <row r="2224" spans="2:35" ht="300">
      <c r="B2224" s="1">
        <v>45705</v>
      </c>
      <c r="C2224" s="1">
        <v>45701</v>
      </c>
      <c r="D2224" t="s">
        <v>3030</v>
      </c>
      <c r="E2224" t="s">
        <v>13212</v>
      </c>
      <c r="F2224" t="s">
        <v>37</v>
      </c>
      <c r="G2224" t="s">
        <v>38</v>
      </c>
      <c r="H2224" t="s">
        <v>39</v>
      </c>
      <c r="I2224" t="s">
        <v>40</v>
      </c>
      <c r="J2224" t="s">
        <v>109</v>
      </c>
      <c r="K2224" t="s">
        <v>42</v>
      </c>
      <c r="L2224" t="s">
        <v>43</v>
      </c>
      <c r="N2224" t="s">
        <v>44</v>
      </c>
      <c r="Q2224">
        <v>30319</v>
      </c>
      <c r="R2224" t="s">
        <v>967</v>
      </c>
      <c r="S2224" t="s">
        <v>3032</v>
      </c>
      <c r="T2224">
        <v>22</v>
      </c>
      <c r="U2224" s="2" t="s">
        <v>14368</v>
      </c>
      <c r="W2224" t="s">
        <v>153</v>
      </c>
      <c r="X2224">
        <v>110023496</v>
      </c>
      <c r="Y2224" t="s">
        <v>121</v>
      </c>
      <c r="Z2224" t="s">
        <v>122</v>
      </c>
      <c r="AA2224" s="2" t="s">
        <v>123</v>
      </c>
      <c r="AB2224" t="s">
        <v>990</v>
      </c>
      <c r="AG2224" t="s">
        <v>14369</v>
      </c>
      <c r="AH2224" t="s">
        <v>3035</v>
      </c>
      <c r="AI2224" t="s">
        <v>14370</v>
      </c>
    </row>
    <row r="2225" spans="2:35" ht="255">
      <c r="B2225" s="1">
        <v>45705</v>
      </c>
      <c r="C2225" s="1">
        <v>45700</v>
      </c>
      <c r="D2225" t="s">
        <v>1081</v>
      </c>
      <c r="E2225" t="s">
        <v>1082</v>
      </c>
      <c r="F2225" t="s">
        <v>148</v>
      </c>
      <c r="G2225" t="s">
        <v>785</v>
      </c>
      <c r="H2225" t="s">
        <v>386</v>
      </c>
      <c r="I2225" t="s">
        <v>40</v>
      </c>
      <c r="J2225" t="s">
        <v>109</v>
      </c>
      <c r="K2225" t="s">
        <v>387</v>
      </c>
      <c r="L2225" t="s">
        <v>43</v>
      </c>
      <c r="N2225" t="s">
        <v>44</v>
      </c>
      <c r="Q2225">
        <v>30321</v>
      </c>
      <c r="R2225" t="s">
        <v>95</v>
      </c>
      <c r="S2225" t="s">
        <v>2074</v>
      </c>
      <c r="T2225">
        <v>24</v>
      </c>
      <c r="W2225" t="s">
        <v>390</v>
      </c>
      <c r="X2225" t="s">
        <v>2075</v>
      </c>
      <c r="Y2225" t="s">
        <v>121</v>
      </c>
      <c r="Z2225" t="s">
        <v>122</v>
      </c>
      <c r="AA2225" s="2" t="s">
        <v>14371</v>
      </c>
      <c r="AB2225" t="s">
        <v>181</v>
      </c>
      <c r="AG2225" t="s">
        <v>14372</v>
      </c>
      <c r="AH2225" t="s">
        <v>14373</v>
      </c>
      <c r="AI2225" t="s">
        <v>14374</v>
      </c>
    </row>
    <row r="2226" spans="2:35" ht="409.5">
      <c r="B2226" s="1">
        <v>45705</v>
      </c>
      <c r="C2226" s="1">
        <v>45700</v>
      </c>
      <c r="D2226" t="s">
        <v>14375</v>
      </c>
      <c r="E2226" t="s">
        <v>1082</v>
      </c>
      <c r="F2226" t="s">
        <v>148</v>
      </c>
      <c r="G2226" t="s">
        <v>544</v>
      </c>
      <c r="H2226" t="s">
        <v>39</v>
      </c>
      <c r="I2226" t="s">
        <v>40</v>
      </c>
      <c r="J2226" s="2" t="s">
        <v>1592</v>
      </c>
      <c r="K2226" t="s">
        <v>42</v>
      </c>
      <c r="L2226" t="s">
        <v>43</v>
      </c>
      <c r="N2226" t="s">
        <v>44</v>
      </c>
      <c r="Q2226">
        <v>30320</v>
      </c>
      <c r="R2226" t="s">
        <v>95</v>
      </c>
      <c r="S2226" t="s">
        <v>2016</v>
      </c>
      <c r="T2226">
        <v>22</v>
      </c>
      <c r="U2226" s="2" t="s">
        <v>14376</v>
      </c>
      <c r="V2226" s="1">
        <v>45699</v>
      </c>
      <c r="W2226" t="s">
        <v>5136</v>
      </c>
      <c r="X2226">
        <v>110015767</v>
      </c>
      <c r="Y2226" t="s">
        <v>3891</v>
      </c>
      <c r="Z2226" t="s">
        <v>14377</v>
      </c>
      <c r="AA2226" s="2" t="s">
        <v>14378</v>
      </c>
      <c r="AB2226" t="s">
        <v>14379</v>
      </c>
      <c r="AD2226" s="2" t="s">
        <v>14380</v>
      </c>
      <c r="AE2226" t="s">
        <v>14381</v>
      </c>
      <c r="AG2226" t="s">
        <v>14382</v>
      </c>
      <c r="AH2226" t="s">
        <v>2022</v>
      </c>
      <c r="AI2226" t="s">
        <v>14383</v>
      </c>
    </row>
    <row r="2227" spans="2:35" ht="255">
      <c r="B2227" s="1">
        <v>45705</v>
      </c>
      <c r="C2227" s="1">
        <v>45700</v>
      </c>
      <c r="D2227" t="s">
        <v>1081</v>
      </c>
      <c r="E2227" t="s">
        <v>1082</v>
      </c>
      <c r="F2227" t="s">
        <v>148</v>
      </c>
      <c r="G2227" t="s">
        <v>785</v>
      </c>
      <c r="H2227" t="s">
        <v>1083</v>
      </c>
      <c r="I2227" t="s">
        <v>40</v>
      </c>
      <c r="J2227" t="s">
        <v>109</v>
      </c>
      <c r="K2227" t="s">
        <v>387</v>
      </c>
      <c r="L2227" t="s">
        <v>43</v>
      </c>
      <c r="N2227" t="s">
        <v>44</v>
      </c>
      <c r="Q2227">
        <v>30322</v>
      </c>
      <c r="R2227" t="s">
        <v>95</v>
      </c>
      <c r="S2227" t="s">
        <v>1084</v>
      </c>
      <c r="T2227">
        <v>24</v>
      </c>
      <c r="W2227" t="s">
        <v>390</v>
      </c>
      <c r="X2227" t="s">
        <v>5969</v>
      </c>
      <c r="Y2227" t="s">
        <v>121</v>
      </c>
      <c r="Z2227" t="s">
        <v>122</v>
      </c>
      <c r="AA2227" s="2" t="s">
        <v>6458</v>
      </c>
      <c r="AB2227" t="s">
        <v>88</v>
      </c>
      <c r="AG2227" t="s">
        <v>14384</v>
      </c>
      <c r="AH2227" t="s">
        <v>14385</v>
      </c>
      <c r="AI2227" t="s">
        <v>14386</v>
      </c>
    </row>
    <row r="2228" spans="2:35" ht="409.5">
      <c r="B2228" s="1">
        <v>45705</v>
      </c>
      <c r="C2228" s="1">
        <v>45700</v>
      </c>
      <c r="D2228" t="s">
        <v>3669</v>
      </c>
      <c r="E2228" t="s">
        <v>10908</v>
      </c>
      <c r="F2228" t="s">
        <v>37</v>
      </c>
      <c r="G2228" t="s">
        <v>38</v>
      </c>
      <c r="H2228" t="s">
        <v>39</v>
      </c>
      <c r="I2228" t="s">
        <v>40</v>
      </c>
      <c r="J2228" s="2" t="s">
        <v>190</v>
      </c>
      <c r="K2228" t="s">
        <v>42</v>
      </c>
      <c r="L2228" t="s">
        <v>43</v>
      </c>
      <c r="N2228" t="s">
        <v>44</v>
      </c>
      <c r="Q2228">
        <v>30318</v>
      </c>
      <c r="R2228" t="s">
        <v>95</v>
      </c>
      <c r="S2228" t="s">
        <v>5580</v>
      </c>
      <c r="T2228">
        <v>22</v>
      </c>
      <c r="U2228" s="2" t="s">
        <v>14387</v>
      </c>
      <c r="W2228" t="s">
        <v>48</v>
      </c>
      <c r="X2228">
        <v>110005265</v>
      </c>
      <c r="Y2228" t="s">
        <v>3891</v>
      </c>
      <c r="Z2228" t="s">
        <v>122</v>
      </c>
      <c r="AA2228" s="2" t="s">
        <v>14388</v>
      </c>
      <c r="AB2228" t="s">
        <v>13885</v>
      </c>
      <c r="AG2228" t="s">
        <v>14389</v>
      </c>
      <c r="AH2228" t="s">
        <v>11659</v>
      </c>
      <c r="AI2228" t="s">
        <v>14390</v>
      </c>
    </row>
    <row r="2229" spans="2:35" ht="330">
      <c r="B2229" s="1">
        <v>45705</v>
      </c>
      <c r="C2229" s="1">
        <v>45701</v>
      </c>
      <c r="D2229" t="s">
        <v>9231</v>
      </c>
      <c r="E2229" t="s">
        <v>14391</v>
      </c>
      <c r="F2229" t="s">
        <v>148</v>
      </c>
      <c r="G2229" t="s">
        <v>447</v>
      </c>
      <c r="H2229" t="s">
        <v>2210</v>
      </c>
      <c r="I2229" t="s">
        <v>40</v>
      </c>
      <c r="J2229" t="s">
        <v>525</v>
      </c>
      <c r="K2229" t="s">
        <v>42</v>
      </c>
      <c r="L2229" t="s">
        <v>448</v>
      </c>
      <c r="N2229" t="s">
        <v>450</v>
      </c>
      <c r="Q2229">
        <v>30317</v>
      </c>
      <c r="R2229" t="s">
        <v>322</v>
      </c>
      <c r="S2229" t="s">
        <v>10428</v>
      </c>
      <c r="T2229">
        <v>26</v>
      </c>
      <c r="U2229" s="2" t="s">
        <v>14392</v>
      </c>
      <c r="W2229" t="s">
        <v>14393</v>
      </c>
      <c r="X2229">
        <v>110020697</v>
      </c>
      <c r="Y2229" t="s">
        <v>1574</v>
      </c>
      <c r="Z2229" s="2" t="s">
        <v>14394</v>
      </c>
      <c r="AA2229" t="s">
        <v>4487</v>
      </c>
      <c r="AB2229" t="s">
        <v>486</v>
      </c>
      <c r="AG2229" t="s">
        <v>14395</v>
      </c>
      <c r="AH2229" t="s">
        <v>9239</v>
      </c>
      <c r="AI2229" t="s">
        <v>14396</v>
      </c>
    </row>
    <row r="2230" spans="2:35" ht="195">
      <c r="B2230" s="1">
        <v>45704</v>
      </c>
      <c r="C2230" s="1">
        <v>45699</v>
      </c>
      <c r="D2230" t="s">
        <v>14397</v>
      </c>
      <c r="E2230" t="s">
        <v>12984</v>
      </c>
      <c r="F2230">
        <v>7</v>
      </c>
      <c r="G2230" t="s">
        <v>6529</v>
      </c>
      <c r="H2230" t="s">
        <v>39</v>
      </c>
      <c r="I2230" t="s">
        <v>40</v>
      </c>
      <c r="J2230" s="2" t="s">
        <v>41</v>
      </c>
      <c r="K2230" t="s">
        <v>42</v>
      </c>
      <c r="L2230" t="s">
        <v>433</v>
      </c>
      <c r="N2230" t="s">
        <v>434</v>
      </c>
      <c r="Q2230">
        <v>30316</v>
      </c>
      <c r="R2230" t="s">
        <v>119</v>
      </c>
      <c r="S2230" t="s">
        <v>10213</v>
      </c>
      <c r="T2230">
        <v>29</v>
      </c>
      <c r="W2230" t="s">
        <v>502</v>
      </c>
      <c r="X2230">
        <v>838394</v>
      </c>
      <c r="Y2230" t="s">
        <v>14398</v>
      </c>
      <c r="Z2230" s="2" t="s">
        <v>14399</v>
      </c>
      <c r="AA2230" s="2" t="s">
        <v>14400</v>
      </c>
      <c r="AB2230" t="s">
        <v>1011</v>
      </c>
      <c r="AG2230" t="s">
        <v>14401</v>
      </c>
      <c r="AH2230" t="s">
        <v>12989</v>
      </c>
      <c r="AI2230" t="s">
        <v>14402</v>
      </c>
    </row>
    <row r="2231" spans="2:35" ht="105">
      <c r="B2231" s="1">
        <v>45702</v>
      </c>
      <c r="C2231" s="1">
        <v>45702</v>
      </c>
      <c r="D2231" t="s">
        <v>14403</v>
      </c>
      <c r="E2231" t="s">
        <v>14403</v>
      </c>
      <c r="F2231">
        <v>7</v>
      </c>
      <c r="G2231" t="s">
        <v>432</v>
      </c>
      <c r="H2231" t="s">
        <v>39</v>
      </c>
      <c r="I2231" t="s">
        <v>40</v>
      </c>
      <c r="J2231" t="s">
        <v>109</v>
      </c>
      <c r="K2231" t="s">
        <v>42</v>
      </c>
      <c r="L2231" t="s">
        <v>1288</v>
      </c>
      <c r="N2231" t="s">
        <v>1289</v>
      </c>
      <c r="Q2231">
        <v>30315</v>
      </c>
      <c r="R2231" t="s">
        <v>119</v>
      </c>
      <c r="S2231" t="s">
        <v>14404</v>
      </c>
      <c r="T2231">
        <v>24</v>
      </c>
      <c r="U2231" s="2" t="s">
        <v>14405</v>
      </c>
      <c r="W2231" t="s">
        <v>1292</v>
      </c>
      <c r="X2231">
        <v>837661</v>
      </c>
      <c r="Y2231" t="s">
        <v>1052</v>
      </c>
      <c r="Z2231" t="e">
        <f ca="1">-COLLECT IQR, system _xludf.Log, _xludf.and ARCHIVE</f>
        <v>#NAME?</v>
      </c>
      <c r="AA2231" t="e">
        <f ca="1">-_xludf.Clean GeneXpert EQUIPMENT _xludf.and workstation
-PERFORM Preventive Maintenance PROCEDURE</f>
        <v>#NAME?</v>
      </c>
      <c r="AB2231" t="s">
        <v>14406</v>
      </c>
      <c r="AG2231" t="s">
        <v>14407</v>
      </c>
      <c r="AH2231" t="s">
        <v>14408</v>
      </c>
      <c r="AI2231" t="s">
        <v>14409</v>
      </c>
    </row>
    <row r="2232" spans="2:35" ht="120">
      <c r="B2232" s="1">
        <v>45702</v>
      </c>
      <c r="C2232" s="1">
        <v>45702</v>
      </c>
      <c r="D2232" t="s">
        <v>6943</v>
      </c>
      <c r="E2232" t="s">
        <v>6944</v>
      </c>
      <c r="F2232">
        <v>5</v>
      </c>
      <c r="G2232" t="s">
        <v>5795</v>
      </c>
      <c r="H2232" t="s">
        <v>39</v>
      </c>
      <c r="I2232" t="s">
        <v>94</v>
      </c>
      <c r="J2232" t="s">
        <v>109</v>
      </c>
      <c r="K2232" t="s">
        <v>42</v>
      </c>
      <c r="L2232" t="s">
        <v>761</v>
      </c>
      <c r="N2232" t="s">
        <v>762</v>
      </c>
      <c r="Q2232">
        <v>30314</v>
      </c>
      <c r="R2232" t="s">
        <v>119</v>
      </c>
      <c r="S2232" t="s">
        <v>5796</v>
      </c>
      <c r="T2232">
        <v>301</v>
      </c>
      <c r="U2232" s="2" t="s">
        <v>14410</v>
      </c>
      <c r="W2232" t="s">
        <v>765</v>
      </c>
      <c r="X2232">
        <v>838576</v>
      </c>
      <c r="Y2232" t="s">
        <v>818</v>
      </c>
      <c r="Z2232" s="2" t="s">
        <v>4466</v>
      </c>
      <c r="AA2232" t="s">
        <v>820</v>
      </c>
      <c r="AB2232" t="s">
        <v>70</v>
      </c>
      <c r="AG2232" t="s">
        <v>14411</v>
      </c>
      <c r="AH2232" t="s">
        <v>5805</v>
      </c>
      <c r="AI2232" t="s">
        <v>14412</v>
      </c>
    </row>
    <row r="2233" spans="2:35" ht="150">
      <c r="B2233" s="1">
        <v>45702</v>
      </c>
      <c r="C2233" s="1">
        <v>45702</v>
      </c>
      <c r="D2233" t="s">
        <v>7939</v>
      </c>
      <c r="E2233" t="s">
        <v>7940</v>
      </c>
      <c r="F2233">
        <v>5</v>
      </c>
      <c r="G2233" t="s">
        <v>5795</v>
      </c>
      <c r="H2233" t="s">
        <v>39</v>
      </c>
      <c r="I2233" t="s">
        <v>94</v>
      </c>
      <c r="J2233" t="s">
        <v>109</v>
      </c>
      <c r="K2233" t="s">
        <v>42</v>
      </c>
      <c r="L2233" t="s">
        <v>761</v>
      </c>
      <c r="N2233" t="s">
        <v>762</v>
      </c>
      <c r="Q2233">
        <v>30313</v>
      </c>
      <c r="R2233" t="s">
        <v>119</v>
      </c>
      <c r="S2233" t="s">
        <v>7941</v>
      </c>
      <c r="T2233">
        <v>24</v>
      </c>
      <c r="W2233" t="s">
        <v>765</v>
      </c>
      <c r="X2233">
        <v>838207</v>
      </c>
      <c r="Y2233" t="s">
        <v>14413</v>
      </c>
      <c r="Z2233" s="2" t="s">
        <v>14414</v>
      </c>
      <c r="AA2233" s="2" t="s">
        <v>14415</v>
      </c>
      <c r="AB2233" t="s">
        <v>70</v>
      </c>
      <c r="AG2233" t="s">
        <v>14416</v>
      </c>
      <c r="AH2233" t="s">
        <v>7944</v>
      </c>
      <c r="AI2233" t="s">
        <v>14417</v>
      </c>
    </row>
    <row r="2234" spans="2:35" ht="90">
      <c r="B2234" s="1">
        <v>45702</v>
      </c>
      <c r="C2234" s="1">
        <v>45702</v>
      </c>
      <c r="D2234" t="s">
        <v>3139</v>
      </c>
      <c r="E2234" t="s">
        <v>14418</v>
      </c>
      <c r="F2234">
        <v>3</v>
      </c>
      <c r="G2234" t="s">
        <v>174</v>
      </c>
      <c r="H2234" t="s">
        <v>39</v>
      </c>
      <c r="I2234" t="s">
        <v>40</v>
      </c>
      <c r="J2234" s="2" t="s">
        <v>41</v>
      </c>
      <c r="K2234" t="s">
        <v>42</v>
      </c>
      <c r="L2234" t="s">
        <v>175</v>
      </c>
      <c r="N2234" t="s">
        <v>176</v>
      </c>
      <c r="Q2234">
        <v>30312</v>
      </c>
      <c r="R2234" t="s">
        <v>967</v>
      </c>
      <c r="S2234" t="s">
        <v>14419</v>
      </c>
      <c r="T2234">
        <v>25</v>
      </c>
      <c r="V2234" s="1">
        <v>45699</v>
      </c>
      <c r="W2234" t="s">
        <v>373</v>
      </c>
      <c r="X2234">
        <v>110023507</v>
      </c>
      <c r="Y2234" t="s">
        <v>424</v>
      </c>
      <c r="Z2234" t="s">
        <v>425</v>
      </c>
      <c r="AA2234" t="e">
        <f ca="1">- checked _xludf.and cleaned cartridge bay, plunger rod, _xludf.filter
- replaced module B3(210122348)
- generated reports
- performed self test</f>
        <v>#NAME?</v>
      </c>
      <c r="AB2234" t="s">
        <v>181</v>
      </c>
      <c r="AD2234" s="2" t="s">
        <v>14420</v>
      </c>
      <c r="AE2234">
        <v>12749</v>
      </c>
      <c r="AG2234" t="s">
        <v>14421</v>
      </c>
      <c r="AH2234" t="s">
        <v>3145</v>
      </c>
      <c r="AI2234" t="s">
        <v>14422</v>
      </c>
    </row>
    <row r="2235" spans="2:35" ht="285">
      <c r="B2235" s="1">
        <v>45701</v>
      </c>
      <c r="C2235" s="1">
        <v>45701</v>
      </c>
      <c r="D2235" t="s">
        <v>7476</v>
      </c>
      <c r="E2235" t="s">
        <v>7477</v>
      </c>
      <c r="F2235">
        <v>11</v>
      </c>
      <c r="G2235" t="s">
        <v>1205</v>
      </c>
      <c r="H2235" t="s">
        <v>202</v>
      </c>
      <c r="I2235" t="s">
        <v>40</v>
      </c>
      <c r="J2235" t="s">
        <v>109</v>
      </c>
      <c r="K2235" t="s">
        <v>42</v>
      </c>
      <c r="L2235" t="s">
        <v>204</v>
      </c>
      <c r="N2235" t="s">
        <v>205</v>
      </c>
      <c r="Q2235">
        <v>30311</v>
      </c>
      <c r="R2235" t="s">
        <v>119</v>
      </c>
      <c r="S2235" t="s">
        <v>7478</v>
      </c>
      <c r="T2235">
        <v>24.8</v>
      </c>
      <c r="U2235" s="2" t="s">
        <v>12333</v>
      </c>
      <c r="W2235" t="s">
        <v>208</v>
      </c>
      <c r="X2235">
        <v>838507</v>
      </c>
      <c r="Y2235" t="s">
        <v>2851</v>
      </c>
      <c r="Z2235" s="2" t="s">
        <v>14423</v>
      </c>
      <c r="AA2235" t="s">
        <v>2551</v>
      </c>
      <c r="AB2235" t="s">
        <v>1211</v>
      </c>
      <c r="AG2235" t="s">
        <v>14424</v>
      </c>
      <c r="AH2235" t="s">
        <v>13502</v>
      </c>
      <c r="AI2235" t="s">
        <v>14425</v>
      </c>
    </row>
    <row r="2236" spans="2:35" ht="390">
      <c r="B2236" s="1">
        <v>45701</v>
      </c>
      <c r="C2236" s="1">
        <v>45701</v>
      </c>
      <c r="D2236" t="s">
        <v>14426</v>
      </c>
      <c r="E2236" t="s">
        <v>8908</v>
      </c>
      <c r="F2236">
        <v>5</v>
      </c>
      <c r="G2236" t="s">
        <v>839</v>
      </c>
      <c r="H2236" t="s">
        <v>39</v>
      </c>
      <c r="I2236" t="s">
        <v>94</v>
      </c>
      <c r="J2236" s="2" t="s">
        <v>190</v>
      </c>
      <c r="K2236" t="s">
        <v>42</v>
      </c>
      <c r="L2236" t="s">
        <v>761</v>
      </c>
      <c r="N2236" t="s">
        <v>762</v>
      </c>
      <c r="Q2236">
        <v>30310</v>
      </c>
      <c r="R2236" t="s">
        <v>119</v>
      </c>
      <c r="S2236" t="s">
        <v>8909</v>
      </c>
      <c r="T2236">
        <v>25</v>
      </c>
      <c r="U2236" s="2" t="s">
        <v>14427</v>
      </c>
      <c r="W2236" t="s">
        <v>765</v>
      </c>
      <c r="X2236">
        <v>838389</v>
      </c>
      <c r="Y2236" t="s">
        <v>14428</v>
      </c>
      <c r="Z2236" s="2" t="s">
        <v>14429</v>
      </c>
      <c r="AA2236" s="2" t="s">
        <v>10392</v>
      </c>
      <c r="AB2236" t="s">
        <v>181</v>
      </c>
      <c r="AC2236" t="s">
        <v>14430</v>
      </c>
      <c r="AG2236" t="s">
        <v>14431</v>
      </c>
      <c r="AH2236" t="s">
        <v>8912</v>
      </c>
      <c r="AI2236" t="s">
        <v>14432</v>
      </c>
    </row>
    <row r="2237" spans="2:35" ht="195">
      <c r="B2237" s="1">
        <v>45701</v>
      </c>
      <c r="C2237" s="1">
        <v>45700</v>
      </c>
      <c r="D2237" t="s">
        <v>8914</v>
      </c>
      <c r="E2237" t="s">
        <v>8915</v>
      </c>
      <c r="F2237">
        <v>5</v>
      </c>
      <c r="G2237" t="s">
        <v>839</v>
      </c>
      <c r="H2237" t="s">
        <v>39</v>
      </c>
      <c r="I2237" t="s">
        <v>94</v>
      </c>
      <c r="J2237" s="2" t="s">
        <v>190</v>
      </c>
      <c r="K2237" t="s">
        <v>42</v>
      </c>
      <c r="L2237" t="s">
        <v>761</v>
      </c>
      <c r="N2237" t="s">
        <v>762</v>
      </c>
      <c r="Q2237">
        <v>30309</v>
      </c>
      <c r="R2237" t="s">
        <v>119</v>
      </c>
      <c r="S2237" t="s">
        <v>8916</v>
      </c>
      <c r="T2237">
        <v>26</v>
      </c>
      <c r="W2237" t="s">
        <v>765</v>
      </c>
      <c r="X2237">
        <v>838558</v>
      </c>
      <c r="Y2237" t="s">
        <v>14433</v>
      </c>
      <c r="Z2237" s="2" t="s">
        <v>14434</v>
      </c>
      <c r="AA2237" s="2" t="s">
        <v>14435</v>
      </c>
      <c r="AB2237" t="s">
        <v>70</v>
      </c>
      <c r="AC2237" t="s">
        <v>14436</v>
      </c>
      <c r="AG2237" t="s">
        <v>14437</v>
      </c>
      <c r="AH2237" t="s">
        <v>14438</v>
      </c>
      <c r="AI2237" t="s">
        <v>14439</v>
      </c>
    </row>
    <row r="2238" spans="2:35" ht="255">
      <c r="B2238" s="1">
        <v>45700</v>
      </c>
      <c r="C2238" s="1">
        <v>45700</v>
      </c>
      <c r="D2238" t="s">
        <v>855</v>
      </c>
      <c r="E2238" t="s">
        <v>6752</v>
      </c>
      <c r="F2238" t="s">
        <v>148</v>
      </c>
      <c r="G2238" t="s">
        <v>310</v>
      </c>
      <c r="H2238" t="s">
        <v>39</v>
      </c>
      <c r="I2238" t="s">
        <v>40</v>
      </c>
      <c r="J2238" t="s">
        <v>525</v>
      </c>
      <c r="K2238" t="s">
        <v>42</v>
      </c>
      <c r="L2238" t="s">
        <v>857</v>
      </c>
      <c r="N2238" t="s">
        <v>858</v>
      </c>
      <c r="Q2238">
        <v>30308</v>
      </c>
      <c r="R2238" t="s">
        <v>322</v>
      </c>
      <c r="S2238" t="s">
        <v>859</v>
      </c>
      <c r="T2238">
        <v>23</v>
      </c>
      <c r="W2238" t="s">
        <v>860</v>
      </c>
      <c r="X2238">
        <v>809643</v>
      </c>
      <c r="Y2238" t="s">
        <v>14440</v>
      </c>
      <c r="Z2238" s="2" t="s">
        <v>14441</v>
      </c>
      <c r="AA2238" t="s">
        <v>768</v>
      </c>
      <c r="AB2238" t="s">
        <v>14442</v>
      </c>
      <c r="AG2238" t="s">
        <v>14443</v>
      </c>
      <c r="AH2238" t="s">
        <v>14444</v>
      </c>
      <c r="AI2238" t="s">
        <v>14445</v>
      </c>
    </row>
    <row r="2239" spans="2:35" ht="390">
      <c r="B2239" s="1">
        <v>45700</v>
      </c>
      <c r="C2239" s="1">
        <v>45700</v>
      </c>
      <c r="D2239" t="s">
        <v>6783</v>
      </c>
      <c r="E2239" t="s">
        <v>2569</v>
      </c>
      <c r="F2239" t="s">
        <v>148</v>
      </c>
      <c r="G2239" t="s">
        <v>447</v>
      </c>
      <c r="H2239" t="s">
        <v>39</v>
      </c>
      <c r="I2239" t="s">
        <v>40</v>
      </c>
      <c r="J2239" s="2" t="s">
        <v>62</v>
      </c>
      <c r="K2239" t="s">
        <v>42</v>
      </c>
      <c r="L2239" t="s">
        <v>448</v>
      </c>
      <c r="N2239" t="s">
        <v>450</v>
      </c>
      <c r="Q2239">
        <v>30307</v>
      </c>
      <c r="R2239" t="s">
        <v>95</v>
      </c>
      <c r="S2239" t="s">
        <v>12054</v>
      </c>
      <c r="T2239">
        <v>28</v>
      </c>
      <c r="U2239" s="2" t="s">
        <v>14446</v>
      </c>
      <c r="V2239" s="1">
        <v>45700</v>
      </c>
      <c r="W2239" t="s">
        <v>6785</v>
      </c>
      <c r="X2239">
        <v>839306</v>
      </c>
      <c r="Y2239" t="s">
        <v>873</v>
      </c>
      <c r="Z2239" s="2" t="s">
        <v>14447</v>
      </c>
      <c r="AA2239" t="s">
        <v>881</v>
      </c>
      <c r="AB2239" s="2" t="s">
        <v>14448</v>
      </c>
      <c r="AD2239" t="s">
        <v>11518</v>
      </c>
      <c r="AE2239" t="s">
        <v>14449</v>
      </c>
      <c r="AG2239" t="s">
        <v>14450</v>
      </c>
      <c r="AH2239" t="s">
        <v>12059</v>
      </c>
      <c r="AI2239" t="s">
        <v>14451</v>
      </c>
    </row>
    <row r="2240" spans="2:35">
      <c r="B2240" s="1">
        <v>45700</v>
      </c>
      <c r="C2240" s="1">
        <v>45700</v>
      </c>
      <c r="D2240" t="s">
        <v>340</v>
      </c>
      <c r="E2240" t="s">
        <v>341</v>
      </c>
      <c r="F2240">
        <v>8</v>
      </c>
      <c r="G2240" t="s">
        <v>342</v>
      </c>
      <c r="H2240" t="s">
        <v>1498</v>
      </c>
      <c r="I2240" t="s">
        <v>40</v>
      </c>
      <c r="J2240" t="s">
        <v>109</v>
      </c>
      <c r="K2240" t="s">
        <v>42</v>
      </c>
      <c r="L2240" t="s">
        <v>343</v>
      </c>
      <c r="N2240" t="s">
        <v>344</v>
      </c>
      <c r="Q2240">
        <v>30306</v>
      </c>
      <c r="R2240" t="s">
        <v>119</v>
      </c>
      <c r="S2240" t="s">
        <v>345</v>
      </c>
      <c r="T2240">
        <v>27</v>
      </c>
      <c r="W2240" t="s">
        <v>1501</v>
      </c>
      <c r="X2240">
        <v>838555</v>
      </c>
      <c r="Y2240" t="s">
        <v>7415</v>
      </c>
      <c r="Z2240" t="s">
        <v>14452</v>
      </c>
      <c r="AA2240" t="e">
        <f ca="1">-Preventive Maintenance
-ARCHIVE tests</f>
        <v>#NAME?</v>
      </c>
      <c r="AB2240" t="s">
        <v>348</v>
      </c>
      <c r="AG2240" t="s">
        <v>14453</v>
      </c>
      <c r="AH2240" t="s">
        <v>350</v>
      </c>
      <c r="AI2240" t="s">
        <v>14454</v>
      </c>
    </row>
    <row r="2241" spans="2:35" ht="409.5">
      <c r="B2241" s="1">
        <v>45700</v>
      </c>
      <c r="C2241" s="1">
        <v>45699</v>
      </c>
      <c r="D2241" t="s">
        <v>14455</v>
      </c>
      <c r="E2241" t="s">
        <v>13575</v>
      </c>
      <c r="F2241" t="s">
        <v>148</v>
      </c>
      <c r="G2241" t="s">
        <v>2007</v>
      </c>
      <c r="H2241" t="s">
        <v>662</v>
      </c>
      <c r="I2241" t="s">
        <v>40</v>
      </c>
      <c r="J2241" t="s">
        <v>109</v>
      </c>
      <c r="K2241" t="s">
        <v>42</v>
      </c>
      <c r="L2241" t="s">
        <v>448</v>
      </c>
      <c r="N2241" t="s">
        <v>450</v>
      </c>
      <c r="O2241" t="s">
        <v>14456</v>
      </c>
      <c r="Q2241">
        <v>30305</v>
      </c>
      <c r="R2241" t="s">
        <v>95</v>
      </c>
      <c r="S2241" t="s">
        <v>4273</v>
      </c>
      <c r="T2241">
        <v>28</v>
      </c>
      <c r="U2241" s="2" t="s">
        <v>14457</v>
      </c>
      <c r="W2241" t="s">
        <v>1573</v>
      </c>
      <c r="X2241">
        <v>110001647</v>
      </c>
      <c r="Y2241" s="2" t="s">
        <v>14458</v>
      </c>
      <c r="Z2241" s="2" t="s">
        <v>13693</v>
      </c>
      <c r="AA2241" t="s">
        <v>122</v>
      </c>
      <c r="AB2241" s="2" t="s">
        <v>14459</v>
      </c>
      <c r="AG2241" t="s">
        <v>14460</v>
      </c>
      <c r="AH2241" t="s">
        <v>7000</v>
      </c>
      <c r="AI2241" t="s">
        <v>14461</v>
      </c>
    </row>
    <row r="2242" spans="2:35" ht="409.5">
      <c r="B2242" s="1">
        <v>45700</v>
      </c>
      <c r="C2242" s="1">
        <v>45700</v>
      </c>
      <c r="D2242" t="s">
        <v>11557</v>
      </c>
      <c r="E2242" t="s">
        <v>14462</v>
      </c>
      <c r="F2242" t="s">
        <v>37</v>
      </c>
      <c r="G2242" t="s">
        <v>78</v>
      </c>
      <c r="H2242" t="s">
        <v>295</v>
      </c>
      <c r="I2242" t="s">
        <v>40</v>
      </c>
      <c r="J2242" t="s">
        <v>109</v>
      </c>
      <c r="K2242" t="s">
        <v>42</v>
      </c>
      <c r="L2242" t="s">
        <v>1943</v>
      </c>
      <c r="N2242" t="s">
        <v>1944</v>
      </c>
      <c r="Q2242">
        <v>30304</v>
      </c>
      <c r="R2242" t="s">
        <v>95</v>
      </c>
      <c r="S2242" t="s">
        <v>96</v>
      </c>
      <c r="T2242">
        <v>25</v>
      </c>
      <c r="U2242" s="2" t="s">
        <v>14463</v>
      </c>
      <c r="W2242" t="s">
        <v>84</v>
      </c>
      <c r="X2242">
        <v>839233</v>
      </c>
      <c r="Y2242" t="s">
        <v>2099</v>
      </c>
      <c r="Z2242" t="s">
        <v>2100</v>
      </c>
      <c r="AA2242" s="2" t="s">
        <v>2101</v>
      </c>
      <c r="AB2242" t="s">
        <v>88</v>
      </c>
      <c r="AG2242" t="s">
        <v>14464</v>
      </c>
      <c r="AH2242" t="s">
        <v>14465</v>
      </c>
      <c r="AI2242" t="s">
        <v>14466</v>
      </c>
    </row>
    <row r="2243" spans="2:35" ht="105">
      <c r="B2243" s="1">
        <v>45700</v>
      </c>
      <c r="C2243" s="1">
        <v>45700</v>
      </c>
      <c r="D2243" t="s">
        <v>8067</v>
      </c>
      <c r="E2243" t="s">
        <v>8068</v>
      </c>
      <c r="F2243">
        <v>8</v>
      </c>
      <c r="G2243" t="s">
        <v>257</v>
      </c>
      <c r="H2243" t="s">
        <v>258</v>
      </c>
      <c r="I2243" t="s">
        <v>40</v>
      </c>
      <c r="J2243" s="2" t="s">
        <v>190</v>
      </c>
      <c r="K2243" t="s">
        <v>42</v>
      </c>
      <c r="L2243" t="s">
        <v>259</v>
      </c>
      <c r="N2243" t="s">
        <v>260</v>
      </c>
      <c r="Q2243">
        <v>30303</v>
      </c>
      <c r="R2243" t="s">
        <v>119</v>
      </c>
      <c r="S2243" t="s">
        <v>8069</v>
      </c>
      <c r="T2243">
        <v>25</v>
      </c>
      <c r="U2243" s="2" t="s">
        <v>14467</v>
      </c>
      <c r="V2243" s="1">
        <v>45700</v>
      </c>
      <c r="W2243" t="s">
        <v>84</v>
      </c>
      <c r="X2243">
        <v>838406</v>
      </c>
      <c r="Y2243" t="s">
        <v>1716</v>
      </c>
      <c r="Z2243" t="s">
        <v>1716</v>
      </c>
      <c r="AA2243" t="e">
        <f ca="1">- Preventive Maintenance
- Troubleshooting
- printer Cleaning</f>
        <v>#NAME?</v>
      </c>
      <c r="AB2243" t="s">
        <v>7675</v>
      </c>
      <c r="AG2243" t="s">
        <v>14468</v>
      </c>
      <c r="AH2243" t="s">
        <v>14469</v>
      </c>
      <c r="AI2243" t="s">
        <v>14470</v>
      </c>
    </row>
    <row r="2244" spans="2:35" ht="105">
      <c r="B2244" s="1">
        <v>45699</v>
      </c>
      <c r="C2244" s="1">
        <v>45692</v>
      </c>
      <c r="D2244" t="s">
        <v>3738</v>
      </c>
      <c r="E2244" t="s">
        <v>3739</v>
      </c>
      <c r="F2244">
        <v>1</v>
      </c>
      <c r="G2244" t="s">
        <v>1046</v>
      </c>
      <c r="H2244" t="s">
        <v>39</v>
      </c>
      <c r="I2244" t="s">
        <v>40</v>
      </c>
      <c r="J2244" t="s">
        <v>109</v>
      </c>
      <c r="K2244" t="s">
        <v>42</v>
      </c>
      <c r="L2244" t="s">
        <v>1048</v>
      </c>
      <c r="N2244" t="s">
        <v>1049</v>
      </c>
      <c r="Q2244">
        <v>30302</v>
      </c>
      <c r="R2244" t="s">
        <v>119</v>
      </c>
      <c r="S2244" t="s">
        <v>3740</v>
      </c>
      <c r="T2244">
        <v>28</v>
      </c>
      <c r="U2244" s="2" t="s">
        <v>14471</v>
      </c>
      <c r="W2244" t="s">
        <v>1051</v>
      </c>
      <c r="X2244">
        <v>838438</v>
      </c>
      <c r="Y2244" t="s">
        <v>1052</v>
      </c>
      <c r="Z2244" t="e">
        <f ca="1">- cleaned cartridge Bays, plunger Rods _xludf.and I-CORE
- generated reports</f>
        <v>#NAME?</v>
      </c>
      <c r="AA2244" t="s">
        <v>820</v>
      </c>
      <c r="AB2244" t="s">
        <v>1428</v>
      </c>
      <c r="AG2244" t="s">
        <v>14472</v>
      </c>
      <c r="AH2244" t="s">
        <v>3742</v>
      </c>
      <c r="AI2244" t="s">
        <v>14473</v>
      </c>
    </row>
    <row r="2245" spans="2:35" ht="330">
      <c r="B2245" s="1">
        <v>45699</v>
      </c>
      <c r="C2245" s="1">
        <v>45692</v>
      </c>
      <c r="D2245" t="s">
        <v>1057</v>
      </c>
      <c r="E2245" t="s">
        <v>1058</v>
      </c>
      <c r="F2245">
        <v>1</v>
      </c>
      <c r="G2245" t="s">
        <v>1046</v>
      </c>
      <c r="H2245" t="s">
        <v>39</v>
      </c>
      <c r="I2245" t="s">
        <v>40</v>
      </c>
      <c r="J2245" t="s">
        <v>109</v>
      </c>
      <c r="K2245" t="s">
        <v>42</v>
      </c>
      <c r="L2245" t="s">
        <v>1048</v>
      </c>
      <c r="N2245" t="s">
        <v>1049</v>
      </c>
      <c r="Q2245">
        <v>30301</v>
      </c>
      <c r="R2245" t="s">
        <v>95</v>
      </c>
      <c r="S2245" t="s">
        <v>1059</v>
      </c>
      <c r="T2245">
        <v>30</v>
      </c>
      <c r="U2245" s="2" t="s">
        <v>14474</v>
      </c>
      <c r="W2245" t="s">
        <v>1060</v>
      </c>
      <c r="X2245">
        <v>820303</v>
      </c>
      <c r="Y2245" t="s">
        <v>1052</v>
      </c>
      <c r="Z2245" t="e">
        <f ca="1">- cleaned cartridge Bays, plunger Rods _xludf.and I-CORE
- generated reports</f>
        <v>#NAME?</v>
      </c>
      <c r="AA2245" t="s">
        <v>820</v>
      </c>
      <c r="AB2245" t="s">
        <v>14475</v>
      </c>
      <c r="AG2245" t="s">
        <v>14476</v>
      </c>
      <c r="AH2245" t="s">
        <v>3393</v>
      </c>
      <c r="AI2245" t="s">
        <v>14477</v>
      </c>
    </row>
    <row r="2246" spans="2:35" ht="105">
      <c r="B2246" s="1">
        <v>45699</v>
      </c>
      <c r="C2246" s="1">
        <v>45692</v>
      </c>
      <c r="D2246" t="s">
        <v>4503</v>
      </c>
      <c r="E2246" t="s">
        <v>4504</v>
      </c>
      <c r="F2246">
        <v>1</v>
      </c>
      <c r="G2246" t="s">
        <v>1046</v>
      </c>
      <c r="H2246" t="s">
        <v>1047</v>
      </c>
      <c r="I2246" t="s">
        <v>40</v>
      </c>
      <c r="J2246" t="s">
        <v>109</v>
      </c>
      <c r="K2246" t="s">
        <v>42</v>
      </c>
      <c r="L2246" t="s">
        <v>1048</v>
      </c>
      <c r="N2246" t="s">
        <v>1049</v>
      </c>
      <c r="Q2246">
        <v>30300</v>
      </c>
      <c r="R2246" t="s">
        <v>119</v>
      </c>
      <c r="S2246" t="s">
        <v>4505</v>
      </c>
      <c r="T2246">
        <v>29</v>
      </c>
      <c r="U2246" s="2" t="s">
        <v>14478</v>
      </c>
      <c r="W2246" t="s">
        <v>1051</v>
      </c>
      <c r="X2246">
        <v>838516</v>
      </c>
      <c r="Y2246" t="s">
        <v>1052</v>
      </c>
      <c r="Z2246" t="e">
        <f ca="1">- cleaned cartridge Bays, plunger Rods _xludf.and I-CORE</f>
        <v>#NAME?</v>
      </c>
      <c r="AA2246" t="s">
        <v>820</v>
      </c>
      <c r="AB2246" t="s">
        <v>1428</v>
      </c>
      <c r="AG2246" t="s">
        <v>14479</v>
      </c>
      <c r="AH2246" t="s">
        <v>4507</v>
      </c>
      <c r="AI2246" t="s">
        <v>14480</v>
      </c>
    </row>
    <row r="2247" spans="2:35" ht="285">
      <c r="B2247" s="1">
        <v>45699</v>
      </c>
      <c r="C2247" s="1">
        <v>45699</v>
      </c>
      <c r="D2247" t="s">
        <v>10967</v>
      </c>
      <c r="E2247" t="s">
        <v>14481</v>
      </c>
      <c r="F2247">
        <v>7</v>
      </c>
      <c r="G2247" t="s">
        <v>432</v>
      </c>
      <c r="H2247" t="s">
        <v>10969</v>
      </c>
      <c r="I2247" t="s">
        <v>40</v>
      </c>
      <c r="J2247" s="2" t="s">
        <v>190</v>
      </c>
      <c r="K2247" t="s">
        <v>42</v>
      </c>
      <c r="L2247" t="s">
        <v>1288</v>
      </c>
      <c r="N2247" t="s">
        <v>1289</v>
      </c>
      <c r="Q2247">
        <v>30299</v>
      </c>
      <c r="R2247" t="s">
        <v>119</v>
      </c>
      <c r="S2247" t="s">
        <v>3264</v>
      </c>
      <c r="T2247">
        <v>29</v>
      </c>
      <c r="U2247" s="2" t="s">
        <v>14482</v>
      </c>
      <c r="W2247" t="s">
        <v>1292</v>
      </c>
      <c r="X2247">
        <v>838510</v>
      </c>
      <c r="Y2247" t="s">
        <v>14483</v>
      </c>
      <c r="Z2247" t="e">
        <f ca="1">-COLLECT IQR,system _xludf.Log, _xludf.and ARCHIVE</f>
        <v>#NAME?</v>
      </c>
      <c r="AA2247" t="e">
        <f ca="1">-PERFORM self test
-PERFORM Preventive Maintenance PROCEDURE: _xludf.Clean plunger rod, cartridge bay, _xludf.and PROBES</f>
        <v>#NAME?</v>
      </c>
      <c r="AB2247" t="s">
        <v>1293</v>
      </c>
      <c r="AC2247" t="s">
        <v>14484</v>
      </c>
      <c r="AG2247" t="s">
        <v>14485</v>
      </c>
      <c r="AH2247" t="s">
        <v>10972</v>
      </c>
      <c r="AI2247" t="s">
        <v>14486</v>
      </c>
    </row>
    <row r="2248" spans="2:35">
      <c r="B2248" s="1">
        <v>45699</v>
      </c>
      <c r="C2248" s="1">
        <v>45699</v>
      </c>
      <c r="D2248" t="s">
        <v>14487</v>
      </c>
      <c r="E2248" t="s">
        <v>229</v>
      </c>
      <c r="F2248" t="s">
        <v>148</v>
      </c>
      <c r="G2248" t="s">
        <v>230</v>
      </c>
      <c r="H2248" t="s">
        <v>39</v>
      </c>
      <c r="I2248" t="s">
        <v>40</v>
      </c>
      <c r="J2248" t="s">
        <v>109</v>
      </c>
      <c r="K2248" t="s">
        <v>42</v>
      </c>
      <c r="L2248" t="s">
        <v>175</v>
      </c>
      <c r="N2248" t="s">
        <v>176</v>
      </c>
      <c r="Q2248">
        <v>30298</v>
      </c>
      <c r="R2248" t="s">
        <v>703</v>
      </c>
      <c r="S2248" t="s">
        <v>14488</v>
      </c>
      <c r="T2248">
        <v>25</v>
      </c>
      <c r="W2248" t="s">
        <v>84</v>
      </c>
      <c r="X2248">
        <v>110008415</v>
      </c>
      <c r="Y2248" t="s">
        <v>374</v>
      </c>
      <c r="Z2248" t="s">
        <v>103</v>
      </c>
      <c r="AA2248" t="e">
        <f ca="1">- checked _xludf.and cleaned cartridge bay, plunger rod, _xludf.filter, icore slot
- generated reports
- performed functionality test</f>
        <v>#NAME?</v>
      </c>
      <c r="AB2248" t="s">
        <v>181</v>
      </c>
      <c r="AG2248" t="s">
        <v>14489</v>
      </c>
      <c r="AH2248" t="s">
        <v>14490</v>
      </c>
      <c r="AI2248" t="s">
        <v>14491</v>
      </c>
    </row>
    <row r="2249" spans="2:35" ht="105">
      <c r="B2249" s="1">
        <v>45699</v>
      </c>
      <c r="C2249" s="1">
        <v>45699</v>
      </c>
      <c r="D2249" t="s">
        <v>14487</v>
      </c>
      <c r="E2249" t="s">
        <v>229</v>
      </c>
      <c r="F2249" t="s">
        <v>148</v>
      </c>
      <c r="G2249" t="s">
        <v>230</v>
      </c>
      <c r="H2249" t="s">
        <v>39</v>
      </c>
      <c r="I2249" t="s">
        <v>40</v>
      </c>
      <c r="J2249" t="s">
        <v>109</v>
      </c>
      <c r="K2249" t="s">
        <v>42</v>
      </c>
      <c r="L2249" t="s">
        <v>175</v>
      </c>
      <c r="N2249" t="s">
        <v>176</v>
      </c>
      <c r="Q2249">
        <v>30297</v>
      </c>
      <c r="R2249" t="s">
        <v>703</v>
      </c>
      <c r="S2249" t="s">
        <v>14488</v>
      </c>
      <c r="T2249">
        <v>25</v>
      </c>
      <c r="W2249" t="s">
        <v>84</v>
      </c>
      <c r="X2249">
        <v>110008420</v>
      </c>
      <c r="Y2249" t="s">
        <v>374</v>
      </c>
      <c r="Z2249" t="s">
        <v>103</v>
      </c>
      <c r="AA2249" t="e">
        <f ca="1">- checked _xludf.and cleaned cartridge bay, plunger rod,  _xludf.filter, icore slot
- generated reports
- scanned system _xludf.Log _xludf.For hardware errors (temp. errors found on B4)
- performed self test</f>
        <v>#NAME?</v>
      </c>
      <c r="AB2249" s="2" t="s">
        <v>14492</v>
      </c>
      <c r="AG2249" t="s">
        <v>14493</v>
      </c>
      <c r="AH2249" t="s">
        <v>14490</v>
      </c>
      <c r="AI2249" t="s">
        <v>14494</v>
      </c>
    </row>
    <row r="2250" spans="2:35" ht="135">
      <c r="B2250" s="1">
        <v>45699</v>
      </c>
      <c r="C2250" s="1">
        <v>45699</v>
      </c>
      <c r="D2250" t="s">
        <v>7276</v>
      </c>
      <c r="E2250" t="s">
        <v>1555</v>
      </c>
      <c r="F2250">
        <v>7</v>
      </c>
      <c r="G2250" t="s">
        <v>432</v>
      </c>
      <c r="H2250" t="s">
        <v>39</v>
      </c>
      <c r="I2250" t="s">
        <v>40</v>
      </c>
      <c r="J2250" t="s">
        <v>321</v>
      </c>
      <c r="K2250" t="s">
        <v>42</v>
      </c>
      <c r="L2250" t="s">
        <v>594</v>
      </c>
      <c r="N2250" t="s">
        <v>595</v>
      </c>
      <c r="O2250" t="s">
        <v>595</v>
      </c>
      <c r="Q2250">
        <v>30296</v>
      </c>
      <c r="R2250" t="s">
        <v>95</v>
      </c>
      <c r="S2250" t="s">
        <v>14495</v>
      </c>
      <c r="T2250">
        <v>23</v>
      </c>
      <c r="V2250" s="1">
        <v>45699</v>
      </c>
      <c r="W2250" t="s">
        <v>360</v>
      </c>
      <c r="X2250">
        <v>806201</v>
      </c>
      <c r="Y2250" t="s">
        <v>14496</v>
      </c>
      <c r="Z2250" s="2" t="s">
        <v>14497</v>
      </c>
      <c r="AA2250" s="2" t="s">
        <v>14498</v>
      </c>
      <c r="AB2250" s="2" t="s">
        <v>14499</v>
      </c>
      <c r="AG2250" t="s">
        <v>14500</v>
      </c>
      <c r="AH2250" t="s">
        <v>14501</v>
      </c>
      <c r="AI2250" t="s">
        <v>14502</v>
      </c>
    </row>
    <row r="2251" spans="2:35">
      <c r="B2251" s="1">
        <v>45699</v>
      </c>
      <c r="C2251" s="1">
        <v>45699</v>
      </c>
      <c r="D2251" t="s">
        <v>14503</v>
      </c>
      <c r="E2251" t="s">
        <v>14504</v>
      </c>
      <c r="F2251">
        <v>13</v>
      </c>
      <c r="G2251" t="s">
        <v>4484</v>
      </c>
      <c r="H2251" t="s">
        <v>2125</v>
      </c>
      <c r="I2251" t="s">
        <v>40</v>
      </c>
      <c r="J2251" t="s">
        <v>109</v>
      </c>
      <c r="K2251" t="s">
        <v>42</v>
      </c>
      <c r="L2251" t="s">
        <v>933</v>
      </c>
      <c r="N2251" t="s">
        <v>934</v>
      </c>
      <c r="Q2251">
        <v>30295</v>
      </c>
      <c r="R2251" t="s">
        <v>119</v>
      </c>
      <c r="S2251" t="s">
        <v>14505</v>
      </c>
      <c r="T2251">
        <v>26</v>
      </c>
      <c r="W2251" t="s">
        <v>3441</v>
      </c>
      <c r="X2251">
        <v>838550</v>
      </c>
      <c r="Y2251" t="s">
        <v>301</v>
      </c>
      <c r="Z2251" t="s">
        <v>6997</v>
      </c>
      <c r="AA2251" t="s">
        <v>14506</v>
      </c>
      <c r="AB2251" t="s">
        <v>2131</v>
      </c>
      <c r="AG2251" t="s">
        <v>14507</v>
      </c>
      <c r="AH2251" t="s">
        <v>14508</v>
      </c>
      <c r="AI2251" t="s">
        <v>14509</v>
      </c>
    </row>
    <row r="2252" spans="2:35" ht="210">
      <c r="B2252" s="1">
        <v>45699</v>
      </c>
      <c r="C2252" s="1">
        <v>45699</v>
      </c>
      <c r="D2252" t="s">
        <v>14510</v>
      </c>
      <c r="E2252" t="s">
        <v>12991</v>
      </c>
      <c r="F2252">
        <v>7</v>
      </c>
      <c r="G2252" t="s">
        <v>6529</v>
      </c>
      <c r="H2252" t="s">
        <v>39</v>
      </c>
      <c r="I2252" t="s">
        <v>40</v>
      </c>
      <c r="J2252" s="2" t="s">
        <v>62</v>
      </c>
      <c r="K2252" t="s">
        <v>42</v>
      </c>
      <c r="L2252" t="s">
        <v>433</v>
      </c>
      <c r="N2252" t="s">
        <v>434</v>
      </c>
      <c r="Q2252">
        <v>30294</v>
      </c>
      <c r="R2252" t="s">
        <v>119</v>
      </c>
      <c r="S2252" t="s">
        <v>14511</v>
      </c>
      <c r="T2252">
        <v>27</v>
      </c>
      <c r="W2252" t="s">
        <v>502</v>
      </c>
      <c r="X2252">
        <v>838494</v>
      </c>
      <c r="Y2252" t="s">
        <v>14512</v>
      </c>
      <c r="Z2252" t="s">
        <v>14513</v>
      </c>
      <c r="AA2252" s="2" t="s">
        <v>14514</v>
      </c>
      <c r="AB2252" s="2" t="s">
        <v>14515</v>
      </c>
      <c r="AG2252" t="s">
        <v>14516</v>
      </c>
      <c r="AH2252" t="s">
        <v>14517</v>
      </c>
      <c r="AI2252" t="s">
        <v>14518</v>
      </c>
    </row>
    <row r="2253" spans="2:35">
      <c r="B2253" s="1">
        <v>45699</v>
      </c>
      <c r="C2253" s="1">
        <v>45699</v>
      </c>
      <c r="D2253" t="s">
        <v>1496</v>
      </c>
      <c r="E2253" t="s">
        <v>1497</v>
      </c>
      <c r="F2253">
        <v>8</v>
      </c>
      <c r="G2253" t="s">
        <v>342</v>
      </c>
      <c r="H2253" t="s">
        <v>1498</v>
      </c>
      <c r="I2253" t="s">
        <v>40</v>
      </c>
      <c r="J2253" t="s">
        <v>109</v>
      </c>
      <c r="K2253" t="s">
        <v>42</v>
      </c>
      <c r="L2253" t="s">
        <v>343</v>
      </c>
      <c r="N2253" t="s">
        <v>14519</v>
      </c>
      <c r="Q2253">
        <v>30293</v>
      </c>
      <c r="R2253" t="s">
        <v>119</v>
      </c>
      <c r="S2253" t="s">
        <v>7820</v>
      </c>
      <c r="T2253">
        <v>27</v>
      </c>
      <c r="W2253" t="s">
        <v>1501</v>
      </c>
      <c r="X2253">
        <v>838297</v>
      </c>
      <c r="Y2253" t="s">
        <v>7415</v>
      </c>
      <c r="Z2253" t="s">
        <v>14520</v>
      </c>
      <c r="AA2253" t="e">
        <f ca="1">-Preventive Maintenance
-ARCHIVE tests</f>
        <v>#NAME?</v>
      </c>
      <c r="AB2253" t="s">
        <v>348</v>
      </c>
      <c r="AG2253" t="s">
        <v>14521</v>
      </c>
      <c r="AH2253" t="s">
        <v>7824</v>
      </c>
      <c r="AI2253" t="s">
        <v>14522</v>
      </c>
    </row>
    <row r="2254" spans="2:35" ht="195">
      <c r="B2254" s="1">
        <v>45698</v>
      </c>
      <c r="C2254" s="1">
        <v>45698</v>
      </c>
      <c r="D2254" t="s">
        <v>5017</v>
      </c>
      <c r="E2254" t="s">
        <v>14523</v>
      </c>
      <c r="F2254">
        <v>12</v>
      </c>
      <c r="G2254" t="s">
        <v>978</v>
      </c>
      <c r="H2254" t="s">
        <v>1473</v>
      </c>
      <c r="I2254" t="s">
        <v>40</v>
      </c>
      <c r="J2254" t="s">
        <v>109</v>
      </c>
      <c r="K2254" t="s">
        <v>42</v>
      </c>
      <c r="L2254" t="s">
        <v>296</v>
      </c>
      <c r="N2254" t="s">
        <v>297</v>
      </c>
      <c r="Q2254">
        <v>30292</v>
      </c>
      <c r="R2254" t="s">
        <v>119</v>
      </c>
      <c r="S2254" t="s">
        <v>5019</v>
      </c>
      <c r="T2254">
        <v>28.9</v>
      </c>
      <c r="W2254" t="s">
        <v>981</v>
      </c>
      <c r="X2254">
        <v>838569</v>
      </c>
      <c r="Y2254" t="s">
        <v>301</v>
      </c>
      <c r="Z2254" s="2" t="s">
        <v>14327</v>
      </c>
      <c r="AA2254" t="s">
        <v>303</v>
      </c>
      <c r="AB2254" t="s">
        <v>972</v>
      </c>
      <c r="AG2254" t="s">
        <v>14524</v>
      </c>
      <c r="AH2254" t="s">
        <v>7713</v>
      </c>
      <c r="AI2254" t="s">
        <v>14525</v>
      </c>
    </row>
    <row r="2255" spans="2:35" ht="210">
      <c r="B2255" s="1">
        <v>45698</v>
      </c>
      <c r="C2255" s="1">
        <v>45693</v>
      </c>
      <c r="D2255" t="s">
        <v>976</v>
      </c>
      <c r="E2255" t="s">
        <v>14526</v>
      </c>
      <c r="F2255">
        <v>12</v>
      </c>
      <c r="G2255" t="s">
        <v>978</v>
      </c>
      <c r="H2255" t="s">
        <v>39</v>
      </c>
      <c r="I2255" t="s">
        <v>40</v>
      </c>
      <c r="J2255" t="s">
        <v>109</v>
      </c>
      <c r="K2255" t="s">
        <v>42</v>
      </c>
      <c r="L2255" t="s">
        <v>296</v>
      </c>
      <c r="N2255" t="s">
        <v>297</v>
      </c>
      <c r="Q2255">
        <v>30291</v>
      </c>
      <c r="R2255" t="s">
        <v>119</v>
      </c>
      <c r="S2255" t="s">
        <v>979</v>
      </c>
      <c r="T2255">
        <v>27.3</v>
      </c>
      <c r="U2255" s="2" t="s">
        <v>14527</v>
      </c>
      <c r="W2255" t="s">
        <v>981</v>
      </c>
      <c r="X2255">
        <v>838543</v>
      </c>
      <c r="Y2255" t="s">
        <v>301</v>
      </c>
      <c r="Z2255" s="2" t="s">
        <v>14109</v>
      </c>
      <c r="AA2255" t="s">
        <v>303</v>
      </c>
      <c r="AB2255" t="s">
        <v>972</v>
      </c>
      <c r="AG2255" t="s">
        <v>14528</v>
      </c>
      <c r="AH2255" t="s">
        <v>14529</v>
      </c>
      <c r="AI2255" t="s">
        <v>14530</v>
      </c>
    </row>
    <row r="2256" spans="2:35" ht="270">
      <c r="B2256" s="1">
        <v>45698</v>
      </c>
      <c r="C2256" s="1">
        <v>45694</v>
      </c>
      <c r="D2256" t="s">
        <v>965</v>
      </c>
      <c r="E2256" t="s">
        <v>14531</v>
      </c>
      <c r="F2256">
        <v>12</v>
      </c>
      <c r="G2256" t="s">
        <v>294</v>
      </c>
      <c r="H2256" t="s">
        <v>1473</v>
      </c>
      <c r="I2256" t="s">
        <v>40</v>
      </c>
      <c r="J2256" t="s">
        <v>109</v>
      </c>
      <c r="K2256" t="s">
        <v>42</v>
      </c>
      <c r="L2256" t="s">
        <v>296</v>
      </c>
      <c r="N2256" t="s">
        <v>297</v>
      </c>
      <c r="Q2256">
        <v>30290</v>
      </c>
      <c r="R2256" t="s">
        <v>967</v>
      </c>
      <c r="S2256" t="s">
        <v>968</v>
      </c>
      <c r="T2256">
        <v>24.8</v>
      </c>
      <c r="U2256" s="2" t="s">
        <v>14532</v>
      </c>
      <c r="W2256" t="s">
        <v>970</v>
      </c>
      <c r="X2256">
        <v>110023520</v>
      </c>
      <c r="Y2256" t="s">
        <v>301</v>
      </c>
      <c r="Z2256" s="2" t="s">
        <v>14533</v>
      </c>
      <c r="AA2256" t="s">
        <v>303</v>
      </c>
      <c r="AB2256" t="s">
        <v>972</v>
      </c>
      <c r="AG2256" t="s">
        <v>14534</v>
      </c>
      <c r="AH2256" t="s">
        <v>14535</v>
      </c>
      <c r="AI2256" t="s">
        <v>14536</v>
      </c>
    </row>
    <row r="2257" spans="2:35" ht="409.5">
      <c r="B2257" s="1">
        <v>45698</v>
      </c>
      <c r="C2257" s="1">
        <v>45698</v>
      </c>
      <c r="D2257" t="s">
        <v>9690</v>
      </c>
      <c r="E2257" t="s">
        <v>14537</v>
      </c>
      <c r="F2257" t="s">
        <v>148</v>
      </c>
      <c r="G2257" t="s">
        <v>447</v>
      </c>
      <c r="H2257" t="s">
        <v>2570</v>
      </c>
      <c r="I2257" t="s">
        <v>40</v>
      </c>
      <c r="J2257" t="s">
        <v>109</v>
      </c>
      <c r="K2257" t="s">
        <v>42</v>
      </c>
      <c r="L2257" t="s">
        <v>448</v>
      </c>
      <c r="N2257" t="s">
        <v>450</v>
      </c>
      <c r="O2257" t="s">
        <v>2808</v>
      </c>
      <c r="Q2257">
        <v>30289</v>
      </c>
      <c r="R2257" t="s">
        <v>95</v>
      </c>
      <c r="S2257" t="s">
        <v>2571</v>
      </c>
      <c r="T2257">
        <v>24</v>
      </c>
      <c r="U2257" s="2" t="s">
        <v>14538</v>
      </c>
      <c r="W2257" t="s">
        <v>6121</v>
      </c>
      <c r="X2257">
        <v>807155</v>
      </c>
      <c r="Y2257" t="s">
        <v>485</v>
      </c>
      <c r="Z2257" s="2" t="s">
        <v>13693</v>
      </c>
      <c r="AA2257" t="s">
        <v>122</v>
      </c>
      <c r="AB2257" s="2" t="s">
        <v>14539</v>
      </c>
      <c r="AG2257" t="s">
        <v>14540</v>
      </c>
      <c r="AH2257" t="s">
        <v>14541</v>
      </c>
      <c r="AI2257" t="s">
        <v>14542</v>
      </c>
    </row>
    <row r="2258" spans="2:35" ht="270">
      <c r="B2258" s="1">
        <v>45698</v>
      </c>
      <c r="C2258" s="1">
        <v>45698</v>
      </c>
      <c r="D2258" t="s">
        <v>2568</v>
      </c>
      <c r="E2258" t="s">
        <v>14537</v>
      </c>
      <c r="F2258" t="s">
        <v>148</v>
      </c>
      <c r="G2258" t="s">
        <v>447</v>
      </c>
      <c r="H2258" t="s">
        <v>14543</v>
      </c>
      <c r="I2258" t="s">
        <v>40</v>
      </c>
      <c r="J2258" s="2" t="s">
        <v>190</v>
      </c>
      <c r="K2258" t="s">
        <v>42</v>
      </c>
      <c r="L2258" t="s">
        <v>448</v>
      </c>
      <c r="N2258" t="s">
        <v>450</v>
      </c>
      <c r="O2258" t="s">
        <v>2808</v>
      </c>
      <c r="Q2258">
        <v>30288</v>
      </c>
      <c r="R2258" t="s">
        <v>95</v>
      </c>
      <c r="S2258" t="s">
        <v>2809</v>
      </c>
      <c r="T2258">
        <v>24</v>
      </c>
      <c r="U2258" s="2" t="s">
        <v>14544</v>
      </c>
      <c r="W2258" t="s">
        <v>6121</v>
      </c>
      <c r="X2258">
        <v>839234</v>
      </c>
      <c r="Y2258" s="2" t="s">
        <v>14545</v>
      </c>
      <c r="Z2258" s="2" t="s">
        <v>14546</v>
      </c>
      <c r="AA2258" t="s">
        <v>122</v>
      </c>
      <c r="AB2258" t="s">
        <v>656</v>
      </c>
      <c r="AG2258" t="s">
        <v>14547</v>
      </c>
      <c r="AH2258" t="s">
        <v>14548</v>
      </c>
      <c r="AI2258" t="s">
        <v>14549</v>
      </c>
    </row>
    <row r="2259" spans="2:35" ht="409.5">
      <c r="B2259" s="1">
        <v>45698</v>
      </c>
      <c r="C2259" s="1">
        <v>45698</v>
      </c>
      <c r="D2259" t="s">
        <v>3423</v>
      </c>
      <c r="E2259" t="s">
        <v>12017</v>
      </c>
      <c r="F2259">
        <v>7</v>
      </c>
      <c r="G2259" t="s">
        <v>432</v>
      </c>
      <c r="H2259" t="s">
        <v>10969</v>
      </c>
      <c r="I2259" t="s">
        <v>40</v>
      </c>
      <c r="J2259" s="2" t="s">
        <v>62</v>
      </c>
      <c r="K2259" t="s">
        <v>42</v>
      </c>
      <c r="L2259" t="s">
        <v>1288</v>
      </c>
      <c r="N2259" t="s">
        <v>1289</v>
      </c>
      <c r="Q2259">
        <v>30287</v>
      </c>
      <c r="R2259" t="s">
        <v>95</v>
      </c>
      <c r="S2259" t="s">
        <v>4886</v>
      </c>
      <c r="T2259">
        <v>23</v>
      </c>
      <c r="U2259" s="2" t="s">
        <v>14550</v>
      </c>
      <c r="W2259" t="s">
        <v>1292</v>
      </c>
      <c r="X2259">
        <v>110008524</v>
      </c>
      <c r="Y2259" t="s">
        <v>14551</v>
      </c>
      <c r="Z2259" t="s">
        <v>14552</v>
      </c>
      <c r="AA2259" t="e">
        <f ca="1">-PERFORM Preventive Maintenance PROCEDURE: _xludf.Clean FAN _xludf.filter, plunger rod, PROBES, _xludf.and Bays
-PERFORM XpertCheck CALIBRATION:
module B1, B2 - passed
                                                                                                                                                                                                                                                                module B3-service
                                                                                                                                                                                                                                                                module B4-Retry THEN service</f>
        <v>#NAME?</v>
      </c>
      <c r="AB2259" s="2" t="s">
        <v>14553</v>
      </c>
      <c r="AC2259" t="e">
        <f ca="1">-module B3 disabled</f>
        <v>#NAME?</v>
      </c>
      <c r="AG2259" t="s">
        <v>14554</v>
      </c>
      <c r="AH2259" t="s">
        <v>13727</v>
      </c>
      <c r="AI2259" t="s">
        <v>14555</v>
      </c>
    </row>
    <row r="2260" spans="2:35" ht="300">
      <c r="B2260" s="1">
        <v>45698</v>
      </c>
      <c r="C2260" s="1">
        <v>45695</v>
      </c>
      <c r="D2260" t="s">
        <v>542</v>
      </c>
      <c r="E2260" t="s">
        <v>543</v>
      </c>
      <c r="F2260" t="s">
        <v>148</v>
      </c>
      <c r="G2260" t="s">
        <v>544</v>
      </c>
      <c r="H2260" t="s">
        <v>39</v>
      </c>
      <c r="I2260" t="s">
        <v>40</v>
      </c>
      <c r="J2260" t="s">
        <v>109</v>
      </c>
      <c r="K2260" t="s">
        <v>42</v>
      </c>
      <c r="L2260" t="s">
        <v>43</v>
      </c>
      <c r="N2260" t="s">
        <v>44</v>
      </c>
      <c r="O2260" t="s">
        <v>6737</v>
      </c>
      <c r="Q2260">
        <v>30285</v>
      </c>
      <c r="R2260" t="s">
        <v>322</v>
      </c>
      <c r="S2260" t="s">
        <v>545</v>
      </c>
      <c r="T2260">
        <v>24</v>
      </c>
      <c r="U2260" s="2" t="s">
        <v>14556</v>
      </c>
      <c r="W2260" t="s">
        <v>153</v>
      </c>
      <c r="X2260">
        <v>120000613</v>
      </c>
      <c r="Y2260" t="s">
        <v>121</v>
      </c>
      <c r="Z2260" t="s">
        <v>122</v>
      </c>
      <c r="AA2260" s="2" t="s">
        <v>14557</v>
      </c>
      <c r="AB2260" t="s">
        <v>548</v>
      </c>
      <c r="AG2260" t="s">
        <v>14558</v>
      </c>
      <c r="AH2260" t="s">
        <v>14559</v>
      </c>
      <c r="AI2260" t="s">
        <v>14560</v>
      </c>
    </row>
    <row r="2261" spans="2:35" ht="300">
      <c r="B2261" s="1">
        <v>45698</v>
      </c>
      <c r="C2261" s="1">
        <v>45695</v>
      </c>
      <c r="D2261" t="s">
        <v>542</v>
      </c>
      <c r="E2261" t="s">
        <v>543</v>
      </c>
      <c r="F2261" t="s">
        <v>148</v>
      </c>
      <c r="G2261" t="s">
        <v>544</v>
      </c>
      <c r="H2261" t="s">
        <v>39</v>
      </c>
      <c r="I2261" t="s">
        <v>40</v>
      </c>
      <c r="J2261" t="s">
        <v>109</v>
      </c>
      <c r="K2261" t="s">
        <v>42</v>
      </c>
      <c r="L2261" t="s">
        <v>43</v>
      </c>
      <c r="N2261" t="s">
        <v>44</v>
      </c>
      <c r="O2261" t="s">
        <v>6737</v>
      </c>
      <c r="Q2261">
        <v>30286</v>
      </c>
      <c r="R2261" t="s">
        <v>322</v>
      </c>
      <c r="S2261" t="s">
        <v>545</v>
      </c>
      <c r="T2261">
        <v>24</v>
      </c>
      <c r="U2261" s="2" t="s">
        <v>14561</v>
      </c>
      <c r="W2261" t="s">
        <v>153</v>
      </c>
      <c r="X2261">
        <v>110016107</v>
      </c>
      <c r="Y2261" t="s">
        <v>121</v>
      </c>
      <c r="Z2261" t="s">
        <v>122</v>
      </c>
      <c r="AA2261" s="2" t="s">
        <v>9744</v>
      </c>
      <c r="AB2261" t="s">
        <v>548</v>
      </c>
      <c r="AG2261" t="s">
        <v>14562</v>
      </c>
      <c r="AH2261" t="s">
        <v>14559</v>
      </c>
      <c r="AI2261" t="s">
        <v>14563</v>
      </c>
    </row>
    <row r="2262" spans="2:35" ht="300">
      <c r="B2262" s="1">
        <v>45698</v>
      </c>
      <c r="C2262" s="1">
        <v>45695</v>
      </c>
      <c r="D2262" t="s">
        <v>542</v>
      </c>
      <c r="E2262" t="s">
        <v>14564</v>
      </c>
      <c r="F2262" t="s">
        <v>148</v>
      </c>
      <c r="G2262" t="s">
        <v>544</v>
      </c>
      <c r="H2262" t="s">
        <v>39</v>
      </c>
      <c r="I2262" t="s">
        <v>40</v>
      </c>
      <c r="J2262" t="s">
        <v>109</v>
      </c>
      <c r="K2262" t="s">
        <v>42</v>
      </c>
      <c r="L2262" t="s">
        <v>43</v>
      </c>
      <c r="N2262" t="s">
        <v>44</v>
      </c>
      <c r="O2262" t="s">
        <v>6737</v>
      </c>
      <c r="Q2262">
        <v>30281</v>
      </c>
      <c r="R2262" t="s">
        <v>322</v>
      </c>
      <c r="S2262" t="s">
        <v>545</v>
      </c>
      <c r="T2262">
        <v>22</v>
      </c>
      <c r="U2262" s="2" t="s">
        <v>14565</v>
      </c>
      <c r="W2262" t="s">
        <v>153</v>
      </c>
      <c r="X2262">
        <v>110024073</v>
      </c>
      <c r="Y2262" t="s">
        <v>121</v>
      </c>
      <c r="Z2262" t="s">
        <v>122</v>
      </c>
      <c r="AA2262" s="2" t="s">
        <v>14566</v>
      </c>
      <c r="AB2262" t="s">
        <v>548</v>
      </c>
      <c r="AG2262" t="s">
        <v>14567</v>
      </c>
      <c r="AH2262" t="s">
        <v>14568</v>
      </c>
      <c r="AI2262" t="s">
        <v>14569</v>
      </c>
    </row>
    <row r="2263" spans="2:35" ht="409.5">
      <c r="B2263" s="1">
        <v>45698</v>
      </c>
      <c r="C2263" s="1">
        <v>45695</v>
      </c>
      <c r="D2263" t="s">
        <v>3669</v>
      </c>
      <c r="E2263" t="s">
        <v>10908</v>
      </c>
      <c r="F2263" t="s">
        <v>37</v>
      </c>
      <c r="G2263" t="s">
        <v>38</v>
      </c>
      <c r="H2263" t="s">
        <v>39</v>
      </c>
      <c r="I2263" t="s">
        <v>40</v>
      </c>
      <c r="J2263" t="s">
        <v>109</v>
      </c>
      <c r="K2263" t="s">
        <v>42</v>
      </c>
      <c r="L2263" t="s">
        <v>43</v>
      </c>
      <c r="N2263" t="s">
        <v>44</v>
      </c>
      <c r="Q2263">
        <v>30282</v>
      </c>
      <c r="R2263" t="s">
        <v>95</v>
      </c>
      <c r="S2263" t="s">
        <v>5945</v>
      </c>
      <c r="T2263">
        <v>22</v>
      </c>
      <c r="U2263" s="2" t="s">
        <v>14570</v>
      </c>
      <c r="W2263" t="s">
        <v>48</v>
      </c>
      <c r="X2263">
        <v>110005265</v>
      </c>
      <c r="Y2263" t="s">
        <v>121</v>
      </c>
      <c r="Z2263" t="s">
        <v>122</v>
      </c>
      <c r="AA2263" s="2" t="s">
        <v>14571</v>
      </c>
      <c r="AB2263" t="s">
        <v>548</v>
      </c>
      <c r="AG2263" t="s">
        <v>14572</v>
      </c>
      <c r="AH2263" t="s">
        <v>11659</v>
      </c>
      <c r="AI2263" t="s">
        <v>14573</v>
      </c>
    </row>
    <row r="2264" spans="2:35" ht="255">
      <c r="B2264" s="1">
        <v>45698</v>
      </c>
      <c r="C2264" s="1">
        <v>45694</v>
      </c>
      <c r="D2264" t="s">
        <v>146</v>
      </c>
      <c r="E2264" t="s">
        <v>14574</v>
      </c>
      <c r="F2264" t="s">
        <v>148</v>
      </c>
      <c r="G2264" t="s">
        <v>149</v>
      </c>
      <c r="H2264" t="s">
        <v>150</v>
      </c>
      <c r="I2264" t="s">
        <v>40</v>
      </c>
      <c r="J2264" t="s">
        <v>109</v>
      </c>
      <c r="K2264" t="s">
        <v>42</v>
      </c>
      <c r="L2264" t="s">
        <v>43</v>
      </c>
      <c r="N2264" t="s">
        <v>44</v>
      </c>
      <c r="O2264" t="s">
        <v>388</v>
      </c>
      <c r="Q2264">
        <v>30284</v>
      </c>
      <c r="R2264" t="s">
        <v>95</v>
      </c>
      <c r="S2264" t="s">
        <v>14575</v>
      </c>
      <c r="T2264">
        <v>24</v>
      </c>
      <c r="U2264" s="2" t="s">
        <v>14576</v>
      </c>
      <c r="W2264" t="s">
        <v>153</v>
      </c>
      <c r="X2264">
        <v>110003714</v>
      </c>
      <c r="Y2264" t="s">
        <v>121</v>
      </c>
      <c r="Z2264" t="s">
        <v>122</v>
      </c>
      <c r="AA2264" s="2" t="s">
        <v>10915</v>
      </c>
      <c r="AB2264" t="s">
        <v>14577</v>
      </c>
      <c r="AG2264" t="s">
        <v>14578</v>
      </c>
      <c r="AH2264" t="s">
        <v>14579</v>
      </c>
      <c r="AI2264" t="s">
        <v>14580</v>
      </c>
    </row>
    <row r="2265" spans="2:35" ht="225">
      <c r="B2265" s="1">
        <v>45698</v>
      </c>
      <c r="C2265" s="1">
        <v>45695</v>
      </c>
      <c r="D2265" t="s">
        <v>542</v>
      </c>
      <c r="E2265" t="s">
        <v>14564</v>
      </c>
      <c r="F2265" t="s">
        <v>148</v>
      </c>
      <c r="G2265" t="s">
        <v>544</v>
      </c>
      <c r="H2265" t="s">
        <v>39</v>
      </c>
      <c r="I2265" t="s">
        <v>40</v>
      </c>
      <c r="J2265" t="s">
        <v>109</v>
      </c>
      <c r="K2265" t="s">
        <v>42</v>
      </c>
      <c r="L2265" t="s">
        <v>43</v>
      </c>
      <c r="N2265" t="s">
        <v>44</v>
      </c>
      <c r="O2265" t="s">
        <v>6737</v>
      </c>
      <c r="Q2265">
        <v>30283</v>
      </c>
      <c r="R2265" t="s">
        <v>322</v>
      </c>
      <c r="S2265" t="s">
        <v>545</v>
      </c>
      <c r="T2265">
        <v>22</v>
      </c>
      <c r="U2265" s="2" t="s">
        <v>14581</v>
      </c>
      <c r="W2265" t="s">
        <v>153</v>
      </c>
      <c r="X2265">
        <v>110024072</v>
      </c>
      <c r="Y2265" t="s">
        <v>121</v>
      </c>
      <c r="Z2265" t="s">
        <v>122</v>
      </c>
      <c r="AA2265" s="2" t="s">
        <v>14566</v>
      </c>
      <c r="AB2265" t="s">
        <v>548</v>
      </c>
      <c r="AG2265" t="s">
        <v>14582</v>
      </c>
      <c r="AH2265" t="s">
        <v>14583</v>
      </c>
      <c r="AI2265" t="s">
        <v>14584</v>
      </c>
    </row>
    <row r="2266" spans="2:35" ht="255">
      <c r="B2266" s="1">
        <v>45698</v>
      </c>
      <c r="C2266" s="1">
        <v>45694</v>
      </c>
      <c r="D2266" t="s">
        <v>146</v>
      </c>
      <c r="E2266" t="s">
        <v>14574</v>
      </c>
      <c r="F2266" t="s">
        <v>148</v>
      </c>
      <c r="G2266" t="s">
        <v>149</v>
      </c>
      <c r="H2266" t="s">
        <v>39</v>
      </c>
      <c r="I2266" t="s">
        <v>40</v>
      </c>
      <c r="J2266" t="s">
        <v>109</v>
      </c>
      <c r="K2266" t="s">
        <v>387</v>
      </c>
      <c r="L2266" t="s">
        <v>43</v>
      </c>
      <c r="N2266" t="s">
        <v>44</v>
      </c>
      <c r="O2266" t="s">
        <v>388</v>
      </c>
      <c r="Q2266">
        <v>30280</v>
      </c>
      <c r="R2266" t="s">
        <v>95</v>
      </c>
      <c r="S2266" t="s">
        <v>389</v>
      </c>
      <c r="T2266">
        <v>24</v>
      </c>
      <c r="W2266" t="s">
        <v>390</v>
      </c>
      <c r="X2266" t="s">
        <v>391</v>
      </c>
      <c r="Y2266" t="s">
        <v>121</v>
      </c>
      <c r="Z2266" t="s">
        <v>122</v>
      </c>
      <c r="AA2266" s="2" t="s">
        <v>2076</v>
      </c>
      <c r="AB2266" t="s">
        <v>88</v>
      </c>
      <c r="AG2266" t="s">
        <v>14585</v>
      </c>
      <c r="AH2266" t="s">
        <v>8966</v>
      </c>
      <c r="AI2266" t="s">
        <v>14586</v>
      </c>
    </row>
    <row r="2267" spans="2:35" ht="409.5">
      <c r="B2267" s="1">
        <v>45695</v>
      </c>
      <c r="C2267" s="1">
        <v>45692</v>
      </c>
      <c r="D2267" t="s">
        <v>5903</v>
      </c>
      <c r="E2267" t="s">
        <v>2569</v>
      </c>
      <c r="F2267" t="s">
        <v>148</v>
      </c>
      <c r="G2267" t="s">
        <v>447</v>
      </c>
      <c r="H2267" t="s">
        <v>662</v>
      </c>
      <c r="I2267" t="s">
        <v>40</v>
      </c>
      <c r="J2267" t="s">
        <v>525</v>
      </c>
      <c r="K2267" t="s">
        <v>42</v>
      </c>
      <c r="L2267" t="s">
        <v>448</v>
      </c>
      <c r="N2267" t="s">
        <v>450</v>
      </c>
      <c r="Q2267">
        <v>30279</v>
      </c>
      <c r="R2267" t="s">
        <v>322</v>
      </c>
      <c r="S2267" t="s">
        <v>14587</v>
      </c>
      <c r="T2267">
        <v>28</v>
      </c>
      <c r="U2267" s="2" t="s">
        <v>14588</v>
      </c>
      <c r="V2267" s="1">
        <v>45691</v>
      </c>
      <c r="W2267" t="s">
        <v>6785</v>
      </c>
      <c r="X2267">
        <v>110014171</v>
      </c>
      <c r="Y2267" s="2" t="s">
        <v>14589</v>
      </c>
      <c r="Z2267" s="2" t="s">
        <v>14590</v>
      </c>
      <c r="AA2267" t="s">
        <v>680</v>
      </c>
      <c r="AB2267" s="2" t="s">
        <v>14591</v>
      </c>
      <c r="AD2267" t="s">
        <v>14592</v>
      </c>
      <c r="AE2267">
        <v>12619</v>
      </c>
      <c r="AG2267" t="s">
        <v>14593</v>
      </c>
      <c r="AH2267" t="s">
        <v>12852</v>
      </c>
      <c r="AI2267" t="s">
        <v>14594</v>
      </c>
    </row>
    <row r="2268" spans="2:35" ht="285">
      <c r="B2268" s="1">
        <v>45695</v>
      </c>
      <c r="C2268" s="1">
        <v>45693</v>
      </c>
      <c r="D2268" t="s">
        <v>472</v>
      </c>
      <c r="E2268" t="s">
        <v>473</v>
      </c>
      <c r="F2268" t="s">
        <v>148</v>
      </c>
      <c r="G2268" t="s">
        <v>447</v>
      </c>
      <c r="H2268" t="s">
        <v>4614</v>
      </c>
      <c r="I2268" t="s">
        <v>40</v>
      </c>
      <c r="J2268" t="s">
        <v>525</v>
      </c>
      <c r="K2268" t="s">
        <v>387</v>
      </c>
      <c r="L2268" t="s">
        <v>448</v>
      </c>
      <c r="N2268" t="s">
        <v>450</v>
      </c>
      <c r="Q2268">
        <v>30278</v>
      </c>
      <c r="R2268" t="s">
        <v>322</v>
      </c>
      <c r="S2268" t="s">
        <v>6331</v>
      </c>
      <c r="T2268">
        <v>27</v>
      </c>
      <c r="W2268" t="s">
        <v>476</v>
      </c>
      <c r="X2268" t="s">
        <v>477</v>
      </c>
      <c r="Y2268" s="2" t="s">
        <v>14595</v>
      </c>
      <c r="Z2268" s="2" t="s">
        <v>14596</v>
      </c>
      <c r="AA2268" t="s">
        <v>4487</v>
      </c>
      <c r="AB2268" t="s">
        <v>486</v>
      </c>
      <c r="AG2268" t="s">
        <v>14597</v>
      </c>
      <c r="AH2268" t="s">
        <v>6334</v>
      </c>
      <c r="AI2268" t="s">
        <v>14598</v>
      </c>
    </row>
    <row r="2269" spans="2:35" ht="409.5">
      <c r="B2269" s="1">
        <v>45695</v>
      </c>
      <c r="C2269" s="1">
        <v>45692</v>
      </c>
      <c r="D2269" t="s">
        <v>5903</v>
      </c>
      <c r="E2269" t="s">
        <v>14599</v>
      </c>
      <c r="F2269" t="s">
        <v>148</v>
      </c>
      <c r="G2269" t="s">
        <v>447</v>
      </c>
      <c r="H2269" t="s">
        <v>386</v>
      </c>
      <c r="I2269" t="s">
        <v>40</v>
      </c>
      <c r="J2269" s="2" t="s">
        <v>190</v>
      </c>
      <c r="K2269" t="s">
        <v>387</v>
      </c>
      <c r="L2269" t="s">
        <v>448</v>
      </c>
      <c r="N2269" t="s">
        <v>650</v>
      </c>
      <c r="O2269" t="s">
        <v>663</v>
      </c>
      <c r="Q2269">
        <v>30277</v>
      </c>
      <c r="R2269" t="s">
        <v>322</v>
      </c>
      <c r="S2269" t="s">
        <v>9610</v>
      </c>
      <c r="T2269">
        <v>28</v>
      </c>
      <c r="W2269" t="s">
        <v>476</v>
      </c>
      <c r="X2269" t="s">
        <v>5906</v>
      </c>
      <c r="Y2269" s="2" t="s">
        <v>14600</v>
      </c>
      <c r="Z2269" s="2" t="s">
        <v>6718</v>
      </c>
      <c r="AA2269" t="s">
        <v>122</v>
      </c>
      <c r="AB2269" s="2" t="s">
        <v>14601</v>
      </c>
      <c r="AG2269" t="s">
        <v>14602</v>
      </c>
      <c r="AH2269" t="s">
        <v>5903</v>
      </c>
      <c r="AI2269" t="s">
        <v>14603</v>
      </c>
    </row>
    <row r="2270" spans="2:35" ht="135">
      <c r="B2270" s="1">
        <v>45695</v>
      </c>
      <c r="C2270" s="1">
        <v>45695</v>
      </c>
      <c r="D2270" t="s">
        <v>12495</v>
      </c>
      <c r="E2270" t="s">
        <v>14604</v>
      </c>
      <c r="F2270">
        <v>1</v>
      </c>
      <c r="G2270" t="s">
        <v>219</v>
      </c>
      <c r="H2270" t="s">
        <v>513</v>
      </c>
      <c r="I2270" t="s">
        <v>40</v>
      </c>
      <c r="J2270" s="2" t="s">
        <v>41</v>
      </c>
      <c r="K2270" t="s">
        <v>387</v>
      </c>
      <c r="L2270" t="s">
        <v>175</v>
      </c>
      <c r="N2270" t="s">
        <v>176</v>
      </c>
      <c r="Q2270">
        <v>30276</v>
      </c>
      <c r="R2270" t="s">
        <v>322</v>
      </c>
      <c r="S2270" t="s">
        <v>12902</v>
      </c>
      <c r="T2270">
        <v>25</v>
      </c>
      <c r="V2270" s="1">
        <v>45693</v>
      </c>
      <c r="W2270" t="s">
        <v>390</v>
      </c>
      <c r="X2270" t="s">
        <v>12499</v>
      </c>
      <c r="Y2270" s="2" t="s">
        <v>14605</v>
      </c>
      <c r="Z2270" t="s">
        <v>14606</v>
      </c>
      <c r="AA2270" t="e">
        <f ca="1">- replaced rotor roller rubbers
- checked CALIBRATION parameters
- performed self test</f>
        <v>#NAME?</v>
      </c>
      <c r="AB2270" t="s">
        <v>181</v>
      </c>
      <c r="AD2270" t="s">
        <v>14607</v>
      </c>
      <c r="AE2270">
        <v>12630</v>
      </c>
      <c r="AG2270" t="s">
        <v>14608</v>
      </c>
      <c r="AH2270" t="s">
        <v>14609</v>
      </c>
      <c r="AI2270" t="s">
        <v>14610</v>
      </c>
    </row>
    <row r="2271" spans="2:35" ht="315">
      <c r="B2271" s="1">
        <v>45695</v>
      </c>
      <c r="C2271" s="1">
        <v>45695</v>
      </c>
      <c r="D2271" t="s">
        <v>14611</v>
      </c>
      <c r="E2271" t="s">
        <v>14612</v>
      </c>
      <c r="F2271">
        <v>7</v>
      </c>
      <c r="G2271" t="s">
        <v>432</v>
      </c>
      <c r="H2271" t="s">
        <v>39</v>
      </c>
      <c r="I2271" t="s">
        <v>40</v>
      </c>
      <c r="J2271" t="s">
        <v>109</v>
      </c>
      <c r="K2271" t="s">
        <v>42</v>
      </c>
      <c r="L2271" t="s">
        <v>594</v>
      </c>
      <c r="N2271" t="s">
        <v>595</v>
      </c>
      <c r="O2271" t="s">
        <v>595</v>
      </c>
      <c r="Q2271">
        <v>30275</v>
      </c>
      <c r="R2271" t="s">
        <v>95</v>
      </c>
      <c r="S2271" t="s">
        <v>14495</v>
      </c>
      <c r="T2271">
        <v>23</v>
      </c>
      <c r="V2271" s="1">
        <v>45690</v>
      </c>
      <c r="W2271" t="s">
        <v>895</v>
      </c>
      <c r="X2271">
        <v>838657</v>
      </c>
      <c r="Y2271" t="s">
        <v>14613</v>
      </c>
      <c r="Z2271" s="2" t="s">
        <v>14614</v>
      </c>
      <c r="AA2271" s="2" t="s">
        <v>14615</v>
      </c>
      <c r="AB2271" s="2" t="s">
        <v>14616</v>
      </c>
      <c r="AG2271" t="s">
        <v>14617</v>
      </c>
      <c r="AH2271" t="s">
        <v>14501</v>
      </c>
      <c r="AI2271" t="s">
        <v>14618</v>
      </c>
    </row>
    <row r="2272" spans="2:35">
      <c r="B2272" s="1">
        <v>45695</v>
      </c>
      <c r="C2272" s="1">
        <v>45694</v>
      </c>
      <c r="D2272" t="s">
        <v>7465</v>
      </c>
      <c r="E2272" t="s">
        <v>14619</v>
      </c>
      <c r="F2272">
        <v>8</v>
      </c>
      <c r="G2272" t="s">
        <v>342</v>
      </c>
      <c r="H2272" t="s">
        <v>258</v>
      </c>
      <c r="I2272" t="s">
        <v>40</v>
      </c>
      <c r="J2272" t="s">
        <v>996</v>
      </c>
      <c r="K2272" t="s">
        <v>42</v>
      </c>
      <c r="L2272" t="s">
        <v>259</v>
      </c>
      <c r="N2272" t="s">
        <v>260</v>
      </c>
      <c r="Q2272">
        <v>30274</v>
      </c>
      <c r="R2272" t="s">
        <v>119</v>
      </c>
      <c r="S2272" t="s">
        <v>13482</v>
      </c>
      <c r="T2272">
        <v>27</v>
      </c>
      <c r="W2272" t="s">
        <v>84</v>
      </c>
      <c r="X2272">
        <v>838551</v>
      </c>
      <c r="Y2272" t="s">
        <v>1716</v>
      </c>
      <c r="Z2272" t="s">
        <v>1716</v>
      </c>
      <c r="AA2272" t="s">
        <v>9869</v>
      </c>
      <c r="AB2272" t="s">
        <v>7675</v>
      </c>
      <c r="AG2272" t="s">
        <v>14620</v>
      </c>
      <c r="AH2272" t="s">
        <v>7469</v>
      </c>
      <c r="AI2272" t="s">
        <v>14621</v>
      </c>
    </row>
    <row r="2273" spans="2:35" ht="195">
      <c r="B2273" s="1">
        <v>45694</v>
      </c>
      <c r="C2273" s="1">
        <v>45694</v>
      </c>
      <c r="D2273" t="s">
        <v>14622</v>
      </c>
      <c r="E2273" t="s">
        <v>1555</v>
      </c>
      <c r="F2273">
        <v>7</v>
      </c>
      <c r="G2273" t="s">
        <v>432</v>
      </c>
      <c r="H2273" t="s">
        <v>14623</v>
      </c>
      <c r="I2273" t="s">
        <v>40</v>
      </c>
      <c r="J2273" s="2" t="s">
        <v>190</v>
      </c>
      <c r="K2273" t="s">
        <v>42</v>
      </c>
      <c r="L2273" t="s">
        <v>594</v>
      </c>
      <c r="N2273" t="s">
        <v>595</v>
      </c>
      <c r="O2273" t="s">
        <v>595</v>
      </c>
      <c r="Q2273">
        <v>30273</v>
      </c>
      <c r="R2273" t="s">
        <v>95</v>
      </c>
      <c r="S2273" t="s">
        <v>7735</v>
      </c>
      <c r="T2273">
        <v>22</v>
      </c>
      <c r="V2273" s="1">
        <v>45694</v>
      </c>
      <c r="W2273" t="s">
        <v>360</v>
      </c>
      <c r="X2273">
        <v>814150</v>
      </c>
      <c r="Y2273" s="2" t="s">
        <v>14624</v>
      </c>
      <c r="Z2273" t="s">
        <v>14625</v>
      </c>
      <c r="AA2273" s="2" t="s">
        <v>14626</v>
      </c>
      <c r="AB2273" t="s">
        <v>14627</v>
      </c>
      <c r="AG2273" t="s">
        <v>14628</v>
      </c>
      <c r="AH2273" t="s">
        <v>7741</v>
      </c>
      <c r="AI2273" t="s">
        <v>14629</v>
      </c>
    </row>
    <row r="2274" spans="2:35" ht="409.5">
      <c r="B2274" s="1">
        <v>45694</v>
      </c>
      <c r="C2274" s="1">
        <v>45681</v>
      </c>
      <c r="D2274" t="s">
        <v>1026</v>
      </c>
      <c r="E2274" t="s">
        <v>8231</v>
      </c>
      <c r="F2274" t="s">
        <v>148</v>
      </c>
      <c r="G2274" t="s">
        <v>774</v>
      </c>
      <c r="H2274" t="s">
        <v>662</v>
      </c>
      <c r="I2274" t="s">
        <v>40</v>
      </c>
      <c r="J2274" t="s">
        <v>109</v>
      </c>
      <c r="K2274" t="s">
        <v>42</v>
      </c>
      <c r="L2274" t="s">
        <v>1028</v>
      </c>
      <c r="N2274" t="s">
        <v>1029</v>
      </c>
      <c r="O2274" t="s">
        <v>1030</v>
      </c>
      <c r="Q2274">
        <v>30269</v>
      </c>
      <c r="R2274" t="s">
        <v>95</v>
      </c>
      <c r="S2274" t="s">
        <v>4609</v>
      </c>
      <c r="T2274">
        <v>21</v>
      </c>
      <c r="U2274" s="2" t="s">
        <v>14630</v>
      </c>
      <c r="W2274" t="s">
        <v>1032</v>
      </c>
      <c r="X2274">
        <v>110014996</v>
      </c>
      <c r="Y2274" t="s">
        <v>1978</v>
      </c>
      <c r="Z2274" t="s">
        <v>1548</v>
      </c>
      <c r="AA2274" s="2" t="s">
        <v>14631</v>
      </c>
      <c r="AB2274" t="s">
        <v>14632</v>
      </c>
      <c r="AG2274" t="s">
        <v>14633</v>
      </c>
      <c r="AH2274" t="s">
        <v>6608</v>
      </c>
      <c r="AI2274" t="s">
        <v>14634</v>
      </c>
    </row>
    <row r="2275" spans="2:35" ht="270">
      <c r="B2275" s="1">
        <v>45694</v>
      </c>
      <c r="C2275" s="1">
        <v>45688</v>
      </c>
      <c r="D2275" t="s">
        <v>5158</v>
      </c>
      <c r="E2275" t="s">
        <v>5167</v>
      </c>
      <c r="F2275" t="s">
        <v>148</v>
      </c>
      <c r="G2275" t="s">
        <v>310</v>
      </c>
      <c r="H2275" t="s">
        <v>39</v>
      </c>
      <c r="I2275" t="s">
        <v>40</v>
      </c>
      <c r="J2275" t="s">
        <v>1422</v>
      </c>
      <c r="K2275" t="s">
        <v>42</v>
      </c>
      <c r="L2275" t="s">
        <v>1028</v>
      </c>
      <c r="N2275" t="s">
        <v>1029</v>
      </c>
      <c r="Q2275">
        <v>30270</v>
      </c>
      <c r="R2275" t="s">
        <v>322</v>
      </c>
      <c r="S2275" t="s">
        <v>14635</v>
      </c>
      <c r="T2275">
        <v>25</v>
      </c>
      <c r="U2275" s="2" t="s">
        <v>14636</v>
      </c>
      <c r="W2275" t="s">
        <v>5169</v>
      </c>
      <c r="X2275">
        <v>110013856</v>
      </c>
      <c r="Y2275" t="s">
        <v>14637</v>
      </c>
      <c r="Z2275" t="s">
        <v>14638</v>
      </c>
      <c r="AA2275" s="2" t="s">
        <v>14639</v>
      </c>
      <c r="AB2275" t="s">
        <v>3300</v>
      </c>
      <c r="AG2275" t="s">
        <v>14640</v>
      </c>
      <c r="AH2275" t="s">
        <v>14641</v>
      </c>
      <c r="AI2275" t="s">
        <v>14642</v>
      </c>
    </row>
    <row r="2276" spans="2:35" ht="210">
      <c r="B2276" s="1">
        <v>45694</v>
      </c>
      <c r="C2276" s="1">
        <v>45688</v>
      </c>
      <c r="D2276" t="s">
        <v>5158</v>
      </c>
      <c r="E2276" t="s">
        <v>5167</v>
      </c>
      <c r="F2276" t="s">
        <v>148</v>
      </c>
      <c r="G2276" t="s">
        <v>310</v>
      </c>
      <c r="H2276" t="s">
        <v>39</v>
      </c>
      <c r="I2276" t="s">
        <v>40</v>
      </c>
      <c r="J2276" t="s">
        <v>1422</v>
      </c>
      <c r="K2276" t="s">
        <v>42</v>
      </c>
      <c r="L2276" t="s">
        <v>1028</v>
      </c>
      <c r="N2276" t="s">
        <v>1029</v>
      </c>
      <c r="Q2276">
        <v>30272</v>
      </c>
      <c r="R2276" t="s">
        <v>322</v>
      </c>
      <c r="S2276" t="s">
        <v>14635</v>
      </c>
      <c r="T2276">
        <v>25</v>
      </c>
      <c r="U2276" s="2" t="s">
        <v>14643</v>
      </c>
      <c r="W2276" t="s">
        <v>1032</v>
      </c>
      <c r="X2276">
        <v>110014099</v>
      </c>
      <c r="Y2276" t="s">
        <v>14644</v>
      </c>
      <c r="Z2276" t="s">
        <v>14645</v>
      </c>
      <c r="AA2276" s="2" t="s">
        <v>14646</v>
      </c>
      <c r="AB2276" t="s">
        <v>14647</v>
      </c>
      <c r="AG2276" t="s">
        <v>14648</v>
      </c>
      <c r="AH2276" t="s">
        <v>14641</v>
      </c>
      <c r="AI2276" t="s">
        <v>14649</v>
      </c>
    </row>
    <row r="2277" spans="2:35" ht="195">
      <c r="B2277" s="1">
        <v>45694</v>
      </c>
      <c r="C2277" s="1">
        <v>45685</v>
      </c>
      <c r="D2277" t="s">
        <v>919</v>
      </c>
      <c r="E2277" t="s">
        <v>5897</v>
      </c>
      <c r="F2277" t="s">
        <v>148</v>
      </c>
      <c r="G2277" t="s">
        <v>310</v>
      </c>
      <c r="H2277" t="s">
        <v>513</v>
      </c>
      <c r="I2277" t="s">
        <v>40</v>
      </c>
      <c r="J2277" s="2" t="s">
        <v>41</v>
      </c>
      <c r="K2277" t="s">
        <v>387</v>
      </c>
      <c r="L2277" t="s">
        <v>1028</v>
      </c>
      <c r="N2277" t="s">
        <v>1029</v>
      </c>
      <c r="Q2277">
        <v>30271</v>
      </c>
      <c r="R2277" t="s">
        <v>322</v>
      </c>
      <c r="S2277" t="s">
        <v>921</v>
      </c>
      <c r="T2277">
        <v>25</v>
      </c>
      <c r="V2277" s="1">
        <v>45638</v>
      </c>
      <c r="W2277" t="s">
        <v>390</v>
      </c>
      <c r="X2277" t="s">
        <v>922</v>
      </c>
      <c r="Y2277" s="2" t="s">
        <v>14650</v>
      </c>
      <c r="Z2277" s="2" t="s">
        <v>14651</v>
      </c>
      <c r="AA2277" s="2" t="s">
        <v>14652</v>
      </c>
      <c r="AB2277" t="s">
        <v>3777</v>
      </c>
      <c r="AD2277" t="s">
        <v>1859</v>
      </c>
      <c r="AE2277" t="s">
        <v>14653</v>
      </c>
      <c r="AG2277" t="s">
        <v>14654</v>
      </c>
      <c r="AH2277" t="s">
        <v>5901</v>
      </c>
      <c r="AI2277" t="s">
        <v>14655</v>
      </c>
    </row>
    <row r="2278" spans="2:35">
      <c r="B2278" s="1">
        <v>45694</v>
      </c>
      <c r="C2278" s="1">
        <v>45694</v>
      </c>
      <c r="D2278" t="s">
        <v>8654</v>
      </c>
      <c r="E2278" t="s">
        <v>14656</v>
      </c>
      <c r="F2278">
        <v>8</v>
      </c>
      <c r="G2278" t="s">
        <v>257</v>
      </c>
      <c r="H2278" t="s">
        <v>1498</v>
      </c>
      <c r="I2278" t="s">
        <v>40</v>
      </c>
      <c r="J2278" t="s">
        <v>109</v>
      </c>
      <c r="K2278" t="s">
        <v>42</v>
      </c>
      <c r="L2278" t="s">
        <v>343</v>
      </c>
      <c r="N2278" t="s">
        <v>344</v>
      </c>
      <c r="Q2278">
        <v>30268</v>
      </c>
      <c r="R2278" t="s">
        <v>119</v>
      </c>
      <c r="S2278" t="s">
        <v>14221</v>
      </c>
      <c r="T2278">
        <v>25</v>
      </c>
      <c r="W2278" t="s">
        <v>1501</v>
      </c>
      <c r="X2278">
        <v>838409</v>
      </c>
      <c r="Y2278" t="s">
        <v>301</v>
      </c>
      <c r="Z2278" t="s">
        <v>14657</v>
      </c>
      <c r="AA2278" t="e">
        <f ca="1">-Preventive Maintenance
-ARCHIVE tests</f>
        <v>#NAME?</v>
      </c>
      <c r="AB2278" t="s">
        <v>348</v>
      </c>
      <c r="AG2278" t="s">
        <v>14658</v>
      </c>
      <c r="AH2278" t="s">
        <v>11152</v>
      </c>
      <c r="AI2278" t="s">
        <v>14659</v>
      </c>
    </row>
    <row r="2279" spans="2:35" ht="255">
      <c r="B2279" s="1">
        <v>45694</v>
      </c>
      <c r="C2279" s="1">
        <v>45694</v>
      </c>
      <c r="D2279" t="s">
        <v>4206</v>
      </c>
      <c r="E2279" t="s">
        <v>14660</v>
      </c>
      <c r="F2279">
        <v>11</v>
      </c>
      <c r="G2279" t="s">
        <v>2836</v>
      </c>
      <c r="H2279" t="s">
        <v>202</v>
      </c>
      <c r="I2279" t="s">
        <v>40</v>
      </c>
      <c r="J2279" t="s">
        <v>109</v>
      </c>
      <c r="K2279" t="s">
        <v>42</v>
      </c>
      <c r="L2279" t="s">
        <v>204</v>
      </c>
      <c r="N2279" t="s">
        <v>205</v>
      </c>
      <c r="Q2279">
        <v>30267</v>
      </c>
      <c r="R2279" t="s">
        <v>119</v>
      </c>
      <c r="S2279" t="s">
        <v>4209</v>
      </c>
      <c r="T2279">
        <v>22.9</v>
      </c>
      <c r="U2279" s="2" t="s">
        <v>14661</v>
      </c>
      <c r="W2279" t="s">
        <v>208</v>
      </c>
      <c r="X2279">
        <v>838295</v>
      </c>
      <c r="Y2279" t="s">
        <v>1052</v>
      </c>
      <c r="Z2279" s="2" t="s">
        <v>1892</v>
      </c>
      <c r="AA2279" t="s">
        <v>2551</v>
      </c>
      <c r="AB2279" t="s">
        <v>1211</v>
      </c>
      <c r="AG2279" t="s">
        <v>14662</v>
      </c>
      <c r="AH2279" t="s">
        <v>14663</v>
      </c>
      <c r="AI2279" t="s">
        <v>14664</v>
      </c>
    </row>
    <row r="2280" spans="2:35" ht="165">
      <c r="B2280" s="1">
        <v>45694</v>
      </c>
      <c r="C2280" s="1">
        <v>45694</v>
      </c>
      <c r="D2280" t="s">
        <v>8625</v>
      </c>
      <c r="E2280" t="s">
        <v>14665</v>
      </c>
      <c r="F2280">
        <v>5</v>
      </c>
      <c r="G2280" t="s">
        <v>827</v>
      </c>
      <c r="H2280" t="s">
        <v>39</v>
      </c>
      <c r="I2280" t="s">
        <v>94</v>
      </c>
      <c r="J2280" s="2" t="s">
        <v>41</v>
      </c>
      <c r="K2280" t="s">
        <v>42</v>
      </c>
      <c r="L2280" t="s">
        <v>761</v>
      </c>
      <c r="N2280" t="s">
        <v>762</v>
      </c>
      <c r="Q2280">
        <v>30266</v>
      </c>
      <c r="R2280" t="s">
        <v>119</v>
      </c>
      <c r="S2280" t="s">
        <v>8627</v>
      </c>
      <c r="T2280">
        <v>28</v>
      </c>
      <c r="W2280" t="s">
        <v>765</v>
      </c>
      <c r="X2280">
        <v>838572</v>
      </c>
      <c r="Y2280" s="2" t="s">
        <v>14666</v>
      </c>
      <c r="Z2280" s="2" t="s">
        <v>14667</v>
      </c>
      <c r="AA2280" s="2" t="s">
        <v>14668</v>
      </c>
      <c r="AB2280" t="s">
        <v>181</v>
      </c>
      <c r="AG2280" t="s">
        <v>14669</v>
      </c>
      <c r="AH2280" t="s">
        <v>8632</v>
      </c>
      <c r="AI2280" t="s">
        <v>14670</v>
      </c>
    </row>
    <row r="2281" spans="2:35">
      <c r="B2281" s="1">
        <v>45694</v>
      </c>
      <c r="C2281" s="1">
        <v>45694</v>
      </c>
      <c r="D2281" t="s">
        <v>14671</v>
      </c>
      <c r="E2281" t="s">
        <v>582</v>
      </c>
      <c r="F2281" t="s">
        <v>148</v>
      </c>
      <c r="G2281" t="s">
        <v>447</v>
      </c>
      <c r="H2281" t="s">
        <v>39</v>
      </c>
      <c r="I2281" t="s">
        <v>40</v>
      </c>
      <c r="J2281" t="s">
        <v>109</v>
      </c>
      <c r="K2281" t="s">
        <v>42</v>
      </c>
      <c r="L2281" t="s">
        <v>175</v>
      </c>
      <c r="N2281" t="s">
        <v>176</v>
      </c>
      <c r="Q2281">
        <v>30265</v>
      </c>
      <c r="R2281" t="s">
        <v>703</v>
      </c>
      <c r="S2281" t="s">
        <v>14672</v>
      </c>
      <c r="T2281">
        <v>25</v>
      </c>
      <c r="W2281" t="s">
        <v>373</v>
      </c>
      <c r="X2281">
        <v>110018312</v>
      </c>
      <c r="Y2281" t="s">
        <v>374</v>
      </c>
      <c r="Z2281" t="s">
        <v>103</v>
      </c>
      <c r="AA2281" t="e">
        <f ca="1">- checked _xludf.and cleaned cartridge bay, plunger rod, _xludf.filter, icore slot
- generated reports
- performed functionality test</f>
        <v>#NAME?</v>
      </c>
      <c r="AB2281" t="s">
        <v>181</v>
      </c>
      <c r="AG2281" t="s">
        <v>14673</v>
      </c>
      <c r="AH2281" t="s">
        <v>14674</v>
      </c>
      <c r="AI2281" t="s">
        <v>14675</v>
      </c>
    </row>
    <row r="2282" spans="2:35" ht="330">
      <c r="B2282" s="1">
        <v>45693</v>
      </c>
      <c r="C2282" s="1">
        <v>45685</v>
      </c>
      <c r="D2282" t="s">
        <v>1057</v>
      </c>
      <c r="E2282" t="s">
        <v>1058</v>
      </c>
      <c r="F2282">
        <v>1</v>
      </c>
      <c r="G2282" t="s">
        <v>1046</v>
      </c>
      <c r="H2282" t="s">
        <v>39</v>
      </c>
      <c r="I2282" t="s">
        <v>40</v>
      </c>
      <c r="J2282" t="s">
        <v>109</v>
      </c>
      <c r="K2282" t="s">
        <v>42</v>
      </c>
      <c r="L2282" t="s">
        <v>1048</v>
      </c>
      <c r="N2282" t="s">
        <v>1049</v>
      </c>
      <c r="Q2282">
        <v>30264</v>
      </c>
      <c r="R2282" t="s">
        <v>95</v>
      </c>
      <c r="S2282" t="s">
        <v>1059</v>
      </c>
      <c r="T2282">
        <v>29</v>
      </c>
      <c r="U2282" s="2" t="s">
        <v>14676</v>
      </c>
      <c r="W2282" t="s">
        <v>1060</v>
      </c>
      <c r="X2282">
        <v>820303</v>
      </c>
      <c r="Y2282" t="s">
        <v>1052</v>
      </c>
      <c r="Z2282" t="e">
        <f ca="1">- cleaned cartridge Bays, plunger Rods _xludf.and I-CORE
- generated reports</f>
        <v>#NAME?</v>
      </c>
      <c r="AA2282" t="s">
        <v>820</v>
      </c>
      <c r="AB2282" t="s">
        <v>1936</v>
      </c>
      <c r="AG2282" t="s">
        <v>14677</v>
      </c>
      <c r="AH2282" t="s">
        <v>3393</v>
      </c>
      <c r="AI2282" t="s">
        <v>14678</v>
      </c>
    </row>
    <row r="2283" spans="2:35" ht="180">
      <c r="B2283" s="1">
        <v>45693</v>
      </c>
      <c r="C2283" s="1">
        <v>45693</v>
      </c>
      <c r="D2283" t="s">
        <v>7296</v>
      </c>
      <c r="E2283" t="s">
        <v>7297</v>
      </c>
      <c r="F2283">
        <v>5</v>
      </c>
      <c r="G2283" t="s">
        <v>759</v>
      </c>
      <c r="H2283" t="s">
        <v>39</v>
      </c>
      <c r="I2283" t="s">
        <v>94</v>
      </c>
      <c r="J2283" t="s">
        <v>109</v>
      </c>
      <c r="K2283" t="s">
        <v>42</v>
      </c>
      <c r="L2283" t="s">
        <v>761</v>
      </c>
      <c r="N2283" t="s">
        <v>762</v>
      </c>
      <c r="Q2283">
        <v>30263</v>
      </c>
      <c r="R2283" t="s">
        <v>119</v>
      </c>
      <c r="S2283" t="s">
        <v>7298</v>
      </c>
      <c r="T2283">
        <v>26</v>
      </c>
      <c r="U2283" s="2" t="s">
        <v>14679</v>
      </c>
      <c r="W2283" t="s">
        <v>765</v>
      </c>
      <c r="X2283">
        <v>838264</v>
      </c>
      <c r="Y2283" s="2" t="s">
        <v>14680</v>
      </c>
      <c r="Z2283" s="2" t="s">
        <v>14681</v>
      </c>
      <c r="AA2283" s="2" t="s">
        <v>3517</v>
      </c>
      <c r="AB2283" t="s">
        <v>70</v>
      </c>
      <c r="AC2283" t="s">
        <v>14682</v>
      </c>
      <c r="AG2283" t="s">
        <v>14683</v>
      </c>
      <c r="AH2283" t="s">
        <v>11742</v>
      </c>
      <c r="AI2283" t="s">
        <v>14684</v>
      </c>
    </row>
    <row r="2284" spans="2:35" ht="360">
      <c r="B2284" s="1">
        <v>45693</v>
      </c>
      <c r="C2284" s="1">
        <v>45693</v>
      </c>
      <c r="D2284" t="s">
        <v>9302</v>
      </c>
      <c r="E2284" t="s">
        <v>4313</v>
      </c>
      <c r="F2284">
        <v>3</v>
      </c>
      <c r="G2284" t="s">
        <v>730</v>
      </c>
      <c r="H2284" t="s">
        <v>39</v>
      </c>
      <c r="I2284" t="s">
        <v>40</v>
      </c>
      <c r="J2284" t="s">
        <v>109</v>
      </c>
      <c r="K2284" t="s">
        <v>42</v>
      </c>
      <c r="L2284" t="s">
        <v>135</v>
      </c>
      <c r="N2284" t="s">
        <v>136</v>
      </c>
      <c r="O2284" t="s">
        <v>9308</v>
      </c>
      <c r="Q2284">
        <v>30262</v>
      </c>
      <c r="R2284" t="s">
        <v>95</v>
      </c>
      <c r="S2284" t="s">
        <v>9303</v>
      </c>
      <c r="T2284">
        <v>24</v>
      </c>
      <c r="U2284" s="2" t="s">
        <v>13451</v>
      </c>
      <c r="W2284" t="s">
        <v>2680</v>
      </c>
      <c r="X2284">
        <v>839232</v>
      </c>
      <c r="Y2284" s="2" t="s">
        <v>14685</v>
      </c>
      <c r="Z2284" t="s">
        <v>4315</v>
      </c>
      <c r="AA2284" s="2" t="s">
        <v>4316</v>
      </c>
      <c r="AB2284" t="s">
        <v>181</v>
      </c>
      <c r="AC2284" t="s">
        <v>14686</v>
      </c>
      <c r="AG2284" t="s">
        <v>14687</v>
      </c>
      <c r="AH2284" t="s">
        <v>9306</v>
      </c>
      <c r="AI2284" t="s">
        <v>14688</v>
      </c>
    </row>
    <row r="2285" spans="2:35" ht="409.5">
      <c r="B2285" s="1">
        <v>45693</v>
      </c>
      <c r="C2285" s="1">
        <v>45693</v>
      </c>
      <c r="D2285" t="s">
        <v>9302</v>
      </c>
      <c r="E2285" t="s">
        <v>13455</v>
      </c>
      <c r="F2285">
        <v>3</v>
      </c>
      <c r="G2285" t="s">
        <v>730</v>
      </c>
      <c r="H2285" t="s">
        <v>39</v>
      </c>
      <c r="I2285" t="s">
        <v>40</v>
      </c>
      <c r="J2285" t="s">
        <v>109</v>
      </c>
      <c r="K2285" t="s">
        <v>42</v>
      </c>
      <c r="L2285" t="s">
        <v>135</v>
      </c>
      <c r="N2285" t="s">
        <v>136</v>
      </c>
      <c r="O2285" t="s">
        <v>9308</v>
      </c>
      <c r="Q2285">
        <v>30261</v>
      </c>
      <c r="R2285" t="s">
        <v>95</v>
      </c>
      <c r="S2285" t="s">
        <v>9303</v>
      </c>
      <c r="T2285">
        <v>24</v>
      </c>
      <c r="U2285" s="2" t="s">
        <v>13451</v>
      </c>
      <c r="W2285" t="s">
        <v>3418</v>
      </c>
      <c r="X2285">
        <v>830841</v>
      </c>
      <c r="Y2285" t="s">
        <v>14689</v>
      </c>
      <c r="Z2285" t="s">
        <v>4315</v>
      </c>
      <c r="AA2285" s="2" t="s">
        <v>14690</v>
      </c>
      <c r="AB2285" t="s">
        <v>181</v>
      </c>
      <c r="AC2285" t="s">
        <v>14691</v>
      </c>
      <c r="AG2285" t="s">
        <v>14692</v>
      </c>
      <c r="AH2285" t="s">
        <v>9306</v>
      </c>
      <c r="AI2285" t="s">
        <v>14693</v>
      </c>
    </row>
    <row r="2286" spans="2:35" ht="360">
      <c r="B2286" s="1">
        <v>45693</v>
      </c>
      <c r="C2286" s="1">
        <v>45693</v>
      </c>
      <c r="D2286" t="s">
        <v>14694</v>
      </c>
      <c r="E2286" t="s">
        <v>12628</v>
      </c>
      <c r="F2286">
        <v>3</v>
      </c>
      <c r="G2286" t="s">
        <v>134</v>
      </c>
      <c r="H2286" t="s">
        <v>39</v>
      </c>
      <c r="I2286" t="s">
        <v>40</v>
      </c>
      <c r="J2286" t="s">
        <v>109</v>
      </c>
      <c r="K2286" t="s">
        <v>42</v>
      </c>
      <c r="L2286" t="s">
        <v>135</v>
      </c>
      <c r="N2286" t="s">
        <v>136</v>
      </c>
      <c r="Q2286">
        <v>30260</v>
      </c>
      <c r="R2286" t="s">
        <v>322</v>
      </c>
      <c r="S2286" t="s">
        <v>14695</v>
      </c>
      <c r="T2286">
        <v>15</v>
      </c>
      <c r="U2286" s="2" t="s">
        <v>14696</v>
      </c>
      <c r="W2286" t="s">
        <v>2680</v>
      </c>
      <c r="X2286">
        <v>110018556</v>
      </c>
      <c r="Y2286" t="s">
        <v>7229</v>
      </c>
      <c r="Z2286" t="s">
        <v>4315</v>
      </c>
      <c r="AA2286" s="2" t="s">
        <v>4316</v>
      </c>
      <c r="AB2286" t="s">
        <v>181</v>
      </c>
      <c r="AG2286" t="s">
        <v>14697</v>
      </c>
      <c r="AH2286" t="s">
        <v>14698</v>
      </c>
      <c r="AI2286" t="s">
        <v>14699</v>
      </c>
    </row>
    <row r="2287" spans="2:35" ht="210">
      <c r="B2287" s="1">
        <v>45693</v>
      </c>
      <c r="C2287" s="1">
        <v>45693</v>
      </c>
      <c r="D2287" t="s">
        <v>14700</v>
      </c>
      <c r="E2287" t="s">
        <v>14701</v>
      </c>
      <c r="F2287">
        <v>8</v>
      </c>
      <c r="G2287" t="s">
        <v>342</v>
      </c>
      <c r="H2287" t="s">
        <v>1498</v>
      </c>
      <c r="I2287" t="s">
        <v>40</v>
      </c>
      <c r="J2287" s="2" t="s">
        <v>190</v>
      </c>
      <c r="K2287" t="s">
        <v>42</v>
      </c>
      <c r="L2287" t="s">
        <v>343</v>
      </c>
      <c r="N2287" t="s">
        <v>344</v>
      </c>
      <c r="Q2287">
        <v>30259</v>
      </c>
      <c r="R2287" t="s">
        <v>119</v>
      </c>
      <c r="S2287" t="s">
        <v>8713</v>
      </c>
      <c r="T2287">
        <v>24</v>
      </c>
      <c r="U2287" s="2" t="s">
        <v>12731</v>
      </c>
      <c r="W2287" t="s">
        <v>1501</v>
      </c>
      <c r="X2287">
        <v>838421</v>
      </c>
      <c r="Y2287" t="s">
        <v>14702</v>
      </c>
      <c r="Z2287" s="2" t="s">
        <v>14703</v>
      </c>
      <c r="AA2287" s="2" t="s">
        <v>14704</v>
      </c>
      <c r="AB2287" t="s">
        <v>348</v>
      </c>
      <c r="AG2287" t="s">
        <v>14705</v>
      </c>
      <c r="AH2287" t="s">
        <v>11242</v>
      </c>
      <c r="AI2287" t="s">
        <v>14706</v>
      </c>
    </row>
    <row r="2288" spans="2:35" ht="90">
      <c r="B2288" s="1">
        <v>45693</v>
      </c>
      <c r="C2288" s="1">
        <v>45693</v>
      </c>
      <c r="D2288" t="s">
        <v>3897</v>
      </c>
      <c r="E2288" t="s">
        <v>3140</v>
      </c>
      <c r="F2288">
        <v>3</v>
      </c>
      <c r="G2288" t="s">
        <v>174</v>
      </c>
      <c r="H2288" t="s">
        <v>39</v>
      </c>
      <c r="I2288" t="s">
        <v>40</v>
      </c>
      <c r="J2288" t="s">
        <v>525</v>
      </c>
      <c r="K2288" t="s">
        <v>42</v>
      </c>
      <c r="L2288" t="s">
        <v>175</v>
      </c>
      <c r="N2288" t="s">
        <v>176</v>
      </c>
      <c r="Q2288">
        <v>30258</v>
      </c>
      <c r="R2288" t="s">
        <v>95</v>
      </c>
      <c r="S2288" t="s">
        <v>3898</v>
      </c>
      <c r="T2288">
        <v>25</v>
      </c>
      <c r="W2288" t="s">
        <v>84</v>
      </c>
      <c r="X2288">
        <v>110008530</v>
      </c>
      <c r="Y2288" t="s">
        <v>14707</v>
      </c>
      <c r="Z2288" t="s">
        <v>103</v>
      </c>
      <c r="AA2288" t="e">
        <f ca="1">- checked _xludf.and cleaned cartridge bay, plunger rod, _xludf.filter, icore slot
- performed blank cartridge test on B1, B3
- generated reports
- performed self test</f>
        <v>#NAME?</v>
      </c>
      <c r="AB2288" s="2" t="s">
        <v>14708</v>
      </c>
      <c r="AG2288" t="s">
        <v>14709</v>
      </c>
      <c r="AH2288" t="s">
        <v>14710</v>
      </c>
      <c r="AI2288" t="s">
        <v>14711</v>
      </c>
    </row>
    <row r="2289" spans="2:35" ht="90">
      <c r="B2289" s="1">
        <v>45693</v>
      </c>
      <c r="C2289" s="1">
        <v>45693</v>
      </c>
      <c r="D2289" t="s">
        <v>3897</v>
      </c>
      <c r="E2289" t="s">
        <v>3140</v>
      </c>
      <c r="F2289">
        <v>3</v>
      </c>
      <c r="G2289" t="s">
        <v>174</v>
      </c>
      <c r="H2289" t="s">
        <v>39</v>
      </c>
      <c r="I2289" t="s">
        <v>40</v>
      </c>
      <c r="J2289" t="s">
        <v>525</v>
      </c>
      <c r="K2289" t="s">
        <v>42</v>
      </c>
      <c r="L2289" t="s">
        <v>175</v>
      </c>
      <c r="N2289" t="s">
        <v>176</v>
      </c>
      <c r="Q2289">
        <v>30257</v>
      </c>
      <c r="R2289" t="s">
        <v>95</v>
      </c>
      <c r="S2289" t="s">
        <v>3898</v>
      </c>
      <c r="T2289">
        <v>25</v>
      </c>
      <c r="W2289" t="s">
        <v>84</v>
      </c>
      <c r="X2289">
        <v>110008530</v>
      </c>
      <c r="Y2289" t="s">
        <v>14707</v>
      </c>
      <c r="Z2289" t="s">
        <v>103</v>
      </c>
      <c r="AA2289" t="e">
        <f ca="1">- checked _xludf.and cleaned cartridge bay, plunger rod, _xludf.filter, icore slot
- performed blank cartridge test on B1, B3
- generated reports
- performed self test</f>
        <v>#NAME?</v>
      </c>
      <c r="AB2289" s="2" t="s">
        <v>14708</v>
      </c>
      <c r="AG2289" t="s">
        <v>14712</v>
      </c>
      <c r="AH2289" t="s">
        <v>14710</v>
      </c>
      <c r="AI2289" t="s">
        <v>14713</v>
      </c>
    </row>
    <row r="2290" spans="2:35" ht="255">
      <c r="B2290" s="1">
        <v>45693</v>
      </c>
      <c r="C2290" s="1">
        <v>45693</v>
      </c>
      <c r="D2290" t="s">
        <v>7743</v>
      </c>
      <c r="E2290" t="s">
        <v>14714</v>
      </c>
      <c r="F2290">
        <v>11</v>
      </c>
      <c r="G2290" t="s">
        <v>1205</v>
      </c>
      <c r="H2290" t="s">
        <v>202</v>
      </c>
      <c r="I2290" t="s">
        <v>40</v>
      </c>
      <c r="J2290" t="s">
        <v>109</v>
      </c>
      <c r="K2290" t="s">
        <v>42</v>
      </c>
      <c r="L2290" t="s">
        <v>204</v>
      </c>
      <c r="N2290" t="s">
        <v>205</v>
      </c>
      <c r="Q2290">
        <v>30256</v>
      </c>
      <c r="R2290" t="s">
        <v>119</v>
      </c>
      <c r="S2290" t="s">
        <v>7745</v>
      </c>
      <c r="T2290">
        <v>25.7</v>
      </c>
      <c r="U2290" s="2" t="s">
        <v>14715</v>
      </c>
      <c r="W2290" t="s">
        <v>208</v>
      </c>
      <c r="X2290">
        <v>838492</v>
      </c>
      <c r="Y2290" t="s">
        <v>1052</v>
      </c>
      <c r="Z2290" s="2" t="s">
        <v>1892</v>
      </c>
      <c r="AA2290" t="s">
        <v>2551</v>
      </c>
      <c r="AB2290" t="s">
        <v>1211</v>
      </c>
      <c r="AG2290" t="s">
        <v>14716</v>
      </c>
      <c r="AH2290" t="s">
        <v>7749</v>
      </c>
      <c r="AI2290" t="s">
        <v>14717</v>
      </c>
    </row>
    <row r="2291" spans="2:35" ht="409.5">
      <c r="B2291" s="1">
        <v>45693</v>
      </c>
      <c r="C2291" s="1">
        <v>45693</v>
      </c>
      <c r="D2291" t="s">
        <v>14718</v>
      </c>
      <c r="E2291" t="s">
        <v>3713</v>
      </c>
      <c r="F2291" t="s">
        <v>148</v>
      </c>
      <c r="G2291" t="s">
        <v>310</v>
      </c>
      <c r="H2291" t="s">
        <v>61</v>
      </c>
      <c r="I2291" t="s">
        <v>40</v>
      </c>
      <c r="J2291" t="s">
        <v>109</v>
      </c>
      <c r="K2291" t="s">
        <v>42</v>
      </c>
      <c r="L2291" t="s">
        <v>1943</v>
      </c>
      <c r="N2291" t="s">
        <v>1944</v>
      </c>
      <c r="Q2291">
        <v>30255</v>
      </c>
      <c r="R2291" t="s">
        <v>322</v>
      </c>
      <c r="S2291" t="s">
        <v>14719</v>
      </c>
      <c r="T2291">
        <v>25</v>
      </c>
      <c r="W2291" t="s">
        <v>895</v>
      </c>
      <c r="X2291">
        <v>844418</v>
      </c>
      <c r="Y2291" t="s">
        <v>2099</v>
      </c>
      <c r="Z2291" t="s">
        <v>2100</v>
      </c>
      <c r="AA2291" s="2" t="s">
        <v>2101</v>
      </c>
      <c r="AB2291" t="s">
        <v>88</v>
      </c>
      <c r="AG2291" t="s">
        <v>14720</v>
      </c>
      <c r="AH2291" t="s">
        <v>14721</v>
      </c>
      <c r="AI2291" t="s">
        <v>14722</v>
      </c>
    </row>
    <row r="2292" spans="2:35" ht="409.5">
      <c r="B2292" s="1">
        <v>45693</v>
      </c>
      <c r="C2292" s="1">
        <v>45693</v>
      </c>
      <c r="D2292" t="s">
        <v>7868</v>
      </c>
      <c r="E2292" t="s">
        <v>14723</v>
      </c>
      <c r="F2292">
        <v>7</v>
      </c>
      <c r="G2292" t="s">
        <v>432</v>
      </c>
      <c r="H2292" t="s">
        <v>258</v>
      </c>
      <c r="I2292" t="s">
        <v>40</v>
      </c>
      <c r="J2292" t="s">
        <v>109</v>
      </c>
      <c r="K2292" t="s">
        <v>42</v>
      </c>
      <c r="L2292" t="s">
        <v>594</v>
      </c>
      <c r="N2292" t="s">
        <v>595</v>
      </c>
      <c r="O2292" t="s">
        <v>595</v>
      </c>
      <c r="Q2292">
        <v>30254</v>
      </c>
      <c r="R2292" t="s">
        <v>119</v>
      </c>
      <c r="S2292" t="s">
        <v>1849</v>
      </c>
      <c r="T2292">
        <v>22</v>
      </c>
      <c r="V2292" s="1">
        <v>45693</v>
      </c>
      <c r="W2292" t="s">
        <v>360</v>
      </c>
      <c r="X2292">
        <v>838564</v>
      </c>
      <c r="Y2292" t="s">
        <v>14724</v>
      </c>
      <c r="Z2292" s="2" t="s">
        <v>14725</v>
      </c>
      <c r="AA2292" s="2" t="s">
        <v>14726</v>
      </c>
      <c r="AB2292" s="2" t="s">
        <v>14727</v>
      </c>
      <c r="AG2292" t="s">
        <v>14728</v>
      </c>
      <c r="AH2292" t="s">
        <v>14729</v>
      </c>
      <c r="AI2292" t="s">
        <v>14730</v>
      </c>
    </row>
    <row r="2293" spans="2:35" ht="360">
      <c r="B2293" s="1">
        <v>45693</v>
      </c>
      <c r="C2293" s="1">
        <v>45693</v>
      </c>
      <c r="D2293" t="s">
        <v>9326</v>
      </c>
      <c r="E2293" t="s">
        <v>12628</v>
      </c>
      <c r="F2293">
        <v>3</v>
      </c>
      <c r="G2293" t="s">
        <v>134</v>
      </c>
      <c r="H2293" t="s">
        <v>61</v>
      </c>
      <c r="I2293" t="s">
        <v>40</v>
      </c>
      <c r="J2293" t="s">
        <v>109</v>
      </c>
      <c r="K2293" t="s">
        <v>42</v>
      </c>
      <c r="L2293" t="s">
        <v>135</v>
      </c>
      <c r="N2293" t="s">
        <v>136</v>
      </c>
      <c r="Q2293">
        <v>30253</v>
      </c>
      <c r="R2293" t="s">
        <v>322</v>
      </c>
      <c r="S2293" t="s">
        <v>11499</v>
      </c>
      <c r="T2293">
        <v>20</v>
      </c>
      <c r="U2293" s="2" t="s">
        <v>14731</v>
      </c>
      <c r="W2293" t="s">
        <v>3335</v>
      </c>
      <c r="X2293">
        <v>110012825</v>
      </c>
      <c r="Y2293" t="s">
        <v>7229</v>
      </c>
      <c r="Z2293" t="s">
        <v>4315</v>
      </c>
      <c r="AA2293" s="2" t="s">
        <v>4316</v>
      </c>
      <c r="AB2293" t="s">
        <v>14732</v>
      </c>
      <c r="AG2293" t="s">
        <v>14733</v>
      </c>
      <c r="AH2293" t="s">
        <v>14734</v>
      </c>
      <c r="AI2293" t="s">
        <v>14735</v>
      </c>
    </row>
    <row r="2294" spans="2:35" ht="360">
      <c r="B2294" s="1">
        <v>45693</v>
      </c>
      <c r="C2294" s="1">
        <v>45693</v>
      </c>
      <c r="D2294" t="s">
        <v>9326</v>
      </c>
      <c r="E2294" t="s">
        <v>14736</v>
      </c>
      <c r="F2294">
        <v>3</v>
      </c>
      <c r="G2294" t="s">
        <v>134</v>
      </c>
      <c r="H2294" t="s">
        <v>2548</v>
      </c>
      <c r="I2294" t="s">
        <v>40</v>
      </c>
      <c r="J2294" t="s">
        <v>109</v>
      </c>
      <c r="K2294" t="s">
        <v>42</v>
      </c>
      <c r="L2294" t="s">
        <v>135</v>
      </c>
      <c r="N2294" t="s">
        <v>136</v>
      </c>
      <c r="Q2294">
        <v>30252</v>
      </c>
      <c r="R2294" t="s">
        <v>322</v>
      </c>
      <c r="S2294" t="s">
        <v>9328</v>
      </c>
      <c r="T2294">
        <v>31</v>
      </c>
      <c r="U2294" s="2" t="s">
        <v>14737</v>
      </c>
      <c r="W2294" t="s">
        <v>3335</v>
      </c>
      <c r="X2294">
        <v>110013748</v>
      </c>
      <c r="Y2294" t="s">
        <v>7229</v>
      </c>
      <c r="Z2294" t="s">
        <v>4315</v>
      </c>
      <c r="AA2294" s="2" t="s">
        <v>4316</v>
      </c>
      <c r="AB2294" t="s">
        <v>181</v>
      </c>
      <c r="AG2294" t="s">
        <v>14738</v>
      </c>
      <c r="AH2294" t="s">
        <v>14739</v>
      </c>
      <c r="AI2294" t="s">
        <v>14740</v>
      </c>
    </row>
    <row r="2295" spans="2:35" ht="105">
      <c r="B2295" s="1">
        <v>45692</v>
      </c>
      <c r="C2295" s="1">
        <v>45692</v>
      </c>
      <c r="D2295" t="s">
        <v>6347</v>
      </c>
      <c r="E2295" t="s">
        <v>9436</v>
      </c>
      <c r="F2295" t="s">
        <v>148</v>
      </c>
      <c r="G2295" t="s">
        <v>230</v>
      </c>
      <c r="H2295" t="s">
        <v>39</v>
      </c>
      <c r="I2295" t="s">
        <v>40</v>
      </c>
      <c r="J2295" s="2" t="s">
        <v>190</v>
      </c>
      <c r="K2295" t="s">
        <v>42</v>
      </c>
      <c r="L2295" t="s">
        <v>175</v>
      </c>
      <c r="N2295" t="s">
        <v>176</v>
      </c>
      <c r="Q2295">
        <v>30251</v>
      </c>
      <c r="R2295" t="s">
        <v>703</v>
      </c>
      <c r="S2295" t="s">
        <v>14741</v>
      </c>
      <c r="T2295">
        <v>25</v>
      </c>
      <c r="W2295" t="s">
        <v>84</v>
      </c>
      <c r="X2295">
        <v>835600</v>
      </c>
      <c r="Y2295" s="2" t="s">
        <v>14742</v>
      </c>
      <c r="Z2295" t="s">
        <v>103</v>
      </c>
      <c r="AA2295" t="e">
        <f ca="1">- checked _xludf.and cleaned cartridge bay, plunger rod, _xludf.filter, icore slot
- generated reports
- scanned system _xludf.Log of errors
- performed self test</f>
        <v>#NAME?</v>
      </c>
      <c r="AB2295" s="2" t="s">
        <v>14743</v>
      </c>
      <c r="AC2295" t="s">
        <v>14744</v>
      </c>
      <c r="AG2295" t="s">
        <v>14745</v>
      </c>
      <c r="AH2295" t="s">
        <v>14746</v>
      </c>
      <c r="AI2295" t="s">
        <v>14747</v>
      </c>
    </row>
    <row r="2296" spans="2:35" ht="360">
      <c r="B2296" s="1">
        <v>45692</v>
      </c>
      <c r="C2296" s="1">
        <v>45692</v>
      </c>
      <c r="D2296" t="s">
        <v>12505</v>
      </c>
      <c r="E2296" t="s">
        <v>12506</v>
      </c>
      <c r="F2296">
        <v>3</v>
      </c>
      <c r="G2296" t="s">
        <v>219</v>
      </c>
      <c r="H2296" t="s">
        <v>61</v>
      </c>
      <c r="I2296" t="s">
        <v>40</v>
      </c>
      <c r="J2296" t="s">
        <v>109</v>
      </c>
      <c r="K2296" t="s">
        <v>42</v>
      </c>
      <c r="L2296" t="s">
        <v>135</v>
      </c>
      <c r="N2296" t="s">
        <v>136</v>
      </c>
      <c r="Q2296">
        <v>30250</v>
      </c>
      <c r="R2296" t="s">
        <v>322</v>
      </c>
      <c r="S2296" t="s">
        <v>12507</v>
      </c>
      <c r="T2296">
        <v>30</v>
      </c>
      <c r="U2296" s="2" t="s">
        <v>14748</v>
      </c>
      <c r="W2296" t="s">
        <v>138</v>
      </c>
      <c r="X2296">
        <v>838520</v>
      </c>
      <c r="Y2296" s="2" t="s">
        <v>14749</v>
      </c>
      <c r="Z2296" t="s">
        <v>4315</v>
      </c>
      <c r="AA2296" s="2" t="s">
        <v>4316</v>
      </c>
      <c r="AB2296" t="s">
        <v>14750</v>
      </c>
      <c r="AC2296" t="s">
        <v>14751</v>
      </c>
      <c r="AG2296" t="s">
        <v>14752</v>
      </c>
      <c r="AH2296" t="s">
        <v>14753</v>
      </c>
      <c r="AI2296" t="s">
        <v>14754</v>
      </c>
    </row>
    <row r="2297" spans="2:35" ht="120">
      <c r="B2297" s="1">
        <v>45692</v>
      </c>
      <c r="C2297" s="1">
        <v>45692</v>
      </c>
      <c r="D2297" t="s">
        <v>8684</v>
      </c>
      <c r="E2297" t="s">
        <v>14755</v>
      </c>
      <c r="F2297">
        <v>5</v>
      </c>
      <c r="G2297" t="s">
        <v>814</v>
      </c>
      <c r="H2297" t="s">
        <v>39</v>
      </c>
      <c r="I2297" t="s">
        <v>94</v>
      </c>
      <c r="J2297" t="s">
        <v>109</v>
      </c>
      <c r="K2297" t="s">
        <v>42</v>
      </c>
      <c r="L2297" t="s">
        <v>761</v>
      </c>
      <c r="N2297" t="s">
        <v>762</v>
      </c>
      <c r="Q2297">
        <v>30249</v>
      </c>
      <c r="R2297" t="s">
        <v>119</v>
      </c>
      <c r="S2297" t="s">
        <v>8687</v>
      </c>
      <c r="T2297">
        <v>23</v>
      </c>
      <c r="W2297" t="s">
        <v>765</v>
      </c>
      <c r="X2297">
        <v>838266</v>
      </c>
      <c r="Y2297" t="s">
        <v>818</v>
      </c>
      <c r="Z2297" s="2" t="s">
        <v>7933</v>
      </c>
      <c r="AA2297" t="s">
        <v>820</v>
      </c>
      <c r="AB2297" t="s">
        <v>70</v>
      </c>
      <c r="AG2297" t="s">
        <v>14756</v>
      </c>
      <c r="AH2297" t="s">
        <v>8693</v>
      </c>
      <c r="AI2297" t="s">
        <v>14757</v>
      </c>
    </row>
    <row r="2298" spans="2:35" ht="270">
      <c r="B2298" s="1">
        <v>45692</v>
      </c>
      <c r="C2298" s="1">
        <v>45692</v>
      </c>
      <c r="D2298" t="s">
        <v>12495</v>
      </c>
      <c r="E2298" t="s">
        <v>14758</v>
      </c>
      <c r="F2298">
        <v>3</v>
      </c>
      <c r="G2298" t="s">
        <v>219</v>
      </c>
      <c r="H2298" t="s">
        <v>513</v>
      </c>
      <c r="I2298" t="s">
        <v>40</v>
      </c>
      <c r="J2298" s="2" t="s">
        <v>190</v>
      </c>
      <c r="K2298" t="s">
        <v>387</v>
      </c>
      <c r="L2298" t="s">
        <v>135</v>
      </c>
      <c r="N2298" t="s">
        <v>136</v>
      </c>
      <c r="Q2298">
        <v>30248</v>
      </c>
      <c r="R2298" t="s">
        <v>322</v>
      </c>
      <c r="S2298" t="s">
        <v>12902</v>
      </c>
      <c r="T2298">
        <v>25</v>
      </c>
      <c r="W2298" t="s">
        <v>390</v>
      </c>
      <c r="X2298" t="s">
        <v>12499</v>
      </c>
      <c r="Y2298" t="s">
        <v>14759</v>
      </c>
      <c r="Z2298" s="2" t="s">
        <v>14760</v>
      </c>
      <c r="AA2298" s="2" t="s">
        <v>14761</v>
      </c>
      <c r="AB2298" t="s">
        <v>181</v>
      </c>
      <c r="AC2298" t="s">
        <v>14762</v>
      </c>
      <c r="AG2298" t="s">
        <v>14763</v>
      </c>
      <c r="AH2298" t="s">
        <v>14609</v>
      </c>
      <c r="AI2298" t="s">
        <v>14764</v>
      </c>
    </row>
    <row r="2299" spans="2:35" ht="150">
      <c r="B2299" s="1">
        <v>45692</v>
      </c>
      <c r="C2299" s="1">
        <v>45692</v>
      </c>
      <c r="D2299" t="s">
        <v>7405</v>
      </c>
      <c r="E2299" t="s">
        <v>14765</v>
      </c>
      <c r="F2299" t="s">
        <v>1255</v>
      </c>
      <c r="G2299" t="s">
        <v>1256</v>
      </c>
      <c r="H2299" t="s">
        <v>39</v>
      </c>
      <c r="I2299" t="s">
        <v>40</v>
      </c>
      <c r="J2299" s="2" t="s">
        <v>14766</v>
      </c>
      <c r="K2299" t="s">
        <v>42</v>
      </c>
      <c r="L2299" t="s">
        <v>1257</v>
      </c>
      <c r="N2299" t="s">
        <v>1258</v>
      </c>
      <c r="O2299" t="s">
        <v>1258</v>
      </c>
      <c r="Q2299">
        <v>30247</v>
      </c>
      <c r="R2299" t="s">
        <v>119</v>
      </c>
      <c r="S2299" t="s">
        <v>14767</v>
      </c>
      <c r="T2299">
        <v>26</v>
      </c>
      <c r="U2299" s="2" t="s">
        <v>8774</v>
      </c>
      <c r="V2299" s="1">
        <v>45624</v>
      </c>
      <c r="W2299" t="s">
        <v>2384</v>
      </c>
      <c r="X2299">
        <v>838838</v>
      </c>
      <c r="Y2299" t="s">
        <v>301</v>
      </c>
      <c r="Z2299" t="s">
        <v>14768</v>
      </c>
      <c r="AA2299" t="s">
        <v>14768</v>
      </c>
      <c r="AB2299" t="s">
        <v>14769</v>
      </c>
      <c r="AC2299" t="s">
        <v>301</v>
      </c>
      <c r="AD2299" t="s">
        <v>14770</v>
      </c>
      <c r="AE2299" t="s">
        <v>14771</v>
      </c>
      <c r="AG2299" t="s">
        <v>14772</v>
      </c>
      <c r="AH2299" t="s">
        <v>14773</v>
      </c>
      <c r="AI2299" t="s">
        <v>14774</v>
      </c>
    </row>
    <row r="2300" spans="2:35" ht="300">
      <c r="B2300" s="1">
        <v>45691</v>
      </c>
      <c r="C2300" s="1">
        <v>45688</v>
      </c>
      <c r="D2300" t="s">
        <v>10933</v>
      </c>
      <c r="E2300" t="s">
        <v>14775</v>
      </c>
      <c r="F2300" t="s">
        <v>148</v>
      </c>
      <c r="G2300" t="s">
        <v>310</v>
      </c>
      <c r="H2300" t="s">
        <v>39</v>
      </c>
      <c r="I2300" t="s">
        <v>40</v>
      </c>
      <c r="J2300" t="s">
        <v>109</v>
      </c>
      <c r="K2300" t="s">
        <v>42</v>
      </c>
      <c r="L2300" t="s">
        <v>43</v>
      </c>
      <c r="N2300" t="s">
        <v>44</v>
      </c>
      <c r="Q2300">
        <v>30243</v>
      </c>
      <c r="R2300" t="s">
        <v>322</v>
      </c>
      <c r="S2300" t="s">
        <v>14776</v>
      </c>
      <c r="T2300">
        <v>22</v>
      </c>
      <c r="U2300" s="2" t="s">
        <v>14777</v>
      </c>
      <c r="W2300" t="s">
        <v>48</v>
      </c>
      <c r="X2300">
        <v>834953</v>
      </c>
      <c r="Y2300" t="s">
        <v>4709</v>
      </c>
      <c r="Z2300" t="s">
        <v>14778</v>
      </c>
      <c r="AA2300" s="2" t="s">
        <v>14779</v>
      </c>
      <c r="AB2300" t="s">
        <v>14780</v>
      </c>
      <c r="AG2300" t="s">
        <v>14781</v>
      </c>
      <c r="AH2300" t="s">
        <v>14782</v>
      </c>
      <c r="AI2300" t="s">
        <v>14783</v>
      </c>
    </row>
    <row r="2301" spans="2:35" ht="270">
      <c r="B2301" s="1">
        <v>45691</v>
      </c>
      <c r="C2301" s="1">
        <v>45687</v>
      </c>
      <c r="D2301" t="s">
        <v>4909</v>
      </c>
      <c r="E2301" t="s">
        <v>14784</v>
      </c>
      <c r="F2301" t="s">
        <v>148</v>
      </c>
      <c r="G2301" t="s">
        <v>785</v>
      </c>
      <c r="H2301" t="s">
        <v>39</v>
      </c>
      <c r="I2301" t="s">
        <v>40</v>
      </c>
      <c r="J2301" s="2" t="s">
        <v>190</v>
      </c>
      <c r="K2301" t="s">
        <v>42</v>
      </c>
      <c r="L2301" t="s">
        <v>43</v>
      </c>
      <c r="N2301" t="s">
        <v>44</v>
      </c>
      <c r="Q2301">
        <v>30244</v>
      </c>
      <c r="R2301" t="s">
        <v>322</v>
      </c>
      <c r="S2301" t="s">
        <v>786</v>
      </c>
      <c r="T2301">
        <v>24</v>
      </c>
      <c r="W2301" t="s">
        <v>11663</v>
      </c>
      <c r="X2301">
        <v>821648</v>
      </c>
      <c r="Y2301" t="s">
        <v>13685</v>
      </c>
      <c r="Z2301" t="s">
        <v>14785</v>
      </c>
      <c r="AA2301" s="2" t="s">
        <v>14786</v>
      </c>
      <c r="AB2301" t="s">
        <v>14787</v>
      </c>
      <c r="AG2301" t="s">
        <v>14788</v>
      </c>
      <c r="AH2301" t="s">
        <v>4918</v>
      </c>
      <c r="AI2301" t="s">
        <v>14789</v>
      </c>
    </row>
    <row r="2302" spans="2:35" ht="225">
      <c r="B2302" s="1">
        <v>45691</v>
      </c>
      <c r="C2302" s="1">
        <v>45687</v>
      </c>
      <c r="D2302" t="s">
        <v>4839</v>
      </c>
      <c r="E2302" t="s">
        <v>10401</v>
      </c>
      <c r="F2302" t="s">
        <v>148</v>
      </c>
      <c r="G2302" t="s">
        <v>785</v>
      </c>
      <c r="H2302" t="s">
        <v>39</v>
      </c>
      <c r="I2302" t="s">
        <v>40</v>
      </c>
      <c r="J2302" t="s">
        <v>109</v>
      </c>
      <c r="K2302" t="s">
        <v>42</v>
      </c>
      <c r="L2302" t="s">
        <v>43</v>
      </c>
      <c r="N2302" t="s">
        <v>44</v>
      </c>
      <c r="O2302" t="s">
        <v>786</v>
      </c>
      <c r="Q2302">
        <v>30245</v>
      </c>
      <c r="R2302" t="s">
        <v>322</v>
      </c>
      <c r="S2302" t="s">
        <v>6588</v>
      </c>
      <c r="T2302">
        <v>24</v>
      </c>
      <c r="U2302" s="2" t="s">
        <v>14790</v>
      </c>
      <c r="W2302" t="s">
        <v>153</v>
      </c>
      <c r="X2302">
        <v>110025127</v>
      </c>
      <c r="Y2302" t="s">
        <v>121</v>
      </c>
      <c r="Z2302" t="s">
        <v>122</v>
      </c>
      <c r="AA2302" s="2" t="s">
        <v>123</v>
      </c>
      <c r="AB2302" t="s">
        <v>548</v>
      </c>
      <c r="AG2302" t="s">
        <v>14791</v>
      </c>
      <c r="AH2302" t="s">
        <v>6595</v>
      </c>
      <c r="AI2302" t="s">
        <v>14792</v>
      </c>
    </row>
    <row r="2303" spans="2:35" ht="390">
      <c r="B2303" s="1">
        <v>45691</v>
      </c>
      <c r="C2303" s="1">
        <v>45688</v>
      </c>
      <c r="D2303" t="s">
        <v>10933</v>
      </c>
      <c r="E2303" t="s">
        <v>14775</v>
      </c>
      <c r="F2303" t="s">
        <v>148</v>
      </c>
      <c r="G2303" t="s">
        <v>310</v>
      </c>
      <c r="H2303" t="s">
        <v>39</v>
      </c>
      <c r="I2303" t="s">
        <v>40</v>
      </c>
      <c r="J2303" s="2" t="s">
        <v>6184</v>
      </c>
      <c r="K2303" t="s">
        <v>42</v>
      </c>
      <c r="L2303" t="s">
        <v>43</v>
      </c>
      <c r="N2303" t="s">
        <v>44</v>
      </c>
      <c r="Q2303">
        <v>30246</v>
      </c>
      <c r="R2303" t="s">
        <v>322</v>
      </c>
      <c r="S2303" t="s">
        <v>14776</v>
      </c>
      <c r="T2303">
        <v>22</v>
      </c>
      <c r="U2303" s="2" t="s">
        <v>14793</v>
      </c>
      <c r="W2303" t="s">
        <v>153</v>
      </c>
      <c r="X2303">
        <v>110015482</v>
      </c>
      <c r="Y2303" t="s">
        <v>4709</v>
      </c>
      <c r="Z2303" t="s">
        <v>14794</v>
      </c>
      <c r="AA2303" s="2" t="s">
        <v>14779</v>
      </c>
      <c r="AB2303" t="s">
        <v>8952</v>
      </c>
      <c r="AG2303" t="s">
        <v>14795</v>
      </c>
      <c r="AH2303" t="s">
        <v>14782</v>
      </c>
      <c r="AI2303" t="s">
        <v>14796</v>
      </c>
    </row>
    <row r="2304" spans="2:35" ht="105">
      <c r="B2304" s="1">
        <v>45691</v>
      </c>
      <c r="C2304" s="1">
        <v>45691</v>
      </c>
      <c r="D2304" t="s">
        <v>5563</v>
      </c>
      <c r="E2304" t="s">
        <v>12328</v>
      </c>
      <c r="F2304">
        <v>7</v>
      </c>
      <c r="G2304" t="s">
        <v>432</v>
      </c>
      <c r="H2304" t="s">
        <v>150</v>
      </c>
      <c r="I2304" t="s">
        <v>40</v>
      </c>
      <c r="J2304" t="s">
        <v>109</v>
      </c>
      <c r="K2304" t="s">
        <v>42</v>
      </c>
      <c r="L2304" t="s">
        <v>343</v>
      </c>
      <c r="N2304" t="s">
        <v>344</v>
      </c>
      <c r="Q2304">
        <v>30242</v>
      </c>
      <c r="R2304" t="s">
        <v>119</v>
      </c>
      <c r="S2304" t="s">
        <v>5564</v>
      </c>
      <c r="T2304">
        <v>26</v>
      </c>
      <c r="U2304" s="2" t="s">
        <v>14797</v>
      </c>
      <c r="W2304" t="s">
        <v>1501</v>
      </c>
      <c r="X2304">
        <v>838561</v>
      </c>
      <c r="Y2304" t="s">
        <v>7415</v>
      </c>
      <c r="Z2304" t="s">
        <v>14798</v>
      </c>
      <c r="AA2304" t="e">
        <f ca="1">-Preventive Maintenance
-ARCHIVE tests</f>
        <v>#NAME?</v>
      </c>
      <c r="AB2304" t="s">
        <v>348</v>
      </c>
      <c r="AG2304" t="s">
        <v>14799</v>
      </c>
      <c r="AH2304" t="s">
        <v>14800</v>
      </c>
      <c r="AI2304" t="s">
        <v>14801</v>
      </c>
    </row>
    <row r="2305" spans="2:35" ht="409.5">
      <c r="B2305" s="1">
        <v>45691</v>
      </c>
      <c r="C2305" s="1">
        <v>45691</v>
      </c>
      <c r="D2305" t="s">
        <v>14802</v>
      </c>
      <c r="E2305" t="s">
        <v>14803</v>
      </c>
      <c r="F2305">
        <v>7</v>
      </c>
      <c r="G2305" t="s">
        <v>432</v>
      </c>
      <c r="H2305" t="s">
        <v>14804</v>
      </c>
      <c r="I2305" t="s">
        <v>40</v>
      </c>
      <c r="J2305" t="s">
        <v>79</v>
      </c>
      <c r="K2305" t="s">
        <v>387</v>
      </c>
      <c r="L2305" t="s">
        <v>270</v>
      </c>
      <c r="N2305" t="s">
        <v>2481</v>
      </c>
      <c r="Q2305">
        <v>30241</v>
      </c>
      <c r="R2305" t="s">
        <v>95</v>
      </c>
      <c r="S2305" t="s">
        <v>3122</v>
      </c>
      <c r="T2305">
        <v>25</v>
      </c>
      <c r="V2305" s="1">
        <v>45671</v>
      </c>
      <c r="W2305" t="s">
        <v>390</v>
      </c>
      <c r="X2305" t="s">
        <v>14805</v>
      </c>
      <c r="Y2305" s="2" t="s">
        <v>14806</v>
      </c>
      <c r="Z2305" t="s">
        <v>449</v>
      </c>
      <c r="AA2305" s="2" t="s">
        <v>14807</v>
      </c>
      <c r="AB2305" s="2" t="s">
        <v>14808</v>
      </c>
      <c r="AC2305" t="s">
        <v>14809</v>
      </c>
      <c r="AD2305" s="2" t="s">
        <v>14810</v>
      </c>
      <c r="AE2305" t="s">
        <v>14811</v>
      </c>
      <c r="AG2305" t="s">
        <v>14812</v>
      </c>
      <c r="AH2305" t="s">
        <v>449</v>
      </c>
      <c r="AI2305" t="s">
        <v>14813</v>
      </c>
    </row>
    <row r="2306" spans="2:35" ht="135">
      <c r="B2306" s="1">
        <v>45691</v>
      </c>
      <c r="C2306" s="1">
        <v>45691</v>
      </c>
      <c r="D2306" t="s">
        <v>14814</v>
      </c>
      <c r="E2306" t="s">
        <v>1555</v>
      </c>
      <c r="F2306">
        <v>7</v>
      </c>
      <c r="G2306" t="s">
        <v>432</v>
      </c>
      <c r="H2306" t="s">
        <v>39</v>
      </c>
      <c r="I2306" t="s">
        <v>40</v>
      </c>
      <c r="J2306" t="s">
        <v>79</v>
      </c>
      <c r="K2306" t="s">
        <v>387</v>
      </c>
      <c r="L2306" t="s">
        <v>433</v>
      </c>
      <c r="N2306" t="s">
        <v>434</v>
      </c>
      <c r="Q2306">
        <v>30240</v>
      </c>
      <c r="R2306" t="s">
        <v>95</v>
      </c>
      <c r="S2306" t="s">
        <v>14815</v>
      </c>
      <c r="T2306">
        <v>28</v>
      </c>
      <c r="V2306" s="1">
        <v>45671</v>
      </c>
      <c r="W2306" t="s">
        <v>436</v>
      </c>
      <c r="X2306" t="s">
        <v>4856</v>
      </c>
      <c r="Y2306" s="2" t="s">
        <v>14816</v>
      </c>
      <c r="Z2306" s="2" t="s">
        <v>14817</v>
      </c>
      <c r="AA2306" s="2" t="s">
        <v>14817</v>
      </c>
      <c r="AB2306" t="s">
        <v>14818</v>
      </c>
      <c r="AD2306" s="2" t="s">
        <v>14819</v>
      </c>
      <c r="AE2306" t="s">
        <v>14820</v>
      </c>
      <c r="AG2306" t="s">
        <v>14821</v>
      </c>
      <c r="AH2306" t="s">
        <v>14822</v>
      </c>
      <c r="AI2306" t="s">
        <v>14823</v>
      </c>
    </row>
    <row r="2307" spans="2:35" ht="405">
      <c r="B2307" s="1">
        <v>45691</v>
      </c>
      <c r="C2307" s="1">
        <v>45688</v>
      </c>
      <c r="D2307" t="s">
        <v>4132</v>
      </c>
      <c r="E2307" t="s">
        <v>4133</v>
      </c>
      <c r="F2307" t="s">
        <v>148</v>
      </c>
      <c r="G2307" t="s">
        <v>447</v>
      </c>
      <c r="H2307" t="s">
        <v>5486</v>
      </c>
      <c r="I2307" t="s">
        <v>40</v>
      </c>
      <c r="J2307" t="s">
        <v>109</v>
      </c>
      <c r="K2307" t="s">
        <v>387</v>
      </c>
      <c r="L2307" t="s">
        <v>448</v>
      </c>
      <c r="N2307" t="s">
        <v>650</v>
      </c>
      <c r="Q2307">
        <v>30239</v>
      </c>
      <c r="R2307" t="s">
        <v>322</v>
      </c>
      <c r="S2307" t="s">
        <v>14824</v>
      </c>
      <c r="T2307">
        <v>28</v>
      </c>
      <c r="W2307" t="s">
        <v>390</v>
      </c>
      <c r="X2307" t="s">
        <v>4135</v>
      </c>
      <c r="Y2307" t="s">
        <v>485</v>
      </c>
      <c r="Z2307" s="2" t="s">
        <v>6718</v>
      </c>
      <c r="AA2307" t="s">
        <v>122</v>
      </c>
      <c r="AB2307" t="s">
        <v>486</v>
      </c>
      <c r="AG2307" t="s">
        <v>14825</v>
      </c>
      <c r="AH2307" t="s">
        <v>4138</v>
      </c>
      <c r="AI2307" t="s">
        <v>14826</v>
      </c>
    </row>
    <row r="2308" spans="2:35" ht="405">
      <c r="B2308" s="1">
        <v>45691</v>
      </c>
      <c r="C2308" s="1">
        <v>45688</v>
      </c>
      <c r="D2308" t="s">
        <v>3679</v>
      </c>
      <c r="E2308" t="s">
        <v>14827</v>
      </c>
      <c r="F2308" t="s">
        <v>148</v>
      </c>
      <c r="G2308" t="s">
        <v>447</v>
      </c>
      <c r="H2308" t="s">
        <v>386</v>
      </c>
      <c r="I2308" t="s">
        <v>40</v>
      </c>
      <c r="J2308" t="s">
        <v>109</v>
      </c>
      <c r="K2308" t="s">
        <v>387</v>
      </c>
      <c r="L2308" t="s">
        <v>448</v>
      </c>
      <c r="N2308" t="s">
        <v>650</v>
      </c>
      <c r="Q2308">
        <v>30238</v>
      </c>
      <c r="R2308" t="s">
        <v>322</v>
      </c>
      <c r="S2308" t="s">
        <v>3689</v>
      </c>
      <c r="T2308">
        <v>28</v>
      </c>
      <c r="W2308" t="s">
        <v>476</v>
      </c>
      <c r="X2308" t="s">
        <v>3690</v>
      </c>
      <c r="Y2308" t="s">
        <v>485</v>
      </c>
      <c r="Z2308" s="2" t="s">
        <v>6718</v>
      </c>
      <c r="AA2308" t="s">
        <v>122</v>
      </c>
      <c r="AB2308" t="s">
        <v>486</v>
      </c>
      <c r="AG2308" t="s">
        <v>14828</v>
      </c>
      <c r="AH2308" t="s">
        <v>14829</v>
      </c>
      <c r="AI2308" t="s">
        <v>14830</v>
      </c>
    </row>
    <row r="2309" spans="2:35" ht="409.5">
      <c r="B2309" s="1">
        <v>45691</v>
      </c>
      <c r="C2309" s="1">
        <v>45687</v>
      </c>
      <c r="D2309" t="s">
        <v>472</v>
      </c>
      <c r="E2309" t="s">
        <v>473</v>
      </c>
      <c r="F2309" t="s">
        <v>148</v>
      </c>
      <c r="G2309" t="s">
        <v>447</v>
      </c>
      <c r="H2309" t="s">
        <v>14831</v>
      </c>
      <c r="I2309" t="s">
        <v>40</v>
      </c>
      <c r="J2309" s="2" t="s">
        <v>2170</v>
      </c>
      <c r="K2309" t="s">
        <v>387</v>
      </c>
      <c r="L2309" t="s">
        <v>448</v>
      </c>
      <c r="N2309" t="s">
        <v>450</v>
      </c>
      <c r="Q2309">
        <v>30237</v>
      </c>
      <c r="R2309" t="s">
        <v>322</v>
      </c>
      <c r="S2309" t="s">
        <v>6331</v>
      </c>
      <c r="T2309">
        <v>28</v>
      </c>
      <c r="W2309" t="s">
        <v>476</v>
      </c>
      <c r="X2309" t="s">
        <v>477</v>
      </c>
      <c r="Y2309" t="s">
        <v>14832</v>
      </c>
      <c r="Z2309" s="2" t="s">
        <v>14833</v>
      </c>
      <c r="AA2309" t="s">
        <v>14834</v>
      </c>
      <c r="AB2309" t="s">
        <v>486</v>
      </c>
      <c r="AG2309" t="s">
        <v>14835</v>
      </c>
      <c r="AH2309" t="s">
        <v>6334</v>
      </c>
      <c r="AI2309" t="s">
        <v>14836</v>
      </c>
    </row>
    <row r="2310" spans="2:35" ht="409.5">
      <c r="B2310" s="1">
        <v>45691</v>
      </c>
      <c r="C2310" s="1">
        <v>45688</v>
      </c>
      <c r="D2310" t="s">
        <v>3679</v>
      </c>
      <c r="E2310" t="s">
        <v>2580</v>
      </c>
      <c r="F2310" t="s">
        <v>148</v>
      </c>
      <c r="G2310" t="s">
        <v>447</v>
      </c>
      <c r="H2310" t="s">
        <v>386</v>
      </c>
      <c r="I2310" t="s">
        <v>40</v>
      </c>
      <c r="J2310" t="s">
        <v>109</v>
      </c>
      <c r="K2310" t="s">
        <v>387</v>
      </c>
      <c r="L2310" t="s">
        <v>448</v>
      </c>
      <c r="N2310" t="s">
        <v>450</v>
      </c>
      <c r="Q2310">
        <v>30236</v>
      </c>
      <c r="R2310" t="s">
        <v>322</v>
      </c>
      <c r="S2310" t="s">
        <v>3689</v>
      </c>
      <c r="T2310">
        <v>28</v>
      </c>
      <c r="W2310" t="s">
        <v>390</v>
      </c>
      <c r="X2310">
        <v>20168</v>
      </c>
      <c r="Y2310" s="2" t="s">
        <v>14837</v>
      </c>
      <c r="Z2310" s="2" t="s">
        <v>14838</v>
      </c>
      <c r="AA2310" t="s">
        <v>122</v>
      </c>
      <c r="AB2310" t="s">
        <v>486</v>
      </c>
      <c r="AG2310" t="s">
        <v>14839</v>
      </c>
      <c r="AH2310" t="s">
        <v>3679</v>
      </c>
      <c r="AI2310" t="s">
        <v>14840</v>
      </c>
    </row>
    <row r="2311" spans="2:35" ht="345">
      <c r="B2311" s="1">
        <v>45690</v>
      </c>
      <c r="C2311" s="1">
        <v>45685</v>
      </c>
      <c r="D2311" t="s">
        <v>14841</v>
      </c>
      <c r="E2311" t="s">
        <v>2797</v>
      </c>
      <c r="F2311">
        <v>12</v>
      </c>
      <c r="G2311" t="s">
        <v>978</v>
      </c>
      <c r="H2311" t="s">
        <v>14842</v>
      </c>
      <c r="I2311" t="s">
        <v>40</v>
      </c>
      <c r="J2311" s="2" t="s">
        <v>1808</v>
      </c>
      <c r="K2311" t="s">
        <v>42</v>
      </c>
      <c r="L2311" t="s">
        <v>296</v>
      </c>
      <c r="N2311" t="s">
        <v>297</v>
      </c>
      <c r="O2311" t="s">
        <v>14843</v>
      </c>
      <c r="Q2311">
        <v>30235</v>
      </c>
      <c r="R2311" t="s">
        <v>95</v>
      </c>
      <c r="S2311" t="s">
        <v>14844</v>
      </c>
      <c r="T2311">
        <v>26.4</v>
      </c>
      <c r="W2311" t="s">
        <v>981</v>
      </c>
      <c r="X2311">
        <v>831313</v>
      </c>
      <c r="Y2311" t="s">
        <v>14845</v>
      </c>
      <c r="Z2311" s="2" t="s">
        <v>14846</v>
      </c>
      <c r="AA2311" s="2" t="s">
        <v>14847</v>
      </c>
      <c r="AB2311" t="s">
        <v>14848</v>
      </c>
      <c r="AG2311" t="s">
        <v>14849</v>
      </c>
      <c r="AH2311" t="s">
        <v>14850</v>
      </c>
      <c r="AI2311" t="s">
        <v>14851</v>
      </c>
    </row>
    <row r="2312" spans="2:35" ht="105">
      <c r="B2312" s="1">
        <v>45688</v>
      </c>
      <c r="C2312" s="1">
        <v>45688</v>
      </c>
      <c r="D2312" t="s">
        <v>14852</v>
      </c>
      <c r="E2312" t="s">
        <v>14853</v>
      </c>
      <c r="F2312">
        <v>6</v>
      </c>
      <c r="G2312" t="s">
        <v>1286</v>
      </c>
      <c r="H2312" t="s">
        <v>10969</v>
      </c>
      <c r="I2312" t="s">
        <v>40</v>
      </c>
      <c r="J2312" s="2" t="s">
        <v>14854</v>
      </c>
      <c r="K2312" t="s">
        <v>42</v>
      </c>
      <c r="L2312" t="s">
        <v>1288</v>
      </c>
      <c r="N2312" t="s">
        <v>1289</v>
      </c>
      <c r="Q2312">
        <v>30234</v>
      </c>
      <c r="R2312" t="s">
        <v>967</v>
      </c>
      <c r="S2312" t="s">
        <v>5417</v>
      </c>
      <c r="T2312">
        <v>29</v>
      </c>
      <c r="U2312" s="2" t="s">
        <v>14855</v>
      </c>
      <c r="W2312" t="s">
        <v>9206</v>
      </c>
      <c r="X2312">
        <v>110023530</v>
      </c>
      <c r="Y2312" t="e">
        <f ca="1">-_xludf.For GX EQUIPMENT transfer
-_xludf.For Preventive Maintenance</f>
        <v>#NAME?</v>
      </c>
      <c r="Z2312" t="e">
        <f ca="1">-COLLECT IQR, system _xludf.Log, _xludf.and ARCHIVE</f>
        <v>#NAME?</v>
      </c>
      <c r="AA2312" t="e">
        <f ca="1">-PERFORM GeneXpert EQUIPMENT transfer to new LABORATORY
-PERFORM Preventive Maintenance PROCEDURE</f>
        <v>#NAME?</v>
      </c>
      <c r="AB2312" t="s">
        <v>1293</v>
      </c>
      <c r="AG2312" t="s">
        <v>14856</v>
      </c>
      <c r="AH2312" t="s">
        <v>5420</v>
      </c>
      <c r="AI2312" t="s">
        <v>14857</v>
      </c>
    </row>
    <row r="2313" spans="2:35">
      <c r="B2313" s="1">
        <v>45688</v>
      </c>
      <c r="C2313" s="1">
        <v>45688</v>
      </c>
      <c r="D2313" t="s">
        <v>13642</v>
      </c>
      <c r="E2313" t="s">
        <v>14858</v>
      </c>
      <c r="F2313" t="s">
        <v>148</v>
      </c>
      <c r="G2313" t="s">
        <v>447</v>
      </c>
      <c r="H2313" t="s">
        <v>14859</v>
      </c>
      <c r="I2313" t="s">
        <v>40</v>
      </c>
      <c r="J2313" t="s">
        <v>79</v>
      </c>
      <c r="K2313" t="s">
        <v>408</v>
      </c>
      <c r="L2313" t="s">
        <v>409</v>
      </c>
      <c r="N2313" t="s">
        <v>14860</v>
      </c>
      <c r="P2313" t="s">
        <v>14861</v>
      </c>
      <c r="Q2313">
        <v>30233</v>
      </c>
      <c r="R2313" t="s">
        <v>95</v>
      </c>
      <c r="S2313" t="s">
        <v>14860</v>
      </c>
      <c r="T2313">
        <v>25</v>
      </c>
      <c r="V2313" s="1">
        <v>45681</v>
      </c>
      <c r="W2313" t="s">
        <v>1859</v>
      </c>
      <c r="X2313">
        <v>533231</v>
      </c>
      <c r="Y2313" t="s">
        <v>14862</v>
      </c>
      <c r="Z2313" t="s">
        <v>14863</v>
      </c>
      <c r="AA2313" t="s">
        <v>14863</v>
      </c>
      <c r="AB2313" t="s">
        <v>486</v>
      </c>
      <c r="AD2313" t="s">
        <v>1863</v>
      </c>
      <c r="AE2313" t="s">
        <v>1863</v>
      </c>
      <c r="AG2313" t="s">
        <v>14864</v>
      </c>
      <c r="AH2313" t="s">
        <v>409</v>
      </c>
      <c r="AI2313" t="s">
        <v>14865</v>
      </c>
    </row>
    <row r="2314" spans="2:35">
      <c r="B2314" s="1">
        <v>45688</v>
      </c>
      <c r="C2314" s="1">
        <v>45688</v>
      </c>
      <c r="D2314" t="s">
        <v>13642</v>
      </c>
      <c r="E2314" t="s">
        <v>14858</v>
      </c>
      <c r="F2314" t="s">
        <v>148</v>
      </c>
      <c r="G2314" t="s">
        <v>447</v>
      </c>
      <c r="H2314" t="s">
        <v>14859</v>
      </c>
      <c r="I2314" t="s">
        <v>40</v>
      </c>
      <c r="J2314" t="s">
        <v>79</v>
      </c>
      <c r="K2314" t="s">
        <v>408</v>
      </c>
      <c r="L2314" t="s">
        <v>409</v>
      </c>
      <c r="N2314" t="s">
        <v>14860</v>
      </c>
      <c r="P2314" t="s">
        <v>14861</v>
      </c>
      <c r="Q2314">
        <v>30232</v>
      </c>
      <c r="R2314" t="s">
        <v>95</v>
      </c>
      <c r="S2314" t="s">
        <v>14860</v>
      </c>
      <c r="T2314">
        <v>25</v>
      </c>
      <c r="V2314" s="1">
        <v>45681</v>
      </c>
      <c r="W2314" t="s">
        <v>1859</v>
      </c>
      <c r="X2314">
        <v>533235</v>
      </c>
      <c r="Y2314" t="s">
        <v>14862</v>
      </c>
      <c r="Z2314" t="s">
        <v>14863</v>
      </c>
      <c r="AA2314" t="s">
        <v>14863</v>
      </c>
      <c r="AB2314" t="s">
        <v>486</v>
      </c>
      <c r="AD2314" t="s">
        <v>1863</v>
      </c>
      <c r="AE2314" t="s">
        <v>1863</v>
      </c>
      <c r="AG2314" t="s">
        <v>14866</v>
      </c>
      <c r="AH2314" t="s">
        <v>409</v>
      </c>
      <c r="AI2314" t="s">
        <v>14867</v>
      </c>
    </row>
    <row r="2315" spans="2:35" ht="165">
      <c r="B2315" s="1">
        <v>45688</v>
      </c>
      <c r="C2315" s="1">
        <v>45688</v>
      </c>
      <c r="D2315" t="s">
        <v>6555</v>
      </c>
      <c r="E2315" t="s">
        <v>14868</v>
      </c>
      <c r="F2315">
        <v>5</v>
      </c>
      <c r="G2315" t="s">
        <v>839</v>
      </c>
      <c r="H2315" t="s">
        <v>39</v>
      </c>
      <c r="I2315" t="s">
        <v>94</v>
      </c>
      <c r="J2315" s="2" t="s">
        <v>41</v>
      </c>
      <c r="K2315" t="s">
        <v>42</v>
      </c>
      <c r="L2315" t="s">
        <v>761</v>
      </c>
      <c r="N2315" t="s">
        <v>762</v>
      </c>
      <c r="Q2315">
        <v>30231</v>
      </c>
      <c r="R2315" t="s">
        <v>119</v>
      </c>
      <c r="S2315" t="s">
        <v>6557</v>
      </c>
      <c r="T2315">
        <v>25</v>
      </c>
      <c r="U2315" s="2" t="s">
        <v>14869</v>
      </c>
      <c r="W2315" t="s">
        <v>765</v>
      </c>
      <c r="X2315">
        <v>838398</v>
      </c>
      <c r="Y2315" t="s">
        <v>14870</v>
      </c>
      <c r="Z2315" s="2" t="s">
        <v>14871</v>
      </c>
      <c r="AA2315" s="2" t="s">
        <v>14872</v>
      </c>
      <c r="AB2315" t="s">
        <v>181</v>
      </c>
      <c r="AG2315" t="s">
        <v>14873</v>
      </c>
      <c r="AH2315" t="s">
        <v>6562</v>
      </c>
      <c r="AI2315" t="s">
        <v>14874</v>
      </c>
    </row>
    <row r="2316" spans="2:35" ht="409.5">
      <c r="B2316" s="1">
        <v>45688</v>
      </c>
      <c r="C2316" s="1">
        <v>45687</v>
      </c>
      <c r="D2316" t="s">
        <v>14875</v>
      </c>
      <c r="E2316" t="s">
        <v>10558</v>
      </c>
      <c r="F2316">
        <v>5</v>
      </c>
      <c r="G2316" t="s">
        <v>839</v>
      </c>
      <c r="H2316" t="s">
        <v>513</v>
      </c>
      <c r="I2316" t="s">
        <v>94</v>
      </c>
      <c r="J2316" s="2" t="s">
        <v>62</v>
      </c>
      <c r="K2316" t="s">
        <v>387</v>
      </c>
      <c r="L2316" t="s">
        <v>761</v>
      </c>
      <c r="N2316" t="s">
        <v>762</v>
      </c>
      <c r="Q2316">
        <v>30230</v>
      </c>
      <c r="R2316" t="s">
        <v>322</v>
      </c>
      <c r="S2316" t="s">
        <v>8556</v>
      </c>
      <c r="T2316">
        <v>25</v>
      </c>
      <c r="W2316" t="s">
        <v>390</v>
      </c>
      <c r="X2316" t="s">
        <v>841</v>
      </c>
      <c r="Y2316" s="2" t="s">
        <v>14876</v>
      </c>
      <c r="Z2316" s="2" t="s">
        <v>14877</v>
      </c>
      <c r="AA2316" s="2" t="s">
        <v>14878</v>
      </c>
      <c r="AB2316" t="s">
        <v>70</v>
      </c>
      <c r="AG2316" t="s">
        <v>14879</v>
      </c>
      <c r="AH2316" t="s">
        <v>14880</v>
      </c>
      <c r="AI2316" t="s">
        <v>14881</v>
      </c>
    </row>
    <row r="2317" spans="2:35" ht="409.5">
      <c r="B2317" s="1">
        <v>45688</v>
      </c>
      <c r="C2317" s="1">
        <v>45687</v>
      </c>
      <c r="D2317" t="s">
        <v>14875</v>
      </c>
      <c r="E2317" t="s">
        <v>10558</v>
      </c>
      <c r="F2317">
        <v>5</v>
      </c>
      <c r="G2317" t="s">
        <v>839</v>
      </c>
      <c r="H2317" t="s">
        <v>39</v>
      </c>
      <c r="I2317" t="s">
        <v>94</v>
      </c>
      <c r="J2317" s="2" t="s">
        <v>62</v>
      </c>
      <c r="K2317" t="s">
        <v>387</v>
      </c>
      <c r="L2317" t="s">
        <v>761</v>
      </c>
      <c r="N2317" t="s">
        <v>762</v>
      </c>
      <c r="Q2317">
        <v>30229</v>
      </c>
      <c r="R2317" t="s">
        <v>322</v>
      </c>
      <c r="S2317" t="s">
        <v>8556</v>
      </c>
      <c r="T2317">
        <v>25</v>
      </c>
      <c r="W2317" t="s">
        <v>390</v>
      </c>
      <c r="X2317" t="s">
        <v>847</v>
      </c>
      <c r="Y2317" t="s">
        <v>14882</v>
      </c>
      <c r="Z2317" s="2" t="s">
        <v>14877</v>
      </c>
      <c r="AA2317" s="2" t="s">
        <v>14883</v>
      </c>
      <c r="AB2317" t="s">
        <v>70</v>
      </c>
      <c r="AG2317" t="s">
        <v>14884</v>
      </c>
      <c r="AH2317" t="s">
        <v>14880</v>
      </c>
      <c r="AI2317" t="s">
        <v>14885</v>
      </c>
    </row>
    <row r="2318" spans="2:35" ht="150">
      <c r="B2318" s="1">
        <v>45688</v>
      </c>
      <c r="C2318" s="1">
        <v>45688</v>
      </c>
      <c r="D2318" t="s">
        <v>8059</v>
      </c>
      <c r="E2318" t="s">
        <v>14886</v>
      </c>
      <c r="F2318">
        <v>7</v>
      </c>
      <c r="G2318" t="s">
        <v>432</v>
      </c>
      <c r="H2318" t="s">
        <v>463</v>
      </c>
      <c r="I2318" t="s">
        <v>40</v>
      </c>
      <c r="J2318" s="2" t="s">
        <v>62</v>
      </c>
      <c r="K2318" t="s">
        <v>42</v>
      </c>
      <c r="L2318" t="s">
        <v>433</v>
      </c>
      <c r="N2318" t="s">
        <v>434</v>
      </c>
      <c r="Q2318">
        <v>30228</v>
      </c>
      <c r="R2318" t="s">
        <v>119</v>
      </c>
      <c r="S2318" t="s">
        <v>1818</v>
      </c>
      <c r="T2318">
        <v>25</v>
      </c>
      <c r="W2318" t="s">
        <v>502</v>
      </c>
      <c r="X2318">
        <v>838263</v>
      </c>
      <c r="Y2318" s="2" t="s">
        <v>14887</v>
      </c>
      <c r="Z2318" t="s">
        <v>14888</v>
      </c>
      <c r="AA2318" s="2" t="s">
        <v>14889</v>
      </c>
      <c r="AB2318" s="2" t="s">
        <v>14890</v>
      </c>
      <c r="AG2318" t="s">
        <v>14891</v>
      </c>
      <c r="AH2318" t="s">
        <v>1823</v>
      </c>
      <c r="AI2318" t="s">
        <v>14892</v>
      </c>
    </row>
    <row r="2319" spans="2:35" ht="180">
      <c r="B2319" s="1">
        <v>45688</v>
      </c>
      <c r="C2319" s="1">
        <v>45687</v>
      </c>
      <c r="D2319" t="s">
        <v>14893</v>
      </c>
      <c r="E2319" t="s">
        <v>10812</v>
      </c>
      <c r="F2319">
        <v>10</v>
      </c>
      <c r="G2319" t="s">
        <v>1395</v>
      </c>
      <c r="H2319" t="s">
        <v>2138</v>
      </c>
      <c r="I2319" t="s">
        <v>40</v>
      </c>
      <c r="J2319" t="s">
        <v>79</v>
      </c>
      <c r="K2319" t="s">
        <v>387</v>
      </c>
      <c r="L2319" t="s">
        <v>933</v>
      </c>
      <c r="N2319" t="s">
        <v>934</v>
      </c>
      <c r="Q2319">
        <v>30227</v>
      </c>
      <c r="R2319" t="s">
        <v>95</v>
      </c>
      <c r="S2319" t="s">
        <v>11491</v>
      </c>
      <c r="T2319">
        <v>27</v>
      </c>
      <c r="V2319" s="1">
        <v>45680</v>
      </c>
      <c r="W2319" t="s">
        <v>390</v>
      </c>
      <c r="X2319" t="s">
        <v>4573</v>
      </c>
      <c r="Y2319" t="s">
        <v>14894</v>
      </c>
      <c r="Z2319" t="s">
        <v>14895</v>
      </c>
      <c r="AA2319" s="2" t="s">
        <v>14896</v>
      </c>
      <c r="AB2319" t="s">
        <v>14897</v>
      </c>
      <c r="AD2319" t="s">
        <v>14898</v>
      </c>
      <c r="AE2319">
        <v>12586</v>
      </c>
      <c r="AG2319" t="s">
        <v>14899</v>
      </c>
      <c r="AH2319" t="s">
        <v>14900</v>
      </c>
      <c r="AI2319" t="s">
        <v>14901</v>
      </c>
    </row>
    <row r="2320" spans="2:35" ht="150">
      <c r="B2320" s="1">
        <v>45688</v>
      </c>
      <c r="C2320" s="1">
        <v>45688</v>
      </c>
      <c r="D2320" t="s">
        <v>7662</v>
      </c>
      <c r="E2320" t="s">
        <v>14902</v>
      </c>
      <c r="F2320">
        <v>9</v>
      </c>
      <c r="G2320" t="s">
        <v>2903</v>
      </c>
      <c r="H2320" t="s">
        <v>39</v>
      </c>
      <c r="I2320" t="s">
        <v>40</v>
      </c>
      <c r="J2320" s="2" t="s">
        <v>14903</v>
      </c>
      <c r="K2320" t="s">
        <v>42</v>
      </c>
      <c r="L2320" t="s">
        <v>1257</v>
      </c>
      <c r="N2320" t="s">
        <v>1258</v>
      </c>
      <c r="O2320" t="s">
        <v>1258</v>
      </c>
      <c r="Q2320">
        <v>30226</v>
      </c>
      <c r="R2320" t="s">
        <v>119</v>
      </c>
      <c r="S2320" t="s">
        <v>7664</v>
      </c>
      <c r="T2320">
        <v>28</v>
      </c>
      <c r="U2320" s="2" t="s">
        <v>11382</v>
      </c>
      <c r="V2320" s="1">
        <v>45665</v>
      </c>
      <c r="W2320" t="s">
        <v>2384</v>
      </c>
      <c r="X2320">
        <v>838536</v>
      </c>
      <c r="Y2320" t="s">
        <v>14904</v>
      </c>
      <c r="Z2320" t="s">
        <v>14905</v>
      </c>
      <c r="AA2320" t="s">
        <v>14905</v>
      </c>
      <c r="AB2320" t="s">
        <v>3463</v>
      </c>
      <c r="AC2320" t="s">
        <v>301</v>
      </c>
      <c r="AD2320" t="s">
        <v>10783</v>
      </c>
      <c r="AE2320">
        <v>12537</v>
      </c>
      <c r="AG2320" t="s">
        <v>14906</v>
      </c>
      <c r="AH2320" t="s">
        <v>14907</v>
      </c>
      <c r="AI2320" t="s">
        <v>14908</v>
      </c>
    </row>
    <row r="2321" spans="2:35" ht="409.5">
      <c r="B2321" s="1">
        <v>45687</v>
      </c>
      <c r="C2321" s="1">
        <v>45687</v>
      </c>
      <c r="D2321" t="s">
        <v>14909</v>
      </c>
      <c r="E2321" t="s">
        <v>14910</v>
      </c>
      <c r="F2321">
        <v>11</v>
      </c>
      <c r="G2321" t="s">
        <v>1205</v>
      </c>
      <c r="H2321" t="s">
        <v>513</v>
      </c>
      <c r="I2321" t="s">
        <v>40</v>
      </c>
      <c r="J2321" s="2" t="s">
        <v>1899</v>
      </c>
      <c r="K2321" t="s">
        <v>387</v>
      </c>
      <c r="L2321" t="s">
        <v>204</v>
      </c>
      <c r="N2321" t="s">
        <v>205</v>
      </c>
      <c r="O2321" t="s">
        <v>2867</v>
      </c>
      <c r="Q2321">
        <v>30225</v>
      </c>
      <c r="R2321" t="s">
        <v>95</v>
      </c>
      <c r="S2321" t="s">
        <v>4675</v>
      </c>
      <c r="T2321">
        <v>23.8</v>
      </c>
      <c r="W2321" t="s">
        <v>14911</v>
      </c>
      <c r="X2321" t="s">
        <v>4676</v>
      </c>
      <c r="Y2321" t="s">
        <v>14912</v>
      </c>
      <c r="Z2321" s="2" t="s">
        <v>14913</v>
      </c>
      <c r="AA2321" s="2" t="s">
        <v>14914</v>
      </c>
      <c r="AB2321" t="s">
        <v>14915</v>
      </c>
      <c r="AG2321" t="s">
        <v>14916</v>
      </c>
      <c r="AH2321" t="s">
        <v>5080</v>
      </c>
      <c r="AI2321" t="s">
        <v>14917</v>
      </c>
    </row>
    <row r="2322" spans="2:35" ht="150">
      <c r="B2322" s="1">
        <v>45687</v>
      </c>
      <c r="C2322" s="1">
        <v>45687</v>
      </c>
      <c r="D2322" t="s">
        <v>4746</v>
      </c>
      <c r="E2322" t="s">
        <v>4747</v>
      </c>
      <c r="F2322">
        <v>6</v>
      </c>
      <c r="G2322" t="s">
        <v>1286</v>
      </c>
      <c r="H2322" t="s">
        <v>10969</v>
      </c>
      <c r="I2322" t="s">
        <v>40</v>
      </c>
      <c r="J2322" t="s">
        <v>109</v>
      </c>
      <c r="K2322" t="s">
        <v>42</v>
      </c>
      <c r="L2322" t="s">
        <v>1288</v>
      </c>
      <c r="N2322" t="s">
        <v>1289</v>
      </c>
      <c r="Q2322">
        <v>30224</v>
      </c>
      <c r="R2322" t="s">
        <v>119</v>
      </c>
      <c r="S2322" t="s">
        <v>4748</v>
      </c>
      <c r="T2322">
        <v>26</v>
      </c>
      <c r="U2322" s="2" t="s">
        <v>5122</v>
      </c>
      <c r="W2322" t="s">
        <v>1292</v>
      </c>
      <c r="X2322">
        <v>838501</v>
      </c>
      <c r="Y2322" s="2" t="s">
        <v>14918</v>
      </c>
      <c r="Z2322" t="e">
        <f ca="1">-COLLECT IQR, system _xludf.Log, _xludf.and ARCHIVE</f>
        <v>#NAME?</v>
      </c>
      <c r="AA2322" t="e">
        <f ca="1">-PERFORM Preventive Maintenance PROCEDURE: _xludf.Clean FAN _xludf.filter, plunger rod, _xludf.and PROBE</f>
        <v>#NAME?</v>
      </c>
      <c r="AB2322" t="s">
        <v>14919</v>
      </c>
      <c r="AG2322" t="s">
        <v>14920</v>
      </c>
      <c r="AH2322" t="s">
        <v>7839</v>
      </c>
      <c r="AI2322" t="s">
        <v>14921</v>
      </c>
    </row>
    <row r="2323" spans="2:35">
      <c r="B2323" s="1">
        <v>45687</v>
      </c>
      <c r="C2323" s="1">
        <v>45687</v>
      </c>
      <c r="D2323" t="s">
        <v>3833</v>
      </c>
      <c r="E2323" t="s">
        <v>512</v>
      </c>
      <c r="F2323" t="s">
        <v>511</v>
      </c>
      <c r="G2323" t="s">
        <v>512</v>
      </c>
      <c r="H2323" t="s">
        <v>513</v>
      </c>
      <c r="I2323" t="s">
        <v>40</v>
      </c>
      <c r="J2323" t="s">
        <v>321</v>
      </c>
      <c r="K2323" t="s">
        <v>387</v>
      </c>
      <c r="L2323" t="s">
        <v>175</v>
      </c>
      <c r="N2323" t="s">
        <v>176</v>
      </c>
      <c r="Q2323">
        <v>30223</v>
      </c>
      <c r="R2323" t="s">
        <v>322</v>
      </c>
      <c r="S2323" t="s">
        <v>3577</v>
      </c>
      <c r="T2323">
        <v>25</v>
      </c>
      <c r="V2323" s="1">
        <v>45684</v>
      </c>
      <c r="W2323" t="s">
        <v>390</v>
      </c>
      <c r="X2323" t="s">
        <v>14922</v>
      </c>
      <c r="Y2323" t="s">
        <v>8338</v>
      </c>
      <c r="Z2323" t="s">
        <v>103</v>
      </c>
      <c r="AA2323" t="e">
        <f ca="1">- installed Unit
- checked CALIBRATION parameters
- performed self test</f>
        <v>#NAME?</v>
      </c>
      <c r="AB2323" t="s">
        <v>181</v>
      </c>
      <c r="AC2323" t="s">
        <v>14923</v>
      </c>
      <c r="AE2323">
        <v>12597</v>
      </c>
      <c r="AG2323" t="s">
        <v>14924</v>
      </c>
      <c r="AH2323" t="s">
        <v>14925</v>
      </c>
      <c r="AI2323" t="s">
        <v>14926</v>
      </c>
    </row>
    <row r="2324" spans="2:35" ht="195">
      <c r="B2324" s="1">
        <v>45687</v>
      </c>
      <c r="C2324" s="1">
        <v>45687</v>
      </c>
      <c r="D2324" t="s">
        <v>9762</v>
      </c>
      <c r="E2324" t="s">
        <v>9763</v>
      </c>
      <c r="F2324">
        <v>8</v>
      </c>
      <c r="G2324" t="s">
        <v>2945</v>
      </c>
      <c r="H2324" t="s">
        <v>39</v>
      </c>
      <c r="I2324" t="s">
        <v>40</v>
      </c>
      <c r="J2324" t="s">
        <v>109</v>
      </c>
      <c r="K2324" t="s">
        <v>42</v>
      </c>
      <c r="L2324" t="s">
        <v>259</v>
      </c>
      <c r="N2324" t="s">
        <v>260</v>
      </c>
      <c r="Q2324">
        <v>30222</v>
      </c>
      <c r="R2324" t="s">
        <v>119</v>
      </c>
      <c r="S2324" t="s">
        <v>14927</v>
      </c>
      <c r="T2324">
        <v>29</v>
      </c>
      <c r="U2324" s="2" t="s">
        <v>14928</v>
      </c>
      <c r="V2324" s="1">
        <v>45687</v>
      </c>
      <c r="W2324" t="s">
        <v>84</v>
      </c>
      <c r="X2324">
        <v>838548</v>
      </c>
      <c r="Y2324" t="s">
        <v>1716</v>
      </c>
      <c r="Z2324" t="s">
        <v>1716</v>
      </c>
      <c r="AA2324" s="2" t="s">
        <v>14929</v>
      </c>
      <c r="AB2324" t="s">
        <v>14930</v>
      </c>
      <c r="AG2324" t="s">
        <v>14931</v>
      </c>
      <c r="AH2324" t="s">
        <v>12062</v>
      </c>
      <c r="AI2324" t="s">
        <v>14932</v>
      </c>
    </row>
    <row r="2325" spans="2:35" ht="330">
      <c r="B2325" s="1">
        <v>45687</v>
      </c>
      <c r="C2325" s="1">
        <v>45687</v>
      </c>
      <c r="D2325" t="s">
        <v>14933</v>
      </c>
      <c r="E2325" t="s">
        <v>14934</v>
      </c>
      <c r="F2325">
        <v>7</v>
      </c>
      <c r="G2325" t="s">
        <v>432</v>
      </c>
      <c r="H2325" t="s">
        <v>39</v>
      </c>
      <c r="I2325" t="s">
        <v>94</v>
      </c>
      <c r="J2325" s="2" t="s">
        <v>4208</v>
      </c>
      <c r="K2325" t="s">
        <v>42</v>
      </c>
      <c r="L2325" t="s">
        <v>594</v>
      </c>
      <c r="N2325" t="s">
        <v>595</v>
      </c>
      <c r="O2325" t="s">
        <v>595</v>
      </c>
      <c r="Q2325">
        <v>30221</v>
      </c>
      <c r="R2325" t="s">
        <v>95</v>
      </c>
      <c r="S2325" t="s">
        <v>6692</v>
      </c>
      <c r="T2325">
        <v>20</v>
      </c>
      <c r="V2325" s="1">
        <v>45685</v>
      </c>
      <c r="W2325" t="s">
        <v>360</v>
      </c>
      <c r="X2325">
        <v>821471</v>
      </c>
      <c r="Y2325" s="2" t="s">
        <v>14935</v>
      </c>
      <c r="Z2325" s="2" t="s">
        <v>14936</v>
      </c>
      <c r="AA2325" s="2" t="s">
        <v>14937</v>
      </c>
      <c r="AB2325" s="2" t="s">
        <v>14938</v>
      </c>
      <c r="AC2325" t="s">
        <v>14939</v>
      </c>
      <c r="AG2325" t="s">
        <v>14940</v>
      </c>
      <c r="AH2325" t="s">
        <v>13544</v>
      </c>
      <c r="AI2325" t="s">
        <v>14941</v>
      </c>
    </row>
    <row r="2326" spans="2:35" ht="330">
      <c r="B2326" s="1">
        <v>45686</v>
      </c>
      <c r="C2326" s="1">
        <v>45685</v>
      </c>
      <c r="D2326" t="s">
        <v>14942</v>
      </c>
      <c r="E2326" t="s">
        <v>1555</v>
      </c>
      <c r="F2326">
        <v>7</v>
      </c>
      <c r="G2326" t="s">
        <v>432</v>
      </c>
      <c r="H2326" t="s">
        <v>39</v>
      </c>
      <c r="I2326" t="s">
        <v>40</v>
      </c>
      <c r="J2326" s="2" t="s">
        <v>760</v>
      </c>
      <c r="K2326" t="s">
        <v>387</v>
      </c>
      <c r="L2326" t="s">
        <v>433</v>
      </c>
      <c r="N2326" t="s">
        <v>434</v>
      </c>
      <c r="Q2326">
        <v>30220</v>
      </c>
      <c r="R2326" t="s">
        <v>95</v>
      </c>
      <c r="S2326" t="s">
        <v>14943</v>
      </c>
      <c r="T2326">
        <v>28</v>
      </c>
      <c r="W2326" t="s">
        <v>436</v>
      </c>
      <c r="X2326" t="s">
        <v>14944</v>
      </c>
      <c r="Y2326" s="2" t="s">
        <v>14945</v>
      </c>
      <c r="Z2326" t="s">
        <v>14946</v>
      </c>
      <c r="AA2326" t="s">
        <v>14947</v>
      </c>
      <c r="AB2326" s="2" t="s">
        <v>14948</v>
      </c>
      <c r="AG2326" t="s">
        <v>14949</v>
      </c>
      <c r="AH2326" t="s">
        <v>14950</v>
      </c>
      <c r="AI2326" t="s">
        <v>14951</v>
      </c>
    </row>
    <row r="2327" spans="2:35" ht="180">
      <c r="B2327" s="1">
        <v>45685</v>
      </c>
      <c r="C2327" s="1">
        <v>45684</v>
      </c>
      <c r="D2327" t="s">
        <v>8522</v>
      </c>
      <c r="E2327" t="s">
        <v>8523</v>
      </c>
      <c r="F2327">
        <v>13</v>
      </c>
      <c r="G2327" t="s">
        <v>8524</v>
      </c>
      <c r="H2327" t="s">
        <v>2125</v>
      </c>
      <c r="I2327" t="s">
        <v>40</v>
      </c>
      <c r="J2327" s="2" t="s">
        <v>41</v>
      </c>
      <c r="K2327" t="s">
        <v>42</v>
      </c>
      <c r="L2327" t="s">
        <v>933</v>
      </c>
      <c r="N2327" t="s">
        <v>934</v>
      </c>
      <c r="Q2327">
        <v>30219</v>
      </c>
      <c r="R2327" t="s">
        <v>119</v>
      </c>
      <c r="S2327" t="s">
        <v>14952</v>
      </c>
      <c r="T2327">
        <v>26</v>
      </c>
      <c r="V2327" s="1">
        <v>45665</v>
      </c>
      <c r="W2327" t="s">
        <v>10604</v>
      </c>
      <c r="X2327">
        <v>838439</v>
      </c>
      <c r="Y2327" t="s">
        <v>14953</v>
      </c>
      <c r="Z2327" t="s">
        <v>14954</v>
      </c>
      <c r="AA2327" s="2" t="s">
        <v>14955</v>
      </c>
      <c r="AB2327" t="s">
        <v>13650</v>
      </c>
      <c r="AD2327" t="s">
        <v>10128</v>
      </c>
      <c r="AE2327">
        <v>12548</v>
      </c>
      <c r="AG2327" t="s">
        <v>14956</v>
      </c>
      <c r="AH2327" t="s">
        <v>8527</v>
      </c>
      <c r="AI2327" t="s">
        <v>14957</v>
      </c>
    </row>
    <row r="2328" spans="2:35" ht="375">
      <c r="B2328" s="1">
        <v>45684</v>
      </c>
      <c r="C2328" s="1">
        <v>45680</v>
      </c>
      <c r="D2328" t="s">
        <v>8748</v>
      </c>
      <c r="E2328" t="s">
        <v>14958</v>
      </c>
      <c r="F2328">
        <v>12</v>
      </c>
      <c r="G2328" t="s">
        <v>294</v>
      </c>
      <c r="H2328" t="s">
        <v>1473</v>
      </c>
      <c r="I2328" t="s">
        <v>40</v>
      </c>
      <c r="J2328" s="2" t="s">
        <v>41</v>
      </c>
      <c r="K2328" t="s">
        <v>42</v>
      </c>
      <c r="L2328" t="s">
        <v>296</v>
      </c>
      <c r="N2328" t="s">
        <v>297</v>
      </c>
      <c r="Q2328">
        <v>30218</v>
      </c>
      <c r="R2328" t="s">
        <v>119</v>
      </c>
      <c r="S2328" t="s">
        <v>8750</v>
      </c>
      <c r="T2328">
        <v>25.7</v>
      </c>
      <c r="U2328" s="2" t="s">
        <v>8432</v>
      </c>
      <c r="V2328" s="1">
        <v>45680</v>
      </c>
      <c r="W2328" t="s">
        <v>981</v>
      </c>
      <c r="X2328">
        <v>838556</v>
      </c>
      <c r="Y2328" t="s">
        <v>2376</v>
      </c>
      <c r="Z2328" s="2" t="s">
        <v>14959</v>
      </c>
      <c r="AA2328" s="2" t="s">
        <v>14960</v>
      </c>
      <c r="AB2328" t="s">
        <v>972</v>
      </c>
      <c r="AD2328" s="2" t="s">
        <v>14961</v>
      </c>
      <c r="AE2328" t="s">
        <v>14962</v>
      </c>
      <c r="AG2328" t="s">
        <v>14963</v>
      </c>
      <c r="AH2328" t="s">
        <v>14964</v>
      </c>
      <c r="AI2328" t="s">
        <v>14965</v>
      </c>
    </row>
    <row r="2329" spans="2:35" ht="300">
      <c r="B2329" s="1">
        <v>45684</v>
      </c>
      <c r="C2329" s="1">
        <v>45684</v>
      </c>
      <c r="D2329" t="s">
        <v>14966</v>
      </c>
      <c r="E2329" t="s">
        <v>14910</v>
      </c>
      <c r="F2329">
        <v>11</v>
      </c>
      <c r="G2329" t="s">
        <v>1205</v>
      </c>
      <c r="H2329" t="s">
        <v>513</v>
      </c>
      <c r="I2329" t="s">
        <v>40</v>
      </c>
      <c r="J2329" s="2" t="s">
        <v>355</v>
      </c>
      <c r="K2329" t="s">
        <v>387</v>
      </c>
      <c r="L2329" t="s">
        <v>204</v>
      </c>
      <c r="N2329" t="s">
        <v>205</v>
      </c>
      <c r="O2329" t="s">
        <v>2867</v>
      </c>
      <c r="Q2329">
        <v>30217</v>
      </c>
      <c r="R2329" t="s">
        <v>95</v>
      </c>
      <c r="S2329" t="s">
        <v>4675</v>
      </c>
      <c r="T2329">
        <v>25.7</v>
      </c>
      <c r="W2329" t="s">
        <v>390</v>
      </c>
      <c r="X2329" t="s">
        <v>4676</v>
      </c>
      <c r="Y2329" t="s">
        <v>14967</v>
      </c>
      <c r="Z2329" s="2" t="s">
        <v>14968</v>
      </c>
      <c r="AA2329" t="s">
        <v>14969</v>
      </c>
      <c r="AB2329" s="2" t="s">
        <v>14970</v>
      </c>
      <c r="AC2329" t="s">
        <v>14971</v>
      </c>
      <c r="AG2329" t="s">
        <v>14972</v>
      </c>
      <c r="AH2329" t="s">
        <v>5080</v>
      </c>
      <c r="AI2329" t="s">
        <v>14973</v>
      </c>
    </row>
    <row r="2330" spans="2:35" ht="405">
      <c r="B2330" s="1">
        <v>45684</v>
      </c>
      <c r="C2330" s="1">
        <v>45681</v>
      </c>
      <c r="D2330" t="s">
        <v>1145</v>
      </c>
      <c r="E2330" t="s">
        <v>473</v>
      </c>
      <c r="F2330" t="s">
        <v>148</v>
      </c>
      <c r="G2330" t="s">
        <v>447</v>
      </c>
      <c r="H2330" t="s">
        <v>386</v>
      </c>
      <c r="I2330" t="s">
        <v>40</v>
      </c>
      <c r="J2330" t="s">
        <v>109</v>
      </c>
      <c r="K2330" t="s">
        <v>387</v>
      </c>
      <c r="L2330" t="s">
        <v>448</v>
      </c>
      <c r="N2330" t="s">
        <v>450</v>
      </c>
      <c r="Q2330">
        <v>30216</v>
      </c>
      <c r="R2330" t="s">
        <v>322</v>
      </c>
      <c r="S2330" t="s">
        <v>5004</v>
      </c>
      <c r="T2330">
        <v>26</v>
      </c>
      <c r="W2330" t="s">
        <v>476</v>
      </c>
      <c r="X2330" t="s">
        <v>7383</v>
      </c>
      <c r="Y2330" s="2" t="s">
        <v>14974</v>
      </c>
      <c r="Z2330" s="2" t="s">
        <v>6718</v>
      </c>
      <c r="AA2330" t="s">
        <v>122</v>
      </c>
      <c r="AB2330" t="s">
        <v>14975</v>
      </c>
      <c r="AG2330" t="s">
        <v>14976</v>
      </c>
      <c r="AH2330" t="s">
        <v>14977</v>
      </c>
      <c r="AI2330" t="s">
        <v>14978</v>
      </c>
    </row>
    <row r="2331" spans="2:35" ht="405">
      <c r="B2331" s="1">
        <v>45684</v>
      </c>
      <c r="C2331" s="1">
        <v>45681</v>
      </c>
      <c r="D2331" t="s">
        <v>1145</v>
      </c>
      <c r="E2331" t="s">
        <v>473</v>
      </c>
      <c r="F2331" t="s">
        <v>148</v>
      </c>
      <c r="G2331" t="s">
        <v>447</v>
      </c>
      <c r="H2331" t="s">
        <v>386</v>
      </c>
      <c r="I2331" t="s">
        <v>40</v>
      </c>
      <c r="J2331" t="s">
        <v>109</v>
      </c>
      <c r="K2331" t="s">
        <v>387</v>
      </c>
      <c r="L2331" t="s">
        <v>448</v>
      </c>
      <c r="N2331" t="s">
        <v>450</v>
      </c>
      <c r="Q2331">
        <v>30215</v>
      </c>
      <c r="R2331" t="s">
        <v>322</v>
      </c>
      <c r="S2331" t="s">
        <v>5004</v>
      </c>
      <c r="T2331">
        <v>26</v>
      </c>
      <c r="W2331" t="s">
        <v>476</v>
      </c>
      <c r="X2331" t="s">
        <v>5005</v>
      </c>
      <c r="Y2331" s="2" t="s">
        <v>14979</v>
      </c>
      <c r="Z2331" s="2" t="s">
        <v>6718</v>
      </c>
      <c r="AA2331" t="s">
        <v>122</v>
      </c>
      <c r="AB2331" t="s">
        <v>14980</v>
      </c>
      <c r="AG2331" t="s">
        <v>14981</v>
      </c>
      <c r="AH2331" t="s">
        <v>14977</v>
      </c>
      <c r="AI2331" t="s">
        <v>14982</v>
      </c>
    </row>
    <row r="2332" spans="2:35" ht="225">
      <c r="B2332" s="1">
        <v>45684</v>
      </c>
      <c r="C2332" s="1">
        <v>45681</v>
      </c>
      <c r="D2332" t="s">
        <v>1145</v>
      </c>
      <c r="E2332" t="s">
        <v>14983</v>
      </c>
      <c r="F2332" t="s">
        <v>148</v>
      </c>
      <c r="G2332" t="s">
        <v>447</v>
      </c>
      <c r="H2332" t="s">
        <v>662</v>
      </c>
      <c r="I2332" t="s">
        <v>40</v>
      </c>
      <c r="J2332" t="s">
        <v>109</v>
      </c>
      <c r="K2332" t="s">
        <v>42</v>
      </c>
      <c r="L2332" t="s">
        <v>448</v>
      </c>
      <c r="N2332" t="s">
        <v>450</v>
      </c>
      <c r="Q2332">
        <v>30214</v>
      </c>
      <c r="R2332" t="s">
        <v>95</v>
      </c>
      <c r="S2332" t="s">
        <v>6341</v>
      </c>
      <c r="T2332">
        <v>26</v>
      </c>
      <c r="W2332" t="s">
        <v>6128</v>
      </c>
      <c r="X2332">
        <v>804205</v>
      </c>
      <c r="Y2332" s="2" t="s">
        <v>14984</v>
      </c>
      <c r="Z2332" s="2" t="s">
        <v>13693</v>
      </c>
      <c r="AA2332" t="s">
        <v>122</v>
      </c>
      <c r="AB2332" t="s">
        <v>14985</v>
      </c>
      <c r="AG2332" t="s">
        <v>14986</v>
      </c>
      <c r="AH2332" t="s">
        <v>10310</v>
      </c>
      <c r="AI2332" t="s">
        <v>14987</v>
      </c>
    </row>
    <row r="2333" spans="2:35" ht="225">
      <c r="B2333" s="1">
        <v>45684</v>
      </c>
      <c r="C2333" s="1">
        <v>45680</v>
      </c>
      <c r="D2333" t="s">
        <v>1081</v>
      </c>
      <c r="E2333" t="s">
        <v>2073</v>
      </c>
      <c r="F2333" t="s">
        <v>148</v>
      </c>
      <c r="G2333" t="s">
        <v>785</v>
      </c>
      <c r="H2333" t="s">
        <v>39</v>
      </c>
      <c r="I2333" t="s">
        <v>40</v>
      </c>
      <c r="J2333" t="s">
        <v>109</v>
      </c>
      <c r="K2333" t="s">
        <v>42</v>
      </c>
      <c r="L2333" t="s">
        <v>43</v>
      </c>
      <c r="N2333" t="s">
        <v>44</v>
      </c>
      <c r="Q2333">
        <v>30210</v>
      </c>
      <c r="R2333" t="s">
        <v>95</v>
      </c>
      <c r="S2333" t="s">
        <v>2016</v>
      </c>
      <c r="T2333">
        <v>20</v>
      </c>
      <c r="W2333" t="s">
        <v>5136</v>
      </c>
      <c r="X2333">
        <v>110015767</v>
      </c>
      <c r="Y2333" t="s">
        <v>121</v>
      </c>
      <c r="Z2333" t="s">
        <v>122</v>
      </c>
      <c r="AA2333" s="2" t="s">
        <v>14566</v>
      </c>
      <c r="AB2333" t="s">
        <v>990</v>
      </c>
      <c r="AG2333" t="s">
        <v>14988</v>
      </c>
      <c r="AH2333" t="s">
        <v>14989</v>
      </c>
      <c r="AI2333" t="s">
        <v>14990</v>
      </c>
    </row>
    <row r="2334" spans="2:35" ht="195">
      <c r="B2334" s="1">
        <v>45684</v>
      </c>
      <c r="C2334" s="1">
        <v>45681</v>
      </c>
      <c r="D2334" t="s">
        <v>1081</v>
      </c>
      <c r="E2334" t="s">
        <v>2073</v>
      </c>
      <c r="F2334" t="s">
        <v>148</v>
      </c>
      <c r="G2334" t="s">
        <v>785</v>
      </c>
      <c r="H2334" t="s">
        <v>39</v>
      </c>
      <c r="I2334" t="s">
        <v>40</v>
      </c>
      <c r="J2334" t="s">
        <v>525</v>
      </c>
      <c r="K2334" t="s">
        <v>42</v>
      </c>
      <c r="L2334" t="s">
        <v>43</v>
      </c>
      <c r="N2334" t="s">
        <v>44</v>
      </c>
      <c r="Q2334">
        <v>30212</v>
      </c>
      <c r="R2334" t="s">
        <v>95</v>
      </c>
      <c r="S2334" t="s">
        <v>14991</v>
      </c>
      <c r="T2334">
        <v>22</v>
      </c>
      <c r="W2334" t="s">
        <v>5136</v>
      </c>
      <c r="X2334">
        <v>110015767</v>
      </c>
      <c r="Y2334" t="s">
        <v>14992</v>
      </c>
      <c r="Z2334" t="s">
        <v>14993</v>
      </c>
      <c r="AA2334" s="2" t="s">
        <v>14994</v>
      </c>
      <c r="AB2334" t="s">
        <v>14995</v>
      </c>
      <c r="AG2334" t="s">
        <v>14996</v>
      </c>
      <c r="AH2334" t="s">
        <v>14997</v>
      </c>
      <c r="AI2334" t="s">
        <v>14998</v>
      </c>
    </row>
    <row r="2335" spans="2:35" ht="270">
      <c r="B2335" s="1">
        <v>45684</v>
      </c>
      <c r="C2335" s="1">
        <v>45681</v>
      </c>
      <c r="D2335" t="s">
        <v>2264</v>
      </c>
      <c r="E2335" t="s">
        <v>5505</v>
      </c>
      <c r="F2335" t="s">
        <v>148</v>
      </c>
      <c r="G2335" t="s">
        <v>2007</v>
      </c>
      <c r="H2335" t="s">
        <v>39</v>
      </c>
      <c r="I2335" t="s">
        <v>40</v>
      </c>
      <c r="J2335" s="2" t="s">
        <v>62</v>
      </c>
      <c r="K2335" t="s">
        <v>42</v>
      </c>
      <c r="L2335" t="s">
        <v>43</v>
      </c>
      <c r="N2335" t="s">
        <v>44</v>
      </c>
      <c r="O2335" t="s">
        <v>2266</v>
      </c>
      <c r="Q2335">
        <v>30213</v>
      </c>
      <c r="R2335" t="s">
        <v>322</v>
      </c>
      <c r="S2335" t="s">
        <v>14999</v>
      </c>
      <c r="T2335">
        <v>22</v>
      </c>
      <c r="U2335" s="2" t="s">
        <v>15000</v>
      </c>
      <c r="V2335" s="1">
        <v>45671</v>
      </c>
      <c r="W2335" t="s">
        <v>153</v>
      </c>
      <c r="X2335">
        <v>110023460</v>
      </c>
      <c r="Y2335" t="s">
        <v>1111</v>
      </c>
      <c r="Z2335" t="s">
        <v>999</v>
      </c>
      <c r="AA2335" s="2" t="s">
        <v>15001</v>
      </c>
      <c r="AB2335" t="s">
        <v>1521</v>
      </c>
      <c r="AE2335" t="s">
        <v>15002</v>
      </c>
      <c r="AG2335" t="s">
        <v>15003</v>
      </c>
      <c r="AH2335" t="s">
        <v>15004</v>
      </c>
      <c r="AI2335" t="s">
        <v>15005</v>
      </c>
    </row>
    <row r="2336" spans="2:35" ht="285">
      <c r="B2336" s="1">
        <v>45684</v>
      </c>
      <c r="C2336" s="1">
        <v>45680</v>
      </c>
      <c r="D2336" t="s">
        <v>542</v>
      </c>
      <c r="E2336" t="s">
        <v>11636</v>
      </c>
      <c r="F2336" t="s">
        <v>148</v>
      </c>
      <c r="G2336" t="s">
        <v>544</v>
      </c>
      <c r="H2336" t="s">
        <v>39</v>
      </c>
      <c r="I2336" t="s">
        <v>40</v>
      </c>
      <c r="J2336" s="2" t="s">
        <v>41</v>
      </c>
      <c r="K2336" t="s">
        <v>42</v>
      </c>
      <c r="L2336" t="s">
        <v>43</v>
      </c>
      <c r="N2336" t="s">
        <v>44</v>
      </c>
      <c r="Q2336">
        <v>30211</v>
      </c>
      <c r="R2336" t="s">
        <v>322</v>
      </c>
      <c r="S2336" t="s">
        <v>545</v>
      </c>
      <c r="T2336">
        <v>20</v>
      </c>
      <c r="W2336" t="s">
        <v>153</v>
      </c>
      <c r="X2336">
        <v>110024073</v>
      </c>
      <c r="Y2336" t="s">
        <v>424</v>
      </c>
      <c r="Z2336" t="s">
        <v>425</v>
      </c>
      <c r="AA2336" s="2" t="s">
        <v>15006</v>
      </c>
      <c r="AB2336" t="s">
        <v>548</v>
      </c>
      <c r="AG2336" t="s">
        <v>15007</v>
      </c>
      <c r="AH2336" t="s">
        <v>14583</v>
      </c>
      <c r="AI2336" t="s">
        <v>15008</v>
      </c>
    </row>
    <row r="2337" spans="2:35" ht="330">
      <c r="B2337" s="1">
        <v>45684</v>
      </c>
      <c r="C2337" s="1">
        <v>45681</v>
      </c>
      <c r="D2337" t="s">
        <v>1057</v>
      </c>
      <c r="E2337" t="s">
        <v>1058</v>
      </c>
      <c r="F2337">
        <v>1</v>
      </c>
      <c r="G2337" t="s">
        <v>1046</v>
      </c>
      <c r="H2337" t="s">
        <v>1047</v>
      </c>
      <c r="I2337" t="s">
        <v>40</v>
      </c>
      <c r="J2337" t="s">
        <v>109</v>
      </c>
      <c r="K2337" t="s">
        <v>42</v>
      </c>
      <c r="L2337" t="s">
        <v>1048</v>
      </c>
      <c r="N2337" t="s">
        <v>1049</v>
      </c>
      <c r="Q2337">
        <v>30209</v>
      </c>
      <c r="R2337" t="s">
        <v>119</v>
      </c>
      <c r="S2337" t="s">
        <v>1059</v>
      </c>
      <c r="T2337">
        <v>29</v>
      </c>
      <c r="U2337" s="2" t="s">
        <v>15009</v>
      </c>
      <c r="W2337" t="s">
        <v>1060</v>
      </c>
      <c r="X2337">
        <v>820303</v>
      </c>
      <c r="Y2337" t="s">
        <v>1052</v>
      </c>
      <c r="Z2337" t="e">
        <f ca="1">- cleaned cartridge Bays, plunger Rods _xludf.and I-CORE
- generated reports</f>
        <v>#NAME?</v>
      </c>
      <c r="AA2337" t="s">
        <v>820</v>
      </c>
      <c r="AB2337" t="s">
        <v>1936</v>
      </c>
      <c r="AG2337" t="s">
        <v>15010</v>
      </c>
      <c r="AH2337" t="s">
        <v>3393</v>
      </c>
      <c r="AI2337" t="s">
        <v>15011</v>
      </c>
    </row>
    <row r="2338" spans="2:35" ht="105">
      <c r="B2338" s="1">
        <v>45684</v>
      </c>
      <c r="C2338" s="1">
        <v>45681</v>
      </c>
      <c r="D2338" t="s">
        <v>4503</v>
      </c>
      <c r="E2338" t="s">
        <v>4504</v>
      </c>
      <c r="F2338">
        <v>1</v>
      </c>
      <c r="G2338" t="s">
        <v>1046</v>
      </c>
      <c r="H2338" t="s">
        <v>1047</v>
      </c>
      <c r="I2338" t="s">
        <v>40</v>
      </c>
      <c r="J2338" t="s">
        <v>109</v>
      </c>
      <c r="K2338" t="s">
        <v>42</v>
      </c>
      <c r="L2338" t="s">
        <v>1048</v>
      </c>
      <c r="N2338" t="s">
        <v>1049</v>
      </c>
      <c r="Q2338">
        <v>30208</v>
      </c>
      <c r="R2338" t="s">
        <v>119</v>
      </c>
      <c r="S2338" t="s">
        <v>15012</v>
      </c>
      <c r="T2338">
        <v>29</v>
      </c>
      <c r="U2338" s="2" t="s">
        <v>15013</v>
      </c>
      <c r="W2338" t="s">
        <v>1051</v>
      </c>
      <c r="X2338">
        <v>838516</v>
      </c>
      <c r="Y2338" t="s">
        <v>1052</v>
      </c>
      <c r="Z2338" t="e">
        <f ca="1">- cleaned cartridge Bays, plunger Rods _xludf.and I-CORE
- generated reports</f>
        <v>#NAME?</v>
      </c>
      <c r="AA2338" t="s">
        <v>820</v>
      </c>
      <c r="AB2338" t="s">
        <v>1428</v>
      </c>
      <c r="AG2338" t="s">
        <v>15014</v>
      </c>
      <c r="AH2338" t="s">
        <v>11218</v>
      </c>
      <c r="AI2338" t="s">
        <v>15015</v>
      </c>
    </row>
    <row r="2339" spans="2:35" ht="105">
      <c r="B2339" s="1">
        <v>45684</v>
      </c>
      <c r="C2339" s="1">
        <v>45680</v>
      </c>
      <c r="D2339" t="s">
        <v>4528</v>
      </c>
      <c r="E2339" t="s">
        <v>4529</v>
      </c>
      <c r="F2339">
        <v>1</v>
      </c>
      <c r="G2339" t="s">
        <v>1046</v>
      </c>
      <c r="H2339" t="s">
        <v>1047</v>
      </c>
      <c r="I2339" t="s">
        <v>40</v>
      </c>
      <c r="J2339" s="2" t="s">
        <v>190</v>
      </c>
      <c r="K2339" t="s">
        <v>42</v>
      </c>
      <c r="L2339" t="s">
        <v>1048</v>
      </c>
      <c r="N2339" t="s">
        <v>1049</v>
      </c>
      <c r="Q2339">
        <v>30207</v>
      </c>
      <c r="R2339" t="s">
        <v>119</v>
      </c>
      <c r="S2339" t="s">
        <v>4530</v>
      </c>
      <c r="T2339">
        <v>27</v>
      </c>
      <c r="U2339" s="2" t="s">
        <v>15016</v>
      </c>
      <c r="W2339" t="s">
        <v>1051</v>
      </c>
      <c r="X2339">
        <v>838472</v>
      </c>
      <c r="Y2339" t="s">
        <v>15017</v>
      </c>
      <c r="Z2339" t="e">
        <f ca="1">- cleaned cartridge Bays, plunger Rods _xludf.and I-CORE
- generated reports</f>
        <v>#NAME?</v>
      </c>
      <c r="AA2339" t="s">
        <v>7985</v>
      </c>
      <c r="AB2339" t="e">
        <f ca="1">- Unit is Partially operational
- module B4 _xludf.For Reporting
- module B1 _xludf.For Observation</f>
        <v>#NAME?</v>
      </c>
      <c r="AG2339" t="s">
        <v>15018</v>
      </c>
      <c r="AH2339" t="s">
        <v>4532</v>
      </c>
      <c r="AI2339" t="s">
        <v>15019</v>
      </c>
    </row>
    <row r="2340" spans="2:35" ht="105">
      <c r="B2340" s="1">
        <v>45684</v>
      </c>
      <c r="C2340" s="1">
        <v>45680</v>
      </c>
      <c r="D2340" t="s">
        <v>3732</v>
      </c>
      <c r="E2340" t="s">
        <v>3733</v>
      </c>
      <c r="F2340">
        <v>1</v>
      </c>
      <c r="G2340" t="s">
        <v>1046</v>
      </c>
      <c r="H2340" t="s">
        <v>1047</v>
      </c>
      <c r="I2340" t="s">
        <v>40</v>
      </c>
      <c r="J2340" t="s">
        <v>109</v>
      </c>
      <c r="K2340" t="s">
        <v>42</v>
      </c>
      <c r="L2340" t="s">
        <v>1048</v>
      </c>
      <c r="N2340" t="s">
        <v>1049</v>
      </c>
      <c r="Q2340">
        <v>30206</v>
      </c>
      <c r="R2340" t="s">
        <v>119</v>
      </c>
      <c r="S2340" t="s">
        <v>3734</v>
      </c>
      <c r="T2340">
        <v>26</v>
      </c>
      <c r="U2340" s="2" t="s">
        <v>15020</v>
      </c>
      <c r="W2340" t="s">
        <v>1051</v>
      </c>
      <c r="X2340">
        <v>838472</v>
      </c>
      <c r="Y2340" t="s">
        <v>1052</v>
      </c>
      <c r="Z2340" t="e">
        <f ca="1">- cleaned cartridge Bays, plunger Rods _xludf.and I-CORE
- generated reports</f>
        <v>#NAME?</v>
      </c>
      <c r="AA2340" t="s">
        <v>820</v>
      </c>
      <c r="AB2340" t="s">
        <v>1428</v>
      </c>
      <c r="AG2340" t="s">
        <v>15021</v>
      </c>
      <c r="AH2340" t="s">
        <v>7274</v>
      </c>
      <c r="AI2340" t="s">
        <v>15022</v>
      </c>
    </row>
    <row r="2341" spans="2:35" ht="135">
      <c r="B2341" s="1">
        <v>45684</v>
      </c>
      <c r="C2341" s="1">
        <v>45684</v>
      </c>
      <c r="D2341" t="s">
        <v>1855</v>
      </c>
      <c r="E2341" t="s">
        <v>5451</v>
      </c>
      <c r="F2341" t="s">
        <v>148</v>
      </c>
      <c r="G2341" t="s">
        <v>447</v>
      </c>
      <c r="H2341" t="s">
        <v>5452</v>
      </c>
      <c r="I2341" t="s">
        <v>40</v>
      </c>
      <c r="J2341" t="s">
        <v>79</v>
      </c>
      <c r="K2341" t="s">
        <v>408</v>
      </c>
      <c r="L2341" t="s">
        <v>448</v>
      </c>
      <c r="N2341" t="s">
        <v>450</v>
      </c>
      <c r="O2341" t="s">
        <v>450</v>
      </c>
      <c r="P2341" t="s">
        <v>1859</v>
      </c>
      <c r="Q2341">
        <v>30205</v>
      </c>
      <c r="R2341" t="s">
        <v>322</v>
      </c>
      <c r="S2341" t="s">
        <v>450</v>
      </c>
      <c r="T2341">
        <v>26</v>
      </c>
      <c r="V2341" s="1">
        <v>45684</v>
      </c>
      <c r="W2341" t="s">
        <v>10003</v>
      </c>
      <c r="X2341" t="s">
        <v>15023</v>
      </c>
      <c r="Y2341" t="s">
        <v>13080</v>
      </c>
      <c r="Z2341" s="2" t="s">
        <v>15024</v>
      </c>
      <c r="AA2341" t="s">
        <v>9749</v>
      </c>
      <c r="AB2341" t="s">
        <v>486</v>
      </c>
      <c r="AD2341" t="s">
        <v>15025</v>
      </c>
      <c r="AE2341" t="s">
        <v>10004</v>
      </c>
      <c r="AG2341" t="s">
        <v>15026</v>
      </c>
      <c r="AH2341" t="s">
        <v>5087</v>
      </c>
      <c r="AI2341" t="s">
        <v>15027</v>
      </c>
    </row>
    <row r="2342" spans="2:35" ht="135">
      <c r="B2342" s="1">
        <v>45684</v>
      </c>
      <c r="C2342" s="1">
        <v>45684</v>
      </c>
      <c r="D2342" t="s">
        <v>1855</v>
      </c>
      <c r="E2342" t="s">
        <v>5451</v>
      </c>
      <c r="F2342" t="s">
        <v>148</v>
      </c>
      <c r="G2342" t="s">
        <v>447</v>
      </c>
      <c r="H2342" t="s">
        <v>5452</v>
      </c>
      <c r="I2342" t="s">
        <v>40</v>
      </c>
      <c r="J2342" t="s">
        <v>525</v>
      </c>
      <c r="K2342" t="s">
        <v>408</v>
      </c>
      <c r="L2342" t="s">
        <v>448</v>
      </c>
      <c r="N2342" t="s">
        <v>450</v>
      </c>
      <c r="O2342" t="s">
        <v>450</v>
      </c>
      <c r="P2342" t="s">
        <v>1859</v>
      </c>
      <c r="Q2342">
        <v>30204</v>
      </c>
      <c r="R2342" t="s">
        <v>322</v>
      </c>
      <c r="S2342" t="s">
        <v>450</v>
      </c>
      <c r="T2342">
        <v>26</v>
      </c>
      <c r="V2342" s="1">
        <v>45684</v>
      </c>
      <c r="W2342" t="s">
        <v>10003</v>
      </c>
      <c r="X2342" t="s">
        <v>15023</v>
      </c>
      <c r="Y2342" s="2" t="s">
        <v>15028</v>
      </c>
      <c r="Z2342" s="2" t="s">
        <v>15029</v>
      </c>
      <c r="AA2342" t="s">
        <v>15030</v>
      </c>
      <c r="AB2342" t="s">
        <v>15031</v>
      </c>
      <c r="AE2342" t="s">
        <v>10004</v>
      </c>
      <c r="AG2342" t="s">
        <v>15032</v>
      </c>
      <c r="AH2342" t="s">
        <v>5087</v>
      </c>
      <c r="AI2342" t="s">
        <v>15033</v>
      </c>
    </row>
    <row r="2343" spans="2:35" ht="135">
      <c r="B2343" s="1">
        <v>45684</v>
      </c>
      <c r="C2343" s="1">
        <v>45684</v>
      </c>
      <c r="D2343" t="s">
        <v>1855</v>
      </c>
      <c r="E2343" t="s">
        <v>5451</v>
      </c>
      <c r="F2343" t="s">
        <v>148</v>
      </c>
      <c r="G2343" t="s">
        <v>447</v>
      </c>
      <c r="H2343" t="s">
        <v>5452</v>
      </c>
      <c r="I2343" t="s">
        <v>40</v>
      </c>
      <c r="J2343" t="s">
        <v>79</v>
      </c>
      <c r="K2343" t="s">
        <v>408</v>
      </c>
      <c r="L2343" t="s">
        <v>448</v>
      </c>
      <c r="N2343" t="s">
        <v>450</v>
      </c>
      <c r="O2343" t="s">
        <v>450</v>
      </c>
      <c r="P2343" t="s">
        <v>1859</v>
      </c>
      <c r="Q2343">
        <v>30203</v>
      </c>
      <c r="R2343" t="s">
        <v>322</v>
      </c>
      <c r="S2343" t="s">
        <v>450</v>
      </c>
      <c r="T2343">
        <v>26</v>
      </c>
      <c r="V2343" s="1">
        <v>45684</v>
      </c>
      <c r="W2343" t="s">
        <v>10003</v>
      </c>
      <c r="X2343" t="s">
        <v>15034</v>
      </c>
      <c r="Y2343" t="s">
        <v>15035</v>
      </c>
      <c r="Z2343" s="2" t="s">
        <v>15036</v>
      </c>
      <c r="AA2343" t="s">
        <v>914</v>
      </c>
      <c r="AB2343" t="s">
        <v>486</v>
      </c>
      <c r="AE2343" t="s">
        <v>10004</v>
      </c>
      <c r="AG2343" t="s">
        <v>15037</v>
      </c>
      <c r="AH2343" t="s">
        <v>5087</v>
      </c>
      <c r="AI2343" t="s">
        <v>15038</v>
      </c>
    </row>
    <row r="2344" spans="2:35" ht="135">
      <c r="B2344" s="1">
        <v>45684</v>
      </c>
      <c r="C2344" s="1">
        <v>45684</v>
      </c>
      <c r="D2344" t="s">
        <v>1855</v>
      </c>
      <c r="E2344" t="s">
        <v>5451</v>
      </c>
      <c r="F2344" t="s">
        <v>148</v>
      </c>
      <c r="G2344" t="s">
        <v>447</v>
      </c>
      <c r="H2344" t="s">
        <v>5452</v>
      </c>
      <c r="I2344" t="s">
        <v>40</v>
      </c>
      <c r="J2344" t="s">
        <v>79</v>
      </c>
      <c r="K2344" t="s">
        <v>408</v>
      </c>
      <c r="L2344" t="s">
        <v>448</v>
      </c>
      <c r="N2344" t="s">
        <v>450</v>
      </c>
      <c r="O2344" t="s">
        <v>450</v>
      </c>
      <c r="P2344" t="s">
        <v>1859</v>
      </c>
      <c r="Q2344">
        <v>30202</v>
      </c>
      <c r="R2344" t="s">
        <v>322</v>
      </c>
      <c r="S2344" t="s">
        <v>450</v>
      </c>
      <c r="T2344">
        <v>26</v>
      </c>
      <c r="V2344" s="1">
        <v>45684</v>
      </c>
      <c r="W2344" t="s">
        <v>10003</v>
      </c>
      <c r="X2344" t="s">
        <v>15039</v>
      </c>
      <c r="Y2344" t="s">
        <v>13080</v>
      </c>
      <c r="Z2344" s="2" t="s">
        <v>15036</v>
      </c>
      <c r="AA2344" t="s">
        <v>914</v>
      </c>
      <c r="AB2344" t="s">
        <v>486</v>
      </c>
      <c r="AD2344" t="s">
        <v>15025</v>
      </c>
      <c r="AE2344" t="s">
        <v>10004</v>
      </c>
      <c r="AG2344" t="s">
        <v>15040</v>
      </c>
      <c r="AH2344" t="s">
        <v>5087</v>
      </c>
      <c r="AI2344" t="s">
        <v>15041</v>
      </c>
    </row>
    <row r="2345" spans="2:35" ht="255">
      <c r="B2345" s="1">
        <v>45683</v>
      </c>
      <c r="C2345" s="1">
        <v>45679</v>
      </c>
      <c r="D2345" t="s">
        <v>5932</v>
      </c>
      <c r="E2345" t="s">
        <v>15042</v>
      </c>
      <c r="F2345">
        <v>11</v>
      </c>
      <c r="G2345" t="s">
        <v>2836</v>
      </c>
      <c r="H2345" t="s">
        <v>202</v>
      </c>
      <c r="I2345" t="s">
        <v>40</v>
      </c>
      <c r="J2345" t="s">
        <v>109</v>
      </c>
      <c r="K2345" t="s">
        <v>42</v>
      </c>
      <c r="L2345" t="s">
        <v>204</v>
      </c>
      <c r="N2345" t="s">
        <v>205</v>
      </c>
      <c r="Q2345">
        <v>30201</v>
      </c>
      <c r="R2345" t="s">
        <v>119</v>
      </c>
      <c r="S2345" t="s">
        <v>7643</v>
      </c>
      <c r="T2345">
        <v>25.9</v>
      </c>
      <c r="U2345" s="2" t="s">
        <v>15043</v>
      </c>
      <c r="W2345" t="s">
        <v>208</v>
      </c>
      <c r="X2345">
        <v>838553</v>
      </c>
      <c r="Y2345" t="s">
        <v>1052</v>
      </c>
      <c r="Z2345" s="2" t="s">
        <v>1892</v>
      </c>
      <c r="AA2345" t="s">
        <v>2551</v>
      </c>
      <c r="AB2345" t="s">
        <v>1211</v>
      </c>
      <c r="AC2345" t="s">
        <v>15044</v>
      </c>
      <c r="AG2345" t="s">
        <v>15045</v>
      </c>
      <c r="AH2345" t="s">
        <v>5943</v>
      </c>
      <c r="AI2345" t="s">
        <v>15046</v>
      </c>
    </row>
    <row r="2346" spans="2:35" ht="360">
      <c r="B2346" s="1">
        <v>45681</v>
      </c>
      <c r="C2346" s="1">
        <v>45681</v>
      </c>
      <c r="D2346" t="s">
        <v>7038</v>
      </c>
      <c r="E2346" t="s">
        <v>7318</v>
      </c>
      <c r="F2346">
        <v>1</v>
      </c>
      <c r="G2346" t="s">
        <v>1046</v>
      </c>
      <c r="H2346" t="s">
        <v>39</v>
      </c>
      <c r="I2346" t="s">
        <v>40</v>
      </c>
      <c r="J2346" t="s">
        <v>109</v>
      </c>
      <c r="K2346" t="s">
        <v>42</v>
      </c>
      <c r="L2346" t="s">
        <v>135</v>
      </c>
      <c r="N2346" t="s">
        <v>136</v>
      </c>
      <c r="O2346" t="s">
        <v>15047</v>
      </c>
      <c r="Q2346">
        <v>30200</v>
      </c>
      <c r="R2346" t="s">
        <v>119</v>
      </c>
      <c r="S2346" t="s">
        <v>7040</v>
      </c>
      <c r="T2346">
        <v>27</v>
      </c>
      <c r="U2346" s="2" t="s">
        <v>15048</v>
      </c>
      <c r="W2346" t="s">
        <v>2680</v>
      </c>
      <c r="X2346">
        <v>838278</v>
      </c>
      <c r="Y2346" t="s">
        <v>7229</v>
      </c>
      <c r="Z2346" t="s">
        <v>4315</v>
      </c>
      <c r="AA2346" s="2" t="s">
        <v>4316</v>
      </c>
      <c r="AB2346" t="s">
        <v>181</v>
      </c>
      <c r="AG2346" t="s">
        <v>15049</v>
      </c>
      <c r="AH2346" t="s">
        <v>15050</v>
      </c>
      <c r="AI2346" t="s">
        <v>15051</v>
      </c>
    </row>
    <row r="2347" spans="2:35" ht="180">
      <c r="B2347" s="1">
        <v>45681</v>
      </c>
      <c r="C2347" s="1">
        <v>45681</v>
      </c>
      <c r="D2347" t="s">
        <v>15052</v>
      </c>
      <c r="E2347" t="s">
        <v>15053</v>
      </c>
      <c r="F2347">
        <v>9</v>
      </c>
      <c r="G2347" t="s">
        <v>1628</v>
      </c>
      <c r="H2347" t="s">
        <v>39</v>
      </c>
      <c r="I2347" t="s">
        <v>40</v>
      </c>
      <c r="J2347" s="2" t="s">
        <v>15054</v>
      </c>
      <c r="K2347" t="s">
        <v>42</v>
      </c>
      <c r="L2347" t="s">
        <v>1257</v>
      </c>
      <c r="N2347" t="s">
        <v>1258</v>
      </c>
      <c r="O2347" t="s">
        <v>1258</v>
      </c>
      <c r="Q2347">
        <v>30199</v>
      </c>
      <c r="R2347" t="s">
        <v>967</v>
      </c>
      <c r="S2347" t="s">
        <v>15055</v>
      </c>
      <c r="T2347">
        <v>25</v>
      </c>
      <c r="U2347" s="2" t="s">
        <v>15056</v>
      </c>
      <c r="V2347" s="1">
        <v>45665</v>
      </c>
      <c r="W2347" t="s">
        <v>2384</v>
      </c>
      <c r="X2347">
        <v>110023517</v>
      </c>
      <c r="Y2347" t="s">
        <v>301</v>
      </c>
      <c r="Z2347" t="s">
        <v>15057</v>
      </c>
      <c r="AA2347" t="s">
        <v>15057</v>
      </c>
      <c r="AB2347" t="s">
        <v>15058</v>
      </c>
      <c r="AC2347" t="s">
        <v>301</v>
      </c>
      <c r="AD2347" t="s">
        <v>5255</v>
      </c>
      <c r="AE2347">
        <v>12487</v>
      </c>
      <c r="AG2347" t="s">
        <v>15059</v>
      </c>
      <c r="AH2347" t="s">
        <v>15060</v>
      </c>
      <c r="AI2347" t="s">
        <v>15061</v>
      </c>
    </row>
    <row r="2348" spans="2:35" ht="105">
      <c r="B2348" s="1">
        <v>45681</v>
      </c>
      <c r="C2348" s="1">
        <v>45681</v>
      </c>
      <c r="D2348" t="s">
        <v>4804</v>
      </c>
      <c r="E2348" t="s">
        <v>4805</v>
      </c>
      <c r="F2348" t="s">
        <v>1181</v>
      </c>
      <c r="G2348" t="s">
        <v>1182</v>
      </c>
      <c r="H2348" t="s">
        <v>39</v>
      </c>
      <c r="I2348" t="s">
        <v>40</v>
      </c>
      <c r="J2348" t="s">
        <v>109</v>
      </c>
      <c r="K2348" t="s">
        <v>42</v>
      </c>
      <c r="L2348" t="s">
        <v>80</v>
      </c>
      <c r="N2348" t="s">
        <v>81</v>
      </c>
      <c r="Q2348">
        <v>30198</v>
      </c>
      <c r="R2348" t="s">
        <v>322</v>
      </c>
      <c r="S2348" t="s">
        <v>2211</v>
      </c>
      <c r="T2348">
        <v>29</v>
      </c>
      <c r="U2348" s="2" t="s">
        <v>15062</v>
      </c>
      <c r="V2348" s="1">
        <v>45681</v>
      </c>
      <c r="W2348" t="s">
        <v>895</v>
      </c>
      <c r="X2348">
        <v>110021518</v>
      </c>
      <c r="Y2348" t="s">
        <v>15063</v>
      </c>
      <c r="Z2348" s="2" t="s">
        <v>15064</v>
      </c>
      <c r="AA2348" t="s">
        <v>15065</v>
      </c>
      <c r="AB2348" t="s">
        <v>15066</v>
      </c>
      <c r="AC2348" t="s">
        <v>103</v>
      </c>
      <c r="AD2348" t="s">
        <v>103</v>
      </c>
      <c r="AE2348" t="s">
        <v>103</v>
      </c>
      <c r="AG2348" t="s">
        <v>15067</v>
      </c>
      <c r="AH2348" t="s">
        <v>15068</v>
      </c>
      <c r="AI2348" t="s">
        <v>15069</v>
      </c>
    </row>
    <row r="2349" spans="2:35" ht="180">
      <c r="B2349" s="1">
        <v>45681</v>
      </c>
      <c r="C2349" s="1">
        <v>45681</v>
      </c>
      <c r="D2349" t="s">
        <v>4804</v>
      </c>
      <c r="E2349" t="s">
        <v>4805</v>
      </c>
      <c r="F2349" t="s">
        <v>1181</v>
      </c>
      <c r="G2349" t="s">
        <v>1182</v>
      </c>
      <c r="H2349" t="s">
        <v>39</v>
      </c>
      <c r="I2349" t="s">
        <v>40</v>
      </c>
      <c r="J2349" s="2" t="s">
        <v>62</v>
      </c>
      <c r="K2349" t="s">
        <v>42</v>
      </c>
      <c r="L2349" t="s">
        <v>80</v>
      </c>
      <c r="N2349" t="s">
        <v>81</v>
      </c>
      <c r="Q2349">
        <v>30197</v>
      </c>
      <c r="R2349" t="s">
        <v>967</v>
      </c>
      <c r="S2349" t="s">
        <v>2211</v>
      </c>
      <c r="T2349">
        <v>28</v>
      </c>
      <c r="U2349" s="2" t="s">
        <v>15070</v>
      </c>
      <c r="V2349" s="1">
        <v>45665</v>
      </c>
      <c r="W2349" t="s">
        <v>84</v>
      </c>
      <c r="X2349">
        <v>10023510</v>
      </c>
      <c r="Y2349" t="s">
        <v>15071</v>
      </c>
      <c r="Z2349" t="s">
        <v>15072</v>
      </c>
      <c r="AA2349" t="s">
        <v>15073</v>
      </c>
      <c r="AB2349" s="2" t="s">
        <v>15074</v>
      </c>
      <c r="AC2349" t="s">
        <v>103</v>
      </c>
      <c r="AD2349" t="s">
        <v>948</v>
      </c>
      <c r="AE2349" t="s">
        <v>15075</v>
      </c>
      <c r="AG2349" t="s">
        <v>15076</v>
      </c>
      <c r="AH2349" t="s">
        <v>2215</v>
      </c>
      <c r="AI2349" t="s">
        <v>15077</v>
      </c>
    </row>
    <row r="2350" spans="2:35" ht="360">
      <c r="B2350" s="1">
        <v>45681</v>
      </c>
      <c r="C2350" s="1">
        <v>45681</v>
      </c>
      <c r="D2350" t="s">
        <v>9342</v>
      </c>
      <c r="E2350" t="s">
        <v>9343</v>
      </c>
      <c r="F2350">
        <v>1</v>
      </c>
      <c r="G2350" t="s">
        <v>1046</v>
      </c>
      <c r="H2350" t="s">
        <v>39</v>
      </c>
      <c r="I2350" t="s">
        <v>40</v>
      </c>
      <c r="J2350" t="s">
        <v>109</v>
      </c>
      <c r="K2350" t="s">
        <v>42</v>
      </c>
      <c r="L2350" t="s">
        <v>135</v>
      </c>
      <c r="N2350" t="s">
        <v>136</v>
      </c>
      <c r="Q2350">
        <v>30196</v>
      </c>
      <c r="R2350" t="s">
        <v>119</v>
      </c>
      <c r="S2350" t="s">
        <v>9344</v>
      </c>
      <c r="T2350">
        <v>29</v>
      </c>
      <c r="U2350" s="2" t="s">
        <v>15078</v>
      </c>
      <c r="W2350" t="s">
        <v>138</v>
      </c>
      <c r="X2350">
        <v>838287</v>
      </c>
      <c r="Y2350" s="2" t="s">
        <v>15079</v>
      </c>
      <c r="Z2350" t="s">
        <v>4315</v>
      </c>
      <c r="AA2350" s="2" t="s">
        <v>4316</v>
      </c>
      <c r="AB2350" s="2" t="s">
        <v>15080</v>
      </c>
      <c r="AC2350" t="s">
        <v>15081</v>
      </c>
      <c r="AG2350" t="s">
        <v>15082</v>
      </c>
      <c r="AH2350" t="s">
        <v>9349</v>
      </c>
      <c r="AI2350" t="s">
        <v>15083</v>
      </c>
    </row>
    <row r="2351" spans="2:35" ht="409.5">
      <c r="B2351" s="1">
        <v>45681</v>
      </c>
      <c r="C2351" s="1">
        <v>45681</v>
      </c>
      <c r="D2351" t="s">
        <v>2620</v>
      </c>
      <c r="E2351" t="s">
        <v>15084</v>
      </c>
      <c r="F2351">
        <v>1</v>
      </c>
      <c r="G2351" t="s">
        <v>1046</v>
      </c>
      <c r="H2351" t="s">
        <v>39</v>
      </c>
      <c r="I2351" t="s">
        <v>40</v>
      </c>
      <c r="J2351" s="2" t="s">
        <v>62</v>
      </c>
      <c r="K2351" t="s">
        <v>42</v>
      </c>
      <c r="L2351" t="s">
        <v>135</v>
      </c>
      <c r="N2351" t="s">
        <v>136</v>
      </c>
      <c r="Q2351">
        <v>30195</v>
      </c>
      <c r="R2351" t="s">
        <v>967</v>
      </c>
      <c r="S2351" t="s">
        <v>2622</v>
      </c>
      <c r="T2351">
        <v>25</v>
      </c>
      <c r="U2351" s="2" t="s">
        <v>15085</v>
      </c>
      <c r="V2351" s="1">
        <v>45665</v>
      </c>
      <c r="W2351" t="s">
        <v>3335</v>
      </c>
      <c r="X2351">
        <v>110023501</v>
      </c>
      <c r="Y2351" t="s">
        <v>1751</v>
      </c>
      <c r="Z2351" s="2" t="s">
        <v>15086</v>
      </c>
      <c r="AA2351" s="2" t="s">
        <v>9290</v>
      </c>
      <c r="AB2351" t="s">
        <v>181</v>
      </c>
      <c r="AD2351" t="s">
        <v>11518</v>
      </c>
      <c r="AE2351">
        <v>12499</v>
      </c>
      <c r="AG2351" t="s">
        <v>15087</v>
      </c>
      <c r="AH2351" t="s">
        <v>2624</v>
      </c>
      <c r="AI2351" t="s">
        <v>15088</v>
      </c>
    </row>
    <row r="2352" spans="2:35" ht="409.5">
      <c r="B2352" s="1">
        <v>45681</v>
      </c>
      <c r="C2352" s="1">
        <v>45681</v>
      </c>
      <c r="D2352" t="s">
        <v>6682</v>
      </c>
      <c r="E2352" t="s">
        <v>5764</v>
      </c>
      <c r="F2352" t="s">
        <v>37</v>
      </c>
      <c r="G2352" t="s">
        <v>78</v>
      </c>
      <c r="H2352" t="s">
        <v>39</v>
      </c>
      <c r="I2352" t="s">
        <v>40</v>
      </c>
      <c r="J2352" t="s">
        <v>109</v>
      </c>
      <c r="K2352" t="s">
        <v>42</v>
      </c>
      <c r="L2352" t="s">
        <v>1943</v>
      </c>
      <c r="N2352" t="s">
        <v>1944</v>
      </c>
      <c r="Q2352">
        <v>30194</v>
      </c>
      <c r="R2352" t="s">
        <v>119</v>
      </c>
      <c r="S2352" t="s">
        <v>8239</v>
      </c>
      <c r="T2352">
        <v>25</v>
      </c>
      <c r="U2352" s="2" t="s">
        <v>15089</v>
      </c>
      <c r="W2352" t="s">
        <v>84</v>
      </c>
      <c r="X2352">
        <v>838225</v>
      </c>
      <c r="Y2352" t="s">
        <v>2099</v>
      </c>
      <c r="Z2352" t="s">
        <v>2100</v>
      </c>
      <c r="AA2352" s="2" t="s">
        <v>2101</v>
      </c>
      <c r="AB2352" t="s">
        <v>88</v>
      </c>
      <c r="AG2352" t="s">
        <v>15090</v>
      </c>
      <c r="AH2352" t="s">
        <v>15091</v>
      </c>
      <c r="AI2352" t="s">
        <v>15092</v>
      </c>
    </row>
    <row r="2353" spans="2:35" ht="409.5">
      <c r="B2353" s="1">
        <v>45681</v>
      </c>
      <c r="C2353" s="1">
        <v>45681</v>
      </c>
      <c r="D2353" t="s">
        <v>5105</v>
      </c>
      <c r="E2353" t="s">
        <v>15093</v>
      </c>
      <c r="F2353" t="s">
        <v>148</v>
      </c>
      <c r="G2353" t="s">
        <v>78</v>
      </c>
      <c r="H2353" t="s">
        <v>39</v>
      </c>
      <c r="I2353" t="s">
        <v>40</v>
      </c>
      <c r="J2353" s="2" t="s">
        <v>62</v>
      </c>
      <c r="K2353" t="s">
        <v>42</v>
      </c>
      <c r="L2353" t="s">
        <v>1943</v>
      </c>
      <c r="N2353" t="s">
        <v>1944</v>
      </c>
      <c r="O2353" t="s">
        <v>15094</v>
      </c>
      <c r="Q2353">
        <v>30193</v>
      </c>
      <c r="R2353" t="s">
        <v>967</v>
      </c>
      <c r="S2353" t="s">
        <v>5107</v>
      </c>
      <c r="T2353">
        <v>25</v>
      </c>
      <c r="V2353" s="1">
        <v>45665</v>
      </c>
      <c r="W2353" t="s">
        <v>373</v>
      </c>
      <c r="X2353">
        <v>110023497</v>
      </c>
      <c r="Y2353" s="2" t="s">
        <v>3044</v>
      </c>
      <c r="Z2353" t="s">
        <v>3045</v>
      </c>
      <c r="AA2353" s="2" t="s">
        <v>3046</v>
      </c>
      <c r="AB2353" t="s">
        <v>8352</v>
      </c>
      <c r="AD2353" t="s">
        <v>948</v>
      </c>
      <c r="AE2353" t="s">
        <v>15095</v>
      </c>
      <c r="AG2353" t="s">
        <v>15096</v>
      </c>
      <c r="AH2353" t="s">
        <v>15097</v>
      </c>
      <c r="AI2353" t="s">
        <v>15098</v>
      </c>
    </row>
    <row r="2354" spans="2:35" ht="150">
      <c r="B2354" s="1">
        <v>45681</v>
      </c>
      <c r="C2354" s="1">
        <v>45681</v>
      </c>
      <c r="D2354" t="s">
        <v>15099</v>
      </c>
      <c r="E2354" t="s">
        <v>4805</v>
      </c>
      <c r="F2354" t="s">
        <v>1181</v>
      </c>
      <c r="G2354" t="s">
        <v>1182</v>
      </c>
      <c r="H2354" t="s">
        <v>39</v>
      </c>
      <c r="I2354" t="s">
        <v>40</v>
      </c>
      <c r="J2354" s="2" t="s">
        <v>62</v>
      </c>
      <c r="K2354" t="s">
        <v>42</v>
      </c>
      <c r="L2354" t="s">
        <v>80</v>
      </c>
      <c r="N2354" t="s">
        <v>81</v>
      </c>
      <c r="Q2354">
        <v>30192</v>
      </c>
      <c r="R2354" t="s">
        <v>967</v>
      </c>
      <c r="S2354" t="s">
        <v>15100</v>
      </c>
      <c r="T2354">
        <v>27</v>
      </c>
      <c r="U2354" s="2" t="s">
        <v>15101</v>
      </c>
      <c r="V2354" s="1">
        <v>45665</v>
      </c>
      <c r="W2354" t="s">
        <v>84</v>
      </c>
      <c r="X2354">
        <v>110023509</v>
      </c>
      <c r="Y2354" t="s">
        <v>15102</v>
      </c>
      <c r="Z2354" t="s">
        <v>15103</v>
      </c>
      <c r="AA2354" t="s">
        <v>15104</v>
      </c>
      <c r="AB2354" s="2" t="s">
        <v>15105</v>
      </c>
      <c r="AC2354" t="s">
        <v>103</v>
      </c>
      <c r="AD2354" t="s">
        <v>15106</v>
      </c>
      <c r="AE2354" t="s">
        <v>15075</v>
      </c>
      <c r="AG2354" t="s">
        <v>15107</v>
      </c>
      <c r="AH2354" t="s">
        <v>4873</v>
      </c>
      <c r="AI2354" t="s">
        <v>15108</v>
      </c>
    </row>
    <row r="2355" spans="2:35">
      <c r="B2355" s="1">
        <v>45680</v>
      </c>
      <c r="C2355" s="1">
        <v>45680</v>
      </c>
      <c r="D2355" t="s">
        <v>2470</v>
      </c>
      <c r="E2355" t="s">
        <v>9436</v>
      </c>
      <c r="F2355" t="s">
        <v>148</v>
      </c>
      <c r="G2355" t="s">
        <v>230</v>
      </c>
      <c r="H2355" t="s">
        <v>513</v>
      </c>
      <c r="I2355" t="s">
        <v>40</v>
      </c>
      <c r="J2355" t="s">
        <v>79</v>
      </c>
      <c r="K2355" t="s">
        <v>387</v>
      </c>
      <c r="L2355" t="s">
        <v>175</v>
      </c>
      <c r="N2355" t="s">
        <v>176</v>
      </c>
      <c r="Q2355">
        <v>30191</v>
      </c>
      <c r="R2355" t="s">
        <v>322</v>
      </c>
      <c r="S2355" t="s">
        <v>4894</v>
      </c>
      <c r="T2355">
        <v>25</v>
      </c>
      <c r="V2355" s="1">
        <v>45679</v>
      </c>
      <c r="W2355" t="s">
        <v>390</v>
      </c>
      <c r="X2355" t="s">
        <v>2472</v>
      </c>
      <c r="Y2355" t="s">
        <v>15109</v>
      </c>
      <c r="Z2355" t="s">
        <v>14606</v>
      </c>
      <c r="AA2355" t="e">
        <f ca="1">- replaced rotor roller rubbers
- performed self test</f>
        <v>#NAME?</v>
      </c>
      <c r="AB2355" t="s">
        <v>181</v>
      </c>
      <c r="AG2355" t="s">
        <v>15110</v>
      </c>
      <c r="AH2355" t="s">
        <v>4898</v>
      </c>
      <c r="AI2355" t="s">
        <v>15111</v>
      </c>
    </row>
    <row r="2356" spans="2:35" ht="135">
      <c r="B2356" s="1">
        <v>45680</v>
      </c>
      <c r="C2356" s="1">
        <v>45680</v>
      </c>
      <c r="D2356" t="s">
        <v>15112</v>
      </c>
      <c r="E2356" t="s">
        <v>6982</v>
      </c>
      <c r="F2356">
        <v>7</v>
      </c>
      <c r="G2356" t="s">
        <v>432</v>
      </c>
      <c r="H2356" t="s">
        <v>39</v>
      </c>
      <c r="I2356" t="s">
        <v>40</v>
      </c>
      <c r="J2356" s="2" t="s">
        <v>220</v>
      </c>
      <c r="K2356" t="s">
        <v>387</v>
      </c>
      <c r="L2356" t="s">
        <v>433</v>
      </c>
      <c r="N2356" t="s">
        <v>434</v>
      </c>
      <c r="Q2356">
        <v>30190</v>
      </c>
      <c r="R2356" t="s">
        <v>95</v>
      </c>
      <c r="S2356" t="s">
        <v>6983</v>
      </c>
      <c r="T2356">
        <v>28</v>
      </c>
      <c r="W2356" t="s">
        <v>1008</v>
      </c>
      <c r="X2356" t="s">
        <v>6986</v>
      </c>
      <c r="Y2356" t="s">
        <v>15113</v>
      </c>
      <c r="Z2356" s="2" t="s">
        <v>15114</v>
      </c>
      <c r="AA2356" s="2" t="s">
        <v>15114</v>
      </c>
      <c r="AB2356" t="s">
        <v>1011</v>
      </c>
      <c r="AG2356" t="s">
        <v>15115</v>
      </c>
      <c r="AH2356" t="s">
        <v>15116</v>
      </c>
      <c r="AI2356" t="s">
        <v>15117</v>
      </c>
    </row>
    <row r="2357" spans="2:35">
      <c r="B2357" s="1">
        <v>45680</v>
      </c>
      <c r="C2357" s="1">
        <v>45680</v>
      </c>
      <c r="D2357" t="s">
        <v>2470</v>
      </c>
      <c r="E2357" t="s">
        <v>9436</v>
      </c>
      <c r="F2357" t="s">
        <v>148</v>
      </c>
      <c r="G2357" t="s">
        <v>230</v>
      </c>
      <c r="H2357" t="s">
        <v>513</v>
      </c>
      <c r="I2357" t="s">
        <v>40</v>
      </c>
      <c r="J2357" t="s">
        <v>525</v>
      </c>
      <c r="K2357" t="s">
        <v>387</v>
      </c>
      <c r="L2357" t="s">
        <v>175</v>
      </c>
      <c r="N2357" t="s">
        <v>176</v>
      </c>
      <c r="Q2357">
        <v>30189</v>
      </c>
      <c r="R2357" t="s">
        <v>322</v>
      </c>
      <c r="S2357" t="s">
        <v>4894</v>
      </c>
      <c r="T2357">
        <v>25</v>
      </c>
      <c r="W2357" t="s">
        <v>390</v>
      </c>
      <c r="X2357" t="s">
        <v>5622</v>
      </c>
      <c r="Y2357" t="s">
        <v>15118</v>
      </c>
      <c r="Z2357" t="s">
        <v>15119</v>
      </c>
      <c r="AA2357" t="e">
        <f ca="1">- checked centrifuge
- adjusted centrifuge bolts
- performed self test
- observed _xludf.if noise problem is prevailing</f>
        <v>#NAME?</v>
      </c>
      <c r="AB2357" t="s">
        <v>181</v>
      </c>
      <c r="AG2357" t="s">
        <v>15120</v>
      </c>
      <c r="AH2357" t="s">
        <v>4898</v>
      </c>
      <c r="AI2357" t="s">
        <v>15121</v>
      </c>
    </row>
    <row r="2358" spans="2:35" ht="120">
      <c r="B2358" s="1">
        <v>45680</v>
      </c>
      <c r="C2358" s="1">
        <v>45680</v>
      </c>
      <c r="D2358" t="s">
        <v>4849</v>
      </c>
      <c r="E2358" t="s">
        <v>4850</v>
      </c>
      <c r="F2358" t="s">
        <v>1255</v>
      </c>
      <c r="G2358" t="s">
        <v>4685</v>
      </c>
      <c r="H2358" t="s">
        <v>39</v>
      </c>
      <c r="I2358" t="s">
        <v>40</v>
      </c>
      <c r="J2358" s="2" t="s">
        <v>62</v>
      </c>
      <c r="K2358" t="s">
        <v>42</v>
      </c>
      <c r="L2358" t="s">
        <v>343</v>
      </c>
      <c r="N2358" t="s">
        <v>344</v>
      </c>
      <c r="Q2358">
        <v>30188</v>
      </c>
      <c r="R2358" t="s">
        <v>967</v>
      </c>
      <c r="S2358" t="s">
        <v>4851</v>
      </c>
      <c r="T2358">
        <v>27</v>
      </c>
      <c r="U2358" s="2" t="s">
        <v>15122</v>
      </c>
      <c r="V2358" s="1">
        <v>45665</v>
      </c>
      <c r="W2358" t="s">
        <v>2949</v>
      </c>
      <c r="X2358">
        <v>110023525</v>
      </c>
      <c r="Y2358" t="s">
        <v>15123</v>
      </c>
      <c r="Z2358" t="e">
        <f ca="1">-run XpertCheck on ALL four modules</f>
        <v>#NAME?</v>
      </c>
      <c r="AA2358" t="e">
        <f ca="1">-XpertCheck CALIBRATION
-Preventive Maintenance</f>
        <v>#NAME?</v>
      </c>
      <c r="AB2358" t="s">
        <v>15124</v>
      </c>
      <c r="AD2358" s="2" t="s">
        <v>15125</v>
      </c>
      <c r="AE2358" t="s">
        <v>15126</v>
      </c>
      <c r="AG2358" t="s">
        <v>15127</v>
      </c>
      <c r="AH2358" t="s">
        <v>4854</v>
      </c>
      <c r="AI2358" t="s">
        <v>15128</v>
      </c>
    </row>
    <row r="2359" spans="2:35" ht="150">
      <c r="B2359" s="1">
        <v>45680</v>
      </c>
      <c r="C2359" s="1">
        <v>45680</v>
      </c>
      <c r="D2359" t="s">
        <v>1855</v>
      </c>
      <c r="E2359" t="s">
        <v>5451</v>
      </c>
      <c r="F2359" t="s">
        <v>148</v>
      </c>
      <c r="G2359" t="s">
        <v>447</v>
      </c>
      <c r="H2359" t="s">
        <v>5452</v>
      </c>
      <c r="I2359" t="s">
        <v>40</v>
      </c>
      <c r="J2359" t="s">
        <v>79</v>
      </c>
      <c r="K2359" t="s">
        <v>408</v>
      </c>
      <c r="L2359" t="s">
        <v>448</v>
      </c>
      <c r="N2359" t="s">
        <v>450</v>
      </c>
      <c r="P2359" t="s">
        <v>1859</v>
      </c>
      <c r="Q2359">
        <v>30187</v>
      </c>
      <c r="R2359" t="s">
        <v>322</v>
      </c>
      <c r="S2359" t="s">
        <v>450</v>
      </c>
      <c r="T2359">
        <v>26</v>
      </c>
      <c r="W2359" t="s">
        <v>10003</v>
      </c>
      <c r="X2359" t="s">
        <v>15129</v>
      </c>
      <c r="Y2359" t="s">
        <v>13080</v>
      </c>
      <c r="Z2359" s="2" t="s">
        <v>15130</v>
      </c>
      <c r="AA2359" t="s">
        <v>914</v>
      </c>
      <c r="AB2359" t="s">
        <v>486</v>
      </c>
      <c r="AG2359" t="s">
        <v>15131</v>
      </c>
      <c r="AH2359" t="s">
        <v>5087</v>
      </c>
      <c r="AI2359" t="s">
        <v>15132</v>
      </c>
    </row>
    <row r="2360" spans="2:35" ht="135">
      <c r="B2360" s="1">
        <v>45680</v>
      </c>
      <c r="C2360" s="1">
        <v>45680</v>
      </c>
      <c r="D2360" t="s">
        <v>1855</v>
      </c>
      <c r="E2360" t="s">
        <v>5451</v>
      </c>
      <c r="F2360" t="s">
        <v>148</v>
      </c>
      <c r="G2360" t="s">
        <v>447</v>
      </c>
      <c r="H2360" t="s">
        <v>5452</v>
      </c>
      <c r="I2360" t="s">
        <v>40</v>
      </c>
      <c r="J2360" t="s">
        <v>525</v>
      </c>
      <c r="K2360" t="s">
        <v>408</v>
      </c>
      <c r="L2360" t="s">
        <v>448</v>
      </c>
      <c r="N2360" t="s">
        <v>450</v>
      </c>
      <c r="P2360" t="s">
        <v>1859</v>
      </c>
      <c r="Q2360">
        <v>30186</v>
      </c>
      <c r="R2360" t="s">
        <v>322</v>
      </c>
      <c r="S2360" t="s">
        <v>450</v>
      </c>
      <c r="T2360">
        <v>26</v>
      </c>
      <c r="W2360" t="s">
        <v>10003</v>
      </c>
      <c r="X2360" t="s">
        <v>15039</v>
      </c>
      <c r="Y2360" s="2" t="s">
        <v>15133</v>
      </c>
      <c r="Z2360" s="2" t="s">
        <v>15134</v>
      </c>
      <c r="AA2360" t="s">
        <v>4487</v>
      </c>
      <c r="AB2360" t="s">
        <v>13080</v>
      </c>
      <c r="AG2360" t="s">
        <v>15135</v>
      </c>
      <c r="AH2360" t="s">
        <v>5087</v>
      </c>
      <c r="AI2360" t="s">
        <v>15136</v>
      </c>
    </row>
    <row r="2361" spans="2:35" ht="135">
      <c r="B2361" s="1">
        <v>45680</v>
      </c>
      <c r="C2361" s="1">
        <v>45680</v>
      </c>
      <c r="D2361" t="s">
        <v>1855</v>
      </c>
      <c r="E2361" t="s">
        <v>5451</v>
      </c>
      <c r="F2361" t="s">
        <v>148</v>
      </c>
      <c r="G2361" t="s">
        <v>447</v>
      </c>
      <c r="H2361" t="s">
        <v>5452</v>
      </c>
      <c r="I2361" t="s">
        <v>40</v>
      </c>
      <c r="J2361" t="s">
        <v>525</v>
      </c>
      <c r="K2361" t="s">
        <v>408</v>
      </c>
      <c r="L2361" t="s">
        <v>448</v>
      </c>
      <c r="N2361" t="s">
        <v>450</v>
      </c>
      <c r="P2361" t="s">
        <v>1859</v>
      </c>
      <c r="Q2361">
        <v>30185</v>
      </c>
      <c r="R2361" t="s">
        <v>322</v>
      </c>
      <c r="S2361" t="s">
        <v>450</v>
      </c>
      <c r="T2361">
        <v>26</v>
      </c>
      <c r="W2361" t="s">
        <v>10003</v>
      </c>
      <c r="X2361" t="s">
        <v>15129</v>
      </c>
      <c r="Y2361" s="2" t="s">
        <v>15133</v>
      </c>
      <c r="Z2361" s="2" t="s">
        <v>15137</v>
      </c>
      <c r="AA2361" t="s">
        <v>15030</v>
      </c>
      <c r="AB2361" t="s">
        <v>13080</v>
      </c>
      <c r="AG2361" t="s">
        <v>15138</v>
      </c>
      <c r="AH2361" t="s">
        <v>5087</v>
      </c>
      <c r="AI2361" t="s">
        <v>15139</v>
      </c>
    </row>
    <row r="2362" spans="2:35" ht="165">
      <c r="B2362" s="1">
        <v>45680</v>
      </c>
      <c r="C2362" s="1">
        <v>45680</v>
      </c>
      <c r="D2362" t="s">
        <v>1855</v>
      </c>
      <c r="E2362" t="s">
        <v>5451</v>
      </c>
      <c r="F2362" t="s">
        <v>148</v>
      </c>
      <c r="G2362" t="s">
        <v>447</v>
      </c>
      <c r="H2362" t="s">
        <v>5452</v>
      </c>
      <c r="I2362" t="s">
        <v>40</v>
      </c>
      <c r="J2362" t="s">
        <v>525</v>
      </c>
      <c r="K2362" t="s">
        <v>408</v>
      </c>
      <c r="L2362" t="s">
        <v>448</v>
      </c>
      <c r="N2362" t="s">
        <v>450</v>
      </c>
      <c r="P2362" t="s">
        <v>1859</v>
      </c>
      <c r="Q2362">
        <v>30184</v>
      </c>
      <c r="R2362" t="s">
        <v>322</v>
      </c>
      <c r="S2362" t="s">
        <v>450</v>
      </c>
      <c r="T2362">
        <v>26</v>
      </c>
      <c r="W2362" t="s">
        <v>10003</v>
      </c>
      <c r="X2362" t="s">
        <v>15034</v>
      </c>
      <c r="Y2362" s="2" t="s">
        <v>15140</v>
      </c>
      <c r="Z2362" s="2" t="s">
        <v>15141</v>
      </c>
      <c r="AA2362" t="s">
        <v>4487</v>
      </c>
      <c r="AB2362" t="s">
        <v>15142</v>
      </c>
      <c r="AG2362" t="s">
        <v>15143</v>
      </c>
      <c r="AH2362" t="s">
        <v>5087</v>
      </c>
      <c r="AI2362" t="s">
        <v>15144</v>
      </c>
    </row>
    <row r="2363" spans="2:35" ht="409.5">
      <c r="B2363" s="1">
        <v>45680</v>
      </c>
      <c r="C2363" s="1">
        <v>45680</v>
      </c>
      <c r="D2363" t="s">
        <v>12198</v>
      </c>
      <c r="E2363" t="s">
        <v>15145</v>
      </c>
      <c r="F2363" t="s">
        <v>148</v>
      </c>
      <c r="G2363" t="s">
        <v>310</v>
      </c>
      <c r="H2363" t="s">
        <v>295</v>
      </c>
      <c r="I2363" t="s">
        <v>40</v>
      </c>
      <c r="J2363" s="2" t="s">
        <v>190</v>
      </c>
      <c r="K2363" t="s">
        <v>42</v>
      </c>
      <c r="L2363" t="s">
        <v>1943</v>
      </c>
      <c r="N2363" t="s">
        <v>1944</v>
      </c>
      <c r="Q2363">
        <v>30183</v>
      </c>
      <c r="R2363" t="s">
        <v>95</v>
      </c>
      <c r="S2363" t="s">
        <v>12200</v>
      </c>
      <c r="T2363">
        <v>25</v>
      </c>
      <c r="U2363" s="2" t="s">
        <v>15146</v>
      </c>
      <c r="W2363" t="s">
        <v>895</v>
      </c>
      <c r="X2363">
        <v>844975</v>
      </c>
      <c r="Y2363" s="2" t="s">
        <v>15147</v>
      </c>
      <c r="Z2363" t="s">
        <v>15148</v>
      </c>
      <c r="AA2363" s="2" t="s">
        <v>15149</v>
      </c>
      <c r="AB2363" t="s">
        <v>15150</v>
      </c>
      <c r="AG2363" t="s">
        <v>15151</v>
      </c>
      <c r="AH2363" t="s">
        <v>15152</v>
      </c>
      <c r="AI2363" t="s">
        <v>15153</v>
      </c>
    </row>
    <row r="2364" spans="2:35" ht="165">
      <c r="B2364" s="1">
        <v>45680</v>
      </c>
      <c r="C2364" s="1">
        <v>45680</v>
      </c>
      <c r="D2364" t="s">
        <v>15154</v>
      </c>
      <c r="E2364" t="s">
        <v>15155</v>
      </c>
      <c r="F2364">
        <v>5</v>
      </c>
      <c r="G2364" t="s">
        <v>827</v>
      </c>
      <c r="H2364" t="s">
        <v>39</v>
      </c>
      <c r="I2364" t="s">
        <v>94</v>
      </c>
      <c r="J2364" t="s">
        <v>109</v>
      </c>
      <c r="K2364" t="s">
        <v>42</v>
      </c>
      <c r="L2364" t="s">
        <v>761</v>
      </c>
      <c r="N2364" t="s">
        <v>762</v>
      </c>
      <c r="Q2364">
        <v>30182</v>
      </c>
      <c r="R2364" t="s">
        <v>119</v>
      </c>
      <c r="S2364" t="s">
        <v>15156</v>
      </c>
      <c r="T2364">
        <v>29</v>
      </c>
      <c r="U2364" s="2" t="s">
        <v>15157</v>
      </c>
      <c r="W2364" t="s">
        <v>765</v>
      </c>
      <c r="X2364">
        <v>838267</v>
      </c>
      <c r="Y2364" s="2" t="s">
        <v>15158</v>
      </c>
      <c r="Z2364" s="2" t="s">
        <v>15159</v>
      </c>
      <c r="AA2364" s="2" t="s">
        <v>15160</v>
      </c>
      <c r="AB2364" t="s">
        <v>70</v>
      </c>
      <c r="AG2364" t="s">
        <v>15161</v>
      </c>
      <c r="AH2364" t="s">
        <v>15162</v>
      </c>
      <c r="AI2364" t="s">
        <v>15163</v>
      </c>
    </row>
    <row r="2365" spans="2:35" ht="360">
      <c r="B2365" s="1">
        <v>45680</v>
      </c>
      <c r="C2365" s="1">
        <v>45680</v>
      </c>
      <c r="D2365" t="s">
        <v>8440</v>
      </c>
      <c r="E2365" t="s">
        <v>8441</v>
      </c>
      <c r="F2365">
        <v>3</v>
      </c>
      <c r="G2365" t="s">
        <v>134</v>
      </c>
      <c r="H2365" t="s">
        <v>932</v>
      </c>
      <c r="I2365" t="s">
        <v>40</v>
      </c>
      <c r="J2365" s="2" t="s">
        <v>190</v>
      </c>
      <c r="K2365" t="s">
        <v>42</v>
      </c>
      <c r="L2365" t="s">
        <v>135</v>
      </c>
      <c r="N2365" t="s">
        <v>136</v>
      </c>
      <c r="O2365" t="s">
        <v>9097</v>
      </c>
      <c r="Q2365">
        <v>30181</v>
      </c>
      <c r="R2365" t="s">
        <v>95</v>
      </c>
      <c r="S2365" t="s">
        <v>8442</v>
      </c>
      <c r="T2365">
        <v>24</v>
      </c>
      <c r="U2365" s="2" t="s">
        <v>15164</v>
      </c>
      <c r="W2365" t="s">
        <v>138</v>
      </c>
      <c r="X2365">
        <v>839235</v>
      </c>
      <c r="Y2365" s="2" t="s">
        <v>15165</v>
      </c>
      <c r="Z2365" s="2" t="s">
        <v>15166</v>
      </c>
      <c r="AA2365" s="2" t="s">
        <v>4316</v>
      </c>
      <c r="AB2365" s="2" t="s">
        <v>15167</v>
      </c>
      <c r="AC2365" t="s">
        <v>15168</v>
      </c>
      <c r="AG2365" t="s">
        <v>15169</v>
      </c>
      <c r="AH2365" t="s">
        <v>11472</v>
      </c>
      <c r="AI2365" t="s">
        <v>15170</v>
      </c>
    </row>
    <row r="2366" spans="2:35" ht="409.5">
      <c r="B2366" s="1">
        <v>45680</v>
      </c>
      <c r="C2366" s="1">
        <v>45680</v>
      </c>
      <c r="D2366" t="s">
        <v>15171</v>
      </c>
      <c r="E2366" t="s">
        <v>15172</v>
      </c>
      <c r="F2366" t="s">
        <v>148</v>
      </c>
      <c r="G2366" t="s">
        <v>310</v>
      </c>
      <c r="H2366" t="s">
        <v>39</v>
      </c>
      <c r="I2366" t="s">
        <v>40</v>
      </c>
      <c r="J2366" t="s">
        <v>109</v>
      </c>
      <c r="K2366" t="s">
        <v>42</v>
      </c>
      <c r="L2366" t="s">
        <v>1943</v>
      </c>
      <c r="N2366" t="s">
        <v>1944</v>
      </c>
      <c r="Q2366">
        <v>30180</v>
      </c>
      <c r="R2366" t="s">
        <v>95</v>
      </c>
      <c r="S2366" t="s">
        <v>12194</v>
      </c>
      <c r="T2366">
        <v>25</v>
      </c>
      <c r="U2366" s="2" t="s">
        <v>15173</v>
      </c>
      <c r="W2366" t="s">
        <v>5225</v>
      </c>
      <c r="X2366">
        <v>110014186</v>
      </c>
      <c r="Y2366" t="s">
        <v>2099</v>
      </c>
      <c r="Z2366" t="s">
        <v>2100</v>
      </c>
      <c r="AA2366" s="2" t="s">
        <v>2101</v>
      </c>
      <c r="AB2366" t="s">
        <v>88</v>
      </c>
      <c r="AG2366" t="s">
        <v>15174</v>
      </c>
      <c r="AH2366" t="s">
        <v>12191</v>
      </c>
      <c r="AI2366" t="s">
        <v>15175</v>
      </c>
    </row>
    <row r="2367" spans="2:35" ht="409.5">
      <c r="B2367" s="1">
        <v>45680</v>
      </c>
      <c r="C2367" s="1">
        <v>45680</v>
      </c>
      <c r="D2367" t="s">
        <v>5087</v>
      </c>
      <c r="E2367" t="s">
        <v>15176</v>
      </c>
      <c r="F2367" t="s">
        <v>148</v>
      </c>
      <c r="G2367" t="s">
        <v>447</v>
      </c>
      <c r="H2367" t="s">
        <v>15177</v>
      </c>
      <c r="I2367" t="s">
        <v>40</v>
      </c>
      <c r="J2367" s="2" t="s">
        <v>1444</v>
      </c>
      <c r="K2367" t="s">
        <v>387</v>
      </c>
      <c r="L2367" t="s">
        <v>448</v>
      </c>
      <c r="N2367" t="s">
        <v>450</v>
      </c>
      <c r="O2367" t="s">
        <v>650</v>
      </c>
      <c r="Q2367">
        <v>30179</v>
      </c>
      <c r="R2367" t="s">
        <v>322</v>
      </c>
      <c r="S2367" t="s">
        <v>650</v>
      </c>
      <c r="T2367">
        <v>28</v>
      </c>
      <c r="W2367" t="s">
        <v>476</v>
      </c>
      <c r="X2367" t="s">
        <v>6054</v>
      </c>
      <c r="Y2367" s="2" t="s">
        <v>15178</v>
      </c>
      <c r="Z2367" s="2" t="s">
        <v>15179</v>
      </c>
      <c r="AA2367" t="s">
        <v>15180</v>
      </c>
      <c r="AB2367" t="s">
        <v>15181</v>
      </c>
      <c r="AG2367" t="s">
        <v>15182</v>
      </c>
      <c r="AH2367" t="s">
        <v>5087</v>
      </c>
      <c r="AI2367" t="s">
        <v>15183</v>
      </c>
    </row>
    <row r="2368" spans="2:35" ht="409.5">
      <c r="B2368" s="1">
        <v>45680</v>
      </c>
      <c r="C2368" s="1">
        <v>45680</v>
      </c>
      <c r="D2368" t="s">
        <v>5087</v>
      </c>
      <c r="E2368" t="s">
        <v>15176</v>
      </c>
      <c r="F2368" t="s">
        <v>148</v>
      </c>
      <c r="G2368" t="s">
        <v>447</v>
      </c>
      <c r="H2368" t="s">
        <v>15177</v>
      </c>
      <c r="I2368" t="s">
        <v>40</v>
      </c>
      <c r="J2368" s="2" t="s">
        <v>1444</v>
      </c>
      <c r="K2368" t="s">
        <v>387</v>
      </c>
      <c r="L2368" t="s">
        <v>448</v>
      </c>
      <c r="N2368" t="s">
        <v>450</v>
      </c>
      <c r="O2368" t="s">
        <v>650</v>
      </c>
      <c r="Q2368">
        <v>30178</v>
      </c>
      <c r="R2368" t="s">
        <v>322</v>
      </c>
      <c r="S2368" t="s">
        <v>650</v>
      </c>
      <c r="T2368">
        <v>28</v>
      </c>
      <c r="W2368" t="s">
        <v>476</v>
      </c>
      <c r="X2368" t="s">
        <v>6054</v>
      </c>
      <c r="Y2368" s="2" t="s">
        <v>15178</v>
      </c>
      <c r="Z2368" s="2" t="s">
        <v>15179</v>
      </c>
      <c r="AA2368" t="s">
        <v>15180</v>
      </c>
      <c r="AB2368" t="s">
        <v>15181</v>
      </c>
      <c r="AG2368" t="s">
        <v>15184</v>
      </c>
      <c r="AH2368" t="s">
        <v>5087</v>
      </c>
      <c r="AI2368" t="s">
        <v>15185</v>
      </c>
    </row>
    <row r="2369" spans="2:35" ht="405">
      <c r="B2369" s="1">
        <v>45679</v>
      </c>
      <c r="C2369" s="1">
        <v>45679</v>
      </c>
      <c r="D2369" t="s">
        <v>5060</v>
      </c>
      <c r="E2369" t="s">
        <v>15186</v>
      </c>
      <c r="F2369">
        <v>3</v>
      </c>
      <c r="G2369" t="s">
        <v>284</v>
      </c>
      <c r="H2369" t="s">
        <v>9313</v>
      </c>
      <c r="I2369" t="s">
        <v>40</v>
      </c>
      <c r="J2369" t="s">
        <v>109</v>
      </c>
      <c r="K2369" t="s">
        <v>42</v>
      </c>
      <c r="L2369" t="s">
        <v>135</v>
      </c>
      <c r="N2369" t="s">
        <v>136</v>
      </c>
      <c r="Q2369">
        <v>30177</v>
      </c>
      <c r="R2369" t="s">
        <v>322</v>
      </c>
      <c r="S2369" t="s">
        <v>11281</v>
      </c>
      <c r="T2369">
        <v>24</v>
      </c>
      <c r="U2369" s="2" t="s">
        <v>15187</v>
      </c>
      <c r="W2369" t="s">
        <v>3335</v>
      </c>
      <c r="X2369">
        <v>110017894</v>
      </c>
      <c r="Y2369" t="s">
        <v>7229</v>
      </c>
      <c r="Z2369" t="s">
        <v>4315</v>
      </c>
      <c r="AA2369" s="2" t="s">
        <v>4316</v>
      </c>
      <c r="AB2369" t="s">
        <v>181</v>
      </c>
      <c r="AG2369" t="s">
        <v>15188</v>
      </c>
      <c r="AH2369" t="s">
        <v>15189</v>
      </c>
      <c r="AI2369" t="s">
        <v>15190</v>
      </c>
    </row>
    <row r="2370" spans="2:35" ht="360">
      <c r="B2370" s="1">
        <v>45679</v>
      </c>
      <c r="C2370" s="1">
        <v>45679</v>
      </c>
      <c r="D2370" t="s">
        <v>5060</v>
      </c>
      <c r="E2370" t="s">
        <v>15186</v>
      </c>
      <c r="F2370">
        <v>3</v>
      </c>
      <c r="G2370" t="s">
        <v>284</v>
      </c>
      <c r="H2370" t="s">
        <v>8015</v>
      </c>
      <c r="I2370" t="s">
        <v>40</v>
      </c>
      <c r="J2370" t="s">
        <v>109</v>
      </c>
      <c r="K2370" t="s">
        <v>42</v>
      </c>
      <c r="L2370" t="s">
        <v>135</v>
      </c>
      <c r="N2370" t="s">
        <v>136</v>
      </c>
      <c r="Q2370">
        <v>30176</v>
      </c>
      <c r="R2370" t="s">
        <v>322</v>
      </c>
      <c r="S2370" t="s">
        <v>11281</v>
      </c>
      <c r="T2370">
        <v>24</v>
      </c>
      <c r="U2370" s="2" t="s">
        <v>15191</v>
      </c>
      <c r="W2370" t="s">
        <v>138</v>
      </c>
      <c r="X2370">
        <v>829390</v>
      </c>
      <c r="Y2370" t="s">
        <v>7229</v>
      </c>
      <c r="Z2370" t="s">
        <v>4315</v>
      </c>
      <c r="AA2370" s="2" t="s">
        <v>4316</v>
      </c>
      <c r="AB2370" t="s">
        <v>181</v>
      </c>
      <c r="AG2370" t="s">
        <v>15192</v>
      </c>
      <c r="AH2370" t="s">
        <v>15193</v>
      </c>
      <c r="AI2370" t="s">
        <v>15194</v>
      </c>
    </row>
    <row r="2371" spans="2:35" ht="195">
      <c r="B2371" s="1">
        <v>45679</v>
      </c>
      <c r="C2371" s="1">
        <v>45679</v>
      </c>
      <c r="D2371" t="s">
        <v>7200</v>
      </c>
      <c r="E2371" t="s">
        <v>12226</v>
      </c>
      <c r="F2371">
        <v>12</v>
      </c>
      <c r="G2371" t="s">
        <v>978</v>
      </c>
      <c r="H2371" t="s">
        <v>1473</v>
      </c>
      <c r="I2371" t="s">
        <v>40</v>
      </c>
      <c r="J2371" t="s">
        <v>109</v>
      </c>
      <c r="K2371" t="s">
        <v>42</v>
      </c>
      <c r="L2371" t="s">
        <v>296</v>
      </c>
      <c r="N2371" t="s">
        <v>297</v>
      </c>
      <c r="Q2371">
        <v>30175</v>
      </c>
      <c r="R2371" t="s">
        <v>119</v>
      </c>
      <c r="S2371" t="s">
        <v>7202</v>
      </c>
      <c r="T2371">
        <v>26.7</v>
      </c>
      <c r="U2371" s="2" t="s">
        <v>15195</v>
      </c>
      <c r="W2371" t="s">
        <v>981</v>
      </c>
      <c r="X2371">
        <v>838504</v>
      </c>
      <c r="Y2371" t="s">
        <v>301</v>
      </c>
      <c r="Z2371" s="2" t="s">
        <v>14327</v>
      </c>
      <c r="AA2371" t="s">
        <v>15196</v>
      </c>
      <c r="AB2371" t="s">
        <v>972</v>
      </c>
      <c r="AG2371" t="s">
        <v>15197</v>
      </c>
      <c r="AH2371" t="s">
        <v>9170</v>
      </c>
      <c r="AI2371" t="s">
        <v>15198</v>
      </c>
    </row>
    <row r="2372" spans="2:35" ht="375">
      <c r="B2372" s="1">
        <v>45679</v>
      </c>
      <c r="C2372" s="1">
        <v>45678</v>
      </c>
      <c r="D2372" t="s">
        <v>9886</v>
      </c>
      <c r="E2372" t="s">
        <v>9887</v>
      </c>
      <c r="F2372">
        <v>12</v>
      </c>
      <c r="G2372" t="s">
        <v>5785</v>
      </c>
      <c r="H2372" t="s">
        <v>1473</v>
      </c>
      <c r="I2372" t="s">
        <v>40</v>
      </c>
      <c r="J2372" s="2" t="s">
        <v>41</v>
      </c>
      <c r="K2372" t="s">
        <v>42</v>
      </c>
      <c r="L2372" t="s">
        <v>296</v>
      </c>
      <c r="N2372" t="s">
        <v>297</v>
      </c>
      <c r="Q2372">
        <v>30174</v>
      </c>
      <c r="R2372" t="s">
        <v>119</v>
      </c>
      <c r="S2372" t="s">
        <v>9888</v>
      </c>
      <c r="T2372">
        <v>25.4</v>
      </c>
      <c r="U2372" s="2" t="s">
        <v>15199</v>
      </c>
      <c r="V2372" s="1">
        <v>45678</v>
      </c>
      <c r="W2372" t="s">
        <v>981</v>
      </c>
      <c r="X2372">
        <v>838419</v>
      </c>
      <c r="Y2372" t="s">
        <v>15200</v>
      </c>
      <c r="Z2372" s="2" t="s">
        <v>15201</v>
      </c>
      <c r="AA2372" s="2" t="s">
        <v>15202</v>
      </c>
      <c r="AB2372" t="s">
        <v>972</v>
      </c>
      <c r="AD2372" t="s">
        <v>15203</v>
      </c>
      <c r="AE2372" t="s">
        <v>15204</v>
      </c>
      <c r="AG2372" t="s">
        <v>15205</v>
      </c>
      <c r="AH2372" t="s">
        <v>9892</v>
      </c>
      <c r="AI2372" t="s">
        <v>15206</v>
      </c>
    </row>
    <row r="2373" spans="2:35" ht="105">
      <c r="B2373" s="1">
        <v>45679</v>
      </c>
      <c r="C2373" s="1">
        <v>45678</v>
      </c>
      <c r="D2373" t="s">
        <v>15207</v>
      </c>
      <c r="E2373" t="s">
        <v>15208</v>
      </c>
      <c r="F2373">
        <v>10</v>
      </c>
      <c r="G2373" t="s">
        <v>2392</v>
      </c>
      <c r="H2373" t="s">
        <v>608</v>
      </c>
      <c r="I2373" t="s">
        <v>40</v>
      </c>
      <c r="J2373" s="2" t="s">
        <v>1370</v>
      </c>
      <c r="K2373" t="s">
        <v>42</v>
      </c>
      <c r="L2373" t="s">
        <v>610</v>
      </c>
      <c r="N2373" t="s">
        <v>611</v>
      </c>
      <c r="Q2373">
        <v>30173</v>
      </c>
      <c r="R2373" t="s">
        <v>119</v>
      </c>
      <c r="S2373" t="s">
        <v>15209</v>
      </c>
      <c r="T2373">
        <v>24</v>
      </c>
      <c r="U2373" s="2" t="s">
        <v>9304</v>
      </c>
      <c r="W2373" t="s">
        <v>360</v>
      </c>
      <c r="X2373">
        <v>838293</v>
      </c>
      <c r="Y2373" t="s">
        <v>15210</v>
      </c>
      <c r="Z2373" t="s">
        <v>15211</v>
      </c>
      <c r="AA2373" t="s">
        <v>15212</v>
      </c>
      <c r="AB2373" t="s">
        <v>15213</v>
      </c>
      <c r="AG2373" t="s">
        <v>15214</v>
      </c>
      <c r="AH2373" t="s">
        <v>15215</v>
      </c>
      <c r="AI2373" t="s">
        <v>15216</v>
      </c>
    </row>
    <row r="2374" spans="2:35" ht="360">
      <c r="B2374" s="1">
        <v>45679</v>
      </c>
      <c r="C2374" s="1">
        <v>45677</v>
      </c>
      <c r="D2374" t="s">
        <v>15207</v>
      </c>
      <c r="E2374" t="s">
        <v>15208</v>
      </c>
      <c r="F2374">
        <v>10</v>
      </c>
      <c r="G2374" t="s">
        <v>2392</v>
      </c>
      <c r="H2374" t="s">
        <v>608</v>
      </c>
      <c r="I2374" t="s">
        <v>40</v>
      </c>
      <c r="J2374" t="s">
        <v>79</v>
      </c>
      <c r="K2374" t="s">
        <v>42</v>
      </c>
      <c r="L2374" t="s">
        <v>610</v>
      </c>
      <c r="N2374" t="s">
        <v>611</v>
      </c>
      <c r="Q2374">
        <v>30172</v>
      </c>
      <c r="R2374" t="s">
        <v>119</v>
      </c>
      <c r="S2374" t="s">
        <v>15209</v>
      </c>
      <c r="T2374">
        <v>24</v>
      </c>
      <c r="U2374" s="2" t="s">
        <v>13303</v>
      </c>
      <c r="W2374" t="s">
        <v>360</v>
      </c>
      <c r="X2374">
        <v>838260</v>
      </c>
      <c r="Y2374" t="s">
        <v>15217</v>
      </c>
      <c r="Z2374" s="2" t="s">
        <v>15218</v>
      </c>
      <c r="AA2374" s="2" t="s">
        <v>15218</v>
      </c>
      <c r="AB2374" s="2" t="s">
        <v>15219</v>
      </c>
      <c r="AG2374" t="s">
        <v>15220</v>
      </c>
      <c r="AH2374" t="s">
        <v>15215</v>
      </c>
      <c r="AI2374" t="s">
        <v>15221</v>
      </c>
    </row>
    <row r="2375" spans="2:35" ht="210">
      <c r="B2375" s="1">
        <v>45679</v>
      </c>
      <c r="C2375" s="1">
        <v>45670</v>
      </c>
      <c r="D2375" t="s">
        <v>1071</v>
      </c>
      <c r="E2375" t="s">
        <v>1072</v>
      </c>
      <c r="F2375">
        <v>7</v>
      </c>
      <c r="G2375" t="s">
        <v>432</v>
      </c>
      <c r="H2375" t="s">
        <v>6629</v>
      </c>
      <c r="I2375" t="s">
        <v>40</v>
      </c>
      <c r="J2375" s="2" t="s">
        <v>14104</v>
      </c>
      <c r="K2375" t="s">
        <v>387</v>
      </c>
      <c r="L2375" t="s">
        <v>610</v>
      </c>
      <c r="N2375" t="s">
        <v>611</v>
      </c>
      <c r="Q2375">
        <v>30171</v>
      </c>
      <c r="R2375" t="s">
        <v>95</v>
      </c>
      <c r="S2375" t="s">
        <v>1073</v>
      </c>
      <c r="T2375">
        <v>24</v>
      </c>
      <c r="W2375" t="s">
        <v>390</v>
      </c>
      <c r="X2375" t="s">
        <v>1074</v>
      </c>
      <c r="Y2375" t="s">
        <v>15222</v>
      </c>
      <c r="Z2375" s="2" t="s">
        <v>15223</v>
      </c>
      <c r="AA2375" s="2" t="s">
        <v>15223</v>
      </c>
      <c r="AB2375" t="s">
        <v>15224</v>
      </c>
      <c r="AG2375" t="s">
        <v>15225</v>
      </c>
      <c r="AH2375" t="s">
        <v>1079</v>
      </c>
      <c r="AI2375" t="s">
        <v>15226</v>
      </c>
    </row>
    <row r="2376" spans="2:35" ht="360">
      <c r="B2376" s="1">
        <v>45679</v>
      </c>
      <c r="C2376" s="1">
        <v>45679</v>
      </c>
      <c r="D2376" t="s">
        <v>5060</v>
      </c>
      <c r="E2376" t="s">
        <v>15186</v>
      </c>
      <c r="F2376">
        <v>3</v>
      </c>
      <c r="G2376" t="s">
        <v>284</v>
      </c>
      <c r="H2376" t="s">
        <v>2548</v>
      </c>
      <c r="I2376" t="s">
        <v>40</v>
      </c>
      <c r="J2376" t="s">
        <v>109</v>
      </c>
      <c r="K2376" t="s">
        <v>42</v>
      </c>
      <c r="L2376" t="s">
        <v>135</v>
      </c>
      <c r="N2376" t="s">
        <v>136</v>
      </c>
      <c r="O2376" t="s">
        <v>15227</v>
      </c>
      <c r="Q2376">
        <v>30170</v>
      </c>
      <c r="R2376" t="s">
        <v>322</v>
      </c>
      <c r="S2376" t="s">
        <v>15228</v>
      </c>
      <c r="T2376">
        <v>24</v>
      </c>
      <c r="U2376" s="2" t="s">
        <v>15229</v>
      </c>
      <c r="W2376" t="s">
        <v>3335</v>
      </c>
      <c r="X2376">
        <v>120003587</v>
      </c>
      <c r="Y2376" t="s">
        <v>7229</v>
      </c>
      <c r="Z2376" t="s">
        <v>4315</v>
      </c>
      <c r="AA2376" s="2" t="s">
        <v>4316</v>
      </c>
      <c r="AB2376" t="s">
        <v>181</v>
      </c>
      <c r="AG2376" t="s">
        <v>15230</v>
      </c>
      <c r="AH2376" t="s">
        <v>15231</v>
      </c>
      <c r="AI2376" t="s">
        <v>15232</v>
      </c>
    </row>
    <row r="2377" spans="2:35" ht="150">
      <c r="B2377" s="1">
        <v>45679</v>
      </c>
      <c r="C2377" s="1">
        <v>45679</v>
      </c>
      <c r="D2377" t="s">
        <v>4091</v>
      </c>
      <c r="E2377" t="s">
        <v>9894</v>
      </c>
      <c r="F2377">
        <v>5</v>
      </c>
      <c r="G2377" t="s">
        <v>827</v>
      </c>
      <c r="H2377" t="s">
        <v>39</v>
      </c>
      <c r="I2377" t="s">
        <v>94</v>
      </c>
      <c r="J2377" t="s">
        <v>109</v>
      </c>
      <c r="K2377" t="s">
        <v>42</v>
      </c>
      <c r="L2377" t="s">
        <v>761</v>
      </c>
      <c r="N2377" t="s">
        <v>762</v>
      </c>
      <c r="Q2377">
        <v>30169</v>
      </c>
      <c r="R2377" t="s">
        <v>119</v>
      </c>
      <c r="S2377" t="s">
        <v>15233</v>
      </c>
      <c r="T2377">
        <v>25</v>
      </c>
      <c r="U2377" s="2" t="s">
        <v>13523</v>
      </c>
      <c r="W2377" t="s">
        <v>765</v>
      </c>
      <c r="X2377">
        <v>838268</v>
      </c>
      <c r="Y2377" s="2" t="s">
        <v>15234</v>
      </c>
      <c r="Z2377" s="2" t="s">
        <v>15235</v>
      </c>
      <c r="AA2377" s="2" t="s">
        <v>15236</v>
      </c>
      <c r="AB2377" t="s">
        <v>181</v>
      </c>
      <c r="AG2377" t="s">
        <v>15237</v>
      </c>
      <c r="AH2377" t="s">
        <v>15238</v>
      </c>
      <c r="AI2377" t="s">
        <v>15239</v>
      </c>
    </row>
    <row r="2378" spans="2:35" ht="195">
      <c r="B2378" s="1">
        <v>45679</v>
      </c>
      <c r="C2378" s="1">
        <v>45679</v>
      </c>
      <c r="D2378" t="s">
        <v>12838</v>
      </c>
      <c r="E2378" t="s">
        <v>12839</v>
      </c>
      <c r="F2378">
        <v>6</v>
      </c>
      <c r="G2378" t="s">
        <v>1234</v>
      </c>
      <c r="H2378" t="s">
        <v>39</v>
      </c>
      <c r="I2378" t="s">
        <v>40</v>
      </c>
      <c r="J2378" t="s">
        <v>109</v>
      </c>
      <c r="K2378" t="s">
        <v>42</v>
      </c>
      <c r="L2378" t="s">
        <v>270</v>
      </c>
      <c r="N2378" t="s">
        <v>2481</v>
      </c>
      <c r="Q2378">
        <v>30168</v>
      </c>
      <c r="R2378" t="s">
        <v>119</v>
      </c>
      <c r="S2378" t="s">
        <v>12840</v>
      </c>
      <c r="T2378">
        <v>26</v>
      </c>
      <c r="U2378" s="2" t="s">
        <v>15240</v>
      </c>
      <c r="W2378" t="s">
        <v>360</v>
      </c>
      <c r="X2378">
        <v>838280</v>
      </c>
      <c r="Y2378" s="2" t="s">
        <v>15241</v>
      </c>
      <c r="Z2378" t="s">
        <v>449</v>
      </c>
      <c r="AA2378" t="s">
        <v>15242</v>
      </c>
      <c r="AB2378" t="s">
        <v>4668</v>
      </c>
      <c r="AC2378" t="s">
        <v>15243</v>
      </c>
      <c r="AG2378" t="s">
        <v>15244</v>
      </c>
      <c r="AH2378" t="s">
        <v>15245</v>
      </c>
      <c r="AI2378" t="s">
        <v>15246</v>
      </c>
    </row>
    <row r="2379" spans="2:35" ht="105">
      <c r="B2379" s="1">
        <v>45679</v>
      </c>
      <c r="C2379" s="1">
        <v>45679</v>
      </c>
      <c r="D2379" t="s">
        <v>14893</v>
      </c>
      <c r="E2379" t="s">
        <v>15247</v>
      </c>
      <c r="F2379">
        <v>10</v>
      </c>
      <c r="G2379" t="s">
        <v>1395</v>
      </c>
      <c r="H2379" t="s">
        <v>15248</v>
      </c>
      <c r="I2379" t="s">
        <v>40</v>
      </c>
      <c r="J2379" t="s">
        <v>525</v>
      </c>
      <c r="K2379" t="s">
        <v>387</v>
      </c>
      <c r="L2379" t="s">
        <v>933</v>
      </c>
      <c r="N2379" t="s">
        <v>934</v>
      </c>
      <c r="Q2379">
        <v>30167</v>
      </c>
      <c r="R2379" t="s">
        <v>95</v>
      </c>
      <c r="S2379" t="s">
        <v>11491</v>
      </c>
      <c r="T2379">
        <v>27</v>
      </c>
      <c r="W2379" t="s">
        <v>10184</v>
      </c>
      <c r="X2379" t="s">
        <v>4573</v>
      </c>
      <c r="Y2379" t="s">
        <v>15249</v>
      </c>
      <c r="Z2379" t="s">
        <v>10612</v>
      </c>
      <c r="AA2379" s="2" t="s">
        <v>15250</v>
      </c>
      <c r="AB2379" t="s">
        <v>15251</v>
      </c>
      <c r="AC2379" t="s">
        <v>15252</v>
      </c>
      <c r="AG2379" t="s">
        <v>15253</v>
      </c>
      <c r="AH2379" t="s">
        <v>11496</v>
      </c>
      <c r="AI2379" t="s">
        <v>15254</v>
      </c>
    </row>
    <row r="2380" spans="2:35" ht="409.5">
      <c r="B2380" s="1">
        <v>45679</v>
      </c>
      <c r="C2380" s="1">
        <v>45679</v>
      </c>
      <c r="D2380" t="s">
        <v>7449</v>
      </c>
      <c r="E2380" t="s">
        <v>13153</v>
      </c>
      <c r="F2380" t="s">
        <v>148</v>
      </c>
      <c r="G2380" t="s">
        <v>447</v>
      </c>
      <c r="H2380" t="s">
        <v>39</v>
      </c>
      <c r="I2380" t="s">
        <v>40</v>
      </c>
      <c r="J2380" t="s">
        <v>109</v>
      </c>
      <c r="K2380" t="s">
        <v>42</v>
      </c>
      <c r="L2380" t="s">
        <v>1943</v>
      </c>
      <c r="N2380" t="s">
        <v>1944</v>
      </c>
      <c r="Q2380">
        <v>30166</v>
      </c>
      <c r="R2380" t="s">
        <v>703</v>
      </c>
      <c r="S2380" t="s">
        <v>3698</v>
      </c>
      <c r="T2380">
        <v>25</v>
      </c>
      <c r="U2380" s="2" t="s">
        <v>15255</v>
      </c>
      <c r="W2380" t="s">
        <v>84</v>
      </c>
      <c r="X2380">
        <v>835602</v>
      </c>
      <c r="Y2380" t="s">
        <v>2099</v>
      </c>
      <c r="Z2380" t="s">
        <v>2100</v>
      </c>
      <c r="AA2380" s="2" t="s">
        <v>2101</v>
      </c>
      <c r="AB2380" t="s">
        <v>88</v>
      </c>
      <c r="AG2380" t="s">
        <v>15256</v>
      </c>
      <c r="AH2380" t="s">
        <v>3700</v>
      </c>
      <c r="AI2380" t="s">
        <v>15257</v>
      </c>
    </row>
    <row r="2381" spans="2:35" ht="409.5">
      <c r="B2381" s="1">
        <v>45679</v>
      </c>
      <c r="C2381" s="1">
        <v>45679</v>
      </c>
      <c r="D2381" t="s">
        <v>7449</v>
      </c>
      <c r="E2381" t="s">
        <v>13153</v>
      </c>
      <c r="F2381" t="s">
        <v>148</v>
      </c>
      <c r="G2381" t="s">
        <v>447</v>
      </c>
      <c r="H2381" t="s">
        <v>39</v>
      </c>
      <c r="I2381" t="s">
        <v>40</v>
      </c>
      <c r="J2381" t="s">
        <v>109</v>
      </c>
      <c r="K2381" t="s">
        <v>42</v>
      </c>
      <c r="L2381" t="s">
        <v>1943</v>
      </c>
      <c r="N2381" t="s">
        <v>1944</v>
      </c>
      <c r="Q2381">
        <v>30165</v>
      </c>
      <c r="R2381" t="s">
        <v>703</v>
      </c>
      <c r="S2381" t="s">
        <v>3698</v>
      </c>
      <c r="T2381">
        <v>25</v>
      </c>
      <c r="U2381" s="2" t="s">
        <v>15258</v>
      </c>
      <c r="W2381" t="s">
        <v>84</v>
      </c>
      <c r="X2381">
        <v>835601</v>
      </c>
      <c r="Y2381" t="s">
        <v>2099</v>
      </c>
      <c r="Z2381" t="s">
        <v>2100</v>
      </c>
      <c r="AA2381" s="2" t="s">
        <v>2101</v>
      </c>
      <c r="AB2381" t="s">
        <v>88</v>
      </c>
      <c r="AG2381" t="s">
        <v>15259</v>
      </c>
      <c r="AH2381" t="s">
        <v>3700</v>
      </c>
      <c r="AI2381" t="s">
        <v>15260</v>
      </c>
    </row>
    <row r="2382" spans="2:35" ht="180">
      <c r="B2382" s="1">
        <v>45679</v>
      </c>
      <c r="C2382" s="1">
        <v>45679</v>
      </c>
      <c r="D2382" t="s">
        <v>12436</v>
      </c>
      <c r="E2382" t="s">
        <v>15261</v>
      </c>
      <c r="F2382">
        <v>9</v>
      </c>
      <c r="G2382" t="s">
        <v>2903</v>
      </c>
      <c r="H2382" t="s">
        <v>39</v>
      </c>
      <c r="I2382" t="s">
        <v>40</v>
      </c>
      <c r="J2382" s="2" t="s">
        <v>15054</v>
      </c>
      <c r="K2382" t="s">
        <v>42</v>
      </c>
      <c r="L2382" t="s">
        <v>1257</v>
      </c>
      <c r="N2382" t="s">
        <v>1258</v>
      </c>
      <c r="O2382" t="s">
        <v>1258</v>
      </c>
      <c r="Q2382">
        <v>30164</v>
      </c>
      <c r="R2382" t="s">
        <v>967</v>
      </c>
      <c r="S2382" t="s">
        <v>12438</v>
      </c>
      <c r="T2382">
        <v>28</v>
      </c>
      <c r="U2382" s="2" t="s">
        <v>15262</v>
      </c>
      <c r="V2382" s="1">
        <v>45665</v>
      </c>
      <c r="W2382" t="s">
        <v>2384</v>
      </c>
      <c r="X2382">
        <v>110023516</v>
      </c>
      <c r="Y2382" t="s">
        <v>301</v>
      </c>
      <c r="Z2382" t="s">
        <v>15263</v>
      </c>
      <c r="AA2382" t="s">
        <v>15263</v>
      </c>
      <c r="AB2382" t="s">
        <v>15264</v>
      </c>
      <c r="AC2382" t="s">
        <v>301</v>
      </c>
      <c r="AD2382" t="s">
        <v>5255</v>
      </c>
      <c r="AE2382">
        <v>12486</v>
      </c>
      <c r="AG2382" t="s">
        <v>15265</v>
      </c>
      <c r="AH2382" t="s">
        <v>15266</v>
      </c>
      <c r="AI2382" t="s">
        <v>15267</v>
      </c>
    </row>
    <row r="2383" spans="2:35" ht="105">
      <c r="B2383" s="1">
        <v>45679</v>
      </c>
      <c r="C2383" s="1">
        <v>45666</v>
      </c>
      <c r="D2383" t="s">
        <v>3738</v>
      </c>
      <c r="E2383" t="s">
        <v>3739</v>
      </c>
      <c r="F2383">
        <v>1</v>
      </c>
      <c r="G2383" t="s">
        <v>1046</v>
      </c>
      <c r="H2383" t="s">
        <v>39</v>
      </c>
      <c r="I2383" t="s">
        <v>40</v>
      </c>
      <c r="J2383" t="s">
        <v>109</v>
      </c>
      <c r="K2383" t="s">
        <v>42</v>
      </c>
      <c r="L2383" t="s">
        <v>1048</v>
      </c>
      <c r="N2383" t="s">
        <v>1049</v>
      </c>
      <c r="Q2383">
        <v>30163</v>
      </c>
      <c r="R2383" t="s">
        <v>119</v>
      </c>
      <c r="S2383" t="s">
        <v>3740</v>
      </c>
      <c r="T2383">
        <v>28</v>
      </c>
      <c r="U2383" s="2" t="s">
        <v>12671</v>
      </c>
      <c r="W2383" t="s">
        <v>1051</v>
      </c>
      <c r="X2383">
        <v>838438</v>
      </c>
      <c r="Y2383" t="s">
        <v>1052</v>
      </c>
      <c r="Z2383" t="e">
        <f ca="1">- cleaned cartridge Bays, plunger Rods _xludf.and I-CORE
- generated reports</f>
        <v>#NAME?</v>
      </c>
      <c r="AA2383" t="s">
        <v>820</v>
      </c>
      <c r="AB2383" t="s">
        <v>1428</v>
      </c>
      <c r="AG2383" t="s">
        <v>15268</v>
      </c>
      <c r="AH2383" t="s">
        <v>3742</v>
      </c>
      <c r="AI2383" t="s">
        <v>15269</v>
      </c>
    </row>
    <row r="2384" spans="2:35" ht="330">
      <c r="B2384" s="1">
        <v>45679</v>
      </c>
      <c r="C2384" s="1">
        <v>45666</v>
      </c>
      <c r="D2384" t="s">
        <v>1057</v>
      </c>
      <c r="E2384" t="s">
        <v>1058</v>
      </c>
      <c r="F2384">
        <v>1</v>
      </c>
      <c r="G2384" t="s">
        <v>1046</v>
      </c>
      <c r="H2384" t="s">
        <v>39</v>
      </c>
      <c r="I2384" t="s">
        <v>40</v>
      </c>
      <c r="J2384" t="s">
        <v>109</v>
      </c>
      <c r="K2384" t="s">
        <v>42</v>
      </c>
      <c r="L2384" t="s">
        <v>1048</v>
      </c>
      <c r="N2384" t="s">
        <v>1049</v>
      </c>
      <c r="Q2384">
        <v>30162</v>
      </c>
      <c r="R2384" t="s">
        <v>95</v>
      </c>
      <c r="S2384" t="s">
        <v>1059</v>
      </c>
      <c r="T2384">
        <v>29</v>
      </c>
      <c r="U2384" s="2" t="s">
        <v>15270</v>
      </c>
      <c r="W2384" t="s">
        <v>1060</v>
      </c>
      <c r="X2384">
        <v>820303</v>
      </c>
      <c r="Y2384" t="s">
        <v>1052</v>
      </c>
      <c r="Z2384" t="e">
        <f ca="1">- cleaned cartridge Bays, plunger Rods _xludf.and I-CORE
- generated reports</f>
        <v>#NAME?</v>
      </c>
      <c r="AA2384" t="s">
        <v>820</v>
      </c>
      <c r="AB2384" t="e">
        <f ca="1">- Unit is Partially operational</f>
        <v>#NAME?</v>
      </c>
      <c r="AG2384" t="s">
        <v>15271</v>
      </c>
      <c r="AH2384" t="s">
        <v>3393</v>
      </c>
      <c r="AI2384" t="s">
        <v>15272</v>
      </c>
    </row>
    <row r="2385" spans="2:35" ht="180">
      <c r="B2385" s="1">
        <v>45679</v>
      </c>
      <c r="C2385" s="1">
        <v>45679</v>
      </c>
      <c r="D2385" t="s">
        <v>15273</v>
      </c>
      <c r="E2385" t="s">
        <v>15274</v>
      </c>
      <c r="F2385">
        <v>10</v>
      </c>
      <c r="G2385" t="s">
        <v>1395</v>
      </c>
      <c r="H2385" t="s">
        <v>2125</v>
      </c>
      <c r="I2385" t="s">
        <v>40</v>
      </c>
      <c r="J2385" s="2" t="s">
        <v>41</v>
      </c>
      <c r="K2385" t="s">
        <v>42</v>
      </c>
      <c r="L2385" t="s">
        <v>933</v>
      </c>
      <c r="N2385" t="s">
        <v>934</v>
      </c>
      <c r="Q2385">
        <v>30161</v>
      </c>
      <c r="R2385" t="s">
        <v>119</v>
      </c>
      <c r="S2385" t="s">
        <v>10835</v>
      </c>
      <c r="T2385">
        <v>24</v>
      </c>
      <c r="V2385" s="1">
        <v>45665</v>
      </c>
      <c r="W2385" t="s">
        <v>10604</v>
      </c>
      <c r="X2385">
        <v>838435</v>
      </c>
      <c r="Y2385" t="s">
        <v>15275</v>
      </c>
      <c r="Z2385" t="s">
        <v>15276</v>
      </c>
      <c r="AA2385" s="2" t="s">
        <v>15277</v>
      </c>
      <c r="AB2385" t="s">
        <v>2131</v>
      </c>
      <c r="AD2385" t="s">
        <v>10128</v>
      </c>
      <c r="AE2385">
        <v>12543</v>
      </c>
      <c r="AG2385" t="s">
        <v>15278</v>
      </c>
      <c r="AH2385" t="s">
        <v>15279</v>
      </c>
      <c r="AI2385" t="s">
        <v>15280</v>
      </c>
    </row>
    <row r="2386" spans="2:35" ht="105">
      <c r="B2386" s="1">
        <v>45679</v>
      </c>
      <c r="C2386" s="1">
        <v>45679</v>
      </c>
      <c r="D2386" t="s">
        <v>340</v>
      </c>
      <c r="E2386" t="s">
        <v>8872</v>
      </c>
      <c r="F2386">
        <v>8</v>
      </c>
      <c r="G2386" t="s">
        <v>342</v>
      </c>
      <c r="H2386" t="s">
        <v>258</v>
      </c>
      <c r="I2386" t="s">
        <v>40</v>
      </c>
      <c r="J2386" t="s">
        <v>109</v>
      </c>
      <c r="K2386" t="s">
        <v>42</v>
      </c>
      <c r="L2386" t="s">
        <v>259</v>
      </c>
      <c r="N2386" t="s">
        <v>260</v>
      </c>
      <c r="Q2386">
        <v>30160</v>
      </c>
      <c r="R2386" t="s">
        <v>119</v>
      </c>
      <c r="S2386" t="s">
        <v>345</v>
      </c>
      <c r="T2386">
        <v>23</v>
      </c>
      <c r="U2386" s="2" t="s">
        <v>15281</v>
      </c>
      <c r="V2386" s="1">
        <v>45679</v>
      </c>
      <c r="W2386" t="s">
        <v>84</v>
      </c>
      <c r="X2386">
        <v>838555</v>
      </c>
      <c r="Y2386" t="s">
        <v>263</v>
      </c>
      <c r="Z2386" t="s">
        <v>1716</v>
      </c>
      <c r="AA2386" t="e">
        <f ca="1">- performed Preventive Maintenance (cleaned cartridge bay, plunger rod _xludf.and FAN _xludf.filter)
- Generate report</f>
        <v>#NAME?</v>
      </c>
      <c r="AB2386" t="s">
        <v>7675</v>
      </c>
      <c r="AG2386" t="s">
        <v>15282</v>
      </c>
      <c r="AH2386" t="s">
        <v>8455</v>
      </c>
      <c r="AI2386" t="s">
        <v>15283</v>
      </c>
    </row>
    <row r="2387" spans="2:35" ht="180">
      <c r="B2387" s="1">
        <v>45679</v>
      </c>
      <c r="C2387" s="1">
        <v>45679</v>
      </c>
      <c r="D2387" t="s">
        <v>9995</v>
      </c>
      <c r="E2387" t="s">
        <v>15284</v>
      </c>
      <c r="F2387">
        <v>10</v>
      </c>
      <c r="G2387" t="s">
        <v>1395</v>
      </c>
      <c r="H2387" t="s">
        <v>2125</v>
      </c>
      <c r="I2387" t="s">
        <v>40</v>
      </c>
      <c r="J2387" s="2" t="s">
        <v>41</v>
      </c>
      <c r="K2387" t="s">
        <v>42</v>
      </c>
      <c r="L2387" t="s">
        <v>933</v>
      </c>
      <c r="N2387" t="s">
        <v>934</v>
      </c>
      <c r="Q2387">
        <v>30159</v>
      </c>
      <c r="R2387" t="s">
        <v>119</v>
      </c>
      <c r="S2387" t="s">
        <v>15285</v>
      </c>
      <c r="T2387">
        <v>26</v>
      </c>
      <c r="V2387" s="1">
        <v>45665</v>
      </c>
      <c r="W2387" t="s">
        <v>10604</v>
      </c>
      <c r="X2387">
        <v>838442</v>
      </c>
      <c r="Y2387" t="s">
        <v>15286</v>
      </c>
      <c r="Z2387" t="s">
        <v>15287</v>
      </c>
      <c r="AA2387" s="2" t="s">
        <v>15288</v>
      </c>
      <c r="AB2387" t="s">
        <v>11261</v>
      </c>
      <c r="AD2387" t="s">
        <v>10128</v>
      </c>
      <c r="AE2387">
        <v>12545</v>
      </c>
      <c r="AG2387" t="s">
        <v>15289</v>
      </c>
      <c r="AH2387" t="s">
        <v>15290</v>
      </c>
      <c r="AI2387" t="s">
        <v>15291</v>
      </c>
    </row>
    <row r="2388" spans="2:35" ht="405">
      <c r="B2388" s="1">
        <v>45679</v>
      </c>
      <c r="C2388" s="1">
        <v>45679</v>
      </c>
      <c r="D2388" t="s">
        <v>4471</v>
      </c>
      <c r="E2388" t="s">
        <v>15292</v>
      </c>
      <c r="F2388">
        <v>5</v>
      </c>
      <c r="G2388" t="s">
        <v>827</v>
      </c>
      <c r="H2388" t="s">
        <v>39</v>
      </c>
      <c r="I2388" t="s">
        <v>40</v>
      </c>
      <c r="J2388" s="2" t="s">
        <v>62</v>
      </c>
      <c r="K2388" t="s">
        <v>42</v>
      </c>
      <c r="L2388" t="s">
        <v>761</v>
      </c>
      <c r="N2388" t="s">
        <v>762</v>
      </c>
      <c r="Q2388">
        <v>30158</v>
      </c>
      <c r="R2388" t="s">
        <v>967</v>
      </c>
      <c r="S2388" t="s">
        <v>15293</v>
      </c>
      <c r="T2388">
        <v>27</v>
      </c>
      <c r="U2388" s="2" t="s">
        <v>15294</v>
      </c>
      <c r="W2388" t="s">
        <v>817</v>
      </c>
      <c r="X2388">
        <v>110023512</v>
      </c>
      <c r="Y2388" t="s">
        <v>5500</v>
      </c>
      <c r="Z2388" s="2" t="s">
        <v>15295</v>
      </c>
      <c r="AA2388" s="2" t="s">
        <v>4477</v>
      </c>
      <c r="AB2388" t="s">
        <v>181</v>
      </c>
      <c r="AG2388" t="s">
        <v>15296</v>
      </c>
      <c r="AH2388" t="s">
        <v>15297</v>
      </c>
      <c r="AI2388" t="s">
        <v>15298</v>
      </c>
    </row>
    <row r="2389" spans="2:35">
      <c r="B2389" s="1">
        <v>45678</v>
      </c>
      <c r="C2389" s="1">
        <v>45678</v>
      </c>
      <c r="D2389" t="s">
        <v>11880</v>
      </c>
      <c r="E2389" t="s">
        <v>11881</v>
      </c>
      <c r="F2389">
        <v>6</v>
      </c>
      <c r="G2389" t="s">
        <v>1234</v>
      </c>
      <c r="H2389" t="s">
        <v>39</v>
      </c>
      <c r="I2389" t="s">
        <v>40</v>
      </c>
      <c r="J2389" t="s">
        <v>109</v>
      </c>
      <c r="K2389" t="s">
        <v>42</v>
      </c>
      <c r="L2389" t="s">
        <v>270</v>
      </c>
      <c r="N2389" t="s">
        <v>15299</v>
      </c>
      <c r="Q2389">
        <v>30157</v>
      </c>
      <c r="R2389" t="s">
        <v>119</v>
      </c>
      <c r="S2389" t="s">
        <v>11882</v>
      </c>
      <c r="T2389">
        <v>26</v>
      </c>
      <c r="W2389" t="s">
        <v>360</v>
      </c>
      <c r="X2389">
        <v>838477</v>
      </c>
      <c r="Y2389" t="s">
        <v>7235</v>
      </c>
      <c r="Z2389" t="s">
        <v>449</v>
      </c>
      <c r="AA2389" t="s">
        <v>15300</v>
      </c>
      <c r="AB2389" t="s">
        <v>4668</v>
      </c>
      <c r="AG2389" t="s">
        <v>15301</v>
      </c>
      <c r="AH2389" t="s">
        <v>11886</v>
      </c>
      <c r="AI2389" t="s">
        <v>15302</v>
      </c>
    </row>
    <row r="2390" spans="2:35" ht="285">
      <c r="B2390" s="1">
        <v>45678</v>
      </c>
      <c r="C2390" s="1">
        <v>45678</v>
      </c>
      <c r="D2390" t="s">
        <v>1071</v>
      </c>
      <c r="E2390" t="s">
        <v>1555</v>
      </c>
      <c r="F2390">
        <v>7</v>
      </c>
      <c r="G2390" t="s">
        <v>432</v>
      </c>
      <c r="H2390" t="s">
        <v>150</v>
      </c>
      <c r="I2390" t="s">
        <v>40</v>
      </c>
      <c r="J2390" t="s">
        <v>109</v>
      </c>
      <c r="K2390" t="s">
        <v>42</v>
      </c>
      <c r="L2390" t="s">
        <v>343</v>
      </c>
      <c r="N2390" t="s">
        <v>344</v>
      </c>
      <c r="Q2390">
        <v>30156</v>
      </c>
      <c r="R2390" t="s">
        <v>119</v>
      </c>
      <c r="S2390" t="s">
        <v>8679</v>
      </c>
      <c r="T2390">
        <v>29</v>
      </c>
      <c r="U2390" s="2" t="s">
        <v>15303</v>
      </c>
      <c r="W2390" t="s">
        <v>1501</v>
      </c>
      <c r="X2390">
        <v>838285</v>
      </c>
      <c r="Y2390" t="s">
        <v>8412</v>
      </c>
      <c r="Z2390" s="2" t="s">
        <v>15304</v>
      </c>
      <c r="AA2390" t="e">
        <f ca="1">-Preventive Maintenance</f>
        <v>#NAME?</v>
      </c>
      <c r="AB2390" t="s">
        <v>348</v>
      </c>
      <c r="AG2390" t="s">
        <v>15305</v>
      </c>
      <c r="AH2390" t="s">
        <v>4411</v>
      </c>
      <c r="AI2390" t="s">
        <v>15306</v>
      </c>
    </row>
    <row r="2391" spans="2:35" ht="180">
      <c r="B2391" s="1">
        <v>45678</v>
      </c>
      <c r="C2391" s="1">
        <v>45678</v>
      </c>
      <c r="D2391" t="s">
        <v>12557</v>
      </c>
      <c r="E2391" t="s">
        <v>6446</v>
      </c>
      <c r="F2391">
        <v>10</v>
      </c>
      <c r="G2391" t="s">
        <v>5571</v>
      </c>
      <c r="H2391" t="s">
        <v>39</v>
      </c>
      <c r="I2391" t="s">
        <v>40</v>
      </c>
      <c r="J2391" s="2" t="s">
        <v>15054</v>
      </c>
      <c r="K2391" t="s">
        <v>42</v>
      </c>
      <c r="L2391" t="s">
        <v>1257</v>
      </c>
      <c r="N2391" t="s">
        <v>1258</v>
      </c>
      <c r="O2391" t="s">
        <v>1258</v>
      </c>
      <c r="Q2391">
        <v>30155</v>
      </c>
      <c r="R2391" t="s">
        <v>967</v>
      </c>
      <c r="S2391" t="s">
        <v>5572</v>
      </c>
      <c r="T2391">
        <v>25</v>
      </c>
      <c r="U2391" s="2" t="s">
        <v>15307</v>
      </c>
      <c r="V2391" s="1">
        <v>45665</v>
      </c>
      <c r="W2391" t="s">
        <v>2384</v>
      </c>
      <c r="X2391">
        <v>110023518</v>
      </c>
      <c r="Y2391" t="s">
        <v>301</v>
      </c>
      <c r="Z2391" t="s">
        <v>15308</v>
      </c>
      <c r="AA2391" t="s">
        <v>15308</v>
      </c>
      <c r="AB2391" t="s">
        <v>15309</v>
      </c>
      <c r="AC2391" t="s">
        <v>15310</v>
      </c>
      <c r="AD2391" t="s">
        <v>5255</v>
      </c>
      <c r="AE2391">
        <v>12488</v>
      </c>
      <c r="AG2391" t="s">
        <v>15311</v>
      </c>
      <c r="AH2391" t="s">
        <v>5577</v>
      </c>
      <c r="AI2391" t="s">
        <v>15312</v>
      </c>
    </row>
    <row r="2392" spans="2:35" ht="390">
      <c r="B2392" s="1">
        <v>45678</v>
      </c>
      <c r="C2392" s="1">
        <v>45678</v>
      </c>
      <c r="D2392" t="s">
        <v>7209</v>
      </c>
      <c r="E2392" t="s">
        <v>5856</v>
      </c>
      <c r="F2392" t="s">
        <v>148</v>
      </c>
      <c r="G2392" t="s">
        <v>230</v>
      </c>
      <c r="H2392" t="s">
        <v>39</v>
      </c>
      <c r="I2392" t="s">
        <v>40</v>
      </c>
      <c r="J2392" t="s">
        <v>525</v>
      </c>
      <c r="K2392" t="s">
        <v>42</v>
      </c>
      <c r="L2392" t="s">
        <v>175</v>
      </c>
      <c r="N2392" t="s">
        <v>176</v>
      </c>
      <c r="Q2392">
        <v>30154</v>
      </c>
      <c r="R2392" t="s">
        <v>322</v>
      </c>
      <c r="S2392" t="s">
        <v>4880</v>
      </c>
      <c r="T2392">
        <v>28</v>
      </c>
      <c r="W2392" t="s">
        <v>423</v>
      </c>
      <c r="X2392">
        <v>120003480</v>
      </c>
      <c r="Y2392" t="s">
        <v>15313</v>
      </c>
      <c r="Z2392" t="s">
        <v>103</v>
      </c>
      <c r="AA2392" s="2" t="s">
        <v>15314</v>
      </c>
      <c r="AB2392" s="2" t="s">
        <v>15315</v>
      </c>
      <c r="AG2392" t="s">
        <v>15316</v>
      </c>
      <c r="AH2392" t="s">
        <v>8257</v>
      </c>
      <c r="AI2392" t="s">
        <v>15317</v>
      </c>
    </row>
    <row r="2393" spans="2:35" ht="165">
      <c r="B2393" s="1">
        <v>45678</v>
      </c>
      <c r="C2393" s="1">
        <v>45678</v>
      </c>
      <c r="D2393" t="s">
        <v>5089</v>
      </c>
      <c r="E2393" t="s">
        <v>5090</v>
      </c>
      <c r="F2393">
        <v>3</v>
      </c>
      <c r="G2393" t="s">
        <v>1722</v>
      </c>
      <c r="H2393" t="s">
        <v>61</v>
      </c>
      <c r="I2393" t="s">
        <v>40</v>
      </c>
      <c r="J2393" s="2" t="s">
        <v>62</v>
      </c>
      <c r="K2393" t="s">
        <v>42</v>
      </c>
      <c r="L2393" t="s">
        <v>63</v>
      </c>
      <c r="N2393" t="s">
        <v>64</v>
      </c>
      <c r="Q2393">
        <v>30153</v>
      </c>
      <c r="R2393" t="s">
        <v>967</v>
      </c>
      <c r="S2393" t="s">
        <v>15318</v>
      </c>
      <c r="T2393">
        <v>28</v>
      </c>
      <c r="V2393" s="1">
        <v>45678</v>
      </c>
      <c r="W2393" t="s">
        <v>373</v>
      </c>
      <c r="X2393">
        <v>110023508</v>
      </c>
      <c r="Y2393" t="s">
        <v>67</v>
      </c>
      <c r="Z2393" s="2" t="s">
        <v>5093</v>
      </c>
      <c r="AA2393" s="2" t="s">
        <v>1727</v>
      </c>
      <c r="AB2393" t="s">
        <v>70</v>
      </c>
      <c r="AD2393" t="s">
        <v>948</v>
      </c>
      <c r="AE2393">
        <v>12493</v>
      </c>
      <c r="AG2393" t="s">
        <v>15319</v>
      </c>
      <c r="AH2393" t="s">
        <v>15320</v>
      </c>
      <c r="AI2393" t="s">
        <v>15321</v>
      </c>
    </row>
    <row r="2394" spans="2:35" ht="105">
      <c r="B2394" s="1">
        <v>45677</v>
      </c>
      <c r="C2394" s="1">
        <v>45677</v>
      </c>
      <c r="D2394" t="s">
        <v>3521</v>
      </c>
      <c r="E2394" t="s">
        <v>3522</v>
      </c>
      <c r="F2394">
        <v>7</v>
      </c>
      <c r="G2394" t="s">
        <v>269</v>
      </c>
      <c r="H2394" t="s">
        <v>258</v>
      </c>
      <c r="I2394" t="s">
        <v>40</v>
      </c>
      <c r="J2394" s="2" t="s">
        <v>62</v>
      </c>
      <c r="K2394" t="s">
        <v>42</v>
      </c>
      <c r="L2394" t="s">
        <v>270</v>
      </c>
      <c r="N2394" t="s">
        <v>2481</v>
      </c>
      <c r="Q2394">
        <v>30152</v>
      </c>
      <c r="R2394" t="s">
        <v>119</v>
      </c>
      <c r="S2394" t="s">
        <v>3523</v>
      </c>
      <c r="T2394">
        <v>25</v>
      </c>
      <c r="U2394" s="2" t="s">
        <v>11025</v>
      </c>
      <c r="V2394" s="1">
        <v>45665</v>
      </c>
      <c r="W2394" t="s">
        <v>360</v>
      </c>
      <c r="X2394">
        <v>110023502</v>
      </c>
      <c r="Y2394" t="s">
        <v>2060</v>
      </c>
      <c r="Z2394" t="s">
        <v>15322</v>
      </c>
      <c r="AA2394" t="s">
        <v>15323</v>
      </c>
      <c r="AB2394" t="s">
        <v>15324</v>
      </c>
      <c r="AD2394" t="s">
        <v>5056</v>
      </c>
      <c r="AE2394">
        <v>12525</v>
      </c>
      <c r="AG2394" t="s">
        <v>15325</v>
      </c>
      <c r="AH2394" t="s">
        <v>15326</v>
      </c>
      <c r="AI2394" t="s">
        <v>15327</v>
      </c>
    </row>
    <row r="2395" spans="2:35" ht="240">
      <c r="B2395" s="1">
        <v>45677</v>
      </c>
      <c r="C2395" s="1">
        <v>45672</v>
      </c>
      <c r="D2395" t="s">
        <v>2470</v>
      </c>
      <c r="E2395" t="s">
        <v>9436</v>
      </c>
      <c r="F2395" t="s">
        <v>148</v>
      </c>
      <c r="G2395" t="s">
        <v>230</v>
      </c>
      <c r="H2395" t="s">
        <v>513</v>
      </c>
      <c r="I2395" t="s">
        <v>40</v>
      </c>
      <c r="J2395" s="2" t="s">
        <v>190</v>
      </c>
      <c r="K2395" t="s">
        <v>387</v>
      </c>
      <c r="L2395" t="s">
        <v>175</v>
      </c>
      <c r="N2395" t="s">
        <v>176</v>
      </c>
      <c r="Q2395">
        <v>30151</v>
      </c>
      <c r="R2395" t="s">
        <v>322</v>
      </c>
      <c r="S2395" t="s">
        <v>2471</v>
      </c>
      <c r="T2395">
        <v>25</v>
      </c>
      <c r="W2395" t="s">
        <v>390</v>
      </c>
      <c r="X2395" t="s">
        <v>2472</v>
      </c>
      <c r="Y2395" s="2" t="s">
        <v>15328</v>
      </c>
      <c r="Z2395" t="s">
        <v>15329</v>
      </c>
      <c r="AA2395" t="e">
        <f ca="1">- checked _xludf.and cleaned rotor roller pumps
- cleaned ACDA Pump extensively with soap _xludf.and water
- checked CALIBRATION parameters
- performed self test</f>
        <v>#NAME?</v>
      </c>
      <c r="AB2395" s="2" t="s">
        <v>15330</v>
      </c>
      <c r="AG2395" t="s">
        <v>15331</v>
      </c>
      <c r="AH2395" t="s">
        <v>9438</v>
      </c>
      <c r="AI2395" t="s">
        <v>15332</v>
      </c>
    </row>
    <row r="2396" spans="2:35" ht="330">
      <c r="B2396" s="1">
        <v>45677</v>
      </c>
      <c r="C2396" s="1">
        <v>45677</v>
      </c>
      <c r="D2396" t="s">
        <v>5626</v>
      </c>
      <c r="E2396" t="s">
        <v>15333</v>
      </c>
      <c r="F2396">
        <v>12</v>
      </c>
      <c r="G2396" t="s">
        <v>2137</v>
      </c>
      <c r="H2396" t="s">
        <v>202</v>
      </c>
      <c r="I2396" t="s">
        <v>40</v>
      </c>
      <c r="J2396" s="2" t="s">
        <v>62</v>
      </c>
      <c r="K2396" t="s">
        <v>42</v>
      </c>
      <c r="L2396" t="s">
        <v>204</v>
      </c>
      <c r="N2396" t="s">
        <v>205</v>
      </c>
      <c r="Q2396">
        <v>30150</v>
      </c>
      <c r="R2396" t="s">
        <v>967</v>
      </c>
      <c r="S2396" t="s">
        <v>5628</v>
      </c>
      <c r="T2396">
        <v>22.6</v>
      </c>
      <c r="U2396" s="2" t="s">
        <v>15334</v>
      </c>
      <c r="V2396" s="1">
        <v>45665</v>
      </c>
      <c r="W2396" t="s">
        <v>208</v>
      </c>
      <c r="X2396">
        <v>110023521</v>
      </c>
      <c r="Y2396" t="s">
        <v>2839</v>
      </c>
      <c r="Z2396" s="2" t="s">
        <v>15335</v>
      </c>
      <c r="AA2396" t="s">
        <v>1620</v>
      </c>
      <c r="AB2396" t="s">
        <v>15336</v>
      </c>
      <c r="AD2396" t="s">
        <v>5365</v>
      </c>
      <c r="AE2396" t="s">
        <v>15337</v>
      </c>
      <c r="AG2396" t="s">
        <v>15338</v>
      </c>
      <c r="AH2396" t="s">
        <v>15339</v>
      </c>
      <c r="AI2396" t="s">
        <v>15340</v>
      </c>
    </row>
    <row r="2397" spans="2:35" ht="105">
      <c r="B2397" s="1">
        <v>45677</v>
      </c>
      <c r="C2397" s="1">
        <v>45674</v>
      </c>
      <c r="D2397" t="s">
        <v>5707</v>
      </c>
      <c r="E2397" t="s">
        <v>15341</v>
      </c>
      <c r="F2397">
        <v>1</v>
      </c>
      <c r="G2397" t="s">
        <v>1922</v>
      </c>
      <c r="H2397" t="s">
        <v>39</v>
      </c>
      <c r="I2397" t="s">
        <v>40</v>
      </c>
      <c r="J2397" t="s">
        <v>109</v>
      </c>
      <c r="K2397" t="s">
        <v>42</v>
      </c>
      <c r="L2397" t="s">
        <v>1048</v>
      </c>
      <c r="N2397" t="s">
        <v>1049</v>
      </c>
      <c r="Q2397">
        <v>30149</v>
      </c>
      <c r="R2397" t="s">
        <v>119</v>
      </c>
      <c r="S2397" t="s">
        <v>5709</v>
      </c>
      <c r="T2397">
        <v>28</v>
      </c>
      <c r="U2397" s="2" t="s">
        <v>15342</v>
      </c>
      <c r="W2397" t="s">
        <v>15343</v>
      </c>
      <c r="X2397">
        <v>838273</v>
      </c>
      <c r="Y2397" t="s">
        <v>1052</v>
      </c>
      <c r="Z2397" t="e">
        <f ca="1">- cleaned cartridge Bays, plunger Rods _xludf.and I-CORE
- replaced _xludf.filter
- generated reports</f>
        <v>#NAME?</v>
      </c>
      <c r="AA2397" t="s">
        <v>820</v>
      </c>
      <c r="AB2397" t="s">
        <v>1428</v>
      </c>
      <c r="AG2397" t="s">
        <v>15344</v>
      </c>
      <c r="AH2397" t="s">
        <v>5716</v>
      </c>
      <c r="AI2397" t="s">
        <v>15345</v>
      </c>
    </row>
    <row r="2398" spans="2:35" ht="135">
      <c r="B2398" s="1">
        <v>45677</v>
      </c>
      <c r="C2398" s="1">
        <v>45674</v>
      </c>
      <c r="D2398" t="s">
        <v>4927</v>
      </c>
      <c r="E2398" t="s">
        <v>4928</v>
      </c>
      <c r="F2398">
        <v>1</v>
      </c>
      <c r="G2398" t="s">
        <v>1922</v>
      </c>
      <c r="H2398" t="s">
        <v>39</v>
      </c>
      <c r="I2398" t="s">
        <v>40</v>
      </c>
      <c r="J2398" s="2" t="s">
        <v>62</v>
      </c>
      <c r="K2398" t="s">
        <v>42</v>
      </c>
      <c r="L2398" t="s">
        <v>1048</v>
      </c>
      <c r="N2398" t="s">
        <v>1049</v>
      </c>
      <c r="Q2398">
        <v>30148</v>
      </c>
      <c r="R2398" t="s">
        <v>967</v>
      </c>
      <c r="S2398" t="s">
        <v>4929</v>
      </c>
      <c r="T2398">
        <v>27</v>
      </c>
      <c r="U2398" s="2" t="s">
        <v>15346</v>
      </c>
      <c r="V2398" s="1">
        <v>45665</v>
      </c>
      <c r="W2398" t="s">
        <v>1051</v>
      </c>
      <c r="X2398">
        <v>110023500</v>
      </c>
      <c r="Y2398" t="s">
        <v>15347</v>
      </c>
      <c r="Z2398" t="e">
        <f ca="1">- cleaned cartridge Bays, plunger Rods _xludf.and I-CORE
- performed XpertCheck
- generated reports</f>
        <v>#NAME?</v>
      </c>
      <c r="AA2398" t="s">
        <v>15348</v>
      </c>
      <c r="AB2398" s="2" t="s">
        <v>15349</v>
      </c>
      <c r="AD2398" t="s">
        <v>1958</v>
      </c>
      <c r="AE2398" t="s">
        <v>15350</v>
      </c>
      <c r="AG2398" t="s">
        <v>15351</v>
      </c>
      <c r="AH2398" t="s">
        <v>15352</v>
      </c>
      <c r="AI2398" t="s">
        <v>15353</v>
      </c>
    </row>
    <row r="2399" spans="2:35" ht="75">
      <c r="B2399" s="1">
        <v>45677</v>
      </c>
      <c r="C2399" s="1">
        <v>45674</v>
      </c>
      <c r="D2399" t="s">
        <v>11087</v>
      </c>
      <c r="E2399" t="s">
        <v>11088</v>
      </c>
      <c r="F2399" t="s">
        <v>511</v>
      </c>
      <c r="G2399" t="s">
        <v>4938</v>
      </c>
      <c r="H2399" t="s">
        <v>39</v>
      </c>
      <c r="I2399" t="s">
        <v>40</v>
      </c>
      <c r="J2399" s="2" t="s">
        <v>190</v>
      </c>
      <c r="K2399" t="s">
        <v>42</v>
      </c>
      <c r="L2399" t="s">
        <v>1048</v>
      </c>
      <c r="N2399" t="s">
        <v>1049</v>
      </c>
      <c r="Q2399">
        <v>30147</v>
      </c>
      <c r="R2399" t="s">
        <v>119</v>
      </c>
      <c r="S2399" t="s">
        <v>11089</v>
      </c>
      <c r="T2399">
        <v>28</v>
      </c>
      <c r="W2399" t="s">
        <v>1051</v>
      </c>
      <c r="X2399">
        <v>838274</v>
      </c>
      <c r="Y2399" t="s">
        <v>7984</v>
      </c>
      <c r="Z2399" t="e">
        <f ca="1">- cleaned cartridge Bays, plunger Rods _xludf.and I-CORE
- Reseat CPU Connections
- generated reports</f>
        <v>#NAME?</v>
      </c>
      <c r="AA2399" t="s">
        <v>7985</v>
      </c>
      <c r="AB2399" t="s">
        <v>1936</v>
      </c>
      <c r="AG2399" t="s">
        <v>15354</v>
      </c>
      <c r="AH2399" t="s">
        <v>11092</v>
      </c>
      <c r="AI2399" t="s">
        <v>15355</v>
      </c>
    </row>
    <row r="2400" spans="2:35" ht="135">
      <c r="B2400" s="1">
        <v>45677</v>
      </c>
      <c r="C2400" s="1">
        <v>45674</v>
      </c>
      <c r="D2400" t="s">
        <v>4936</v>
      </c>
      <c r="E2400" t="s">
        <v>15356</v>
      </c>
      <c r="F2400" t="s">
        <v>511</v>
      </c>
      <c r="G2400" t="s">
        <v>4938</v>
      </c>
      <c r="H2400" t="s">
        <v>39</v>
      </c>
      <c r="I2400" t="s">
        <v>40</v>
      </c>
      <c r="J2400" s="2" t="s">
        <v>62</v>
      </c>
      <c r="K2400" t="s">
        <v>42</v>
      </c>
      <c r="L2400" t="s">
        <v>1048</v>
      </c>
      <c r="N2400" t="s">
        <v>1049</v>
      </c>
      <c r="Q2400">
        <v>30146</v>
      </c>
      <c r="R2400" t="s">
        <v>967</v>
      </c>
      <c r="S2400" t="s">
        <v>4939</v>
      </c>
      <c r="T2400">
        <v>27</v>
      </c>
      <c r="U2400" s="2" t="s">
        <v>15357</v>
      </c>
      <c r="V2400" s="1">
        <v>45665</v>
      </c>
      <c r="W2400" t="s">
        <v>1424</v>
      </c>
      <c r="X2400">
        <v>110023499</v>
      </c>
      <c r="Y2400" t="s">
        <v>15347</v>
      </c>
      <c r="Z2400" t="e">
        <f ca="1">- cleaned cartridge Bays, plunger Rods _xludf.and I-CORE
- performed XpertCheck
- generated reports</f>
        <v>#NAME?</v>
      </c>
      <c r="AA2400" t="s">
        <v>15348</v>
      </c>
      <c r="AB2400" s="2" t="s">
        <v>15349</v>
      </c>
      <c r="AC2400" t="s">
        <v>11073</v>
      </c>
      <c r="AD2400" t="s">
        <v>1958</v>
      </c>
      <c r="AE2400" t="s">
        <v>15358</v>
      </c>
      <c r="AG2400" t="s">
        <v>15359</v>
      </c>
      <c r="AH2400" t="s">
        <v>4941</v>
      </c>
      <c r="AI2400" t="s">
        <v>15360</v>
      </c>
    </row>
    <row r="2401" spans="2:35" ht="195">
      <c r="B2401" s="1">
        <v>45677</v>
      </c>
      <c r="C2401" s="1">
        <v>45672</v>
      </c>
      <c r="D2401" t="s">
        <v>8907</v>
      </c>
      <c r="E2401" t="s">
        <v>15361</v>
      </c>
      <c r="F2401">
        <v>5</v>
      </c>
      <c r="G2401" t="s">
        <v>839</v>
      </c>
      <c r="H2401" t="s">
        <v>39</v>
      </c>
      <c r="I2401" t="s">
        <v>94</v>
      </c>
      <c r="J2401" s="2" t="s">
        <v>41</v>
      </c>
      <c r="K2401" t="s">
        <v>42</v>
      </c>
      <c r="L2401" t="s">
        <v>761</v>
      </c>
      <c r="N2401" t="s">
        <v>762</v>
      </c>
      <c r="Q2401">
        <v>30145</v>
      </c>
      <c r="R2401" t="s">
        <v>119</v>
      </c>
      <c r="S2401" t="s">
        <v>15362</v>
      </c>
      <c r="T2401">
        <v>28</v>
      </c>
      <c r="U2401" s="2" t="s">
        <v>15363</v>
      </c>
      <c r="W2401" t="s">
        <v>765</v>
      </c>
      <c r="X2401">
        <v>838389</v>
      </c>
      <c r="Y2401" s="2" t="s">
        <v>15364</v>
      </c>
      <c r="Z2401" s="2" t="s">
        <v>15365</v>
      </c>
      <c r="AA2401" s="2" t="s">
        <v>15366</v>
      </c>
      <c r="AB2401" t="s">
        <v>70</v>
      </c>
      <c r="AG2401" t="s">
        <v>15367</v>
      </c>
      <c r="AH2401" t="s">
        <v>15368</v>
      </c>
      <c r="AI2401" t="s">
        <v>15369</v>
      </c>
    </row>
    <row r="2402" spans="2:35" ht="135">
      <c r="B2402" s="1">
        <v>45677</v>
      </c>
      <c r="C2402" s="1">
        <v>45673</v>
      </c>
      <c r="D2402" t="s">
        <v>11077</v>
      </c>
      <c r="E2402" t="s">
        <v>15370</v>
      </c>
      <c r="F2402">
        <v>1</v>
      </c>
      <c r="G2402" t="s">
        <v>2599</v>
      </c>
      <c r="H2402" t="s">
        <v>932</v>
      </c>
      <c r="I2402" t="s">
        <v>40</v>
      </c>
      <c r="J2402" t="s">
        <v>109</v>
      </c>
      <c r="K2402" t="s">
        <v>42</v>
      </c>
      <c r="L2402" t="s">
        <v>1048</v>
      </c>
      <c r="N2402" t="s">
        <v>1049</v>
      </c>
      <c r="Q2402">
        <v>30144</v>
      </c>
      <c r="R2402" t="s">
        <v>322</v>
      </c>
      <c r="S2402" t="s">
        <v>11078</v>
      </c>
      <c r="T2402">
        <v>26</v>
      </c>
      <c r="V2402" s="1">
        <v>45667</v>
      </c>
      <c r="W2402" t="s">
        <v>1424</v>
      </c>
      <c r="X2402">
        <v>110022474</v>
      </c>
      <c r="Y2402" t="s">
        <v>4546</v>
      </c>
      <c r="Z2402" t="e">
        <f ca="1">- cleaned cartridge Bays, plunger Rods _xludf.and I-CORE
- performed XpertCheck
- generated reports</f>
        <v>#NAME?</v>
      </c>
      <c r="AA2402" t="s">
        <v>4930</v>
      </c>
      <c r="AB2402" s="2" t="s">
        <v>4548</v>
      </c>
      <c r="AC2402" t="s">
        <v>11073</v>
      </c>
      <c r="AD2402" t="s">
        <v>1958</v>
      </c>
      <c r="AE2402" t="s">
        <v>15371</v>
      </c>
      <c r="AG2402" t="s">
        <v>15372</v>
      </c>
      <c r="AH2402" t="s">
        <v>11080</v>
      </c>
      <c r="AI2402" t="s">
        <v>15373</v>
      </c>
    </row>
    <row r="2403" spans="2:35" ht="330">
      <c r="B2403" s="1">
        <v>45677</v>
      </c>
      <c r="C2403" s="1">
        <v>45672</v>
      </c>
      <c r="D2403" t="s">
        <v>6919</v>
      </c>
      <c r="E2403" t="s">
        <v>510</v>
      </c>
      <c r="F2403" t="s">
        <v>511</v>
      </c>
      <c r="G2403" t="s">
        <v>512</v>
      </c>
      <c r="H2403" t="s">
        <v>39</v>
      </c>
      <c r="I2403" t="s">
        <v>40</v>
      </c>
      <c r="J2403" s="2" t="s">
        <v>41</v>
      </c>
      <c r="K2403" t="s">
        <v>42</v>
      </c>
      <c r="L2403" t="s">
        <v>1048</v>
      </c>
      <c r="N2403" t="s">
        <v>1049</v>
      </c>
      <c r="Q2403">
        <v>30143</v>
      </c>
      <c r="R2403" t="s">
        <v>119</v>
      </c>
      <c r="S2403" t="s">
        <v>6920</v>
      </c>
      <c r="T2403">
        <v>24</v>
      </c>
      <c r="U2403" s="2" t="s">
        <v>15374</v>
      </c>
      <c r="V2403" s="1">
        <v>45665</v>
      </c>
      <c r="W2403" t="s">
        <v>1051</v>
      </c>
      <c r="X2403">
        <v>838281</v>
      </c>
      <c r="Y2403" t="s">
        <v>3290</v>
      </c>
      <c r="Z2403" s="2" t="s">
        <v>15375</v>
      </c>
      <c r="AA2403" t="s">
        <v>820</v>
      </c>
      <c r="AB2403" s="2" t="s">
        <v>15376</v>
      </c>
      <c r="AC2403" t="s">
        <v>11073</v>
      </c>
      <c r="AD2403" t="s">
        <v>15377</v>
      </c>
      <c r="AE2403" t="s">
        <v>15378</v>
      </c>
      <c r="AG2403" t="s">
        <v>15379</v>
      </c>
      <c r="AH2403" t="s">
        <v>6925</v>
      </c>
      <c r="AI2403" t="s">
        <v>15380</v>
      </c>
    </row>
    <row r="2404" spans="2:35" ht="105">
      <c r="B2404" s="1">
        <v>45677</v>
      </c>
      <c r="C2404" s="1">
        <v>45672</v>
      </c>
      <c r="D2404" t="s">
        <v>15381</v>
      </c>
      <c r="E2404" t="s">
        <v>1456</v>
      </c>
      <c r="F2404" t="s">
        <v>511</v>
      </c>
      <c r="G2404" t="s">
        <v>512</v>
      </c>
      <c r="H2404" t="s">
        <v>2125</v>
      </c>
      <c r="I2404" t="s">
        <v>40</v>
      </c>
      <c r="J2404" s="2" t="s">
        <v>62</v>
      </c>
      <c r="K2404" t="s">
        <v>42</v>
      </c>
      <c r="L2404" t="s">
        <v>1048</v>
      </c>
      <c r="N2404" t="s">
        <v>1049</v>
      </c>
      <c r="Q2404">
        <v>30142</v>
      </c>
      <c r="R2404" t="s">
        <v>967</v>
      </c>
      <c r="S2404" t="s">
        <v>1423</v>
      </c>
      <c r="T2404">
        <v>28</v>
      </c>
      <c r="U2404" s="2" t="s">
        <v>15382</v>
      </c>
      <c r="V2404" s="1">
        <v>45665</v>
      </c>
      <c r="W2404" t="s">
        <v>1424</v>
      </c>
      <c r="X2404">
        <v>110023498</v>
      </c>
      <c r="Y2404" t="s">
        <v>15347</v>
      </c>
      <c r="Z2404" t="e">
        <f ca="1">- cleaned cartridge Bays, plunger Rods _xludf.and I-CORE
- performed XpertCheck
- generated reports</f>
        <v>#NAME?</v>
      </c>
      <c r="AA2404" t="s">
        <v>15348</v>
      </c>
      <c r="AB2404" t="e">
        <f ca="1">- Unit is Fully operational
- ALL modules passed XpertCheck</f>
        <v>#NAME?</v>
      </c>
      <c r="AC2404" t="s">
        <v>12618</v>
      </c>
      <c r="AD2404" t="s">
        <v>1958</v>
      </c>
      <c r="AE2404" t="s">
        <v>15383</v>
      </c>
      <c r="AG2404" t="s">
        <v>15384</v>
      </c>
      <c r="AH2404" t="s">
        <v>11198</v>
      </c>
      <c r="AI2404" t="s">
        <v>15385</v>
      </c>
    </row>
    <row r="2405" spans="2:35" ht="315">
      <c r="B2405" s="1">
        <v>45677</v>
      </c>
      <c r="C2405" s="1">
        <v>45671</v>
      </c>
      <c r="D2405" t="s">
        <v>4523</v>
      </c>
      <c r="E2405" t="s">
        <v>3011</v>
      </c>
      <c r="F2405">
        <v>1</v>
      </c>
      <c r="G2405" t="s">
        <v>1046</v>
      </c>
      <c r="H2405" t="s">
        <v>1047</v>
      </c>
      <c r="I2405" t="s">
        <v>40</v>
      </c>
      <c r="J2405" s="2" t="s">
        <v>41</v>
      </c>
      <c r="K2405" t="s">
        <v>42</v>
      </c>
      <c r="L2405" t="s">
        <v>1048</v>
      </c>
      <c r="N2405" t="s">
        <v>1049</v>
      </c>
      <c r="Q2405">
        <v>30141</v>
      </c>
      <c r="R2405" t="s">
        <v>119</v>
      </c>
      <c r="S2405" t="s">
        <v>7964</v>
      </c>
      <c r="T2405">
        <v>24</v>
      </c>
      <c r="U2405" s="2" t="s">
        <v>15386</v>
      </c>
      <c r="V2405" s="1">
        <v>45665</v>
      </c>
      <c r="W2405" t="s">
        <v>1051</v>
      </c>
      <c r="X2405">
        <v>838286</v>
      </c>
      <c r="Y2405" t="s">
        <v>1924</v>
      </c>
      <c r="Z2405" s="2" t="s">
        <v>15387</v>
      </c>
      <c r="AA2405" t="s">
        <v>1926</v>
      </c>
      <c r="AB2405" t="s">
        <v>1428</v>
      </c>
      <c r="AC2405" t="s">
        <v>11073</v>
      </c>
      <c r="AD2405" t="s">
        <v>15388</v>
      </c>
      <c r="AE2405" t="s">
        <v>15389</v>
      </c>
      <c r="AG2405" t="s">
        <v>15390</v>
      </c>
      <c r="AH2405" t="s">
        <v>8788</v>
      </c>
      <c r="AI2405" t="s">
        <v>15391</v>
      </c>
    </row>
    <row r="2406" spans="2:35" ht="150">
      <c r="B2406" s="1">
        <v>45677</v>
      </c>
      <c r="C2406" s="1">
        <v>45677</v>
      </c>
      <c r="D2406" t="s">
        <v>10465</v>
      </c>
      <c r="E2406" t="s">
        <v>10466</v>
      </c>
      <c r="F2406">
        <v>10</v>
      </c>
      <c r="G2406" t="s">
        <v>1395</v>
      </c>
      <c r="H2406" t="s">
        <v>2125</v>
      </c>
      <c r="I2406" t="s">
        <v>40</v>
      </c>
      <c r="J2406" s="2" t="s">
        <v>41</v>
      </c>
      <c r="K2406" t="s">
        <v>42</v>
      </c>
      <c r="L2406" t="s">
        <v>933</v>
      </c>
      <c r="N2406" t="s">
        <v>934</v>
      </c>
      <c r="Q2406">
        <v>30140</v>
      </c>
      <c r="R2406" t="s">
        <v>119</v>
      </c>
      <c r="S2406" t="s">
        <v>9174</v>
      </c>
      <c r="T2406">
        <v>27</v>
      </c>
      <c r="V2406" s="1">
        <v>45665</v>
      </c>
      <c r="W2406" t="s">
        <v>2127</v>
      </c>
      <c r="X2406">
        <v>838557</v>
      </c>
      <c r="Y2406" t="s">
        <v>15392</v>
      </c>
      <c r="Z2406" t="s">
        <v>2129</v>
      </c>
      <c r="AA2406" s="2" t="s">
        <v>15393</v>
      </c>
      <c r="AB2406" t="s">
        <v>2131</v>
      </c>
      <c r="AD2406" t="s">
        <v>10128</v>
      </c>
      <c r="AE2406">
        <v>12536</v>
      </c>
      <c r="AG2406" t="s">
        <v>15394</v>
      </c>
      <c r="AH2406" t="s">
        <v>10469</v>
      </c>
      <c r="AI2406" t="s">
        <v>15395</v>
      </c>
    </row>
    <row r="2407" spans="2:35" ht="345">
      <c r="B2407" s="1">
        <v>45677</v>
      </c>
      <c r="C2407" s="1">
        <v>45673</v>
      </c>
      <c r="D2407" t="s">
        <v>9003</v>
      </c>
      <c r="E2407" t="s">
        <v>8231</v>
      </c>
      <c r="F2407" t="s">
        <v>148</v>
      </c>
      <c r="G2407" t="s">
        <v>774</v>
      </c>
      <c r="H2407" t="s">
        <v>662</v>
      </c>
      <c r="I2407" t="s">
        <v>40</v>
      </c>
      <c r="J2407" s="2" t="s">
        <v>62</v>
      </c>
      <c r="K2407" t="s">
        <v>42</v>
      </c>
      <c r="L2407" t="s">
        <v>1028</v>
      </c>
      <c r="N2407" t="s">
        <v>1029</v>
      </c>
      <c r="Q2407">
        <v>30136</v>
      </c>
      <c r="R2407" t="s">
        <v>967</v>
      </c>
      <c r="S2407" t="s">
        <v>5148</v>
      </c>
      <c r="T2407">
        <v>24</v>
      </c>
      <c r="U2407" s="2" t="s">
        <v>207</v>
      </c>
      <c r="V2407" s="1">
        <v>45665</v>
      </c>
      <c r="W2407" t="s">
        <v>1032</v>
      </c>
      <c r="X2407">
        <v>110023494</v>
      </c>
      <c r="Y2407" t="s">
        <v>1547</v>
      </c>
      <c r="Z2407" s="2" t="s">
        <v>15396</v>
      </c>
      <c r="AA2407" s="2" t="s">
        <v>15397</v>
      </c>
      <c r="AB2407" t="s">
        <v>3300</v>
      </c>
      <c r="AC2407" t="s">
        <v>15398</v>
      </c>
      <c r="AD2407" t="s">
        <v>5153</v>
      </c>
      <c r="AE2407" t="s">
        <v>15399</v>
      </c>
      <c r="AG2407" t="s">
        <v>15400</v>
      </c>
      <c r="AH2407" t="s">
        <v>5156</v>
      </c>
      <c r="AI2407" t="s">
        <v>15401</v>
      </c>
    </row>
    <row r="2408" spans="2:35" ht="315">
      <c r="B2408" s="1">
        <v>45677</v>
      </c>
      <c r="C2408" s="1">
        <v>45674</v>
      </c>
      <c r="D2408" t="s">
        <v>5174</v>
      </c>
      <c r="E2408" t="s">
        <v>11803</v>
      </c>
      <c r="F2408" t="s">
        <v>37</v>
      </c>
      <c r="G2408" t="s">
        <v>748</v>
      </c>
      <c r="H2408" t="s">
        <v>39</v>
      </c>
      <c r="I2408" t="s">
        <v>40</v>
      </c>
      <c r="J2408" s="2" t="s">
        <v>190</v>
      </c>
      <c r="K2408" t="s">
        <v>42</v>
      </c>
      <c r="L2408" t="s">
        <v>1028</v>
      </c>
      <c r="N2408" t="s">
        <v>1029</v>
      </c>
      <c r="Q2408">
        <v>30139</v>
      </c>
      <c r="R2408" t="s">
        <v>119</v>
      </c>
      <c r="S2408" t="s">
        <v>5176</v>
      </c>
      <c r="T2408">
        <v>25</v>
      </c>
      <c r="U2408" s="2" t="s">
        <v>15402</v>
      </c>
      <c r="W2408" t="s">
        <v>1967</v>
      </c>
      <c r="X2408">
        <v>838535</v>
      </c>
      <c r="Y2408" s="2" t="s">
        <v>15403</v>
      </c>
      <c r="Z2408" t="s">
        <v>10920</v>
      </c>
      <c r="AA2408" s="2" t="s">
        <v>15404</v>
      </c>
      <c r="AB2408" s="2" t="s">
        <v>15405</v>
      </c>
      <c r="AG2408" t="s">
        <v>15406</v>
      </c>
      <c r="AH2408" t="s">
        <v>15407</v>
      </c>
      <c r="AI2408" t="s">
        <v>15408</v>
      </c>
    </row>
    <row r="2409" spans="2:35" ht="300">
      <c r="B2409" s="1">
        <v>45677</v>
      </c>
      <c r="C2409" s="1">
        <v>45675</v>
      </c>
      <c r="D2409" t="s">
        <v>10933</v>
      </c>
      <c r="E2409" t="s">
        <v>15409</v>
      </c>
      <c r="F2409" t="s">
        <v>148</v>
      </c>
      <c r="G2409" t="s">
        <v>310</v>
      </c>
      <c r="H2409" t="s">
        <v>662</v>
      </c>
      <c r="I2409" t="s">
        <v>40</v>
      </c>
      <c r="J2409" t="s">
        <v>15410</v>
      </c>
      <c r="K2409" t="s">
        <v>42</v>
      </c>
      <c r="L2409" t="s">
        <v>1028</v>
      </c>
      <c r="N2409" t="s">
        <v>1029</v>
      </c>
      <c r="Q2409">
        <v>30137</v>
      </c>
      <c r="R2409" t="s">
        <v>322</v>
      </c>
      <c r="S2409" t="s">
        <v>15411</v>
      </c>
      <c r="T2409">
        <v>25</v>
      </c>
      <c r="U2409" s="2" t="s">
        <v>15412</v>
      </c>
      <c r="W2409" t="s">
        <v>1032</v>
      </c>
      <c r="X2409">
        <v>110015482</v>
      </c>
      <c r="Y2409" t="s">
        <v>15413</v>
      </c>
      <c r="Z2409" t="s">
        <v>14638</v>
      </c>
      <c r="AA2409" s="2" t="s">
        <v>15414</v>
      </c>
      <c r="AB2409" t="s">
        <v>15415</v>
      </c>
      <c r="AG2409" t="s">
        <v>15416</v>
      </c>
      <c r="AH2409" t="s">
        <v>14782</v>
      </c>
      <c r="AI2409" t="s">
        <v>15417</v>
      </c>
    </row>
    <row r="2410" spans="2:35" ht="315">
      <c r="B2410" s="1">
        <v>45677</v>
      </c>
      <c r="C2410" s="1">
        <v>45673</v>
      </c>
      <c r="D2410" t="s">
        <v>14269</v>
      </c>
      <c r="E2410" t="s">
        <v>9541</v>
      </c>
      <c r="F2410" t="s">
        <v>148</v>
      </c>
      <c r="G2410" t="s">
        <v>4786</v>
      </c>
      <c r="H2410" t="s">
        <v>662</v>
      </c>
      <c r="I2410" t="s">
        <v>40</v>
      </c>
      <c r="J2410" s="2" t="s">
        <v>15418</v>
      </c>
      <c r="K2410" t="s">
        <v>42</v>
      </c>
      <c r="L2410" t="s">
        <v>1028</v>
      </c>
      <c r="N2410" t="s">
        <v>1029</v>
      </c>
      <c r="Q2410">
        <v>30138</v>
      </c>
      <c r="R2410" t="s">
        <v>95</v>
      </c>
      <c r="S2410" t="s">
        <v>4787</v>
      </c>
      <c r="T2410">
        <v>27</v>
      </c>
      <c r="W2410" t="s">
        <v>1967</v>
      </c>
      <c r="X2410">
        <v>831316</v>
      </c>
      <c r="Y2410" s="2" t="s">
        <v>15419</v>
      </c>
      <c r="Z2410" t="s">
        <v>1548</v>
      </c>
      <c r="AA2410" s="2" t="s">
        <v>15420</v>
      </c>
      <c r="AB2410" t="s">
        <v>15421</v>
      </c>
      <c r="AG2410" t="s">
        <v>15422</v>
      </c>
      <c r="AH2410" t="s">
        <v>15423</v>
      </c>
      <c r="AI2410" t="s">
        <v>15424</v>
      </c>
    </row>
    <row r="2411" spans="2:35" ht="255">
      <c r="B2411" s="1">
        <v>45677</v>
      </c>
      <c r="C2411" s="1">
        <v>45674</v>
      </c>
      <c r="D2411" t="s">
        <v>1099</v>
      </c>
      <c r="E2411" t="s">
        <v>8211</v>
      </c>
      <c r="F2411" t="s">
        <v>148</v>
      </c>
      <c r="G2411" t="s">
        <v>406</v>
      </c>
      <c r="H2411" t="s">
        <v>386</v>
      </c>
      <c r="I2411" t="s">
        <v>40</v>
      </c>
      <c r="J2411" t="s">
        <v>109</v>
      </c>
      <c r="K2411" t="s">
        <v>387</v>
      </c>
      <c r="L2411" t="s">
        <v>43</v>
      </c>
      <c r="N2411" t="s">
        <v>44</v>
      </c>
      <c r="O2411" t="s">
        <v>15425</v>
      </c>
      <c r="Q2411">
        <v>30134</v>
      </c>
      <c r="R2411" t="s">
        <v>95</v>
      </c>
      <c r="S2411" t="s">
        <v>8217</v>
      </c>
      <c r="T2411">
        <v>22</v>
      </c>
      <c r="W2411" t="s">
        <v>390</v>
      </c>
      <c r="X2411" t="s">
        <v>5702</v>
      </c>
      <c r="Y2411" t="s">
        <v>121</v>
      </c>
      <c r="Z2411" t="s">
        <v>122</v>
      </c>
      <c r="AA2411" s="2" t="s">
        <v>14371</v>
      </c>
      <c r="AB2411" t="s">
        <v>88</v>
      </c>
      <c r="AG2411" t="s">
        <v>15426</v>
      </c>
      <c r="AH2411" t="s">
        <v>8220</v>
      </c>
      <c r="AI2411" t="s">
        <v>15427</v>
      </c>
    </row>
    <row r="2412" spans="2:35" ht="409.5">
      <c r="B2412" s="1">
        <v>45677</v>
      </c>
      <c r="C2412" s="1">
        <v>45674</v>
      </c>
      <c r="D2412" t="s">
        <v>1099</v>
      </c>
      <c r="E2412" t="s">
        <v>8211</v>
      </c>
      <c r="F2412" t="s">
        <v>148</v>
      </c>
      <c r="G2412" t="s">
        <v>406</v>
      </c>
      <c r="H2412" t="s">
        <v>3994</v>
      </c>
      <c r="I2412" t="s">
        <v>40</v>
      </c>
      <c r="J2412" t="s">
        <v>109</v>
      </c>
      <c r="K2412" t="s">
        <v>42</v>
      </c>
      <c r="L2412" t="s">
        <v>43</v>
      </c>
      <c r="N2412" t="s">
        <v>44</v>
      </c>
      <c r="O2412" t="s">
        <v>15425</v>
      </c>
      <c r="Q2412">
        <v>30135</v>
      </c>
      <c r="R2412" t="s">
        <v>95</v>
      </c>
      <c r="S2412" t="s">
        <v>5690</v>
      </c>
      <c r="T2412">
        <v>22</v>
      </c>
      <c r="U2412" s="2" t="s">
        <v>15428</v>
      </c>
      <c r="W2412" t="s">
        <v>48</v>
      </c>
      <c r="X2412">
        <v>839231</v>
      </c>
      <c r="Y2412" t="s">
        <v>121</v>
      </c>
      <c r="Z2412" t="s">
        <v>122</v>
      </c>
      <c r="AA2412" s="2" t="s">
        <v>9744</v>
      </c>
      <c r="AB2412" t="s">
        <v>15429</v>
      </c>
      <c r="AG2412" t="s">
        <v>15430</v>
      </c>
      <c r="AH2412" t="s">
        <v>15431</v>
      </c>
      <c r="AI2412" t="s">
        <v>15432</v>
      </c>
    </row>
    <row r="2413" spans="2:35" ht="390">
      <c r="B2413" s="1">
        <v>45677</v>
      </c>
      <c r="C2413" s="1">
        <v>45673</v>
      </c>
      <c r="D2413" t="s">
        <v>3030</v>
      </c>
      <c r="E2413" t="s">
        <v>3031</v>
      </c>
      <c r="F2413" t="s">
        <v>37</v>
      </c>
      <c r="G2413" t="s">
        <v>38</v>
      </c>
      <c r="H2413" t="s">
        <v>39</v>
      </c>
      <c r="I2413" t="s">
        <v>40</v>
      </c>
      <c r="J2413" s="2" t="s">
        <v>62</v>
      </c>
      <c r="K2413" t="s">
        <v>42</v>
      </c>
      <c r="L2413" t="s">
        <v>43</v>
      </c>
      <c r="N2413" t="s">
        <v>44</v>
      </c>
      <c r="Q2413">
        <v>30133</v>
      </c>
      <c r="R2413" t="s">
        <v>967</v>
      </c>
      <c r="S2413" t="s">
        <v>3032</v>
      </c>
      <c r="T2413">
        <v>24</v>
      </c>
      <c r="U2413" s="2" t="s">
        <v>15433</v>
      </c>
      <c r="V2413" s="1">
        <v>45665</v>
      </c>
      <c r="W2413" t="s">
        <v>153</v>
      </c>
      <c r="X2413">
        <v>110023496</v>
      </c>
      <c r="Y2413" s="2" t="s">
        <v>15434</v>
      </c>
      <c r="Z2413" s="2" t="s">
        <v>15435</v>
      </c>
      <c r="AA2413" s="2" t="s">
        <v>15436</v>
      </c>
      <c r="AB2413" t="s">
        <v>15437</v>
      </c>
      <c r="AE2413" t="s">
        <v>15438</v>
      </c>
      <c r="AG2413" t="s">
        <v>15439</v>
      </c>
      <c r="AH2413" t="s">
        <v>3035</v>
      </c>
      <c r="AI2413" t="s">
        <v>15440</v>
      </c>
    </row>
    <row r="2414" spans="2:35" ht="409.5">
      <c r="B2414" s="1">
        <v>45677</v>
      </c>
      <c r="C2414" s="1">
        <v>45674</v>
      </c>
      <c r="D2414" t="s">
        <v>1099</v>
      </c>
      <c r="E2414" t="s">
        <v>6645</v>
      </c>
      <c r="F2414" t="s">
        <v>148</v>
      </c>
      <c r="G2414" t="s">
        <v>406</v>
      </c>
      <c r="H2414" t="s">
        <v>3994</v>
      </c>
      <c r="I2414" t="s">
        <v>40</v>
      </c>
      <c r="J2414" t="s">
        <v>109</v>
      </c>
      <c r="K2414" t="s">
        <v>42</v>
      </c>
      <c r="L2414" t="s">
        <v>43</v>
      </c>
      <c r="N2414" t="s">
        <v>44</v>
      </c>
      <c r="O2414" t="s">
        <v>15425</v>
      </c>
      <c r="Q2414">
        <v>30131</v>
      </c>
      <c r="R2414" t="s">
        <v>95</v>
      </c>
      <c r="S2414" t="s">
        <v>5690</v>
      </c>
      <c r="T2414">
        <v>22</v>
      </c>
      <c r="U2414" s="2" t="s">
        <v>15441</v>
      </c>
      <c r="W2414" t="s">
        <v>153</v>
      </c>
      <c r="X2414">
        <v>120002383</v>
      </c>
      <c r="Y2414" t="s">
        <v>121</v>
      </c>
      <c r="Z2414" t="s">
        <v>122</v>
      </c>
      <c r="AA2414" s="2" t="s">
        <v>15442</v>
      </c>
      <c r="AB2414" t="s">
        <v>548</v>
      </c>
      <c r="AG2414" t="s">
        <v>15443</v>
      </c>
      <c r="AH2414" t="s">
        <v>15431</v>
      </c>
      <c r="AI2414" t="s">
        <v>15444</v>
      </c>
    </row>
    <row r="2415" spans="2:35" ht="225">
      <c r="B2415" s="1">
        <v>45677</v>
      </c>
      <c r="C2415" s="1">
        <v>45673</v>
      </c>
      <c r="D2415" t="s">
        <v>702</v>
      </c>
      <c r="E2415" t="s">
        <v>13381</v>
      </c>
      <c r="F2415" t="s">
        <v>148</v>
      </c>
      <c r="G2415" t="s">
        <v>544</v>
      </c>
      <c r="H2415" t="s">
        <v>39</v>
      </c>
      <c r="I2415" t="s">
        <v>40</v>
      </c>
      <c r="J2415" t="s">
        <v>109</v>
      </c>
      <c r="K2415" t="s">
        <v>42</v>
      </c>
      <c r="L2415" t="s">
        <v>43</v>
      </c>
      <c r="N2415" t="s">
        <v>44</v>
      </c>
      <c r="Q2415">
        <v>30132</v>
      </c>
      <c r="R2415" t="s">
        <v>703</v>
      </c>
      <c r="S2415" t="s">
        <v>15445</v>
      </c>
      <c r="T2415">
        <v>26</v>
      </c>
      <c r="U2415" s="2" t="s">
        <v>15446</v>
      </c>
      <c r="W2415" t="s">
        <v>48</v>
      </c>
      <c r="X2415">
        <v>110008418</v>
      </c>
      <c r="Y2415" t="s">
        <v>121</v>
      </c>
      <c r="Z2415" t="s">
        <v>122</v>
      </c>
      <c r="AA2415" s="2" t="s">
        <v>10915</v>
      </c>
      <c r="AB2415" t="s">
        <v>88</v>
      </c>
      <c r="AG2415" t="s">
        <v>15447</v>
      </c>
      <c r="AH2415" t="s">
        <v>15448</v>
      </c>
      <c r="AI2415" t="s">
        <v>15449</v>
      </c>
    </row>
    <row r="2416" spans="2:35" ht="105">
      <c r="B2416" s="1">
        <v>45676</v>
      </c>
      <c r="C2416" s="1">
        <v>45674</v>
      </c>
      <c r="D2416" t="s">
        <v>2364</v>
      </c>
      <c r="E2416" t="s">
        <v>7483</v>
      </c>
      <c r="F2416">
        <v>12</v>
      </c>
      <c r="G2416" t="s">
        <v>978</v>
      </c>
      <c r="H2416" t="s">
        <v>1473</v>
      </c>
      <c r="I2416" t="s">
        <v>40</v>
      </c>
      <c r="J2416" s="2" t="s">
        <v>41</v>
      </c>
      <c r="K2416" t="s">
        <v>42</v>
      </c>
      <c r="L2416" t="s">
        <v>296</v>
      </c>
      <c r="N2416" t="s">
        <v>297</v>
      </c>
      <c r="Q2416">
        <v>30130</v>
      </c>
      <c r="R2416" t="s">
        <v>119</v>
      </c>
      <c r="S2416" t="s">
        <v>2366</v>
      </c>
      <c r="T2416">
        <v>25.9</v>
      </c>
      <c r="U2416" s="2" t="s">
        <v>15450</v>
      </c>
      <c r="V2416" s="1">
        <v>45674</v>
      </c>
      <c r="W2416" t="s">
        <v>981</v>
      </c>
      <c r="X2416">
        <v>838570</v>
      </c>
      <c r="Y2416" t="s">
        <v>15451</v>
      </c>
      <c r="Z2416" t="s">
        <v>15452</v>
      </c>
      <c r="AA2416" t="s">
        <v>15453</v>
      </c>
      <c r="AB2416" t="s">
        <v>972</v>
      </c>
      <c r="AD2416" t="s">
        <v>15454</v>
      </c>
      <c r="AE2416" t="s">
        <v>15455</v>
      </c>
      <c r="AG2416" t="s">
        <v>15456</v>
      </c>
      <c r="AH2416" t="s">
        <v>2372</v>
      </c>
      <c r="AI2416" t="s">
        <v>15457</v>
      </c>
    </row>
    <row r="2417" spans="2:35" ht="409.5">
      <c r="B2417" s="1">
        <v>45676</v>
      </c>
      <c r="C2417" s="1">
        <v>45672</v>
      </c>
      <c r="D2417" t="s">
        <v>5645</v>
      </c>
      <c r="E2417" t="s">
        <v>2136</v>
      </c>
      <c r="F2417" t="s">
        <v>1255</v>
      </c>
      <c r="G2417" t="s">
        <v>1887</v>
      </c>
      <c r="H2417" t="s">
        <v>1473</v>
      </c>
      <c r="I2417" t="s">
        <v>40</v>
      </c>
      <c r="J2417" s="2" t="s">
        <v>62</v>
      </c>
      <c r="K2417" t="s">
        <v>42</v>
      </c>
      <c r="L2417" t="s">
        <v>296</v>
      </c>
      <c r="N2417" t="s">
        <v>297</v>
      </c>
      <c r="O2417" t="s">
        <v>5646</v>
      </c>
      <c r="Q2417">
        <v>30129</v>
      </c>
      <c r="R2417" t="s">
        <v>119</v>
      </c>
      <c r="S2417" t="s">
        <v>11535</v>
      </c>
      <c r="T2417">
        <v>26.2</v>
      </c>
      <c r="U2417" s="2" t="s">
        <v>15458</v>
      </c>
      <c r="V2417" s="1">
        <v>45672</v>
      </c>
      <c r="W2417" t="s">
        <v>970</v>
      </c>
      <c r="X2417">
        <v>110023524</v>
      </c>
      <c r="Y2417" t="s">
        <v>301</v>
      </c>
      <c r="Z2417" s="2" t="s">
        <v>15459</v>
      </c>
      <c r="AA2417" s="2" t="s">
        <v>15460</v>
      </c>
      <c r="AB2417" s="2" t="s">
        <v>15461</v>
      </c>
      <c r="AD2417" s="2" t="s">
        <v>15462</v>
      </c>
      <c r="AE2417" t="s">
        <v>15463</v>
      </c>
      <c r="AG2417" t="s">
        <v>15464</v>
      </c>
      <c r="AH2417" t="s">
        <v>5650</v>
      </c>
      <c r="AI2417" t="s">
        <v>15465</v>
      </c>
    </row>
    <row r="2418" spans="2:35" ht="360">
      <c r="B2418" s="1">
        <v>45676</v>
      </c>
      <c r="C2418" s="1">
        <v>45676</v>
      </c>
      <c r="D2418" t="s">
        <v>15466</v>
      </c>
      <c r="E2418" t="s">
        <v>3823</v>
      </c>
      <c r="F2418" t="s">
        <v>148</v>
      </c>
      <c r="G2418" t="s">
        <v>310</v>
      </c>
      <c r="H2418" t="s">
        <v>513</v>
      </c>
      <c r="I2418" t="s">
        <v>40</v>
      </c>
      <c r="J2418" s="2" t="s">
        <v>760</v>
      </c>
      <c r="K2418" t="s">
        <v>387</v>
      </c>
      <c r="L2418" t="s">
        <v>80</v>
      </c>
      <c r="N2418" t="s">
        <v>81</v>
      </c>
      <c r="Q2418">
        <v>30128</v>
      </c>
      <c r="R2418" t="s">
        <v>95</v>
      </c>
      <c r="S2418" t="s">
        <v>3824</v>
      </c>
      <c r="T2418">
        <v>28</v>
      </c>
      <c r="V2418" s="1">
        <v>45676</v>
      </c>
      <c r="W2418" t="s">
        <v>476</v>
      </c>
      <c r="X2418" t="s">
        <v>3715</v>
      </c>
      <c r="Y2418" t="s">
        <v>15467</v>
      </c>
      <c r="Z2418" s="2" t="s">
        <v>15468</v>
      </c>
      <c r="AA2418" s="2" t="s">
        <v>15469</v>
      </c>
      <c r="AB2418" t="s">
        <v>15470</v>
      </c>
      <c r="AC2418" t="s">
        <v>103</v>
      </c>
      <c r="AD2418" t="s">
        <v>103</v>
      </c>
      <c r="AE2418" t="s">
        <v>103</v>
      </c>
      <c r="AG2418" t="s">
        <v>15471</v>
      </c>
      <c r="AH2418" t="s">
        <v>6118</v>
      </c>
      <c r="AI2418" t="s">
        <v>15472</v>
      </c>
    </row>
    <row r="2419" spans="2:35" ht="390">
      <c r="B2419" s="1">
        <v>45675</v>
      </c>
      <c r="C2419" s="1">
        <v>45674</v>
      </c>
      <c r="D2419" t="s">
        <v>1145</v>
      </c>
      <c r="E2419" t="s">
        <v>473</v>
      </c>
      <c r="F2419" t="s">
        <v>148</v>
      </c>
      <c r="G2419" t="s">
        <v>447</v>
      </c>
      <c r="H2419" t="s">
        <v>150</v>
      </c>
      <c r="I2419" t="s">
        <v>40</v>
      </c>
      <c r="J2419" t="s">
        <v>109</v>
      </c>
      <c r="K2419" t="s">
        <v>42</v>
      </c>
      <c r="L2419" t="s">
        <v>448</v>
      </c>
      <c r="N2419" t="s">
        <v>650</v>
      </c>
      <c r="Q2419">
        <v>30127</v>
      </c>
      <c r="R2419" t="s">
        <v>322</v>
      </c>
      <c r="S2419" t="s">
        <v>1147</v>
      </c>
      <c r="T2419">
        <v>29</v>
      </c>
      <c r="U2419" s="2" t="s">
        <v>15473</v>
      </c>
      <c r="W2419" t="s">
        <v>6121</v>
      </c>
      <c r="X2419">
        <v>838837</v>
      </c>
      <c r="Y2419" s="2" t="s">
        <v>15474</v>
      </c>
      <c r="Z2419" s="2" t="s">
        <v>13693</v>
      </c>
      <c r="AA2419" t="s">
        <v>122</v>
      </c>
      <c r="AB2419" s="2" t="s">
        <v>15475</v>
      </c>
      <c r="AG2419" t="s">
        <v>15476</v>
      </c>
      <c r="AH2419" t="s">
        <v>1153</v>
      </c>
      <c r="AI2419" t="s">
        <v>15477</v>
      </c>
    </row>
    <row r="2420" spans="2:35" ht="255">
      <c r="B2420" s="1">
        <v>45675</v>
      </c>
      <c r="C2420" s="1">
        <v>45674</v>
      </c>
      <c r="D2420" t="s">
        <v>3679</v>
      </c>
      <c r="E2420" t="s">
        <v>2580</v>
      </c>
      <c r="F2420" t="s">
        <v>148</v>
      </c>
      <c r="G2420" t="s">
        <v>447</v>
      </c>
      <c r="H2420" t="s">
        <v>662</v>
      </c>
      <c r="I2420" t="s">
        <v>40</v>
      </c>
      <c r="J2420" t="s">
        <v>109</v>
      </c>
      <c r="K2420" t="s">
        <v>42</v>
      </c>
      <c r="L2420" t="s">
        <v>448</v>
      </c>
      <c r="N2420" t="s">
        <v>450</v>
      </c>
      <c r="O2420" t="s">
        <v>3680</v>
      </c>
      <c r="Q2420">
        <v>30126</v>
      </c>
      <c r="R2420" t="s">
        <v>322</v>
      </c>
      <c r="S2420" t="s">
        <v>6492</v>
      </c>
      <c r="T2420">
        <v>24</v>
      </c>
      <c r="U2420" s="2" t="s">
        <v>15478</v>
      </c>
      <c r="W2420" t="s">
        <v>895</v>
      </c>
      <c r="X2420">
        <v>838655</v>
      </c>
      <c r="Y2420" s="2" t="s">
        <v>15479</v>
      </c>
      <c r="Z2420" s="2" t="s">
        <v>13693</v>
      </c>
      <c r="AA2420" t="s">
        <v>122</v>
      </c>
      <c r="AB2420" t="s">
        <v>15480</v>
      </c>
      <c r="AG2420" t="s">
        <v>15481</v>
      </c>
      <c r="AH2420" t="s">
        <v>3679</v>
      </c>
      <c r="AI2420" t="s">
        <v>15482</v>
      </c>
    </row>
    <row r="2421" spans="2:35" ht="45">
      <c r="B2421" s="1">
        <v>45674</v>
      </c>
      <c r="C2421" s="1">
        <v>45636</v>
      </c>
      <c r="D2421" t="s">
        <v>267</v>
      </c>
      <c r="E2421" t="s">
        <v>268</v>
      </c>
      <c r="F2421">
        <v>7</v>
      </c>
      <c r="G2421" t="s">
        <v>269</v>
      </c>
      <c r="H2421" t="s">
        <v>39</v>
      </c>
      <c r="I2421" t="s">
        <v>40</v>
      </c>
      <c r="J2421" s="2" t="s">
        <v>41</v>
      </c>
      <c r="K2421" t="s">
        <v>42</v>
      </c>
      <c r="L2421" t="s">
        <v>270</v>
      </c>
      <c r="N2421" t="s">
        <v>2481</v>
      </c>
      <c r="Q2421">
        <v>30125</v>
      </c>
      <c r="R2421" t="s">
        <v>119</v>
      </c>
      <c r="S2421" t="s">
        <v>13431</v>
      </c>
      <c r="T2421">
        <v>25</v>
      </c>
      <c r="V2421" s="1">
        <v>45624</v>
      </c>
      <c r="W2421" t="s">
        <v>666</v>
      </c>
      <c r="X2421">
        <v>838475</v>
      </c>
      <c r="Y2421" t="s">
        <v>15483</v>
      </c>
      <c r="Z2421" t="e">
        <f ca="1">-performed Cleaning on _xludf.filter, optics, module Bays, plunger rods.
-Archiced tests.</f>
        <v>#NAME?</v>
      </c>
      <c r="AA2421" t="s">
        <v>15484</v>
      </c>
      <c r="AB2421" t="s">
        <v>4668</v>
      </c>
      <c r="AD2421" t="s">
        <v>15485</v>
      </c>
      <c r="AE2421">
        <v>12383</v>
      </c>
      <c r="AG2421" t="s">
        <v>15486</v>
      </c>
      <c r="AH2421" t="s">
        <v>15487</v>
      </c>
      <c r="AI2421" t="s">
        <v>15488</v>
      </c>
    </row>
    <row r="2422" spans="2:35" ht="180">
      <c r="B2422" s="1">
        <v>45674</v>
      </c>
      <c r="C2422" s="1">
        <v>45674</v>
      </c>
      <c r="D2422" t="s">
        <v>12460</v>
      </c>
      <c r="E2422" t="s">
        <v>15489</v>
      </c>
      <c r="F2422">
        <v>6</v>
      </c>
      <c r="G2422" t="s">
        <v>1234</v>
      </c>
      <c r="H2422" t="s">
        <v>39</v>
      </c>
      <c r="I2422" t="s">
        <v>40</v>
      </c>
      <c r="J2422" s="2" t="s">
        <v>41</v>
      </c>
      <c r="K2422" t="s">
        <v>42</v>
      </c>
      <c r="L2422" t="s">
        <v>270</v>
      </c>
      <c r="N2422" t="s">
        <v>2481</v>
      </c>
      <c r="Q2422">
        <v>30124</v>
      </c>
      <c r="R2422" t="s">
        <v>119</v>
      </c>
      <c r="S2422" t="s">
        <v>15490</v>
      </c>
      <c r="T2422">
        <v>26</v>
      </c>
      <c r="U2422" s="2" t="s">
        <v>15491</v>
      </c>
      <c r="V2422" s="1">
        <v>45665</v>
      </c>
      <c r="W2422" t="s">
        <v>360</v>
      </c>
      <c r="X2422">
        <v>838491</v>
      </c>
      <c r="Y2422" t="s">
        <v>15492</v>
      </c>
      <c r="Z2422" t="s">
        <v>15493</v>
      </c>
      <c r="AA2422" s="2" t="s">
        <v>15494</v>
      </c>
      <c r="AB2422" t="s">
        <v>4668</v>
      </c>
      <c r="AD2422" t="s">
        <v>15495</v>
      </c>
      <c r="AE2422">
        <v>12547</v>
      </c>
      <c r="AG2422" t="s">
        <v>15496</v>
      </c>
      <c r="AH2422" t="s">
        <v>15497</v>
      </c>
      <c r="AI2422" t="s">
        <v>15498</v>
      </c>
    </row>
    <row r="2423" spans="2:35" ht="105">
      <c r="B2423" s="1">
        <v>45674</v>
      </c>
      <c r="C2423" s="1">
        <v>45674</v>
      </c>
      <c r="D2423" t="s">
        <v>5553</v>
      </c>
      <c r="E2423" t="s">
        <v>15499</v>
      </c>
      <c r="F2423">
        <v>8</v>
      </c>
      <c r="G2423" t="s">
        <v>2945</v>
      </c>
      <c r="H2423" t="s">
        <v>258</v>
      </c>
      <c r="I2423" t="s">
        <v>40</v>
      </c>
      <c r="J2423" s="2" t="s">
        <v>62</v>
      </c>
      <c r="K2423" t="s">
        <v>42</v>
      </c>
      <c r="L2423" t="s">
        <v>259</v>
      </c>
      <c r="N2423" t="s">
        <v>260</v>
      </c>
      <c r="Q2423">
        <v>30123</v>
      </c>
      <c r="R2423" t="s">
        <v>967</v>
      </c>
      <c r="S2423" t="s">
        <v>5555</v>
      </c>
      <c r="T2423">
        <v>26</v>
      </c>
      <c r="U2423" s="2" t="s">
        <v>15500</v>
      </c>
      <c r="V2423" s="1">
        <v>45674</v>
      </c>
      <c r="W2423" t="s">
        <v>423</v>
      </c>
      <c r="X2423">
        <v>110023514</v>
      </c>
      <c r="Y2423" t="s">
        <v>67</v>
      </c>
      <c r="Z2423" t="e">
        <f ca="1">- Preventive Maintenance
- CALIBRATION</f>
        <v>#NAME?</v>
      </c>
      <c r="AA2423" t="e">
        <f ca="1">- performed Preventive Maintenance
- XpertCheck CALIBRATION
- Create reports (IQR _xludf.and system _xludf.Log)</f>
        <v>#NAME?</v>
      </c>
      <c r="AB2423" t="s">
        <v>14930</v>
      </c>
      <c r="AD2423" t="s">
        <v>15501</v>
      </c>
      <c r="AE2423">
        <v>12482</v>
      </c>
      <c r="AG2423" t="s">
        <v>15502</v>
      </c>
      <c r="AH2423" t="s">
        <v>15503</v>
      </c>
      <c r="AI2423" t="s">
        <v>15504</v>
      </c>
    </row>
    <row r="2424" spans="2:35" ht="105">
      <c r="B2424" s="1">
        <v>45674</v>
      </c>
      <c r="C2424" s="1">
        <v>45674</v>
      </c>
      <c r="D2424" t="s">
        <v>5553</v>
      </c>
      <c r="E2424" t="s">
        <v>15499</v>
      </c>
      <c r="F2424">
        <v>8</v>
      </c>
      <c r="G2424" t="s">
        <v>2945</v>
      </c>
      <c r="H2424" t="s">
        <v>258</v>
      </c>
      <c r="I2424" t="s">
        <v>40</v>
      </c>
      <c r="J2424" s="2" t="s">
        <v>62</v>
      </c>
      <c r="K2424" t="s">
        <v>42</v>
      </c>
      <c r="L2424" t="s">
        <v>259</v>
      </c>
      <c r="N2424" t="s">
        <v>260</v>
      </c>
      <c r="Q2424">
        <v>30122</v>
      </c>
      <c r="R2424" t="s">
        <v>967</v>
      </c>
      <c r="S2424" t="s">
        <v>5555</v>
      </c>
      <c r="T2424">
        <v>26</v>
      </c>
      <c r="U2424" s="2" t="s">
        <v>15500</v>
      </c>
      <c r="V2424" s="1">
        <v>45674</v>
      </c>
      <c r="W2424" t="s">
        <v>423</v>
      </c>
      <c r="X2424">
        <v>110023514</v>
      </c>
      <c r="Y2424" t="s">
        <v>67</v>
      </c>
      <c r="Z2424" t="e">
        <f ca="1">- Preventive Maintenance
- CALIBRATION</f>
        <v>#NAME?</v>
      </c>
      <c r="AA2424" t="e">
        <f ca="1">- performed Preventive Maintenance
- XpertCheck CALIBRATION
- Create reports (IQR _xludf.and system _xludf.Log)</f>
        <v>#NAME?</v>
      </c>
      <c r="AB2424" t="s">
        <v>14930</v>
      </c>
      <c r="AD2424" t="s">
        <v>15501</v>
      </c>
      <c r="AE2424">
        <v>12482</v>
      </c>
      <c r="AG2424" t="s">
        <v>15505</v>
      </c>
      <c r="AH2424" t="s">
        <v>15503</v>
      </c>
      <c r="AI2424" t="s">
        <v>15506</v>
      </c>
    </row>
    <row r="2425" spans="2:35">
      <c r="B2425" s="1">
        <v>45674</v>
      </c>
      <c r="C2425" s="1">
        <v>45674</v>
      </c>
      <c r="D2425" t="s">
        <v>15507</v>
      </c>
      <c r="E2425" t="s">
        <v>15508</v>
      </c>
      <c r="F2425">
        <v>9</v>
      </c>
      <c r="G2425" t="s">
        <v>2197</v>
      </c>
      <c r="H2425" t="s">
        <v>61</v>
      </c>
      <c r="I2425" t="s">
        <v>94</v>
      </c>
      <c r="J2425" t="s">
        <v>321</v>
      </c>
      <c r="K2425" t="s">
        <v>42</v>
      </c>
      <c r="L2425" t="s">
        <v>1257</v>
      </c>
      <c r="N2425" t="s">
        <v>1258</v>
      </c>
      <c r="O2425" t="s">
        <v>2199</v>
      </c>
      <c r="Q2425">
        <v>30121</v>
      </c>
      <c r="R2425" t="s">
        <v>95</v>
      </c>
      <c r="S2425" t="s">
        <v>15509</v>
      </c>
      <c r="T2425">
        <v>26</v>
      </c>
      <c r="V2425" s="1">
        <v>45667</v>
      </c>
      <c r="W2425" t="s">
        <v>2384</v>
      </c>
      <c r="X2425">
        <v>110025742</v>
      </c>
      <c r="Y2425" t="s">
        <v>301</v>
      </c>
      <c r="Z2425" t="s">
        <v>15510</v>
      </c>
      <c r="AA2425" t="s">
        <v>15510</v>
      </c>
      <c r="AB2425" t="s">
        <v>3161</v>
      </c>
      <c r="AC2425" t="s">
        <v>301</v>
      </c>
      <c r="AD2425" t="s">
        <v>15511</v>
      </c>
      <c r="AE2425">
        <v>12555</v>
      </c>
      <c r="AG2425" t="s">
        <v>15512</v>
      </c>
      <c r="AH2425" t="s">
        <v>15513</v>
      </c>
      <c r="AI2425" t="s">
        <v>15514</v>
      </c>
    </row>
    <row r="2426" spans="2:35" ht="210">
      <c r="B2426" s="1">
        <v>45674</v>
      </c>
      <c r="C2426" s="1">
        <v>45674</v>
      </c>
      <c r="D2426" t="s">
        <v>8074</v>
      </c>
      <c r="E2426" t="s">
        <v>15515</v>
      </c>
      <c r="F2426">
        <v>6</v>
      </c>
      <c r="G2426" t="s">
        <v>4457</v>
      </c>
      <c r="H2426" t="s">
        <v>39</v>
      </c>
      <c r="I2426" t="s">
        <v>40</v>
      </c>
      <c r="J2426" s="2" t="s">
        <v>190</v>
      </c>
      <c r="K2426" t="s">
        <v>42</v>
      </c>
      <c r="L2426" t="s">
        <v>343</v>
      </c>
      <c r="N2426" t="s">
        <v>344</v>
      </c>
      <c r="Q2426">
        <v>30120</v>
      </c>
      <c r="R2426" t="s">
        <v>119</v>
      </c>
      <c r="S2426" t="s">
        <v>8076</v>
      </c>
      <c r="T2426">
        <v>29</v>
      </c>
      <c r="U2426" s="2" t="s">
        <v>15516</v>
      </c>
      <c r="W2426" t="s">
        <v>1501</v>
      </c>
      <c r="X2426">
        <v>838457</v>
      </c>
      <c r="Y2426" t="e">
        <f ca="1">-module B3 H/W Failed
-DUE _xludf.For PM</f>
        <v>#NAME?</v>
      </c>
      <c r="Z2426" t="s">
        <v>15517</v>
      </c>
      <c r="AA2426" t="e">
        <f ca="1">-Preventive Maintenance
-PERFORM self test on module B3
-Check ambient temperature</f>
        <v>#NAME?</v>
      </c>
      <c r="AB2426" t="s">
        <v>15518</v>
      </c>
      <c r="AG2426" t="s">
        <v>15519</v>
      </c>
      <c r="AH2426" t="s">
        <v>8079</v>
      </c>
      <c r="AI2426" t="s">
        <v>15520</v>
      </c>
    </row>
    <row r="2427" spans="2:35">
      <c r="B2427" s="1">
        <v>45673</v>
      </c>
      <c r="C2427" s="1">
        <v>45671</v>
      </c>
      <c r="D2427" t="s">
        <v>1203</v>
      </c>
      <c r="E2427" t="s">
        <v>15521</v>
      </c>
      <c r="F2427">
        <v>11</v>
      </c>
      <c r="G2427" t="s">
        <v>1205</v>
      </c>
      <c r="H2427" t="s">
        <v>8378</v>
      </c>
      <c r="I2427" t="s">
        <v>40</v>
      </c>
      <c r="J2427" t="s">
        <v>15522</v>
      </c>
      <c r="K2427" t="s">
        <v>387</v>
      </c>
      <c r="L2427" t="s">
        <v>204</v>
      </c>
      <c r="N2427" t="s">
        <v>205</v>
      </c>
      <c r="O2427" t="s">
        <v>2867</v>
      </c>
      <c r="Q2427">
        <v>30119</v>
      </c>
      <c r="R2427" t="s">
        <v>95</v>
      </c>
      <c r="S2427" t="s">
        <v>6866</v>
      </c>
      <c r="T2427">
        <v>24.5</v>
      </c>
      <c r="V2427" s="1">
        <v>45618</v>
      </c>
      <c r="W2427" t="s">
        <v>390</v>
      </c>
      <c r="X2427" t="s">
        <v>15523</v>
      </c>
      <c r="Y2427" t="s">
        <v>15524</v>
      </c>
      <c r="Z2427" t="s">
        <v>15525</v>
      </c>
      <c r="AA2427" t="s">
        <v>15525</v>
      </c>
      <c r="AB2427" t="s">
        <v>15526</v>
      </c>
      <c r="AD2427" t="s">
        <v>15527</v>
      </c>
      <c r="AE2427">
        <v>12348</v>
      </c>
      <c r="AG2427" t="s">
        <v>15528</v>
      </c>
      <c r="AH2427" t="s">
        <v>15529</v>
      </c>
      <c r="AI2427" t="s">
        <v>15530</v>
      </c>
    </row>
    <row r="2428" spans="2:35" ht="240">
      <c r="B2428" s="1">
        <v>45673</v>
      </c>
      <c r="C2428" s="1">
        <v>45673</v>
      </c>
      <c r="D2428" t="s">
        <v>15531</v>
      </c>
      <c r="E2428" t="s">
        <v>11858</v>
      </c>
      <c r="F2428" t="s">
        <v>148</v>
      </c>
      <c r="G2428" t="s">
        <v>310</v>
      </c>
      <c r="H2428" t="s">
        <v>39</v>
      </c>
      <c r="I2428" t="s">
        <v>40</v>
      </c>
      <c r="J2428" t="s">
        <v>109</v>
      </c>
      <c r="K2428" t="s">
        <v>42</v>
      </c>
      <c r="L2428" t="s">
        <v>15532</v>
      </c>
      <c r="N2428" t="s">
        <v>15533</v>
      </c>
      <c r="Q2428">
        <v>30118</v>
      </c>
      <c r="R2428" t="s">
        <v>703</v>
      </c>
      <c r="S2428" t="s">
        <v>2912</v>
      </c>
      <c r="T2428">
        <v>27</v>
      </c>
      <c r="U2428" s="2" t="s">
        <v>15534</v>
      </c>
      <c r="W2428" t="s">
        <v>15535</v>
      </c>
      <c r="X2428">
        <v>835540</v>
      </c>
      <c r="Y2428" t="s">
        <v>15536</v>
      </c>
      <c r="Z2428" s="2" t="s">
        <v>15537</v>
      </c>
      <c r="AA2428" s="2" t="s">
        <v>15538</v>
      </c>
      <c r="AB2428" s="2" t="s">
        <v>15539</v>
      </c>
      <c r="AG2428" t="s">
        <v>15540</v>
      </c>
      <c r="AH2428" t="s">
        <v>15541</v>
      </c>
      <c r="AI2428" t="s">
        <v>15542</v>
      </c>
    </row>
    <row r="2429" spans="2:35" ht="105">
      <c r="B2429" s="1">
        <v>45673</v>
      </c>
      <c r="C2429" s="1">
        <v>45673</v>
      </c>
      <c r="D2429" t="s">
        <v>15543</v>
      </c>
      <c r="E2429" t="s">
        <v>15544</v>
      </c>
      <c r="F2429">
        <v>6</v>
      </c>
      <c r="G2429" t="s">
        <v>5216</v>
      </c>
      <c r="H2429" t="s">
        <v>10969</v>
      </c>
      <c r="I2429" t="s">
        <v>40</v>
      </c>
      <c r="J2429" t="s">
        <v>109</v>
      </c>
      <c r="K2429" t="s">
        <v>42</v>
      </c>
      <c r="L2429" t="s">
        <v>1288</v>
      </c>
      <c r="N2429" t="s">
        <v>1289</v>
      </c>
      <c r="Q2429">
        <v>30117</v>
      </c>
      <c r="R2429" t="s">
        <v>967</v>
      </c>
      <c r="S2429" t="s">
        <v>10806</v>
      </c>
      <c r="T2429">
        <v>29</v>
      </c>
      <c r="U2429" s="2" t="s">
        <v>1509</v>
      </c>
      <c r="V2429" s="1">
        <v>45665</v>
      </c>
      <c r="W2429" t="s">
        <v>1292</v>
      </c>
      <c r="X2429">
        <v>110023540</v>
      </c>
      <c r="Y2429" t="s">
        <v>10179</v>
      </c>
      <c r="Z2429" t="s">
        <v>15545</v>
      </c>
      <c r="AA2429" t="e">
        <f ca="1">-PERFORM Maintenance PROCEDURE
-PERFORM CALIBRATION, ALL modules passed</f>
        <v>#NAME?</v>
      </c>
      <c r="AB2429" t="s">
        <v>1293</v>
      </c>
      <c r="AD2429" t="s">
        <v>15546</v>
      </c>
      <c r="AE2429">
        <v>12517</v>
      </c>
      <c r="AG2429" t="s">
        <v>15547</v>
      </c>
      <c r="AH2429" t="s">
        <v>15548</v>
      </c>
      <c r="AI2429" t="s">
        <v>15549</v>
      </c>
    </row>
    <row r="2430" spans="2:35" ht="120">
      <c r="B2430" s="1">
        <v>45673</v>
      </c>
      <c r="C2430" s="1">
        <v>45673</v>
      </c>
      <c r="D2430" t="s">
        <v>5313</v>
      </c>
      <c r="E2430" t="s">
        <v>15550</v>
      </c>
      <c r="F2430">
        <v>10</v>
      </c>
      <c r="G2430" t="s">
        <v>5315</v>
      </c>
      <c r="H2430" t="s">
        <v>202</v>
      </c>
      <c r="I2430" t="s">
        <v>40</v>
      </c>
      <c r="J2430" s="2" t="s">
        <v>62</v>
      </c>
      <c r="K2430" t="s">
        <v>42</v>
      </c>
      <c r="L2430" t="s">
        <v>933</v>
      </c>
      <c r="N2430" t="s">
        <v>934</v>
      </c>
      <c r="Q2430">
        <v>30116</v>
      </c>
      <c r="R2430" t="s">
        <v>967</v>
      </c>
      <c r="S2430" t="s">
        <v>5317</v>
      </c>
      <c r="T2430">
        <v>28</v>
      </c>
      <c r="V2430" s="1">
        <v>45665</v>
      </c>
      <c r="W2430" t="s">
        <v>10115</v>
      </c>
      <c r="X2430">
        <v>110023519</v>
      </c>
      <c r="Y2430" t="s">
        <v>301</v>
      </c>
      <c r="Z2430" t="s">
        <v>301</v>
      </c>
      <c r="AA2430" s="2" t="s">
        <v>15551</v>
      </c>
      <c r="AB2430" t="s">
        <v>2131</v>
      </c>
      <c r="AC2430" t="s">
        <v>15552</v>
      </c>
      <c r="AD2430" t="s">
        <v>15553</v>
      </c>
      <c r="AE2430">
        <v>12475</v>
      </c>
      <c r="AG2430" t="s">
        <v>15554</v>
      </c>
      <c r="AH2430" t="s">
        <v>15555</v>
      </c>
      <c r="AI2430" t="s">
        <v>15556</v>
      </c>
    </row>
    <row r="2431" spans="2:35" ht="240">
      <c r="B2431" s="1">
        <v>45673</v>
      </c>
      <c r="C2431" s="1">
        <v>45673</v>
      </c>
      <c r="D2431" t="s">
        <v>15557</v>
      </c>
      <c r="E2431" t="s">
        <v>15558</v>
      </c>
      <c r="F2431" t="s">
        <v>148</v>
      </c>
      <c r="G2431" t="s">
        <v>447</v>
      </c>
      <c r="H2431" t="s">
        <v>39</v>
      </c>
      <c r="I2431" t="s">
        <v>40</v>
      </c>
      <c r="J2431" t="s">
        <v>109</v>
      </c>
      <c r="K2431" t="s">
        <v>42</v>
      </c>
      <c r="L2431" t="s">
        <v>15532</v>
      </c>
      <c r="N2431" t="s">
        <v>15533</v>
      </c>
      <c r="Q2431">
        <v>30115</v>
      </c>
      <c r="R2431" t="s">
        <v>703</v>
      </c>
      <c r="S2431" t="s">
        <v>7787</v>
      </c>
      <c r="T2431">
        <v>26</v>
      </c>
      <c r="U2431" s="2" t="s">
        <v>15559</v>
      </c>
      <c r="W2431" t="s">
        <v>15535</v>
      </c>
      <c r="X2431">
        <v>840975</v>
      </c>
      <c r="Y2431" t="s">
        <v>15536</v>
      </c>
      <c r="Z2431" s="2" t="s">
        <v>15560</v>
      </c>
      <c r="AA2431" s="2" t="s">
        <v>15538</v>
      </c>
      <c r="AB2431" s="2" t="s">
        <v>15539</v>
      </c>
      <c r="AG2431" t="s">
        <v>15561</v>
      </c>
      <c r="AH2431" t="s">
        <v>7793</v>
      </c>
      <c r="AI2431" t="s">
        <v>15562</v>
      </c>
    </row>
    <row r="2432" spans="2:35" ht="409.5">
      <c r="B2432" s="1">
        <v>45673</v>
      </c>
      <c r="C2432" s="1">
        <v>45673</v>
      </c>
      <c r="D2432" t="s">
        <v>7522</v>
      </c>
      <c r="E2432" t="s">
        <v>15563</v>
      </c>
      <c r="F2432">
        <v>11</v>
      </c>
      <c r="G2432" t="s">
        <v>1759</v>
      </c>
      <c r="H2432" t="s">
        <v>202</v>
      </c>
      <c r="I2432" t="s">
        <v>40</v>
      </c>
      <c r="J2432" s="2" t="s">
        <v>2170</v>
      </c>
      <c r="K2432" t="s">
        <v>42</v>
      </c>
      <c r="L2432" t="s">
        <v>204</v>
      </c>
      <c r="N2432" t="s">
        <v>205</v>
      </c>
      <c r="Q2432">
        <v>30114</v>
      </c>
      <c r="R2432" t="s">
        <v>119</v>
      </c>
      <c r="S2432" t="s">
        <v>7524</v>
      </c>
      <c r="T2432">
        <v>25.7</v>
      </c>
      <c r="U2432" s="2" t="s">
        <v>14345</v>
      </c>
      <c r="V2432" s="1">
        <v>45665</v>
      </c>
      <c r="W2432" t="s">
        <v>208</v>
      </c>
      <c r="X2432">
        <v>838500</v>
      </c>
      <c r="Y2432" s="2" t="s">
        <v>15564</v>
      </c>
      <c r="Z2432" s="2" t="s">
        <v>15565</v>
      </c>
      <c r="AA2432" t="s">
        <v>2560</v>
      </c>
      <c r="AB2432" t="s">
        <v>1211</v>
      </c>
      <c r="AD2432" t="s">
        <v>15566</v>
      </c>
      <c r="AE2432">
        <v>12544</v>
      </c>
      <c r="AG2432" t="s">
        <v>15567</v>
      </c>
      <c r="AH2432" t="s">
        <v>15568</v>
      </c>
      <c r="AI2432" t="s">
        <v>15569</v>
      </c>
    </row>
    <row r="2433" spans="2:35" ht="165">
      <c r="B2433" s="1">
        <v>45673</v>
      </c>
      <c r="C2433" s="1">
        <v>45673</v>
      </c>
      <c r="D2433" t="s">
        <v>5228</v>
      </c>
      <c r="E2433" t="s">
        <v>582</v>
      </c>
      <c r="F2433" t="s">
        <v>148</v>
      </c>
      <c r="G2433" t="s">
        <v>447</v>
      </c>
      <c r="H2433" t="s">
        <v>39</v>
      </c>
      <c r="I2433" t="s">
        <v>40</v>
      </c>
      <c r="J2433" s="2" t="s">
        <v>62</v>
      </c>
      <c r="K2433" t="s">
        <v>42</v>
      </c>
      <c r="L2433" t="s">
        <v>175</v>
      </c>
      <c r="N2433" t="s">
        <v>176</v>
      </c>
      <c r="Q2433">
        <v>30113</v>
      </c>
      <c r="R2433" t="s">
        <v>967</v>
      </c>
      <c r="S2433" t="s">
        <v>5229</v>
      </c>
      <c r="T2433">
        <v>25</v>
      </c>
      <c r="V2433" s="1">
        <v>45665</v>
      </c>
      <c r="W2433" t="s">
        <v>373</v>
      </c>
      <c r="X2433">
        <v>110023495</v>
      </c>
      <c r="Y2433" s="2" t="s">
        <v>15570</v>
      </c>
      <c r="Z2433" t="s">
        <v>999</v>
      </c>
      <c r="AA2433" t="e">
        <f ca="1">- checked _xludf.and cleaned cartridge bay, plunger rod, _xludf.filter, icore slot
- performed XpertCheck
- generated reports
- performed self test</f>
        <v>#NAME?</v>
      </c>
      <c r="AB2433" s="2" t="s">
        <v>3572</v>
      </c>
      <c r="AD2433" t="s">
        <v>7189</v>
      </c>
      <c r="AE2433">
        <v>12492</v>
      </c>
      <c r="AG2433" t="s">
        <v>15571</v>
      </c>
      <c r="AH2433" t="s">
        <v>15572</v>
      </c>
      <c r="AI2433" t="s">
        <v>15573</v>
      </c>
    </row>
    <row r="2434" spans="2:35" ht="105">
      <c r="B2434" s="1">
        <v>45673</v>
      </c>
      <c r="C2434" s="1">
        <v>45673</v>
      </c>
      <c r="D2434" t="s">
        <v>15574</v>
      </c>
      <c r="E2434" t="s">
        <v>15575</v>
      </c>
      <c r="F2434">
        <v>6</v>
      </c>
      <c r="G2434" t="s">
        <v>5216</v>
      </c>
      <c r="H2434" t="s">
        <v>10969</v>
      </c>
      <c r="I2434" t="s">
        <v>40</v>
      </c>
      <c r="J2434" t="s">
        <v>996</v>
      </c>
      <c r="K2434" t="s">
        <v>42</v>
      </c>
      <c r="L2434" t="s">
        <v>1288</v>
      </c>
      <c r="N2434" t="s">
        <v>1289</v>
      </c>
      <c r="Q2434">
        <v>30112</v>
      </c>
      <c r="R2434" t="s">
        <v>967</v>
      </c>
      <c r="S2434" t="s">
        <v>15576</v>
      </c>
      <c r="T2434">
        <v>28</v>
      </c>
      <c r="U2434" s="2" t="s">
        <v>1509</v>
      </c>
      <c r="V2434" s="1">
        <v>45665</v>
      </c>
      <c r="W2434" t="s">
        <v>1292</v>
      </c>
      <c r="X2434">
        <v>110023539</v>
      </c>
      <c r="Y2434" t="s">
        <v>15577</v>
      </c>
      <c r="Z2434" t="e">
        <f ca="1">-COLLECT IQR _xludf.and CALIBRATION Data</f>
        <v>#NAME?</v>
      </c>
      <c r="AA2434" t="e">
        <f ca="1">-PERFORM Maintenance PROCEDURE
-PERFORM GeneXpert CALIBRATION: ALL modules passed</f>
        <v>#NAME?</v>
      </c>
      <c r="AB2434" t="s">
        <v>1293</v>
      </c>
      <c r="AD2434" t="s">
        <v>15578</v>
      </c>
      <c r="AE2434">
        <v>12521</v>
      </c>
      <c r="AG2434" t="s">
        <v>15579</v>
      </c>
      <c r="AH2434" t="s">
        <v>15580</v>
      </c>
      <c r="AI2434" t="s">
        <v>15581</v>
      </c>
    </row>
    <row r="2435" spans="2:35" ht="165">
      <c r="B2435" s="1">
        <v>45673</v>
      </c>
      <c r="C2435" s="1">
        <v>45673</v>
      </c>
      <c r="D2435" t="s">
        <v>15582</v>
      </c>
      <c r="E2435" t="s">
        <v>15583</v>
      </c>
      <c r="F2435">
        <v>6</v>
      </c>
      <c r="G2435" t="s">
        <v>1286</v>
      </c>
      <c r="H2435" t="s">
        <v>39</v>
      </c>
      <c r="I2435" t="s">
        <v>40</v>
      </c>
      <c r="J2435" s="2" t="s">
        <v>62</v>
      </c>
      <c r="K2435" t="s">
        <v>42</v>
      </c>
      <c r="L2435" t="s">
        <v>433</v>
      </c>
      <c r="N2435" t="s">
        <v>434</v>
      </c>
      <c r="Q2435">
        <v>30111</v>
      </c>
      <c r="R2435" t="s">
        <v>967</v>
      </c>
      <c r="S2435" t="s">
        <v>5404</v>
      </c>
      <c r="T2435">
        <v>27</v>
      </c>
      <c r="W2435" t="s">
        <v>502</v>
      </c>
      <c r="X2435">
        <v>110023533</v>
      </c>
      <c r="Y2435" t="s">
        <v>2303</v>
      </c>
      <c r="Z2435" s="2" t="s">
        <v>15584</v>
      </c>
      <c r="AA2435" s="2" t="s">
        <v>15584</v>
      </c>
      <c r="AB2435" s="2" t="s">
        <v>5277</v>
      </c>
      <c r="AG2435" t="s">
        <v>15585</v>
      </c>
      <c r="AH2435" t="s">
        <v>5407</v>
      </c>
      <c r="AI2435" t="s">
        <v>15586</v>
      </c>
    </row>
    <row r="2436" spans="2:35" ht="180">
      <c r="B2436" s="1">
        <v>45673</v>
      </c>
      <c r="C2436" s="1">
        <v>45673</v>
      </c>
      <c r="D2436" t="s">
        <v>9732</v>
      </c>
      <c r="E2436" t="s">
        <v>5435</v>
      </c>
      <c r="F2436">
        <v>6</v>
      </c>
      <c r="G2436" t="s">
        <v>1286</v>
      </c>
      <c r="H2436" t="s">
        <v>39</v>
      </c>
      <c r="I2436" t="s">
        <v>40</v>
      </c>
      <c r="J2436" s="2" t="s">
        <v>62</v>
      </c>
      <c r="K2436" t="s">
        <v>42</v>
      </c>
      <c r="L2436" t="s">
        <v>433</v>
      </c>
      <c r="N2436" t="s">
        <v>434</v>
      </c>
      <c r="Q2436">
        <v>30110</v>
      </c>
      <c r="R2436" t="s">
        <v>967</v>
      </c>
      <c r="S2436" t="s">
        <v>5436</v>
      </c>
      <c r="T2436">
        <v>28</v>
      </c>
      <c r="W2436" t="s">
        <v>502</v>
      </c>
      <c r="X2436">
        <v>110023534</v>
      </c>
      <c r="Y2436" t="s">
        <v>2303</v>
      </c>
      <c r="Z2436" s="2" t="s">
        <v>15587</v>
      </c>
      <c r="AA2436" s="2" t="s">
        <v>15587</v>
      </c>
      <c r="AB2436" t="s">
        <v>1011</v>
      </c>
      <c r="AG2436" t="s">
        <v>15588</v>
      </c>
      <c r="AH2436" t="s">
        <v>5440</v>
      </c>
      <c r="AI2436" t="s">
        <v>15589</v>
      </c>
    </row>
    <row r="2437" spans="2:35" ht="135">
      <c r="B2437" s="1">
        <v>45673</v>
      </c>
      <c r="C2437" s="1">
        <v>45672</v>
      </c>
      <c r="D2437" t="s">
        <v>15590</v>
      </c>
      <c r="E2437" t="s">
        <v>5379</v>
      </c>
      <c r="F2437">
        <v>6</v>
      </c>
      <c r="G2437" t="s">
        <v>1507</v>
      </c>
      <c r="H2437" t="s">
        <v>258</v>
      </c>
      <c r="I2437" t="s">
        <v>40</v>
      </c>
      <c r="J2437" s="2" t="s">
        <v>62</v>
      </c>
      <c r="K2437" t="s">
        <v>42</v>
      </c>
      <c r="L2437" t="s">
        <v>270</v>
      </c>
      <c r="N2437" t="s">
        <v>2481</v>
      </c>
      <c r="Q2437">
        <v>30109</v>
      </c>
      <c r="R2437" t="s">
        <v>119</v>
      </c>
      <c r="S2437" t="s">
        <v>5380</v>
      </c>
      <c r="T2437">
        <v>24</v>
      </c>
      <c r="V2437" s="1">
        <v>45665</v>
      </c>
      <c r="W2437" t="s">
        <v>360</v>
      </c>
      <c r="X2437">
        <v>110023543</v>
      </c>
      <c r="Y2437" t="s">
        <v>2060</v>
      </c>
      <c r="Z2437" t="s">
        <v>15322</v>
      </c>
      <c r="AA2437" t="s">
        <v>15591</v>
      </c>
      <c r="AB2437" s="2" t="s">
        <v>15592</v>
      </c>
      <c r="AD2437" t="s">
        <v>5056</v>
      </c>
      <c r="AE2437">
        <v>12511</v>
      </c>
      <c r="AG2437" t="s">
        <v>15593</v>
      </c>
      <c r="AH2437" t="s">
        <v>5382</v>
      </c>
      <c r="AI2437" t="s">
        <v>15594</v>
      </c>
    </row>
    <row r="2438" spans="2:35" ht="135">
      <c r="B2438" s="1">
        <v>45673</v>
      </c>
      <c r="C2438" s="1">
        <v>45673</v>
      </c>
      <c r="D2438" t="s">
        <v>3364</v>
      </c>
      <c r="E2438" t="s">
        <v>3365</v>
      </c>
      <c r="F2438">
        <v>6</v>
      </c>
      <c r="G2438" t="s">
        <v>1286</v>
      </c>
      <c r="H2438" t="s">
        <v>39</v>
      </c>
      <c r="I2438" t="s">
        <v>40</v>
      </c>
      <c r="J2438" s="2" t="s">
        <v>62</v>
      </c>
      <c r="K2438" t="s">
        <v>42</v>
      </c>
      <c r="L2438" t="s">
        <v>270</v>
      </c>
      <c r="N2438" t="s">
        <v>2481</v>
      </c>
      <c r="Q2438">
        <v>30108</v>
      </c>
      <c r="R2438" t="s">
        <v>119</v>
      </c>
      <c r="S2438" t="s">
        <v>15595</v>
      </c>
      <c r="T2438">
        <v>23</v>
      </c>
      <c r="U2438" s="2" t="s">
        <v>13185</v>
      </c>
      <c r="V2438" s="1">
        <v>45665</v>
      </c>
      <c r="W2438" t="s">
        <v>360</v>
      </c>
      <c r="X2438">
        <v>110023526</v>
      </c>
      <c r="Y2438" t="s">
        <v>2060</v>
      </c>
      <c r="Z2438" t="s">
        <v>15322</v>
      </c>
      <c r="AA2438" t="s">
        <v>15323</v>
      </c>
      <c r="AB2438" s="2" t="s">
        <v>15596</v>
      </c>
      <c r="AG2438" t="s">
        <v>15597</v>
      </c>
      <c r="AH2438" t="s">
        <v>15598</v>
      </c>
      <c r="AI2438" t="s">
        <v>15599</v>
      </c>
    </row>
    <row r="2439" spans="2:35" ht="105">
      <c r="B2439" s="1">
        <v>45672</v>
      </c>
      <c r="C2439" s="1">
        <v>45672</v>
      </c>
      <c r="D2439" t="s">
        <v>5265</v>
      </c>
      <c r="E2439" t="s">
        <v>5266</v>
      </c>
      <c r="F2439">
        <v>6</v>
      </c>
      <c r="G2439" t="s">
        <v>5216</v>
      </c>
      <c r="H2439" t="s">
        <v>39</v>
      </c>
      <c r="I2439" t="s">
        <v>40</v>
      </c>
      <c r="J2439" t="s">
        <v>321</v>
      </c>
      <c r="K2439" t="s">
        <v>42</v>
      </c>
      <c r="L2439" t="s">
        <v>1288</v>
      </c>
      <c r="N2439" t="s">
        <v>1289</v>
      </c>
      <c r="Q2439">
        <v>30107</v>
      </c>
      <c r="R2439" t="s">
        <v>967</v>
      </c>
      <c r="S2439" t="s">
        <v>15600</v>
      </c>
      <c r="T2439">
        <v>22</v>
      </c>
      <c r="U2439" s="2" t="s">
        <v>1509</v>
      </c>
      <c r="W2439" t="s">
        <v>9206</v>
      </c>
      <c r="X2439">
        <v>110023537</v>
      </c>
      <c r="Y2439" t="s">
        <v>15601</v>
      </c>
      <c r="Z2439" t="e">
        <f ca="1">-COLLECT Installation QUALIFICATION report</f>
        <v>#NAME?</v>
      </c>
      <c r="AA2439" t="e">
        <f ca="1">-PERFORM GX Installation _xludf.and workstation Setup
-PERFORM functionality test, passed</f>
        <v>#NAME?</v>
      </c>
      <c r="AB2439" t="s">
        <v>1293</v>
      </c>
      <c r="AG2439" t="s">
        <v>15602</v>
      </c>
      <c r="AH2439" t="s">
        <v>15603</v>
      </c>
      <c r="AI2439" t="s">
        <v>15604</v>
      </c>
    </row>
    <row r="2440" spans="2:35" ht="105">
      <c r="B2440" s="1">
        <v>45672</v>
      </c>
      <c r="C2440" s="1">
        <v>45672</v>
      </c>
      <c r="D2440" t="s">
        <v>13444</v>
      </c>
      <c r="E2440" t="s">
        <v>13445</v>
      </c>
      <c r="F2440">
        <v>6</v>
      </c>
      <c r="G2440" t="s">
        <v>5216</v>
      </c>
      <c r="H2440" t="s">
        <v>10969</v>
      </c>
      <c r="I2440" t="s">
        <v>40</v>
      </c>
      <c r="J2440" s="2" t="s">
        <v>62</v>
      </c>
      <c r="K2440" t="s">
        <v>42</v>
      </c>
      <c r="L2440" t="s">
        <v>1288</v>
      </c>
      <c r="N2440" t="s">
        <v>1289</v>
      </c>
      <c r="Q2440">
        <v>30106</v>
      </c>
      <c r="R2440" t="s">
        <v>967</v>
      </c>
      <c r="S2440" t="s">
        <v>13446</v>
      </c>
      <c r="T2440">
        <v>25</v>
      </c>
      <c r="U2440" s="2" t="s">
        <v>15605</v>
      </c>
      <c r="V2440" s="1">
        <v>45665</v>
      </c>
      <c r="W2440" t="s">
        <v>1292</v>
      </c>
      <c r="X2440">
        <v>110023537</v>
      </c>
      <c r="Y2440" t="e">
        <f ca="1">-_xludf.For Maintenance _xludf.and CALIBRATION</f>
        <v>#NAME?</v>
      </c>
      <c r="Z2440" t="s">
        <v>14552</v>
      </c>
      <c r="AA2440" t="e">
        <f ca="1">-PERFORM Preventive Maintenance PROCEDURE
-PERFORM XpertCheck CALIBRATION: ALL modules passed</f>
        <v>#NAME?</v>
      </c>
      <c r="AB2440" t="s">
        <v>1293</v>
      </c>
      <c r="AD2440" t="s">
        <v>15546</v>
      </c>
      <c r="AE2440">
        <v>12519</v>
      </c>
      <c r="AG2440" t="s">
        <v>15606</v>
      </c>
      <c r="AH2440" t="s">
        <v>15607</v>
      </c>
      <c r="AI2440" t="s">
        <v>15608</v>
      </c>
    </row>
    <row r="2441" spans="2:35" ht="150">
      <c r="B2441" s="1">
        <v>45672</v>
      </c>
      <c r="C2441" s="1">
        <v>45672</v>
      </c>
      <c r="D2441" t="s">
        <v>15609</v>
      </c>
      <c r="E2441" t="s">
        <v>15610</v>
      </c>
      <c r="F2441">
        <v>6</v>
      </c>
      <c r="G2441" t="s">
        <v>1507</v>
      </c>
      <c r="H2441" t="s">
        <v>258</v>
      </c>
      <c r="I2441" t="s">
        <v>40</v>
      </c>
      <c r="J2441" s="2" t="s">
        <v>62</v>
      </c>
      <c r="K2441" t="s">
        <v>42</v>
      </c>
      <c r="L2441" t="s">
        <v>270</v>
      </c>
      <c r="N2441" t="s">
        <v>2481</v>
      </c>
      <c r="Q2441">
        <v>30105</v>
      </c>
      <c r="R2441" t="s">
        <v>119</v>
      </c>
      <c r="S2441" t="s">
        <v>15611</v>
      </c>
      <c r="T2441">
        <v>24</v>
      </c>
      <c r="V2441" s="1">
        <v>45665</v>
      </c>
      <c r="W2441" t="s">
        <v>360</v>
      </c>
      <c r="X2441">
        <v>110022580</v>
      </c>
      <c r="Y2441" t="s">
        <v>2060</v>
      </c>
      <c r="Z2441" t="s">
        <v>15612</v>
      </c>
      <c r="AA2441" t="s">
        <v>15323</v>
      </c>
      <c r="AB2441" s="2" t="s">
        <v>15613</v>
      </c>
      <c r="AD2441" t="s">
        <v>5056</v>
      </c>
      <c r="AE2441">
        <v>12509</v>
      </c>
      <c r="AG2441" t="s">
        <v>15614</v>
      </c>
      <c r="AH2441" t="s">
        <v>15615</v>
      </c>
      <c r="AI2441" t="s">
        <v>15616</v>
      </c>
    </row>
    <row r="2442" spans="2:35" ht="240">
      <c r="B2442" s="1">
        <v>45672</v>
      </c>
      <c r="C2442" s="1">
        <v>45672</v>
      </c>
      <c r="D2442" t="s">
        <v>15617</v>
      </c>
      <c r="E2442" t="s">
        <v>15618</v>
      </c>
      <c r="F2442" t="s">
        <v>148</v>
      </c>
      <c r="G2442" t="s">
        <v>447</v>
      </c>
      <c r="H2442" t="s">
        <v>39</v>
      </c>
      <c r="I2442" t="s">
        <v>40</v>
      </c>
      <c r="J2442" t="s">
        <v>109</v>
      </c>
      <c r="K2442" t="s">
        <v>42</v>
      </c>
      <c r="L2442" t="s">
        <v>15532</v>
      </c>
      <c r="N2442" t="s">
        <v>15533</v>
      </c>
      <c r="Q2442">
        <v>30104</v>
      </c>
      <c r="R2442" t="s">
        <v>967</v>
      </c>
      <c r="S2442" t="s">
        <v>8157</v>
      </c>
      <c r="T2442">
        <v>25</v>
      </c>
      <c r="U2442" s="2" t="s">
        <v>15619</v>
      </c>
      <c r="W2442" t="s">
        <v>15620</v>
      </c>
      <c r="X2442">
        <v>110012766</v>
      </c>
      <c r="Y2442" t="s">
        <v>15536</v>
      </c>
      <c r="Z2442" s="2" t="s">
        <v>15621</v>
      </c>
      <c r="AA2442" s="2" t="s">
        <v>15538</v>
      </c>
      <c r="AB2442" s="2" t="s">
        <v>15539</v>
      </c>
      <c r="AG2442" t="s">
        <v>15622</v>
      </c>
      <c r="AH2442" t="s">
        <v>15623</v>
      </c>
      <c r="AI2442" t="s">
        <v>15624</v>
      </c>
    </row>
    <row r="2443" spans="2:35" ht="270">
      <c r="B2443" s="1">
        <v>45672</v>
      </c>
      <c r="C2443" s="1">
        <v>45672</v>
      </c>
      <c r="D2443" t="s">
        <v>5645</v>
      </c>
      <c r="E2443" t="s">
        <v>2136</v>
      </c>
      <c r="F2443" t="s">
        <v>1255</v>
      </c>
      <c r="G2443" t="s">
        <v>1887</v>
      </c>
      <c r="H2443" t="s">
        <v>1473</v>
      </c>
      <c r="I2443" t="s">
        <v>40</v>
      </c>
      <c r="J2443" t="s">
        <v>109</v>
      </c>
      <c r="K2443" t="s">
        <v>42</v>
      </c>
      <c r="L2443" t="s">
        <v>296</v>
      </c>
      <c r="N2443" t="s">
        <v>297</v>
      </c>
      <c r="O2443" t="s">
        <v>5646</v>
      </c>
      <c r="Q2443">
        <v>30103</v>
      </c>
      <c r="R2443" t="s">
        <v>119</v>
      </c>
      <c r="S2443" t="s">
        <v>11535</v>
      </c>
      <c r="T2443">
        <v>26.4</v>
      </c>
      <c r="U2443" s="2" t="s">
        <v>11120</v>
      </c>
      <c r="W2443" t="s">
        <v>981</v>
      </c>
      <c r="X2443">
        <v>838528</v>
      </c>
      <c r="Y2443" t="s">
        <v>301</v>
      </c>
      <c r="Z2443" s="2" t="s">
        <v>15625</v>
      </c>
      <c r="AA2443" t="s">
        <v>303</v>
      </c>
      <c r="AB2443" t="s">
        <v>972</v>
      </c>
      <c r="AG2443" t="s">
        <v>15626</v>
      </c>
      <c r="AH2443" t="s">
        <v>5650</v>
      </c>
      <c r="AI2443" t="s">
        <v>15627</v>
      </c>
    </row>
    <row r="2444" spans="2:35" ht="270">
      <c r="B2444" s="1">
        <v>45672</v>
      </c>
      <c r="C2444" s="1">
        <v>45672</v>
      </c>
      <c r="D2444" t="s">
        <v>5645</v>
      </c>
      <c r="E2444" t="s">
        <v>2136</v>
      </c>
      <c r="F2444" t="s">
        <v>1255</v>
      </c>
      <c r="G2444" t="s">
        <v>1887</v>
      </c>
      <c r="H2444" t="s">
        <v>1473</v>
      </c>
      <c r="I2444" t="s">
        <v>40</v>
      </c>
      <c r="J2444" t="s">
        <v>109</v>
      </c>
      <c r="K2444" t="s">
        <v>42</v>
      </c>
      <c r="L2444" t="s">
        <v>296</v>
      </c>
      <c r="N2444" t="s">
        <v>297</v>
      </c>
      <c r="O2444" t="s">
        <v>5646</v>
      </c>
      <c r="Q2444">
        <v>30102</v>
      </c>
      <c r="R2444" t="s">
        <v>119</v>
      </c>
      <c r="S2444" t="s">
        <v>11535</v>
      </c>
      <c r="T2444">
        <v>26.4</v>
      </c>
      <c r="U2444" s="2" t="s">
        <v>11120</v>
      </c>
      <c r="W2444" t="s">
        <v>981</v>
      </c>
      <c r="X2444">
        <v>838528</v>
      </c>
      <c r="Y2444" t="s">
        <v>301</v>
      </c>
      <c r="Z2444" s="2" t="s">
        <v>15625</v>
      </c>
      <c r="AA2444" t="s">
        <v>303</v>
      </c>
      <c r="AB2444" t="s">
        <v>972</v>
      </c>
      <c r="AG2444" t="s">
        <v>15628</v>
      </c>
      <c r="AH2444" t="s">
        <v>5650</v>
      </c>
      <c r="AI2444" t="s">
        <v>15629</v>
      </c>
    </row>
    <row r="2445" spans="2:35" ht="105">
      <c r="B2445" s="1">
        <v>45672</v>
      </c>
      <c r="C2445" s="1">
        <v>45672</v>
      </c>
      <c r="D2445" t="s">
        <v>15630</v>
      </c>
      <c r="E2445" t="s">
        <v>15631</v>
      </c>
      <c r="F2445">
        <v>6</v>
      </c>
      <c r="G2445" t="s">
        <v>5216</v>
      </c>
      <c r="H2445" t="s">
        <v>39</v>
      </c>
      <c r="I2445" t="s">
        <v>40</v>
      </c>
      <c r="J2445" t="s">
        <v>996</v>
      </c>
      <c r="K2445" t="s">
        <v>42</v>
      </c>
      <c r="L2445" t="s">
        <v>1288</v>
      </c>
      <c r="N2445" t="s">
        <v>1289</v>
      </c>
      <c r="Q2445">
        <v>30101</v>
      </c>
      <c r="R2445" t="s">
        <v>967</v>
      </c>
      <c r="S2445" t="s">
        <v>5261</v>
      </c>
      <c r="T2445">
        <v>22</v>
      </c>
      <c r="U2445" s="2" t="s">
        <v>1509</v>
      </c>
      <c r="V2445" s="1">
        <v>45665</v>
      </c>
      <c r="W2445" t="s">
        <v>9206</v>
      </c>
      <c r="X2445">
        <v>110023538</v>
      </c>
      <c r="Y2445" t="s">
        <v>15577</v>
      </c>
      <c r="Z2445" t="s">
        <v>15545</v>
      </c>
      <c r="AA2445" t="e">
        <f ca="1">-PERFORM Preventive Maintenance PROCEDURE
-PERFORM CALIBRATION: ALL modules passed</f>
        <v>#NAME?</v>
      </c>
      <c r="AB2445" t="s">
        <v>1293</v>
      </c>
      <c r="AD2445" t="s">
        <v>15632</v>
      </c>
      <c r="AE2445">
        <v>12520</v>
      </c>
      <c r="AG2445" t="s">
        <v>15633</v>
      </c>
      <c r="AH2445" t="s">
        <v>15634</v>
      </c>
      <c r="AI2445" t="s">
        <v>15635</v>
      </c>
    </row>
    <row r="2446" spans="2:35" ht="409.5">
      <c r="B2446" s="1">
        <v>45672</v>
      </c>
      <c r="C2446" s="1">
        <v>45672</v>
      </c>
      <c r="D2446" t="s">
        <v>8160</v>
      </c>
      <c r="E2446" t="s">
        <v>15636</v>
      </c>
      <c r="F2446">
        <v>11</v>
      </c>
      <c r="G2446" t="s">
        <v>1205</v>
      </c>
      <c r="H2446" t="s">
        <v>202</v>
      </c>
      <c r="I2446" t="s">
        <v>40</v>
      </c>
      <c r="J2446" s="2" t="s">
        <v>41</v>
      </c>
      <c r="K2446" t="s">
        <v>42</v>
      </c>
      <c r="L2446" t="s">
        <v>204</v>
      </c>
      <c r="N2446" t="s">
        <v>205</v>
      </c>
      <c r="O2446" t="s">
        <v>8163</v>
      </c>
      <c r="Q2446">
        <v>30100</v>
      </c>
      <c r="R2446" t="s">
        <v>119</v>
      </c>
      <c r="S2446" t="s">
        <v>8162</v>
      </c>
      <c r="T2446">
        <v>26.5</v>
      </c>
      <c r="U2446" s="2" t="s">
        <v>15637</v>
      </c>
      <c r="V2446" s="1">
        <v>45666</v>
      </c>
      <c r="W2446" t="s">
        <v>208</v>
      </c>
      <c r="X2446">
        <v>838401</v>
      </c>
      <c r="Y2446" s="2" t="s">
        <v>15638</v>
      </c>
      <c r="Z2446" s="2" t="s">
        <v>15639</v>
      </c>
      <c r="AA2446" t="s">
        <v>13930</v>
      </c>
      <c r="AB2446" s="2" t="s">
        <v>15640</v>
      </c>
      <c r="AD2446" t="s">
        <v>14315</v>
      </c>
      <c r="AE2446">
        <v>12553</v>
      </c>
      <c r="AG2446" t="s">
        <v>15641</v>
      </c>
      <c r="AH2446" t="s">
        <v>15642</v>
      </c>
      <c r="AI2446" t="s">
        <v>15643</v>
      </c>
    </row>
    <row r="2447" spans="2:35" ht="270">
      <c r="B2447" s="1">
        <v>45672</v>
      </c>
      <c r="C2447" s="1">
        <v>45672</v>
      </c>
      <c r="D2447" t="s">
        <v>8907</v>
      </c>
      <c r="E2447" t="s">
        <v>9399</v>
      </c>
      <c r="F2447">
        <v>6</v>
      </c>
      <c r="G2447" t="s">
        <v>9400</v>
      </c>
      <c r="H2447" t="s">
        <v>1498</v>
      </c>
      <c r="I2447" t="s">
        <v>40</v>
      </c>
      <c r="J2447" t="s">
        <v>109</v>
      </c>
      <c r="K2447" t="s">
        <v>42</v>
      </c>
      <c r="L2447" t="s">
        <v>343</v>
      </c>
      <c r="N2447" t="s">
        <v>344</v>
      </c>
      <c r="Q2447">
        <v>30099</v>
      </c>
      <c r="R2447" t="s">
        <v>119</v>
      </c>
      <c r="S2447" t="s">
        <v>9401</v>
      </c>
      <c r="T2447">
        <v>33</v>
      </c>
      <c r="U2447" s="2" t="s">
        <v>15644</v>
      </c>
      <c r="W2447" t="s">
        <v>1501</v>
      </c>
      <c r="X2447">
        <v>838412</v>
      </c>
      <c r="Y2447" t="s">
        <v>7415</v>
      </c>
      <c r="Z2447" s="2" t="s">
        <v>15645</v>
      </c>
      <c r="AA2447" t="e">
        <f ca="1">-Preventive Maintenance</f>
        <v>#NAME?</v>
      </c>
      <c r="AB2447" t="s">
        <v>9638</v>
      </c>
      <c r="AG2447" t="s">
        <v>15646</v>
      </c>
      <c r="AH2447" t="s">
        <v>15647</v>
      </c>
      <c r="AI2447" t="s">
        <v>15648</v>
      </c>
    </row>
    <row r="2448" spans="2:35" ht="255">
      <c r="B2448" s="1">
        <v>45672</v>
      </c>
      <c r="C2448" s="1">
        <v>45672</v>
      </c>
      <c r="D2448" t="s">
        <v>15649</v>
      </c>
      <c r="E2448" t="s">
        <v>15650</v>
      </c>
      <c r="F2448" t="s">
        <v>148</v>
      </c>
      <c r="G2448" t="s">
        <v>447</v>
      </c>
      <c r="H2448" t="s">
        <v>15651</v>
      </c>
      <c r="I2448" t="s">
        <v>40</v>
      </c>
      <c r="J2448" t="s">
        <v>109</v>
      </c>
      <c r="K2448" t="s">
        <v>42</v>
      </c>
      <c r="L2448" t="s">
        <v>15532</v>
      </c>
      <c r="N2448" t="s">
        <v>15533</v>
      </c>
      <c r="Q2448">
        <v>30098</v>
      </c>
      <c r="R2448" t="s">
        <v>322</v>
      </c>
      <c r="S2448" t="s">
        <v>15652</v>
      </c>
      <c r="T2448">
        <v>25</v>
      </c>
      <c r="U2448" s="2" t="s">
        <v>15653</v>
      </c>
      <c r="W2448" t="s">
        <v>15535</v>
      </c>
      <c r="X2448">
        <v>805294</v>
      </c>
      <c r="Y2448" t="s">
        <v>15536</v>
      </c>
      <c r="Z2448" s="2" t="s">
        <v>15654</v>
      </c>
      <c r="AA2448" s="2" t="s">
        <v>15538</v>
      </c>
      <c r="AB2448" s="2" t="s">
        <v>15655</v>
      </c>
      <c r="AG2448" t="s">
        <v>15656</v>
      </c>
      <c r="AH2448" t="s">
        <v>15657</v>
      </c>
      <c r="AI2448" t="s">
        <v>15658</v>
      </c>
    </row>
    <row r="2449" spans="2:35" ht="409.5">
      <c r="B2449" s="1">
        <v>45672</v>
      </c>
      <c r="C2449" s="1">
        <v>45672</v>
      </c>
      <c r="D2449" t="s">
        <v>15659</v>
      </c>
      <c r="E2449" t="s">
        <v>15650</v>
      </c>
      <c r="F2449" t="s">
        <v>148</v>
      </c>
      <c r="G2449" t="s">
        <v>447</v>
      </c>
      <c r="H2449" t="s">
        <v>61</v>
      </c>
      <c r="I2449" t="s">
        <v>40</v>
      </c>
      <c r="J2449" t="s">
        <v>109</v>
      </c>
      <c r="K2449" t="s">
        <v>42</v>
      </c>
      <c r="L2449" t="s">
        <v>15532</v>
      </c>
      <c r="N2449" t="s">
        <v>15533</v>
      </c>
      <c r="Q2449">
        <v>30097</v>
      </c>
      <c r="R2449" t="s">
        <v>322</v>
      </c>
      <c r="S2449" t="s">
        <v>15652</v>
      </c>
      <c r="T2449">
        <v>27</v>
      </c>
      <c r="U2449" s="2" t="s">
        <v>15660</v>
      </c>
      <c r="W2449" t="s">
        <v>15620</v>
      </c>
      <c r="X2449">
        <v>845462</v>
      </c>
      <c r="Y2449" t="s">
        <v>15536</v>
      </c>
      <c r="Z2449" s="2" t="s">
        <v>15661</v>
      </c>
      <c r="AA2449" s="2" t="s">
        <v>15538</v>
      </c>
      <c r="AB2449" s="2" t="s">
        <v>15539</v>
      </c>
      <c r="AG2449" t="s">
        <v>15662</v>
      </c>
      <c r="AH2449" t="s">
        <v>15657</v>
      </c>
      <c r="AI2449" t="s">
        <v>15663</v>
      </c>
    </row>
    <row r="2450" spans="2:35" ht="409.5">
      <c r="B2450" s="1">
        <v>45672</v>
      </c>
      <c r="C2450" s="1">
        <v>45672</v>
      </c>
      <c r="D2450" t="s">
        <v>11709</v>
      </c>
      <c r="E2450" t="s">
        <v>11710</v>
      </c>
      <c r="F2450" t="s">
        <v>148</v>
      </c>
      <c r="G2450" t="s">
        <v>310</v>
      </c>
      <c r="H2450" t="s">
        <v>39</v>
      </c>
      <c r="I2450" t="s">
        <v>40</v>
      </c>
      <c r="J2450" s="2" t="s">
        <v>62</v>
      </c>
      <c r="K2450" t="s">
        <v>42</v>
      </c>
      <c r="L2450" t="s">
        <v>1943</v>
      </c>
      <c r="N2450" t="s">
        <v>1944</v>
      </c>
      <c r="Q2450">
        <v>30096</v>
      </c>
      <c r="R2450" t="s">
        <v>703</v>
      </c>
      <c r="S2450" t="s">
        <v>9016</v>
      </c>
      <c r="T2450">
        <v>25</v>
      </c>
      <c r="U2450" s="2" t="s">
        <v>15664</v>
      </c>
      <c r="V2450" s="1">
        <v>45667</v>
      </c>
      <c r="W2450" t="s">
        <v>11714</v>
      </c>
      <c r="X2450">
        <v>110022622</v>
      </c>
      <c r="Y2450" s="2" t="s">
        <v>3044</v>
      </c>
      <c r="Z2450" t="s">
        <v>3045</v>
      </c>
      <c r="AA2450" s="2" t="s">
        <v>3046</v>
      </c>
      <c r="AB2450" t="s">
        <v>8352</v>
      </c>
      <c r="AD2450" t="s">
        <v>5056</v>
      </c>
      <c r="AE2450" t="s">
        <v>15665</v>
      </c>
      <c r="AG2450" t="s">
        <v>15666</v>
      </c>
      <c r="AH2450" t="s">
        <v>15667</v>
      </c>
      <c r="AI2450" t="s">
        <v>15668</v>
      </c>
    </row>
    <row r="2451" spans="2:35" ht="240">
      <c r="B2451" s="1">
        <v>45672</v>
      </c>
      <c r="C2451" s="1">
        <v>45672</v>
      </c>
      <c r="D2451" t="s">
        <v>2470</v>
      </c>
      <c r="E2451" t="s">
        <v>9436</v>
      </c>
      <c r="F2451" t="s">
        <v>148</v>
      </c>
      <c r="G2451" t="s">
        <v>230</v>
      </c>
      <c r="H2451" t="s">
        <v>513</v>
      </c>
      <c r="I2451" t="s">
        <v>40</v>
      </c>
      <c r="J2451" s="2" t="s">
        <v>190</v>
      </c>
      <c r="K2451" t="s">
        <v>387</v>
      </c>
      <c r="L2451" t="s">
        <v>175</v>
      </c>
      <c r="N2451" t="s">
        <v>176</v>
      </c>
      <c r="Q2451">
        <v>30095</v>
      </c>
      <c r="R2451" t="s">
        <v>322</v>
      </c>
      <c r="S2451" t="s">
        <v>2471</v>
      </c>
      <c r="T2451">
        <v>25</v>
      </c>
      <c r="W2451" t="s">
        <v>390</v>
      </c>
      <c r="X2451" t="s">
        <v>2472</v>
      </c>
      <c r="Y2451" s="2" t="s">
        <v>15328</v>
      </c>
      <c r="Z2451" t="s">
        <v>15329</v>
      </c>
      <c r="AA2451" t="e">
        <f ca="1">- checked _xludf.and cleaned rotor roller pumps
- cleaned ACDA Pump extensively with soap _xludf.and water
- checked CALIBRATION parameters
- performed self test</f>
        <v>#NAME?</v>
      </c>
      <c r="AB2451" s="2" t="s">
        <v>15330</v>
      </c>
      <c r="AG2451" t="s">
        <v>15669</v>
      </c>
      <c r="AH2451" t="s">
        <v>9438</v>
      </c>
      <c r="AI2451" t="s">
        <v>15670</v>
      </c>
    </row>
    <row r="2452" spans="2:35" ht="75">
      <c r="B2452" s="1">
        <v>45672</v>
      </c>
      <c r="C2452" s="1">
        <v>45672</v>
      </c>
      <c r="D2452" t="s">
        <v>2470</v>
      </c>
      <c r="E2452" t="s">
        <v>9436</v>
      </c>
      <c r="F2452" t="s">
        <v>148</v>
      </c>
      <c r="G2452" t="s">
        <v>230</v>
      </c>
      <c r="H2452" t="s">
        <v>513</v>
      </c>
      <c r="I2452" t="s">
        <v>40</v>
      </c>
      <c r="J2452" s="2" t="s">
        <v>190</v>
      </c>
      <c r="K2452" t="s">
        <v>387</v>
      </c>
      <c r="L2452" t="s">
        <v>175</v>
      </c>
      <c r="N2452" t="s">
        <v>176</v>
      </c>
      <c r="Q2452">
        <v>30094</v>
      </c>
      <c r="R2452" t="s">
        <v>322</v>
      </c>
      <c r="S2452" t="s">
        <v>2471</v>
      </c>
      <c r="T2452">
        <v>25</v>
      </c>
      <c r="W2452" t="s">
        <v>390</v>
      </c>
      <c r="X2452" t="s">
        <v>5622</v>
      </c>
      <c r="Y2452" s="2" t="s">
        <v>15671</v>
      </c>
      <c r="Z2452" t="s">
        <v>103</v>
      </c>
      <c r="AA2452" t="e">
        <f ca="1">- checked _xludf.and cleaned rotor roller pumps
- checked CALIBRATION parameters
- cleaned centrifuge surface
- performed self test</f>
        <v>#NAME?</v>
      </c>
      <c r="AB2452" t="s">
        <v>181</v>
      </c>
      <c r="AG2452" t="s">
        <v>15672</v>
      </c>
      <c r="AH2452" t="s">
        <v>9438</v>
      </c>
      <c r="AI2452" t="s">
        <v>15673</v>
      </c>
    </row>
    <row r="2453" spans="2:35" ht="165">
      <c r="B2453" s="1">
        <v>45672</v>
      </c>
      <c r="C2453" s="1">
        <v>45672</v>
      </c>
      <c r="D2453" t="s">
        <v>5546</v>
      </c>
      <c r="E2453" t="s">
        <v>1555</v>
      </c>
      <c r="F2453">
        <v>7</v>
      </c>
      <c r="G2453" t="s">
        <v>432</v>
      </c>
      <c r="H2453" t="s">
        <v>39</v>
      </c>
      <c r="I2453" t="s">
        <v>40</v>
      </c>
      <c r="J2453" s="2" t="s">
        <v>62</v>
      </c>
      <c r="K2453" t="s">
        <v>42</v>
      </c>
      <c r="L2453" t="s">
        <v>433</v>
      </c>
      <c r="N2453" t="s">
        <v>434</v>
      </c>
      <c r="Q2453">
        <v>30093</v>
      </c>
      <c r="R2453" t="s">
        <v>967</v>
      </c>
      <c r="S2453" t="s">
        <v>5548</v>
      </c>
      <c r="T2453">
        <v>26</v>
      </c>
      <c r="W2453" t="s">
        <v>502</v>
      </c>
      <c r="X2453">
        <v>110023513</v>
      </c>
      <c r="Y2453" t="s">
        <v>2303</v>
      </c>
      <c r="Z2453" s="2" t="s">
        <v>15674</v>
      </c>
      <c r="AA2453" s="2" t="s">
        <v>15674</v>
      </c>
      <c r="AB2453" s="2" t="s">
        <v>15675</v>
      </c>
      <c r="AG2453" t="s">
        <v>15676</v>
      </c>
      <c r="AH2453" t="s">
        <v>5551</v>
      </c>
      <c r="AI2453" t="s">
        <v>15677</v>
      </c>
    </row>
    <row r="2454" spans="2:35" ht="165">
      <c r="B2454" s="1">
        <v>45672</v>
      </c>
      <c r="C2454" s="1">
        <v>45672</v>
      </c>
      <c r="D2454" t="s">
        <v>5199</v>
      </c>
      <c r="E2454" t="s">
        <v>5200</v>
      </c>
      <c r="F2454">
        <v>2</v>
      </c>
      <c r="G2454" t="s">
        <v>2723</v>
      </c>
      <c r="H2454" t="s">
        <v>39</v>
      </c>
      <c r="I2454" t="s">
        <v>40</v>
      </c>
      <c r="J2454" s="2" t="s">
        <v>62</v>
      </c>
      <c r="K2454" t="s">
        <v>42</v>
      </c>
      <c r="L2454" t="s">
        <v>63</v>
      </c>
      <c r="N2454" t="s">
        <v>64</v>
      </c>
      <c r="Q2454">
        <v>30092</v>
      </c>
      <c r="R2454" t="s">
        <v>967</v>
      </c>
      <c r="S2454" t="s">
        <v>7116</v>
      </c>
      <c r="T2454">
        <v>29</v>
      </c>
      <c r="U2454" s="2" t="s">
        <v>4923</v>
      </c>
      <c r="V2454" s="1">
        <v>45665</v>
      </c>
      <c r="W2454" t="s">
        <v>373</v>
      </c>
      <c r="X2454">
        <v>110023503</v>
      </c>
      <c r="Y2454" t="s">
        <v>67</v>
      </c>
      <c r="Z2454" s="2" t="s">
        <v>5093</v>
      </c>
      <c r="AA2454" s="2" t="s">
        <v>1727</v>
      </c>
      <c r="AB2454" t="s">
        <v>70</v>
      </c>
      <c r="AD2454" t="s">
        <v>5056</v>
      </c>
      <c r="AE2454">
        <v>12501</v>
      </c>
      <c r="AG2454" t="s">
        <v>15678</v>
      </c>
      <c r="AH2454" t="s">
        <v>5205</v>
      </c>
      <c r="AI2454" t="s">
        <v>15679</v>
      </c>
    </row>
    <row r="2455" spans="2:35" ht="105">
      <c r="B2455" s="1">
        <v>45672</v>
      </c>
      <c r="C2455" s="1">
        <v>45672</v>
      </c>
      <c r="D2455" t="s">
        <v>172</v>
      </c>
      <c r="E2455" t="s">
        <v>15680</v>
      </c>
      <c r="F2455">
        <v>6</v>
      </c>
      <c r="G2455" t="s">
        <v>1286</v>
      </c>
      <c r="H2455" t="s">
        <v>258</v>
      </c>
      <c r="I2455" t="s">
        <v>40</v>
      </c>
      <c r="J2455" s="2" t="s">
        <v>62</v>
      </c>
      <c r="K2455" t="s">
        <v>42</v>
      </c>
      <c r="L2455" t="s">
        <v>270</v>
      </c>
      <c r="N2455" t="s">
        <v>2481</v>
      </c>
      <c r="Q2455">
        <v>30091</v>
      </c>
      <c r="R2455" t="s">
        <v>119</v>
      </c>
      <c r="S2455" t="s">
        <v>15681</v>
      </c>
      <c r="T2455">
        <v>25</v>
      </c>
      <c r="U2455" s="2" t="s">
        <v>15682</v>
      </c>
      <c r="V2455" s="1">
        <v>45665</v>
      </c>
      <c r="W2455" t="s">
        <v>360</v>
      </c>
      <c r="X2455">
        <v>110023536</v>
      </c>
      <c r="Y2455" t="s">
        <v>2714</v>
      </c>
      <c r="Z2455" t="s">
        <v>15683</v>
      </c>
      <c r="AA2455" t="s">
        <v>15591</v>
      </c>
      <c r="AB2455" t="s">
        <v>15684</v>
      </c>
      <c r="AD2455" t="s">
        <v>5056</v>
      </c>
      <c r="AE2455">
        <v>12514</v>
      </c>
      <c r="AG2455" t="s">
        <v>15685</v>
      </c>
      <c r="AH2455" t="s">
        <v>15686</v>
      </c>
      <c r="AI2455" t="s">
        <v>15687</v>
      </c>
    </row>
    <row r="2456" spans="2:35" ht="240">
      <c r="B2456" s="1">
        <v>45672</v>
      </c>
      <c r="C2456" s="1">
        <v>45672</v>
      </c>
      <c r="D2456" t="s">
        <v>12354</v>
      </c>
      <c r="E2456" t="s">
        <v>15688</v>
      </c>
      <c r="F2456">
        <v>6</v>
      </c>
      <c r="G2456" t="s">
        <v>1286</v>
      </c>
      <c r="H2456" t="s">
        <v>258</v>
      </c>
      <c r="I2456" t="s">
        <v>40</v>
      </c>
      <c r="J2456" s="2" t="s">
        <v>1309</v>
      </c>
      <c r="K2456" t="s">
        <v>42</v>
      </c>
      <c r="L2456" t="s">
        <v>270</v>
      </c>
      <c r="N2456" t="s">
        <v>2481</v>
      </c>
      <c r="Q2456">
        <v>30090</v>
      </c>
      <c r="R2456" t="s">
        <v>119</v>
      </c>
      <c r="S2456" t="s">
        <v>5329</v>
      </c>
      <c r="T2456">
        <v>24</v>
      </c>
      <c r="V2456" s="1">
        <v>45665</v>
      </c>
      <c r="W2456" t="s">
        <v>360</v>
      </c>
      <c r="X2456">
        <v>110023542</v>
      </c>
      <c r="Y2456" t="e">
        <f ca="1">- DUE _xludf.For XpertCheck
- CPU boot problem, No display.</f>
        <v>#NAME?</v>
      </c>
      <c r="Z2456" t="s">
        <v>449</v>
      </c>
      <c r="AA2456" t="e">
        <f ca="1">- performed XpertCheck using laptop.
- replaced HDMI cable- same No display problem.
- replaced LCD monitor with another LCD on Site, same No display problem
- Use VGA to DP port cable- same issue</f>
        <v>#NAME?</v>
      </c>
      <c r="AB2456" s="2" t="s">
        <v>15689</v>
      </c>
      <c r="AD2456" t="s">
        <v>948</v>
      </c>
      <c r="AE2456">
        <v>12510</v>
      </c>
      <c r="AG2456" t="s">
        <v>15690</v>
      </c>
      <c r="AH2456" t="s">
        <v>11874</v>
      </c>
      <c r="AI2456" t="s">
        <v>15691</v>
      </c>
    </row>
    <row r="2457" spans="2:35" ht="105">
      <c r="B2457" s="1">
        <v>45672</v>
      </c>
      <c r="C2457" s="1">
        <v>45672</v>
      </c>
      <c r="D2457" t="s">
        <v>1462</v>
      </c>
      <c r="E2457" t="s">
        <v>2892</v>
      </c>
      <c r="F2457">
        <v>8</v>
      </c>
      <c r="G2457" t="s">
        <v>1663</v>
      </c>
      <c r="H2457" t="s">
        <v>258</v>
      </c>
      <c r="I2457" t="s">
        <v>40</v>
      </c>
      <c r="J2457" s="2" t="s">
        <v>62</v>
      </c>
      <c r="K2457" t="s">
        <v>42</v>
      </c>
      <c r="L2457" t="s">
        <v>259</v>
      </c>
      <c r="N2457" t="s">
        <v>260</v>
      </c>
      <c r="Q2457">
        <v>30089</v>
      </c>
      <c r="R2457" t="s">
        <v>967</v>
      </c>
      <c r="S2457" t="s">
        <v>15692</v>
      </c>
      <c r="T2457">
        <v>28</v>
      </c>
      <c r="U2457" s="2" t="s">
        <v>15693</v>
      </c>
      <c r="V2457" s="1">
        <v>45672</v>
      </c>
      <c r="W2457" t="s">
        <v>423</v>
      </c>
      <c r="X2457">
        <v>110023515</v>
      </c>
      <c r="Y2457" t="s">
        <v>67</v>
      </c>
      <c r="Z2457" t="e">
        <f ca="1">- Preventive Maintenance
- CALIBRATION</f>
        <v>#NAME?</v>
      </c>
      <c r="AA2457" t="e">
        <f ca="1">- performed Preventive Maintenance
- performed XpertCheck CALIBRATION
- Create reports (IQR _xludf.and system _xludf.Log)</f>
        <v>#NAME?</v>
      </c>
      <c r="AB2457" t="s">
        <v>181</v>
      </c>
      <c r="AD2457" t="s">
        <v>15694</v>
      </c>
      <c r="AE2457">
        <v>12481</v>
      </c>
      <c r="AG2457" t="s">
        <v>15695</v>
      </c>
      <c r="AH2457" t="s">
        <v>2899</v>
      </c>
      <c r="AI2457" t="s">
        <v>15696</v>
      </c>
    </row>
    <row r="2458" spans="2:35" ht="120">
      <c r="B2458" s="1">
        <v>45672</v>
      </c>
      <c r="C2458" s="1">
        <v>45672</v>
      </c>
      <c r="D2458" t="s">
        <v>5660</v>
      </c>
      <c r="E2458" t="s">
        <v>11747</v>
      </c>
      <c r="F2458">
        <v>13</v>
      </c>
      <c r="G2458" t="s">
        <v>931</v>
      </c>
      <c r="H2458" t="s">
        <v>2125</v>
      </c>
      <c r="I2458" t="s">
        <v>40</v>
      </c>
      <c r="J2458" s="2" t="s">
        <v>62</v>
      </c>
      <c r="K2458" t="s">
        <v>42</v>
      </c>
      <c r="L2458" t="s">
        <v>933</v>
      </c>
      <c r="N2458" t="s">
        <v>934</v>
      </c>
      <c r="Q2458">
        <v>30088</v>
      </c>
      <c r="R2458" t="s">
        <v>967</v>
      </c>
      <c r="S2458" t="s">
        <v>5662</v>
      </c>
      <c r="T2458">
        <v>27</v>
      </c>
      <c r="V2458" s="1">
        <v>45665</v>
      </c>
      <c r="W2458" t="s">
        <v>10115</v>
      </c>
      <c r="X2458">
        <v>110023523</v>
      </c>
      <c r="Y2458" t="s">
        <v>301</v>
      </c>
      <c r="Z2458" t="s">
        <v>301</v>
      </c>
      <c r="AA2458" s="2" t="s">
        <v>15551</v>
      </c>
      <c r="AB2458" t="s">
        <v>2131</v>
      </c>
      <c r="AC2458" t="s">
        <v>15697</v>
      </c>
      <c r="AD2458" t="s">
        <v>5618</v>
      </c>
      <c r="AE2458">
        <v>12478</v>
      </c>
      <c r="AG2458" t="s">
        <v>15698</v>
      </c>
      <c r="AH2458" t="s">
        <v>11754</v>
      </c>
      <c r="AI2458" t="s">
        <v>15699</v>
      </c>
    </row>
    <row r="2459" spans="2:35" ht="105">
      <c r="B2459" s="1">
        <v>45672</v>
      </c>
      <c r="C2459" s="1">
        <v>45672</v>
      </c>
      <c r="D2459" t="s">
        <v>5214</v>
      </c>
      <c r="E2459" t="s">
        <v>5215</v>
      </c>
      <c r="F2459">
        <v>6</v>
      </c>
      <c r="G2459" t="s">
        <v>5216</v>
      </c>
      <c r="H2459" t="s">
        <v>10969</v>
      </c>
      <c r="I2459" t="s">
        <v>40</v>
      </c>
      <c r="J2459" s="2" t="s">
        <v>62</v>
      </c>
      <c r="K2459" t="s">
        <v>42</v>
      </c>
      <c r="L2459" t="s">
        <v>1288</v>
      </c>
      <c r="N2459" t="s">
        <v>1289</v>
      </c>
      <c r="Q2459">
        <v>30087</v>
      </c>
      <c r="R2459" t="s">
        <v>967</v>
      </c>
      <c r="S2459" t="s">
        <v>5217</v>
      </c>
      <c r="T2459">
        <v>25</v>
      </c>
      <c r="U2459" s="2" t="s">
        <v>1509</v>
      </c>
      <c r="V2459" s="1">
        <v>45665</v>
      </c>
      <c r="W2459" t="s">
        <v>9206</v>
      </c>
      <c r="X2459">
        <v>110023528</v>
      </c>
      <c r="Y2459" t="s">
        <v>10179</v>
      </c>
      <c r="Z2459" t="e">
        <f ca="1">-COLLECT IQR _xludf.and CALIBRATION Data</f>
        <v>#NAME?</v>
      </c>
      <c r="AA2459" t="e">
        <f ca="1">-PERFORM Maintenance PROCEDURE
-PERFORM XpertCheck CALIBRATION: ALL modules passed</f>
        <v>#NAME?</v>
      </c>
      <c r="AB2459" t="s">
        <v>1293</v>
      </c>
      <c r="AD2459" t="s">
        <v>15700</v>
      </c>
      <c r="AE2459">
        <v>12518</v>
      </c>
      <c r="AG2459" t="s">
        <v>15701</v>
      </c>
      <c r="AH2459" t="s">
        <v>15702</v>
      </c>
      <c r="AI2459" t="s">
        <v>15703</v>
      </c>
    </row>
    <row r="2460" spans="2:35" ht="225">
      <c r="B2460" s="1">
        <v>45672</v>
      </c>
      <c r="C2460" s="1">
        <v>45671</v>
      </c>
      <c r="D2460" t="s">
        <v>4379</v>
      </c>
      <c r="E2460" t="s">
        <v>15704</v>
      </c>
      <c r="F2460" t="s">
        <v>148</v>
      </c>
      <c r="G2460" t="s">
        <v>785</v>
      </c>
      <c r="H2460" t="s">
        <v>39</v>
      </c>
      <c r="I2460" t="s">
        <v>40</v>
      </c>
      <c r="J2460" t="s">
        <v>109</v>
      </c>
      <c r="K2460" t="s">
        <v>42</v>
      </c>
      <c r="L2460" t="s">
        <v>43</v>
      </c>
      <c r="N2460" t="s">
        <v>44</v>
      </c>
      <c r="O2460" t="s">
        <v>15705</v>
      </c>
      <c r="Q2460">
        <v>30086</v>
      </c>
      <c r="R2460" t="s">
        <v>322</v>
      </c>
      <c r="S2460" t="s">
        <v>4382</v>
      </c>
      <c r="T2460">
        <v>22</v>
      </c>
      <c r="W2460" t="s">
        <v>3178</v>
      </c>
      <c r="X2460">
        <v>838627</v>
      </c>
      <c r="Y2460" t="s">
        <v>121</v>
      </c>
      <c r="Z2460" t="s">
        <v>122</v>
      </c>
      <c r="AA2460" s="2" t="s">
        <v>14557</v>
      </c>
      <c r="AB2460" t="s">
        <v>15706</v>
      </c>
      <c r="AG2460" t="s">
        <v>15707</v>
      </c>
      <c r="AH2460" t="s">
        <v>4387</v>
      </c>
      <c r="AI2460" t="s">
        <v>15708</v>
      </c>
    </row>
    <row r="2461" spans="2:35" ht="255">
      <c r="B2461" s="1">
        <v>45672</v>
      </c>
      <c r="C2461" s="1">
        <v>45671</v>
      </c>
      <c r="D2461" t="s">
        <v>4379</v>
      </c>
      <c r="E2461" t="s">
        <v>4380</v>
      </c>
      <c r="F2461" t="s">
        <v>148</v>
      </c>
      <c r="G2461" t="s">
        <v>785</v>
      </c>
      <c r="H2461" t="s">
        <v>386</v>
      </c>
      <c r="I2461" t="s">
        <v>40</v>
      </c>
      <c r="J2461" t="s">
        <v>109</v>
      </c>
      <c r="K2461" t="s">
        <v>387</v>
      </c>
      <c r="L2461" t="s">
        <v>43</v>
      </c>
      <c r="N2461" t="s">
        <v>44</v>
      </c>
      <c r="O2461" t="s">
        <v>15705</v>
      </c>
      <c r="Q2461">
        <v>30085</v>
      </c>
      <c r="R2461" t="s">
        <v>95</v>
      </c>
      <c r="S2461" t="s">
        <v>4389</v>
      </c>
      <c r="T2461">
        <v>22</v>
      </c>
      <c r="W2461" t="s">
        <v>390</v>
      </c>
      <c r="X2461" t="s">
        <v>4390</v>
      </c>
      <c r="Y2461" t="s">
        <v>121</v>
      </c>
      <c r="Z2461" t="s">
        <v>122</v>
      </c>
      <c r="AA2461" s="2" t="s">
        <v>14371</v>
      </c>
      <c r="AB2461" t="s">
        <v>88</v>
      </c>
      <c r="AG2461" t="s">
        <v>15709</v>
      </c>
      <c r="AH2461" t="s">
        <v>15710</v>
      </c>
      <c r="AI2461" t="s">
        <v>15711</v>
      </c>
    </row>
    <row r="2462" spans="2:35" ht="409.5">
      <c r="B2462" s="1">
        <v>45671</v>
      </c>
      <c r="C2462" s="1">
        <v>45671</v>
      </c>
      <c r="D2462" t="s">
        <v>4413</v>
      </c>
      <c r="E2462" t="s">
        <v>15712</v>
      </c>
      <c r="F2462">
        <v>12</v>
      </c>
      <c r="G2462" t="s">
        <v>978</v>
      </c>
      <c r="H2462" t="s">
        <v>1473</v>
      </c>
      <c r="I2462" t="s">
        <v>40</v>
      </c>
      <c r="J2462" s="2" t="s">
        <v>41</v>
      </c>
      <c r="K2462" t="s">
        <v>42</v>
      </c>
      <c r="L2462" t="s">
        <v>296</v>
      </c>
      <c r="N2462" t="s">
        <v>297</v>
      </c>
      <c r="Q2462">
        <v>30084</v>
      </c>
      <c r="R2462" t="s">
        <v>119</v>
      </c>
      <c r="S2462" t="s">
        <v>4415</v>
      </c>
      <c r="T2462">
        <v>26.4</v>
      </c>
      <c r="U2462" s="2" t="s">
        <v>13770</v>
      </c>
      <c r="V2462" s="1">
        <v>45671</v>
      </c>
      <c r="W2462" t="s">
        <v>981</v>
      </c>
      <c r="X2462">
        <v>838544</v>
      </c>
      <c r="Y2462" s="2" t="s">
        <v>15713</v>
      </c>
      <c r="Z2462" s="2" t="s">
        <v>15714</v>
      </c>
      <c r="AA2462" s="2" t="s">
        <v>15715</v>
      </c>
      <c r="AB2462" t="s">
        <v>972</v>
      </c>
      <c r="AD2462" s="2" t="s">
        <v>15716</v>
      </c>
      <c r="AE2462" t="s">
        <v>15717</v>
      </c>
      <c r="AG2462" t="s">
        <v>15718</v>
      </c>
      <c r="AH2462" t="s">
        <v>4421</v>
      </c>
      <c r="AI2462" t="s">
        <v>15719</v>
      </c>
    </row>
    <row r="2463" spans="2:35" ht="405">
      <c r="B2463" s="1">
        <v>45671</v>
      </c>
      <c r="C2463" s="1">
        <v>45671</v>
      </c>
      <c r="D2463" t="s">
        <v>5496</v>
      </c>
      <c r="E2463" t="s">
        <v>7303</v>
      </c>
      <c r="F2463">
        <v>5</v>
      </c>
      <c r="G2463" t="s">
        <v>839</v>
      </c>
      <c r="H2463" t="s">
        <v>39</v>
      </c>
      <c r="I2463" t="s">
        <v>94</v>
      </c>
      <c r="J2463" s="2" t="s">
        <v>62</v>
      </c>
      <c r="K2463" t="s">
        <v>42</v>
      </c>
      <c r="L2463" t="s">
        <v>761</v>
      </c>
      <c r="N2463" t="s">
        <v>762</v>
      </c>
      <c r="Q2463">
        <v>30083</v>
      </c>
      <c r="R2463" t="s">
        <v>967</v>
      </c>
      <c r="S2463" t="s">
        <v>9081</v>
      </c>
      <c r="T2463">
        <v>25</v>
      </c>
      <c r="U2463" s="2" t="s">
        <v>3483</v>
      </c>
      <c r="W2463" t="s">
        <v>817</v>
      </c>
      <c r="X2463">
        <v>110023511</v>
      </c>
      <c r="Y2463" t="s">
        <v>15720</v>
      </c>
      <c r="Z2463" s="2" t="s">
        <v>15721</v>
      </c>
      <c r="AA2463" s="2" t="s">
        <v>4477</v>
      </c>
      <c r="AB2463" t="s">
        <v>70</v>
      </c>
      <c r="AG2463" t="s">
        <v>15722</v>
      </c>
      <c r="AH2463" t="s">
        <v>9084</v>
      </c>
      <c r="AI2463" t="s">
        <v>15723</v>
      </c>
    </row>
    <row r="2464" spans="2:35" ht="210">
      <c r="B2464" s="1">
        <v>45671</v>
      </c>
      <c r="C2464" s="1">
        <v>45671</v>
      </c>
      <c r="D2464" t="s">
        <v>5496</v>
      </c>
      <c r="E2464" t="s">
        <v>7303</v>
      </c>
      <c r="F2464">
        <v>5</v>
      </c>
      <c r="G2464" t="s">
        <v>839</v>
      </c>
      <c r="H2464" t="s">
        <v>39</v>
      </c>
      <c r="I2464" t="s">
        <v>94</v>
      </c>
      <c r="J2464" s="2" t="s">
        <v>41</v>
      </c>
      <c r="K2464" t="s">
        <v>42</v>
      </c>
      <c r="L2464" t="s">
        <v>761</v>
      </c>
      <c r="N2464" t="s">
        <v>762</v>
      </c>
      <c r="Q2464">
        <v>30082</v>
      </c>
      <c r="R2464" t="s">
        <v>119</v>
      </c>
      <c r="S2464" t="s">
        <v>9081</v>
      </c>
      <c r="T2464">
        <v>26</v>
      </c>
      <c r="U2464" s="2" t="s">
        <v>15195</v>
      </c>
      <c r="W2464" t="s">
        <v>765</v>
      </c>
      <c r="X2464">
        <v>838391</v>
      </c>
      <c r="Y2464" t="s">
        <v>15724</v>
      </c>
      <c r="Z2464" s="2" t="s">
        <v>15725</v>
      </c>
      <c r="AA2464" s="2" t="s">
        <v>15726</v>
      </c>
      <c r="AB2464" t="s">
        <v>181</v>
      </c>
      <c r="AG2464" t="s">
        <v>15727</v>
      </c>
      <c r="AH2464" t="s">
        <v>9084</v>
      </c>
      <c r="AI2464" t="s">
        <v>15728</v>
      </c>
    </row>
    <row r="2465" spans="2:35" ht="165">
      <c r="B2465" s="1">
        <v>45671</v>
      </c>
      <c r="C2465" s="1">
        <v>45671</v>
      </c>
      <c r="D2465" t="s">
        <v>15729</v>
      </c>
      <c r="E2465" t="s">
        <v>15730</v>
      </c>
      <c r="F2465" t="s">
        <v>511</v>
      </c>
      <c r="G2465" t="s">
        <v>15731</v>
      </c>
      <c r="H2465" t="s">
        <v>64</v>
      </c>
      <c r="I2465" t="s">
        <v>40</v>
      </c>
      <c r="J2465" s="2" t="s">
        <v>190</v>
      </c>
      <c r="K2465" t="s">
        <v>42</v>
      </c>
      <c r="L2465" t="s">
        <v>63</v>
      </c>
      <c r="N2465" t="s">
        <v>64</v>
      </c>
      <c r="Q2465">
        <v>30081</v>
      </c>
      <c r="R2465" t="s">
        <v>119</v>
      </c>
      <c r="S2465" t="s">
        <v>15732</v>
      </c>
      <c r="T2465">
        <v>26</v>
      </c>
      <c r="W2465" t="s">
        <v>66</v>
      </c>
      <c r="X2465">
        <v>838466</v>
      </c>
      <c r="Y2465" t="s">
        <v>15733</v>
      </c>
      <c r="Z2465" t="s">
        <v>15734</v>
      </c>
      <c r="AA2465" s="2" t="s">
        <v>1727</v>
      </c>
      <c r="AB2465" t="s">
        <v>70</v>
      </c>
      <c r="AG2465" t="s">
        <v>15735</v>
      </c>
      <c r="AH2465" t="s">
        <v>15736</v>
      </c>
      <c r="AI2465" t="s">
        <v>15737</v>
      </c>
    </row>
    <row r="2466" spans="2:35" ht="180">
      <c r="B2466" s="1">
        <v>45671</v>
      </c>
      <c r="C2466" s="1">
        <v>45671</v>
      </c>
      <c r="D2466" t="s">
        <v>2176</v>
      </c>
      <c r="E2466" t="s">
        <v>2580</v>
      </c>
      <c r="F2466" t="s">
        <v>148</v>
      </c>
      <c r="G2466" t="s">
        <v>447</v>
      </c>
      <c r="H2466" t="s">
        <v>12698</v>
      </c>
      <c r="I2466" t="s">
        <v>94</v>
      </c>
      <c r="J2466" t="s">
        <v>109</v>
      </c>
      <c r="K2466" t="s">
        <v>42</v>
      </c>
      <c r="L2466" t="s">
        <v>448</v>
      </c>
      <c r="N2466" t="s">
        <v>450</v>
      </c>
      <c r="O2466" t="s">
        <v>4140</v>
      </c>
      <c r="Q2466">
        <v>30080</v>
      </c>
      <c r="R2466" t="s">
        <v>322</v>
      </c>
      <c r="S2466" t="s">
        <v>2582</v>
      </c>
      <c r="T2466">
        <v>28</v>
      </c>
      <c r="W2466" t="s">
        <v>15738</v>
      </c>
      <c r="X2466">
        <v>110014085</v>
      </c>
      <c r="Y2466" s="2" t="s">
        <v>15739</v>
      </c>
      <c r="Z2466" s="2" t="s">
        <v>2011</v>
      </c>
      <c r="AA2466" t="s">
        <v>122</v>
      </c>
      <c r="AB2466" t="s">
        <v>486</v>
      </c>
      <c r="AC2466" t="s">
        <v>15740</v>
      </c>
      <c r="AG2466" t="s">
        <v>15741</v>
      </c>
      <c r="AH2466" t="s">
        <v>15742</v>
      </c>
      <c r="AI2466" t="s">
        <v>15743</v>
      </c>
    </row>
    <row r="2467" spans="2:35" ht="315">
      <c r="B2467" s="1">
        <v>45671</v>
      </c>
      <c r="C2467" s="1">
        <v>45671</v>
      </c>
      <c r="D2467" t="s">
        <v>5158</v>
      </c>
      <c r="E2467" t="s">
        <v>15744</v>
      </c>
      <c r="F2467" t="s">
        <v>148</v>
      </c>
      <c r="G2467" t="s">
        <v>310</v>
      </c>
      <c r="H2467" t="s">
        <v>662</v>
      </c>
      <c r="I2467" t="s">
        <v>40</v>
      </c>
      <c r="J2467" t="s">
        <v>109</v>
      </c>
      <c r="K2467" t="s">
        <v>42</v>
      </c>
      <c r="L2467" t="s">
        <v>1028</v>
      </c>
      <c r="N2467" t="s">
        <v>1029</v>
      </c>
      <c r="Q2467">
        <v>30079</v>
      </c>
      <c r="R2467" t="s">
        <v>322</v>
      </c>
      <c r="S2467" t="s">
        <v>14635</v>
      </c>
      <c r="T2467">
        <v>23</v>
      </c>
      <c r="U2467" s="2" t="s">
        <v>15745</v>
      </c>
      <c r="W2467" t="s">
        <v>5169</v>
      </c>
      <c r="X2467">
        <v>110013856</v>
      </c>
      <c r="Y2467" t="s">
        <v>1978</v>
      </c>
      <c r="Z2467" t="s">
        <v>1548</v>
      </c>
      <c r="AA2467" s="2" t="s">
        <v>15746</v>
      </c>
      <c r="AB2467" t="s">
        <v>3777</v>
      </c>
      <c r="AG2467" t="s">
        <v>15747</v>
      </c>
      <c r="AH2467" t="s">
        <v>15748</v>
      </c>
      <c r="AI2467" t="s">
        <v>15749</v>
      </c>
    </row>
    <row r="2468" spans="2:35" ht="300">
      <c r="B2468" s="1">
        <v>45671</v>
      </c>
      <c r="C2468" s="1">
        <v>45671</v>
      </c>
      <c r="D2468" t="s">
        <v>5158</v>
      </c>
      <c r="E2468" t="s">
        <v>15744</v>
      </c>
      <c r="F2468" t="s">
        <v>148</v>
      </c>
      <c r="G2468" t="s">
        <v>310</v>
      </c>
      <c r="H2468" t="s">
        <v>662</v>
      </c>
      <c r="I2468" t="s">
        <v>40</v>
      </c>
      <c r="J2468" t="s">
        <v>109</v>
      </c>
      <c r="K2468" t="s">
        <v>42</v>
      </c>
      <c r="L2468" t="s">
        <v>1028</v>
      </c>
      <c r="N2468" t="s">
        <v>1029</v>
      </c>
      <c r="Q2468">
        <v>30078</v>
      </c>
      <c r="R2468" t="s">
        <v>322</v>
      </c>
      <c r="S2468" t="s">
        <v>14635</v>
      </c>
      <c r="T2468">
        <v>24</v>
      </c>
      <c r="U2468" s="2" t="s">
        <v>15750</v>
      </c>
      <c r="W2468" t="s">
        <v>1032</v>
      </c>
      <c r="X2468">
        <v>110014099</v>
      </c>
      <c r="Y2468" t="s">
        <v>1978</v>
      </c>
      <c r="Z2468" t="s">
        <v>1548</v>
      </c>
      <c r="AA2468" s="2" t="s">
        <v>7336</v>
      </c>
      <c r="AB2468" t="s">
        <v>15751</v>
      </c>
      <c r="AG2468" t="s">
        <v>15752</v>
      </c>
      <c r="AH2468" t="s">
        <v>15748</v>
      </c>
      <c r="AI2468" t="s">
        <v>15753</v>
      </c>
    </row>
    <row r="2469" spans="2:35" ht="105">
      <c r="B2469" s="1">
        <v>45671</v>
      </c>
      <c r="C2469" s="1">
        <v>45671</v>
      </c>
      <c r="D2469" t="s">
        <v>5466</v>
      </c>
      <c r="E2469" t="s">
        <v>15754</v>
      </c>
      <c r="F2469">
        <v>6</v>
      </c>
      <c r="G2469" t="s">
        <v>1286</v>
      </c>
      <c r="H2469" t="s">
        <v>258</v>
      </c>
      <c r="I2469" t="s">
        <v>40</v>
      </c>
      <c r="J2469" s="2" t="s">
        <v>62</v>
      </c>
      <c r="K2469" t="s">
        <v>42</v>
      </c>
      <c r="L2469" t="s">
        <v>270</v>
      </c>
      <c r="N2469" t="s">
        <v>2481</v>
      </c>
      <c r="Q2469">
        <v>30077</v>
      </c>
      <c r="R2469" t="s">
        <v>119</v>
      </c>
      <c r="S2469" t="s">
        <v>5468</v>
      </c>
      <c r="T2469">
        <v>24</v>
      </c>
      <c r="U2469" s="2" t="s">
        <v>15755</v>
      </c>
      <c r="V2469" s="1">
        <v>45665</v>
      </c>
      <c r="W2469" t="s">
        <v>360</v>
      </c>
      <c r="X2469">
        <v>110023535</v>
      </c>
      <c r="Y2469" t="s">
        <v>2714</v>
      </c>
      <c r="Z2469" t="s">
        <v>15612</v>
      </c>
      <c r="AA2469" t="s">
        <v>15756</v>
      </c>
      <c r="AB2469" t="s">
        <v>4668</v>
      </c>
      <c r="AD2469" t="s">
        <v>5056</v>
      </c>
      <c r="AE2469">
        <v>12506</v>
      </c>
      <c r="AG2469" t="s">
        <v>15757</v>
      </c>
      <c r="AH2469" t="s">
        <v>15758</v>
      </c>
      <c r="AI2469" t="s">
        <v>15759</v>
      </c>
    </row>
    <row r="2470" spans="2:35" ht="120">
      <c r="B2470" s="1">
        <v>45671</v>
      </c>
      <c r="C2470" s="1">
        <v>45671</v>
      </c>
      <c r="D2470" t="s">
        <v>12491</v>
      </c>
      <c r="E2470" t="s">
        <v>8921</v>
      </c>
      <c r="F2470">
        <v>13</v>
      </c>
      <c r="G2470" t="s">
        <v>931</v>
      </c>
      <c r="H2470" t="s">
        <v>2125</v>
      </c>
      <c r="I2470" t="s">
        <v>40</v>
      </c>
      <c r="J2470" s="2" t="s">
        <v>62</v>
      </c>
      <c r="K2470" t="s">
        <v>42</v>
      </c>
      <c r="L2470" t="s">
        <v>933</v>
      </c>
      <c r="N2470" t="s">
        <v>934</v>
      </c>
      <c r="Q2470">
        <v>30076</v>
      </c>
      <c r="R2470" t="s">
        <v>967</v>
      </c>
      <c r="S2470" t="s">
        <v>15760</v>
      </c>
      <c r="T2470">
        <v>29</v>
      </c>
      <c r="V2470" s="1">
        <v>45665</v>
      </c>
      <c r="W2470" t="s">
        <v>15761</v>
      </c>
      <c r="X2470">
        <v>110023522</v>
      </c>
      <c r="Y2470" t="s">
        <v>301</v>
      </c>
      <c r="Z2470" t="s">
        <v>301</v>
      </c>
      <c r="AA2470" s="2" t="s">
        <v>15551</v>
      </c>
      <c r="AB2470" t="s">
        <v>2131</v>
      </c>
      <c r="AD2470" t="s">
        <v>15762</v>
      </c>
      <c r="AE2470">
        <v>12476</v>
      </c>
      <c r="AG2470" t="s">
        <v>15763</v>
      </c>
      <c r="AH2470" t="s">
        <v>15764</v>
      </c>
      <c r="AI2470" t="s">
        <v>15765</v>
      </c>
    </row>
    <row r="2471" spans="2:35" ht="390">
      <c r="B2471" s="1">
        <v>45671</v>
      </c>
      <c r="C2471" s="1">
        <v>45671</v>
      </c>
      <c r="D2471" t="s">
        <v>1203</v>
      </c>
      <c r="E2471" t="s">
        <v>15766</v>
      </c>
      <c r="F2471">
        <v>11</v>
      </c>
      <c r="G2471" t="s">
        <v>1205</v>
      </c>
      <c r="H2471" t="s">
        <v>2548</v>
      </c>
      <c r="I2471" t="s">
        <v>40</v>
      </c>
      <c r="J2471" s="2" t="s">
        <v>62</v>
      </c>
      <c r="K2471" t="s">
        <v>42</v>
      </c>
      <c r="L2471" t="s">
        <v>204</v>
      </c>
      <c r="N2471" t="s">
        <v>205</v>
      </c>
      <c r="Q2471">
        <v>30075</v>
      </c>
      <c r="R2471" t="s">
        <v>967</v>
      </c>
      <c r="S2471" t="s">
        <v>1206</v>
      </c>
      <c r="T2471">
        <v>24.5</v>
      </c>
      <c r="V2471" s="1">
        <v>45665</v>
      </c>
      <c r="W2471" t="s">
        <v>2550</v>
      </c>
      <c r="X2471">
        <v>110023506</v>
      </c>
      <c r="Y2471" t="s">
        <v>15767</v>
      </c>
      <c r="Z2471" s="2" t="s">
        <v>15768</v>
      </c>
      <c r="AA2471" t="s">
        <v>1620</v>
      </c>
      <c r="AB2471" t="s">
        <v>15769</v>
      </c>
      <c r="AD2471" t="s">
        <v>5365</v>
      </c>
      <c r="AE2471">
        <v>12480</v>
      </c>
      <c r="AG2471" t="s">
        <v>15770</v>
      </c>
      <c r="AH2471" t="s">
        <v>1214</v>
      </c>
      <c r="AI2471" t="s">
        <v>15771</v>
      </c>
    </row>
    <row r="2472" spans="2:35" ht="409.5">
      <c r="B2472" s="1">
        <v>45671</v>
      </c>
      <c r="C2472" s="1">
        <v>45671</v>
      </c>
      <c r="D2472" t="s">
        <v>1203</v>
      </c>
      <c r="E2472" t="s">
        <v>15772</v>
      </c>
      <c r="F2472">
        <v>11</v>
      </c>
      <c r="G2472" t="s">
        <v>1205</v>
      </c>
      <c r="H2472" t="s">
        <v>2548</v>
      </c>
      <c r="I2472" t="s">
        <v>40</v>
      </c>
      <c r="J2472" s="2" t="s">
        <v>62</v>
      </c>
      <c r="K2472" t="s">
        <v>42</v>
      </c>
      <c r="L2472" t="s">
        <v>204</v>
      </c>
      <c r="N2472" t="s">
        <v>205</v>
      </c>
      <c r="Q2472">
        <v>30074</v>
      </c>
      <c r="R2472" t="s">
        <v>967</v>
      </c>
      <c r="S2472" t="s">
        <v>1206</v>
      </c>
      <c r="T2472">
        <v>24.6</v>
      </c>
      <c r="U2472" s="2" t="s">
        <v>15773</v>
      </c>
      <c r="V2472" s="1">
        <v>45665</v>
      </c>
      <c r="W2472" t="s">
        <v>2550</v>
      </c>
      <c r="X2472">
        <v>110023505</v>
      </c>
      <c r="Y2472" t="s">
        <v>15774</v>
      </c>
      <c r="Z2472" s="2" t="s">
        <v>15775</v>
      </c>
      <c r="AA2472" t="s">
        <v>1620</v>
      </c>
      <c r="AB2472" t="s">
        <v>15776</v>
      </c>
      <c r="AD2472" t="s">
        <v>5365</v>
      </c>
      <c r="AE2472">
        <v>12479</v>
      </c>
      <c r="AG2472" t="s">
        <v>15777</v>
      </c>
      <c r="AH2472" t="s">
        <v>1214</v>
      </c>
      <c r="AI2472" t="s">
        <v>15778</v>
      </c>
    </row>
    <row r="2473" spans="2:35" ht="409.5">
      <c r="B2473" s="1">
        <v>45671</v>
      </c>
      <c r="C2473" s="1">
        <v>45671</v>
      </c>
      <c r="D2473" t="s">
        <v>3423</v>
      </c>
      <c r="E2473" t="s">
        <v>12017</v>
      </c>
      <c r="F2473">
        <v>7</v>
      </c>
      <c r="G2473" t="s">
        <v>432</v>
      </c>
      <c r="H2473" t="s">
        <v>10969</v>
      </c>
      <c r="I2473" t="s">
        <v>40</v>
      </c>
      <c r="J2473" t="s">
        <v>109</v>
      </c>
      <c r="K2473" t="s">
        <v>42</v>
      </c>
      <c r="L2473" t="s">
        <v>1288</v>
      </c>
      <c r="N2473" t="s">
        <v>1289</v>
      </c>
      <c r="Q2473">
        <v>30073</v>
      </c>
      <c r="R2473" t="s">
        <v>95</v>
      </c>
      <c r="S2473" t="s">
        <v>4886</v>
      </c>
      <c r="T2473">
        <v>22</v>
      </c>
      <c r="U2473" s="2" t="s">
        <v>15779</v>
      </c>
      <c r="W2473" t="s">
        <v>1292</v>
      </c>
      <c r="X2473">
        <v>110008524</v>
      </c>
      <c r="Y2473" t="s">
        <v>15780</v>
      </c>
      <c r="Z2473" t="e">
        <f ca="1">-COLLECT IQR,system _xludf.Log, _xludf.and ARCHIVE</f>
        <v>#NAME?</v>
      </c>
      <c r="AA2473" t="e">
        <f ca="1">-PERFORM Preventive Maintenance PROCEDURE:
_xludf.Clean plunger rod, cartridge bay, _xludf.and FAN _xludf.filter</f>
        <v>#NAME?</v>
      </c>
      <c r="AB2473" t="s">
        <v>1293</v>
      </c>
      <c r="AG2473" t="s">
        <v>15781</v>
      </c>
      <c r="AH2473" t="s">
        <v>15782</v>
      </c>
      <c r="AI2473" t="s">
        <v>15783</v>
      </c>
    </row>
    <row r="2474" spans="2:35" ht="180">
      <c r="B2474" s="1">
        <v>45671</v>
      </c>
      <c r="C2474" s="1">
        <v>45671</v>
      </c>
      <c r="D2474" t="s">
        <v>3139</v>
      </c>
      <c r="E2474" t="s">
        <v>3140</v>
      </c>
      <c r="F2474">
        <v>3</v>
      </c>
      <c r="G2474" t="s">
        <v>174</v>
      </c>
      <c r="H2474" t="s">
        <v>39</v>
      </c>
      <c r="I2474" t="s">
        <v>40</v>
      </c>
      <c r="J2474" s="2" t="s">
        <v>62</v>
      </c>
      <c r="K2474" t="s">
        <v>42</v>
      </c>
      <c r="L2474" t="s">
        <v>175</v>
      </c>
      <c r="N2474" t="s">
        <v>176</v>
      </c>
      <c r="Q2474">
        <v>30072</v>
      </c>
      <c r="R2474" t="s">
        <v>967</v>
      </c>
      <c r="S2474" t="s">
        <v>3141</v>
      </c>
      <c r="T2474">
        <v>28</v>
      </c>
      <c r="V2474" s="1">
        <v>45665</v>
      </c>
      <c r="W2474" t="s">
        <v>373</v>
      </c>
      <c r="X2474">
        <v>110023507</v>
      </c>
      <c r="Y2474" s="2" t="s">
        <v>3651</v>
      </c>
      <c r="Z2474" t="s">
        <v>103</v>
      </c>
      <c r="AA2474" t="e">
        <f ca="1">- checked _xludf.and cleaned cartridge bay, plunger rod, _xludf.filter, icore slot
- performed XpertCheck
- generated reports
- performed self test</f>
        <v>#NAME?</v>
      </c>
      <c r="AB2474" s="2" t="s">
        <v>15784</v>
      </c>
      <c r="AD2474" t="s">
        <v>7189</v>
      </c>
      <c r="AE2474">
        <v>12491</v>
      </c>
      <c r="AG2474" t="s">
        <v>15785</v>
      </c>
      <c r="AH2474" t="s">
        <v>3145</v>
      </c>
      <c r="AI2474" t="s">
        <v>15786</v>
      </c>
    </row>
    <row r="2475" spans="2:35" ht="195">
      <c r="B2475" s="1">
        <v>45671</v>
      </c>
      <c r="C2475" s="1">
        <v>45671</v>
      </c>
      <c r="D2475" t="s">
        <v>5306</v>
      </c>
      <c r="E2475" t="s">
        <v>5307</v>
      </c>
      <c r="F2475">
        <v>2</v>
      </c>
      <c r="G2475" t="s">
        <v>2668</v>
      </c>
      <c r="H2475" t="s">
        <v>150</v>
      </c>
      <c r="I2475" t="s">
        <v>40</v>
      </c>
      <c r="J2475" s="2" t="s">
        <v>62</v>
      </c>
      <c r="K2475" t="s">
        <v>42</v>
      </c>
      <c r="L2475" t="s">
        <v>63</v>
      </c>
      <c r="N2475" t="s">
        <v>64</v>
      </c>
      <c r="Q2475">
        <v>30071</v>
      </c>
      <c r="R2475" t="s">
        <v>967</v>
      </c>
      <c r="S2475" t="s">
        <v>5308</v>
      </c>
      <c r="T2475">
        <v>27</v>
      </c>
      <c r="U2475" s="2" t="s">
        <v>15787</v>
      </c>
      <c r="V2475" s="1">
        <v>45665</v>
      </c>
      <c r="W2475" t="s">
        <v>373</v>
      </c>
      <c r="X2475">
        <v>110023504</v>
      </c>
      <c r="Y2475" t="s">
        <v>67</v>
      </c>
      <c r="Z2475" s="2" t="s">
        <v>5093</v>
      </c>
      <c r="AA2475" s="2" t="s">
        <v>1727</v>
      </c>
      <c r="AB2475" t="s">
        <v>70</v>
      </c>
      <c r="AD2475" t="s">
        <v>948</v>
      </c>
      <c r="AE2475">
        <v>12490</v>
      </c>
      <c r="AG2475" t="s">
        <v>15788</v>
      </c>
      <c r="AH2475" t="s">
        <v>10788</v>
      </c>
      <c r="AI2475" t="s">
        <v>15789</v>
      </c>
    </row>
    <row r="2476" spans="2:35" ht="390">
      <c r="B2476" s="1">
        <v>45671</v>
      </c>
      <c r="C2476" s="1">
        <v>45671</v>
      </c>
      <c r="D2476" t="s">
        <v>2272</v>
      </c>
      <c r="E2476" t="s">
        <v>15790</v>
      </c>
      <c r="F2476" t="s">
        <v>148</v>
      </c>
      <c r="G2476" t="s">
        <v>310</v>
      </c>
      <c r="H2476" t="s">
        <v>2274</v>
      </c>
      <c r="I2476" t="s">
        <v>40</v>
      </c>
      <c r="J2476" t="s">
        <v>109</v>
      </c>
      <c r="K2476" t="s">
        <v>387</v>
      </c>
      <c r="L2476" t="s">
        <v>1943</v>
      </c>
      <c r="N2476" t="s">
        <v>1944</v>
      </c>
      <c r="O2476" t="s">
        <v>15791</v>
      </c>
      <c r="Q2476">
        <v>30070</v>
      </c>
      <c r="R2476" t="s">
        <v>322</v>
      </c>
      <c r="S2476" t="s">
        <v>15792</v>
      </c>
      <c r="T2476">
        <v>25</v>
      </c>
      <c r="W2476" t="s">
        <v>390</v>
      </c>
      <c r="X2476" t="s">
        <v>2277</v>
      </c>
      <c r="Y2476" t="s">
        <v>2099</v>
      </c>
      <c r="Z2476" t="s">
        <v>2100</v>
      </c>
      <c r="AA2476" s="2" t="s">
        <v>15793</v>
      </c>
      <c r="AB2476" t="s">
        <v>88</v>
      </c>
      <c r="AG2476" t="s">
        <v>15794</v>
      </c>
      <c r="AH2476" t="s">
        <v>15795</v>
      </c>
      <c r="AI2476" t="s">
        <v>15796</v>
      </c>
    </row>
    <row r="2477" spans="2:35" ht="120">
      <c r="B2477" s="1">
        <v>45671</v>
      </c>
      <c r="C2477" s="1">
        <v>45671</v>
      </c>
      <c r="D2477" t="s">
        <v>15797</v>
      </c>
      <c r="E2477" t="s">
        <v>14198</v>
      </c>
      <c r="F2477">
        <v>6</v>
      </c>
      <c r="G2477" t="s">
        <v>1286</v>
      </c>
      <c r="H2477" t="s">
        <v>1498</v>
      </c>
      <c r="I2477" t="s">
        <v>40</v>
      </c>
      <c r="J2477" s="2" t="s">
        <v>62</v>
      </c>
      <c r="K2477" t="s">
        <v>42</v>
      </c>
      <c r="L2477" t="s">
        <v>343</v>
      </c>
      <c r="N2477" t="s">
        <v>344</v>
      </c>
      <c r="Q2477">
        <v>30069</v>
      </c>
      <c r="R2477" t="s">
        <v>967</v>
      </c>
      <c r="S2477" t="s">
        <v>14199</v>
      </c>
      <c r="T2477">
        <v>26</v>
      </c>
      <c r="U2477" s="2" t="s">
        <v>5044</v>
      </c>
      <c r="V2477" s="1">
        <v>45665</v>
      </c>
      <c r="W2477" t="s">
        <v>2949</v>
      </c>
      <c r="X2477">
        <v>110023531</v>
      </c>
      <c r="Y2477" t="s">
        <v>3191</v>
      </c>
      <c r="Z2477" t="e">
        <f ca="1">-run XpertCheck on ALL modules</f>
        <v>#NAME?</v>
      </c>
      <c r="AA2477" t="e">
        <f ca="1">-Preventive Maintenance
-XpertCheck CALIBRATION</f>
        <v>#NAME?</v>
      </c>
      <c r="AB2477" t="s">
        <v>15798</v>
      </c>
      <c r="AD2477" s="2" t="s">
        <v>15799</v>
      </c>
      <c r="AE2477" t="s">
        <v>15800</v>
      </c>
      <c r="AG2477" t="s">
        <v>15801</v>
      </c>
      <c r="AH2477" t="s">
        <v>15802</v>
      </c>
      <c r="AI2477" t="s">
        <v>15803</v>
      </c>
    </row>
    <row r="2478" spans="2:35" ht="105">
      <c r="B2478" s="1">
        <v>45671</v>
      </c>
      <c r="C2478" s="1">
        <v>45671</v>
      </c>
      <c r="D2478" t="s">
        <v>5427</v>
      </c>
      <c r="E2478" t="s">
        <v>5428</v>
      </c>
      <c r="F2478">
        <v>6</v>
      </c>
      <c r="G2478" t="s">
        <v>1286</v>
      </c>
      <c r="H2478" t="s">
        <v>258</v>
      </c>
      <c r="I2478" t="s">
        <v>40</v>
      </c>
      <c r="J2478" s="2" t="s">
        <v>62</v>
      </c>
      <c r="K2478" t="s">
        <v>42</v>
      </c>
      <c r="L2478" t="s">
        <v>270</v>
      </c>
      <c r="N2478" t="s">
        <v>2481</v>
      </c>
      <c r="Q2478">
        <v>30068</v>
      </c>
      <c r="R2478" t="s">
        <v>119</v>
      </c>
      <c r="S2478" t="s">
        <v>5429</v>
      </c>
      <c r="T2478">
        <v>26</v>
      </c>
      <c r="U2478" s="2" t="s">
        <v>15804</v>
      </c>
      <c r="V2478" s="1">
        <v>45665</v>
      </c>
      <c r="W2478" t="s">
        <v>360</v>
      </c>
      <c r="X2478">
        <v>110023527</v>
      </c>
      <c r="Y2478" t="s">
        <v>2060</v>
      </c>
      <c r="Z2478" t="s">
        <v>15805</v>
      </c>
      <c r="AA2478" t="s">
        <v>15806</v>
      </c>
      <c r="AB2478" t="s">
        <v>4668</v>
      </c>
      <c r="AD2478" t="s">
        <v>5056</v>
      </c>
      <c r="AE2478">
        <v>12523</v>
      </c>
      <c r="AG2478" t="s">
        <v>15807</v>
      </c>
      <c r="AH2478" t="s">
        <v>15808</v>
      </c>
      <c r="AI2478" t="s">
        <v>15809</v>
      </c>
    </row>
    <row r="2479" spans="2:35" ht="165">
      <c r="B2479" s="1">
        <v>45671</v>
      </c>
      <c r="C2479" s="1">
        <v>45671</v>
      </c>
      <c r="D2479" t="s">
        <v>8369</v>
      </c>
      <c r="E2479" t="s">
        <v>15810</v>
      </c>
      <c r="F2479">
        <v>2</v>
      </c>
      <c r="G2479" t="s">
        <v>2668</v>
      </c>
      <c r="H2479" t="s">
        <v>39</v>
      </c>
      <c r="I2479" t="s">
        <v>40</v>
      </c>
      <c r="J2479" s="2" t="s">
        <v>41</v>
      </c>
      <c r="K2479" t="s">
        <v>42</v>
      </c>
      <c r="L2479" t="s">
        <v>63</v>
      </c>
      <c r="N2479" t="s">
        <v>64</v>
      </c>
      <c r="Q2479">
        <v>30067</v>
      </c>
      <c r="R2479" t="s">
        <v>119</v>
      </c>
      <c r="S2479" t="s">
        <v>8371</v>
      </c>
      <c r="T2479">
        <v>28</v>
      </c>
      <c r="U2479" s="2" t="s">
        <v>11807</v>
      </c>
      <c r="V2479" s="1">
        <v>45665</v>
      </c>
      <c r="W2479" t="s">
        <v>66</v>
      </c>
      <c r="X2479">
        <v>838480</v>
      </c>
      <c r="Y2479" t="s">
        <v>15811</v>
      </c>
      <c r="Z2479" s="2" t="s">
        <v>15812</v>
      </c>
      <c r="AA2479" s="2" t="s">
        <v>1727</v>
      </c>
      <c r="AB2479" t="s">
        <v>70</v>
      </c>
      <c r="AD2479" t="s">
        <v>6397</v>
      </c>
      <c r="AE2479">
        <v>12535</v>
      </c>
      <c r="AG2479" t="s">
        <v>15813</v>
      </c>
      <c r="AH2479" t="s">
        <v>10775</v>
      </c>
      <c r="AI2479" t="s">
        <v>15814</v>
      </c>
    </row>
    <row r="2480" spans="2:35" ht="120">
      <c r="B2480" s="1">
        <v>45671</v>
      </c>
      <c r="C2480" s="1">
        <v>45671</v>
      </c>
      <c r="D2480" t="s">
        <v>5415</v>
      </c>
      <c r="E2480" t="s">
        <v>5416</v>
      </c>
      <c r="F2480">
        <v>6</v>
      </c>
      <c r="G2480" t="s">
        <v>1286</v>
      </c>
      <c r="H2480" t="s">
        <v>39</v>
      </c>
      <c r="I2480" t="s">
        <v>40</v>
      </c>
      <c r="J2480" s="2" t="s">
        <v>62</v>
      </c>
      <c r="K2480" t="s">
        <v>42</v>
      </c>
      <c r="L2480" t="s">
        <v>343</v>
      </c>
      <c r="N2480" t="s">
        <v>344</v>
      </c>
      <c r="Q2480">
        <v>30066</v>
      </c>
      <c r="R2480" t="s">
        <v>967</v>
      </c>
      <c r="S2480" t="s">
        <v>5417</v>
      </c>
      <c r="T2480">
        <v>28</v>
      </c>
      <c r="U2480" s="2" t="s">
        <v>15693</v>
      </c>
      <c r="V2480" s="1">
        <v>45665</v>
      </c>
      <c r="W2480" t="s">
        <v>2949</v>
      </c>
      <c r="X2480">
        <v>110023530</v>
      </c>
      <c r="Y2480" t="s">
        <v>3191</v>
      </c>
      <c r="Z2480" t="e">
        <f ca="1">-run XpertCheck on ALL four modules</f>
        <v>#NAME?</v>
      </c>
      <c r="AA2480" t="e">
        <f ca="1">-XpertCheck CALIBRATION
-Preventive Maintenance</f>
        <v>#NAME?</v>
      </c>
      <c r="AB2480" t="s">
        <v>15124</v>
      </c>
      <c r="AD2480" s="2" t="s">
        <v>15815</v>
      </c>
      <c r="AE2480" t="s">
        <v>15816</v>
      </c>
      <c r="AG2480" t="s">
        <v>15817</v>
      </c>
      <c r="AH2480" t="s">
        <v>5420</v>
      </c>
      <c r="AI2480" t="s">
        <v>15818</v>
      </c>
    </row>
    <row r="2481" spans="2:35" ht="150">
      <c r="B2481" s="1">
        <v>45671</v>
      </c>
      <c r="C2481" s="1">
        <v>45671</v>
      </c>
      <c r="D2481" t="s">
        <v>15819</v>
      </c>
      <c r="E2481" t="s">
        <v>15820</v>
      </c>
      <c r="F2481">
        <v>6</v>
      </c>
      <c r="G2481" t="s">
        <v>1286</v>
      </c>
      <c r="H2481" t="s">
        <v>258</v>
      </c>
      <c r="I2481" t="s">
        <v>40</v>
      </c>
      <c r="J2481" s="2" t="s">
        <v>62</v>
      </c>
      <c r="K2481" t="s">
        <v>42</v>
      </c>
      <c r="L2481" t="s">
        <v>270</v>
      </c>
      <c r="N2481" t="s">
        <v>2481</v>
      </c>
      <c r="Q2481">
        <v>30065</v>
      </c>
      <c r="R2481" t="s">
        <v>119</v>
      </c>
      <c r="S2481" t="s">
        <v>5336</v>
      </c>
      <c r="T2481">
        <v>23</v>
      </c>
      <c r="U2481" s="2" t="s">
        <v>14532</v>
      </c>
      <c r="V2481" s="1">
        <v>45665</v>
      </c>
      <c r="W2481" t="s">
        <v>360</v>
      </c>
      <c r="X2481">
        <v>110023532</v>
      </c>
      <c r="Y2481" t="s">
        <v>2060</v>
      </c>
      <c r="Z2481" t="s">
        <v>449</v>
      </c>
      <c r="AA2481" t="s">
        <v>15821</v>
      </c>
      <c r="AB2481" s="2" t="s">
        <v>15822</v>
      </c>
      <c r="AE2481">
        <v>12516</v>
      </c>
      <c r="AG2481" t="s">
        <v>15823</v>
      </c>
      <c r="AH2481" t="s">
        <v>15824</v>
      </c>
      <c r="AI2481" t="s">
        <v>15825</v>
      </c>
    </row>
    <row r="2482" spans="2:35" ht="390">
      <c r="B2482" s="1">
        <v>45670</v>
      </c>
      <c r="C2482" s="1">
        <v>45670</v>
      </c>
      <c r="D2482" t="s">
        <v>965</v>
      </c>
      <c r="E2482" t="s">
        <v>15826</v>
      </c>
      <c r="F2482">
        <v>12</v>
      </c>
      <c r="G2482" t="s">
        <v>294</v>
      </c>
      <c r="H2482" t="s">
        <v>1473</v>
      </c>
      <c r="I2482" t="s">
        <v>40</v>
      </c>
      <c r="J2482" s="2" t="s">
        <v>62</v>
      </c>
      <c r="K2482" t="s">
        <v>42</v>
      </c>
      <c r="L2482" t="s">
        <v>296</v>
      </c>
      <c r="N2482" t="s">
        <v>297</v>
      </c>
      <c r="Q2482">
        <v>30064</v>
      </c>
      <c r="R2482" t="s">
        <v>119</v>
      </c>
      <c r="S2482" t="s">
        <v>12658</v>
      </c>
      <c r="T2482">
        <v>26.7</v>
      </c>
      <c r="U2482" s="2" t="s">
        <v>15827</v>
      </c>
      <c r="V2482" s="1">
        <v>45670</v>
      </c>
      <c r="W2482" t="s">
        <v>981</v>
      </c>
      <c r="X2482">
        <v>110023520</v>
      </c>
      <c r="Y2482" t="s">
        <v>301</v>
      </c>
      <c r="Z2482" s="2" t="s">
        <v>15828</v>
      </c>
      <c r="AA2482" s="2" t="s">
        <v>15829</v>
      </c>
      <c r="AB2482" s="2" t="s">
        <v>15830</v>
      </c>
      <c r="AD2482" s="2" t="s">
        <v>15831</v>
      </c>
      <c r="AE2482" t="s">
        <v>15832</v>
      </c>
      <c r="AG2482" t="s">
        <v>15833</v>
      </c>
      <c r="AH2482" t="s">
        <v>12663</v>
      </c>
      <c r="AI2482" t="s">
        <v>15834</v>
      </c>
    </row>
    <row r="2483" spans="2:35" ht="315">
      <c r="B2483" s="1">
        <v>45670</v>
      </c>
      <c r="C2483" s="1">
        <v>45670</v>
      </c>
      <c r="D2483" t="s">
        <v>498</v>
      </c>
      <c r="E2483" t="s">
        <v>15835</v>
      </c>
      <c r="F2483">
        <v>7</v>
      </c>
      <c r="G2483" t="s">
        <v>432</v>
      </c>
      <c r="H2483" t="s">
        <v>39</v>
      </c>
      <c r="I2483" t="s">
        <v>40</v>
      </c>
      <c r="J2483" s="2" t="s">
        <v>41</v>
      </c>
      <c r="K2483" t="s">
        <v>42</v>
      </c>
      <c r="L2483" t="s">
        <v>1288</v>
      </c>
      <c r="N2483" t="s">
        <v>1289</v>
      </c>
      <c r="O2483" t="s">
        <v>3264</v>
      </c>
      <c r="Q2483">
        <v>30063</v>
      </c>
      <c r="R2483" t="s">
        <v>119</v>
      </c>
      <c r="S2483" t="s">
        <v>15836</v>
      </c>
      <c r="T2483">
        <v>25</v>
      </c>
      <c r="U2483" s="2" t="s">
        <v>15837</v>
      </c>
      <c r="V2483" s="1">
        <v>45665</v>
      </c>
      <c r="W2483" t="s">
        <v>1292</v>
      </c>
      <c r="X2483">
        <v>838508</v>
      </c>
      <c r="Y2483" t="e">
        <f ca="1">-_xludf.For module B1 _xludf.and B3 Replacement</f>
        <v>#NAME?</v>
      </c>
      <c r="Z2483" t="e">
        <f ca="1">-COLLECT IQR, system _xludf.Log, _xludf.and ARCHIVE</f>
        <v>#NAME?</v>
      </c>
      <c r="AA2483" s="2" t="s">
        <v>15838</v>
      </c>
      <c r="AB2483" t="s">
        <v>1293</v>
      </c>
      <c r="AD2483" t="s">
        <v>15839</v>
      </c>
      <c r="AE2483" t="s">
        <v>15840</v>
      </c>
      <c r="AG2483" t="s">
        <v>15841</v>
      </c>
      <c r="AH2483" t="s">
        <v>10972</v>
      </c>
      <c r="AI2483" t="s">
        <v>15842</v>
      </c>
    </row>
    <row r="2484" spans="2:35" ht="225">
      <c r="B2484" s="1">
        <v>45670</v>
      </c>
      <c r="C2484" s="1">
        <v>45670</v>
      </c>
      <c r="D2484" t="s">
        <v>8727</v>
      </c>
      <c r="E2484" t="s">
        <v>15843</v>
      </c>
      <c r="F2484" t="s">
        <v>37</v>
      </c>
      <c r="G2484" t="s">
        <v>2499</v>
      </c>
      <c r="H2484" t="s">
        <v>39</v>
      </c>
      <c r="I2484" t="s">
        <v>40</v>
      </c>
      <c r="J2484" s="2" t="s">
        <v>41</v>
      </c>
      <c r="K2484" t="s">
        <v>42</v>
      </c>
      <c r="L2484" t="s">
        <v>15532</v>
      </c>
      <c r="N2484" t="s">
        <v>15533</v>
      </c>
      <c r="Q2484">
        <v>30062</v>
      </c>
      <c r="R2484" t="s">
        <v>119</v>
      </c>
      <c r="S2484" t="s">
        <v>15844</v>
      </c>
      <c r="T2484">
        <v>25</v>
      </c>
      <c r="U2484" s="2" t="s">
        <v>15199</v>
      </c>
      <c r="V2484" s="1">
        <v>45665</v>
      </c>
      <c r="W2484" t="s">
        <v>15535</v>
      </c>
      <c r="X2484">
        <v>838206</v>
      </c>
      <c r="Y2484" t="s">
        <v>2034</v>
      </c>
      <c r="Z2484" s="2" t="s">
        <v>15845</v>
      </c>
      <c r="AA2484" s="2" t="s">
        <v>15846</v>
      </c>
      <c r="AB2484" s="2" t="s">
        <v>15539</v>
      </c>
      <c r="AD2484" t="s">
        <v>15847</v>
      </c>
      <c r="AE2484" t="s">
        <v>15848</v>
      </c>
      <c r="AG2484" t="s">
        <v>15849</v>
      </c>
      <c r="AH2484" t="s">
        <v>15850</v>
      </c>
      <c r="AI2484" t="s">
        <v>15851</v>
      </c>
    </row>
    <row r="2485" spans="2:35" ht="105">
      <c r="B2485" s="1">
        <v>45670</v>
      </c>
      <c r="C2485" s="1">
        <v>45670</v>
      </c>
      <c r="D2485" t="s">
        <v>15852</v>
      </c>
      <c r="E2485" t="s">
        <v>15853</v>
      </c>
      <c r="F2485">
        <v>6</v>
      </c>
      <c r="G2485" t="s">
        <v>1234</v>
      </c>
      <c r="H2485" t="s">
        <v>1047</v>
      </c>
      <c r="I2485" t="s">
        <v>40</v>
      </c>
      <c r="J2485" s="2" t="s">
        <v>1808</v>
      </c>
      <c r="K2485" t="s">
        <v>42</v>
      </c>
      <c r="L2485" t="s">
        <v>270</v>
      </c>
      <c r="N2485" t="s">
        <v>2481</v>
      </c>
      <c r="Q2485">
        <v>30061</v>
      </c>
      <c r="R2485" t="s">
        <v>119</v>
      </c>
      <c r="S2485" t="s">
        <v>15854</v>
      </c>
      <c r="T2485">
        <v>28</v>
      </c>
      <c r="U2485" s="2" t="s">
        <v>1509</v>
      </c>
      <c r="W2485" t="s">
        <v>360</v>
      </c>
      <c r="X2485">
        <v>838499</v>
      </c>
      <c r="Y2485" t="s">
        <v>6010</v>
      </c>
      <c r="Z2485" t="s">
        <v>449</v>
      </c>
      <c r="AA2485" t="s">
        <v>15855</v>
      </c>
      <c r="AB2485" t="s">
        <v>4668</v>
      </c>
      <c r="AG2485" t="s">
        <v>15856</v>
      </c>
      <c r="AH2485" t="s">
        <v>15857</v>
      </c>
      <c r="AI2485" t="s">
        <v>15858</v>
      </c>
    </row>
    <row r="2486" spans="2:35" ht="105">
      <c r="B2486" s="1">
        <v>45670</v>
      </c>
      <c r="C2486" s="1">
        <v>45667</v>
      </c>
      <c r="D2486" t="s">
        <v>5214</v>
      </c>
      <c r="E2486" t="s">
        <v>5215</v>
      </c>
      <c r="F2486">
        <v>6</v>
      </c>
      <c r="G2486" t="s">
        <v>5216</v>
      </c>
      <c r="H2486" t="s">
        <v>10969</v>
      </c>
      <c r="I2486" t="s">
        <v>40</v>
      </c>
      <c r="J2486" t="s">
        <v>321</v>
      </c>
      <c r="K2486" t="s">
        <v>42</v>
      </c>
      <c r="L2486" t="s">
        <v>1288</v>
      </c>
      <c r="N2486" t="s">
        <v>1289</v>
      </c>
      <c r="Q2486">
        <v>30060</v>
      </c>
      <c r="R2486" t="s">
        <v>967</v>
      </c>
      <c r="S2486" t="s">
        <v>15859</v>
      </c>
      <c r="T2486">
        <v>24</v>
      </c>
      <c r="U2486" s="2" t="s">
        <v>1509</v>
      </c>
      <c r="W2486" t="s">
        <v>1292</v>
      </c>
      <c r="X2486">
        <v>110023528</v>
      </c>
      <c r="Y2486" t="e">
        <f ca="1">-_xludf.For Installation(GX transfer FROM GUIMARAS PROVINCIAL Health Office)</f>
        <v>#NAME?</v>
      </c>
      <c r="Z2486" t="e">
        <f ca="1">-COLLECT Installation QUALIFICATION report</f>
        <v>#NAME?</v>
      </c>
      <c r="AA2486" t="e">
        <f ca="1">-PERFORM GeneXpert Installation _xludf.and workstation Set-up</f>
        <v>#NAME?</v>
      </c>
      <c r="AB2486" t="s">
        <v>1293</v>
      </c>
      <c r="AG2486" t="s">
        <v>15860</v>
      </c>
      <c r="AH2486" t="s">
        <v>15861</v>
      </c>
      <c r="AI2486" t="s">
        <v>15862</v>
      </c>
    </row>
    <row r="2487" spans="2:35" ht="180">
      <c r="B2487" s="1">
        <v>45670</v>
      </c>
      <c r="C2487" s="1">
        <v>45667</v>
      </c>
      <c r="D2487" t="s">
        <v>7529</v>
      </c>
      <c r="E2487" t="s">
        <v>15863</v>
      </c>
      <c r="F2487">
        <v>5</v>
      </c>
      <c r="G2487" t="s">
        <v>759</v>
      </c>
      <c r="H2487" t="s">
        <v>39</v>
      </c>
      <c r="I2487" t="s">
        <v>94</v>
      </c>
      <c r="J2487" s="2" t="s">
        <v>41</v>
      </c>
      <c r="K2487" t="s">
        <v>42</v>
      </c>
      <c r="L2487" t="s">
        <v>761</v>
      </c>
      <c r="N2487" t="s">
        <v>762</v>
      </c>
      <c r="Q2487">
        <v>30059</v>
      </c>
      <c r="R2487" t="s">
        <v>119</v>
      </c>
      <c r="S2487" t="s">
        <v>15864</v>
      </c>
      <c r="T2487">
        <v>29</v>
      </c>
      <c r="U2487" s="2" t="s">
        <v>15865</v>
      </c>
      <c r="W2487" t="s">
        <v>765</v>
      </c>
      <c r="X2487">
        <v>838397</v>
      </c>
      <c r="Y2487" t="s">
        <v>15866</v>
      </c>
      <c r="Z2487" s="2" t="s">
        <v>15867</v>
      </c>
      <c r="AA2487" s="2" t="s">
        <v>15868</v>
      </c>
      <c r="AB2487" t="s">
        <v>181</v>
      </c>
      <c r="AG2487" t="s">
        <v>15869</v>
      </c>
      <c r="AH2487" t="s">
        <v>15870</v>
      </c>
      <c r="AI2487" t="s">
        <v>15871</v>
      </c>
    </row>
    <row r="2488" spans="2:35" ht="165">
      <c r="B2488" s="1">
        <v>45670</v>
      </c>
      <c r="C2488" s="1">
        <v>45666</v>
      </c>
      <c r="D2488" t="s">
        <v>5807</v>
      </c>
      <c r="E2488" t="s">
        <v>7098</v>
      </c>
      <c r="F2488">
        <v>5</v>
      </c>
      <c r="G2488" t="s">
        <v>839</v>
      </c>
      <c r="H2488" t="s">
        <v>39</v>
      </c>
      <c r="I2488" t="s">
        <v>94</v>
      </c>
      <c r="J2488" s="2" t="s">
        <v>41</v>
      </c>
      <c r="K2488" t="s">
        <v>42</v>
      </c>
      <c r="L2488" t="s">
        <v>761</v>
      </c>
      <c r="N2488" t="s">
        <v>762</v>
      </c>
      <c r="Q2488">
        <v>30058</v>
      </c>
      <c r="R2488" t="s">
        <v>119</v>
      </c>
      <c r="S2488" t="s">
        <v>7099</v>
      </c>
      <c r="T2488">
        <v>23</v>
      </c>
      <c r="U2488" s="2" t="s">
        <v>15872</v>
      </c>
      <c r="W2488" t="s">
        <v>765</v>
      </c>
      <c r="X2488">
        <v>838408</v>
      </c>
      <c r="Y2488" t="s">
        <v>9330</v>
      </c>
      <c r="Z2488" s="2" t="s">
        <v>15873</v>
      </c>
      <c r="AA2488" s="2" t="s">
        <v>15874</v>
      </c>
      <c r="AB2488" t="s">
        <v>70</v>
      </c>
      <c r="AG2488" t="s">
        <v>15875</v>
      </c>
      <c r="AH2488" t="s">
        <v>10770</v>
      </c>
      <c r="AI2488" t="s">
        <v>15876</v>
      </c>
    </row>
    <row r="2489" spans="2:35" ht="255">
      <c r="B2489" s="1">
        <v>45670</v>
      </c>
      <c r="C2489" s="1">
        <v>45667</v>
      </c>
      <c r="D2489" t="s">
        <v>1026</v>
      </c>
      <c r="E2489" t="s">
        <v>8231</v>
      </c>
      <c r="F2489" t="s">
        <v>148</v>
      </c>
      <c r="G2489" t="s">
        <v>774</v>
      </c>
      <c r="H2489" t="s">
        <v>513</v>
      </c>
      <c r="I2489" t="s">
        <v>94</v>
      </c>
      <c r="J2489" t="s">
        <v>996</v>
      </c>
      <c r="K2489" t="s">
        <v>387</v>
      </c>
      <c r="L2489" t="s">
        <v>1028</v>
      </c>
      <c r="N2489" t="s">
        <v>1029</v>
      </c>
      <c r="O2489" t="s">
        <v>10944</v>
      </c>
      <c r="Q2489">
        <v>30057</v>
      </c>
      <c r="R2489" t="s">
        <v>95</v>
      </c>
      <c r="S2489" t="s">
        <v>10918</v>
      </c>
      <c r="T2489">
        <v>25</v>
      </c>
      <c r="V2489" s="1">
        <v>45643</v>
      </c>
      <c r="W2489" t="s">
        <v>390</v>
      </c>
      <c r="X2489" t="s">
        <v>5184</v>
      </c>
      <c r="Y2489" t="s">
        <v>8988</v>
      </c>
      <c r="Z2489" t="s">
        <v>8989</v>
      </c>
      <c r="AA2489" s="2" t="s">
        <v>15877</v>
      </c>
      <c r="AB2489" t="s">
        <v>3777</v>
      </c>
      <c r="AD2489" t="s">
        <v>15878</v>
      </c>
      <c r="AE2489" t="s">
        <v>15879</v>
      </c>
      <c r="AG2489" t="s">
        <v>15880</v>
      </c>
      <c r="AH2489" t="s">
        <v>10923</v>
      </c>
      <c r="AI2489" t="s">
        <v>15881</v>
      </c>
    </row>
    <row r="2490" spans="2:35" ht="285">
      <c r="B2490" s="1">
        <v>45670</v>
      </c>
      <c r="C2490" s="1">
        <v>45667</v>
      </c>
      <c r="D2490" t="s">
        <v>1026</v>
      </c>
      <c r="E2490" t="s">
        <v>8231</v>
      </c>
      <c r="F2490" t="s">
        <v>148</v>
      </c>
      <c r="G2490" t="s">
        <v>774</v>
      </c>
      <c r="H2490" t="s">
        <v>513</v>
      </c>
      <c r="I2490" t="s">
        <v>94</v>
      </c>
      <c r="J2490" t="s">
        <v>996</v>
      </c>
      <c r="K2490" t="s">
        <v>387</v>
      </c>
      <c r="L2490" t="s">
        <v>1028</v>
      </c>
      <c r="N2490" t="s">
        <v>1029</v>
      </c>
      <c r="O2490" t="s">
        <v>10944</v>
      </c>
      <c r="Q2490">
        <v>30056</v>
      </c>
      <c r="R2490" t="s">
        <v>95</v>
      </c>
      <c r="S2490" t="s">
        <v>10918</v>
      </c>
      <c r="T2490">
        <v>25</v>
      </c>
      <c r="V2490" s="1">
        <v>45643</v>
      </c>
      <c r="W2490" t="s">
        <v>390</v>
      </c>
      <c r="X2490" t="s">
        <v>3773</v>
      </c>
      <c r="Y2490" t="s">
        <v>8988</v>
      </c>
      <c r="Z2490" t="s">
        <v>8989</v>
      </c>
      <c r="AA2490" s="2" t="s">
        <v>15882</v>
      </c>
      <c r="AB2490" s="2" t="s">
        <v>15883</v>
      </c>
      <c r="AC2490" t="s">
        <v>15884</v>
      </c>
      <c r="AD2490" t="s">
        <v>15885</v>
      </c>
      <c r="AE2490" t="s">
        <v>15879</v>
      </c>
      <c r="AG2490" t="s">
        <v>15886</v>
      </c>
      <c r="AH2490" t="s">
        <v>10957</v>
      </c>
      <c r="AI2490" t="s">
        <v>15887</v>
      </c>
    </row>
    <row r="2491" spans="2:35" ht="255">
      <c r="B2491" s="1">
        <v>45670</v>
      </c>
      <c r="C2491" s="1">
        <v>45667</v>
      </c>
      <c r="D2491" t="s">
        <v>1026</v>
      </c>
      <c r="E2491" t="s">
        <v>8231</v>
      </c>
      <c r="F2491" t="s">
        <v>148</v>
      </c>
      <c r="G2491" t="s">
        <v>774</v>
      </c>
      <c r="H2491" t="s">
        <v>513</v>
      </c>
      <c r="I2491" t="s">
        <v>94</v>
      </c>
      <c r="J2491" t="s">
        <v>996</v>
      </c>
      <c r="K2491" t="s">
        <v>387</v>
      </c>
      <c r="L2491" t="s">
        <v>1028</v>
      </c>
      <c r="N2491" t="s">
        <v>1029</v>
      </c>
      <c r="O2491" t="s">
        <v>10944</v>
      </c>
      <c r="Q2491">
        <v>30055</v>
      </c>
      <c r="R2491" t="s">
        <v>95</v>
      </c>
      <c r="S2491" t="s">
        <v>10918</v>
      </c>
      <c r="T2491">
        <v>25</v>
      </c>
      <c r="V2491" s="1">
        <v>45643</v>
      </c>
      <c r="W2491" t="s">
        <v>390</v>
      </c>
      <c r="X2491" t="s">
        <v>5184</v>
      </c>
      <c r="Y2491" t="s">
        <v>8988</v>
      </c>
      <c r="Z2491" t="s">
        <v>8989</v>
      </c>
      <c r="AA2491" s="2" t="s">
        <v>15877</v>
      </c>
      <c r="AB2491" t="s">
        <v>3777</v>
      </c>
      <c r="AD2491" t="s">
        <v>15878</v>
      </c>
      <c r="AE2491" t="s">
        <v>15879</v>
      </c>
      <c r="AG2491" t="s">
        <v>15888</v>
      </c>
      <c r="AH2491" t="s">
        <v>10923</v>
      </c>
      <c r="AI2491" t="s">
        <v>15889</v>
      </c>
    </row>
    <row r="2492" spans="2:35" ht="285">
      <c r="B2492" s="1">
        <v>45670</v>
      </c>
      <c r="C2492" s="1">
        <v>45667</v>
      </c>
      <c r="D2492" t="s">
        <v>1026</v>
      </c>
      <c r="E2492" t="s">
        <v>8231</v>
      </c>
      <c r="F2492" t="s">
        <v>148</v>
      </c>
      <c r="G2492" t="s">
        <v>774</v>
      </c>
      <c r="H2492" t="s">
        <v>513</v>
      </c>
      <c r="I2492" t="s">
        <v>94</v>
      </c>
      <c r="J2492" t="s">
        <v>996</v>
      </c>
      <c r="K2492" t="s">
        <v>387</v>
      </c>
      <c r="L2492" t="s">
        <v>1028</v>
      </c>
      <c r="N2492" t="s">
        <v>1029</v>
      </c>
      <c r="O2492" t="s">
        <v>10944</v>
      </c>
      <c r="Q2492">
        <v>30054</v>
      </c>
      <c r="R2492" t="s">
        <v>95</v>
      </c>
      <c r="S2492" t="s">
        <v>10918</v>
      </c>
      <c r="T2492">
        <v>25</v>
      </c>
      <c r="V2492" s="1">
        <v>45643</v>
      </c>
      <c r="W2492" t="s">
        <v>390</v>
      </c>
      <c r="X2492" t="s">
        <v>3773</v>
      </c>
      <c r="Y2492" t="s">
        <v>8988</v>
      </c>
      <c r="Z2492" t="s">
        <v>8989</v>
      </c>
      <c r="AA2492" s="2" t="s">
        <v>15882</v>
      </c>
      <c r="AB2492" s="2" t="s">
        <v>15883</v>
      </c>
      <c r="AC2492" t="s">
        <v>15884</v>
      </c>
      <c r="AD2492" t="s">
        <v>15885</v>
      </c>
      <c r="AE2492" t="s">
        <v>15879</v>
      </c>
      <c r="AG2492" t="s">
        <v>15890</v>
      </c>
      <c r="AH2492" t="s">
        <v>10957</v>
      </c>
      <c r="AI2492" t="s">
        <v>15891</v>
      </c>
    </row>
    <row r="2493" spans="2:35" ht="405">
      <c r="B2493" s="1">
        <v>45670</v>
      </c>
      <c r="C2493" s="1">
        <v>45666</v>
      </c>
      <c r="D2493" t="s">
        <v>5903</v>
      </c>
      <c r="E2493" t="s">
        <v>2569</v>
      </c>
      <c r="F2493" t="s">
        <v>148</v>
      </c>
      <c r="G2493" t="s">
        <v>447</v>
      </c>
      <c r="H2493" t="s">
        <v>662</v>
      </c>
      <c r="I2493" t="s">
        <v>40</v>
      </c>
      <c r="J2493" t="s">
        <v>109</v>
      </c>
      <c r="K2493" t="s">
        <v>42</v>
      </c>
      <c r="L2493" t="s">
        <v>448</v>
      </c>
      <c r="N2493" t="s">
        <v>650</v>
      </c>
      <c r="Q2493">
        <v>30053</v>
      </c>
      <c r="R2493" t="s">
        <v>322</v>
      </c>
      <c r="S2493" t="s">
        <v>3987</v>
      </c>
      <c r="T2493">
        <v>25</v>
      </c>
      <c r="U2493" s="2" t="s">
        <v>15892</v>
      </c>
      <c r="W2493" t="s">
        <v>4275</v>
      </c>
      <c r="X2493">
        <v>110014171</v>
      </c>
      <c r="Y2493" s="2" t="s">
        <v>15893</v>
      </c>
      <c r="Z2493" s="2" t="s">
        <v>2011</v>
      </c>
      <c r="AA2493" t="s">
        <v>122</v>
      </c>
      <c r="AB2493" t="s">
        <v>656</v>
      </c>
      <c r="AG2493" t="s">
        <v>15894</v>
      </c>
      <c r="AH2493" t="s">
        <v>660</v>
      </c>
      <c r="AI2493" t="s">
        <v>15895</v>
      </c>
    </row>
    <row r="2494" spans="2:35" ht="225">
      <c r="B2494" s="1">
        <v>45670</v>
      </c>
      <c r="C2494" s="1">
        <v>45666</v>
      </c>
      <c r="D2494" t="s">
        <v>3669</v>
      </c>
      <c r="E2494" t="s">
        <v>3670</v>
      </c>
      <c r="F2494" t="s">
        <v>37</v>
      </c>
      <c r="G2494" t="s">
        <v>38</v>
      </c>
      <c r="H2494" t="s">
        <v>39</v>
      </c>
      <c r="I2494" t="s">
        <v>40</v>
      </c>
      <c r="J2494" t="s">
        <v>109</v>
      </c>
      <c r="K2494" t="s">
        <v>42</v>
      </c>
      <c r="L2494" t="s">
        <v>43</v>
      </c>
      <c r="N2494" t="s">
        <v>44</v>
      </c>
      <c r="Q2494">
        <v>30052</v>
      </c>
      <c r="R2494" t="s">
        <v>95</v>
      </c>
      <c r="S2494" t="s">
        <v>5945</v>
      </c>
      <c r="T2494">
        <v>20</v>
      </c>
      <c r="W2494" t="s">
        <v>48</v>
      </c>
      <c r="X2494">
        <v>110005265</v>
      </c>
      <c r="Y2494" t="s">
        <v>121</v>
      </c>
      <c r="Z2494" t="s">
        <v>122</v>
      </c>
      <c r="AA2494" s="2" t="s">
        <v>9740</v>
      </c>
      <c r="AB2494" t="s">
        <v>548</v>
      </c>
      <c r="AG2494" t="s">
        <v>15896</v>
      </c>
      <c r="AH2494" t="s">
        <v>15897</v>
      </c>
      <c r="AI2494" t="s">
        <v>15898</v>
      </c>
    </row>
    <row r="2495" spans="2:35" ht="225">
      <c r="B2495" s="1">
        <v>45670</v>
      </c>
      <c r="C2495" s="1">
        <v>45666</v>
      </c>
      <c r="D2495" t="s">
        <v>1686</v>
      </c>
      <c r="E2495" t="s">
        <v>5585</v>
      </c>
      <c r="F2495" t="s">
        <v>148</v>
      </c>
      <c r="G2495" t="s">
        <v>785</v>
      </c>
      <c r="H2495" t="s">
        <v>39</v>
      </c>
      <c r="I2495" t="s">
        <v>40</v>
      </c>
      <c r="J2495" t="s">
        <v>109</v>
      </c>
      <c r="K2495" t="s">
        <v>42</v>
      </c>
      <c r="L2495" t="s">
        <v>43</v>
      </c>
      <c r="N2495" t="s">
        <v>44</v>
      </c>
      <c r="Q2495">
        <v>30051</v>
      </c>
      <c r="R2495" t="s">
        <v>322</v>
      </c>
      <c r="S2495" t="s">
        <v>1688</v>
      </c>
      <c r="T2495">
        <v>20</v>
      </c>
      <c r="W2495" t="s">
        <v>5136</v>
      </c>
      <c r="X2495">
        <v>110024247</v>
      </c>
      <c r="Y2495" t="s">
        <v>121</v>
      </c>
      <c r="Z2495" t="s">
        <v>122</v>
      </c>
      <c r="AA2495" s="2" t="s">
        <v>14566</v>
      </c>
      <c r="AB2495" t="s">
        <v>548</v>
      </c>
      <c r="AG2495" t="s">
        <v>15899</v>
      </c>
      <c r="AH2495" t="s">
        <v>1692</v>
      </c>
      <c r="AI2495" t="s">
        <v>15900</v>
      </c>
    </row>
    <row r="2496" spans="2:35" ht="255">
      <c r="B2496" s="1">
        <v>45670</v>
      </c>
      <c r="C2496" s="1">
        <v>45665</v>
      </c>
      <c r="D2496" t="s">
        <v>1081</v>
      </c>
      <c r="E2496" t="s">
        <v>2073</v>
      </c>
      <c r="F2496" t="s">
        <v>148</v>
      </c>
      <c r="G2496" t="s">
        <v>785</v>
      </c>
      <c r="H2496" t="s">
        <v>1083</v>
      </c>
      <c r="I2496" t="s">
        <v>40</v>
      </c>
      <c r="J2496" t="s">
        <v>109</v>
      </c>
      <c r="K2496" t="s">
        <v>387</v>
      </c>
      <c r="L2496" t="s">
        <v>43</v>
      </c>
      <c r="N2496" t="s">
        <v>44</v>
      </c>
      <c r="Q2496">
        <v>30050</v>
      </c>
      <c r="R2496" t="s">
        <v>95</v>
      </c>
      <c r="S2496" t="s">
        <v>15901</v>
      </c>
      <c r="T2496">
        <v>20</v>
      </c>
      <c r="W2496" t="s">
        <v>390</v>
      </c>
      <c r="X2496" t="s">
        <v>5969</v>
      </c>
      <c r="Y2496" t="s">
        <v>121</v>
      </c>
      <c r="Z2496" t="s">
        <v>122</v>
      </c>
      <c r="AA2496" s="2" t="s">
        <v>15902</v>
      </c>
      <c r="AB2496" t="s">
        <v>88</v>
      </c>
      <c r="AG2496" t="s">
        <v>15903</v>
      </c>
      <c r="AH2496" t="s">
        <v>15904</v>
      </c>
      <c r="AI2496" t="s">
        <v>15905</v>
      </c>
    </row>
    <row r="2497" spans="2:35" ht="225">
      <c r="B2497" s="1">
        <v>45670</v>
      </c>
      <c r="C2497" s="1">
        <v>45665</v>
      </c>
      <c r="D2497" t="s">
        <v>1081</v>
      </c>
      <c r="E2497" t="s">
        <v>2073</v>
      </c>
      <c r="F2497" t="s">
        <v>148</v>
      </c>
      <c r="G2497" t="s">
        <v>785</v>
      </c>
      <c r="H2497" t="s">
        <v>39</v>
      </c>
      <c r="I2497" t="s">
        <v>40</v>
      </c>
      <c r="J2497" t="s">
        <v>109</v>
      </c>
      <c r="K2497" t="s">
        <v>42</v>
      </c>
      <c r="L2497" t="s">
        <v>43</v>
      </c>
      <c r="N2497" t="s">
        <v>44</v>
      </c>
      <c r="Q2497">
        <v>30049</v>
      </c>
      <c r="R2497" t="s">
        <v>95</v>
      </c>
      <c r="S2497" t="s">
        <v>2016</v>
      </c>
      <c r="T2497">
        <v>20</v>
      </c>
      <c r="W2497" t="s">
        <v>5136</v>
      </c>
      <c r="X2497">
        <v>110015767</v>
      </c>
      <c r="Y2497" t="s">
        <v>121</v>
      </c>
      <c r="Z2497" t="s">
        <v>122</v>
      </c>
      <c r="AA2497" s="2" t="s">
        <v>15906</v>
      </c>
      <c r="AB2497" t="s">
        <v>548</v>
      </c>
      <c r="AG2497" t="s">
        <v>15907</v>
      </c>
      <c r="AH2497" t="s">
        <v>14989</v>
      </c>
      <c r="AI2497" t="s">
        <v>15908</v>
      </c>
    </row>
    <row r="2498" spans="2:35" ht="255">
      <c r="B2498" s="1">
        <v>45670</v>
      </c>
      <c r="C2498" s="1">
        <v>45665</v>
      </c>
      <c r="D2498" t="s">
        <v>1081</v>
      </c>
      <c r="E2498" t="s">
        <v>2073</v>
      </c>
      <c r="F2498" t="s">
        <v>148</v>
      </c>
      <c r="G2498" t="s">
        <v>785</v>
      </c>
      <c r="H2498" t="s">
        <v>386</v>
      </c>
      <c r="I2498" t="s">
        <v>40</v>
      </c>
      <c r="J2498" t="s">
        <v>109</v>
      </c>
      <c r="K2498" t="s">
        <v>387</v>
      </c>
      <c r="L2498" t="s">
        <v>43</v>
      </c>
      <c r="N2498" t="s">
        <v>44</v>
      </c>
      <c r="Q2498">
        <v>30048</v>
      </c>
      <c r="R2498" t="s">
        <v>95</v>
      </c>
      <c r="S2498" t="s">
        <v>2074</v>
      </c>
      <c r="T2498">
        <v>22</v>
      </c>
      <c r="W2498" t="s">
        <v>390</v>
      </c>
      <c r="X2498" t="s">
        <v>2075</v>
      </c>
      <c r="Y2498" t="s">
        <v>121</v>
      </c>
      <c r="Z2498" t="s">
        <v>122</v>
      </c>
      <c r="AA2498" s="2" t="s">
        <v>12034</v>
      </c>
      <c r="AB2498" t="s">
        <v>88</v>
      </c>
      <c r="AG2498" t="s">
        <v>15909</v>
      </c>
      <c r="AH2498" t="s">
        <v>15910</v>
      </c>
      <c r="AI2498" t="s">
        <v>15911</v>
      </c>
    </row>
    <row r="2499" spans="2:35" ht="255">
      <c r="B2499" s="1">
        <v>45670</v>
      </c>
      <c r="C2499" s="1">
        <v>45667</v>
      </c>
      <c r="D2499" t="s">
        <v>146</v>
      </c>
      <c r="E2499" t="s">
        <v>5992</v>
      </c>
      <c r="F2499" t="s">
        <v>148</v>
      </c>
      <c r="G2499" t="s">
        <v>149</v>
      </c>
      <c r="H2499" t="s">
        <v>386</v>
      </c>
      <c r="I2499" t="s">
        <v>40</v>
      </c>
      <c r="J2499" t="s">
        <v>109</v>
      </c>
      <c r="K2499" t="s">
        <v>387</v>
      </c>
      <c r="L2499" t="s">
        <v>43</v>
      </c>
      <c r="N2499" t="s">
        <v>44</v>
      </c>
      <c r="O2499" t="s">
        <v>388</v>
      </c>
      <c r="Q2499">
        <v>30047</v>
      </c>
      <c r="R2499" t="s">
        <v>95</v>
      </c>
      <c r="S2499" t="s">
        <v>4823</v>
      </c>
      <c r="T2499">
        <v>24</v>
      </c>
      <c r="W2499" t="s">
        <v>390</v>
      </c>
      <c r="X2499" t="s">
        <v>391</v>
      </c>
      <c r="Y2499" t="s">
        <v>121</v>
      </c>
      <c r="Z2499" t="s">
        <v>122</v>
      </c>
      <c r="AA2499" s="2" t="s">
        <v>2076</v>
      </c>
      <c r="AB2499" t="s">
        <v>88</v>
      </c>
      <c r="AG2499" t="s">
        <v>15912</v>
      </c>
      <c r="AH2499" t="s">
        <v>15913</v>
      </c>
      <c r="AI2499" t="s">
        <v>15914</v>
      </c>
    </row>
    <row r="2500" spans="2:35" ht="225">
      <c r="B2500" s="1">
        <v>45670</v>
      </c>
      <c r="C2500" s="1">
        <v>45666</v>
      </c>
      <c r="D2500" t="s">
        <v>3669</v>
      </c>
      <c r="E2500" t="s">
        <v>3670</v>
      </c>
      <c r="F2500" t="s">
        <v>37</v>
      </c>
      <c r="G2500" t="s">
        <v>38</v>
      </c>
      <c r="H2500" t="s">
        <v>39</v>
      </c>
      <c r="I2500" t="s">
        <v>40</v>
      </c>
      <c r="J2500" t="s">
        <v>109</v>
      </c>
      <c r="K2500" t="s">
        <v>42</v>
      </c>
      <c r="L2500" t="s">
        <v>43</v>
      </c>
      <c r="N2500" t="s">
        <v>44</v>
      </c>
      <c r="Q2500">
        <v>30044</v>
      </c>
      <c r="R2500" t="s">
        <v>95</v>
      </c>
      <c r="S2500" t="s">
        <v>5945</v>
      </c>
      <c r="T2500">
        <v>20</v>
      </c>
      <c r="W2500" t="s">
        <v>48</v>
      </c>
      <c r="X2500">
        <v>110005265</v>
      </c>
      <c r="Y2500" t="s">
        <v>121</v>
      </c>
      <c r="Z2500" t="s">
        <v>122</v>
      </c>
      <c r="AA2500" s="2" t="s">
        <v>9740</v>
      </c>
      <c r="AB2500" t="s">
        <v>548</v>
      </c>
      <c r="AG2500" t="s">
        <v>15915</v>
      </c>
      <c r="AH2500" t="s">
        <v>15897</v>
      </c>
      <c r="AI2500" t="s">
        <v>15916</v>
      </c>
    </row>
    <row r="2501" spans="2:35" ht="225">
      <c r="B2501" s="1">
        <v>45670</v>
      </c>
      <c r="C2501" s="1">
        <v>45666</v>
      </c>
      <c r="D2501" t="s">
        <v>1686</v>
      </c>
      <c r="E2501" t="s">
        <v>5585</v>
      </c>
      <c r="F2501" t="s">
        <v>148</v>
      </c>
      <c r="G2501" t="s">
        <v>785</v>
      </c>
      <c r="H2501" t="s">
        <v>39</v>
      </c>
      <c r="I2501" t="s">
        <v>40</v>
      </c>
      <c r="J2501" t="s">
        <v>109</v>
      </c>
      <c r="K2501" t="s">
        <v>42</v>
      </c>
      <c r="L2501" t="s">
        <v>43</v>
      </c>
      <c r="N2501" t="s">
        <v>44</v>
      </c>
      <c r="Q2501">
        <v>30046</v>
      </c>
      <c r="R2501" t="s">
        <v>322</v>
      </c>
      <c r="S2501" t="s">
        <v>1688</v>
      </c>
      <c r="T2501">
        <v>20</v>
      </c>
      <c r="W2501" t="s">
        <v>5136</v>
      </c>
      <c r="X2501">
        <v>110024247</v>
      </c>
      <c r="Y2501" t="s">
        <v>121</v>
      </c>
      <c r="Z2501" t="s">
        <v>122</v>
      </c>
      <c r="AA2501" s="2" t="s">
        <v>14566</v>
      </c>
      <c r="AB2501" t="s">
        <v>548</v>
      </c>
      <c r="AG2501" t="s">
        <v>15917</v>
      </c>
      <c r="AH2501" t="s">
        <v>1692</v>
      </c>
      <c r="AI2501" t="s">
        <v>15918</v>
      </c>
    </row>
    <row r="2502" spans="2:35" ht="255">
      <c r="B2502" s="1">
        <v>45670</v>
      </c>
      <c r="C2502" s="1">
        <v>45665</v>
      </c>
      <c r="D2502" t="s">
        <v>1081</v>
      </c>
      <c r="E2502" t="s">
        <v>2073</v>
      </c>
      <c r="F2502" t="s">
        <v>148</v>
      </c>
      <c r="G2502" t="s">
        <v>785</v>
      </c>
      <c r="H2502" t="s">
        <v>1083</v>
      </c>
      <c r="I2502" t="s">
        <v>40</v>
      </c>
      <c r="J2502" t="s">
        <v>109</v>
      </c>
      <c r="K2502" t="s">
        <v>387</v>
      </c>
      <c r="L2502" t="s">
        <v>43</v>
      </c>
      <c r="N2502" t="s">
        <v>44</v>
      </c>
      <c r="Q2502">
        <v>30045</v>
      </c>
      <c r="R2502" t="s">
        <v>95</v>
      </c>
      <c r="S2502" t="s">
        <v>15901</v>
      </c>
      <c r="T2502">
        <v>20</v>
      </c>
      <c r="W2502" t="s">
        <v>390</v>
      </c>
      <c r="X2502" t="s">
        <v>5969</v>
      </c>
      <c r="Y2502" t="s">
        <v>121</v>
      </c>
      <c r="Z2502" t="s">
        <v>122</v>
      </c>
      <c r="AA2502" s="2" t="s">
        <v>15902</v>
      </c>
      <c r="AB2502" t="s">
        <v>88</v>
      </c>
      <c r="AG2502" t="s">
        <v>15919</v>
      </c>
      <c r="AH2502" t="s">
        <v>15904</v>
      </c>
      <c r="AI2502" t="s">
        <v>15920</v>
      </c>
    </row>
    <row r="2503" spans="2:35" ht="225">
      <c r="B2503" s="1">
        <v>45670</v>
      </c>
      <c r="C2503" s="1">
        <v>45665</v>
      </c>
      <c r="D2503" t="s">
        <v>1081</v>
      </c>
      <c r="E2503" t="s">
        <v>2073</v>
      </c>
      <c r="F2503" t="s">
        <v>148</v>
      </c>
      <c r="G2503" t="s">
        <v>785</v>
      </c>
      <c r="H2503" t="s">
        <v>39</v>
      </c>
      <c r="I2503" t="s">
        <v>40</v>
      </c>
      <c r="J2503" t="s">
        <v>109</v>
      </c>
      <c r="K2503" t="s">
        <v>42</v>
      </c>
      <c r="L2503" t="s">
        <v>43</v>
      </c>
      <c r="N2503" t="s">
        <v>44</v>
      </c>
      <c r="Q2503">
        <v>30043</v>
      </c>
      <c r="R2503" t="s">
        <v>95</v>
      </c>
      <c r="S2503" t="s">
        <v>2016</v>
      </c>
      <c r="T2503">
        <v>20</v>
      </c>
      <c r="W2503" t="s">
        <v>5136</v>
      </c>
      <c r="X2503">
        <v>110015767</v>
      </c>
      <c r="Y2503" t="s">
        <v>121</v>
      </c>
      <c r="Z2503" t="s">
        <v>122</v>
      </c>
      <c r="AA2503" s="2" t="s">
        <v>15906</v>
      </c>
      <c r="AB2503" t="s">
        <v>548</v>
      </c>
      <c r="AG2503" t="s">
        <v>15921</v>
      </c>
      <c r="AH2503" t="s">
        <v>14989</v>
      </c>
      <c r="AI2503" t="s">
        <v>15922</v>
      </c>
    </row>
    <row r="2504" spans="2:35" ht="255">
      <c r="B2504" s="1">
        <v>45670</v>
      </c>
      <c r="C2504" s="1">
        <v>45665</v>
      </c>
      <c r="D2504" t="s">
        <v>1081</v>
      </c>
      <c r="E2504" t="s">
        <v>2073</v>
      </c>
      <c r="F2504" t="s">
        <v>148</v>
      </c>
      <c r="G2504" t="s">
        <v>785</v>
      </c>
      <c r="H2504" t="s">
        <v>386</v>
      </c>
      <c r="I2504" t="s">
        <v>40</v>
      </c>
      <c r="J2504" t="s">
        <v>109</v>
      </c>
      <c r="K2504" t="s">
        <v>387</v>
      </c>
      <c r="L2504" t="s">
        <v>43</v>
      </c>
      <c r="N2504" t="s">
        <v>44</v>
      </c>
      <c r="Q2504">
        <v>30042</v>
      </c>
      <c r="R2504" t="s">
        <v>95</v>
      </c>
      <c r="S2504" t="s">
        <v>2074</v>
      </c>
      <c r="T2504">
        <v>22</v>
      </c>
      <c r="W2504" t="s">
        <v>390</v>
      </c>
      <c r="X2504" t="s">
        <v>2075</v>
      </c>
      <c r="Y2504" t="s">
        <v>121</v>
      </c>
      <c r="Z2504" t="s">
        <v>122</v>
      </c>
      <c r="AA2504" s="2" t="s">
        <v>12034</v>
      </c>
      <c r="AB2504" t="s">
        <v>88</v>
      </c>
      <c r="AG2504" t="s">
        <v>15923</v>
      </c>
      <c r="AH2504" t="s">
        <v>15910</v>
      </c>
      <c r="AI2504" t="s">
        <v>15924</v>
      </c>
    </row>
    <row r="2505" spans="2:35" ht="225">
      <c r="B2505" s="1">
        <v>45670</v>
      </c>
      <c r="C2505" s="1">
        <v>45664</v>
      </c>
      <c r="D2505" t="s">
        <v>4765</v>
      </c>
      <c r="E2505" t="s">
        <v>15925</v>
      </c>
      <c r="F2505" t="s">
        <v>148</v>
      </c>
      <c r="G2505" t="s">
        <v>785</v>
      </c>
      <c r="H2505" t="s">
        <v>39</v>
      </c>
      <c r="I2505" t="s">
        <v>40</v>
      </c>
      <c r="J2505" t="s">
        <v>109</v>
      </c>
      <c r="K2505" t="s">
        <v>42</v>
      </c>
      <c r="L2505" t="s">
        <v>43</v>
      </c>
      <c r="N2505" t="s">
        <v>44</v>
      </c>
      <c r="Q2505">
        <v>30041</v>
      </c>
      <c r="R2505" t="s">
        <v>322</v>
      </c>
      <c r="S2505" t="s">
        <v>4704</v>
      </c>
      <c r="T2505">
        <v>22</v>
      </c>
      <c r="W2505" t="s">
        <v>153</v>
      </c>
      <c r="X2505">
        <v>110024245</v>
      </c>
      <c r="Y2505" t="s">
        <v>121</v>
      </c>
      <c r="Z2505" t="s">
        <v>122</v>
      </c>
      <c r="AA2505" s="2" t="s">
        <v>15926</v>
      </c>
      <c r="AB2505" t="s">
        <v>88</v>
      </c>
      <c r="AG2505" t="s">
        <v>15927</v>
      </c>
      <c r="AH2505" t="s">
        <v>6075</v>
      </c>
      <c r="AI2505" t="s">
        <v>15928</v>
      </c>
    </row>
    <row r="2506" spans="2:35" ht="225">
      <c r="B2506" s="1">
        <v>45670</v>
      </c>
      <c r="C2506" s="1">
        <v>45664</v>
      </c>
      <c r="D2506" t="s">
        <v>542</v>
      </c>
      <c r="E2506" t="s">
        <v>11636</v>
      </c>
      <c r="F2506" t="s">
        <v>148</v>
      </c>
      <c r="G2506" t="s">
        <v>544</v>
      </c>
      <c r="H2506" t="s">
        <v>39</v>
      </c>
      <c r="I2506" t="s">
        <v>40</v>
      </c>
      <c r="J2506" t="s">
        <v>109</v>
      </c>
      <c r="K2506" t="s">
        <v>42</v>
      </c>
      <c r="L2506" t="s">
        <v>43</v>
      </c>
      <c r="N2506" t="s">
        <v>44</v>
      </c>
      <c r="Q2506">
        <v>30037</v>
      </c>
      <c r="R2506" t="s">
        <v>322</v>
      </c>
      <c r="S2506" t="s">
        <v>15929</v>
      </c>
      <c r="T2506">
        <v>20</v>
      </c>
      <c r="W2506" t="s">
        <v>153</v>
      </c>
      <c r="X2506">
        <v>110024072</v>
      </c>
      <c r="Y2506" t="s">
        <v>121</v>
      </c>
      <c r="Z2506" t="s">
        <v>122</v>
      </c>
      <c r="AA2506" s="2" t="s">
        <v>14566</v>
      </c>
      <c r="AB2506" t="s">
        <v>548</v>
      </c>
      <c r="AG2506" t="s">
        <v>15930</v>
      </c>
      <c r="AH2506" t="s">
        <v>15931</v>
      </c>
      <c r="AI2506" t="s">
        <v>15932</v>
      </c>
    </row>
    <row r="2507" spans="2:35" ht="255">
      <c r="B2507" s="1">
        <v>45670</v>
      </c>
      <c r="C2507" s="1">
        <v>45664</v>
      </c>
      <c r="D2507" t="s">
        <v>542</v>
      </c>
      <c r="E2507" t="s">
        <v>11636</v>
      </c>
      <c r="F2507" t="s">
        <v>148</v>
      </c>
      <c r="G2507" t="s">
        <v>544</v>
      </c>
      <c r="H2507" t="s">
        <v>39</v>
      </c>
      <c r="I2507" t="s">
        <v>40</v>
      </c>
      <c r="J2507" s="2" t="s">
        <v>190</v>
      </c>
      <c r="K2507" t="s">
        <v>42</v>
      </c>
      <c r="L2507" t="s">
        <v>43</v>
      </c>
      <c r="N2507" t="s">
        <v>44</v>
      </c>
      <c r="Q2507">
        <v>30039</v>
      </c>
      <c r="R2507" t="s">
        <v>322</v>
      </c>
      <c r="S2507" t="s">
        <v>15929</v>
      </c>
      <c r="T2507">
        <v>18</v>
      </c>
      <c r="W2507" t="s">
        <v>153</v>
      </c>
      <c r="X2507">
        <v>110024073</v>
      </c>
      <c r="Y2507" t="s">
        <v>15933</v>
      </c>
      <c r="Z2507" t="s">
        <v>15934</v>
      </c>
      <c r="AA2507" s="2" t="s">
        <v>15935</v>
      </c>
      <c r="AB2507" t="s">
        <v>15936</v>
      </c>
      <c r="AG2507" t="s">
        <v>15937</v>
      </c>
      <c r="AH2507" t="s">
        <v>15931</v>
      </c>
      <c r="AI2507" t="s">
        <v>15938</v>
      </c>
    </row>
    <row r="2508" spans="2:35" ht="225">
      <c r="B2508" s="1">
        <v>45670</v>
      </c>
      <c r="C2508" s="1">
        <v>45664</v>
      </c>
      <c r="D2508" t="s">
        <v>542</v>
      </c>
      <c r="E2508" t="s">
        <v>552</v>
      </c>
      <c r="F2508" t="s">
        <v>148</v>
      </c>
      <c r="G2508" t="s">
        <v>544</v>
      </c>
      <c r="H2508" t="s">
        <v>39</v>
      </c>
      <c r="I2508" t="s">
        <v>40</v>
      </c>
      <c r="J2508" t="s">
        <v>109</v>
      </c>
      <c r="K2508" t="s">
        <v>42</v>
      </c>
      <c r="L2508" t="s">
        <v>43</v>
      </c>
      <c r="N2508" t="s">
        <v>44</v>
      </c>
      <c r="O2508" t="s">
        <v>6737</v>
      </c>
      <c r="Q2508">
        <v>30038</v>
      </c>
      <c r="R2508" t="s">
        <v>322</v>
      </c>
      <c r="S2508" t="s">
        <v>545</v>
      </c>
      <c r="T2508">
        <v>22</v>
      </c>
      <c r="W2508" t="s">
        <v>153</v>
      </c>
      <c r="X2508">
        <v>120000612</v>
      </c>
      <c r="Y2508" t="s">
        <v>121</v>
      </c>
      <c r="Z2508" t="s">
        <v>122</v>
      </c>
      <c r="AA2508" s="2" t="s">
        <v>10063</v>
      </c>
      <c r="AB2508" t="s">
        <v>990</v>
      </c>
      <c r="AG2508" t="s">
        <v>15939</v>
      </c>
      <c r="AH2508" t="s">
        <v>14568</v>
      </c>
      <c r="AI2508" t="s">
        <v>15940</v>
      </c>
    </row>
    <row r="2509" spans="2:35" ht="225">
      <c r="B2509" s="1">
        <v>45670</v>
      </c>
      <c r="C2509" s="1">
        <v>45664</v>
      </c>
      <c r="D2509" t="s">
        <v>542</v>
      </c>
      <c r="E2509" t="s">
        <v>15941</v>
      </c>
      <c r="F2509" t="s">
        <v>148</v>
      </c>
      <c r="G2509" t="s">
        <v>544</v>
      </c>
      <c r="H2509" t="s">
        <v>39</v>
      </c>
      <c r="I2509" t="s">
        <v>40</v>
      </c>
      <c r="J2509" t="s">
        <v>109</v>
      </c>
      <c r="K2509" t="s">
        <v>42</v>
      </c>
      <c r="L2509" t="s">
        <v>43</v>
      </c>
      <c r="N2509" t="s">
        <v>44</v>
      </c>
      <c r="O2509" t="s">
        <v>6737</v>
      </c>
      <c r="Q2509">
        <v>30040</v>
      </c>
      <c r="R2509" t="s">
        <v>322</v>
      </c>
      <c r="S2509" t="s">
        <v>545</v>
      </c>
      <c r="T2509">
        <v>22</v>
      </c>
      <c r="W2509" t="s">
        <v>153</v>
      </c>
      <c r="X2509">
        <v>110016107</v>
      </c>
      <c r="Y2509" t="s">
        <v>121</v>
      </c>
      <c r="Z2509" t="s">
        <v>122</v>
      </c>
      <c r="AA2509" s="2" t="s">
        <v>123</v>
      </c>
      <c r="AB2509" t="s">
        <v>548</v>
      </c>
      <c r="AG2509" t="s">
        <v>15942</v>
      </c>
      <c r="AH2509" t="s">
        <v>10060</v>
      </c>
      <c r="AI2509" t="s">
        <v>15943</v>
      </c>
    </row>
    <row r="2510" spans="2:35" ht="180">
      <c r="B2510" s="1">
        <v>45670</v>
      </c>
      <c r="C2510" s="1">
        <v>45667</v>
      </c>
      <c r="D2510" t="s">
        <v>2176</v>
      </c>
      <c r="E2510" t="s">
        <v>15944</v>
      </c>
      <c r="F2510" t="s">
        <v>148</v>
      </c>
      <c r="G2510" t="s">
        <v>447</v>
      </c>
      <c r="H2510" t="s">
        <v>2581</v>
      </c>
      <c r="I2510" t="s">
        <v>40</v>
      </c>
      <c r="J2510" t="s">
        <v>109</v>
      </c>
      <c r="K2510" t="s">
        <v>42</v>
      </c>
      <c r="L2510" t="s">
        <v>448</v>
      </c>
      <c r="N2510" t="s">
        <v>450</v>
      </c>
      <c r="Q2510">
        <v>30036</v>
      </c>
      <c r="R2510" t="s">
        <v>322</v>
      </c>
      <c r="S2510" t="s">
        <v>2582</v>
      </c>
      <c r="T2510">
        <v>28</v>
      </c>
      <c r="U2510" s="2" t="s">
        <v>15945</v>
      </c>
      <c r="W2510" t="s">
        <v>15946</v>
      </c>
      <c r="X2510">
        <v>110014085</v>
      </c>
      <c r="Y2510" t="s">
        <v>485</v>
      </c>
      <c r="Z2510" s="2" t="s">
        <v>2011</v>
      </c>
      <c r="AA2510" t="s">
        <v>122</v>
      </c>
      <c r="AB2510" t="s">
        <v>486</v>
      </c>
      <c r="AG2510" t="s">
        <v>15947</v>
      </c>
      <c r="AH2510" t="s">
        <v>2588</v>
      </c>
      <c r="AI2510" t="s">
        <v>15948</v>
      </c>
    </row>
    <row r="2511" spans="2:35" ht="375">
      <c r="B2511" s="1">
        <v>45670</v>
      </c>
      <c r="C2511" s="1">
        <v>45667</v>
      </c>
      <c r="D2511" t="s">
        <v>2176</v>
      </c>
      <c r="E2511" t="s">
        <v>2177</v>
      </c>
      <c r="F2511" t="s">
        <v>148</v>
      </c>
      <c r="G2511" t="s">
        <v>447</v>
      </c>
      <c r="H2511" t="s">
        <v>662</v>
      </c>
      <c r="I2511" t="s">
        <v>40</v>
      </c>
      <c r="J2511" s="2" t="s">
        <v>41</v>
      </c>
      <c r="K2511" t="s">
        <v>42</v>
      </c>
      <c r="L2511" t="s">
        <v>448</v>
      </c>
      <c r="N2511" t="s">
        <v>450</v>
      </c>
      <c r="Q2511">
        <v>30035</v>
      </c>
      <c r="R2511" t="s">
        <v>967</v>
      </c>
      <c r="S2511" t="s">
        <v>3086</v>
      </c>
      <c r="T2511">
        <v>20</v>
      </c>
      <c r="U2511" s="2" t="s">
        <v>15949</v>
      </c>
      <c r="V2511" s="1">
        <v>45665</v>
      </c>
      <c r="W2511" t="s">
        <v>6804</v>
      </c>
      <c r="X2511">
        <v>110016781</v>
      </c>
      <c r="Y2511" s="2" t="s">
        <v>15950</v>
      </c>
      <c r="Z2511" s="2" t="s">
        <v>2585</v>
      </c>
      <c r="AA2511" t="s">
        <v>15951</v>
      </c>
      <c r="AB2511" t="s">
        <v>486</v>
      </c>
      <c r="AD2511" t="s">
        <v>5919</v>
      </c>
      <c r="AE2511">
        <v>12530</v>
      </c>
      <c r="AG2511" t="s">
        <v>15952</v>
      </c>
      <c r="AH2511" t="s">
        <v>15953</v>
      </c>
      <c r="AI2511" t="s">
        <v>15954</v>
      </c>
    </row>
    <row r="2512" spans="2:35" ht="405">
      <c r="B2512" s="1">
        <v>45670</v>
      </c>
      <c r="C2512" s="1">
        <v>45666</v>
      </c>
      <c r="D2512" t="s">
        <v>5903</v>
      </c>
      <c r="E2512" t="s">
        <v>2569</v>
      </c>
      <c r="F2512" t="s">
        <v>148</v>
      </c>
      <c r="G2512" t="s">
        <v>447</v>
      </c>
      <c r="H2512" t="s">
        <v>662</v>
      </c>
      <c r="I2512" t="s">
        <v>40</v>
      </c>
      <c r="J2512" t="s">
        <v>109</v>
      </c>
      <c r="K2512" t="s">
        <v>42</v>
      </c>
      <c r="L2512" t="s">
        <v>448</v>
      </c>
      <c r="N2512" t="s">
        <v>650</v>
      </c>
      <c r="Q2512">
        <v>30034</v>
      </c>
      <c r="R2512" t="s">
        <v>322</v>
      </c>
      <c r="S2512" t="s">
        <v>3987</v>
      </c>
      <c r="T2512">
        <v>25</v>
      </c>
      <c r="U2512" s="2" t="s">
        <v>15892</v>
      </c>
      <c r="W2512" t="s">
        <v>4275</v>
      </c>
      <c r="X2512">
        <v>110014171</v>
      </c>
      <c r="Y2512" t="s">
        <v>485</v>
      </c>
      <c r="Z2512" s="2" t="s">
        <v>2011</v>
      </c>
      <c r="AA2512" t="s">
        <v>122</v>
      </c>
      <c r="AB2512" t="s">
        <v>656</v>
      </c>
      <c r="AG2512" t="s">
        <v>15894</v>
      </c>
      <c r="AH2512" t="s">
        <v>660</v>
      </c>
      <c r="AI2512" t="s">
        <v>15895</v>
      </c>
    </row>
    <row r="2513" spans="2:35" ht="270">
      <c r="B2513" s="1">
        <v>45669</v>
      </c>
      <c r="C2513" s="1">
        <v>45666</v>
      </c>
      <c r="D2513" t="s">
        <v>2364</v>
      </c>
      <c r="E2513" t="s">
        <v>15955</v>
      </c>
      <c r="F2513">
        <v>12</v>
      </c>
      <c r="G2513" t="s">
        <v>978</v>
      </c>
      <c r="H2513" t="s">
        <v>1473</v>
      </c>
      <c r="I2513" t="s">
        <v>40</v>
      </c>
      <c r="J2513" t="s">
        <v>109</v>
      </c>
      <c r="K2513" t="s">
        <v>42</v>
      </c>
      <c r="L2513" t="s">
        <v>296</v>
      </c>
      <c r="N2513" t="s">
        <v>297</v>
      </c>
      <c r="Q2513">
        <v>30033</v>
      </c>
      <c r="R2513" t="s">
        <v>119</v>
      </c>
      <c r="S2513" t="s">
        <v>7484</v>
      </c>
      <c r="T2513">
        <v>25.5</v>
      </c>
      <c r="U2513" s="2" t="s">
        <v>15956</v>
      </c>
      <c r="W2513" t="s">
        <v>981</v>
      </c>
      <c r="X2513">
        <v>838570</v>
      </c>
      <c r="Y2513" t="s">
        <v>301</v>
      </c>
      <c r="Z2513" s="2" t="s">
        <v>15957</v>
      </c>
      <c r="AA2513" t="s">
        <v>15196</v>
      </c>
      <c r="AB2513" t="s">
        <v>972</v>
      </c>
      <c r="AG2513" t="s">
        <v>15958</v>
      </c>
      <c r="AH2513" t="s">
        <v>12937</v>
      </c>
      <c r="AI2513" t="s">
        <v>15959</v>
      </c>
    </row>
    <row r="2514" spans="2:35" ht="409.5">
      <c r="B2514" s="1">
        <v>45668</v>
      </c>
      <c r="C2514" s="1">
        <v>45668</v>
      </c>
      <c r="D2514" t="s">
        <v>159</v>
      </c>
      <c r="E2514" t="s">
        <v>5764</v>
      </c>
      <c r="F2514" t="s">
        <v>37</v>
      </c>
      <c r="G2514" t="s">
        <v>78</v>
      </c>
      <c r="H2514" t="s">
        <v>15960</v>
      </c>
      <c r="I2514" t="s">
        <v>40</v>
      </c>
      <c r="J2514" t="s">
        <v>109</v>
      </c>
      <c r="K2514" t="s">
        <v>42</v>
      </c>
      <c r="L2514" t="s">
        <v>1943</v>
      </c>
      <c r="N2514" t="s">
        <v>1944</v>
      </c>
      <c r="O2514" t="s">
        <v>161</v>
      </c>
      <c r="Q2514">
        <v>30032</v>
      </c>
      <c r="R2514" t="s">
        <v>95</v>
      </c>
      <c r="S2514" t="s">
        <v>15961</v>
      </c>
      <c r="T2514">
        <v>25</v>
      </c>
      <c r="W2514" t="s">
        <v>5771</v>
      </c>
      <c r="X2514">
        <v>812916</v>
      </c>
      <c r="Y2514" t="s">
        <v>2099</v>
      </c>
      <c r="Z2514" t="s">
        <v>2100</v>
      </c>
      <c r="AA2514" s="2" t="s">
        <v>2101</v>
      </c>
      <c r="AB2514" t="s">
        <v>88</v>
      </c>
      <c r="AG2514" t="s">
        <v>15962</v>
      </c>
      <c r="AH2514" t="s">
        <v>15963</v>
      </c>
      <c r="AI2514" t="s">
        <v>15964</v>
      </c>
    </row>
    <row r="2515" spans="2:35" ht="165">
      <c r="B2515" s="1">
        <v>45667</v>
      </c>
      <c r="C2515" s="1">
        <v>45667</v>
      </c>
      <c r="D2515" t="s">
        <v>15965</v>
      </c>
      <c r="E2515" t="s">
        <v>15966</v>
      </c>
      <c r="F2515" t="s">
        <v>37</v>
      </c>
      <c r="G2515" t="s">
        <v>2499</v>
      </c>
      <c r="H2515" t="s">
        <v>39</v>
      </c>
      <c r="I2515" t="s">
        <v>40</v>
      </c>
      <c r="J2515" t="s">
        <v>321</v>
      </c>
      <c r="K2515" t="s">
        <v>2629</v>
      </c>
      <c r="L2515" t="s">
        <v>15532</v>
      </c>
      <c r="N2515" t="s">
        <v>15533</v>
      </c>
      <c r="Q2515">
        <v>30031</v>
      </c>
      <c r="R2515" t="s">
        <v>322</v>
      </c>
      <c r="S2515" t="s">
        <v>9962</v>
      </c>
      <c r="T2515">
        <v>25</v>
      </c>
      <c r="V2515" s="1">
        <v>45665</v>
      </c>
      <c r="W2515" t="s">
        <v>15967</v>
      </c>
      <c r="X2515">
        <v>3947010009</v>
      </c>
      <c r="Y2515" t="s">
        <v>15968</v>
      </c>
      <c r="Z2515" t="s">
        <v>15969</v>
      </c>
      <c r="AA2515" s="2" t="s">
        <v>15970</v>
      </c>
      <c r="AB2515" t="s">
        <v>181</v>
      </c>
      <c r="AC2515" t="s">
        <v>15971</v>
      </c>
      <c r="AD2515" s="2" t="s">
        <v>15972</v>
      </c>
      <c r="AE2515" t="s">
        <v>15973</v>
      </c>
      <c r="AG2515" t="s">
        <v>15974</v>
      </c>
      <c r="AH2515" t="s">
        <v>9970</v>
      </c>
      <c r="AI2515" t="s">
        <v>15975</v>
      </c>
    </row>
    <row r="2516" spans="2:35" ht="165">
      <c r="B2516" s="1">
        <v>45667</v>
      </c>
      <c r="C2516" s="1">
        <v>45667</v>
      </c>
      <c r="D2516" t="s">
        <v>15965</v>
      </c>
      <c r="E2516" t="s">
        <v>15966</v>
      </c>
      <c r="F2516" t="s">
        <v>37</v>
      </c>
      <c r="G2516" t="s">
        <v>2499</v>
      </c>
      <c r="H2516" t="s">
        <v>694</v>
      </c>
      <c r="I2516" t="s">
        <v>40</v>
      </c>
      <c r="J2516" t="s">
        <v>321</v>
      </c>
      <c r="K2516" t="s">
        <v>2629</v>
      </c>
      <c r="L2516" t="s">
        <v>15532</v>
      </c>
      <c r="N2516" t="s">
        <v>15533</v>
      </c>
      <c r="Q2516">
        <v>30030</v>
      </c>
      <c r="R2516" t="s">
        <v>322</v>
      </c>
      <c r="S2516" t="s">
        <v>9962</v>
      </c>
      <c r="T2516">
        <v>25</v>
      </c>
      <c r="V2516" s="1">
        <v>45667</v>
      </c>
      <c r="W2516" t="s">
        <v>15976</v>
      </c>
      <c r="X2516">
        <v>3946033510</v>
      </c>
      <c r="Y2516" t="s">
        <v>15977</v>
      </c>
      <c r="Z2516" t="s">
        <v>15978</v>
      </c>
      <c r="AA2516" s="2" t="s">
        <v>15979</v>
      </c>
      <c r="AB2516" t="s">
        <v>181</v>
      </c>
      <c r="AC2516" t="s">
        <v>15971</v>
      </c>
      <c r="AD2516" t="s">
        <v>15980</v>
      </c>
      <c r="AE2516" t="s">
        <v>15981</v>
      </c>
      <c r="AG2516" t="s">
        <v>15982</v>
      </c>
      <c r="AH2516" t="s">
        <v>9970</v>
      </c>
      <c r="AI2516" t="s">
        <v>15983</v>
      </c>
    </row>
    <row r="2517" spans="2:35">
      <c r="B2517" s="1">
        <v>45667</v>
      </c>
      <c r="C2517" s="1">
        <v>45667</v>
      </c>
      <c r="D2517" t="s">
        <v>8123</v>
      </c>
      <c r="E2517" t="s">
        <v>8124</v>
      </c>
      <c r="F2517">
        <v>13</v>
      </c>
      <c r="G2517" t="s">
        <v>4484</v>
      </c>
      <c r="H2517" t="s">
        <v>2125</v>
      </c>
      <c r="I2517" t="s">
        <v>40</v>
      </c>
      <c r="J2517" t="s">
        <v>109</v>
      </c>
      <c r="K2517" t="s">
        <v>42</v>
      </c>
      <c r="L2517" t="s">
        <v>933</v>
      </c>
      <c r="N2517" t="s">
        <v>934</v>
      </c>
      <c r="Q2517">
        <v>30029</v>
      </c>
      <c r="R2517" t="s">
        <v>119</v>
      </c>
      <c r="S2517" t="s">
        <v>8125</v>
      </c>
      <c r="T2517">
        <v>28</v>
      </c>
      <c r="W2517" t="s">
        <v>2127</v>
      </c>
      <c r="X2517">
        <v>838554</v>
      </c>
      <c r="Y2517" t="s">
        <v>15984</v>
      </c>
      <c r="Z2517" t="s">
        <v>301</v>
      </c>
      <c r="AA2517" t="s">
        <v>3128</v>
      </c>
      <c r="AB2517" t="s">
        <v>2131</v>
      </c>
      <c r="AG2517" t="s">
        <v>15985</v>
      </c>
      <c r="AH2517" t="s">
        <v>8129</v>
      </c>
      <c r="AI2517" t="s">
        <v>15986</v>
      </c>
    </row>
    <row r="2518" spans="2:35" ht="409.5">
      <c r="B2518" s="1">
        <v>45667</v>
      </c>
      <c r="C2518" s="1">
        <v>45667</v>
      </c>
      <c r="D2518" t="s">
        <v>5207</v>
      </c>
      <c r="E2518" t="s">
        <v>5208</v>
      </c>
      <c r="F2518" t="s">
        <v>148</v>
      </c>
      <c r="G2518" t="s">
        <v>310</v>
      </c>
      <c r="H2518" t="s">
        <v>39</v>
      </c>
      <c r="I2518" t="s">
        <v>40</v>
      </c>
      <c r="J2518" s="2" t="s">
        <v>41</v>
      </c>
      <c r="K2518" t="s">
        <v>42</v>
      </c>
      <c r="L2518" t="s">
        <v>1943</v>
      </c>
      <c r="N2518" t="s">
        <v>1944</v>
      </c>
      <c r="O2518" t="s">
        <v>5210</v>
      </c>
      <c r="Q2518">
        <v>30028</v>
      </c>
      <c r="R2518" t="s">
        <v>322</v>
      </c>
      <c r="S2518" t="s">
        <v>11992</v>
      </c>
      <c r="T2518">
        <v>25</v>
      </c>
      <c r="V2518" s="1">
        <v>45665</v>
      </c>
      <c r="W2518" t="s">
        <v>5225</v>
      </c>
      <c r="X2518">
        <v>110016343</v>
      </c>
      <c r="Y2518" s="2" t="s">
        <v>15987</v>
      </c>
      <c r="Z2518" t="s">
        <v>1947</v>
      </c>
      <c r="AA2518" s="2" t="s">
        <v>1948</v>
      </c>
      <c r="AB2518" t="s">
        <v>88</v>
      </c>
      <c r="AD2518" t="s">
        <v>15988</v>
      </c>
      <c r="AE2518" t="s">
        <v>15989</v>
      </c>
      <c r="AG2518" t="s">
        <v>15990</v>
      </c>
      <c r="AH2518" t="s">
        <v>5212</v>
      </c>
      <c r="AI2518" t="s">
        <v>15991</v>
      </c>
    </row>
    <row r="2519" spans="2:35" ht="165">
      <c r="B2519" s="1">
        <v>45667</v>
      </c>
      <c r="C2519" s="1">
        <v>45667</v>
      </c>
      <c r="D2519" t="s">
        <v>3897</v>
      </c>
      <c r="E2519" t="s">
        <v>3140</v>
      </c>
      <c r="F2519">
        <v>3</v>
      </c>
      <c r="G2519" t="s">
        <v>174</v>
      </c>
      <c r="H2519" t="s">
        <v>39</v>
      </c>
      <c r="I2519" t="s">
        <v>40</v>
      </c>
      <c r="J2519" s="2" t="s">
        <v>190</v>
      </c>
      <c r="K2519" t="s">
        <v>42</v>
      </c>
      <c r="L2519" t="s">
        <v>175</v>
      </c>
      <c r="N2519" t="s">
        <v>176</v>
      </c>
      <c r="Q2519">
        <v>30027</v>
      </c>
      <c r="R2519" t="s">
        <v>95</v>
      </c>
      <c r="S2519" t="s">
        <v>3898</v>
      </c>
      <c r="T2519">
        <v>21</v>
      </c>
      <c r="W2519" t="s">
        <v>84</v>
      </c>
      <c r="X2519">
        <v>110008530</v>
      </c>
      <c r="Y2519" s="2" t="s">
        <v>15992</v>
      </c>
      <c r="Z2519" t="s">
        <v>103</v>
      </c>
      <c r="AA2519" t="e">
        <f ca="1">- checked _xludf.and cleaned cartridge bay, plunger rod, _xludf.filter
- cleaned module optics sensors
- generated reports
- performed self test</f>
        <v>#NAME?</v>
      </c>
      <c r="AB2519" s="2" t="s">
        <v>15993</v>
      </c>
      <c r="AG2519" t="s">
        <v>15994</v>
      </c>
      <c r="AH2519" t="s">
        <v>15995</v>
      </c>
      <c r="AI2519" t="s">
        <v>15996</v>
      </c>
    </row>
    <row r="2520" spans="2:35" ht="120">
      <c r="B2520" s="1">
        <v>45667</v>
      </c>
      <c r="C2520" s="1">
        <v>45667</v>
      </c>
      <c r="D2520" t="s">
        <v>9139</v>
      </c>
      <c r="E2520" t="s">
        <v>9140</v>
      </c>
      <c r="F2520">
        <v>6</v>
      </c>
      <c r="G2520" t="s">
        <v>1286</v>
      </c>
      <c r="H2520" t="s">
        <v>9141</v>
      </c>
      <c r="I2520" t="s">
        <v>40</v>
      </c>
      <c r="J2520" s="2" t="s">
        <v>62</v>
      </c>
      <c r="K2520" t="s">
        <v>42</v>
      </c>
      <c r="L2520" t="s">
        <v>1288</v>
      </c>
      <c r="N2520" t="s">
        <v>1289</v>
      </c>
      <c r="Q2520">
        <v>30026</v>
      </c>
      <c r="R2520" t="s">
        <v>967</v>
      </c>
      <c r="S2520" t="s">
        <v>5385</v>
      </c>
      <c r="T2520">
        <v>23</v>
      </c>
      <c r="U2520" s="2" t="s">
        <v>15997</v>
      </c>
      <c r="W2520" t="s">
        <v>1292</v>
      </c>
      <c r="X2520">
        <v>110023529</v>
      </c>
      <c r="Y2520" t="s">
        <v>13756</v>
      </c>
      <c r="Z2520" t="e">
        <f ca="1">-COLLECT IQR,system _xludf.Log,ARCHIVE, _xludf.and CALIBRATION Data</f>
        <v>#NAME?</v>
      </c>
      <c r="AA2520" t="e">
        <f ca="1">-PERFORM Preventive Maintenance PROCEDURE
-PERFORM CALIBRATION, ALL modules passed</f>
        <v>#NAME?</v>
      </c>
      <c r="AB2520" t="s">
        <v>1293</v>
      </c>
      <c r="AG2520" t="s">
        <v>15998</v>
      </c>
      <c r="AH2520" t="s">
        <v>10240</v>
      </c>
      <c r="AI2520" t="s">
        <v>15999</v>
      </c>
    </row>
    <row r="2521" spans="2:35" ht="315">
      <c r="B2521" s="1">
        <v>45667</v>
      </c>
      <c r="C2521" s="1">
        <v>45667</v>
      </c>
      <c r="D2521" t="s">
        <v>5869</v>
      </c>
      <c r="E2521" t="s">
        <v>16000</v>
      </c>
      <c r="F2521" t="s">
        <v>148</v>
      </c>
      <c r="G2521" t="s">
        <v>774</v>
      </c>
      <c r="H2521" t="s">
        <v>1543</v>
      </c>
      <c r="I2521" t="s">
        <v>40</v>
      </c>
      <c r="J2521" t="s">
        <v>321</v>
      </c>
      <c r="K2521" t="s">
        <v>42</v>
      </c>
      <c r="L2521" t="s">
        <v>1028</v>
      </c>
      <c r="N2521" t="s">
        <v>1029</v>
      </c>
      <c r="Q2521">
        <v>30025</v>
      </c>
      <c r="R2521" t="s">
        <v>322</v>
      </c>
      <c r="S2521" t="s">
        <v>5871</v>
      </c>
      <c r="T2521">
        <v>25</v>
      </c>
      <c r="W2521" t="s">
        <v>1032</v>
      </c>
      <c r="X2521">
        <v>110025706</v>
      </c>
      <c r="Y2521" t="s">
        <v>3763</v>
      </c>
      <c r="Z2521" t="s">
        <v>3764</v>
      </c>
      <c r="AA2521" s="2" t="s">
        <v>16001</v>
      </c>
      <c r="AB2521" t="s">
        <v>3300</v>
      </c>
      <c r="AG2521" t="s">
        <v>16002</v>
      </c>
      <c r="AH2521" t="s">
        <v>5876</v>
      </c>
      <c r="AI2521" t="s">
        <v>16003</v>
      </c>
    </row>
    <row r="2522" spans="2:35" ht="165">
      <c r="B2522" s="1">
        <v>45667</v>
      </c>
      <c r="C2522" s="1">
        <v>45660</v>
      </c>
      <c r="D2522" t="s">
        <v>5174</v>
      </c>
      <c r="E2522" t="s">
        <v>11803</v>
      </c>
      <c r="F2522" t="s">
        <v>37</v>
      </c>
      <c r="G2522" t="s">
        <v>748</v>
      </c>
      <c r="H2522" t="s">
        <v>39</v>
      </c>
      <c r="I2522" t="s">
        <v>40</v>
      </c>
      <c r="J2522" t="s">
        <v>525</v>
      </c>
      <c r="K2522" t="s">
        <v>42</v>
      </c>
      <c r="L2522" t="s">
        <v>1028</v>
      </c>
      <c r="N2522" t="s">
        <v>1029</v>
      </c>
      <c r="Q2522">
        <v>30023</v>
      </c>
      <c r="R2522" t="s">
        <v>119</v>
      </c>
      <c r="S2522" t="s">
        <v>5176</v>
      </c>
      <c r="T2522">
        <v>24</v>
      </c>
      <c r="U2522" s="2" t="s">
        <v>16004</v>
      </c>
      <c r="W2522" t="s">
        <v>1967</v>
      </c>
      <c r="X2522">
        <v>838535</v>
      </c>
      <c r="Y2522" t="s">
        <v>10937</v>
      </c>
      <c r="Z2522" t="s">
        <v>5186</v>
      </c>
      <c r="AA2522" s="2" t="s">
        <v>16005</v>
      </c>
      <c r="AB2522" t="s">
        <v>16006</v>
      </c>
      <c r="AG2522" t="s">
        <v>16007</v>
      </c>
      <c r="AH2522" t="s">
        <v>15407</v>
      </c>
      <c r="AI2522" t="s">
        <v>16008</v>
      </c>
    </row>
    <row r="2523" spans="2:35" ht="225">
      <c r="B2523" s="1">
        <v>45667</v>
      </c>
      <c r="C2523" s="1">
        <v>45666</v>
      </c>
      <c r="D2523" t="s">
        <v>2257</v>
      </c>
      <c r="E2523" t="s">
        <v>16009</v>
      </c>
      <c r="F2523" t="s">
        <v>37</v>
      </c>
      <c r="G2523" t="s">
        <v>748</v>
      </c>
      <c r="H2523" t="s">
        <v>39</v>
      </c>
      <c r="I2523" t="s">
        <v>40</v>
      </c>
      <c r="J2523" t="s">
        <v>109</v>
      </c>
      <c r="K2523" t="s">
        <v>42</v>
      </c>
      <c r="L2523" t="s">
        <v>1028</v>
      </c>
      <c r="N2523" t="s">
        <v>1029</v>
      </c>
      <c r="Q2523">
        <v>30024</v>
      </c>
      <c r="R2523" t="s">
        <v>119</v>
      </c>
      <c r="S2523" t="s">
        <v>8974</v>
      </c>
      <c r="T2523">
        <v>28</v>
      </c>
      <c r="U2523" s="2" t="s">
        <v>16010</v>
      </c>
      <c r="W2523" t="s">
        <v>1967</v>
      </c>
      <c r="X2523">
        <v>838537</v>
      </c>
      <c r="Y2523" t="s">
        <v>1978</v>
      </c>
      <c r="Z2523" t="s">
        <v>1548</v>
      </c>
      <c r="AA2523" s="2" t="s">
        <v>16011</v>
      </c>
      <c r="AB2523" t="s">
        <v>3300</v>
      </c>
      <c r="AG2523" t="s">
        <v>16012</v>
      </c>
      <c r="AH2523" t="s">
        <v>8978</v>
      </c>
      <c r="AI2523" t="s">
        <v>16013</v>
      </c>
    </row>
    <row r="2524" spans="2:35" ht="105">
      <c r="B2524" s="1">
        <v>45666</v>
      </c>
      <c r="C2524" s="1">
        <v>45666</v>
      </c>
      <c r="D2524" t="s">
        <v>15630</v>
      </c>
      <c r="E2524" t="s">
        <v>16014</v>
      </c>
      <c r="F2524">
        <v>6</v>
      </c>
      <c r="G2524" t="s">
        <v>5216</v>
      </c>
      <c r="H2524" t="s">
        <v>10969</v>
      </c>
      <c r="I2524" t="s">
        <v>40</v>
      </c>
      <c r="J2524" s="2" t="s">
        <v>16015</v>
      </c>
      <c r="K2524" t="s">
        <v>42</v>
      </c>
      <c r="L2524" t="s">
        <v>1288</v>
      </c>
      <c r="N2524" t="s">
        <v>1289</v>
      </c>
      <c r="Q2524">
        <v>30022</v>
      </c>
      <c r="R2524" t="s">
        <v>967</v>
      </c>
      <c r="S2524" t="s">
        <v>5261</v>
      </c>
      <c r="T2524">
        <v>27</v>
      </c>
      <c r="U2524" s="2" t="s">
        <v>1509</v>
      </c>
      <c r="W2524" t="s">
        <v>1292</v>
      </c>
      <c r="X2524">
        <v>110023538</v>
      </c>
      <c r="Y2524" t="e">
        <f ca="1">-_xludf.For transfer _xludf.and Installation</f>
        <v>#NAME?</v>
      </c>
      <c r="Z2524" t="e">
        <f ca="1">-COLLECT Installation QUALIFICATION report</f>
        <v>#NAME?</v>
      </c>
      <c r="AA2524" t="e">
        <f ca="1">-transfer GX EQUIPMENT FROM BUENAVISTA RHU to SIBUNAG RHU
-PERFORM GX Installation _xludf.and end user orientation</f>
        <v>#NAME?</v>
      </c>
      <c r="AB2524" t="s">
        <v>1293</v>
      </c>
      <c r="AG2524" t="s">
        <v>16016</v>
      </c>
      <c r="AH2524" t="s">
        <v>15634</v>
      </c>
      <c r="AI2524" t="s">
        <v>16017</v>
      </c>
    </row>
    <row r="2525" spans="2:35" ht="75">
      <c r="B2525" s="1">
        <v>45666</v>
      </c>
      <c r="C2525" s="1">
        <v>45666</v>
      </c>
      <c r="D2525" t="s">
        <v>7050</v>
      </c>
      <c r="E2525" t="s">
        <v>16018</v>
      </c>
      <c r="F2525">
        <v>9</v>
      </c>
      <c r="G2525" t="s">
        <v>2197</v>
      </c>
      <c r="H2525" t="s">
        <v>39</v>
      </c>
      <c r="I2525" t="s">
        <v>40</v>
      </c>
      <c r="J2525" s="2" t="s">
        <v>190</v>
      </c>
      <c r="K2525" t="s">
        <v>387</v>
      </c>
      <c r="L2525" t="s">
        <v>1257</v>
      </c>
      <c r="N2525" t="s">
        <v>1258</v>
      </c>
      <c r="O2525" t="s">
        <v>2199</v>
      </c>
      <c r="Q2525">
        <v>30021</v>
      </c>
      <c r="R2525" t="s">
        <v>95</v>
      </c>
      <c r="S2525" t="s">
        <v>7052</v>
      </c>
      <c r="T2525">
        <v>22</v>
      </c>
      <c r="V2525" s="1">
        <v>45666</v>
      </c>
      <c r="W2525" t="s">
        <v>476</v>
      </c>
      <c r="X2525" t="s">
        <v>7053</v>
      </c>
      <c r="Y2525" t="s">
        <v>16019</v>
      </c>
      <c r="Z2525" t="s">
        <v>16020</v>
      </c>
      <c r="AA2525" t="s">
        <v>16020</v>
      </c>
      <c r="AB2525" t="s">
        <v>16021</v>
      </c>
      <c r="AC2525" t="s">
        <v>16022</v>
      </c>
      <c r="AD2525" t="s">
        <v>54</v>
      </c>
      <c r="AE2525" t="s">
        <v>54</v>
      </c>
      <c r="AG2525" t="s">
        <v>16023</v>
      </c>
      <c r="AH2525" t="s">
        <v>16024</v>
      </c>
      <c r="AI2525" t="s">
        <v>16025</v>
      </c>
    </row>
    <row r="2526" spans="2:35" ht="225">
      <c r="B2526" s="1">
        <v>45666</v>
      </c>
      <c r="C2526" s="1">
        <v>45666</v>
      </c>
      <c r="D2526" t="s">
        <v>3712</v>
      </c>
      <c r="E2526" t="s">
        <v>3713</v>
      </c>
      <c r="F2526" t="s">
        <v>148</v>
      </c>
      <c r="G2526" t="s">
        <v>310</v>
      </c>
      <c r="H2526" t="s">
        <v>2274</v>
      </c>
      <c r="I2526" t="s">
        <v>40</v>
      </c>
      <c r="J2526" s="2" t="s">
        <v>1370</v>
      </c>
      <c r="K2526" t="s">
        <v>387</v>
      </c>
      <c r="L2526" t="s">
        <v>1943</v>
      </c>
      <c r="N2526" t="s">
        <v>1944</v>
      </c>
      <c r="Q2526">
        <v>30020</v>
      </c>
      <c r="R2526" t="s">
        <v>322</v>
      </c>
      <c r="S2526" t="s">
        <v>9747</v>
      </c>
      <c r="T2526">
        <v>25</v>
      </c>
      <c r="V2526" s="1">
        <v>45665</v>
      </c>
      <c r="W2526" t="s">
        <v>390</v>
      </c>
      <c r="X2526" t="s">
        <v>3715</v>
      </c>
      <c r="Y2526" t="s">
        <v>16026</v>
      </c>
      <c r="Z2526" t="s">
        <v>3764</v>
      </c>
      <c r="AA2526" s="2" t="s">
        <v>16027</v>
      </c>
      <c r="AB2526" t="s">
        <v>88</v>
      </c>
      <c r="AD2526" t="s">
        <v>16028</v>
      </c>
      <c r="AE2526" t="s">
        <v>16029</v>
      </c>
      <c r="AG2526" t="s">
        <v>16030</v>
      </c>
      <c r="AH2526" t="s">
        <v>16031</v>
      </c>
      <c r="AI2526" t="s">
        <v>16032</v>
      </c>
    </row>
    <row r="2527" spans="2:35" ht="285">
      <c r="B2527" s="1">
        <v>45666</v>
      </c>
      <c r="C2527" s="1">
        <v>45666</v>
      </c>
      <c r="D2527" t="s">
        <v>3712</v>
      </c>
      <c r="E2527" t="s">
        <v>3713</v>
      </c>
      <c r="F2527" t="s">
        <v>148</v>
      </c>
      <c r="G2527" t="s">
        <v>310</v>
      </c>
      <c r="H2527" t="s">
        <v>386</v>
      </c>
      <c r="I2527" t="s">
        <v>40</v>
      </c>
      <c r="J2527" t="s">
        <v>79</v>
      </c>
      <c r="K2527" t="s">
        <v>387</v>
      </c>
      <c r="L2527" t="s">
        <v>1943</v>
      </c>
      <c r="N2527" t="s">
        <v>1944</v>
      </c>
      <c r="Q2527">
        <v>30019</v>
      </c>
      <c r="R2527" t="s">
        <v>322</v>
      </c>
      <c r="S2527" t="s">
        <v>9747</v>
      </c>
      <c r="T2527">
        <v>25</v>
      </c>
      <c r="W2527" t="s">
        <v>390</v>
      </c>
      <c r="X2527" t="s">
        <v>4180</v>
      </c>
      <c r="Y2527" s="2" t="s">
        <v>16033</v>
      </c>
      <c r="Z2527" t="s">
        <v>2100</v>
      </c>
      <c r="AA2527" s="2" t="s">
        <v>16034</v>
      </c>
      <c r="AB2527" t="s">
        <v>88</v>
      </c>
      <c r="AG2527" t="s">
        <v>16035</v>
      </c>
      <c r="AH2527" t="s">
        <v>16031</v>
      </c>
      <c r="AI2527" t="s">
        <v>16036</v>
      </c>
    </row>
    <row r="2528" spans="2:35" ht="120">
      <c r="B2528" s="1">
        <v>45666</v>
      </c>
      <c r="C2528" s="1">
        <v>45666</v>
      </c>
      <c r="D2528" t="s">
        <v>4875</v>
      </c>
      <c r="E2528" t="s">
        <v>229</v>
      </c>
      <c r="F2528" t="s">
        <v>148</v>
      </c>
      <c r="G2528" t="s">
        <v>230</v>
      </c>
      <c r="H2528" t="s">
        <v>39</v>
      </c>
      <c r="I2528" t="s">
        <v>40</v>
      </c>
      <c r="J2528" s="2" t="s">
        <v>190</v>
      </c>
      <c r="K2528" t="s">
        <v>42</v>
      </c>
      <c r="L2528" t="s">
        <v>175</v>
      </c>
      <c r="N2528" t="s">
        <v>176</v>
      </c>
      <c r="Q2528">
        <v>30018</v>
      </c>
      <c r="R2528" t="s">
        <v>95</v>
      </c>
      <c r="S2528" t="s">
        <v>4880</v>
      </c>
      <c r="T2528">
        <v>29</v>
      </c>
      <c r="W2528" t="s">
        <v>423</v>
      </c>
      <c r="X2528">
        <v>120003480</v>
      </c>
      <c r="Y2528" s="2" t="s">
        <v>16037</v>
      </c>
      <c r="Z2528" t="s">
        <v>16038</v>
      </c>
      <c r="AA2528" t="e">
        <f ca="1">- checked _xludf.and cleaned cartridge bay, plunger rod, _xludf.filter, icore slot
- generated reports
- performed self test</f>
        <v>#NAME?</v>
      </c>
      <c r="AB2528" s="2" t="s">
        <v>16039</v>
      </c>
      <c r="AG2528" t="s">
        <v>16040</v>
      </c>
      <c r="AH2528" t="s">
        <v>8257</v>
      </c>
      <c r="AI2528" t="s">
        <v>16041</v>
      </c>
    </row>
    <row r="2529" spans="2:35" ht="285">
      <c r="B2529" s="1">
        <v>45666</v>
      </c>
      <c r="C2529" s="1">
        <v>45666</v>
      </c>
      <c r="D2529" t="s">
        <v>1316</v>
      </c>
      <c r="E2529" t="s">
        <v>2916</v>
      </c>
      <c r="F2529">
        <v>11</v>
      </c>
      <c r="G2529" t="s">
        <v>1205</v>
      </c>
      <c r="H2529" t="s">
        <v>1317</v>
      </c>
      <c r="I2529" t="s">
        <v>40</v>
      </c>
      <c r="J2529" t="s">
        <v>109</v>
      </c>
      <c r="K2529" t="s">
        <v>42</v>
      </c>
      <c r="L2529" t="s">
        <v>204</v>
      </c>
      <c r="N2529" t="s">
        <v>205</v>
      </c>
      <c r="Q2529">
        <v>30017</v>
      </c>
      <c r="R2529" t="s">
        <v>119</v>
      </c>
      <c r="S2529" t="s">
        <v>1318</v>
      </c>
      <c r="T2529">
        <v>25.6</v>
      </c>
      <c r="U2529" s="2" t="s">
        <v>16042</v>
      </c>
      <c r="W2529" t="s">
        <v>208</v>
      </c>
      <c r="X2529">
        <v>838262</v>
      </c>
      <c r="Y2529" t="s">
        <v>2851</v>
      </c>
      <c r="Z2529" s="2" t="s">
        <v>1892</v>
      </c>
      <c r="AA2529" t="s">
        <v>2551</v>
      </c>
      <c r="AB2529" t="s">
        <v>1211</v>
      </c>
      <c r="AC2529" t="s">
        <v>16043</v>
      </c>
      <c r="AG2529" t="s">
        <v>16044</v>
      </c>
      <c r="AH2529" t="s">
        <v>1325</v>
      </c>
      <c r="AI2529" t="s">
        <v>16045</v>
      </c>
    </row>
    <row r="2530" spans="2:35" ht="285">
      <c r="B2530" s="1">
        <v>45666</v>
      </c>
      <c r="C2530" s="1">
        <v>45666</v>
      </c>
      <c r="D2530" t="s">
        <v>1316</v>
      </c>
      <c r="E2530" t="s">
        <v>9979</v>
      </c>
      <c r="F2530">
        <v>11</v>
      </c>
      <c r="G2530" t="s">
        <v>1205</v>
      </c>
      <c r="H2530" t="s">
        <v>1317</v>
      </c>
      <c r="I2530" t="s">
        <v>40</v>
      </c>
      <c r="J2530" t="s">
        <v>109</v>
      </c>
      <c r="K2530" t="s">
        <v>42</v>
      </c>
      <c r="L2530" t="s">
        <v>204</v>
      </c>
      <c r="N2530" t="s">
        <v>205</v>
      </c>
      <c r="Q2530">
        <v>30016</v>
      </c>
      <c r="R2530" t="s">
        <v>322</v>
      </c>
      <c r="S2530" t="s">
        <v>1318</v>
      </c>
      <c r="T2530">
        <v>25.6</v>
      </c>
      <c r="U2530" s="2" t="s">
        <v>16046</v>
      </c>
      <c r="W2530" t="s">
        <v>208</v>
      </c>
      <c r="X2530">
        <v>839236</v>
      </c>
      <c r="Y2530" t="s">
        <v>2851</v>
      </c>
      <c r="Z2530" s="2" t="s">
        <v>1892</v>
      </c>
      <c r="AA2530" t="s">
        <v>2551</v>
      </c>
      <c r="AB2530" t="s">
        <v>10846</v>
      </c>
      <c r="AC2530" t="s">
        <v>16047</v>
      </c>
      <c r="AG2530" t="s">
        <v>16048</v>
      </c>
      <c r="AH2530" t="s">
        <v>1325</v>
      </c>
      <c r="AI2530" t="s">
        <v>16049</v>
      </c>
    </row>
    <row r="2531" spans="2:35" ht="105">
      <c r="B2531" s="1">
        <v>45666</v>
      </c>
      <c r="C2531" s="1">
        <v>45666</v>
      </c>
      <c r="D2531" t="s">
        <v>8529</v>
      </c>
      <c r="E2531" t="s">
        <v>8530</v>
      </c>
      <c r="F2531">
        <v>7</v>
      </c>
      <c r="G2531" t="s">
        <v>432</v>
      </c>
      <c r="H2531" t="s">
        <v>1498</v>
      </c>
      <c r="I2531" t="s">
        <v>40</v>
      </c>
      <c r="J2531" t="s">
        <v>109</v>
      </c>
      <c r="K2531" t="s">
        <v>42</v>
      </c>
      <c r="L2531" t="s">
        <v>343</v>
      </c>
      <c r="N2531" t="s">
        <v>344</v>
      </c>
      <c r="Q2531">
        <v>30015</v>
      </c>
      <c r="R2531" t="s">
        <v>119</v>
      </c>
      <c r="S2531" t="s">
        <v>8531</v>
      </c>
      <c r="T2531">
        <v>38</v>
      </c>
      <c r="U2531" s="2" t="s">
        <v>16050</v>
      </c>
      <c r="W2531" t="s">
        <v>1501</v>
      </c>
      <c r="X2531">
        <v>838279</v>
      </c>
      <c r="Y2531" t="s">
        <v>7415</v>
      </c>
      <c r="Z2531" t="e">
        <f ca="1">-Preventive Maintenance
-_xludf.Replace _xludf.filter</f>
        <v>#NAME?</v>
      </c>
      <c r="AA2531" t="e">
        <f ca="1">-Preventive Maintenance</f>
        <v>#NAME?</v>
      </c>
      <c r="AB2531" t="s">
        <v>348</v>
      </c>
      <c r="AG2531" t="s">
        <v>16051</v>
      </c>
      <c r="AH2531" t="s">
        <v>9836</v>
      </c>
      <c r="AI2531" t="s">
        <v>16052</v>
      </c>
    </row>
    <row r="2532" spans="2:35" ht="105">
      <c r="B2532" s="1">
        <v>45666</v>
      </c>
      <c r="C2532" s="1">
        <v>45666</v>
      </c>
      <c r="D2532" t="s">
        <v>7465</v>
      </c>
      <c r="E2532" t="s">
        <v>7466</v>
      </c>
      <c r="F2532">
        <v>8</v>
      </c>
      <c r="G2532" t="s">
        <v>342</v>
      </c>
      <c r="H2532" t="s">
        <v>258</v>
      </c>
      <c r="I2532" t="s">
        <v>40</v>
      </c>
      <c r="J2532" t="s">
        <v>109</v>
      </c>
      <c r="K2532" t="s">
        <v>42</v>
      </c>
      <c r="L2532" t="s">
        <v>259</v>
      </c>
      <c r="N2532" t="s">
        <v>260</v>
      </c>
      <c r="Q2532">
        <v>30014</v>
      </c>
      <c r="R2532" t="s">
        <v>119</v>
      </c>
      <c r="S2532" t="s">
        <v>16053</v>
      </c>
      <c r="T2532">
        <v>25</v>
      </c>
      <c r="U2532" s="2" t="s">
        <v>16054</v>
      </c>
      <c r="V2532" s="1">
        <v>45666</v>
      </c>
      <c r="W2532" t="s">
        <v>84</v>
      </c>
      <c r="X2532">
        <v>838551</v>
      </c>
      <c r="Y2532" t="s">
        <v>263</v>
      </c>
      <c r="Z2532" t="s">
        <v>263</v>
      </c>
      <c r="AA2532" t="s">
        <v>16055</v>
      </c>
      <c r="AB2532" t="s">
        <v>7675</v>
      </c>
      <c r="AG2532" t="s">
        <v>16056</v>
      </c>
      <c r="AH2532" t="s">
        <v>7469</v>
      </c>
      <c r="AI2532" t="s">
        <v>16057</v>
      </c>
    </row>
    <row r="2533" spans="2:35" ht="315">
      <c r="B2533" s="1">
        <v>45666</v>
      </c>
      <c r="C2533" s="1">
        <v>45665</v>
      </c>
      <c r="D2533" t="s">
        <v>472</v>
      </c>
      <c r="E2533" t="s">
        <v>473</v>
      </c>
      <c r="F2533" t="s">
        <v>148</v>
      </c>
      <c r="G2533" t="s">
        <v>447</v>
      </c>
      <c r="H2533" t="s">
        <v>16058</v>
      </c>
      <c r="I2533" t="s">
        <v>40</v>
      </c>
      <c r="J2533" t="s">
        <v>525</v>
      </c>
      <c r="K2533" t="s">
        <v>387</v>
      </c>
      <c r="L2533" t="s">
        <v>448</v>
      </c>
      <c r="N2533" t="s">
        <v>650</v>
      </c>
      <c r="Q2533">
        <v>30013</v>
      </c>
      <c r="R2533" t="s">
        <v>322</v>
      </c>
      <c r="S2533" t="s">
        <v>6331</v>
      </c>
      <c r="T2533">
        <v>28</v>
      </c>
      <c r="W2533" t="s">
        <v>476</v>
      </c>
      <c r="X2533" t="s">
        <v>477</v>
      </c>
      <c r="Y2533" t="s">
        <v>16059</v>
      </c>
      <c r="Z2533" s="2" t="s">
        <v>16060</v>
      </c>
      <c r="AA2533" t="s">
        <v>768</v>
      </c>
      <c r="AB2533" t="s">
        <v>16061</v>
      </c>
      <c r="AC2533" t="s">
        <v>16062</v>
      </c>
      <c r="AG2533" t="s">
        <v>16063</v>
      </c>
      <c r="AH2533" t="s">
        <v>16064</v>
      </c>
      <c r="AI2533" t="s">
        <v>16065</v>
      </c>
    </row>
    <row r="2534" spans="2:35" ht="255">
      <c r="B2534" s="1">
        <v>45665</v>
      </c>
      <c r="C2534" s="1">
        <v>45665</v>
      </c>
      <c r="D2534" t="s">
        <v>7325</v>
      </c>
      <c r="E2534" t="s">
        <v>16066</v>
      </c>
      <c r="F2534">
        <v>12</v>
      </c>
      <c r="G2534" t="s">
        <v>978</v>
      </c>
      <c r="H2534" t="s">
        <v>1473</v>
      </c>
      <c r="I2534" t="s">
        <v>40</v>
      </c>
      <c r="J2534" t="s">
        <v>996</v>
      </c>
      <c r="K2534" t="s">
        <v>42</v>
      </c>
      <c r="L2534" t="s">
        <v>296</v>
      </c>
      <c r="N2534" t="s">
        <v>297</v>
      </c>
      <c r="Q2534">
        <v>30012</v>
      </c>
      <c r="R2534" t="s">
        <v>119</v>
      </c>
      <c r="S2534" t="s">
        <v>7327</v>
      </c>
      <c r="T2534">
        <v>26.4</v>
      </c>
      <c r="U2534" s="2" t="s">
        <v>16067</v>
      </c>
      <c r="W2534" t="s">
        <v>981</v>
      </c>
      <c r="X2534">
        <v>838265</v>
      </c>
      <c r="Y2534" t="s">
        <v>16068</v>
      </c>
      <c r="Z2534" s="2" t="s">
        <v>16069</v>
      </c>
      <c r="AA2534" t="s">
        <v>303</v>
      </c>
      <c r="AB2534" t="s">
        <v>16070</v>
      </c>
      <c r="AG2534" t="s">
        <v>16071</v>
      </c>
      <c r="AH2534" t="s">
        <v>16072</v>
      </c>
      <c r="AI2534" t="s">
        <v>16073</v>
      </c>
    </row>
    <row r="2535" spans="2:35" ht="120">
      <c r="B2535" s="1">
        <v>45665</v>
      </c>
      <c r="C2535" s="1">
        <v>45665</v>
      </c>
      <c r="D2535" t="s">
        <v>14942</v>
      </c>
      <c r="E2535" t="s">
        <v>1555</v>
      </c>
      <c r="F2535">
        <v>7</v>
      </c>
      <c r="G2535" t="s">
        <v>432</v>
      </c>
      <c r="H2535" t="s">
        <v>39</v>
      </c>
      <c r="I2535" t="s">
        <v>40</v>
      </c>
      <c r="J2535" s="2" t="s">
        <v>8419</v>
      </c>
      <c r="K2535" t="s">
        <v>387</v>
      </c>
      <c r="L2535" t="s">
        <v>433</v>
      </c>
      <c r="N2535" t="s">
        <v>434</v>
      </c>
      <c r="Q2535">
        <v>30011</v>
      </c>
      <c r="R2535" t="s">
        <v>95</v>
      </c>
      <c r="S2535" t="s">
        <v>16074</v>
      </c>
      <c r="T2535">
        <v>28</v>
      </c>
      <c r="W2535" t="s">
        <v>436</v>
      </c>
      <c r="X2535" t="s">
        <v>14944</v>
      </c>
      <c r="Y2535" s="2" t="s">
        <v>16075</v>
      </c>
      <c r="Z2535" t="s">
        <v>16076</v>
      </c>
      <c r="AA2535" t="s">
        <v>16076</v>
      </c>
      <c r="AB2535" s="2" t="s">
        <v>16077</v>
      </c>
      <c r="AG2535" t="s">
        <v>16078</v>
      </c>
      <c r="AH2535" t="s">
        <v>16079</v>
      </c>
      <c r="AI2535" t="s">
        <v>16080</v>
      </c>
    </row>
    <row r="2536" spans="2:35" ht="240">
      <c r="B2536" s="1">
        <v>45665</v>
      </c>
      <c r="C2536" s="1">
        <v>45665</v>
      </c>
      <c r="D2536" t="s">
        <v>5125</v>
      </c>
      <c r="E2536" t="s">
        <v>16081</v>
      </c>
      <c r="F2536" t="s">
        <v>148</v>
      </c>
      <c r="G2536" t="s">
        <v>447</v>
      </c>
      <c r="H2536" t="s">
        <v>39</v>
      </c>
      <c r="I2536" t="s">
        <v>40</v>
      </c>
      <c r="J2536" t="s">
        <v>109</v>
      </c>
      <c r="K2536" t="s">
        <v>42</v>
      </c>
      <c r="L2536" t="s">
        <v>15532</v>
      </c>
      <c r="N2536" t="s">
        <v>16082</v>
      </c>
      <c r="Q2536">
        <v>30010</v>
      </c>
      <c r="R2536" t="s">
        <v>322</v>
      </c>
      <c r="S2536" t="s">
        <v>9476</v>
      </c>
      <c r="T2536">
        <v>24</v>
      </c>
      <c r="U2536" s="2" t="s">
        <v>16083</v>
      </c>
      <c r="W2536" t="s">
        <v>15620</v>
      </c>
      <c r="X2536">
        <v>110020698</v>
      </c>
      <c r="Y2536" t="s">
        <v>16084</v>
      </c>
      <c r="Z2536" s="2" t="s">
        <v>16085</v>
      </c>
      <c r="AA2536" s="2" t="s">
        <v>16086</v>
      </c>
      <c r="AB2536" s="2" t="s">
        <v>15539</v>
      </c>
      <c r="AG2536" t="s">
        <v>16087</v>
      </c>
      <c r="AH2536" t="s">
        <v>11779</v>
      </c>
      <c r="AI2536" t="s">
        <v>16088</v>
      </c>
    </row>
    <row r="2537" spans="2:35" ht="255">
      <c r="B2537" s="1">
        <v>45665</v>
      </c>
      <c r="C2537" s="1">
        <v>45665</v>
      </c>
      <c r="D2537" t="s">
        <v>7810</v>
      </c>
      <c r="E2537" t="s">
        <v>7811</v>
      </c>
      <c r="F2537">
        <v>11</v>
      </c>
      <c r="G2537" t="s">
        <v>1205</v>
      </c>
      <c r="H2537" t="s">
        <v>202</v>
      </c>
      <c r="I2537" t="s">
        <v>40</v>
      </c>
      <c r="J2537" t="s">
        <v>109</v>
      </c>
      <c r="K2537" t="s">
        <v>42</v>
      </c>
      <c r="L2537" t="s">
        <v>204</v>
      </c>
      <c r="N2537" t="s">
        <v>205</v>
      </c>
      <c r="Q2537">
        <v>30009</v>
      </c>
      <c r="R2537" t="s">
        <v>119</v>
      </c>
      <c r="S2537" t="s">
        <v>7812</v>
      </c>
      <c r="T2537">
        <v>25.8</v>
      </c>
      <c r="U2537" s="2" t="s">
        <v>16089</v>
      </c>
      <c r="W2537" t="s">
        <v>208</v>
      </c>
      <c r="X2537">
        <v>838232</v>
      </c>
      <c r="Y2537" t="s">
        <v>2851</v>
      </c>
      <c r="Z2537" s="2" t="s">
        <v>9722</v>
      </c>
      <c r="AA2537" t="s">
        <v>2551</v>
      </c>
      <c r="AB2537" t="s">
        <v>1211</v>
      </c>
      <c r="AG2537" t="s">
        <v>16090</v>
      </c>
      <c r="AH2537" t="s">
        <v>7816</v>
      </c>
      <c r="AI2537" t="s">
        <v>16091</v>
      </c>
    </row>
    <row r="2538" spans="2:35" ht="105">
      <c r="B2538" s="1">
        <v>45665</v>
      </c>
      <c r="C2538" s="1">
        <v>45665</v>
      </c>
      <c r="D2538" t="s">
        <v>5353</v>
      </c>
      <c r="E2538" t="s">
        <v>16092</v>
      </c>
      <c r="F2538">
        <v>6</v>
      </c>
      <c r="G2538" t="s">
        <v>1507</v>
      </c>
      <c r="H2538" t="s">
        <v>39</v>
      </c>
      <c r="I2538" t="s">
        <v>40</v>
      </c>
      <c r="J2538" s="2" t="s">
        <v>6210</v>
      </c>
      <c r="K2538" t="s">
        <v>42</v>
      </c>
      <c r="L2538" t="s">
        <v>1288</v>
      </c>
      <c r="N2538" t="s">
        <v>1289</v>
      </c>
      <c r="Q2538">
        <v>30008</v>
      </c>
      <c r="R2538" t="s">
        <v>967</v>
      </c>
      <c r="S2538" t="s">
        <v>16093</v>
      </c>
      <c r="T2538">
        <v>27</v>
      </c>
      <c r="U2538" s="2" t="s">
        <v>1509</v>
      </c>
      <c r="W2538" t="s">
        <v>1292</v>
      </c>
      <c r="X2538">
        <v>110023541</v>
      </c>
      <c r="Y2538" t="e">
        <f ca="1">-GX Installation FROM Site transfer
-_xludf.For CALIBRATION</f>
        <v>#NAME?</v>
      </c>
      <c r="Z2538" t="e">
        <f ca="1">-COLLECT IQR, system _xludf.Log, _xludf.and CALIBRATION Data</f>
        <v>#NAME?</v>
      </c>
      <c r="AA2538" t="e">
        <f ca="1">-PERFORM GeneXpert Installation _xludf.and workstation Set-up
-PERFORM GX CALIBRATION, ALL modules passed</f>
        <v>#NAME?</v>
      </c>
      <c r="AB2538" t="s">
        <v>1293</v>
      </c>
      <c r="AG2538" t="s">
        <v>16094</v>
      </c>
      <c r="AH2538" t="s">
        <v>16095</v>
      </c>
      <c r="AI2538" t="s">
        <v>16096</v>
      </c>
    </row>
    <row r="2539" spans="2:35" ht="315">
      <c r="B2539" s="1">
        <v>45665</v>
      </c>
      <c r="C2539" s="1">
        <v>45664</v>
      </c>
      <c r="D2539" t="s">
        <v>5474</v>
      </c>
      <c r="E2539" t="s">
        <v>16097</v>
      </c>
      <c r="F2539" t="s">
        <v>148</v>
      </c>
      <c r="G2539" t="s">
        <v>2007</v>
      </c>
      <c r="H2539" t="s">
        <v>5476</v>
      </c>
      <c r="I2539" t="s">
        <v>40</v>
      </c>
      <c r="J2539" t="s">
        <v>109</v>
      </c>
      <c r="K2539" t="s">
        <v>408</v>
      </c>
      <c r="L2539" t="s">
        <v>448</v>
      </c>
      <c r="N2539" t="s">
        <v>650</v>
      </c>
      <c r="O2539" t="s">
        <v>16098</v>
      </c>
      <c r="P2539" t="s">
        <v>10094</v>
      </c>
      <c r="Q2539">
        <v>30007</v>
      </c>
      <c r="R2539" t="s">
        <v>95</v>
      </c>
      <c r="S2539" t="s">
        <v>16099</v>
      </c>
      <c r="T2539">
        <v>28</v>
      </c>
      <c r="W2539" t="s">
        <v>5480</v>
      </c>
      <c r="X2539">
        <v>797</v>
      </c>
      <c r="Y2539" t="s">
        <v>485</v>
      </c>
      <c r="Z2539" s="2" t="s">
        <v>16100</v>
      </c>
      <c r="AA2539" t="s">
        <v>122</v>
      </c>
      <c r="AB2539" t="s">
        <v>486</v>
      </c>
      <c r="AG2539" t="s">
        <v>16101</v>
      </c>
      <c r="AH2539" t="s">
        <v>16102</v>
      </c>
      <c r="AI2539" t="s">
        <v>16103</v>
      </c>
    </row>
    <row r="2540" spans="2:35" ht="409.5">
      <c r="B2540" s="1">
        <v>45665</v>
      </c>
      <c r="C2540" s="1">
        <v>45664</v>
      </c>
      <c r="D2540" t="s">
        <v>5474</v>
      </c>
      <c r="E2540" t="s">
        <v>16104</v>
      </c>
      <c r="F2540" t="s">
        <v>148</v>
      </c>
      <c r="G2540" t="s">
        <v>2007</v>
      </c>
      <c r="H2540" t="s">
        <v>386</v>
      </c>
      <c r="I2540" t="s">
        <v>40</v>
      </c>
      <c r="J2540" t="s">
        <v>109</v>
      </c>
      <c r="K2540" t="s">
        <v>387</v>
      </c>
      <c r="L2540" t="s">
        <v>448</v>
      </c>
      <c r="N2540" t="s">
        <v>450</v>
      </c>
      <c r="O2540" t="s">
        <v>16098</v>
      </c>
      <c r="Q2540">
        <v>30006</v>
      </c>
      <c r="R2540" t="s">
        <v>95</v>
      </c>
      <c r="S2540" t="s">
        <v>16105</v>
      </c>
      <c r="T2540">
        <v>27</v>
      </c>
      <c r="W2540" t="s">
        <v>476</v>
      </c>
      <c r="X2540" t="s">
        <v>5488</v>
      </c>
      <c r="Y2540" s="2" t="s">
        <v>16106</v>
      </c>
      <c r="Z2540" s="2" t="s">
        <v>16107</v>
      </c>
      <c r="AA2540" t="s">
        <v>122</v>
      </c>
      <c r="AB2540" t="s">
        <v>486</v>
      </c>
      <c r="AC2540" t="s">
        <v>16108</v>
      </c>
      <c r="AG2540" t="s">
        <v>16109</v>
      </c>
      <c r="AH2540" t="s">
        <v>16110</v>
      </c>
      <c r="AI2540" t="s">
        <v>16111</v>
      </c>
    </row>
    <row r="2541" spans="2:35" ht="270">
      <c r="B2541" s="1">
        <v>45664</v>
      </c>
      <c r="C2541" s="1">
        <v>45664</v>
      </c>
      <c r="D2541" t="s">
        <v>9231</v>
      </c>
      <c r="E2541" t="s">
        <v>16112</v>
      </c>
      <c r="F2541" t="s">
        <v>148</v>
      </c>
      <c r="G2541" t="s">
        <v>447</v>
      </c>
      <c r="H2541" t="s">
        <v>39</v>
      </c>
      <c r="I2541" t="s">
        <v>40</v>
      </c>
      <c r="J2541" t="s">
        <v>109</v>
      </c>
      <c r="K2541" t="s">
        <v>42</v>
      </c>
      <c r="L2541" t="s">
        <v>15532</v>
      </c>
      <c r="N2541" t="s">
        <v>15533</v>
      </c>
      <c r="Q2541">
        <v>30005</v>
      </c>
      <c r="R2541" t="s">
        <v>322</v>
      </c>
      <c r="S2541" t="s">
        <v>16113</v>
      </c>
      <c r="T2541">
        <v>27</v>
      </c>
      <c r="U2541" s="2" t="s">
        <v>16114</v>
      </c>
      <c r="W2541" t="s">
        <v>15620</v>
      </c>
      <c r="X2541">
        <v>110020697</v>
      </c>
      <c r="Y2541" t="s">
        <v>15536</v>
      </c>
      <c r="Z2541" s="2" t="s">
        <v>16115</v>
      </c>
      <c r="AA2541" s="2" t="s">
        <v>16116</v>
      </c>
      <c r="AB2541" s="2" t="s">
        <v>16117</v>
      </c>
      <c r="AG2541" t="s">
        <v>16118</v>
      </c>
      <c r="AH2541" t="s">
        <v>16119</v>
      </c>
      <c r="AI2541" t="s">
        <v>16120</v>
      </c>
    </row>
    <row r="2542" spans="2:35" ht="105">
      <c r="B2542" s="1">
        <v>45664</v>
      </c>
      <c r="C2542" s="1">
        <v>45664</v>
      </c>
      <c r="D2542" t="s">
        <v>7471</v>
      </c>
      <c r="E2542" t="s">
        <v>16121</v>
      </c>
      <c r="F2542">
        <v>8</v>
      </c>
      <c r="G2542" t="s">
        <v>342</v>
      </c>
      <c r="H2542" t="s">
        <v>39</v>
      </c>
      <c r="I2542" t="s">
        <v>40</v>
      </c>
      <c r="J2542" s="2" t="s">
        <v>609</v>
      </c>
      <c r="K2542" t="s">
        <v>42</v>
      </c>
      <c r="L2542" t="s">
        <v>259</v>
      </c>
      <c r="N2542" t="s">
        <v>260</v>
      </c>
      <c r="Q2542">
        <v>30004</v>
      </c>
      <c r="R2542" t="s">
        <v>119</v>
      </c>
      <c r="S2542" t="s">
        <v>8713</v>
      </c>
      <c r="T2542">
        <v>24</v>
      </c>
      <c r="U2542" s="2" t="s">
        <v>16122</v>
      </c>
      <c r="V2542" s="1">
        <v>45664</v>
      </c>
      <c r="W2542" t="s">
        <v>84</v>
      </c>
      <c r="X2542">
        <v>838421</v>
      </c>
      <c r="Y2542" t="e">
        <f ca="1">- _xludf.n/a</f>
        <v>#NAME?</v>
      </c>
      <c r="Z2542" t="s">
        <v>263</v>
      </c>
      <c r="AA2542" t="e">
        <f ca="1">- on Site assistance
- Install GX machine
- performed Preventive Maintenance</f>
        <v>#NAME?</v>
      </c>
      <c r="AB2542" t="s">
        <v>181</v>
      </c>
      <c r="AC2542" t="s">
        <v>16123</v>
      </c>
      <c r="AG2542" t="s">
        <v>16124</v>
      </c>
      <c r="AH2542" t="s">
        <v>9129</v>
      </c>
      <c r="AI2542" t="s">
        <v>16125</v>
      </c>
    </row>
    <row r="2543" spans="2:35" ht="360">
      <c r="B2543" s="1">
        <v>45664</v>
      </c>
      <c r="C2543" s="1">
        <v>45664</v>
      </c>
      <c r="D2543" t="s">
        <v>5073</v>
      </c>
      <c r="E2543" t="s">
        <v>14910</v>
      </c>
      <c r="F2543">
        <v>11</v>
      </c>
      <c r="G2543" t="s">
        <v>1205</v>
      </c>
      <c r="H2543" t="s">
        <v>513</v>
      </c>
      <c r="I2543" t="s">
        <v>40</v>
      </c>
      <c r="J2543" s="2" t="s">
        <v>190</v>
      </c>
      <c r="K2543" t="s">
        <v>387</v>
      </c>
      <c r="L2543" t="s">
        <v>204</v>
      </c>
      <c r="N2543" t="s">
        <v>205</v>
      </c>
      <c r="O2543" t="s">
        <v>2867</v>
      </c>
      <c r="Q2543">
        <v>30003</v>
      </c>
      <c r="R2543" t="s">
        <v>95</v>
      </c>
      <c r="S2543" t="s">
        <v>4675</v>
      </c>
      <c r="T2543">
        <v>24.5</v>
      </c>
      <c r="V2543" s="1">
        <v>45590</v>
      </c>
      <c r="W2543" t="s">
        <v>390</v>
      </c>
      <c r="X2543" t="s">
        <v>4676</v>
      </c>
      <c r="Y2543" s="2" t="s">
        <v>16126</v>
      </c>
      <c r="Z2543" s="2" t="s">
        <v>16127</v>
      </c>
      <c r="AA2543" t="s">
        <v>16128</v>
      </c>
      <c r="AB2543" s="2" t="s">
        <v>16129</v>
      </c>
      <c r="AC2543" t="s">
        <v>16130</v>
      </c>
      <c r="AD2543" t="s">
        <v>16131</v>
      </c>
      <c r="AE2543" t="s">
        <v>16132</v>
      </c>
      <c r="AG2543" t="s">
        <v>16133</v>
      </c>
      <c r="AH2543" t="s">
        <v>5080</v>
      </c>
      <c r="AI2543" t="s">
        <v>16134</v>
      </c>
    </row>
    <row r="2544" spans="2:35" ht="135">
      <c r="B2544" s="1">
        <v>45664</v>
      </c>
      <c r="C2544" s="1">
        <v>45664</v>
      </c>
      <c r="D2544" t="s">
        <v>2470</v>
      </c>
      <c r="E2544" t="s">
        <v>8331</v>
      </c>
      <c r="F2544" t="s">
        <v>148</v>
      </c>
      <c r="G2544" t="s">
        <v>230</v>
      </c>
      <c r="H2544" t="s">
        <v>513</v>
      </c>
      <c r="I2544" t="s">
        <v>40</v>
      </c>
      <c r="J2544" t="s">
        <v>525</v>
      </c>
      <c r="K2544" t="s">
        <v>387</v>
      </c>
      <c r="L2544" t="s">
        <v>175</v>
      </c>
      <c r="N2544" t="s">
        <v>176</v>
      </c>
      <c r="Q2544">
        <v>30002</v>
      </c>
      <c r="R2544" t="s">
        <v>322</v>
      </c>
      <c r="S2544" t="s">
        <v>16135</v>
      </c>
      <c r="T2544">
        <v>25</v>
      </c>
      <c r="W2544" t="s">
        <v>390</v>
      </c>
      <c r="X2544" t="s">
        <v>5622</v>
      </c>
      <c r="Y2544" t="s">
        <v>16136</v>
      </c>
      <c r="Z2544" t="s">
        <v>103</v>
      </c>
      <c r="AA2544" t="e">
        <f ca="1">- physical INSPECTION of Unit
- end user reportedly cleaned _xludf.and successfully performed procedures after the incident</f>
        <v>#NAME?</v>
      </c>
      <c r="AB2544" s="2" t="s">
        <v>16137</v>
      </c>
      <c r="AG2544" t="s">
        <v>16138</v>
      </c>
      <c r="AH2544" t="s">
        <v>16139</v>
      </c>
      <c r="AI2544" t="s">
        <v>16140</v>
      </c>
    </row>
    <row r="2545" spans="2:35" ht="330">
      <c r="B2545" s="1">
        <v>45664</v>
      </c>
      <c r="C2545" s="1">
        <v>45663</v>
      </c>
      <c r="D2545" t="s">
        <v>1678</v>
      </c>
      <c r="E2545" t="s">
        <v>16141</v>
      </c>
      <c r="F2545" t="s">
        <v>148</v>
      </c>
      <c r="G2545" t="s">
        <v>785</v>
      </c>
      <c r="H2545" t="s">
        <v>39</v>
      </c>
      <c r="I2545" t="s">
        <v>40</v>
      </c>
      <c r="J2545" t="s">
        <v>16142</v>
      </c>
      <c r="K2545" t="s">
        <v>42</v>
      </c>
      <c r="L2545" t="s">
        <v>43</v>
      </c>
      <c r="N2545" t="s">
        <v>44</v>
      </c>
      <c r="Q2545">
        <v>30001</v>
      </c>
      <c r="R2545" t="s">
        <v>322</v>
      </c>
      <c r="S2545" t="s">
        <v>1680</v>
      </c>
      <c r="T2545">
        <v>24</v>
      </c>
      <c r="W2545" t="s">
        <v>153</v>
      </c>
      <c r="X2545">
        <v>110024246</v>
      </c>
      <c r="Y2545" t="s">
        <v>16143</v>
      </c>
      <c r="Z2545" t="s">
        <v>16144</v>
      </c>
      <c r="AA2545" s="2" t="s">
        <v>16145</v>
      </c>
      <c r="AB2545" t="s">
        <v>88</v>
      </c>
      <c r="AC2545" t="s">
        <v>16146</v>
      </c>
      <c r="AG2545" t="s">
        <v>16147</v>
      </c>
      <c r="AH2545" t="s">
        <v>1684</v>
      </c>
      <c r="AI2545" t="s">
        <v>16148</v>
      </c>
    </row>
    <row r="2546" spans="2:35" ht="105">
      <c r="B2546" s="1">
        <v>45663</v>
      </c>
      <c r="C2546" s="1">
        <v>45663</v>
      </c>
      <c r="D2546" t="s">
        <v>5563</v>
      </c>
      <c r="E2546" t="s">
        <v>1555</v>
      </c>
      <c r="F2546">
        <v>7</v>
      </c>
      <c r="G2546" t="s">
        <v>432</v>
      </c>
      <c r="H2546" t="s">
        <v>150</v>
      </c>
      <c r="I2546" t="s">
        <v>40</v>
      </c>
      <c r="J2546" t="s">
        <v>109</v>
      </c>
      <c r="K2546" t="s">
        <v>42</v>
      </c>
      <c r="L2546" t="s">
        <v>343</v>
      </c>
      <c r="N2546" t="s">
        <v>344</v>
      </c>
      <c r="Q2546">
        <v>30000</v>
      </c>
      <c r="R2546" t="s">
        <v>119</v>
      </c>
      <c r="S2546" t="s">
        <v>5564</v>
      </c>
      <c r="T2546">
        <v>26</v>
      </c>
      <c r="U2546" s="2" t="s">
        <v>16149</v>
      </c>
      <c r="W2546" t="s">
        <v>1501</v>
      </c>
      <c r="X2546">
        <v>838561</v>
      </c>
      <c r="Y2546" t="s">
        <v>7415</v>
      </c>
      <c r="Z2546" t="e">
        <f ca="1">-Preventive Maintenance</f>
        <v>#NAME?</v>
      </c>
      <c r="AA2546" t="e">
        <f ca="1">-Preventive Maintenance</f>
        <v>#NAME?</v>
      </c>
      <c r="AB2546" t="s">
        <v>16150</v>
      </c>
      <c r="AG2546" t="s">
        <v>16151</v>
      </c>
      <c r="AH2546" t="s">
        <v>14800</v>
      </c>
      <c r="AI2546" t="s">
        <v>16152</v>
      </c>
    </row>
    <row r="2547" spans="2:35" ht="360">
      <c r="B2547" s="1">
        <v>45660</v>
      </c>
      <c r="C2547" s="1">
        <v>45660</v>
      </c>
      <c r="D2547" t="s">
        <v>9302</v>
      </c>
      <c r="E2547" t="s">
        <v>5976</v>
      </c>
      <c r="F2547">
        <v>3</v>
      </c>
      <c r="G2547" t="s">
        <v>730</v>
      </c>
      <c r="H2547" t="s">
        <v>39</v>
      </c>
      <c r="I2547" t="s">
        <v>40</v>
      </c>
      <c r="J2547" t="s">
        <v>109</v>
      </c>
      <c r="K2547" t="s">
        <v>42</v>
      </c>
      <c r="L2547" t="s">
        <v>135</v>
      </c>
      <c r="N2547" t="s">
        <v>136</v>
      </c>
      <c r="O2547" t="s">
        <v>9308</v>
      </c>
      <c r="Q2547">
        <v>29999</v>
      </c>
      <c r="R2547" t="s">
        <v>95</v>
      </c>
      <c r="S2547" t="s">
        <v>9303</v>
      </c>
      <c r="T2547">
        <v>24</v>
      </c>
      <c r="U2547" s="2" t="s">
        <v>9309</v>
      </c>
      <c r="W2547" t="s">
        <v>3418</v>
      </c>
      <c r="X2547">
        <v>830841</v>
      </c>
      <c r="Y2547" t="s">
        <v>7229</v>
      </c>
      <c r="Z2547" t="s">
        <v>4315</v>
      </c>
      <c r="AA2547" s="2" t="s">
        <v>4316</v>
      </c>
      <c r="AB2547" t="s">
        <v>181</v>
      </c>
      <c r="AG2547" t="s">
        <v>16153</v>
      </c>
      <c r="AH2547" t="s">
        <v>9311</v>
      </c>
      <c r="AI2547" t="s">
        <v>16154</v>
      </c>
    </row>
    <row r="2548" spans="2:35" ht="360">
      <c r="B2548" s="1">
        <v>45660</v>
      </c>
      <c r="C2548" s="1">
        <v>45660</v>
      </c>
      <c r="D2548" t="s">
        <v>9302</v>
      </c>
      <c r="E2548" t="s">
        <v>5976</v>
      </c>
      <c r="F2548">
        <v>3</v>
      </c>
      <c r="G2548" t="s">
        <v>730</v>
      </c>
      <c r="H2548" t="s">
        <v>39</v>
      </c>
      <c r="I2548" t="s">
        <v>40</v>
      </c>
      <c r="J2548" t="s">
        <v>109</v>
      </c>
      <c r="K2548" t="s">
        <v>42</v>
      </c>
      <c r="L2548" t="s">
        <v>135</v>
      </c>
      <c r="N2548" t="s">
        <v>136</v>
      </c>
      <c r="O2548" t="s">
        <v>9308</v>
      </c>
      <c r="Q2548">
        <v>29998</v>
      </c>
      <c r="R2548" t="s">
        <v>95</v>
      </c>
      <c r="S2548" t="s">
        <v>9303</v>
      </c>
      <c r="T2548">
        <v>24</v>
      </c>
      <c r="U2548" s="2" t="s">
        <v>9304</v>
      </c>
      <c r="W2548" t="s">
        <v>2680</v>
      </c>
      <c r="X2548">
        <v>839232</v>
      </c>
      <c r="Y2548" t="s">
        <v>7229</v>
      </c>
      <c r="Z2548" t="s">
        <v>4315</v>
      </c>
      <c r="AA2548" s="2" t="s">
        <v>4316</v>
      </c>
      <c r="AB2548" t="s">
        <v>181</v>
      </c>
      <c r="AG2548" t="s">
        <v>16155</v>
      </c>
      <c r="AH2548" t="s">
        <v>9311</v>
      </c>
      <c r="AI2548" t="s">
        <v>16156</v>
      </c>
    </row>
    <row r="2549" spans="2:35" ht="409.5">
      <c r="B2549" s="1">
        <v>45659</v>
      </c>
      <c r="C2549" s="1">
        <v>45659</v>
      </c>
      <c r="D2549" t="s">
        <v>3119</v>
      </c>
      <c r="E2549" t="s">
        <v>11858</v>
      </c>
      <c r="F2549" t="s">
        <v>148</v>
      </c>
      <c r="G2549" t="s">
        <v>310</v>
      </c>
      <c r="H2549" t="s">
        <v>61</v>
      </c>
      <c r="I2549" t="s">
        <v>40</v>
      </c>
      <c r="J2549" s="2" t="s">
        <v>609</v>
      </c>
      <c r="K2549" t="s">
        <v>42</v>
      </c>
      <c r="L2549" t="s">
        <v>15532</v>
      </c>
      <c r="N2549" t="s">
        <v>15533</v>
      </c>
      <c r="Q2549">
        <v>29997</v>
      </c>
      <c r="R2549" t="s">
        <v>95</v>
      </c>
      <c r="S2549" t="s">
        <v>3124</v>
      </c>
      <c r="T2549">
        <v>21</v>
      </c>
      <c r="U2549" s="2" t="s">
        <v>16157</v>
      </c>
      <c r="W2549" t="s">
        <v>15620</v>
      </c>
      <c r="X2549">
        <v>110001648</v>
      </c>
      <c r="Y2549" t="s">
        <v>16158</v>
      </c>
      <c r="Z2549" s="2" t="s">
        <v>16159</v>
      </c>
      <c r="AA2549" s="2" t="s">
        <v>16160</v>
      </c>
      <c r="AB2549" s="2" t="s">
        <v>16161</v>
      </c>
      <c r="AG2549" t="s">
        <v>16162</v>
      </c>
      <c r="AH2549" t="s">
        <v>3132</v>
      </c>
      <c r="AI2549" t="s">
        <v>16163</v>
      </c>
    </row>
    <row r="2550" spans="2:35" ht="225">
      <c r="B2550" s="1">
        <v>45659</v>
      </c>
      <c r="C2550" s="1">
        <v>45631</v>
      </c>
      <c r="D2550" t="s">
        <v>1678</v>
      </c>
      <c r="E2550" t="s">
        <v>16164</v>
      </c>
      <c r="F2550" t="s">
        <v>148</v>
      </c>
      <c r="G2550" t="s">
        <v>785</v>
      </c>
      <c r="H2550" t="s">
        <v>39</v>
      </c>
      <c r="I2550" t="s">
        <v>40</v>
      </c>
      <c r="J2550" t="s">
        <v>109</v>
      </c>
      <c r="K2550" t="s">
        <v>42</v>
      </c>
      <c r="L2550" t="s">
        <v>43</v>
      </c>
      <c r="N2550" t="s">
        <v>44</v>
      </c>
      <c r="Q2550">
        <v>29996</v>
      </c>
      <c r="R2550" t="s">
        <v>322</v>
      </c>
      <c r="S2550" t="s">
        <v>1680</v>
      </c>
      <c r="T2550">
        <v>22</v>
      </c>
      <c r="W2550" t="s">
        <v>153</v>
      </c>
      <c r="X2550">
        <v>110024246</v>
      </c>
      <c r="Y2550" t="s">
        <v>121</v>
      </c>
      <c r="Z2550" t="s">
        <v>122</v>
      </c>
      <c r="AA2550" s="2" t="s">
        <v>9740</v>
      </c>
      <c r="AB2550" t="s">
        <v>548</v>
      </c>
      <c r="AG2550" t="s">
        <v>16165</v>
      </c>
      <c r="AH2550" t="s">
        <v>1684</v>
      </c>
      <c r="AI2550" t="s">
        <v>16166</v>
      </c>
    </row>
    <row r="2551" spans="2:35" ht="225">
      <c r="B2551" s="1">
        <v>45659</v>
      </c>
      <c r="C2551" s="1">
        <v>45631</v>
      </c>
      <c r="D2551" t="s">
        <v>1686</v>
      </c>
      <c r="E2551" t="s">
        <v>6077</v>
      </c>
      <c r="F2551" t="s">
        <v>148</v>
      </c>
      <c r="G2551" t="s">
        <v>785</v>
      </c>
      <c r="H2551" t="s">
        <v>39</v>
      </c>
      <c r="I2551" t="s">
        <v>40</v>
      </c>
      <c r="J2551" t="s">
        <v>109</v>
      </c>
      <c r="K2551" t="s">
        <v>42</v>
      </c>
      <c r="L2551" t="s">
        <v>43</v>
      </c>
      <c r="N2551" t="s">
        <v>44</v>
      </c>
      <c r="Q2551">
        <v>29995</v>
      </c>
      <c r="R2551" t="s">
        <v>322</v>
      </c>
      <c r="S2551" t="s">
        <v>1688</v>
      </c>
      <c r="T2551">
        <v>22</v>
      </c>
      <c r="W2551" t="s">
        <v>153</v>
      </c>
      <c r="X2551">
        <v>110024247</v>
      </c>
      <c r="Y2551" t="s">
        <v>121</v>
      </c>
      <c r="Z2551" t="s">
        <v>122</v>
      </c>
      <c r="AA2551" s="2" t="s">
        <v>9744</v>
      </c>
      <c r="AB2551" t="s">
        <v>548</v>
      </c>
      <c r="AG2551" t="s">
        <v>16167</v>
      </c>
      <c r="AH2551" t="s">
        <v>1692</v>
      </c>
      <c r="AI2551" t="s">
        <v>16168</v>
      </c>
    </row>
    <row r="2552" spans="2:35" ht="195">
      <c r="B2552" s="1">
        <v>45653</v>
      </c>
      <c r="C2552" s="1">
        <v>45653</v>
      </c>
      <c r="D2552" t="s">
        <v>4118</v>
      </c>
      <c r="E2552" t="s">
        <v>16169</v>
      </c>
      <c r="F2552">
        <v>5</v>
      </c>
      <c r="G2552" t="s">
        <v>759</v>
      </c>
      <c r="H2552" t="s">
        <v>39</v>
      </c>
      <c r="I2552" t="s">
        <v>94</v>
      </c>
      <c r="J2552" t="s">
        <v>109</v>
      </c>
      <c r="K2552" t="s">
        <v>42</v>
      </c>
      <c r="L2552" t="s">
        <v>761</v>
      </c>
      <c r="N2552" t="s">
        <v>762</v>
      </c>
      <c r="O2552" t="s">
        <v>16170</v>
      </c>
      <c r="Q2552">
        <v>29994</v>
      </c>
      <c r="R2552" t="s">
        <v>95</v>
      </c>
      <c r="S2552" t="s">
        <v>6291</v>
      </c>
      <c r="T2552">
        <v>24</v>
      </c>
      <c r="W2552" t="s">
        <v>817</v>
      </c>
      <c r="X2552">
        <v>110017942</v>
      </c>
      <c r="Y2552" t="s">
        <v>818</v>
      </c>
      <c r="Z2552" s="2" t="s">
        <v>16171</v>
      </c>
      <c r="AA2552" t="s">
        <v>820</v>
      </c>
      <c r="AB2552" t="s">
        <v>181</v>
      </c>
      <c r="AC2552" t="s">
        <v>16172</v>
      </c>
      <c r="AG2552" t="s">
        <v>16173</v>
      </c>
      <c r="AH2552" t="s">
        <v>16174</v>
      </c>
      <c r="AI2552" t="s">
        <v>16175</v>
      </c>
    </row>
    <row r="2553" spans="2:35" ht="345">
      <c r="B2553" s="1">
        <v>45653</v>
      </c>
      <c r="C2553" s="1">
        <v>45635</v>
      </c>
      <c r="D2553" t="s">
        <v>8914</v>
      </c>
      <c r="E2553" t="s">
        <v>8915</v>
      </c>
      <c r="F2553">
        <v>5</v>
      </c>
      <c r="G2553" t="s">
        <v>839</v>
      </c>
      <c r="H2553" t="s">
        <v>39</v>
      </c>
      <c r="I2553" t="s">
        <v>94</v>
      </c>
      <c r="J2553" s="2" t="s">
        <v>609</v>
      </c>
      <c r="K2553" t="s">
        <v>42</v>
      </c>
      <c r="L2553" t="s">
        <v>761</v>
      </c>
      <c r="N2553" t="s">
        <v>762</v>
      </c>
      <c r="Q2553">
        <v>29993</v>
      </c>
      <c r="R2553" t="s">
        <v>119</v>
      </c>
      <c r="S2553" t="s">
        <v>8916</v>
      </c>
      <c r="T2553">
        <v>25</v>
      </c>
      <c r="U2553" s="2" t="s">
        <v>14214</v>
      </c>
      <c r="W2553" t="s">
        <v>765</v>
      </c>
      <c r="X2553">
        <v>838558</v>
      </c>
      <c r="Y2553" t="s">
        <v>16176</v>
      </c>
      <c r="Z2553" s="2" t="s">
        <v>16177</v>
      </c>
      <c r="AA2553" s="2" t="s">
        <v>16178</v>
      </c>
      <c r="AB2553" t="s">
        <v>181</v>
      </c>
      <c r="AG2553" t="s">
        <v>16179</v>
      </c>
      <c r="AH2553" t="s">
        <v>16180</v>
      </c>
      <c r="AI2553" t="s">
        <v>16181</v>
      </c>
    </row>
    <row r="2554" spans="2:35" ht="409.5">
      <c r="B2554" s="1">
        <v>45653</v>
      </c>
      <c r="C2554" s="1">
        <v>45653</v>
      </c>
      <c r="D2554" t="s">
        <v>855</v>
      </c>
      <c r="E2554" t="s">
        <v>12037</v>
      </c>
      <c r="F2554" t="s">
        <v>148</v>
      </c>
      <c r="G2554" t="s">
        <v>310</v>
      </c>
      <c r="H2554" t="s">
        <v>39</v>
      </c>
      <c r="I2554" t="s">
        <v>40</v>
      </c>
      <c r="J2554" t="s">
        <v>79</v>
      </c>
      <c r="K2554" t="s">
        <v>42</v>
      </c>
      <c r="L2554" t="s">
        <v>857</v>
      </c>
      <c r="N2554" t="s">
        <v>858</v>
      </c>
      <c r="Q2554">
        <v>29992</v>
      </c>
      <c r="R2554" t="s">
        <v>322</v>
      </c>
      <c r="S2554" t="s">
        <v>859</v>
      </c>
      <c r="T2554">
        <v>22</v>
      </c>
      <c r="V2554" s="1">
        <v>45652</v>
      </c>
      <c r="W2554" t="s">
        <v>6901</v>
      </c>
      <c r="X2554">
        <v>809643</v>
      </c>
      <c r="Y2554" t="s">
        <v>16182</v>
      </c>
      <c r="Z2554" s="2" t="s">
        <v>16183</v>
      </c>
      <c r="AA2554" t="s">
        <v>16184</v>
      </c>
      <c r="AB2554" t="s">
        <v>181</v>
      </c>
      <c r="AD2554" t="s">
        <v>16185</v>
      </c>
      <c r="AE2554" t="s">
        <v>16186</v>
      </c>
      <c r="AG2554" t="s">
        <v>16187</v>
      </c>
      <c r="AH2554" t="s">
        <v>866</v>
      </c>
      <c r="AI2554" t="s">
        <v>16188</v>
      </c>
    </row>
    <row r="2555" spans="2:35" ht="135">
      <c r="B2555" s="1">
        <v>45649</v>
      </c>
      <c r="C2555" s="1">
        <v>45649</v>
      </c>
      <c r="D2555" t="s">
        <v>16189</v>
      </c>
      <c r="E2555" t="s">
        <v>16190</v>
      </c>
      <c r="F2555" t="s">
        <v>148</v>
      </c>
      <c r="G2555" t="s">
        <v>310</v>
      </c>
      <c r="H2555" t="s">
        <v>39</v>
      </c>
      <c r="I2555" t="s">
        <v>40</v>
      </c>
      <c r="J2555" t="s">
        <v>1422</v>
      </c>
      <c r="K2555" t="s">
        <v>42</v>
      </c>
      <c r="L2555" t="s">
        <v>857</v>
      </c>
      <c r="N2555" t="s">
        <v>858</v>
      </c>
      <c r="Q2555">
        <v>29991</v>
      </c>
      <c r="R2555" t="s">
        <v>95</v>
      </c>
      <c r="S2555" t="s">
        <v>6093</v>
      </c>
      <c r="T2555">
        <v>22</v>
      </c>
      <c r="W2555" t="s">
        <v>84</v>
      </c>
      <c r="X2555">
        <v>110001648</v>
      </c>
      <c r="Y2555" t="s">
        <v>16191</v>
      </c>
      <c r="Z2555" s="2" t="s">
        <v>16192</v>
      </c>
      <c r="AA2555" t="s">
        <v>16193</v>
      </c>
      <c r="AB2555" t="s">
        <v>181</v>
      </c>
      <c r="AG2555" t="s">
        <v>16194</v>
      </c>
      <c r="AH2555" t="s">
        <v>11861</v>
      </c>
      <c r="AI2555" t="s">
        <v>16195</v>
      </c>
    </row>
    <row r="2556" spans="2:35" ht="180">
      <c r="B2556" s="1">
        <v>45649</v>
      </c>
      <c r="C2556" s="1">
        <v>45649</v>
      </c>
      <c r="D2556" t="s">
        <v>9690</v>
      </c>
      <c r="E2556" t="s">
        <v>4364</v>
      </c>
      <c r="F2556" t="s">
        <v>148</v>
      </c>
      <c r="G2556" t="s">
        <v>447</v>
      </c>
      <c r="H2556" t="s">
        <v>150</v>
      </c>
      <c r="I2556" t="s">
        <v>40</v>
      </c>
      <c r="J2556" t="s">
        <v>79</v>
      </c>
      <c r="K2556" t="s">
        <v>42</v>
      </c>
      <c r="L2556" t="s">
        <v>448</v>
      </c>
      <c r="N2556" t="s">
        <v>650</v>
      </c>
      <c r="O2556" t="s">
        <v>2808</v>
      </c>
      <c r="Q2556">
        <v>29990</v>
      </c>
      <c r="R2556" t="s">
        <v>95</v>
      </c>
      <c r="S2556" t="s">
        <v>2809</v>
      </c>
      <c r="T2556">
        <v>24</v>
      </c>
      <c r="U2556" s="2" t="s">
        <v>16196</v>
      </c>
      <c r="W2556" t="s">
        <v>6121</v>
      </c>
      <c r="X2556">
        <v>839234</v>
      </c>
      <c r="Y2556" t="s">
        <v>16197</v>
      </c>
      <c r="Z2556" s="2" t="s">
        <v>16198</v>
      </c>
      <c r="AA2556" t="s">
        <v>914</v>
      </c>
      <c r="AB2556" s="2" t="s">
        <v>16199</v>
      </c>
      <c r="AG2556" t="s">
        <v>16200</v>
      </c>
      <c r="AH2556" t="s">
        <v>2814</v>
      </c>
      <c r="AI2556" t="s">
        <v>16201</v>
      </c>
    </row>
    <row r="2557" spans="2:35" ht="270">
      <c r="B2557" s="1">
        <v>45649</v>
      </c>
      <c r="C2557" s="1">
        <v>45645</v>
      </c>
      <c r="D2557" t="s">
        <v>542</v>
      </c>
      <c r="E2557" t="s">
        <v>11636</v>
      </c>
      <c r="F2557" t="s">
        <v>148</v>
      </c>
      <c r="G2557" t="s">
        <v>544</v>
      </c>
      <c r="H2557" t="s">
        <v>39</v>
      </c>
      <c r="I2557" t="s">
        <v>40</v>
      </c>
      <c r="J2557" t="s">
        <v>525</v>
      </c>
      <c r="K2557" t="s">
        <v>42</v>
      </c>
      <c r="L2557" t="s">
        <v>43</v>
      </c>
      <c r="N2557" t="s">
        <v>44</v>
      </c>
      <c r="O2557" t="s">
        <v>6737</v>
      </c>
      <c r="Q2557">
        <v>29989</v>
      </c>
      <c r="R2557" t="s">
        <v>322</v>
      </c>
      <c r="S2557" t="s">
        <v>545</v>
      </c>
      <c r="T2557">
        <v>22</v>
      </c>
      <c r="W2557" t="s">
        <v>153</v>
      </c>
      <c r="X2557">
        <v>110024073</v>
      </c>
      <c r="Y2557" t="s">
        <v>16202</v>
      </c>
      <c r="Z2557" t="s">
        <v>768</v>
      </c>
      <c r="AA2557" s="2" t="s">
        <v>16203</v>
      </c>
      <c r="AB2557" t="s">
        <v>16204</v>
      </c>
      <c r="AC2557" t="s">
        <v>16205</v>
      </c>
      <c r="AG2557" t="s">
        <v>16206</v>
      </c>
      <c r="AH2557" t="s">
        <v>550</v>
      </c>
      <c r="AI2557" t="s">
        <v>16207</v>
      </c>
    </row>
    <row r="2558" spans="2:35">
      <c r="B2558" s="1">
        <v>45649</v>
      </c>
      <c r="C2558" s="1">
        <v>45649</v>
      </c>
      <c r="D2558" t="s">
        <v>7213</v>
      </c>
      <c r="E2558" t="s">
        <v>229</v>
      </c>
      <c r="F2558" t="s">
        <v>148</v>
      </c>
      <c r="G2558" t="s">
        <v>230</v>
      </c>
      <c r="H2558" t="s">
        <v>39</v>
      </c>
      <c r="I2558" t="s">
        <v>40</v>
      </c>
      <c r="J2558" t="s">
        <v>321</v>
      </c>
      <c r="K2558" t="s">
        <v>42</v>
      </c>
      <c r="L2558" t="s">
        <v>175</v>
      </c>
      <c r="N2558" t="s">
        <v>176</v>
      </c>
      <c r="Q2558">
        <v>29988</v>
      </c>
      <c r="R2558" t="s">
        <v>322</v>
      </c>
      <c r="S2558" t="s">
        <v>7214</v>
      </c>
      <c r="T2558">
        <v>27</v>
      </c>
      <c r="W2558" t="s">
        <v>423</v>
      </c>
      <c r="X2558">
        <v>110025111</v>
      </c>
      <c r="Y2558" t="s">
        <v>8338</v>
      </c>
      <c r="Z2558" t="s">
        <v>103</v>
      </c>
      <c r="AA2558" t="e">
        <f ca="1">- installed Unit
- generated reports
- performed self test
- installed HIV, MTB ultra ADF</f>
        <v>#NAME?</v>
      </c>
      <c r="AB2558" t="s">
        <v>181</v>
      </c>
      <c r="AG2558" t="s">
        <v>16208</v>
      </c>
      <c r="AH2558" t="s">
        <v>12014</v>
      </c>
      <c r="AI2558" t="s">
        <v>16209</v>
      </c>
    </row>
    <row r="2559" spans="2:35" ht="409.5">
      <c r="B2559" s="1">
        <v>45647</v>
      </c>
      <c r="C2559" s="1">
        <v>45647</v>
      </c>
      <c r="D2559" t="s">
        <v>3712</v>
      </c>
      <c r="E2559" t="s">
        <v>3713</v>
      </c>
      <c r="F2559" t="s">
        <v>148</v>
      </c>
      <c r="G2559" t="s">
        <v>310</v>
      </c>
      <c r="H2559" t="s">
        <v>2274</v>
      </c>
      <c r="I2559" t="s">
        <v>40</v>
      </c>
      <c r="J2559" s="2" t="s">
        <v>355</v>
      </c>
      <c r="K2559" t="s">
        <v>387</v>
      </c>
      <c r="L2559" t="s">
        <v>1943</v>
      </c>
      <c r="N2559" t="s">
        <v>1944</v>
      </c>
      <c r="Q2559">
        <v>29987</v>
      </c>
      <c r="R2559" t="s">
        <v>322</v>
      </c>
      <c r="S2559" t="s">
        <v>9747</v>
      </c>
      <c r="T2559">
        <v>25</v>
      </c>
      <c r="W2559" t="s">
        <v>390</v>
      </c>
      <c r="X2559" t="s">
        <v>16210</v>
      </c>
      <c r="Y2559" t="s">
        <v>16211</v>
      </c>
      <c r="Z2559" t="s">
        <v>3775</v>
      </c>
      <c r="AA2559" s="2" t="s">
        <v>16212</v>
      </c>
      <c r="AB2559" t="s">
        <v>16213</v>
      </c>
      <c r="AG2559" t="s">
        <v>16214</v>
      </c>
      <c r="AH2559" t="s">
        <v>10576</v>
      </c>
      <c r="AI2559" t="s">
        <v>16215</v>
      </c>
    </row>
    <row r="2560" spans="2:35" ht="360">
      <c r="B2560" s="1">
        <v>45643</v>
      </c>
      <c r="C2560" s="1">
        <v>45643</v>
      </c>
      <c r="D2560" t="s">
        <v>542</v>
      </c>
      <c r="E2560" t="s">
        <v>11636</v>
      </c>
      <c r="F2560" t="s">
        <v>148</v>
      </c>
      <c r="G2560" t="s">
        <v>544</v>
      </c>
      <c r="H2560" t="s">
        <v>39</v>
      </c>
      <c r="I2560" t="s">
        <v>40</v>
      </c>
      <c r="J2560" s="2" t="s">
        <v>6184</v>
      </c>
      <c r="K2560" t="s">
        <v>42</v>
      </c>
      <c r="L2560" t="s">
        <v>43</v>
      </c>
      <c r="N2560" t="s">
        <v>44</v>
      </c>
      <c r="O2560" t="s">
        <v>6737</v>
      </c>
      <c r="Q2560">
        <v>29986</v>
      </c>
      <c r="R2560" t="s">
        <v>322</v>
      </c>
      <c r="S2560" t="s">
        <v>545</v>
      </c>
      <c r="T2560">
        <v>22</v>
      </c>
      <c r="W2560" t="s">
        <v>153</v>
      </c>
      <c r="X2560">
        <v>110024073</v>
      </c>
      <c r="Y2560" t="s">
        <v>16216</v>
      </c>
      <c r="Z2560" t="s">
        <v>2931</v>
      </c>
      <c r="AA2560" s="2" t="s">
        <v>16217</v>
      </c>
      <c r="AB2560" t="s">
        <v>548</v>
      </c>
      <c r="AG2560" t="s">
        <v>16218</v>
      </c>
      <c r="AH2560" t="s">
        <v>16219</v>
      </c>
      <c r="AI2560" t="s">
        <v>16220</v>
      </c>
    </row>
    <row r="2561" spans="2:35" ht="360">
      <c r="B2561" s="1">
        <v>45643</v>
      </c>
      <c r="C2561" s="1">
        <v>45643</v>
      </c>
      <c r="D2561" t="s">
        <v>542</v>
      </c>
      <c r="E2561" t="s">
        <v>11636</v>
      </c>
      <c r="F2561" t="s">
        <v>148</v>
      </c>
      <c r="G2561" t="s">
        <v>544</v>
      </c>
      <c r="H2561" t="s">
        <v>39</v>
      </c>
      <c r="I2561" t="s">
        <v>40</v>
      </c>
      <c r="J2561" s="2" t="s">
        <v>6184</v>
      </c>
      <c r="K2561" t="s">
        <v>42</v>
      </c>
      <c r="L2561" t="s">
        <v>43</v>
      </c>
      <c r="N2561" t="s">
        <v>44</v>
      </c>
      <c r="O2561" t="s">
        <v>6737</v>
      </c>
      <c r="Q2561">
        <v>29985</v>
      </c>
      <c r="R2561" t="s">
        <v>322</v>
      </c>
      <c r="S2561" t="s">
        <v>545</v>
      </c>
      <c r="T2561">
        <v>22</v>
      </c>
      <c r="W2561" t="s">
        <v>153</v>
      </c>
      <c r="X2561">
        <v>110024072</v>
      </c>
      <c r="Y2561" t="s">
        <v>4709</v>
      </c>
      <c r="Z2561" t="s">
        <v>2931</v>
      </c>
      <c r="AA2561" s="2" t="s">
        <v>16217</v>
      </c>
      <c r="AB2561" t="s">
        <v>548</v>
      </c>
      <c r="AG2561" t="s">
        <v>16221</v>
      </c>
      <c r="AH2561" t="s">
        <v>14568</v>
      </c>
      <c r="AI2561" t="s">
        <v>16222</v>
      </c>
    </row>
    <row r="2562" spans="2:35" ht="180">
      <c r="B2562" s="1">
        <v>45642</v>
      </c>
      <c r="C2562" s="1">
        <v>45642</v>
      </c>
      <c r="D2562" t="s">
        <v>2568</v>
      </c>
      <c r="E2562" t="s">
        <v>2569</v>
      </c>
      <c r="F2562" t="s">
        <v>148</v>
      </c>
      <c r="G2562" t="s">
        <v>447</v>
      </c>
      <c r="H2562" t="s">
        <v>150</v>
      </c>
      <c r="I2562" t="s">
        <v>40</v>
      </c>
      <c r="J2562" t="s">
        <v>16223</v>
      </c>
      <c r="K2562" t="s">
        <v>42</v>
      </c>
      <c r="L2562" t="s">
        <v>448</v>
      </c>
      <c r="N2562" t="s">
        <v>450</v>
      </c>
      <c r="O2562" t="s">
        <v>2808</v>
      </c>
      <c r="Q2562">
        <v>29984</v>
      </c>
      <c r="R2562" t="s">
        <v>95</v>
      </c>
      <c r="S2562" t="s">
        <v>2809</v>
      </c>
      <c r="T2562">
        <v>24</v>
      </c>
      <c r="U2562" s="2" t="s">
        <v>16224</v>
      </c>
      <c r="W2562" t="s">
        <v>6121</v>
      </c>
      <c r="X2562">
        <v>839234</v>
      </c>
      <c r="Y2562" t="s">
        <v>16225</v>
      </c>
      <c r="Z2562" t="s">
        <v>16226</v>
      </c>
      <c r="AA2562" t="s">
        <v>16223</v>
      </c>
      <c r="AB2562" s="2" t="s">
        <v>16227</v>
      </c>
      <c r="AG2562" t="s">
        <v>16228</v>
      </c>
      <c r="AH2562" t="s">
        <v>6006</v>
      </c>
      <c r="AI2562" t="s">
        <v>16229</v>
      </c>
    </row>
    <row r="2563" spans="2:35" ht="105">
      <c r="B2563" s="1">
        <v>45642</v>
      </c>
      <c r="C2563" s="1">
        <v>45637</v>
      </c>
      <c r="D2563" t="s">
        <v>9725</v>
      </c>
      <c r="E2563" t="s">
        <v>9726</v>
      </c>
      <c r="F2563">
        <v>10</v>
      </c>
      <c r="G2563" t="s">
        <v>1395</v>
      </c>
      <c r="H2563" t="s">
        <v>1498</v>
      </c>
      <c r="I2563" t="s">
        <v>40</v>
      </c>
      <c r="J2563" s="2" t="s">
        <v>41</v>
      </c>
      <c r="K2563" t="s">
        <v>42</v>
      </c>
      <c r="L2563" t="s">
        <v>343</v>
      </c>
      <c r="N2563" t="s">
        <v>344</v>
      </c>
      <c r="O2563" t="s">
        <v>16230</v>
      </c>
      <c r="Q2563">
        <v>29983</v>
      </c>
      <c r="R2563" t="s">
        <v>119</v>
      </c>
      <c r="S2563" t="s">
        <v>16231</v>
      </c>
      <c r="T2563">
        <v>24</v>
      </c>
      <c r="U2563" s="2" t="s">
        <v>11956</v>
      </c>
      <c r="V2563" s="1">
        <v>45624</v>
      </c>
      <c r="W2563" t="s">
        <v>1501</v>
      </c>
      <c r="X2563">
        <v>838562</v>
      </c>
      <c r="Y2563" t="s">
        <v>16232</v>
      </c>
      <c r="Z2563" t="s">
        <v>16233</v>
      </c>
      <c r="AA2563" t="e">
        <f ca="1">-module Replacement
-Preventive Maintenance</f>
        <v>#NAME?</v>
      </c>
      <c r="AB2563" t="s">
        <v>9638</v>
      </c>
      <c r="AD2563" t="s">
        <v>16234</v>
      </c>
      <c r="AE2563" t="s">
        <v>16235</v>
      </c>
      <c r="AG2563" t="s">
        <v>16236</v>
      </c>
      <c r="AH2563" t="s">
        <v>16237</v>
      </c>
      <c r="AI2563" t="s">
        <v>16238</v>
      </c>
    </row>
    <row r="2564" spans="2:35" ht="225">
      <c r="B2564" s="1">
        <v>45642</v>
      </c>
      <c r="C2564" s="1">
        <v>45631</v>
      </c>
      <c r="D2564" t="s">
        <v>1678</v>
      </c>
      <c r="E2564" t="s">
        <v>16164</v>
      </c>
      <c r="F2564" t="s">
        <v>148</v>
      </c>
      <c r="G2564" t="s">
        <v>785</v>
      </c>
      <c r="H2564" t="s">
        <v>39</v>
      </c>
      <c r="I2564" t="s">
        <v>40</v>
      </c>
      <c r="J2564" t="s">
        <v>109</v>
      </c>
      <c r="K2564" t="s">
        <v>42</v>
      </c>
      <c r="L2564" t="s">
        <v>43</v>
      </c>
      <c r="N2564" t="s">
        <v>44</v>
      </c>
      <c r="Q2564">
        <v>29982</v>
      </c>
      <c r="R2564" t="s">
        <v>322</v>
      </c>
      <c r="S2564" t="s">
        <v>1680</v>
      </c>
      <c r="T2564">
        <v>22</v>
      </c>
      <c r="W2564" t="s">
        <v>153</v>
      </c>
      <c r="X2564">
        <v>110024246</v>
      </c>
      <c r="Y2564" t="s">
        <v>121</v>
      </c>
      <c r="Z2564" t="s">
        <v>122</v>
      </c>
      <c r="AA2564" s="2" t="s">
        <v>9740</v>
      </c>
      <c r="AB2564" t="s">
        <v>548</v>
      </c>
      <c r="AG2564" t="s">
        <v>16239</v>
      </c>
      <c r="AH2564" t="s">
        <v>1684</v>
      </c>
      <c r="AI2564" t="s">
        <v>16240</v>
      </c>
    </row>
    <row r="2565" spans="2:35" ht="225">
      <c r="B2565" s="1">
        <v>45642</v>
      </c>
      <c r="C2565" s="1">
        <v>45631</v>
      </c>
      <c r="D2565" t="s">
        <v>1686</v>
      </c>
      <c r="E2565" t="s">
        <v>6077</v>
      </c>
      <c r="F2565" t="s">
        <v>148</v>
      </c>
      <c r="G2565" t="s">
        <v>785</v>
      </c>
      <c r="H2565" t="s">
        <v>39</v>
      </c>
      <c r="I2565" t="s">
        <v>40</v>
      </c>
      <c r="J2565" t="s">
        <v>109</v>
      </c>
      <c r="K2565" t="s">
        <v>42</v>
      </c>
      <c r="L2565" t="s">
        <v>43</v>
      </c>
      <c r="N2565" t="s">
        <v>44</v>
      </c>
      <c r="Q2565">
        <v>29981</v>
      </c>
      <c r="R2565" t="s">
        <v>322</v>
      </c>
      <c r="S2565" t="s">
        <v>1688</v>
      </c>
      <c r="T2565">
        <v>22</v>
      </c>
      <c r="W2565" t="s">
        <v>153</v>
      </c>
      <c r="X2565">
        <v>110024247</v>
      </c>
      <c r="Y2565" t="s">
        <v>121</v>
      </c>
      <c r="Z2565" t="s">
        <v>122</v>
      </c>
      <c r="AA2565" s="2" t="s">
        <v>9744</v>
      </c>
      <c r="AB2565" t="s">
        <v>548</v>
      </c>
      <c r="AG2565" t="s">
        <v>16241</v>
      </c>
      <c r="AH2565" t="s">
        <v>1692</v>
      </c>
      <c r="AI2565" t="s">
        <v>16242</v>
      </c>
    </row>
    <row r="2566" spans="2:35" ht="270">
      <c r="B2566" s="1">
        <v>45642</v>
      </c>
      <c r="C2566" s="1">
        <v>45637</v>
      </c>
      <c r="D2566" t="s">
        <v>3669</v>
      </c>
      <c r="E2566" t="s">
        <v>3670</v>
      </c>
      <c r="F2566" t="s">
        <v>37</v>
      </c>
      <c r="G2566" t="s">
        <v>38</v>
      </c>
      <c r="H2566" t="s">
        <v>39</v>
      </c>
      <c r="I2566" t="s">
        <v>40</v>
      </c>
      <c r="J2566" t="s">
        <v>109</v>
      </c>
      <c r="K2566" t="s">
        <v>42</v>
      </c>
      <c r="L2566" t="s">
        <v>43</v>
      </c>
      <c r="N2566" t="s">
        <v>44</v>
      </c>
      <c r="Q2566">
        <v>29980</v>
      </c>
      <c r="R2566" t="s">
        <v>322</v>
      </c>
      <c r="S2566" t="s">
        <v>5580</v>
      </c>
      <c r="T2566">
        <v>22</v>
      </c>
      <c r="W2566" t="s">
        <v>48</v>
      </c>
      <c r="X2566">
        <v>110005265</v>
      </c>
      <c r="Y2566" t="s">
        <v>121</v>
      </c>
      <c r="Z2566" t="s">
        <v>122</v>
      </c>
      <c r="AA2566" s="2" t="s">
        <v>16243</v>
      </c>
      <c r="AB2566" t="s">
        <v>548</v>
      </c>
      <c r="AG2566" t="s">
        <v>16244</v>
      </c>
      <c r="AH2566" t="s">
        <v>11659</v>
      </c>
      <c r="AI2566" t="s">
        <v>16245</v>
      </c>
    </row>
    <row r="2567" spans="2:35">
      <c r="B2567" s="1">
        <v>45642</v>
      </c>
      <c r="C2567" s="1">
        <v>45637</v>
      </c>
      <c r="D2567" t="s">
        <v>8654</v>
      </c>
      <c r="E2567" t="s">
        <v>8655</v>
      </c>
      <c r="F2567">
        <v>8</v>
      </c>
      <c r="G2567" t="s">
        <v>257</v>
      </c>
      <c r="H2567" t="s">
        <v>258</v>
      </c>
      <c r="I2567" t="s">
        <v>40</v>
      </c>
      <c r="J2567" t="s">
        <v>109</v>
      </c>
      <c r="K2567" t="s">
        <v>42</v>
      </c>
      <c r="L2567" t="s">
        <v>259</v>
      </c>
      <c r="N2567" t="s">
        <v>260</v>
      </c>
      <c r="Q2567">
        <v>29979</v>
      </c>
      <c r="R2567" t="s">
        <v>119</v>
      </c>
      <c r="S2567" t="s">
        <v>16246</v>
      </c>
      <c r="T2567">
        <v>27</v>
      </c>
      <c r="V2567" s="1">
        <v>45637</v>
      </c>
      <c r="W2567" t="s">
        <v>84</v>
      </c>
      <c r="X2567">
        <v>838409</v>
      </c>
      <c r="Y2567" t="s">
        <v>263</v>
      </c>
      <c r="Z2567" t="s">
        <v>263</v>
      </c>
      <c r="AA2567" t="e">
        <f ca="1">- performed Preventive Maintenance</f>
        <v>#NAME?</v>
      </c>
      <c r="AB2567" t="s">
        <v>70</v>
      </c>
      <c r="AG2567" t="s">
        <v>16247</v>
      </c>
      <c r="AH2567" t="s">
        <v>9871</v>
      </c>
      <c r="AI2567" t="s">
        <v>16248</v>
      </c>
    </row>
    <row r="2568" spans="2:35" ht="210">
      <c r="B2568" s="1">
        <v>45638</v>
      </c>
      <c r="C2568" s="1">
        <v>45637</v>
      </c>
      <c r="D2568" t="s">
        <v>9690</v>
      </c>
      <c r="E2568" t="s">
        <v>2569</v>
      </c>
      <c r="F2568" t="s">
        <v>148</v>
      </c>
      <c r="G2568" t="s">
        <v>447</v>
      </c>
      <c r="H2568" t="s">
        <v>150</v>
      </c>
      <c r="I2568" t="s">
        <v>40</v>
      </c>
      <c r="J2568" t="s">
        <v>525</v>
      </c>
      <c r="K2568" t="s">
        <v>42</v>
      </c>
      <c r="L2568" t="s">
        <v>448</v>
      </c>
      <c r="N2568" t="s">
        <v>650</v>
      </c>
      <c r="O2568" t="s">
        <v>2808</v>
      </c>
      <c r="Q2568">
        <v>29978</v>
      </c>
      <c r="R2568" t="s">
        <v>95</v>
      </c>
      <c r="S2568" t="s">
        <v>2809</v>
      </c>
      <c r="T2568">
        <v>25</v>
      </c>
      <c r="U2568" s="2" t="s">
        <v>16249</v>
      </c>
      <c r="W2568" t="s">
        <v>1139</v>
      </c>
      <c r="X2568">
        <v>839234</v>
      </c>
      <c r="Y2568" s="2" t="s">
        <v>16250</v>
      </c>
      <c r="Z2568" s="2" t="s">
        <v>16251</v>
      </c>
      <c r="AA2568" t="s">
        <v>16252</v>
      </c>
      <c r="AB2568" s="2" t="s">
        <v>16253</v>
      </c>
      <c r="AC2568" t="s">
        <v>16254</v>
      </c>
      <c r="AG2568" t="s">
        <v>16255</v>
      </c>
      <c r="AH2568" t="s">
        <v>2814</v>
      </c>
      <c r="AI2568" t="s">
        <v>16256</v>
      </c>
    </row>
    <row r="2569" spans="2:35" ht="300">
      <c r="B2569" s="1">
        <v>45638</v>
      </c>
      <c r="C2569" s="1">
        <v>45637</v>
      </c>
      <c r="D2569" t="s">
        <v>5602</v>
      </c>
      <c r="E2569" t="s">
        <v>473</v>
      </c>
      <c r="F2569" t="s">
        <v>148</v>
      </c>
      <c r="G2569" t="s">
        <v>447</v>
      </c>
      <c r="H2569" t="s">
        <v>662</v>
      </c>
      <c r="I2569" t="s">
        <v>40</v>
      </c>
      <c r="J2569" t="s">
        <v>79</v>
      </c>
      <c r="K2569" t="s">
        <v>42</v>
      </c>
      <c r="L2569" t="s">
        <v>448</v>
      </c>
      <c r="N2569" t="s">
        <v>650</v>
      </c>
      <c r="Q2569">
        <v>29977</v>
      </c>
      <c r="R2569" t="s">
        <v>322</v>
      </c>
      <c r="S2569" t="s">
        <v>5604</v>
      </c>
      <c r="T2569">
        <v>27</v>
      </c>
      <c r="V2569" s="1">
        <v>45636</v>
      </c>
      <c r="W2569" t="s">
        <v>7420</v>
      </c>
      <c r="X2569">
        <v>110005587</v>
      </c>
      <c r="Y2569" s="2" t="s">
        <v>16257</v>
      </c>
      <c r="Z2569" s="2" t="s">
        <v>2585</v>
      </c>
      <c r="AA2569" t="s">
        <v>5712</v>
      </c>
      <c r="AB2569" s="2" t="s">
        <v>16258</v>
      </c>
      <c r="AD2569" t="s">
        <v>13296</v>
      </c>
      <c r="AE2569" t="s">
        <v>16259</v>
      </c>
      <c r="AG2569" t="s">
        <v>16260</v>
      </c>
      <c r="AH2569" t="s">
        <v>7424</v>
      </c>
      <c r="AI2569" t="s">
        <v>16261</v>
      </c>
    </row>
    <row r="2570" spans="2:35">
      <c r="B2570" s="1">
        <v>45637</v>
      </c>
      <c r="C2570" s="1">
        <v>45636</v>
      </c>
      <c r="D2570" t="s">
        <v>4517</v>
      </c>
      <c r="E2570" t="s">
        <v>4518</v>
      </c>
      <c r="F2570">
        <v>1</v>
      </c>
      <c r="G2570" t="s">
        <v>1046</v>
      </c>
      <c r="H2570" t="s">
        <v>1047</v>
      </c>
      <c r="I2570" t="s">
        <v>40</v>
      </c>
      <c r="J2570" t="s">
        <v>109</v>
      </c>
      <c r="K2570" t="s">
        <v>42</v>
      </c>
      <c r="L2570" t="s">
        <v>1048</v>
      </c>
      <c r="N2570" t="s">
        <v>1049</v>
      </c>
      <c r="Q2570">
        <v>29976</v>
      </c>
      <c r="R2570" t="s">
        <v>119</v>
      </c>
      <c r="S2570" t="s">
        <v>7992</v>
      </c>
      <c r="T2570">
        <v>27</v>
      </c>
      <c r="W2570" t="s">
        <v>1051</v>
      </c>
      <c r="X2570">
        <v>838467</v>
      </c>
      <c r="Y2570" t="s">
        <v>1052</v>
      </c>
      <c r="Z2570" t="e">
        <f ca="1">- cleaned cartridge Bays, plunger Rods _xludf.and I-CORE
- generated reports</f>
        <v>#NAME?</v>
      </c>
      <c r="AA2570" t="s">
        <v>820</v>
      </c>
      <c r="AB2570" t="s">
        <v>1428</v>
      </c>
      <c r="AG2570" t="s">
        <v>16262</v>
      </c>
      <c r="AH2570" t="s">
        <v>11112</v>
      </c>
      <c r="AI2570" t="s">
        <v>16263</v>
      </c>
    </row>
    <row r="2571" spans="2:35" ht="105">
      <c r="B2571" s="1">
        <v>45637</v>
      </c>
      <c r="C2571" s="1">
        <v>45636</v>
      </c>
      <c r="D2571" t="s">
        <v>4511</v>
      </c>
      <c r="E2571" t="s">
        <v>4512</v>
      </c>
      <c r="F2571">
        <v>1</v>
      </c>
      <c r="G2571" t="s">
        <v>1046</v>
      </c>
      <c r="H2571" t="s">
        <v>1047</v>
      </c>
      <c r="I2571" t="s">
        <v>40</v>
      </c>
      <c r="J2571" t="s">
        <v>109</v>
      </c>
      <c r="K2571" t="s">
        <v>42</v>
      </c>
      <c r="L2571" t="s">
        <v>1048</v>
      </c>
      <c r="N2571" t="s">
        <v>1049</v>
      </c>
      <c r="Q2571">
        <v>29975</v>
      </c>
      <c r="R2571" t="s">
        <v>119</v>
      </c>
      <c r="S2571" t="s">
        <v>4513</v>
      </c>
      <c r="T2571">
        <v>29</v>
      </c>
      <c r="U2571" s="2" t="s">
        <v>16264</v>
      </c>
      <c r="W2571" t="s">
        <v>1051</v>
      </c>
      <c r="X2571">
        <v>838288</v>
      </c>
      <c r="Y2571" t="s">
        <v>1052</v>
      </c>
      <c r="Z2571" t="e">
        <f ca="1">- cleaned cartridge Bays, plunger Rods _xludf.and I-CORE
- generated reports</f>
        <v>#NAME?</v>
      </c>
      <c r="AA2571" t="s">
        <v>820</v>
      </c>
      <c r="AB2571" t="s">
        <v>1428</v>
      </c>
      <c r="AG2571" t="s">
        <v>16265</v>
      </c>
      <c r="AH2571" t="s">
        <v>4515</v>
      </c>
      <c r="AI2571" t="s">
        <v>16266</v>
      </c>
    </row>
    <row r="2572" spans="2:35" ht="210">
      <c r="B2572" s="1">
        <v>45637</v>
      </c>
      <c r="C2572" s="1">
        <v>45631</v>
      </c>
      <c r="D2572" t="s">
        <v>1026</v>
      </c>
      <c r="E2572" t="s">
        <v>16267</v>
      </c>
      <c r="F2572" t="s">
        <v>148</v>
      </c>
      <c r="G2572" t="s">
        <v>774</v>
      </c>
      <c r="H2572" t="s">
        <v>513</v>
      </c>
      <c r="I2572" t="s">
        <v>40</v>
      </c>
      <c r="J2572" t="s">
        <v>109</v>
      </c>
      <c r="K2572" t="s">
        <v>387</v>
      </c>
      <c r="L2572" t="s">
        <v>1028</v>
      </c>
      <c r="N2572" t="s">
        <v>1029</v>
      </c>
      <c r="O2572" t="s">
        <v>10918</v>
      </c>
      <c r="Q2572">
        <v>29974</v>
      </c>
      <c r="R2572" t="s">
        <v>95</v>
      </c>
      <c r="S2572" t="s">
        <v>16268</v>
      </c>
      <c r="T2572">
        <v>25</v>
      </c>
      <c r="W2572" t="s">
        <v>390</v>
      </c>
      <c r="X2572" t="s">
        <v>5184</v>
      </c>
      <c r="Y2572" t="s">
        <v>1978</v>
      </c>
      <c r="Z2572" t="s">
        <v>1548</v>
      </c>
      <c r="AA2572" s="2" t="s">
        <v>16269</v>
      </c>
      <c r="AB2572" t="s">
        <v>3777</v>
      </c>
      <c r="AG2572" t="s">
        <v>16270</v>
      </c>
      <c r="AH2572" t="s">
        <v>16271</v>
      </c>
      <c r="AI2572" t="s">
        <v>16272</v>
      </c>
    </row>
    <row r="2573" spans="2:35" ht="300">
      <c r="B2573" s="1">
        <v>45637</v>
      </c>
      <c r="C2573" s="1">
        <v>45615</v>
      </c>
      <c r="D2573" t="s">
        <v>7219</v>
      </c>
      <c r="E2573" t="s">
        <v>16273</v>
      </c>
      <c r="F2573" t="s">
        <v>148</v>
      </c>
      <c r="G2573" t="s">
        <v>310</v>
      </c>
      <c r="H2573" t="s">
        <v>7019</v>
      </c>
      <c r="I2573" t="s">
        <v>40</v>
      </c>
      <c r="J2573" s="2" t="s">
        <v>190</v>
      </c>
      <c r="K2573" t="s">
        <v>42</v>
      </c>
      <c r="L2573" t="s">
        <v>1028</v>
      </c>
      <c r="N2573" t="s">
        <v>1029</v>
      </c>
      <c r="O2573" t="s">
        <v>16274</v>
      </c>
      <c r="Q2573">
        <v>29971</v>
      </c>
      <c r="R2573" t="s">
        <v>322</v>
      </c>
      <c r="S2573" t="s">
        <v>16275</v>
      </c>
      <c r="T2573">
        <v>26.5</v>
      </c>
      <c r="U2573" s="2" t="s">
        <v>16276</v>
      </c>
      <c r="W2573" t="s">
        <v>2441</v>
      </c>
      <c r="X2573">
        <v>821247</v>
      </c>
      <c r="Y2573" t="s">
        <v>16277</v>
      </c>
      <c r="Z2573" t="s">
        <v>3128</v>
      </c>
      <c r="AA2573" s="2" t="s">
        <v>16278</v>
      </c>
      <c r="AB2573" t="s">
        <v>16279</v>
      </c>
      <c r="AG2573" t="s">
        <v>16280</v>
      </c>
      <c r="AH2573" t="s">
        <v>16281</v>
      </c>
      <c r="AI2573" t="s">
        <v>16282</v>
      </c>
    </row>
    <row r="2574" spans="2:35" ht="300">
      <c r="B2574" s="1">
        <v>45637</v>
      </c>
      <c r="C2574" s="1">
        <v>45622</v>
      </c>
      <c r="D2574" t="s">
        <v>5158</v>
      </c>
      <c r="E2574" t="s">
        <v>16283</v>
      </c>
      <c r="F2574" t="s">
        <v>148</v>
      </c>
      <c r="G2574" t="s">
        <v>310</v>
      </c>
      <c r="H2574" t="s">
        <v>662</v>
      </c>
      <c r="I2574" t="s">
        <v>40</v>
      </c>
      <c r="J2574" t="s">
        <v>109</v>
      </c>
      <c r="K2574" t="s">
        <v>42</v>
      </c>
      <c r="L2574" t="s">
        <v>1028</v>
      </c>
      <c r="N2574" t="s">
        <v>1029</v>
      </c>
      <c r="Q2574">
        <v>29972</v>
      </c>
      <c r="R2574" t="s">
        <v>322</v>
      </c>
      <c r="S2574" t="s">
        <v>14635</v>
      </c>
      <c r="T2574">
        <v>20</v>
      </c>
      <c r="U2574" s="2" t="s">
        <v>16284</v>
      </c>
      <c r="W2574" t="s">
        <v>1032</v>
      </c>
      <c r="X2574">
        <v>110014099</v>
      </c>
      <c r="Y2574" t="s">
        <v>1978</v>
      </c>
      <c r="Z2574" t="s">
        <v>1548</v>
      </c>
      <c r="AA2574" s="2" t="s">
        <v>7336</v>
      </c>
      <c r="AB2574" t="s">
        <v>16285</v>
      </c>
      <c r="AG2574" t="s">
        <v>16286</v>
      </c>
      <c r="AH2574" t="s">
        <v>16287</v>
      </c>
      <c r="AI2574" t="s">
        <v>16288</v>
      </c>
    </row>
    <row r="2575" spans="2:35" ht="165">
      <c r="B2575" s="1">
        <v>45637</v>
      </c>
      <c r="C2575" s="1">
        <v>45630</v>
      </c>
      <c r="D2575" t="s">
        <v>919</v>
      </c>
      <c r="E2575" t="s">
        <v>1976</v>
      </c>
      <c r="F2575" t="s">
        <v>148</v>
      </c>
      <c r="G2575" t="s">
        <v>310</v>
      </c>
      <c r="H2575" t="s">
        <v>513</v>
      </c>
      <c r="I2575" t="s">
        <v>40</v>
      </c>
      <c r="J2575" t="s">
        <v>525</v>
      </c>
      <c r="K2575" t="s">
        <v>387</v>
      </c>
      <c r="L2575" t="s">
        <v>1028</v>
      </c>
      <c r="N2575" t="s">
        <v>1029</v>
      </c>
      <c r="O2575" t="s">
        <v>16289</v>
      </c>
      <c r="Q2575">
        <v>29973</v>
      </c>
      <c r="R2575" t="s">
        <v>322</v>
      </c>
      <c r="S2575" t="s">
        <v>16290</v>
      </c>
      <c r="T2575">
        <v>25</v>
      </c>
      <c r="W2575" t="s">
        <v>390</v>
      </c>
      <c r="X2575" t="s">
        <v>922</v>
      </c>
      <c r="Y2575" t="s">
        <v>10937</v>
      </c>
      <c r="Z2575" t="s">
        <v>5186</v>
      </c>
      <c r="AA2575" s="2" t="s">
        <v>16291</v>
      </c>
      <c r="AB2575" t="s">
        <v>16292</v>
      </c>
      <c r="AC2575" t="s">
        <v>16293</v>
      </c>
      <c r="AG2575" t="s">
        <v>16294</v>
      </c>
      <c r="AH2575" t="s">
        <v>16295</v>
      </c>
      <c r="AI2575" t="s">
        <v>16296</v>
      </c>
    </row>
    <row r="2576" spans="2:35" ht="300">
      <c r="B2576" s="1">
        <v>45637</v>
      </c>
      <c r="C2576" s="1">
        <v>45622</v>
      </c>
      <c r="D2576" t="s">
        <v>5158</v>
      </c>
      <c r="E2576" t="s">
        <v>5167</v>
      </c>
      <c r="F2576" t="s">
        <v>148</v>
      </c>
      <c r="G2576" t="s">
        <v>310</v>
      </c>
      <c r="H2576" t="s">
        <v>662</v>
      </c>
      <c r="I2576" t="s">
        <v>40</v>
      </c>
      <c r="J2576" t="s">
        <v>109</v>
      </c>
      <c r="K2576" t="s">
        <v>42</v>
      </c>
      <c r="L2576" t="s">
        <v>1028</v>
      </c>
      <c r="N2576" t="s">
        <v>1029</v>
      </c>
      <c r="Q2576">
        <v>29969</v>
      </c>
      <c r="R2576" t="s">
        <v>322</v>
      </c>
      <c r="S2576" t="s">
        <v>14635</v>
      </c>
      <c r="T2576">
        <v>21</v>
      </c>
      <c r="U2576" s="2" t="s">
        <v>16297</v>
      </c>
      <c r="W2576" t="s">
        <v>5169</v>
      </c>
      <c r="X2576">
        <v>110013856</v>
      </c>
      <c r="Y2576" t="s">
        <v>16298</v>
      </c>
      <c r="Z2576" t="s">
        <v>1548</v>
      </c>
      <c r="AA2576" s="2" t="s">
        <v>7336</v>
      </c>
      <c r="AB2576" t="s">
        <v>3300</v>
      </c>
      <c r="AG2576" t="s">
        <v>16299</v>
      </c>
      <c r="AH2576" t="s">
        <v>16287</v>
      </c>
      <c r="AI2576" t="s">
        <v>16300</v>
      </c>
    </row>
    <row r="2577" spans="2:35" ht="210">
      <c r="B2577" s="1">
        <v>45637</v>
      </c>
      <c r="C2577" s="1">
        <v>45631</v>
      </c>
      <c r="D2577" t="s">
        <v>1026</v>
      </c>
      <c r="E2577" t="s">
        <v>16267</v>
      </c>
      <c r="F2577" t="s">
        <v>148</v>
      </c>
      <c r="G2577" t="s">
        <v>774</v>
      </c>
      <c r="H2577" t="s">
        <v>513</v>
      </c>
      <c r="I2577" t="s">
        <v>40</v>
      </c>
      <c r="J2577" t="s">
        <v>109</v>
      </c>
      <c r="K2577" t="s">
        <v>387</v>
      </c>
      <c r="L2577" t="s">
        <v>1028</v>
      </c>
      <c r="N2577" t="s">
        <v>1029</v>
      </c>
      <c r="O2577" t="s">
        <v>10918</v>
      </c>
      <c r="Q2577">
        <v>29970</v>
      </c>
      <c r="R2577" t="s">
        <v>95</v>
      </c>
      <c r="S2577" t="s">
        <v>16268</v>
      </c>
      <c r="T2577">
        <v>25</v>
      </c>
      <c r="W2577" t="s">
        <v>390</v>
      </c>
      <c r="X2577" t="s">
        <v>3773</v>
      </c>
      <c r="Y2577" t="s">
        <v>1978</v>
      </c>
      <c r="Z2577" t="s">
        <v>1548</v>
      </c>
      <c r="AA2577" s="2" t="s">
        <v>16301</v>
      </c>
      <c r="AB2577" t="s">
        <v>3777</v>
      </c>
      <c r="AG2577" t="s">
        <v>16302</v>
      </c>
      <c r="AH2577" t="s">
        <v>16271</v>
      </c>
      <c r="AI2577" t="s">
        <v>16303</v>
      </c>
    </row>
    <row r="2578" spans="2:35" ht="105">
      <c r="B2578" s="1">
        <v>45637</v>
      </c>
      <c r="C2578" s="1">
        <v>45637</v>
      </c>
      <c r="D2578" t="s">
        <v>16304</v>
      </c>
      <c r="E2578" t="s">
        <v>16305</v>
      </c>
      <c r="F2578">
        <v>7</v>
      </c>
      <c r="G2578" t="s">
        <v>432</v>
      </c>
      <c r="H2578" t="s">
        <v>10969</v>
      </c>
      <c r="I2578" t="s">
        <v>40</v>
      </c>
      <c r="J2578" t="s">
        <v>109</v>
      </c>
      <c r="K2578" t="s">
        <v>42</v>
      </c>
      <c r="L2578" t="s">
        <v>1288</v>
      </c>
      <c r="N2578" t="s">
        <v>16306</v>
      </c>
      <c r="Q2578">
        <v>29968</v>
      </c>
      <c r="R2578" t="s">
        <v>119</v>
      </c>
      <c r="S2578" t="s">
        <v>16307</v>
      </c>
      <c r="T2578">
        <v>25</v>
      </c>
      <c r="U2578" s="2" t="s">
        <v>16308</v>
      </c>
      <c r="W2578" t="s">
        <v>1292</v>
      </c>
      <c r="X2578">
        <v>837661</v>
      </c>
      <c r="Y2578" t="e">
        <f ca="1">-_xludf.For Preventive Maintenance</f>
        <v>#NAME?</v>
      </c>
      <c r="Z2578" t="e">
        <f ca="1">-COLLECT IQR,system _xludf.Log, _xludf.and ARCHIVE</f>
        <v>#NAME?</v>
      </c>
      <c r="AA2578" t="e">
        <f ca="1">-PERFORM Cleaning of GX EQUIPMENT
-PERFORM Preventive Maintenance PROCEDURE</f>
        <v>#NAME?</v>
      </c>
      <c r="AB2578" t="s">
        <v>1293</v>
      </c>
      <c r="AG2578" t="s">
        <v>16309</v>
      </c>
      <c r="AH2578" t="s">
        <v>16310</v>
      </c>
      <c r="AI2578" t="s">
        <v>16311</v>
      </c>
    </row>
    <row r="2579" spans="2:35" ht="90">
      <c r="B2579" s="1">
        <v>45637</v>
      </c>
      <c r="C2579" s="1">
        <v>45637</v>
      </c>
      <c r="D2579" t="s">
        <v>6471</v>
      </c>
      <c r="E2579" t="s">
        <v>7442</v>
      </c>
      <c r="F2579" t="s">
        <v>148</v>
      </c>
      <c r="G2579" t="s">
        <v>447</v>
      </c>
      <c r="H2579" t="s">
        <v>513</v>
      </c>
      <c r="I2579" t="s">
        <v>40</v>
      </c>
      <c r="J2579" s="2" t="s">
        <v>41</v>
      </c>
      <c r="K2579" t="s">
        <v>387</v>
      </c>
      <c r="L2579" t="s">
        <v>175</v>
      </c>
      <c r="N2579" t="s">
        <v>176</v>
      </c>
      <c r="Q2579">
        <v>29967</v>
      </c>
      <c r="R2579" t="s">
        <v>322</v>
      </c>
      <c r="S2579" t="s">
        <v>4306</v>
      </c>
      <c r="T2579">
        <v>28</v>
      </c>
      <c r="V2579" s="1">
        <v>45629</v>
      </c>
      <c r="W2579" t="s">
        <v>390</v>
      </c>
      <c r="X2579" t="s">
        <v>4307</v>
      </c>
      <c r="Y2579" t="s">
        <v>15866</v>
      </c>
      <c r="Z2579" t="s">
        <v>9395</v>
      </c>
      <c r="AA2579" t="e">
        <f ca="1">- replaced UPS
- performed self test
- checked _xludf.and cleaned CALIBRATION parameters</f>
        <v>#NAME?</v>
      </c>
      <c r="AB2579" t="s">
        <v>181</v>
      </c>
      <c r="AD2579" s="2" t="s">
        <v>16312</v>
      </c>
      <c r="AE2579">
        <v>12413</v>
      </c>
      <c r="AG2579" t="s">
        <v>16313</v>
      </c>
      <c r="AH2579" t="s">
        <v>16314</v>
      </c>
      <c r="AI2579" t="s">
        <v>16315</v>
      </c>
    </row>
    <row r="2580" spans="2:35" ht="105">
      <c r="B2580" s="1">
        <v>45636</v>
      </c>
      <c r="C2580" s="1">
        <v>45636</v>
      </c>
      <c r="D2580" t="s">
        <v>4953</v>
      </c>
      <c r="E2580" t="s">
        <v>4954</v>
      </c>
      <c r="F2580">
        <v>1</v>
      </c>
      <c r="G2580" t="s">
        <v>1046</v>
      </c>
      <c r="H2580" t="s">
        <v>39</v>
      </c>
      <c r="I2580" t="s">
        <v>40</v>
      </c>
      <c r="J2580" t="s">
        <v>109</v>
      </c>
      <c r="K2580" t="s">
        <v>42</v>
      </c>
      <c r="L2580" t="s">
        <v>1048</v>
      </c>
      <c r="N2580" t="s">
        <v>1049</v>
      </c>
      <c r="Q2580">
        <v>29966</v>
      </c>
      <c r="R2580" t="s">
        <v>119</v>
      </c>
      <c r="S2580" t="s">
        <v>4955</v>
      </c>
      <c r="T2580">
        <v>28</v>
      </c>
      <c r="U2580" s="2" t="s">
        <v>11354</v>
      </c>
      <c r="W2580" t="s">
        <v>1051</v>
      </c>
      <c r="X2580">
        <v>838437</v>
      </c>
      <c r="Y2580" t="s">
        <v>1052</v>
      </c>
      <c r="Z2580" t="e">
        <f ca="1">- cleaned cartridge Bays, plunger Rods _xludf.and I-CORE
- generated reports</f>
        <v>#NAME?</v>
      </c>
      <c r="AA2580" t="s">
        <v>820</v>
      </c>
      <c r="AB2580" t="s">
        <v>1428</v>
      </c>
      <c r="AG2580" t="s">
        <v>16316</v>
      </c>
      <c r="AH2580" t="s">
        <v>4958</v>
      </c>
      <c r="AI2580" t="s">
        <v>16317</v>
      </c>
    </row>
    <row r="2581" spans="2:35" ht="409.5">
      <c r="B2581" s="1">
        <v>45636</v>
      </c>
      <c r="C2581" s="1">
        <v>45636</v>
      </c>
      <c r="D2581" t="s">
        <v>1145</v>
      </c>
      <c r="E2581" t="s">
        <v>5859</v>
      </c>
      <c r="F2581" t="s">
        <v>148</v>
      </c>
      <c r="G2581" t="s">
        <v>447</v>
      </c>
      <c r="H2581" t="s">
        <v>39</v>
      </c>
      <c r="I2581" t="s">
        <v>40</v>
      </c>
      <c r="J2581" t="s">
        <v>525</v>
      </c>
      <c r="K2581" t="s">
        <v>387</v>
      </c>
      <c r="L2581" t="s">
        <v>15532</v>
      </c>
      <c r="N2581" t="s">
        <v>15533</v>
      </c>
      <c r="Q2581">
        <v>29965</v>
      </c>
      <c r="R2581" t="s">
        <v>322</v>
      </c>
      <c r="S2581" t="s">
        <v>16318</v>
      </c>
      <c r="T2581">
        <v>25</v>
      </c>
      <c r="W2581" t="s">
        <v>390</v>
      </c>
      <c r="X2581" t="s">
        <v>5005</v>
      </c>
      <c r="Y2581" t="s">
        <v>16319</v>
      </c>
      <c r="Z2581" s="2" t="s">
        <v>16320</v>
      </c>
      <c r="AA2581" t="s">
        <v>768</v>
      </c>
      <c r="AB2581" t="s">
        <v>16321</v>
      </c>
      <c r="AG2581" t="s">
        <v>16322</v>
      </c>
      <c r="AH2581" t="s">
        <v>16323</v>
      </c>
      <c r="AI2581" t="s">
        <v>16324</v>
      </c>
    </row>
    <row r="2582" spans="2:35" ht="180">
      <c r="B2582" s="1">
        <v>45636</v>
      </c>
      <c r="C2582" s="1">
        <v>45636</v>
      </c>
      <c r="D2582" t="s">
        <v>4523</v>
      </c>
      <c r="E2582" t="s">
        <v>3011</v>
      </c>
      <c r="F2582">
        <v>1</v>
      </c>
      <c r="G2582" t="s">
        <v>1046</v>
      </c>
      <c r="H2582" t="s">
        <v>1047</v>
      </c>
      <c r="I2582" t="s">
        <v>40</v>
      </c>
      <c r="J2582" t="s">
        <v>109</v>
      </c>
      <c r="K2582" t="s">
        <v>42</v>
      </c>
      <c r="L2582" t="s">
        <v>1048</v>
      </c>
      <c r="N2582" t="s">
        <v>1049</v>
      </c>
      <c r="Q2582">
        <v>29964</v>
      </c>
      <c r="R2582" t="s">
        <v>119</v>
      </c>
      <c r="S2582" t="s">
        <v>7964</v>
      </c>
      <c r="T2582">
        <v>25</v>
      </c>
      <c r="U2582" s="2" t="s">
        <v>16325</v>
      </c>
      <c r="W2582" t="s">
        <v>1051</v>
      </c>
      <c r="X2582">
        <v>838286</v>
      </c>
      <c r="Y2582" t="s">
        <v>1052</v>
      </c>
      <c r="Z2582" t="e">
        <f ca="1">- cleaned cartridge Bays, plunger Rods _xludf.and I-CORE
- generated reports</f>
        <v>#NAME?</v>
      </c>
      <c r="AA2582" t="s">
        <v>820</v>
      </c>
      <c r="AB2582" s="2" t="s">
        <v>16326</v>
      </c>
      <c r="AG2582" t="s">
        <v>16327</v>
      </c>
      <c r="AH2582" t="s">
        <v>16328</v>
      </c>
      <c r="AI2582" t="s">
        <v>16329</v>
      </c>
    </row>
    <row r="2583" spans="2:35" ht="285">
      <c r="B2583" s="1">
        <v>45636</v>
      </c>
      <c r="C2583" s="1">
        <v>45636</v>
      </c>
      <c r="D2583" t="s">
        <v>6595</v>
      </c>
      <c r="E2583" t="s">
        <v>16330</v>
      </c>
      <c r="F2583" t="s">
        <v>148</v>
      </c>
      <c r="G2583" t="s">
        <v>785</v>
      </c>
      <c r="H2583" t="s">
        <v>39</v>
      </c>
      <c r="I2583" t="s">
        <v>40</v>
      </c>
      <c r="J2583" t="s">
        <v>525</v>
      </c>
      <c r="K2583" t="s">
        <v>42</v>
      </c>
      <c r="L2583" t="s">
        <v>43</v>
      </c>
      <c r="N2583" t="s">
        <v>44</v>
      </c>
      <c r="Q2583">
        <v>29963</v>
      </c>
      <c r="R2583" t="s">
        <v>322</v>
      </c>
      <c r="S2583" t="s">
        <v>16331</v>
      </c>
      <c r="T2583">
        <v>22</v>
      </c>
      <c r="W2583" t="s">
        <v>153</v>
      </c>
      <c r="X2583">
        <v>110025128</v>
      </c>
      <c r="Y2583" t="s">
        <v>16332</v>
      </c>
      <c r="Z2583" t="s">
        <v>768</v>
      </c>
      <c r="AA2583" s="2" t="s">
        <v>16333</v>
      </c>
      <c r="AB2583" t="s">
        <v>16334</v>
      </c>
      <c r="AG2583" t="s">
        <v>16335</v>
      </c>
      <c r="AH2583" t="s">
        <v>16336</v>
      </c>
      <c r="AI2583" t="s">
        <v>16337</v>
      </c>
    </row>
    <row r="2584" spans="2:35" ht="105">
      <c r="B2584" s="1">
        <v>45636</v>
      </c>
      <c r="C2584" s="1">
        <v>45636</v>
      </c>
      <c r="D2584" t="s">
        <v>1432</v>
      </c>
      <c r="E2584" t="s">
        <v>10452</v>
      </c>
      <c r="F2584">
        <v>1</v>
      </c>
      <c r="G2584" t="s">
        <v>1046</v>
      </c>
      <c r="H2584" t="s">
        <v>1047</v>
      </c>
      <c r="I2584" t="s">
        <v>40</v>
      </c>
      <c r="J2584" s="2" t="s">
        <v>190</v>
      </c>
      <c r="K2584" t="s">
        <v>42</v>
      </c>
      <c r="L2584" t="s">
        <v>1048</v>
      </c>
      <c r="N2584" t="s">
        <v>1049</v>
      </c>
      <c r="Q2584">
        <v>29962</v>
      </c>
      <c r="R2584" t="s">
        <v>119</v>
      </c>
      <c r="S2584" t="s">
        <v>10453</v>
      </c>
      <c r="T2584">
        <v>30</v>
      </c>
      <c r="U2584" s="2" t="s">
        <v>16338</v>
      </c>
      <c r="W2584" t="s">
        <v>1051</v>
      </c>
      <c r="X2584">
        <v>838518</v>
      </c>
      <c r="Y2584" t="s">
        <v>15017</v>
      </c>
      <c r="Z2584" t="e">
        <f ca="1">- Reseat BIOS battery amd RAM stick
- _xludf.Clean cartridge, plunger Rods _xludf.and I-CORE
- generated reports</f>
        <v>#NAME?</v>
      </c>
      <c r="AA2584" t="s">
        <v>16339</v>
      </c>
      <c r="AB2584" t="e">
        <f ca="1">- Unit is Fully operational
- _xludf.For Observation</f>
        <v>#NAME?</v>
      </c>
      <c r="AG2584" t="s">
        <v>16340</v>
      </c>
      <c r="AH2584" t="s">
        <v>10455</v>
      </c>
      <c r="AI2584" t="s">
        <v>16341</v>
      </c>
    </row>
    <row r="2585" spans="2:35" ht="345">
      <c r="B2585" s="1">
        <v>45635</v>
      </c>
      <c r="C2585" s="1">
        <v>45628</v>
      </c>
      <c r="D2585" t="s">
        <v>6844</v>
      </c>
      <c r="E2585" t="s">
        <v>14108</v>
      </c>
      <c r="F2585">
        <v>12</v>
      </c>
      <c r="G2585" t="s">
        <v>294</v>
      </c>
      <c r="H2585" t="s">
        <v>1473</v>
      </c>
      <c r="I2585" t="s">
        <v>40</v>
      </c>
      <c r="J2585" s="2" t="s">
        <v>41</v>
      </c>
      <c r="K2585" t="s">
        <v>42</v>
      </c>
      <c r="L2585" t="s">
        <v>296</v>
      </c>
      <c r="N2585" t="s">
        <v>297</v>
      </c>
      <c r="Q2585">
        <v>29960</v>
      </c>
      <c r="R2585" t="s">
        <v>119</v>
      </c>
      <c r="S2585" t="s">
        <v>16342</v>
      </c>
      <c r="T2585">
        <v>26.1</v>
      </c>
      <c r="U2585" s="2" t="s">
        <v>16343</v>
      </c>
      <c r="V2585" s="1">
        <v>45628</v>
      </c>
      <c r="W2585" t="s">
        <v>981</v>
      </c>
      <c r="X2585">
        <v>838261</v>
      </c>
      <c r="Y2585" t="s">
        <v>16344</v>
      </c>
      <c r="Z2585" s="2" t="s">
        <v>16345</v>
      </c>
      <c r="AA2585" s="2" t="s">
        <v>16346</v>
      </c>
      <c r="AB2585" t="s">
        <v>972</v>
      </c>
      <c r="AD2585" t="s">
        <v>16347</v>
      </c>
      <c r="AE2585" t="s">
        <v>16348</v>
      </c>
      <c r="AG2585" t="s">
        <v>16349</v>
      </c>
      <c r="AH2585" t="s">
        <v>16350</v>
      </c>
      <c r="AI2585" t="s">
        <v>16351</v>
      </c>
    </row>
    <row r="2586" spans="2:35" ht="405">
      <c r="B2586" s="1">
        <v>45635</v>
      </c>
      <c r="C2586" s="1">
        <v>45630</v>
      </c>
      <c r="D2586" t="s">
        <v>8188</v>
      </c>
      <c r="E2586" t="s">
        <v>16352</v>
      </c>
      <c r="F2586" t="s">
        <v>1255</v>
      </c>
      <c r="G2586" t="s">
        <v>1887</v>
      </c>
      <c r="H2586" t="s">
        <v>1473</v>
      </c>
      <c r="I2586" t="s">
        <v>40</v>
      </c>
      <c r="J2586" s="2" t="s">
        <v>41</v>
      </c>
      <c r="K2586" t="s">
        <v>42</v>
      </c>
      <c r="L2586" t="s">
        <v>296</v>
      </c>
      <c r="N2586" t="s">
        <v>297</v>
      </c>
      <c r="Q2586">
        <v>29961</v>
      </c>
      <c r="R2586" t="s">
        <v>119</v>
      </c>
      <c r="S2586" t="s">
        <v>8190</v>
      </c>
      <c r="T2586">
        <v>26.7</v>
      </c>
      <c r="U2586" s="2" t="s">
        <v>16353</v>
      </c>
      <c r="V2586" s="1">
        <v>45630</v>
      </c>
      <c r="W2586" t="s">
        <v>981</v>
      </c>
      <c r="X2586">
        <v>837613</v>
      </c>
      <c r="Y2586" t="s">
        <v>16354</v>
      </c>
      <c r="Z2586" s="2" t="s">
        <v>16355</v>
      </c>
      <c r="AA2586" s="2" t="s">
        <v>16356</v>
      </c>
      <c r="AB2586" t="s">
        <v>972</v>
      </c>
      <c r="AD2586" s="2" t="s">
        <v>16357</v>
      </c>
      <c r="AE2586" t="s">
        <v>16358</v>
      </c>
      <c r="AG2586" t="s">
        <v>16359</v>
      </c>
      <c r="AH2586" t="s">
        <v>8194</v>
      </c>
      <c r="AI2586" t="s">
        <v>16360</v>
      </c>
    </row>
    <row r="2587" spans="2:35" ht="375">
      <c r="B2587" s="1">
        <v>45635</v>
      </c>
      <c r="C2587" s="1">
        <v>45632</v>
      </c>
      <c r="D2587" t="s">
        <v>976</v>
      </c>
      <c r="E2587" t="s">
        <v>14526</v>
      </c>
      <c r="F2587">
        <v>12</v>
      </c>
      <c r="G2587" t="s">
        <v>978</v>
      </c>
      <c r="H2587" t="s">
        <v>39</v>
      </c>
      <c r="I2587" t="s">
        <v>40</v>
      </c>
      <c r="J2587" s="2" t="s">
        <v>41</v>
      </c>
      <c r="K2587" t="s">
        <v>42</v>
      </c>
      <c r="L2587" t="s">
        <v>296</v>
      </c>
      <c r="N2587" t="s">
        <v>297</v>
      </c>
      <c r="Q2587">
        <v>29959</v>
      </c>
      <c r="R2587" t="s">
        <v>119</v>
      </c>
      <c r="S2587" t="s">
        <v>16361</v>
      </c>
      <c r="T2587">
        <v>26.8</v>
      </c>
      <c r="U2587" s="2" t="s">
        <v>16362</v>
      </c>
      <c r="V2587" s="1">
        <v>45632</v>
      </c>
      <c r="W2587" t="s">
        <v>981</v>
      </c>
      <c r="X2587">
        <v>838543</v>
      </c>
      <c r="Y2587" t="s">
        <v>16363</v>
      </c>
      <c r="Z2587" s="2" t="s">
        <v>16364</v>
      </c>
      <c r="AA2587" s="2" t="s">
        <v>16365</v>
      </c>
      <c r="AB2587" t="s">
        <v>972</v>
      </c>
      <c r="AD2587" t="s">
        <v>16366</v>
      </c>
      <c r="AE2587" t="s">
        <v>16367</v>
      </c>
      <c r="AG2587" t="s">
        <v>16368</v>
      </c>
      <c r="AH2587" t="s">
        <v>16369</v>
      </c>
      <c r="AI2587" t="s">
        <v>16370</v>
      </c>
    </row>
    <row r="2588" spans="2:35" ht="105">
      <c r="B2588" s="1">
        <v>45635</v>
      </c>
      <c r="C2588" s="1">
        <v>45635</v>
      </c>
      <c r="D2588" t="s">
        <v>10703</v>
      </c>
      <c r="E2588" t="s">
        <v>16371</v>
      </c>
      <c r="F2588">
        <v>10</v>
      </c>
      <c r="G2588" t="s">
        <v>2392</v>
      </c>
      <c r="H2588" t="s">
        <v>1498</v>
      </c>
      <c r="I2588" t="s">
        <v>40</v>
      </c>
      <c r="J2588" s="2" t="s">
        <v>41</v>
      </c>
      <c r="K2588" t="s">
        <v>42</v>
      </c>
      <c r="L2588" t="s">
        <v>343</v>
      </c>
      <c r="N2588" t="s">
        <v>344</v>
      </c>
      <c r="Q2588">
        <v>29958</v>
      </c>
      <c r="R2588" t="s">
        <v>119</v>
      </c>
      <c r="S2588" t="s">
        <v>10705</v>
      </c>
      <c r="T2588">
        <v>28</v>
      </c>
      <c r="U2588" s="2" t="s">
        <v>16372</v>
      </c>
      <c r="V2588" s="1">
        <v>45624</v>
      </c>
      <c r="W2588" t="s">
        <v>1501</v>
      </c>
      <c r="X2588">
        <v>838294</v>
      </c>
      <c r="Y2588" t="s">
        <v>16232</v>
      </c>
      <c r="Z2588" t="s">
        <v>16373</v>
      </c>
      <c r="AA2588" t="e">
        <f ca="1">-module Replacement
-Preventive Maintenance</f>
        <v>#NAME?</v>
      </c>
      <c r="AB2588" t="s">
        <v>9638</v>
      </c>
      <c r="AD2588" t="s">
        <v>16374</v>
      </c>
      <c r="AE2588" t="s">
        <v>16375</v>
      </c>
      <c r="AG2588" t="s">
        <v>16376</v>
      </c>
      <c r="AH2588" t="s">
        <v>10708</v>
      </c>
      <c r="AI2588" t="s">
        <v>16377</v>
      </c>
    </row>
    <row r="2589" spans="2:35" ht="225">
      <c r="B2589" s="1">
        <v>45635</v>
      </c>
      <c r="C2589" s="1">
        <v>45632</v>
      </c>
      <c r="D2589" t="s">
        <v>5602</v>
      </c>
      <c r="E2589" t="s">
        <v>2580</v>
      </c>
      <c r="F2589" t="s">
        <v>148</v>
      </c>
      <c r="G2589" t="s">
        <v>447</v>
      </c>
      <c r="H2589" t="s">
        <v>662</v>
      </c>
      <c r="I2589" t="s">
        <v>40</v>
      </c>
      <c r="J2589" t="s">
        <v>525</v>
      </c>
      <c r="K2589" t="s">
        <v>42</v>
      </c>
      <c r="L2589" t="s">
        <v>448</v>
      </c>
      <c r="N2589" t="s">
        <v>450</v>
      </c>
      <c r="Q2589">
        <v>29957</v>
      </c>
      <c r="R2589" t="s">
        <v>322</v>
      </c>
      <c r="S2589" t="s">
        <v>5604</v>
      </c>
      <c r="T2589">
        <v>29</v>
      </c>
      <c r="W2589" t="s">
        <v>7420</v>
      </c>
      <c r="X2589">
        <v>804476</v>
      </c>
      <c r="Y2589" t="s">
        <v>16378</v>
      </c>
      <c r="Z2589" s="2" t="s">
        <v>16379</v>
      </c>
      <c r="AA2589" t="s">
        <v>768</v>
      </c>
      <c r="AB2589" s="2" t="s">
        <v>16380</v>
      </c>
      <c r="AG2589" t="s">
        <v>16381</v>
      </c>
      <c r="AH2589" t="s">
        <v>16382</v>
      </c>
      <c r="AI2589" t="s">
        <v>16383</v>
      </c>
    </row>
    <row r="2590" spans="2:35" ht="105">
      <c r="B2590" s="1">
        <v>45635</v>
      </c>
      <c r="C2590" s="1">
        <v>45635</v>
      </c>
      <c r="D2590" t="s">
        <v>9711</v>
      </c>
      <c r="E2590" t="s">
        <v>10679</v>
      </c>
      <c r="F2590">
        <v>10</v>
      </c>
      <c r="G2590" t="s">
        <v>2392</v>
      </c>
      <c r="H2590" t="s">
        <v>1498</v>
      </c>
      <c r="I2590" t="s">
        <v>40</v>
      </c>
      <c r="J2590" s="2" t="s">
        <v>41</v>
      </c>
      <c r="K2590" t="s">
        <v>42</v>
      </c>
      <c r="L2590" t="s">
        <v>343</v>
      </c>
      <c r="N2590" t="s">
        <v>344</v>
      </c>
      <c r="Q2590">
        <v>29956</v>
      </c>
      <c r="R2590" t="s">
        <v>119</v>
      </c>
      <c r="S2590" t="s">
        <v>9713</v>
      </c>
      <c r="T2590">
        <v>20</v>
      </c>
      <c r="U2590" s="2" t="s">
        <v>16384</v>
      </c>
      <c r="V2590" s="1">
        <v>45624</v>
      </c>
      <c r="W2590" t="s">
        <v>1501</v>
      </c>
      <c r="X2590">
        <v>838227</v>
      </c>
      <c r="Y2590" t="s">
        <v>16385</v>
      </c>
      <c r="Z2590" t="s">
        <v>16386</v>
      </c>
      <c r="AA2590" t="e">
        <f ca="1">-module Replacement
-Preventive Maintenance</f>
        <v>#NAME?</v>
      </c>
      <c r="AB2590" t="s">
        <v>9638</v>
      </c>
      <c r="AD2590" t="s">
        <v>16387</v>
      </c>
      <c r="AE2590" t="s">
        <v>16388</v>
      </c>
      <c r="AG2590" t="s">
        <v>16389</v>
      </c>
      <c r="AH2590" t="s">
        <v>9718</v>
      </c>
      <c r="AI2590" t="s">
        <v>16390</v>
      </c>
    </row>
    <row r="2591" spans="2:35" ht="409.5">
      <c r="B2591" s="1">
        <v>45635</v>
      </c>
      <c r="C2591" s="1">
        <v>45635</v>
      </c>
      <c r="D2591" t="s">
        <v>3423</v>
      </c>
      <c r="E2591" t="s">
        <v>12017</v>
      </c>
      <c r="F2591">
        <v>7</v>
      </c>
      <c r="G2591" t="s">
        <v>432</v>
      </c>
      <c r="H2591" t="s">
        <v>10969</v>
      </c>
      <c r="I2591" t="s">
        <v>40</v>
      </c>
      <c r="J2591" t="s">
        <v>109</v>
      </c>
      <c r="K2591" t="s">
        <v>42</v>
      </c>
      <c r="L2591" t="s">
        <v>1288</v>
      </c>
      <c r="N2591" t="s">
        <v>1289</v>
      </c>
      <c r="Q2591">
        <v>29955</v>
      </c>
      <c r="R2591" t="s">
        <v>95</v>
      </c>
      <c r="S2591" t="s">
        <v>4886</v>
      </c>
      <c r="T2591">
        <v>22</v>
      </c>
      <c r="U2591" s="2" t="s">
        <v>16391</v>
      </c>
      <c r="W2591" t="s">
        <v>1292</v>
      </c>
      <c r="X2591">
        <v>110008524</v>
      </c>
      <c r="Y2591" t="s">
        <v>16392</v>
      </c>
      <c r="Z2591" t="e">
        <f ca="1">-COLLECT IQR, system _xludf.Log, _xludf.and ARCHIVE</f>
        <v>#NAME?</v>
      </c>
      <c r="AA2591" t="e">
        <f ca="1">-PERFORM Cleaning of GX workstation
-PERFORM Preventive Maintenance PROCEDURE</f>
        <v>#NAME?</v>
      </c>
      <c r="AB2591" t="s">
        <v>1293</v>
      </c>
      <c r="AG2591" t="s">
        <v>16393</v>
      </c>
      <c r="AH2591" t="s">
        <v>16394</v>
      </c>
      <c r="AI2591" t="s">
        <v>16395</v>
      </c>
    </row>
    <row r="2592" spans="2:35" ht="45">
      <c r="B2592" s="1">
        <v>45635</v>
      </c>
      <c r="C2592" s="1">
        <v>45635</v>
      </c>
      <c r="D2592" t="s">
        <v>10122</v>
      </c>
      <c r="E2592" t="s">
        <v>10123</v>
      </c>
      <c r="F2592">
        <v>13</v>
      </c>
      <c r="G2592" t="s">
        <v>931</v>
      </c>
      <c r="H2592" t="s">
        <v>2125</v>
      </c>
      <c r="I2592" t="s">
        <v>40</v>
      </c>
      <c r="J2592" s="2" t="s">
        <v>41</v>
      </c>
      <c r="K2592" t="s">
        <v>42</v>
      </c>
      <c r="L2592" t="s">
        <v>933</v>
      </c>
      <c r="N2592" t="s">
        <v>934</v>
      </c>
      <c r="Q2592">
        <v>29954</v>
      </c>
      <c r="R2592" t="s">
        <v>119</v>
      </c>
      <c r="S2592" t="s">
        <v>16396</v>
      </c>
      <c r="T2592">
        <v>27</v>
      </c>
      <c r="V2592" s="1">
        <v>45623</v>
      </c>
      <c r="W2592" t="s">
        <v>3662</v>
      </c>
      <c r="X2592">
        <v>838514</v>
      </c>
      <c r="Y2592" t="s">
        <v>16397</v>
      </c>
      <c r="Z2592" t="s">
        <v>2129</v>
      </c>
      <c r="AA2592" t="s">
        <v>16398</v>
      </c>
      <c r="AB2592" t="s">
        <v>2131</v>
      </c>
      <c r="AD2592" t="s">
        <v>10128</v>
      </c>
      <c r="AE2592">
        <v>12378</v>
      </c>
      <c r="AG2592" t="s">
        <v>16399</v>
      </c>
      <c r="AH2592" t="s">
        <v>10130</v>
      </c>
      <c r="AI2592" t="s">
        <v>16400</v>
      </c>
    </row>
    <row r="2593" spans="2:35" ht="105">
      <c r="B2593" s="1">
        <v>45635</v>
      </c>
      <c r="C2593" s="1">
        <v>45635</v>
      </c>
      <c r="D2593" t="s">
        <v>8539</v>
      </c>
      <c r="E2593" t="s">
        <v>8540</v>
      </c>
      <c r="F2593">
        <v>9</v>
      </c>
      <c r="G2593" t="s">
        <v>2197</v>
      </c>
      <c r="H2593" t="s">
        <v>39</v>
      </c>
      <c r="I2593" t="s">
        <v>40</v>
      </c>
      <c r="J2593" t="s">
        <v>79</v>
      </c>
      <c r="K2593" t="s">
        <v>42</v>
      </c>
      <c r="L2593" t="s">
        <v>1257</v>
      </c>
      <c r="N2593" t="s">
        <v>1258</v>
      </c>
      <c r="O2593" t="s">
        <v>1258</v>
      </c>
      <c r="Q2593">
        <v>29953</v>
      </c>
      <c r="R2593" t="s">
        <v>119</v>
      </c>
      <c r="S2593" t="s">
        <v>8542</v>
      </c>
      <c r="T2593">
        <v>24</v>
      </c>
      <c r="U2593" s="2" t="s">
        <v>16401</v>
      </c>
      <c r="V2593" s="1">
        <v>45635</v>
      </c>
      <c r="W2593" t="s">
        <v>2384</v>
      </c>
      <c r="X2593">
        <v>838533</v>
      </c>
      <c r="Y2593" t="s">
        <v>16402</v>
      </c>
      <c r="Z2593" t="s">
        <v>16403</v>
      </c>
      <c r="AA2593" t="s">
        <v>16403</v>
      </c>
      <c r="AB2593" t="s">
        <v>7411</v>
      </c>
      <c r="AC2593" t="s">
        <v>301</v>
      </c>
      <c r="AD2593" t="s">
        <v>54</v>
      </c>
      <c r="AE2593" t="s">
        <v>54</v>
      </c>
      <c r="AG2593" t="s">
        <v>16404</v>
      </c>
      <c r="AH2593" t="s">
        <v>16405</v>
      </c>
      <c r="AI2593" t="s">
        <v>16406</v>
      </c>
    </row>
    <row r="2594" spans="2:35" ht="195">
      <c r="B2594" s="1">
        <v>45635</v>
      </c>
      <c r="C2594" s="1">
        <v>45632</v>
      </c>
      <c r="D2594" t="s">
        <v>16407</v>
      </c>
      <c r="E2594" t="s">
        <v>16408</v>
      </c>
      <c r="F2594">
        <v>7</v>
      </c>
      <c r="G2594" t="s">
        <v>432</v>
      </c>
      <c r="H2594" t="s">
        <v>608</v>
      </c>
      <c r="I2594" t="s">
        <v>40</v>
      </c>
      <c r="J2594" t="s">
        <v>79</v>
      </c>
      <c r="K2594" t="s">
        <v>42</v>
      </c>
      <c r="L2594" t="s">
        <v>610</v>
      </c>
      <c r="N2594" t="s">
        <v>611</v>
      </c>
      <c r="Q2594">
        <v>29952</v>
      </c>
      <c r="R2594" t="s">
        <v>119</v>
      </c>
      <c r="S2594" t="s">
        <v>16409</v>
      </c>
      <c r="T2594">
        <v>24</v>
      </c>
      <c r="U2594" s="2" t="s">
        <v>10823</v>
      </c>
      <c r="W2594" t="s">
        <v>360</v>
      </c>
      <c r="X2594">
        <v>838513</v>
      </c>
      <c r="Y2594" t="s">
        <v>16410</v>
      </c>
      <c r="Z2594" s="2" t="s">
        <v>16411</v>
      </c>
      <c r="AA2594" s="2" t="s">
        <v>16411</v>
      </c>
      <c r="AB2594" t="s">
        <v>16412</v>
      </c>
      <c r="AG2594" t="s">
        <v>16413</v>
      </c>
      <c r="AH2594" t="s">
        <v>16414</v>
      </c>
      <c r="AI2594" t="s">
        <v>16415</v>
      </c>
    </row>
    <row r="2595" spans="2:35" ht="165">
      <c r="B2595" s="1">
        <v>45635</v>
      </c>
      <c r="C2595" s="1">
        <v>45635</v>
      </c>
      <c r="D2595" t="s">
        <v>5807</v>
      </c>
      <c r="E2595" t="s">
        <v>16416</v>
      </c>
      <c r="F2595">
        <v>5</v>
      </c>
      <c r="G2595" t="s">
        <v>839</v>
      </c>
      <c r="H2595" t="s">
        <v>39</v>
      </c>
      <c r="I2595" t="s">
        <v>94</v>
      </c>
      <c r="J2595" s="2" t="s">
        <v>41</v>
      </c>
      <c r="K2595" t="s">
        <v>42</v>
      </c>
      <c r="L2595" t="s">
        <v>761</v>
      </c>
      <c r="N2595" t="s">
        <v>762</v>
      </c>
      <c r="Q2595">
        <v>29951</v>
      </c>
      <c r="R2595" t="s">
        <v>119</v>
      </c>
      <c r="S2595" t="s">
        <v>7099</v>
      </c>
      <c r="T2595">
        <v>24</v>
      </c>
      <c r="U2595" s="2" t="s">
        <v>16417</v>
      </c>
      <c r="W2595" t="s">
        <v>765</v>
      </c>
      <c r="X2595">
        <v>838408</v>
      </c>
      <c r="Y2595" s="2" t="s">
        <v>16418</v>
      </c>
      <c r="Z2595" s="2" t="s">
        <v>16419</v>
      </c>
      <c r="AA2595" s="2" t="s">
        <v>16420</v>
      </c>
      <c r="AB2595" t="s">
        <v>70</v>
      </c>
      <c r="AC2595" t="s">
        <v>16421</v>
      </c>
      <c r="AG2595" t="s">
        <v>16422</v>
      </c>
      <c r="AH2595" t="s">
        <v>10770</v>
      </c>
      <c r="AI2595" t="s">
        <v>16423</v>
      </c>
    </row>
    <row r="2596" spans="2:35">
      <c r="B2596" s="1">
        <v>45635</v>
      </c>
      <c r="C2596" s="1">
        <v>45635</v>
      </c>
      <c r="D2596" t="s">
        <v>16424</v>
      </c>
      <c r="E2596" t="s">
        <v>16425</v>
      </c>
      <c r="F2596">
        <v>9</v>
      </c>
      <c r="G2596" t="s">
        <v>2197</v>
      </c>
      <c r="H2596" t="s">
        <v>39</v>
      </c>
      <c r="I2596" t="s">
        <v>40</v>
      </c>
      <c r="J2596" t="s">
        <v>2129</v>
      </c>
      <c r="K2596" t="s">
        <v>42</v>
      </c>
      <c r="L2596" t="s">
        <v>1257</v>
      </c>
      <c r="N2596" t="s">
        <v>1258</v>
      </c>
      <c r="O2596" t="s">
        <v>1258</v>
      </c>
      <c r="Q2596">
        <v>29950</v>
      </c>
      <c r="R2596" t="s">
        <v>119</v>
      </c>
      <c r="S2596" t="s">
        <v>2224</v>
      </c>
      <c r="T2596">
        <v>25</v>
      </c>
      <c r="V2596" s="1">
        <v>45623</v>
      </c>
      <c r="W2596" t="s">
        <v>2384</v>
      </c>
      <c r="X2596">
        <v>838204</v>
      </c>
      <c r="Y2596" t="s">
        <v>301</v>
      </c>
      <c r="Z2596" t="s">
        <v>16426</v>
      </c>
      <c r="AA2596" t="s">
        <v>16426</v>
      </c>
      <c r="AB2596" t="s">
        <v>7411</v>
      </c>
      <c r="AC2596" t="s">
        <v>301</v>
      </c>
      <c r="AD2596" t="s">
        <v>10783</v>
      </c>
      <c r="AE2596">
        <v>12370</v>
      </c>
      <c r="AG2596" t="s">
        <v>16427</v>
      </c>
      <c r="AH2596" t="s">
        <v>16428</v>
      </c>
      <c r="AI2596" t="s">
        <v>16429</v>
      </c>
    </row>
    <row r="2597" spans="2:35" ht="165">
      <c r="B2597" s="1">
        <v>45634</v>
      </c>
      <c r="C2597" s="1">
        <v>45633</v>
      </c>
      <c r="D2597" t="s">
        <v>16430</v>
      </c>
      <c r="E2597" t="s">
        <v>16431</v>
      </c>
      <c r="F2597" t="s">
        <v>148</v>
      </c>
      <c r="G2597" t="s">
        <v>544</v>
      </c>
      <c r="H2597" t="s">
        <v>2210</v>
      </c>
      <c r="I2597" t="s">
        <v>40</v>
      </c>
      <c r="J2597" t="s">
        <v>583</v>
      </c>
      <c r="K2597" t="s">
        <v>42</v>
      </c>
      <c r="L2597" t="s">
        <v>448</v>
      </c>
      <c r="N2597" t="s">
        <v>450</v>
      </c>
      <c r="Q2597">
        <v>29949</v>
      </c>
      <c r="R2597" t="s">
        <v>322</v>
      </c>
      <c r="S2597" t="s">
        <v>545</v>
      </c>
      <c r="T2597">
        <v>28</v>
      </c>
      <c r="W2597" t="s">
        <v>1573</v>
      </c>
      <c r="X2597">
        <v>110024072</v>
      </c>
      <c r="Y2597" t="s">
        <v>16432</v>
      </c>
      <c r="Z2597" s="2" t="s">
        <v>16433</v>
      </c>
      <c r="AA2597" t="s">
        <v>16434</v>
      </c>
      <c r="AB2597" t="s">
        <v>16435</v>
      </c>
      <c r="AG2597" t="s">
        <v>16436</v>
      </c>
      <c r="AH2597" t="s">
        <v>10060</v>
      </c>
      <c r="AI2597" t="s">
        <v>16437</v>
      </c>
    </row>
    <row r="2598" spans="2:35" ht="165">
      <c r="B2598" s="1">
        <v>45634</v>
      </c>
      <c r="C2598" s="1">
        <v>45633</v>
      </c>
      <c r="D2598" t="s">
        <v>16430</v>
      </c>
      <c r="E2598" t="s">
        <v>16438</v>
      </c>
      <c r="F2598" t="s">
        <v>148</v>
      </c>
      <c r="G2598" t="s">
        <v>544</v>
      </c>
      <c r="H2598" t="s">
        <v>39</v>
      </c>
      <c r="I2598" t="s">
        <v>40</v>
      </c>
      <c r="J2598" t="s">
        <v>583</v>
      </c>
      <c r="K2598" t="s">
        <v>42</v>
      </c>
      <c r="L2598" t="s">
        <v>448</v>
      </c>
      <c r="N2598" t="s">
        <v>450</v>
      </c>
      <c r="Q2598">
        <v>29948</v>
      </c>
      <c r="R2598" t="s">
        <v>322</v>
      </c>
      <c r="S2598" t="s">
        <v>545</v>
      </c>
      <c r="T2598">
        <v>28</v>
      </c>
      <c r="W2598" t="s">
        <v>1573</v>
      </c>
      <c r="X2598">
        <v>110024073</v>
      </c>
      <c r="Y2598" t="s">
        <v>16439</v>
      </c>
      <c r="Z2598" s="2" t="s">
        <v>16433</v>
      </c>
      <c r="AA2598" t="s">
        <v>16434</v>
      </c>
      <c r="AB2598" t="s">
        <v>16440</v>
      </c>
      <c r="AG2598" t="s">
        <v>16441</v>
      </c>
      <c r="AH2598" t="s">
        <v>10060</v>
      </c>
      <c r="AI2598" t="s">
        <v>16442</v>
      </c>
    </row>
    <row r="2599" spans="2:35" ht="375">
      <c r="B2599" s="1">
        <v>45634</v>
      </c>
      <c r="C2599" s="1">
        <v>45632</v>
      </c>
      <c r="D2599" t="s">
        <v>2176</v>
      </c>
      <c r="E2599" t="s">
        <v>2580</v>
      </c>
      <c r="F2599" t="s">
        <v>148</v>
      </c>
      <c r="G2599" t="s">
        <v>447</v>
      </c>
      <c r="H2599" t="s">
        <v>662</v>
      </c>
      <c r="I2599" t="s">
        <v>40</v>
      </c>
      <c r="J2599" t="s">
        <v>79</v>
      </c>
      <c r="K2599" t="s">
        <v>42</v>
      </c>
      <c r="L2599" t="s">
        <v>448</v>
      </c>
      <c r="N2599" t="s">
        <v>450</v>
      </c>
      <c r="Q2599">
        <v>29947</v>
      </c>
      <c r="R2599" t="s">
        <v>967</v>
      </c>
      <c r="S2599" t="s">
        <v>3086</v>
      </c>
      <c r="T2599">
        <v>25</v>
      </c>
      <c r="U2599" s="2" t="s">
        <v>16443</v>
      </c>
      <c r="V2599" s="1">
        <v>45624</v>
      </c>
      <c r="W2599" t="s">
        <v>1573</v>
      </c>
      <c r="X2599">
        <v>110016781</v>
      </c>
      <c r="Y2599" s="2" t="s">
        <v>16444</v>
      </c>
      <c r="Z2599" s="2" t="s">
        <v>2585</v>
      </c>
      <c r="AA2599" t="s">
        <v>456</v>
      </c>
      <c r="AB2599" s="2" t="s">
        <v>16445</v>
      </c>
      <c r="AD2599" t="s">
        <v>4669</v>
      </c>
      <c r="AE2599">
        <v>12399</v>
      </c>
      <c r="AG2599" t="s">
        <v>16446</v>
      </c>
      <c r="AH2599" t="s">
        <v>16447</v>
      </c>
      <c r="AI2599" t="s">
        <v>16448</v>
      </c>
    </row>
    <row r="2600" spans="2:35" ht="105">
      <c r="B2600" s="1">
        <v>45633</v>
      </c>
      <c r="C2600" s="1">
        <v>45633</v>
      </c>
      <c r="D2600" t="s">
        <v>9682</v>
      </c>
      <c r="E2600" t="s">
        <v>13246</v>
      </c>
      <c r="F2600">
        <v>9</v>
      </c>
      <c r="G2600" t="s">
        <v>2197</v>
      </c>
      <c r="H2600" t="s">
        <v>39</v>
      </c>
      <c r="I2600" t="s">
        <v>40</v>
      </c>
      <c r="J2600" t="s">
        <v>2129</v>
      </c>
      <c r="K2600" t="s">
        <v>42</v>
      </c>
      <c r="L2600" t="s">
        <v>1257</v>
      </c>
      <c r="N2600" t="s">
        <v>1258</v>
      </c>
      <c r="O2600" t="s">
        <v>1258</v>
      </c>
      <c r="Q2600">
        <v>29946</v>
      </c>
      <c r="R2600" t="s">
        <v>119</v>
      </c>
      <c r="S2600" t="s">
        <v>16449</v>
      </c>
      <c r="T2600">
        <v>28</v>
      </c>
      <c r="U2600" s="2" t="s">
        <v>16450</v>
      </c>
      <c r="V2600" s="1">
        <v>45623</v>
      </c>
      <c r="W2600" t="s">
        <v>6776</v>
      </c>
      <c r="X2600">
        <v>838568</v>
      </c>
      <c r="Y2600" t="s">
        <v>16451</v>
      </c>
      <c r="Z2600" t="s">
        <v>16452</v>
      </c>
      <c r="AA2600" t="s">
        <v>16452</v>
      </c>
      <c r="AB2600" t="s">
        <v>7411</v>
      </c>
      <c r="AC2600" t="s">
        <v>301</v>
      </c>
      <c r="AD2600" t="s">
        <v>10783</v>
      </c>
      <c r="AE2600">
        <v>12375</v>
      </c>
      <c r="AG2600" t="s">
        <v>16453</v>
      </c>
      <c r="AH2600" t="s">
        <v>16454</v>
      </c>
      <c r="AI2600" t="s">
        <v>16455</v>
      </c>
    </row>
    <row r="2601" spans="2:35" ht="409.5">
      <c r="B2601" s="1">
        <v>45632</v>
      </c>
      <c r="C2601" s="1">
        <v>45632</v>
      </c>
      <c r="D2601" t="s">
        <v>2272</v>
      </c>
      <c r="E2601" t="s">
        <v>8404</v>
      </c>
      <c r="F2601" t="s">
        <v>148</v>
      </c>
      <c r="G2601" t="s">
        <v>310</v>
      </c>
      <c r="H2601" t="s">
        <v>5042</v>
      </c>
      <c r="I2601" t="s">
        <v>40</v>
      </c>
      <c r="J2601" t="s">
        <v>109</v>
      </c>
      <c r="K2601" t="s">
        <v>42</v>
      </c>
      <c r="L2601" t="s">
        <v>1943</v>
      </c>
      <c r="N2601" t="s">
        <v>1944</v>
      </c>
      <c r="O2601" t="s">
        <v>2275</v>
      </c>
      <c r="Q2601">
        <v>29945</v>
      </c>
      <c r="R2601" t="s">
        <v>703</v>
      </c>
      <c r="S2601" t="s">
        <v>6830</v>
      </c>
      <c r="T2601">
        <v>25</v>
      </c>
      <c r="U2601" s="2" t="s">
        <v>16456</v>
      </c>
      <c r="W2601" t="s">
        <v>373</v>
      </c>
      <c r="X2601">
        <v>120002026</v>
      </c>
      <c r="Y2601" t="s">
        <v>2099</v>
      </c>
      <c r="Z2601" t="s">
        <v>2100</v>
      </c>
      <c r="AA2601" s="2" t="s">
        <v>2101</v>
      </c>
      <c r="AB2601" t="s">
        <v>88</v>
      </c>
      <c r="AG2601" t="s">
        <v>16457</v>
      </c>
      <c r="AH2601" t="s">
        <v>14095</v>
      </c>
      <c r="AI2601" t="s">
        <v>16458</v>
      </c>
    </row>
    <row r="2602" spans="2:35" ht="225">
      <c r="B2602" s="1">
        <v>45632</v>
      </c>
      <c r="C2602" s="1">
        <v>45632</v>
      </c>
      <c r="D2602" t="s">
        <v>8464</v>
      </c>
      <c r="E2602" t="s">
        <v>8465</v>
      </c>
      <c r="F2602">
        <v>7</v>
      </c>
      <c r="G2602" t="s">
        <v>432</v>
      </c>
      <c r="H2602" t="s">
        <v>39</v>
      </c>
      <c r="I2602" t="s">
        <v>40</v>
      </c>
      <c r="J2602" s="2" t="s">
        <v>1370</v>
      </c>
      <c r="K2602" t="s">
        <v>42</v>
      </c>
      <c r="L2602" t="s">
        <v>433</v>
      </c>
      <c r="N2602" t="s">
        <v>434</v>
      </c>
      <c r="Q2602">
        <v>29944</v>
      </c>
      <c r="R2602" t="s">
        <v>119</v>
      </c>
      <c r="S2602" t="s">
        <v>13201</v>
      </c>
      <c r="T2602">
        <v>28</v>
      </c>
      <c r="W2602" t="s">
        <v>502</v>
      </c>
      <c r="X2602">
        <v>838509</v>
      </c>
      <c r="Y2602" t="s">
        <v>16459</v>
      </c>
      <c r="Z2602" s="2" t="s">
        <v>16460</v>
      </c>
      <c r="AA2602" s="2" t="s">
        <v>16460</v>
      </c>
      <c r="AB2602" t="s">
        <v>1011</v>
      </c>
      <c r="AG2602" t="s">
        <v>16461</v>
      </c>
      <c r="AH2602" t="s">
        <v>8469</v>
      </c>
      <c r="AI2602" t="s">
        <v>16462</v>
      </c>
    </row>
    <row r="2603" spans="2:35" ht="195">
      <c r="B2603" s="1">
        <v>45632</v>
      </c>
      <c r="C2603" s="1">
        <v>45631</v>
      </c>
      <c r="D2603" t="s">
        <v>11901</v>
      </c>
      <c r="E2603" t="s">
        <v>7772</v>
      </c>
      <c r="F2603">
        <v>6</v>
      </c>
      <c r="G2603" t="s">
        <v>1234</v>
      </c>
      <c r="H2603" t="s">
        <v>39</v>
      </c>
      <c r="I2603" t="s">
        <v>40</v>
      </c>
      <c r="J2603" s="2" t="s">
        <v>1370</v>
      </c>
      <c r="K2603" t="s">
        <v>42</v>
      </c>
      <c r="L2603" t="s">
        <v>433</v>
      </c>
      <c r="N2603" t="s">
        <v>434</v>
      </c>
      <c r="Q2603">
        <v>29943</v>
      </c>
      <c r="R2603" t="s">
        <v>119</v>
      </c>
      <c r="S2603" t="s">
        <v>16463</v>
      </c>
      <c r="T2603">
        <v>24</v>
      </c>
      <c r="W2603" t="s">
        <v>502</v>
      </c>
      <c r="X2603">
        <v>837612</v>
      </c>
      <c r="Y2603" t="s">
        <v>16464</v>
      </c>
      <c r="Z2603" s="2" t="s">
        <v>16465</v>
      </c>
      <c r="AA2603" s="2" t="s">
        <v>16465</v>
      </c>
      <c r="AB2603" t="s">
        <v>1011</v>
      </c>
      <c r="AG2603" t="s">
        <v>16466</v>
      </c>
      <c r="AH2603" t="s">
        <v>16467</v>
      </c>
      <c r="AI2603" t="s">
        <v>16468</v>
      </c>
    </row>
    <row r="2604" spans="2:35" ht="390">
      <c r="B2604" s="1">
        <v>45632</v>
      </c>
      <c r="C2604" s="1">
        <v>45632</v>
      </c>
      <c r="D2604" t="s">
        <v>16469</v>
      </c>
      <c r="E2604" t="s">
        <v>16470</v>
      </c>
      <c r="F2604">
        <v>1</v>
      </c>
      <c r="G2604" t="s">
        <v>1046</v>
      </c>
      <c r="H2604" t="s">
        <v>39</v>
      </c>
      <c r="I2604" t="s">
        <v>40</v>
      </c>
      <c r="J2604" s="2" t="s">
        <v>41</v>
      </c>
      <c r="K2604" t="s">
        <v>42</v>
      </c>
      <c r="L2604" t="s">
        <v>135</v>
      </c>
      <c r="N2604" t="s">
        <v>136</v>
      </c>
      <c r="Q2604">
        <v>29942</v>
      </c>
      <c r="R2604" t="s">
        <v>119</v>
      </c>
      <c r="S2604" t="s">
        <v>7992</v>
      </c>
      <c r="T2604">
        <v>27</v>
      </c>
      <c r="U2604" s="2" t="s">
        <v>8344</v>
      </c>
      <c r="V2604" s="1">
        <v>45625</v>
      </c>
      <c r="W2604" t="s">
        <v>2680</v>
      </c>
      <c r="X2604">
        <v>838467</v>
      </c>
      <c r="Y2604" t="s">
        <v>16471</v>
      </c>
      <c r="Z2604" s="2" t="s">
        <v>16472</v>
      </c>
      <c r="AA2604" s="2" t="s">
        <v>5713</v>
      </c>
      <c r="AB2604" t="s">
        <v>14308</v>
      </c>
      <c r="AD2604" t="s">
        <v>13225</v>
      </c>
      <c r="AE2604">
        <v>12402</v>
      </c>
      <c r="AG2604" t="s">
        <v>16473</v>
      </c>
      <c r="AH2604" t="s">
        <v>16474</v>
      </c>
      <c r="AI2604" t="s">
        <v>16475</v>
      </c>
    </row>
    <row r="2605" spans="2:35" ht="330">
      <c r="B2605" s="1">
        <v>45632</v>
      </c>
      <c r="C2605" s="1">
        <v>45632</v>
      </c>
      <c r="D2605" t="s">
        <v>1057</v>
      </c>
      <c r="E2605" t="s">
        <v>1058</v>
      </c>
      <c r="F2605">
        <v>1</v>
      </c>
      <c r="G2605" t="s">
        <v>134</v>
      </c>
      <c r="H2605" t="s">
        <v>39</v>
      </c>
      <c r="I2605" t="s">
        <v>40</v>
      </c>
      <c r="J2605" s="2" t="s">
        <v>190</v>
      </c>
      <c r="K2605" t="s">
        <v>42</v>
      </c>
      <c r="L2605" t="s">
        <v>135</v>
      </c>
      <c r="N2605" t="s">
        <v>136</v>
      </c>
      <c r="O2605" t="s">
        <v>1059</v>
      </c>
      <c r="Q2605">
        <v>29941</v>
      </c>
      <c r="R2605" t="s">
        <v>95</v>
      </c>
      <c r="S2605" t="s">
        <v>16476</v>
      </c>
      <c r="T2605">
        <v>31</v>
      </c>
      <c r="U2605" s="2" t="s">
        <v>16477</v>
      </c>
      <c r="W2605" t="s">
        <v>3418</v>
      </c>
      <c r="X2605">
        <v>820303</v>
      </c>
      <c r="Y2605" t="s">
        <v>3891</v>
      </c>
      <c r="Z2605" t="s">
        <v>4315</v>
      </c>
      <c r="AA2605" s="2" t="s">
        <v>16478</v>
      </c>
      <c r="AB2605" t="s">
        <v>181</v>
      </c>
      <c r="AC2605" t="s">
        <v>16479</v>
      </c>
      <c r="AG2605" t="s">
        <v>16480</v>
      </c>
      <c r="AH2605" t="s">
        <v>16481</v>
      </c>
      <c r="AI2605" t="s">
        <v>16482</v>
      </c>
    </row>
    <row r="2606" spans="2:35" ht="409.5">
      <c r="B2606" s="1">
        <v>45632</v>
      </c>
      <c r="C2606" s="1">
        <v>45632</v>
      </c>
      <c r="D2606" t="s">
        <v>2272</v>
      </c>
      <c r="E2606" t="s">
        <v>8404</v>
      </c>
      <c r="F2606" t="s">
        <v>148</v>
      </c>
      <c r="G2606" t="s">
        <v>310</v>
      </c>
      <c r="H2606" t="s">
        <v>295</v>
      </c>
      <c r="I2606" t="s">
        <v>40</v>
      </c>
      <c r="J2606" t="s">
        <v>109</v>
      </c>
      <c r="K2606" t="s">
        <v>42</v>
      </c>
      <c r="L2606" t="s">
        <v>1943</v>
      </c>
      <c r="N2606" t="s">
        <v>1944</v>
      </c>
      <c r="O2606" t="s">
        <v>2275</v>
      </c>
      <c r="Q2606">
        <v>29940</v>
      </c>
      <c r="R2606" t="s">
        <v>703</v>
      </c>
      <c r="S2606" t="s">
        <v>5674</v>
      </c>
      <c r="T2606">
        <v>25</v>
      </c>
      <c r="U2606" s="2" t="s">
        <v>16483</v>
      </c>
      <c r="W2606" t="s">
        <v>84</v>
      </c>
      <c r="X2606">
        <v>835604</v>
      </c>
      <c r="Y2606" t="s">
        <v>2099</v>
      </c>
      <c r="Z2606" t="s">
        <v>2100</v>
      </c>
      <c r="AA2606" s="2" t="s">
        <v>2101</v>
      </c>
      <c r="AB2606" t="s">
        <v>88</v>
      </c>
      <c r="AG2606" t="s">
        <v>16484</v>
      </c>
      <c r="AH2606" t="s">
        <v>16485</v>
      </c>
      <c r="AI2606" t="s">
        <v>16486</v>
      </c>
    </row>
    <row r="2607" spans="2:35">
      <c r="B2607" s="1">
        <v>45632</v>
      </c>
      <c r="C2607" s="1">
        <v>45632</v>
      </c>
      <c r="D2607" t="s">
        <v>1155</v>
      </c>
      <c r="E2607" t="s">
        <v>8331</v>
      </c>
      <c r="F2607" t="s">
        <v>148</v>
      </c>
      <c r="G2607" t="s">
        <v>230</v>
      </c>
      <c r="H2607" t="s">
        <v>39</v>
      </c>
      <c r="I2607" t="s">
        <v>40</v>
      </c>
      <c r="J2607" t="s">
        <v>321</v>
      </c>
      <c r="K2607" t="s">
        <v>42</v>
      </c>
      <c r="L2607" t="s">
        <v>175</v>
      </c>
      <c r="N2607" t="s">
        <v>176</v>
      </c>
      <c r="Q2607">
        <v>29939</v>
      </c>
      <c r="R2607" t="s">
        <v>322</v>
      </c>
      <c r="S2607" t="s">
        <v>8332</v>
      </c>
      <c r="T2607">
        <v>25</v>
      </c>
      <c r="V2607" s="1">
        <v>45632</v>
      </c>
      <c r="W2607" t="s">
        <v>423</v>
      </c>
      <c r="X2607">
        <v>120002891</v>
      </c>
      <c r="Y2607" t="s">
        <v>8338</v>
      </c>
      <c r="Z2607" t="s">
        <v>103</v>
      </c>
      <c r="AA2607" t="e">
        <f ca="1">- installed Unit
- installed GX Assays (HIV, MTB ultra)
- installed printer
- generated reports
- performed self test</f>
        <v>#NAME?</v>
      </c>
      <c r="AB2607" t="s">
        <v>181</v>
      </c>
      <c r="AE2607">
        <v>99241</v>
      </c>
      <c r="AG2607" t="s">
        <v>16487</v>
      </c>
      <c r="AH2607" t="s">
        <v>16488</v>
      </c>
      <c r="AI2607" t="s">
        <v>16489</v>
      </c>
    </row>
    <row r="2608" spans="2:35" ht="409.5">
      <c r="B2608" s="1">
        <v>45632</v>
      </c>
      <c r="C2608" s="1">
        <v>45632</v>
      </c>
      <c r="D2608" t="s">
        <v>16490</v>
      </c>
      <c r="E2608" t="s">
        <v>1285</v>
      </c>
      <c r="F2608">
        <v>6</v>
      </c>
      <c r="G2608" t="s">
        <v>1286</v>
      </c>
      <c r="H2608" t="s">
        <v>11359</v>
      </c>
      <c r="I2608" t="s">
        <v>40</v>
      </c>
      <c r="J2608" t="s">
        <v>109</v>
      </c>
      <c r="K2608" t="s">
        <v>42</v>
      </c>
      <c r="L2608" t="s">
        <v>1288</v>
      </c>
      <c r="N2608" t="s">
        <v>1289</v>
      </c>
      <c r="Q2608">
        <v>29938</v>
      </c>
      <c r="R2608" t="s">
        <v>967</v>
      </c>
      <c r="S2608" t="s">
        <v>7853</v>
      </c>
      <c r="T2608">
        <v>23</v>
      </c>
      <c r="U2608" s="2" t="s">
        <v>16491</v>
      </c>
      <c r="W2608" t="s">
        <v>1292</v>
      </c>
      <c r="X2608">
        <v>110021716</v>
      </c>
      <c r="Y2608" t="e">
        <f ca="1">-_xludf.For Preventive Maintenance</f>
        <v>#NAME?</v>
      </c>
      <c r="Z2608" t="e">
        <f ca="1">-COLLECT IQR, system _xludf.Log, ARCHIVE</f>
        <v>#NAME?</v>
      </c>
      <c r="AA2608" t="e">
        <f ca="1">-PERFORM Preventive Maintenance PROCEDURE</f>
        <v>#NAME?</v>
      </c>
      <c r="AB2608" t="s">
        <v>1293</v>
      </c>
      <c r="AG2608" t="s">
        <v>16492</v>
      </c>
      <c r="AH2608" t="s">
        <v>16493</v>
      </c>
      <c r="AI2608" t="s">
        <v>16494</v>
      </c>
    </row>
    <row r="2609" spans="2:35" ht="240">
      <c r="B2609" s="1">
        <v>45632</v>
      </c>
      <c r="C2609" s="1">
        <v>45632</v>
      </c>
      <c r="D2609" t="s">
        <v>8727</v>
      </c>
      <c r="E2609" t="s">
        <v>15843</v>
      </c>
      <c r="F2609" t="s">
        <v>37</v>
      </c>
      <c r="G2609" t="s">
        <v>2499</v>
      </c>
      <c r="H2609" t="s">
        <v>39</v>
      </c>
      <c r="I2609" t="s">
        <v>40</v>
      </c>
      <c r="J2609" s="2" t="s">
        <v>41</v>
      </c>
      <c r="K2609" t="s">
        <v>42</v>
      </c>
      <c r="L2609" t="s">
        <v>15532</v>
      </c>
      <c r="N2609" t="s">
        <v>15533</v>
      </c>
      <c r="Q2609">
        <v>29937</v>
      </c>
      <c r="R2609" t="s">
        <v>119</v>
      </c>
      <c r="S2609" t="s">
        <v>16495</v>
      </c>
      <c r="T2609">
        <v>25</v>
      </c>
      <c r="U2609" s="2" t="s">
        <v>16401</v>
      </c>
      <c r="V2609" s="1">
        <v>45616</v>
      </c>
      <c r="W2609" t="s">
        <v>16496</v>
      </c>
      <c r="X2609">
        <v>838206</v>
      </c>
      <c r="Y2609" t="s">
        <v>424</v>
      </c>
      <c r="Z2609" s="2" t="s">
        <v>16497</v>
      </c>
      <c r="AA2609" s="2" t="s">
        <v>16498</v>
      </c>
      <c r="AB2609" t="s">
        <v>181</v>
      </c>
      <c r="AD2609" t="s">
        <v>16499</v>
      </c>
      <c r="AE2609" t="s">
        <v>16500</v>
      </c>
      <c r="AG2609" t="s">
        <v>16501</v>
      </c>
      <c r="AH2609" t="s">
        <v>16502</v>
      </c>
      <c r="AI2609" t="s">
        <v>16503</v>
      </c>
    </row>
    <row r="2610" spans="2:35" ht="105">
      <c r="B2610" s="1">
        <v>45632</v>
      </c>
      <c r="C2610" s="1">
        <v>45632</v>
      </c>
      <c r="D2610" t="s">
        <v>16504</v>
      </c>
      <c r="E2610" t="s">
        <v>16505</v>
      </c>
      <c r="F2610">
        <v>6</v>
      </c>
      <c r="G2610" t="s">
        <v>5216</v>
      </c>
      <c r="H2610" t="s">
        <v>10969</v>
      </c>
      <c r="I2610" t="s">
        <v>40</v>
      </c>
      <c r="J2610" t="s">
        <v>16506</v>
      </c>
      <c r="K2610" t="s">
        <v>42</v>
      </c>
      <c r="L2610" t="s">
        <v>1288</v>
      </c>
      <c r="N2610" t="s">
        <v>1289</v>
      </c>
      <c r="Q2610">
        <v>29936</v>
      </c>
      <c r="R2610" t="s">
        <v>967</v>
      </c>
      <c r="S2610" t="s">
        <v>10807</v>
      </c>
      <c r="T2610">
        <v>25</v>
      </c>
      <c r="U2610" s="2" t="s">
        <v>16507</v>
      </c>
      <c r="W2610" t="s">
        <v>1292</v>
      </c>
      <c r="X2610">
        <v>110023528</v>
      </c>
      <c r="Y2610" t="e">
        <f ca="1">-_xludf.For PACKING of GeneXpert EQUIPMENT, system Unit, _xludf.and other peripherals</f>
        <v>#NAME?</v>
      </c>
      <c r="Z2610" t="e">
        <f ca="1">-COLLECT IQR, system _xludf.Log, _xludf.and ARCHIVE</f>
        <v>#NAME?</v>
      </c>
      <c r="AA2610" t="e">
        <f ca="1">-Inspect functionality, EQUIPMENT operational</f>
        <v>#NAME?</v>
      </c>
      <c r="AB2610" t="e">
        <f ca="1">-_xludf.For transfer to JORDAN RHU</f>
        <v>#NAME?</v>
      </c>
      <c r="AG2610" t="s">
        <v>16508</v>
      </c>
      <c r="AH2610" t="s">
        <v>16509</v>
      </c>
      <c r="AI2610" t="s">
        <v>16510</v>
      </c>
    </row>
    <row r="2611" spans="2:35" ht="105">
      <c r="B2611" s="1">
        <v>45632</v>
      </c>
      <c r="C2611" s="1">
        <v>45632</v>
      </c>
      <c r="D2611" t="s">
        <v>4936</v>
      </c>
      <c r="E2611" t="s">
        <v>4937</v>
      </c>
      <c r="F2611" t="s">
        <v>511</v>
      </c>
      <c r="G2611" t="s">
        <v>4938</v>
      </c>
      <c r="H2611" t="s">
        <v>39</v>
      </c>
      <c r="I2611" t="s">
        <v>40</v>
      </c>
      <c r="J2611" t="s">
        <v>109</v>
      </c>
      <c r="K2611" t="s">
        <v>42</v>
      </c>
      <c r="L2611" t="s">
        <v>1048</v>
      </c>
      <c r="N2611" t="s">
        <v>1049</v>
      </c>
      <c r="Q2611">
        <v>29935</v>
      </c>
      <c r="R2611" t="s">
        <v>967</v>
      </c>
      <c r="S2611" t="s">
        <v>4939</v>
      </c>
      <c r="T2611">
        <v>25</v>
      </c>
      <c r="U2611" s="2" t="s">
        <v>16511</v>
      </c>
      <c r="W2611" t="s">
        <v>1424</v>
      </c>
      <c r="X2611">
        <v>110023499</v>
      </c>
      <c r="Y2611" t="s">
        <v>1052</v>
      </c>
      <c r="Z2611" t="e">
        <f ca="1">- cleaned cartridge Bays, plunger Rods _xludf.and I-CORE
- generated reports</f>
        <v>#NAME?</v>
      </c>
      <c r="AA2611" t="s">
        <v>820</v>
      </c>
      <c r="AB2611" t="s">
        <v>1428</v>
      </c>
      <c r="AG2611" t="s">
        <v>16512</v>
      </c>
      <c r="AH2611" t="s">
        <v>4941</v>
      </c>
      <c r="AI2611" t="s">
        <v>16513</v>
      </c>
    </row>
    <row r="2612" spans="2:35" ht="409.5">
      <c r="B2612" s="1">
        <v>45632</v>
      </c>
      <c r="C2612" s="1">
        <v>45631</v>
      </c>
      <c r="D2612" t="s">
        <v>2005</v>
      </c>
      <c r="E2612" t="s">
        <v>16514</v>
      </c>
      <c r="F2612" t="s">
        <v>148</v>
      </c>
      <c r="G2612" t="s">
        <v>2007</v>
      </c>
      <c r="H2612" t="s">
        <v>662</v>
      </c>
      <c r="I2612" t="s">
        <v>40</v>
      </c>
      <c r="J2612" t="s">
        <v>996</v>
      </c>
      <c r="K2612" t="s">
        <v>42</v>
      </c>
      <c r="L2612" t="s">
        <v>448</v>
      </c>
      <c r="N2612" t="s">
        <v>450</v>
      </c>
      <c r="Q2612">
        <v>29934</v>
      </c>
      <c r="R2612" t="s">
        <v>95</v>
      </c>
      <c r="S2612" t="s">
        <v>4273</v>
      </c>
      <c r="T2612">
        <v>29</v>
      </c>
      <c r="U2612" s="2" t="s">
        <v>16515</v>
      </c>
      <c r="V2612" s="1">
        <v>45631</v>
      </c>
      <c r="W2612" t="s">
        <v>6804</v>
      </c>
      <c r="X2612">
        <v>110001647</v>
      </c>
      <c r="Y2612" t="s">
        <v>7168</v>
      </c>
      <c r="Z2612" s="2" t="s">
        <v>3071</v>
      </c>
      <c r="AA2612" t="s">
        <v>875</v>
      </c>
      <c r="AB2612" s="2" t="s">
        <v>16516</v>
      </c>
      <c r="AD2612" t="s">
        <v>11518</v>
      </c>
      <c r="AE2612" t="s">
        <v>54</v>
      </c>
      <c r="AG2612" t="s">
        <v>16517</v>
      </c>
      <c r="AH2612" t="s">
        <v>4278</v>
      </c>
      <c r="AI2612" t="s">
        <v>16518</v>
      </c>
    </row>
    <row r="2613" spans="2:35" ht="195">
      <c r="B2613" s="1">
        <v>45632</v>
      </c>
      <c r="C2613" s="1">
        <v>45632</v>
      </c>
      <c r="D2613" t="s">
        <v>11087</v>
      </c>
      <c r="E2613" t="s">
        <v>11088</v>
      </c>
      <c r="F2613" t="s">
        <v>511</v>
      </c>
      <c r="G2613" t="s">
        <v>4938</v>
      </c>
      <c r="H2613" t="s">
        <v>39</v>
      </c>
      <c r="I2613" t="s">
        <v>40</v>
      </c>
      <c r="J2613" s="2" t="s">
        <v>1157</v>
      </c>
      <c r="K2613" t="s">
        <v>42</v>
      </c>
      <c r="L2613" t="s">
        <v>1048</v>
      </c>
      <c r="N2613" t="s">
        <v>1049</v>
      </c>
      <c r="Q2613">
        <v>29933</v>
      </c>
      <c r="R2613" t="s">
        <v>119</v>
      </c>
      <c r="S2613" t="s">
        <v>11089</v>
      </c>
      <c r="T2613">
        <v>27</v>
      </c>
      <c r="U2613" s="2" t="s">
        <v>16519</v>
      </c>
      <c r="V2613" s="1">
        <v>45618</v>
      </c>
      <c r="W2613" t="s">
        <v>1051</v>
      </c>
      <c r="X2613">
        <v>838274</v>
      </c>
      <c r="Y2613" t="s">
        <v>16520</v>
      </c>
      <c r="Z2613" t="e">
        <f ca="1">- resolved login problem
- cleaned cartridge Bays, plunger Rods _xludf.and I-CORE
- performed XpertCheck
- generated reports</f>
        <v>#NAME?</v>
      </c>
      <c r="AA2613" t="s">
        <v>16521</v>
      </c>
      <c r="AB2613" s="2" t="s">
        <v>16522</v>
      </c>
      <c r="AD2613" t="s">
        <v>1958</v>
      </c>
      <c r="AE2613" t="s">
        <v>16523</v>
      </c>
      <c r="AG2613" t="s">
        <v>16524</v>
      </c>
      <c r="AH2613" t="s">
        <v>16525</v>
      </c>
      <c r="AI2613" t="s">
        <v>16526</v>
      </c>
    </row>
    <row r="2614" spans="2:35" ht="300">
      <c r="B2614" s="1">
        <v>45631</v>
      </c>
      <c r="C2614" s="1">
        <v>45631</v>
      </c>
      <c r="D2614" t="s">
        <v>16527</v>
      </c>
      <c r="E2614" t="s">
        <v>16528</v>
      </c>
      <c r="F2614">
        <v>7</v>
      </c>
      <c r="G2614" t="s">
        <v>269</v>
      </c>
      <c r="H2614" t="s">
        <v>258</v>
      </c>
      <c r="I2614" t="s">
        <v>40</v>
      </c>
      <c r="J2614" s="2" t="s">
        <v>41</v>
      </c>
      <c r="K2614" t="s">
        <v>42</v>
      </c>
      <c r="L2614" t="s">
        <v>270</v>
      </c>
      <c r="N2614" t="s">
        <v>2481</v>
      </c>
      <c r="Q2614">
        <v>29932</v>
      </c>
      <c r="R2614" t="s">
        <v>119</v>
      </c>
      <c r="S2614" t="s">
        <v>10458</v>
      </c>
      <c r="T2614">
        <v>24</v>
      </c>
      <c r="U2614" s="2" t="s">
        <v>16529</v>
      </c>
      <c r="V2614" s="1">
        <v>45624</v>
      </c>
      <c r="W2614" t="s">
        <v>16530</v>
      </c>
      <c r="X2614">
        <v>838525</v>
      </c>
      <c r="Y2614" t="s">
        <v>16531</v>
      </c>
      <c r="Z2614" t="e">
        <f ca="1">- cleaned module Bays, optics. plunger rod, filter.
- Archives tests.</f>
        <v>#NAME?</v>
      </c>
      <c r="AA2614" t="s">
        <v>16532</v>
      </c>
      <c r="AB2614" s="2" t="s">
        <v>16533</v>
      </c>
      <c r="AD2614" t="s">
        <v>15485</v>
      </c>
      <c r="AE2614" t="s">
        <v>16534</v>
      </c>
      <c r="AG2614" t="s">
        <v>16535</v>
      </c>
      <c r="AH2614" t="s">
        <v>16536</v>
      </c>
      <c r="AI2614" t="s">
        <v>16537</v>
      </c>
    </row>
    <row r="2615" spans="2:35" ht="105">
      <c r="B2615" s="1">
        <v>45631</v>
      </c>
      <c r="C2615" s="1">
        <v>45631</v>
      </c>
      <c r="D2615" t="s">
        <v>16538</v>
      </c>
      <c r="E2615" t="s">
        <v>16539</v>
      </c>
      <c r="F2615">
        <v>7</v>
      </c>
      <c r="G2615" t="s">
        <v>432</v>
      </c>
      <c r="H2615" t="s">
        <v>608</v>
      </c>
      <c r="I2615" t="s">
        <v>40</v>
      </c>
      <c r="J2615" t="s">
        <v>79</v>
      </c>
      <c r="K2615" t="s">
        <v>42</v>
      </c>
      <c r="L2615" t="s">
        <v>610</v>
      </c>
      <c r="N2615" t="s">
        <v>611</v>
      </c>
      <c r="Q2615">
        <v>29931</v>
      </c>
      <c r="R2615" t="s">
        <v>119</v>
      </c>
      <c r="S2615" t="s">
        <v>16540</v>
      </c>
      <c r="T2615">
        <v>24</v>
      </c>
      <c r="U2615" s="2" t="s">
        <v>16541</v>
      </c>
      <c r="W2615" t="s">
        <v>360</v>
      </c>
      <c r="X2615">
        <v>838283</v>
      </c>
      <c r="Y2615" t="s">
        <v>16542</v>
      </c>
      <c r="Z2615" t="s">
        <v>16543</v>
      </c>
      <c r="AA2615" t="s">
        <v>16543</v>
      </c>
      <c r="AB2615" t="s">
        <v>7886</v>
      </c>
      <c r="AG2615" t="s">
        <v>16544</v>
      </c>
      <c r="AH2615" t="s">
        <v>16545</v>
      </c>
      <c r="AI2615" t="s">
        <v>16546</v>
      </c>
    </row>
    <row r="2616" spans="2:35" ht="165">
      <c r="B2616" s="1">
        <v>45631</v>
      </c>
      <c r="C2616" s="1">
        <v>45631</v>
      </c>
      <c r="D2616" t="s">
        <v>15729</v>
      </c>
      <c r="E2616" t="s">
        <v>16547</v>
      </c>
      <c r="F2616" t="s">
        <v>511</v>
      </c>
      <c r="G2616" t="s">
        <v>15731</v>
      </c>
      <c r="H2616" t="s">
        <v>6357</v>
      </c>
      <c r="I2616" t="s">
        <v>40</v>
      </c>
      <c r="J2616" s="2" t="s">
        <v>62</v>
      </c>
      <c r="K2616" t="s">
        <v>42</v>
      </c>
      <c r="L2616" t="s">
        <v>63</v>
      </c>
      <c r="N2616" t="s">
        <v>64</v>
      </c>
      <c r="O2616" t="s">
        <v>64</v>
      </c>
      <c r="Q2616">
        <v>29930</v>
      </c>
      <c r="R2616" t="s">
        <v>119</v>
      </c>
      <c r="S2616" t="s">
        <v>15732</v>
      </c>
      <c r="T2616">
        <v>29</v>
      </c>
      <c r="W2616" t="s">
        <v>66</v>
      </c>
      <c r="X2616">
        <v>838466</v>
      </c>
      <c r="Y2616" t="s">
        <v>67</v>
      </c>
      <c r="Z2616" s="2" t="s">
        <v>5093</v>
      </c>
      <c r="AA2616" s="2" t="s">
        <v>1727</v>
      </c>
      <c r="AB2616" t="s">
        <v>70</v>
      </c>
      <c r="AG2616" t="s">
        <v>16548</v>
      </c>
      <c r="AH2616" t="s">
        <v>16549</v>
      </c>
      <c r="AI2616" t="s">
        <v>16550</v>
      </c>
    </row>
    <row r="2617" spans="2:35" ht="105">
      <c r="B2617" s="1">
        <v>45631</v>
      </c>
      <c r="C2617" s="1">
        <v>45631</v>
      </c>
      <c r="D2617" t="s">
        <v>1496</v>
      </c>
      <c r="E2617" t="s">
        <v>1497</v>
      </c>
      <c r="F2617">
        <v>8</v>
      </c>
      <c r="G2617" t="s">
        <v>342</v>
      </c>
      <c r="H2617" t="s">
        <v>1498</v>
      </c>
      <c r="I2617" t="s">
        <v>40</v>
      </c>
      <c r="J2617" t="s">
        <v>109</v>
      </c>
      <c r="K2617" t="s">
        <v>42</v>
      </c>
      <c r="L2617" t="s">
        <v>343</v>
      </c>
      <c r="N2617" t="s">
        <v>344</v>
      </c>
      <c r="Q2617">
        <v>29929</v>
      </c>
      <c r="R2617" t="s">
        <v>119</v>
      </c>
      <c r="S2617" t="s">
        <v>7820</v>
      </c>
      <c r="T2617">
        <v>25</v>
      </c>
      <c r="U2617" s="2" t="s">
        <v>16551</v>
      </c>
      <c r="W2617" t="s">
        <v>1501</v>
      </c>
      <c r="X2617">
        <v>838297</v>
      </c>
      <c r="Y2617" t="s">
        <v>301</v>
      </c>
      <c r="Z2617" t="s">
        <v>3128</v>
      </c>
      <c r="AA2617" t="s">
        <v>3128</v>
      </c>
      <c r="AB2617" t="s">
        <v>348</v>
      </c>
      <c r="AG2617" t="s">
        <v>16552</v>
      </c>
      <c r="AH2617" t="s">
        <v>7824</v>
      </c>
      <c r="AI2617" t="s">
        <v>16553</v>
      </c>
    </row>
    <row r="2618" spans="2:35" ht="45">
      <c r="B2618" s="1">
        <v>45631</v>
      </c>
      <c r="C2618" s="1">
        <v>45631</v>
      </c>
      <c r="D2618" t="s">
        <v>10149</v>
      </c>
      <c r="E2618" t="s">
        <v>16554</v>
      </c>
      <c r="F2618">
        <v>10</v>
      </c>
      <c r="G2618" t="s">
        <v>1395</v>
      </c>
      <c r="H2618" t="s">
        <v>2125</v>
      </c>
      <c r="I2618" t="s">
        <v>40</v>
      </c>
      <c r="J2618" s="2" t="s">
        <v>41</v>
      </c>
      <c r="K2618" t="s">
        <v>42</v>
      </c>
      <c r="L2618" t="s">
        <v>933</v>
      </c>
      <c r="N2618" t="s">
        <v>934</v>
      </c>
      <c r="Q2618">
        <v>29928</v>
      </c>
      <c r="R2618" t="s">
        <v>119</v>
      </c>
      <c r="S2618" t="s">
        <v>10801</v>
      </c>
      <c r="T2618">
        <v>25</v>
      </c>
      <c r="W2618" t="s">
        <v>3662</v>
      </c>
      <c r="X2618">
        <v>838269</v>
      </c>
      <c r="Y2618" t="s">
        <v>16555</v>
      </c>
      <c r="Z2618" t="s">
        <v>10153</v>
      </c>
      <c r="AA2618" t="s">
        <v>16556</v>
      </c>
      <c r="AB2618" t="s">
        <v>2131</v>
      </c>
      <c r="AG2618" t="s">
        <v>16557</v>
      </c>
      <c r="AH2618" t="s">
        <v>16558</v>
      </c>
      <c r="AI2618" t="s">
        <v>16559</v>
      </c>
    </row>
    <row r="2619" spans="2:35" ht="409.5">
      <c r="B2619" s="1">
        <v>45631</v>
      </c>
      <c r="C2619" s="1">
        <v>45631</v>
      </c>
      <c r="D2619" t="s">
        <v>6518</v>
      </c>
      <c r="E2619" t="s">
        <v>6519</v>
      </c>
      <c r="F2619">
        <v>11</v>
      </c>
      <c r="G2619" t="s">
        <v>1205</v>
      </c>
      <c r="H2619" t="s">
        <v>202</v>
      </c>
      <c r="I2619" t="s">
        <v>40</v>
      </c>
      <c r="J2619" s="2" t="s">
        <v>41</v>
      </c>
      <c r="K2619" t="s">
        <v>42</v>
      </c>
      <c r="L2619" t="s">
        <v>204</v>
      </c>
      <c r="N2619" t="s">
        <v>205</v>
      </c>
      <c r="Q2619">
        <v>29927</v>
      </c>
      <c r="R2619" t="s">
        <v>119</v>
      </c>
      <c r="S2619" t="s">
        <v>6520</v>
      </c>
      <c r="T2619">
        <v>26.5</v>
      </c>
      <c r="U2619" s="2" t="s">
        <v>10790</v>
      </c>
      <c r="V2619" s="1">
        <v>45624</v>
      </c>
      <c r="W2619" t="s">
        <v>208</v>
      </c>
      <c r="X2619">
        <v>838505</v>
      </c>
      <c r="Y2619" t="s">
        <v>16560</v>
      </c>
      <c r="Z2619" s="2" t="s">
        <v>16561</v>
      </c>
      <c r="AA2619" t="s">
        <v>2560</v>
      </c>
      <c r="AB2619" t="s">
        <v>1211</v>
      </c>
      <c r="AD2619" t="s">
        <v>10253</v>
      </c>
      <c r="AE2619" t="s">
        <v>16562</v>
      </c>
      <c r="AG2619" t="s">
        <v>16563</v>
      </c>
      <c r="AH2619" t="s">
        <v>16564</v>
      </c>
      <c r="AI2619" t="s">
        <v>16565</v>
      </c>
    </row>
    <row r="2620" spans="2:35" ht="105">
      <c r="B2620" s="1">
        <v>45631</v>
      </c>
      <c r="C2620" s="1">
        <v>45631</v>
      </c>
      <c r="D2620" t="s">
        <v>1420</v>
      </c>
      <c r="E2620" t="s">
        <v>1456</v>
      </c>
      <c r="F2620" t="s">
        <v>511</v>
      </c>
      <c r="G2620" t="s">
        <v>512</v>
      </c>
      <c r="H2620" t="s">
        <v>1047</v>
      </c>
      <c r="I2620" t="s">
        <v>40</v>
      </c>
      <c r="J2620" t="s">
        <v>109</v>
      </c>
      <c r="K2620" t="s">
        <v>42</v>
      </c>
      <c r="L2620" t="s">
        <v>1048</v>
      </c>
      <c r="N2620" t="s">
        <v>1049</v>
      </c>
      <c r="Q2620">
        <v>29926</v>
      </c>
      <c r="R2620" t="s">
        <v>967</v>
      </c>
      <c r="S2620" t="s">
        <v>1423</v>
      </c>
      <c r="T2620">
        <v>30</v>
      </c>
      <c r="U2620" s="2" t="s">
        <v>16566</v>
      </c>
      <c r="W2620" t="s">
        <v>1424</v>
      </c>
      <c r="X2620">
        <v>110023498</v>
      </c>
      <c r="Y2620" t="s">
        <v>1052</v>
      </c>
      <c r="Z2620" t="e">
        <f ca="1">- cleaned cartridge Bays, plunger Rods _xludf.and I-CORE
- generated reports</f>
        <v>#NAME?</v>
      </c>
      <c r="AA2620" t="s">
        <v>820</v>
      </c>
      <c r="AB2620" t="s">
        <v>1428</v>
      </c>
      <c r="AG2620" t="s">
        <v>16567</v>
      </c>
      <c r="AH2620" t="s">
        <v>11198</v>
      </c>
      <c r="AI2620" t="s">
        <v>16568</v>
      </c>
    </row>
    <row r="2621" spans="2:35">
      <c r="B2621" s="1">
        <v>45631</v>
      </c>
      <c r="C2621" s="1">
        <v>45631</v>
      </c>
      <c r="D2621" t="s">
        <v>1040</v>
      </c>
      <c r="E2621" t="s">
        <v>582</v>
      </c>
      <c r="F2621" t="s">
        <v>148</v>
      </c>
      <c r="G2621" t="s">
        <v>447</v>
      </c>
      <c r="H2621" t="s">
        <v>39</v>
      </c>
      <c r="I2621" t="s">
        <v>40</v>
      </c>
      <c r="J2621" t="s">
        <v>321</v>
      </c>
      <c r="K2621" t="s">
        <v>42</v>
      </c>
      <c r="L2621" t="s">
        <v>175</v>
      </c>
      <c r="N2621" t="s">
        <v>176</v>
      </c>
      <c r="Q2621">
        <v>29925</v>
      </c>
      <c r="R2621" t="s">
        <v>322</v>
      </c>
      <c r="S2621" t="s">
        <v>1041</v>
      </c>
      <c r="T2621">
        <v>25</v>
      </c>
      <c r="W2621" t="s">
        <v>423</v>
      </c>
      <c r="X2621">
        <v>120003581</v>
      </c>
      <c r="Y2621" t="s">
        <v>8338</v>
      </c>
      <c r="Z2621" t="s">
        <v>103</v>
      </c>
      <c r="AA2621" t="e">
        <f ca="1">- installed Unit
- Setup GeneXpert system
- installed printer
- imported Assays HIV, HBV, CT_NG, MTB
- performed self test</f>
        <v>#NAME?</v>
      </c>
      <c r="AB2621" t="s">
        <v>181</v>
      </c>
      <c r="AG2621" t="s">
        <v>16569</v>
      </c>
      <c r="AH2621" t="s">
        <v>8821</v>
      </c>
      <c r="AI2621" t="s">
        <v>16570</v>
      </c>
    </row>
    <row r="2622" spans="2:35" ht="409.5">
      <c r="B2622" s="1">
        <v>45631</v>
      </c>
      <c r="C2622" s="1">
        <v>45631</v>
      </c>
      <c r="D2622" t="s">
        <v>2773</v>
      </c>
      <c r="E2622" t="s">
        <v>2774</v>
      </c>
      <c r="F2622">
        <v>2</v>
      </c>
      <c r="G2622" t="s">
        <v>2723</v>
      </c>
      <c r="H2622" t="s">
        <v>61</v>
      </c>
      <c r="I2622" t="s">
        <v>40</v>
      </c>
      <c r="J2622" s="2" t="s">
        <v>41</v>
      </c>
      <c r="K2622" t="s">
        <v>42</v>
      </c>
      <c r="L2622" t="s">
        <v>63</v>
      </c>
      <c r="N2622" t="s">
        <v>64</v>
      </c>
      <c r="Q2622">
        <v>29924</v>
      </c>
      <c r="R2622" t="s">
        <v>322</v>
      </c>
      <c r="S2622" t="s">
        <v>2775</v>
      </c>
      <c r="T2622">
        <v>25</v>
      </c>
      <c r="U2622" s="2" t="s">
        <v>16571</v>
      </c>
      <c r="V2622" s="1">
        <v>45625</v>
      </c>
      <c r="W2622" t="s">
        <v>66</v>
      </c>
      <c r="X2622">
        <v>110008457</v>
      </c>
      <c r="Y2622" t="s">
        <v>16572</v>
      </c>
      <c r="Z2622" s="2" t="s">
        <v>16573</v>
      </c>
      <c r="AA2622" s="2" t="s">
        <v>1727</v>
      </c>
      <c r="AB2622" t="s">
        <v>70</v>
      </c>
      <c r="AD2622" t="s">
        <v>6397</v>
      </c>
      <c r="AE2622">
        <v>12401</v>
      </c>
      <c r="AG2622" t="s">
        <v>16574</v>
      </c>
      <c r="AH2622" t="s">
        <v>2779</v>
      </c>
      <c r="AI2622" t="s">
        <v>16575</v>
      </c>
    </row>
    <row r="2623" spans="2:35" ht="270">
      <c r="B2623" s="1">
        <v>45631</v>
      </c>
      <c r="C2623" s="1">
        <v>45631</v>
      </c>
      <c r="D2623" t="s">
        <v>6919</v>
      </c>
      <c r="E2623" t="s">
        <v>510</v>
      </c>
      <c r="F2623" t="s">
        <v>511</v>
      </c>
      <c r="G2623" t="s">
        <v>512</v>
      </c>
      <c r="H2623" t="s">
        <v>1047</v>
      </c>
      <c r="I2623" t="s">
        <v>40</v>
      </c>
      <c r="J2623" s="2" t="s">
        <v>190</v>
      </c>
      <c r="K2623" t="s">
        <v>42</v>
      </c>
      <c r="L2623" t="s">
        <v>1048</v>
      </c>
      <c r="N2623" t="s">
        <v>1049</v>
      </c>
      <c r="Q2623">
        <v>29923</v>
      </c>
      <c r="R2623" t="s">
        <v>119</v>
      </c>
      <c r="S2623" t="s">
        <v>6920</v>
      </c>
      <c r="T2623">
        <v>28</v>
      </c>
      <c r="U2623" s="2" t="s">
        <v>16576</v>
      </c>
      <c r="W2623" t="s">
        <v>1051</v>
      </c>
      <c r="X2623">
        <v>838281</v>
      </c>
      <c r="Y2623" t="s">
        <v>7984</v>
      </c>
      <c r="Z2623" t="e">
        <f ca="1">- cleaned cartridge Bays, plunger Rods _xludf.and I-CORE
- generated reports</f>
        <v>#NAME?</v>
      </c>
      <c r="AA2623" t="s">
        <v>7985</v>
      </c>
      <c r="AB2623" s="2" t="s">
        <v>16577</v>
      </c>
      <c r="AG2623" t="s">
        <v>16578</v>
      </c>
      <c r="AH2623" t="s">
        <v>16579</v>
      </c>
      <c r="AI2623" t="s">
        <v>16580</v>
      </c>
    </row>
    <row r="2624" spans="2:35" ht="255">
      <c r="B2624" s="1">
        <v>45631</v>
      </c>
      <c r="C2624" s="1">
        <v>45631</v>
      </c>
      <c r="D2624" t="s">
        <v>3383</v>
      </c>
      <c r="E2624" t="s">
        <v>6415</v>
      </c>
      <c r="F2624">
        <v>6</v>
      </c>
      <c r="G2624" t="s">
        <v>1286</v>
      </c>
      <c r="H2624" t="s">
        <v>1047</v>
      </c>
      <c r="I2624" t="s">
        <v>40</v>
      </c>
      <c r="J2624" s="2" t="s">
        <v>41</v>
      </c>
      <c r="K2624" t="s">
        <v>42</v>
      </c>
      <c r="L2624" t="s">
        <v>1288</v>
      </c>
      <c r="N2624" t="s">
        <v>1289</v>
      </c>
      <c r="Q2624">
        <v>29922</v>
      </c>
      <c r="R2624" t="s">
        <v>119</v>
      </c>
      <c r="S2624" t="s">
        <v>6416</v>
      </c>
      <c r="T2624">
        <v>24</v>
      </c>
      <c r="U2624" s="2" t="s">
        <v>16581</v>
      </c>
      <c r="V2624" s="1">
        <v>45621</v>
      </c>
      <c r="W2624" t="s">
        <v>1292</v>
      </c>
      <c r="X2624">
        <v>838289</v>
      </c>
      <c r="Y2624" t="s">
        <v>16582</v>
      </c>
      <c r="Z2624" t="s">
        <v>9107</v>
      </c>
      <c r="AA2624" s="2" t="s">
        <v>16583</v>
      </c>
      <c r="AB2624" t="s">
        <v>1293</v>
      </c>
      <c r="AD2624" t="s">
        <v>182</v>
      </c>
      <c r="AE2624">
        <v>12357</v>
      </c>
      <c r="AG2624" t="s">
        <v>16584</v>
      </c>
      <c r="AH2624" t="s">
        <v>13050</v>
      </c>
      <c r="AI2624" t="s">
        <v>16585</v>
      </c>
    </row>
    <row r="2625" spans="2:35" ht="195">
      <c r="B2625" s="1">
        <v>45631</v>
      </c>
      <c r="C2625" s="1">
        <v>45631</v>
      </c>
      <c r="D2625" t="s">
        <v>16586</v>
      </c>
      <c r="E2625" t="s">
        <v>10369</v>
      </c>
      <c r="F2625">
        <v>7</v>
      </c>
      <c r="G2625" t="s">
        <v>6529</v>
      </c>
      <c r="H2625" t="s">
        <v>258</v>
      </c>
      <c r="I2625" t="s">
        <v>40</v>
      </c>
      <c r="J2625" s="2" t="s">
        <v>41</v>
      </c>
      <c r="K2625" t="s">
        <v>42</v>
      </c>
      <c r="L2625" t="s">
        <v>594</v>
      </c>
      <c r="N2625" t="s">
        <v>595</v>
      </c>
      <c r="O2625" t="s">
        <v>595</v>
      </c>
      <c r="Q2625">
        <v>29921</v>
      </c>
      <c r="R2625" t="s">
        <v>119</v>
      </c>
      <c r="S2625" t="s">
        <v>10370</v>
      </c>
      <c r="T2625">
        <v>23</v>
      </c>
      <c r="V2625" s="1">
        <v>45631</v>
      </c>
      <c r="W2625" t="s">
        <v>360</v>
      </c>
      <c r="X2625">
        <v>838203</v>
      </c>
      <c r="Y2625" t="s">
        <v>16587</v>
      </c>
      <c r="Z2625" s="2" t="s">
        <v>16588</v>
      </c>
      <c r="AA2625" t="s">
        <v>16589</v>
      </c>
      <c r="AB2625" t="s">
        <v>16590</v>
      </c>
      <c r="AG2625" t="s">
        <v>16591</v>
      </c>
      <c r="AH2625" t="s">
        <v>16592</v>
      </c>
      <c r="AI2625" t="s">
        <v>16593</v>
      </c>
    </row>
    <row r="2626" spans="2:35" ht="409.5">
      <c r="B2626" s="1">
        <v>45631</v>
      </c>
      <c r="C2626" s="1">
        <v>45631</v>
      </c>
      <c r="D2626" t="s">
        <v>9805</v>
      </c>
      <c r="E2626" t="s">
        <v>510</v>
      </c>
      <c r="F2626" t="s">
        <v>511</v>
      </c>
      <c r="G2626" t="s">
        <v>512</v>
      </c>
      <c r="H2626" t="s">
        <v>61</v>
      </c>
      <c r="I2626" t="s">
        <v>40</v>
      </c>
      <c r="J2626" t="s">
        <v>109</v>
      </c>
      <c r="K2626" t="s">
        <v>42</v>
      </c>
      <c r="L2626" t="s">
        <v>1048</v>
      </c>
      <c r="N2626" t="s">
        <v>1049</v>
      </c>
      <c r="Q2626">
        <v>29920</v>
      </c>
      <c r="R2626" t="s">
        <v>322</v>
      </c>
      <c r="S2626" t="s">
        <v>9806</v>
      </c>
      <c r="T2626">
        <v>22</v>
      </c>
      <c r="U2626" s="2" t="s">
        <v>16594</v>
      </c>
      <c r="W2626" t="s">
        <v>1424</v>
      </c>
      <c r="X2626">
        <v>110016112</v>
      </c>
      <c r="Y2626" t="s">
        <v>1052</v>
      </c>
      <c r="Z2626" t="e">
        <f ca="1">- cleaned cartridge Bays, plunger Rods _xludf.and I-CORE
- generated reports</f>
        <v>#NAME?</v>
      </c>
      <c r="AA2626" t="s">
        <v>820</v>
      </c>
      <c r="AB2626" t="s">
        <v>1428</v>
      </c>
      <c r="AG2626" t="s">
        <v>16595</v>
      </c>
      <c r="AH2626" t="s">
        <v>16596</v>
      </c>
      <c r="AI2626" t="s">
        <v>16597</v>
      </c>
    </row>
    <row r="2627" spans="2:35" ht="330">
      <c r="B2627" s="1">
        <v>45631</v>
      </c>
      <c r="C2627" s="1">
        <v>45631</v>
      </c>
      <c r="D2627" t="s">
        <v>16598</v>
      </c>
      <c r="E2627" t="s">
        <v>4747</v>
      </c>
      <c r="F2627">
        <v>6</v>
      </c>
      <c r="G2627" t="s">
        <v>1286</v>
      </c>
      <c r="H2627" t="s">
        <v>39</v>
      </c>
      <c r="I2627" t="s">
        <v>40</v>
      </c>
      <c r="J2627" s="2" t="s">
        <v>41</v>
      </c>
      <c r="K2627" t="s">
        <v>42</v>
      </c>
      <c r="L2627" t="s">
        <v>1288</v>
      </c>
      <c r="N2627" t="s">
        <v>1289</v>
      </c>
      <c r="Q2627">
        <v>29919</v>
      </c>
      <c r="R2627" t="s">
        <v>119</v>
      </c>
      <c r="S2627" t="s">
        <v>4748</v>
      </c>
      <c r="T2627">
        <v>24</v>
      </c>
      <c r="U2627" s="2" t="s">
        <v>7328</v>
      </c>
      <c r="V2627" s="1">
        <v>45621</v>
      </c>
      <c r="W2627" t="s">
        <v>1292</v>
      </c>
      <c r="X2627">
        <v>838501</v>
      </c>
      <c r="Y2627" t="s">
        <v>16599</v>
      </c>
      <c r="Z2627" t="s">
        <v>16600</v>
      </c>
      <c r="AA2627" s="2" t="s">
        <v>16601</v>
      </c>
      <c r="AB2627" t="s">
        <v>1293</v>
      </c>
      <c r="AC2627" t="s">
        <v>16602</v>
      </c>
      <c r="AD2627" t="s">
        <v>6397</v>
      </c>
      <c r="AE2627">
        <v>12359</v>
      </c>
      <c r="AG2627" t="s">
        <v>16603</v>
      </c>
      <c r="AH2627" t="s">
        <v>11965</v>
      </c>
      <c r="AI2627" t="s">
        <v>16604</v>
      </c>
    </row>
    <row r="2628" spans="2:35" ht="240">
      <c r="B2628" s="1">
        <v>45630</v>
      </c>
      <c r="C2628" s="1">
        <v>45630</v>
      </c>
      <c r="D2628" t="s">
        <v>12747</v>
      </c>
      <c r="E2628" t="s">
        <v>16605</v>
      </c>
      <c r="F2628">
        <v>6</v>
      </c>
      <c r="G2628" t="s">
        <v>1234</v>
      </c>
      <c r="H2628" t="s">
        <v>39</v>
      </c>
      <c r="I2628" t="s">
        <v>40</v>
      </c>
      <c r="J2628" s="2" t="s">
        <v>1370</v>
      </c>
      <c r="K2628" t="s">
        <v>42</v>
      </c>
      <c r="L2628" t="s">
        <v>433</v>
      </c>
      <c r="N2628" t="s">
        <v>434</v>
      </c>
      <c r="Q2628">
        <v>29918</v>
      </c>
      <c r="R2628" t="s">
        <v>119</v>
      </c>
      <c r="S2628" t="s">
        <v>16606</v>
      </c>
      <c r="T2628">
        <v>28</v>
      </c>
      <c r="W2628" t="s">
        <v>1008</v>
      </c>
      <c r="X2628">
        <v>838464</v>
      </c>
      <c r="Y2628" t="s">
        <v>16607</v>
      </c>
      <c r="Z2628" s="2" t="s">
        <v>16608</v>
      </c>
      <c r="AA2628" s="2" t="s">
        <v>16608</v>
      </c>
      <c r="AB2628" s="2" t="s">
        <v>16609</v>
      </c>
      <c r="AG2628" t="s">
        <v>16610</v>
      </c>
      <c r="AH2628" t="s">
        <v>16611</v>
      </c>
      <c r="AI2628" t="s">
        <v>16612</v>
      </c>
    </row>
    <row r="2629" spans="2:35" ht="409.5">
      <c r="B2629" s="1">
        <v>45630</v>
      </c>
      <c r="C2629" s="1">
        <v>45630</v>
      </c>
      <c r="D2629" t="s">
        <v>7826</v>
      </c>
      <c r="E2629" t="s">
        <v>16613</v>
      </c>
      <c r="F2629">
        <v>11</v>
      </c>
      <c r="G2629" t="s">
        <v>1759</v>
      </c>
      <c r="H2629" t="s">
        <v>202</v>
      </c>
      <c r="I2629" t="s">
        <v>40</v>
      </c>
      <c r="J2629" s="2" t="s">
        <v>41</v>
      </c>
      <c r="K2629" t="s">
        <v>42</v>
      </c>
      <c r="L2629" t="s">
        <v>204</v>
      </c>
      <c r="N2629" t="s">
        <v>205</v>
      </c>
      <c r="Q2629">
        <v>29917</v>
      </c>
      <c r="R2629" t="s">
        <v>119</v>
      </c>
      <c r="S2629" t="s">
        <v>7828</v>
      </c>
      <c r="T2629">
        <v>26.5</v>
      </c>
      <c r="U2629" s="2" t="s">
        <v>16614</v>
      </c>
      <c r="V2629" s="1">
        <v>45653</v>
      </c>
      <c r="W2629" t="s">
        <v>208</v>
      </c>
      <c r="X2629">
        <v>838487</v>
      </c>
      <c r="Y2629" s="2" t="s">
        <v>16615</v>
      </c>
      <c r="Z2629" s="2" t="s">
        <v>16616</v>
      </c>
      <c r="AA2629" t="s">
        <v>10252</v>
      </c>
      <c r="AB2629" s="2" t="s">
        <v>16617</v>
      </c>
      <c r="AD2629" t="s">
        <v>10253</v>
      </c>
      <c r="AE2629" t="s">
        <v>16618</v>
      </c>
      <c r="AG2629" t="s">
        <v>16619</v>
      </c>
      <c r="AH2629" t="s">
        <v>7833</v>
      </c>
      <c r="AI2629" t="s">
        <v>16620</v>
      </c>
    </row>
    <row r="2630" spans="2:35" ht="165">
      <c r="B2630" s="1">
        <v>45630</v>
      </c>
      <c r="C2630" s="1">
        <v>45630</v>
      </c>
      <c r="D2630" t="s">
        <v>10321</v>
      </c>
      <c r="E2630" t="s">
        <v>10322</v>
      </c>
      <c r="F2630">
        <v>2</v>
      </c>
      <c r="G2630" t="s">
        <v>2723</v>
      </c>
      <c r="H2630" t="s">
        <v>39</v>
      </c>
      <c r="I2630" t="s">
        <v>40</v>
      </c>
      <c r="J2630" s="2" t="s">
        <v>190</v>
      </c>
      <c r="K2630" t="s">
        <v>42</v>
      </c>
      <c r="L2630" t="s">
        <v>63</v>
      </c>
      <c r="N2630" t="s">
        <v>64</v>
      </c>
      <c r="Q2630">
        <v>29916</v>
      </c>
      <c r="R2630" t="s">
        <v>119</v>
      </c>
      <c r="S2630" t="s">
        <v>10323</v>
      </c>
      <c r="T2630">
        <v>29</v>
      </c>
      <c r="W2630" t="s">
        <v>66</v>
      </c>
      <c r="X2630">
        <v>838531</v>
      </c>
      <c r="Y2630" t="s">
        <v>16621</v>
      </c>
      <c r="Z2630" s="2" t="s">
        <v>16622</v>
      </c>
      <c r="AA2630" s="2" t="s">
        <v>1727</v>
      </c>
      <c r="AB2630" t="s">
        <v>70</v>
      </c>
      <c r="AC2630" t="s">
        <v>16623</v>
      </c>
      <c r="AG2630" t="s">
        <v>16624</v>
      </c>
      <c r="AH2630" t="s">
        <v>10329</v>
      </c>
      <c r="AI2630" t="s">
        <v>16625</v>
      </c>
    </row>
    <row r="2631" spans="2:35" ht="45">
      <c r="B2631" s="1">
        <v>45630</v>
      </c>
      <c r="C2631" s="1">
        <v>45630</v>
      </c>
      <c r="D2631" t="s">
        <v>16626</v>
      </c>
      <c r="E2631" t="s">
        <v>16627</v>
      </c>
      <c r="F2631">
        <v>10</v>
      </c>
      <c r="G2631" t="s">
        <v>8359</v>
      </c>
      <c r="H2631" t="s">
        <v>2125</v>
      </c>
      <c r="I2631" t="s">
        <v>40</v>
      </c>
      <c r="J2631" s="2" t="s">
        <v>41</v>
      </c>
      <c r="K2631" t="s">
        <v>42</v>
      </c>
      <c r="L2631" t="s">
        <v>933</v>
      </c>
      <c r="N2631" t="s">
        <v>934</v>
      </c>
      <c r="Q2631">
        <v>29915</v>
      </c>
      <c r="R2631" t="s">
        <v>119</v>
      </c>
      <c r="S2631" t="s">
        <v>16628</v>
      </c>
      <c r="T2631">
        <v>24</v>
      </c>
      <c r="V2631" s="1">
        <v>45622</v>
      </c>
      <c r="W2631" t="s">
        <v>3662</v>
      </c>
      <c r="X2631">
        <v>838271</v>
      </c>
      <c r="Y2631" t="s">
        <v>301</v>
      </c>
      <c r="Z2631" t="s">
        <v>2129</v>
      </c>
      <c r="AA2631" t="s">
        <v>16629</v>
      </c>
      <c r="AB2631" t="s">
        <v>2131</v>
      </c>
      <c r="AD2631" t="s">
        <v>10128</v>
      </c>
      <c r="AE2631">
        <v>12364</v>
      </c>
      <c r="AG2631" t="s">
        <v>16630</v>
      </c>
      <c r="AH2631" t="s">
        <v>16631</v>
      </c>
      <c r="AI2631" t="s">
        <v>16632</v>
      </c>
    </row>
    <row r="2632" spans="2:35" ht="210">
      <c r="B2632" s="1">
        <v>45630</v>
      </c>
      <c r="C2632" s="1">
        <v>45630</v>
      </c>
      <c r="D2632" t="s">
        <v>5207</v>
      </c>
      <c r="E2632" t="s">
        <v>5208</v>
      </c>
      <c r="F2632" t="s">
        <v>148</v>
      </c>
      <c r="G2632" t="s">
        <v>310</v>
      </c>
      <c r="H2632" t="s">
        <v>39</v>
      </c>
      <c r="I2632" t="s">
        <v>40</v>
      </c>
      <c r="J2632" s="2" t="s">
        <v>355</v>
      </c>
      <c r="K2632" t="s">
        <v>42</v>
      </c>
      <c r="L2632" t="s">
        <v>1943</v>
      </c>
      <c r="N2632" t="s">
        <v>1944</v>
      </c>
      <c r="O2632" t="s">
        <v>5209</v>
      </c>
      <c r="Q2632">
        <v>29914</v>
      </c>
      <c r="R2632" t="s">
        <v>322</v>
      </c>
      <c r="S2632" t="s">
        <v>11992</v>
      </c>
      <c r="T2632">
        <v>25</v>
      </c>
      <c r="W2632" t="s">
        <v>5225</v>
      </c>
      <c r="X2632">
        <v>110016343</v>
      </c>
      <c r="Y2632" t="s">
        <v>16633</v>
      </c>
      <c r="Z2632" t="s">
        <v>3775</v>
      </c>
      <c r="AA2632" s="2" t="s">
        <v>16634</v>
      </c>
      <c r="AB2632" t="s">
        <v>88</v>
      </c>
      <c r="AG2632" t="s">
        <v>16635</v>
      </c>
      <c r="AH2632" t="s">
        <v>5212</v>
      </c>
      <c r="AI2632" t="s">
        <v>16636</v>
      </c>
    </row>
    <row r="2633" spans="2:35" ht="285">
      <c r="B2633" s="1">
        <v>45630</v>
      </c>
      <c r="C2633" s="1">
        <v>45630</v>
      </c>
      <c r="D2633" t="s">
        <v>3712</v>
      </c>
      <c r="E2633" t="s">
        <v>3713</v>
      </c>
      <c r="F2633" t="s">
        <v>148</v>
      </c>
      <c r="G2633" t="s">
        <v>310</v>
      </c>
      <c r="H2633" t="s">
        <v>2274</v>
      </c>
      <c r="I2633" t="s">
        <v>40</v>
      </c>
      <c r="J2633" s="2" t="s">
        <v>355</v>
      </c>
      <c r="K2633" t="s">
        <v>387</v>
      </c>
      <c r="L2633" t="s">
        <v>1943</v>
      </c>
      <c r="N2633" t="s">
        <v>1944</v>
      </c>
      <c r="Q2633">
        <v>29913</v>
      </c>
      <c r="R2633" t="s">
        <v>322</v>
      </c>
      <c r="S2633" t="s">
        <v>3824</v>
      </c>
      <c r="T2633">
        <v>25</v>
      </c>
      <c r="W2633" t="s">
        <v>390</v>
      </c>
      <c r="X2633" t="s">
        <v>16210</v>
      </c>
      <c r="Y2633" t="s">
        <v>16637</v>
      </c>
      <c r="Z2633" t="s">
        <v>3775</v>
      </c>
      <c r="AA2633" s="2" t="s">
        <v>16638</v>
      </c>
      <c r="AB2633" t="s">
        <v>16639</v>
      </c>
      <c r="AG2633" t="s">
        <v>16640</v>
      </c>
      <c r="AH2633" t="s">
        <v>16641</v>
      </c>
      <c r="AI2633" t="s">
        <v>16642</v>
      </c>
    </row>
    <row r="2634" spans="2:35" ht="105">
      <c r="B2634" s="1">
        <v>45630</v>
      </c>
      <c r="C2634" s="1">
        <v>45630</v>
      </c>
      <c r="D2634" t="s">
        <v>340</v>
      </c>
      <c r="E2634" t="s">
        <v>8453</v>
      </c>
      <c r="F2634">
        <v>8</v>
      </c>
      <c r="G2634" t="s">
        <v>342</v>
      </c>
      <c r="H2634" t="s">
        <v>258</v>
      </c>
      <c r="I2634" t="s">
        <v>40</v>
      </c>
      <c r="J2634" s="2" t="s">
        <v>41</v>
      </c>
      <c r="K2634" t="s">
        <v>42</v>
      </c>
      <c r="L2634" t="s">
        <v>259</v>
      </c>
      <c r="N2634" t="s">
        <v>260</v>
      </c>
      <c r="Q2634">
        <v>29912</v>
      </c>
      <c r="R2634" t="s">
        <v>119</v>
      </c>
      <c r="S2634" t="s">
        <v>345</v>
      </c>
      <c r="T2634">
        <v>21</v>
      </c>
      <c r="U2634" s="2" t="s">
        <v>16643</v>
      </c>
      <c r="V2634" s="1">
        <v>45630</v>
      </c>
      <c r="W2634" t="s">
        <v>84</v>
      </c>
      <c r="X2634">
        <v>838555</v>
      </c>
      <c r="Y2634" t="s">
        <v>16644</v>
      </c>
      <c r="Z2634" t="e">
        <f ca="1">- module Replacement
- Preventive Maintenance</f>
        <v>#NAME?</v>
      </c>
      <c r="AA2634" t="e">
        <f ca="1">-Install new module on A4/716671
- performed Preventive Maintenance
- performed functionality test
- Generate IQR _xludf.and system _xludf.Log
- Pullout defective module SN/862905</f>
        <v>#NAME?</v>
      </c>
      <c r="AB2634" t="s">
        <v>70</v>
      </c>
      <c r="AD2634" t="s">
        <v>16645</v>
      </c>
      <c r="AE2634">
        <v>12379</v>
      </c>
      <c r="AG2634" t="s">
        <v>16646</v>
      </c>
      <c r="AH2634" t="s">
        <v>350</v>
      </c>
      <c r="AI2634" t="s">
        <v>16647</v>
      </c>
    </row>
    <row r="2635" spans="2:35" ht="165">
      <c r="B2635" s="1">
        <v>45630</v>
      </c>
      <c r="C2635" s="1">
        <v>45630</v>
      </c>
      <c r="D2635" t="s">
        <v>10344</v>
      </c>
      <c r="E2635" t="s">
        <v>16648</v>
      </c>
      <c r="F2635">
        <v>2</v>
      </c>
      <c r="G2635" t="s">
        <v>2723</v>
      </c>
      <c r="H2635" t="s">
        <v>39</v>
      </c>
      <c r="I2635" t="s">
        <v>40</v>
      </c>
      <c r="J2635" s="2" t="s">
        <v>41</v>
      </c>
      <c r="K2635" t="s">
        <v>42</v>
      </c>
      <c r="L2635" t="s">
        <v>63</v>
      </c>
      <c r="N2635" t="s">
        <v>64</v>
      </c>
      <c r="Q2635">
        <v>29911</v>
      </c>
      <c r="R2635" t="s">
        <v>119</v>
      </c>
      <c r="S2635" t="s">
        <v>10346</v>
      </c>
      <c r="T2635">
        <v>27</v>
      </c>
      <c r="U2635" s="2" t="s">
        <v>6205</v>
      </c>
      <c r="V2635" s="1">
        <v>45621</v>
      </c>
      <c r="W2635" t="s">
        <v>66</v>
      </c>
      <c r="X2635">
        <v>838474</v>
      </c>
      <c r="Y2635" s="2" t="s">
        <v>16649</v>
      </c>
      <c r="Z2635" s="2" t="s">
        <v>16650</v>
      </c>
      <c r="AA2635" s="2" t="s">
        <v>1727</v>
      </c>
      <c r="AB2635" t="s">
        <v>70</v>
      </c>
      <c r="AD2635" t="s">
        <v>16651</v>
      </c>
      <c r="AE2635">
        <v>12356</v>
      </c>
      <c r="AG2635" t="s">
        <v>16652</v>
      </c>
      <c r="AH2635" t="s">
        <v>10350</v>
      </c>
      <c r="AI2635" t="s">
        <v>16653</v>
      </c>
    </row>
    <row r="2636" spans="2:35" ht="300">
      <c r="B2636" s="1">
        <v>45630</v>
      </c>
      <c r="C2636" s="1">
        <v>45630</v>
      </c>
      <c r="D2636" t="s">
        <v>542</v>
      </c>
      <c r="E2636" t="s">
        <v>15941</v>
      </c>
      <c r="F2636" t="s">
        <v>148</v>
      </c>
      <c r="G2636" t="s">
        <v>544</v>
      </c>
      <c r="H2636" t="s">
        <v>39</v>
      </c>
      <c r="I2636" t="s">
        <v>40</v>
      </c>
      <c r="J2636" s="2" t="s">
        <v>62</v>
      </c>
      <c r="K2636" t="s">
        <v>42</v>
      </c>
      <c r="L2636" t="s">
        <v>43</v>
      </c>
      <c r="N2636" t="s">
        <v>44</v>
      </c>
      <c r="O2636" t="s">
        <v>6737</v>
      </c>
      <c r="Q2636">
        <v>29910</v>
      </c>
      <c r="R2636" t="s">
        <v>322</v>
      </c>
      <c r="S2636" t="s">
        <v>545</v>
      </c>
      <c r="T2636">
        <v>22</v>
      </c>
      <c r="U2636" s="2" t="s">
        <v>16654</v>
      </c>
      <c r="W2636" t="s">
        <v>153</v>
      </c>
      <c r="X2636">
        <v>110016107</v>
      </c>
      <c r="Y2636" t="s">
        <v>1111</v>
      </c>
      <c r="Z2636" t="s">
        <v>1519</v>
      </c>
      <c r="AA2636" s="2" t="s">
        <v>12740</v>
      </c>
      <c r="AB2636" t="s">
        <v>548</v>
      </c>
      <c r="AC2636" t="s">
        <v>3966</v>
      </c>
      <c r="AG2636" t="s">
        <v>16655</v>
      </c>
      <c r="AH2636" t="s">
        <v>14583</v>
      </c>
      <c r="AI2636" t="s">
        <v>16656</v>
      </c>
    </row>
    <row r="2637" spans="2:35" ht="105">
      <c r="B2637" s="1">
        <v>45630</v>
      </c>
      <c r="C2637" s="1">
        <v>45630</v>
      </c>
      <c r="D2637" t="s">
        <v>9062</v>
      </c>
      <c r="E2637" t="s">
        <v>9063</v>
      </c>
      <c r="F2637">
        <v>8</v>
      </c>
      <c r="G2637" t="s">
        <v>342</v>
      </c>
      <c r="H2637" t="s">
        <v>1498</v>
      </c>
      <c r="I2637" t="s">
        <v>40</v>
      </c>
      <c r="J2637" t="s">
        <v>109</v>
      </c>
      <c r="K2637" t="s">
        <v>42</v>
      </c>
      <c r="L2637" t="s">
        <v>343</v>
      </c>
      <c r="N2637" t="s">
        <v>344</v>
      </c>
      <c r="Q2637">
        <v>29909</v>
      </c>
      <c r="R2637" t="s">
        <v>119</v>
      </c>
      <c r="S2637" t="s">
        <v>11350</v>
      </c>
      <c r="T2637">
        <v>28</v>
      </c>
      <c r="U2637" s="2" t="s">
        <v>16657</v>
      </c>
      <c r="W2637" t="s">
        <v>1501</v>
      </c>
      <c r="X2637">
        <v>838399</v>
      </c>
      <c r="Y2637" t="s">
        <v>7415</v>
      </c>
      <c r="Z2637" t="s">
        <v>3128</v>
      </c>
      <c r="AA2637" t="s">
        <v>3128</v>
      </c>
      <c r="AB2637" t="s">
        <v>348</v>
      </c>
      <c r="AG2637" t="s">
        <v>16658</v>
      </c>
      <c r="AH2637" t="s">
        <v>16659</v>
      </c>
      <c r="AI2637" t="s">
        <v>16660</v>
      </c>
    </row>
    <row r="2638" spans="2:35" ht="180">
      <c r="B2638" s="1">
        <v>45630</v>
      </c>
      <c r="C2638" s="1">
        <v>45630</v>
      </c>
      <c r="D2638" t="s">
        <v>11255</v>
      </c>
      <c r="E2638" t="s">
        <v>16661</v>
      </c>
      <c r="F2638">
        <v>10</v>
      </c>
      <c r="G2638" t="s">
        <v>8359</v>
      </c>
      <c r="H2638" t="s">
        <v>2125</v>
      </c>
      <c r="I2638" t="s">
        <v>40</v>
      </c>
      <c r="J2638" s="2" t="s">
        <v>41</v>
      </c>
      <c r="K2638" t="s">
        <v>42</v>
      </c>
      <c r="L2638" t="s">
        <v>933</v>
      </c>
      <c r="N2638" t="s">
        <v>934</v>
      </c>
      <c r="Q2638">
        <v>29908</v>
      </c>
      <c r="R2638" t="s">
        <v>119</v>
      </c>
      <c r="S2638" t="s">
        <v>16662</v>
      </c>
      <c r="T2638">
        <v>28</v>
      </c>
      <c r="V2638" s="1">
        <v>45623</v>
      </c>
      <c r="W2638" t="s">
        <v>2127</v>
      </c>
      <c r="X2638">
        <v>838440</v>
      </c>
      <c r="Y2638" t="s">
        <v>301</v>
      </c>
      <c r="Z2638" t="s">
        <v>2129</v>
      </c>
      <c r="AA2638" s="2" t="s">
        <v>16663</v>
      </c>
      <c r="AB2638" t="s">
        <v>2131</v>
      </c>
      <c r="AD2638" t="s">
        <v>10128</v>
      </c>
      <c r="AE2638">
        <v>12372</v>
      </c>
      <c r="AG2638" t="s">
        <v>16664</v>
      </c>
      <c r="AH2638" t="s">
        <v>16665</v>
      </c>
      <c r="AI2638" t="s">
        <v>16666</v>
      </c>
    </row>
    <row r="2639" spans="2:35" ht="300">
      <c r="B2639" s="1">
        <v>45630</v>
      </c>
      <c r="C2639" s="1">
        <v>45630</v>
      </c>
      <c r="D2639" t="s">
        <v>16667</v>
      </c>
      <c r="E2639" t="s">
        <v>16668</v>
      </c>
      <c r="F2639">
        <v>6</v>
      </c>
      <c r="G2639" t="s">
        <v>1507</v>
      </c>
      <c r="H2639" t="s">
        <v>10969</v>
      </c>
      <c r="I2639" t="s">
        <v>40</v>
      </c>
      <c r="J2639" s="2" t="s">
        <v>41</v>
      </c>
      <c r="K2639" t="s">
        <v>42</v>
      </c>
      <c r="L2639" t="s">
        <v>1288</v>
      </c>
      <c r="N2639" t="s">
        <v>1289</v>
      </c>
      <c r="Q2639">
        <v>29907</v>
      </c>
      <c r="R2639" t="s">
        <v>119</v>
      </c>
      <c r="S2639" t="s">
        <v>16669</v>
      </c>
      <c r="T2639">
        <v>30</v>
      </c>
      <c r="U2639" s="2" t="s">
        <v>16670</v>
      </c>
      <c r="V2639" s="1">
        <v>45623</v>
      </c>
      <c r="W2639" t="s">
        <v>1292</v>
      </c>
      <c r="X2639">
        <v>837615</v>
      </c>
      <c r="Y2639" t="s">
        <v>10200</v>
      </c>
      <c r="Z2639" t="e">
        <f ca="1">-COLLECT IQR,system _xludf.Log, _xludf.and ARCHIVE</f>
        <v>#NAME?</v>
      </c>
      <c r="AA2639" s="2" t="s">
        <v>16671</v>
      </c>
      <c r="AB2639" t="s">
        <v>1293</v>
      </c>
      <c r="AD2639" t="s">
        <v>16672</v>
      </c>
      <c r="AE2639">
        <v>12397</v>
      </c>
      <c r="AG2639" t="s">
        <v>16673</v>
      </c>
      <c r="AH2639" t="s">
        <v>16674</v>
      </c>
      <c r="AI2639" t="s">
        <v>16675</v>
      </c>
    </row>
    <row r="2640" spans="2:35" ht="165">
      <c r="B2640" s="1">
        <v>45630</v>
      </c>
      <c r="C2640" s="1">
        <v>45630</v>
      </c>
      <c r="D2640" t="s">
        <v>9427</v>
      </c>
      <c r="E2640" t="s">
        <v>11438</v>
      </c>
      <c r="F2640">
        <v>2</v>
      </c>
      <c r="G2640" t="s">
        <v>2723</v>
      </c>
      <c r="H2640" t="s">
        <v>39</v>
      </c>
      <c r="I2640" t="s">
        <v>40</v>
      </c>
      <c r="J2640" s="2" t="s">
        <v>41</v>
      </c>
      <c r="K2640" t="s">
        <v>42</v>
      </c>
      <c r="L2640" t="s">
        <v>63</v>
      </c>
      <c r="N2640" t="s">
        <v>64</v>
      </c>
      <c r="Q2640">
        <v>29906</v>
      </c>
      <c r="R2640" t="s">
        <v>119</v>
      </c>
      <c r="S2640" t="s">
        <v>9429</v>
      </c>
      <c r="T2640">
        <v>27</v>
      </c>
      <c r="U2640" s="2" t="s">
        <v>5242</v>
      </c>
      <c r="V2640" s="1">
        <v>45561</v>
      </c>
      <c r="W2640" t="s">
        <v>66</v>
      </c>
      <c r="X2640">
        <v>838530</v>
      </c>
      <c r="Y2640" t="s">
        <v>16676</v>
      </c>
      <c r="Z2640" t="s">
        <v>9395</v>
      </c>
      <c r="AA2640" s="2" t="s">
        <v>1727</v>
      </c>
      <c r="AB2640" t="s">
        <v>70</v>
      </c>
      <c r="AD2640" t="s">
        <v>1859</v>
      </c>
      <c r="AE2640">
        <v>12172</v>
      </c>
      <c r="AG2640" t="s">
        <v>16677</v>
      </c>
      <c r="AH2640" t="s">
        <v>16678</v>
      </c>
      <c r="AI2640" t="s">
        <v>16679</v>
      </c>
    </row>
    <row r="2641" spans="2:35" ht="165">
      <c r="B2641" s="1">
        <v>45630</v>
      </c>
      <c r="C2641" s="1">
        <v>45630</v>
      </c>
      <c r="D2641" t="s">
        <v>9427</v>
      </c>
      <c r="E2641" t="s">
        <v>11438</v>
      </c>
      <c r="F2641">
        <v>2</v>
      </c>
      <c r="G2641" t="s">
        <v>2723</v>
      </c>
      <c r="H2641" t="s">
        <v>39</v>
      </c>
      <c r="I2641" t="s">
        <v>40</v>
      </c>
      <c r="J2641" s="2" t="s">
        <v>41</v>
      </c>
      <c r="K2641" t="s">
        <v>42</v>
      </c>
      <c r="L2641" t="s">
        <v>63</v>
      </c>
      <c r="N2641" t="s">
        <v>64</v>
      </c>
      <c r="Q2641">
        <v>29905</v>
      </c>
      <c r="R2641" t="s">
        <v>119</v>
      </c>
      <c r="S2641" t="s">
        <v>9429</v>
      </c>
      <c r="T2641">
        <v>27</v>
      </c>
      <c r="U2641" s="2" t="s">
        <v>5242</v>
      </c>
      <c r="V2641" s="1">
        <v>45561</v>
      </c>
      <c r="W2641" t="s">
        <v>66</v>
      </c>
      <c r="X2641">
        <v>838530</v>
      </c>
      <c r="Y2641" t="s">
        <v>16676</v>
      </c>
      <c r="Z2641" t="s">
        <v>9395</v>
      </c>
      <c r="AA2641" s="2" t="s">
        <v>1727</v>
      </c>
      <c r="AB2641" t="s">
        <v>70</v>
      </c>
      <c r="AD2641" t="s">
        <v>1859</v>
      </c>
      <c r="AE2641">
        <v>12172</v>
      </c>
      <c r="AG2641" t="s">
        <v>16680</v>
      </c>
      <c r="AH2641" t="s">
        <v>16678</v>
      </c>
      <c r="AI2641" t="s">
        <v>16681</v>
      </c>
    </row>
    <row r="2642" spans="2:35" ht="105">
      <c r="B2642" s="1">
        <v>45629</v>
      </c>
      <c r="C2642" s="1">
        <v>45629</v>
      </c>
      <c r="D2642" t="s">
        <v>11065</v>
      </c>
      <c r="E2642" t="s">
        <v>11066</v>
      </c>
      <c r="F2642">
        <v>7</v>
      </c>
      <c r="G2642" t="s">
        <v>269</v>
      </c>
      <c r="H2642" t="s">
        <v>258</v>
      </c>
      <c r="I2642" t="s">
        <v>40</v>
      </c>
      <c r="J2642" s="2" t="s">
        <v>41</v>
      </c>
      <c r="K2642" t="s">
        <v>42</v>
      </c>
      <c r="L2642" t="s">
        <v>270</v>
      </c>
      <c r="N2642" t="s">
        <v>2481</v>
      </c>
      <c r="Q2642">
        <v>29904</v>
      </c>
      <c r="R2642" t="s">
        <v>119</v>
      </c>
      <c r="S2642" t="s">
        <v>16682</v>
      </c>
      <c r="T2642">
        <v>24</v>
      </c>
      <c r="U2642" s="2" t="s">
        <v>9485</v>
      </c>
      <c r="V2642" s="1">
        <v>45621</v>
      </c>
      <c r="W2642" t="s">
        <v>666</v>
      </c>
      <c r="X2642">
        <v>838481</v>
      </c>
      <c r="Y2642" t="s">
        <v>16683</v>
      </c>
      <c r="Z2642" t="e">
        <f ca="1">-cleaned optics, module bays. _xludf.filter, plunger rods.</f>
        <v>#NAME?</v>
      </c>
      <c r="AA2642" t="s">
        <v>16684</v>
      </c>
      <c r="AB2642" t="s">
        <v>3527</v>
      </c>
      <c r="AD2642" t="s">
        <v>10991</v>
      </c>
      <c r="AE2642" t="s">
        <v>16685</v>
      </c>
      <c r="AG2642" t="s">
        <v>16686</v>
      </c>
      <c r="AH2642" t="s">
        <v>16687</v>
      </c>
      <c r="AI2642" t="s">
        <v>16688</v>
      </c>
    </row>
    <row r="2643" spans="2:35" ht="180">
      <c r="B2643" s="1">
        <v>45629</v>
      </c>
      <c r="C2643" s="1">
        <v>45629</v>
      </c>
      <c r="D2643" t="s">
        <v>11127</v>
      </c>
      <c r="E2643" t="s">
        <v>12651</v>
      </c>
      <c r="F2643">
        <v>5</v>
      </c>
      <c r="G2643" t="s">
        <v>759</v>
      </c>
      <c r="H2643" t="s">
        <v>16689</v>
      </c>
      <c r="I2643" t="s">
        <v>94</v>
      </c>
      <c r="J2643" s="2" t="s">
        <v>41</v>
      </c>
      <c r="K2643" t="s">
        <v>42</v>
      </c>
      <c r="L2643" t="s">
        <v>761</v>
      </c>
      <c r="N2643" t="s">
        <v>762</v>
      </c>
      <c r="Q2643">
        <v>29903</v>
      </c>
      <c r="R2643" t="s">
        <v>119</v>
      </c>
      <c r="S2643" t="s">
        <v>11128</v>
      </c>
      <c r="T2643">
        <v>29</v>
      </c>
      <c r="U2643" s="2" t="s">
        <v>16690</v>
      </c>
      <c r="W2643" t="s">
        <v>765</v>
      </c>
      <c r="X2643">
        <v>838565</v>
      </c>
      <c r="Y2643" t="s">
        <v>16691</v>
      </c>
      <c r="Z2643" s="2" t="s">
        <v>16692</v>
      </c>
      <c r="AA2643" s="2" t="s">
        <v>16693</v>
      </c>
      <c r="AB2643" t="s">
        <v>70</v>
      </c>
      <c r="AG2643" t="s">
        <v>16694</v>
      </c>
      <c r="AH2643" t="s">
        <v>11133</v>
      </c>
      <c r="AI2643" t="s">
        <v>16695</v>
      </c>
    </row>
    <row r="2644" spans="2:35" ht="180">
      <c r="B2644" s="1">
        <v>45629</v>
      </c>
      <c r="C2644" s="1">
        <v>45629</v>
      </c>
      <c r="D2644" t="s">
        <v>13291</v>
      </c>
      <c r="E2644" t="s">
        <v>16696</v>
      </c>
      <c r="F2644" t="s">
        <v>148</v>
      </c>
      <c r="G2644" t="s">
        <v>447</v>
      </c>
      <c r="H2644" t="s">
        <v>39</v>
      </c>
      <c r="I2644" t="s">
        <v>40</v>
      </c>
      <c r="J2644" t="s">
        <v>109</v>
      </c>
      <c r="K2644" t="s">
        <v>42</v>
      </c>
      <c r="L2644" t="s">
        <v>15532</v>
      </c>
      <c r="N2644" t="s">
        <v>15533</v>
      </c>
      <c r="Q2644">
        <v>29902</v>
      </c>
      <c r="R2644" t="s">
        <v>322</v>
      </c>
      <c r="S2644" t="s">
        <v>8033</v>
      </c>
      <c r="T2644">
        <v>25</v>
      </c>
      <c r="W2644" t="s">
        <v>16697</v>
      </c>
      <c r="X2644">
        <v>110025174</v>
      </c>
      <c r="Y2644" t="s">
        <v>15536</v>
      </c>
      <c r="Z2644" s="2" t="s">
        <v>16698</v>
      </c>
      <c r="AA2644" s="2" t="s">
        <v>16699</v>
      </c>
      <c r="AB2644" s="2" t="s">
        <v>15539</v>
      </c>
      <c r="AG2644" t="s">
        <v>16700</v>
      </c>
      <c r="AH2644" t="s">
        <v>16701</v>
      </c>
      <c r="AI2644" t="s">
        <v>16702</v>
      </c>
    </row>
    <row r="2645" spans="2:35" ht="409.5">
      <c r="B2645" s="1">
        <v>45629</v>
      </c>
      <c r="C2645" s="1">
        <v>45629</v>
      </c>
      <c r="D2645" t="s">
        <v>8160</v>
      </c>
      <c r="E2645" t="s">
        <v>15636</v>
      </c>
      <c r="F2645">
        <v>11</v>
      </c>
      <c r="G2645" t="s">
        <v>1205</v>
      </c>
      <c r="H2645" t="s">
        <v>202</v>
      </c>
      <c r="I2645" t="s">
        <v>40</v>
      </c>
      <c r="J2645" s="2" t="s">
        <v>41</v>
      </c>
      <c r="K2645" t="s">
        <v>42</v>
      </c>
      <c r="L2645" t="s">
        <v>204</v>
      </c>
      <c r="N2645" t="s">
        <v>205</v>
      </c>
      <c r="O2645" t="s">
        <v>8163</v>
      </c>
      <c r="Q2645">
        <v>29901</v>
      </c>
      <c r="R2645" t="s">
        <v>119</v>
      </c>
      <c r="S2645" t="s">
        <v>8162</v>
      </c>
      <c r="T2645">
        <v>25.9</v>
      </c>
      <c r="U2645" s="2" t="s">
        <v>16703</v>
      </c>
      <c r="V2645" s="1">
        <v>45621</v>
      </c>
      <c r="W2645" t="s">
        <v>208</v>
      </c>
      <c r="X2645">
        <v>838401</v>
      </c>
      <c r="Y2645" s="2" t="s">
        <v>16704</v>
      </c>
      <c r="Z2645" s="2" t="s">
        <v>16705</v>
      </c>
      <c r="AA2645" t="s">
        <v>16706</v>
      </c>
      <c r="AB2645" t="s">
        <v>1211</v>
      </c>
      <c r="AD2645" t="s">
        <v>10253</v>
      </c>
      <c r="AE2645" t="s">
        <v>16707</v>
      </c>
      <c r="AG2645" t="s">
        <v>16708</v>
      </c>
      <c r="AH2645" t="s">
        <v>16709</v>
      </c>
      <c r="AI2645" t="s">
        <v>16710</v>
      </c>
    </row>
    <row r="2646" spans="2:35" ht="345">
      <c r="B2646" s="1">
        <v>45629</v>
      </c>
      <c r="C2646" s="1">
        <v>45629</v>
      </c>
      <c r="D2646" t="s">
        <v>9278</v>
      </c>
      <c r="E2646" t="s">
        <v>16711</v>
      </c>
      <c r="F2646" t="s">
        <v>148</v>
      </c>
      <c r="G2646" t="s">
        <v>447</v>
      </c>
      <c r="H2646" t="s">
        <v>39</v>
      </c>
      <c r="I2646" t="s">
        <v>40</v>
      </c>
      <c r="J2646" t="s">
        <v>109</v>
      </c>
      <c r="K2646" t="s">
        <v>42</v>
      </c>
      <c r="L2646" t="s">
        <v>15532</v>
      </c>
      <c r="N2646" t="s">
        <v>15533</v>
      </c>
      <c r="Q2646">
        <v>29900</v>
      </c>
      <c r="R2646" t="s">
        <v>322</v>
      </c>
      <c r="S2646" t="s">
        <v>9279</v>
      </c>
      <c r="T2646">
        <v>25</v>
      </c>
      <c r="U2646" s="2" t="s">
        <v>16712</v>
      </c>
      <c r="W2646" t="s">
        <v>15620</v>
      </c>
      <c r="X2646">
        <v>120000577</v>
      </c>
      <c r="Y2646" t="s">
        <v>15536</v>
      </c>
      <c r="Z2646" s="2" t="s">
        <v>16713</v>
      </c>
      <c r="AA2646" s="2" t="s">
        <v>16116</v>
      </c>
      <c r="AB2646" s="2" t="s">
        <v>15539</v>
      </c>
      <c r="AG2646" t="s">
        <v>16714</v>
      </c>
      <c r="AH2646" t="s">
        <v>9282</v>
      </c>
      <c r="AI2646" t="s">
        <v>16715</v>
      </c>
    </row>
    <row r="2647" spans="2:35" ht="105">
      <c r="B2647" s="1">
        <v>45629</v>
      </c>
      <c r="C2647" s="1">
        <v>45629</v>
      </c>
      <c r="D2647" t="s">
        <v>16716</v>
      </c>
      <c r="E2647" t="s">
        <v>1128</v>
      </c>
      <c r="F2647">
        <v>8</v>
      </c>
      <c r="G2647" t="s">
        <v>342</v>
      </c>
      <c r="H2647" t="s">
        <v>258</v>
      </c>
      <c r="I2647" t="s">
        <v>40</v>
      </c>
      <c r="J2647" t="s">
        <v>109</v>
      </c>
      <c r="K2647" t="s">
        <v>42</v>
      </c>
      <c r="L2647" t="s">
        <v>259</v>
      </c>
      <c r="N2647" t="s">
        <v>260</v>
      </c>
      <c r="Q2647">
        <v>29899</v>
      </c>
      <c r="R2647" t="s">
        <v>119</v>
      </c>
      <c r="S2647" t="s">
        <v>8713</v>
      </c>
      <c r="T2647">
        <v>24</v>
      </c>
      <c r="U2647" s="2" t="s">
        <v>16717</v>
      </c>
      <c r="V2647" s="1">
        <v>45629</v>
      </c>
      <c r="W2647" t="s">
        <v>84</v>
      </c>
      <c r="X2647">
        <v>838421</v>
      </c>
      <c r="Y2647" t="s">
        <v>263</v>
      </c>
      <c r="Z2647" t="s">
        <v>263</v>
      </c>
      <c r="AA2647" t="s">
        <v>11696</v>
      </c>
      <c r="AB2647" t="s">
        <v>70</v>
      </c>
      <c r="AG2647" t="s">
        <v>16718</v>
      </c>
      <c r="AH2647" t="s">
        <v>8717</v>
      </c>
      <c r="AI2647" t="s">
        <v>16719</v>
      </c>
    </row>
    <row r="2648" spans="2:35" ht="360">
      <c r="B2648" s="1">
        <v>45629</v>
      </c>
      <c r="C2648" s="1">
        <v>45629</v>
      </c>
      <c r="D2648" t="s">
        <v>16720</v>
      </c>
      <c r="E2648" t="s">
        <v>1555</v>
      </c>
      <c r="F2648">
        <v>7</v>
      </c>
      <c r="G2648" t="s">
        <v>432</v>
      </c>
      <c r="H2648" t="s">
        <v>2849</v>
      </c>
      <c r="I2648" t="s">
        <v>40</v>
      </c>
      <c r="J2648" s="2" t="s">
        <v>355</v>
      </c>
      <c r="K2648" t="s">
        <v>42</v>
      </c>
      <c r="L2648" t="s">
        <v>1288</v>
      </c>
      <c r="N2648" t="s">
        <v>1289</v>
      </c>
      <c r="Q2648">
        <v>29898</v>
      </c>
      <c r="R2648" t="s">
        <v>95</v>
      </c>
      <c r="S2648" t="s">
        <v>14495</v>
      </c>
      <c r="T2648">
        <v>28</v>
      </c>
      <c r="U2648" s="2" t="s">
        <v>16721</v>
      </c>
      <c r="W2648" t="s">
        <v>16722</v>
      </c>
      <c r="X2648">
        <v>838657</v>
      </c>
      <c r="Y2648" t="e">
        <f ca="1">-UPS DOES _xludf.not HOLD CHARGE</f>
        <v>#NAME?</v>
      </c>
      <c r="Z2648" t="e">
        <f ca="1">-COLLECT IQR, system _xludf.Log, _xludf.and ARCHIVE</f>
        <v>#NAME?</v>
      </c>
      <c r="AA2648" s="2" t="s">
        <v>16723</v>
      </c>
      <c r="AB2648" t="s">
        <v>16724</v>
      </c>
      <c r="AG2648" t="s">
        <v>16725</v>
      </c>
      <c r="AH2648" t="s">
        <v>16726</v>
      </c>
      <c r="AI2648" t="s">
        <v>16727</v>
      </c>
    </row>
    <row r="2649" spans="2:35" ht="409.5">
      <c r="B2649" s="1">
        <v>45628</v>
      </c>
      <c r="C2649" s="1">
        <v>45625</v>
      </c>
      <c r="D2649" t="s">
        <v>7343</v>
      </c>
      <c r="E2649" t="s">
        <v>7344</v>
      </c>
      <c r="F2649">
        <v>11</v>
      </c>
      <c r="G2649" t="s">
        <v>4297</v>
      </c>
      <c r="H2649" t="s">
        <v>202</v>
      </c>
      <c r="I2649" t="s">
        <v>40</v>
      </c>
      <c r="J2649" s="2" t="s">
        <v>2866</v>
      </c>
      <c r="K2649" t="s">
        <v>42</v>
      </c>
      <c r="L2649" t="s">
        <v>204</v>
      </c>
      <c r="N2649" t="s">
        <v>205</v>
      </c>
      <c r="Q2649">
        <v>29897</v>
      </c>
      <c r="R2649" t="s">
        <v>119</v>
      </c>
      <c r="S2649" t="s">
        <v>13748</v>
      </c>
      <c r="T2649">
        <v>27.5</v>
      </c>
      <c r="U2649" s="2" t="s">
        <v>12333</v>
      </c>
      <c r="V2649" s="1">
        <v>45539</v>
      </c>
      <c r="W2649" t="s">
        <v>208</v>
      </c>
      <c r="X2649">
        <v>838460</v>
      </c>
      <c r="Y2649" s="2" t="s">
        <v>16728</v>
      </c>
      <c r="Z2649" s="2" t="s">
        <v>16729</v>
      </c>
      <c r="AA2649" t="s">
        <v>16730</v>
      </c>
      <c r="AB2649" s="2" t="s">
        <v>16731</v>
      </c>
      <c r="AC2649" t="s">
        <v>16732</v>
      </c>
      <c r="AD2649" t="s">
        <v>5365</v>
      </c>
      <c r="AE2649" t="s">
        <v>16733</v>
      </c>
      <c r="AG2649" t="s">
        <v>16734</v>
      </c>
      <c r="AH2649" t="s">
        <v>13754</v>
      </c>
      <c r="AI2649" t="s">
        <v>16735</v>
      </c>
    </row>
    <row r="2650" spans="2:35" ht="300">
      <c r="B2650" s="1">
        <v>45628</v>
      </c>
      <c r="C2650" s="1">
        <v>45625</v>
      </c>
      <c r="D2650" t="s">
        <v>542</v>
      </c>
      <c r="E2650" t="s">
        <v>15941</v>
      </c>
      <c r="F2650" t="s">
        <v>148</v>
      </c>
      <c r="G2650" t="s">
        <v>544</v>
      </c>
      <c r="H2650" t="s">
        <v>39</v>
      </c>
      <c r="I2650" t="s">
        <v>40</v>
      </c>
      <c r="J2650" t="s">
        <v>109</v>
      </c>
      <c r="K2650" t="s">
        <v>42</v>
      </c>
      <c r="L2650" t="s">
        <v>43</v>
      </c>
      <c r="N2650" t="s">
        <v>44</v>
      </c>
      <c r="Q2650">
        <v>29895</v>
      </c>
      <c r="R2650" t="s">
        <v>322</v>
      </c>
      <c r="S2650" t="s">
        <v>16736</v>
      </c>
      <c r="T2650">
        <v>24</v>
      </c>
      <c r="U2650" s="2" t="s">
        <v>16737</v>
      </c>
      <c r="W2650" t="s">
        <v>153</v>
      </c>
      <c r="X2650">
        <v>120000613</v>
      </c>
      <c r="Y2650" t="s">
        <v>121</v>
      </c>
      <c r="Z2650" t="s">
        <v>122</v>
      </c>
      <c r="AA2650" s="2" t="s">
        <v>123</v>
      </c>
      <c r="AB2650" t="s">
        <v>548</v>
      </c>
      <c r="AG2650" t="s">
        <v>16738</v>
      </c>
      <c r="AH2650" t="s">
        <v>16739</v>
      </c>
      <c r="AI2650" t="s">
        <v>16740</v>
      </c>
    </row>
    <row r="2651" spans="2:35" ht="300">
      <c r="B2651" s="1">
        <v>45628</v>
      </c>
      <c r="C2651" s="1">
        <v>45625</v>
      </c>
      <c r="D2651" t="s">
        <v>542</v>
      </c>
      <c r="E2651" t="s">
        <v>15941</v>
      </c>
      <c r="F2651" t="s">
        <v>148</v>
      </c>
      <c r="G2651" t="s">
        <v>544</v>
      </c>
      <c r="H2651" t="s">
        <v>39</v>
      </c>
      <c r="I2651" t="s">
        <v>40</v>
      </c>
      <c r="J2651" t="s">
        <v>109</v>
      </c>
      <c r="K2651" t="s">
        <v>42</v>
      </c>
      <c r="L2651" t="s">
        <v>43</v>
      </c>
      <c r="N2651" t="s">
        <v>44</v>
      </c>
      <c r="Q2651">
        <v>29896</v>
      </c>
      <c r="R2651" t="s">
        <v>322</v>
      </c>
      <c r="S2651" t="s">
        <v>16736</v>
      </c>
      <c r="T2651">
        <v>24</v>
      </c>
      <c r="U2651" s="2" t="s">
        <v>16741</v>
      </c>
      <c r="W2651" t="s">
        <v>153</v>
      </c>
      <c r="X2651">
        <v>110016107</v>
      </c>
      <c r="Y2651" t="s">
        <v>121</v>
      </c>
      <c r="Z2651" t="s">
        <v>122</v>
      </c>
      <c r="AA2651" s="2" t="s">
        <v>9744</v>
      </c>
      <c r="AB2651" t="s">
        <v>548</v>
      </c>
      <c r="AG2651" t="s">
        <v>16742</v>
      </c>
      <c r="AH2651" t="s">
        <v>16739</v>
      </c>
      <c r="AI2651" t="s">
        <v>16743</v>
      </c>
    </row>
    <row r="2652" spans="2:35" ht="409.5">
      <c r="B2652" s="1">
        <v>45628</v>
      </c>
      <c r="C2652" s="1">
        <v>45628</v>
      </c>
      <c r="D2652" t="s">
        <v>9823</v>
      </c>
      <c r="E2652" t="s">
        <v>16744</v>
      </c>
      <c r="F2652">
        <v>11</v>
      </c>
      <c r="G2652" t="s">
        <v>1205</v>
      </c>
      <c r="H2652" t="s">
        <v>202</v>
      </c>
      <c r="I2652" t="s">
        <v>40</v>
      </c>
      <c r="J2652" s="2" t="s">
        <v>41</v>
      </c>
      <c r="K2652" t="s">
        <v>42</v>
      </c>
      <c r="L2652" t="s">
        <v>204</v>
      </c>
      <c r="N2652" t="s">
        <v>205</v>
      </c>
      <c r="Q2652">
        <v>29894</v>
      </c>
      <c r="R2652" t="s">
        <v>119</v>
      </c>
      <c r="S2652" t="s">
        <v>7478</v>
      </c>
      <c r="T2652">
        <v>24.7</v>
      </c>
      <c r="U2652" s="2" t="s">
        <v>5722</v>
      </c>
      <c r="V2652" s="1">
        <v>45621</v>
      </c>
      <c r="W2652" t="s">
        <v>208</v>
      </c>
      <c r="X2652">
        <v>838507</v>
      </c>
      <c r="Y2652" t="s">
        <v>16745</v>
      </c>
      <c r="Z2652" s="2" t="s">
        <v>16746</v>
      </c>
      <c r="AA2652" t="s">
        <v>16747</v>
      </c>
      <c r="AB2652" t="s">
        <v>1211</v>
      </c>
      <c r="AD2652" t="s">
        <v>10253</v>
      </c>
      <c r="AE2652" t="s">
        <v>16748</v>
      </c>
      <c r="AG2652" t="s">
        <v>16749</v>
      </c>
      <c r="AH2652" t="s">
        <v>16750</v>
      </c>
      <c r="AI2652" t="s">
        <v>16751</v>
      </c>
    </row>
    <row r="2653" spans="2:35" ht="330">
      <c r="B2653" s="1">
        <v>45628</v>
      </c>
      <c r="C2653" s="1">
        <v>45624</v>
      </c>
      <c r="D2653" t="s">
        <v>1057</v>
      </c>
      <c r="E2653" t="s">
        <v>1058</v>
      </c>
      <c r="F2653">
        <v>1</v>
      </c>
      <c r="G2653" t="s">
        <v>1046</v>
      </c>
      <c r="H2653" t="s">
        <v>39</v>
      </c>
      <c r="I2653" t="s">
        <v>40</v>
      </c>
      <c r="J2653" t="s">
        <v>109</v>
      </c>
      <c r="K2653" t="s">
        <v>42</v>
      </c>
      <c r="L2653" t="s">
        <v>1048</v>
      </c>
      <c r="N2653" t="s">
        <v>1049</v>
      </c>
      <c r="Q2653">
        <v>29893</v>
      </c>
      <c r="R2653" t="s">
        <v>95</v>
      </c>
      <c r="S2653" t="s">
        <v>1059</v>
      </c>
      <c r="T2653">
        <v>30</v>
      </c>
      <c r="U2653" s="2" t="s">
        <v>16752</v>
      </c>
      <c r="W2653" t="s">
        <v>1060</v>
      </c>
      <c r="X2653">
        <v>820303</v>
      </c>
      <c r="Y2653" t="s">
        <v>1052</v>
      </c>
      <c r="Z2653" t="e">
        <f ca="1">- cleaned cartridge Bays, plunger Rods _xludf.and I-CORE
- generated reports</f>
        <v>#NAME?</v>
      </c>
      <c r="AA2653" t="s">
        <v>820</v>
      </c>
      <c r="AB2653" t="s">
        <v>1936</v>
      </c>
      <c r="AG2653" t="s">
        <v>16753</v>
      </c>
      <c r="AH2653" t="s">
        <v>3393</v>
      </c>
      <c r="AI2653" t="s">
        <v>16754</v>
      </c>
    </row>
    <row r="2654" spans="2:35" ht="105">
      <c r="B2654" s="1">
        <v>45628</v>
      </c>
      <c r="C2654" s="1">
        <v>45623</v>
      </c>
      <c r="D2654" t="s">
        <v>4528</v>
      </c>
      <c r="E2654" t="s">
        <v>4529</v>
      </c>
      <c r="F2654">
        <v>1</v>
      </c>
      <c r="G2654" t="s">
        <v>1046</v>
      </c>
      <c r="H2654" t="s">
        <v>1047</v>
      </c>
      <c r="I2654" t="s">
        <v>40</v>
      </c>
      <c r="J2654" t="s">
        <v>109</v>
      </c>
      <c r="K2654" t="s">
        <v>42</v>
      </c>
      <c r="L2654" t="s">
        <v>1048</v>
      </c>
      <c r="N2654" t="s">
        <v>1049</v>
      </c>
      <c r="Q2654">
        <v>29892</v>
      </c>
      <c r="R2654" t="s">
        <v>119</v>
      </c>
      <c r="S2654" t="s">
        <v>4530</v>
      </c>
      <c r="T2654">
        <v>27</v>
      </c>
      <c r="U2654" s="2" t="s">
        <v>16755</v>
      </c>
      <c r="W2654" t="s">
        <v>1051</v>
      </c>
      <c r="X2654">
        <v>838472</v>
      </c>
      <c r="Y2654" t="s">
        <v>1052</v>
      </c>
      <c r="Z2654" t="e">
        <f ca="1">- cleaned cartridge Bays, plunger Rods _xludf.and I-CORE
- generated reports</f>
        <v>#NAME?</v>
      </c>
      <c r="AA2654" t="s">
        <v>820</v>
      </c>
      <c r="AB2654" t="s">
        <v>1428</v>
      </c>
      <c r="AG2654" t="s">
        <v>16756</v>
      </c>
      <c r="AH2654" t="s">
        <v>4532</v>
      </c>
      <c r="AI2654" t="s">
        <v>16757</v>
      </c>
    </row>
    <row r="2655" spans="2:35" ht="105">
      <c r="B2655" s="1">
        <v>45628</v>
      </c>
      <c r="C2655" s="1">
        <v>45623</v>
      </c>
      <c r="D2655" t="s">
        <v>3732</v>
      </c>
      <c r="E2655" t="s">
        <v>3733</v>
      </c>
      <c r="F2655">
        <v>1</v>
      </c>
      <c r="G2655" t="s">
        <v>1046</v>
      </c>
      <c r="H2655" t="s">
        <v>1047</v>
      </c>
      <c r="I2655" t="s">
        <v>40</v>
      </c>
      <c r="J2655" t="s">
        <v>109</v>
      </c>
      <c r="K2655" t="s">
        <v>42</v>
      </c>
      <c r="L2655" t="s">
        <v>1048</v>
      </c>
      <c r="N2655" t="s">
        <v>1049</v>
      </c>
      <c r="Q2655">
        <v>29891</v>
      </c>
      <c r="R2655" t="s">
        <v>119</v>
      </c>
      <c r="S2655" t="s">
        <v>3734</v>
      </c>
      <c r="T2655">
        <v>25</v>
      </c>
      <c r="U2655" s="2" t="s">
        <v>16758</v>
      </c>
      <c r="V2655" s="1">
        <v>45386</v>
      </c>
      <c r="W2655" t="s">
        <v>1051</v>
      </c>
      <c r="X2655">
        <v>838473</v>
      </c>
      <c r="Y2655" t="s">
        <v>1052</v>
      </c>
      <c r="Z2655" t="e">
        <f ca="1">- cleaned cartridge Bays, plunger Rods _xludf.and I-CORE
- generated reports</f>
        <v>#NAME?</v>
      </c>
      <c r="AA2655" t="s">
        <v>820</v>
      </c>
      <c r="AB2655" t="e">
        <f ca="1">- Unit is Fully operational
- Unable to PERFORM XpertCheck, Delivered XpertCheck Kits to enduser</f>
        <v>#NAME?</v>
      </c>
      <c r="AD2655" t="s">
        <v>1958</v>
      </c>
      <c r="AE2655" t="s">
        <v>16759</v>
      </c>
      <c r="AG2655" t="s">
        <v>16760</v>
      </c>
      <c r="AH2655" t="s">
        <v>3736</v>
      </c>
      <c r="AI2655" t="s">
        <v>16761</v>
      </c>
    </row>
    <row r="2656" spans="2:35" ht="105">
      <c r="B2656" s="1">
        <v>45628</v>
      </c>
      <c r="C2656" s="1">
        <v>45610</v>
      </c>
      <c r="D2656" t="s">
        <v>3738</v>
      </c>
      <c r="E2656" t="s">
        <v>3739</v>
      </c>
      <c r="F2656">
        <v>1</v>
      </c>
      <c r="G2656" t="s">
        <v>1046</v>
      </c>
      <c r="H2656" t="s">
        <v>39</v>
      </c>
      <c r="I2656" t="s">
        <v>40</v>
      </c>
      <c r="J2656" t="s">
        <v>109</v>
      </c>
      <c r="K2656" t="s">
        <v>42</v>
      </c>
      <c r="L2656" t="s">
        <v>1048</v>
      </c>
      <c r="N2656" t="s">
        <v>1049</v>
      </c>
      <c r="Q2656">
        <v>29890</v>
      </c>
      <c r="R2656" t="s">
        <v>119</v>
      </c>
      <c r="S2656" t="s">
        <v>3740</v>
      </c>
      <c r="T2656">
        <v>29</v>
      </c>
      <c r="U2656" s="2" t="s">
        <v>7346</v>
      </c>
      <c r="W2656" t="s">
        <v>1051</v>
      </c>
      <c r="X2656">
        <v>838438</v>
      </c>
      <c r="Y2656" t="s">
        <v>1052</v>
      </c>
      <c r="Z2656" t="e">
        <f ca="1">- cleaned cartridge Bays, plunger Rods _xludf.and I-CORE
- generated reports</f>
        <v>#NAME?</v>
      </c>
      <c r="AA2656" t="s">
        <v>820</v>
      </c>
      <c r="AB2656" t="s">
        <v>1428</v>
      </c>
      <c r="AG2656" t="s">
        <v>16762</v>
      </c>
      <c r="AH2656" t="s">
        <v>3742</v>
      </c>
      <c r="AI2656" t="s">
        <v>16763</v>
      </c>
    </row>
    <row r="2657" spans="2:35" ht="225">
      <c r="B2657" s="1">
        <v>45628</v>
      </c>
      <c r="C2657" s="1">
        <v>45610</v>
      </c>
      <c r="D2657" t="s">
        <v>1057</v>
      </c>
      <c r="E2657" t="s">
        <v>16764</v>
      </c>
      <c r="F2657">
        <v>1</v>
      </c>
      <c r="G2657" t="s">
        <v>1046</v>
      </c>
      <c r="H2657" t="s">
        <v>1047</v>
      </c>
      <c r="I2657" t="s">
        <v>40</v>
      </c>
      <c r="J2657" t="s">
        <v>109</v>
      </c>
      <c r="K2657" t="s">
        <v>42</v>
      </c>
      <c r="L2657" t="s">
        <v>1048</v>
      </c>
      <c r="N2657" t="s">
        <v>1049</v>
      </c>
      <c r="Q2657">
        <v>29889</v>
      </c>
      <c r="R2657" t="s">
        <v>95</v>
      </c>
      <c r="S2657" t="s">
        <v>1059</v>
      </c>
      <c r="T2657">
        <v>30</v>
      </c>
      <c r="U2657" s="2" t="s">
        <v>16765</v>
      </c>
      <c r="W2657" t="s">
        <v>1051</v>
      </c>
      <c r="X2657">
        <v>820303</v>
      </c>
      <c r="Y2657" t="s">
        <v>16766</v>
      </c>
      <c r="Z2657" t="e">
        <f ca="1">- cleaned cartridge Bays, plunger Rods _xludf.and I-CORE
- generated reports</f>
        <v>#NAME?</v>
      </c>
      <c r="AA2657" t="s">
        <v>820</v>
      </c>
      <c r="AB2657" t="e">
        <f ca="1">- Unit is Partially operational</f>
        <v>#NAME?</v>
      </c>
      <c r="AG2657" t="s">
        <v>16767</v>
      </c>
      <c r="AH2657" t="s">
        <v>3393</v>
      </c>
      <c r="AI2657" t="s">
        <v>16768</v>
      </c>
    </row>
    <row r="2658" spans="2:35" ht="105">
      <c r="B2658" s="1">
        <v>45628</v>
      </c>
      <c r="C2658" s="1">
        <v>45610</v>
      </c>
      <c r="D2658" t="s">
        <v>4503</v>
      </c>
      <c r="E2658" t="s">
        <v>4504</v>
      </c>
      <c r="F2658">
        <v>1</v>
      </c>
      <c r="G2658" t="s">
        <v>1046</v>
      </c>
      <c r="H2658" t="s">
        <v>1047</v>
      </c>
      <c r="I2658" t="s">
        <v>40</v>
      </c>
      <c r="J2658" t="s">
        <v>109</v>
      </c>
      <c r="K2658" t="s">
        <v>42</v>
      </c>
      <c r="L2658" t="s">
        <v>1048</v>
      </c>
      <c r="N2658" t="s">
        <v>1049</v>
      </c>
      <c r="Q2658">
        <v>29888</v>
      </c>
      <c r="R2658" t="s">
        <v>119</v>
      </c>
      <c r="S2658" t="s">
        <v>4505</v>
      </c>
      <c r="T2658">
        <v>29</v>
      </c>
      <c r="U2658" s="2" t="s">
        <v>16769</v>
      </c>
      <c r="W2658" t="s">
        <v>1051</v>
      </c>
      <c r="X2658">
        <v>838516</v>
      </c>
      <c r="Y2658" t="s">
        <v>1052</v>
      </c>
      <c r="Z2658" t="e">
        <f ca="1">- cleaned cartridge Bays, plunger Rods _xludf.and I-CORE
- generated reports</f>
        <v>#NAME?</v>
      </c>
      <c r="AA2658" t="s">
        <v>820</v>
      </c>
      <c r="AB2658" t="s">
        <v>1428</v>
      </c>
      <c r="AG2658" t="s">
        <v>16770</v>
      </c>
      <c r="AH2658" t="s">
        <v>4507</v>
      </c>
      <c r="AI2658" t="s">
        <v>16771</v>
      </c>
    </row>
    <row r="2659" spans="2:35" ht="105">
      <c r="B2659" s="1">
        <v>45628</v>
      </c>
      <c r="C2659" s="1">
        <v>45628</v>
      </c>
      <c r="D2659" t="s">
        <v>16772</v>
      </c>
      <c r="E2659" t="s">
        <v>582</v>
      </c>
      <c r="F2659" t="s">
        <v>148</v>
      </c>
      <c r="G2659" t="s">
        <v>447</v>
      </c>
      <c r="H2659" t="s">
        <v>39</v>
      </c>
      <c r="I2659" t="s">
        <v>40</v>
      </c>
      <c r="J2659" t="s">
        <v>321</v>
      </c>
      <c r="K2659" t="s">
        <v>42</v>
      </c>
      <c r="L2659" t="s">
        <v>175</v>
      </c>
      <c r="N2659" t="s">
        <v>176</v>
      </c>
      <c r="O2659" t="s">
        <v>16773</v>
      </c>
      <c r="Q2659">
        <v>29887</v>
      </c>
      <c r="R2659" t="s">
        <v>703</v>
      </c>
      <c r="S2659" t="s">
        <v>16774</v>
      </c>
      <c r="T2659">
        <v>25</v>
      </c>
      <c r="W2659" t="s">
        <v>423</v>
      </c>
      <c r="X2659">
        <v>110018312</v>
      </c>
      <c r="Y2659" s="2" t="s">
        <v>16775</v>
      </c>
      <c r="Z2659" t="s">
        <v>103</v>
      </c>
      <c r="AA2659" t="e">
        <f ca="1">- installed Unit
- generated reports
- performed self test</f>
        <v>#NAME?</v>
      </c>
      <c r="AB2659" t="s">
        <v>181</v>
      </c>
      <c r="AG2659" t="s">
        <v>16776</v>
      </c>
      <c r="AH2659" t="s">
        <v>16777</v>
      </c>
      <c r="AI2659" t="s">
        <v>16778</v>
      </c>
    </row>
    <row r="2660" spans="2:35">
      <c r="B2660" s="1">
        <v>45628</v>
      </c>
      <c r="C2660" s="1">
        <v>45628</v>
      </c>
      <c r="D2660" t="s">
        <v>16772</v>
      </c>
      <c r="E2660" t="s">
        <v>8331</v>
      </c>
      <c r="F2660" t="s">
        <v>148</v>
      </c>
      <c r="G2660" t="s">
        <v>230</v>
      </c>
      <c r="H2660" t="s">
        <v>39</v>
      </c>
      <c r="I2660" t="s">
        <v>40</v>
      </c>
      <c r="J2660" t="s">
        <v>583</v>
      </c>
      <c r="K2660" t="s">
        <v>42</v>
      </c>
      <c r="L2660" t="s">
        <v>175</v>
      </c>
      <c r="N2660" t="s">
        <v>176</v>
      </c>
      <c r="Q2660">
        <v>29886</v>
      </c>
      <c r="R2660" t="s">
        <v>703</v>
      </c>
      <c r="S2660" t="s">
        <v>16779</v>
      </c>
      <c r="T2660">
        <v>25</v>
      </c>
      <c r="W2660" t="s">
        <v>423</v>
      </c>
      <c r="X2660">
        <v>110018312</v>
      </c>
      <c r="Y2660" t="s">
        <v>8255</v>
      </c>
      <c r="Z2660" t="s">
        <v>103</v>
      </c>
      <c r="AA2660" t="s">
        <v>16780</v>
      </c>
      <c r="AB2660" t="s">
        <v>11865</v>
      </c>
      <c r="AG2660" t="s">
        <v>16781</v>
      </c>
      <c r="AH2660" t="s">
        <v>14674</v>
      </c>
      <c r="AI2660" t="s">
        <v>16782</v>
      </c>
    </row>
    <row r="2661" spans="2:35">
      <c r="B2661" s="1">
        <v>45628</v>
      </c>
      <c r="C2661" s="1">
        <v>45622</v>
      </c>
      <c r="D2661" t="s">
        <v>7209</v>
      </c>
      <c r="E2661" t="s">
        <v>229</v>
      </c>
      <c r="F2661" t="s">
        <v>148</v>
      </c>
      <c r="G2661" t="s">
        <v>230</v>
      </c>
      <c r="H2661" t="s">
        <v>39</v>
      </c>
      <c r="I2661" t="s">
        <v>40</v>
      </c>
      <c r="J2661" t="s">
        <v>321</v>
      </c>
      <c r="K2661" t="s">
        <v>42</v>
      </c>
      <c r="L2661" t="s">
        <v>175</v>
      </c>
      <c r="N2661" t="s">
        <v>176</v>
      </c>
      <c r="Q2661">
        <v>29885</v>
      </c>
      <c r="R2661" t="s">
        <v>322</v>
      </c>
      <c r="S2661" t="s">
        <v>4880</v>
      </c>
      <c r="T2661">
        <v>25</v>
      </c>
      <c r="W2661" t="s">
        <v>423</v>
      </c>
      <c r="X2661">
        <v>120003480</v>
      </c>
      <c r="Y2661" t="s">
        <v>8338</v>
      </c>
      <c r="Z2661" t="s">
        <v>103</v>
      </c>
      <c r="AA2661" t="e">
        <f ca="1">- installed Unit
- performed end user GX operation training
- generated reports</f>
        <v>#NAME?</v>
      </c>
      <c r="AB2661" t="s">
        <v>181</v>
      </c>
      <c r="AG2661" t="s">
        <v>16783</v>
      </c>
      <c r="AH2661" t="s">
        <v>8257</v>
      </c>
      <c r="AI2661" t="s">
        <v>16784</v>
      </c>
    </row>
    <row r="2662" spans="2:35" ht="195">
      <c r="B2662" s="1">
        <v>45628</v>
      </c>
      <c r="C2662" s="1">
        <v>45624</v>
      </c>
      <c r="D2662" t="s">
        <v>3423</v>
      </c>
      <c r="E2662" t="s">
        <v>3116</v>
      </c>
      <c r="F2662">
        <v>7</v>
      </c>
      <c r="G2662" t="s">
        <v>432</v>
      </c>
      <c r="H2662" t="s">
        <v>386</v>
      </c>
      <c r="I2662" t="s">
        <v>40</v>
      </c>
      <c r="J2662" s="2" t="s">
        <v>760</v>
      </c>
      <c r="K2662" t="s">
        <v>387</v>
      </c>
      <c r="L2662" t="s">
        <v>610</v>
      </c>
      <c r="N2662" t="s">
        <v>611</v>
      </c>
      <c r="Q2662">
        <v>29884</v>
      </c>
      <c r="R2662" t="s">
        <v>95</v>
      </c>
      <c r="S2662" t="s">
        <v>3424</v>
      </c>
      <c r="T2662">
        <v>25</v>
      </c>
      <c r="W2662" t="s">
        <v>390</v>
      </c>
      <c r="X2662" t="s">
        <v>10711</v>
      </c>
      <c r="Y2662" t="s">
        <v>16785</v>
      </c>
      <c r="Z2662" s="2" t="s">
        <v>16786</v>
      </c>
      <c r="AA2662" t="s">
        <v>16787</v>
      </c>
      <c r="AB2662" t="s">
        <v>16788</v>
      </c>
      <c r="AG2662" t="s">
        <v>16789</v>
      </c>
      <c r="AH2662" t="s">
        <v>6049</v>
      </c>
      <c r="AI2662" t="s">
        <v>16790</v>
      </c>
    </row>
    <row r="2663" spans="2:35" ht="405">
      <c r="B2663" s="1">
        <v>45628</v>
      </c>
      <c r="C2663" s="1">
        <v>45625</v>
      </c>
      <c r="D2663" t="s">
        <v>660</v>
      </c>
      <c r="E2663" t="s">
        <v>2569</v>
      </c>
      <c r="F2663" t="s">
        <v>148</v>
      </c>
      <c r="G2663" t="s">
        <v>447</v>
      </c>
      <c r="H2663" t="s">
        <v>662</v>
      </c>
      <c r="I2663" t="s">
        <v>40</v>
      </c>
      <c r="J2663" t="s">
        <v>109</v>
      </c>
      <c r="K2663" t="s">
        <v>42</v>
      </c>
      <c r="L2663" t="s">
        <v>448</v>
      </c>
      <c r="N2663" t="s">
        <v>450</v>
      </c>
      <c r="Q2663">
        <v>29883</v>
      </c>
      <c r="R2663" t="s">
        <v>322</v>
      </c>
      <c r="S2663" t="s">
        <v>3987</v>
      </c>
      <c r="T2663">
        <v>24</v>
      </c>
      <c r="U2663" s="2" t="s">
        <v>16791</v>
      </c>
      <c r="W2663" t="s">
        <v>7420</v>
      </c>
      <c r="X2663">
        <v>110014171</v>
      </c>
      <c r="Y2663" s="2" t="s">
        <v>16792</v>
      </c>
      <c r="Z2663" s="2" t="s">
        <v>2011</v>
      </c>
      <c r="AA2663" t="s">
        <v>122</v>
      </c>
      <c r="AB2663" t="s">
        <v>16793</v>
      </c>
      <c r="AG2663" t="s">
        <v>16794</v>
      </c>
      <c r="AH2663" t="s">
        <v>16795</v>
      </c>
      <c r="AI2663" t="s">
        <v>16796</v>
      </c>
    </row>
    <row r="2664" spans="2:35" ht="300">
      <c r="B2664" s="1">
        <v>45628</v>
      </c>
      <c r="C2664" s="1">
        <v>45625</v>
      </c>
      <c r="D2664" t="s">
        <v>1145</v>
      </c>
      <c r="E2664" t="s">
        <v>473</v>
      </c>
      <c r="F2664" t="s">
        <v>148</v>
      </c>
      <c r="G2664" t="s">
        <v>447</v>
      </c>
      <c r="H2664" t="s">
        <v>150</v>
      </c>
      <c r="I2664" t="s">
        <v>40</v>
      </c>
      <c r="J2664" t="s">
        <v>109</v>
      </c>
      <c r="K2664" t="s">
        <v>42</v>
      </c>
      <c r="L2664" t="s">
        <v>448</v>
      </c>
      <c r="N2664" t="s">
        <v>450</v>
      </c>
      <c r="Q2664">
        <v>29882</v>
      </c>
      <c r="R2664" t="s">
        <v>322</v>
      </c>
      <c r="S2664" t="s">
        <v>1147</v>
      </c>
      <c r="T2664">
        <v>29</v>
      </c>
      <c r="U2664" s="2" t="s">
        <v>16797</v>
      </c>
      <c r="W2664" t="s">
        <v>6121</v>
      </c>
      <c r="X2664">
        <v>838837</v>
      </c>
      <c r="Y2664" s="2" t="s">
        <v>16798</v>
      </c>
      <c r="Z2664" s="2" t="s">
        <v>2011</v>
      </c>
      <c r="AA2664" t="s">
        <v>122</v>
      </c>
      <c r="AB2664" t="s">
        <v>16799</v>
      </c>
      <c r="AG2664" t="s">
        <v>16800</v>
      </c>
      <c r="AH2664" t="s">
        <v>1153</v>
      </c>
      <c r="AI2664" t="s">
        <v>16801</v>
      </c>
    </row>
    <row r="2665" spans="2:35" ht="409.5">
      <c r="B2665" s="1">
        <v>45628</v>
      </c>
      <c r="C2665" s="1">
        <v>45624</v>
      </c>
      <c r="D2665" t="s">
        <v>5602</v>
      </c>
      <c r="E2665" t="s">
        <v>2580</v>
      </c>
      <c r="F2665" t="s">
        <v>148</v>
      </c>
      <c r="G2665" t="s">
        <v>447</v>
      </c>
      <c r="H2665" t="s">
        <v>662</v>
      </c>
      <c r="I2665" t="s">
        <v>40</v>
      </c>
      <c r="J2665" t="s">
        <v>109</v>
      </c>
      <c r="K2665" t="s">
        <v>42</v>
      </c>
      <c r="L2665" t="s">
        <v>448</v>
      </c>
      <c r="N2665" t="s">
        <v>450</v>
      </c>
      <c r="Q2665">
        <v>29881</v>
      </c>
      <c r="R2665" t="s">
        <v>322</v>
      </c>
      <c r="S2665" t="s">
        <v>5604</v>
      </c>
      <c r="T2665">
        <v>25</v>
      </c>
      <c r="U2665" s="2" t="s">
        <v>16802</v>
      </c>
      <c r="W2665" t="s">
        <v>7420</v>
      </c>
      <c r="X2665">
        <v>110005587</v>
      </c>
      <c r="Y2665" s="2" t="s">
        <v>16803</v>
      </c>
      <c r="Z2665" s="2" t="s">
        <v>2011</v>
      </c>
      <c r="AA2665" t="s">
        <v>122</v>
      </c>
      <c r="AB2665" t="s">
        <v>16804</v>
      </c>
      <c r="AG2665" t="s">
        <v>16805</v>
      </c>
      <c r="AH2665" t="s">
        <v>7424</v>
      </c>
      <c r="AI2665" t="s">
        <v>16806</v>
      </c>
    </row>
    <row r="2666" spans="2:35" ht="409.5">
      <c r="B2666" s="1">
        <v>45628</v>
      </c>
      <c r="C2666" s="1">
        <v>45624</v>
      </c>
      <c r="D2666" t="s">
        <v>16807</v>
      </c>
      <c r="E2666" t="s">
        <v>2580</v>
      </c>
      <c r="F2666" t="s">
        <v>148</v>
      </c>
      <c r="G2666" t="s">
        <v>447</v>
      </c>
      <c r="H2666" t="s">
        <v>662</v>
      </c>
      <c r="I2666" t="s">
        <v>40</v>
      </c>
      <c r="J2666" t="s">
        <v>109</v>
      </c>
      <c r="K2666" t="s">
        <v>42</v>
      </c>
      <c r="L2666" t="s">
        <v>448</v>
      </c>
      <c r="N2666" t="s">
        <v>450</v>
      </c>
      <c r="Q2666">
        <v>29880</v>
      </c>
      <c r="R2666" t="s">
        <v>322</v>
      </c>
      <c r="S2666" t="s">
        <v>5604</v>
      </c>
      <c r="T2666">
        <v>28</v>
      </c>
      <c r="U2666" s="2" t="s">
        <v>16808</v>
      </c>
      <c r="W2666" t="s">
        <v>6121</v>
      </c>
      <c r="X2666">
        <v>838524</v>
      </c>
      <c r="Y2666" s="2" t="s">
        <v>16809</v>
      </c>
      <c r="Z2666" s="2" t="s">
        <v>2011</v>
      </c>
      <c r="AA2666" t="s">
        <v>122</v>
      </c>
      <c r="AB2666" t="s">
        <v>16810</v>
      </c>
      <c r="AC2666" t="s">
        <v>16811</v>
      </c>
      <c r="AG2666" t="s">
        <v>16812</v>
      </c>
      <c r="AH2666" t="s">
        <v>7424</v>
      </c>
      <c r="AI2666" t="s">
        <v>16813</v>
      </c>
    </row>
    <row r="2667" spans="2:35" ht="405">
      <c r="B2667" s="1">
        <v>45628</v>
      </c>
      <c r="C2667" s="1">
        <v>45624</v>
      </c>
      <c r="D2667" t="s">
        <v>5602</v>
      </c>
      <c r="E2667" t="s">
        <v>2580</v>
      </c>
      <c r="F2667" t="s">
        <v>148</v>
      </c>
      <c r="G2667" t="s">
        <v>447</v>
      </c>
      <c r="H2667" t="s">
        <v>662</v>
      </c>
      <c r="I2667" t="s">
        <v>40</v>
      </c>
      <c r="J2667" t="s">
        <v>109</v>
      </c>
      <c r="K2667" t="s">
        <v>42</v>
      </c>
      <c r="L2667" t="s">
        <v>448</v>
      </c>
      <c r="N2667" t="s">
        <v>450</v>
      </c>
      <c r="Q2667">
        <v>29879</v>
      </c>
      <c r="R2667" t="s">
        <v>322</v>
      </c>
      <c r="S2667" t="s">
        <v>5604</v>
      </c>
      <c r="T2667">
        <v>26</v>
      </c>
      <c r="U2667" s="2" t="s">
        <v>16814</v>
      </c>
      <c r="W2667" t="s">
        <v>7420</v>
      </c>
      <c r="X2667">
        <v>804476</v>
      </c>
      <c r="Y2667" s="2" t="s">
        <v>16815</v>
      </c>
      <c r="Z2667" s="2" t="s">
        <v>2011</v>
      </c>
      <c r="AA2667" t="s">
        <v>122</v>
      </c>
      <c r="AB2667" t="s">
        <v>16816</v>
      </c>
      <c r="AC2667" t="s">
        <v>16817</v>
      </c>
      <c r="AG2667" t="s">
        <v>16818</v>
      </c>
      <c r="AH2667" t="s">
        <v>5609</v>
      </c>
      <c r="AI2667" t="s">
        <v>16819</v>
      </c>
    </row>
    <row r="2668" spans="2:35" ht="195">
      <c r="B2668" s="1">
        <v>45627</v>
      </c>
      <c r="C2668" s="1">
        <v>45623</v>
      </c>
      <c r="D2668" t="s">
        <v>965</v>
      </c>
      <c r="E2668" t="s">
        <v>15826</v>
      </c>
      <c r="F2668">
        <v>12</v>
      </c>
      <c r="G2668" t="s">
        <v>294</v>
      </c>
      <c r="H2668" t="s">
        <v>1473</v>
      </c>
      <c r="I2668" t="s">
        <v>40</v>
      </c>
      <c r="J2668" t="s">
        <v>109</v>
      </c>
      <c r="K2668" t="s">
        <v>42</v>
      </c>
      <c r="L2668" t="s">
        <v>296</v>
      </c>
      <c r="N2668" t="s">
        <v>297</v>
      </c>
      <c r="Q2668">
        <v>29878</v>
      </c>
      <c r="R2668" t="s">
        <v>967</v>
      </c>
      <c r="S2668" t="s">
        <v>12658</v>
      </c>
      <c r="T2668">
        <v>26.8</v>
      </c>
      <c r="U2668" s="2" t="s">
        <v>7707</v>
      </c>
      <c r="W2668" t="s">
        <v>970</v>
      </c>
      <c r="X2668">
        <v>110023520</v>
      </c>
      <c r="Y2668" t="s">
        <v>54</v>
      </c>
      <c r="Z2668" t="s">
        <v>9161</v>
      </c>
      <c r="AA2668" s="2" t="s">
        <v>14327</v>
      </c>
      <c r="AB2668" t="s">
        <v>972</v>
      </c>
      <c r="AG2668" t="s">
        <v>16820</v>
      </c>
      <c r="AH2668" t="s">
        <v>12663</v>
      </c>
      <c r="AI2668" t="s">
        <v>16821</v>
      </c>
    </row>
    <row r="2669" spans="2:35" ht="195">
      <c r="B2669" s="1">
        <v>45627</v>
      </c>
      <c r="C2669" s="1">
        <v>45624</v>
      </c>
      <c r="D2669" t="s">
        <v>5017</v>
      </c>
      <c r="E2669" t="s">
        <v>16822</v>
      </c>
      <c r="F2669">
        <v>12</v>
      </c>
      <c r="G2669" t="s">
        <v>978</v>
      </c>
      <c r="H2669" t="s">
        <v>1473</v>
      </c>
      <c r="I2669" t="s">
        <v>40</v>
      </c>
      <c r="J2669" t="s">
        <v>109</v>
      </c>
      <c r="K2669" t="s">
        <v>387</v>
      </c>
      <c r="L2669" t="s">
        <v>296</v>
      </c>
      <c r="N2669" t="s">
        <v>297</v>
      </c>
      <c r="Q2669">
        <v>29877</v>
      </c>
      <c r="R2669" t="s">
        <v>119</v>
      </c>
      <c r="S2669" t="s">
        <v>5019</v>
      </c>
      <c r="T2669">
        <v>28.7</v>
      </c>
      <c r="W2669" t="s">
        <v>981</v>
      </c>
      <c r="X2669">
        <v>838569</v>
      </c>
      <c r="Y2669" t="s">
        <v>54</v>
      </c>
      <c r="Z2669" t="s">
        <v>9161</v>
      </c>
      <c r="AA2669" s="2" t="s">
        <v>14327</v>
      </c>
      <c r="AB2669" t="s">
        <v>972</v>
      </c>
      <c r="AG2669" t="s">
        <v>16823</v>
      </c>
      <c r="AH2669" t="s">
        <v>7713</v>
      </c>
      <c r="AI2669" t="s">
        <v>16824</v>
      </c>
    </row>
    <row r="2670" spans="2:35" ht="409.5">
      <c r="B2670" s="1">
        <v>45625</v>
      </c>
      <c r="C2670" s="1">
        <v>45625</v>
      </c>
      <c r="D2670" t="s">
        <v>11265</v>
      </c>
      <c r="E2670" t="s">
        <v>11266</v>
      </c>
      <c r="F2670">
        <v>3</v>
      </c>
      <c r="G2670" t="s">
        <v>1722</v>
      </c>
      <c r="H2670" t="s">
        <v>39</v>
      </c>
      <c r="I2670" t="s">
        <v>40</v>
      </c>
      <c r="J2670" t="s">
        <v>109</v>
      </c>
      <c r="K2670" t="s">
        <v>42</v>
      </c>
      <c r="L2670" t="s">
        <v>63</v>
      </c>
      <c r="N2670" t="s">
        <v>64</v>
      </c>
      <c r="Q2670">
        <v>29876</v>
      </c>
      <c r="R2670" t="s">
        <v>322</v>
      </c>
      <c r="S2670" t="s">
        <v>11267</v>
      </c>
      <c r="T2670">
        <v>22</v>
      </c>
      <c r="U2670" s="2" t="s">
        <v>16825</v>
      </c>
      <c r="W2670" t="s">
        <v>66</v>
      </c>
      <c r="X2670">
        <v>110013773</v>
      </c>
      <c r="Y2670" t="s">
        <v>2692</v>
      </c>
      <c r="Z2670" s="2" t="s">
        <v>16826</v>
      </c>
      <c r="AA2670" s="2" t="s">
        <v>7015</v>
      </c>
      <c r="AB2670" t="s">
        <v>70</v>
      </c>
      <c r="AG2670" t="s">
        <v>16827</v>
      </c>
      <c r="AH2670" t="s">
        <v>16828</v>
      </c>
      <c r="AI2670" t="s">
        <v>16829</v>
      </c>
    </row>
    <row r="2671" spans="2:35" ht="255">
      <c r="B2671" s="1">
        <v>45625</v>
      </c>
      <c r="C2671" s="1">
        <v>45625</v>
      </c>
      <c r="D2671" t="s">
        <v>16830</v>
      </c>
      <c r="E2671" t="s">
        <v>1555</v>
      </c>
      <c r="F2671">
        <v>7</v>
      </c>
      <c r="G2671" t="s">
        <v>432</v>
      </c>
      <c r="H2671" t="s">
        <v>16831</v>
      </c>
      <c r="I2671" t="s">
        <v>40</v>
      </c>
      <c r="J2671" t="s">
        <v>109</v>
      </c>
      <c r="K2671" t="s">
        <v>42</v>
      </c>
      <c r="L2671" t="s">
        <v>594</v>
      </c>
      <c r="N2671" t="s">
        <v>595</v>
      </c>
      <c r="Q2671">
        <v>29875</v>
      </c>
      <c r="R2671" t="s">
        <v>95</v>
      </c>
      <c r="S2671" t="s">
        <v>11367</v>
      </c>
      <c r="T2671">
        <v>23</v>
      </c>
      <c r="V2671" s="1">
        <v>45625</v>
      </c>
      <c r="W2671" t="s">
        <v>360</v>
      </c>
      <c r="X2671">
        <v>814150</v>
      </c>
      <c r="Y2671" t="s">
        <v>16832</v>
      </c>
      <c r="Z2671" s="2" t="s">
        <v>16833</v>
      </c>
      <c r="AA2671" s="2" t="s">
        <v>16834</v>
      </c>
      <c r="AB2671" t="s">
        <v>16835</v>
      </c>
      <c r="AG2671" t="s">
        <v>16836</v>
      </c>
      <c r="AH2671" t="s">
        <v>16837</v>
      </c>
      <c r="AI2671" t="s">
        <v>16838</v>
      </c>
    </row>
    <row r="2672" spans="2:35" ht="300">
      <c r="B2672" s="1">
        <v>45625</v>
      </c>
      <c r="C2672" s="1">
        <v>45625</v>
      </c>
      <c r="D2672" t="s">
        <v>542</v>
      </c>
      <c r="E2672" t="s">
        <v>15941</v>
      </c>
      <c r="F2672" t="s">
        <v>148</v>
      </c>
      <c r="G2672" t="s">
        <v>544</v>
      </c>
      <c r="H2672" t="s">
        <v>39</v>
      </c>
      <c r="I2672" t="s">
        <v>40</v>
      </c>
      <c r="J2672" s="2" t="s">
        <v>1808</v>
      </c>
      <c r="K2672" t="s">
        <v>42</v>
      </c>
      <c r="L2672" t="s">
        <v>43</v>
      </c>
      <c r="N2672" t="s">
        <v>44</v>
      </c>
      <c r="Q2672">
        <v>29874</v>
      </c>
      <c r="R2672" t="s">
        <v>322</v>
      </c>
      <c r="S2672" t="s">
        <v>16736</v>
      </c>
      <c r="T2672">
        <v>22</v>
      </c>
      <c r="W2672" t="s">
        <v>153</v>
      </c>
      <c r="X2672">
        <v>110024073</v>
      </c>
      <c r="Y2672" t="s">
        <v>750</v>
      </c>
      <c r="Z2672" t="s">
        <v>751</v>
      </c>
      <c r="AA2672" s="2" t="s">
        <v>16839</v>
      </c>
      <c r="AB2672" t="s">
        <v>548</v>
      </c>
      <c r="AG2672" t="s">
        <v>16840</v>
      </c>
      <c r="AH2672" t="s">
        <v>16739</v>
      </c>
      <c r="AI2672" t="s">
        <v>16841</v>
      </c>
    </row>
    <row r="2673" spans="2:35" ht="300">
      <c r="B2673" s="1">
        <v>45625</v>
      </c>
      <c r="C2673" s="1">
        <v>45625</v>
      </c>
      <c r="D2673" t="s">
        <v>542</v>
      </c>
      <c r="E2673" t="s">
        <v>15941</v>
      </c>
      <c r="F2673" t="s">
        <v>148</v>
      </c>
      <c r="G2673" t="s">
        <v>544</v>
      </c>
      <c r="H2673" t="s">
        <v>39</v>
      </c>
      <c r="I2673" t="s">
        <v>40</v>
      </c>
      <c r="J2673" s="2" t="s">
        <v>1808</v>
      </c>
      <c r="K2673" t="s">
        <v>42</v>
      </c>
      <c r="L2673" t="s">
        <v>43</v>
      </c>
      <c r="N2673" t="s">
        <v>44</v>
      </c>
      <c r="Q2673">
        <v>29873</v>
      </c>
      <c r="R2673" t="s">
        <v>322</v>
      </c>
      <c r="S2673" t="s">
        <v>16736</v>
      </c>
      <c r="T2673">
        <v>22</v>
      </c>
      <c r="W2673" t="s">
        <v>153</v>
      </c>
      <c r="X2673">
        <v>110024072</v>
      </c>
      <c r="Y2673" t="s">
        <v>750</v>
      </c>
      <c r="Z2673" t="s">
        <v>751</v>
      </c>
      <c r="AA2673" s="2" t="s">
        <v>16842</v>
      </c>
      <c r="AB2673" t="s">
        <v>548</v>
      </c>
      <c r="AG2673" t="s">
        <v>16843</v>
      </c>
      <c r="AH2673" t="s">
        <v>16739</v>
      </c>
      <c r="AI2673" t="s">
        <v>16844</v>
      </c>
    </row>
    <row r="2674" spans="2:35" ht="120">
      <c r="B2674" s="1">
        <v>45625</v>
      </c>
      <c r="C2674" s="1">
        <v>45625</v>
      </c>
      <c r="D2674" t="s">
        <v>7939</v>
      </c>
      <c r="E2674" t="s">
        <v>7940</v>
      </c>
      <c r="F2674">
        <v>5</v>
      </c>
      <c r="G2674" t="s">
        <v>5795</v>
      </c>
      <c r="H2674" t="s">
        <v>39</v>
      </c>
      <c r="I2674" t="s">
        <v>94</v>
      </c>
      <c r="J2674" t="s">
        <v>109</v>
      </c>
      <c r="K2674" t="s">
        <v>42</v>
      </c>
      <c r="L2674" t="s">
        <v>761</v>
      </c>
      <c r="N2674" t="s">
        <v>762</v>
      </c>
      <c r="Q2674">
        <v>29872</v>
      </c>
      <c r="R2674" t="s">
        <v>119</v>
      </c>
      <c r="S2674" t="s">
        <v>16845</v>
      </c>
      <c r="T2674">
        <v>24</v>
      </c>
      <c r="U2674" s="2" t="s">
        <v>9827</v>
      </c>
      <c r="W2674" t="s">
        <v>765</v>
      </c>
      <c r="X2674">
        <v>838207</v>
      </c>
      <c r="Y2674" t="s">
        <v>7304</v>
      </c>
      <c r="Z2674" s="2" t="s">
        <v>4466</v>
      </c>
      <c r="AA2674" t="s">
        <v>820</v>
      </c>
      <c r="AB2674" t="s">
        <v>70</v>
      </c>
      <c r="AG2674" t="s">
        <v>16846</v>
      </c>
      <c r="AH2674" t="s">
        <v>16847</v>
      </c>
      <c r="AI2674" t="s">
        <v>16848</v>
      </c>
    </row>
    <row r="2675" spans="2:35" ht="285">
      <c r="B2675" s="1">
        <v>45625</v>
      </c>
      <c r="C2675" s="1">
        <v>45625</v>
      </c>
      <c r="D2675" t="s">
        <v>1071</v>
      </c>
      <c r="E2675" t="s">
        <v>12328</v>
      </c>
      <c r="F2675">
        <v>7</v>
      </c>
      <c r="G2675" t="s">
        <v>432</v>
      </c>
      <c r="H2675" t="s">
        <v>150</v>
      </c>
      <c r="I2675" t="s">
        <v>40</v>
      </c>
      <c r="J2675" t="s">
        <v>109</v>
      </c>
      <c r="K2675" t="s">
        <v>42</v>
      </c>
      <c r="L2675" t="s">
        <v>343</v>
      </c>
      <c r="N2675" t="s">
        <v>344</v>
      </c>
      <c r="Q2675">
        <v>29871</v>
      </c>
      <c r="R2675" t="s">
        <v>119</v>
      </c>
      <c r="S2675" t="s">
        <v>8679</v>
      </c>
      <c r="T2675">
        <v>30</v>
      </c>
      <c r="U2675" s="2" t="s">
        <v>16849</v>
      </c>
      <c r="W2675" t="s">
        <v>1501</v>
      </c>
      <c r="X2675">
        <v>838285</v>
      </c>
      <c r="Y2675" t="s">
        <v>8412</v>
      </c>
      <c r="Z2675" t="e">
        <f ca="1">-Preventive Maintenance</f>
        <v>#NAME?</v>
      </c>
      <c r="AA2675" t="e">
        <f ca="1">-Preventive Maintenance</f>
        <v>#NAME?</v>
      </c>
      <c r="AB2675" t="s">
        <v>16150</v>
      </c>
      <c r="AG2675" t="s">
        <v>16850</v>
      </c>
      <c r="AH2675" t="s">
        <v>16851</v>
      </c>
      <c r="AI2675" t="s">
        <v>16852</v>
      </c>
    </row>
    <row r="2676" spans="2:35" ht="120">
      <c r="B2676" s="1">
        <v>45625</v>
      </c>
      <c r="C2676" s="1">
        <v>45625</v>
      </c>
      <c r="D2676" t="s">
        <v>6943</v>
      </c>
      <c r="E2676" t="s">
        <v>6944</v>
      </c>
      <c r="F2676">
        <v>5</v>
      </c>
      <c r="G2676" t="s">
        <v>5795</v>
      </c>
      <c r="H2676" t="s">
        <v>39</v>
      </c>
      <c r="I2676" t="s">
        <v>94</v>
      </c>
      <c r="J2676" t="s">
        <v>109</v>
      </c>
      <c r="K2676" t="s">
        <v>42</v>
      </c>
      <c r="L2676" t="s">
        <v>761</v>
      </c>
      <c r="N2676" t="s">
        <v>762</v>
      </c>
      <c r="Q2676">
        <v>29870</v>
      </c>
      <c r="R2676" t="s">
        <v>119</v>
      </c>
      <c r="S2676" t="s">
        <v>5796</v>
      </c>
      <c r="T2676">
        <v>29</v>
      </c>
      <c r="U2676" s="2" t="s">
        <v>14345</v>
      </c>
      <c r="W2676" t="s">
        <v>765</v>
      </c>
      <c r="X2676">
        <v>838576</v>
      </c>
      <c r="Y2676" t="s">
        <v>818</v>
      </c>
      <c r="Z2676" s="2" t="s">
        <v>7933</v>
      </c>
      <c r="AA2676" t="s">
        <v>820</v>
      </c>
      <c r="AB2676" t="s">
        <v>70</v>
      </c>
      <c r="AG2676" t="s">
        <v>16853</v>
      </c>
      <c r="AH2676" t="s">
        <v>5805</v>
      </c>
      <c r="AI2676" t="s">
        <v>16854</v>
      </c>
    </row>
    <row r="2677" spans="2:35" ht="225">
      <c r="B2677" s="1">
        <v>45625</v>
      </c>
      <c r="C2677" s="1">
        <v>45624</v>
      </c>
      <c r="D2677" t="s">
        <v>3030</v>
      </c>
      <c r="E2677" t="s">
        <v>3031</v>
      </c>
      <c r="F2677" t="s">
        <v>37</v>
      </c>
      <c r="G2677" t="s">
        <v>38</v>
      </c>
      <c r="H2677" t="s">
        <v>39</v>
      </c>
      <c r="I2677" t="s">
        <v>40</v>
      </c>
      <c r="J2677" t="s">
        <v>109</v>
      </c>
      <c r="K2677" t="s">
        <v>42</v>
      </c>
      <c r="L2677" t="s">
        <v>43</v>
      </c>
      <c r="N2677" t="s">
        <v>44</v>
      </c>
      <c r="Q2677">
        <v>29869</v>
      </c>
      <c r="R2677" t="s">
        <v>967</v>
      </c>
      <c r="S2677" t="s">
        <v>3032</v>
      </c>
      <c r="T2677">
        <v>22</v>
      </c>
      <c r="U2677" s="2" t="s">
        <v>16855</v>
      </c>
      <c r="W2677" t="s">
        <v>153</v>
      </c>
      <c r="X2677">
        <v>110023496</v>
      </c>
      <c r="Y2677" t="s">
        <v>121</v>
      </c>
      <c r="Z2677" t="s">
        <v>122</v>
      </c>
      <c r="AA2677" s="2" t="s">
        <v>9744</v>
      </c>
      <c r="AB2677" t="s">
        <v>548</v>
      </c>
      <c r="AG2677" t="s">
        <v>16856</v>
      </c>
      <c r="AH2677" t="s">
        <v>12303</v>
      </c>
      <c r="AI2677" t="s">
        <v>16857</v>
      </c>
    </row>
    <row r="2678" spans="2:35" ht="240">
      <c r="B2678" s="1">
        <v>45624</v>
      </c>
      <c r="C2678" s="1">
        <v>45624</v>
      </c>
      <c r="D2678" t="s">
        <v>3712</v>
      </c>
      <c r="E2678" t="s">
        <v>3713</v>
      </c>
      <c r="F2678" t="s">
        <v>148</v>
      </c>
      <c r="G2678" t="s">
        <v>310</v>
      </c>
      <c r="H2678" t="s">
        <v>2274</v>
      </c>
      <c r="I2678" t="s">
        <v>40</v>
      </c>
      <c r="J2678" t="s">
        <v>79</v>
      </c>
      <c r="K2678" t="s">
        <v>387</v>
      </c>
      <c r="L2678" t="s">
        <v>1943</v>
      </c>
      <c r="N2678" t="s">
        <v>1944</v>
      </c>
      <c r="Q2678">
        <v>29868</v>
      </c>
      <c r="R2678" t="s">
        <v>322</v>
      </c>
      <c r="S2678" t="s">
        <v>3824</v>
      </c>
      <c r="T2678">
        <v>25</v>
      </c>
      <c r="V2678" s="1">
        <v>45624</v>
      </c>
      <c r="W2678" t="s">
        <v>390</v>
      </c>
      <c r="X2678" t="s">
        <v>4180</v>
      </c>
      <c r="Y2678" t="s">
        <v>16858</v>
      </c>
      <c r="Z2678" t="s">
        <v>16859</v>
      </c>
      <c r="AA2678" s="2" t="s">
        <v>16860</v>
      </c>
      <c r="AB2678" t="s">
        <v>16861</v>
      </c>
      <c r="AD2678" t="s">
        <v>16862</v>
      </c>
      <c r="AE2678" t="s">
        <v>16863</v>
      </c>
      <c r="AG2678" t="s">
        <v>16864</v>
      </c>
      <c r="AH2678" t="s">
        <v>3717</v>
      </c>
      <c r="AI2678" t="s">
        <v>16865</v>
      </c>
    </row>
    <row r="2679" spans="2:35" ht="240">
      <c r="B2679" s="1">
        <v>45624</v>
      </c>
      <c r="C2679" s="1">
        <v>45624</v>
      </c>
      <c r="D2679" t="s">
        <v>3712</v>
      </c>
      <c r="E2679" t="s">
        <v>3713</v>
      </c>
      <c r="F2679" t="s">
        <v>148</v>
      </c>
      <c r="G2679" t="s">
        <v>310</v>
      </c>
      <c r="H2679" t="s">
        <v>2274</v>
      </c>
      <c r="I2679" t="s">
        <v>40</v>
      </c>
      <c r="J2679" s="2" t="s">
        <v>41</v>
      </c>
      <c r="K2679" t="s">
        <v>387</v>
      </c>
      <c r="L2679" t="s">
        <v>1943</v>
      </c>
      <c r="N2679" t="s">
        <v>1944</v>
      </c>
      <c r="Q2679">
        <v>29867</v>
      </c>
      <c r="R2679" t="s">
        <v>322</v>
      </c>
      <c r="S2679" t="s">
        <v>3824</v>
      </c>
      <c r="T2679">
        <v>25</v>
      </c>
      <c r="V2679" s="1">
        <v>45624</v>
      </c>
      <c r="W2679" t="s">
        <v>390</v>
      </c>
      <c r="X2679" t="s">
        <v>16210</v>
      </c>
      <c r="Y2679" t="s">
        <v>16866</v>
      </c>
      <c r="Z2679" t="s">
        <v>16859</v>
      </c>
      <c r="AA2679" s="2" t="s">
        <v>16867</v>
      </c>
      <c r="AB2679" t="s">
        <v>6032</v>
      </c>
      <c r="AD2679" t="s">
        <v>16868</v>
      </c>
      <c r="AE2679" t="s">
        <v>16869</v>
      </c>
      <c r="AG2679" t="s">
        <v>16870</v>
      </c>
      <c r="AH2679" t="s">
        <v>12712</v>
      </c>
      <c r="AI2679" t="s">
        <v>16871</v>
      </c>
    </row>
    <row r="2680" spans="2:35" ht="180">
      <c r="B2680" s="1">
        <v>45624</v>
      </c>
      <c r="C2680" s="1">
        <v>45624</v>
      </c>
      <c r="D2680" t="s">
        <v>2233</v>
      </c>
      <c r="E2680" t="s">
        <v>9633</v>
      </c>
      <c r="F2680">
        <v>7</v>
      </c>
      <c r="G2680" t="s">
        <v>432</v>
      </c>
      <c r="H2680" t="s">
        <v>258</v>
      </c>
      <c r="I2680" t="s">
        <v>40</v>
      </c>
      <c r="J2680" t="s">
        <v>109</v>
      </c>
      <c r="K2680" t="s">
        <v>42</v>
      </c>
      <c r="L2680" t="s">
        <v>594</v>
      </c>
      <c r="N2680" t="s">
        <v>595</v>
      </c>
      <c r="O2680" t="s">
        <v>595</v>
      </c>
      <c r="Q2680">
        <v>29866</v>
      </c>
      <c r="R2680" t="s">
        <v>119</v>
      </c>
      <c r="S2680" t="s">
        <v>2235</v>
      </c>
      <c r="T2680">
        <v>23</v>
      </c>
      <c r="V2680" s="1">
        <v>45624</v>
      </c>
      <c r="W2680" t="s">
        <v>2384</v>
      </c>
      <c r="X2680">
        <v>838231</v>
      </c>
      <c r="Y2680" s="2" t="s">
        <v>16872</v>
      </c>
      <c r="Z2680" s="2" t="s">
        <v>16873</v>
      </c>
      <c r="AA2680" t="s">
        <v>16874</v>
      </c>
      <c r="AB2680" t="s">
        <v>16590</v>
      </c>
      <c r="AG2680" t="s">
        <v>16875</v>
      </c>
      <c r="AH2680" t="s">
        <v>2241</v>
      </c>
      <c r="AI2680" t="s">
        <v>16876</v>
      </c>
    </row>
    <row r="2681" spans="2:35" ht="150">
      <c r="B2681" s="1">
        <v>45624</v>
      </c>
      <c r="C2681" s="1">
        <v>45624</v>
      </c>
      <c r="D2681" t="s">
        <v>8698</v>
      </c>
      <c r="E2681" t="s">
        <v>8699</v>
      </c>
      <c r="F2681">
        <v>5</v>
      </c>
      <c r="G2681" t="s">
        <v>839</v>
      </c>
      <c r="H2681" t="s">
        <v>39</v>
      </c>
      <c r="I2681" t="s">
        <v>94</v>
      </c>
      <c r="J2681" t="s">
        <v>109</v>
      </c>
      <c r="K2681" t="s">
        <v>42</v>
      </c>
      <c r="L2681" t="s">
        <v>761</v>
      </c>
      <c r="N2681" t="s">
        <v>762</v>
      </c>
      <c r="Q2681">
        <v>29865</v>
      </c>
      <c r="R2681" t="s">
        <v>119</v>
      </c>
      <c r="S2681" t="s">
        <v>8700</v>
      </c>
      <c r="T2681">
        <v>29</v>
      </c>
      <c r="U2681" s="2" t="s">
        <v>13744</v>
      </c>
      <c r="W2681" t="s">
        <v>765</v>
      </c>
      <c r="X2681">
        <v>838560</v>
      </c>
      <c r="Y2681" t="s">
        <v>818</v>
      </c>
      <c r="Z2681" s="2" t="s">
        <v>16877</v>
      </c>
      <c r="AA2681" t="s">
        <v>820</v>
      </c>
      <c r="AB2681" t="s">
        <v>70</v>
      </c>
      <c r="AG2681" t="s">
        <v>16878</v>
      </c>
      <c r="AH2681" t="s">
        <v>16879</v>
      </c>
      <c r="AI2681" t="s">
        <v>16880</v>
      </c>
    </row>
    <row r="2682" spans="2:35" ht="405">
      <c r="B2682" s="1">
        <v>45624</v>
      </c>
      <c r="C2682" s="1">
        <v>45623</v>
      </c>
      <c r="D2682" t="s">
        <v>472</v>
      </c>
      <c r="E2682" t="s">
        <v>16881</v>
      </c>
      <c r="F2682" t="s">
        <v>148</v>
      </c>
      <c r="G2682" t="s">
        <v>447</v>
      </c>
      <c r="H2682" t="s">
        <v>16058</v>
      </c>
      <c r="I2682" t="s">
        <v>40</v>
      </c>
      <c r="J2682" t="s">
        <v>109</v>
      </c>
      <c r="K2682" t="s">
        <v>387</v>
      </c>
      <c r="L2682" t="s">
        <v>448</v>
      </c>
      <c r="N2682" t="s">
        <v>450</v>
      </c>
      <c r="O2682" t="s">
        <v>6331</v>
      </c>
      <c r="Q2682">
        <v>29864</v>
      </c>
      <c r="R2682" t="s">
        <v>322</v>
      </c>
      <c r="S2682" t="s">
        <v>6331</v>
      </c>
      <c r="T2682">
        <v>28</v>
      </c>
      <c r="W2682" t="s">
        <v>476</v>
      </c>
      <c r="X2682" t="s">
        <v>477</v>
      </c>
      <c r="Y2682" t="s">
        <v>485</v>
      </c>
      <c r="Z2682" s="2" t="s">
        <v>6718</v>
      </c>
      <c r="AA2682" t="s">
        <v>122</v>
      </c>
      <c r="AB2682" t="s">
        <v>486</v>
      </c>
      <c r="AG2682" t="s">
        <v>16882</v>
      </c>
      <c r="AH2682" t="s">
        <v>16064</v>
      </c>
      <c r="AI2682" t="s">
        <v>16883</v>
      </c>
    </row>
    <row r="2683" spans="2:35" ht="405">
      <c r="B2683" s="1">
        <v>45624</v>
      </c>
      <c r="C2683" s="1">
        <v>45623</v>
      </c>
      <c r="D2683" t="s">
        <v>472</v>
      </c>
      <c r="E2683" t="s">
        <v>473</v>
      </c>
      <c r="F2683" t="s">
        <v>148</v>
      </c>
      <c r="G2683" t="s">
        <v>447</v>
      </c>
      <c r="H2683" t="s">
        <v>16884</v>
      </c>
      <c r="I2683" t="s">
        <v>40</v>
      </c>
      <c r="J2683" t="s">
        <v>109</v>
      </c>
      <c r="K2683" t="s">
        <v>387</v>
      </c>
      <c r="L2683" t="s">
        <v>448</v>
      </c>
      <c r="N2683" t="s">
        <v>450</v>
      </c>
      <c r="O2683" t="s">
        <v>6331</v>
      </c>
      <c r="Q2683">
        <v>29863</v>
      </c>
      <c r="R2683" t="s">
        <v>322</v>
      </c>
      <c r="S2683" t="s">
        <v>6331</v>
      </c>
      <c r="T2683">
        <v>28</v>
      </c>
      <c r="W2683" t="s">
        <v>390</v>
      </c>
      <c r="X2683" t="s">
        <v>492</v>
      </c>
      <c r="Y2683" t="s">
        <v>485</v>
      </c>
      <c r="Z2683" s="2" t="s">
        <v>6718</v>
      </c>
      <c r="AA2683" t="s">
        <v>16885</v>
      </c>
      <c r="AB2683" t="s">
        <v>486</v>
      </c>
      <c r="AG2683" t="s">
        <v>16886</v>
      </c>
      <c r="AH2683" t="s">
        <v>16887</v>
      </c>
      <c r="AI2683" t="s">
        <v>16888</v>
      </c>
    </row>
    <row r="2684" spans="2:35" ht="360">
      <c r="B2684" s="1">
        <v>45623</v>
      </c>
      <c r="C2684" s="1">
        <v>45623</v>
      </c>
      <c r="D2684" t="s">
        <v>9326</v>
      </c>
      <c r="E2684" t="s">
        <v>7572</v>
      </c>
      <c r="F2684">
        <v>3</v>
      </c>
      <c r="G2684" t="s">
        <v>134</v>
      </c>
      <c r="H2684" t="s">
        <v>39</v>
      </c>
      <c r="I2684" t="s">
        <v>40</v>
      </c>
      <c r="J2684" t="s">
        <v>109</v>
      </c>
      <c r="K2684" t="s">
        <v>42</v>
      </c>
      <c r="L2684" t="s">
        <v>135</v>
      </c>
      <c r="N2684" t="s">
        <v>136</v>
      </c>
      <c r="Q2684">
        <v>29862</v>
      </c>
      <c r="R2684" t="s">
        <v>322</v>
      </c>
      <c r="S2684" t="s">
        <v>11499</v>
      </c>
      <c r="T2684">
        <v>25</v>
      </c>
      <c r="U2684" s="2" t="s">
        <v>16889</v>
      </c>
      <c r="W2684" t="s">
        <v>3335</v>
      </c>
      <c r="X2684">
        <v>110012825</v>
      </c>
      <c r="Y2684" t="s">
        <v>7229</v>
      </c>
      <c r="Z2684" t="s">
        <v>4315</v>
      </c>
      <c r="AA2684" s="2" t="s">
        <v>4316</v>
      </c>
      <c r="AB2684" t="s">
        <v>181</v>
      </c>
      <c r="AG2684" t="s">
        <v>16890</v>
      </c>
      <c r="AH2684" t="s">
        <v>16891</v>
      </c>
      <c r="AI2684" t="s">
        <v>16892</v>
      </c>
    </row>
    <row r="2685" spans="2:35" ht="360">
      <c r="B2685" s="1">
        <v>45623</v>
      </c>
      <c r="C2685" s="1">
        <v>45623</v>
      </c>
      <c r="D2685" t="s">
        <v>9326</v>
      </c>
      <c r="E2685" t="s">
        <v>12628</v>
      </c>
      <c r="F2685">
        <v>3</v>
      </c>
      <c r="G2685" t="s">
        <v>134</v>
      </c>
      <c r="H2685" t="s">
        <v>16893</v>
      </c>
      <c r="I2685" t="s">
        <v>40</v>
      </c>
      <c r="J2685" t="s">
        <v>109</v>
      </c>
      <c r="K2685" t="s">
        <v>42</v>
      </c>
      <c r="L2685" t="s">
        <v>135</v>
      </c>
      <c r="N2685" t="s">
        <v>136</v>
      </c>
      <c r="Q2685">
        <v>29861</v>
      </c>
      <c r="R2685" t="s">
        <v>322</v>
      </c>
      <c r="S2685" t="s">
        <v>9328</v>
      </c>
      <c r="T2685">
        <v>25</v>
      </c>
      <c r="U2685" s="2" t="s">
        <v>16894</v>
      </c>
      <c r="W2685" t="s">
        <v>3335</v>
      </c>
      <c r="X2685">
        <v>110013748</v>
      </c>
      <c r="Y2685" t="s">
        <v>7229</v>
      </c>
      <c r="Z2685" t="s">
        <v>4315</v>
      </c>
      <c r="AA2685" s="2" t="s">
        <v>4316</v>
      </c>
      <c r="AB2685" t="s">
        <v>181</v>
      </c>
      <c r="AG2685" t="s">
        <v>16895</v>
      </c>
      <c r="AH2685" t="s">
        <v>16896</v>
      </c>
      <c r="AI2685" t="s">
        <v>16897</v>
      </c>
    </row>
    <row r="2686" spans="2:35" ht="180">
      <c r="B2686" s="1">
        <v>45623</v>
      </c>
      <c r="C2686" s="1">
        <v>45623</v>
      </c>
      <c r="D2686" t="s">
        <v>5546</v>
      </c>
      <c r="E2686" t="s">
        <v>1555</v>
      </c>
      <c r="F2686">
        <v>7</v>
      </c>
      <c r="G2686" t="s">
        <v>432</v>
      </c>
      <c r="H2686" t="s">
        <v>39</v>
      </c>
      <c r="I2686" t="s">
        <v>40</v>
      </c>
      <c r="J2686" s="2" t="s">
        <v>609</v>
      </c>
      <c r="K2686" t="s">
        <v>42</v>
      </c>
      <c r="L2686" t="s">
        <v>433</v>
      </c>
      <c r="N2686" t="s">
        <v>434</v>
      </c>
      <c r="Q2686">
        <v>29860</v>
      </c>
      <c r="R2686" t="s">
        <v>119</v>
      </c>
      <c r="S2686" t="s">
        <v>5548</v>
      </c>
      <c r="T2686">
        <v>26</v>
      </c>
      <c r="W2686" t="s">
        <v>502</v>
      </c>
      <c r="X2686">
        <v>838527</v>
      </c>
      <c r="Y2686" t="s">
        <v>9869</v>
      </c>
      <c r="Z2686" s="2" t="s">
        <v>16898</v>
      </c>
      <c r="AA2686" s="2" t="s">
        <v>16898</v>
      </c>
      <c r="AB2686" t="s">
        <v>1011</v>
      </c>
      <c r="AG2686" t="s">
        <v>16899</v>
      </c>
      <c r="AH2686" t="s">
        <v>7130</v>
      </c>
      <c r="AI2686" t="s">
        <v>16900</v>
      </c>
    </row>
    <row r="2687" spans="2:35" ht="225">
      <c r="B2687" s="1">
        <v>45623</v>
      </c>
      <c r="C2687" s="1">
        <v>45622</v>
      </c>
      <c r="D2687" t="s">
        <v>2264</v>
      </c>
      <c r="E2687" t="s">
        <v>16901</v>
      </c>
      <c r="F2687" t="s">
        <v>148</v>
      </c>
      <c r="G2687" t="s">
        <v>2007</v>
      </c>
      <c r="H2687" t="s">
        <v>39</v>
      </c>
      <c r="I2687" t="s">
        <v>40</v>
      </c>
      <c r="J2687" t="s">
        <v>109</v>
      </c>
      <c r="K2687" t="s">
        <v>42</v>
      </c>
      <c r="L2687" t="s">
        <v>43</v>
      </c>
      <c r="N2687" t="s">
        <v>44</v>
      </c>
      <c r="O2687" t="s">
        <v>2266</v>
      </c>
      <c r="Q2687">
        <v>29859</v>
      </c>
      <c r="R2687" t="s">
        <v>322</v>
      </c>
      <c r="S2687" t="s">
        <v>16902</v>
      </c>
      <c r="T2687">
        <v>24</v>
      </c>
      <c r="U2687" s="2" t="s">
        <v>16903</v>
      </c>
      <c r="W2687" t="s">
        <v>153</v>
      </c>
      <c r="X2687">
        <v>110023460</v>
      </c>
      <c r="Y2687" t="s">
        <v>121</v>
      </c>
      <c r="Z2687" t="s">
        <v>122</v>
      </c>
      <c r="AA2687" s="2" t="s">
        <v>9740</v>
      </c>
      <c r="AB2687" t="s">
        <v>548</v>
      </c>
      <c r="AG2687" t="s">
        <v>16904</v>
      </c>
      <c r="AH2687" t="s">
        <v>2270</v>
      </c>
      <c r="AI2687" t="s">
        <v>16905</v>
      </c>
    </row>
    <row r="2688" spans="2:35" ht="255">
      <c r="B2688" s="1">
        <v>45623</v>
      </c>
      <c r="C2688" s="1">
        <v>45622</v>
      </c>
      <c r="D2688" t="s">
        <v>3679</v>
      </c>
      <c r="E2688" t="s">
        <v>2580</v>
      </c>
      <c r="F2688" t="s">
        <v>148</v>
      </c>
      <c r="G2688" t="s">
        <v>447</v>
      </c>
      <c r="H2688" t="s">
        <v>662</v>
      </c>
      <c r="I2688" t="s">
        <v>40</v>
      </c>
      <c r="J2688" t="s">
        <v>996</v>
      </c>
      <c r="K2688" t="s">
        <v>42</v>
      </c>
      <c r="L2688" t="s">
        <v>448</v>
      </c>
      <c r="N2688" t="s">
        <v>450</v>
      </c>
      <c r="O2688" t="s">
        <v>3680</v>
      </c>
      <c r="Q2688">
        <v>29858</v>
      </c>
      <c r="R2688" t="s">
        <v>322</v>
      </c>
      <c r="S2688" t="s">
        <v>6492</v>
      </c>
      <c r="T2688">
        <v>28</v>
      </c>
      <c r="U2688" s="2" t="s">
        <v>16906</v>
      </c>
      <c r="V2688" s="1">
        <v>45617</v>
      </c>
      <c r="W2688" t="s">
        <v>6785</v>
      </c>
      <c r="X2688">
        <v>838655</v>
      </c>
      <c r="Y2688" t="s">
        <v>16907</v>
      </c>
      <c r="Z2688" s="2" t="s">
        <v>3071</v>
      </c>
      <c r="AA2688" t="s">
        <v>875</v>
      </c>
      <c r="AB2688" s="2" t="s">
        <v>16908</v>
      </c>
      <c r="AD2688" t="s">
        <v>3628</v>
      </c>
      <c r="AE2688">
        <v>12341</v>
      </c>
      <c r="AG2688" t="s">
        <v>16909</v>
      </c>
      <c r="AH2688" t="s">
        <v>3679</v>
      </c>
      <c r="AI2688" t="s">
        <v>16910</v>
      </c>
    </row>
    <row r="2689" spans="2:35" ht="195">
      <c r="B2689" s="1">
        <v>45622</v>
      </c>
      <c r="C2689" s="1">
        <v>45622</v>
      </c>
      <c r="D2689" t="s">
        <v>16911</v>
      </c>
      <c r="E2689" t="s">
        <v>16912</v>
      </c>
      <c r="F2689" t="s">
        <v>148</v>
      </c>
      <c r="G2689" t="s">
        <v>447</v>
      </c>
      <c r="H2689" t="s">
        <v>39</v>
      </c>
      <c r="I2689" t="s">
        <v>40</v>
      </c>
      <c r="J2689" t="s">
        <v>109</v>
      </c>
      <c r="K2689" t="s">
        <v>42</v>
      </c>
      <c r="L2689" t="s">
        <v>15532</v>
      </c>
      <c r="N2689" t="s">
        <v>15533</v>
      </c>
      <c r="O2689" t="s">
        <v>15533</v>
      </c>
      <c r="Q2689">
        <v>29857</v>
      </c>
      <c r="R2689" t="s">
        <v>322</v>
      </c>
      <c r="S2689" t="s">
        <v>5229</v>
      </c>
      <c r="T2689">
        <v>24</v>
      </c>
      <c r="U2689" s="2" t="s">
        <v>16913</v>
      </c>
      <c r="W2689" t="s">
        <v>15620</v>
      </c>
      <c r="X2689">
        <v>110023495</v>
      </c>
      <c r="Y2689" t="s">
        <v>15536</v>
      </c>
      <c r="Z2689" s="2" t="s">
        <v>16713</v>
      </c>
      <c r="AA2689" t="s">
        <v>16914</v>
      </c>
      <c r="AB2689" s="2" t="s">
        <v>15539</v>
      </c>
      <c r="AG2689" t="s">
        <v>16915</v>
      </c>
      <c r="AH2689" t="s">
        <v>16916</v>
      </c>
      <c r="AI2689" t="s">
        <v>16917</v>
      </c>
    </row>
    <row r="2690" spans="2:35" ht="180">
      <c r="B2690" s="1">
        <v>45622</v>
      </c>
      <c r="C2690" s="1">
        <v>45622</v>
      </c>
      <c r="D2690" t="s">
        <v>10465</v>
      </c>
      <c r="E2690" t="s">
        <v>10466</v>
      </c>
      <c r="F2690">
        <v>10</v>
      </c>
      <c r="G2690" t="s">
        <v>1395</v>
      </c>
      <c r="H2690" t="s">
        <v>2125</v>
      </c>
      <c r="I2690" t="s">
        <v>40</v>
      </c>
      <c r="J2690" s="2" t="s">
        <v>41</v>
      </c>
      <c r="K2690" t="s">
        <v>42</v>
      </c>
      <c r="L2690" t="s">
        <v>933</v>
      </c>
      <c r="N2690" t="s">
        <v>934</v>
      </c>
      <c r="Q2690">
        <v>29856</v>
      </c>
      <c r="R2690" t="s">
        <v>119</v>
      </c>
      <c r="S2690" t="s">
        <v>9174</v>
      </c>
      <c r="T2690">
        <v>25.6</v>
      </c>
      <c r="W2690" t="s">
        <v>3662</v>
      </c>
      <c r="X2690">
        <v>838557</v>
      </c>
      <c r="Y2690" t="s">
        <v>16918</v>
      </c>
      <c r="Z2690" t="s">
        <v>4487</v>
      </c>
      <c r="AA2690" s="2" t="s">
        <v>16919</v>
      </c>
      <c r="AB2690" t="s">
        <v>2131</v>
      </c>
      <c r="AG2690" t="s">
        <v>16920</v>
      </c>
      <c r="AH2690" t="s">
        <v>9177</v>
      </c>
      <c r="AI2690" t="s">
        <v>16921</v>
      </c>
    </row>
    <row r="2691" spans="2:35" ht="240">
      <c r="B2691" s="1">
        <v>45622</v>
      </c>
      <c r="C2691" s="1">
        <v>45622</v>
      </c>
      <c r="D2691" t="s">
        <v>3696</v>
      </c>
      <c r="E2691" t="s">
        <v>16922</v>
      </c>
      <c r="F2691" t="s">
        <v>148</v>
      </c>
      <c r="G2691" t="s">
        <v>447</v>
      </c>
      <c r="H2691" t="s">
        <v>39</v>
      </c>
      <c r="I2691" t="s">
        <v>40</v>
      </c>
      <c r="J2691" t="s">
        <v>109</v>
      </c>
      <c r="K2691" t="s">
        <v>42</v>
      </c>
      <c r="L2691" t="s">
        <v>15532</v>
      </c>
      <c r="N2691" t="s">
        <v>15533</v>
      </c>
      <c r="Q2691">
        <v>29855</v>
      </c>
      <c r="R2691" t="s">
        <v>703</v>
      </c>
      <c r="S2691" t="s">
        <v>16923</v>
      </c>
      <c r="T2691">
        <v>25</v>
      </c>
      <c r="U2691" s="2" t="s">
        <v>16924</v>
      </c>
      <c r="W2691" t="s">
        <v>16496</v>
      </c>
      <c r="X2691">
        <v>835602</v>
      </c>
      <c r="Y2691" t="s">
        <v>16925</v>
      </c>
      <c r="Z2691" s="2" t="s">
        <v>16926</v>
      </c>
      <c r="AA2691" s="2" t="s">
        <v>16927</v>
      </c>
      <c r="AB2691" s="2" t="s">
        <v>16928</v>
      </c>
      <c r="AG2691" t="s">
        <v>16929</v>
      </c>
      <c r="AH2691" t="s">
        <v>3700</v>
      </c>
      <c r="AI2691" t="s">
        <v>16930</v>
      </c>
    </row>
    <row r="2692" spans="2:35" ht="390">
      <c r="B2692" s="1">
        <v>45622</v>
      </c>
      <c r="C2692" s="1">
        <v>45621</v>
      </c>
      <c r="D2692" t="s">
        <v>16931</v>
      </c>
      <c r="E2692" t="s">
        <v>16932</v>
      </c>
      <c r="F2692" t="s">
        <v>148</v>
      </c>
      <c r="G2692" t="s">
        <v>447</v>
      </c>
      <c r="H2692" t="s">
        <v>61</v>
      </c>
      <c r="I2692" t="s">
        <v>40</v>
      </c>
      <c r="J2692" s="2" t="s">
        <v>62</v>
      </c>
      <c r="K2692" t="s">
        <v>16933</v>
      </c>
      <c r="L2692" t="s">
        <v>409</v>
      </c>
      <c r="N2692" t="s">
        <v>410</v>
      </c>
      <c r="O2692" t="s">
        <v>6162</v>
      </c>
      <c r="Q2692">
        <v>29854</v>
      </c>
      <c r="R2692" t="s">
        <v>95</v>
      </c>
      <c r="S2692" t="s">
        <v>16934</v>
      </c>
      <c r="T2692">
        <v>23</v>
      </c>
      <c r="W2692" t="s">
        <v>16935</v>
      </c>
      <c r="X2692" t="s">
        <v>16936</v>
      </c>
      <c r="Y2692" t="s">
        <v>301</v>
      </c>
      <c r="Z2692" t="s">
        <v>301</v>
      </c>
      <c r="AA2692" s="2" t="s">
        <v>16937</v>
      </c>
      <c r="AB2692" t="s">
        <v>181</v>
      </c>
      <c r="AG2692" t="s">
        <v>16938</v>
      </c>
      <c r="AH2692" t="s">
        <v>16939</v>
      </c>
      <c r="AI2692" t="s">
        <v>16940</v>
      </c>
    </row>
    <row r="2693" spans="2:35" ht="105">
      <c r="B2693" s="1">
        <v>45621</v>
      </c>
      <c r="C2693" s="1">
        <v>45621</v>
      </c>
      <c r="D2693" t="s">
        <v>7465</v>
      </c>
      <c r="E2693" t="s">
        <v>7466</v>
      </c>
      <c r="F2693">
        <v>8</v>
      </c>
      <c r="G2693" t="s">
        <v>342</v>
      </c>
      <c r="H2693" t="s">
        <v>258</v>
      </c>
      <c r="I2693" t="s">
        <v>40</v>
      </c>
      <c r="J2693" s="2" t="s">
        <v>1808</v>
      </c>
      <c r="K2693" t="s">
        <v>42</v>
      </c>
      <c r="L2693" t="s">
        <v>259</v>
      </c>
      <c r="N2693" t="s">
        <v>260</v>
      </c>
      <c r="Q2693">
        <v>29853</v>
      </c>
      <c r="R2693" t="s">
        <v>119</v>
      </c>
      <c r="S2693" t="s">
        <v>16053</v>
      </c>
      <c r="T2693">
        <v>27</v>
      </c>
      <c r="U2693" s="2" t="s">
        <v>16941</v>
      </c>
      <c r="V2693" s="1">
        <v>45621</v>
      </c>
      <c r="W2693" t="s">
        <v>84</v>
      </c>
      <c r="X2693">
        <v>838551</v>
      </c>
      <c r="Y2693" t="s">
        <v>16942</v>
      </c>
      <c r="Z2693" t="s">
        <v>181</v>
      </c>
      <c r="AA2693" t="e">
        <f ca="1">- Install new UPS SN/AT1000190123ST0198
- performed functionality test
- performed Preventive Maintenance</f>
        <v>#NAME?</v>
      </c>
      <c r="AB2693" t="s">
        <v>181</v>
      </c>
      <c r="AD2693" t="s">
        <v>16943</v>
      </c>
      <c r="AE2693">
        <v>5429</v>
      </c>
      <c r="AG2693" t="s">
        <v>16944</v>
      </c>
      <c r="AH2693" t="s">
        <v>7469</v>
      </c>
      <c r="AI2693" t="s">
        <v>16945</v>
      </c>
    </row>
    <row r="2694" spans="2:35" ht="390">
      <c r="B2694" s="1">
        <v>45621</v>
      </c>
      <c r="C2694" s="1">
        <v>45621</v>
      </c>
      <c r="D2694" t="s">
        <v>16931</v>
      </c>
      <c r="E2694" t="s">
        <v>16932</v>
      </c>
      <c r="F2694" t="s">
        <v>148</v>
      </c>
      <c r="G2694" t="s">
        <v>447</v>
      </c>
      <c r="H2694" t="s">
        <v>61</v>
      </c>
      <c r="I2694" t="s">
        <v>40</v>
      </c>
      <c r="J2694" s="2" t="s">
        <v>62</v>
      </c>
      <c r="K2694" t="s">
        <v>16946</v>
      </c>
      <c r="L2694" t="s">
        <v>409</v>
      </c>
      <c r="N2694" t="s">
        <v>410</v>
      </c>
      <c r="O2694" t="s">
        <v>6162</v>
      </c>
      <c r="Q2694">
        <v>29851</v>
      </c>
      <c r="R2694" t="s">
        <v>95</v>
      </c>
      <c r="S2694" t="s">
        <v>16934</v>
      </c>
      <c r="T2694">
        <v>23</v>
      </c>
      <c r="W2694" t="s">
        <v>16947</v>
      </c>
      <c r="X2694" t="s">
        <v>16948</v>
      </c>
      <c r="Y2694" t="s">
        <v>301</v>
      </c>
      <c r="Z2694" t="s">
        <v>301</v>
      </c>
      <c r="AA2694" s="2" t="s">
        <v>16937</v>
      </c>
      <c r="AB2694" t="s">
        <v>181</v>
      </c>
      <c r="AG2694" t="s">
        <v>16949</v>
      </c>
      <c r="AH2694" t="s">
        <v>16939</v>
      </c>
      <c r="AI2694" t="s">
        <v>16950</v>
      </c>
    </row>
    <row r="2695" spans="2:35" ht="390">
      <c r="B2695" s="1">
        <v>45621</v>
      </c>
      <c r="C2695" s="1">
        <v>45621</v>
      </c>
      <c r="D2695" t="s">
        <v>16931</v>
      </c>
      <c r="E2695" t="s">
        <v>16932</v>
      </c>
      <c r="F2695" t="s">
        <v>148</v>
      </c>
      <c r="G2695" t="s">
        <v>447</v>
      </c>
      <c r="H2695" t="s">
        <v>61</v>
      </c>
      <c r="I2695" t="s">
        <v>40</v>
      </c>
      <c r="J2695" s="2" t="s">
        <v>62</v>
      </c>
      <c r="K2695" t="s">
        <v>16933</v>
      </c>
      <c r="L2695" t="s">
        <v>409</v>
      </c>
      <c r="N2695" t="s">
        <v>410</v>
      </c>
      <c r="O2695" t="s">
        <v>6162</v>
      </c>
      <c r="Q2695">
        <v>29852</v>
      </c>
      <c r="R2695" t="s">
        <v>95</v>
      </c>
      <c r="S2695" t="s">
        <v>16934</v>
      </c>
      <c r="T2695">
        <v>23</v>
      </c>
      <c r="W2695" t="s">
        <v>16935</v>
      </c>
      <c r="X2695" t="s">
        <v>16951</v>
      </c>
      <c r="Y2695" t="s">
        <v>301</v>
      </c>
      <c r="Z2695" t="s">
        <v>301</v>
      </c>
      <c r="AA2695" s="2" t="s">
        <v>16937</v>
      </c>
      <c r="AB2695" t="s">
        <v>181</v>
      </c>
      <c r="AG2695" t="s">
        <v>16952</v>
      </c>
      <c r="AH2695" t="s">
        <v>16939</v>
      </c>
      <c r="AI2695" t="s">
        <v>16953</v>
      </c>
    </row>
    <row r="2696" spans="2:35" ht="315">
      <c r="B2696" s="1">
        <v>45621</v>
      </c>
      <c r="C2696" s="1">
        <v>45621</v>
      </c>
      <c r="D2696" t="s">
        <v>16931</v>
      </c>
      <c r="E2696" t="s">
        <v>16932</v>
      </c>
      <c r="F2696" t="s">
        <v>148</v>
      </c>
      <c r="G2696" t="s">
        <v>447</v>
      </c>
      <c r="H2696" t="s">
        <v>61</v>
      </c>
      <c r="I2696" t="s">
        <v>40</v>
      </c>
      <c r="J2696" s="2" t="s">
        <v>62</v>
      </c>
      <c r="K2696" t="s">
        <v>649</v>
      </c>
      <c r="L2696" t="s">
        <v>409</v>
      </c>
      <c r="N2696" t="s">
        <v>410</v>
      </c>
      <c r="O2696" t="s">
        <v>6162</v>
      </c>
      <c r="Q2696">
        <v>29850</v>
      </c>
      <c r="R2696" t="s">
        <v>95</v>
      </c>
      <c r="S2696" t="s">
        <v>16934</v>
      </c>
      <c r="T2696">
        <v>23</v>
      </c>
      <c r="W2696" t="s">
        <v>652</v>
      </c>
      <c r="X2696">
        <v>160414501161220</v>
      </c>
      <c r="Y2696" t="s">
        <v>301</v>
      </c>
      <c r="Z2696" t="s">
        <v>301</v>
      </c>
      <c r="AA2696" s="2" t="s">
        <v>16954</v>
      </c>
      <c r="AB2696" t="s">
        <v>181</v>
      </c>
      <c r="AG2696" t="s">
        <v>16955</v>
      </c>
      <c r="AH2696" t="s">
        <v>16939</v>
      </c>
      <c r="AI2696" t="s">
        <v>16956</v>
      </c>
    </row>
    <row r="2697" spans="2:35" ht="315">
      <c r="B2697" s="1">
        <v>45621</v>
      </c>
      <c r="C2697" s="1">
        <v>45621</v>
      </c>
      <c r="D2697" t="s">
        <v>16931</v>
      </c>
      <c r="E2697" t="s">
        <v>16932</v>
      </c>
      <c r="F2697" t="s">
        <v>148</v>
      </c>
      <c r="G2697" t="s">
        <v>447</v>
      </c>
      <c r="H2697" t="s">
        <v>61</v>
      </c>
      <c r="I2697" t="s">
        <v>40</v>
      </c>
      <c r="J2697" s="2" t="s">
        <v>62</v>
      </c>
      <c r="K2697" t="s">
        <v>408</v>
      </c>
      <c r="L2697" t="s">
        <v>409</v>
      </c>
      <c r="N2697" t="s">
        <v>410</v>
      </c>
      <c r="O2697" t="s">
        <v>6162</v>
      </c>
      <c r="P2697" t="s">
        <v>16957</v>
      </c>
      <c r="Q2697">
        <v>29847</v>
      </c>
      <c r="R2697" t="s">
        <v>95</v>
      </c>
      <c r="S2697" t="s">
        <v>16934</v>
      </c>
      <c r="T2697">
        <v>23</v>
      </c>
      <c r="W2697" t="s">
        <v>16958</v>
      </c>
      <c r="X2697" t="s">
        <v>16959</v>
      </c>
      <c r="Y2697" t="s">
        <v>301</v>
      </c>
      <c r="Z2697" t="s">
        <v>301</v>
      </c>
      <c r="AA2697" s="2" t="s">
        <v>16960</v>
      </c>
      <c r="AB2697" t="s">
        <v>181</v>
      </c>
      <c r="AG2697" t="s">
        <v>16961</v>
      </c>
      <c r="AH2697" t="s">
        <v>16939</v>
      </c>
      <c r="AI2697" t="s">
        <v>16962</v>
      </c>
    </row>
    <row r="2698" spans="2:35" ht="315">
      <c r="B2698" s="1">
        <v>45621</v>
      </c>
      <c r="C2698" s="1">
        <v>45621</v>
      </c>
      <c r="D2698" t="s">
        <v>16931</v>
      </c>
      <c r="E2698" t="s">
        <v>16932</v>
      </c>
      <c r="F2698" t="s">
        <v>148</v>
      </c>
      <c r="G2698" t="s">
        <v>447</v>
      </c>
      <c r="H2698" t="s">
        <v>61</v>
      </c>
      <c r="I2698" t="s">
        <v>40</v>
      </c>
      <c r="J2698" s="2" t="s">
        <v>62</v>
      </c>
      <c r="K2698" t="s">
        <v>649</v>
      </c>
      <c r="L2698" t="s">
        <v>409</v>
      </c>
      <c r="N2698" t="s">
        <v>410</v>
      </c>
      <c r="O2698" t="s">
        <v>6162</v>
      </c>
      <c r="Q2698">
        <v>29848</v>
      </c>
      <c r="R2698" t="s">
        <v>95</v>
      </c>
      <c r="S2698" t="s">
        <v>16934</v>
      </c>
      <c r="T2698">
        <v>23</v>
      </c>
      <c r="W2698" t="s">
        <v>16963</v>
      </c>
      <c r="X2698">
        <v>1161322301200520</v>
      </c>
      <c r="Y2698" t="s">
        <v>301</v>
      </c>
      <c r="Z2698" t="s">
        <v>301</v>
      </c>
      <c r="AA2698" s="2" t="s">
        <v>16964</v>
      </c>
      <c r="AB2698" t="s">
        <v>181</v>
      </c>
      <c r="AG2698" t="s">
        <v>16965</v>
      </c>
      <c r="AH2698" t="s">
        <v>16939</v>
      </c>
      <c r="AI2698" t="s">
        <v>16966</v>
      </c>
    </row>
    <row r="2699" spans="2:35" ht="315">
      <c r="B2699" s="1">
        <v>45621</v>
      </c>
      <c r="C2699" s="1">
        <v>45621</v>
      </c>
      <c r="D2699" t="s">
        <v>16931</v>
      </c>
      <c r="E2699" t="s">
        <v>16932</v>
      </c>
      <c r="F2699" t="s">
        <v>148</v>
      </c>
      <c r="G2699" t="s">
        <v>447</v>
      </c>
      <c r="H2699" t="s">
        <v>61</v>
      </c>
      <c r="I2699" t="s">
        <v>40</v>
      </c>
      <c r="J2699" s="2" t="s">
        <v>62</v>
      </c>
      <c r="K2699" t="s">
        <v>408</v>
      </c>
      <c r="L2699" t="s">
        <v>409</v>
      </c>
      <c r="N2699" t="s">
        <v>410</v>
      </c>
      <c r="O2699" t="s">
        <v>6162</v>
      </c>
      <c r="P2699" t="s">
        <v>16967</v>
      </c>
      <c r="Q2699">
        <v>29849</v>
      </c>
      <c r="R2699" t="s">
        <v>95</v>
      </c>
      <c r="S2699" t="s">
        <v>16934</v>
      </c>
      <c r="T2699">
        <v>23</v>
      </c>
      <c r="W2699" t="s">
        <v>16968</v>
      </c>
      <c r="X2699" t="s">
        <v>16969</v>
      </c>
      <c r="Y2699" t="s">
        <v>301</v>
      </c>
      <c r="Z2699" t="s">
        <v>301</v>
      </c>
      <c r="AA2699" s="2" t="s">
        <v>16970</v>
      </c>
      <c r="AB2699" t="s">
        <v>181</v>
      </c>
      <c r="AG2699" t="s">
        <v>16971</v>
      </c>
      <c r="AH2699" t="s">
        <v>16939</v>
      </c>
      <c r="AI2699" t="s">
        <v>16972</v>
      </c>
    </row>
    <row r="2700" spans="2:35" ht="345">
      <c r="B2700" s="1">
        <v>45621</v>
      </c>
      <c r="C2700" s="1">
        <v>45621</v>
      </c>
      <c r="D2700" t="s">
        <v>16931</v>
      </c>
      <c r="E2700" t="s">
        <v>16932</v>
      </c>
      <c r="F2700" t="s">
        <v>148</v>
      </c>
      <c r="G2700" t="s">
        <v>447</v>
      </c>
      <c r="H2700" t="s">
        <v>61</v>
      </c>
      <c r="I2700" t="s">
        <v>40</v>
      </c>
      <c r="J2700" s="2" t="s">
        <v>62</v>
      </c>
      <c r="K2700" t="s">
        <v>408</v>
      </c>
      <c r="L2700" t="s">
        <v>409</v>
      </c>
      <c r="N2700" t="s">
        <v>410</v>
      </c>
      <c r="O2700" t="s">
        <v>6162</v>
      </c>
      <c r="P2700" t="s">
        <v>16973</v>
      </c>
      <c r="Q2700">
        <v>29846</v>
      </c>
      <c r="R2700" t="s">
        <v>95</v>
      </c>
      <c r="S2700" t="s">
        <v>16934</v>
      </c>
      <c r="T2700">
        <v>23</v>
      </c>
      <c r="W2700" t="s">
        <v>16974</v>
      </c>
      <c r="X2700">
        <v>18956716056</v>
      </c>
      <c r="Y2700" t="s">
        <v>301</v>
      </c>
      <c r="Z2700" t="s">
        <v>301</v>
      </c>
      <c r="AA2700" s="2" t="s">
        <v>16975</v>
      </c>
      <c r="AB2700" t="s">
        <v>181</v>
      </c>
      <c r="AG2700" t="s">
        <v>16976</v>
      </c>
      <c r="AH2700" t="s">
        <v>16939</v>
      </c>
      <c r="AI2700" t="s">
        <v>16977</v>
      </c>
    </row>
    <row r="2701" spans="2:35" ht="330">
      <c r="B2701" s="1">
        <v>45621</v>
      </c>
      <c r="C2701" s="1">
        <v>45621</v>
      </c>
      <c r="D2701" t="s">
        <v>16931</v>
      </c>
      <c r="E2701" t="s">
        <v>16932</v>
      </c>
      <c r="F2701" t="s">
        <v>148</v>
      </c>
      <c r="G2701" t="s">
        <v>447</v>
      </c>
      <c r="H2701" t="s">
        <v>61</v>
      </c>
      <c r="I2701" t="s">
        <v>40</v>
      </c>
      <c r="J2701" s="2" t="s">
        <v>62</v>
      </c>
      <c r="K2701" t="s">
        <v>408</v>
      </c>
      <c r="L2701" t="s">
        <v>409</v>
      </c>
      <c r="N2701" t="s">
        <v>410</v>
      </c>
      <c r="O2701" t="s">
        <v>6162</v>
      </c>
      <c r="P2701" t="s">
        <v>7277</v>
      </c>
      <c r="Q2701">
        <v>29842</v>
      </c>
      <c r="R2701" t="s">
        <v>95</v>
      </c>
      <c r="S2701" t="s">
        <v>16934</v>
      </c>
      <c r="T2701">
        <v>23</v>
      </c>
      <c r="W2701" t="s">
        <v>16978</v>
      </c>
      <c r="X2701" t="s">
        <v>16979</v>
      </c>
      <c r="Y2701" t="s">
        <v>301</v>
      </c>
      <c r="Z2701" t="s">
        <v>301</v>
      </c>
      <c r="AA2701" s="2" t="s">
        <v>16980</v>
      </c>
      <c r="AB2701" t="s">
        <v>181</v>
      </c>
      <c r="AG2701" t="s">
        <v>16981</v>
      </c>
      <c r="AH2701" t="s">
        <v>16939</v>
      </c>
      <c r="AI2701" t="s">
        <v>16982</v>
      </c>
    </row>
    <row r="2702" spans="2:35" ht="330">
      <c r="B2702" s="1">
        <v>45621</v>
      </c>
      <c r="C2702" s="1">
        <v>45621</v>
      </c>
      <c r="D2702" t="s">
        <v>16931</v>
      </c>
      <c r="E2702" t="s">
        <v>16932</v>
      </c>
      <c r="F2702" t="s">
        <v>148</v>
      </c>
      <c r="G2702" t="s">
        <v>447</v>
      </c>
      <c r="H2702" t="s">
        <v>61</v>
      </c>
      <c r="I2702" t="s">
        <v>40</v>
      </c>
      <c r="J2702" s="2" t="s">
        <v>62</v>
      </c>
      <c r="K2702" t="s">
        <v>408</v>
      </c>
      <c r="L2702" t="s">
        <v>409</v>
      </c>
      <c r="N2702" t="s">
        <v>410</v>
      </c>
      <c r="O2702" t="s">
        <v>6162</v>
      </c>
      <c r="P2702" t="s">
        <v>7277</v>
      </c>
      <c r="Q2702">
        <v>29845</v>
      </c>
      <c r="R2702" t="s">
        <v>95</v>
      </c>
      <c r="S2702" t="s">
        <v>16934</v>
      </c>
      <c r="T2702">
        <v>23</v>
      </c>
      <c r="W2702" t="s">
        <v>16978</v>
      </c>
      <c r="X2702" t="s">
        <v>16983</v>
      </c>
      <c r="Y2702" t="s">
        <v>301</v>
      </c>
      <c r="Z2702" t="s">
        <v>301</v>
      </c>
      <c r="AA2702" s="2" t="s">
        <v>16980</v>
      </c>
      <c r="AB2702" t="s">
        <v>181</v>
      </c>
      <c r="AG2702" t="s">
        <v>16984</v>
      </c>
      <c r="AH2702" t="s">
        <v>16939</v>
      </c>
      <c r="AI2702" t="s">
        <v>16985</v>
      </c>
    </row>
    <row r="2703" spans="2:35" ht="330">
      <c r="B2703" s="1">
        <v>45621</v>
      </c>
      <c r="C2703" s="1">
        <v>45621</v>
      </c>
      <c r="D2703" t="s">
        <v>16931</v>
      </c>
      <c r="E2703" t="s">
        <v>16932</v>
      </c>
      <c r="F2703" t="s">
        <v>148</v>
      </c>
      <c r="G2703" t="s">
        <v>447</v>
      </c>
      <c r="H2703" t="s">
        <v>61</v>
      </c>
      <c r="I2703" t="s">
        <v>40</v>
      </c>
      <c r="J2703" s="2" t="s">
        <v>62</v>
      </c>
      <c r="K2703" t="s">
        <v>408</v>
      </c>
      <c r="L2703" t="s">
        <v>409</v>
      </c>
      <c r="N2703" t="s">
        <v>410</v>
      </c>
      <c r="O2703" t="s">
        <v>6162</v>
      </c>
      <c r="P2703" t="s">
        <v>16973</v>
      </c>
      <c r="Q2703">
        <v>29843</v>
      </c>
      <c r="R2703" t="s">
        <v>95</v>
      </c>
      <c r="S2703" t="s">
        <v>16934</v>
      </c>
      <c r="T2703">
        <v>23</v>
      </c>
      <c r="W2703" t="s">
        <v>16986</v>
      </c>
      <c r="X2703" t="s">
        <v>16987</v>
      </c>
      <c r="Y2703" t="s">
        <v>301</v>
      </c>
      <c r="Z2703" t="s">
        <v>301</v>
      </c>
      <c r="AA2703" s="2" t="s">
        <v>16988</v>
      </c>
      <c r="AB2703" t="s">
        <v>181</v>
      </c>
      <c r="AG2703" t="s">
        <v>16989</v>
      </c>
      <c r="AH2703" t="s">
        <v>16939</v>
      </c>
      <c r="AI2703" t="s">
        <v>16990</v>
      </c>
    </row>
    <row r="2704" spans="2:35" ht="330">
      <c r="B2704" s="1">
        <v>45621</v>
      </c>
      <c r="C2704" s="1">
        <v>45621</v>
      </c>
      <c r="D2704" t="s">
        <v>16931</v>
      </c>
      <c r="E2704" t="s">
        <v>16932</v>
      </c>
      <c r="F2704" t="s">
        <v>148</v>
      </c>
      <c r="G2704" t="s">
        <v>447</v>
      </c>
      <c r="H2704" t="s">
        <v>61</v>
      </c>
      <c r="I2704" t="s">
        <v>40</v>
      </c>
      <c r="J2704" s="2" t="s">
        <v>62</v>
      </c>
      <c r="K2704" t="s">
        <v>408</v>
      </c>
      <c r="L2704" t="s">
        <v>409</v>
      </c>
      <c r="N2704" t="s">
        <v>410</v>
      </c>
      <c r="O2704" t="s">
        <v>6162</v>
      </c>
      <c r="P2704" t="s">
        <v>16973</v>
      </c>
      <c r="Q2704">
        <v>29844</v>
      </c>
      <c r="R2704" t="s">
        <v>95</v>
      </c>
      <c r="S2704" t="s">
        <v>16934</v>
      </c>
      <c r="T2704">
        <v>23</v>
      </c>
      <c r="W2704" t="s">
        <v>16986</v>
      </c>
      <c r="X2704" t="s">
        <v>16991</v>
      </c>
      <c r="Y2704" t="s">
        <v>301</v>
      </c>
      <c r="Z2704" t="s">
        <v>301</v>
      </c>
      <c r="AA2704" s="2" t="s">
        <v>16988</v>
      </c>
      <c r="AB2704" t="s">
        <v>181</v>
      </c>
      <c r="AG2704" t="s">
        <v>16992</v>
      </c>
      <c r="AH2704" t="s">
        <v>16939</v>
      </c>
      <c r="AI2704" t="s">
        <v>16993</v>
      </c>
    </row>
    <row r="2705" spans="2:35" ht="345">
      <c r="B2705" s="1">
        <v>45621</v>
      </c>
      <c r="C2705" s="1">
        <v>45621</v>
      </c>
      <c r="D2705" t="s">
        <v>16931</v>
      </c>
      <c r="E2705" t="s">
        <v>16932</v>
      </c>
      <c r="F2705" t="s">
        <v>148</v>
      </c>
      <c r="G2705" t="s">
        <v>447</v>
      </c>
      <c r="H2705" t="s">
        <v>61</v>
      </c>
      <c r="I2705" t="s">
        <v>40</v>
      </c>
      <c r="J2705" s="2" t="s">
        <v>62</v>
      </c>
      <c r="K2705" t="s">
        <v>649</v>
      </c>
      <c r="L2705" t="s">
        <v>409</v>
      </c>
      <c r="N2705" t="s">
        <v>410</v>
      </c>
      <c r="O2705" t="s">
        <v>6162</v>
      </c>
      <c r="Q2705">
        <v>29838</v>
      </c>
      <c r="R2705" t="s">
        <v>95</v>
      </c>
      <c r="S2705" t="s">
        <v>16934</v>
      </c>
      <c r="T2705">
        <v>23</v>
      </c>
      <c r="W2705" t="s">
        <v>16994</v>
      </c>
      <c r="X2705">
        <v>42358139</v>
      </c>
      <c r="Y2705" t="s">
        <v>301</v>
      </c>
      <c r="Z2705" t="s">
        <v>301</v>
      </c>
      <c r="AA2705" s="2" t="s">
        <v>16995</v>
      </c>
      <c r="AB2705" t="s">
        <v>181</v>
      </c>
      <c r="AG2705" t="s">
        <v>16996</v>
      </c>
      <c r="AH2705" t="s">
        <v>16939</v>
      </c>
      <c r="AI2705" t="s">
        <v>16997</v>
      </c>
    </row>
    <row r="2706" spans="2:35" ht="360">
      <c r="B2706" s="1">
        <v>45621</v>
      </c>
      <c r="C2706" s="1">
        <v>45621</v>
      </c>
      <c r="D2706" t="s">
        <v>16931</v>
      </c>
      <c r="E2706" t="s">
        <v>16932</v>
      </c>
      <c r="F2706" t="s">
        <v>148</v>
      </c>
      <c r="G2706" t="s">
        <v>447</v>
      </c>
      <c r="H2706" t="s">
        <v>61</v>
      </c>
      <c r="I2706" t="s">
        <v>40</v>
      </c>
      <c r="J2706" s="2" t="s">
        <v>62</v>
      </c>
      <c r="K2706" t="s">
        <v>649</v>
      </c>
      <c r="L2706" t="s">
        <v>409</v>
      </c>
      <c r="N2706" t="s">
        <v>410</v>
      </c>
      <c r="O2706" t="s">
        <v>6162</v>
      </c>
      <c r="Q2706">
        <v>29839</v>
      </c>
      <c r="R2706" t="s">
        <v>95</v>
      </c>
      <c r="S2706" t="s">
        <v>16934</v>
      </c>
      <c r="T2706">
        <v>23</v>
      </c>
      <c r="W2706" t="s">
        <v>16998</v>
      </c>
      <c r="X2706" t="s">
        <v>16999</v>
      </c>
      <c r="Y2706" t="s">
        <v>301</v>
      </c>
      <c r="Z2706" t="s">
        <v>301</v>
      </c>
      <c r="AA2706" s="2" t="s">
        <v>17000</v>
      </c>
      <c r="AB2706" t="s">
        <v>181</v>
      </c>
      <c r="AG2706" t="s">
        <v>17001</v>
      </c>
      <c r="AH2706" t="s">
        <v>16939</v>
      </c>
      <c r="AI2706" t="s">
        <v>17002</v>
      </c>
    </row>
    <row r="2707" spans="2:35" ht="360">
      <c r="B2707" s="1">
        <v>45621</v>
      </c>
      <c r="C2707" s="1">
        <v>45621</v>
      </c>
      <c r="D2707" t="s">
        <v>16931</v>
      </c>
      <c r="E2707" t="s">
        <v>16932</v>
      </c>
      <c r="F2707" t="s">
        <v>148</v>
      </c>
      <c r="G2707" t="s">
        <v>447</v>
      </c>
      <c r="H2707" t="s">
        <v>61</v>
      </c>
      <c r="I2707" t="s">
        <v>40</v>
      </c>
      <c r="J2707" s="2" t="s">
        <v>62</v>
      </c>
      <c r="K2707" t="s">
        <v>649</v>
      </c>
      <c r="L2707" t="s">
        <v>409</v>
      </c>
      <c r="N2707" t="s">
        <v>410</v>
      </c>
      <c r="O2707" t="s">
        <v>6162</v>
      </c>
      <c r="Q2707">
        <v>29837</v>
      </c>
      <c r="R2707" t="s">
        <v>95</v>
      </c>
      <c r="S2707" t="s">
        <v>16934</v>
      </c>
      <c r="T2707">
        <v>23</v>
      </c>
      <c r="W2707" t="s">
        <v>16998</v>
      </c>
      <c r="X2707" t="s">
        <v>17003</v>
      </c>
      <c r="Y2707" t="s">
        <v>301</v>
      </c>
      <c r="Z2707" t="s">
        <v>301</v>
      </c>
      <c r="AA2707" s="2" t="s">
        <v>17000</v>
      </c>
      <c r="AB2707" t="s">
        <v>181</v>
      </c>
      <c r="AG2707" t="s">
        <v>17004</v>
      </c>
      <c r="AH2707" t="s">
        <v>16939</v>
      </c>
      <c r="AI2707" t="s">
        <v>17005</v>
      </c>
    </row>
    <row r="2708" spans="2:35" ht="360">
      <c r="B2708" s="1">
        <v>45621</v>
      </c>
      <c r="C2708" s="1">
        <v>45621</v>
      </c>
      <c r="D2708" t="s">
        <v>16931</v>
      </c>
      <c r="E2708" t="s">
        <v>16932</v>
      </c>
      <c r="F2708" t="s">
        <v>148</v>
      </c>
      <c r="G2708" t="s">
        <v>447</v>
      </c>
      <c r="H2708" t="s">
        <v>61</v>
      </c>
      <c r="I2708" t="s">
        <v>40</v>
      </c>
      <c r="J2708" s="2" t="s">
        <v>62</v>
      </c>
      <c r="K2708" t="s">
        <v>649</v>
      </c>
      <c r="L2708" t="s">
        <v>409</v>
      </c>
      <c r="N2708" t="s">
        <v>410</v>
      </c>
      <c r="O2708" t="s">
        <v>6162</v>
      </c>
      <c r="Q2708">
        <v>29841</v>
      </c>
      <c r="R2708" t="s">
        <v>95</v>
      </c>
      <c r="S2708" t="s">
        <v>16934</v>
      </c>
      <c r="T2708">
        <v>23</v>
      </c>
      <c r="W2708" t="s">
        <v>16998</v>
      </c>
      <c r="X2708" t="s">
        <v>17006</v>
      </c>
      <c r="Y2708" t="s">
        <v>301</v>
      </c>
      <c r="Z2708" t="s">
        <v>301</v>
      </c>
      <c r="AA2708" s="2" t="s">
        <v>17000</v>
      </c>
      <c r="AB2708" t="s">
        <v>181</v>
      </c>
      <c r="AG2708" t="s">
        <v>17007</v>
      </c>
      <c r="AH2708" t="s">
        <v>16939</v>
      </c>
      <c r="AI2708" t="s">
        <v>17008</v>
      </c>
    </row>
    <row r="2709" spans="2:35" ht="345">
      <c r="B2709" s="1">
        <v>45621</v>
      </c>
      <c r="C2709" s="1">
        <v>45621</v>
      </c>
      <c r="D2709" t="s">
        <v>16931</v>
      </c>
      <c r="E2709" t="s">
        <v>16932</v>
      </c>
      <c r="F2709" t="s">
        <v>148</v>
      </c>
      <c r="G2709" t="s">
        <v>447</v>
      </c>
      <c r="H2709" t="s">
        <v>61</v>
      </c>
      <c r="I2709" t="s">
        <v>40</v>
      </c>
      <c r="J2709" s="2" t="s">
        <v>62</v>
      </c>
      <c r="K2709" t="s">
        <v>408</v>
      </c>
      <c r="L2709" t="s">
        <v>409</v>
      </c>
      <c r="N2709" t="s">
        <v>410</v>
      </c>
      <c r="O2709" t="s">
        <v>6162</v>
      </c>
      <c r="P2709" t="s">
        <v>6276</v>
      </c>
      <c r="Q2709">
        <v>29840</v>
      </c>
      <c r="R2709" t="s">
        <v>95</v>
      </c>
      <c r="S2709" t="s">
        <v>16934</v>
      </c>
      <c r="T2709">
        <v>23</v>
      </c>
      <c r="W2709" t="s">
        <v>17009</v>
      </c>
      <c r="X2709">
        <v>1101273</v>
      </c>
      <c r="Y2709" t="s">
        <v>301</v>
      </c>
      <c r="Z2709" t="s">
        <v>301</v>
      </c>
      <c r="AA2709" s="2" t="s">
        <v>16995</v>
      </c>
      <c r="AB2709" t="s">
        <v>181</v>
      </c>
      <c r="AG2709" t="s">
        <v>17010</v>
      </c>
      <c r="AH2709" t="s">
        <v>16939</v>
      </c>
      <c r="AI2709" t="s">
        <v>17011</v>
      </c>
    </row>
    <row r="2710" spans="2:35" ht="345">
      <c r="B2710" s="1">
        <v>45621</v>
      </c>
      <c r="C2710" s="1">
        <v>45621</v>
      </c>
      <c r="D2710" t="s">
        <v>16931</v>
      </c>
      <c r="E2710" t="s">
        <v>16932</v>
      </c>
      <c r="F2710" t="s">
        <v>148</v>
      </c>
      <c r="G2710" t="s">
        <v>447</v>
      </c>
      <c r="H2710" t="s">
        <v>61</v>
      </c>
      <c r="I2710" t="s">
        <v>40</v>
      </c>
      <c r="J2710" s="2" t="s">
        <v>62</v>
      </c>
      <c r="K2710" t="s">
        <v>408</v>
      </c>
      <c r="L2710" t="s">
        <v>409</v>
      </c>
      <c r="N2710" t="s">
        <v>410</v>
      </c>
      <c r="O2710" t="s">
        <v>6162</v>
      </c>
      <c r="P2710" t="s">
        <v>17012</v>
      </c>
      <c r="Q2710">
        <v>29834</v>
      </c>
      <c r="R2710" t="s">
        <v>95</v>
      </c>
      <c r="S2710" t="s">
        <v>16934</v>
      </c>
      <c r="T2710">
        <v>23</v>
      </c>
      <c r="W2710" t="s">
        <v>17013</v>
      </c>
      <c r="X2710" t="s">
        <v>17014</v>
      </c>
      <c r="Y2710" t="s">
        <v>301</v>
      </c>
      <c r="Z2710" t="s">
        <v>301</v>
      </c>
      <c r="AA2710" s="2" t="s">
        <v>17015</v>
      </c>
      <c r="AB2710" t="s">
        <v>181</v>
      </c>
      <c r="AG2710" t="s">
        <v>17016</v>
      </c>
      <c r="AH2710" t="s">
        <v>16939</v>
      </c>
      <c r="AI2710" t="s">
        <v>17017</v>
      </c>
    </row>
    <row r="2711" spans="2:35" ht="345">
      <c r="B2711" s="1">
        <v>45621</v>
      </c>
      <c r="C2711" s="1">
        <v>45621</v>
      </c>
      <c r="D2711" t="s">
        <v>16931</v>
      </c>
      <c r="E2711" t="s">
        <v>16932</v>
      </c>
      <c r="F2711" t="s">
        <v>148</v>
      </c>
      <c r="G2711" t="s">
        <v>447</v>
      </c>
      <c r="H2711" t="s">
        <v>61</v>
      </c>
      <c r="I2711" t="s">
        <v>40</v>
      </c>
      <c r="J2711" s="2" t="s">
        <v>62</v>
      </c>
      <c r="K2711" t="s">
        <v>649</v>
      </c>
      <c r="L2711" t="s">
        <v>409</v>
      </c>
      <c r="N2711" t="s">
        <v>410</v>
      </c>
      <c r="O2711" t="s">
        <v>6162</v>
      </c>
      <c r="Q2711">
        <v>29836</v>
      </c>
      <c r="R2711" t="s">
        <v>95</v>
      </c>
      <c r="S2711" t="s">
        <v>16934</v>
      </c>
      <c r="T2711">
        <v>23</v>
      </c>
      <c r="W2711" t="s">
        <v>17018</v>
      </c>
      <c r="X2711" t="s">
        <v>17019</v>
      </c>
      <c r="Y2711" t="s">
        <v>301</v>
      </c>
      <c r="Z2711" t="s">
        <v>301</v>
      </c>
      <c r="AA2711" s="2" t="s">
        <v>17020</v>
      </c>
      <c r="AB2711" t="s">
        <v>181</v>
      </c>
      <c r="AG2711" t="s">
        <v>17021</v>
      </c>
      <c r="AH2711" t="s">
        <v>16939</v>
      </c>
      <c r="AI2711" t="s">
        <v>17022</v>
      </c>
    </row>
    <row r="2712" spans="2:35" ht="409.5">
      <c r="B2712" s="1">
        <v>45621</v>
      </c>
      <c r="C2712" s="1">
        <v>45621</v>
      </c>
      <c r="D2712" t="s">
        <v>16931</v>
      </c>
      <c r="E2712" t="s">
        <v>16932</v>
      </c>
      <c r="F2712" t="s">
        <v>148</v>
      </c>
      <c r="G2712" t="s">
        <v>447</v>
      </c>
      <c r="H2712" t="s">
        <v>61</v>
      </c>
      <c r="I2712" t="s">
        <v>40</v>
      </c>
      <c r="J2712" s="2" t="s">
        <v>62</v>
      </c>
      <c r="K2712" t="s">
        <v>649</v>
      </c>
      <c r="L2712" t="s">
        <v>409</v>
      </c>
      <c r="N2712" t="s">
        <v>410</v>
      </c>
      <c r="O2712" t="s">
        <v>6162</v>
      </c>
      <c r="Q2712">
        <v>29835</v>
      </c>
      <c r="R2712" t="s">
        <v>95</v>
      </c>
      <c r="S2712" t="s">
        <v>16934</v>
      </c>
      <c r="T2712">
        <v>23</v>
      </c>
      <c r="W2712" t="s">
        <v>17023</v>
      </c>
      <c r="X2712">
        <v>1014319110746</v>
      </c>
      <c r="Y2712" t="s">
        <v>301</v>
      </c>
      <c r="Z2712" t="s">
        <v>301</v>
      </c>
      <c r="AA2712" s="2" t="s">
        <v>17024</v>
      </c>
      <c r="AB2712" t="s">
        <v>181</v>
      </c>
      <c r="AG2712" t="s">
        <v>17025</v>
      </c>
      <c r="AH2712" t="s">
        <v>16939</v>
      </c>
      <c r="AI2712" t="s">
        <v>17026</v>
      </c>
    </row>
    <row r="2713" spans="2:35" ht="345">
      <c r="B2713" s="1">
        <v>45621</v>
      </c>
      <c r="C2713" s="1">
        <v>45621</v>
      </c>
      <c r="D2713" t="s">
        <v>16931</v>
      </c>
      <c r="E2713" t="s">
        <v>16932</v>
      </c>
      <c r="F2713" t="s">
        <v>148</v>
      </c>
      <c r="G2713" t="s">
        <v>447</v>
      </c>
      <c r="H2713" t="s">
        <v>61</v>
      </c>
      <c r="I2713" t="s">
        <v>40</v>
      </c>
      <c r="J2713" s="2" t="s">
        <v>62</v>
      </c>
      <c r="K2713" t="s">
        <v>649</v>
      </c>
      <c r="L2713" t="s">
        <v>409</v>
      </c>
      <c r="N2713" t="s">
        <v>410</v>
      </c>
      <c r="O2713" t="s">
        <v>6162</v>
      </c>
      <c r="Q2713">
        <v>29832</v>
      </c>
      <c r="R2713" t="s">
        <v>95</v>
      </c>
      <c r="S2713" t="s">
        <v>16934</v>
      </c>
      <c r="T2713">
        <v>23</v>
      </c>
      <c r="W2713" t="s">
        <v>17018</v>
      </c>
      <c r="X2713" t="s">
        <v>17027</v>
      </c>
      <c r="Y2713" t="s">
        <v>301</v>
      </c>
      <c r="Z2713" t="s">
        <v>301</v>
      </c>
      <c r="AA2713" s="2" t="s">
        <v>17020</v>
      </c>
      <c r="AB2713" t="s">
        <v>181</v>
      </c>
      <c r="AG2713" t="s">
        <v>17028</v>
      </c>
      <c r="AH2713" t="s">
        <v>16939</v>
      </c>
      <c r="AI2713" t="s">
        <v>17029</v>
      </c>
    </row>
    <row r="2714" spans="2:35" ht="345">
      <c r="B2714" s="1">
        <v>45621</v>
      </c>
      <c r="C2714" s="1">
        <v>45621</v>
      </c>
      <c r="D2714" t="s">
        <v>16931</v>
      </c>
      <c r="E2714" t="s">
        <v>16932</v>
      </c>
      <c r="F2714" t="s">
        <v>148</v>
      </c>
      <c r="G2714" t="s">
        <v>447</v>
      </c>
      <c r="H2714" t="s">
        <v>61</v>
      </c>
      <c r="I2714" t="s">
        <v>40</v>
      </c>
      <c r="J2714" s="2" t="s">
        <v>62</v>
      </c>
      <c r="K2714" t="s">
        <v>649</v>
      </c>
      <c r="L2714" t="s">
        <v>409</v>
      </c>
      <c r="N2714" t="s">
        <v>410</v>
      </c>
      <c r="O2714" t="s">
        <v>6162</v>
      </c>
      <c r="Q2714">
        <v>29833</v>
      </c>
      <c r="R2714" t="s">
        <v>95</v>
      </c>
      <c r="S2714" t="s">
        <v>16934</v>
      </c>
      <c r="T2714">
        <v>23</v>
      </c>
      <c r="W2714" t="s">
        <v>17018</v>
      </c>
      <c r="X2714" t="s">
        <v>17030</v>
      </c>
      <c r="Y2714" t="s">
        <v>301</v>
      </c>
      <c r="Z2714" t="s">
        <v>301</v>
      </c>
      <c r="AA2714" s="2" t="s">
        <v>17020</v>
      </c>
      <c r="AB2714" t="s">
        <v>181</v>
      </c>
      <c r="AG2714" t="s">
        <v>17031</v>
      </c>
      <c r="AH2714" t="s">
        <v>16939</v>
      </c>
      <c r="AI2714" t="s">
        <v>17032</v>
      </c>
    </row>
    <row r="2715" spans="2:35" ht="285">
      <c r="B2715" s="1">
        <v>45621</v>
      </c>
      <c r="C2715" s="1">
        <v>45621</v>
      </c>
      <c r="D2715" t="s">
        <v>10967</v>
      </c>
      <c r="E2715" t="s">
        <v>10968</v>
      </c>
      <c r="F2715">
        <v>7</v>
      </c>
      <c r="G2715" t="s">
        <v>432</v>
      </c>
      <c r="H2715" t="s">
        <v>10969</v>
      </c>
      <c r="I2715" t="s">
        <v>40</v>
      </c>
      <c r="J2715" s="2" t="s">
        <v>609</v>
      </c>
      <c r="K2715" t="s">
        <v>42</v>
      </c>
      <c r="L2715" t="s">
        <v>1288</v>
      </c>
      <c r="N2715" t="s">
        <v>1289</v>
      </c>
      <c r="Q2715">
        <v>29831</v>
      </c>
      <c r="R2715" t="s">
        <v>119</v>
      </c>
      <c r="S2715" t="s">
        <v>15836</v>
      </c>
      <c r="T2715">
        <v>29</v>
      </c>
      <c r="U2715" s="2" t="s">
        <v>17033</v>
      </c>
      <c r="W2715" t="s">
        <v>1292</v>
      </c>
      <c r="X2715">
        <v>838510</v>
      </c>
      <c r="Y2715" t="e">
        <f ca="1">-_xludf.For Preventive Maintenance</f>
        <v>#NAME?</v>
      </c>
      <c r="Z2715" t="e">
        <f ca="1">-COLLECT IQR, system _xludf.Log, _xludf.and ARCHIVE</f>
        <v>#NAME?</v>
      </c>
      <c r="AA2715" t="e">
        <f ca="1">-PERFORM Preventive Maintenance PROCEDURE
-UPDATE end user on CALIBRATION Data _xludf.and SUMMARY</f>
        <v>#NAME?</v>
      </c>
      <c r="AB2715" t="s">
        <v>1293</v>
      </c>
      <c r="AG2715" t="s">
        <v>17034</v>
      </c>
      <c r="AH2715" t="s">
        <v>17035</v>
      </c>
      <c r="AI2715" t="s">
        <v>17036</v>
      </c>
    </row>
    <row r="2716" spans="2:35" ht="285">
      <c r="B2716" s="1">
        <v>45621</v>
      </c>
      <c r="C2716" s="1">
        <v>45621</v>
      </c>
      <c r="D2716" t="s">
        <v>10967</v>
      </c>
      <c r="E2716" t="s">
        <v>10968</v>
      </c>
      <c r="F2716">
        <v>7</v>
      </c>
      <c r="G2716" t="s">
        <v>432</v>
      </c>
      <c r="H2716" t="s">
        <v>10969</v>
      </c>
      <c r="I2716" t="s">
        <v>40</v>
      </c>
      <c r="J2716" s="2" t="s">
        <v>609</v>
      </c>
      <c r="K2716" t="s">
        <v>42</v>
      </c>
      <c r="L2716" t="s">
        <v>1288</v>
      </c>
      <c r="N2716" t="s">
        <v>1289</v>
      </c>
      <c r="Q2716">
        <v>29830</v>
      </c>
      <c r="R2716" t="s">
        <v>119</v>
      </c>
      <c r="S2716" t="s">
        <v>15836</v>
      </c>
      <c r="T2716">
        <v>28</v>
      </c>
      <c r="U2716" s="2" t="s">
        <v>17033</v>
      </c>
      <c r="W2716" t="s">
        <v>1292</v>
      </c>
      <c r="X2716">
        <v>838508</v>
      </c>
      <c r="Y2716" t="e">
        <f ca="1">-Preventive Maintenance</f>
        <v>#NAME?</v>
      </c>
      <c r="Z2716" t="e">
        <f ca="1">-COLLECT IQR, system _xludf.Log, _xludf.and ARCHIVE</f>
        <v>#NAME?</v>
      </c>
      <c r="AA2716" t="e">
        <f ca="1">-PERFORM Preventive Maintenance PROCEDURE
-end user _xludf.REQUEST CALIBRATION _xludf.Date _xludf.and SUMMARY report</f>
        <v>#NAME?</v>
      </c>
      <c r="AB2716" t="e">
        <f ca="1">-EQUIPMENT is operational</f>
        <v>#NAME?</v>
      </c>
      <c r="AC2716" t="s">
        <v>17037</v>
      </c>
      <c r="AG2716" t="s">
        <v>17038</v>
      </c>
      <c r="AH2716" t="s">
        <v>17035</v>
      </c>
      <c r="AI2716" t="s">
        <v>17039</v>
      </c>
    </row>
    <row r="2717" spans="2:35">
      <c r="B2717" s="1">
        <v>45621</v>
      </c>
      <c r="C2717" s="1">
        <v>45621</v>
      </c>
      <c r="D2717" t="s">
        <v>1907</v>
      </c>
      <c r="E2717" t="s">
        <v>6927</v>
      </c>
      <c r="F2717">
        <v>1</v>
      </c>
      <c r="G2717" t="s">
        <v>1046</v>
      </c>
      <c r="H2717" t="s">
        <v>61</v>
      </c>
      <c r="I2717" t="s">
        <v>40</v>
      </c>
      <c r="J2717" t="s">
        <v>321</v>
      </c>
      <c r="K2717" t="s">
        <v>42</v>
      </c>
      <c r="L2717" t="s">
        <v>1048</v>
      </c>
      <c r="N2717" t="s">
        <v>1049</v>
      </c>
      <c r="Q2717">
        <v>29829</v>
      </c>
      <c r="R2717" t="s">
        <v>322</v>
      </c>
      <c r="S2717" t="s">
        <v>6928</v>
      </c>
      <c r="T2717">
        <v>25</v>
      </c>
      <c r="V2717" s="1">
        <v>45621</v>
      </c>
      <c r="W2717" t="s">
        <v>1424</v>
      </c>
      <c r="X2717">
        <v>120003504</v>
      </c>
      <c r="Y2717" t="s">
        <v>6010</v>
      </c>
      <c r="Z2717" t="e">
        <f ca="1">- installed GeneXpert
- Created Accounts
- installed required Assays
- generated reports</f>
        <v>#NAME?</v>
      </c>
      <c r="AA2717" t="s">
        <v>17040</v>
      </c>
      <c r="AB2717" t="s">
        <v>1428</v>
      </c>
      <c r="AD2717" t="s">
        <v>3727</v>
      </c>
      <c r="AE2717" t="s">
        <v>17041</v>
      </c>
      <c r="AG2717" t="s">
        <v>17042</v>
      </c>
      <c r="AH2717" t="s">
        <v>6934</v>
      </c>
      <c r="AI2717" t="s">
        <v>17043</v>
      </c>
    </row>
    <row r="2718" spans="2:35" ht="150">
      <c r="B2718" s="1">
        <v>45618</v>
      </c>
      <c r="C2718" s="1">
        <v>45478</v>
      </c>
      <c r="D2718" t="s">
        <v>17044</v>
      </c>
      <c r="E2718" t="s">
        <v>17045</v>
      </c>
      <c r="F2718" t="s">
        <v>148</v>
      </c>
      <c r="G2718" t="s">
        <v>406</v>
      </c>
      <c r="H2718" t="s">
        <v>39</v>
      </c>
      <c r="I2718" t="s">
        <v>40</v>
      </c>
      <c r="J2718" t="s">
        <v>16223</v>
      </c>
      <c r="K2718" t="s">
        <v>42</v>
      </c>
      <c r="L2718" t="s">
        <v>448</v>
      </c>
      <c r="N2718" t="s">
        <v>44</v>
      </c>
      <c r="O2718" t="s">
        <v>15425</v>
      </c>
      <c r="Q2718">
        <v>29828</v>
      </c>
      <c r="R2718" t="s">
        <v>95</v>
      </c>
      <c r="S2718" t="s">
        <v>5690</v>
      </c>
      <c r="T2718">
        <v>22</v>
      </c>
      <c r="W2718" t="s">
        <v>48</v>
      </c>
      <c r="X2718">
        <v>808411</v>
      </c>
      <c r="Y2718" t="s">
        <v>4768</v>
      </c>
      <c r="Z2718" t="s">
        <v>17046</v>
      </c>
      <c r="AA2718" s="2" t="s">
        <v>17047</v>
      </c>
      <c r="AB2718" t="s">
        <v>548</v>
      </c>
      <c r="AG2718" t="s">
        <v>17048</v>
      </c>
      <c r="AH2718" t="s">
        <v>17049</v>
      </c>
      <c r="AI2718" t="s">
        <v>17050</v>
      </c>
    </row>
    <row r="2719" spans="2:35" ht="409.5">
      <c r="B2719" s="1">
        <v>45618</v>
      </c>
      <c r="C2719" s="1">
        <v>45618</v>
      </c>
      <c r="D2719" t="s">
        <v>3669</v>
      </c>
      <c r="E2719" t="s">
        <v>3670</v>
      </c>
      <c r="F2719" t="s">
        <v>37</v>
      </c>
      <c r="G2719" t="s">
        <v>38</v>
      </c>
      <c r="H2719" t="s">
        <v>39</v>
      </c>
      <c r="I2719" t="s">
        <v>40</v>
      </c>
      <c r="J2719" s="2" t="s">
        <v>190</v>
      </c>
      <c r="K2719" t="s">
        <v>42</v>
      </c>
      <c r="L2719" t="s">
        <v>43</v>
      </c>
      <c r="N2719" t="s">
        <v>44</v>
      </c>
      <c r="Q2719">
        <v>29827</v>
      </c>
      <c r="R2719" t="s">
        <v>95</v>
      </c>
      <c r="S2719" t="s">
        <v>5945</v>
      </c>
      <c r="T2719">
        <v>22</v>
      </c>
      <c r="U2719" s="2" t="s">
        <v>17051</v>
      </c>
      <c r="W2719" t="s">
        <v>48</v>
      </c>
      <c r="X2719">
        <v>110005265</v>
      </c>
      <c r="Y2719" t="s">
        <v>17052</v>
      </c>
      <c r="Z2719" t="s">
        <v>122</v>
      </c>
      <c r="AA2719" s="2" t="s">
        <v>17053</v>
      </c>
      <c r="AB2719" t="s">
        <v>548</v>
      </c>
      <c r="AG2719" t="s">
        <v>17054</v>
      </c>
      <c r="AH2719" t="s">
        <v>15897</v>
      </c>
      <c r="AI2719" t="s">
        <v>17055</v>
      </c>
    </row>
    <row r="2720" spans="2:35" ht="60">
      <c r="B2720" s="1">
        <v>45618</v>
      </c>
      <c r="C2720" s="1">
        <v>45618</v>
      </c>
      <c r="D2720" t="s">
        <v>3423</v>
      </c>
      <c r="E2720" t="s">
        <v>12017</v>
      </c>
      <c r="F2720">
        <v>7</v>
      </c>
      <c r="G2720" t="s">
        <v>432</v>
      </c>
      <c r="H2720" t="s">
        <v>12018</v>
      </c>
      <c r="I2720" t="s">
        <v>40</v>
      </c>
      <c r="J2720" s="2" t="s">
        <v>760</v>
      </c>
      <c r="K2720" t="s">
        <v>387</v>
      </c>
      <c r="L2720" t="s">
        <v>1288</v>
      </c>
      <c r="N2720" t="s">
        <v>1289</v>
      </c>
      <c r="Q2720">
        <v>29826</v>
      </c>
      <c r="R2720" t="s">
        <v>95</v>
      </c>
      <c r="S2720" t="s">
        <v>17056</v>
      </c>
      <c r="T2720">
        <v>22</v>
      </c>
      <c r="W2720" t="s">
        <v>390</v>
      </c>
      <c r="X2720" t="s">
        <v>3425</v>
      </c>
      <c r="Y2720" t="e">
        <f ca="1">-centrifuge lock related problem</f>
        <v>#NAME?</v>
      </c>
      <c r="Z2720" t="e">
        <f ca="1">-PERFORM Cycle test
-COLLECT EQUIPMENT Data</f>
        <v>#NAME?</v>
      </c>
      <c r="AA2720" t="e">
        <f ca="1">-Inspect centrifuge LOCKING MECHANISM
-_xludf.Clean centrifuge sensors,issue resolved
-Check sensor ALIGNMENT _xludf.and functionality, passed</f>
        <v>#NAME?</v>
      </c>
      <c r="AB2720" t="s">
        <v>1293</v>
      </c>
      <c r="AG2720" t="s">
        <v>17057</v>
      </c>
      <c r="AH2720" t="s">
        <v>17058</v>
      </c>
      <c r="AI2720" t="s">
        <v>17059</v>
      </c>
    </row>
    <row r="2721" spans="2:35" ht="120">
      <c r="B2721" s="1">
        <v>45618</v>
      </c>
      <c r="C2721" s="1">
        <v>45618</v>
      </c>
      <c r="D2721" t="s">
        <v>7155</v>
      </c>
      <c r="E2721" t="s">
        <v>17060</v>
      </c>
      <c r="F2721">
        <v>5</v>
      </c>
      <c r="G2721" t="s">
        <v>839</v>
      </c>
      <c r="H2721" t="s">
        <v>17061</v>
      </c>
      <c r="I2721" t="s">
        <v>94</v>
      </c>
      <c r="J2721" t="s">
        <v>109</v>
      </c>
      <c r="K2721" t="s">
        <v>42</v>
      </c>
      <c r="L2721" t="s">
        <v>761</v>
      </c>
      <c r="N2721" t="s">
        <v>762</v>
      </c>
      <c r="Q2721">
        <v>29825</v>
      </c>
      <c r="R2721" t="s">
        <v>119</v>
      </c>
      <c r="S2721" t="s">
        <v>11528</v>
      </c>
      <c r="T2721">
        <v>29</v>
      </c>
      <c r="U2721" s="2" t="s">
        <v>17062</v>
      </c>
      <c r="W2721" t="s">
        <v>765</v>
      </c>
      <c r="X2721">
        <v>838496</v>
      </c>
      <c r="Y2721" t="s">
        <v>818</v>
      </c>
      <c r="Z2721" s="2" t="s">
        <v>4466</v>
      </c>
      <c r="AA2721" t="s">
        <v>820</v>
      </c>
      <c r="AB2721" t="s">
        <v>70</v>
      </c>
      <c r="AG2721" t="s">
        <v>17063</v>
      </c>
      <c r="AH2721" t="s">
        <v>17064</v>
      </c>
      <c r="AI2721" t="s">
        <v>17065</v>
      </c>
    </row>
    <row r="2722" spans="2:35" ht="195">
      <c r="B2722" s="1">
        <v>45617</v>
      </c>
      <c r="C2722" s="1">
        <v>45617</v>
      </c>
      <c r="D2722" t="s">
        <v>7325</v>
      </c>
      <c r="E2722" t="s">
        <v>12097</v>
      </c>
      <c r="F2722">
        <v>12</v>
      </c>
      <c r="G2722" t="s">
        <v>978</v>
      </c>
      <c r="H2722" t="s">
        <v>1473</v>
      </c>
      <c r="I2722" t="s">
        <v>40</v>
      </c>
      <c r="J2722" t="s">
        <v>109</v>
      </c>
      <c r="K2722" t="s">
        <v>42</v>
      </c>
      <c r="L2722" t="s">
        <v>296</v>
      </c>
      <c r="N2722" t="s">
        <v>297</v>
      </c>
      <c r="Q2722">
        <v>29824</v>
      </c>
      <c r="R2722" t="s">
        <v>119</v>
      </c>
      <c r="S2722" t="s">
        <v>7327</v>
      </c>
      <c r="T2722">
        <v>26.9</v>
      </c>
      <c r="U2722" s="2" t="s">
        <v>17066</v>
      </c>
      <c r="W2722" t="s">
        <v>981</v>
      </c>
      <c r="X2722">
        <v>838265</v>
      </c>
      <c r="Y2722" t="s">
        <v>17067</v>
      </c>
      <c r="Z2722" t="s">
        <v>3128</v>
      </c>
      <c r="AA2722" s="2" t="s">
        <v>17068</v>
      </c>
      <c r="AB2722" t="s">
        <v>16070</v>
      </c>
      <c r="AG2722" t="s">
        <v>17069</v>
      </c>
      <c r="AH2722" t="s">
        <v>7331</v>
      </c>
      <c r="AI2722" t="s">
        <v>17070</v>
      </c>
    </row>
    <row r="2723" spans="2:35" ht="345">
      <c r="B2723" s="1">
        <v>45617</v>
      </c>
      <c r="C2723" s="1">
        <v>45617</v>
      </c>
      <c r="D2723" t="s">
        <v>6783</v>
      </c>
      <c r="E2723" t="s">
        <v>2569</v>
      </c>
      <c r="F2723" t="s">
        <v>148</v>
      </c>
      <c r="G2723" t="s">
        <v>447</v>
      </c>
      <c r="H2723" t="s">
        <v>39</v>
      </c>
      <c r="I2723" t="s">
        <v>40</v>
      </c>
      <c r="J2723" t="s">
        <v>109</v>
      </c>
      <c r="K2723" t="s">
        <v>42</v>
      </c>
      <c r="L2723" t="s">
        <v>448</v>
      </c>
      <c r="N2723" t="s">
        <v>450</v>
      </c>
      <c r="Q2723">
        <v>29823</v>
      </c>
      <c r="R2723" t="s">
        <v>95</v>
      </c>
      <c r="S2723" t="s">
        <v>12054</v>
      </c>
      <c r="T2723">
        <v>30</v>
      </c>
      <c r="U2723" s="2" t="s">
        <v>17071</v>
      </c>
      <c r="W2723" t="s">
        <v>6785</v>
      </c>
      <c r="X2723">
        <v>839306</v>
      </c>
      <c r="Y2723" s="2" t="s">
        <v>17072</v>
      </c>
      <c r="Z2723" s="2" t="s">
        <v>2011</v>
      </c>
      <c r="AA2723" t="s">
        <v>122</v>
      </c>
      <c r="AB2723" t="s">
        <v>17073</v>
      </c>
      <c r="AG2723" t="s">
        <v>17074</v>
      </c>
      <c r="AH2723" t="s">
        <v>12059</v>
      </c>
      <c r="AI2723" t="s">
        <v>17075</v>
      </c>
    </row>
    <row r="2724" spans="2:35" ht="120">
      <c r="B2724" s="1">
        <v>45617</v>
      </c>
      <c r="C2724" s="1">
        <v>45617</v>
      </c>
      <c r="D2724" t="s">
        <v>6555</v>
      </c>
      <c r="E2724" t="s">
        <v>17076</v>
      </c>
      <c r="F2724">
        <v>5</v>
      </c>
      <c r="G2724" t="s">
        <v>839</v>
      </c>
      <c r="H2724" t="s">
        <v>39</v>
      </c>
      <c r="I2724" t="s">
        <v>94</v>
      </c>
      <c r="J2724" t="s">
        <v>109</v>
      </c>
      <c r="K2724" t="s">
        <v>42</v>
      </c>
      <c r="L2724" t="s">
        <v>761</v>
      </c>
      <c r="N2724" t="s">
        <v>762</v>
      </c>
      <c r="Q2724">
        <v>29822</v>
      </c>
      <c r="R2724" t="s">
        <v>119</v>
      </c>
      <c r="S2724" t="s">
        <v>6557</v>
      </c>
      <c r="T2724">
        <v>24</v>
      </c>
      <c r="U2724" s="2" t="s">
        <v>17077</v>
      </c>
      <c r="W2724" t="s">
        <v>765</v>
      </c>
      <c r="X2724">
        <v>838398</v>
      </c>
      <c r="Y2724" t="s">
        <v>818</v>
      </c>
      <c r="Z2724" s="2" t="s">
        <v>4466</v>
      </c>
      <c r="AA2724" t="s">
        <v>820</v>
      </c>
      <c r="AB2724" t="s">
        <v>70</v>
      </c>
      <c r="AG2724" t="s">
        <v>17078</v>
      </c>
      <c r="AH2724" t="s">
        <v>6562</v>
      </c>
      <c r="AI2724" t="s">
        <v>17079</v>
      </c>
    </row>
    <row r="2725" spans="2:35" ht="409.5">
      <c r="B2725" s="1">
        <v>45617</v>
      </c>
      <c r="C2725" s="1">
        <v>45617</v>
      </c>
      <c r="D2725" t="s">
        <v>6226</v>
      </c>
      <c r="E2725" t="s">
        <v>17080</v>
      </c>
      <c r="F2725">
        <v>11</v>
      </c>
      <c r="G2725" t="s">
        <v>201</v>
      </c>
      <c r="H2725" t="s">
        <v>202</v>
      </c>
      <c r="I2725" t="s">
        <v>40</v>
      </c>
      <c r="J2725" s="2" t="s">
        <v>1157</v>
      </c>
      <c r="K2725" t="s">
        <v>42</v>
      </c>
      <c r="L2725" t="s">
        <v>204</v>
      </c>
      <c r="N2725" t="s">
        <v>205</v>
      </c>
      <c r="Q2725">
        <v>29821</v>
      </c>
      <c r="R2725" t="s">
        <v>119</v>
      </c>
      <c r="S2725" t="s">
        <v>6228</v>
      </c>
      <c r="T2725">
        <v>25.6</v>
      </c>
      <c r="U2725" s="2" t="s">
        <v>17081</v>
      </c>
      <c r="V2725" s="1">
        <v>45539</v>
      </c>
      <c r="W2725" t="s">
        <v>208</v>
      </c>
      <c r="X2725">
        <v>838395</v>
      </c>
      <c r="Y2725" s="2" t="s">
        <v>17082</v>
      </c>
      <c r="Z2725" s="2" t="s">
        <v>17083</v>
      </c>
      <c r="AA2725" s="2" t="s">
        <v>17084</v>
      </c>
      <c r="AB2725" s="2" t="s">
        <v>17085</v>
      </c>
      <c r="AD2725" t="s">
        <v>17086</v>
      </c>
      <c r="AE2725" t="s">
        <v>17087</v>
      </c>
      <c r="AG2725" t="s">
        <v>17088</v>
      </c>
      <c r="AH2725" t="s">
        <v>6234</v>
      </c>
      <c r="AI2725" t="s">
        <v>17089</v>
      </c>
    </row>
    <row r="2726" spans="2:35" ht="225">
      <c r="B2726" s="1">
        <v>45617</v>
      </c>
      <c r="C2726" s="1">
        <v>45617</v>
      </c>
      <c r="D2726" t="s">
        <v>6595</v>
      </c>
      <c r="E2726" t="s">
        <v>11765</v>
      </c>
      <c r="F2726" t="s">
        <v>148</v>
      </c>
      <c r="G2726" t="s">
        <v>785</v>
      </c>
      <c r="H2726" t="s">
        <v>39</v>
      </c>
      <c r="I2726" t="s">
        <v>40</v>
      </c>
      <c r="J2726" s="2" t="s">
        <v>41</v>
      </c>
      <c r="K2726" t="s">
        <v>42</v>
      </c>
      <c r="L2726" t="s">
        <v>43</v>
      </c>
      <c r="N2726" t="s">
        <v>44</v>
      </c>
      <c r="Q2726">
        <v>29820</v>
      </c>
      <c r="R2726" t="s">
        <v>322</v>
      </c>
      <c r="S2726" t="s">
        <v>786</v>
      </c>
      <c r="T2726">
        <v>25</v>
      </c>
      <c r="U2726" s="2" t="s">
        <v>17090</v>
      </c>
      <c r="V2726" s="1">
        <v>45610</v>
      </c>
      <c r="W2726" t="s">
        <v>5136</v>
      </c>
      <c r="X2726">
        <v>821648</v>
      </c>
      <c r="Y2726" t="s">
        <v>2514</v>
      </c>
      <c r="Z2726" t="s">
        <v>233</v>
      </c>
      <c r="AA2726" s="2" t="s">
        <v>17091</v>
      </c>
      <c r="AB2726" t="s">
        <v>17092</v>
      </c>
      <c r="AD2726" s="2" t="s">
        <v>17093</v>
      </c>
      <c r="AE2726" t="s">
        <v>17094</v>
      </c>
      <c r="AG2726" t="s">
        <v>17095</v>
      </c>
      <c r="AH2726" t="s">
        <v>4837</v>
      </c>
      <c r="AI2726" t="s">
        <v>17096</v>
      </c>
    </row>
    <row r="2727" spans="2:35" ht="90">
      <c r="B2727" s="1">
        <v>45617</v>
      </c>
      <c r="C2727" s="1">
        <v>45617</v>
      </c>
      <c r="D2727" t="s">
        <v>17097</v>
      </c>
      <c r="E2727" t="s">
        <v>17098</v>
      </c>
      <c r="F2727" t="s">
        <v>148</v>
      </c>
      <c r="G2727" t="s">
        <v>785</v>
      </c>
      <c r="H2727" t="s">
        <v>39</v>
      </c>
      <c r="I2727" t="s">
        <v>40</v>
      </c>
      <c r="J2727" t="s">
        <v>321</v>
      </c>
      <c r="K2727" t="s">
        <v>42</v>
      </c>
      <c r="L2727" t="s">
        <v>15532</v>
      </c>
      <c r="N2727" t="s">
        <v>15533</v>
      </c>
      <c r="O2727" t="s">
        <v>786</v>
      </c>
      <c r="Q2727">
        <v>29819</v>
      </c>
      <c r="R2727" t="s">
        <v>322</v>
      </c>
      <c r="S2727" t="s">
        <v>787</v>
      </c>
      <c r="T2727">
        <v>25</v>
      </c>
      <c r="W2727" t="s">
        <v>15620</v>
      </c>
      <c r="X2727">
        <v>110025127</v>
      </c>
      <c r="Y2727" t="s">
        <v>15977</v>
      </c>
      <c r="Z2727" t="s">
        <v>17099</v>
      </c>
      <c r="AA2727" t="s">
        <v>17100</v>
      </c>
      <c r="AB2727" s="2" t="s">
        <v>17101</v>
      </c>
      <c r="AG2727" t="s">
        <v>17102</v>
      </c>
      <c r="AH2727" t="s">
        <v>13681</v>
      </c>
      <c r="AI2727" t="s">
        <v>17103</v>
      </c>
    </row>
    <row r="2728" spans="2:35" ht="255">
      <c r="B2728" s="1">
        <v>45617</v>
      </c>
      <c r="C2728" s="1">
        <v>45617</v>
      </c>
      <c r="D2728" t="s">
        <v>6595</v>
      </c>
      <c r="E2728" t="s">
        <v>11765</v>
      </c>
      <c r="F2728" t="s">
        <v>148</v>
      </c>
      <c r="G2728" t="s">
        <v>785</v>
      </c>
      <c r="H2728" t="s">
        <v>39</v>
      </c>
      <c r="I2728" t="s">
        <v>40</v>
      </c>
      <c r="J2728" t="s">
        <v>321</v>
      </c>
      <c r="K2728" t="s">
        <v>42</v>
      </c>
      <c r="L2728" t="s">
        <v>43</v>
      </c>
      <c r="N2728" t="s">
        <v>44</v>
      </c>
      <c r="Q2728">
        <v>29818</v>
      </c>
      <c r="R2728" t="s">
        <v>322</v>
      </c>
      <c r="S2728" t="s">
        <v>786</v>
      </c>
      <c r="T2728">
        <v>22</v>
      </c>
      <c r="W2728" t="s">
        <v>153</v>
      </c>
      <c r="X2728">
        <v>110025128</v>
      </c>
      <c r="Y2728" t="s">
        <v>750</v>
      </c>
      <c r="Z2728" t="s">
        <v>751</v>
      </c>
      <c r="AA2728" s="2" t="s">
        <v>17104</v>
      </c>
      <c r="AB2728" t="s">
        <v>88</v>
      </c>
      <c r="AG2728" t="s">
        <v>17105</v>
      </c>
      <c r="AH2728" t="s">
        <v>4837</v>
      </c>
      <c r="AI2728" t="s">
        <v>17106</v>
      </c>
    </row>
    <row r="2729" spans="2:35" ht="120">
      <c r="B2729" s="1">
        <v>45617</v>
      </c>
      <c r="C2729" s="1">
        <v>45617</v>
      </c>
      <c r="D2729" t="s">
        <v>5807</v>
      </c>
      <c r="E2729" t="s">
        <v>17107</v>
      </c>
      <c r="F2729">
        <v>5</v>
      </c>
      <c r="G2729" t="s">
        <v>839</v>
      </c>
      <c r="H2729" t="s">
        <v>39</v>
      </c>
      <c r="I2729" t="s">
        <v>94</v>
      </c>
      <c r="J2729" t="s">
        <v>109</v>
      </c>
      <c r="K2729" t="s">
        <v>42</v>
      </c>
      <c r="L2729" t="s">
        <v>761</v>
      </c>
      <c r="N2729" t="s">
        <v>762</v>
      </c>
      <c r="Q2729">
        <v>29817</v>
      </c>
      <c r="R2729" t="s">
        <v>119</v>
      </c>
      <c r="S2729" t="s">
        <v>5809</v>
      </c>
      <c r="T2729">
        <v>23</v>
      </c>
      <c r="U2729" s="2" t="s">
        <v>15872</v>
      </c>
      <c r="W2729" t="s">
        <v>765</v>
      </c>
      <c r="X2729">
        <v>838408</v>
      </c>
      <c r="Y2729" t="s">
        <v>818</v>
      </c>
      <c r="Z2729" s="2" t="s">
        <v>7933</v>
      </c>
      <c r="AA2729" t="s">
        <v>820</v>
      </c>
      <c r="AB2729" t="s">
        <v>70</v>
      </c>
      <c r="AG2729" t="s">
        <v>17108</v>
      </c>
      <c r="AH2729" t="s">
        <v>17109</v>
      </c>
      <c r="AI2729" t="s">
        <v>17110</v>
      </c>
    </row>
    <row r="2730" spans="2:35" ht="180">
      <c r="B2730" s="1">
        <v>45617</v>
      </c>
      <c r="C2730" s="1">
        <v>45617</v>
      </c>
      <c r="D2730" t="s">
        <v>2568</v>
      </c>
      <c r="E2730" t="s">
        <v>2569</v>
      </c>
      <c r="F2730" t="s">
        <v>148</v>
      </c>
      <c r="G2730" t="s">
        <v>447</v>
      </c>
      <c r="H2730" t="s">
        <v>2570</v>
      </c>
      <c r="I2730" t="s">
        <v>40</v>
      </c>
      <c r="J2730" t="s">
        <v>109</v>
      </c>
      <c r="K2730" t="s">
        <v>42</v>
      </c>
      <c r="L2730" t="s">
        <v>448</v>
      </c>
      <c r="N2730" t="s">
        <v>450</v>
      </c>
      <c r="O2730" t="s">
        <v>2808</v>
      </c>
      <c r="Q2730">
        <v>29816</v>
      </c>
      <c r="R2730" t="s">
        <v>95</v>
      </c>
      <c r="S2730" t="s">
        <v>2571</v>
      </c>
      <c r="T2730">
        <v>31</v>
      </c>
      <c r="W2730" t="s">
        <v>6128</v>
      </c>
      <c r="X2730">
        <v>807155</v>
      </c>
      <c r="Y2730" t="s">
        <v>485</v>
      </c>
      <c r="Z2730" s="2" t="s">
        <v>2011</v>
      </c>
      <c r="AA2730" t="s">
        <v>122</v>
      </c>
      <c r="AB2730" t="s">
        <v>486</v>
      </c>
      <c r="AC2730" t="s">
        <v>17111</v>
      </c>
      <c r="AG2730" t="s">
        <v>17112</v>
      </c>
      <c r="AH2730" t="s">
        <v>2578</v>
      </c>
      <c r="AI2730" t="s">
        <v>17113</v>
      </c>
    </row>
    <row r="2731" spans="2:35" ht="210">
      <c r="B2731" s="1">
        <v>45617</v>
      </c>
      <c r="C2731" s="1">
        <v>45617</v>
      </c>
      <c r="D2731" t="s">
        <v>2806</v>
      </c>
      <c r="E2731" t="s">
        <v>2569</v>
      </c>
      <c r="F2731" t="s">
        <v>148</v>
      </c>
      <c r="G2731" t="s">
        <v>447</v>
      </c>
      <c r="H2731" t="s">
        <v>17114</v>
      </c>
      <c r="I2731" t="s">
        <v>40</v>
      </c>
      <c r="J2731" t="s">
        <v>109</v>
      </c>
      <c r="K2731" t="s">
        <v>42</v>
      </c>
      <c r="L2731" t="s">
        <v>448</v>
      </c>
      <c r="N2731" t="s">
        <v>450</v>
      </c>
      <c r="O2731" t="s">
        <v>2808</v>
      </c>
      <c r="Q2731">
        <v>29815</v>
      </c>
      <c r="R2731" t="s">
        <v>95</v>
      </c>
      <c r="S2731" t="s">
        <v>2809</v>
      </c>
      <c r="T2731">
        <v>27</v>
      </c>
      <c r="U2731" s="2" t="s">
        <v>17115</v>
      </c>
      <c r="W2731" t="s">
        <v>6121</v>
      </c>
      <c r="X2731">
        <v>839234</v>
      </c>
      <c r="Y2731" t="s">
        <v>485</v>
      </c>
      <c r="Z2731" s="2" t="s">
        <v>17116</v>
      </c>
      <c r="AA2731" t="s">
        <v>122</v>
      </c>
      <c r="AB2731" s="2" t="s">
        <v>17117</v>
      </c>
      <c r="AC2731" t="s">
        <v>17111</v>
      </c>
      <c r="AG2731" t="s">
        <v>17118</v>
      </c>
      <c r="AH2731" t="s">
        <v>2814</v>
      </c>
      <c r="AI2731" t="s">
        <v>17119</v>
      </c>
    </row>
    <row r="2732" spans="2:35" ht="180">
      <c r="B2732" s="1">
        <v>45617</v>
      </c>
      <c r="C2732" s="1">
        <v>45616</v>
      </c>
      <c r="D2732" t="s">
        <v>17120</v>
      </c>
      <c r="E2732" t="s">
        <v>3713</v>
      </c>
      <c r="F2732" t="s">
        <v>148</v>
      </c>
      <c r="G2732" t="s">
        <v>310</v>
      </c>
      <c r="H2732" t="s">
        <v>2274</v>
      </c>
      <c r="I2732" t="s">
        <v>40</v>
      </c>
      <c r="J2732" s="2" t="s">
        <v>355</v>
      </c>
      <c r="K2732" t="s">
        <v>387</v>
      </c>
      <c r="L2732" t="s">
        <v>1943</v>
      </c>
      <c r="N2732" t="s">
        <v>1944</v>
      </c>
      <c r="Q2732">
        <v>29814</v>
      </c>
      <c r="R2732" t="s">
        <v>322</v>
      </c>
      <c r="S2732" t="s">
        <v>9747</v>
      </c>
      <c r="T2732">
        <v>25</v>
      </c>
      <c r="W2732" t="s">
        <v>390</v>
      </c>
      <c r="X2732" t="s">
        <v>4180</v>
      </c>
      <c r="Y2732" t="s">
        <v>17121</v>
      </c>
      <c r="Z2732" t="s">
        <v>4487</v>
      </c>
      <c r="AA2732" s="2" t="s">
        <v>17122</v>
      </c>
      <c r="AB2732" t="s">
        <v>17123</v>
      </c>
      <c r="AG2732" t="s">
        <v>17124</v>
      </c>
      <c r="AH2732" t="s">
        <v>10576</v>
      </c>
      <c r="AI2732" t="s">
        <v>17125</v>
      </c>
    </row>
    <row r="2733" spans="2:35" ht="120">
      <c r="B2733" s="1">
        <v>45616</v>
      </c>
      <c r="C2733" s="1">
        <v>45616</v>
      </c>
      <c r="D2733" t="s">
        <v>8914</v>
      </c>
      <c r="E2733" t="s">
        <v>17126</v>
      </c>
      <c r="F2733">
        <v>5</v>
      </c>
      <c r="G2733" t="s">
        <v>839</v>
      </c>
      <c r="H2733" t="s">
        <v>39</v>
      </c>
      <c r="I2733" t="s">
        <v>94</v>
      </c>
      <c r="J2733" t="s">
        <v>109</v>
      </c>
      <c r="K2733" t="s">
        <v>42</v>
      </c>
      <c r="L2733" t="s">
        <v>761</v>
      </c>
      <c r="N2733" t="s">
        <v>762</v>
      </c>
      <c r="Q2733">
        <v>29813</v>
      </c>
      <c r="R2733" t="s">
        <v>119</v>
      </c>
      <c r="S2733" t="s">
        <v>17127</v>
      </c>
      <c r="T2733">
        <v>27</v>
      </c>
      <c r="U2733" s="2" t="s">
        <v>17128</v>
      </c>
      <c r="W2733" t="s">
        <v>765</v>
      </c>
      <c r="X2733">
        <v>838558</v>
      </c>
      <c r="Y2733" t="s">
        <v>818</v>
      </c>
      <c r="Z2733" s="2" t="s">
        <v>4466</v>
      </c>
      <c r="AA2733" t="s">
        <v>820</v>
      </c>
      <c r="AB2733" t="s">
        <v>181</v>
      </c>
      <c r="AG2733" t="s">
        <v>17129</v>
      </c>
      <c r="AH2733" t="s">
        <v>17130</v>
      </c>
      <c r="AI2733" t="s">
        <v>17131</v>
      </c>
    </row>
    <row r="2734" spans="2:35" ht="409.5">
      <c r="B2734" s="1">
        <v>45616</v>
      </c>
      <c r="C2734" s="1">
        <v>45616</v>
      </c>
      <c r="D2734" t="s">
        <v>8907</v>
      </c>
      <c r="E2734" t="s">
        <v>17132</v>
      </c>
      <c r="F2734">
        <v>5</v>
      </c>
      <c r="G2734" t="s">
        <v>839</v>
      </c>
      <c r="H2734" t="s">
        <v>39</v>
      </c>
      <c r="I2734" t="s">
        <v>94</v>
      </c>
      <c r="J2734" s="2" t="s">
        <v>190</v>
      </c>
      <c r="K2734" t="s">
        <v>42</v>
      </c>
      <c r="L2734" t="s">
        <v>761</v>
      </c>
      <c r="N2734" t="s">
        <v>762</v>
      </c>
      <c r="Q2734">
        <v>29812</v>
      </c>
      <c r="R2734" t="s">
        <v>119</v>
      </c>
      <c r="S2734" t="s">
        <v>8909</v>
      </c>
      <c r="T2734">
        <v>22</v>
      </c>
      <c r="W2734" t="s">
        <v>765</v>
      </c>
      <c r="X2734">
        <v>838389</v>
      </c>
      <c r="Y2734" s="2" t="s">
        <v>17133</v>
      </c>
      <c r="Z2734" s="2" t="s">
        <v>17134</v>
      </c>
      <c r="AA2734" s="2" t="s">
        <v>17135</v>
      </c>
      <c r="AB2734" s="2" t="s">
        <v>17136</v>
      </c>
      <c r="AC2734" t="s">
        <v>17137</v>
      </c>
      <c r="AG2734" t="s">
        <v>17138</v>
      </c>
      <c r="AH2734" t="s">
        <v>8912</v>
      </c>
      <c r="AI2734" t="s">
        <v>17139</v>
      </c>
    </row>
    <row r="2735" spans="2:35" ht="255">
      <c r="B2735" s="1">
        <v>45616</v>
      </c>
      <c r="C2735" s="1">
        <v>45615</v>
      </c>
      <c r="D2735" t="s">
        <v>1099</v>
      </c>
      <c r="E2735" t="s">
        <v>6645</v>
      </c>
      <c r="F2735" t="s">
        <v>148</v>
      </c>
      <c r="G2735" t="s">
        <v>406</v>
      </c>
      <c r="H2735" t="s">
        <v>386</v>
      </c>
      <c r="I2735" t="s">
        <v>40</v>
      </c>
      <c r="J2735" t="s">
        <v>109</v>
      </c>
      <c r="K2735" t="s">
        <v>387</v>
      </c>
      <c r="L2735" t="s">
        <v>43</v>
      </c>
      <c r="N2735" t="s">
        <v>44</v>
      </c>
      <c r="O2735" t="s">
        <v>1091</v>
      </c>
      <c r="Q2735">
        <v>29811</v>
      </c>
      <c r="R2735" t="s">
        <v>95</v>
      </c>
      <c r="S2735" t="s">
        <v>17140</v>
      </c>
      <c r="T2735">
        <v>22</v>
      </c>
      <c r="W2735" t="s">
        <v>390</v>
      </c>
      <c r="X2735" t="s">
        <v>5702</v>
      </c>
      <c r="Y2735" t="s">
        <v>121</v>
      </c>
      <c r="Z2735" t="s">
        <v>122</v>
      </c>
      <c r="AA2735" s="2" t="s">
        <v>14371</v>
      </c>
      <c r="AB2735" t="s">
        <v>88</v>
      </c>
      <c r="AG2735" t="s">
        <v>17141</v>
      </c>
      <c r="AH2735" t="s">
        <v>17142</v>
      </c>
      <c r="AI2735" t="s">
        <v>17143</v>
      </c>
    </row>
    <row r="2736" spans="2:35" ht="409.5">
      <c r="B2736" s="1">
        <v>45616</v>
      </c>
      <c r="C2736" s="1">
        <v>45615</v>
      </c>
      <c r="D2736" t="s">
        <v>1099</v>
      </c>
      <c r="E2736" t="s">
        <v>6645</v>
      </c>
      <c r="F2736" t="s">
        <v>148</v>
      </c>
      <c r="G2736" t="s">
        <v>406</v>
      </c>
      <c r="H2736" t="s">
        <v>39</v>
      </c>
      <c r="I2736" t="s">
        <v>40</v>
      </c>
      <c r="J2736" t="s">
        <v>109</v>
      </c>
      <c r="K2736" t="s">
        <v>42</v>
      </c>
      <c r="L2736" t="s">
        <v>43</v>
      </c>
      <c r="N2736" t="s">
        <v>44</v>
      </c>
      <c r="O2736" t="s">
        <v>1091</v>
      </c>
      <c r="Q2736">
        <v>29810</v>
      </c>
      <c r="R2736" t="s">
        <v>95</v>
      </c>
      <c r="S2736" t="s">
        <v>5690</v>
      </c>
      <c r="T2736">
        <v>24</v>
      </c>
      <c r="U2736" s="2" t="s">
        <v>17144</v>
      </c>
      <c r="W2736" t="s">
        <v>153</v>
      </c>
      <c r="X2736">
        <v>120002383</v>
      </c>
      <c r="Y2736" t="s">
        <v>121</v>
      </c>
      <c r="Z2736" t="s">
        <v>122</v>
      </c>
      <c r="AA2736" s="2" t="s">
        <v>17145</v>
      </c>
      <c r="AB2736" t="s">
        <v>548</v>
      </c>
      <c r="AG2736" t="s">
        <v>17146</v>
      </c>
      <c r="AH2736" t="s">
        <v>17147</v>
      </c>
      <c r="AI2736" t="s">
        <v>17148</v>
      </c>
    </row>
    <row r="2737" spans="2:35" ht="409.5">
      <c r="B2737" s="1">
        <v>45616</v>
      </c>
      <c r="C2737" s="1">
        <v>45615</v>
      </c>
      <c r="D2737" t="s">
        <v>1099</v>
      </c>
      <c r="E2737" t="s">
        <v>6645</v>
      </c>
      <c r="F2737" t="s">
        <v>148</v>
      </c>
      <c r="G2737" t="s">
        <v>406</v>
      </c>
      <c r="H2737" t="s">
        <v>39</v>
      </c>
      <c r="I2737" t="s">
        <v>40</v>
      </c>
      <c r="J2737" t="s">
        <v>109</v>
      </c>
      <c r="K2737" t="s">
        <v>42</v>
      </c>
      <c r="L2737" t="s">
        <v>43</v>
      </c>
      <c r="N2737" t="s">
        <v>44</v>
      </c>
      <c r="O2737" t="s">
        <v>1091</v>
      </c>
      <c r="Q2737">
        <v>29809</v>
      </c>
      <c r="R2737" t="s">
        <v>95</v>
      </c>
      <c r="S2737" t="s">
        <v>5690</v>
      </c>
      <c r="T2737">
        <v>24</v>
      </c>
      <c r="U2737" s="2" t="s">
        <v>17149</v>
      </c>
      <c r="W2737" t="s">
        <v>48</v>
      </c>
      <c r="X2737">
        <v>839231</v>
      </c>
      <c r="Y2737" t="s">
        <v>121</v>
      </c>
      <c r="Z2737" t="s">
        <v>122</v>
      </c>
      <c r="AA2737" s="2" t="s">
        <v>9744</v>
      </c>
      <c r="AB2737" t="s">
        <v>15429</v>
      </c>
      <c r="AG2737" t="s">
        <v>17150</v>
      </c>
      <c r="AH2737" t="s">
        <v>17147</v>
      </c>
      <c r="AI2737" t="s">
        <v>17151</v>
      </c>
    </row>
    <row r="2738" spans="2:35">
      <c r="B2738" s="1">
        <v>45615</v>
      </c>
      <c r="C2738" s="1">
        <v>45615</v>
      </c>
      <c r="D2738" t="s">
        <v>14487</v>
      </c>
      <c r="E2738" t="s">
        <v>229</v>
      </c>
      <c r="F2738" t="s">
        <v>148</v>
      </c>
      <c r="G2738" t="s">
        <v>230</v>
      </c>
      <c r="H2738" t="s">
        <v>39</v>
      </c>
      <c r="I2738" t="s">
        <v>40</v>
      </c>
      <c r="J2738" t="s">
        <v>109</v>
      </c>
      <c r="K2738" t="s">
        <v>42</v>
      </c>
      <c r="L2738" t="s">
        <v>175</v>
      </c>
      <c r="N2738" t="s">
        <v>176</v>
      </c>
      <c r="Q2738">
        <v>29807</v>
      </c>
      <c r="R2738" t="s">
        <v>703</v>
      </c>
      <c r="S2738" t="s">
        <v>14488</v>
      </c>
      <c r="T2738">
        <v>25</v>
      </c>
      <c r="W2738" t="s">
        <v>84</v>
      </c>
      <c r="X2738">
        <v>110008420</v>
      </c>
      <c r="Y2738" t="s">
        <v>374</v>
      </c>
      <c r="Z2738" t="s">
        <v>103</v>
      </c>
      <c r="AA2738" t="e">
        <f ca="1">- checked _xludf.and cleaned cartridge bay, plunger rod, _xludf.filter
- generated reports
- performed self test</f>
        <v>#NAME?</v>
      </c>
      <c r="AB2738" t="s">
        <v>181</v>
      </c>
      <c r="AG2738" t="s">
        <v>17152</v>
      </c>
      <c r="AH2738" t="s">
        <v>17153</v>
      </c>
      <c r="AI2738" t="s">
        <v>17154</v>
      </c>
    </row>
    <row r="2739" spans="2:35">
      <c r="B2739" s="1">
        <v>45615</v>
      </c>
      <c r="C2739" s="1">
        <v>45615</v>
      </c>
      <c r="D2739" t="s">
        <v>14487</v>
      </c>
      <c r="E2739" t="s">
        <v>229</v>
      </c>
      <c r="F2739" t="s">
        <v>148</v>
      </c>
      <c r="G2739" t="s">
        <v>230</v>
      </c>
      <c r="H2739" t="s">
        <v>39</v>
      </c>
      <c r="I2739" t="s">
        <v>40</v>
      </c>
      <c r="J2739" t="s">
        <v>109</v>
      </c>
      <c r="K2739" t="s">
        <v>42</v>
      </c>
      <c r="L2739" t="s">
        <v>175</v>
      </c>
      <c r="N2739" t="s">
        <v>176</v>
      </c>
      <c r="Q2739">
        <v>29808</v>
      </c>
      <c r="R2739" t="s">
        <v>703</v>
      </c>
      <c r="S2739" t="s">
        <v>14488</v>
      </c>
      <c r="T2739">
        <v>25</v>
      </c>
      <c r="W2739" t="s">
        <v>84</v>
      </c>
      <c r="X2739">
        <v>110008415</v>
      </c>
      <c r="Y2739" t="s">
        <v>374</v>
      </c>
      <c r="Z2739" t="s">
        <v>103</v>
      </c>
      <c r="AA2739" t="e">
        <f ca="1">- checked _xludf.and cleaned cartridge bay, plunger rod, _xludf.filter
- generated reports
- performed self test</f>
        <v>#NAME?</v>
      </c>
      <c r="AB2739" t="s">
        <v>181</v>
      </c>
      <c r="AG2739" t="s">
        <v>17155</v>
      </c>
      <c r="AH2739" t="s">
        <v>17153</v>
      </c>
      <c r="AI2739" t="s">
        <v>17156</v>
      </c>
    </row>
    <row r="2740" spans="2:35" ht="90">
      <c r="B2740" s="1">
        <v>45615</v>
      </c>
      <c r="C2740" s="1">
        <v>45615</v>
      </c>
      <c r="D2740" t="s">
        <v>146</v>
      </c>
      <c r="E2740" t="s">
        <v>385</v>
      </c>
      <c r="F2740" t="s">
        <v>148</v>
      </c>
      <c r="G2740" t="s">
        <v>149</v>
      </c>
      <c r="H2740" t="s">
        <v>39</v>
      </c>
      <c r="I2740" t="s">
        <v>40</v>
      </c>
      <c r="J2740" t="s">
        <v>525</v>
      </c>
      <c r="K2740" t="s">
        <v>387</v>
      </c>
      <c r="L2740" t="s">
        <v>15532</v>
      </c>
      <c r="N2740" t="s">
        <v>15533</v>
      </c>
      <c r="Q2740">
        <v>29806</v>
      </c>
      <c r="R2740" t="s">
        <v>95</v>
      </c>
      <c r="S2740" t="s">
        <v>17157</v>
      </c>
      <c r="T2740">
        <v>25</v>
      </c>
      <c r="W2740" t="s">
        <v>390</v>
      </c>
      <c r="X2740" t="s">
        <v>391</v>
      </c>
      <c r="Y2740" s="2" t="s">
        <v>17158</v>
      </c>
      <c r="Z2740" s="2" t="s">
        <v>17159</v>
      </c>
      <c r="AA2740" t="s">
        <v>17160</v>
      </c>
      <c r="AB2740" t="s">
        <v>181</v>
      </c>
      <c r="AC2740" t="s">
        <v>17161</v>
      </c>
      <c r="AG2740" t="s">
        <v>17162</v>
      </c>
      <c r="AH2740" t="s">
        <v>17163</v>
      </c>
      <c r="AI2740" t="s">
        <v>17164</v>
      </c>
    </row>
    <row r="2741" spans="2:35" ht="409.5">
      <c r="B2741" s="1">
        <v>45615</v>
      </c>
      <c r="C2741" s="1">
        <v>45615</v>
      </c>
      <c r="D2741" t="s">
        <v>5207</v>
      </c>
      <c r="E2741" t="s">
        <v>5208</v>
      </c>
      <c r="F2741" t="s">
        <v>148</v>
      </c>
      <c r="G2741" t="s">
        <v>310</v>
      </c>
      <c r="H2741" t="s">
        <v>39</v>
      </c>
      <c r="I2741" t="s">
        <v>40</v>
      </c>
      <c r="J2741" s="2" t="s">
        <v>41</v>
      </c>
      <c r="K2741" t="s">
        <v>42</v>
      </c>
      <c r="L2741" t="s">
        <v>1943</v>
      </c>
      <c r="N2741" t="s">
        <v>1944</v>
      </c>
      <c r="O2741" t="s">
        <v>5210</v>
      </c>
      <c r="Q2741">
        <v>29805</v>
      </c>
      <c r="R2741" t="s">
        <v>322</v>
      </c>
      <c r="S2741" t="s">
        <v>11992</v>
      </c>
      <c r="T2741">
        <v>25</v>
      </c>
      <c r="U2741" s="2" t="s">
        <v>17165</v>
      </c>
      <c r="V2741" s="1">
        <v>45609</v>
      </c>
      <c r="W2741" t="s">
        <v>5225</v>
      </c>
      <c r="X2741">
        <v>110016343</v>
      </c>
      <c r="Y2741" s="2" t="s">
        <v>13264</v>
      </c>
      <c r="Z2741" t="s">
        <v>1947</v>
      </c>
      <c r="AA2741" s="2" t="s">
        <v>1948</v>
      </c>
      <c r="AB2741" t="s">
        <v>88</v>
      </c>
      <c r="AD2741" t="s">
        <v>17166</v>
      </c>
      <c r="AE2741" t="s">
        <v>17167</v>
      </c>
      <c r="AG2741" t="s">
        <v>17168</v>
      </c>
      <c r="AH2741" t="s">
        <v>5212</v>
      </c>
      <c r="AI2741" t="s">
        <v>17169</v>
      </c>
    </row>
    <row r="2742" spans="2:35" ht="409.5">
      <c r="B2742" s="1">
        <v>45615</v>
      </c>
      <c r="C2742" s="1">
        <v>45614</v>
      </c>
      <c r="D2742" t="s">
        <v>5474</v>
      </c>
      <c r="E2742" t="s">
        <v>2006</v>
      </c>
      <c r="F2742" t="s">
        <v>148</v>
      </c>
      <c r="G2742" t="s">
        <v>2007</v>
      </c>
      <c r="H2742" t="s">
        <v>386</v>
      </c>
      <c r="I2742" t="s">
        <v>40</v>
      </c>
      <c r="J2742" t="s">
        <v>525</v>
      </c>
      <c r="K2742" t="s">
        <v>387</v>
      </c>
      <c r="L2742" t="s">
        <v>448</v>
      </c>
      <c r="N2742" t="s">
        <v>450</v>
      </c>
      <c r="O2742" t="s">
        <v>17170</v>
      </c>
      <c r="Q2742">
        <v>29804</v>
      </c>
      <c r="R2742" t="s">
        <v>95</v>
      </c>
      <c r="S2742" t="s">
        <v>10087</v>
      </c>
      <c r="T2742">
        <v>26</v>
      </c>
      <c r="W2742" t="s">
        <v>476</v>
      </c>
      <c r="X2742" t="s">
        <v>5488</v>
      </c>
      <c r="Y2742" t="s">
        <v>17171</v>
      </c>
      <c r="Z2742" s="2" t="s">
        <v>17172</v>
      </c>
      <c r="AA2742" t="s">
        <v>768</v>
      </c>
      <c r="AB2742" t="s">
        <v>486</v>
      </c>
      <c r="AG2742" t="s">
        <v>17173</v>
      </c>
      <c r="AH2742" t="s">
        <v>17174</v>
      </c>
      <c r="AI2742" t="s">
        <v>17175</v>
      </c>
    </row>
    <row r="2743" spans="2:35" ht="120">
      <c r="B2743" s="1">
        <v>45614</v>
      </c>
      <c r="C2743" s="1">
        <v>45611</v>
      </c>
      <c r="D2743" t="s">
        <v>17176</v>
      </c>
      <c r="E2743" t="s">
        <v>2797</v>
      </c>
      <c r="F2743">
        <v>12</v>
      </c>
      <c r="G2743" t="s">
        <v>978</v>
      </c>
      <c r="H2743" t="s">
        <v>1473</v>
      </c>
      <c r="I2743" t="s">
        <v>40</v>
      </c>
      <c r="J2743" s="2" t="s">
        <v>1808</v>
      </c>
      <c r="K2743" t="s">
        <v>42</v>
      </c>
      <c r="L2743" t="s">
        <v>296</v>
      </c>
      <c r="N2743" t="s">
        <v>297</v>
      </c>
      <c r="O2743" t="s">
        <v>5043</v>
      </c>
      <c r="Q2743">
        <v>29802</v>
      </c>
      <c r="R2743" t="s">
        <v>95</v>
      </c>
      <c r="S2743" t="s">
        <v>7505</v>
      </c>
      <c r="T2743">
        <v>24.3</v>
      </c>
      <c r="W2743" t="s">
        <v>981</v>
      </c>
      <c r="X2743">
        <v>831313</v>
      </c>
      <c r="Y2743" t="s">
        <v>7194</v>
      </c>
      <c r="Z2743" s="2" t="s">
        <v>17177</v>
      </c>
      <c r="AA2743" s="2" t="s">
        <v>17178</v>
      </c>
      <c r="AB2743" t="s">
        <v>17179</v>
      </c>
      <c r="AG2743" t="s">
        <v>17180</v>
      </c>
      <c r="AH2743" t="s">
        <v>10868</v>
      </c>
      <c r="AI2743" t="s">
        <v>17181</v>
      </c>
    </row>
    <row r="2744" spans="2:35" ht="210">
      <c r="B2744" s="1">
        <v>45614</v>
      </c>
      <c r="C2744" s="1">
        <v>45611</v>
      </c>
      <c r="D2744" t="s">
        <v>2364</v>
      </c>
      <c r="E2744" t="s">
        <v>7483</v>
      </c>
      <c r="F2744">
        <v>12</v>
      </c>
      <c r="G2744" t="s">
        <v>978</v>
      </c>
      <c r="H2744" t="s">
        <v>17182</v>
      </c>
      <c r="I2744" t="s">
        <v>40</v>
      </c>
      <c r="J2744" s="2" t="s">
        <v>190</v>
      </c>
      <c r="K2744" t="s">
        <v>42</v>
      </c>
      <c r="L2744" t="s">
        <v>296</v>
      </c>
      <c r="N2744" t="s">
        <v>297</v>
      </c>
      <c r="Q2744">
        <v>29803</v>
      </c>
      <c r="R2744" t="s">
        <v>119</v>
      </c>
      <c r="S2744" t="s">
        <v>2366</v>
      </c>
      <c r="T2744">
        <v>25.8</v>
      </c>
      <c r="U2744" s="2" t="s">
        <v>13420</v>
      </c>
      <c r="W2744" t="s">
        <v>981</v>
      </c>
      <c r="X2744">
        <v>838570</v>
      </c>
      <c r="Y2744" t="s">
        <v>15451</v>
      </c>
      <c r="Z2744" s="2" t="s">
        <v>12246</v>
      </c>
      <c r="AA2744" s="2" t="s">
        <v>17183</v>
      </c>
      <c r="AB2744" s="2" t="s">
        <v>17184</v>
      </c>
      <c r="AG2744" t="s">
        <v>17185</v>
      </c>
      <c r="AH2744" t="s">
        <v>9876</v>
      </c>
      <c r="AI2744" t="s">
        <v>17186</v>
      </c>
    </row>
    <row r="2745" spans="2:35" ht="105">
      <c r="B2745" s="1">
        <v>45614</v>
      </c>
      <c r="C2745" s="1">
        <v>45614</v>
      </c>
      <c r="D2745" t="s">
        <v>6044</v>
      </c>
      <c r="E2745" t="s">
        <v>1555</v>
      </c>
      <c r="F2745">
        <v>7</v>
      </c>
      <c r="G2745" t="s">
        <v>432</v>
      </c>
      <c r="H2745" t="s">
        <v>386</v>
      </c>
      <c r="I2745" t="s">
        <v>94</v>
      </c>
      <c r="J2745" s="2" t="s">
        <v>1899</v>
      </c>
      <c r="K2745" t="s">
        <v>387</v>
      </c>
      <c r="L2745" t="s">
        <v>610</v>
      </c>
      <c r="N2745" t="s">
        <v>611</v>
      </c>
      <c r="Q2745">
        <v>29801</v>
      </c>
      <c r="R2745" t="s">
        <v>95</v>
      </c>
      <c r="S2745" t="s">
        <v>6039</v>
      </c>
      <c r="T2745">
        <v>24</v>
      </c>
      <c r="W2745" t="s">
        <v>17187</v>
      </c>
      <c r="X2745" t="s">
        <v>6040</v>
      </c>
      <c r="Y2745" t="s">
        <v>17188</v>
      </c>
      <c r="Z2745" t="s">
        <v>17189</v>
      </c>
      <c r="AA2745" t="e">
        <f ca="1">-Check machine  , _xludf.and _xludf.restart machine
- Check aphersis</f>
        <v>#NAME?</v>
      </c>
      <c r="AB2745" t="s">
        <v>17190</v>
      </c>
      <c r="AG2745" t="s">
        <v>17191</v>
      </c>
      <c r="AH2745" t="s">
        <v>17192</v>
      </c>
      <c r="AI2745" t="s">
        <v>17193</v>
      </c>
    </row>
    <row r="2746" spans="2:35" ht="120">
      <c r="B2746" s="1">
        <v>45614</v>
      </c>
      <c r="C2746" s="1">
        <v>45611</v>
      </c>
      <c r="D2746" t="s">
        <v>606</v>
      </c>
      <c r="E2746" t="s">
        <v>17194</v>
      </c>
      <c r="F2746">
        <v>7</v>
      </c>
      <c r="G2746" t="s">
        <v>432</v>
      </c>
      <c r="H2746" t="s">
        <v>258</v>
      </c>
      <c r="I2746" t="s">
        <v>40</v>
      </c>
      <c r="J2746" t="s">
        <v>525</v>
      </c>
      <c r="K2746" t="s">
        <v>42</v>
      </c>
      <c r="L2746" t="s">
        <v>594</v>
      </c>
      <c r="N2746" t="s">
        <v>595</v>
      </c>
      <c r="O2746" t="s">
        <v>595</v>
      </c>
      <c r="Q2746">
        <v>29800</v>
      </c>
      <c r="R2746" t="s">
        <v>119</v>
      </c>
      <c r="S2746" t="s">
        <v>17195</v>
      </c>
      <c r="T2746">
        <v>23</v>
      </c>
      <c r="V2746" s="1">
        <v>45611</v>
      </c>
      <c r="W2746" t="s">
        <v>2384</v>
      </c>
      <c r="X2746">
        <v>838559</v>
      </c>
      <c r="Y2746" t="s">
        <v>17196</v>
      </c>
      <c r="Z2746" s="2" t="s">
        <v>17197</v>
      </c>
      <c r="AA2746" t="s">
        <v>17198</v>
      </c>
      <c r="AB2746" t="s">
        <v>17199</v>
      </c>
      <c r="AG2746" t="s">
        <v>17200</v>
      </c>
      <c r="AH2746" t="s">
        <v>17201</v>
      </c>
      <c r="AI2746" t="s">
        <v>17202</v>
      </c>
    </row>
    <row r="2747" spans="2:35" ht="270">
      <c r="B2747" s="1">
        <v>45614</v>
      </c>
      <c r="C2747" s="1">
        <v>45610</v>
      </c>
      <c r="D2747" t="s">
        <v>7219</v>
      </c>
      <c r="E2747" t="s">
        <v>17203</v>
      </c>
      <c r="F2747" t="s">
        <v>148</v>
      </c>
      <c r="G2747" t="s">
        <v>310</v>
      </c>
      <c r="H2747" t="s">
        <v>7019</v>
      </c>
      <c r="I2747" t="s">
        <v>40</v>
      </c>
      <c r="J2747" t="s">
        <v>525</v>
      </c>
      <c r="K2747" t="s">
        <v>42</v>
      </c>
      <c r="L2747" t="s">
        <v>1028</v>
      </c>
      <c r="N2747" t="s">
        <v>1029</v>
      </c>
      <c r="O2747" t="s">
        <v>16274</v>
      </c>
      <c r="Q2747">
        <v>29798</v>
      </c>
      <c r="R2747" t="s">
        <v>322</v>
      </c>
      <c r="S2747" t="s">
        <v>16275</v>
      </c>
      <c r="T2747">
        <v>28</v>
      </c>
      <c r="U2747" s="2" t="s">
        <v>17204</v>
      </c>
      <c r="W2747" t="s">
        <v>2441</v>
      </c>
      <c r="X2747">
        <v>821257</v>
      </c>
      <c r="Y2747" t="s">
        <v>17205</v>
      </c>
      <c r="Z2747" t="s">
        <v>17206</v>
      </c>
      <c r="AA2747" s="2" t="s">
        <v>17207</v>
      </c>
      <c r="AB2747" t="s">
        <v>17208</v>
      </c>
      <c r="AG2747" t="s">
        <v>17209</v>
      </c>
      <c r="AH2747" t="s">
        <v>16281</v>
      </c>
      <c r="AI2747" t="s">
        <v>17210</v>
      </c>
    </row>
    <row r="2748" spans="2:35" ht="240">
      <c r="B2748" s="1">
        <v>45614</v>
      </c>
      <c r="C2748" s="1">
        <v>45611</v>
      </c>
      <c r="D2748" t="s">
        <v>919</v>
      </c>
      <c r="E2748" t="s">
        <v>5897</v>
      </c>
      <c r="F2748" t="s">
        <v>148</v>
      </c>
      <c r="G2748" t="s">
        <v>310</v>
      </c>
      <c r="H2748" t="s">
        <v>662</v>
      </c>
      <c r="I2748" t="s">
        <v>40</v>
      </c>
      <c r="J2748" s="2" t="s">
        <v>190</v>
      </c>
      <c r="K2748" t="s">
        <v>42</v>
      </c>
      <c r="L2748" t="s">
        <v>1028</v>
      </c>
      <c r="N2748" t="s">
        <v>1029</v>
      </c>
      <c r="Q2748">
        <v>29799</v>
      </c>
      <c r="R2748" t="s">
        <v>703</v>
      </c>
      <c r="S2748" t="s">
        <v>942</v>
      </c>
      <c r="T2748">
        <v>28</v>
      </c>
      <c r="U2748" s="2" t="s">
        <v>17211</v>
      </c>
      <c r="W2748" t="s">
        <v>1967</v>
      </c>
      <c r="X2748">
        <v>110000711</v>
      </c>
      <c r="Y2748" t="s">
        <v>17212</v>
      </c>
      <c r="Z2748" s="2" t="s">
        <v>17213</v>
      </c>
      <c r="AA2748" s="2" t="s">
        <v>17214</v>
      </c>
      <c r="AB2748" t="s">
        <v>17215</v>
      </c>
      <c r="AG2748" t="s">
        <v>17216</v>
      </c>
      <c r="AH2748" t="s">
        <v>14022</v>
      </c>
      <c r="AI2748" t="s">
        <v>17217</v>
      </c>
    </row>
    <row r="2749" spans="2:35" ht="409.5">
      <c r="B2749" s="1">
        <v>45614</v>
      </c>
      <c r="C2749" s="1">
        <v>45611</v>
      </c>
      <c r="D2749" t="s">
        <v>4379</v>
      </c>
      <c r="E2749" t="s">
        <v>4380</v>
      </c>
      <c r="F2749" t="s">
        <v>148</v>
      </c>
      <c r="G2749" t="s">
        <v>785</v>
      </c>
      <c r="H2749" t="s">
        <v>61</v>
      </c>
      <c r="I2749" t="s">
        <v>40</v>
      </c>
      <c r="J2749" t="s">
        <v>109</v>
      </c>
      <c r="K2749" t="s">
        <v>42</v>
      </c>
      <c r="L2749" t="s">
        <v>43</v>
      </c>
      <c r="N2749" t="s">
        <v>44</v>
      </c>
      <c r="O2749" t="s">
        <v>15705</v>
      </c>
      <c r="Q2749">
        <v>29796</v>
      </c>
      <c r="R2749" t="s">
        <v>322</v>
      </c>
      <c r="S2749" t="s">
        <v>4382</v>
      </c>
      <c r="T2749">
        <v>24</v>
      </c>
      <c r="U2749" s="2" t="s">
        <v>17218</v>
      </c>
      <c r="W2749" t="s">
        <v>3178</v>
      </c>
      <c r="X2749">
        <v>838627</v>
      </c>
      <c r="Y2749" t="s">
        <v>121</v>
      </c>
      <c r="Z2749" t="s">
        <v>122</v>
      </c>
      <c r="AA2749" s="2" t="s">
        <v>123</v>
      </c>
      <c r="AB2749" t="s">
        <v>17219</v>
      </c>
      <c r="AG2749" t="s">
        <v>17220</v>
      </c>
      <c r="AH2749" t="s">
        <v>7010</v>
      </c>
      <c r="AI2749" t="s">
        <v>17221</v>
      </c>
    </row>
    <row r="2750" spans="2:35" ht="255">
      <c r="B2750" s="1">
        <v>45614</v>
      </c>
      <c r="C2750" s="1">
        <v>45611</v>
      </c>
      <c r="D2750" t="s">
        <v>4379</v>
      </c>
      <c r="E2750" t="s">
        <v>7368</v>
      </c>
      <c r="F2750" t="s">
        <v>148</v>
      </c>
      <c r="G2750" t="s">
        <v>785</v>
      </c>
      <c r="H2750" t="s">
        <v>39</v>
      </c>
      <c r="I2750" t="s">
        <v>40</v>
      </c>
      <c r="J2750" t="s">
        <v>109</v>
      </c>
      <c r="K2750" t="s">
        <v>387</v>
      </c>
      <c r="L2750" t="s">
        <v>43</v>
      </c>
      <c r="N2750" t="s">
        <v>44</v>
      </c>
      <c r="O2750" t="s">
        <v>17222</v>
      </c>
      <c r="Q2750">
        <v>29797</v>
      </c>
      <c r="R2750" t="s">
        <v>322</v>
      </c>
      <c r="S2750" t="s">
        <v>4389</v>
      </c>
      <c r="T2750">
        <v>24</v>
      </c>
      <c r="W2750" t="s">
        <v>390</v>
      </c>
      <c r="X2750" t="s">
        <v>4390</v>
      </c>
      <c r="Y2750" t="s">
        <v>121</v>
      </c>
      <c r="Z2750" t="s">
        <v>122</v>
      </c>
      <c r="AA2750" s="2" t="s">
        <v>12034</v>
      </c>
      <c r="AB2750" t="s">
        <v>88</v>
      </c>
      <c r="AG2750" t="s">
        <v>17223</v>
      </c>
      <c r="AH2750" t="s">
        <v>17224</v>
      </c>
      <c r="AI2750" t="s">
        <v>17225</v>
      </c>
    </row>
    <row r="2751" spans="2:35" ht="240">
      <c r="B2751" s="1">
        <v>45614</v>
      </c>
      <c r="C2751" s="1">
        <v>45611</v>
      </c>
      <c r="D2751" t="s">
        <v>1145</v>
      </c>
      <c r="E2751" t="s">
        <v>473</v>
      </c>
      <c r="F2751" t="s">
        <v>148</v>
      </c>
      <c r="G2751" t="s">
        <v>447</v>
      </c>
      <c r="H2751" t="s">
        <v>150</v>
      </c>
      <c r="I2751" t="s">
        <v>40</v>
      </c>
      <c r="J2751" s="2" t="s">
        <v>62</v>
      </c>
      <c r="K2751" t="s">
        <v>42</v>
      </c>
      <c r="L2751" t="s">
        <v>448</v>
      </c>
      <c r="N2751" t="s">
        <v>450</v>
      </c>
      <c r="Q2751">
        <v>29795</v>
      </c>
      <c r="R2751" t="s">
        <v>95</v>
      </c>
      <c r="S2751" t="s">
        <v>1147</v>
      </c>
      <c r="T2751">
        <v>29</v>
      </c>
      <c r="V2751" s="1">
        <v>45611</v>
      </c>
      <c r="W2751" t="s">
        <v>6128</v>
      </c>
      <c r="X2751">
        <v>804205</v>
      </c>
      <c r="Y2751" s="2" t="s">
        <v>17226</v>
      </c>
      <c r="Z2751" s="2" t="s">
        <v>3071</v>
      </c>
      <c r="AA2751" t="s">
        <v>17227</v>
      </c>
      <c r="AB2751" s="2" t="s">
        <v>17228</v>
      </c>
      <c r="AD2751" t="s">
        <v>11518</v>
      </c>
      <c r="AE2751" t="s">
        <v>1716</v>
      </c>
      <c r="AG2751" t="s">
        <v>17229</v>
      </c>
      <c r="AH2751" t="s">
        <v>1153</v>
      </c>
      <c r="AI2751" t="s">
        <v>17230</v>
      </c>
    </row>
    <row r="2752" spans="2:35" ht="409.5">
      <c r="B2752" s="1">
        <v>45614</v>
      </c>
      <c r="C2752" s="1">
        <v>45611</v>
      </c>
      <c r="D2752" t="s">
        <v>11509</v>
      </c>
      <c r="E2752" t="s">
        <v>17231</v>
      </c>
      <c r="F2752" t="s">
        <v>148</v>
      </c>
      <c r="G2752" t="s">
        <v>447</v>
      </c>
      <c r="H2752" t="s">
        <v>39</v>
      </c>
      <c r="I2752" t="s">
        <v>40</v>
      </c>
      <c r="J2752" t="s">
        <v>109</v>
      </c>
      <c r="K2752" t="s">
        <v>42</v>
      </c>
      <c r="L2752" t="s">
        <v>448</v>
      </c>
      <c r="N2752" t="s">
        <v>450</v>
      </c>
      <c r="O2752" t="s">
        <v>14144</v>
      </c>
      <c r="Q2752">
        <v>29794</v>
      </c>
      <c r="R2752" t="s">
        <v>95</v>
      </c>
      <c r="S2752" t="s">
        <v>17232</v>
      </c>
      <c r="T2752">
        <v>30</v>
      </c>
      <c r="U2752" s="2" t="s">
        <v>17233</v>
      </c>
      <c r="W2752" t="s">
        <v>6121</v>
      </c>
      <c r="X2752">
        <v>110008529</v>
      </c>
      <c r="Y2752" t="s">
        <v>485</v>
      </c>
      <c r="Z2752" s="2" t="s">
        <v>17116</v>
      </c>
      <c r="AA2752" t="s">
        <v>122</v>
      </c>
      <c r="AB2752" t="s">
        <v>486</v>
      </c>
      <c r="AG2752" t="s">
        <v>17234</v>
      </c>
      <c r="AH2752" t="s">
        <v>11509</v>
      </c>
      <c r="AI2752" t="s">
        <v>17235</v>
      </c>
    </row>
    <row r="2753" spans="2:35" ht="195">
      <c r="B2753" s="1">
        <v>45613</v>
      </c>
      <c r="C2753" s="1">
        <v>45607</v>
      </c>
      <c r="D2753" t="s">
        <v>16538</v>
      </c>
      <c r="E2753" t="s">
        <v>16539</v>
      </c>
      <c r="F2753">
        <v>7</v>
      </c>
      <c r="G2753" t="s">
        <v>432</v>
      </c>
      <c r="H2753" t="s">
        <v>608</v>
      </c>
      <c r="I2753" t="s">
        <v>94</v>
      </c>
      <c r="J2753" t="s">
        <v>109</v>
      </c>
      <c r="K2753" t="s">
        <v>42</v>
      </c>
      <c r="L2753" t="s">
        <v>610</v>
      </c>
      <c r="N2753" t="s">
        <v>611</v>
      </c>
      <c r="Q2753">
        <v>29793</v>
      </c>
      <c r="R2753" t="s">
        <v>119</v>
      </c>
      <c r="S2753" t="s">
        <v>16540</v>
      </c>
      <c r="T2753">
        <v>24</v>
      </c>
      <c r="U2753" s="2" t="s">
        <v>17236</v>
      </c>
      <c r="W2753" t="s">
        <v>360</v>
      </c>
      <c r="X2753">
        <v>838283</v>
      </c>
      <c r="Y2753" s="2" t="s">
        <v>17237</v>
      </c>
      <c r="Z2753" s="2" t="s">
        <v>17238</v>
      </c>
      <c r="AA2753" s="2" t="s">
        <v>17238</v>
      </c>
      <c r="AB2753" t="s">
        <v>17239</v>
      </c>
      <c r="AG2753" t="s">
        <v>17240</v>
      </c>
      <c r="AH2753" t="s">
        <v>16545</v>
      </c>
      <c r="AI2753" t="s">
        <v>17241</v>
      </c>
    </row>
    <row r="2754" spans="2:35" ht="210">
      <c r="B2754" s="1">
        <v>45611</v>
      </c>
      <c r="C2754" s="1">
        <v>45611</v>
      </c>
      <c r="D2754" t="s">
        <v>855</v>
      </c>
      <c r="E2754" t="s">
        <v>17242</v>
      </c>
      <c r="F2754" t="s">
        <v>148</v>
      </c>
      <c r="G2754" t="s">
        <v>310</v>
      </c>
      <c r="H2754" t="s">
        <v>39</v>
      </c>
      <c r="I2754" t="s">
        <v>40</v>
      </c>
      <c r="J2754" t="s">
        <v>996</v>
      </c>
      <c r="K2754" t="s">
        <v>42</v>
      </c>
      <c r="L2754" t="s">
        <v>857</v>
      </c>
      <c r="N2754" t="s">
        <v>858</v>
      </c>
      <c r="Q2754">
        <v>29792</v>
      </c>
      <c r="R2754" t="s">
        <v>322</v>
      </c>
      <c r="S2754" t="s">
        <v>17243</v>
      </c>
      <c r="T2754">
        <v>25</v>
      </c>
      <c r="V2754" s="1">
        <v>45611</v>
      </c>
      <c r="W2754" t="s">
        <v>860</v>
      </c>
      <c r="X2754">
        <v>809643</v>
      </c>
      <c r="Y2754" t="s">
        <v>6766</v>
      </c>
      <c r="Z2754" t="s">
        <v>301</v>
      </c>
      <c r="AA2754" s="2" t="s">
        <v>17244</v>
      </c>
      <c r="AB2754" t="s">
        <v>17245</v>
      </c>
      <c r="AD2754" s="2" t="s">
        <v>17246</v>
      </c>
      <c r="AE2754">
        <v>13232</v>
      </c>
      <c r="AG2754" t="s">
        <v>17247</v>
      </c>
      <c r="AH2754" t="s">
        <v>6762</v>
      </c>
      <c r="AI2754" t="s">
        <v>17248</v>
      </c>
    </row>
    <row r="2755" spans="2:35" ht="345">
      <c r="B2755" s="1">
        <v>45611</v>
      </c>
      <c r="C2755" s="1">
        <v>45611</v>
      </c>
      <c r="D2755" t="s">
        <v>6133</v>
      </c>
      <c r="E2755" t="s">
        <v>17249</v>
      </c>
      <c r="F2755">
        <v>10</v>
      </c>
      <c r="G2755" t="s">
        <v>4685</v>
      </c>
      <c r="H2755" t="s">
        <v>608</v>
      </c>
      <c r="I2755" t="s">
        <v>40</v>
      </c>
      <c r="J2755" t="s">
        <v>996</v>
      </c>
      <c r="K2755" t="s">
        <v>42</v>
      </c>
      <c r="L2755" t="s">
        <v>610</v>
      </c>
      <c r="N2755" t="s">
        <v>611</v>
      </c>
      <c r="Q2755">
        <v>29791</v>
      </c>
      <c r="R2755" t="s">
        <v>119</v>
      </c>
      <c r="S2755" t="s">
        <v>4686</v>
      </c>
      <c r="T2755">
        <v>24</v>
      </c>
      <c r="W2755" t="s">
        <v>360</v>
      </c>
      <c r="X2755">
        <v>838298</v>
      </c>
      <c r="Y2755" t="s">
        <v>17250</v>
      </c>
      <c r="Z2755" s="2" t="s">
        <v>17251</v>
      </c>
      <c r="AA2755" s="2" t="s">
        <v>17251</v>
      </c>
      <c r="AB2755" t="s">
        <v>17252</v>
      </c>
      <c r="AG2755" t="s">
        <v>17253</v>
      </c>
      <c r="AH2755" t="s">
        <v>17254</v>
      </c>
      <c r="AI2755" t="s">
        <v>17255</v>
      </c>
    </row>
    <row r="2756" spans="2:35" ht="345">
      <c r="B2756" s="1">
        <v>45611</v>
      </c>
      <c r="C2756" s="1">
        <v>45611</v>
      </c>
      <c r="D2756" t="s">
        <v>15207</v>
      </c>
      <c r="E2756" t="s">
        <v>17256</v>
      </c>
      <c r="F2756">
        <v>10</v>
      </c>
      <c r="G2756" t="s">
        <v>4685</v>
      </c>
      <c r="H2756" t="s">
        <v>608</v>
      </c>
      <c r="I2756" t="s">
        <v>40</v>
      </c>
      <c r="J2756" t="s">
        <v>996</v>
      </c>
      <c r="K2756" t="s">
        <v>42</v>
      </c>
      <c r="L2756" t="s">
        <v>610</v>
      </c>
      <c r="N2756" t="s">
        <v>611</v>
      </c>
      <c r="Q2756">
        <v>29790</v>
      </c>
      <c r="R2756" t="s">
        <v>119</v>
      </c>
      <c r="S2756" t="s">
        <v>15209</v>
      </c>
      <c r="T2756">
        <v>24</v>
      </c>
      <c r="U2756" s="2" t="s">
        <v>17257</v>
      </c>
      <c r="W2756" t="s">
        <v>360</v>
      </c>
      <c r="X2756">
        <v>838293</v>
      </c>
      <c r="Y2756" t="s">
        <v>17250</v>
      </c>
      <c r="Z2756" s="2" t="s">
        <v>17251</v>
      </c>
      <c r="AA2756" s="2" t="s">
        <v>17251</v>
      </c>
      <c r="AB2756" t="s">
        <v>3966</v>
      </c>
      <c r="AG2756" t="s">
        <v>17258</v>
      </c>
      <c r="AH2756" t="s">
        <v>15215</v>
      </c>
      <c r="AI2756" t="s">
        <v>17259</v>
      </c>
    </row>
    <row r="2757" spans="2:35" ht="345">
      <c r="B2757" s="1">
        <v>45611</v>
      </c>
      <c r="C2757" s="1">
        <v>45611</v>
      </c>
      <c r="D2757" t="s">
        <v>15207</v>
      </c>
      <c r="E2757" t="s">
        <v>17256</v>
      </c>
      <c r="F2757">
        <v>10</v>
      </c>
      <c r="G2757" t="s">
        <v>4685</v>
      </c>
      <c r="H2757" t="s">
        <v>608</v>
      </c>
      <c r="I2757" t="s">
        <v>40</v>
      </c>
      <c r="J2757" t="s">
        <v>996</v>
      </c>
      <c r="K2757" t="s">
        <v>42</v>
      </c>
      <c r="L2757" t="s">
        <v>610</v>
      </c>
      <c r="N2757" t="s">
        <v>611</v>
      </c>
      <c r="Q2757">
        <v>29789</v>
      </c>
      <c r="R2757" t="s">
        <v>119</v>
      </c>
      <c r="S2757" t="s">
        <v>15209</v>
      </c>
      <c r="T2757">
        <v>24</v>
      </c>
      <c r="U2757" s="2" t="s">
        <v>17260</v>
      </c>
      <c r="W2757" t="s">
        <v>360</v>
      </c>
      <c r="X2757">
        <v>838260</v>
      </c>
      <c r="Y2757" t="s">
        <v>17261</v>
      </c>
      <c r="Z2757" s="2" t="s">
        <v>17251</v>
      </c>
      <c r="AA2757" s="2" t="s">
        <v>17251</v>
      </c>
      <c r="AB2757" t="s">
        <v>17262</v>
      </c>
      <c r="AG2757" t="s">
        <v>17263</v>
      </c>
      <c r="AH2757" t="s">
        <v>15215</v>
      </c>
      <c r="AI2757" t="s">
        <v>17264</v>
      </c>
    </row>
    <row r="2758" spans="2:35" ht="409.5">
      <c r="B2758" s="1">
        <v>45611</v>
      </c>
      <c r="C2758" s="1">
        <v>45611</v>
      </c>
      <c r="D2758" t="s">
        <v>13723</v>
      </c>
      <c r="E2758" t="s">
        <v>12017</v>
      </c>
      <c r="F2758">
        <v>7</v>
      </c>
      <c r="G2758" t="s">
        <v>432</v>
      </c>
      <c r="H2758" t="s">
        <v>10969</v>
      </c>
      <c r="I2758" t="s">
        <v>40</v>
      </c>
      <c r="J2758" t="s">
        <v>109</v>
      </c>
      <c r="K2758" t="s">
        <v>42</v>
      </c>
      <c r="L2758" t="s">
        <v>1288</v>
      </c>
      <c r="N2758" t="s">
        <v>1289</v>
      </c>
      <c r="Q2758">
        <v>29788</v>
      </c>
      <c r="R2758" t="s">
        <v>95</v>
      </c>
      <c r="S2758" t="s">
        <v>4886</v>
      </c>
      <c r="T2758">
        <v>22</v>
      </c>
      <c r="U2758" s="2" t="s">
        <v>17265</v>
      </c>
      <c r="W2758" t="s">
        <v>84</v>
      </c>
      <c r="X2758">
        <v>110008524</v>
      </c>
      <c r="Y2758" t="s">
        <v>15780</v>
      </c>
      <c r="Z2758" t="e">
        <f ca="1">-COLLECT IQR,system _xludf.Log, _xludf.and ARCHIVE</f>
        <v>#NAME?</v>
      </c>
      <c r="AA2758" t="e">
        <f ca="1">-PERFORM Cleaning of GX workstation
-PERFORM Preventive Maintenance PROCEDURE</f>
        <v>#NAME?</v>
      </c>
      <c r="AB2758" t="s">
        <v>1293</v>
      </c>
      <c r="AG2758" t="s">
        <v>17266</v>
      </c>
      <c r="AH2758" t="s">
        <v>13727</v>
      </c>
      <c r="AI2758" t="s">
        <v>17267</v>
      </c>
    </row>
    <row r="2759" spans="2:35" ht="409.5">
      <c r="B2759" s="1">
        <v>45611</v>
      </c>
      <c r="C2759" s="1">
        <v>45611</v>
      </c>
      <c r="D2759" t="s">
        <v>3119</v>
      </c>
      <c r="E2759" t="s">
        <v>17268</v>
      </c>
      <c r="F2759" t="s">
        <v>148</v>
      </c>
      <c r="G2759" t="s">
        <v>310</v>
      </c>
      <c r="H2759" t="s">
        <v>61</v>
      </c>
      <c r="I2759" t="s">
        <v>40</v>
      </c>
      <c r="J2759" t="s">
        <v>109</v>
      </c>
      <c r="K2759" t="s">
        <v>42</v>
      </c>
      <c r="L2759" t="s">
        <v>15532</v>
      </c>
      <c r="N2759" t="s">
        <v>15533</v>
      </c>
      <c r="O2759" t="s">
        <v>15533</v>
      </c>
      <c r="Q2759">
        <v>29787</v>
      </c>
      <c r="R2759" t="s">
        <v>95</v>
      </c>
      <c r="S2759" t="s">
        <v>3124</v>
      </c>
      <c r="T2759">
        <v>25</v>
      </c>
      <c r="U2759" s="2" t="s">
        <v>17269</v>
      </c>
      <c r="W2759" t="s">
        <v>15620</v>
      </c>
      <c r="X2759">
        <v>110001648</v>
      </c>
      <c r="Y2759" t="s">
        <v>15536</v>
      </c>
      <c r="Z2759" s="2" t="s">
        <v>17270</v>
      </c>
      <c r="AA2759" s="2" t="s">
        <v>17271</v>
      </c>
      <c r="AB2759" s="2" t="s">
        <v>17272</v>
      </c>
      <c r="AG2759" t="s">
        <v>17273</v>
      </c>
      <c r="AH2759" t="s">
        <v>11861</v>
      </c>
      <c r="AI2759" t="s">
        <v>17274</v>
      </c>
    </row>
    <row r="2760" spans="2:35" ht="105">
      <c r="B2760" s="1">
        <v>45611</v>
      </c>
      <c r="C2760" s="1">
        <v>45611</v>
      </c>
      <c r="D2760" t="s">
        <v>5563</v>
      </c>
      <c r="E2760" t="s">
        <v>12328</v>
      </c>
      <c r="F2760">
        <v>7</v>
      </c>
      <c r="G2760" t="s">
        <v>432</v>
      </c>
      <c r="H2760" t="s">
        <v>150</v>
      </c>
      <c r="I2760" t="s">
        <v>40</v>
      </c>
      <c r="J2760" t="s">
        <v>79</v>
      </c>
      <c r="K2760" t="s">
        <v>42</v>
      </c>
      <c r="L2760" t="s">
        <v>343</v>
      </c>
      <c r="N2760" t="s">
        <v>344</v>
      </c>
      <c r="Q2760">
        <v>29786</v>
      </c>
      <c r="R2760" t="s">
        <v>119</v>
      </c>
      <c r="S2760" t="s">
        <v>5564</v>
      </c>
      <c r="T2760">
        <v>25</v>
      </c>
      <c r="U2760" s="2" t="s">
        <v>17275</v>
      </c>
      <c r="W2760" t="s">
        <v>1501</v>
      </c>
      <c r="X2760">
        <v>838561</v>
      </c>
      <c r="Y2760" t="s">
        <v>17276</v>
      </c>
      <c r="Z2760" t="e">
        <f ca="1">-_xludf.Replace CMOS battery of Desktop PC</f>
        <v>#NAME?</v>
      </c>
      <c r="AA2760" t="s">
        <v>301</v>
      </c>
      <c r="AB2760" t="s">
        <v>16150</v>
      </c>
      <c r="AG2760" t="s">
        <v>17277</v>
      </c>
      <c r="AH2760" t="s">
        <v>14800</v>
      </c>
      <c r="AI2760" t="s">
        <v>17278</v>
      </c>
    </row>
    <row r="2761" spans="2:35">
      <c r="B2761" s="1">
        <v>45611</v>
      </c>
      <c r="C2761" s="1">
        <v>45611</v>
      </c>
      <c r="D2761" t="s">
        <v>6471</v>
      </c>
      <c r="E2761" t="s">
        <v>582</v>
      </c>
      <c r="F2761" t="s">
        <v>148</v>
      </c>
      <c r="G2761" t="s">
        <v>447</v>
      </c>
      <c r="H2761" t="s">
        <v>39</v>
      </c>
      <c r="I2761" t="s">
        <v>40</v>
      </c>
      <c r="J2761" t="s">
        <v>109</v>
      </c>
      <c r="K2761" t="s">
        <v>42</v>
      </c>
      <c r="L2761" t="s">
        <v>175</v>
      </c>
      <c r="N2761" t="s">
        <v>176</v>
      </c>
      <c r="Q2761">
        <v>29785</v>
      </c>
      <c r="R2761" t="s">
        <v>703</v>
      </c>
      <c r="S2761" t="s">
        <v>6472</v>
      </c>
      <c r="T2761">
        <v>25</v>
      </c>
      <c r="W2761" t="s">
        <v>84</v>
      </c>
      <c r="X2761">
        <v>847578</v>
      </c>
      <c r="Y2761" t="s">
        <v>374</v>
      </c>
      <c r="Z2761" t="s">
        <v>103</v>
      </c>
      <c r="AA2761" t="e">
        <f ca="1">- checked _xludf.and cleaned cartridge bay, plunger rod, _xludf.filter
- generated reports
- performed functionality test</f>
        <v>#NAME?</v>
      </c>
      <c r="AB2761" t="s">
        <v>181</v>
      </c>
      <c r="AG2761" t="s">
        <v>17279</v>
      </c>
      <c r="AH2761" t="s">
        <v>3332</v>
      </c>
      <c r="AI2761" t="s">
        <v>17280</v>
      </c>
    </row>
    <row r="2762" spans="2:35" ht="375">
      <c r="B2762" s="1">
        <v>45611</v>
      </c>
      <c r="C2762" s="1">
        <v>45611</v>
      </c>
      <c r="D2762" t="s">
        <v>6953</v>
      </c>
      <c r="E2762" t="s">
        <v>17281</v>
      </c>
      <c r="F2762">
        <v>5</v>
      </c>
      <c r="G2762" t="s">
        <v>839</v>
      </c>
      <c r="H2762" t="s">
        <v>39</v>
      </c>
      <c r="I2762" t="s">
        <v>94</v>
      </c>
      <c r="J2762" t="s">
        <v>321</v>
      </c>
      <c r="K2762" t="s">
        <v>42</v>
      </c>
      <c r="L2762" t="s">
        <v>761</v>
      </c>
      <c r="N2762" t="s">
        <v>762</v>
      </c>
      <c r="O2762" t="s">
        <v>6957</v>
      </c>
      <c r="Q2762">
        <v>29784</v>
      </c>
      <c r="R2762" t="s">
        <v>322</v>
      </c>
      <c r="S2762" t="s">
        <v>17282</v>
      </c>
      <c r="T2762">
        <v>25</v>
      </c>
      <c r="W2762" t="s">
        <v>817</v>
      </c>
      <c r="X2762">
        <v>120003510</v>
      </c>
      <c r="Y2762" t="s">
        <v>8306</v>
      </c>
      <c r="Z2762" s="2" t="s">
        <v>17283</v>
      </c>
      <c r="AA2762" t="s">
        <v>17284</v>
      </c>
      <c r="AB2762" t="s">
        <v>70</v>
      </c>
      <c r="AG2762" t="s">
        <v>17285</v>
      </c>
      <c r="AH2762" t="s">
        <v>17286</v>
      </c>
      <c r="AI2762" t="s">
        <v>17287</v>
      </c>
    </row>
    <row r="2763" spans="2:35" ht="150">
      <c r="B2763" s="1">
        <v>45611</v>
      </c>
      <c r="C2763" s="1">
        <v>45611</v>
      </c>
      <c r="D2763" t="s">
        <v>8160</v>
      </c>
      <c r="E2763" t="s">
        <v>15636</v>
      </c>
      <c r="F2763">
        <v>11</v>
      </c>
      <c r="G2763" t="s">
        <v>1205</v>
      </c>
      <c r="H2763" t="s">
        <v>202</v>
      </c>
      <c r="I2763" t="s">
        <v>40</v>
      </c>
      <c r="J2763" s="2" t="s">
        <v>355</v>
      </c>
      <c r="K2763" t="s">
        <v>42</v>
      </c>
      <c r="L2763" t="s">
        <v>204</v>
      </c>
      <c r="N2763" t="s">
        <v>205</v>
      </c>
      <c r="O2763" t="s">
        <v>8162</v>
      </c>
      <c r="Q2763">
        <v>29783</v>
      </c>
      <c r="R2763" t="s">
        <v>119</v>
      </c>
      <c r="S2763" t="s">
        <v>8163</v>
      </c>
      <c r="T2763">
        <v>26.5</v>
      </c>
      <c r="U2763" s="2" t="s">
        <v>17288</v>
      </c>
      <c r="W2763" t="s">
        <v>208</v>
      </c>
      <c r="X2763">
        <v>838401</v>
      </c>
      <c r="Y2763" t="s">
        <v>17289</v>
      </c>
      <c r="Z2763" s="2" t="s">
        <v>17290</v>
      </c>
      <c r="AA2763" t="s">
        <v>17291</v>
      </c>
      <c r="AB2763" t="s">
        <v>17292</v>
      </c>
      <c r="AG2763" t="s">
        <v>17293</v>
      </c>
      <c r="AH2763" t="s">
        <v>8170</v>
      </c>
      <c r="AI2763" t="s">
        <v>17294</v>
      </c>
    </row>
    <row r="2764" spans="2:35" ht="105">
      <c r="B2764" s="1">
        <v>45611</v>
      </c>
      <c r="C2764" s="1">
        <v>45611</v>
      </c>
      <c r="D2764" t="s">
        <v>9185</v>
      </c>
      <c r="E2764" t="s">
        <v>17295</v>
      </c>
      <c r="F2764">
        <v>9</v>
      </c>
      <c r="G2764" t="s">
        <v>2197</v>
      </c>
      <c r="H2764" t="s">
        <v>39</v>
      </c>
      <c r="I2764" t="s">
        <v>40</v>
      </c>
      <c r="J2764" t="s">
        <v>109</v>
      </c>
      <c r="K2764" t="s">
        <v>42</v>
      </c>
      <c r="L2764" t="s">
        <v>1257</v>
      </c>
      <c r="N2764" t="s">
        <v>1258</v>
      </c>
      <c r="O2764" t="s">
        <v>1258</v>
      </c>
      <c r="Q2764">
        <v>29782</v>
      </c>
      <c r="R2764" t="s">
        <v>119</v>
      </c>
      <c r="S2764" t="s">
        <v>9187</v>
      </c>
      <c r="T2764">
        <v>26</v>
      </c>
      <c r="U2764" s="2" t="s">
        <v>17296</v>
      </c>
      <c r="V2764" s="1">
        <v>45611</v>
      </c>
      <c r="W2764" t="s">
        <v>17297</v>
      </c>
      <c r="X2764">
        <v>837664</v>
      </c>
      <c r="Y2764" t="s">
        <v>301</v>
      </c>
      <c r="Z2764" t="s">
        <v>17298</v>
      </c>
      <c r="AA2764" t="s">
        <v>17298</v>
      </c>
      <c r="AB2764" t="s">
        <v>3161</v>
      </c>
      <c r="AC2764" t="s">
        <v>301</v>
      </c>
      <c r="AD2764" t="s">
        <v>54</v>
      </c>
      <c r="AE2764" t="s">
        <v>54</v>
      </c>
      <c r="AG2764" t="s">
        <v>17299</v>
      </c>
      <c r="AH2764" t="s">
        <v>12434</v>
      </c>
      <c r="AI2764" t="s">
        <v>17300</v>
      </c>
    </row>
    <row r="2765" spans="2:35" ht="360">
      <c r="B2765" s="1">
        <v>45611</v>
      </c>
      <c r="C2765" s="1">
        <v>45611</v>
      </c>
      <c r="D2765" t="s">
        <v>9302</v>
      </c>
      <c r="E2765" t="s">
        <v>4102</v>
      </c>
      <c r="F2765">
        <v>3</v>
      </c>
      <c r="G2765" t="s">
        <v>730</v>
      </c>
      <c r="H2765" t="s">
        <v>39</v>
      </c>
      <c r="I2765" t="s">
        <v>40</v>
      </c>
      <c r="J2765" t="s">
        <v>109</v>
      </c>
      <c r="K2765" t="s">
        <v>42</v>
      </c>
      <c r="L2765" t="s">
        <v>135</v>
      </c>
      <c r="N2765" t="s">
        <v>136</v>
      </c>
      <c r="Q2765">
        <v>29781</v>
      </c>
      <c r="R2765" t="s">
        <v>95</v>
      </c>
      <c r="S2765" t="s">
        <v>9303</v>
      </c>
      <c r="T2765">
        <v>25</v>
      </c>
      <c r="U2765" s="2" t="s">
        <v>9336</v>
      </c>
      <c r="W2765" t="s">
        <v>9339</v>
      </c>
      <c r="X2765">
        <v>830841</v>
      </c>
      <c r="Y2765" t="s">
        <v>7229</v>
      </c>
      <c r="Z2765" t="s">
        <v>4315</v>
      </c>
      <c r="AA2765" s="2" t="s">
        <v>4316</v>
      </c>
      <c r="AB2765" t="s">
        <v>181</v>
      </c>
      <c r="AG2765" t="s">
        <v>17301</v>
      </c>
      <c r="AH2765" t="s">
        <v>9306</v>
      </c>
      <c r="AI2765" t="s">
        <v>17302</v>
      </c>
    </row>
    <row r="2766" spans="2:35" ht="360">
      <c r="B2766" s="1">
        <v>45611</v>
      </c>
      <c r="C2766" s="1">
        <v>45611</v>
      </c>
      <c r="D2766" t="s">
        <v>9302</v>
      </c>
      <c r="E2766" t="s">
        <v>4102</v>
      </c>
      <c r="F2766">
        <v>3</v>
      </c>
      <c r="G2766" t="s">
        <v>730</v>
      </c>
      <c r="H2766" t="s">
        <v>39</v>
      </c>
      <c r="I2766" t="s">
        <v>40</v>
      </c>
      <c r="J2766" t="s">
        <v>109</v>
      </c>
      <c r="K2766" t="s">
        <v>42</v>
      </c>
      <c r="L2766" t="s">
        <v>135</v>
      </c>
      <c r="N2766" t="s">
        <v>136</v>
      </c>
      <c r="Q2766">
        <v>29780</v>
      </c>
      <c r="R2766" t="s">
        <v>95</v>
      </c>
      <c r="S2766" t="s">
        <v>9303</v>
      </c>
      <c r="T2766">
        <v>25</v>
      </c>
      <c r="U2766" s="2" t="s">
        <v>9336</v>
      </c>
      <c r="W2766" t="s">
        <v>138</v>
      </c>
      <c r="X2766">
        <v>839232</v>
      </c>
      <c r="Y2766" t="s">
        <v>7229</v>
      </c>
      <c r="Z2766" t="s">
        <v>4315</v>
      </c>
      <c r="AA2766" s="2" t="s">
        <v>4316</v>
      </c>
      <c r="AB2766" t="s">
        <v>181</v>
      </c>
      <c r="AG2766" t="s">
        <v>17303</v>
      </c>
      <c r="AH2766" t="s">
        <v>9306</v>
      </c>
      <c r="AI2766" t="s">
        <v>17304</v>
      </c>
    </row>
    <row r="2767" spans="2:35" ht="409.5">
      <c r="B2767" s="1">
        <v>45611</v>
      </c>
      <c r="C2767" s="1">
        <v>45610</v>
      </c>
      <c r="D2767" t="s">
        <v>1081</v>
      </c>
      <c r="E2767" t="s">
        <v>17305</v>
      </c>
      <c r="F2767" t="s">
        <v>148</v>
      </c>
      <c r="G2767" t="s">
        <v>785</v>
      </c>
      <c r="H2767" t="s">
        <v>39</v>
      </c>
      <c r="I2767" t="s">
        <v>40</v>
      </c>
      <c r="J2767" t="s">
        <v>109</v>
      </c>
      <c r="K2767" t="s">
        <v>42</v>
      </c>
      <c r="L2767" t="s">
        <v>43</v>
      </c>
      <c r="N2767" t="s">
        <v>44</v>
      </c>
      <c r="Q2767">
        <v>29778</v>
      </c>
      <c r="R2767" t="s">
        <v>95</v>
      </c>
      <c r="S2767" t="s">
        <v>2016</v>
      </c>
      <c r="T2767">
        <v>24</v>
      </c>
      <c r="U2767" s="2" t="s">
        <v>17306</v>
      </c>
      <c r="W2767" t="s">
        <v>5136</v>
      </c>
      <c r="X2767">
        <v>110015767</v>
      </c>
      <c r="Y2767" t="s">
        <v>121</v>
      </c>
      <c r="Z2767" t="s">
        <v>122</v>
      </c>
      <c r="AA2767" s="2" t="s">
        <v>123</v>
      </c>
      <c r="AB2767" t="s">
        <v>2887</v>
      </c>
      <c r="AG2767" t="s">
        <v>17307</v>
      </c>
      <c r="AH2767" t="s">
        <v>14989</v>
      </c>
      <c r="AI2767" t="s">
        <v>17308</v>
      </c>
    </row>
    <row r="2768" spans="2:35" ht="315">
      <c r="B2768" s="1">
        <v>45611</v>
      </c>
      <c r="C2768" s="1">
        <v>45610</v>
      </c>
      <c r="D2768" t="s">
        <v>1081</v>
      </c>
      <c r="E2768" t="s">
        <v>2073</v>
      </c>
      <c r="F2768" t="s">
        <v>148</v>
      </c>
      <c r="G2768" t="s">
        <v>785</v>
      </c>
      <c r="H2768" t="s">
        <v>1083</v>
      </c>
      <c r="I2768" t="s">
        <v>40</v>
      </c>
      <c r="J2768" s="2" t="s">
        <v>62</v>
      </c>
      <c r="K2768" t="s">
        <v>387</v>
      </c>
      <c r="L2768" t="s">
        <v>43</v>
      </c>
      <c r="N2768" t="s">
        <v>44</v>
      </c>
      <c r="Q2768">
        <v>29777</v>
      </c>
      <c r="R2768" t="s">
        <v>95</v>
      </c>
      <c r="S2768" t="s">
        <v>15901</v>
      </c>
      <c r="T2768">
        <v>24</v>
      </c>
      <c r="W2768" t="s">
        <v>390</v>
      </c>
      <c r="X2768" t="s">
        <v>5969</v>
      </c>
      <c r="Y2768" t="s">
        <v>9934</v>
      </c>
      <c r="Z2768" t="s">
        <v>17309</v>
      </c>
      <c r="AA2768" s="2" t="s">
        <v>17310</v>
      </c>
      <c r="AB2768" t="s">
        <v>88</v>
      </c>
      <c r="AG2768" t="s">
        <v>17311</v>
      </c>
      <c r="AH2768" t="s">
        <v>15904</v>
      </c>
      <c r="AI2768" t="s">
        <v>17312</v>
      </c>
    </row>
    <row r="2769" spans="2:35" ht="255">
      <c r="B2769" s="1">
        <v>45611</v>
      </c>
      <c r="C2769" s="1">
        <v>45610</v>
      </c>
      <c r="D2769" t="s">
        <v>1081</v>
      </c>
      <c r="E2769" t="s">
        <v>2073</v>
      </c>
      <c r="F2769" t="s">
        <v>148</v>
      </c>
      <c r="G2769" t="s">
        <v>785</v>
      </c>
      <c r="H2769" t="s">
        <v>386</v>
      </c>
      <c r="I2769" t="s">
        <v>40</v>
      </c>
      <c r="J2769" t="s">
        <v>109</v>
      </c>
      <c r="K2769" t="s">
        <v>387</v>
      </c>
      <c r="L2769" t="s">
        <v>43</v>
      </c>
      <c r="N2769" t="s">
        <v>44</v>
      </c>
      <c r="Q2769">
        <v>29779</v>
      </c>
      <c r="R2769" t="s">
        <v>95</v>
      </c>
      <c r="S2769" t="s">
        <v>2074</v>
      </c>
      <c r="T2769">
        <v>24</v>
      </c>
      <c r="W2769" t="s">
        <v>390</v>
      </c>
      <c r="X2769" t="s">
        <v>2075</v>
      </c>
      <c r="Y2769" t="s">
        <v>121</v>
      </c>
      <c r="Z2769" t="s">
        <v>122</v>
      </c>
      <c r="AA2769" s="2" t="s">
        <v>6458</v>
      </c>
      <c r="AB2769" t="s">
        <v>88</v>
      </c>
      <c r="AG2769" t="s">
        <v>17313</v>
      </c>
      <c r="AH2769" t="s">
        <v>15910</v>
      </c>
      <c r="AI2769" t="s">
        <v>17314</v>
      </c>
    </row>
    <row r="2770" spans="2:35" ht="255">
      <c r="B2770" s="1">
        <v>45610</v>
      </c>
      <c r="C2770" s="1">
        <v>45610</v>
      </c>
      <c r="D2770" t="s">
        <v>2470</v>
      </c>
      <c r="E2770" t="s">
        <v>9436</v>
      </c>
      <c r="F2770" t="s">
        <v>148</v>
      </c>
      <c r="G2770" t="s">
        <v>230</v>
      </c>
      <c r="H2770" t="s">
        <v>513</v>
      </c>
      <c r="I2770" t="s">
        <v>40</v>
      </c>
      <c r="J2770" t="s">
        <v>3589</v>
      </c>
      <c r="K2770" t="s">
        <v>387</v>
      </c>
      <c r="L2770" t="s">
        <v>175</v>
      </c>
      <c r="N2770" t="s">
        <v>176</v>
      </c>
      <c r="Q2770">
        <v>29776</v>
      </c>
      <c r="R2770" t="s">
        <v>322</v>
      </c>
      <c r="S2770" t="s">
        <v>2471</v>
      </c>
      <c r="T2770">
        <v>25</v>
      </c>
      <c r="W2770" t="s">
        <v>390</v>
      </c>
      <c r="X2770" t="s">
        <v>2472</v>
      </c>
      <c r="Y2770" t="s">
        <v>17315</v>
      </c>
      <c r="Z2770" s="2" t="s">
        <v>17316</v>
      </c>
      <c r="AA2770" t="e">
        <f ca="1">- checked _xludf.and cleaned centrifuge
- checked CALIBRATION parameters
- performed self test</f>
        <v>#NAME?</v>
      </c>
      <c r="AB2770" s="2" t="s">
        <v>17317</v>
      </c>
      <c r="AG2770" t="s">
        <v>17318</v>
      </c>
      <c r="AH2770" t="s">
        <v>17319</v>
      </c>
      <c r="AI2770" t="s">
        <v>17320</v>
      </c>
    </row>
    <row r="2771" spans="2:35" ht="105">
      <c r="B2771" s="1">
        <v>45610</v>
      </c>
      <c r="C2771" s="1">
        <v>45610</v>
      </c>
      <c r="D2771" t="s">
        <v>9179</v>
      </c>
      <c r="E2771" t="s">
        <v>17321</v>
      </c>
      <c r="F2771">
        <v>9</v>
      </c>
      <c r="G2771" t="s">
        <v>2197</v>
      </c>
      <c r="H2771" t="s">
        <v>39</v>
      </c>
      <c r="I2771" t="s">
        <v>40</v>
      </c>
      <c r="J2771" t="s">
        <v>109</v>
      </c>
      <c r="K2771" t="s">
        <v>42</v>
      </c>
      <c r="L2771" t="s">
        <v>1257</v>
      </c>
      <c r="N2771" t="s">
        <v>1258</v>
      </c>
      <c r="O2771" t="s">
        <v>2199</v>
      </c>
      <c r="Q2771">
        <v>29775</v>
      </c>
      <c r="R2771" t="s">
        <v>119</v>
      </c>
      <c r="S2771" t="s">
        <v>17322</v>
      </c>
      <c r="T2771">
        <v>28</v>
      </c>
      <c r="U2771" s="2" t="s">
        <v>1617</v>
      </c>
      <c r="V2771" s="1">
        <v>45610</v>
      </c>
      <c r="W2771" t="s">
        <v>17323</v>
      </c>
      <c r="X2771">
        <v>838443</v>
      </c>
      <c r="Y2771" t="s">
        <v>301</v>
      </c>
      <c r="Z2771" t="s">
        <v>17324</v>
      </c>
      <c r="AA2771" t="s">
        <v>17324</v>
      </c>
      <c r="AB2771" t="s">
        <v>3463</v>
      </c>
      <c r="AC2771" t="s">
        <v>301</v>
      </c>
      <c r="AD2771" t="s">
        <v>54</v>
      </c>
      <c r="AE2771" t="s">
        <v>54</v>
      </c>
      <c r="AG2771" t="s">
        <v>17325</v>
      </c>
      <c r="AH2771" t="s">
        <v>9183</v>
      </c>
      <c r="AI2771" t="s">
        <v>17326</v>
      </c>
    </row>
    <row r="2772" spans="2:35" ht="225">
      <c r="B2772" s="1">
        <v>45609</v>
      </c>
      <c r="C2772" s="1">
        <v>45609</v>
      </c>
      <c r="D2772" t="s">
        <v>7296</v>
      </c>
      <c r="E2772" t="s">
        <v>7297</v>
      </c>
      <c r="F2772">
        <v>5</v>
      </c>
      <c r="G2772" t="s">
        <v>759</v>
      </c>
      <c r="H2772" t="s">
        <v>39</v>
      </c>
      <c r="I2772" t="s">
        <v>94</v>
      </c>
      <c r="J2772" s="2" t="s">
        <v>190</v>
      </c>
      <c r="K2772" t="s">
        <v>42</v>
      </c>
      <c r="L2772" t="s">
        <v>761</v>
      </c>
      <c r="N2772" t="s">
        <v>762</v>
      </c>
      <c r="Q2772">
        <v>29774</v>
      </c>
      <c r="R2772" t="s">
        <v>119</v>
      </c>
      <c r="S2772" t="s">
        <v>7298</v>
      </c>
      <c r="T2772">
        <v>29</v>
      </c>
      <c r="U2772" s="2" t="s">
        <v>17327</v>
      </c>
      <c r="W2772" t="s">
        <v>765</v>
      </c>
      <c r="X2772">
        <v>838264</v>
      </c>
      <c r="Y2772" s="2" t="s">
        <v>17328</v>
      </c>
      <c r="Z2772" s="2" t="s">
        <v>17329</v>
      </c>
      <c r="AA2772" s="2" t="s">
        <v>17330</v>
      </c>
      <c r="AB2772" t="s">
        <v>70</v>
      </c>
      <c r="AG2772" t="s">
        <v>17331</v>
      </c>
      <c r="AH2772" t="s">
        <v>11742</v>
      </c>
      <c r="AI2772" t="s">
        <v>17332</v>
      </c>
    </row>
    <row r="2773" spans="2:35" ht="180">
      <c r="B2773" s="1">
        <v>45609</v>
      </c>
      <c r="C2773" s="1">
        <v>45608</v>
      </c>
      <c r="D2773" t="s">
        <v>12460</v>
      </c>
      <c r="E2773" t="s">
        <v>15489</v>
      </c>
      <c r="F2773">
        <v>6</v>
      </c>
      <c r="G2773" t="s">
        <v>1234</v>
      </c>
      <c r="H2773" t="s">
        <v>39</v>
      </c>
      <c r="I2773" t="s">
        <v>40</v>
      </c>
      <c r="J2773" s="2" t="s">
        <v>41</v>
      </c>
      <c r="K2773" t="s">
        <v>42</v>
      </c>
      <c r="L2773" t="s">
        <v>270</v>
      </c>
      <c r="N2773" t="s">
        <v>2481</v>
      </c>
      <c r="Q2773">
        <v>29773</v>
      </c>
      <c r="R2773" t="s">
        <v>119</v>
      </c>
      <c r="S2773" t="s">
        <v>15490</v>
      </c>
      <c r="T2773">
        <v>26</v>
      </c>
      <c r="U2773" s="2" t="s">
        <v>17333</v>
      </c>
      <c r="V2773" s="1">
        <v>45595</v>
      </c>
      <c r="W2773" t="s">
        <v>17334</v>
      </c>
      <c r="X2773">
        <v>838491</v>
      </c>
      <c r="Y2773" t="s">
        <v>9330</v>
      </c>
      <c r="Z2773" t="s">
        <v>3128</v>
      </c>
      <c r="AA2773" t="e">
        <f ca="1">- replaced defective UPS:
   defective Unit: SN AT1000190123ST198
   new Unit: SN AT1000181128ST0059
- Pullout defective UPS Unit</f>
        <v>#NAME?</v>
      </c>
      <c r="AB2773" t="s">
        <v>4668</v>
      </c>
      <c r="AD2773" t="s">
        <v>1859</v>
      </c>
      <c r="AE2773" t="s">
        <v>17335</v>
      </c>
      <c r="AG2773" t="s">
        <v>17336</v>
      </c>
      <c r="AH2773" t="s">
        <v>15497</v>
      </c>
      <c r="AI2773" t="s">
        <v>17337</v>
      </c>
    </row>
    <row r="2774" spans="2:35" ht="375">
      <c r="B2774" s="1">
        <v>45609</v>
      </c>
      <c r="C2774" s="1">
        <v>45608</v>
      </c>
      <c r="D2774" t="s">
        <v>2176</v>
      </c>
      <c r="E2774" t="s">
        <v>5757</v>
      </c>
      <c r="F2774" t="s">
        <v>148</v>
      </c>
      <c r="G2774" t="s">
        <v>447</v>
      </c>
      <c r="H2774" t="s">
        <v>662</v>
      </c>
      <c r="I2774" t="s">
        <v>40</v>
      </c>
      <c r="J2774" t="s">
        <v>109</v>
      </c>
      <c r="K2774" t="s">
        <v>42</v>
      </c>
      <c r="L2774" t="s">
        <v>448</v>
      </c>
      <c r="N2774" t="s">
        <v>450</v>
      </c>
      <c r="Q2774">
        <v>29772</v>
      </c>
      <c r="R2774" t="s">
        <v>322</v>
      </c>
      <c r="S2774" t="s">
        <v>3086</v>
      </c>
      <c r="T2774">
        <v>27</v>
      </c>
      <c r="U2774" s="2" t="s">
        <v>17338</v>
      </c>
      <c r="W2774" t="s">
        <v>2591</v>
      </c>
      <c r="X2774">
        <v>110016781</v>
      </c>
      <c r="Y2774" s="2" t="s">
        <v>17339</v>
      </c>
      <c r="Z2774" s="2" t="s">
        <v>2011</v>
      </c>
      <c r="AA2774" t="s">
        <v>122</v>
      </c>
      <c r="AB2774" s="2" t="s">
        <v>17340</v>
      </c>
      <c r="AG2774" t="s">
        <v>17341</v>
      </c>
      <c r="AH2774" t="s">
        <v>9581</v>
      </c>
      <c r="AI2774" t="s">
        <v>17342</v>
      </c>
    </row>
    <row r="2775" spans="2:35" ht="210">
      <c r="B2775" s="1">
        <v>45609</v>
      </c>
      <c r="C2775" s="1">
        <v>45608</v>
      </c>
      <c r="D2775" t="s">
        <v>2176</v>
      </c>
      <c r="E2775" t="s">
        <v>2580</v>
      </c>
      <c r="F2775" t="s">
        <v>148</v>
      </c>
      <c r="G2775" t="s">
        <v>447</v>
      </c>
      <c r="H2775" t="s">
        <v>17343</v>
      </c>
      <c r="I2775" t="s">
        <v>40</v>
      </c>
      <c r="J2775" t="s">
        <v>109</v>
      </c>
      <c r="K2775" t="s">
        <v>42</v>
      </c>
      <c r="L2775" t="s">
        <v>448</v>
      </c>
      <c r="N2775" t="s">
        <v>450</v>
      </c>
      <c r="Q2775">
        <v>29771</v>
      </c>
      <c r="R2775" t="s">
        <v>322</v>
      </c>
      <c r="S2775" t="s">
        <v>2582</v>
      </c>
      <c r="T2775">
        <v>31</v>
      </c>
      <c r="U2775" s="2" t="s">
        <v>17344</v>
      </c>
      <c r="W2775" t="s">
        <v>2591</v>
      </c>
      <c r="X2775">
        <v>110014085</v>
      </c>
      <c r="Y2775" t="s">
        <v>17345</v>
      </c>
      <c r="Z2775" s="2" t="s">
        <v>17346</v>
      </c>
      <c r="AA2775" t="s">
        <v>17347</v>
      </c>
      <c r="AB2775" t="s">
        <v>486</v>
      </c>
      <c r="AG2775" t="s">
        <v>17348</v>
      </c>
      <c r="AH2775" t="s">
        <v>2588</v>
      </c>
      <c r="AI2775" t="s">
        <v>17349</v>
      </c>
    </row>
    <row r="2776" spans="2:35" ht="300">
      <c r="B2776" s="1">
        <v>45609</v>
      </c>
      <c r="C2776" s="1">
        <v>45608</v>
      </c>
      <c r="D2776" t="s">
        <v>4132</v>
      </c>
      <c r="E2776" t="s">
        <v>17350</v>
      </c>
      <c r="F2776" t="s">
        <v>148</v>
      </c>
      <c r="G2776" t="s">
        <v>447</v>
      </c>
      <c r="H2776" t="s">
        <v>386</v>
      </c>
      <c r="I2776" t="s">
        <v>40</v>
      </c>
      <c r="J2776" t="s">
        <v>525</v>
      </c>
      <c r="K2776" t="s">
        <v>387</v>
      </c>
      <c r="L2776" t="s">
        <v>448</v>
      </c>
      <c r="N2776" t="s">
        <v>450</v>
      </c>
      <c r="Q2776">
        <v>29770</v>
      </c>
      <c r="R2776" t="s">
        <v>322</v>
      </c>
      <c r="S2776" t="s">
        <v>17351</v>
      </c>
      <c r="T2776">
        <v>28</v>
      </c>
      <c r="W2776" t="s">
        <v>476</v>
      </c>
      <c r="X2776" t="s">
        <v>4135</v>
      </c>
      <c r="Y2776" t="s">
        <v>11459</v>
      </c>
      <c r="Z2776" s="2" t="s">
        <v>17352</v>
      </c>
      <c r="AA2776" t="s">
        <v>768</v>
      </c>
      <c r="AB2776" t="s">
        <v>486</v>
      </c>
      <c r="AC2776" t="s">
        <v>17353</v>
      </c>
      <c r="AG2776" t="s">
        <v>17354</v>
      </c>
      <c r="AH2776" t="s">
        <v>17355</v>
      </c>
      <c r="AI2776" t="s">
        <v>17356</v>
      </c>
    </row>
    <row r="2777" spans="2:35" ht="255">
      <c r="B2777" s="1">
        <v>45609</v>
      </c>
      <c r="C2777" s="1">
        <v>45609</v>
      </c>
      <c r="D2777" t="s">
        <v>7476</v>
      </c>
      <c r="E2777" t="s">
        <v>7477</v>
      </c>
      <c r="F2777">
        <v>11</v>
      </c>
      <c r="G2777" t="s">
        <v>1205</v>
      </c>
      <c r="H2777" t="s">
        <v>202</v>
      </c>
      <c r="I2777" t="s">
        <v>40</v>
      </c>
      <c r="J2777" t="s">
        <v>109</v>
      </c>
      <c r="K2777" t="s">
        <v>42</v>
      </c>
      <c r="L2777" t="s">
        <v>204</v>
      </c>
      <c r="N2777" t="s">
        <v>205</v>
      </c>
      <c r="Q2777">
        <v>29769</v>
      </c>
      <c r="R2777" t="s">
        <v>119</v>
      </c>
      <c r="S2777" t="s">
        <v>7478</v>
      </c>
      <c r="T2777">
        <v>23.5</v>
      </c>
      <c r="U2777" s="2" t="s">
        <v>17357</v>
      </c>
      <c r="W2777" t="s">
        <v>208</v>
      </c>
      <c r="X2777">
        <v>838507</v>
      </c>
      <c r="Y2777" t="s">
        <v>1052</v>
      </c>
      <c r="Z2777" s="2" t="s">
        <v>17358</v>
      </c>
      <c r="AA2777" t="s">
        <v>2551</v>
      </c>
      <c r="AB2777" t="s">
        <v>1211</v>
      </c>
      <c r="AG2777" t="s">
        <v>17359</v>
      </c>
      <c r="AH2777" t="s">
        <v>17360</v>
      </c>
      <c r="AI2777" t="s">
        <v>17361</v>
      </c>
    </row>
    <row r="2778" spans="2:35" ht="105">
      <c r="B2778" s="1">
        <v>45609</v>
      </c>
      <c r="C2778" s="1">
        <v>45609</v>
      </c>
      <c r="D2778" t="s">
        <v>340</v>
      </c>
      <c r="E2778" t="s">
        <v>8453</v>
      </c>
      <c r="F2778">
        <v>8</v>
      </c>
      <c r="G2778" t="s">
        <v>342</v>
      </c>
      <c r="H2778" t="s">
        <v>258</v>
      </c>
      <c r="I2778" t="s">
        <v>40</v>
      </c>
      <c r="J2778" t="s">
        <v>109</v>
      </c>
      <c r="K2778" t="s">
        <v>42</v>
      </c>
      <c r="L2778" t="s">
        <v>259</v>
      </c>
      <c r="N2778" t="s">
        <v>260</v>
      </c>
      <c r="Q2778">
        <v>29768</v>
      </c>
      <c r="R2778" t="s">
        <v>119</v>
      </c>
      <c r="S2778" t="s">
        <v>345</v>
      </c>
      <c r="T2778">
        <v>20</v>
      </c>
      <c r="U2778" s="2" t="s">
        <v>17362</v>
      </c>
      <c r="V2778" s="1">
        <v>45609</v>
      </c>
      <c r="W2778" t="s">
        <v>84</v>
      </c>
      <c r="X2778">
        <v>83855</v>
      </c>
      <c r="Y2778" t="s">
        <v>263</v>
      </c>
      <c r="Z2778" t="s">
        <v>263</v>
      </c>
      <c r="AA2778" t="e">
        <f ca="1">-performed Preventive Maintenance
- functionality test
- ARCHIVE Data</f>
        <v>#NAME?</v>
      </c>
      <c r="AB2778" t="s">
        <v>70</v>
      </c>
      <c r="AG2778" t="s">
        <v>17363</v>
      </c>
      <c r="AH2778" t="s">
        <v>17364</v>
      </c>
      <c r="AI2778" t="s">
        <v>17365</v>
      </c>
    </row>
    <row r="2779" spans="2:35" ht="360">
      <c r="B2779" s="1">
        <v>45609</v>
      </c>
      <c r="C2779" s="1">
        <v>45608</v>
      </c>
      <c r="D2779" t="s">
        <v>17366</v>
      </c>
      <c r="E2779" t="s">
        <v>15650</v>
      </c>
      <c r="F2779" t="s">
        <v>148</v>
      </c>
      <c r="G2779" t="s">
        <v>447</v>
      </c>
      <c r="H2779" t="s">
        <v>61</v>
      </c>
      <c r="I2779" t="s">
        <v>40</v>
      </c>
      <c r="J2779" t="s">
        <v>109</v>
      </c>
      <c r="K2779" t="s">
        <v>42</v>
      </c>
      <c r="L2779" t="s">
        <v>15532</v>
      </c>
      <c r="N2779" t="s">
        <v>15533</v>
      </c>
      <c r="O2779" t="s">
        <v>15533</v>
      </c>
      <c r="Q2779">
        <v>29767</v>
      </c>
      <c r="R2779" t="s">
        <v>322</v>
      </c>
      <c r="S2779" t="s">
        <v>15652</v>
      </c>
      <c r="T2779">
        <v>25</v>
      </c>
      <c r="U2779" s="2" t="s">
        <v>17367</v>
      </c>
      <c r="W2779" t="s">
        <v>17368</v>
      </c>
      <c r="X2779">
        <v>805294</v>
      </c>
      <c r="Y2779" t="s">
        <v>15536</v>
      </c>
      <c r="Z2779" s="2" t="s">
        <v>17369</v>
      </c>
      <c r="AA2779" s="2" t="s">
        <v>17370</v>
      </c>
      <c r="AB2779" s="2" t="s">
        <v>17371</v>
      </c>
      <c r="AG2779" t="s">
        <v>17372</v>
      </c>
      <c r="AH2779" t="s">
        <v>17373</v>
      </c>
      <c r="AI2779" t="s">
        <v>17374</v>
      </c>
    </row>
    <row r="2780" spans="2:35" ht="105">
      <c r="B2780" s="1">
        <v>45609</v>
      </c>
      <c r="C2780" s="1">
        <v>45609</v>
      </c>
      <c r="D2780" t="s">
        <v>8539</v>
      </c>
      <c r="E2780" t="s">
        <v>11173</v>
      </c>
      <c r="F2780">
        <v>9</v>
      </c>
      <c r="G2780" t="s">
        <v>2197</v>
      </c>
      <c r="H2780" t="s">
        <v>39</v>
      </c>
      <c r="I2780" t="s">
        <v>94</v>
      </c>
      <c r="J2780" s="2" t="s">
        <v>17375</v>
      </c>
      <c r="K2780" t="s">
        <v>42</v>
      </c>
      <c r="L2780" t="s">
        <v>1257</v>
      </c>
      <c r="N2780" t="s">
        <v>1258</v>
      </c>
      <c r="O2780" t="s">
        <v>2199</v>
      </c>
      <c r="Q2780">
        <v>29766</v>
      </c>
      <c r="R2780" t="s">
        <v>119</v>
      </c>
      <c r="S2780" t="s">
        <v>8542</v>
      </c>
      <c r="T2780">
        <v>25</v>
      </c>
      <c r="U2780" s="2" t="s">
        <v>17376</v>
      </c>
      <c r="V2780" s="1">
        <v>45586</v>
      </c>
      <c r="W2780" t="s">
        <v>17323</v>
      </c>
      <c r="X2780">
        <v>838533</v>
      </c>
      <c r="Y2780" t="s">
        <v>14904</v>
      </c>
      <c r="Z2780" t="s">
        <v>17377</v>
      </c>
      <c r="AA2780" t="s">
        <v>17377</v>
      </c>
      <c r="AB2780" t="s">
        <v>7411</v>
      </c>
      <c r="AC2780" t="s">
        <v>301</v>
      </c>
      <c r="AD2780" t="s">
        <v>10783</v>
      </c>
      <c r="AE2780">
        <v>12260</v>
      </c>
      <c r="AG2780" t="s">
        <v>17378</v>
      </c>
      <c r="AH2780" t="s">
        <v>8550</v>
      </c>
      <c r="AI2780" t="s">
        <v>17379</v>
      </c>
    </row>
    <row r="2781" spans="2:35" ht="225">
      <c r="B2781" s="1">
        <v>45609</v>
      </c>
      <c r="C2781" s="1">
        <v>45608</v>
      </c>
      <c r="D2781" t="s">
        <v>1678</v>
      </c>
      <c r="E2781" t="s">
        <v>9738</v>
      </c>
      <c r="F2781" t="s">
        <v>148</v>
      </c>
      <c r="G2781" t="s">
        <v>785</v>
      </c>
      <c r="H2781" t="s">
        <v>39</v>
      </c>
      <c r="I2781" t="s">
        <v>40</v>
      </c>
      <c r="J2781" t="s">
        <v>109</v>
      </c>
      <c r="K2781" t="s">
        <v>42</v>
      </c>
      <c r="L2781" t="s">
        <v>43</v>
      </c>
      <c r="N2781" t="s">
        <v>44</v>
      </c>
      <c r="Q2781">
        <v>29765</v>
      </c>
      <c r="R2781" t="s">
        <v>322</v>
      </c>
      <c r="S2781" t="s">
        <v>1680</v>
      </c>
      <c r="T2781">
        <v>22</v>
      </c>
      <c r="U2781" s="2" t="s">
        <v>17380</v>
      </c>
      <c r="W2781" t="s">
        <v>153</v>
      </c>
      <c r="X2781">
        <v>110024246</v>
      </c>
      <c r="Y2781" t="s">
        <v>121</v>
      </c>
      <c r="Z2781" t="s">
        <v>122</v>
      </c>
      <c r="AA2781" s="2" t="s">
        <v>123</v>
      </c>
      <c r="AB2781" t="s">
        <v>548</v>
      </c>
      <c r="AG2781" t="s">
        <v>17381</v>
      </c>
      <c r="AH2781" t="s">
        <v>1684</v>
      </c>
      <c r="AI2781" t="s">
        <v>17382</v>
      </c>
    </row>
    <row r="2782" spans="2:35" ht="75">
      <c r="B2782" s="1">
        <v>45609</v>
      </c>
      <c r="C2782" s="1">
        <v>45609</v>
      </c>
      <c r="D2782" t="s">
        <v>13723</v>
      </c>
      <c r="E2782" t="s">
        <v>1555</v>
      </c>
      <c r="F2782">
        <v>7</v>
      </c>
      <c r="G2782" t="s">
        <v>432</v>
      </c>
      <c r="H2782" t="s">
        <v>12018</v>
      </c>
      <c r="I2782" t="s">
        <v>40</v>
      </c>
      <c r="J2782" s="2" t="s">
        <v>609</v>
      </c>
      <c r="K2782" t="s">
        <v>387</v>
      </c>
      <c r="L2782" t="s">
        <v>1288</v>
      </c>
      <c r="N2782" t="s">
        <v>1289</v>
      </c>
      <c r="Q2782">
        <v>29764</v>
      </c>
      <c r="R2782" t="s">
        <v>95</v>
      </c>
      <c r="S2782" t="s">
        <v>17056</v>
      </c>
      <c r="T2782">
        <v>23.2</v>
      </c>
      <c r="W2782" t="s">
        <v>390</v>
      </c>
      <c r="X2782" t="s">
        <v>3425</v>
      </c>
      <c r="Y2782" t="s">
        <v>17383</v>
      </c>
      <c r="Z2782" t="e">
        <f ca="1">-COLLECT MCS Data</f>
        <v>#NAME?</v>
      </c>
      <c r="AA2782" t="e">
        <f ca="1">-Inspect centrifuge mechanical CHUCK _xludf.and functionality
-PERFORM DIAGNOSTICS, passed
-PERFORM functionality test, passed</f>
        <v>#NAME?</v>
      </c>
      <c r="AB2782" t="s">
        <v>1293</v>
      </c>
      <c r="AG2782" t="s">
        <v>17384</v>
      </c>
      <c r="AH2782" t="s">
        <v>17058</v>
      </c>
      <c r="AI2782" t="s">
        <v>17385</v>
      </c>
    </row>
    <row r="2783" spans="2:35" ht="300">
      <c r="B2783" s="1">
        <v>45609</v>
      </c>
      <c r="C2783" s="1">
        <v>45595</v>
      </c>
      <c r="D2783" t="s">
        <v>6619</v>
      </c>
      <c r="E2783" t="s">
        <v>11803</v>
      </c>
      <c r="F2783" t="s">
        <v>37</v>
      </c>
      <c r="G2783" t="s">
        <v>748</v>
      </c>
      <c r="H2783" t="s">
        <v>39</v>
      </c>
      <c r="I2783" t="s">
        <v>40</v>
      </c>
      <c r="J2783" t="s">
        <v>109</v>
      </c>
      <c r="K2783" t="s">
        <v>42</v>
      </c>
      <c r="L2783" t="s">
        <v>1028</v>
      </c>
      <c r="N2783" t="s">
        <v>1029</v>
      </c>
      <c r="Q2783">
        <v>29762</v>
      </c>
      <c r="R2783" t="s">
        <v>119</v>
      </c>
      <c r="S2783" t="s">
        <v>5176</v>
      </c>
      <c r="T2783">
        <v>27</v>
      </c>
      <c r="U2783" s="2" t="s">
        <v>17386</v>
      </c>
      <c r="W2783" t="s">
        <v>1967</v>
      </c>
      <c r="X2783">
        <v>838535</v>
      </c>
      <c r="Y2783" t="s">
        <v>3127</v>
      </c>
      <c r="Z2783" t="s">
        <v>3128</v>
      </c>
      <c r="AA2783" s="2" t="s">
        <v>17387</v>
      </c>
      <c r="AB2783" t="s">
        <v>17388</v>
      </c>
      <c r="AG2783" t="s">
        <v>17389</v>
      </c>
      <c r="AH2783" t="s">
        <v>15407</v>
      </c>
      <c r="AI2783" t="s">
        <v>17390</v>
      </c>
    </row>
    <row r="2784" spans="2:35" ht="300">
      <c r="B2784" s="1">
        <v>45609</v>
      </c>
      <c r="C2784" s="1">
        <v>45603</v>
      </c>
      <c r="D2784" t="s">
        <v>8225</v>
      </c>
      <c r="E2784" t="s">
        <v>8226</v>
      </c>
      <c r="F2784" t="s">
        <v>37</v>
      </c>
      <c r="G2784" t="s">
        <v>748</v>
      </c>
      <c r="H2784" t="s">
        <v>39</v>
      </c>
      <c r="I2784" t="s">
        <v>40</v>
      </c>
      <c r="J2784" t="s">
        <v>109</v>
      </c>
      <c r="K2784" t="s">
        <v>42</v>
      </c>
      <c r="L2784" t="s">
        <v>1028</v>
      </c>
      <c r="N2784" t="s">
        <v>1029</v>
      </c>
      <c r="Q2784">
        <v>29763</v>
      </c>
      <c r="R2784" t="s">
        <v>322</v>
      </c>
      <c r="S2784" t="s">
        <v>12270</v>
      </c>
      <c r="T2784">
        <v>27</v>
      </c>
      <c r="U2784" s="2" t="s">
        <v>17391</v>
      </c>
      <c r="W2784" t="s">
        <v>1032</v>
      </c>
      <c r="X2784">
        <v>110016785</v>
      </c>
      <c r="Y2784" t="s">
        <v>1978</v>
      </c>
      <c r="Z2784" t="s">
        <v>3128</v>
      </c>
      <c r="AA2784" s="2" t="s">
        <v>7336</v>
      </c>
      <c r="AB2784" t="s">
        <v>3300</v>
      </c>
      <c r="AG2784" t="s">
        <v>17392</v>
      </c>
      <c r="AH2784" t="s">
        <v>12275</v>
      </c>
      <c r="AI2784" t="s">
        <v>17393</v>
      </c>
    </row>
    <row r="2785" spans="2:35" ht="409.5">
      <c r="B2785" s="1">
        <v>45608</v>
      </c>
      <c r="C2785" s="1">
        <v>45608</v>
      </c>
      <c r="D2785" t="s">
        <v>17394</v>
      </c>
      <c r="E2785" t="s">
        <v>15650</v>
      </c>
      <c r="F2785" t="s">
        <v>148</v>
      </c>
      <c r="G2785" t="s">
        <v>447</v>
      </c>
      <c r="H2785" t="s">
        <v>61</v>
      </c>
      <c r="I2785" t="s">
        <v>40</v>
      </c>
      <c r="J2785" t="s">
        <v>109</v>
      </c>
      <c r="K2785" t="s">
        <v>42</v>
      </c>
      <c r="L2785" t="s">
        <v>15532</v>
      </c>
      <c r="N2785" t="s">
        <v>15533</v>
      </c>
      <c r="Q2785">
        <v>29761</v>
      </c>
      <c r="R2785" t="s">
        <v>322</v>
      </c>
      <c r="S2785" t="s">
        <v>15652</v>
      </c>
      <c r="T2785">
        <v>29</v>
      </c>
      <c r="U2785" s="2" t="s">
        <v>17395</v>
      </c>
      <c r="W2785" t="s">
        <v>17396</v>
      </c>
      <c r="X2785">
        <v>845462</v>
      </c>
      <c r="Y2785" t="s">
        <v>15536</v>
      </c>
      <c r="Z2785" s="2" t="s">
        <v>17397</v>
      </c>
      <c r="AA2785" t="s">
        <v>17398</v>
      </c>
      <c r="AB2785" s="2" t="s">
        <v>17371</v>
      </c>
      <c r="AG2785" t="s">
        <v>17399</v>
      </c>
      <c r="AH2785" t="s">
        <v>15657</v>
      </c>
      <c r="AI2785" t="s">
        <v>17400</v>
      </c>
    </row>
    <row r="2786" spans="2:35" ht="409.5">
      <c r="B2786" s="1">
        <v>45608</v>
      </c>
      <c r="C2786" s="1">
        <v>45608</v>
      </c>
      <c r="D2786" t="s">
        <v>12198</v>
      </c>
      <c r="E2786" t="s">
        <v>17401</v>
      </c>
      <c r="F2786" t="s">
        <v>148</v>
      </c>
      <c r="G2786" t="s">
        <v>310</v>
      </c>
      <c r="H2786" t="s">
        <v>295</v>
      </c>
      <c r="I2786" t="s">
        <v>40</v>
      </c>
      <c r="J2786" s="2" t="s">
        <v>609</v>
      </c>
      <c r="K2786" t="s">
        <v>42</v>
      </c>
      <c r="L2786" t="s">
        <v>1943</v>
      </c>
      <c r="N2786" t="s">
        <v>1944</v>
      </c>
      <c r="Q2786">
        <v>29760</v>
      </c>
      <c r="R2786" t="s">
        <v>322</v>
      </c>
      <c r="S2786" t="s">
        <v>17402</v>
      </c>
      <c r="T2786">
        <v>25</v>
      </c>
      <c r="W2786" t="s">
        <v>895</v>
      </c>
      <c r="X2786">
        <v>844975</v>
      </c>
      <c r="Y2786" s="2" t="s">
        <v>17403</v>
      </c>
      <c r="Z2786" t="s">
        <v>2100</v>
      </c>
      <c r="AA2786" s="2" t="s">
        <v>2101</v>
      </c>
      <c r="AB2786" t="s">
        <v>88</v>
      </c>
      <c r="AG2786" t="s">
        <v>17404</v>
      </c>
      <c r="AH2786" t="s">
        <v>17405</v>
      </c>
      <c r="AI2786" t="s">
        <v>17406</v>
      </c>
    </row>
    <row r="2787" spans="2:35" ht="405">
      <c r="B2787" s="1">
        <v>45608</v>
      </c>
      <c r="C2787" s="1">
        <v>45608</v>
      </c>
      <c r="D2787" t="s">
        <v>17407</v>
      </c>
      <c r="E2787" t="s">
        <v>17408</v>
      </c>
      <c r="F2787">
        <v>3</v>
      </c>
      <c r="G2787" t="s">
        <v>174</v>
      </c>
      <c r="H2787" t="s">
        <v>17409</v>
      </c>
      <c r="I2787" t="s">
        <v>94</v>
      </c>
      <c r="J2787" s="2" t="s">
        <v>62</v>
      </c>
      <c r="K2787" t="s">
        <v>2629</v>
      </c>
      <c r="L2787" t="s">
        <v>409</v>
      </c>
      <c r="N2787" t="s">
        <v>410</v>
      </c>
      <c r="Q2787">
        <v>29759</v>
      </c>
      <c r="R2787" t="s">
        <v>95</v>
      </c>
      <c r="S2787" t="s">
        <v>17410</v>
      </c>
      <c r="T2787">
        <v>24</v>
      </c>
      <c r="W2787" t="s">
        <v>17411</v>
      </c>
      <c r="X2787">
        <v>3321001650</v>
      </c>
      <c r="Y2787" t="s">
        <v>17412</v>
      </c>
      <c r="Z2787" t="s">
        <v>17413</v>
      </c>
      <c r="AA2787" s="2" t="s">
        <v>17414</v>
      </c>
      <c r="AB2787" t="s">
        <v>181</v>
      </c>
      <c r="AC2787" t="s">
        <v>17415</v>
      </c>
      <c r="AG2787" t="s">
        <v>17416</v>
      </c>
      <c r="AH2787" t="s">
        <v>17417</v>
      </c>
      <c r="AI2787" t="s">
        <v>17418</v>
      </c>
    </row>
    <row r="2788" spans="2:35" ht="105">
      <c r="B2788" s="1">
        <v>45608</v>
      </c>
      <c r="C2788" s="1">
        <v>45608</v>
      </c>
      <c r="D2788" t="s">
        <v>5563</v>
      </c>
      <c r="E2788" t="s">
        <v>1555</v>
      </c>
      <c r="F2788">
        <v>7</v>
      </c>
      <c r="G2788" t="s">
        <v>432</v>
      </c>
      <c r="H2788" t="s">
        <v>150</v>
      </c>
      <c r="I2788" t="s">
        <v>40</v>
      </c>
      <c r="J2788" t="s">
        <v>109</v>
      </c>
      <c r="K2788" t="s">
        <v>42</v>
      </c>
      <c r="L2788" t="s">
        <v>343</v>
      </c>
      <c r="N2788" t="s">
        <v>344</v>
      </c>
      <c r="Q2788">
        <v>29758</v>
      </c>
      <c r="R2788" t="s">
        <v>119</v>
      </c>
      <c r="S2788" t="s">
        <v>5564</v>
      </c>
      <c r="T2788">
        <v>25</v>
      </c>
      <c r="U2788" s="2" t="s">
        <v>17419</v>
      </c>
      <c r="W2788" t="s">
        <v>1501</v>
      </c>
      <c r="X2788">
        <v>8383561</v>
      </c>
      <c r="Y2788" t="s">
        <v>8412</v>
      </c>
      <c r="Z2788" t="e">
        <f ca="1">-Preventive Maintenance</f>
        <v>#NAME?</v>
      </c>
      <c r="AA2788" t="e">
        <f ca="1">-Preventive Maintenance
-ARCHIVE test</f>
        <v>#NAME?</v>
      </c>
      <c r="AB2788" t="s">
        <v>9638</v>
      </c>
      <c r="AG2788" t="s">
        <v>17420</v>
      </c>
      <c r="AH2788" t="s">
        <v>14800</v>
      </c>
      <c r="AI2788" t="s">
        <v>17421</v>
      </c>
    </row>
    <row r="2789" spans="2:35" ht="225">
      <c r="B2789" s="1">
        <v>45608</v>
      </c>
      <c r="C2789" s="1">
        <v>45608</v>
      </c>
      <c r="D2789" t="s">
        <v>4765</v>
      </c>
      <c r="E2789" t="s">
        <v>15925</v>
      </c>
      <c r="F2789" t="s">
        <v>148</v>
      </c>
      <c r="G2789" t="s">
        <v>785</v>
      </c>
      <c r="H2789" t="s">
        <v>39</v>
      </c>
      <c r="I2789" t="s">
        <v>40</v>
      </c>
      <c r="J2789" t="s">
        <v>109</v>
      </c>
      <c r="K2789" t="s">
        <v>42</v>
      </c>
      <c r="L2789" t="s">
        <v>43</v>
      </c>
      <c r="N2789" t="s">
        <v>44</v>
      </c>
      <c r="Q2789">
        <v>29757</v>
      </c>
      <c r="R2789" t="s">
        <v>322</v>
      </c>
      <c r="S2789" t="s">
        <v>4704</v>
      </c>
      <c r="T2789">
        <v>24</v>
      </c>
      <c r="U2789" s="2" t="s">
        <v>5052</v>
      </c>
      <c r="W2789" t="s">
        <v>153</v>
      </c>
      <c r="X2789">
        <v>110024245</v>
      </c>
      <c r="Y2789" t="s">
        <v>121</v>
      </c>
      <c r="Z2789" t="s">
        <v>122</v>
      </c>
      <c r="AA2789" s="2" t="s">
        <v>123</v>
      </c>
      <c r="AB2789" t="s">
        <v>548</v>
      </c>
      <c r="AG2789" t="s">
        <v>17422</v>
      </c>
      <c r="AH2789" t="s">
        <v>4773</v>
      </c>
      <c r="AI2789" t="s">
        <v>17423</v>
      </c>
    </row>
    <row r="2790" spans="2:35" ht="105">
      <c r="B2790" s="1">
        <v>45608</v>
      </c>
      <c r="C2790" s="1">
        <v>45608</v>
      </c>
      <c r="D2790" t="s">
        <v>8570</v>
      </c>
      <c r="E2790" t="s">
        <v>17424</v>
      </c>
      <c r="F2790">
        <v>9</v>
      </c>
      <c r="G2790" t="s">
        <v>1628</v>
      </c>
      <c r="H2790" t="s">
        <v>39</v>
      </c>
      <c r="I2790" t="s">
        <v>94</v>
      </c>
      <c r="J2790" s="2" t="s">
        <v>17375</v>
      </c>
      <c r="K2790" t="s">
        <v>42</v>
      </c>
      <c r="L2790" t="s">
        <v>1257</v>
      </c>
      <c r="N2790" t="s">
        <v>2199</v>
      </c>
      <c r="O2790" t="s">
        <v>2199</v>
      </c>
      <c r="Q2790">
        <v>29756</v>
      </c>
      <c r="R2790" t="s">
        <v>119</v>
      </c>
      <c r="S2790" t="s">
        <v>17425</v>
      </c>
      <c r="T2790">
        <v>23</v>
      </c>
      <c r="U2790" s="2" t="s">
        <v>17426</v>
      </c>
      <c r="V2790" s="1">
        <v>45586</v>
      </c>
      <c r="W2790" t="s">
        <v>17323</v>
      </c>
      <c r="X2790">
        <v>838276</v>
      </c>
      <c r="Y2790" t="s">
        <v>301</v>
      </c>
      <c r="Z2790" t="s">
        <v>17427</v>
      </c>
      <c r="AA2790" t="s">
        <v>17427</v>
      </c>
      <c r="AB2790" t="s">
        <v>7411</v>
      </c>
      <c r="AC2790" t="s">
        <v>301</v>
      </c>
      <c r="AD2790" t="s">
        <v>10783</v>
      </c>
      <c r="AE2790">
        <v>12259</v>
      </c>
      <c r="AG2790" t="s">
        <v>17428</v>
      </c>
      <c r="AH2790" t="s">
        <v>17429</v>
      </c>
      <c r="AI2790" t="s">
        <v>17430</v>
      </c>
    </row>
    <row r="2791" spans="2:35" ht="150">
      <c r="B2791" s="1">
        <v>45608</v>
      </c>
      <c r="C2791" s="1">
        <v>45608</v>
      </c>
      <c r="D2791" t="s">
        <v>8684</v>
      </c>
      <c r="E2791" t="s">
        <v>8685</v>
      </c>
      <c r="F2791">
        <v>5</v>
      </c>
      <c r="G2791" t="s">
        <v>814</v>
      </c>
      <c r="H2791" t="s">
        <v>39</v>
      </c>
      <c r="I2791" t="s">
        <v>94</v>
      </c>
      <c r="J2791" t="s">
        <v>109</v>
      </c>
      <c r="K2791" t="s">
        <v>42</v>
      </c>
      <c r="L2791" t="s">
        <v>761</v>
      </c>
      <c r="N2791" t="s">
        <v>762</v>
      </c>
      <c r="Q2791">
        <v>29755</v>
      </c>
      <c r="R2791" t="s">
        <v>119</v>
      </c>
      <c r="S2791" t="s">
        <v>8687</v>
      </c>
      <c r="T2791">
        <v>26</v>
      </c>
      <c r="U2791" s="2" t="s">
        <v>17431</v>
      </c>
      <c r="W2791" t="s">
        <v>765</v>
      </c>
      <c r="X2791">
        <v>838266</v>
      </c>
      <c r="Y2791" t="s">
        <v>818</v>
      </c>
      <c r="Z2791" s="2" t="s">
        <v>17432</v>
      </c>
      <c r="AA2791" t="s">
        <v>820</v>
      </c>
      <c r="AB2791" t="s">
        <v>70</v>
      </c>
      <c r="AG2791" t="s">
        <v>17433</v>
      </c>
      <c r="AH2791" t="s">
        <v>8693</v>
      </c>
      <c r="AI2791" t="s">
        <v>17434</v>
      </c>
    </row>
    <row r="2792" spans="2:35">
      <c r="B2792" s="1">
        <v>45608</v>
      </c>
      <c r="C2792" s="1">
        <v>45608</v>
      </c>
      <c r="D2792" t="s">
        <v>3897</v>
      </c>
      <c r="E2792" t="s">
        <v>3140</v>
      </c>
      <c r="F2792">
        <v>3</v>
      </c>
      <c r="G2792" t="s">
        <v>174</v>
      </c>
      <c r="H2792" t="s">
        <v>39</v>
      </c>
      <c r="I2792" t="s">
        <v>40</v>
      </c>
      <c r="J2792" t="s">
        <v>109</v>
      </c>
      <c r="K2792" t="s">
        <v>42</v>
      </c>
      <c r="L2792" t="s">
        <v>175</v>
      </c>
      <c r="N2792" t="s">
        <v>176</v>
      </c>
      <c r="Q2792">
        <v>29754</v>
      </c>
      <c r="R2792" t="s">
        <v>95</v>
      </c>
      <c r="S2792" t="s">
        <v>3898</v>
      </c>
      <c r="T2792">
        <v>25</v>
      </c>
      <c r="W2792" t="s">
        <v>84</v>
      </c>
      <c r="X2792">
        <v>110008530</v>
      </c>
      <c r="Y2792" t="s">
        <v>374</v>
      </c>
      <c r="Z2792" t="s">
        <v>103</v>
      </c>
      <c r="AA2792" t="e">
        <f ca="1">- checked _xludf.and cleaned cartridge bay, plunger rod, _xludf.filter
- generated reports
- performed self test</f>
        <v>#NAME?</v>
      </c>
      <c r="AB2792" t="s">
        <v>181</v>
      </c>
      <c r="AG2792" t="s">
        <v>17435</v>
      </c>
      <c r="AH2792" t="s">
        <v>8887</v>
      </c>
      <c r="AI2792" t="s">
        <v>17436</v>
      </c>
    </row>
    <row r="2793" spans="2:35" ht="409.5">
      <c r="B2793" s="1">
        <v>45608</v>
      </c>
      <c r="C2793" s="1">
        <v>45608</v>
      </c>
      <c r="D2793" t="s">
        <v>7600</v>
      </c>
      <c r="E2793" t="s">
        <v>6519</v>
      </c>
      <c r="F2793">
        <v>11</v>
      </c>
      <c r="G2793" t="s">
        <v>1205</v>
      </c>
      <c r="H2793" t="s">
        <v>202</v>
      </c>
      <c r="I2793" t="s">
        <v>40</v>
      </c>
      <c r="J2793" s="2" t="s">
        <v>41</v>
      </c>
      <c r="K2793" t="s">
        <v>42</v>
      </c>
      <c r="L2793" t="s">
        <v>204</v>
      </c>
      <c r="N2793" t="s">
        <v>205</v>
      </c>
      <c r="Q2793">
        <v>29753</v>
      </c>
      <c r="R2793" t="s">
        <v>119</v>
      </c>
      <c r="S2793" t="s">
        <v>6520</v>
      </c>
      <c r="T2793">
        <v>25.8</v>
      </c>
      <c r="U2793" s="2" t="s">
        <v>17437</v>
      </c>
      <c r="V2793" s="1">
        <v>45583</v>
      </c>
      <c r="W2793" t="s">
        <v>208</v>
      </c>
      <c r="X2793">
        <v>838505</v>
      </c>
      <c r="Y2793" t="s">
        <v>17438</v>
      </c>
      <c r="Z2793" s="2" t="s">
        <v>17439</v>
      </c>
      <c r="AA2793" t="s">
        <v>2560</v>
      </c>
      <c r="AB2793" s="2" t="s">
        <v>17440</v>
      </c>
      <c r="AD2793" t="s">
        <v>10253</v>
      </c>
      <c r="AE2793" t="s">
        <v>17441</v>
      </c>
      <c r="AG2793" t="s">
        <v>17442</v>
      </c>
      <c r="AH2793" t="s">
        <v>6525</v>
      </c>
      <c r="AI2793" t="s">
        <v>17443</v>
      </c>
    </row>
    <row r="2794" spans="2:35" ht="240">
      <c r="B2794" s="1">
        <v>45608</v>
      </c>
      <c r="C2794" s="1">
        <v>45608</v>
      </c>
      <c r="D2794" t="s">
        <v>3712</v>
      </c>
      <c r="E2794" t="s">
        <v>3713</v>
      </c>
      <c r="F2794" t="s">
        <v>148</v>
      </c>
      <c r="G2794" t="s">
        <v>310</v>
      </c>
      <c r="H2794" t="s">
        <v>2274</v>
      </c>
      <c r="I2794" t="s">
        <v>40</v>
      </c>
      <c r="J2794" s="2" t="s">
        <v>1899</v>
      </c>
      <c r="K2794" t="s">
        <v>387</v>
      </c>
      <c r="L2794" t="s">
        <v>1943</v>
      </c>
      <c r="N2794" t="s">
        <v>1944</v>
      </c>
      <c r="Q2794">
        <v>29752</v>
      </c>
      <c r="R2794" t="s">
        <v>322</v>
      </c>
      <c r="S2794" t="s">
        <v>17444</v>
      </c>
      <c r="T2794">
        <v>25</v>
      </c>
      <c r="W2794" t="s">
        <v>390</v>
      </c>
      <c r="X2794" t="s">
        <v>17445</v>
      </c>
      <c r="Y2794" t="s">
        <v>17446</v>
      </c>
      <c r="Z2794" t="s">
        <v>9818</v>
      </c>
      <c r="AA2794" s="2" t="s">
        <v>17447</v>
      </c>
      <c r="AB2794" t="s">
        <v>17448</v>
      </c>
      <c r="AG2794" t="s">
        <v>17449</v>
      </c>
      <c r="AH2794" t="s">
        <v>16641</v>
      </c>
      <c r="AI2794" t="s">
        <v>17450</v>
      </c>
    </row>
    <row r="2795" spans="2:35" ht="210">
      <c r="B2795" s="1">
        <v>45608</v>
      </c>
      <c r="C2795" s="1">
        <v>45604</v>
      </c>
      <c r="D2795" t="s">
        <v>17451</v>
      </c>
      <c r="E2795" t="s">
        <v>9506</v>
      </c>
      <c r="F2795">
        <v>6</v>
      </c>
      <c r="G2795" t="s">
        <v>1507</v>
      </c>
      <c r="H2795" t="s">
        <v>258</v>
      </c>
      <c r="I2795" t="s">
        <v>40</v>
      </c>
      <c r="J2795" s="2" t="s">
        <v>1808</v>
      </c>
      <c r="K2795" t="s">
        <v>42</v>
      </c>
      <c r="L2795" t="s">
        <v>270</v>
      </c>
      <c r="N2795" t="s">
        <v>2481</v>
      </c>
      <c r="Q2795">
        <v>29751</v>
      </c>
      <c r="R2795" t="s">
        <v>119</v>
      </c>
      <c r="S2795" t="s">
        <v>17452</v>
      </c>
      <c r="T2795">
        <v>35</v>
      </c>
      <c r="U2795" s="2" t="s">
        <v>17453</v>
      </c>
      <c r="W2795" t="s">
        <v>16530</v>
      </c>
      <c r="X2795">
        <v>837615</v>
      </c>
      <c r="Y2795" t="s">
        <v>301</v>
      </c>
      <c r="Z2795" t="s">
        <v>2551</v>
      </c>
      <c r="AA2795" t="e">
        <f ca="1">- Install GeneXpert at new location - Install CPU, LCD, GeneXpert, UPS, printer.
                                                                                                                                                                                                                                                                printer USB cable needed.</f>
        <v>#NAME?</v>
      </c>
      <c r="AB2795" s="2" t="s">
        <v>17454</v>
      </c>
      <c r="AG2795" t="s">
        <v>17455</v>
      </c>
      <c r="AH2795" t="s">
        <v>17456</v>
      </c>
      <c r="AI2795" t="s">
        <v>17457</v>
      </c>
    </row>
    <row r="2796" spans="2:35" ht="210">
      <c r="B2796" s="1">
        <v>45608</v>
      </c>
      <c r="C2796" s="1">
        <v>45604</v>
      </c>
      <c r="D2796" t="s">
        <v>17451</v>
      </c>
      <c r="E2796" t="s">
        <v>9506</v>
      </c>
      <c r="F2796">
        <v>6</v>
      </c>
      <c r="G2796" t="s">
        <v>1507</v>
      </c>
      <c r="H2796" t="s">
        <v>258</v>
      </c>
      <c r="I2796" t="s">
        <v>40</v>
      </c>
      <c r="J2796" s="2" t="s">
        <v>1808</v>
      </c>
      <c r="K2796" t="s">
        <v>42</v>
      </c>
      <c r="L2796" t="s">
        <v>270</v>
      </c>
      <c r="N2796" t="s">
        <v>2481</v>
      </c>
      <c r="Q2796">
        <v>29750</v>
      </c>
      <c r="R2796" t="s">
        <v>119</v>
      </c>
      <c r="S2796" t="s">
        <v>17452</v>
      </c>
      <c r="T2796">
        <v>35</v>
      </c>
      <c r="U2796" s="2" t="s">
        <v>17453</v>
      </c>
      <c r="W2796" t="s">
        <v>16530</v>
      </c>
      <c r="X2796">
        <v>837615</v>
      </c>
      <c r="Y2796" t="s">
        <v>301</v>
      </c>
      <c r="Z2796" t="s">
        <v>2551</v>
      </c>
      <c r="AA2796" t="e">
        <f ca="1">- Install GeneXpert at new location - Install CPU, LCD, GeneXpert, UPS, printer.
                                                                                                                                                                                                                                                                printer USB cable neede.</f>
        <v>#NAME?</v>
      </c>
      <c r="AB2796" s="2" t="s">
        <v>17454</v>
      </c>
      <c r="AG2796" t="s">
        <v>17455</v>
      </c>
      <c r="AH2796" t="s">
        <v>17456</v>
      </c>
      <c r="AI2796" t="s">
        <v>17457</v>
      </c>
    </row>
    <row r="2797" spans="2:35" ht="409.5">
      <c r="B2797" s="1">
        <v>45607</v>
      </c>
      <c r="C2797" s="1">
        <v>45607</v>
      </c>
      <c r="D2797" t="s">
        <v>17458</v>
      </c>
      <c r="E2797" t="s">
        <v>5531</v>
      </c>
      <c r="F2797">
        <v>5</v>
      </c>
      <c r="G2797" t="s">
        <v>759</v>
      </c>
      <c r="H2797" t="s">
        <v>2138</v>
      </c>
      <c r="I2797" t="s">
        <v>94</v>
      </c>
      <c r="J2797" s="2" t="s">
        <v>62</v>
      </c>
      <c r="K2797" t="s">
        <v>42</v>
      </c>
      <c r="L2797" t="s">
        <v>761</v>
      </c>
      <c r="N2797" t="s">
        <v>762</v>
      </c>
      <c r="O2797" t="s">
        <v>17459</v>
      </c>
      <c r="Q2797">
        <v>29749</v>
      </c>
      <c r="R2797" t="s">
        <v>322</v>
      </c>
      <c r="S2797" t="s">
        <v>17460</v>
      </c>
      <c r="T2797">
        <v>25</v>
      </c>
      <c r="W2797" t="s">
        <v>390</v>
      </c>
      <c r="X2797" t="s">
        <v>17461</v>
      </c>
      <c r="Y2797" t="s">
        <v>14882</v>
      </c>
      <c r="Z2797" s="2" t="s">
        <v>17462</v>
      </c>
      <c r="AA2797" s="2" t="s">
        <v>14883</v>
      </c>
      <c r="AB2797" t="s">
        <v>181</v>
      </c>
      <c r="AC2797" t="s">
        <v>17463</v>
      </c>
      <c r="AG2797" t="s">
        <v>17464</v>
      </c>
      <c r="AH2797" t="s">
        <v>17465</v>
      </c>
      <c r="AI2797" t="s">
        <v>17466</v>
      </c>
    </row>
    <row r="2798" spans="2:35">
      <c r="B2798" s="1">
        <v>45607</v>
      </c>
      <c r="C2798" s="1">
        <v>45607</v>
      </c>
      <c r="D2798" t="s">
        <v>6037</v>
      </c>
      <c r="E2798" t="s">
        <v>7875</v>
      </c>
      <c r="F2798">
        <v>7</v>
      </c>
      <c r="G2798" t="s">
        <v>432</v>
      </c>
      <c r="H2798" t="s">
        <v>386</v>
      </c>
      <c r="I2798" t="s">
        <v>40</v>
      </c>
      <c r="J2798" t="s">
        <v>79</v>
      </c>
      <c r="K2798" t="s">
        <v>387</v>
      </c>
      <c r="L2798" t="s">
        <v>610</v>
      </c>
      <c r="N2798" t="s">
        <v>611</v>
      </c>
      <c r="Q2798">
        <v>29748</v>
      </c>
      <c r="R2798" t="s">
        <v>95</v>
      </c>
      <c r="S2798" t="s">
        <v>6039</v>
      </c>
      <c r="T2798">
        <v>25</v>
      </c>
      <c r="W2798" t="s">
        <v>390</v>
      </c>
      <c r="X2798" t="s">
        <v>6040</v>
      </c>
      <c r="Y2798" t="s">
        <v>17467</v>
      </c>
      <c r="Z2798" t="s">
        <v>17468</v>
      </c>
      <c r="AA2798" t="s">
        <v>17468</v>
      </c>
      <c r="AB2798" t="s">
        <v>17469</v>
      </c>
      <c r="AG2798" t="s">
        <v>17470</v>
      </c>
      <c r="AH2798" t="s">
        <v>10028</v>
      </c>
      <c r="AI2798" t="s">
        <v>17471</v>
      </c>
    </row>
    <row r="2799" spans="2:35" ht="409.5">
      <c r="B2799" s="1">
        <v>45607</v>
      </c>
      <c r="C2799" s="1">
        <v>45607</v>
      </c>
      <c r="D2799" t="s">
        <v>10170</v>
      </c>
      <c r="E2799" t="s">
        <v>10171</v>
      </c>
      <c r="F2799">
        <v>7</v>
      </c>
      <c r="G2799" t="s">
        <v>432</v>
      </c>
      <c r="H2799" t="s">
        <v>608</v>
      </c>
      <c r="I2799" t="s">
        <v>40</v>
      </c>
      <c r="J2799" t="s">
        <v>996</v>
      </c>
      <c r="K2799" t="s">
        <v>42</v>
      </c>
      <c r="L2799" t="s">
        <v>610</v>
      </c>
      <c r="N2799" t="s">
        <v>611</v>
      </c>
      <c r="Q2799">
        <v>29747</v>
      </c>
      <c r="R2799" t="s">
        <v>119</v>
      </c>
      <c r="S2799" t="s">
        <v>6211</v>
      </c>
      <c r="T2799">
        <v>25</v>
      </c>
      <c r="U2799" s="2" t="s">
        <v>17472</v>
      </c>
      <c r="W2799" t="s">
        <v>360</v>
      </c>
      <c r="X2799">
        <v>838534</v>
      </c>
      <c r="Y2799" t="s">
        <v>17473</v>
      </c>
      <c r="Z2799" s="2" t="s">
        <v>17474</v>
      </c>
      <c r="AA2799" s="2" t="s">
        <v>17474</v>
      </c>
      <c r="AB2799" t="s">
        <v>17475</v>
      </c>
      <c r="AG2799" t="s">
        <v>17476</v>
      </c>
      <c r="AH2799" t="s">
        <v>10175</v>
      </c>
      <c r="AI2799" t="s">
        <v>17477</v>
      </c>
    </row>
    <row r="2800" spans="2:35" ht="345">
      <c r="B2800" s="1">
        <v>45607</v>
      </c>
      <c r="C2800" s="1">
        <v>45600</v>
      </c>
      <c r="D2800" t="s">
        <v>9278</v>
      </c>
      <c r="E2800" t="s">
        <v>17478</v>
      </c>
      <c r="F2800" t="s">
        <v>148</v>
      </c>
      <c r="G2800" t="s">
        <v>447</v>
      </c>
      <c r="H2800" t="s">
        <v>39</v>
      </c>
      <c r="I2800" t="s">
        <v>40</v>
      </c>
      <c r="J2800" t="s">
        <v>109</v>
      </c>
      <c r="K2800" t="s">
        <v>42</v>
      </c>
      <c r="L2800" t="s">
        <v>15532</v>
      </c>
      <c r="N2800" t="s">
        <v>15533</v>
      </c>
      <c r="Q2800">
        <v>29746</v>
      </c>
      <c r="R2800" t="s">
        <v>322</v>
      </c>
      <c r="S2800" t="s">
        <v>15533</v>
      </c>
      <c r="T2800">
        <v>25</v>
      </c>
      <c r="U2800" s="2" t="s">
        <v>17479</v>
      </c>
      <c r="W2800" t="s">
        <v>17480</v>
      </c>
      <c r="X2800">
        <v>120000577</v>
      </c>
      <c r="Y2800" t="s">
        <v>15536</v>
      </c>
      <c r="Z2800" t="s">
        <v>17481</v>
      </c>
      <c r="AA2800" t="s">
        <v>16914</v>
      </c>
      <c r="AB2800" s="2" t="s">
        <v>17482</v>
      </c>
      <c r="AG2800" t="s">
        <v>17483</v>
      </c>
      <c r="AH2800" t="s">
        <v>9282</v>
      </c>
      <c r="AI2800" t="s">
        <v>17484</v>
      </c>
    </row>
    <row r="2801" spans="2:35" ht="60">
      <c r="B2801" s="1">
        <v>45607</v>
      </c>
      <c r="C2801" s="1">
        <v>45603</v>
      </c>
      <c r="D2801" t="s">
        <v>17485</v>
      </c>
      <c r="E2801" t="s">
        <v>17486</v>
      </c>
      <c r="F2801">
        <v>10</v>
      </c>
      <c r="G2801" t="s">
        <v>8359</v>
      </c>
      <c r="H2801" t="s">
        <v>2125</v>
      </c>
      <c r="I2801" t="s">
        <v>40</v>
      </c>
      <c r="J2801" s="2" t="s">
        <v>62</v>
      </c>
      <c r="K2801" t="s">
        <v>42</v>
      </c>
      <c r="L2801" t="s">
        <v>933</v>
      </c>
      <c r="N2801" t="s">
        <v>934</v>
      </c>
      <c r="Q2801">
        <v>29745</v>
      </c>
      <c r="R2801" t="s">
        <v>119</v>
      </c>
      <c r="S2801" t="s">
        <v>17487</v>
      </c>
      <c r="T2801">
        <v>27</v>
      </c>
      <c r="W2801" t="s">
        <v>2127</v>
      </c>
      <c r="X2801">
        <v>838571</v>
      </c>
      <c r="Y2801" t="s">
        <v>301</v>
      </c>
      <c r="Z2801" t="s">
        <v>301</v>
      </c>
      <c r="AA2801" t="s">
        <v>17488</v>
      </c>
      <c r="AB2801" t="s">
        <v>17489</v>
      </c>
      <c r="AG2801" t="s">
        <v>17490</v>
      </c>
      <c r="AH2801" t="s">
        <v>17491</v>
      </c>
      <c r="AI2801" t="s">
        <v>17492</v>
      </c>
    </row>
    <row r="2802" spans="2:35" ht="105">
      <c r="B2802" s="1">
        <v>45607</v>
      </c>
      <c r="C2802" s="1">
        <v>45601</v>
      </c>
      <c r="D2802" t="s">
        <v>9878</v>
      </c>
      <c r="E2802" t="s">
        <v>11921</v>
      </c>
      <c r="F2802">
        <v>12</v>
      </c>
      <c r="G2802" t="s">
        <v>5785</v>
      </c>
      <c r="H2802" t="s">
        <v>1473</v>
      </c>
      <c r="I2802" t="s">
        <v>40</v>
      </c>
      <c r="J2802" t="s">
        <v>321</v>
      </c>
      <c r="K2802" t="s">
        <v>42</v>
      </c>
      <c r="L2802" t="s">
        <v>296</v>
      </c>
      <c r="N2802" t="s">
        <v>297</v>
      </c>
      <c r="Q2802">
        <v>29744</v>
      </c>
      <c r="R2802" t="s">
        <v>119</v>
      </c>
      <c r="S2802" t="s">
        <v>9880</v>
      </c>
      <c r="T2802">
        <v>22.4</v>
      </c>
      <c r="U2802" s="2" t="s">
        <v>17493</v>
      </c>
      <c r="W2802" t="s">
        <v>981</v>
      </c>
      <c r="X2802">
        <v>838542</v>
      </c>
      <c r="Y2802" t="s">
        <v>301</v>
      </c>
      <c r="Z2802" t="s">
        <v>4315</v>
      </c>
      <c r="AA2802" t="s">
        <v>17494</v>
      </c>
      <c r="AB2802" t="s">
        <v>972</v>
      </c>
      <c r="AG2802" t="s">
        <v>17495</v>
      </c>
      <c r="AH2802" t="s">
        <v>9884</v>
      </c>
      <c r="AI2802" t="s">
        <v>17496</v>
      </c>
    </row>
    <row r="2803" spans="2:35" ht="240">
      <c r="B2803" s="1">
        <v>45607</v>
      </c>
      <c r="C2803" s="1">
        <v>45602</v>
      </c>
      <c r="D2803" t="s">
        <v>17497</v>
      </c>
      <c r="E2803" t="s">
        <v>17498</v>
      </c>
      <c r="F2803">
        <v>6</v>
      </c>
      <c r="G2803" t="s">
        <v>1234</v>
      </c>
      <c r="H2803" t="s">
        <v>39</v>
      </c>
      <c r="I2803" t="s">
        <v>40</v>
      </c>
      <c r="J2803" s="2" t="s">
        <v>1370</v>
      </c>
      <c r="K2803" t="s">
        <v>42</v>
      </c>
      <c r="L2803" t="s">
        <v>433</v>
      </c>
      <c r="N2803" t="s">
        <v>434</v>
      </c>
      <c r="Q2803">
        <v>29743</v>
      </c>
      <c r="R2803" t="s">
        <v>119</v>
      </c>
      <c r="S2803" t="s">
        <v>10985</v>
      </c>
      <c r="T2803">
        <v>30</v>
      </c>
      <c r="W2803" t="s">
        <v>1008</v>
      </c>
      <c r="X2803">
        <v>838464</v>
      </c>
      <c r="Y2803" s="2" t="s">
        <v>17499</v>
      </c>
      <c r="Z2803" s="2" t="s">
        <v>17500</v>
      </c>
      <c r="AA2803" s="2" t="s">
        <v>17500</v>
      </c>
      <c r="AB2803" t="s">
        <v>17501</v>
      </c>
      <c r="AG2803" t="s">
        <v>17502</v>
      </c>
      <c r="AH2803" t="s">
        <v>10993</v>
      </c>
      <c r="AI2803" t="s">
        <v>17503</v>
      </c>
    </row>
    <row r="2804" spans="2:35" ht="270">
      <c r="B2804" s="1">
        <v>45607</v>
      </c>
      <c r="C2804" s="1">
        <v>45602</v>
      </c>
      <c r="D2804" t="s">
        <v>4413</v>
      </c>
      <c r="E2804" t="s">
        <v>15712</v>
      </c>
      <c r="F2804">
        <v>12</v>
      </c>
      <c r="G2804" t="s">
        <v>978</v>
      </c>
      <c r="H2804" t="s">
        <v>1473</v>
      </c>
      <c r="I2804" t="s">
        <v>40</v>
      </c>
      <c r="J2804" s="2" t="s">
        <v>190</v>
      </c>
      <c r="K2804" t="s">
        <v>42</v>
      </c>
      <c r="L2804" t="s">
        <v>296</v>
      </c>
      <c r="N2804" t="s">
        <v>297</v>
      </c>
      <c r="Q2804">
        <v>29742</v>
      </c>
      <c r="R2804" t="s">
        <v>119</v>
      </c>
      <c r="S2804" t="s">
        <v>4415</v>
      </c>
      <c r="T2804">
        <v>27.2</v>
      </c>
      <c r="U2804" s="2" t="s">
        <v>7461</v>
      </c>
      <c r="W2804" t="s">
        <v>981</v>
      </c>
      <c r="X2804">
        <v>838544</v>
      </c>
      <c r="Y2804" t="s">
        <v>15451</v>
      </c>
      <c r="Z2804" s="2" t="s">
        <v>17504</v>
      </c>
      <c r="AA2804" s="2" t="s">
        <v>17505</v>
      </c>
      <c r="AB2804" t="s">
        <v>16070</v>
      </c>
      <c r="AG2804" t="s">
        <v>17506</v>
      </c>
      <c r="AH2804" t="s">
        <v>17507</v>
      </c>
      <c r="AI2804" t="s">
        <v>17508</v>
      </c>
    </row>
    <row r="2805" spans="2:35" ht="345">
      <c r="B2805" s="1">
        <v>45607</v>
      </c>
      <c r="C2805" s="1">
        <v>45601</v>
      </c>
      <c r="D2805" t="s">
        <v>9886</v>
      </c>
      <c r="E2805" t="s">
        <v>17509</v>
      </c>
      <c r="F2805">
        <v>12</v>
      </c>
      <c r="G2805" t="s">
        <v>5785</v>
      </c>
      <c r="H2805" t="s">
        <v>1473</v>
      </c>
      <c r="I2805" t="s">
        <v>40</v>
      </c>
      <c r="J2805" s="2" t="s">
        <v>190</v>
      </c>
      <c r="K2805" t="s">
        <v>42</v>
      </c>
      <c r="L2805" t="s">
        <v>296</v>
      </c>
      <c r="N2805" t="s">
        <v>297</v>
      </c>
      <c r="O2805" t="s">
        <v>9888</v>
      </c>
      <c r="Q2805">
        <v>29741</v>
      </c>
      <c r="R2805" t="s">
        <v>119</v>
      </c>
      <c r="S2805" t="s">
        <v>9888</v>
      </c>
      <c r="T2805">
        <v>25.8</v>
      </c>
      <c r="U2805" s="2" t="s">
        <v>17510</v>
      </c>
      <c r="W2805" t="s">
        <v>981</v>
      </c>
      <c r="X2805">
        <v>838419</v>
      </c>
      <c r="Y2805" t="s">
        <v>17511</v>
      </c>
      <c r="Z2805" s="2" t="s">
        <v>17512</v>
      </c>
      <c r="AA2805" s="2" t="s">
        <v>17513</v>
      </c>
      <c r="AB2805" t="s">
        <v>1480</v>
      </c>
      <c r="AG2805" t="s">
        <v>17514</v>
      </c>
      <c r="AH2805" t="s">
        <v>9892</v>
      </c>
      <c r="AI2805" t="s">
        <v>17515</v>
      </c>
    </row>
    <row r="2806" spans="2:35" ht="225">
      <c r="B2806" s="1">
        <v>45606</v>
      </c>
      <c r="C2806" s="1">
        <v>45602</v>
      </c>
      <c r="D2806" t="s">
        <v>11127</v>
      </c>
      <c r="E2806" t="s">
        <v>12651</v>
      </c>
      <c r="F2806">
        <v>5</v>
      </c>
      <c r="G2806" t="s">
        <v>759</v>
      </c>
      <c r="H2806" t="s">
        <v>39</v>
      </c>
      <c r="I2806" t="s">
        <v>94</v>
      </c>
      <c r="J2806" s="2" t="s">
        <v>41</v>
      </c>
      <c r="K2806" t="s">
        <v>42</v>
      </c>
      <c r="L2806" t="s">
        <v>761</v>
      </c>
      <c r="N2806" t="s">
        <v>762</v>
      </c>
      <c r="Q2806">
        <v>29740</v>
      </c>
      <c r="R2806" t="s">
        <v>119</v>
      </c>
      <c r="S2806" t="s">
        <v>11128</v>
      </c>
      <c r="T2806">
        <v>29</v>
      </c>
      <c r="U2806" s="2" t="s">
        <v>17516</v>
      </c>
      <c r="W2806" t="s">
        <v>765</v>
      </c>
      <c r="X2806">
        <v>838565</v>
      </c>
      <c r="Y2806" t="s">
        <v>17517</v>
      </c>
      <c r="Z2806" s="2" t="s">
        <v>17518</v>
      </c>
      <c r="AA2806" s="2" t="s">
        <v>17519</v>
      </c>
      <c r="AB2806" t="s">
        <v>70</v>
      </c>
      <c r="AG2806" t="s">
        <v>17520</v>
      </c>
      <c r="AH2806" t="s">
        <v>17521</v>
      </c>
      <c r="AI2806" t="s">
        <v>17522</v>
      </c>
    </row>
    <row r="2807" spans="2:35" ht="120">
      <c r="B2807" s="1">
        <v>45606</v>
      </c>
      <c r="C2807" s="1">
        <v>45601</v>
      </c>
      <c r="D2807" t="s">
        <v>5496</v>
      </c>
      <c r="E2807" t="s">
        <v>17523</v>
      </c>
      <c r="F2807">
        <v>5</v>
      </c>
      <c r="G2807" t="s">
        <v>839</v>
      </c>
      <c r="H2807" t="s">
        <v>39</v>
      </c>
      <c r="I2807" t="s">
        <v>94</v>
      </c>
      <c r="J2807" t="s">
        <v>109</v>
      </c>
      <c r="K2807" t="s">
        <v>42</v>
      </c>
      <c r="L2807" t="s">
        <v>761</v>
      </c>
      <c r="N2807" t="s">
        <v>762</v>
      </c>
      <c r="Q2807">
        <v>29739</v>
      </c>
      <c r="R2807" t="s">
        <v>967</v>
      </c>
      <c r="S2807" t="s">
        <v>5498</v>
      </c>
      <c r="T2807">
        <v>29</v>
      </c>
      <c r="U2807" s="2" t="s">
        <v>9765</v>
      </c>
      <c r="W2807" t="s">
        <v>817</v>
      </c>
      <c r="X2807">
        <v>110023511</v>
      </c>
      <c r="Y2807" t="s">
        <v>818</v>
      </c>
      <c r="Z2807" s="2" t="s">
        <v>7933</v>
      </c>
      <c r="AA2807" t="s">
        <v>820</v>
      </c>
      <c r="AB2807" t="s">
        <v>70</v>
      </c>
      <c r="AG2807" t="s">
        <v>17524</v>
      </c>
      <c r="AH2807" t="s">
        <v>5503</v>
      </c>
      <c r="AI2807" t="s">
        <v>17525</v>
      </c>
    </row>
    <row r="2808" spans="2:35" ht="225">
      <c r="B2808" s="1">
        <v>45606</v>
      </c>
      <c r="C2808" s="1">
        <v>45601</v>
      </c>
      <c r="D2808" t="s">
        <v>5496</v>
      </c>
      <c r="E2808" t="s">
        <v>17526</v>
      </c>
      <c r="F2808">
        <v>5</v>
      </c>
      <c r="G2808" t="s">
        <v>839</v>
      </c>
      <c r="H2808" t="s">
        <v>39</v>
      </c>
      <c r="I2808" t="s">
        <v>94</v>
      </c>
      <c r="J2808" s="2" t="s">
        <v>41</v>
      </c>
      <c r="K2808" t="s">
        <v>42</v>
      </c>
      <c r="L2808" t="s">
        <v>761</v>
      </c>
      <c r="N2808" t="s">
        <v>762</v>
      </c>
      <c r="Q2808">
        <v>29738</v>
      </c>
      <c r="R2808" t="s">
        <v>119</v>
      </c>
      <c r="S2808" t="s">
        <v>5498</v>
      </c>
      <c r="T2808">
        <v>29</v>
      </c>
      <c r="U2808" s="2" t="s">
        <v>17527</v>
      </c>
      <c r="W2808" t="s">
        <v>765</v>
      </c>
      <c r="X2808">
        <v>838391</v>
      </c>
      <c r="Y2808" t="s">
        <v>17528</v>
      </c>
      <c r="Z2808" s="2" t="s">
        <v>17529</v>
      </c>
      <c r="AA2808" s="2" t="s">
        <v>17530</v>
      </c>
      <c r="AB2808" t="s">
        <v>70</v>
      </c>
      <c r="AG2808" t="s">
        <v>17531</v>
      </c>
      <c r="AH2808" t="s">
        <v>5503</v>
      </c>
      <c r="AI2808" t="s">
        <v>17532</v>
      </c>
    </row>
    <row r="2809" spans="2:35" ht="409.5">
      <c r="B2809" s="1">
        <v>45606</v>
      </c>
      <c r="C2809" s="1">
        <v>45594</v>
      </c>
      <c r="D2809" t="s">
        <v>4118</v>
      </c>
      <c r="E2809" t="s">
        <v>7946</v>
      </c>
      <c r="F2809">
        <v>5</v>
      </c>
      <c r="G2809" t="s">
        <v>759</v>
      </c>
      <c r="H2809" t="s">
        <v>39</v>
      </c>
      <c r="I2809" t="s">
        <v>94</v>
      </c>
      <c r="J2809" t="s">
        <v>109</v>
      </c>
      <c r="K2809" t="s">
        <v>42</v>
      </c>
      <c r="L2809" t="s">
        <v>761</v>
      </c>
      <c r="N2809" t="s">
        <v>762</v>
      </c>
      <c r="Q2809">
        <v>29737</v>
      </c>
      <c r="R2809" t="s">
        <v>95</v>
      </c>
      <c r="S2809" t="s">
        <v>6291</v>
      </c>
      <c r="T2809">
        <v>25</v>
      </c>
      <c r="U2809" s="2" t="s">
        <v>17533</v>
      </c>
      <c r="W2809" t="s">
        <v>817</v>
      </c>
      <c r="X2809">
        <v>110017942</v>
      </c>
      <c r="Y2809" t="s">
        <v>818</v>
      </c>
      <c r="Z2809" s="2" t="s">
        <v>17534</v>
      </c>
      <c r="AA2809" t="s">
        <v>820</v>
      </c>
      <c r="AB2809" t="s">
        <v>70</v>
      </c>
      <c r="AG2809" t="s">
        <v>17535</v>
      </c>
      <c r="AH2809" t="s">
        <v>17536</v>
      </c>
      <c r="AI2809" t="s">
        <v>17537</v>
      </c>
    </row>
    <row r="2810" spans="2:35" ht="409.5">
      <c r="B2810" s="1">
        <v>45606</v>
      </c>
      <c r="C2810" s="1">
        <v>45603</v>
      </c>
      <c r="D2810" t="s">
        <v>7547</v>
      </c>
      <c r="E2810" t="s">
        <v>7548</v>
      </c>
      <c r="F2810" t="s">
        <v>1181</v>
      </c>
      <c r="G2810" t="s">
        <v>3753</v>
      </c>
      <c r="H2810" t="s">
        <v>39</v>
      </c>
      <c r="I2810" t="s">
        <v>40</v>
      </c>
      <c r="J2810" s="2" t="s">
        <v>41</v>
      </c>
      <c r="K2810" t="s">
        <v>42</v>
      </c>
      <c r="L2810" t="s">
        <v>1943</v>
      </c>
      <c r="N2810" t="s">
        <v>1944</v>
      </c>
      <c r="Q2810">
        <v>29736</v>
      </c>
      <c r="R2810" t="s">
        <v>119</v>
      </c>
      <c r="S2810" t="s">
        <v>17538</v>
      </c>
      <c r="T2810">
        <v>25</v>
      </c>
      <c r="V2810" s="1">
        <v>45583</v>
      </c>
      <c r="W2810" t="s">
        <v>84</v>
      </c>
      <c r="X2810">
        <v>838226</v>
      </c>
      <c r="Y2810" s="2" t="s">
        <v>5842</v>
      </c>
      <c r="Z2810" t="s">
        <v>17539</v>
      </c>
      <c r="AA2810" s="2" t="s">
        <v>1948</v>
      </c>
      <c r="AB2810" t="s">
        <v>88</v>
      </c>
      <c r="AD2810" t="s">
        <v>17540</v>
      </c>
      <c r="AE2810" t="s">
        <v>17541</v>
      </c>
      <c r="AG2810" t="s">
        <v>17542</v>
      </c>
      <c r="AH2810" t="s">
        <v>17543</v>
      </c>
      <c r="AI2810" t="s">
        <v>17544</v>
      </c>
    </row>
    <row r="2811" spans="2:35" ht="409.5">
      <c r="B2811" s="1">
        <v>45606</v>
      </c>
      <c r="C2811" s="1">
        <v>45603</v>
      </c>
      <c r="D2811" t="s">
        <v>7547</v>
      </c>
      <c r="E2811" t="s">
        <v>7548</v>
      </c>
      <c r="F2811" t="s">
        <v>1181</v>
      </c>
      <c r="G2811" t="s">
        <v>3753</v>
      </c>
      <c r="H2811" t="s">
        <v>39</v>
      </c>
      <c r="I2811" t="s">
        <v>40</v>
      </c>
      <c r="J2811" s="2" t="s">
        <v>41</v>
      </c>
      <c r="K2811" t="s">
        <v>42</v>
      </c>
      <c r="L2811" t="s">
        <v>1943</v>
      </c>
      <c r="N2811" t="s">
        <v>1944</v>
      </c>
      <c r="Q2811">
        <v>29735</v>
      </c>
      <c r="R2811" t="s">
        <v>119</v>
      </c>
      <c r="S2811" t="s">
        <v>17538</v>
      </c>
      <c r="T2811">
        <v>25</v>
      </c>
      <c r="V2811" s="1">
        <v>45583</v>
      </c>
      <c r="W2811" t="s">
        <v>84</v>
      </c>
      <c r="X2811">
        <v>838226</v>
      </c>
      <c r="Y2811" s="2" t="s">
        <v>5842</v>
      </c>
      <c r="Z2811" t="s">
        <v>17539</v>
      </c>
      <c r="AA2811" s="2" t="s">
        <v>1948</v>
      </c>
      <c r="AB2811" t="s">
        <v>88</v>
      </c>
      <c r="AD2811" t="s">
        <v>17540</v>
      </c>
      <c r="AE2811" t="s">
        <v>17541</v>
      </c>
      <c r="AG2811" t="s">
        <v>17545</v>
      </c>
      <c r="AH2811" t="s">
        <v>17543</v>
      </c>
      <c r="AI2811" t="s">
        <v>17546</v>
      </c>
    </row>
    <row r="2812" spans="2:35" ht="120">
      <c r="B2812" s="1">
        <v>45604</v>
      </c>
      <c r="C2812" s="1">
        <v>45604</v>
      </c>
      <c r="D2812" t="s">
        <v>7465</v>
      </c>
      <c r="E2812" t="s">
        <v>7466</v>
      </c>
      <c r="F2812">
        <v>8</v>
      </c>
      <c r="G2812" t="s">
        <v>342</v>
      </c>
      <c r="H2812" t="s">
        <v>258</v>
      </c>
      <c r="I2812" t="s">
        <v>40</v>
      </c>
      <c r="J2812" s="2" t="s">
        <v>190</v>
      </c>
      <c r="K2812" t="s">
        <v>42</v>
      </c>
      <c r="L2812" t="s">
        <v>259</v>
      </c>
      <c r="N2812" t="s">
        <v>260</v>
      </c>
      <c r="Q2812">
        <v>29734</v>
      </c>
      <c r="R2812" t="s">
        <v>119</v>
      </c>
      <c r="S2812" t="s">
        <v>16053</v>
      </c>
      <c r="T2812">
        <v>28</v>
      </c>
      <c r="U2812" s="2" t="s">
        <v>15101</v>
      </c>
      <c r="V2812" s="1">
        <v>45604</v>
      </c>
      <c r="W2812" t="s">
        <v>84</v>
      </c>
      <c r="X2812">
        <v>838551</v>
      </c>
      <c r="Y2812" s="2" t="s">
        <v>17547</v>
      </c>
      <c r="Z2812" s="2" t="s">
        <v>17548</v>
      </c>
      <c r="AA2812" t="e">
        <f ca="1">- performed Preventive Maintenance
- Troubleshoot UPS
- Create reports</f>
        <v>#NAME?</v>
      </c>
      <c r="AB2812" t="s">
        <v>70</v>
      </c>
      <c r="AG2812" t="s">
        <v>17549</v>
      </c>
      <c r="AH2812" t="s">
        <v>7469</v>
      </c>
      <c r="AI2812" t="s">
        <v>17550</v>
      </c>
    </row>
    <row r="2813" spans="2:35" ht="345">
      <c r="B2813" s="1">
        <v>45604</v>
      </c>
      <c r="C2813" s="1">
        <v>45604</v>
      </c>
      <c r="D2813" t="s">
        <v>17551</v>
      </c>
      <c r="E2813" t="s">
        <v>17552</v>
      </c>
      <c r="F2813">
        <v>10</v>
      </c>
      <c r="G2813" t="s">
        <v>1395</v>
      </c>
      <c r="H2813" t="s">
        <v>513</v>
      </c>
      <c r="I2813" t="s">
        <v>40</v>
      </c>
      <c r="J2813" t="s">
        <v>525</v>
      </c>
      <c r="K2813" t="s">
        <v>387</v>
      </c>
      <c r="L2813" t="s">
        <v>933</v>
      </c>
      <c r="N2813" t="s">
        <v>934</v>
      </c>
      <c r="Q2813">
        <v>29733</v>
      </c>
      <c r="R2813" t="s">
        <v>95</v>
      </c>
      <c r="S2813" t="s">
        <v>17553</v>
      </c>
      <c r="T2813">
        <v>27</v>
      </c>
      <c r="W2813" t="s">
        <v>390</v>
      </c>
      <c r="X2813" t="s">
        <v>17554</v>
      </c>
      <c r="Y2813" s="2" t="s">
        <v>17555</v>
      </c>
      <c r="Z2813" s="2" t="s">
        <v>17556</v>
      </c>
      <c r="AA2813" t="s">
        <v>17557</v>
      </c>
      <c r="AB2813" t="s">
        <v>17558</v>
      </c>
      <c r="AG2813" t="s">
        <v>17559</v>
      </c>
      <c r="AH2813" t="s">
        <v>17560</v>
      </c>
      <c r="AI2813" t="s">
        <v>17561</v>
      </c>
    </row>
    <row r="2814" spans="2:35" ht="270">
      <c r="B2814" s="1">
        <v>45604</v>
      </c>
      <c r="C2814" s="1">
        <v>45603</v>
      </c>
      <c r="D2814" t="s">
        <v>3712</v>
      </c>
      <c r="E2814" t="s">
        <v>5952</v>
      </c>
      <c r="F2814" t="s">
        <v>37</v>
      </c>
      <c r="G2814" t="s">
        <v>78</v>
      </c>
      <c r="H2814" t="s">
        <v>386</v>
      </c>
      <c r="I2814" t="s">
        <v>40</v>
      </c>
      <c r="J2814" t="s">
        <v>109</v>
      </c>
      <c r="K2814" t="s">
        <v>387</v>
      </c>
      <c r="L2814" t="s">
        <v>43</v>
      </c>
      <c r="N2814" t="s">
        <v>44</v>
      </c>
      <c r="Q2814">
        <v>29732</v>
      </c>
      <c r="R2814" t="s">
        <v>95</v>
      </c>
      <c r="S2814" t="s">
        <v>5953</v>
      </c>
      <c r="T2814">
        <v>22</v>
      </c>
      <c r="W2814" t="s">
        <v>390</v>
      </c>
      <c r="X2814" t="s">
        <v>5954</v>
      </c>
      <c r="Y2814" t="s">
        <v>121</v>
      </c>
      <c r="Z2814" t="s">
        <v>122</v>
      </c>
      <c r="AA2814" s="2" t="s">
        <v>17562</v>
      </c>
      <c r="AB2814" t="s">
        <v>88</v>
      </c>
      <c r="AG2814" t="s">
        <v>17563</v>
      </c>
      <c r="AH2814" t="s">
        <v>17564</v>
      </c>
      <c r="AI2814" t="s">
        <v>17565</v>
      </c>
    </row>
    <row r="2815" spans="2:35" ht="255">
      <c r="B2815" s="1">
        <v>45604</v>
      </c>
      <c r="C2815" s="1">
        <v>45602</v>
      </c>
      <c r="D2815" t="s">
        <v>146</v>
      </c>
      <c r="E2815" t="s">
        <v>5992</v>
      </c>
      <c r="F2815" t="s">
        <v>148</v>
      </c>
      <c r="G2815" t="s">
        <v>149</v>
      </c>
      <c r="H2815" t="s">
        <v>39</v>
      </c>
      <c r="I2815" t="s">
        <v>40</v>
      </c>
      <c r="J2815" t="s">
        <v>109</v>
      </c>
      <c r="K2815" t="s">
        <v>42</v>
      </c>
      <c r="L2815" t="s">
        <v>43</v>
      </c>
      <c r="N2815" t="s">
        <v>44</v>
      </c>
      <c r="O2815" t="s">
        <v>388</v>
      </c>
      <c r="Q2815">
        <v>29731</v>
      </c>
      <c r="R2815" t="s">
        <v>95</v>
      </c>
      <c r="S2815" t="s">
        <v>11968</v>
      </c>
      <c r="T2815">
        <v>22</v>
      </c>
      <c r="U2815" s="2" t="s">
        <v>17566</v>
      </c>
      <c r="W2815" t="s">
        <v>153</v>
      </c>
      <c r="X2815">
        <v>110003714</v>
      </c>
      <c r="Y2815" t="s">
        <v>121</v>
      </c>
      <c r="Z2815" t="s">
        <v>122</v>
      </c>
      <c r="AA2815" s="2" t="s">
        <v>10915</v>
      </c>
      <c r="AB2815" t="s">
        <v>17567</v>
      </c>
      <c r="AG2815" t="s">
        <v>17568</v>
      </c>
      <c r="AH2815" t="s">
        <v>6444</v>
      </c>
      <c r="AI2815" t="s">
        <v>17569</v>
      </c>
    </row>
    <row r="2816" spans="2:35" ht="409.5">
      <c r="B2816" s="1">
        <v>45603</v>
      </c>
      <c r="C2816" s="1">
        <v>45603</v>
      </c>
      <c r="D2816" t="s">
        <v>17570</v>
      </c>
      <c r="E2816" t="s">
        <v>4260</v>
      </c>
      <c r="F2816" t="s">
        <v>148</v>
      </c>
      <c r="G2816" t="s">
        <v>2007</v>
      </c>
      <c r="H2816" t="s">
        <v>662</v>
      </c>
      <c r="I2816" t="s">
        <v>40</v>
      </c>
      <c r="J2816" t="s">
        <v>109</v>
      </c>
      <c r="K2816" t="s">
        <v>42</v>
      </c>
      <c r="L2816" t="s">
        <v>448</v>
      </c>
      <c r="N2816" t="s">
        <v>450</v>
      </c>
      <c r="O2816" t="s">
        <v>17571</v>
      </c>
      <c r="Q2816">
        <v>29730</v>
      </c>
      <c r="R2816" t="s">
        <v>95</v>
      </c>
      <c r="S2816" t="s">
        <v>17572</v>
      </c>
      <c r="T2816">
        <v>29</v>
      </c>
      <c r="U2816" s="2" t="s">
        <v>17573</v>
      </c>
      <c r="W2816" t="s">
        <v>17574</v>
      </c>
      <c r="X2816">
        <v>110001647</v>
      </c>
      <c r="Y2816" s="2" t="s">
        <v>17575</v>
      </c>
      <c r="Z2816" s="2" t="s">
        <v>17576</v>
      </c>
      <c r="AA2816" t="s">
        <v>17577</v>
      </c>
      <c r="AB2816" s="2" t="s">
        <v>17578</v>
      </c>
      <c r="AC2816" t="s">
        <v>17579</v>
      </c>
      <c r="AG2816" t="s">
        <v>17580</v>
      </c>
      <c r="AH2816" t="s">
        <v>17581</v>
      </c>
      <c r="AI2816" t="s">
        <v>17582</v>
      </c>
    </row>
    <row r="2817" spans="2:35" ht="409.5">
      <c r="B2817" s="1">
        <v>45603</v>
      </c>
      <c r="C2817" s="1">
        <v>45602</v>
      </c>
      <c r="D2817" t="s">
        <v>3712</v>
      </c>
      <c r="E2817" t="s">
        <v>9218</v>
      </c>
      <c r="F2817" t="s">
        <v>148</v>
      </c>
      <c r="G2817" t="s">
        <v>447</v>
      </c>
      <c r="H2817" t="s">
        <v>386</v>
      </c>
      <c r="I2817" t="s">
        <v>40</v>
      </c>
      <c r="J2817" t="s">
        <v>525</v>
      </c>
      <c r="K2817" t="s">
        <v>387</v>
      </c>
      <c r="L2817" t="s">
        <v>448</v>
      </c>
      <c r="N2817" t="s">
        <v>450</v>
      </c>
      <c r="Q2817">
        <v>29729</v>
      </c>
      <c r="R2817" t="s">
        <v>322</v>
      </c>
      <c r="S2817" t="s">
        <v>17351</v>
      </c>
      <c r="T2817">
        <v>26</v>
      </c>
      <c r="W2817" t="s">
        <v>476</v>
      </c>
      <c r="X2817" t="s">
        <v>4135</v>
      </c>
      <c r="Y2817" t="s">
        <v>17583</v>
      </c>
      <c r="Z2817" s="2" t="s">
        <v>17584</v>
      </c>
      <c r="AA2817" t="s">
        <v>768</v>
      </c>
      <c r="AB2817" t="s">
        <v>17585</v>
      </c>
      <c r="AC2817" t="s">
        <v>17353</v>
      </c>
      <c r="AG2817" t="s">
        <v>17586</v>
      </c>
      <c r="AH2817" t="s">
        <v>4138</v>
      </c>
      <c r="AI2817" t="s">
        <v>17587</v>
      </c>
    </row>
    <row r="2818" spans="2:35" ht="405">
      <c r="B2818" s="1">
        <v>45603</v>
      </c>
      <c r="C2818" s="1">
        <v>45600</v>
      </c>
      <c r="D2818" t="s">
        <v>5903</v>
      </c>
      <c r="E2818" t="s">
        <v>2569</v>
      </c>
      <c r="F2818" t="s">
        <v>148</v>
      </c>
      <c r="G2818" t="s">
        <v>447</v>
      </c>
      <c r="H2818" t="s">
        <v>662</v>
      </c>
      <c r="I2818" t="s">
        <v>40</v>
      </c>
      <c r="J2818" s="2" t="s">
        <v>190</v>
      </c>
      <c r="K2818" t="s">
        <v>42</v>
      </c>
      <c r="L2818" t="s">
        <v>448</v>
      </c>
      <c r="N2818" t="s">
        <v>450</v>
      </c>
      <c r="Q2818">
        <v>29728</v>
      </c>
      <c r="R2818" t="s">
        <v>322</v>
      </c>
      <c r="S2818" t="s">
        <v>3987</v>
      </c>
      <c r="T2818">
        <v>28</v>
      </c>
      <c r="U2818" s="2" t="s">
        <v>17588</v>
      </c>
      <c r="W2818" t="s">
        <v>8506</v>
      </c>
      <c r="X2818">
        <v>110014171</v>
      </c>
      <c r="Y2818" s="2" t="s">
        <v>17589</v>
      </c>
      <c r="Z2818" s="2" t="s">
        <v>2011</v>
      </c>
      <c r="AA2818" s="2" t="s">
        <v>17590</v>
      </c>
      <c r="AB2818" t="s">
        <v>656</v>
      </c>
      <c r="AG2818" t="s">
        <v>17591</v>
      </c>
      <c r="AH2818" t="s">
        <v>660</v>
      </c>
      <c r="AI2818" t="s">
        <v>17592</v>
      </c>
    </row>
    <row r="2819" spans="2:35" ht="409.5">
      <c r="B2819" s="1">
        <v>45603</v>
      </c>
      <c r="C2819" s="1">
        <v>45603</v>
      </c>
      <c r="D2819" t="s">
        <v>7522</v>
      </c>
      <c r="E2819" t="s">
        <v>9044</v>
      </c>
      <c r="F2819">
        <v>11</v>
      </c>
      <c r="G2819" t="s">
        <v>1205</v>
      </c>
      <c r="H2819" t="s">
        <v>202</v>
      </c>
      <c r="I2819" t="s">
        <v>40</v>
      </c>
      <c r="J2819" s="2" t="s">
        <v>1309</v>
      </c>
      <c r="K2819" t="s">
        <v>42</v>
      </c>
      <c r="L2819" t="s">
        <v>204</v>
      </c>
      <c r="N2819" t="s">
        <v>205</v>
      </c>
      <c r="Q2819">
        <v>29727</v>
      </c>
      <c r="R2819" t="s">
        <v>119</v>
      </c>
      <c r="S2819" t="s">
        <v>7524</v>
      </c>
      <c r="T2819">
        <v>26.8</v>
      </c>
      <c r="U2819" s="2" t="s">
        <v>17593</v>
      </c>
      <c r="V2819" s="1">
        <v>45586</v>
      </c>
      <c r="W2819" t="s">
        <v>208</v>
      </c>
      <c r="X2819">
        <v>838500</v>
      </c>
      <c r="Y2819" s="2" t="s">
        <v>17594</v>
      </c>
      <c r="Z2819" s="2" t="s">
        <v>17595</v>
      </c>
      <c r="AA2819" s="2" t="s">
        <v>17596</v>
      </c>
      <c r="AB2819" s="2" t="s">
        <v>17597</v>
      </c>
      <c r="AD2819" s="2" t="s">
        <v>17598</v>
      </c>
      <c r="AE2819" t="s">
        <v>17599</v>
      </c>
      <c r="AG2819" t="s">
        <v>17600</v>
      </c>
      <c r="AH2819" t="s">
        <v>15568</v>
      </c>
      <c r="AI2819" t="s">
        <v>17601</v>
      </c>
    </row>
    <row r="2820" spans="2:35" ht="120">
      <c r="B2820" s="1">
        <v>45603</v>
      </c>
      <c r="C2820" s="1">
        <v>45603</v>
      </c>
      <c r="D2820" t="s">
        <v>17602</v>
      </c>
      <c r="E2820" t="s">
        <v>17603</v>
      </c>
      <c r="F2820" t="s">
        <v>37</v>
      </c>
      <c r="G2820" t="s">
        <v>78</v>
      </c>
      <c r="H2820" t="s">
        <v>17604</v>
      </c>
      <c r="I2820" t="s">
        <v>40</v>
      </c>
      <c r="J2820" t="s">
        <v>321</v>
      </c>
      <c r="K2820" t="s">
        <v>2629</v>
      </c>
      <c r="L2820" t="s">
        <v>409</v>
      </c>
      <c r="N2820" t="s">
        <v>410</v>
      </c>
      <c r="O2820" t="s">
        <v>17605</v>
      </c>
      <c r="Q2820">
        <v>29726</v>
      </c>
      <c r="R2820" t="s">
        <v>95</v>
      </c>
      <c r="S2820" t="s">
        <v>17606</v>
      </c>
      <c r="T2820">
        <v>25</v>
      </c>
      <c r="W2820" t="s">
        <v>17607</v>
      </c>
      <c r="X2820">
        <v>3165000305</v>
      </c>
      <c r="Y2820" t="s">
        <v>54</v>
      </c>
      <c r="Z2820" t="s">
        <v>54</v>
      </c>
      <c r="AA2820" s="2" t="s">
        <v>17608</v>
      </c>
      <c r="AB2820" t="s">
        <v>181</v>
      </c>
      <c r="AG2820" t="s">
        <v>17609</v>
      </c>
      <c r="AH2820" t="s">
        <v>17610</v>
      </c>
      <c r="AI2820" t="s">
        <v>17611</v>
      </c>
    </row>
    <row r="2821" spans="2:35" ht="75">
      <c r="B2821" s="1">
        <v>45603</v>
      </c>
      <c r="C2821" s="1">
        <v>45603</v>
      </c>
      <c r="D2821" t="s">
        <v>17602</v>
      </c>
      <c r="E2821" t="s">
        <v>17603</v>
      </c>
      <c r="F2821" t="s">
        <v>37</v>
      </c>
      <c r="G2821" t="s">
        <v>78</v>
      </c>
      <c r="H2821" t="s">
        <v>17604</v>
      </c>
      <c r="I2821" t="s">
        <v>40</v>
      </c>
      <c r="J2821" t="s">
        <v>583</v>
      </c>
      <c r="K2821" t="s">
        <v>2629</v>
      </c>
      <c r="L2821" t="s">
        <v>409</v>
      </c>
      <c r="N2821" t="s">
        <v>410</v>
      </c>
      <c r="O2821" t="s">
        <v>17605</v>
      </c>
      <c r="Q2821">
        <v>29725</v>
      </c>
      <c r="R2821" t="s">
        <v>95</v>
      </c>
      <c r="S2821" t="s">
        <v>17606</v>
      </c>
      <c r="T2821">
        <v>25</v>
      </c>
      <c r="W2821" t="s">
        <v>17612</v>
      </c>
      <c r="X2821">
        <v>3947012945</v>
      </c>
      <c r="Y2821" t="s">
        <v>17613</v>
      </c>
      <c r="Z2821" t="s">
        <v>17614</v>
      </c>
      <c r="AA2821" s="2" t="s">
        <v>17615</v>
      </c>
      <c r="AB2821" t="s">
        <v>181</v>
      </c>
      <c r="AG2821" t="s">
        <v>17616</v>
      </c>
      <c r="AH2821" t="s">
        <v>17610</v>
      </c>
      <c r="AI2821" t="s">
        <v>17617</v>
      </c>
    </row>
    <row r="2822" spans="2:35" ht="150">
      <c r="B2822" s="1">
        <v>45603</v>
      </c>
      <c r="C2822" s="1">
        <v>45603</v>
      </c>
      <c r="D2822" t="s">
        <v>17618</v>
      </c>
      <c r="E2822" t="s">
        <v>17619</v>
      </c>
      <c r="F2822" t="s">
        <v>37</v>
      </c>
      <c r="G2822" t="s">
        <v>78</v>
      </c>
      <c r="H2822" t="s">
        <v>12391</v>
      </c>
      <c r="I2822" t="s">
        <v>40</v>
      </c>
      <c r="J2822" t="s">
        <v>79</v>
      </c>
      <c r="K2822" t="s">
        <v>2629</v>
      </c>
      <c r="L2822" t="s">
        <v>409</v>
      </c>
      <c r="N2822" t="s">
        <v>410</v>
      </c>
      <c r="Q2822">
        <v>29724</v>
      </c>
      <c r="R2822" t="s">
        <v>95</v>
      </c>
      <c r="S2822" t="s">
        <v>17620</v>
      </c>
      <c r="T2822">
        <v>25</v>
      </c>
      <c r="W2822" t="s">
        <v>17621</v>
      </c>
      <c r="X2822">
        <v>3331000862</v>
      </c>
      <c r="Y2822" t="s">
        <v>17622</v>
      </c>
      <c r="Z2822" s="2" t="s">
        <v>17623</v>
      </c>
      <c r="AA2822" s="2" t="s">
        <v>17624</v>
      </c>
      <c r="AB2822" t="s">
        <v>181</v>
      </c>
      <c r="AC2822" t="s">
        <v>7229</v>
      </c>
      <c r="AG2822" t="s">
        <v>17625</v>
      </c>
      <c r="AH2822" t="s">
        <v>17626</v>
      </c>
      <c r="AI2822" t="s">
        <v>17627</v>
      </c>
    </row>
    <row r="2823" spans="2:35" ht="105">
      <c r="B2823" s="1">
        <v>45603</v>
      </c>
      <c r="C2823" s="1">
        <v>45602</v>
      </c>
      <c r="D2823" t="s">
        <v>4455</v>
      </c>
      <c r="E2823" t="s">
        <v>4456</v>
      </c>
      <c r="F2823">
        <v>6</v>
      </c>
      <c r="G2823" t="s">
        <v>4457</v>
      </c>
      <c r="H2823" t="s">
        <v>258</v>
      </c>
      <c r="I2823" t="s">
        <v>40</v>
      </c>
      <c r="J2823" s="2" t="s">
        <v>41</v>
      </c>
      <c r="K2823" t="s">
        <v>42</v>
      </c>
      <c r="L2823" t="s">
        <v>270</v>
      </c>
      <c r="N2823" t="s">
        <v>2481</v>
      </c>
      <c r="Q2823">
        <v>29723</v>
      </c>
      <c r="R2823" t="s">
        <v>119</v>
      </c>
      <c r="S2823" t="s">
        <v>4458</v>
      </c>
      <c r="T2823">
        <v>25</v>
      </c>
      <c r="U2823" s="2" t="s">
        <v>17628</v>
      </c>
      <c r="V2823" s="1">
        <v>45586</v>
      </c>
      <c r="W2823" t="s">
        <v>17334</v>
      </c>
      <c r="X2823">
        <v>838540</v>
      </c>
      <c r="Y2823" t="s">
        <v>17629</v>
      </c>
      <c r="Z2823" t="s">
        <v>17630</v>
      </c>
      <c r="AA2823" t="s">
        <v>17631</v>
      </c>
      <c r="AB2823" t="s">
        <v>4668</v>
      </c>
      <c r="AE2823" t="s">
        <v>17632</v>
      </c>
      <c r="AG2823" t="s">
        <v>17633</v>
      </c>
      <c r="AH2823" t="s">
        <v>17634</v>
      </c>
      <c r="AI2823" t="s">
        <v>17635</v>
      </c>
    </row>
    <row r="2824" spans="2:35" ht="105">
      <c r="B2824" s="1">
        <v>45603</v>
      </c>
      <c r="C2824" s="1">
        <v>45603</v>
      </c>
      <c r="D2824" t="s">
        <v>9682</v>
      </c>
      <c r="E2824" t="s">
        <v>13246</v>
      </c>
      <c r="F2824">
        <v>9</v>
      </c>
      <c r="G2824" t="s">
        <v>2197</v>
      </c>
      <c r="H2824" t="s">
        <v>39</v>
      </c>
      <c r="I2824" t="s">
        <v>40</v>
      </c>
      <c r="J2824" t="s">
        <v>79</v>
      </c>
      <c r="K2824" t="s">
        <v>42</v>
      </c>
      <c r="L2824" t="s">
        <v>1257</v>
      </c>
      <c r="N2824" t="s">
        <v>1258</v>
      </c>
      <c r="O2824" t="s">
        <v>2199</v>
      </c>
      <c r="Q2824">
        <v>29722</v>
      </c>
      <c r="R2824" t="s">
        <v>119</v>
      </c>
      <c r="S2824" t="s">
        <v>13247</v>
      </c>
      <c r="T2824">
        <v>25</v>
      </c>
      <c r="U2824" s="2" t="s">
        <v>17636</v>
      </c>
      <c r="V2824" s="1">
        <v>45603</v>
      </c>
      <c r="W2824" t="s">
        <v>2384</v>
      </c>
      <c r="X2824">
        <v>838568</v>
      </c>
      <c r="Y2824" t="s">
        <v>3975</v>
      </c>
      <c r="Z2824" t="s">
        <v>17637</v>
      </c>
      <c r="AA2824" t="s">
        <v>17638</v>
      </c>
      <c r="AB2824" t="s">
        <v>17639</v>
      </c>
      <c r="AC2824" t="s">
        <v>17640</v>
      </c>
      <c r="AD2824" t="s">
        <v>54</v>
      </c>
      <c r="AE2824" t="s">
        <v>54</v>
      </c>
      <c r="AG2824" t="s">
        <v>17641</v>
      </c>
      <c r="AH2824" t="s">
        <v>13254</v>
      </c>
      <c r="AI2824" t="s">
        <v>17642</v>
      </c>
    </row>
    <row r="2825" spans="2:35" ht="105">
      <c r="B2825" s="1">
        <v>45603</v>
      </c>
      <c r="C2825" s="1">
        <v>45602</v>
      </c>
      <c r="D2825" t="s">
        <v>4663</v>
      </c>
      <c r="E2825" t="s">
        <v>4664</v>
      </c>
      <c r="F2825">
        <v>6</v>
      </c>
      <c r="G2825" t="s">
        <v>4457</v>
      </c>
      <c r="H2825" t="s">
        <v>258</v>
      </c>
      <c r="I2825" t="s">
        <v>40</v>
      </c>
      <c r="J2825" s="2" t="s">
        <v>41</v>
      </c>
      <c r="K2825" t="s">
        <v>42</v>
      </c>
      <c r="L2825" t="s">
        <v>270</v>
      </c>
      <c r="N2825" t="s">
        <v>2481</v>
      </c>
      <c r="Q2825">
        <v>29721</v>
      </c>
      <c r="R2825" t="s">
        <v>119</v>
      </c>
      <c r="S2825" t="s">
        <v>8146</v>
      </c>
      <c r="T2825">
        <v>25</v>
      </c>
      <c r="U2825" s="2" t="s">
        <v>17643</v>
      </c>
      <c r="V2825" s="1">
        <v>45586</v>
      </c>
      <c r="W2825" t="s">
        <v>17334</v>
      </c>
      <c r="X2825">
        <v>838458</v>
      </c>
      <c r="Y2825" t="s">
        <v>17644</v>
      </c>
      <c r="Z2825" t="s">
        <v>17645</v>
      </c>
      <c r="AA2825" t="s">
        <v>17646</v>
      </c>
      <c r="AB2825" t="s">
        <v>4668</v>
      </c>
      <c r="AE2825" t="s">
        <v>17647</v>
      </c>
      <c r="AG2825" t="s">
        <v>17648</v>
      </c>
      <c r="AH2825" t="s">
        <v>17649</v>
      </c>
      <c r="AI2825" t="s">
        <v>17650</v>
      </c>
    </row>
    <row r="2826" spans="2:35" ht="405">
      <c r="B2826" s="1">
        <v>45603</v>
      </c>
      <c r="C2826" s="1">
        <v>45603</v>
      </c>
      <c r="D2826" t="s">
        <v>17651</v>
      </c>
      <c r="E2826" t="s">
        <v>17652</v>
      </c>
      <c r="F2826">
        <v>10</v>
      </c>
      <c r="G2826" t="s">
        <v>1395</v>
      </c>
      <c r="H2826" t="s">
        <v>10969</v>
      </c>
      <c r="I2826" t="s">
        <v>40</v>
      </c>
      <c r="J2826" s="2" t="s">
        <v>41</v>
      </c>
      <c r="K2826" t="s">
        <v>42</v>
      </c>
      <c r="L2826" t="s">
        <v>1288</v>
      </c>
      <c r="N2826" t="s">
        <v>1289</v>
      </c>
      <c r="Q2826">
        <v>29720</v>
      </c>
      <c r="R2826" t="s">
        <v>119</v>
      </c>
      <c r="S2826" t="s">
        <v>10801</v>
      </c>
      <c r="T2826">
        <v>26</v>
      </c>
      <c r="U2826" s="2" t="s">
        <v>17653</v>
      </c>
      <c r="V2826" s="1">
        <v>45588</v>
      </c>
      <c r="W2826" t="s">
        <v>1292</v>
      </c>
      <c r="X2826">
        <v>838269</v>
      </c>
      <c r="Y2826" t="s">
        <v>17654</v>
      </c>
      <c r="Z2826" t="e">
        <f ca="1">-COLLECT IQR, system _xludf.Log, _xludf.and ARCHIVE</f>
        <v>#NAME?</v>
      </c>
      <c r="AA2826" s="2" t="s">
        <v>17655</v>
      </c>
      <c r="AB2826" t="s">
        <v>1293</v>
      </c>
      <c r="AD2826" t="s">
        <v>17656</v>
      </c>
      <c r="AE2826">
        <v>12272</v>
      </c>
      <c r="AG2826" t="s">
        <v>17657</v>
      </c>
      <c r="AH2826" t="s">
        <v>17658</v>
      </c>
      <c r="AI2826" t="s">
        <v>17659</v>
      </c>
    </row>
    <row r="2827" spans="2:35" ht="180">
      <c r="B2827" s="1">
        <v>45603</v>
      </c>
      <c r="C2827" s="1">
        <v>45603</v>
      </c>
      <c r="D2827" t="s">
        <v>17660</v>
      </c>
      <c r="E2827" t="s">
        <v>10212</v>
      </c>
      <c r="F2827">
        <v>7</v>
      </c>
      <c r="G2827" t="s">
        <v>6529</v>
      </c>
      <c r="H2827" t="s">
        <v>631</v>
      </c>
      <c r="I2827" t="s">
        <v>40</v>
      </c>
      <c r="J2827" s="2" t="s">
        <v>1370</v>
      </c>
      <c r="K2827" t="s">
        <v>42</v>
      </c>
      <c r="L2827" t="s">
        <v>594</v>
      </c>
      <c r="N2827" t="s">
        <v>595</v>
      </c>
      <c r="O2827" t="s">
        <v>595</v>
      </c>
      <c r="Q2827">
        <v>29719</v>
      </c>
      <c r="R2827" t="s">
        <v>119</v>
      </c>
      <c r="S2827" t="s">
        <v>17661</v>
      </c>
      <c r="T2827">
        <v>23</v>
      </c>
      <c r="V2827" s="1">
        <v>191700</v>
      </c>
      <c r="W2827" t="s">
        <v>360</v>
      </c>
      <c r="X2827">
        <v>838394</v>
      </c>
      <c r="Y2827" t="s">
        <v>17662</v>
      </c>
      <c r="Z2827" s="2" t="s">
        <v>17663</v>
      </c>
      <c r="AA2827" t="s">
        <v>17664</v>
      </c>
      <c r="AB2827" s="2" t="s">
        <v>17665</v>
      </c>
      <c r="AG2827" t="s">
        <v>17666</v>
      </c>
      <c r="AH2827" t="s">
        <v>17667</v>
      </c>
      <c r="AI2827" t="s">
        <v>17668</v>
      </c>
    </row>
    <row r="2828" spans="2:35" ht="105">
      <c r="B2828" s="1">
        <v>45603</v>
      </c>
      <c r="C2828" s="1">
        <v>45603</v>
      </c>
      <c r="D2828" t="s">
        <v>17669</v>
      </c>
      <c r="E2828" t="s">
        <v>17670</v>
      </c>
      <c r="F2828">
        <v>10</v>
      </c>
      <c r="G2828" t="s">
        <v>1395</v>
      </c>
      <c r="H2828" t="s">
        <v>39</v>
      </c>
      <c r="I2828" t="s">
        <v>40</v>
      </c>
      <c r="J2828" s="2" t="s">
        <v>62</v>
      </c>
      <c r="K2828" t="s">
        <v>42</v>
      </c>
      <c r="L2828" t="s">
        <v>1288</v>
      </c>
      <c r="N2828" t="s">
        <v>1289</v>
      </c>
      <c r="Q2828">
        <v>29718</v>
      </c>
      <c r="R2828" t="s">
        <v>119</v>
      </c>
      <c r="S2828" t="s">
        <v>9997</v>
      </c>
      <c r="T2828">
        <v>25</v>
      </c>
      <c r="U2828" s="2" t="s">
        <v>16264</v>
      </c>
      <c r="V2828" s="1">
        <v>45538</v>
      </c>
      <c r="W2828" t="s">
        <v>1292</v>
      </c>
      <c r="X2828">
        <v>838442</v>
      </c>
      <c r="Y2828" t="s">
        <v>10179</v>
      </c>
      <c r="Z2828" t="e">
        <f ca="1">-COLLECT IQR, system _xludf.Log, ARCHIVE, _xludf.and CALIBRATION Data</f>
        <v>#NAME?</v>
      </c>
      <c r="AA2828" t="e">
        <f ca="1">-PERFORM Preventive Maintenance PROCEDURE
-PERFORM XpertCheck CALIBRATION:
module B2 _xludf.For service</f>
        <v>#NAME?</v>
      </c>
      <c r="AB2828" t="s">
        <v>17671</v>
      </c>
      <c r="AC2828" t="s">
        <v>17672</v>
      </c>
      <c r="AD2828" t="s">
        <v>17673</v>
      </c>
      <c r="AE2828">
        <v>11982</v>
      </c>
      <c r="AG2828" t="s">
        <v>17674</v>
      </c>
      <c r="AH2828" t="s">
        <v>17675</v>
      </c>
      <c r="AI2828" t="s">
        <v>17676</v>
      </c>
    </row>
    <row r="2829" spans="2:35" ht="60">
      <c r="B2829" s="1">
        <v>45602</v>
      </c>
      <c r="C2829" s="1">
        <v>45602</v>
      </c>
      <c r="D2829" t="s">
        <v>3712</v>
      </c>
      <c r="E2829" t="s">
        <v>4655</v>
      </c>
      <c r="F2829">
        <v>10</v>
      </c>
      <c r="G2829" t="s">
        <v>1395</v>
      </c>
      <c r="H2829" t="s">
        <v>513</v>
      </c>
      <c r="I2829" t="s">
        <v>40</v>
      </c>
      <c r="J2829" s="2" t="s">
        <v>62</v>
      </c>
      <c r="K2829" t="s">
        <v>387</v>
      </c>
      <c r="L2829" t="s">
        <v>933</v>
      </c>
      <c r="N2829" t="s">
        <v>934</v>
      </c>
      <c r="Q2829">
        <v>29717</v>
      </c>
      <c r="R2829" t="s">
        <v>95</v>
      </c>
      <c r="S2829" t="s">
        <v>4572</v>
      </c>
      <c r="T2829">
        <v>24</v>
      </c>
      <c r="W2829" t="s">
        <v>390</v>
      </c>
      <c r="X2829" t="s">
        <v>4573</v>
      </c>
      <c r="Y2829" t="s">
        <v>301</v>
      </c>
      <c r="Z2829" t="s">
        <v>301</v>
      </c>
      <c r="AA2829" t="s">
        <v>17677</v>
      </c>
      <c r="AB2829" t="s">
        <v>17678</v>
      </c>
      <c r="AG2829" t="s">
        <v>17679</v>
      </c>
      <c r="AH2829" t="s">
        <v>13489</v>
      </c>
      <c r="AI2829" t="s">
        <v>17680</v>
      </c>
    </row>
    <row r="2830" spans="2:35" ht="150">
      <c r="B2830" s="1">
        <v>45602</v>
      </c>
      <c r="C2830" s="1">
        <v>45602</v>
      </c>
      <c r="D2830" t="s">
        <v>8357</v>
      </c>
      <c r="E2830" t="s">
        <v>17681</v>
      </c>
      <c r="F2830">
        <v>10</v>
      </c>
      <c r="G2830" t="s">
        <v>8359</v>
      </c>
      <c r="H2830" t="s">
        <v>2125</v>
      </c>
      <c r="I2830" t="s">
        <v>40</v>
      </c>
      <c r="J2830" s="2" t="s">
        <v>62</v>
      </c>
      <c r="K2830" t="s">
        <v>42</v>
      </c>
      <c r="L2830" t="s">
        <v>933</v>
      </c>
      <c r="N2830" t="s">
        <v>934</v>
      </c>
      <c r="Q2830">
        <v>29716</v>
      </c>
      <c r="R2830" t="s">
        <v>119</v>
      </c>
      <c r="S2830" t="s">
        <v>17682</v>
      </c>
      <c r="T2830">
        <v>29</v>
      </c>
      <c r="W2830" t="s">
        <v>3662</v>
      </c>
      <c r="X2830">
        <v>838566</v>
      </c>
      <c r="Y2830" t="s">
        <v>301</v>
      </c>
      <c r="Z2830" t="s">
        <v>8446</v>
      </c>
      <c r="AA2830" s="2" t="s">
        <v>2397</v>
      </c>
      <c r="AB2830" s="2" t="s">
        <v>17683</v>
      </c>
      <c r="AG2830" t="s">
        <v>17684</v>
      </c>
      <c r="AH2830" t="s">
        <v>17685</v>
      </c>
      <c r="AI2830" t="s">
        <v>17686</v>
      </c>
    </row>
    <row r="2831" spans="2:35" ht="105">
      <c r="B2831" s="1">
        <v>45602</v>
      </c>
      <c r="C2831" s="1">
        <v>45602</v>
      </c>
      <c r="D2831" t="s">
        <v>17687</v>
      </c>
      <c r="E2831" t="s">
        <v>17688</v>
      </c>
      <c r="F2831">
        <v>10</v>
      </c>
      <c r="G2831" t="s">
        <v>1395</v>
      </c>
      <c r="H2831" t="s">
        <v>1047</v>
      </c>
      <c r="I2831" t="s">
        <v>40</v>
      </c>
      <c r="J2831" s="2" t="s">
        <v>62</v>
      </c>
      <c r="K2831" t="s">
        <v>42</v>
      </c>
      <c r="L2831" t="s">
        <v>1288</v>
      </c>
      <c r="N2831" t="s">
        <v>1289</v>
      </c>
      <c r="O2831" t="s">
        <v>10835</v>
      </c>
      <c r="Q2831">
        <v>29715</v>
      </c>
      <c r="R2831" t="s">
        <v>119</v>
      </c>
      <c r="S2831" t="s">
        <v>10159</v>
      </c>
      <c r="T2831">
        <v>29</v>
      </c>
      <c r="U2831" s="2" t="s">
        <v>17689</v>
      </c>
      <c r="V2831" s="1">
        <v>45538</v>
      </c>
      <c r="W2831" t="s">
        <v>1292</v>
      </c>
      <c r="X2831">
        <v>848435</v>
      </c>
      <c r="Y2831" t="e">
        <f ca="1">-_xludf.For CALIBRATION</f>
        <v>#NAME?</v>
      </c>
      <c r="Z2831" t="e">
        <f ca="1">-COLLECT IQR, system _xludf.Log, ARCHIVE, _xludf.and CALIBRATION Data</f>
        <v>#NAME?</v>
      </c>
      <c r="AA2831" t="e">
        <f ca="1">-PERFORM Preventive Maintenance PROCEDURE
-PERFORM XpertCheck CALIBRATION:
module C2 Retry THEN service
                                                                                                                                                                                                                                                                module C3, module C4 - passed</f>
        <v>#NAME?</v>
      </c>
      <c r="AB2831" t="s">
        <v>1293</v>
      </c>
      <c r="AD2831" t="s">
        <v>17690</v>
      </c>
      <c r="AE2831">
        <v>11980</v>
      </c>
      <c r="AG2831" t="s">
        <v>17691</v>
      </c>
      <c r="AH2831" t="s">
        <v>17692</v>
      </c>
      <c r="AI2831" t="s">
        <v>17693</v>
      </c>
    </row>
    <row r="2832" spans="2:35" ht="105">
      <c r="B2832" s="1">
        <v>45602</v>
      </c>
      <c r="C2832" s="1">
        <v>45602</v>
      </c>
      <c r="D2832" t="s">
        <v>17687</v>
      </c>
      <c r="E2832" t="s">
        <v>17688</v>
      </c>
      <c r="F2832">
        <v>10</v>
      </c>
      <c r="G2832" t="s">
        <v>1395</v>
      </c>
      <c r="H2832" t="s">
        <v>1047</v>
      </c>
      <c r="I2832" t="s">
        <v>40</v>
      </c>
      <c r="J2832" s="2" t="s">
        <v>62</v>
      </c>
      <c r="K2832" t="s">
        <v>42</v>
      </c>
      <c r="L2832" t="s">
        <v>1288</v>
      </c>
      <c r="N2832" t="s">
        <v>1289</v>
      </c>
      <c r="O2832" t="s">
        <v>10835</v>
      </c>
      <c r="Q2832">
        <v>29714</v>
      </c>
      <c r="R2832" t="s">
        <v>119</v>
      </c>
      <c r="S2832" t="s">
        <v>10159</v>
      </c>
      <c r="T2832">
        <v>28</v>
      </c>
      <c r="U2832" s="2" t="s">
        <v>17689</v>
      </c>
      <c r="V2832" s="1">
        <v>45538</v>
      </c>
      <c r="W2832" t="s">
        <v>1292</v>
      </c>
      <c r="X2832">
        <v>838441</v>
      </c>
      <c r="Y2832" t="s">
        <v>10179</v>
      </c>
      <c r="Z2832" t="e">
        <f ca="1">-COLLECT IQR ,system _xludf.Log, ARCHIVE,_xludf.and CALIBRATION file</f>
        <v>#NAME?</v>
      </c>
      <c r="AA2832" t="e">
        <f ca="1">-PERFORM Preventive Maintenance PROCEDURE
-PERFORM XpertCheck CALIBRATION: module B1 &amp; module B4 passed</f>
        <v>#NAME?</v>
      </c>
      <c r="AB2832" t="s">
        <v>1293</v>
      </c>
      <c r="AD2832" t="s">
        <v>17694</v>
      </c>
      <c r="AE2832">
        <v>11981</v>
      </c>
      <c r="AG2832" t="s">
        <v>17695</v>
      </c>
      <c r="AH2832" t="s">
        <v>17692</v>
      </c>
      <c r="AI2832" t="s">
        <v>17696</v>
      </c>
    </row>
    <row r="2833" spans="2:35" ht="409.5">
      <c r="B2833" s="1">
        <v>45602</v>
      </c>
      <c r="C2833" s="1">
        <v>45602</v>
      </c>
      <c r="D2833" t="s">
        <v>8429</v>
      </c>
      <c r="E2833" t="s">
        <v>17697</v>
      </c>
      <c r="F2833">
        <v>11</v>
      </c>
      <c r="G2833" t="s">
        <v>1205</v>
      </c>
      <c r="H2833" t="s">
        <v>202</v>
      </c>
      <c r="I2833" t="s">
        <v>40</v>
      </c>
      <c r="J2833" s="2" t="s">
        <v>41</v>
      </c>
      <c r="K2833" t="s">
        <v>42</v>
      </c>
      <c r="L2833" t="s">
        <v>204</v>
      </c>
      <c r="N2833" t="s">
        <v>205</v>
      </c>
      <c r="Q2833">
        <v>29713</v>
      </c>
      <c r="R2833" t="s">
        <v>119</v>
      </c>
      <c r="S2833" t="s">
        <v>8431</v>
      </c>
      <c r="T2833">
        <v>24.8</v>
      </c>
      <c r="U2833" s="2" t="s">
        <v>11068</v>
      </c>
      <c r="V2833" s="1">
        <v>45588</v>
      </c>
      <c r="W2833" t="s">
        <v>17698</v>
      </c>
      <c r="X2833">
        <v>838456</v>
      </c>
      <c r="Y2833" s="2" t="s">
        <v>17699</v>
      </c>
      <c r="Z2833" s="2" t="s">
        <v>17700</v>
      </c>
      <c r="AA2833" t="s">
        <v>10252</v>
      </c>
      <c r="AB2833" t="s">
        <v>1211</v>
      </c>
      <c r="AD2833" t="s">
        <v>17701</v>
      </c>
      <c r="AE2833" t="s">
        <v>17702</v>
      </c>
      <c r="AG2833" t="s">
        <v>17703</v>
      </c>
      <c r="AH2833" t="s">
        <v>17704</v>
      </c>
      <c r="AI2833" t="s">
        <v>17705</v>
      </c>
    </row>
    <row r="2834" spans="2:35" ht="105">
      <c r="B2834" s="1">
        <v>45602</v>
      </c>
      <c r="C2834" s="1">
        <v>45602</v>
      </c>
      <c r="D2834" t="s">
        <v>17706</v>
      </c>
      <c r="E2834" t="s">
        <v>17707</v>
      </c>
      <c r="F2834">
        <v>10</v>
      </c>
      <c r="G2834" t="s">
        <v>1395</v>
      </c>
      <c r="H2834" t="s">
        <v>10969</v>
      </c>
      <c r="I2834" t="s">
        <v>40</v>
      </c>
      <c r="J2834" t="s">
        <v>109</v>
      </c>
      <c r="K2834" t="s">
        <v>42</v>
      </c>
      <c r="L2834" t="s">
        <v>1288</v>
      </c>
      <c r="N2834" t="s">
        <v>1289</v>
      </c>
      <c r="Q2834">
        <v>29712</v>
      </c>
      <c r="R2834" t="s">
        <v>119</v>
      </c>
      <c r="S2834" t="s">
        <v>7078</v>
      </c>
      <c r="T2834">
        <v>23</v>
      </c>
      <c r="U2834" s="2" t="s">
        <v>17708</v>
      </c>
      <c r="W2834" t="s">
        <v>1292</v>
      </c>
      <c r="X2834">
        <v>838575</v>
      </c>
      <c r="Y2834" t="e">
        <f ca="1">-_xludf.For FAN _xludf.filter Replacement _xludf.and _xludf.For Preventive Maintenance</f>
        <v>#NAME?</v>
      </c>
      <c r="Z2834" t="e">
        <f ca="1">-COLLECT IQR, system _xludf.Log, _xludf.and ARCHIVE</f>
        <v>#NAME?</v>
      </c>
      <c r="AA2834" t="e">
        <f ca="1">-PERFORM FAN _xludf.filter Replacement
-PERFORM Preventive Maintenance PROCEDURE</f>
        <v>#NAME?</v>
      </c>
      <c r="AB2834" t="s">
        <v>1293</v>
      </c>
      <c r="AG2834" t="s">
        <v>17709</v>
      </c>
      <c r="AH2834" t="s">
        <v>17710</v>
      </c>
      <c r="AI2834" t="s">
        <v>17711</v>
      </c>
    </row>
    <row r="2835" spans="2:35" ht="165">
      <c r="B2835" s="1">
        <v>45602</v>
      </c>
      <c r="C2835" s="1">
        <v>45601</v>
      </c>
      <c r="D2835" t="s">
        <v>11065</v>
      </c>
      <c r="E2835" t="s">
        <v>11066</v>
      </c>
      <c r="F2835">
        <v>7</v>
      </c>
      <c r="G2835" t="s">
        <v>269</v>
      </c>
      <c r="H2835" t="s">
        <v>258</v>
      </c>
      <c r="I2835" t="s">
        <v>40</v>
      </c>
      <c r="J2835" s="2" t="s">
        <v>41</v>
      </c>
      <c r="K2835" t="s">
        <v>42</v>
      </c>
      <c r="L2835" t="s">
        <v>270</v>
      </c>
      <c r="N2835" t="s">
        <v>2481</v>
      </c>
      <c r="Q2835">
        <v>29711</v>
      </c>
      <c r="R2835" t="s">
        <v>119</v>
      </c>
      <c r="S2835" t="s">
        <v>17712</v>
      </c>
      <c r="T2835">
        <v>24</v>
      </c>
      <c r="U2835" s="2" t="s">
        <v>17713</v>
      </c>
      <c r="W2835" t="s">
        <v>17334</v>
      </c>
      <c r="X2835">
        <v>838481</v>
      </c>
      <c r="Y2835" t="e">
        <f ca="1">- defective UPS
- Damaged _xludf.or worn Out GeneXpert filter.</f>
        <v>#NAME?</v>
      </c>
      <c r="Z2835" t="s">
        <v>449</v>
      </c>
      <c r="AA2835" t="e">
        <f ca="1">- replaced defective UPS:
   defective- model no. AT1000, SN AT1000190123ST0035
   new - model no. AT1000 , SN AT1000181128ST0032
- replaced Damaged GeneXpert _xludf.filter</f>
        <v>#NAME?</v>
      </c>
      <c r="AB2835" s="2" t="s">
        <v>17714</v>
      </c>
      <c r="AG2835" t="s">
        <v>17715</v>
      </c>
      <c r="AH2835" t="s">
        <v>17716</v>
      </c>
      <c r="AI2835" t="s">
        <v>17717</v>
      </c>
    </row>
    <row r="2836" spans="2:35" ht="409.5">
      <c r="B2836" s="1">
        <v>45601</v>
      </c>
      <c r="C2836" s="1">
        <v>45601</v>
      </c>
      <c r="D2836" t="s">
        <v>17718</v>
      </c>
      <c r="E2836" t="s">
        <v>17719</v>
      </c>
      <c r="F2836">
        <v>11</v>
      </c>
      <c r="G2836" t="s">
        <v>1205</v>
      </c>
      <c r="H2836" t="s">
        <v>202</v>
      </c>
      <c r="I2836" t="s">
        <v>40</v>
      </c>
      <c r="J2836" s="2" t="s">
        <v>41</v>
      </c>
      <c r="K2836" t="s">
        <v>42</v>
      </c>
      <c r="L2836" t="s">
        <v>204</v>
      </c>
      <c r="N2836" t="s">
        <v>205</v>
      </c>
      <c r="Q2836">
        <v>29710</v>
      </c>
      <c r="R2836" t="s">
        <v>119</v>
      </c>
      <c r="S2836" t="s">
        <v>7745</v>
      </c>
      <c r="T2836">
        <v>27.3</v>
      </c>
      <c r="U2836" s="2" t="s">
        <v>12130</v>
      </c>
      <c r="V2836" s="1">
        <v>45588</v>
      </c>
      <c r="W2836" t="s">
        <v>208</v>
      </c>
      <c r="X2836">
        <v>838492</v>
      </c>
      <c r="Y2836" s="2" t="s">
        <v>17720</v>
      </c>
      <c r="Z2836" s="2" t="s">
        <v>17721</v>
      </c>
      <c r="AA2836" t="s">
        <v>2560</v>
      </c>
      <c r="AB2836" t="s">
        <v>1211</v>
      </c>
      <c r="AD2836" t="s">
        <v>17722</v>
      </c>
      <c r="AE2836" t="s">
        <v>17723</v>
      </c>
      <c r="AG2836" t="s">
        <v>17724</v>
      </c>
      <c r="AH2836" t="s">
        <v>17725</v>
      </c>
      <c r="AI2836" t="s">
        <v>17726</v>
      </c>
    </row>
    <row r="2837" spans="2:35" ht="150">
      <c r="B2837" s="1">
        <v>45601</v>
      </c>
      <c r="C2837" s="1">
        <v>45601</v>
      </c>
      <c r="D2837" t="s">
        <v>13380</v>
      </c>
      <c r="E2837" t="s">
        <v>17727</v>
      </c>
      <c r="F2837" t="s">
        <v>148</v>
      </c>
      <c r="G2837" t="s">
        <v>544</v>
      </c>
      <c r="H2837" t="s">
        <v>39</v>
      </c>
      <c r="I2837" t="s">
        <v>40</v>
      </c>
      <c r="J2837" s="2" t="s">
        <v>41</v>
      </c>
      <c r="K2837" t="s">
        <v>42</v>
      </c>
      <c r="L2837" t="s">
        <v>43</v>
      </c>
      <c r="N2837" t="s">
        <v>44</v>
      </c>
      <c r="Q2837">
        <v>29709</v>
      </c>
      <c r="R2837" t="s">
        <v>703</v>
      </c>
      <c r="S2837" t="s">
        <v>13382</v>
      </c>
      <c r="T2837">
        <v>24</v>
      </c>
      <c r="U2837" s="2" t="s">
        <v>17728</v>
      </c>
      <c r="V2837" s="1">
        <v>45595</v>
      </c>
      <c r="W2837" t="s">
        <v>48</v>
      </c>
      <c r="X2837">
        <v>11008418</v>
      </c>
      <c r="Y2837" t="s">
        <v>8731</v>
      </c>
      <c r="Z2837" t="s">
        <v>179</v>
      </c>
      <c r="AA2837" s="2" t="s">
        <v>17729</v>
      </c>
      <c r="AB2837" t="s">
        <v>548</v>
      </c>
      <c r="AD2837" s="2" t="s">
        <v>17730</v>
      </c>
      <c r="AE2837" t="s">
        <v>17731</v>
      </c>
      <c r="AG2837" t="s">
        <v>17732</v>
      </c>
      <c r="AH2837" t="s">
        <v>13386</v>
      </c>
      <c r="AI2837" t="s">
        <v>17733</v>
      </c>
    </row>
    <row r="2838" spans="2:35" ht="225">
      <c r="B2838" s="1">
        <v>45601</v>
      </c>
      <c r="C2838" s="1">
        <v>45600</v>
      </c>
      <c r="D2838" t="s">
        <v>1686</v>
      </c>
      <c r="E2838" t="s">
        <v>17734</v>
      </c>
      <c r="F2838" t="s">
        <v>148</v>
      </c>
      <c r="G2838" t="s">
        <v>785</v>
      </c>
      <c r="H2838" t="s">
        <v>39</v>
      </c>
      <c r="I2838" t="s">
        <v>40</v>
      </c>
      <c r="J2838" t="s">
        <v>109</v>
      </c>
      <c r="K2838" t="s">
        <v>42</v>
      </c>
      <c r="L2838" t="s">
        <v>43</v>
      </c>
      <c r="N2838" t="s">
        <v>44</v>
      </c>
      <c r="Q2838">
        <v>29707</v>
      </c>
      <c r="R2838" t="s">
        <v>322</v>
      </c>
      <c r="S2838" t="s">
        <v>1688</v>
      </c>
      <c r="T2838">
        <v>22</v>
      </c>
      <c r="U2838" s="2" t="s">
        <v>17735</v>
      </c>
      <c r="W2838" t="s">
        <v>153</v>
      </c>
      <c r="X2838">
        <v>110024247</v>
      </c>
      <c r="Y2838" t="s">
        <v>121</v>
      </c>
      <c r="Z2838" t="s">
        <v>122</v>
      </c>
      <c r="AA2838" s="2" t="s">
        <v>9744</v>
      </c>
      <c r="AB2838" t="s">
        <v>548</v>
      </c>
      <c r="AG2838" t="s">
        <v>17736</v>
      </c>
      <c r="AH2838" t="s">
        <v>17737</v>
      </c>
      <c r="AI2838" t="s">
        <v>17738</v>
      </c>
    </row>
    <row r="2839" spans="2:35" ht="225">
      <c r="B2839" s="1">
        <v>45601</v>
      </c>
      <c r="C2839" s="1">
        <v>45595</v>
      </c>
      <c r="D2839" t="s">
        <v>2264</v>
      </c>
      <c r="E2839" t="s">
        <v>16901</v>
      </c>
      <c r="F2839" t="s">
        <v>148</v>
      </c>
      <c r="G2839" t="s">
        <v>2007</v>
      </c>
      <c r="H2839" t="s">
        <v>39</v>
      </c>
      <c r="I2839" t="s">
        <v>40</v>
      </c>
      <c r="J2839" t="s">
        <v>109</v>
      </c>
      <c r="K2839" t="s">
        <v>42</v>
      </c>
      <c r="L2839" t="s">
        <v>43</v>
      </c>
      <c r="N2839" t="s">
        <v>44</v>
      </c>
      <c r="O2839" t="s">
        <v>2266</v>
      </c>
      <c r="Q2839">
        <v>29708</v>
      </c>
      <c r="R2839" t="s">
        <v>322</v>
      </c>
      <c r="S2839" t="s">
        <v>5506</v>
      </c>
      <c r="T2839">
        <v>24</v>
      </c>
      <c r="U2839" s="2" t="s">
        <v>17739</v>
      </c>
      <c r="W2839" t="s">
        <v>153</v>
      </c>
      <c r="X2839">
        <v>110023460</v>
      </c>
      <c r="Y2839" t="s">
        <v>121</v>
      </c>
      <c r="Z2839" t="s">
        <v>122</v>
      </c>
      <c r="AA2839" s="2" t="s">
        <v>14557</v>
      </c>
      <c r="AB2839" t="s">
        <v>548</v>
      </c>
      <c r="AG2839" t="s">
        <v>17740</v>
      </c>
      <c r="AH2839" t="s">
        <v>2270</v>
      </c>
      <c r="AI2839" t="s">
        <v>17741</v>
      </c>
    </row>
    <row r="2840" spans="2:35" ht="105">
      <c r="B2840" s="1">
        <v>45601</v>
      </c>
      <c r="C2840" s="1">
        <v>45595</v>
      </c>
      <c r="D2840" t="s">
        <v>4953</v>
      </c>
      <c r="E2840" t="s">
        <v>4954</v>
      </c>
      <c r="F2840">
        <v>1</v>
      </c>
      <c r="G2840" t="s">
        <v>1046</v>
      </c>
      <c r="H2840" t="s">
        <v>39</v>
      </c>
      <c r="I2840" t="s">
        <v>40</v>
      </c>
      <c r="J2840" t="s">
        <v>109</v>
      </c>
      <c r="K2840" t="s">
        <v>42</v>
      </c>
      <c r="L2840" t="s">
        <v>1048</v>
      </c>
      <c r="N2840" t="s">
        <v>1049</v>
      </c>
      <c r="Q2840">
        <v>29706</v>
      </c>
      <c r="R2840" t="s">
        <v>119</v>
      </c>
      <c r="S2840" t="s">
        <v>4955</v>
      </c>
      <c r="T2840">
        <v>29</v>
      </c>
      <c r="U2840" s="2" t="s">
        <v>17742</v>
      </c>
      <c r="W2840" t="s">
        <v>1051</v>
      </c>
      <c r="X2840">
        <v>838437</v>
      </c>
      <c r="Y2840" t="s">
        <v>1052</v>
      </c>
      <c r="Z2840" t="e">
        <f ca="1">- cleaned cartridge Bays, plunger Rods _xludf.and I-CORE
- generated reports</f>
        <v>#NAME?</v>
      </c>
      <c r="AA2840" t="s">
        <v>820</v>
      </c>
      <c r="AB2840" t="s">
        <v>1428</v>
      </c>
      <c r="AG2840" t="s">
        <v>17743</v>
      </c>
      <c r="AH2840" t="s">
        <v>4958</v>
      </c>
      <c r="AI2840" t="s">
        <v>17744</v>
      </c>
    </row>
    <row r="2841" spans="2:35" ht="165">
      <c r="B2841" s="1">
        <v>45601</v>
      </c>
      <c r="C2841" s="1">
        <v>45595</v>
      </c>
      <c r="D2841" t="s">
        <v>3732</v>
      </c>
      <c r="E2841" t="s">
        <v>3733</v>
      </c>
      <c r="F2841">
        <v>1</v>
      </c>
      <c r="G2841" t="s">
        <v>1046</v>
      </c>
      <c r="H2841" t="s">
        <v>1047</v>
      </c>
      <c r="I2841" t="s">
        <v>40</v>
      </c>
      <c r="J2841" s="2" t="s">
        <v>190</v>
      </c>
      <c r="K2841" t="s">
        <v>42</v>
      </c>
      <c r="L2841" t="s">
        <v>1048</v>
      </c>
      <c r="N2841" t="s">
        <v>1049</v>
      </c>
      <c r="Q2841">
        <v>29705</v>
      </c>
      <c r="R2841" t="s">
        <v>119</v>
      </c>
      <c r="S2841" t="s">
        <v>3734</v>
      </c>
      <c r="T2841">
        <v>24</v>
      </c>
      <c r="U2841" s="2" t="s">
        <v>17745</v>
      </c>
      <c r="W2841" t="s">
        <v>1051</v>
      </c>
      <c r="X2841">
        <v>838473</v>
      </c>
      <c r="Y2841" t="s">
        <v>1934</v>
      </c>
      <c r="Z2841" t="e">
        <f ca="1">- cleaned cartridge Bays, plunger Rods _xludf.and I-CORE
- generated reports</f>
        <v>#NAME?</v>
      </c>
      <c r="AA2841" t="s">
        <v>1935</v>
      </c>
      <c r="AB2841" s="2" t="s">
        <v>17746</v>
      </c>
      <c r="AG2841" t="s">
        <v>17747</v>
      </c>
      <c r="AH2841" t="s">
        <v>8799</v>
      </c>
      <c r="AI2841" t="s">
        <v>17748</v>
      </c>
    </row>
    <row r="2842" spans="2:35">
      <c r="B2842" s="1">
        <v>45601</v>
      </c>
      <c r="C2842" s="1">
        <v>45601</v>
      </c>
      <c r="D2842" t="s">
        <v>16716</v>
      </c>
      <c r="E2842" t="s">
        <v>1128</v>
      </c>
      <c r="F2842">
        <v>8</v>
      </c>
      <c r="G2842" t="s">
        <v>342</v>
      </c>
      <c r="H2842" t="s">
        <v>258</v>
      </c>
      <c r="I2842" t="s">
        <v>40</v>
      </c>
      <c r="J2842" t="s">
        <v>109</v>
      </c>
      <c r="K2842" t="s">
        <v>42</v>
      </c>
      <c r="L2842" t="s">
        <v>259</v>
      </c>
      <c r="N2842" t="s">
        <v>260</v>
      </c>
      <c r="Q2842">
        <v>29704</v>
      </c>
      <c r="R2842" t="s">
        <v>119</v>
      </c>
      <c r="S2842" t="s">
        <v>17749</v>
      </c>
      <c r="T2842">
        <v>21</v>
      </c>
      <c r="V2842" s="1">
        <v>45601</v>
      </c>
      <c r="W2842" t="s">
        <v>84</v>
      </c>
      <c r="X2842">
        <v>838421</v>
      </c>
      <c r="Y2842" t="s">
        <v>263</v>
      </c>
      <c r="Z2842" t="s">
        <v>263</v>
      </c>
      <c r="AA2842" t="s">
        <v>17750</v>
      </c>
      <c r="AB2842" t="s">
        <v>7675</v>
      </c>
      <c r="AG2842" t="s">
        <v>17751</v>
      </c>
      <c r="AH2842" t="s">
        <v>17752</v>
      </c>
      <c r="AI2842" t="s">
        <v>17753</v>
      </c>
    </row>
    <row r="2843" spans="2:35" ht="105">
      <c r="B2843" s="1">
        <v>45601</v>
      </c>
      <c r="C2843" s="1">
        <v>45601</v>
      </c>
      <c r="D2843" t="s">
        <v>5553</v>
      </c>
      <c r="E2843" t="s">
        <v>17754</v>
      </c>
      <c r="F2843">
        <v>8</v>
      </c>
      <c r="G2843" t="s">
        <v>2945</v>
      </c>
      <c r="H2843" t="s">
        <v>1498</v>
      </c>
      <c r="I2843" t="s">
        <v>40</v>
      </c>
      <c r="J2843" s="2" t="s">
        <v>41</v>
      </c>
      <c r="K2843" t="s">
        <v>42</v>
      </c>
      <c r="L2843" t="s">
        <v>343</v>
      </c>
      <c r="N2843" t="s">
        <v>344</v>
      </c>
      <c r="Q2843">
        <v>29703</v>
      </c>
      <c r="R2843" t="s">
        <v>967</v>
      </c>
      <c r="S2843" t="s">
        <v>5555</v>
      </c>
      <c r="T2843">
        <v>25</v>
      </c>
      <c r="U2843" s="2" t="s">
        <v>17755</v>
      </c>
      <c r="W2843" t="s">
        <v>2949</v>
      </c>
      <c r="X2843">
        <v>110023514</v>
      </c>
      <c r="Y2843" t="s">
        <v>17756</v>
      </c>
      <c r="Z2843" t="e">
        <f ca="1">-Remove stuck cartridge at module B4</f>
        <v>#NAME?</v>
      </c>
      <c r="AA2843" t="e">
        <f ca="1">-Preventive Maintenance</f>
        <v>#NAME?</v>
      </c>
      <c r="AB2843" t="s">
        <v>9638</v>
      </c>
      <c r="AG2843" t="s">
        <v>17757</v>
      </c>
      <c r="AH2843" t="s">
        <v>15503</v>
      </c>
      <c r="AI2843" t="s">
        <v>17758</v>
      </c>
    </row>
    <row r="2844" spans="2:35" ht="330">
      <c r="B2844" s="1">
        <v>45600</v>
      </c>
      <c r="C2844" s="1">
        <v>45595</v>
      </c>
      <c r="D2844" t="s">
        <v>13856</v>
      </c>
      <c r="E2844" t="s">
        <v>17759</v>
      </c>
      <c r="F2844" t="s">
        <v>1255</v>
      </c>
      <c r="G2844" t="s">
        <v>1887</v>
      </c>
      <c r="H2844" t="s">
        <v>1473</v>
      </c>
      <c r="I2844" t="s">
        <v>40</v>
      </c>
      <c r="J2844" s="2" t="s">
        <v>62</v>
      </c>
      <c r="K2844" t="s">
        <v>42</v>
      </c>
      <c r="L2844" t="s">
        <v>296</v>
      </c>
      <c r="N2844" t="s">
        <v>297</v>
      </c>
      <c r="Q2844">
        <v>29702</v>
      </c>
      <c r="R2844" t="s">
        <v>119</v>
      </c>
      <c r="S2844" t="s">
        <v>17760</v>
      </c>
      <c r="T2844">
        <v>27.6</v>
      </c>
      <c r="U2844" s="2" t="s">
        <v>13099</v>
      </c>
      <c r="V2844" s="1">
        <v>45595</v>
      </c>
      <c r="W2844" t="s">
        <v>981</v>
      </c>
      <c r="X2844">
        <v>838205</v>
      </c>
      <c r="Y2844" t="s">
        <v>301</v>
      </c>
      <c r="Z2844" s="2" t="s">
        <v>17761</v>
      </c>
      <c r="AA2844" s="2" t="s">
        <v>17762</v>
      </c>
      <c r="AB2844" s="2" t="s">
        <v>17763</v>
      </c>
      <c r="AD2844" s="2" t="s">
        <v>17764</v>
      </c>
      <c r="AE2844" t="s">
        <v>17765</v>
      </c>
      <c r="AG2844" t="s">
        <v>17766</v>
      </c>
      <c r="AH2844" t="s">
        <v>17767</v>
      </c>
      <c r="AI2844" t="s">
        <v>17768</v>
      </c>
    </row>
    <row r="2845" spans="2:35" ht="330">
      <c r="B2845" s="1">
        <v>45600</v>
      </c>
      <c r="C2845" s="1">
        <v>45600</v>
      </c>
      <c r="D2845" t="s">
        <v>16407</v>
      </c>
      <c r="E2845" t="s">
        <v>16407</v>
      </c>
      <c r="F2845">
        <v>7</v>
      </c>
      <c r="G2845" t="s">
        <v>432</v>
      </c>
      <c r="H2845" t="s">
        <v>608</v>
      </c>
      <c r="I2845" t="s">
        <v>40</v>
      </c>
      <c r="J2845" s="2" t="s">
        <v>190</v>
      </c>
      <c r="K2845" t="s">
        <v>42</v>
      </c>
      <c r="L2845" t="s">
        <v>610</v>
      </c>
      <c r="N2845" t="s">
        <v>611</v>
      </c>
      <c r="Q2845">
        <v>29701</v>
      </c>
      <c r="R2845" t="s">
        <v>119</v>
      </c>
      <c r="S2845" t="s">
        <v>16409</v>
      </c>
      <c r="T2845">
        <v>24</v>
      </c>
      <c r="U2845" s="2" t="s">
        <v>17769</v>
      </c>
      <c r="W2845" t="s">
        <v>360</v>
      </c>
      <c r="X2845">
        <v>838513</v>
      </c>
      <c r="Y2845" s="2" t="s">
        <v>17770</v>
      </c>
      <c r="Z2845" s="2" t="s">
        <v>17771</v>
      </c>
      <c r="AA2845" s="2" t="s">
        <v>17771</v>
      </c>
      <c r="AB2845" t="s">
        <v>7886</v>
      </c>
      <c r="AG2845" t="s">
        <v>17772</v>
      </c>
      <c r="AH2845" t="s">
        <v>16414</v>
      </c>
      <c r="AI2845" t="s">
        <v>17773</v>
      </c>
    </row>
    <row r="2846" spans="2:35" ht="345">
      <c r="B2846" s="1">
        <v>45600</v>
      </c>
      <c r="C2846" s="1">
        <v>45600</v>
      </c>
      <c r="D2846" t="s">
        <v>606</v>
      </c>
      <c r="E2846" t="s">
        <v>607</v>
      </c>
      <c r="F2846">
        <v>7</v>
      </c>
      <c r="G2846" t="s">
        <v>432</v>
      </c>
      <c r="H2846" t="s">
        <v>608</v>
      </c>
      <c r="I2846" t="s">
        <v>40</v>
      </c>
      <c r="J2846" t="s">
        <v>79</v>
      </c>
      <c r="K2846" t="s">
        <v>42</v>
      </c>
      <c r="L2846" t="s">
        <v>610</v>
      </c>
      <c r="N2846" t="s">
        <v>611</v>
      </c>
      <c r="Q2846">
        <v>29700</v>
      </c>
      <c r="R2846" t="s">
        <v>119</v>
      </c>
      <c r="S2846" t="s">
        <v>613</v>
      </c>
      <c r="T2846">
        <v>20</v>
      </c>
      <c r="U2846" s="2" t="s">
        <v>17774</v>
      </c>
      <c r="W2846" t="s">
        <v>360</v>
      </c>
      <c r="X2846">
        <v>838559</v>
      </c>
      <c r="Y2846" t="s">
        <v>17775</v>
      </c>
      <c r="Z2846" s="2" t="s">
        <v>17776</v>
      </c>
      <c r="AA2846" s="2" t="s">
        <v>17776</v>
      </c>
      <c r="AB2846" t="s">
        <v>7886</v>
      </c>
      <c r="AG2846" t="s">
        <v>17777</v>
      </c>
      <c r="AH2846" t="s">
        <v>10247</v>
      </c>
      <c r="AI2846" t="s">
        <v>17778</v>
      </c>
    </row>
    <row r="2847" spans="2:35" ht="105">
      <c r="B2847" s="1">
        <v>45600</v>
      </c>
      <c r="C2847" s="1">
        <v>45600</v>
      </c>
      <c r="D2847" t="s">
        <v>1496</v>
      </c>
      <c r="E2847" t="s">
        <v>1497</v>
      </c>
      <c r="F2847">
        <v>8</v>
      </c>
      <c r="G2847" t="s">
        <v>342</v>
      </c>
      <c r="H2847" t="s">
        <v>1498</v>
      </c>
      <c r="I2847" t="s">
        <v>40</v>
      </c>
      <c r="J2847" t="s">
        <v>17779</v>
      </c>
      <c r="K2847" t="s">
        <v>42</v>
      </c>
      <c r="L2847" t="s">
        <v>343</v>
      </c>
      <c r="N2847" t="s">
        <v>344</v>
      </c>
      <c r="Q2847">
        <v>29699</v>
      </c>
      <c r="R2847" t="s">
        <v>119</v>
      </c>
      <c r="S2847" t="s">
        <v>7820</v>
      </c>
      <c r="T2847">
        <v>30</v>
      </c>
      <c r="U2847" s="2" t="s">
        <v>17780</v>
      </c>
      <c r="W2847" t="s">
        <v>1501</v>
      </c>
      <c r="X2847">
        <v>838297</v>
      </c>
      <c r="Y2847" t="s">
        <v>301</v>
      </c>
      <c r="Z2847" t="s">
        <v>301</v>
      </c>
      <c r="AA2847" t="e">
        <f ca="1">-PULL Out defective UPS</f>
        <v>#NAME?</v>
      </c>
      <c r="AB2847" t="s">
        <v>9638</v>
      </c>
      <c r="AG2847" t="s">
        <v>17781</v>
      </c>
      <c r="AH2847" t="s">
        <v>7824</v>
      </c>
      <c r="AI2847" t="s">
        <v>17782</v>
      </c>
    </row>
    <row r="2848" spans="2:35">
      <c r="B2848" s="1">
        <v>45600</v>
      </c>
      <c r="C2848" s="1">
        <v>45595</v>
      </c>
      <c r="D2848" t="s">
        <v>7751</v>
      </c>
      <c r="E2848" t="s">
        <v>7752</v>
      </c>
      <c r="F2848">
        <v>13</v>
      </c>
      <c r="G2848" t="s">
        <v>4484</v>
      </c>
      <c r="H2848" t="s">
        <v>2125</v>
      </c>
      <c r="I2848" t="s">
        <v>40</v>
      </c>
      <c r="J2848" t="s">
        <v>79</v>
      </c>
      <c r="K2848" t="s">
        <v>42</v>
      </c>
      <c r="L2848" t="s">
        <v>933</v>
      </c>
      <c r="N2848" t="s">
        <v>934</v>
      </c>
      <c r="Q2848">
        <v>29698</v>
      </c>
      <c r="R2848" t="s">
        <v>119</v>
      </c>
      <c r="S2848" t="s">
        <v>11316</v>
      </c>
      <c r="T2848">
        <v>28</v>
      </c>
      <c r="V2848" s="1">
        <v>45583</v>
      </c>
      <c r="W2848" t="s">
        <v>2127</v>
      </c>
      <c r="X2848">
        <v>838403</v>
      </c>
      <c r="Y2848" t="s">
        <v>17783</v>
      </c>
      <c r="Z2848" t="s">
        <v>2129</v>
      </c>
      <c r="AA2848" t="s">
        <v>17784</v>
      </c>
      <c r="AB2848" t="s">
        <v>2131</v>
      </c>
      <c r="AD2848" t="s">
        <v>10128</v>
      </c>
      <c r="AE2848">
        <v>12248</v>
      </c>
      <c r="AG2848" t="s">
        <v>17785</v>
      </c>
      <c r="AH2848" t="s">
        <v>11318</v>
      </c>
      <c r="AI2848" t="s">
        <v>17786</v>
      </c>
    </row>
    <row r="2849" spans="2:35" ht="409.5">
      <c r="B2849" s="1">
        <v>45600</v>
      </c>
      <c r="C2849" s="1">
        <v>45600</v>
      </c>
      <c r="D2849" t="s">
        <v>5903</v>
      </c>
      <c r="E2849" t="s">
        <v>2569</v>
      </c>
      <c r="F2849" t="s">
        <v>148</v>
      </c>
      <c r="G2849" t="s">
        <v>447</v>
      </c>
      <c r="H2849" t="s">
        <v>386</v>
      </c>
      <c r="I2849" t="s">
        <v>40</v>
      </c>
      <c r="J2849" t="s">
        <v>109</v>
      </c>
      <c r="K2849" t="s">
        <v>387</v>
      </c>
      <c r="L2849" t="s">
        <v>448</v>
      </c>
      <c r="N2849" t="s">
        <v>450</v>
      </c>
      <c r="O2849" t="s">
        <v>663</v>
      </c>
      <c r="Q2849">
        <v>29697</v>
      </c>
      <c r="R2849" t="s">
        <v>322</v>
      </c>
      <c r="S2849" t="s">
        <v>17787</v>
      </c>
      <c r="T2849">
        <v>27</v>
      </c>
      <c r="W2849" t="s">
        <v>476</v>
      </c>
      <c r="X2849" t="s">
        <v>5906</v>
      </c>
      <c r="Y2849" t="s">
        <v>485</v>
      </c>
      <c r="Z2849" s="2" t="s">
        <v>17788</v>
      </c>
      <c r="AA2849" t="s">
        <v>122</v>
      </c>
      <c r="AB2849" t="s">
        <v>486</v>
      </c>
      <c r="AG2849" t="s">
        <v>17789</v>
      </c>
      <c r="AH2849" t="s">
        <v>17790</v>
      </c>
      <c r="AI2849" t="s">
        <v>17791</v>
      </c>
    </row>
    <row r="2850" spans="2:35" ht="105">
      <c r="B2850" s="1">
        <v>45600</v>
      </c>
      <c r="C2850" s="1">
        <v>45595</v>
      </c>
      <c r="D2850" t="s">
        <v>1496</v>
      </c>
      <c r="E2850" t="s">
        <v>17792</v>
      </c>
      <c r="F2850">
        <v>8</v>
      </c>
      <c r="G2850" t="s">
        <v>342</v>
      </c>
      <c r="H2850" t="s">
        <v>258</v>
      </c>
      <c r="I2850" t="s">
        <v>40</v>
      </c>
      <c r="J2850" t="s">
        <v>321</v>
      </c>
      <c r="K2850" t="s">
        <v>42</v>
      </c>
      <c r="L2850" t="s">
        <v>259</v>
      </c>
      <c r="N2850" t="s">
        <v>260</v>
      </c>
      <c r="Q2850">
        <v>29696</v>
      </c>
      <c r="R2850" t="s">
        <v>119</v>
      </c>
      <c r="S2850" t="s">
        <v>7820</v>
      </c>
      <c r="T2850">
        <v>27</v>
      </c>
      <c r="U2850" s="2" t="s">
        <v>17780</v>
      </c>
      <c r="V2850" s="1">
        <v>45595</v>
      </c>
      <c r="W2850" t="s">
        <v>84</v>
      </c>
      <c r="X2850">
        <v>838297</v>
      </c>
      <c r="Y2850" t="s">
        <v>11121</v>
      </c>
      <c r="Z2850" t="s">
        <v>17793</v>
      </c>
      <c r="AA2850" t="e">
        <f ca="1">- Install new UPS SN:AT1000190123ST0040
- performed functionality test
- performed Preventive Maintenance</f>
        <v>#NAME?</v>
      </c>
      <c r="AB2850" t="s">
        <v>70</v>
      </c>
      <c r="AD2850" t="s">
        <v>17794</v>
      </c>
      <c r="AE2850">
        <v>12281</v>
      </c>
      <c r="AG2850" t="s">
        <v>17795</v>
      </c>
      <c r="AH2850" t="s">
        <v>12926</v>
      </c>
      <c r="AI2850" t="s">
        <v>17796</v>
      </c>
    </row>
    <row r="2851" spans="2:35" ht="375">
      <c r="B2851" s="1">
        <v>45598</v>
      </c>
      <c r="C2851" s="1">
        <v>45598</v>
      </c>
      <c r="D2851" t="s">
        <v>146</v>
      </c>
      <c r="E2851" t="s">
        <v>17797</v>
      </c>
      <c r="F2851" t="s">
        <v>148</v>
      </c>
      <c r="G2851" t="s">
        <v>149</v>
      </c>
      <c r="H2851" t="s">
        <v>386</v>
      </c>
      <c r="I2851" t="s">
        <v>40</v>
      </c>
      <c r="J2851" t="s">
        <v>525</v>
      </c>
      <c r="K2851" t="s">
        <v>387</v>
      </c>
      <c r="L2851" t="s">
        <v>448</v>
      </c>
      <c r="N2851" t="s">
        <v>450</v>
      </c>
      <c r="Q2851">
        <v>29695</v>
      </c>
      <c r="R2851" t="s">
        <v>95</v>
      </c>
      <c r="S2851" t="s">
        <v>389</v>
      </c>
      <c r="T2851">
        <v>26</v>
      </c>
      <c r="W2851" t="s">
        <v>476</v>
      </c>
      <c r="X2851" t="s">
        <v>391</v>
      </c>
      <c r="Y2851" t="s">
        <v>17798</v>
      </c>
      <c r="Z2851" s="2" t="s">
        <v>17799</v>
      </c>
      <c r="AA2851" t="s">
        <v>768</v>
      </c>
      <c r="AB2851" t="s">
        <v>486</v>
      </c>
      <c r="AG2851" t="s">
        <v>17800</v>
      </c>
      <c r="AH2851" t="s">
        <v>17801</v>
      </c>
      <c r="AI2851" t="s">
        <v>17802</v>
      </c>
    </row>
    <row r="2852" spans="2:35" ht="409.5">
      <c r="B2852" s="1">
        <v>45598</v>
      </c>
      <c r="C2852" s="1">
        <v>45596</v>
      </c>
      <c r="D2852" t="s">
        <v>5602</v>
      </c>
      <c r="E2852" t="s">
        <v>2580</v>
      </c>
      <c r="F2852" t="s">
        <v>148</v>
      </c>
      <c r="G2852" t="s">
        <v>447</v>
      </c>
      <c r="H2852" t="s">
        <v>662</v>
      </c>
      <c r="I2852" t="s">
        <v>40</v>
      </c>
      <c r="J2852" t="s">
        <v>525</v>
      </c>
      <c r="K2852" t="s">
        <v>42</v>
      </c>
      <c r="L2852" t="s">
        <v>448</v>
      </c>
      <c r="N2852" t="s">
        <v>450</v>
      </c>
      <c r="Q2852">
        <v>29694</v>
      </c>
      <c r="R2852" t="s">
        <v>322</v>
      </c>
      <c r="S2852" t="s">
        <v>5604</v>
      </c>
      <c r="T2852">
        <v>28</v>
      </c>
      <c r="U2852" s="2" t="s">
        <v>17803</v>
      </c>
      <c r="W2852" t="s">
        <v>17804</v>
      </c>
      <c r="X2852">
        <v>110005587</v>
      </c>
      <c r="Y2852" s="2" t="s">
        <v>17805</v>
      </c>
      <c r="Z2852" s="2" t="s">
        <v>17806</v>
      </c>
      <c r="AA2852" t="s">
        <v>768</v>
      </c>
      <c r="AB2852" s="2" t="s">
        <v>17807</v>
      </c>
      <c r="AG2852" t="s">
        <v>17808</v>
      </c>
      <c r="AH2852" t="s">
        <v>7424</v>
      </c>
      <c r="AI2852" t="s">
        <v>17809</v>
      </c>
    </row>
    <row r="2853" spans="2:35" ht="255">
      <c r="B2853" s="1">
        <v>45598</v>
      </c>
      <c r="C2853" s="1">
        <v>45596</v>
      </c>
      <c r="D2853" t="s">
        <v>3679</v>
      </c>
      <c r="E2853" t="s">
        <v>2580</v>
      </c>
      <c r="F2853" t="s">
        <v>148</v>
      </c>
      <c r="G2853" t="s">
        <v>447</v>
      </c>
      <c r="H2853" t="s">
        <v>662</v>
      </c>
      <c r="I2853" t="s">
        <v>40</v>
      </c>
      <c r="J2853" t="s">
        <v>109</v>
      </c>
      <c r="K2853" t="s">
        <v>42</v>
      </c>
      <c r="L2853" t="s">
        <v>448</v>
      </c>
      <c r="N2853" t="s">
        <v>450</v>
      </c>
      <c r="Q2853">
        <v>29693</v>
      </c>
      <c r="R2853" t="s">
        <v>322</v>
      </c>
      <c r="S2853" t="s">
        <v>17810</v>
      </c>
      <c r="T2853">
        <v>26</v>
      </c>
      <c r="U2853" s="2" t="s">
        <v>17811</v>
      </c>
      <c r="W2853" t="s">
        <v>6785</v>
      </c>
      <c r="X2853">
        <v>838655</v>
      </c>
      <c r="Y2853" t="s">
        <v>485</v>
      </c>
      <c r="Z2853" s="2" t="s">
        <v>2011</v>
      </c>
      <c r="AA2853" t="s">
        <v>122</v>
      </c>
      <c r="AB2853" t="s">
        <v>486</v>
      </c>
      <c r="AG2853" t="s">
        <v>17812</v>
      </c>
      <c r="AH2853" t="s">
        <v>17813</v>
      </c>
      <c r="AI2853" t="s">
        <v>17814</v>
      </c>
    </row>
    <row r="2854" spans="2:35" ht="375">
      <c r="B2854" s="1">
        <v>45598</v>
      </c>
      <c r="C2854" s="1">
        <v>45598</v>
      </c>
      <c r="D2854" t="s">
        <v>3679</v>
      </c>
      <c r="E2854" t="s">
        <v>2580</v>
      </c>
      <c r="F2854" t="s">
        <v>148</v>
      </c>
      <c r="G2854" t="s">
        <v>447</v>
      </c>
      <c r="H2854" t="s">
        <v>386</v>
      </c>
      <c r="I2854" t="s">
        <v>40</v>
      </c>
      <c r="J2854" t="s">
        <v>525</v>
      </c>
      <c r="K2854" t="s">
        <v>387</v>
      </c>
      <c r="L2854" t="s">
        <v>448</v>
      </c>
      <c r="N2854" t="s">
        <v>450</v>
      </c>
      <c r="Q2854">
        <v>29692</v>
      </c>
      <c r="R2854" t="s">
        <v>322</v>
      </c>
      <c r="S2854" t="s">
        <v>3689</v>
      </c>
      <c r="T2854">
        <v>26</v>
      </c>
      <c r="W2854" t="s">
        <v>476</v>
      </c>
      <c r="X2854" t="s">
        <v>17815</v>
      </c>
      <c r="Y2854" s="2" t="s">
        <v>17816</v>
      </c>
      <c r="Z2854" s="2" t="s">
        <v>17799</v>
      </c>
      <c r="AA2854" t="s">
        <v>4487</v>
      </c>
      <c r="AB2854" t="s">
        <v>4741</v>
      </c>
      <c r="AG2854" t="s">
        <v>17817</v>
      </c>
      <c r="AH2854" t="s">
        <v>17818</v>
      </c>
      <c r="AI2854" t="s">
        <v>17819</v>
      </c>
    </row>
    <row r="2855" spans="2:35" ht="285">
      <c r="B2855" s="1">
        <v>45596</v>
      </c>
      <c r="C2855" s="1">
        <v>45596</v>
      </c>
      <c r="D2855" t="s">
        <v>1071</v>
      </c>
      <c r="E2855" t="s">
        <v>12328</v>
      </c>
      <c r="F2855">
        <v>7</v>
      </c>
      <c r="G2855" t="s">
        <v>432</v>
      </c>
      <c r="H2855" t="s">
        <v>150</v>
      </c>
      <c r="I2855" t="s">
        <v>40</v>
      </c>
      <c r="J2855" t="s">
        <v>79</v>
      </c>
      <c r="K2855" t="s">
        <v>42</v>
      </c>
      <c r="L2855" t="s">
        <v>343</v>
      </c>
      <c r="N2855" t="s">
        <v>344</v>
      </c>
      <c r="Q2855">
        <v>29691</v>
      </c>
      <c r="R2855" t="s">
        <v>119</v>
      </c>
      <c r="S2855" t="s">
        <v>8679</v>
      </c>
      <c r="T2855">
        <v>29</v>
      </c>
      <c r="U2855" s="2" t="s">
        <v>17820</v>
      </c>
      <c r="V2855" s="1">
        <v>45586</v>
      </c>
      <c r="W2855" t="s">
        <v>1501</v>
      </c>
      <c r="X2855">
        <v>838285</v>
      </c>
      <c r="Y2855" t="s">
        <v>17821</v>
      </c>
      <c r="Z2855" t="s">
        <v>17822</v>
      </c>
      <c r="AA2855" t="e">
        <f ca="1">-module Replacement</f>
        <v>#NAME?</v>
      </c>
      <c r="AB2855" t="s">
        <v>9638</v>
      </c>
      <c r="AD2855" t="s">
        <v>17823</v>
      </c>
      <c r="AE2855" t="s">
        <v>17824</v>
      </c>
      <c r="AG2855" t="s">
        <v>17825</v>
      </c>
      <c r="AH2855" t="s">
        <v>16851</v>
      </c>
      <c r="AI2855" t="s">
        <v>17826</v>
      </c>
    </row>
    <row r="2856" spans="2:35" ht="90">
      <c r="B2856" s="1">
        <v>45596</v>
      </c>
      <c r="C2856" s="1">
        <v>45596</v>
      </c>
      <c r="D2856" t="s">
        <v>11603</v>
      </c>
      <c r="E2856" t="s">
        <v>420</v>
      </c>
      <c r="F2856" t="s">
        <v>148</v>
      </c>
      <c r="G2856" t="s">
        <v>421</v>
      </c>
      <c r="H2856" t="s">
        <v>39</v>
      </c>
      <c r="I2856" t="s">
        <v>40</v>
      </c>
      <c r="J2856" s="2" t="s">
        <v>355</v>
      </c>
      <c r="K2856" t="s">
        <v>42</v>
      </c>
      <c r="L2856" t="s">
        <v>175</v>
      </c>
      <c r="N2856" t="s">
        <v>176</v>
      </c>
      <c r="Q2856">
        <v>29690</v>
      </c>
      <c r="R2856" t="s">
        <v>95</v>
      </c>
      <c r="S2856" t="s">
        <v>11604</v>
      </c>
      <c r="T2856">
        <v>25</v>
      </c>
      <c r="W2856" t="s">
        <v>373</v>
      </c>
      <c r="X2856">
        <v>110020699</v>
      </c>
      <c r="Y2856" t="s">
        <v>13685</v>
      </c>
      <c r="Z2856" t="s">
        <v>17827</v>
      </c>
      <c r="AA2856" t="e">
        <f ca="1">- Reset LAN cable
- Set GX IP _xludf.address _xludf.and subnet
- generated reports
- performed self test
- connected Computer Desktop to local network</f>
        <v>#NAME?</v>
      </c>
      <c r="AB2856" t="s">
        <v>181</v>
      </c>
      <c r="AG2856" t="s">
        <v>17828</v>
      </c>
      <c r="AH2856" t="s">
        <v>11606</v>
      </c>
      <c r="AI2856" t="s">
        <v>17829</v>
      </c>
    </row>
    <row r="2857" spans="2:35" ht="210">
      <c r="B2857" s="1">
        <v>45595</v>
      </c>
      <c r="C2857" s="1">
        <v>45594</v>
      </c>
      <c r="D2857" t="s">
        <v>4259</v>
      </c>
      <c r="E2857" t="s">
        <v>17830</v>
      </c>
      <c r="F2857" t="s">
        <v>148</v>
      </c>
      <c r="G2857" t="s">
        <v>2007</v>
      </c>
      <c r="H2857" t="s">
        <v>17831</v>
      </c>
      <c r="I2857" t="s">
        <v>40</v>
      </c>
      <c r="J2857" s="2" t="s">
        <v>190</v>
      </c>
      <c r="K2857" t="s">
        <v>42</v>
      </c>
      <c r="L2857" t="s">
        <v>448</v>
      </c>
      <c r="N2857" t="s">
        <v>450</v>
      </c>
      <c r="Q2857">
        <v>29689</v>
      </c>
      <c r="R2857" t="s">
        <v>703</v>
      </c>
      <c r="S2857" t="s">
        <v>17832</v>
      </c>
      <c r="T2857">
        <v>28</v>
      </c>
      <c r="U2857" s="2" t="s">
        <v>17833</v>
      </c>
      <c r="W2857" t="s">
        <v>17834</v>
      </c>
      <c r="X2857">
        <v>812560</v>
      </c>
      <c r="Y2857" t="s">
        <v>17835</v>
      </c>
      <c r="Z2857" s="2" t="s">
        <v>2011</v>
      </c>
      <c r="AA2857" t="s">
        <v>680</v>
      </c>
      <c r="AB2857" t="s">
        <v>656</v>
      </c>
      <c r="AG2857" t="s">
        <v>17836</v>
      </c>
      <c r="AH2857" t="s">
        <v>17837</v>
      </c>
      <c r="AI2857" t="s">
        <v>17838</v>
      </c>
    </row>
    <row r="2858" spans="2:35" ht="409.5">
      <c r="B2858" s="1">
        <v>45595</v>
      </c>
      <c r="C2858" s="1">
        <v>45595</v>
      </c>
      <c r="D2858" t="s">
        <v>7810</v>
      </c>
      <c r="E2858" t="s">
        <v>7811</v>
      </c>
      <c r="F2858">
        <v>11</v>
      </c>
      <c r="G2858" t="s">
        <v>1205</v>
      </c>
      <c r="H2858" t="s">
        <v>202</v>
      </c>
      <c r="I2858" t="s">
        <v>40</v>
      </c>
      <c r="J2858" s="2" t="s">
        <v>41</v>
      </c>
      <c r="K2858" t="s">
        <v>42</v>
      </c>
      <c r="L2858" t="s">
        <v>204</v>
      </c>
      <c r="N2858" t="s">
        <v>205</v>
      </c>
      <c r="Q2858">
        <v>29688</v>
      </c>
      <c r="R2858" t="s">
        <v>119</v>
      </c>
      <c r="S2858" t="s">
        <v>7812</v>
      </c>
      <c r="T2858">
        <v>25.6</v>
      </c>
      <c r="V2858" s="1">
        <v>45590</v>
      </c>
      <c r="W2858" t="s">
        <v>208</v>
      </c>
      <c r="X2858">
        <v>838232</v>
      </c>
      <c r="Y2858" s="2" t="s">
        <v>17839</v>
      </c>
      <c r="Z2858" s="2" t="s">
        <v>17840</v>
      </c>
      <c r="AA2858" t="s">
        <v>17841</v>
      </c>
      <c r="AB2858" s="2" t="s">
        <v>17842</v>
      </c>
      <c r="AC2858" t="s">
        <v>17843</v>
      </c>
      <c r="AD2858" s="2" t="s">
        <v>17844</v>
      </c>
      <c r="AE2858" t="s">
        <v>17845</v>
      </c>
      <c r="AG2858" t="s">
        <v>17846</v>
      </c>
      <c r="AH2858" t="s">
        <v>7816</v>
      </c>
      <c r="AI2858" t="s">
        <v>17847</v>
      </c>
    </row>
    <row r="2859" spans="2:35" ht="409.5">
      <c r="B2859" s="1">
        <v>45595</v>
      </c>
      <c r="C2859" s="1">
        <v>45580</v>
      </c>
      <c r="D2859" t="s">
        <v>5060</v>
      </c>
      <c r="E2859" t="s">
        <v>8014</v>
      </c>
      <c r="F2859">
        <v>3</v>
      </c>
      <c r="G2859" t="s">
        <v>284</v>
      </c>
      <c r="H2859" t="s">
        <v>9313</v>
      </c>
      <c r="I2859" t="s">
        <v>40</v>
      </c>
      <c r="J2859" t="s">
        <v>109</v>
      </c>
      <c r="K2859" t="s">
        <v>42</v>
      </c>
      <c r="L2859" t="s">
        <v>135</v>
      </c>
      <c r="N2859" t="s">
        <v>136</v>
      </c>
      <c r="Q2859">
        <v>29687</v>
      </c>
      <c r="R2859" t="s">
        <v>322</v>
      </c>
      <c r="S2859" t="s">
        <v>11281</v>
      </c>
      <c r="T2859">
        <v>23</v>
      </c>
      <c r="U2859" s="2" t="s">
        <v>17848</v>
      </c>
      <c r="W2859" t="s">
        <v>3335</v>
      </c>
      <c r="X2859">
        <v>110017894</v>
      </c>
      <c r="Y2859" t="s">
        <v>7229</v>
      </c>
      <c r="Z2859" t="s">
        <v>4315</v>
      </c>
      <c r="AA2859" s="2" t="s">
        <v>4316</v>
      </c>
      <c r="AB2859" t="s">
        <v>181</v>
      </c>
      <c r="AG2859" t="s">
        <v>17849</v>
      </c>
      <c r="AH2859" t="s">
        <v>15193</v>
      </c>
      <c r="AI2859" t="s">
        <v>17850</v>
      </c>
    </row>
    <row r="2860" spans="2:35" ht="360">
      <c r="B2860" s="1">
        <v>45595</v>
      </c>
      <c r="C2860" s="1">
        <v>45580</v>
      </c>
      <c r="D2860" t="s">
        <v>5060</v>
      </c>
      <c r="E2860" t="s">
        <v>8014</v>
      </c>
      <c r="F2860">
        <v>3</v>
      </c>
      <c r="G2860" t="s">
        <v>284</v>
      </c>
      <c r="H2860" t="s">
        <v>9313</v>
      </c>
      <c r="I2860" t="s">
        <v>40</v>
      </c>
      <c r="J2860" t="s">
        <v>109</v>
      </c>
      <c r="K2860" t="s">
        <v>42</v>
      </c>
      <c r="L2860" t="s">
        <v>135</v>
      </c>
      <c r="N2860" t="s">
        <v>136</v>
      </c>
      <c r="Q2860">
        <v>29686</v>
      </c>
      <c r="R2860" t="s">
        <v>322</v>
      </c>
      <c r="S2860" t="s">
        <v>11281</v>
      </c>
      <c r="T2860">
        <v>23</v>
      </c>
      <c r="U2860" s="2" t="s">
        <v>17851</v>
      </c>
      <c r="W2860" t="s">
        <v>138</v>
      </c>
      <c r="X2860">
        <v>829390</v>
      </c>
      <c r="Y2860" t="s">
        <v>7229</v>
      </c>
      <c r="Z2860" t="s">
        <v>4315</v>
      </c>
      <c r="AA2860" s="2" t="s">
        <v>4316</v>
      </c>
      <c r="AB2860" t="s">
        <v>181</v>
      </c>
      <c r="AG2860" t="s">
        <v>17852</v>
      </c>
      <c r="AH2860" t="s">
        <v>15193</v>
      </c>
      <c r="AI2860" t="s">
        <v>17853</v>
      </c>
    </row>
    <row r="2861" spans="2:35" ht="165">
      <c r="B2861" s="1">
        <v>45595</v>
      </c>
      <c r="C2861" s="1">
        <v>45595</v>
      </c>
      <c r="D2861" t="s">
        <v>17854</v>
      </c>
      <c r="E2861" t="s">
        <v>17855</v>
      </c>
      <c r="F2861" t="s">
        <v>1255</v>
      </c>
      <c r="G2861" t="s">
        <v>17856</v>
      </c>
      <c r="H2861" t="s">
        <v>39</v>
      </c>
      <c r="I2861" t="s">
        <v>94</v>
      </c>
      <c r="J2861" s="2" t="s">
        <v>17857</v>
      </c>
      <c r="K2861" t="s">
        <v>42</v>
      </c>
      <c r="L2861" t="s">
        <v>1257</v>
      </c>
      <c r="N2861" t="s">
        <v>1258</v>
      </c>
      <c r="O2861" t="s">
        <v>17858</v>
      </c>
      <c r="Q2861">
        <v>29685</v>
      </c>
      <c r="R2861" t="s">
        <v>119</v>
      </c>
      <c r="S2861" t="s">
        <v>17859</v>
      </c>
      <c r="T2861">
        <v>23</v>
      </c>
      <c r="V2861" s="1">
        <v>45540</v>
      </c>
      <c r="W2861" t="s">
        <v>2384</v>
      </c>
      <c r="X2861">
        <v>838834</v>
      </c>
      <c r="Y2861" t="s">
        <v>301</v>
      </c>
      <c r="Z2861" t="s">
        <v>17860</v>
      </c>
      <c r="AA2861" t="s">
        <v>17860</v>
      </c>
      <c r="AB2861" t="s">
        <v>3161</v>
      </c>
      <c r="AC2861" t="s">
        <v>301</v>
      </c>
      <c r="AD2861" t="s">
        <v>5255</v>
      </c>
      <c r="AE2861">
        <v>12040</v>
      </c>
      <c r="AG2861" t="s">
        <v>17861</v>
      </c>
      <c r="AH2861" t="s">
        <v>17862</v>
      </c>
      <c r="AI2861" t="s">
        <v>17863</v>
      </c>
    </row>
    <row r="2862" spans="2:35" ht="409.5">
      <c r="B2862" s="1">
        <v>45594</v>
      </c>
      <c r="C2862" s="1">
        <v>45594</v>
      </c>
      <c r="D2862" t="s">
        <v>13336</v>
      </c>
      <c r="E2862" t="s">
        <v>582</v>
      </c>
      <c r="F2862" t="s">
        <v>148</v>
      </c>
      <c r="G2862" t="s">
        <v>447</v>
      </c>
      <c r="H2862" t="s">
        <v>5452</v>
      </c>
      <c r="I2862" t="s">
        <v>40</v>
      </c>
      <c r="J2862" t="s">
        <v>79</v>
      </c>
      <c r="K2862" t="s">
        <v>408</v>
      </c>
      <c r="L2862" t="s">
        <v>175</v>
      </c>
      <c r="N2862" t="s">
        <v>176</v>
      </c>
      <c r="P2862" t="s">
        <v>17864</v>
      </c>
      <c r="Q2862">
        <v>29684</v>
      </c>
      <c r="R2862" t="s">
        <v>322</v>
      </c>
      <c r="S2862" t="s">
        <v>81</v>
      </c>
      <c r="T2862">
        <v>25</v>
      </c>
      <c r="V2862" s="1">
        <v>45594</v>
      </c>
      <c r="W2862" t="s">
        <v>6540</v>
      </c>
      <c r="X2862" t="s">
        <v>17865</v>
      </c>
      <c r="Y2862" t="s">
        <v>17866</v>
      </c>
      <c r="Z2862" t="s">
        <v>14863</v>
      </c>
      <c r="AA2862" t="e">
        <f ca="1">- replaced battery
- performed self test
- performed Back up test</f>
        <v>#NAME?</v>
      </c>
      <c r="AB2862" s="2" t="s">
        <v>17867</v>
      </c>
      <c r="AD2862" t="s">
        <v>1863</v>
      </c>
      <c r="AE2862" t="s">
        <v>103</v>
      </c>
      <c r="AG2862" t="s">
        <v>17868</v>
      </c>
      <c r="AH2862" t="s">
        <v>80</v>
      </c>
      <c r="AI2862" t="s">
        <v>17869</v>
      </c>
    </row>
    <row r="2863" spans="2:35" ht="105">
      <c r="B2863" s="1">
        <v>45594</v>
      </c>
      <c r="C2863" s="1">
        <v>45594</v>
      </c>
      <c r="D2863" t="s">
        <v>9762</v>
      </c>
      <c r="E2863" t="s">
        <v>9763</v>
      </c>
      <c r="F2863">
        <v>8</v>
      </c>
      <c r="G2863" t="s">
        <v>2945</v>
      </c>
      <c r="H2863" t="s">
        <v>39</v>
      </c>
      <c r="I2863" t="s">
        <v>40</v>
      </c>
      <c r="J2863" t="s">
        <v>109</v>
      </c>
      <c r="K2863" t="s">
        <v>42</v>
      </c>
      <c r="L2863" t="s">
        <v>259</v>
      </c>
      <c r="N2863" t="s">
        <v>260</v>
      </c>
      <c r="Q2863">
        <v>29683</v>
      </c>
      <c r="R2863" t="s">
        <v>119</v>
      </c>
      <c r="S2863" t="s">
        <v>9764</v>
      </c>
      <c r="T2863">
        <v>28</v>
      </c>
      <c r="U2863" s="2" t="s">
        <v>17870</v>
      </c>
      <c r="V2863" s="1">
        <v>45594</v>
      </c>
      <c r="W2863" t="s">
        <v>84</v>
      </c>
      <c r="X2863">
        <v>838548</v>
      </c>
      <c r="Y2863" t="s">
        <v>263</v>
      </c>
      <c r="Z2863" t="s">
        <v>263</v>
      </c>
      <c r="AA2863" t="e">
        <f ca="1">- performed Preventive Maintenance (cleaned cartridge bay, plunger rod _xludf.and _xludf.filter)</f>
        <v>#NAME?</v>
      </c>
      <c r="AB2863" t="s">
        <v>70</v>
      </c>
      <c r="AG2863" t="s">
        <v>17871</v>
      </c>
      <c r="AH2863" t="s">
        <v>17872</v>
      </c>
      <c r="AI2863" t="s">
        <v>17873</v>
      </c>
    </row>
    <row r="2864" spans="2:35" ht="180">
      <c r="B2864" s="1">
        <v>45594</v>
      </c>
      <c r="C2864" s="1">
        <v>45594</v>
      </c>
      <c r="D2864" t="s">
        <v>7868</v>
      </c>
      <c r="E2864" t="s">
        <v>1847</v>
      </c>
      <c r="F2864">
        <v>7</v>
      </c>
      <c r="G2864" t="s">
        <v>432</v>
      </c>
      <c r="H2864" t="s">
        <v>258</v>
      </c>
      <c r="I2864" t="s">
        <v>40</v>
      </c>
      <c r="J2864" s="2" t="s">
        <v>17874</v>
      </c>
      <c r="K2864" t="s">
        <v>42</v>
      </c>
      <c r="L2864" t="s">
        <v>594</v>
      </c>
      <c r="N2864" t="s">
        <v>595</v>
      </c>
      <c r="O2864" t="s">
        <v>595</v>
      </c>
      <c r="Q2864">
        <v>29682</v>
      </c>
      <c r="R2864" t="s">
        <v>119</v>
      </c>
      <c r="S2864" t="s">
        <v>1849</v>
      </c>
      <c r="T2864">
        <v>23</v>
      </c>
      <c r="V2864" s="1">
        <v>45594</v>
      </c>
      <c r="W2864" t="s">
        <v>2384</v>
      </c>
      <c r="X2864">
        <v>838564</v>
      </c>
      <c r="Y2864" s="2" t="s">
        <v>17875</v>
      </c>
      <c r="Z2864" s="2" t="s">
        <v>17876</v>
      </c>
      <c r="AA2864" s="2" t="s">
        <v>17877</v>
      </c>
      <c r="AB2864" t="s">
        <v>4253</v>
      </c>
      <c r="AC2864" t="s">
        <v>17878</v>
      </c>
      <c r="AG2864" t="s">
        <v>17879</v>
      </c>
      <c r="AH2864" t="s">
        <v>17880</v>
      </c>
      <c r="AI2864" t="s">
        <v>17881</v>
      </c>
    </row>
    <row r="2865" spans="2:35" ht="150">
      <c r="B2865" s="1">
        <v>45594</v>
      </c>
      <c r="C2865" s="1">
        <v>45594</v>
      </c>
      <c r="D2865" t="s">
        <v>5546</v>
      </c>
      <c r="E2865" t="s">
        <v>17882</v>
      </c>
      <c r="F2865">
        <v>7</v>
      </c>
      <c r="G2865" t="s">
        <v>432</v>
      </c>
      <c r="H2865" t="s">
        <v>39</v>
      </c>
      <c r="I2865" t="s">
        <v>40</v>
      </c>
      <c r="J2865" t="s">
        <v>109</v>
      </c>
      <c r="K2865" t="s">
        <v>42</v>
      </c>
      <c r="L2865" t="s">
        <v>433</v>
      </c>
      <c r="N2865" t="s">
        <v>434</v>
      </c>
      <c r="Q2865">
        <v>29681</v>
      </c>
      <c r="R2865" t="s">
        <v>119</v>
      </c>
      <c r="S2865" t="s">
        <v>12211</v>
      </c>
      <c r="T2865">
        <v>27</v>
      </c>
      <c r="W2865" t="s">
        <v>502</v>
      </c>
      <c r="X2865">
        <v>838527</v>
      </c>
      <c r="Y2865" t="s">
        <v>17883</v>
      </c>
      <c r="Z2865" s="2" t="s">
        <v>17884</v>
      </c>
      <c r="AA2865" s="2" t="s">
        <v>17884</v>
      </c>
      <c r="AB2865" t="s">
        <v>1011</v>
      </c>
      <c r="AG2865" t="s">
        <v>17885</v>
      </c>
      <c r="AH2865" t="s">
        <v>12214</v>
      </c>
      <c r="AI2865" t="s">
        <v>17886</v>
      </c>
    </row>
    <row r="2866" spans="2:35" ht="345">
      <c r="B2866" s="1">
        <v>45593</v>
      </c>
      <c r="C2866" s="1">
        <v>45588</v>
      </c>
      <c r="D2866" t="s">
        <v>5783</v>
      </c>
      <c r="E2866" t="s">
        <v>17887</v>
      </c>
      <c r="F2866">
        <v>12</v>
      </c>
      <c r="G2866" t="s">
        <v>5785</v>
      </c>
      <c r="H2866" t="s">
        <v>1473</v>
      </c>
      <c r="I2866" t="s">
        <v>40</v>
      </c>
      <c r="J2866" s="2" t="s">
        <v>62</v>
      </c>
      <c r="K2866" t="s">
        <v>42</v>
      </c>
      <c r="L2866" t="s">
        <v>296</v>
      </c>
      <c r="N2866" t="s">
        <v>297</v>
      </c>
      <c r="Q2866">
        <v>29680</v>
      </c>
      <c r="R2866" t="s">
        <v>119</v>
      </c>
      <c r="S2866" t="s">
        <v>5787</v>
      </c>
      <c r="T2866">
        <v>28.2</v>
      </c>
      <c r="U2866" s="2" t="s">
        <v>10662</v>
      </c>
      <c r="V2866" s="1">
        <v>45588</v>
      </c>
      <c r="W2866" t="s">
        <v>981</v>
      </c>
      <c r="X2866">
        <v>838546</v>
      </c>
      <c r="Y2866" t="s">
        <v>301</v>
      </c>
      <c r="Z2866" s="2" t="s">
        <v>17888</v>
      </c>
      <c r="AA2866" s="2" t="s">
        <v>17889</v>
      </c>
      <c r="AB2866" s="2" t="s">
        <v>17890</v>
      </c>
      <c r="AD2866" s="2" t="s">
        <v>17891</v>
      </c>
      <c r="AE2866" t="s">
        <v>17892</v>
      </c>
      <c r="AG2866" t="s">
        <v>17893</v>
      </c>
      <c r="AH2866" t="s">
        <v>9163</v>
      </c>
      <c r="AI2866" t="s">
        <v>17894</v>
      </c>
    </row>
    <row r="2867" spans="2:35" ht="330">
      <c r="B2867" s="1">
        <v>45593</v>
      </c>
      <c r="C2867" s="1">
        <v>45589</v>
      </c>
      <c r="D2867" t="s">
        <v>2364</v>
      </c>
      <c r="E2867" t="s">
        <v>17895</v>
      </c>
      <c r="F2867">
        <v>12</v>
      </c>
      <c r="G2867" t="s">
        <v>978</v>
      </c>
      <c r="H2867" t="s">
        <v>1473</v>
      </c>
      <c r="I2867" t="s">
        <v>40</v>
      </c>
      <c r="J2867" s="2" t="s">
        <v>62</v>
      </c>
      <c r="K2867" t="s">
        <v>42</v>
      </c>
      <c r="L2867" t="s">
        <v>296</v>
      </c>
      <c r="N2867" t="s">
        <v>297</v>
      </c>
      <c r="Q2867">
        <v>29679</v>
      </c>
      <c r="R2867" t="s">
        <v>119</v>
      </c>
      <c r="S2867" t="s">
        <v>7484</v>
      </c>
      <c r="T2867">
        <v>26.4</v>
      </c>
      <c r="U2867" s="2" t="s">
        <v>2367</v>
      </c>
      <c r="V2867" s="1">
        <v>45589</v>
      </c>
      <c r="W2867" t="s">
        <v>981</v>
      </c>
      <c r="X2867">
        <v>838570</v>
      </c>
      <c r="Y2867" t="s">
        <v>301</v>
      </c>
      <c r="Z2867" s="2" t="s">
        <v>17761</v>
      </c>
      <c r="AA2867" s="2" t="s">
        <v>17896</v>
      </c>
      <c r="AB2867" s="2" t="s">
        <v>17897</v>
      </c>
      <c r="AC2867" t="s">
        <v>7205</v>
      </c>
      <c r="AD2867" s="2" t="s">
        <v>17891</v>
      </c>
      <c r="AE2867" t="s">
        <v>17898</v>
      </c>
      <c r="AG2867" t="s">
        <v>17899</v>
      </c>
      <c r="AH2867" t="s">
        <v>17900</v>
      </c>
      <c r="AI2867" t="s">
        <v>17901</v>
      </c>
    </row>
    <row r="2868" spans="2:35" ht="390">
      <c r="B2868" s="1">
        <v>45593</v>
      </c>
      <c r="C2868" s="1">
        <v>45593</v>
      </c>
      <c r="D2868" t="s">
        <v>7254</v>
      </c>
      <c r="E2868" t="s">
        <v>7255</v>
      </c>
      <c r="F2868">
        <v>1</v>
      </c>
      <c r="G2868" t="s">
        <v>2599</v>
      </c>
      <c r="H2868" t="s">
        <v>39</v>
      </c>
      <c r="I2868" t="s">
        <v>40</v>
      </c>
      <c r="J2868" s="2" t="s">
        <v>41</v>
      </c>
      <c r="K2868" t="s">
        <v>42</v>
      </c>
      <c r="L2868" t="s">
        <v>135</v>
      </c>
      <c r="N2868" t="s">
        <v>136</v>
      </c>
      <c r="Q2868">
        <v>29678</v>
      </c>
      <c r="R2868" t="s">
        <v>119</v>
      </c>
      <c r="S2868" t="s">
        <v>7256</v>
      </c>
      <c r="T2868">
        <v>28.3</v>
      </c>
      <c r="U2868" s="2" t="s">
        <v>578</v>
      </c>
      <c r="V2868" s="1">
        <v>45583</v>
      </c>
      <c r="W2868" t="s">
        <v>138</v>
      </c>
      <c r="X2868">
        <v>838416</v>
      </c>
      <c r="Y2868" t="s">
        <v>17902</v>
      </c>
      <c r="Z2868" s="2" t="s">
        <v>140</v>
      </c>
      <c r="AA2868" s="2" t="s">
        <v>5713</v>
      </c>
      <c r="AB2868" s="2" t="s">
        <v>17903</v>
      </c>
      <c r="AD2868" t="s">
        <v>17904</v>
      </c>
      <c r="AE2868">
        <v>12245</v>
      </c>
      <c r="AG2868" t="s">
        <v>17905</v>
      </c>
      <c r="AH2868" t="s">
        <v>11075</v>
      </c>
      <c r="AI2868" t="s">
        <v>17906</v>
      </c>
    </row>
    <row r="2869" spans="2:35" ht="180">
      <c r="B2869" s="1">
        <v>45593</v>
      </c>
      <c r="C2869" s="1">
        <v>45574</v>
      </c>
      <c r="D2869" t="s">
        <v>7529</v>
      </c>
      <c r="E2869" t="s">
        <v>11135</v>
      </c>
      <c r="F2869">
        <v>5</v>
      </c>
      <c r="G2869" t="s">
        <v>759</v>
      </c>
      <c r="H2869" t="s">
        <v>39</v>
      </c>
      <c r="I2869" t="s">
        <v>94</v>
      </c>
      <c r="J2869" t="s">
        <v>525</v>
      </c>
      <c r="K2869" t="s">
        <v>42</v>
      </c>
      <c r="L2869" t="s">
        <v>761</v>
      </c>
      <c r="N2869" t="s">
        <v>762</v>
      </c>
      <c r="Q2869">
        <v>29677</v>
      </c>
      <c r="R2869" t="s">
        <v>119</v>
      </c>
      <c r="S2869" t="s">
        <v>17907</v>
      </c>
      <c r="T2869">
        <v>28</v>
      </c>
      <c r="U2869" s="2" t="s">
        <v>14364</v>
      </c>
      <c r="W2869" t="s">
        <v>765</v>
      </c>
      <c r="X2869">
        <v>838397</v>
      </c>
      <c r="Y2869" t="s">
        <v>17908</v>
      </c>
      <c r="Z2869" s="2" t="s">
        <v>17909</v>
      </c>
      <c r="AA2869" t="s">
        <v>1935</v>
      </c>
      <c r="AB2869" s="2" t="s">
        <v>17910</v>
      </c>
      <c r="AC2869" t="s">
        <v>17911</v>
      </c>
      <c r="AG2869" t="s">
        <v>17912</v>
      </c>
      <c r="AH2869" t="s">
        <v>15870</v>
      </c>
      <c r="AI2869" t="s">
        <v>17913</v>
      </c>
    </row>
    <row r="2870" spans="2:35" ht="270">
      <c r="B2870" s="1">
        <v>45593</v>
      </c>
      <c r="C2870" s="1">
        <v>45587</v>
      </c>
      <c r="D2870" t="s">
        <v>6919</v>
      </c>
      <c r="E2870" t="s">
        <v>510</v>
      </c>
      <c r="F2870" t="s">
        <v>511</v>
      </c>
      <c r="G2870" t="s">
        <v>512</v>
      </c>
      <c r="H2870" t="s">
        <v>39</v>
      </c>
      <c r="I2870" t="s">
        <v>40</v>
      </c>
      <c r="J2870" s="2" t="s">
        <v>190</v>
      </c>
      <c r="K2870" t="s">
        <v>42</v>
      </c>
      <c r="L2870" t="s">
        <v>1048</v>
      </c>
      <c r="N2870" t="s">
        <v>1049</v>
      </c>
      <c r="Q2870">
        <v>29676</v>
      </c>
      <c r="R2870" t="s">
        <v>119</v>
      </c>
      <c r="S2870" t="s">
        <v>6920</v>
      </c>
      <c r="T2870">
        <v>23</v>
      </c>
      <c r="U2870" s="2" t="s">
        <v>13149</v>
      </c>
      <c r="W2870" t="s">
        <v>1051</v>
      </c>
      <c r="X2870">
        <v>838281</v>
      </c>
      <c r="Y2870" t="s">
        <v>7984</v>
      </c>
      <c r="Z2870" t="e">
        <f ca="1">- cleaned cartridge Bays, plunger Rods _xludf.and I-CORE
- generated reports</f>
        <v>#NAME?</v>
      </c>
      <c r="AA2870" t="s">
        <v>7985</v>
      </c>
      <c r="AB2870" s="2" t="s">
        <v>17914</v>
      </c>
      <c r="AG2870" t="s">
        <v>17915</v>
      </c>
      <c r="AH2870" t="s">
        <v>6925</v>
      </c>
      <c r="AI2870" t="s">
        <v>17916</v>
      </c>
    </row>
    <row r="2871" spans="2:35" ht="360">
      <c r="B2871" s="1">
        <v>45593</v>
      </c>
      <c r="C2871" s="1">
        <v>45587</v>
      </c>
      <c r="D2871" t="s">
        <v>9805</v>
      </c>
      <c r="E2871" t="s">
        <v>510</v>
      </c>
      <c r="F2871">
        <v>1</v>
      </c>
      <c r="G2871" t="s">
        <v>512</v>
      </c>
      <c r="H2871" t="s">
        <v>61</v>
      </c>
      <c r="I2871" t="s">
        <v>40</v>
      </c>
      <c r="J2871" s="2" t="s">
        <v>62</v>
      </c>
      <c r="K2871" t="s">
        <v>42</v>
      </c>
      <c r="L2871" t="s">
        <v>1048</v>
      </c>
      <c r="N2871" t="s">
        <v>1049</v>
      </c>
      <c r="Q2871">
        <v>29675</v>
      </c>
      <c r="R2871" t="s">
        <v>322</v>
      </c>
      <c r="S2871" t="s">
        <v>9806</v>
      </c>
      <c r="T2871">
        <v>19</v>
      </c>
      <c r="U2871" s="2" t="s">
        <v>17917</v>
      </c>
      <c r="V2871" s="1">
        <v>45587</v>
      </c>
      <c r="W2871" t="s">
        <v>1424</v>
      </c>
      <c r="X2871">
        <v>110016112</v>
      </c>
      <c r="Y2871" t="s">
        <v>15347</v>
      </c>
      <c r="Z2871" t="e">
        <f ca="1">- cleaned cartridge Bays, plunger Rods _xludf.and I-CORE
- performed XpertCheck
- generated reports</f>
        <v>#NAME?</v>
      </c>
      <c r="AA2871" t="s">
        <v>15348</v>
      </c>
      <c r="AB2871" t="s">
        <v>1428</v>
      </c>
      <c r="AD2871" t="s">
        <v>1958</v>
      </c>
      <c r="AE2871" t="s">
        <v>103</v>
      </c>
      <c r="AG2871" t="s">
        <v>17918</v>
      </c>
      <c r="AH2871" t="s">
        <v>17919</v>
      </c>
      <c r="AI2871" t="s">
        <v>17920</v>
      </c>
    </row>
    <row r="2872" spans="2:35" ht="409.5">
      <c r="B2872" s="1">
        <v>45593</v>
      </c>
      <c r="C2872" s="1">
        <v>45593</v>
      </c>
      <c r="D2872" t="s">
        <v>5207</v>
      </c>
      <c r="E2872" t="s">
        <v>5208</v>
      </c>
      <c r="F2872" t="s">
        <v>148</v>
      </c>
      <c r="G2872" t="s">
        <v>310</v>
      </c>
      <c r="H2872" t="s">
        <v>39</v>
      </c>
      <c r="I2872" t="s">
        <v>40</v>
      </c>
      <c r="J2872" s="2" t="s">
        <v>41</v>
      </c>
      <c r="K2872" t="s">
        <v>42</v>
      </c>
      <c r="L2872" t="s">
        <v>1943</v>
      </c>
      <c r="N2872" t="s">
        <v>1944</v>
      </c>
      <c r="O2872" t="s">
        <v>5210</v>
      </c>
      <c r="Q2872">
        <v>29674</v>
      </c>
      <c r="R2872" t="s">
        <v>322</v>
      </c>
      <c r="S2872" t="s">
        <v>17921</v>
      </c>
      <c r="T2872">
        <v>25</v>
      </c>
      <c r="U2872" s="2" t="s">
        <v>17922</v>
      </c>
      <c r="V2872" s="1">
        <v>45582</v>
      </c>
      <c r="W2872" t="s">
        <v>5225</v>
      </c>
      <c r="X2872">
        <v>110016343</v>
      </c>
      <c r="Y2872" s="2" t="s">
        <v>17923</v>
      </c>
      <c r="Z2872" t="s">
        <v>1947</v>
      </c>
      <c r="AA2872" s="2" t="s">
        <v>1948</v>
      </c>
      <c r="AB2872" t="s">
        <v>88</v>
      </c>
      <c r="AD2872" t="s">
        <v>17924</v>
      </c>
      <c r="AE2872" t="s">
        <v>17925</v>
      </c>
      <c r="AG2872" t="s">
        <v>17926</v>
      </c>
      <c r="AH2872" t="s">
        <v>5212</v>
      </c>
      <c r="AI2872" t="s">
        <v>17927</v>
      </c>
    </row>
    <row r="2873" spans="2:35">
      <c r="B2873" s="1">
        <v>45592</v>
      </c>
      <c r="C2873" s="1">
        <v>45592</v>
      </c>
      <c r="D2873" t="s">
        <v>340</v>
      </c>
      <c r="E2873" t="s">
        <v>8872</v>
      </c>
      <c r="F2873">
        <v>8</v>
      </c>
      <c r="G2873" t="s">
        <v>342</v>
      </c>
      <c r="H2873" t="s">
        <v>258</v>
      </c>
      <c r="I2873" t="s">
        <v>40</v>
      </c>
      <c r="J2873" t="s">
        <v>109</v>
      </c>
      <c r="K2873" t="s">
        <v>42</v>
      </c>
      <c r="L2873" t="s">
        <v>259</v>
      </c>
      <c r="N2873" t="s">
        <v>260</v>
      </c>
      <c r="Q2873">
        <v>29673</v>
      </c>
      <c r="R2873" t="s">
        <v>119</v>
      </c>
      <c r="S2873" t="s">
        <v>345</v>
      </c>
      <c r="T2873">
        <v>27</v>
      </c>
      <c r="V2873" s="1">
        <v>45588</v>
      </c>
      <c r="W2873" t="s">
        <v>84</v>
      </c>
      <c r="X2873">
        <v>838555</v>
      </c>
      <c r="Y2873" t="s">
        <v>263</v>
      </c>
      <c r="Z2873" t="s">
        <v>17928</v>
      </c>
      <c r="AA2873" t="e">
        <f ca="1">- Preventive Maintenance ( cleaned cartridge bay, plunger rod _xludf.and _xludf.filter)</f>
        <v>#NAME?</v>
      </c>
      <c r="AB2873" t="s">
        <v>17929</v>
      </c>
      <c r="AG2873" t="s">
        <v>17930</v>
      </c>
      <c r="AH2873" t="s">
        <v>8455</v>
      </c>
      <c r="AI2873" t="s">
        <v>17931</v>
      </c>
    </row>
    <row r="2874" spans="2:35" ht="405">
      <c r="B2874" s="1">
        <v>45591</v>
      </c>
      <c r="C2874" s="1">
        <v>45590</v>
      </c>
      <c r="D2874" t="s">
        <v>1145</v>
      </c>
      <c r="E2874" t="s">
        <v>473</v>
      </c>
      <c r="F2874" t="s">
        <v>148</v>
      </c>
      <c r="G2874" t="s">
        <v>447</v>
      </c>
      <c r="H2874" t="s">
        <v>386</v>
      </c>
      <c r="I2874" t="s">
        <v>40</v>
      </c>
      <c r="J2874" t="s">
        <v>109</v>
      </c>
      <c r="K2874" t="s">
        <v>387</v>
      </c>
      <c r="L2874" t="s">
        <v>448</v>
      </c>
      <c r="N2874" t="s">
        <v>450</v>
      </c>
      <c r="Q2874">
        <v>29672</v>
      </c>
      <c r="R2874" t="s">
        <v>322</v>
      </c>
      <c r="S2874" t="s">
        <v>5004</v>
      </c>
      <c r="T2874">
        <v>26</v>
      </c>
      <c r="W2874" t="s">
        <v>476</v>
      </c>
      <c r="X2874" t="s">
        <v>7383</v>
      </c>
      <c r="Y2874" t="s">
        <v>485</v>
      </c>
      <c r="Z2874" s="2" t="s">
        <v>6718</v>
      </c>
      <c r="AA2874" t="s">
        <v>122</v>
      </c>
      <c r="AB2874" t="s">
        <v>486</v>
      </c>
      <c r="AG2874" t="s">
        <v>17932</v>
      </c>
      <c r="AH2874" t="s">
        <v>17933</v>
      </c>
      <c r="AI2874" t="s">
        <v>17934</v>
      </c>
    </row>
    <row r="2875" spans="2:35" ht="405">
      <c r="B2875" s="1">
        <v>45591</v>
      </c>
      <c r="C2875" s="1">
        <v>45590</v>
      </c>
      <c r="D2875" t="s">
        <v>1145</v>
      </c>
      <c r="E2875" t="s">
        <v>473</v>
      </c>
      <c r="F2875" t="s">
        <v>148</v>
      </c>
      <c r="G2875" t="s">
        <v>447</v>
      </c>
      <c r="H2875" t="s">
        <v>386</v>
      </c>
      <c r="I2875" t="s">
        <v>40</v>
      </c>
      <c r="J2875" t="s">
        <v>109</v>
      </c>
      <c r="K2875" t="s">
        <v>387</v>
      </c>
      <c r="L2875" t="s">
        <v>448</v>
      </c>
      <c r="N2875" t="s">
        <v>450</v>
      </c>
      <c r="Q2875">
        <v>29671</v>
      </c>
      <c r="R2875" t="s">
        <v>322</v>
      </c>
      <c r="S2875" t="s">
        <v>5004</v>
      </c>
      <c r="T2875">
        <v>26</v>
      </c>
      <c r="W2875" t="s">
        <v>476</v>
      </c>
      <c r="X2875" t="s">
        <v>5005</v>
      </c>
      <c r="Y2875" s="2" t="s">
        <v>5006</v>
      </c>
      <c r="Z2875" s="2" t="s">
        <v>6718</v>
      </c>
      <c r="AA2875" t="s">
        <v>122</v>
      </c>
      <c r="AB2875" s="2" t="s">
        <v>17935</v>
      </c>
      <c r="AG2875" t="s">
        <v>17936</v>
      </c>
      <c r="AH2875" t="s">
        <v>17933</v>
      </c>
      <c r="AI2875" t="s">
        <v>17937</v>
      </c>
    </row>
    <row r="2876" spans="2:35" ht="180">
      <c r="B2876" s="1">
        <v>45591</v>
      </c>
      <c r="C2876" s="1">
        <v>45590</v>
      </c>
      <c r="D2876" t="s">
        <v>1145</v>
      </c>
      <c r="E2876" t="s">
        <v>473</v>
      </c>
      <c r="F2876" t="s">
        <v>148</v>
      </c>
      <c r="G2876" t="s">
        <v>447</v>
      </c>
      <c r="H2876" t="s">
        <v>150</v>
      </c>
      <c r="I2876" t="s">
        <v>40</v>
      </c>
      <c r="J2876" t="s">
        <v>109</v>
      </c>
      <c r="K2876" t="s">
        <v>42</v>
      </c>
      <c r="L2876" t="s">
        <v>448</v>
      </c>
      <c r="N2876" t="s">
        <v>450</v>
      </c>
      <c r="Q2876">
        <v>29670</v>
      </c>
      <c r="R2876" t="s">
        <v>95</v>
      </c>
      <c r="S2876" t="s">
        <v>1147</v>
      </c>
      <c r="T2876">
        <v>28</v>
      </c>
      <c r="W2876" t="s">
        <v>6128</v>
      </c>
      <c r="X2876">
        <v>804205</v>
      </c>
      <c r="Y2876" s="2" t="s">
        <v>17938</v>
      </c>
      <c r="Z2876" s="2" t="s">
        <v>2011</v>
      </c>
      <c r="AA2876" t="s">
        <v>122</v>
      </c>
      <c r="AB2876" t="s">
        <v>14985</v>
      </c>
      <c r="AG2876" t="s">
        <v>17939</v>
      </c>
      <c r="AH2876" t="s">
        <v>1153</v>
      </c>
      <c r="AI2876" t="s">
        <v>17940</v>
      </c>
    </row>
    <row r="2877" spans="2:35" ht="300">
      <c r="B2877" s="1">
        <v>45591</v>
      </c>
      <c r="C2877" s="1">
        <v>45590</v>
      </c>
      <c r="D2877" t="s">
        <v>1145</v>
      </c>
      <c r="E2877" t="s">
        <v>473</v>
      </c>
      <c r="F2877" t="s">
        <v>148</v>
      </c>
      <c r="G2877" t="s">
        <v>447</v>
      </c>
      <c r="H2877" t="s">
        <v>150</v>
      </c>
      <c r="I2877" t="s">
        <v>40</v>
      </c>
      <c r="J2877" t="s">
        <v>109</v>
      </c>
      <c r="K2877" t="s">
        <v>42</v>
      </c>
      <c r="L2877" t="s">
        <v>448</v>
      </c>
      <c r="N2877" t="s">
        <v>450</v>
      </c>
      <c r="Q2877">
        <v>29669</v>
      </c>
      <c r="R2877" t="s">
        <v>322</v>
      </c>
      <c r="S2877" t="s">
        <v>1147</v>
      </c>
      <c r="T2877">
        <v>29</v>
      </c>
      <c r="U2877" s="2" t="s">
        <v>17941</v>
      </c>
      <c r="W2877" t="s">
        <v>6121</v>
      </c>
      <c r="X2877">
        <v>838837</v>
      </c>
      <c r="Y2877" s="2" t="s">
        <v>17942</v>
      </c>
      <c r="Z2877" s="2" t="s">
        <v>2011</v>
      </c>
      <c r="AA2877" t="s">
        <v>122</v>
      </c>
      <c r="AB2877" t="s">
        <v>11953</v>
      </c>
      <c r="AG2877" t="s">
        <v>17943</v>
      </c>
      <c r="AH2877" t="s">
        <v>1153</v>
      </c>
      <c r="AI2877" t="s">
        <v>17944</v>
      </c>
    </row>
    <row r="2878" spans="2:35" ht="180">
      <c r="B2878" s="1">
        <v>45590</v>
      </c>
      <c r="C2878" s="1">
        <v>45590</v>
      </c>
      <c r="D2878" t="s">
        <v>1071</v>
      </c>
      <c r="E2878" t="s">
        <v>12328</v>
      </c>
      <c r="F2878">
        <v>7</v>
      </c>
      <c r="G2878" t="s">
        <v>432</v>
      </c>
      <c r="H2878" t="s">
        <v>150</v>
      </c>
      <c r="I2878" t="s">
        <v>40</v>
      </c>
      <c r="J2878" t="s">
        <v>109</v>
      </c>
      <c r="K2878" t="s">
        <v>42</v>
      </c>
      <c r="L2878" t="s">
        <v>343</v>
      </c>
      <c r="N2878" t="s">
        <v>344</v>
      </c>
      <c r="Q2878">
        <v>29668</v>
      </c>
      <c r="R2878" t="s">
        <v>119</v>
      </c>
      <c r="S2878" t="s">
        <v>8679</v>
      </c>
      <c r="T2878">
        <v>27</v>
      </c>
      <c r="W2878" t="s">
        <v>1501</v>
      </c>
      <c r="X2878">
        <v>838285</v>
      </c>
      <c r="Y2878" t="s">
        <v>301</v>
      </c>
      <c r="Z2878" t="s">
        <v>301</v>
      </c>
      <c r="AA2878" s="2" t="s">
        <v>17945</v>
      </c>
      <c r="AB2878" t="s">
        <v>9638</v>
      </c>
      <c r="AC2878" t="s">
        <v>17946</v>
      </c>
      <c r="AG2878" t="s">
        <v>17947</v>
      </c>
      <c r="AH2878" t="s">
        <v>16851</v>
      </c>
      <c r="AI2878" t="s">
        <v>17948</v>
      </c>
    </row>
    <row r="2879" spans="2:35" ht="285">
      <c r="B2879" s="1">
        <v>45590</v>
      </c>
      <c r="C2879" s="1">
        <v>45590</v>
      </c>
      <c r="D2879" t="s">
        <v>1071</v>
      </c>
      <c r="E2879" t="s">
        <v>12328</v>
      </c>
      <c r="F2879">
        <v>7</v>
      </c>
      <c r="G2879" t="s">
        <v>432</v>
      </c>
      <c r="H2879" t="s">
        <v>150</v>
      </c>
      <c r="I2879" t="s">
        <v>40</v>
      </c>
      <c r="J2879" t="s">
        <v>109</v>
      </c>
      <c r="K2879" t="s">
        <v>42</v>
      </c>
      <c r="L2879" t="s">
        <v>343</v>
      </c>
      <c r="N2879" t="s">
        <v>344</v>
      </c>
      <c r="Q2879">
        <v>29667</v>
      </c>
      <c r="R2879" t="s">
        <v>119</v>
      </c>
      <c r="S2879" t="s">
        <v>8679</v>
      </c>
      <c r="T2879">
        <v>27</v>
      </c>
      <c r="U2879" s="2" t="s">
        <v>17949</v>
      </c>
      <c r="W2879" t="s">
        <v>1501</v>
      </c>
      <c r="X2879">
        <v>838285</v>
      </c>
      <c r="Y2879" t="s">
        <v>17950</v>
      </c>
      <c r="Z2879" t="s">
        <v>301</v>
      </c>
      <c r="AA2879" s="2" t="s">
        <v>17951</v>
      </c>
      <c r="AB2879" t="s">
        <v>17952</v>
      </c>
      <c r="AG2879" t="s">
        <v>17953</v>
      </c>
      <c r="AH2879" t="s">
        <v>16851</v>
      </c>
      <c r="AI2879" t="s">
        <v>17954</v>
      </c>
    </row>
    <row r="2880" spans="2:35" ht="120">
      <c r="B2880" s="1">
        <v>45590</v>
      </c>
      <c r="C2880" s="1">
        <v>45589</v>
      </c>
      <c r="D2880" t="s">
        <v>8522</v>
      </c>
      <c r="E2880" t="s">
        <v>17955</v>
      </c>
      <c r="F2880">
        <v>13</v>
      </c>
      <c r="G2880" t="s">
        <v>8524</v>
      </c>
      <c r="H2880" t="s">
        <v>2125</v>
      </c>
      <c r="I2880" t="s">
        <v>40</v>
      </c>
      <c r="J2880" s="2" t="s">
        <v>62</v>
      </c>
      <c r="K2880" t="s">
        <v>42</v>
      </c>
      <c r="L2880" t="s">
        <v>933</v>
      </c>
      <c r="N2880" t="s">
        <v>934</v>
      </c>
      <c r="Q2880">
        <v>29666</v>
      </c>
      <c r="R2880" t="s">
        <v>119</v>
      </c>
      <c r="S2880" t="s">
        <v>14952</v>
      </c>
      <c r="T2880">
        <v>27</v>
      </c>
      <c r="W2880" t="s">
        <v>3662</v>
      </c>
      <c r="X2880">
        <v>838439</v>
      </c>
      <c r="Y2880" t="s">
        <v>301</v>
      </c>
      <c r="Z2880" t="s">
        <v>301</v>
      </c>
      <c r="AA2880" s="2" t="s">
        <v>2397</v>
      </c>
      <c r="AB2880" t="s">
        <v>17956</v>
      </c>
      <c r="AG2880" t="s">
        <v>17957</v>
      </c>
      <c r="AH2880" t="s">
        <v>8527</v>
      </c>
      <c r="AI2880" t="s">
        <v>17958</v>
      </c>
    </row>
    <row r="2881" spans="2:35" ht="409.5">
      <c r="B2881" s="1">
        <v>45590</v>
      </c>
      <c r="C2881" s="1">
        <v>45587</v>
      </c>
      <c r="D2881" t="s">
        <v>1099</v>
      </c>
      <c r="E2881" t="s">
        <v>6645</v>
      </c>
      <c r="F2881" t="s">
        <v>148</v>
      </c>
      <c r="G2881" t="s">
        <v>406</v>
      </c>
      <c r="H2881" t="s">
        <v>39</v>
      </c>
      <c r="I2881" t="s">
        <v>40</v>
      </c>
      <c r="J2881" t="s">
        <v>109</v>
      </c>
      <c r="K2881" t="s">
        <v>42</v>
      </c>
      <c r="L2881" t="s">
        <v>43</v>
      </c>
      <c r="N2881" t="s">
        <v>44</v>
      </c>
      <c r="O2881" t="s">
        <v>1091</v>
      </c>
      <c r="Q2881">
        <v>29665</v>
      </c>
      <c r="R2881" t="s">
        <v>95</v>
      </c>
      <c r="S2881" t="s">
        <v>5690</v>
      </c>
      <c r="T2881">
        <v>22</v>
      </c>
      <c r="U2881" s="2" t="s">
        <v>17959</v>
      </c>
      <c r="W2881" t="s">
        <v>48</v>
      </c>
      <c r="X2881">
        <v>839231</v>
      </c>
      <c r="Y2881" t="s">
        <v>121</v>
      </c>
      <c r="Z2881" t="s">
        <v>122</v>
      </c>
      <c r="AA2881" s="2" t="s">
        <v>9740</v>
      </c>
      <c r="AB2881" t="s">
        <v>17960</v>
      </c>
      <c r="AG2881" t="s">
        <v>17961</v>
      </c>
      <c r="AH2881" t="s">
        <v>17962</v>
      </c>
      <c r="AI2881" t="s">
        <v>17963</v>
      </c>
    </row>
    <row r="2882" spans="2:35" ht="409.5">
      <c r="B2882" s="1">
        <v>45590</v>
      </c>
      <c r="C2882" s="1">
        <v>45589</v>
      </c>
      <c r="D2882" t="s">
        <v>1081</v>
      </c>
      <c r="E2882" t="s">
        <v>17964</v>
      </c>
      <c r="F2882" t="s">
        <v>148</v>
      </c>
      <c r="G2882" t="s">
        <v>785</v>
      </c>
      <c r="H2882" t="s">
        <v>39</v>
      </c>
      <c r="I2882" t="s">
        <v>94</v>
      </c>
      <c r="J2882" t="s">
        <v>109</v>
      </c>
      <c r="K2882" t="s">
        <v>42</v>
      </c>
      <c r="L2882" t="s">
        <v>43</v>
      </c>
      <c r="N2882" t="s">
        <v>44</v>
      </c>
      <c r="Q2882">
        <v>29663</v>
      </c>
      <c r="R2882" t="s">
        <v>95</v>
      </c>
      <c r="S2882" t="s">
        <v>2016</v>
      </c>
      <c r="T2882">
        <v>22</v>
      </c>
      <c r="U2882" s="2" t="s">
        <v>17965</v>
      </c>
      <c r="W2882" t="s">
        <v>5136</v>
      </c>
      <c r="X2882">
        <v>110015767</v>
      </c>
      <c r="Y2882" t="s">
        <v>121</v>
      </c>
      <c r="Z2882" t="s">
        <v>122</v>
      </c>
      <c r="AA2882" s="2" t="s">
        <v>9744</v>
      </c>
      <c r="AB2882" t="s">
        <v>548</v>
      </c>
      <c r="AG2882" t="s">
        <v>17966</v>
      </c>
      <c r="AH2882" t="s">
        <v>17967</v>
      </c>
      <c r="AI2882" t="s">
        <v>17968</v>
      </c>
    </row>
    <row r="2883" spans="2:35" ht="409.5">
      <c r="B2883" s="1">
        <v>45590</v>
      </c>
      <c r="C2883" s="1">
        <v>45587</v>
      </c>
      <c r="D2883" t="s">
        <v>1099</v>
      </c>
      <c r="E2883" t="s">
        <v>4002</v>
      </c>
      <c r="F2883" t="s">
        <v>148</v>
      </c>
      <c r="G2883" t="s">
        <v>406</v>
      </c>
      <c r="H2883" t="s">
        <v>39</v>
      </c>
      <c r="I2883" t="s">
        <v>40</v>
      </c>
      <c r="J2883" t="s">
        <v>109</v>
      </c>
      <c r="K2883" t="s">
        <v>42</v>
      </c>
      <c r="L2883" t="s">
        <v>43</v>
      </c>
      <c r="N2883" t="s">
        <v>44</v>
      </c>
      <c r="O2883" t="s">
        <v>1091</v>
      </c>
      <c r="Q2883">
        <v>29664</v>
      </c>
      <c r="R2883" t="s">
        <v>95</v>
      </c>
      <c r="S2883" t="s">
        <v>5690</v>
      </c>
      <c r="T2883">
        <v>22</v>
      </c>
      <c r="U2883" s="2" t="s">
        <v>17969</v>
      </c>
      <c r="W2883" t="s">
        <v>153</v>
      </c>
      <c r="X2883">
        <v>120002383</v>
      </c>
      <c r="Y2883" t="s">
        <v>121</v>
      </c>
      <c r="Z2883" t="s">
        <v>1695</v>
      </c>
      <c r="AA2883" s="2" t="s">
        <v>123</v>
      </c>
      <c r="AB2883" t="s">
        <v>548</v>
      </c>
      <c r="AG2883" t="s">
        <v>17970</v>
      </c>
      <c r="AH2883" t="s">
        <v>17971</v>
      </c>
      <c r="AI2883" t="s">
        <v>17972</v>
      </c>
    </row>
    <row r="2884" spans="2:35" ht="60">
      <c r="B2884" s="1">
        <v>45589</v>
      </c>
      <c r="C2884" s="1">
        <v>45589</v>
      </c>
      <c r="D2884" t="s">
        <v>855</v>
      </c>
      <c r="E2884" t="s">
        <v>17242</v>
      </c>
      <c r="F2884" t="s">
        <v>148</v>
      </c>
      <c r="G2884" t="s">
        <v>310</v>
      </c>
      <c r="H2884" t="s">
        <v>39</v>
      </c>
      <c r="I2884" t="s">
        <v>40</v>
      </c>
      <c r="J2884" s="2" t="s">
        <v>760</v>
      </c>
      <c r="K2884" t="s">
        <v>42</v>
      </c>
      <c r="L2884" t="s">
        <v>857</v>
      </c>
      <c r="N2884" t="s">
        <v>858</v>
      </c>
      <c r="Q2884">
        <v>29662</v>
      </c>
      <c r="R2884" t="s">
        <v>322</v>
      </c>
      <c r="S2884" t="s">
        <v>859</v>
      </c>
      <c r="T2884">
        <v>22</v>
      </c>
      <c r="W2884" t="s">
        <v>860</v>
      </c>
      <c r="X2884">
        <v>809643</v>
      </c>
      <c r="Y2884" t="s">
        <v>17973</v>
      </c>
      <c r="Z2884" t="s">
        <v>17974</v>
      </c>
      <c r="AA2884" t="s">
        <v>17975</v>
      </c>
      <c r="AB2884" t="s">
        <v>17976</v>
      </c>
      <c r="AG2884" t="s">
        <v>17977</v>
      </c>
      <c r="AH2884" t="s">
        <v>6762</v>
      </c>
      <c r="AI2884" t="s">
        <v>17978</v>
      </c>
    </row>
    <row r="2885" spans="2:35">
      <c r="B2885" s="1">
        <v>45589</v>
      </c>
      <c r="C2885" s="1">
        <v>45589</v>
      </c>
      <c r="D2885" t="s">
        <v>3679</v>
      </c>
      <c r="E2885" t="s">
        <v>13608</v>
      </c>
      <c r="F2885" t="s">
        <v>148</v>
      </c>
      <c r="G2885" t="s">
        <v>447</v>
      </c>
      <c r="H2885" t="s">
        <v>386</v>
      </c>
      <c r="I2885" t="s">
        <v>40</v>
      </c>
      <c r="J2885" t="s">
        <v>79</v>
      </c>
      <c r="K2885" t="s">
        <v>42</v>
      </c>
      <c r="L2885" t="s">
        <v>15532</v>
      </c>
      <c r="N2885" t="s">
        <v>15533</v>
      </c>
      <c r="Q2885">
        <v>29661</v>
      </c>
      <c r="R2885" t="s">
        <v>322</v>
      </c>
      <c r="S2885" t="s">
        <v>3689</v>
      </c>
      <c r="T2885">
        <v>27</v>
      </c>
      <c r="V2885" s="1">
        <v>45588</v>
      </c>
      <c r="W2885" t="s">
        <v>390</v>
      </c>
      <c r="X2885" t="s">
        <v>3690</v>
      </c>
      <c r="Y2885" t="s">
        <v>17979</v>
      </c>
      <c r="Z2885" t="s">
        <v>17980</v>
      </c>
      <c r="AA2885" t="s">
        <v>914</v>
      </c>
      <c r="AB2885" t="s">
        <v>4741</v>
      </c>
      <c r="AD2885" t="s">
        <v>17981</v>
      </c>
      <c r="AE2885">
        <v>12270</v>
      </c>
      <c r="AG2885" t="s">
        <v>17982</v>
      </c>
      <c r="AH2885" t="s">
        <v>17983</v>
      </c>
      <c r="AI2885" t="s">
        <v>17984</v>
      </c>
    </row>
    <row r="2886" spans="2:35" ht="405">
      <c r="B2886" s="1">
        <v>45589</v>
      </c>
      <c r="C2886" s="1">
        <v>45589</v>
      </c>
      <c r="D2886" t="s">
        <v>8160</v>
      </c>
      <c r="E2886" t="s">
        <v>15636</v>
      </c>
      <c r="F2886">
        <v>11</v>
      </c>
      <c r="G2886" t="s">
        <v>1205</v>
      </c>
      <c r="H2886" t="s">
        <v>202</v>
      </c>
      <c r="I2886" t="s">
        <v>40</v>
      </c>
      <c r="J2886" s="2" t="s">
        <v>190</v>
      </c>
      <c r="K2886" t="s">
        <v>42</v>
      </c>
      <c r="L2886" t="s">
        <v>204</v>
      </c>
      <c r="N2886" t="s">
        <v>205</v>
      </c>
      <c r="O2886" t="s">
        <v>8162</v>
      </c>
      <c r="Q2886">
        <v>29660</v>
      </c>
      <c r="R2886" t="s">
        <v>119</v>
      </c>
      <c r="S2886" t="s">
        <v>8163</v>
      </c>
      <c r="T2886">
        <v>27.5</v>
      </c>
      <c r="U2886" s="2" t="s">
        <v>17985</v>
      </c>
      <c r="W2886" t="s">
        <v>208</v>
      </c>
      <c r="X2886">
        <v>838401</v>
      </c>
      <c r="Y2886" t="s">
        <v>17986</v>
      </c>
      <c r="Z2886" s="2" t="s">
        <v>17987</v>
      </c>
      <c r="AA2886" t="s">
        <v>17988</v>
      </c>
      <c r="AB2886" t="s">
        <v>17989</v>
      </c>
      <c r="AG2886" t="s">
        <v>17990</v>
      </c>
      <c r="AH2886" t="s">
        <v>17991</v>
      </c>
      <c r="AI2886" t="s">
        <v>17992</v>
      </c>
    </row>
    <row r="2887" spans="2:35" ht="135">
      <c r="B2887" s="1">
        <v>45589</v>
      </c>
      <c r="C2887" s="1">
        <v>45589</v>
      </c>
      <c r="D2887" t="s">
        <v>7662</v>
      </c>
      <c r="E2887" t="s">
        <v>14902</v>
      </c>
      <c r="F2887">
        <v>9</v>
      </c>
      <c r="G2887" t="s">
        <v>2903</v>
      </c>
      <c r="H2887" t="s">
        <v>39</v>
      </c>
      <c r="I2887" t="s">
        <v>94</v>
      </c>
      <c r="J2887" s="2" t="s">
        <v>17993</v>
      </c>
      <c r="K2887" t="s">
        <v>42</v>
      </c>
      <c r="L2887" t="s">
        <v>1257</v>
      </c>
      <c r="N2887" t="s">
        <v>1258</v>
      </c>
      <c r="O2887" t="s">
        <v>1258</v>
      </c>
      <c r="Q2887">
        <v>29659</v>
      </c>
      <c r="R2887" t="s">
        <v>119</v>
      </c>
      <c r="S2887" t="s">
        <v>17994</v>
      </c>
      <c r="T2887">
        <v>28</v>
      </c>
      <c r="U2887" s="2" t="s">
        <v>17995</v>
      </c>
      <c r="V2887" s="1">
        <v>45540</v>
      </c>
      <c r="W2887" t="s">
        <v>17323</v>
      </c>
      <c r="X2887">
        <v>838536</v>
      </c>
      <c r="Y2887" t="s">
        <v>301</v>
      </c>
      <c r="Z2887" t="s">
        <v>17996</v>
      </c>
      <c r="AA2887" t="s">
        <v>17996</v>
      </c>
      <c r="AB2887" t="s">
        <v>17997</v>
      </c>
      <c r="AC2887" t="s">
        <v>301</v>
      </c>
      <c r="AD2887" t="s">
        <v>5255</v>
      </c>
      <c r="AE2887">
        <v>12035</v>
      </c>
      <c r="AG2887" t="s">
        <v>17998</v>
      </c>
      <c r="AH2887" t="s">
        <v>17999</v>
      </c>
      <c r="AI2887" t="s">
        <v>18000</v>
      </c>
    </row>
    <row r="2888" spans="2:35" ht="105">
      <c r="B2888" s="1">
        <v>45589</v>
      </c>
      <c r="C2888" s="1">
        <v>45589</v>
      </c>
      <c r="D2888" t="s">
        <v>18001</v>
      </c>
      <c r="E2888" t="s">
        <v>18002</v>
      </c>
      <c r="F2888">
        <v>7</v>
      </c>
      <c r="G2888" t="s">
        <v>432</v>
      </c>
      <c r="H2888" t="s">
        <v>10969</v>
      </c>
      <c r="I2888" t="s">
        <v>40</v>
      </c>
      <c r="J2888" t="s">
        <v>109</v>
      </c>
      <c r="K2888" t="s">
        <v>42</v>
      </c>
      <c r="L2888" t="s">
        <v>1288</v>
      </c>
      <c r="N2888" t="s">
        <v>1289</v>
      </c>
      <c r="Q2888">
        <v>29658</v>
      </c>
      <c r="R2888" t="s">
        <v>119</v>
      </c>
      <c r="S2888" t="s">
        <v>16307</v>
      </c>
      <c r="T2888">
        <v>25</v>
      </c>
      <c r="U2888" s="2" t="s">
        <v>18003</v>
      </c>
      <c r="W2888" t="s">
        <v>1292</v>
      </c>
      <c r="X2888">
        <v>837661</v>
      </c>
      <c r="Y2888" t="s">
        <v>1529</v>
      </c>
      <c r="Z2888" t="s">
        <v>16600</v>
      </c>
      <c r="AA2888" t="e">
        <f ca="1">-PERFORM Preventive Maintenance PROCEDURE
-_xludf.Clean FAN _xludf.filter, plunger rod, _xludf.and PROBES</f>
        <v>#NAME?</v>
      </c>
      <c r="AB2888" t="s">
        <v>1293</v>
      </c>
      <c r="AG2888" t="s">
        <v>18004</v>
      </c>
      <c r="AH2888" t="s">
        <v>14408</v>
      </c>
      <c r="AI2888" t="s">
        <v>18005</v>
      </c>
    </row>
    <row r="2889" spans="2:35" ht="180">
      <c r="B2889" s="1">
        <v>45588</v>
      </c>
      <c r="C2889" s="1">
        <v>45588</v>
      </c>
      <c r="D2889" t="s">
        <v>18006</v>
      </c>
      <c r="E2889" t="s">
        <v>14910</v>
      </c>
      <c r="F2889">
        <v>11</v>
      </c>
      <c r="G2889" t="s">
        <v>1205</v>
      </c>
      <c r="H2889" t="s">
        <v>8418</v>
      </c>
      <c r="I2889" t="s">
        <v>40</v>
      </c>
      <c r="J2889" s="2" t="s">
        <v>4208</v>
      </c>
      <c r="K2889" t="s">
        <v>387</v>
      </c>
      <c r="L2889" t="s">
        <v>204</v>
      </c>
      <c r="N2889" t="s">
        <v>205</v>
      </c>
      <c r="O2889" t="s">
        <v>2867</v>
      </c>
      <c r="Q2889">
        <v>29657</v>
      </c>
      <c r="R2889" t="s">
        <v>95</v>
      </c>
      <c r="S2889" t="s">
        <v>4675</v>
      </c>
      <c r="T2889">
        <v>25.8</v>
      </c>
      <c r="W2889" t="s">
        <v>390</v>
      </c>
      <c r="X2889" t="s">
        <v>4676</v>
      </c>
      <c r="Y2889" t="s">
        <v>18007</v>
      </c>
      <c r="Z2889" t="s">
        <v>18008</v>
      </c>
      <c r="AA2889" t="s">
        <v>18009</v>
      </c>
      <c r="AB2889" s="2" t="s">
        <v>18010</v>
      </c>
      <c r="AC2889" t="s">
        <v>18011</v>
      </c>
      <c r="AG2889" t="s">
        <v>18012</v>
      </c>
      <c r="AH2889" t="s">
        <v>18013</v>
      </c>
      <c r="AI2889" t="s">
        <v>18014</v>
      </c>
    </row>
    <row r="2890" spans="2:35" ht="105">
      <c r="B2890" s="1">
        <v>45588</v>
      </c>
      <c r="C2890" s="1">
        <v>45588</v>
      </c>
      <c r="D2890" t="s">
        <v>18015</v>
      </c>
      <c r="E2890" t="s">
        <v>15261</v>
      </c>
      <c r="F2890">
        <v>9</v>
      </c>
      <c r="G2890" t="s">
        <v>2903</v>
      </c>
      <c r="H2890" t="s">
        <v>39</v>
      </c>
      <c r="I2890" t="s">
        <v>40</v>
      </c>
      <c r="J2890" s="2" t="s">
        <v>1808</v>
      </c>
      <c r="K2890" t="s">
        <v>42</v>
      </c>
      <c r="L2890" t="s">
        <v>1257</v>
      </c>
      <c r="N2890" t="s">
        <v>1258</v>
      </c>
      <c r="O2890" t="s">
        <v>1258</v>
      </c>
      <c r="Q2890">
        <v>29656</v>
      </c>
      <c r="R2890" t="s">
        <v>967</v>
      </c>
      <c r="S2890" t="s">
        <v>12438</v>
      </c>
      <c r="T2890">
        <v>27</v>
      </c>
      <c r="U2890" s="2" t="s">
        <v>324</v>
      </c>
      <c r="V2890" s="1">
        <v>45588</v>
      </c>
      <c r="W2890" t="s">
        <v>18016</v>
      </c>
      <c r="X2890">
        <v>110023516</v>
      </c>
      <c r="Y2890" t="s">
        <v>18017</v>
      </c>
      <c r="Z2890" t="s">
        <v>18018</v>
      </c>
      <c r="AA2890" t="s">
        <v>18018</v>
      </c>
      <c r="AB2890" t="s">
        <v>3463</v>
      </c>
      <c r="AC2890" t="s">
        <v>18019</v>
      </c>
      <c r="AD2890" t="s">
        <v>54</v>
      </c>
      <c r="AE2890" t="s">
        <v>54</v>
      </c>
      <c r="AG2890" t="s">
        <v>18020</v>
      </c>
      <c r="AH2890" t="s">
        <v>15266</v>
      </c>
      <c r="AI2890" t="s">
        <v>18021</v>
      </c>
    </row>
    <row r="2891" spans="2:35" ht="135">
      <c r="B2891" s="1">
        <v>45588</v>
      </c>
      <c r="C2891" s="1">
        <v>45588</v>
      </c>
      <c r="D2891" t="s">
        <v>18015</v>
      </c>
      <c r="E2891" t="s">
        <v>15261</v>
      </c>
      <c r="F2891">
        <v>9</v>
      </c>
      <c r="G2891" t="s">
        <v>2903</v>
      </c>
      <c r="H2891" t="s">
        <v>39</v>
      </c>
      <c r="I2891" t="s">
        <v>40</v>
      </c>
      <c r="J2891" s="2" t="s">
        <v>18022</v>
      </c>
      <c r="K2891" t="s">
        <v>42</v>
      </c>
      <c r="L2891" t="s">
        <v>1257</v>
      </c>
      <c r="N2891" t="s">
        <v>1258</v>
      </c>
      <c r="O2891" t="s">
        <v>1258</v>
      </c>
      <c r="Q2891">
        <v>29655</v>
      </c>
      <c r="R2891" t="s">
        <v>967</v>
      </c>
      <c r="S2891" t="s">
        <v>12438</v>
      </c>
      <c r="T2891">
        <v>27</v>
      </c>
      <c r="U2891" s="2" t="s">
        <v>324</v>
      </c>
      <c r="V2891" s="1">
        <v>45588</v>
      </c>
      <c r="W2891" t="s">
        <v>17323</v>
      </c>
      <c r="X2891">
        <v>110023516</v>
      </c>
      <c r="Y2891" t="s">
        <v>18017</v>
      </c>
      <c r="Z2891" t="s">
        <v>18018</v>
      </c>
      <c r="AA2891" t="s">
        <v>18018</v>
      </c>
      <c r="AB2891" t="s">
        <v>3463</v>
      </c>
      <c r="AC2891" t="s">
        <v>18023</v>
      </c>
      <c r="AD2891" t="s">
        <v>54</v>
      </c>
      <c r="AE2891" t="s">
        <v>54</v>
      </c>
      <c r="AG2891" t="s">
        <v>18020</v>
      </c>
      <c r="AH2891" t="s">
        <v>15266</v>
      </c>
      <c r="AI2891" t="s">
        <v>18021</v>
      </c>
    </row>
    <row r="2892" spans="2:35" ht="375">
      <c r="B2892" s="1">
        <v>45588</v>
      </c>
      <c r="C2892" s="1">
        <v>45587</v>
      </c>
      <c r="D2892" t="s">
        <v>5903</v>
      </c>
      <c r="E2892" t="s">
        <v>2569</v>
      </c>
      <c r="F2892" t="s">
        <v>148</v>
      </c>
      <c r="G2892" t="s">
        <v>447</v>
      </c>
      <c r="H2892" t="s">
        <v>662</v>
      </c>
      <c r="I2892" t="s">
        <v>40</v>
      </c>
      <c r="J2892" s="2" t="s">
        <v>355</v>
      </c>
      <c r="K2892" t="s">
        <v>42</v>
      </c>
      <c r="L2892" t="s">
        <v>448</v>
      </c>
      <c r="N2892" t="s">
        <v>450</v>
      </c>
      <c r="Q2892">
        <v>29654</v>
      </c>
      <c r="R2892" t="s">
        <v>322</v>
      </c>
      <c r="S2892" t="s">
        <v>3987</v>
      </c>
      <c r="T2892">
        <v>26</v>
      </c>
      <c r="U2892" s="2" t="s">
        <v>18024</v>
      </c>
      <c r="W2892" t="s">
        <v>895</v>
      </c>
      <c r="X2892">
        <v>110014171</v>
      </c>
      <c r="Y2892" t="s">
        <v>18025</v>
      </c>
      <c r="Z2892" s="2" t="s">
        <v>18026</v>
      </c>
      <c r="AA2892" t="s">
        <v>18027</v>
      </c>
      <c r="AB2892" t="s">
        <v>656</v>
      </c>
      <c r="AG2892" t="s">
        <v>18028</v>
      </c>
      <c r="AH2892" t="s">
        <v>12852</v>
      </c>
      <c r="AI2892" t="s">
        <v>18029</v>
      </c>
    </row>
    <row r="2893" spans="2:35" ht="60">
      <c r="B2893" s="1">
        <v>45587</v>
      </c>
      <c r="C2893" s="1">
        <v>45587</v>
      </c>
      <c r="D2893" t="s">
        <v>9958</v>
      </c>
      <c r="E2893" t="s">
        <v>18030</v>
      </c>
      <c r="F2893" t="s">
        <v>148</v>
      </c>
      <c r="G2893" t="s">
        <v>310</v>
      </c>
      <c r="H2893" t="s">
        <v>18031</v>
      </c>
      <c r="I2893" t="s">
        <v>40</v>
      </c>
      <c r="J2893" s="2" t="s">
        <v>62</v>
      </c>
      <c r="K2893" t="s">
        <v>2629</v>
      </c>
      <c r="L2893" t="s">
        <v>409</v>
      </c>
      <c r="N2893" t="s">
        <v>410</v>
      </c>
      <c r="Q2893">
        <v>29653</v>
      </c>
      <c r="R2893" t="s">
        <v>95</v>
      </c>
      <c r="S2893" t="s">
        <v>18032</v>
      </c>
      <c r="T2893">
        <v>25</v>
      </c>
      <c r="W2893" t="s">
        <v>18033</v>
      </c>
      <c r="X2893">
        <v>3135010036</v>
      </c>
      <c r="Y2893" t="s">
        <v>54</v>
      </c>
      <c r="Z2893" t="s">
        <v>54</v>
      </c>
      <c r="AA2893" t="s">
        <v>17677</v>
      </c>
      <c r="AB2893" t="s">
        <v>70</v>
      </c>
      <c r="AG2893" t="s">
        <v>18034</v>
      </c>
      <c r="AH2893" t="s">
        <v>18035</v>
      </c>
      <c r="AI2893" t="s">
        <v>18036</v>
      </c>
    </row>
    <row r="2894" spans="2:35" ht="60">
      <c r="B2894" s="1">
        <v>45587</v>
      </c>
      <c r="C2894" s="1">
        <v>45587</v>
      </c>
      <c r="D2894" t="s">
        <v>9958</v>
      </c>
      <c r="E2894" t="s">
        <v>18030</v>
      </c>
      <c r="F2894" t="s">
        <v>148</v>
      </c>
      <c r="G2894" t="s">
        <v>310</v>
      </c>
      <c r="H2894" t="s">
        <v>18031</v>
      </c>
      <c r="I2894" t="s">
        <v>40</v>
      </c>
      <c r="J2894" s="2" t="s">
        <v>62</v>
      </c>
      <c r="K2894" t="s">
        <v>2629</v>
      </c>
      <c r="L2894" t="s">
        <v>409</v>
      </c>
      <c r="N2894" t="s">
        <v>410</v>
      </c>
      <c r="Q2894">
        <v>29652</v>
      </c>
      <c r="R2894" t="s">
        <v>95</v>
      </c>
      <c r="S2894" t="s">
        <v>18032</v>
      </c>
      <c r="T2894">
        <v>25</v>
      </c>
      <c r="W2894" t="s">
        <v>18037</v>
      </c>
      <c r="X2894">
        <v>3947010025</v>
      </c>
      <c r="Y2894" t="s">
        <v>54</v>
      </c>
      <c r="Z2894" t="s">
        <v>54</v>
      </c>
      <c r="AA2894" t="s">
        <v>17677</v>
      </c>
      <c r="AB2894" t="s">
        <v>181</v>
      </c>
      <c r="AG2894" t="s">
        <v>18038</v>
      </c>
      <c r="AH2894" t="s">
        <v>18035</v>
      </c>
      <c r="AI2894" t="s">
        <v>18039</v>
      </c>
    </row>
    <row r="2895" spans="2:35" ht="60">
      <c r="B2895" s="1">
        <v>45587</v>
      </c>
      <c r="C2895" s="1">
        <v>45587</v>
      </c>
      <c r="D2895" t="s">
        <v>9958</v>
      </c>
      <c r="E2895" t="s">
        <v>18030</v>
      </c>
      <c r="F2895" t="s">
        <v>148</v>
      </c>
      <c r="G2895" t="s">
        <v>310</v>
      </c>
      <c r="H2895" t="s">
        <v>18031</v>
      </c>
      <c r="I2895" t="s">
        <v>40</v>
      </c>
      <c r="J2895" s="2" t="s">
        <v>62</v>
      </c>
      <c r="K2895" t="s">
        <v>2629</v>
      </c>
      <c r="L2895" t="s">
        <v>409</v>
      </c>
      <c r="N2895" t="s">
        <v>410</v>
      </c>
      <c r="Q2895">
        <v>29650</v>
      </c>
      <c r="R2895" t="s">
        <v>95</v>
      </c>
      <c r="S2895" t="s">
        <v>18032</v>
      </c>
      <c r="T2895">
        <v>25</v>
      </c>
      <c r="W2895" t="s">
        <v>18040</v>
      </c>
      <c r="X2895">
        <v>3116003729</v>
      </c>
      <c r="Y2895" t="s">
        <v>18041</v>
      </c>
      <c r="Z2895" t="s">
        <v>54</v>
      </c>
      <c r="AA2895" t="s">
        <v>18042</v>
      </c>
      <c r="AB2895" t="s">
        <v>181</v>
      </c>
      <c r="AG2895" t="s">
        <v>18043</v>
      </c>
      <c r="AH2895" t="s">
        <v>18035</v>
      </c>
      <c r="AI2895" t="s">
        <v>18044</v>
      </c>
    </row>
    <row r="2896" spans="2:35" ht="60">
      <c r="B2896" s="1">
        <v>45587</v>
      </c>
      <c r="C2896" s="1">
        <v>45587</v>
      </c>
      <c r="D2896" t="s">
        <v>9958</v>
      </c>
      <c r="E2896" t="s">
        <v>18030</v>
      </c>
      <c r="F2896" t="s">
        <v>148</v>
      </c>
      <c r="G2896" t="s">
        <v>310</v>
      </c>
      <c r="H2896" t="s">
        <v>18031</v>
      </c>
      <c r="I2896" t="s">
        <v>40</v>
      </c>
      <c r="J2896" s="2" t="s">
        <v>62</v>
      </c>
      <c r="K2896" t="s">
        <v>2629</v>
      </c>
      <c r="L2896" t="s">
        <v>409</v>
      </c>
      <c r="N2896" t="s">
        <v>410</v>
      </c>
      <c r="Q2896">
        <v>29651</v>
      </c>
      <c r="R2896" t="s">
        <v>95</v>
      </c>
      <c r="S2896" t="s">
        <v>18032</v>
      </c>
      <c r="T2896">
        <v>25</v>
      </c>
      <c r="W2896" t="s">
        <v>18040</v>
      </c>
      <c r="X2896">
        <v>3116006880</v>
      </c>
      <c r="Y2896" t="s">
        <v>18045</v>
      </c>
      <c r="Z2896" t="s">
        <v>54</v>
      </c>
      <c r="AA2896" t="s">
        <v>17677</v>
      </c>
      <c r="AB2896" t="s">
        <v>181</v>
      </c>
      <c r="AC2896" t="s">
        <v>18046</v>
      </c>
      <c r="AG2896" t="s">
        <v>18047</v>
      </c>
      <c r="AH2896" t="s">
        <v>18035</v>
      </c>
      <c r="AI2896" t="s">
        <v>18048</v>
      </c>
    </row>
    <row r="2897" spans="2:35" ht="60">
      <c r="B2897" s="1">
        <v>45587</v>
      </c>
      <c r="C2897" s="1">
        <v>45587</v>
      </c>
      <c r="D2897" t="s">
        <v>9958</v>
      </c>
      <c r="E2897" t="s">
        <v>18030</v>
      </c>
      <c r="F2897" t="s">
        <v>148</v>
      </c>
      <c r="G2897" t="s">
        <v>310</v>
      </c>
      <c r="H2897" t="s">
        <v>18031</v>
      </c>
      <c r="I2897" t="s">
        <v>40</v>
      </c>
      <c r="J2897" s="2" t="s">
        <v>62</v>
      </c>
      <c r="K2897" t="s">
        <v>2629</v>
      </c>
      <c r="L2897" t="s">
        <v>409</v>
      </c>
      <c r="N2897" t="s">
        <v>410</v>
      </c>
      <c r="Q2897">
        <v>29647</v>
      </c>
      <c r="R2897" t="s">
        <v>95</v>
      </c>
      <c r="S2897" t="s">
        <v>18032</v>
      </c>
      <c r="T2897">
        <v>25</v>
      </c>
      <c r="W2897" t="s">
        <v>18037</v>
      </c>
      <c r="X2897">
        <v>3947010021</v>
      </c>
      <c r="Y2897" t="s">
        <v>18049</v>
      </c>
      <c r="Z2897" t="s">
        <v>54</v>
      </c>
      <c r="AA2897" t="s">
        <v>17677</v>
      </c>
      <c r="AB2897" t="s">
        <v>181</v>
      </c>
      <c r="AC2897" t="s">
        <v>18050</v>
      </c>
      <c r="AG2897" t="s">
        <v>18051</v>
      </c>
      <c r="AH2897" t="s">
        <v>18035</v>
      </c>
      <c r="AI2897" t="s">
        <v>18052</v>
      </c>
    </row>
    <row r="2898" spans="2:35">
      <c r="B2898" s="1">
        <v>45587</v>
      </c>
      <c r="C2898" s="1">
        <v>45587</v>
      </c>
      <c r="D2898" t="s">
        <v>9958</v>
      </c>
      <c r="E2898" t="s">
        <v>18053</v>
      </c>
      <c r="F2898" t="s">
        <v>148</v>
      </c>
      <c r="G2898" t="s">
        <v>310</v>
      </c>
      <c r="H2898" t="s">
        <v>18031</v>
      </c>
      <c r="I2898" t="s">
        <v>40</v>
      </c>
      <c r="J2898" t="s">
        <v>321</v>
      </c>
      <c r="K2898" t="s">
        <v>2629</v>
      </c>
      <c r="L2898" t="s">
        <v>409</v>
      </c>
      <c r="N2898" t="s">
        <v>410</v>
      </c>
      <c r="Q2898">
        <v>29645</v>
      </c>
      <c r="R2898" t="s">
        <v>95</v>
      </c>
      <c r="S2898" t="s">
        <v>18032</v>
      </c>
      <c r="T2898">
        <v>25</v>
      </c>
      <c r="V2898" s="1">
        <v>45582</v>
      </c>
      <c r="W2898" t="s">
        <v>18037</v>
      </c>
      <c r="X2898">
        <v>3947020968</v>
      </c>
      <c r="Y2898" t="s">
        <v>54</v>
      </c>
      <c r="Z2898" t="s">
        <v>54</v>
      </c>
      <c r="AA2898" t="s">
        <v>13110</v>
      </c>
      <c r="AB2898" t="s">
        <v>181</v>
      </c>
      <c r="AD2898" t="s">
        <v>54</v>
      </c>
      <c r="AE2898" t="s">
        <v>18054</v>
      </c>
      <c r="AG2898" t="s">
        <v>18055</v>
      </c>
      <c r="AH2898" t="s">
        <v>18035</v>
      </c>
      <c r="AI2898" t="s">
        <v>18056</v>
      </c>
    </row>
    <row r="2899" spans="2:35" ht="60">
      <c r="B2899" s="1">
        <v>45587</v>
      </c>
      <c r="C2899" s="1">
        <v>45587</v>
      </c>
      <c r="D2899" t="s">
        <v>9958</v>
      </c>
      <c r="E2899" t="s">
        <v>18030</v>
      </c>
      <c r="F2899" t="s">
        <v>148</v>
      </c>
      <c r="G2899" t="s">
        <v>310</v>
      </c>
      <c r="H2899" t="s">
        <v>18031</v>
      </c>
      <c r="I2899" t="s">
        <v>40</v>
      </c>
      <c r="J2899" s="2" t="s">
        <v>62</v>
      </c>
      <c r="K2899" t="s">
        <v>2629</v>
      </c>
      <c r="L2899" t="s">
        <v>409</v>
      </c>
      <c r="N2899" t="s">
        <v>18057</v>
      </c>
      <c r="Q2899">
        <v>29648</v>
      </c>
      <c r="R2899" t="s">
        <v>95</v>
      </c>
      <c r="S2899" t="s">
        <v>18032</v>
      </c>
      <c r="T2899">
        <v>25</v>
      </c>
      <c r="W2899" t="s">
        <v>18058</v>
      </c>
      <c r="X2899">
        <v>3134006922</v>
      </c>
      <c r="Y2899" t="s">
        <v>18059</v>
      </c>
      <c r="Z2899" t="s">
        <v>301</v>
      </c>
      <c r="AA2899" t="s">
        <v>17677</v>
      </c>
      <c r="AB2899" t="s">
        <v>181</v>
      </c>
      <c r="AC2899" t="s">
        <v>18060</v>
      </c>
      <c r="AG2899" t="s">
        <v>18061</v>
      </c>
      <c r="AH2899" t="s">
        <v>18035</v>
      </c>
      <c r="AI2899" t="s">
        <v>18062</v>
      </c>
    </row>
    <row r="2900" spans="2:35">
      <c r="B2900" s="1">
        <v>45587</v>
      </c>
      <c r="C2900" s="1">
        <v>45587</v>
      </c>
      <c r="D2900" t="s">
        <v>9958</v>
      </c>
      <c r="E2900" t="s">
        <v>18063</v>
      </c>
      <c r="F2900" t="s">
        <v>148</v>
      </c>
      <c r="G2900" t="s">
        <v>310</v>
      </c>
      <c r="H2900" t="s">
        <v>18031</v>
      </c>
      <c r="I2900" t="s">
        <v>40</v>
      </c>
      <c r="J2900" t="s">
        <v>321</v>
      </c>
      <c r="K2900" t="s">
        <v>2629</v>
      </c>
      <c r="L2900" t="s">
        <v>409</v>
      </c>
      <c r="N2900" t="s">
        <v>410</v>
      </c>
      <c r="Q2900">
        <v>29646</v>
      </c>
      <c r="R2900" t="s">
        <v>95</v>
      </c>
      <c r="S2900" t="s">
        <v>18032</v>
      </c>
      <c r="T2900">
        <v>25</v>
      </c>
      <c r="V2900" s="1">
        <v>45582</v>
      </c>
      <c r="W2900" t="s">
        <v>18037</v>
      </c>
      <c r="X2900">
        <v>3947020967</v>
      </c>
      <c r="Y2900" t="s">
        <v>54</v>
      </c>
      <c r="Z2900" t="s">
        <v>54</v>
      </c>
      <c r="AA2900" t="s">
        <v>13110</v>
      </c>
      <c r="AB2900" t="s">
        <v>181</v>
      </c>
      <c r="AD2900" t="s">
        <v>54</v>
      </c>
      <c r="AE2900" t="s">
        <v>18054</v>
      </c>
      <c r="AG2900" t="s">
        <v>18064</v>
      </c>
      <c r="AH2900" t="s">
        <v>18035</v>
      </c>
      <c r="AI2900" t="s">
        <v>18065</v>
      </c>
    </row>
    <row r="2901" spans="2:35" ht="60">
      <c r="B2901" s="1">
        <v>45587</v>
      </c>
      <c r="C2901" s="1">
        <v>45587</v>
      </c>
      <c r="D2901" t="s">
        <v>9958</v>
      </c>
      <c r="E2901" t="s">
        <v>18030</v>
      </c>
      <c r="F2901" t="s">
        <v>148</v>
      </c>
      <c r="G2901" t="s">
        <v>310</v>
      </c>
      <c r="H2901" t="s">
        <v>18031</v>
      </c>
      <c r="I2901" t="s">
        <v>40</v>
      </c>
      <c r="J2901" s="2" t="s">
        <v>62</v>
      </c>
      <c r="K2901" t="s">
        <v>2629</v>
      </c>
      <c r="L2901" t="s">
        <v>409</v>
      </c>
      <c r="N2901" t="s">
        <v>410</v>
      </c>
      <c r="Q2901">
        <v>29649</v>
      </c>
      <c r="R2901" t="s">
        <v>95</v>
      </c>
      <c r="S2901" t="s">
        <v>18032</v>
      </c>
      <c r="T2901">
        <v>25</v>
      </c>
      <c r="W2901" t="s">
        <v>18058</v>
      </c>
      <c r="X2901">
        <v>3134006954</v>
      </c>
      <c r="Y2901" t="s">
        <v>18066</v>
      </c>
      <c r="Z2901" t="s">
        <v>54</v>
      </c>
      <c r="AA2901" t="s">
        <v>17677</v>
      </c>
      <c r="AB2901" t="s">
        <v>181</v>
      </c>
      <c r="AC2901" t="s">
        <v>18067</v>
      </c>
      <c r="AG2901" t="s">
        <v>18068</v>
      </c>
      <c r="AH2901" t="s">
        <v>18035</v>
      </c>
      <c r="AI2901" t="s">
        <v>18069</v>
      </c>
    </row>
    <row r="2902" spans="2:35">
      <c r="B2902" s="1">
        <v>45587</v>
      </c>
      <c r="C2902" s="1">
        <v>45587</v>
      </c>
      <c r="D2902" t="s">
        <v>5517</v>
      </c>
      <c r="E2902" t="s">
        <v>370</v>
      </c>
      <c r="F2902" t="s">
        <v>148</v>
      </c>
      <c r="G2902" t="s">
        <v>371</v>
      </c>
      <c r="H2902" t="s">
        <v>39</v>
      </c>
      <c r="I2902" t="s">
        <v>40</v>
      </c>
      <c r="J2902" t="s">
        <v>109</v>
      </c>
      <c r="K2902" t="s">
        <v>42</v>
      </c>
      <c r="L2902" t="s">
        <v>175</v>
      </c>
      <c r="N2902" t="s">
        <v>176</v>
      </c>
      <c r="Q2902">
        <v>29644</v>
      </c>
      <c r="R2902" t="s">
        <v>703</v>
      </c>
      <c r="S2902" t="s">
        <v>5519</v>
      </c>
      <c r="T2902">
        <v>19</v>
      </c>
      <c r="W2902" t="s">
        <v>373</v>
      </c>
      <c r="X2902">
        <v>110018008</v>
      </c>
      <c r="Y2902" t="s">
        <v>374</v>
      </c>
      <c r="Z2902" t="s">
        <v>103</v>
      </c>
      <c r="AA2902" t="e">
        <f ca="1">- checked _xludf.and cleaned cartridge bay, plunger rod, _xludf.filter
- generated reports
- performed self test</f>
        <v>#NAME?</v>
      </c>
      <c r="AB2902" t="s">
        <v>181</v>
      </c>
      <c r="AG2902" t="s">
        <v>18070</v>
      </c>
      <c r="AH2902" t="s">
        <v>5521</v>
      </c>
      <c r="AI2902" t="s">
        <v>18071</v>
      </c>
    </row>
    <row r="2903" spans="2:35" ht="285">
      <c r="B2903" s="1">
        <v>45587</v>
      </c>
      <c r="C2903" s="1">
        <v>45587</v>
      </c>
      <c r="D2903" t="s">
        <v>3970</v>
      </c>
      <c r="E2903" t="s">
        <v>3971</v>
      </c>
      <c r="F2903">
        <v>9</v>
      </c>
      <c r="G2903" t="s">
        <v>2197</v>
      </c>
      <c r="H2903" t="s">
        <v>39</v>
      </c>
      <c r="I2903" t="s">
        <v>94</v>
      </c>
      <c r="J2903" t="s">
        <v>996</v>
      </c>
      <c r="K2903" t="s">
        <v>42</v>
      </c>
      <c r="L2903" t="s">
        <v>1257</v>
      </c>
      <c r="N2903" t="s">
        <v>1258</v>
      </c>
      <c r="O2903" t="s">
        <v>1258</v>
      </c>
      <c r="Q2903">
        <v>29643</v>
      </c>
      <c r="R2903" t="s">
        <v>119</v>
      </c>
      <c r="S2903" t="s">
        <v>18072</v>
      </c>
      <c r="T2903">
        <v>26</v>
      </c>
      <c r="U2903" s="2" t="s">
        <v>7461</v>
      </c>
      <c r="V2903" s="1">
        <v>45540</v>
      </c>
      <c r="W2903" t="s">
        <v>17323</v>
      </c>
      <c r="X2903">
        <v>838233</v>
      </c>
      <c r="Y2903" t="s">
        <v>301</v>
      </c>
      <c r="Z2903" t="s">
        <v>18073</v>
      </c>
      <c r="AA2903" t="s">
        <v>18073</v>
      </c>
      <c r="AB2903" s="2" t="s">
        <v>18074</v>
      </c>
      <c r="AC2903" t="s">
        <v>301</v>
      </c>
      <c r="AD2903" t="s">
        <v>5255</v>
      </c>
      <c r="AE2903">
        <v>12037</v>
      </c>
      <c r="AG2903" t="s">
        <v>18075</v>
      </c>
      <c r="AH2903" t="s">
        <v>18076</v>
      </c>
      <c r="AI2903" t="s">
        <v>18077</v>
      </c>
    </row>
    <row r="2904" spans="2:35" ht="315">
      <c r="B2904" s="1">
        <v>45587</v>
      </c>
      <c r="C2904" s="1">
        <v>45582</v>
      </c>
      <c r="D2904" t="s">
        <v>8748</v>
      </c>
      <c r="E2904" t="s">
        <v>18078</v>
      </c>
      <c r="F2904">
        <v>12</v>
      </c>
      <c r="G2904" t="s">
        <v>294</v>
      </c>
      <c r="H2904" t="s">
        <v>1473</v>
      </c>
      <c r="I2904" t="s">
        <v>40</v>
      </c>
      <c r="J2904" s="2" t="s">
        <v>62</v>
      </c>
      <c r="K2904" t="s">
        <v>42</v>
      </c>
      <c r="L2904" t="s">
        <v>296</v>
      </c>
      <c r="N2904" t="s">
        <v>297</v>
      </c>
      <c r="Q2904">
        <v>29642</v>
      </c>
      <c r="R2904" t="s">
        <v>119</v>
      </c>
      <c r="S2904" t="s">
        <v>8750</v>
      </c>
      <c r="T2904">
        <v>26.8</v>
      </c>
      <c r="U2904" s="2" t="s">
        <v>2367</v>
      </c>
      <c r="V2904" s="1">
        <v>45582</v>
      </c>
      <c r="W2904" t="s">
        <v>981</v>
      </c>
      <c r="X2904">
        <v>838556</v>
      </c>
      <c r="Y2904" t="s">
        <v>2376</v>
      </c>
      <c r="Z2904" s="2" t="s">
        <v>18079</v>
      </c>
      <c r="AA2904" s="2" t="s">
        <v>18080</v>
      </c>
      <c r="AB2904" s="2" t="s">
        <v>18081</v>
      </c>
      <c r="AD2904" s="2" t="s">
        <v>18082</v>
      </c>
      <c r="AE2904" t="s">
        <v>18083</v>
      </c>
      <c r="AG2904" t="s">
        <v>18084</v>
      </c>
      <c r="AH2904" t="s">
        <v>8754</v>
      </c>
      <c r="AI2904" t="s">
        <v>18085</v>
      </c>
    </row>
    <row r="2905" spans="2:35" ht="360">
      <c r="B2905" s="1">
        <v>45587</v>
      </c>
      <c r="C2905" s="1">
        <v>45583</v>
      </c>
      <c r="D2905" t="s">
        <v>4413</v>
      </c>
      <c r="E2905" t="s">
        <v>7497</v>
      </c>
      <c r="F2905">
        <v>12</v>
      </c>
      <c r="G2905" t="s">
        <v>978</v>
      </c>
      <c r="H2905" t="s">
        <v>1473</v>
      </c>
      <c r="I2905" t="s">
        <v>40</v>
      </c>
      <c r="J2905" s="2" t="s">
        <v>62</v>
      </c>
      <c r="K2905" t="s">
        <v>42</v>
      </c>
      <c r="L2905" t="s">
        <v>296</v>
      </c>
      <c r="N2905" t="s">
        <v>297</v>
      </c>
      <c r="Q2905">
        <v>29641</v>
      </c>
      <c r="R2905" t="s">
        <v>119</v>
      </c>
      <c r="S2905" t="s">
        <v>7498</v>
      </c>
      <c r="T2905">
        <v>26.4</v>
      </c>
      <c r="U2905" s="2" t="s">
        <v>18086</v>
      </c>
      <c r="V2905" s="1">
        <v>45583</v>
      </c>
      <c r="W2905" t="s">
        <v>981</v>
      </c>
      <c r="X2905">
        <v>838544</v>
      </c>
      <c r="Y2905" s="2" t="s">
        <v>18087</v>
      </c>
      <c r="Z2905" s="2" t="s">
        <v>17761</v>
      </c>
      <c r="AA2905" s="2" t="s">
        <v>18088</v>
      </c>
      <c r="AB2905" s="2" t="s">
        <v>18089</v>
      </c>
      <c r="AD2905" s="2" t="s">
        <v>17891</v>
      </c>
      <c r="AE2905" t="s">
        <v>18090</v>
      </c>
      <c r="AG2905" t="s">
        <v>18091</v>
      </c>
      <c r="AH2905" t="s">
        <v>18092</v>
      </c>
      <c r="AI2905" t="s">
        <v>18093</v>
      </c>
    </row>
    <row r="2906" spans="2:35" ht="240">
      <c r="B2906" s="1">
        <v>45586</v>
      </c>
      <c r="C2906" s="1">
        <v>45583</v>
      </c>
      <c r="D2906" t="s">
        <v>18094</v>
      </c>
      <c r="E2906" t="s">
        <v>18095</v>
      </c>
      <c r="F2906">
        <v>7</v>
      </c>
      <c r="G2906" t="s">
        <v>432</v>
      </c>
      <c r="H2906" t="s">
        <v>386</v>
      </c>
      <c r="I2906" t="s">
        <v>40</v>
      </c>
      <c r="J2906" s="2" t="s">
        <v>760</v>
      </c>
      <c r="K2906" t="s">
        <v>387</v>
      </c>
      <c r="L2906" t="s">
        <v>610</v>
      </c>
      <c r="N2906" t="s">
        <v>611</v>
      </c>
      <c r="Q2906">
        <v>29640</v>
      </c>
      <c r="R2906" t="s">
        <v>95</v>
      </c>
      <c r="S2906" t="s">
        <v>435</v>
      </c>
      <c r="T2906">
        <v>24</v>
      </c>
      <c r="W2906" t="s">
        <v>390</v>
      </c>
      <c r="X2906" t="s">
        <v>437</v>
      </c>
      <c r="Y2906" t="s">
        <v>18096</v>
      </c>
      <c r="Z2906" s="2" t="s">
        <v>18097</v>
      </c>
      <c r="AA2906" s="2" t="s">
        <v>18098</v>
      </c>
      <c r="AB2906" t="s">
        <v>18099</v>
      </c>
      <c r="AG2906" t="s">
        <v>18100</v>
      </c>
      <c r="AH2906" t="s">
        <v>18101</v>
      </c>
      <c r="AI2906" t="s">
        <v>18102</v>
      </c>
    </row>
    <row r="2907" spans="2:35" ht="360">
      <c r="B2907" s="1">
        <v>45586</v>
      </c>
      <c r="C2907" s="1">
        <v>45582</v>
      </c>
      <c r="D2907" t="s">
        <v>1071</v>
      </c>
      <c r="E2907" t="s">
        <v>1072</v>
      </c>
      <c r="F2907">
        <v>7</v>
      </c>
      <c r="G2907" t="s">
        <v>432</v>
      </c>
      <c r="H2907" t="s">
        <v>386</v>
      </c>
      <c r="I2907" t="s">
        <v>40</v>
      </c>
      <c r="J2907" t="s">
        <v>109</v>
      </c>
      <c r="K2907" t="s">
        <v>387</v>
      </c>
      <c r="L2907" t="s">
        <v>610</v>
      </c>
      <c r="N2907" t="s">
        <v>611</v>
      </c>
      <c r="Q2907">
        <v>29639</v>
      </c>
      <c r="R2907" t="s">
        <v>95</v>
      </c>
      <c r="S2907" t="s">
        <v>1073</v>
      </c>
      <c r="T2907">
        <v>24</v>
      </c>
      <c r="W2907" t="s">
        <v>390</v>
      </c>
      <c r="X2907" t="s">
        <v>1074</v>
      </c>
      <c r="Y2907" t="s">
        <v>18103</v>
      </c>
      <c r="Z2907" s="2" t="s">
        <v>18104</v>
      </c>
      <c r="AA2907" s="2" t="s">
        <v>18104</v>
      </c>
      <c r="AB2907" t="s">
        <v>18105</v>
      </c>
      <c r="AG2907" t="s">
        <v>18106</v>
      </c>
      <c r="AH2907" t="s">
        <v>1079</v>
      </c>
      <c r="AI2907" t="s">
        <v>18107</v>
      </c>
    </row>
    <row r="2908" spans="2:35" ht="360">
      <c r="B2908" s="1">
        <v>45586</v>
      </c>
      <c r="C2908" s="1">
        <v>45581</v>
      </c>
      <c r="D2908" t="s">
        <v>6037</v>
      </c>
      <c r="E2908" t="s">
        <v>6038</v>
      </c>
      <c r="F2908">
        <v>7</v>
      </c>
      <c r="G2908" t="s">
        <v>432</v>
      </c>
      <c r="H2908" t="s">
        <v>386</v>
      </c>
      <c r="I2908" t="s">
        <v>40</v>
      </c>
      <c r="J2908" t="s">
        <v>109</v>
      </c>
      <c r="K2908" t="s">
        <v>387</v>
      </c>
      <c r="L2908" t="s">
        <v>610</v>
      </c>
      <c r="N2908" t="s">
        <v>611</v>
      </c>
      <c r="Q2908">
        <v>29638</v>
      </c>
      <c r="R2908" t="s">
        <v>95</v>
      </c>
      <c r="S2908" t="s">
        <v>6039</v>
      </c>
      <c r="T2908">
        <v>24</v>
      </c>
      <c r="V2908" s="1">
        <v>45581</v>
      </c>
      <c r="W2908" t="s">
        <v>390</v>
      </c>
      <c r="X2908" t="s">
        <v>11975</v>
      </c>
      <c r="Y2908" t="s">
        <v>18108</v>
      </c>
      <c r="Z2908" s="2" t="s">
        <v>18104</v>
      </c>
      <c r="AA2908" s="2" t="s">
        <v>18104</v>
      </c>
      <c r="AB2908" t="s">
        <v>18109</v>
      </c>
      <c r="AG2908" t="s">
        <v>18110</v>
      </c>
      <c r="AH2908" t="s">
        <v>10028</v>
      </c>
      <c r="AI2908" t="s">
        <v>18111</v>
      </c>
    </row>
    <row r="2909" spans="2:35" ht="285">
      <c r="B2909" s="1">
        <v>45586</v>
      </c>
      <c r="C2909" s="1">
        <v>45579</v>
      </c>
      <c r="D2909" t="s">
        <v>3423</v>
      </c>
      <c r="E2909" t="s">
        <v>3116</v>
      </c>
      <c r="F2909">
        <v>7</v>
      </c>
      <c r="G2909" t="s">
        <v>432</v>
      </c>
      <c r="H2909" t="s">
        <v>608</v>
      </c>
      <c r="I2909" t="s">
        <v>40</v>
      </c>
      <c r="J2909" s="2" t="s">
        <v>190</v>
      </c>
      <c r="K2909" t="s">
        <v>387</v>
      </c>
      <c r="L2909" t="s">
        <v>610</v>
      </c>
      <c r="N2909" t="s">
        <v>611</v>
      </c>
      <c r="Q2909">
        <v>29637</v>
      </c>
      <c r="R2909" t="s">
        <v>95</v>
      </c>
      <c r="S2909" t="s">
        <v>9919</v>
      </c>
      <c r="T2909">
        <v>24</v>
      </c>
      <c r="V2909" s="1">
        <v>45579</v>
      </c>
      <c r="W2909" t="s">
        <v>390</v>
      </c>
      <c r="X2909" t="s">
        <v>3425</v>
      </c>
      <c r="Y2909" t="s">
        <v>18112</v>
      </c>
      <c r="Z2909" s="2" t="s">
        <v>18113</v>
      </c>
      <c r="AA2909" s="2" t="s">
        <v>18114</v>
      </c>
      <c r="AB2909" t="s">
        <v>18115</v>
      </c>
      <c r="AG2909" t="s">
        <v>18116</v>
      </c>
      <c r="AH2909" t="s">
        <v>18117</v>
      </c>
      <c r="AI2909" t="s">
        <v>18118</v>
      </c>
    </row>
    <row r="2910" spans="2:35" ht="409.5">
      <c r="B2910" s="1">
        <v>45586</v>
      </c>
      <c r="C2910" s="1">
        <v>45581</v>
      </c>
      <c r="D2910" t="s">
        <v>1026</v>
      </c>
      <c r="E2910" t="s">
        <v>1027</v>
      </c>
      <c r="F2910" t="s">
        <v>148</v>
      </c>
      <c r="G2910" t="s">
        <v>774</v>
      </c>
      <c r="H2910" t="s">
        <v>662</v>
      </c>
      <c r="I2910" t="s">
        <v>40</v>
      </c>
      <c r="J2910" t="s">
        <v>109</v>
      </c>
      <c r="K2910" t="s">
        <v>42</v>
      </c>
      <c r="L2910" t="s">
        <v>1028</v>
      </c>
      <c r="N2910" t="s">
        <v>1029</v>
      </c>
      <c r="O2910" t="s">
        <v>12290</v>
      </c>
      <c r="Q2910">
        <v>29636</v>
      </c>
      <c r="R2910" t="s">
        <v>95</v>
      </c>
      <c r="S2910" t="s">
        <v>4609</v>
      </c>
      <c r="T2910">
        <v>22</v>
      </c>
      <c r="U2910" s="2" t="s">
        <v>18119</v>
      </c>
      <c r="W2910" t="s">
        <v>1032</v>
      </c>
      <c r="X2910">
        <v>110014996</v>
      </c>
      <c r="Y2910" t="s">
        <v>1978</v>
      </c>
      <c r="Z2910" t="s">
        <v>1548</v>
      </c>
      <c r="AA2910" s="2" t="s">
        <v>18120</v>
      </c>
      <c r="AB2910" t="s">
        <v>18121</v>
      </c>
      <c r="AG2910" t="s">
        <v>18122</v>
      </c>
      <c r="AH2910" t="s">
        <v>6608</v>
      </c>
      <c r="AI2910" t="s">
        <v>18123</v>
      </c>
    </row>
    <row r="2911" spans="2:35" ht="285">
      <c r="B2911" s="1">
        <v>45586</v>
      </c>
      <c r="C2911" s="1">
        <v>45574</v>
      </c>
      <c r="D2911" t="s">
        <v>10933</v>
      </c>
      <c r="E2911" t="s">
        <v>10934</v>
      </c>
      <c r="F2911" t="s">
        <v>148</v>
      </c>
      <c r="G2911" t="s">
        <v>310</v>
      </c>
      <c r="H2911" t="s">
        <v>662</v>
      </c>
      <c r="I2911" t="s">
        <v>40</v>
      </c>
      <c r="J2911" t="s">
        <v>109</v>
      </c>
      <c r="K2911" t="s">
        <v>42</v>
      </c>
      <c r="L2911" t="s">
        <v>1028</v>
      </c>
      <c r="N2911" t="s">
        <v>1029</v>
      </c>
      <c r="Q2911">
        <v>29632</v>
      </c>
      <c r="R2911" t="s">
        <v>322</v>
      </c>
      <c r="S2911" t="s">
        <v>14776</v>
      </c>
      <c r="T2911">
        <v>22</v>
      </c>
      <c r="W2911" t="s">
        <v>2441</v>
      </c>
      <c r="X2911">
        <v>834953</v>
      </c>
      <c r="Y2911" t="s">
        <v>18124</v>
      </c>
      <c r="Z2911" t="s">
        <v>1548</v>
      </c>
      <c r="AA2911" s="2" t="s">
        <v>18125</v>
      </c>
      <c r="AB2911" t="s">
        <v>18126</v>
      </c>
      <c r="AG2911" t="s">
        <v>18127</v>
      </c>
      <c r="AH2911" t="s">
        <v>18128</v>
      </c>
      <c r="AI2911" t="s">
        <v>18129</v>
      </c>
    </row>
    <row r="2912" spans="2:35" ht="285">
      <c r="B2912" s="1">
        <v>45586</v>
      </c>
      <c r="C2912" s="1">
        <v>45574</v>
      </c>
      <c r="D2912" t="s">
        <v>10933</v>
      </c>
      <c r="E2912" t="s">
        <v>10934</v>
      </c>
      <c r="F2912" t="s">
        <v>148</v>
      </c>
      <c r="G2912" t="s">
        <v>310</v>
      </c>
      <c r="H2912" t="s">
        <v>662</v>
      </c>
      <c r="I2912" t="s">
        <v>40</v>
      </c>
      <c r="J2912" s="2" t="s">
        <v>190</v>
      </c>
      <c r="K2912" t="s">
        <v>42</v>
      </c>
      <c r="L2912" t="s">
        <v>1028</v>
      </c>
      <c r="N2912" t="s">
        <v>1029</v>
      </c>
      <c r="Q2912">
        <v>29634</v>
      </c>
      <c r="R2912" t="s">
        <v>322</v>
      </c>
      <c r="S2912" t="s">
        <v>14776</v>
      </c>
      <c r="T2912">
        <v>22</v>
      </c>
      <c r="W2912" t="s">
        <v>1032</v>
      </c>
      <c r="X2912">
        <v>110015482</v>
      </c>
      <c r="Y2912" t="s">
        <v>18130</v>
      </c>
      <c r="Z2912" t="s">
        <v>1548</v>
      </c>
      <c r="AA2912" s="2" t="s">
        <v>18125</v>
      </c>
      <c r="AB2912" t="s">
        <v>18131</v>
      </c>
      <c r="AG2912" t="s">
        <v>18132</v>
      </c>
      <c r="AH2912" t="s">
        <v>18133</v>
      </c>
      <c r="AI2912" t="s">
        <v>18134</v>
      </c>
    </row>
    <row r="2913" spans="2:35" ht="300">
      <c r="B2913" s="1">
        <v>45586</v>
      </c>
      <c r="C2913" s="1">
        <v>45582</v>
      </c>
      <c r="D2913" t="s">
        <v>18135</v>
      </c>
      <c r="E2913" t="s">
        <v>6028</v>
      </c>
      <c r="F2913" t="s">
        <v>148</v>
      </c>
      <c r="G2913" t="s">
        <v>310</v>
      </c>
      <c r="H2913" t="s">
        <v>662</v>
      </c>
      <c r="I2913" t="s">
        <v>40</v>
      </c>
      <c r="J2913" t="s">
        <v>109</v>
      </c>
      <c r="K2913" t="s">
        <v>42</v>
      </c>
      <c r="L2913" t="s">
        <v>1028</v>
      </c>
      <c r="N2913" t="s">
        <v>1029</v>
      </c>
      <c r="Q2913">
        <v>29635</v>
      </c>
      <c r="R2913" t="s">
        <v>322</v>
      </c>
      <c r="S2913" t="s">
        <v>18136</v>
      </c>
      <c r="T2913">
        <v>23</v>
      </c>
      <c r="U2913" s="2" t="s">
        <v>18137</v>
      </c>
      <c r="W2913" t="s">
        <v>3299</v>
      </c>
      <c r="X2913">
        <v>838777</v>
      </c>
      <c r="Y2913" t="s">
        <v>1978</v>
      </c>
      <c r="Z2913" t="s">
        <v>1548</v>
      </c>
      <c r="AA2913" s="2" t="s">
        <v>18138</v>
      </c>
      <c r="AB2913" t="s">
        <v>18139</v>
      </c>
      <c r="AC2913" t="s">
        <v>18140</v>
      </c>
      <c r="AG2913" t="s">
        <v>18141</v>
      </c>
      <c r="AH2913" t="s">
        <v>18142</v>
      </c>
      <c r="AI2913" t="s">
        <v>18143</v>
      </c>
    </row>
    <row r="2914" spans="2:35" ht="300">
      <c r="B2914" s="1">
        <v>45586</v>
      </c>
      <c r="C2914" s="1">
        <v>45582</v>
      </c>
      <c r="D2914" t="s">
        <v>18135</v>
      </c>
      <c r="E2914" t="s">
        <v>6028</v>
      </c>
      <c r="F2914" t="s">
        <v>148</v>
      </c>
      <c r="G2914" t="s">
        <v>310</v>
      </c>
      <c r="H2914" t="s">
        <v>662</v>
      </c>
      <c r="I2914" t="s">
        <v>40</v>
      </c>
      <c r="J2914" t="s">
        <v>109</v>
      </c>
      <c r="K2914" t="s">
        <v>42</v>
      </c>
      <c r="L2914" t="s">
        <v>1028</v>
      </c>
      <c r="N2914" t="s">
        <v>1029</v>
      </c>
      <c r="Q2914">
        <v>29633</v>
      </c>
      <c r="R2914" t="s">
        <v>322</v>
      </c>
      <c r="S2914" t="s">
        <v>18136</v>
      </c>
      <c r="T2914">
        <v>25</v>
      </c>
      <c r="U2914" s="2" t="s">
        <v>18144</v>
      </c>
      <c r="W2914" t="s">
        <v>1967</v>
      </c>
      <c r="X2914">
        <v>838836</v>
      </c>
      <c r="Y2914" t="s">
        <v>18140</v>
      </c>
      <c r="Z2914" t="s">
        <v>1548</v>
      </c>
      <c r="AA2914" s="2" t="s">
        <v>18138</v>
      </c>
      <c r="AB2914" t="s">
        <v>3300</v>
      </c>
      <c r="AC2914" t="s">
        <v>1547</v>
      </c>
      <c r="AG2914" t="s">
        <v>18145</v>
      </c>
      <c r="AH2914" t="s">
        <v>18142</v>
      </c>
      <c r="AI2914" t="s">
        <v>18146</v>
      </c>
    </row>
    <row r="2915" spans="2:35" ht="105">
      <c r="B2915" s="1">
        <v>45586</v>
      </c>
      <c r="C2915" s="1">
        <v>45583</v>
      </c>
      <c r="D2915" t="s">
        <v>4528</v>
      </c>
      <c r="E2915" t="s">
        <v>4529</v>
      </c>
      <c r="F2915">
        <v>1</v>
      </c>
      <c r="G2915" t="s">
        <v>1046</v>
      </c>
      <c r="H2915" t="s">
        <v>1047</v>
      </c>
      <c r="I2915" t="s">
        <v>40</v>
      </c>
      <c r="J2915" t="s">
        <v>109</v>
      </c>
      <c r="K2915" t="s">
        <v>42</v>
      </c>
      <c r="L2915" t="s">
        <v>1048</v>
      </c>
      <c r="N2915" t="s">
        <v>1049</v>
      </c>
      <c r="Q2915">
        <v>29631</v>
      </c>
      <c r="R2915" t="s">
        <v>119</v>
      </c>
      <c r="S2915" t="s">
        <v>4530</v>
      </c>
      <c r="T2915">
        <v>30</v>
      </c>
      <c r="U2915" s="2" t="s">
        <v>18147</v>
      </c>
      <c r="W2915" t="s">
        <v>1051</v>
      </c>
      <c r="X2915">
        <v>838472</v>
      </c>
      <c r="Y2915" t="s">
        <v>1052</v>
      </c>
      <c r="Z2915" t="e">
        <f ca="1">- cleaned cartridge Bays, plunger Rods _xludf.and I-CORE
- generated reports</f>
        <v>#NAME?</v>
      </c>
      <c r="AA2915" t="s">
        <v>820</v>
      </c>
      <c r="AB2915" t="s">
        <v>1428</v>
      </c>
      <c r="AG2915" t="s">
        <v>18148</v>
      </c>
      <c r="AH2915" t="s">
        <v>4532</v>
      </c>
      <c r="AI2915" t="s">
        <v>18149</v>
      </c>
    </row>
    <row r="2916" spans="2:35" ht="135">
      <c r="B2916" s="1">
        <v>45586</v>
      </c>
      <c r="C2916" s="1">
        <v>45583</v>
      </c>
      <c r="D2916" t="s">
        <v>3732</v>
      </c>
      <c r="E2916" t="s">
        <v>3733</v>
      </c>
      <c r="F2916">
        <v>1</v>
      </c>
      <c r="G2916" t="s">
        <v>1046</v>
      </c>
      <c r="H2916" t="s">
        <v>1047</v>
      </c>
      <c r="I2916" t="s">
        <v>40</v>
      </c>
      <c r="J2916" s="2" t="s">
        <v>190</v>
      </c>
      <c r="K2916" t="s">
        <v>42</v>
      </c>
      <c r="L2916" t="s">
        <v>1048</v>
      </c>
      <c r="N2916" t="s">
        <v>1049</v>
      </c>
      <c r="Q2916">
        <v>29630</v>
      </c>
      <c r="R2916" t="s">
        <v>119</v>
      </c>
      <c r="S2916" t="s">
        <v>3734</v>
      </c>
      <c r="T2916">
        <v>25</v>
      </c>
      <c r="U2916" s="2" t="s">
        <v>11424</v>
      </c>
      <c r="W2916" t="s">
        <v>1051</v>
      </c>
      <c r="X2916">
        <v>838473</v>
      </c>
      <c r="Y2916" t="s">
        <v>1934</v>
      </c>
      <c r="Z2916" t="e">
        <f ca="1">- cleaned cartridge Bays, plunger Rods _xludf.and I-CORE
- generated reports</f>
        <v>#NAME?</v>
      </c>
      <c r="AA2916" t="s">
        <v>1935</v>
      </c>
      <c r="AB2916" s="2" t="s">
        <v>18150</v>
      </c>
      <c r="AG2916" t="s">
        <v>18151</v>
      </c>
      <c r="AH2916" t="s">
        <v>8799</v>
      </c>
      <c r="AI2916" t="s">
        <v>18152</v>
      </c>
    </row>
    <row r="2917" spans="2:35" ht="225">
      <c r="B2917" s="1">
        <v>45586</v>
      </c>
      <c r="C2917" s="1">
        <v>45583</v>
      </c>
      <c r="D2917" t="s">
        <v>3030</v>
      </c>
      <c r="E2917" t="s">
        <v>18153</v>
      </c>
      <c r="F2917" t="s">
        <v>37</v>
      </c>
      <c r="G2917" t="s">
        <v>38</v>
      </c>
      <c r="H2917" t="s">
        <v>39</v>
      </c>
      <c r="I2917" t="s">
        <v>40</v>
      </c>
      <c r="J2917" t="s">
        <v>109</v>
      </c>
      <c r="K2917" t="s">
        <v>42</v>
      </c>
      <c r="L2917" t="s">
        <v>43</v>
      </c>
      <c r="N2917" t="s">
        <v>44</v>
      </c>
      <c r="Q2917">
        <v>29628</v>
      </c>
      <c r="R2917" t="s">
        <v>967</v>
      </c>
      <c r="S2917" t="s">
        <v>3032</v>
      </c>
      <c r="T2917">
        <v>24</v>
      </c>
      <c r="U2917" s="2" t="s">
        <v>18154</v>
      </c>
      <c r="W2917" t="s">
        <v>153</v>
      </c>
      <c r="X2917">
        <v>110023496</v>
      </c>
      <c r="Y2917" t="s">
        <v>121</v>
      </c>
      <c r="Z2917" t="s">
        <v>122</v>
      </c>
      <c r="AA2917" s="2" t="s">
        <v>14557</v>
      </c>
      <c r="AB2917" t="s">
        <v>548</v>
      </c>
      <c r="AG2917" t="s">
        <v>18155</v>
      </c>
      <c r="AH2917" t="s">
        <v>3035</v>
      </c>
      <c r="AI2917" t="s">
        <v>18156</v>
      </c>
    </row>
    <row r="2918" spans="2:35" ht="270">
      <c r="B2918" s="1">
        <v>45586</v>
      </c>
      <c r="C2918" s="1">
        <v>45582</v>
      </c>
      <c r="D2918" t="s">
        <v>13380</v>
      </c>
      <c r="E2918" t="s">
        <v>13381</v>
      </c>
      <c r="F2918" t="s">
        <v>148</v>
      </c>
      <c r="G2918" t="s">
        <v>544</v>
      </c>
      <c r="H2918" t="s">
        <v>39</v>
      </c>
      <c r="I2918" t="s">
        <v>40</v>
      </c>
      <c r="J2918" s="2" t="s">
        <v>41</v>
      </c>
      <c r="K2918" t="s">
        <v>42</v>
      </c>
      <c r="L2918" t="s">
        <v>43</v>
      </c>
      <c r="N2918" t="s">
        <v>44</v>
      </c>
      <c r="Q2918">
        <v>29627</v>
      </c>
      <c r="R2918" t="s">
        <v>703</v>
      </c>
      <c r="S2918" t="s">
        <v>13382</v>
      </c>
      <c r="T2918">
        <v>20</v>
      </c>
      <c r="U2918" s="2" t="s">
        <v>18157</v>
      </c>
      <c r="V2918" s="1">
        <v>45581</v>
      </c>
      <c r="W2918" t="s">
        <v>48</v>
      </c>
      <c r="X2918">
        <v>110008418</v>
      </c>
      <c r="Y2918" t="s">
        <v>424</v>
      </c>
      <c r="Z2918" t="s">
        <v>425</v>
      </c>
      <c r="AA2918" s="2" t="s">
        <v>18158</v>
      </c>
      <c r="AB2918" t="s">
        <v>18159</v>
      </c>
      <c r="AD2918" s="2" t="s">
        <v>18160</v>
      </c>
      <c r="AE2918" t="s">
        <v>18161</v>
      </c>
      <c r="AG2918" t="s">
        <v>18162</v>
      </c>
      <c r="AH2918" t="s">
        <v>13386</v>
      </c>
      <c r="AI2918" t="s">
        <v>18163</v>
      </c>
    </row>
    <row r="2919" spans="2:35" ht="360">
      <c r="B2919" s="1">
        <v>45586</v>
      </c>
      <c r="C2919" s="1">
        <v>45583</v>
      </c>
      <c r="D2919" t="s">
        <v>3669</v>
      </c>
      <c r="E2919" t="s">
        <v>18164</v>
      </c>
      <c r="F2919" t="s">
        <v>37</v>
      </c>
      <c r="G2919" t="s">
        <v>38</v>
      </c>
      <c r="H2919" t="s">
        <v>39</v>
      </c>
      <c r="I2919" t="s">
        <v>40</v>
      </c>
      <c r="J2919" t="s">
        <v>109</v>
      </c>
      <c r="K2919" t="s">
        <v>42</v>
      </c>
      <c r="L2919" t="s">
        <v>43</v>
      </c>
      <c r="N2919" t="s">
        <v>44</v>
      </c>
      <c r="Q2919">
        <v>29629</v>
      </c>
      <c r="R2919" t="s">
        <v>95</v>
      </c>
      <c r="S2919" t="s">
        <v>5945</v>
      </c>
      <c r="T2919">
        <v>22</v>
      </c>
      <c r="U2919" s="2" t="s">
        <v>18165</v>
      </c>
      <c r="W2919" t="s">
        <v>48</v>
      </c>
      <c r="X2919">
        <v>110005265</v>
      </c>
      <c r="Y2919" t="s">
        <v>121</v>
      </c>
      <c r="Z2919" t="s">
        <v>122</v>
      </c>
      <c r="AA2919" s="2" t="s">
        <v>6566</v>
      </c>
      <c r="AB2919" t="s">
        <v>548</v>
      </c>
      <c r="AG2919" t="s">
        <v>18166</v>
      </c>
      <c r="AH2919" t="s">
        <v>18167</v>
      </c>
      <c r="AI2919" t="s">
        <v>18168</v>
      </c>
    </row>
    <row r="2920" spans="2:35" ht="409.5">
      <c r="B2920" s="1">
        <v>45586</v>
      </c>
      <c r="C2920" s="1">
        <v>45583</v>
      </c>
      <c r="D2920" t="s">
        <v>3679</v>
      </c>
      <c r="E2920" t="s">
        <v>2580</v>
      </c>
      <c r="F2920" t="s">
        <v>148</v>
      </c>
      <c r="G2920" t="s">
        <v>447</v>
      </c>
      <c r="H2920" t="s">
        <v>386</v>
      </c>
      <c r="I2920" t="s">
        <v>40</v>
      </c>
      <c r="J2920" t="s">
        <v>109</v>
      </c>
      <c r="K2920" t="s">
        <v>387</v>
      </c>
      <c r="L2920" t="s">
        <v>448</v>
      </c>
      <c r="N2920" t="s">
        <v>450</v>
      </c>
      <c r="Q2920">
        <v>29626</v>
      </c>
      <c r="R2920" t="s">
        <v>322</v>
      </c>
      <c r="S2920" t="s">
        <v>3689</v>
      </c>
      <c r="T2920">
        <v>27</v>
      </c>
      <c r="W2920" t="s">
        <v>476</v>
      </c>
      <c r="X2920" t="s">
        <v>3690</v>
      </c>
      <c r="Y2920" s="2" t="s">
        <v>18169</v>
      </c>
      <c r="Z2920" s="2" t="s">
        <v>18170</v>
      </c>
      <c r="AA2920" t="s">
        <v>122</v>
      </c>
      <c r="AB2920" t="s">
        <v>17979</v>
      </c>
      <c r="AG2920" t="s">
        <v>18171</v>
      </c>
      <c r="AH2920" t="s">
        <v>18172</v>
      </c>
      <c r="AI2920" t="s">
        <v>18173</v>
      </c>
    </row>
    <row r="2921" spans="2:35" ht="409.5">
      <c r="B2921" s="1">
        <v>45586</v>
      </c>
      <c r="C2921" s="1">
        <v>45583</v>
      </c>
      <c r="D2921" t="s">
        <v>3679</v>
      </c>
      <c r="E2921" t="s">
        <v>2580</v>
      </c>
      <c r="F2921" t="s">
        <v>148</v>
      </c>
      <c r="G2921" t="s">
        <v>447</v>
      </c>
      <c r="H2921" t="s">
        <v>386</v>
      </c>
      <c r="I2921" t="s">
        <v>40</v>
      </c>
      <c r="J2921" t="s">
        <v>109</v>
      </c>
      <c r="K2921" t="s">
        <v>387</v>
      </c>
      <c r="L2921" t="s">
        <v>448</v>
      </c>
      <c r="N2921" t="s">
        <v>450</v>
      </c>
      <c r="Q2921">
        <v>29625</v>
      </c>
      <c r="R2921" t="s">
        <v>322</v>
      </c>
      <c r="S2921" t="s">
        <v>3689</v>
      </c>
      <c r="T2921">
        <v>28</v>
      </c>
      <c r="W2921" t="s">
        <v>476</v>
      </c>
      <c r="X2921">
        <v>20168</v>
      </c>
      <c r="Y2921" s="2" t="s">
        <v>18169</v>
      </c>
      <c r="Z2921" s="2" t="s">
        <v>18174</v>
      </c>
      <c r="AA2921" t="s">
        <v>122</v>
      </c>
      <c r="AB2921" t="s">
        <v>17979</v>
      </c>
      <c r="AG2921" t="s">
        <v>18175</v>
      </c>
      <c r="AH2921" t="s">
        <v>18172</v>
      </c>
      <c r="AI2921" t="s">
        <v>18176</v>
      </c>
    </row>
    <row r="2922" spans="2:35" ht="409.5">
      <c r="B2922" s="1">
        <v>45586</v>
      </c>
      <c r="C2922" s="1">
        <v>45579</v>
      </c>
      <c r="D2922" t="s">
        <v>9951</v>
      </c>
      <c r="E2922" t="s">
        <v>18177</v>
      </c>
      <c r="F2922" t="s">
        <v>148</v>
      </c>
      <c r="G2922" t="s">
        <v>2007</v>
      </c>
      <c r="H2922" t="s">
        <v>662</v>
      </c>
      <c r="I2922" t="s">
        <v>40</v>
      </c>
      <c r="J2922" t="s">
        <v>583</v>
      </c>
      <c r="K2922" t="s">
        <v>42</v>
      </c>
      <c r="L2922" t="s">
        <v>448</v>
      </c>
      <c r="N2922" t="s">
        <v>450</v>
      </c>
      <c r="O2922" t="s">
        <v>14456</v>
      </c>
      <c r="Q2922">
        <v>29624</v>
      </c>
      <c r="R2922" t="s">
        <v>95</v>
      </c>
      <c r="S2922" t="s">
        <v>4273</v>
      </c>
      <c r="T2922">
        <v>26</v>
      </c>
      <c r="U2922" s="2" t="s">
        <v>18178</v>
      </c>
      <c r="W2922" t="s">
        <v>18179</v>
      </c>
      <c r="X2922">
        <v>110001647</v>
      </c>
      <c r="Y2922" t="s">
        <v>4709</v>
      </c>
      <c r="Z2922" s="2" t="s">
        <v>18180</v>
      </c>
      <c r="AA2922" t="s">
        <v>18181</v>
      </c>
      <c r="AB2922" s="2" t="s">
        <v>18182</v>
      </c>
      <c r="AG2922" t="s">
        <v>18183</v>
      </c>
      <c r="AH2922" t="s">
        <v>4278</v>
      </c>
      <c r="AI2922" t="s">
        <v>18184</v>
      </c>
    </row>
    <row r="2923" spans="2:35" ht="409.5">
      <c r="B2923" s="1">
        <v>45586</v>
      </c>
      <c r="C2923" s="1">
        <v>45580</v>
      </c>
      <c r="D2923" t="s">
        <v>18185</v>
      </c>
      <c r="E2923" t="s">
        <v>18186</v>
      </c>
      <c r="F2923">
        <v>11</v>
      </c>
      <c r="G2923" t="s">
        <v>4297</v>
      </c>
      <c r="H2923" t="s">
        <v>202</v>
      </c>
      <c r="I2923" t="s">
        <v>40</v>
      </c>
      <c r="J2923" s="2" t="s">
        <v>18187</v>
      </c>
      <c r="K2923" t="s">
        <v>42</v>
      </c>
      <c r="L2923" t="s">
        <v>204</v>
      </c>
      <c r="N2923" t="s">
        <v>205</v>
      </c>
      <c r="Q2923">
        <v>29623</v>
      </c>
      <c r="R2923" t="s">
        <v>119</v>
      </c>
      <c r="S2923" t="s">
        <v>4970</v>
      </c>
      <c r="T2923">
        <v>28.5</v>
      </c>
      <c r="U2923" s="2" t="s">
        <v>2367</v>
      </c>
      <c r="V2923" s="1">
        <v>45539</v>
      </c>
      <c r="W2923" t="s">
        <v>208</v>
      </c>
      <c r="X2923">
        <v>837614</v>
      </c>
      <c r="Y2923" s="2" t="s">
        <v>18188</v>
      </c>
      <c r="Z2923" s="2" t="s">
        <v>18189</v>
      </c>
      <c r="AA2923" s="2" t="s">
        <v>18190</v>
      </c>
      <c r="AB2923" s="2" t="s">
        <v>18191</v>
      </c>
      <c r="AD2923" t="s">
        <v>18192</v>
      </c>
      <c r="AE2923" t="s">
        <v>18193</v>
      </c>
      <c r="AG2923" t="s">
        <v>18194</v>
      </c>
      <c r="AH2923" t="s">
        <v>18195</v>
      </c>
      <c r="AI2923" t="s">
        <v>18196</v>
      </c>
    </row>
    <row r="2924" spans="2:35" ht="345">
      <c r="B2924" s="1">
        <v>45585</v>
      </c>
      <c r="C2924" s="1">
        <v>45583</v>
      </c>
      <c r="D2924" t="s">
        <v>5060</v>
      </c>
      <c r="E2924" t="s">
        <v>13777</v>
      </c>
      <c r="F2924">
        <v>3</v>
      </c>
      <c r="G2924" t="s">
        <v>284</v>
      </c>
      <c r="H2924" t="s">
        <v>2548</v>
      </c>
      <c r="I2924" t="s">
        <v>40</v>
      </c>
      <c r="J2924" t="s">
        <v>321</v>
      </c>
      <c r="K2924" t="s">
        <v>42</v>
      </c>
      <c r="L2924" t="s">
        <v>135</v>
      </c>
      <c r="N2924" t="s">
        <v>136</v>
      </c>
      <c r="Q2924">
        <v>29622</v>
      </c>
      <c r="R2924" t="s">
        <v>322</v>
      </c>
      <c r="S2924" t="s">
        <v>15228</v>
      </c>
      <c r="T2924">
        <v>25</v>
      </c>
      <c r="U2924" s="2" t="s">
        <v>18197</v>
      </c>
      <c r="V2924" s="1">
        <v>45581</v>
      </c>
      <c r="W2924" t="s">
        <v>3335</v>
      </c>
      <c r="X2924">
        <v>120003587</v>
      </c>
      <c r="Y2924" t="s">
        <v>750</v>
      </c>
      <c r="Z2924" t="s">
        <v>13110</v>
      </c>
      <c r="AA2924" t="s">
        <v>18198</v>
      </c>
      <c r="AB2924" t="s">
        <v>181</v>
      </c>
      <c r="AD2924" t="s">
        <v>18199</v>
      </c>
      <c r="AE2924">
        <v>98942</v>
      </c>
      <c r="AG2924" t="s">
        <v>18200</v>
      </c>
      <c r="AH2924" t="s">
        <v>15231</v>
      </c>
      <c r="AI2924" t="s">
        <v>18201</v>
      </c>
    </row>
    <row r="2925" spans="2:35" ht="315">
      <c r="B2925" s="1">
        <v>45583</v>
      </c>
      <c r="C2925" s="1">
        <v>45583</v>
      </c>
      <c r="D2925" t="s">
        <v>3696</v>
      </c>
      <c r="E2925" t="s">
        <v>18202</v>
      </c>
      <c r="F2925" t="s">
        <v>148</v>
      </c>
      <c r="G2925" t="s">
        <v>447</v>
      </c>
      <c r="H2925" t="s">
        <v>39</v>
      </c>
      <c r="I2925" t="s">
        <v>40</v>
      </c>
      <c r="J2925" s="2" t="s">
        <v>190</v>
      </c>
      <c r="K2925" t="s">
        <v>42</v>
      </c>
      <c r="L2925" t="s">
        <v>15532</v>
      </c>
      <c r="N2925" t="s">
        <v>15533</v>
      </c>
      <c r="Q2925">
        <v>29621</v>
      </c>
      <c r="R2925" t="s">
        <v>703</v>
      </c>
      <c r="S2925" t="s">
        <v>3698</v>
      </c>
      <c r="T2925">
        <v>29</v>
      </c>
      <c r="U2925" s="2" t="s">
        <v>18203</v>
      </c>
      <c r="W2925" t="s">
        <v>15535</v>
      </c>
      <c r="X2925">
        <v>835601</v>
      </c>
      <c r="Y2925" t="s">
        <v>18204</v>
      </c>
      <c r="Z2925" s="2" t="s">
        <v>18205</v>
      </c>
      <c r="AA2925" s="2" t="s">
        <v>18206</v>
      </c>
      <c r="AB2925" s="2" t="s">
        <v>18207</v>
      </c>
      <c r="AG2925" t="s">
        <v>18208</v>
      </c>
      <c r="AH2925" t="s">
        <v>18209</v>
      </c>
      <c r="AI2925" t="s">
        <v>18210</v>
      </c>
    </row>
    <row r="2926" spans="2:35">
      <c r="B2926" s="1">
        <v>45583</v>
      </c>
      <c r="C2926" s="1">
        <v>45583</v>
      </c>
      <c r="D2926" t="s">
        <v>11603</v>
      </c>
      <c r="E2926" t="s">
        <v>420</v>
      </c>
      <c r="F2926" t="s">
        <v>148</v>
      </c>
      <c r="G2926" t="s">
        <v>421</v>
      </c>
      <c r="H2926" t="s">
        <v>39</v>
      </c>
      <c r="I2926" t="s">
        <v>40</v>
      </c>
      <c r="J2926" t="s">
        <v>109</v>
      </c>
      <c r="K2926" t="s">
        <v>42</v>
      </c>
      <c r="L2926" t="s">
        <v>175</v>
      </c>
      <c r="N2926" t="s">
        <v>176</v>
      </c>
      <c r="Q2926">
        <v>29620</v>
      </c>
      <c r="R2926" t="s">
        <v>95</v>
      </c>
      <c r="S2926" t="s">
        <v>11604</v>
      </c>
      <c r="T2926">
        <v>25</v>
      </c>
      <c r="W2926" t="s">
        <v>373</v>
      </c>
      <c r="X2926">
        <v>110020699</v>
      </c>
      <c r="Y2926" t="s">
        <v>374</v>
      </c>
      <c r="Z2926" t="s">
        <v>18211</v>
      </c>
      <c r="AA2926" t="e">
        <f ca="1">- checked _xludf.and cleaned cartridge bay, plunger rod, _xludf.filter
- generated reports
- performed functionality test</f>
        <v>#NAME?</v>
      </c>
      <c r="AB2926" t="s">
        <v>181</v>
      </c>
      <c r="AG2926" t="s">
        <v>18212</v>
      </c>
      <c r="AH2926" t="s">
        <v>11606</v>
      </c>
      <c r="AI2926" t="s">
        <v>18213</v>
      </c>
    </row>
    <row r="2927" spans="2:35" ht="409.5">
      <c r="B2927" s="1">
        <v>45583</v>
      </c>
      <c r="C2927" s="1">
        <v>45583</v>
      </c>
      <c r="D2927" t="s">
        <v>18214</v>
      </c>
      <c r="E2927" t="s">
        <v>18215</v>
      </c>
      <c r="F2927" t="s">
        <v>148</v>
      </c>
      <c r="G2927" t="s">
        <v>310</v>
      </c>
      <c r="H2927" t="s">
        <v>902</v>
      </c>
      <c r="I2927" t="s">
        <v>40</v>
      </c>
      <c r="J2927" t="s">
        <v>109</v>
      </c>
      <c r="K2927" t="s">
        <v>42</v>
      </c>
      <c r="L2927" t="s">
        <v>1943</v>
      </c>
      <c r="N2927" t="s">
        <v>1944</v>
      </c>
      <c r="Q2927">
        <v>29619</v>
      </c>
      <c r="R2927" t="s">
        <v>95</v>
      </c>
      <c r="S2927" t="s">
        <v>11890</v>
      </c>
      <c r="T2927">
        <v>25</v>
      </c>
      <c r="W2927" t="s">
        <v>84</v>
      </c>
      <c r="X2927">
        <v>808015</v>
      </c>
      <c r="Y2927" t="s">
        <v>18216</v>
      </c>
      <c r="Z2927" t="s">
        <v>1548</v>
      </c>
      <c r="AA2927" s="2" t="s">
        <v>2101</v>
      </c>
      <c r="AB2927" t="s">
        <v>88</v>
      </c>
      <c r="AG2927" t="s">
        <v>18217</v>
      </c>
      <c r="AH2927" t="s">
        <v>18218</v>
      </c>
      <c r="AI2927" t="s">
        <v>18219</v>
      </c>
    </row>
    <row r="2928" spans="2:35" ht="90">
      <c r="B2928" s="1">
        <v>45583</v>
      </c>
      <c r="C2928" s="1">
        <v>45583</v>
      </c>
      <c r="D2928" t="s">
        <v>7810</v>
      </c>
      <c r="E2928" t="s">
        <v>7811</v>
      </c>
      <c r="F2928">
        <v>11</v>
      </c>
      <c r="G2928" t="s">
        <v>1205</v>
      </c>
      <c r="H2928" t="s">
        <v>202</v>
      </c>
      <c r="I2928" t="s">
        <v>40</v>
      </c>
      <c r="J2928" s="2" t="s">
        <v>355</v>
      </c>
      <c r="K2928" t="s">
        <v>42</v>
      </c>
      <c r="L2928" t="s">
        <v>204</v>
      </c>
      <c r="N2928" t="s">
        <v>205</v>
      </c>
      <c r="Q2928">
        <v>29618</v>
      </c>
      <c r="R2928" t="s">
        <v>119</v>
      </c>
      <c r="S2928" t="s">
        <v>7812</v>
      </c>
      <c r="T2928">
        <v>25.6</v>
      </c>
      <c r="W2928" t="s">
        <v>208</v>
      </c>
      <c r="X2928">
        <v>838232</v>
      </c>
      <c r="Y2928" t="s">
        <v>18220</v>
      </c>
      <c r="Z2928" t="s">
        <v>18221</v>
      </c>
      <c r="AA2928" t="s">
        <v>18222</v>
      </c>
      <c r="AB2928" t="s">
        <v>18223</v>
      </c>
      <c r="AG2928" t="s">
        <v>18224</v>
      </c>
      <c r="AH2928" t="s">
        <v>7816</v>
      </c>
      <c r="AI2928" t="s">
        <v>18225</v>
      </c>
    </row>
    <row r="2929" spans="2:35" ht="409.5">
      <c r="B2929" s="1">
        <v>45583</v>
      </c>
      <c r="C2929" s="1">
        <v>45583</v>
      </c>
      <c r="D2929" t="s">
        <v>18226</v>
      </c>
      <c r="E2929" t="s">
        <v>18215</v>
      </c>
      <c r="F2929" t="s">
        <v>148</v>
      </c>
      <c r="G2929" t="s">
        <v>310</v>
      </c>
      <c r="H2929" t="s">
        <v>902</v>
      </c>
      <c r="I2929" t="s">
        <v>40</v>
      </c>
      <c r="J2929" t="s">
        <v>109</v>
      </c>
      <c r="K2929" t="s">
        <v>42</v>
      </c>
      <c r="L2929" t="s">
        <v>1943</v>
      </c>
      <c r="N2929" t="s">
        <v>1944</v>
      </c>
      <c r="O2929" t="s">
        <v>18227</v>
      </c>
      <c r="Q2929">
        <v>29617</v>
      </c>
      <c r="R2929" t="s">
        <v>95</v>
      </c>
      <c r="S2929" t="s">
        <v>12194</v>
      </c>
      <c r="T2929">
        <v>28</v>
      </c>
      <c r="U2929" s="2" t="s">
        <v>18228</v>
      </c>
      <c r="W2929" t="s">
        <v>5225</v>
      </c>
      <c r="X2929">
        <v>110014186</v>
      </c>
      <c r="Y2929" t="s">
        <v>18216</v>
      </c>
      <c r="Z2929" t="s">
        <v>1548</v>
      </c>
      <c r="AA2929" s="2" t="s">
        <v>2101</v>
      </c>
      <c r="AB2929" t="s">
        <v>88</v>
      </c>
      <c r="AG2929" t="s">
        <v>18229</v>
      </c>
      <c r="AH2929" t="s">
        <v>12191</v>
      </c>
      <c r="AI2929" t="s">
        <v>18230</v>
      </c>
    </row>
    <row r="2930" spans="2:35" ht="409.5">
      <c r="B2930" s="1">
        <v>45583</v>
      </c>
      <c r="C2930" s="1">
        <v>45583</v>
      </c>
      <c r="D2930" t="s">
        <v>12198</v>
      </c>
      <c r="E2930" t="s">
        <v>18231</v>
      </c>
      <c r="F2930" t="s">
        <v>148</v>
      </c>
      <c r="G2930" t="s">
        <v>310</v>
      </c>
      <c r="H2930" t="s">
        <v>61</v>
      </c>
      <c r="I2930" t="s">
        <v>40</v>
      </c>
      <c r="J2930" t="s">
        <v>109</v>
      </c>
      <c r="K2930" t="s">
        <v>42</v>
      </c>
      <c r="L2930" t="s">
        <v>1943</v>
      </c>
      <c r="N2930" t="s">
        <v>1944</v>
      </c>
      <c r="O2930" t="s">
        <v>18232</v>
      </c>
      <c r="Q2930">
        <v>29616</v>
      </c>
      <c r="R2930" t="s">
        <v>95</v>
      </c>
      <c r="S2930" t="s">
        <v>17402</v>
      </c>
      <c r="T2930">
        <v>25</v>
      </c>
      <c r="U2930" s="2" t="s">
        <v>18233</v>
      </c>
      <c r="W2930" t="s">
        <v>895</v>
      </c>
      <c r="X2930">
        <v>844975</v>
      </c>
      <c r="Y2930" t="s">
        <v>18216</v>
      </c>
      <c r="Z2930" t="s">
        <v>1548</v>
      </c>
      <c r="AA2930" s="2" t="s">
        <v>2101</v>
      </c>
      <c r="AB2930" t="s">
        <v>18234</v>
      </c>
      <c r="AG2930" t="s">
        <v>18235</v>
      </c>
      <c r="AH2930" t="s">
        <v>17405</v>
      </c>
      <c r="AI2930" t="s">
        <v>18236</v>
      </c>
    </row>
    <row r="2931" spans="2:35" ht="150">
      <c r="B2931" s="1">
        <v>45583</v>
      </c>
      <c r="C2931" s="1">
        <v>45583</v>
      </c>
      <c r="D2931" t="s">
        <v>16504</v>
      </c>
      <c r="E2931" t="s">
        <v>16505</v>
      </c>
      <c r="F2931">
        <v>6</v>
      </c>
      <c r="G2931" t="s">
        <v>5216</v>
      </c>
      <c r="H2931" t="s">
        <v>10969</v>
      </c>
      <c r="I2931" t="s">
        <v>40</v>
      </c>
      <c r="J2931" s="2" t="s">
        <v>609</v>
      </c>
      <c r="K2931" t="s">
        <v>42</v>
      </c>
      <c r="L2931" t="s">
        <v>1288</v>
      </c>
      <c r="N2931" t="s">
        <v>1289</v>
      </c>
      <c r="Q2931">
        <v>29615</v>
      </c>
      <c r="R2931" t="s">
        <v>967</v>
      </c>
      <c r="S2931" t="s">
        <v>10807</v>
      </c>
      <c r="T2931">
        <v>25</v>
      </c>
      <c r="U2931" s="2" t="s">
        <v>18237</v>
      </c>
      <c r="W2931" t="s">
        <v>1292</v>
      </c>
      <c r="X2931">
        <v>110023528</v>
      </c>
      <c r="Y2931" t="e">
        <f ca="1">-printer Troubleshooting
-Preventive Maintenance</f>
        <v>#NAME?</v>
      </c>
      <c r="Z2931" t="e">
        <f ca="1">-COLLECT IQR, system _xludf.Log, _xludf.and ARCHIVE</f>
        <v>#NAME?</v>
      </c>
      <c r="AA2931" t="e">
        <f ca="1">-REINSTALL printer driver
-PERFORM Preventive Maintenance PROCEDURE</f>
        <v>#NAME?</v>
      </c>
      <c r="AB2931" t="s">
        <v>1293</v>
      </c>
      <c r="AG2931" t="s">
        <v>18238</v>
      </c>
      <c r="AH2931" t="s">
        <v>16509</v>
      </c>
      <c r="AI2931" t="s">
        <v>18239</v>
      </c>
    </row>
    <row r="2932" spans="2:35" ht="105">
      <c r="B2932" s="1">
        <v>45582</v>
      </c>
      <c r="C2932" s="1">
        <v>45582</v>
      </c>
      <c r="D2932" t="s">
        <v>13444</v>
      </c>
      <c r="E2932" t="s">
        <v>13445</v>
      </c>
      <c r="F2932">
        <v>6</v>
      </c>
      <c r="G2932" t="s">
        <v>5216</v>
      </c>
      <c r="H2932" t="s">
        <v>10969</v>
      </c>
      <c r="I2932" t="s">
        <v>40</v>
      </c>
      <c r="J2932" t="s">
        <v>109</v>
      </c>
      <c r="K2932" t="s">
        <v>42</v>
      </c>
      <c r="L2932" t="s">
        <v>1288</v>
      </c>
      <c r="N2932" t="s">
        <v>1289</v>
      </c>
      <c r="Q2932">
        <v>29614</v>
      </c>
      <c r="R2932" t="s">
        <v>119</v>
      </c>
      <c r="S2932" t="s">
        <v>13446</v>
      </c>
      <c r="T2932">
        <v>30</v>
      </c>
      <c r="U2932" s="2" t="s">
        <v>18240</v>
      </c>
      <c r="W2932" t="s">
        <v>1292</v>
      </c>
      <c r="X2932">
        <v>838291</v>
      </c>
      <c r="Y2932" t="e">
        <f ca="1">-Preventive Maintenance</f>
        <v>#NAME?</v>
      </c>
      <c r="Z2932" t="e">
        <f ca="1">-COLLECT IQR, system _xludf.Log, _xludf.and ARCHIVE</f>
        <v>#NAME?</v>
      </c>
      <c r="AA2932" t="e">
        <f ca="1">-PERFORM Preventive Maintenance PROCEDURE
-Inspect GX EQUIPMENT FAN _xludf.filter</f>
        <v>#NAME?</v>
      </c>
      <c r="AB2932" t="s">
        <v>1293</v>
      </c>
      <c r="AG2932" t="s">
        <v>18241</v>
      </c>
      <c r="AH2932" t="s">
        <v>15607</v>
      </c>
      <c r="AI2932" t="s">
        <v>18242</v>
      </c>
    </row>
    <row r="2933" spans="2:35">
      <c r="B2933" s="1">
        <v>45582</v>
      </c>
      <c r="C2933" s="1">
        <v>45582</v>
      </c>
      <c r="D2933" t="s">
        <v>1155</v>
      </c>
      <c r="E2933" t="s">
        <v>8331</v>
      </c>
      <c r="F2933" t="s">
        <v>148</v>
      </c>
      <c r="G2933" t="s">
        <v>230</v>
      </c>
      <c r="H2933" t="s">
        <v>39</v>
      </c>
      <c r="I2933" t="s">
        <v>40</v>
      </c>
      <c r="J2933" t="s">
        <v>109</v>
      </c>
      <c r="K2933" t="s">
        <v>42</v>
      </c>
      <c r="L2933" t="s">
        <v>175</v>
      </c>
      <c r="N2933" t="s">
        <v>176</v>
      </c>
      <c r="Q2933">
        <v>29613</v>
      </c>
      <c r="R2933" t="s">
        <v>322</v>
      </c>
      <c r="S2933" t="s">
        <v>8332</v>
      </c>
      <c r="T2933">
        <v>25</v>
      </c>
      <c r="W2933" t="s">
        <v>84</v>
      </c>
      <c r="X2933">
        <v>807112</v>
      </c>
      <c r="Y2933" t="s">
        <v>374</v>
      </c>
      <c r="Z2933" t="s">
        <v>103</v>
      </c>
      <c r="AA2933" t="e">
        <f ca="1">- checked _xludf.and cleaned cartridge bay, plunger rod, _xludf.filter
- generated reports
- performed self test</f>
        <v>#NAME?</v>
      </c>
      <c r="AB2933" t="s">
        <v>181</v>
      </c>
      <c r="AG2933" t="s">
        <v>18243</v>
      </c>
      <c r="AH2933" t="s">
        <v>1166</v>
      </c>
      <c r="AI2933" t="s">
        <v>18244</v>
      </c>
    </row>
    <row r="2934" spans="2:35" ht="105">
      <c r="B2934" s="1">
        <v>45582</v>
      </c>
      <c r="C2934" s="1">
        <v>45582</v>
      </c>
      <c r="D2934" t="s">
        <v>1155</v>
      </c>
      <c r="E2934" t="s">
        <v>8331</v>
      </c>
      <c r="F2934" t="s">
        <v>148</v>
      </c>
      <c r="G2934" t="s">
        <v>230</v>
      </c>
      <c r="H2934" t="s">
        <v>39</v>
      </c>
      <c r="I2934" t="s">
        <v>40</v>
      </c>
      <c r="J2934" t="s">
        <v>109</v>
      </c>
      <c r="K2934" t="s">
        <v>42</v>
      </c>
      <c r="L2934" t="s">
        <v>175</v>
      </c>
      <c r="N2934" t="s">
        <v>176</v>
      </c>
      <c r="Q2934">
        <v>29612</v>
      </c>
      <c r="R2934" t="s">
        <v>322</v>
      </c>
      <c r="S2934" t="s">
        <v>8332</v>
      </c>
      <c r="T2934">
        <v>27</v>
      </c>
      <c r="W2934" t="s">
        <v>84</v>
      </c>
      <c r="X2934">
        <v>807956</v>
      </c>
      <c r="Y2934" s="2" t="s">
        <v>18245</v>
      </c>
      <c r="Z2934" t="s">
        <v>103</v>
      </c>
      <c r="AA2934" t="e">
        <f ca="1">- checked _xludf.and cleaned cartridge bay, plunger rod, _xludf.filter
- scanned system _xludf.Log _xludf.For module hardware errors (None found)
- generated reports
- performed self test</f>
        <v>#NAME?</v>
      </c>
      <c r="AB2934" s="2" t="s">
        <v>18246</v>
      </c>
      <c r="AG2934" t="s">
        <v>18247</v>
      </c>
      <c r="AH2934" t="s">
        <v>1166</v>
      </c>
      <c r="AI2934" t="s">
        <v>18248</v>
      </c>
    </row>
    <row r="2935" spans="2:35" ht="60">
      <c r="B2935" s="1">
        <v>45582</v>
      </c>
      <c r="C2935" s="1">
        <v>45582</v>
      </c>
      <c r="D2935" t="s">
        <v>10465</v>
      </c>
      <c r="E2935" t="s">
        <v>10466</v>
      </c>
      <c r="F2935">
        <v>10</v>
      </c>
      <c r="G2935" t="s">
        <v>1395</v>
      </c>
      <c r="H2935" t="s">
        <v>2125</v>
      </c>
      <c r="I2935" t="s">
        <v>40</v>
      </c>
      <c r="J2935" s="2" t="s">
        <v>62</v>
      </c>
      <c r="K2935" t="s">
        <v>42</v>
      </c>
      <c r="L2935" t="s">
        <v>933</v>
      </c>
      <c r="N2935" t="s">
        <v>934</v>
      </c>
      <c r="Q2935">
        <v>29611</v>
      </c>
      <c r="R2935" t="s">
        <v>119</v>
      </c>
      <c r="S2935" t="s">
        <v>9174</v>
      </c>
      <c r="T2935">
        <v>26</v>
      </c>
      <c r="W2935" t="s">
        <v>2127</v>
      </c>
      <c r="X2935">
        <v>838557</v>
      </c>
      <c r="Y2935" t="s">
        <v>18249</v>
      </c>
      <c r="Z2935" t="s">
        <v>18250</v>
      </c>
      <c r="AA2935" t="s">
        <v>18250</v>
      </c>
      <c r="AB2935" t="s">
        <v>13650</v>
      </c>
      <c r="AG2935" t="s">
        <v>18251</v>
      </c>
      <c r="AH2935" t="s">
        <v>9177</v>
      </c>
      <c r="AI2935" t="s">
        <v>18252</v>
      </c>
    </row>
    <row r="2936" spans="2:35" ht="409.5">
      <c r="B2936" s="1">
        <v>45582</v>
      </c>
      <c r="C2936" s="1">
        <v>45582</v>
      </c>
      <c r="D2936" t="s">
        <v>18253</v>
      </c>
      <c r="E2936" t="s">
        <v>18254</v>
      </c>
      <c r="F2936">
        <v>6</v>
      </c>
      <c r="G2936" t="s">
        <v>1234</v>
      </c>
      <c r="H2936" t="s">
        <v>61</v>
      </c>
      <c r="I2936" t="s">
        <v>40</v>
      </c>
      <c r="J2936" s="2" t="s">
        <v>41</v>
      </c>
      <c r="K2936" t="s">
        <v>42</v>
      </c>
      <c r="L2936" t="s">
        <v>270</v>
      </c>
      <c r="N2936" t="s">
        <v>2481</v>
      </c>
      <c r="Q2936">
        <v>29610</v>
      </c>
      <c r="R2936" t="s">
        <v>95</v>
      </c>
      <c r="S2936" t="s">
        <v>11448</v>
      </c>
      <c r="T2936">
        <v>23</v>
      </c>
      <c r="U2936" s="2" t="s">
        <v>18255</v>
      </c>
      <c r="W2936" t="s">
        <v>3662</v>
      </c>
      <c r="X2936">
        <v>110005268</v>
      </c>
      <c r="Y2936" s="2" t="s">
        <v>18256</v>
      </c>
      <c r="Z2936" t="e">
        <f ca="1">- cleaned plunger Rods, module bay _xludf.areas, optic slots, machine _xludf.filter
- ARCHIVE tests.</f>
        <v>#NAME?</v>
      </c>
      <c r="AA2936" t="e">
        <f ca="1">- Reinstalled module
B1.
- Generate IQR, system Log.
- performed Preventive Maintenance in modules B1, B2, B3,
 B4.
- Specimen runs in modules B1 _xludf.and
B3.
- Dummy runs in modules B2 _xludf.and B4.</f>
        <v>#NAME?</v>
      </c>
      <c r="AB2936" s="2" t="s">
        <v>18257</v>
      </c>
      <c r="AC2936" t="s">
        <v>18258</v>
      </c>
      <c r="AG2936" t="s">
        <v>18259</v>
      </c>
      <c r="AH2936" t="s">
        <v>11452</v>
      </c>
      <c r="AI2936" t="s">
        <v>18260</v>
      </c>
    </row>
    <row r="2937" spans="2:35" ht="60">
      <c r="B2937" s="1">
        <v>45582</v>
      </c>
      <c r="C2937" s="1">
        <v>45580</v>
      </c>
      <c r="D2937" t="s">
        <v>7751</v>
      </c>
      <c r="E2937" t="s">
        <v>7752</v>
      </c>
      <c r="F2937">
        <v>13</v>
      </c>
      <c r="G2937" t="s">
        <v>4484</v>
      </c>
      <c r="H2937" t="s">
        <v>2125</v>
      </c>
      <c r="I2937" t="s">
        <v>40</v>
      </c>
      <c r="J2937" s="2" t="s">
        <v>62</v>
      </c>
      <c r="K2937" t="s">
        <v>42</v>
      </c>
      <c r="L2937" t="s">
        <v>933</v>
      </c>
      <c r="N2937" t="s">
        <v>934</v>
      </c>
      <c r="Q2937">
        <v>29609</v>
      </c>
      <c r="R2937" t="s">
        <v>119</v>
      </c>
      <c r="S2937" t="s">
        <v>11316</v>
      </c>
      <c r="T2937">
        <v>30</v>
      </c>
      <c r="W2937" t="s">
        <v>2127</v>
      </c>
      <c r="X2937">
        <v>838403</v>
      </c>
      <c r="Y2937" t="s">
        <v>15392</v>
      </c>
      <c r="Z2937" t="s">
        <v>8446</v>
      </c>
      <c r="AA2937" t="s">
        <v>18250</v>
      </c>
      <c r="AB2937" t="s">
        <v>18261</v>
      </c>
      <c r="AG2937" t="s">
        <v>18262</v>
      </c>
      <c r="AH2937" t="s">
        <v>11318</v>
      </c>
      <c r="AI2937" t="s">
        <v>18263</v>
      </c>
    </row>
    <row r="2938" spans="2:35" ht="270">
      <c r="B2938" s="1">
        <v>45582</v>
      </c>
      <c r="C2938" s="1">
        <v>45582</v>
      </c>
      <c r="D2938" t="s">
        <v>542</v>
      </c>
      <c r="E2938" t="s">
        <v>15941</v>
      </c>
      <c r="F2938" t="s">
        <v>148</v>
      </c>
      <c r="G2938" t="s">
        <v>544</v>
      </c>
      <c r="H2938" t="s">
        <v>39</v>
      </c>
      <c r="I2938" t="s">
        <v>40</v>
      </c>
      <c r="J2938" t="s">
        <v>109</v>
      </c>
      <c r="K2938" t="s">
        <v>42</v>
      </c>
      <c r="L2938" t="s">
        <v>43</v>
      </c>
      <c r="N2938" t="s">
        <v>44</v>
      </c>
      <c r="Q2938">
        <v>29607</v>
      </c>
      <c r="R2938" t="s">
        <v>322</v>
      </c>
      <c r="S2938" t="s">
        <v>15929</v>
      </c>
      <c r="T2938">
        <v>22</v>
      </c>
      <c r="U2938" s="2" t="s">
        <v>18264</v>
      </c>
      <c r="W2938" t="s">
        <v>153</v>
      </c>
      <c r="X2938">
        <v>120000613</v>
      </c>
      <c r="Y2938" t="s">
        <v>121</v>
      </c>
      <c r="Z2938" t="s">
        <v>122</v>
      </c>
      <c r="AA2938" s="2" t="s">
        <v>9744</v>
      </c>
      <c r="AB2938" t="s">
        <v>566</v>
      </c>
      <c r="AG2938" t="s">
        <v>18265</v>
      </c>
      <c r="AH2938" t="s">
        <v>15931</v>
      </c>
      <c r="AI2938" t="s">
        <v>18266</v>
      </c>
    </row>
    <row r="2939" spans="2:35" ht="270">
      <c r="B2939" s="1">
        <v>45582</v>
      </c>
      <c r="C2939" s="1">
        <v>45582</v>
      </c>
      <c r="D2939" t="s">
        <v>542</v>
      </c>
      <c r="E2939" t="s">
        <v>15941</v>
      </c>
      <c r="F2939" t="s">
        <v>148</v>
      </c>
      <c r="G2939" t="s">
        <v>544</v>
      </c>
      <c r="H2939" t="s">
        <v>39</v>
      </c>
      <c r="I2939" t="s">
        <v>40</v>
      </c>
      <c r="J2939" t="s">
        <v>109</v>
      </c>
      <c r="K2939" t="s">
        <v>42</v>
      </c>
      <c r="L2939" t="s">
        <v>43</v>
      </c>
      <c r="N2939" t="s">
        <v>44</v>
      </c>
      <c r="Q2939">
        <v>29608</v>
      </c>
      <c r="R2939" t="s">
        <v>322</v>
      </c>
      <c r="S2939" t="s">
        <v>15929</v>
      </c>
      <c r="T2939">
        <v>22</v>
      </c>
      <c r="U2939" s="2" t="s">
        <v>18267</v>
      </c>
      <c r="W2939" t="s">
        <v>153</v>
      </c>
      <c r="X2939">
        <v>110016107</v>
      </c>
      <c r="Y2939" t="s">
        <v>121</v>
      </c>
      <c r="Z2939" t="s">
        <v>122</v>
      </c>
      <c r="AA2939" s="2" t="s">
        <v>123</v>
      </c>
      <c r="AB2939" t="s">
        <v>548</v>
      </c>
      <c r="AG2939" t="s">
        <v>18268</v>
      </c>
      <c r="AH2939" t="s">
        <v>15931</v>
      </c>
      <c r="AI2939" t="s">
        <v>18269</v>
      </c>
    </row>
    <row r="2940" spans="2:35" ht="300">
      <c r="B2940" s="1">
        <v>45582</v>
      </c>
      <c r="C2940" s="1">
        <v>45581</v>
      </c>
      <c r="D2940" t="s">
        <v>5474</v>
      </c>
      <c r="E2940" t="s">
        <v>5485</v>
      </c>
      <c r="F2940" t="s">
        <v>148</v>
      </c>
      <c r="G2940" t="s">
        <v>2007</v>
      </c>
      <c r="H2940" t="s">
        <v>39</v>
      </c>
      <c r="I2940" t="s">
        <v>40</v>
      </c>
      <c r="J2940" s="2" t="s">
        <v>6184</v>
      </c>
      <c r="K2940" t="s">
        <v>42</v>
      </c>
      <c r="L2940" t="s">
        <v>43</v>
      </c>
      <c r="N2940" t="s">
        <v>44</v>
      </c>
      <c r="Q2940">
        <v>29606</v>
      </c>
      <c r="R2940" t="s">
        <v>95</v>
      </c>
      <c r="S2940" t="s">
        <v>2008</v>
      </c>
      <c r="T2940">
        <v>24</v>
      </c>
      <c r="W2940" t="s">
        <v>153</v>
      </c>
      <c r="X2940">
        <v>110001647</v>
      </c>
      <c r="Y2940" t="s">
        <v>4709</v>
      </c>
      <c r="Z2940" s="2" t="s">
        <v>18270</v>
      </c>
      <c r="AA2940" s="2" t="s">
        <v>18271</v>
      </c>
      <c r="AB2940" t="s">
        <v>88</v>
      </c>
      <c r="AG2940" t="s">
        <v>18272</v>
      </c>
      <c r="AH2940" t="s">
        <v>13112</v>
      </c>
      <c r="AI2940" t="s">
        <v>18273</v>
      </c>
    </row>
    <row r="2941" spans="2:35">
      <c r="B2941" s="1">
        <v>45582</v>
      </c>
      <c r="C2941" s="1">
        <v>45582</v>
      </c>
      <c r="D2941" t="s">
        <v>18274</v>
      </c>
      <c r="E2941" t="s">
        <v>1285</v>
      </c>
      <c r="F2941">
        <v>6</v>
      </c>
      <c r="G2941" t="s">
        <v>1286</v>
      </c>
      <c r="H2941" t="s">
        <v>12018</v>
      </c>
      <c r="I2941" t="s">
        <v>40</v>
      </c>
      <c r="J2941" t="s">
        <v>109</v>
      </c>
      <c r="K2941" t="s">
        <v>387</v>
      </c>
      <c r="L2941" t="s">
        <v>1288</v>
      </c>
      <c r="N2941" t="s">
        <v>1289</v>
      </c>
      <c r="Q2941">
        <v>29605</v>
      </c>
      <c r="R2941" t="s">
        <v>95</v>
      </c>
      <c r="S2941" t="s">
        <v>18275</v>
      </c>
      <c r="T2941">
        <v>22</v>
      </c>
      <c r="W2941" t="s">
        <v>390</v>
      </c>
      <c r="X2941" t="s">
        <v>14171</v>
      </c>
      <c r="Y2941" t="s">
        <v>1529</v>
      </c>
      <c r="Z2941" t="e">
        <f ca="1">-PERFORM functionality test, passed</f>
        <v>#NAME?</v>
      </c>
      <c r="AA2941" t="e">
        <f ca="1">-PERFORM Preventive Maintenance PROCEDURE
-Inspect Pump rotors</f>
        <v>#NAME?</v>
      </c>
      <c r="AB2941" t="e">
        <f ca="1">-EQUIPMENT is operational</f>
        <v>#NAME?</v>
      </c>
      <c r="AG2941" t="s">
        <v>18276</v>
      </c>
      <c r="AH2941" t="s">
        <v>18277</v>
      </c>
      <c r="AI2941" t="s">
        <v>18278</v>
      </c>
    </row>
    <row r="2942" spans="2:35" ht="345">
      <c r="B2942" s="1">
        <v>45581</v>
      </c>
      <c r="C2942" s="1">
        <v>45581</v>
      </c>
      <c r="D2942" t="s">
        <v>9469</v>
      </c>
      <c r="E2942" t="s">
        <v>9470</v>
      </c>
      <c r="F2942">
        <v>8</v>
      </c>
      <c r="G2942" t="s">
        <v>1663</v>
      </c>
      <c r="H2942" t="s">
        <v>258</v>
      </c>
      <c r="I2942" t="s">
        <v>40</v>
      </c>
      <c r="J2942" t="s">
        <v>79</v>
      </c>
      <c r="K2942" t="s">
        <v>42</v>
      </c>
      <c r="L2942" t="s">
        <v>259</v>
      </c>
      <c r="N2942" t="s">
        <v>260</v>
      </c>
      <c r="Q2942">
        <v>29604</v>
      </c>
      <c r="R2942" t="s">
        <v>119</v>
      </c>
      <c r="S2942" t="s">
        <v>9471</v>
      </c>
      <c r="T2942">
        <v>29</v>
      </c>
      <c r="V2942" s="1">
        <v>45581</v>
      </c>
      <c r="W2942" t="s">
        <v>84</v>
      </c>
      <c r="X2942">
        <v>838498</v>
      </c>
      <c r="Y2942" t="s">
        <v>18279</v>
      </c>
      <c r="Z2942" t="e">
        <f ca="1">- PM
- module Replacement</f>
        <v>#NAME?</v>
      </c>
      <c r="AA2942" s="2" t="s">
        <v>18280</v>
      </c>
      <c r="AB2942" t="s">
        <v>70</v>
      </c>
      <c r="AD2942" t="s">
        <v>16645</v>
      </c>
      <c r="AE2942">
        <v>12076</v>
      </c>
      <c r="AG2942" t="s">
        <v>18281</v>
      </c>
      <c r="AH2942" t="s">
        <v>18282</v>
      </c>
      <c r="AI2942" t="s">
        <v>18283</v>
      </c>
    </row>
    <row r="2943" spans="2:35" ht="105">
      <c r="B2943" s="1">
        <v>45581</v>
      </c>
      <c r="C2943" s="1">
        <v>45581</v>
      </c>
      <c r="D2943" t="s">
        <v>9702</v>
      </c>
      <c r="E2943" t="s">
        <v>11385</v>
      </c>
      <c r="F2943" t="s">
        <v>1255</v>
      </c>
      <c r="G2943" t="s">
        <v>3346</v>
      </c>
      <c r="H2943" t="s">
        <v>39</v>
      </c>
      <c r="I2943" t="s">
        <v>40</v>
      </c>
      <c r="J2943" t="s">
        <v>996</v>
      </c>
      <c r="K2943" t="s">
        <v>42</v>
      </c>
      <c r="L2943" t="s">
        <v>1257</v>
      </c>
      <c r="N2943" t="s">
        <v>1258</v>
      </c>
      <c r="O2943" t="s">
        <v>1258</v>
      </c>
      <c r="Q2943">
        <v>29603</v>
      </c>
      <c r="R2943" t="s">
        <v>119</v>
      </c>
      <c r="S2943" t="s">
        <v>6727</v>
      </c>
      <c r="T2943">
        <v>29</v>
      </c>
      <c r="U2943" s="2" t="s">
        <v>7334</v>
      </c>
      <c r="V2943" s="1">
        <v>45540</v>
      </c>
      <c r="W2943" t="s">
        <v>2384</v>
      </c>
      <c r="X2943">
        <v>838835</v>
      </c>
      <c r="Y2943" t="s">
        <v>301</v>
      </c>
      <c r="Z2943" t="s">
        <v>18284</v>
      </c>
      <c r="AA2943" t="s">
        <v>18285</v>
      </c>
      <c r="AB2943" t="s">
        <v>7411</v>
      </c>
      <c r="AC2943" t="s">
        <v>301</v>
      </c>
      <c r="AD2943" t="s">
        <v>5255</v>
      </c>
      <c r="AE2943">
        <v>12043</v>
      </c>
      <c r="AG2943" t="s">
        <v>18286</v>
      </c>
      <c r="AH2943" t="s">
        <v>9709</v>
      </c>
      <c r="AI2943" t="s">
        <v>18287</v>
      </c>
    </row>
    <row r="2944" spans="2:35" ht="255">
      <c r="B2944" s="1">
        <v>45581</v>
      </c>
      <c r="C2944" s="1">
        <v>45580</v>
      </c>
      <c r="D2944" t="s">
        <v>4379</v>
      </c>
      <c r="E2944" t="s">
        <v>18288</v>
      </c>
      <c r="F2944" t="s">
        <v>148</v>
      </c>
      <c r="G2944" t="s">
        <v>785</v>
      </c>
      <c r="H2944" t="s">
        <v>39</v>
      </c>
      <c r="I2944" t="s">
        <v>40</v>
      </c>
      <c r="J2944" t="s">
        <v>109</v>
      </c>
      <c r="K2944" t="s">
        <v>387</v>
      </c>
      <c r="L2944" t="s">
        <v>43</v>
      </c>
      <c r="N2944" t="s">
        <v>44</v>
      </c>
      <c r="O2944" t="s">
        <v>18289</v>
      </c>
      <c r="Q2944">
        <v>29602</v>
      </c>
      <c r="R2944" t="s">
        <v>322</v>
      </c>
      <c r="S2944" t="s">
        <v>18290</v>
      </c>
      <c r="T2944">
        <v>22</v>
      </c>
      <c r="W2944" t="s">
        <v>390</v>
      </c>
      <c r="X2944" t="s">
        <v>4390</v>
      </c>
      <c r="Y2944" t="s">
        <v>121</v>
      </c>
      <c r="Z2944" t="s">
        <v>122</v>
      </c>
      <c r="AA2944" s="2" t="s">
        <v>2076</v>
      </c>
      <c r="AB2944" t="s">
        <v>88</v>
      </c>
      <c r="AG2944" t="s">
        <v>18291</v>
      </c>
      <c r="AH2944" t="s">
        <v>18292</v>
      </c>
      <c r="AI2944" t="s">
        <v>18293</v>
      </c>
    </row>
    <row r="2945" spans="2:35" ht="409.5">
      <c r="B2945" s="1">
        <v>45580</v>
      </c>
      <c r="C2945" s="1">
        <v>45580</v>
      </c>
      <c r="D2945" t="s">
        <v>18185</v>
      </c>
      <c r="E2945" t="s">
        <v>18186</v>
      </c>
      <c r="F2945">
        <v>11</v>
      </c>
      <c r="G2945" t="s">
        <v>4297</v>
      </c>
      <c r="H2945" t="s">
        <v>202</v>
      </c>
      <c r="I2945" t="s">
        <v>40</v>
      </c>
      <c r="J2945" s="2" t="s">
        <v>18187</v>
      </c>
      <c r="K2945" t="s">
        <v>42</v>
      </c>
      <c r="L2945" t="s">
        <v>204</v>
      </c>
      <c r="N2945" t="s">
        <v>205</v>
      </c>
      <c r="Q2945">
        <v>29601</v>
      </c>
      <c r="R2945" t="s">
        <v>119</v>
      </c>
      <c r="S2945" t="s">
        <v>4970</v>
      </c>
      <c r="T2945">
        <v>28.5</v>
      </c>
      <c r="U2945" s="2" t="s">
        <v>2367</v>
      </c>
      <c r="V2945" s="1">
        <v>45539</v>
      </c>
      <c r="W2945" t="s">
        <v>208</v>
      </c>
      <c r="X2945">
        <v>837614</v>
      </c>
      <c r="Y2945" s="2" t="s">
        <v>18188</v>
      </c>
      <c r="Z2945" s="2" t="s">
        <v>18189</v>
      </c>
      <c r="AA2945" s="2" t="s">
        <v>18190</v>
      </c>
      <c r="AB2945" t="s">
        <v>18294</v>
      </c>
      <c r="AD2945" t="s">
        <v>18192</v>
      </c>
      <c r="AE2945" t="s">
        <v>18193</v>
      </c>
      <c r="AG2945" t="s">
        <v>18295</v>
      </c>
      <c r="AH2945" t="s">
        <v>4980</v>
      </c>
      <c r="AI2945" t="s">
        <v>18296</v>
      </c>
    </row>
    <row r="2946" spans="2:35" ht="409.5">
      <c r="B2946" s="1">
        <v>45580</v>
      </c>
      <c r="C2946" s="1">
        <v>45580</v>
      </c>
      <c r="D2946" t="s">
        <v>159</v>
      </c>
      <c r="E2946" t="s">
        <v>5764</v>
      </c>
      <c r="F2946" t="s">
        <v>37</v>
      </c>
      <c r="G2946" t="s">
        <v>78</v>
      </c>
      <c r="H2946" t="s">
        <v>150</v>
      </c>
      <c r="I2946" t="s">
        <v>40</v>
      </c>
      <c r="J2946" t="s">
        <v>109</v>
      </c>
      <c r="K2946" t="s">
        <v>42</v>
      </c>
      <c r="L2946" t="s">
        <v>1943</v>
      </c>
      <c r="N2946" t="s">
        <v>1944</v>
      </c>
      <c r="O2946" t="s">
        <v>18297</v>
      </c>
      <c r="Q2946">
        <v>29600</v>
      </c>
      <c r="R2946" t="s">
        <v>95</v>
      </c>
      <c r="S2946" t="s">
        <v>161</v>
      </c>
      <c r="T2946">
        <v>25</v>
      </c>
      <c r="U2946" s="2" t="s">
        <v>18298</v>
      </c>
      <c r="W2946" t="s">
        <v>5771</v>
      </c>
      <c r="X2946">
        <v>812916</v>
      </c>
      <c r="Y2946" t="s">
        <v>2099</v>
      </c>
      <c r="Z2946" t="s">
        <v>2100</v>
      </c>
      <c r="AA2946" s="2" t="s">
        <v>2101</v>
      </c>
      <c r="AB2946" t="s">
        <v>18299</v>
      </c>
      <c r="AG2946" t="s">
        <v>18300</v>
      </c>
      <c r="AH2946" t="s">
        <v>170</v>
      </c>
      <c r="AI2946" t="s">
        <v>18301</v>
      </c>
    </row>
    <row r="2947" spans="2:35" ht="150">
      <c r="B2947" s="1">
        <v>45580</v>
      </c>
      <c r="C2947" s="1">
        <v>45580</v>
      </c>
      <c r="D2947" t="s">
        <v>4601</v>
      </c>
      <c r="E2947" t="s">
        <v>13285</v>
      </c>
      <c r="F2947" t="s">
        <v>37</v>
      </c>
      <c r="G2947" t="s">
        <v>748</v>
      </c>
      <c r="H2947" t="s">
        <v>39</v>
      </c>
      <c r="I2947" t="s">
        <v>40</v>
      </c>
      <c r="J2947" t="s">
        <v>321</v>
      </c>
      <c r="K2947" t="s">
        <v>42</v>
      </c>
      <c r="L2947" t="s">
        <v>1028</v>
      </c>
      <c r="N2947" t="s">
        <v>1029</v>
      </c>
      <c r="Q2947">
        <v>29599</v>
      </c>
      <c r="R2947" t="s">
        <v>322</v>
      </c>
      <c r="S2947" t="s">
        <v>13286</v>
      </c>
      <c r="T2947">
        <v>27</v>
      </c>
      <c r="W2947" t="s">
        <v>1032</v>
      </c>
      <c r="X2947">
        <v>120003582</v>
      </c>
      <c r="Y2947" t="s">
        <v>18302</v>
      </c>
      <c r="Z2947" t="s">
        <v>3764</v>
      </c>
      <c r="AA2947" s="2" t="s">
        <v>18303</v>
      </c>
      <c r="AB2947" t="s">
        <v>12280</v>
      </c>
      <c r="AG2947" t="s">
        <v>18304</v>
      </c>
      <c r="AH2947" t="s">
        <v>18305</v>
      </c>
      <c r="AI2947" t="s">
        <v>18306</v>
      </c>
    </row>
    <row r="2948" spans="2:35" ht="105">
      <c r="B2948" s="1">
        <v>45580</v>
      </c>
      <c r="C2948" s="1">
        <v>45580</v>
      </c>
      <c r="D2948" t="s">
        <v>14852</v>
      </c>
      <c r="E2948" t="s">
        <v>18307</v>
      </c>
      <c r="F2948">
        <v>6</v>
      </c>
      <c r="G2948" t="s">
        <v>1286</v>
      </c>
      <c r="H2948" t="s">
        <v>10969</v>
      </c>
      <c r="I2948" t="s">
        <v>40</v>
      </c>
      <c r="J2948" s="2" t="s">
        <v>14104</v>
      </c>
      <c r="K2948" t="s">
        <v>42</v>
      </c>
      <c r="L2948" t="s">
        <v>1288</v>
      </c>
      <c r="N2948" t="s">
        <v>1289</v>
      </c>
      <c r="Q2948">
        <v>29598</v>
      </c>
      <c r="R2948" t="s">
        <v>967</v>
      </c>
      <c r="S2948" t="s">
        <v>5417</v>
      </c>
      <c r="T2948">
        <v>26</v>
      </c>
      <c r="U2948" s="2" t="s">
        <v>1509</v>
      </c>
      <c r="W2948" t="s">
        <v>1292</v>
      </c>
      <c r="X2948">
        <v>110023530</v>
      </c>
      <c r="Y2948" t="e">
        <f ca="1">-re-Installation of GX EQUIPMENT</f>
        <v>#NAME?</v>
      </c>
      <c r="Z2948" t="e">
        <f ca="1">-COLLECT Installation QUALIFICATION report</f>
        <v>#NAME?</v>
      </c>
      <c r="AA2948" t="e">
        <f ca="1">-Set up workstation _xludf.and PERFORM Installation of GeneXpert EQUIPMENT</f>
        <v>#NAME?</v>
      </c>
      <c r="AB2948" t="s">
        <v>1293</v>
      </c>
      <c r="AG2948" t="s">
        <v>18308</v>
      </c>
      <c r="AH2948" t="s">
        <v>5420</v>
      </c>
      <c r="AI2948" t="s">
        <v>18309</v>
      </c>
    </row>
    <row r="2949" spans="2:35" ht="409.5">
      <c r="B2949" s="1">
        <v>45580</v>
      </c>
      <c r="C2949" s="1">
        <v>45580</v>
      </c>
      <c r="D2949" t="s">
        <v>6682</v>
      </c>
      <c r="E2949" t="s">
        <v>5764</v>
      </c>
      <c r="F2949" t="s">
        <v>37</v>
      </c>
      <c r="G2949" t="s">
        <v>78</v>
      </c>
      <c r="H2949" t="s">
        <v>39</v>
      </c>
      <c r="I2949" t="s">
        <v>40</v>
      </c>
      <c r="J2949" t="s">
        <v>109</v>
      </c>
      <c r="K2949" t="s">
        <v>42</v>
      </c>
      <c r="L2949" t="s">
        <v>1943</v>
      </c>
      <c r="N2949" t="s">
        <v>1944</v>
      </c>
      <c r="Q2949">
        <v>29597</v>
      </c>
      <c r="R2949" t="s">
        <v>119</v>
      </c>
      <c r="S2949" t="s">
        <v>8239</v>
      </c>
      <c r="T2949">
        <v>25</v>
      </c>
      <c r="W2949" t="s">
        <v>84</v>
      </c>
      <c r="X2949">
        <v>838225</v>
      </c>
      <c r="Y2949" t="s">
        <v>2099</v>
      </c>
      <c r="Z2949" t="s">
        <v>2100</v>
      </c>
      <c r="AA2949" s="2" t="s">
        <v>2101</v>
      </c>
      <c r="AB2949" t="s">
        <v>88</v>
      </c>
      <c r="AG2949" t="s">
        <v>18310</v>
      </c>
      <c r="AH2949" t="s">
        <v>18311</v>
      </c>
      <c r="AI2949" t="s">
        <v>18312</v>
      </c>
    </row>
    <row r="2950" spans="2:35" ht="240">
      <c r="B2950" s="1">
        <v>45580</v>
      </c>
      <c r="C2950" s="1">
        <v>45576</v>
      </c>
      <c r="D2950" t="s">
        <v>9003</v>
      </c>
      <c r="E2950" t="s">
        <v>18313</v>
      </c>
      <c r="F2950" t="s">
        <v>148</v>
      </c>
      <c r="G2950" t="s">
        <v>774</v>
      </c>
      <c r="H2950" t="s">
        <v>662</v>
      </c>
      <c r="I2950" t="s">
        <v>40</v>
      </c>
      <c r="J2950" t="s">
        <v>109</v>
      </c>
      <c r="K2950" t="s">
        <v>42</v>
      </c>
      <c r="L2950" t="s">
        <v>1028</v>
      </c>
      <c r="N2950" t="s">
        <v>1029</v>
      </c>
      <c r="Q2950">
        <v>29596</v>
      </c>
      <c r="R2950" t="s">
        <v>967</v>
      </c>
      <c r="S2950" t="s">
        <v>11790</v>
      </c>
      <c r="T2950">
        <v>25</v>
      </c>
      <c r="U2950" s="2" t="s">
        <v>15664</v>
      </c>
      <c r="W2950" t="s">
        <v>1032</v>
      </c>
      <c r="X2950">
        <v>110023494</v>
      </c>
      <c r="Y2950" t="s">
        <v>1978</v>
      </c>
      <c r="Z2950" t="s">
        <v>1548</v>
      </c>
      <c r="AA2950" s="2" t="s">
        <v>17214</v>
      </c>
      <c r="AB2950" t="s">
        <v>12280</v>
      </c>
      <c r="AG2950" t="s">
        <v>18314</v>
      </c>
      <c r="AH2950" t="s">
        <v>5156</v>
      </c>
      <c r="AI2950" t="s">
        <v>18315</v>
      </c>
    </row>
    <row r="2951" spans="2:35">
      <c r="B2951" s="1">
        <v>45580</v>
      </c>
      <c r="C2951" s="1">
        <v>45580</v>
      </c>
      <c r="D2951" t="s">
        <v>18316</v>
      </c>
      <c r="E2951" t="s">
        <v>1298</v>
      </c>
      <c r="F2951">
        <v>6</v>
      </c>
      <c r="G2951" t="s">
        <v>1286</v>
      </c>
      <c r="H2951" t="s">
        <v>12018</v>
      </c>
      <c r="I2951" t="s">
        <v>40</v>
      </c>
      <c r="J2951" t="s">
        <v>109</v>
      </c>
      <c r="K2951" t="s">
        <v>387</v>
      </c>
      <c r="L2951" t="s">
        <v>1288</v>
      </c>
      <c r="N2951" t="s">
        <v>1289</v>
      </c>
      <c r="Q2951">
        <v>29595</v>
      </c>
      <c r="R2951" t="s">
        <v>95</v>
      </c>
      <c r="S2951" t="s">
        <v>1299</v>
      </c>
      <c r="T2951">
        <v>23</v>
      </c>
      <c r="W2951" t="s">
        <v>390</v>
      </c>
      <c r="X2951" t="s">
        <v>1300</v>
      </c>
      <c r="Y2951" t="s">
        <v>1529</v>
      </c>
      <c r="Z2951" t="e">
        <f ca="1">-PERFORM functionality test, passed</f>
        <v>#NAME?</v>
      </c>
      <c r="AA2951" t="e">
        <f ca="1">-PERFORM Preventive Maintenance
-_xludf.Replace blood Pump rotor rubber</f>
        <v>#NAME?</v>
      </c>
      <c r="AB2951" t="s">
        <v>1293</v>
      </c>
      <c r="AG2951" t="s">
        <v>18317</v>
      </c>
      <c r="AH2951" t="s">
        <v>1305</v>
      </c>
      <c r="AI2951" t="s">
        <v>18318</v>
      </c>
    </row>
    <row r="2952" spans="2:35" ht="409.5">
      <c r="B2952" s="1">
        <v>45579</v>
      </c>
      <c r="C2952" s="1">
        <v>45579</v>
      </c>
      <c r="D2952" t="s">
        <v>11065</v>
      </c>
      <c r="E2952" t="s">
        <v>18319</v>
      </c>
      <c r="F2952">
        <v>7</v>
      </c>
      <c r="G2952" t="s">
        <v>269</v>
      </c>
      <c r="H2952" t="s">
        <v>258</v>
      </c>
      <c r="I2952" t="s">
        <v>40</v>
      </c>
      <c r="J2952" s="2" t="s">
        <v>190</v>
      </c>
      <c r="K2952" t="s">
        <v>42</v>
      </c>
      <c r="L2952" t="s">
        <v>270</v>
      </c>
      <c r="N2952" t="s">
        <v>2481</v>
      </c>
      <c r="Q2952">
        <v>29594</v>
      </c>
      <c r="R2952" t="s">
        <v>119</v>
      </c>
      <c r="S2952" t="s">
        <v>16682</v>
      </c>
      <c r="T2952">
        <v>22</v>
      </c>
      <c r="U2952" s="2" t="s">
        <v>5861</v>
      </c>
      <c r="W2952" t="s">
        <v>17334</v>
      </c>
      <c r="X2952">
        <v>838481</v>
      </c>
      <c r="Y2952" t="s">
        <v>18320</v>
      </c>
      <c r="Z2952" t="e">
        <f ca="1">- run blank cartridge using only buffer solution.</f>
        <v>#NAME?</v>
      </c>
      <c r="AA2952" s="2" t="s">
        <v>18321</v>
      </c>
      <c r="AB2952" s="2" t="s">
        <v>18322</v>
      </c>
      <c r="AG2952" t="s">
        <v>18323</v>
      </c>
      <c r="AH2952" t="s">
        <v>18324</v>
      </c>
      <c r="AI2952" t="s">
        <v>18325</v>
      </c>
    </row>
    <row r="2953" spans="2:35" ht="105">
      <c r="B2953" s="1">
        <v>45579</v>
      </c>
      <c r="C2953" s="1">
        <v>45573</v>
      </c>
      <c r="D2953" t="s">
        <v>4523</v>
      </c>
      <c r="E2953" t="s">
        <v>3011</v>
      </c>
      <c r="F2953">
        <v>1</v>
      </c>
      <c r="G2953" t="s">
        <v>1046</v>
      </c>
      <c r="H2953" t="s">
        <v>1047</v>
      </c>
      <c r="I2953" t="s">
        <v>40</v>
      </c>
      <c r="J2953" s="2" t="s">
        <v>190</v>
      </c>
      <c r="K2953" t="s">
        <v>42</v>
      </c>
      <c r="L2953" t="s">
        <v>1048</v>
      </c>
      <c r="N2953" t="s">
        <v>1049</v>
      </c>
      <c r="Q2953">
        <v>29593</v>
      </c>
      <c r="R2953" t="s">
        <v>119</v>
      </c>
      <c r="S2953" t="s">
        <v>7964</v>
      </c>
      <c r="T2953">
        <v>30</v>
      </c>
      <c r="U2953" s="2" t="s">
        <v>8741</v>
      </c>
      <c r="W2953" t="s">
        <v>1051</v>
      </c>
      <c r="X2953">
        <v>838286</v>
      </c>
      <c r="Y2953" t="s">
        <v>7984</v>
      </c>
      <c r="Z2953" t="e">
        <f ca="1">- cleaned cartridge Bays, plunger Rods _xludf.and I-CORE
- generated reports</f>
        <v>#NAME?</v>
      </c>
      <c r="AA2953" t="s">
        <v>7985</v>
      </c>
      <c r="AB2953" t="s">
        <v>70</v>
      </c>
      <c r="AG2953" t="s">
        <v>18326</v>
      </c>
      <c r="AH2953" t="s">
        <v>8788</v>
      </c>
      <c r="AI2953" t="s">
        <v>18327</v>
      </c>
    </row>
    <row r="2954" spans="2:35" ht="105">
      <c r="B2954" s="1">
        <v>45579</v>
      </c>
      <c r="C2954" s="1">
        <v>45573</v>
      </c>
      <c r="D2954" t="s">
        <v>1432</v>
      </c>
      <c r="E2954" t="s">
        <v>10452</v>
      </c>
      <c r="F2954">
        <v>1</v>
      </c>
      <c r="G2954" t="s">
        <v>1046</v>
      </c>
      <c r="H2954" t="s">
        <v>1047</v>
      </c>
      <c r="I2954" t="s">
        <v>40</v>
      </c>
      <c r="J2954" t="s">
        <v>109</v>
      </c>
      <c r="K2954" t="s">
        <v>42</v>
      </c>
      <c r="L2954" t="s">
        <v>1048</v>
      </c>
      <c r="N2954" t="s">
        <v>1049</v>
      </c>
      <c r="Q2954">
        <v>29592</v>
      </c>
      <c r="R2954" t="s">
        <v>119</v>
      </c>
      <c r="S2954" t="s">
        <v>10453</v>
      </c>
      <c r="T2954">
        <v>30</v>
      </c>
      <c r="U2954" s="2" t="s">
        <v>18328</v>
      </c>
      <c r="W2954" t="s">
        <v>1051</v>
      </c>
      <c r="X2954">
        <v>838518</v>
      </c>
      <c r="Y2954" t="s">
        <v>1052</v>
      </c>
      <c r="Z2954" t="e">
        <f ca="1">- cleaned cartridge Bays, plunger Rods _xludf.and I-CORE
- generated reports</f>
        <v>#NAME?</v>
      </c>
      <c r="AA2954" t="s">
        <v>820</v>
      </c>
      <c r="AB2954" t="s">
        <v>70</v>
      </c>
      <c r="AG2954" t="s">
        <v>18329</v>
      </c>
      <c r="AH2954" t="s">
        <v>10455</v>
      </c>
      <c r="AI2954" t="s">
        <v>18330</v>
      </c>
    </row>
    <row r="2955" spans="2:35" ht="105">
      <c r="B2955" s="1">
        <v>45579</v>
      </c>
      <c r="C2955" s="1">
        <v>45573</v>
      </c>
      <c r="D2955" t="s">
        <v>4511</v>
      </c>
      <c r="E2955" t="s">
        <v>4512</v>
      </c>
      <c r="F2955">
        <v>1</v>
      </c>
      <c r="G2955" t="s">
        <v>1046</v>
      </c>
      <c r="H2955" t="s">
        <v>1047</v>
      </c>
      <c r="I2955" t="s">
        <v>40</v>
      </c>
      <c r="J2955" s="2" t="s">
        <v>41</v>
      </c>
      <c r="K2955" t="s">
        <v>42</v>
      </c>
      <c r="L2955" t="s">
        <v>1048</v>
      </c>
      <c r="N2955" t="s">
        <v>1049</v>
      </c>
      <c r="Q2955">
        <v>29591</v>
      </c>
      <c r="R2955" t="s">
        <v>119</v>
      </c>
      <c r="S2955" t="s">
        <v>4513</v>
      </c>
      <c r="T2955">
        <v>27</v>
      </c>
      <c r="U2955" s="2" t="s">
        <v>18331</v>
      </c>
      <c r="W2955" t="s">
        <v>1051</v>
      </c>
      <c r="X2955">
        <v>838288</v>
      </c>
      <c r="Y2955" t="s">
        <v>18332</v>
      </c>
      <c r="Z2955" t="e">
        <f ca="1">- cleaned cartridge Bays, plunger Rods _xludf.and I-CORE
- replaced defective monitor
- generated reports</f>
        <v>#NAME?</v>
      </c>
      <c r="AA2955" t="s">
        <v>18333</v>
      </c>
      <c r="AB2955" t="s">
        <v>1428</v>
      </c>
      <c r="AG2955" t="s">
        <v>18334</v>
      </c>
      <c r="AH2955" t="s">
        <v>4515</v>
      </c>
      <c r="AI2955" t="s">
        <v>18335</v>
      </c>
    </row>
    <row r="2956" spans="2:35" ht="105">
      <c r="B2956" s="1">
        <v>45579</v>
      </c>
      <c r="C2956" s="1">
        <v>45573</v>
      </c>
      <c r="D2956" t="s">
        <v>3738</v>
      </c>
      <c r="E2956" t="s">
        <v>3739</v>
      </c>
      <c r="F2956">
        <v>1</v>
      </c>
      <c r="G2956" t="s">
        <v>1046</v>
      </c>
      <c r="H2956" t="s">
        <v>1047</v>
      </c>
      <c r="I2956" t="s">
        <v>40</v>
      </c>
      <c r="J2956" t="s">
        <v>109</v>
      </c>
      <c r="K2956" t="s">
        <v>42</v>
      </c>
      <c r="L2956" t="s">
        <v>1048</v>
      </c>
      <c r="N2956" t="s">
        <v>1049</v>
      </c>
      <c r="Q2956">
        <v>29590</v>
      </c>
      <c r="R2956" t="s">
        <v>119</v>
      </c>
      <c r="S2956" t="s">
        <v>3740</v>
      </c>
      <c r="T2956">
        <v>29</v>
      </c>
      <c r="U2956" s="2" t="s">
        <v>18336</v>
      </c>
      <c r="W2956" t="s">
        <v>1051</v>
      </c>
      <c r="X2956">
        <v>838438</v>
      </c>
      <c r="Y2956" t="s">
        <v>1052</v>
      </c>
      <c r="Z2956" t="e">
        <f ca="1">- cleaned cartridge Bays, plunger Rods _xludf.and I-CORE
- generated reports</f>
        <v>#NAME?</v>
      </c>
      <c r="AA2956" t="s">
        <v>820</v>
      </c>
      <c r="AB2956" t="s">
        <v>1428</v>
      </c>
      <c r="AG2956" t="s">
        <v>18337</v>
      </c>
      <c r="AH2956" t="s">
        <v>3742</v>
      </c>
      <c r="AI2956" t="s">
        <v>18338</v>
      </c>
    </row>
    <row r="2957" spans="2:35" ht="105">
      <c r="B2957" s="1">
        <v>45579</v>
      </c>
      <c r="C2957" s="1">
        <v>45579</v>
      </c>
      <c r="D2957" t="s">
        <v>7465</v>
      </c>
      <c r="E2957" t="s">
        <v>7466</v>
      </c>
      <c r="F2957">
        <v>8</v>
      </c>
      <c r="G2957" t="s">
        <v>342</v>
      </c>
      <c r="H2957" t="s">
        <v>258</v>
      </c>
      <c r="I2957" t="s">
        <v>40</v>
      </c>
      <c r="J2957" t="s">
        <v>109</v>
      </c>
      <c r="K2957" t="s">
        <v>42</v>
      </c>
      <c r="L2957" t="s">
        <v>259</v>
      </c>
      <c r="N2957" t="s">
        <v>260</v>
      </c>
      <c r="Q2957">
        <v>29589</v>
      </c>
      <c r="R2957" t="s">
        <v>119</v>
      </c>
      <c r="S2957" t="s">
        <v>16053</v>
      </c>
      <c r="T2957">
        <v>28</v>
      </c>
      <c r="U2957" s="2" t="s">
        <v>18339</v>
      </c>
      <c r="V2957" s="1">
        <v>45579</v>
      </c>
      <c r="W2957" t="s">
        <v>84</v>
      </c>
      <c r="X2957">
        <v>838551</v>
      </c>
      <c r="Y2957" t="s">
        <v>263</v>
      </c>
      <c r="Z2957" t="s">
        <v>263</v>
      </c>
      <c r="AA2957" t="s">
        <v>17750</v>
      </c>
      <c r="AB2957" t="s">
        <v>181</v>
      </c>
      <c r="AG2957" t="s">
        <v>18340</v>
      </c>
      <c r="AH2957" t="s">
        <v>7469</v>
      </c>
      <c r="AI2957" t="s">
        <v>18341</v>
      </c>
    </row>
    <row r="2958" spans="2:35" ht="180">
      <c r="B2958" s="1">
        <v>45579</v>
      </c>
      <c r="C2958" s="1">
        <v>45576</v>
      </c>
      <c r="D2958" t="s">
        <v>18342</v>
      </c>
      <c r="E2958" t="s">
        <v>2580</v>
      </c>
      <c r="F2958" t="s">
        <v>148</v>
      </c>
      <c r="G2958" t="s">
        <v>447</v>
      </c>
      <c r="H2958" t="s">
        <v>12698</v>
      </c>
      <c r="I2958" t="s">
        <v>40</v>
      </c>
      <c r="J2958" t="s">
        <v>109</v>
      </c>
      <c r="K2958" t="s">
        <v>42</v>
      </c>
      <c r="L2958" t="s">
        <v>448</v>
      </c>
      <c r="N2958" t="s">
        <v>450</v>
      </c>
      <c r="O2958" t="s">
        <v>4140</v>
      </c>
      <c r="Q2958">
        <v>29588</v>
      </c>
      <c r="R2958" t="s">
        <v>322</v>
      </c>
      <c r="S2958" t="s">
        <v>18343</v>
      </c>
      <c r="T2958">
        <v>27</v>
      </c>
      <c r="U2958" s="2" t="s">
        <v>18344</v>
      </c>
      <c r="W2958" t="s">
        <v>6504</v>
      </c>
      <c r="X2958">
        <v>110014085</v>
      </c>
      <c r="Y2958" t="s">
        <v>485</v>
      </c>
      <c r="Z2958" s="2" t="s">
        <v>2011</v>
      </c>
      <c r="AA2958" t="s">
        <v>122</v>
      </c>
      <c r="AB2958" t="s">
        <v>486</v>
      </c>
      <c r="AG2958" t="s">
        <v>18345</v>
      </c>
      <c r="AH2958" t="s">
        <v>18346</v>
      </c>
      <c r="AI2958" t="s">
        <v>18347</v>
      </c>
    </row>
    <row r="2959" spans="2:35" ht="405">
      <c r="B2959" s="1">
        <v>45579</v>
      </c>
      <c r="C2959" s="1">
        <v>45576</v>
      </c>
      <c r="D2959" t="s">
        <v>2176</v>
      </c>
      <c r="E2959" t="s">
        <v>2580</v>
      </c>
      <c r="F2959" t="s">
        <v>148</v>
      </c>
      <c r="G2959" t="s">
        <v>447</v>
      </c>
      <c r="H2959" t="s">
        <v>386</v>
      </c>
      <c r="I2959" t="s">
        <v>40</v>
      </c>
      <c r="J2959" t="s">
        <v>109</v>
      </c>
      <c r="K2959" t="s">
        <v>387</v>
      </c>
      <c r="L2959" t="s">
        <v>448</v>
      </c>
      <c r="N2959" t="s">
        <v>450</v>
      </c>
      <c r="O2959" t="s">
        <v>4140</v>
      </c>
      <c r="Q2959">
        <v>29587</v>
      </c>
      <c r="R2959" t="s">
        <v>322</v>
      </c>
      <c r="S2959" t="s">
        <v>2179</v>
      </c>
      <c r="T2959">
        <v>29</v>
      </c>
      <c r="W2959" t="s">
        <v>476</v>
      </c>
      <c r="X2959" t="s">
        <v>4142</v>
      </c>
      <c r="Y2959" t="s">
        <v>485</v>
      </c>
      <c r="Z2959" s="2" t="s">
        <v>6718</v>
      </c>
      <c r="AA2959" t="s">
        <v>122</v>
      </c>
      <c r="AB2959" t="s">
        <v>486</v>
      </c>
      <c r="AG2959" t="s">
        <v>18348</v>
      </c>
      <c r="AH2959" t="s">
        <v>4147</v>
      </c>
      <c r="AI2959" t="s">
        <v>18349</v>
      </c>
    </row>
    <row r="2960" spans="2:35" ht="315">
      <c r="B2960" s="1">
        <v>45578</v>
      </c>
      <c r="C2960" s="1">
        <v>45576</v>
      </c>
      <c r="D2960" t="s">
        <v>976</v>
      </c>
      <c r="E2960" t="s">
        <v>18350</v>
      </c>
      <c r="F2960">
        <v>12</v>
      </c>
      <c r="G2960" t="s">
        <v>978</v>
      </c>
      <c r="H2960" t="s">
        <v>1473</v>
      </c>
      <c r="I2960" t="s">
        <v>40</v>
      </c>
      <c r="J2960" s="2" t="s">
        <v>62</v>
      </c>
      <c r="K2960" t="s">
        <v>42</v>
      </c>
      <c r="L2960" t="s">
        <v>296</v>
      </c>
      <c r="N2960" t="s">
        <v>297</v>
      </c>
      <c r="Q2960">
        <v>29586</v>
      </c>
      <c r="R2960" t="s">
        <v>119</v>
      </c>
      <c r="S2960" t="s">
        <v>979</v>
      </c>
      <c r="T2960">
        <v>26.7</v>
      </c>
      <c r="U2960" s="2" t="s">
        <v>18351</v>
      </c>
      <c r="V2960" s="1">
        <v>45576</v>
      </c>
      <c r="W2960" t="s">
        <v>981</v>
      </c>
      <c r="X2960">
        <v>838543</v>
      </c>
      <c r="Y2960" t="s">
        <v>16363</v>
      </c>
      <c r="Z2960" s="2" t="s">
        <v>17761</v>
      </c>
      <c r="AA2960" s="2" t="s">
        <v>18080</v>
      </c>
      <c r="AB2960" s="2" t="s">
        <v>18352</v>
      </c>
      <c r="AD2960" s="2" t="s">
        <v>17764</v>
      </c>
      <c r="AE2960" t="s">
        <v>18353</v>
      </c>
      <c r="AG2960" t="s">
        <v>18354</v>
      </c>
      <c r="AH2960" t="s">
        <v>18355</v>
      </c>
      <c r="AI2960" t="s">
        <v>18356</v>
      </c>
    </row>
    <row r="2961" spans="2:35" ht="300">
      <c r="B2961" s="1">
        <v>45578</v>
      </c>
      <c r="C2961" s="1">
        <v>45574</v>
      </c>
      <c r="D2961" t="s">
        <v>4694</v>
      </c>
      <c r="E2961" t="s">
        <v>13697</v>
      </c>
      <c r="F2961">
        <v>12</v>
      </c>
      <c r="G2961" t="s">
        <v>2137</v>
      </c>
      <c r="H2961" t="s">
        <v>1473</v>
      </c>
      <c r="I2961" t="s">
        <v>40</v>
      </c>
      <c r="J2961" s="2" t="s">
        <v>62</v>
      </c>
      <c r="K2961" t="s">
        <v>42</v>
      </c>
      <c r="L2961" t="s">
        <v>296</v>
      </c>
      <c r="N2961" t="s">
        <v>297</v>
      </c>
      <c r="Q2961">
        <v>29584</v>
      </c>
      <c r="R2961" t="s">
        <v>119</v>
      </c>
      <c r="S2961" t="s">
        <v>10641</v>
      </c>
      <c r="T2961">
        <v>26.8</v>
      </c>
      <c r="U2961" s="2" t="s">
        <v>18357</v>
      </c>
      <c r="V2961" s="1">
        <v>45574</v>
      </c>
      <c r="W2961" t="s">
        <v>981</v>
      </c>
      <c r="X2961">
        <v>838545</v>
      </c>
      <c r="Y2961" t="s">
        <v>301</v>
      </c>
      <c r="Z2961" s="2" t="s">
        <v>17761</v>
      </c>
      <c r="AA2961" s="2" t="s">
        <v>18080</v>
      </c>
      <c r="AB2961" s="2" t="s">
        <v>18358</v>
      </c>
      <c r="AD2961" s="2" t="s">
        <v>18359</v>
      </c>
      <c r="AE2961" t="s">
        <v>18360</v>
      </c>
      <c r="AG2961" t="s">
        <v>18361</v>
      </c>
      <c r="AH2961" t="s">
        <v>18362</v>
      </c>
      <c r="AI2961" t="s">
        <v>18363</v>
      </c>
    </row>
    <row r="2962" spans="2:35" ht="300">
      <c r="B2962" s="1">
        <v>45578</v>
      </c>
      <c r="C2962" s="1">
        <v>45573</v>
      </c>
      <c r="D2962" t="s">
        <v>7897</v>
      </c>
      <c r="E2962" t="s">
        <v>18364</v>
      </c>
      <c r="F2962">
        <v>12</v>
      </c>
      <c r="G2962" t="s">
        <v>2137</v>
      </c>
      <c r="H2962" t="s">
        <v>1473</v>
      </c>
      <c r="I2962" t="s">
        <v>40</v>
      </c>
      <c r="J2962" s="2" t="s">
        <v>62</v>
      </c>
      <c r="K2962" t="s">
        <v>42</v>
      </c>
      <c r="L2962" t="s">
        <v>296</v>
      </c>
      <c r="N2962" t="s">
        <v>297</v>
      </c>
      <c r="Q2962">
        <v>29585</v>
      </c>
      <c r="R2962" t="s">
        <v>119</v>
      </c>
      <c r="S2962" t="s">
        <v>18365</v>
      </c>
      <c r="T2962">
        <v>22.4</v>
      </c>
      <c r="U2962" s="2" t="s">
        <v>2367</v>
      </c>
      <c r="V2962" s="1">
        <v>45573</v>
      </c>
      <c r="W2962" t="s">
        <v>981</v>
      </c>
      <c r="X2962">
        <v>838259</v>
      </c>
      <c r="Y2962" t="s">
        <v>301</v>
      </c>
      <c r="Z2962" s="2" t="s">
        <v>17761</v>
      </c>
      <c r="AA2962" s="2" t="s">
        <v>18080</v>
      </c>
      <c r="AB2962" s="2" t="s">
        <v>18358</v>
      </c>
      <c r="AC2962" t="s">
        <v>13790</v>
      </c>
      <c r="AD2962" s="2" t="s">
        <v>18366</v>
      </c>
      <c r="AE2962" t="s">
        <v>18367</v>
      </c>
      <c r="AG2962" t="s">
        <v>18368</v>
      </c>
      <c r="AH2962" t="s">
        <v>18369</v>
      </c>
      <c r="AI2962" t="s">
        <v>18370</v>
      </c>
    </row>
    <row r="2963" spans="2:35" ht="120">
      <c r="B2963" s="1">
        <v>45578</v>
      </c>
      <c r="C2963" s="1">
        <v>45576</v>
      </c>
      <c r="D2963" t="s">
        <v>18371</v>
      </c>
      <c r="E2963" t="s">
        <v>18372</v>
      </c>
      <c r="F2963">
        <v>5</v>
      </c>
      <c r="G2963" t="s">
        <v>839</v>
      </c>
      <c r="H2963" t="s">
        <v>39</v>
      </c>
      <c r="I2963" t="s">
        <v>94</v>
      </c>
      <c r="J2963" s="2" t="s">
        <v>18373</v>
      </c>
      <c r="K2963" t="s">
        <v>42</v>
      </c>
      <c r="L2963" t="s">
        <v>761</v>
      </c>
      <c r="N2963" t="s">
        <v>762</v>
      </c>
      <c r="Q2963">
        <v>29583</v>
      </c>
      <c r="R2963" t="s">
        <v>119</v>
      </c>
      <c r="S2963" t="s">
        <v>8916</v>
      </c>
      <c r="T2963">
        <v>29</v>
      </c>
      <c r="U2963" s="2" t="s">
        <v>18374</v>
      </c>
      <c r="W2963" t="s">
        <v>765</v>
      </c>
      <c r="X2963">
        <v>838558</v>
      </c>
      <c r="Y2963" t="s">
        <v>18375</v>
      </c>
      <c r="Z2963" t="s">
        <v>18376</v>
      </c>
      <c r="AA2963" t="s">
        <v>18377</v>
      </c>
      <c r="AB2963" t="s">
        <v>70</v>
      </c>
      <c r="AG2963" t="s">
        <v>18378</v>
      </c>
      <c r="AH2963" t="s">
        <v>10750</v>
      </c>
      <c r="AI2963" t="s">
        <v>18379</v>
      </c>
    </row>
    <row r="2964" spans="2:35" ht="210">
      <c r="B2964" s="1">
        <v>45576</v>
      </c>
      <c r="C2964" s="1">
        <v>45576</v>
      </c>
      <c r="D2964" t="s">
        <v>9725</v>
      </c>
      <c r="E2964" t="s">
        <v>18380</v>
      </c>
      <c r="F2964">
        <v>10</v>
      </c>
      <c r="G2964" t="s">
        <v>5571</v>
      </c>
      <c r="H2964" t="s">
        <v>608</v>
      </c>
      <c r="I2964" t="s">
        <v>40</v>
      </c>
      <c r="J2964" t="s">
        <v>996</v>
      </c>
      <c r="K2964" t="s">
        <v>42</v>
      </c>
      <c r="L2964" t="s">
        <v>610</v>
      </c>
      <c r="N2964" t="s">
        <v>611</v>
      </c>
      <c r="Q2964">
        <v>29582</v>
      </c>
      <c r="R2964" t="s">
        <v>119</v>
      </c>
      <c r="S2964" t="s">
        <v>9727</v>
      </c>
      <c r="T2964">
        <v>24</v>
      </c>
      <c r="U2964" s="2" t="s">
        <v>12091</v>
      </c>
      <c r="W2964" t="s">
        <v>360</v>
      </c>
      <c r="X2964">
        <v>838562</v>
      </c>
      <c r="Y2964" s="2" t="s">
        <v>18381</v>
      </c>
      <c r="Z2964" t="e">
        <f ca="1">- performed CALIBRATION in GeneXpert machine
-conduct Preventive Maintenance _xludf.Clean icore, plunger, _xludf.filter</f>
        <v>#NAME?</v>
      </c>
      <c r="AA2964" t="e">
        <f ca="1">- performed CALIBRATION in GeneXpert machine
-conduct Preventive Maintenance _xludf.Clean icore, plunger, _xludf.filter</f>
        <v>#NAME?</v>
      </c>
      <c r="AB2964" t="s">
        <v>18382</v>
      </c>
      <c r="AG2964" t="s">
        <v>18383</v>
      </c>
      <c r="AH2964" t="s">
        <v>18384</v>
      </c>
      <c r="AI2964" t="s">
        <v>18385</v>
      </c>
    </row>
    <row r="2965" spans="2:35" ht="409.5">
      <c r="B2965" s="1">
        <v>45576</v>
      </c>
      <c r="C2965" s="1">
        <v>45576</v>
      </c>
      <c r="D2965" t="s">
        <v>10703</v>
      </c>
      <c r="E2965" t="s">
        <v>18386</v>
      </c>
      <c r="F2965">
        <v>10</v>
      </c>
      <c r="G2965" t="s">
        <v>5571</v>
      </c>
      <c r="H2965" t="s">
        <v>608</v>
      </c>
      <c r="I2965" t="s">
        <v>40</v>
      </c>
      <c r="J2965" s="2" t="s">
        <v>2170</v>
      </c>
      <c r="K2965" t="s">
        <v>42</v>
      </c>
      <c r="L2965" t="s">
        <v>610</v>
      </c>
      <c r="N2965" t="s">
        <v>611</v>
      </c>
      <c r="Q2965">
        <v>29581</v>
      </c>
      <c r="R2965" t="s">
        <v>119</v>
      </c>
      <c r="S2965" t="s">
        <v>10705</v>
      </c>
      <c r="T2965">
        <v>25</v>
      </c>
      <c r="U2965" s="2" t="s">
        <v>18387</v>
      </c>
      <c r="W2965" t="s">
        <v>360</v>
      </c>
      <c r="X2965">
        <v>838294</v>
      </c>
      <c r="Y2965" s="2" t="s">
        <v>18388</v>
      </c>
      <c r="Z2965" s="2" t="s">
        <v>18389</v>
      </c>
      <c r="AA2965" s="2" t="s">
        <v>18390</v>
      </c>
      <c r="AB2965" s="2" t="s">
        <v>18391</v>
      </c>
      <c r="AG2965" t="s">
        <v>18392</v>
      </c>
      <c r="AH2965" t="s">
        <v>18393</v>
      </c>
      <c r="AI2965" t="s">
        <v>18394</v>
      </c>
    </row>
    <row r="2966" spans="2:35" ht="360">
      <c r="B2966" s="1">
        <v>45576</v>
      </c>
      <c r="C2966" s="1">
        <v>45576</v>
      </c>
      <c r="D2966" t="s">
        <v>18395</v>
      </c>
      <c r="E2966" t="s">
        <v>18396</v>
      </c>
      <c r="F2966">
        <v>10</v>
      </c>
      <c r="G2966" t="s">
        <v>5571</v>
      </c>
      <c r="H2966" t="s">
        <v>608</v>
      </c>
      <c r="I2966" t="s">
        <v>40</v>
      </c>
      <c r="J2966" s="2" t="s">
        <v>2170</v>
      </c>
      <c r="K2966" t="s">
        <v>42</v>
      </c>
      <c r="L2966" t="s">
        <v>610</v>
      </c>
      <c r="N2966" t="s">
        <v>611</v>
      </c>
      <c r="Q2966">
        <v>29580</v>
      </c>
      <c r="R2966" t="s">
        <v>119</v>
      </c>
      <c r="S2966" t="s">
        <v>18397</v>
      </c>
      <c r="T2966">
        <v>25</v>
      </c>
      <c r="U2966" s="2" t="s">
        <v>18398</v>
      </c>
      <c r="W2966" t="s">
        <v>360</v>
      </c>
      <c r="X2966">
        <v>838227</v>
      </c>
      <c r="Y2966" t="s">
        <v>18399</v>
      </c>
      <c r="Z2966" s="2" t="s">
        <v>18400</v>
      </c>
      <c r="AA2966" s="2" t="s">
        <v>18400</v>
      </c>
      <c r="AB2966" t="e">
        <f ca="1">-ALL modules are Operational.
-B3 Failed during calibration. Usable _xludf.while waiting _xludf.For replacement.</f>
        <v>#NAME?</v>
      </c>
      <c r="AG2966" t="s">
        <v>18401</v>
      </c>
      <c r="AH2966" t="s">
        <v>10681</v>
      </c>
      <c r="AI2966" t="s">
        <v>18402</v>
      </c>
    </row>
    <row r="2967" spans="2:35" ht="165">
      <c r="B2967" s="1">
        <v>45576</v>
      </c>
      <c r="C2967" s="1">
        <v>45576</v>
      </c>
      <c r="D2967" t="s">
        <v>18403</v>
      </c>
      <c r="E2967" t="s">
        <v>18404</v>
      </c>
      <c r="F2967">
        <v>7</v>
      </c>
      <c r="G2967" t="s">
        <v>6529</v>
      </c>
      <c r="H2967" t="s">
        <v>39</v>
      </c>
      <c r="I2967" t="s">
        <v>40</v>
      </c>
      <c r="J2967" t="s">
        <v>109</v>
      </c>
      <c r="K2967" t="s">
        <v>42</v>
      </c>
      <c r="L2967" t="s">
        <v>433</v>
      </c>
      <c r="N2967" t="s">
        <v>434</v>
      </c>
      <c r="Q2967">
        <v>29579</v>
      </c>
      <c r="R2967" t="s">
        <v>703</v>
      </c>
      <c r="S2967" t="s">
        <v>18405</v>
      </c>
      <c r="T2967">
        <v>26</v>
      </c>
      <c r="W2967" t="s">
        <v>502</v>
      </c>
      <c r="X2967">
        <v>840969</v>
      </c>
      <c r="Y2967" t="s">
        <v>54</v>
      </c>
      <c r="Z2967" s="2" t="s">
        <v>18406</v>
      </c>
      <c r="AA2967" s="2" t="s">
        <v>18406</v>
      </c>
      <c r="AB2967" t="s">
        <v>1011</v>
      </c>
      <c r="AG2967" t="s">
        <v>18407</v>
      </c>
      <c r="AH2967" t="s">
        <v>18408</v>
      </c>
      <c r="AI2967" t="s">
        <v>18409</v>
      </c>
    </row>
    <row r="2968" spans="2:35" ht="165">
      <c r="B2968" s="1">
        <v>45576</v>
      </c>
      <c r="C2968" s="1">
        <v>45576</v>
      </c>
      <c r="D2968" t="s">
        <v>18403</v>
      </c>
      <c r="E2968" t="s">
        <v>18404</v>
      </c>
      <c r="F2968">
        <v>7</v>
      </c>
      <c r="G2968" t="s">
        <v>6529</v>
      </c>
      <c r="H2968" t="s">
        <v>39</v>
      </c>
      <c r="I2968" t="s">
        <v>40</v>
      </c>
      <c r="J2968" t="s">
        <v>109</v>
      </c>
      <c r="K2968" t="s">
        <v>42</v>
      </c>
      <c r="L2968" t="s">
        <v>433</v>
      </c>
      <c r="N2968" t="s">
        <v>434</v>
      </c>
      <c r="Q2968">
        <v>29578</v>
      </c>
      <c r="R2968" t="s">
        <v>95</v>
      </c>
      <c r="S2968" t="s">
        <v>18405</v>
      </c>
      <c r="T2968">
        <v>26</v>
      </c>
      <c r="W2968" t="s">
        <v>502</v>
      </c>
      <c r="X2968">
        <v>840969</v>
      </c>
      <c r="Y2968" t="s">
        <v>54</v>
      </c>
      <c r="Z2968" s="2" t="s">
        <v>18406</v>
      </c>
      <c r="AA2968" s="2" t="s">
        <v>18406</v>
      </c>
      <c r="AB2968" t="s">
        <v>1011</v>
      </c>
      <c r="AG2968" t="s">
        <v>18407</v>
      </c>
      <c r="AH2968" t="s">
        <v>18408</v>
      </c>
      <c r="AI2968" t="s">
        <v>18409</v>
      </c>
    </row>
    <row r="2969" spans="2:35" ht="409.5">
      <c r="B2969" s="1">
        <v>45576</v>
      </c>
      <c r="C2969" s="1">
        <v>45576</v>
      </c>
      <c r="D2969" t="s">
        <v>8440</v>
      </c>
      <c r="E2969" t="s">
        <v>18410</v>
      </c>
      <c r="F2969">
        <v>3</v>
      </c>
      <c r="G2969" t="s">
        <v>134</v>
      </c>
      <c r="H2969" t="s">
        <v>39</v>
      </c>
      <c r="I2969" t="s">
        <v>40</v>
      </c>
      <c r="J2969" t="s">
        <v>109</v>
      </c>
      <c r="K2969" t="s">
        <v>42</v>
      </c>
      <c r="L2969" t="s">
        <v>135</v>
      </c>
      <c r="N2969" t="s">
        <v>136</v>
      </c>
      <c r="O2969" t="s">
        <v>9097</v>
      </c>
      <c r="Q2969">
        <v>29577</v>
      </c>
      <c r="R2969" t="s">
        <v>95</v>
      </c>
      <c r="S2969" t="s">
        <v>8442</v>
      </c>
      <c r="T2969">
        <v>26</v>
      </c>
      <c r="U2969" s="2" t="s">
        <v>18411</v>
      </c>
      <c r="W2969" t="s">
        <v>2680</v>
      </c>
      <c r="X2969">
        <v>839235</v>
      </c>
      <c r="Y2969" t="s">
        <v>7229</v>
      </c>
      <c r="Z2969" t="s">
        <v>4315</v>
      </c>
      <c r="AA2969" s="2" t="s">
        <v>4316</v>
      </c>
      <c r="AB2969" t="s">
        <v>181</v>
      </c>
      <c r="AG2969" t="s">
        <v>18412</v>
      </c>
      <c r="AH2969" t="s">
        <v>11472</v>
      </c>
      <c r="AI2969" t="s">
        <v>18413</v>
      </c>
    </row>
    <row r="2970" spans="2:35" ht="409.5">
      <c r="B2970" s="1">
        <v>45576</v>
      </c>
      <c r="C2970" s="1">
        <v>45576</v>
      </c>
      <c r="D2970" t="s">
        <v>3423</v>
      </c>
      <c r="E2970" t="s">
        <v>12017</v>
      </c>
      <c r="F2970">
        <v>7</v>
      </c>
      <c r="G2970" t="s">
        <v>432</v>
      </c>
      <c r="H2970" t="s">
        <v>10969</v>
      </c>
      <c r="I2970" t="s">
        <v>40</v>
      </c>
      <c r="J2970" t="s">
        <v>109</v>
      </c>
      <c r="K2970" t="s">
        <v>42</v>
      </c>
      <c r="L2970" t="s">
        <v>1288</v>
      </c>
      <c r="N2970" t="s">
        <v>1289</v>
      </c>
      <c r="Q2970">
        <v>29576</v>
      </c>
      <c r="R2970" t="s">
        <v>95</v>
      </c>
      <c r="S2970" t="s">
        <v>4886</v>
      </c>
      <c r="T2970">
        <v>23</v>
      </c>
      <c r="U2970" s="2" t="s">
        <v>18414</v>
      </c>
      <c r="W2970" t="s">
        <v>1292</v>
      </c>
      <c r="X2970">
        <v>110008524</v>
      </c>
      <c r="Y2970" t="e">
        <f ca="1">-Preventive Maintenance</f>
        <v>#NAME?</v>
      </c>
      <c r="Z2970" t="e">
        <f ca="1">-COLLECT IQR, system _xludf.Log, _xludf.and ARCHIVE</f>
        <v>#NAME?</v>
      </c>
      <c r="AA2970" t="e">
        <f ca="1">-PERFORM Monthly Maintenance PROCEDURE:
_xludf.Clean FAN _xludf.filter, plunger rod, _xludf.and PROBES</f>
        <v>#NAME?</v>
      </c>
      <c r="AB2970" t="s">
        <v>1293</v>
      </c>
      <c r="AG2970" t="s">
        <v>18415</v>
      </c>
      <c r="AH2970" t="s">
        <v>18416</v>
      </c>
      <c r="AI2970" t="s">
        <v>18417</v>
      </c>
    </row>
    <row r="2971" spans="2:35" ht="270">
      <c r="B2971" s="1">
        <v>45576</v>
      </c>
      <c r="C2971" s="1">
        <v>45576</v>
      </c>
      <c r="D2971" t="s">
        <v>9231</v>
      </c>
      <c r="E2971" t="s">
        <v>18418</v>
      </c>
      <c r="F2971" t="s">
        <v>148</v>
      </c>
      <c r="G2971" t="s">
        <v>447</v>
      </c>
      <c r="H2971" t="s">
        <v>39</v>
      </c>
      <c r="I2971" t="s">
        <v>40</v>
      </c>
      <c r="J2971" t="s">
        <v>109</v>
      </c>
      <c r="K2971" t="s">
        <v>42</v>
      </c>
      <c r="L2971" t="s">
        <v>15532</v>
      </c>
      <c r="N2971" t="s">
        <v>15533</v>
      </c>
      <c r="Q2971">
        <v>29575</v>
      </c>
      <c r="R2971" t="s">
        <v>322</v>
      </c>
      <c r="S2971" t="s">
        <v>16113</v>
      </c>
      <c r="T2971">
        <v>28</v>
      </c>
      <c r="U2971" s="2" t="s">
        <v>18419</v>
      </c>
      <c r="W2971" t="s">
        <v>15620</v>
      </c>
      <c r="X2971">
        <v>110020697</v>
      </c>
      <c r="Y2971" t="s">
        <v>15536</v>
      </c>
      <c r="Z2971" s="2" t="s">
        <v>18420</v>
      </c>
      <c r="AA2971" s="2" t="s">
        <v>18421</v>
      </c>
      <c r="AB2971" s="2" t="s">
        <v>17371</v>
      </c>
      <c r="AG2971" t="s">
        <v>18422</v>
      </c>
      <c r="AH2971" t="s">
        <v>16119</v>
      </c>
      <c r="AI2971" t="s">
        <v>18423</v>
      </c>
    </row>
    <row r="2972" spans="2:35" ht="105">
      <c r="B2972" s="1">
        <v>45576</v>
      </c>
      <c r="C2972" s="1">
        <v>45576</v>
      </c>
      <c r="D2972" t="s">
        <v>5563</v>
      </c>
      <c r="E2972" t="s">
        <v>12328</v>
      </c>
      <c r="F2972">
        <v>7</v>
      </c>
      <c r="G2972" t="s">
        <v>432</v>
      </c>
      <c r="H2972" t="s">
        <v>150</v>
      </c>
      <c r="I2972" t="s">
        <v>40</v>
      </c>
      <c r="J2972" t="s">
        <v>109</v>
      </c>
      <c r="K2972" t="s">
        <v>42</v>
      </c>
      <c r="L2972" t="s">
        <v>343</v>
      </c>
      <c r="N2972" t="s">
        <v>344</v>
      </c>
      <c r="Q2972">
        <v>29574</v>
      </c>
      <c r="R2972" t="s">
        <v>119</v>
      </c>
      <c r="S2972" t="s">
        <v>5564</v>
      </c>
      <c r="T2972">
        <v>27</v>
      </c>
      <c r="U2972" s="2" t="s">
        <v>18424</v>
      </c>
      <c r="W2972" t="s">
        <v>1501</v>
      </c>
      <c r="X2972">
        <v>838561</v>
      </c>
      <c r="Y2972" t="s">
        <v>301</v>
      </c>
      <c r="Z2972" t="s">
        <v>301</v>
      </c>
      <c r="AA2972" t="e">
        <f ca="1">-Preventive Maintenance
-ARCHIVE tests
-_xludf.Scan XpertCheck _xludf.code</f>
        <v>#NAME?</v>
      </c>
      <c r="AB2972" t="s">
        <v>9638</v>
      </c>
      <c r="AG2972" t="s">
        <v>18425</v>
      </c>
      <c r="AH2972" t="s">
        <v>18426</v>
      </c>
      <c r="AI2972" t="s">
        <v>18427</v>
      </c>
    </row>
    <row r="2973" spans="2:35" ht="360">
      <c r="B2973" s="1">
        <v>45576</v>
      </c>
      <c r="C2973" s="1">
        <v>45576</v>
      </c>
      <c r="D2973" t="s">
        <v>4183</v>
      </c>
      <c r="E2973" t="s">
        <v>12628</v>
      </c>
      <c r="F2973">
        <v>3</v>
      </c>
      <c r="G2973" t="s">
        <v>134</v>
      </c>
      <c r="H2973" t="s">
        <v>2548</v>
      </c>
      <c r="I2973" t="s">
        <v>40</v>
      </c>
      <c r="J2973" t="s">
        <v>109</v>
      </c>
      <c r="K2973" t="s">
        <v>42</v>
      </c>
      <c r="L2973" t="s">
        <v>135</v>
      </c>
      <c r="N2973" t="s">
        <v>136</v>
      </c>
      <c r="Q2973">
        <v>29573</v>
      </c>
      <c r="R2973" t="s">
        <v>322</v>
      </c>
      <c r="S2973" t="s">
        <v>9328</v>
      </c>
      <c r="T2973">
        <v>30</v>
      </c>
      <c r="U2973" s="2" t="s">
        <v>18428</v>
      </c>
      <c r="W2973" t="s">
        <v>3335</v>
      </c>
      <c r="X2973">
        <v>110013748</v>
      </c>
      <c r="Y2973" t="s">
        <v>7229</v>
      </c>
      <c r="Z2973" t="s">
        <v>4315</v>
      </c>
      <c r="AA2973" s="2" t="s">
        <v>4316</v>
      </c>
      <c r="AB2973" t="s">
        <v>181</v>
      </c>
      <c r="AG2973" t="s">
        <v>18429</v>
      </c>
      <c r="AH2973" t="s">
        <v>18430</v>
      </c>
      <c r="AI2973" t="s">
        <v>18431</v>
      </c>
    </row>
    <row r="2974" spans="2:35" ht="360">
      <c r="B2974" s="1">
        <v>45576</v>
      </c>
      <c r="C2974" s="1">
        <v>45576</v>
      </c>
      <c r="D2974" t="s">
        <v>18432</v>
      </c>
      <c r="E2974" t="s">
        <v>12628</v>
      </c>
      <c r="F2974">
        <v>3</v>
      </c>
      <c r="G2974" t="s">
        <v>134</v>
      </c>
      <c r="H2974" t="s">
        <v>61</v>
      </c>
      <c r="I2974" t="s">
        <v>40</v>
      </c>
      <c r="J2974" t="s">
        <v>109</v>
      </c>
      <c r="K2974" t="s">
        <v>42</v>
      </c>
      <c r="L2974" t="s">
        <v>135</v>
      </c>
      <c r="N2974" t="s">
        <v>136</v>
      </c>
      <c r="Q2974">
        <v>29572</v>
      </c>
      <c r="R2974" t="s">
        <v>322</v>
      </c>
      <c r="S2974" t="s">
        <v>11499</v>
      </c>
      <c r="T2974">
        <v>23</v>
      </c>
      <c r="U2974" s="2" t="s">
        <v>18433</v>
      </c>
      <c r="W2974" t="s">
        <v>3335</v>
      </c>
      <c r="X2974">
        <v>110012825</v>
      </c>
      <c r="Y2974" t="s">
        <v>7229</v>
      </c>
      <c r="Z2974" t="s">
        <v>4315</v>
      </c>
      <c r="AA2974" s="2" t="s">
        <v>4316</v>
      </c>
      <c r="AB2974" t="s">
        <v>181</v>
      </c>
      <c r="AG2974" t="s">
        <v>18434</v>
      </c>
      <c r="AH2974" t="s">
        <v>11502</v>
      </c>
      <c r="AI2974" t="s">
        <v>18435</v>
      </c>
    </row>
    <row r="2975" spans="2:35" ht="225">
      <c r="B2975" s="1">
        <v>45576</v>
      </c>
      <c r="C2975" s="1">
        <v>45575</v>
      </c>
      <c r="D2975" t="s">
        <v>1678</v>
      </c>
      <c r="E2975" t="s">
        <v>18436</v>
      </c>
      <c r="F2975" t="s">
        <v>148</v>
      </c>
      <c r="G2975" t="s">
        <v>785</v>
      </c>
      <c r="H2975" t="s">
        <v>39</v>
      </c>
      <c r="I2975" t="s">
        <v>40</v>
      </c>
      <c r="J2975" t="s">
        <v>109</v>
      </c>
      <c r="K2975" t="s">
        <v>42</v>
      </c>
      <c r="L2975" t="s">
        <v>43</v>
      </c>
      <c r="N2975" t="s">
        <v>44</v>
      </c>
      <c r="Q2975">
        <v>29571</v>
      </c>
      <c r="R2975" t="s">
        <v>322</v>
      </c>
      <c r="S2975" t="s">
        <v>18437</v>
      </c>
      <c r="T2975">
        <v>22</v>
      </c>
      <c r="U2975" s="2" t="s">
        <v>14679</v>
      </c>
      <c r="W2975" t="s">
        <v>153</v>
      </c>
      <c r="X2975">
        <v>110024246</v>
      </c>
      <c r="Y2975" t="s">
        <v>121</v>
      </c>
      <c r="Z2975" t="s">
        <v>122</v>
      </c>
      <c r="AA2975" s="2" t="s">
        <v>123</v>
      </c>
      <c r="AB2975" t="s">
        <v>548</v>
      </c>
      <c r="AG2975" t="s">
        <v>18438</v>
      </c>
      <c r="AH2975" t="s">
        <v>1684</v>
      </c>
      <c r="AI2975" t="s">
        <v>18439</v>
      </c>
    </row>
    <row r="2976" spans="2:35" ht="285">
      <c r="B2976" s="1">
        <v>45575</v>
      </c>
      <c r="C2976" s="1">
        <v>45575</v>
      </c>
      <c r="D2976" t="s">
        <v>5125</v>
      </c>
      <c r="E2976" t="s">
        <v>18440</v>
      </c>
      <c r="F2976" t="s">
        <v>148</v>
      </c>
      <c r="G2976" t="s">
        <v>447</v>
      </c>
      <c r="H2976" t="s">
        <v>39</v>
      </c>
      <c r="I2976" t="s">
        <v>40</v>
      </c>
      <c r="J2976" s="2" t="s">
        <v>609</v>
      </c>
      <c r="K2976" t="s">
        <v>42</v>
      </c>
      <c r="L2976" t="s">
        <v>15532</v>
      </c>
      <c r="N2976" t="s">
        <v>15533</v>
      </c>
      <c r="O2976" t="s">
        <v>18441</v>
      </c>
      <c r="Q2976">
        <v>29570</v>
      </c>
      <c r="R2976" t="s">
        <v>322</v>
      </c>
      <c r="S2976" t="s">
        <v>9476</v>
      </c>
      <c r="T2976">
        <v>28</v>
      </c>
      <c r="W2976" t="s">
        <v>15620</v>
      </c>
      <c r="X2976">
        <v>110020698</v>
      </c>
      <c r="Y2976" t="s">
        <v>18442</v>
      </c>
      <c r="Z2976" s="2" t="s">
        <v>18443</v>
      </c>
      <c r="AA2976" s="2" t="s">
        <v>18444</v>
      </c>
      <c r="AB2976" s="2" t="s">
        <v>18445</v>
      </c>
      <c r="AG2976" t="s">
        <v>18446</v>
      </c>
      <c r="AH2976" t="s">
        <v>18447</v>
      </c>
      <c r="AI2976" t="s">
        <v>18448</v>
      </c>
    </row>
    <row r="2977" spans="2:35" ht="409.5">
      <c r="B2977" s="1">
        <v>45575</v>
      </c>
      <c r="C2977" s="1">
        <v>45575</v>
      </c>
      <c r="D2977" t="s">
        <v>6809</v>
      </c>
      <c r="E2977" t="s">
        <v>6810</v>
      </c>
      <c r="F2977">
        <v>11</v>
      </c>
      <c r="G2977" t="s">
        <v>201</v>
      </c>
      <c r="H2977" t="s">
        <v>202</v>
      </c>
      <c r="I2977" t="s">
        <v>40</v>
      </c>
      <c r="J2977" s="2" t="s">
        <v>62</v>
      </c>
      <c r="K2977" t="s">
        <v>42</v>
      </c>
      <c r="L2977" t="s">
        <v>204</v>
      </c>
      <c r="N2977" t="s">
        <v>205</v>
      </c>
      <c r="Q2977">
        <v>29569</v>
      </c>
      <c r="R2977" t="s">
        <v>119</v>
      </c>
      <c r="S2977" t="s">
        <v>6811</v>
      </c>
      <c r="T2977">
        <v>24.6</v>
      </c>
      <c r="U2977" s="2" t="s">
        <v>11184</v>
      </c>
      <c r="V2977" s="1">
        <v>45539</v>
      </c>
      <c r="W2977" t="s">
        <v>208</v>
      </c>
      <c r="X2977">
        <v>838490</v>
      </c>
      <c r="Y2977" t="s">
        <v>18449</v>
      </c>
      <c r="Z2977" s="2" t="s">
        <v>18450</v>
      </c>
      <c r="AA2977" t="s">
        <v>1620</v>
      </c>
      <c r="AB2977" s="2" t="s">
        <v>5631</v>
      </c>
      <c r="AD2977" t="s">
        <v>18451</v>
      </c>
      <c r="AE2977" t="s">
        <v>18452</v>
      </c>
      <c r="AG2977" t="s">
        <v>18453</v>
      </c>
      <c r="AH2977" t="s">
        <v>10600</v>
      </c>
      <c r="AI2977" t="s">
        <v>18454</v>
      </c>
    </row>
    <row r="2978" spans="2:35" ht="409.5">
      <c r="B2978" s="1">
        <v>45575</v>
      </c>
      <c r="C2978" s="1">
        <v>45575</v>
      </c>
      <c r="D2978" t="s">
        <v>4379</v>
      </c>
      <c r="E2978" t="s">
        <v>4380</v>
      </c>
      <c r="F2978" t="s">
        <v>148</v>
      </c>
      <c r="G2978" t="s">
        <v>785</v>
      </c>
      <c r="H2978" t="s">
        <v>39</v>
      </c>
      <c r="I2978" t="s">
        <v>40</v>
      </c>
      <c r="J2978" t="s">
        <v>109</v>
      </c>
      <c r="K2978" t="s">
        <v>42</v>
      </c>
      <c r="L2978" t="s">
        <v>43</v>
      </c>
      <c r="N2978" t="s">
        <v>44</v>
      </c>
      <c r="Q2978">
        <v>29568</v>
      </c>
      <c r="R2978" t="s">
        <v>322</v>
      </c>
      <c r="S2978" t="s">
        <v>4382</v>
      </c>
      <c r="T2978">
        <v>24</v>
      </c>
      <c r="U2978" s="2" t="s">
        <v>18455</v>
      </c>
      <c r="W2978" t="s">
        <v>3178</v>
      </c>
      <c r="X2978">
        <v>838627</v>
      </c>
      <c r="Y2978" t="s">
        <v>121</v>
      </c>
      <c r="Z2978" t="s">
        <v>122</v>
      </c>
      <c r="AA2978" s="2" t="s">
        <v>10422</v>
      </c>
      <c r="AB2978" t="s">
        <v>18456</v>
      </c>
      <c r="AG2978" t="s">
        <v>18457</v>
      </c>
      <c r="AH2978" t="s">
        <v>7378</v>
      </c>
      <c r="AI2978" t="s">
        <v>18458</v>
      </c>
    </row>
    <row r="2979" spans="2:35" ht="360">
      <c r="B2979" s="1">
        <v>45575</v>
      </c>
      <c r="C2979" s="1">
        <v>45575</v>
      </c>
      <c r="D2979" t="s">
        <v>9302</v>
      </c>
      <c r="E2979" t="s">
        <v>9465</v>
      </c>
      <c r="F2979">
        <v>3</v>
      </c>
      <c r="G2979" t="s">
        <v>730</v>
      </c>
      <c r="H2979" t="s">
        <v>39</v>
      </c>
      <c r="I2979" t="s">
        <v>40</v>
      </c>
      <c r="J2979" t="s">
        <v>109</v>
      </c>
      <c r="K2979" t="s">
        <v>42</v>
      </c>
      <c r="L2979" t="s">
        <v>135</v>
      </c>
      <c r="N2979" t="s">
        <v>136</v>
      </c>
      <c r="O2979" t="s">
        <v>9308</v>
      </c>
      <c r="Q2979">
        <v>29567</v>
      </c>
      <c r="R2979" t="s">
        <v>95</v>
      </c>
      <c r="S2979" t="s">
        <v>18459</v>
      </c>
      <c r="T2979">
        <v>23</v>
      </c>
      <c r="U2979" s="2" t="s">
        <v>18460</v>
      </c>
      <c r="W2979" t="s">
        <v>3418</v>
      </c>
      <c r="X2979">
        <v>830841</v>
      </c>
      <c r="Y2979" t="s">
        <v>7229</v>
      </c>
      <c r="Z2979" t="s">
        <v>4315</v>
      </c>
      <c r="AA2979" s="2" t="s">
        <v>4316</v>
      </c>
      <c r="AB2979" t="s">
        <v>181</v>
      </c>
      <c r="AG2979" t="s">
        <v>18461</v>
      </c>
      <c r="AH2979" t="s">
        <v>18462</v>
      </c>
      <c r="AI2979" t="s">
        <v>18463</v>
      </c>
    </row>
    <row r="2980" spans="2:35" ht="360">
      <c r="B2980" s="1">
        <v>45575</v>
      </c>
      <c r="C2980" s="1">
        <v>45575</v>
      </c>
      <c r="D2980" t="s">
        <v>9302</v>
      </c>
      <c r="E2980" t="s">
        <v>18464</v>
      </c>
      <c r="F2980">
        <v>3</v>
      </c>
      <c r="G2980" t="s">
        <v>730</v>
      </c>
      <c r="H2980" t="s">
        <v>39</v>
      </c>
      <c r="I2980" t="s">
        <v>40</v>
      </c>
      <c r="J2980" t="s">
        <v>109</v>
      </c>
      <c r="K2980" t="s">
        <v>42</v>
      </c>
      <c r="L2980" t="s">
        <v>135</v>
      </c>
      <c r="N2980" t="s">
        <v>136</v>
      </c>
      <c r="O2980" t="s">
        <v>9308</v>
      </c>
      <c r="Q2980">
        <v>29566</v>
      </c>
      <c r="R2980" t="s">
        <v>95</v>
      </c>
      <c r="S2980" t="s">
        <v>18459</v>
      </c>
      <c r="T2980">
        <v>23</v>
      </c>
      <c r="U2980" s="2" t="s">
        <v>18460</v>
      </c>
      <c r="W2980" t="s">
        <v>2680</v>
      </c>
      <c r="X2980">
        <v>839232</v>
      </c>
      <c r="Y2980" t="s">
        <v>7229</v>
      </c>
      <c r="Z2980" t="s">
        <v>4315</v>
      </c>
      <c r="AA2980" s="2" t="s">
        <v>4316</v>
      </c>
      <c r="AB2980" t="s">
        <v>181</v>
      </c>
      <c r="AG2980" t="s">
        <v>18465</v>
      </c>
      <c r="AH2980" t="s">
        <v>18462</v>
      </c>
      <c r="AI2980" t="s">
        <v>18466</v>
      </c>
    </row>
    <row r="2981" spans="2:35" ht="105">
      <c r="B2981" s="1">
        <v>45575</v>
      </c>
      <c r="C2981" s="1">
        <v>45575</v>
      </c>
      <c r="D2981" t="s">
        <v>8067</v>
      </c>
      <c r="E2981" t="s">
        <v>8068</v>
      </c>
      <c r="F2981">
        <v>8</v>
      </c>
      <c r="G2981" t="s">
        <v>257</v>
      </c>
      <c r="H2981" t="s">
        <v>258</v>
      </c>
      <c r="I2981" t="s">
        <v>40</v>
      </c>
      <c r="J2981" t="s">
        <v>79</v>
      </c>
      <c r="K2981" t="s">
        <v>42</v>
      </c>
      <c r="L2981" t="s">
        <v>259</v>
      </c>
      <c r="N2981" t="s">
        <v>260</v>
      </c>
      <c r="Q2981">
        <v>29565</v>
      </c>
      <c r="R2981" t="s">
        <v>119</v>
      </c>
      <c r="S2981" t="s">
        <v>8069</v>
      </c>
      <c r="T2981">
        <v>27</v>
      </c>
      <c r="U2981" s="2" t="s">
        <v>13913</v>
      </c>
      <c r="V2981" s="1">
        <v>45575</v>
      </c>
      <c r="W2981" t="s">
        <v>84</v>
      </c>
      <c r="X2981">
        <v>838406</v>
      </c>
      <c r="Y2981" t="s">
        <v>18467</v>
      </c>
      <c r="Z2981" s="2" t="s">
        <v>18468</v>
      </c>
      <c r="AA2981" t="e">
        <f ca="1">-performed Preventive Maintenance
- Install new module on B4/627764
- Generate IQR _xludf.and system _xludf.Log</f>
        <v>#NAME?</v>
      </c>
      <c r="AB2981" t="s">
        <v>70</v>
      </c>
      <c r="AD2981" t="s">
        <v>16645</v>
      </c>
      <c r="AE2981">
        <v>12074</v>
      </c>
      <c r="AG2981" t="s">
        <v>18469</v>
      </c>
      <c r="AH2981" t="s">
        <v>18470</v>
      </c>
      <c r="AI2981" t="s">
        <v>18471</v>
      </c>
    </row>
    <row r="2982" spans="2:35" ht="105">
      <c r="B2982" s="1">
        <v>45575</v>
      </c>
      <c r="C2982" s="1">
        <v>45575</v>
      </c>
      <c r="D2982" t="s">
        <v>7405</v>
      </c>
      <c r="E2982" t="s">
        <v>14765</v>
      </c>
      <c r="F2982" t="s">
        <v>1255</v>
      </c>
      <c r="G2982" t="s">
        <v>1256</v>
      </c>
      <c r="H2982" t="s">
        <v>39</v>
      </c>
      <c r="I2982" t="s">
        <v>94</v>
      </c>
      <c r="J2982" s="2" t="s">
        <v>18472</v>
      </c>
      <c r="K2982" t="s">
        <v>42</v>
      </c>
      <c r="L2982" t="s">
        <v>1257</v>
      </c>
      <c r="N2982" t="s">
        <v>1258</v>
      </c>
      <c r="O2982" t="s">
        <v>1258</v>
      </c>
      <c r="Q2982">
        <v>29564</v>
      </c>
      <c r="R2982" t="s">
        <v>119</v>
      </c>
      <c r="S2982" t="s">
        <v>14767</v>
      </c>
      <c r="T2982">
        <v>25</v>
      </c>
      <c r="U2982" s="2" t="s">
        <v>15534</v>
      </c>
      <c r="V2982" s="1">
        <v>45545</v>
      </c>
      <c r="W2982" t="s">
        <v>18473</v>
      </c>
      <c r="X2982">
        <v>838838</v>
      </c>
      <c r="Y2982" t="s">
        <v>9704</v>
      </c>
      <c r="Z2982" t="s">
        <v>18474</v>
      </c>
      <c r="AA2982" t="s">
        <v>18474</v>
      </c>
      <c r="AB2982" t="s">
        <v>18475</v>
      </c>
      <c r="AC2982" t="s">
        <v>18476</v>
      </c>
      <c r="AD2982" t="s">
        <v>18477</v>
      </c>
      <c r="AE2982" t="s">
        <v>18478</v>
      </c>
      <c r="AG2982" t="s">
        <v>18479</v>
      </c>
      <c r="AH2982" t="s">
        <v>18480</v>
      </c>
      <c r="AI2982" t="s">
        <v>18481</v>
      </c>
    </row>
    <row r="2983" spans="2:35" ht="225">
      <c r="B2983" s="1">
        <v>45575</v>
      </c>
      <c r="C2983" s="1">
        <v>45575</v>
      </c>
      <c r="D2983" t="s">
        <v>10368</v>
      </c>
      <c r="E2983" t="s">
        <v>18482</v>
      </c>
      <c r="F2983">
        <v>7</v>
      </c>
      <c r="G2983" t="s">
        <v>432</v>
      </c>
      <c r="H2983" t="s">
        <v>39</v>
      </c>
      <c r="I2983" t="s">
        <v>40</v>
      </c>
      <c r="J2983" s="2" t="s">
        <v>62</v>
      </c>
      <c r="K2983" t="s">
        <v>42</v>
      </c>
      <c r="L2983" t="s">
        <v>433</v>
      </c>
      <c r="N2983" t="s">
        <v>434</v>
      </c>
      <c r="Q2983">
        <v>29563</v>
      </c>
      <c r="R2983" t="s">
        <v>119</v>
      </c>
      <c r="S2983" t="s">
        <v>10370</v>
      </c>
      <c r="T2983">
        <v>27</v>
      </c>
      <c r="W2983" t="s">
        <v>502</v>
      </c>
      <c r="X2983">
        <v>838203</v>
      </c>
      <c r="Y2983" t="s">
        <v>18483</v>
      </c>
      <c r="Z2983" s="2" t="s">
        <v>18484</v>
      </c>
      <c r="AA2983" s="2" t="s">
        <v>18484</v>
      </c>
      <c r="AB2983" t="s">
        <v>18485</v>
      </c>
      <c r="AG2983" t="s">
        <v>18486</v>
      </c>
      <c r="AH2983" t="s">
        <v>18487</v>
      </c>
      <c r="AI2983" t="s">
        <v>18488</v>
      </c>
    </row>
    <row r="2984" spans="2:35" ht="180">
      <c r="B2984" s="1">
        <v>45575</v>
      </c>
      <c r="C2984" s="1">
        <v>45573</v>
      </c>
      <c r="D2984" t="s">
        <v>837</v>
      </c>
      <c r="E2984" t="s">
        <v>13127</v>
      </c>
      <c r="F2984">
        <v>5</v>
      </c>
      <c r="G2984" t="s">
        <v>839</v>
      </c>
      <c r="H2984" t="s">
        <v>513</v>
      </c>
      <c r="I2984" t="s">
        <v>94</v>
      </c>
      <c r="J2984" t="s">
        <v>109</v>
      </c>
      <c r="K2984" t="s">
        <v>387</v>
      </c>
      <c r="L2984" t="s">
        <v>761</v>
      </c>
      <c r="N2984" t="s">
        <v>762</v>
      </c>
      <c r="Q2984">
        <v>29562</v>
      </c>
      <c r="R2984" t="s">
        <v>322</v>
      </c>
      <c r="S2984" t="s">
        <v>18489</v>
      </c>
      <c r="T2984">
        <v>25</v>
      </c>
      <c r="W2984" t="s">
        <v>390</v>
      </c>
      <c r="X2984" t="s">
        <v>841</v>
      </c>
      <c r="Y2984" t="s">
        <v>9364</v>
      </c>
      <c r="Z2984" s="2" t="s">
        <v>18490</v>
      </c>
      <c r="AA2984" t="s">
        <v>820</v>
      </c>
      <c r="AB2984" t="s">
        <v>181</v>
      </c>
      <c r="AG2984" t="s">
        <v>18491</v>
      </c>
      <c r="AH2984" t="s">
        <v>10563</v>
      </c>
      <c r="AI2984" t="s">
        <v>18492</v>
      </c>
    </row>
    <row r="2985" spans="2:35" ht="330">
      <c r="B2985" s="1">
        <v>45574</v>
      </c>
      <c r="C2985" s="1">
        <v>45574</v>
      </c>
      <c r="D2985" t="s">
        <v>18493</v>
      </c>
      <c r="E2985" t="s">
        <v>18494</v>
      </c>
      <c r="F2985">
        <v>11</v>
      </c>
      <c r="G2985" t="s">
        <v>1205</v>
      </c>
      <c r="H2985" t="s">
        <v>202</v>
      </c>
      <c r="I2985" t="s">
        <v>40</v>
      </c>
      <c r="J2985" s="2" t="s">
        <v>62</v>
      </c>
      <c r="K2985" t="s">
        <v>42</v>
      </c>
      <c r="L2985" t="s">
        <v>204</v>
      </c>
      <c r="N2985" t="s">
        <v>205</v>
      </c>
      <c r="Q2985">
        <v>29561</v>
      </c>
      <c r="R2985" t="s">
        <v>119</v>
      </c>
      <c r="S2985" t="s">
        <v>6520</v>
      </c>
      <c r="T2985">
        <v>27.5</v>
      </c>
      <c r="U2985" s="2" t="s">
        <v>13952</v>
      </c>
      <c r="V2985" s="1">
        <v>45539</v>
      </c>
      <c r="W2985" t="s">
        <v>208</v>
      </c>
      <c r="X2985">
        <v>838505</v>
      </c>
      <c r="Y2985" t="s">
        <v>1618</v>
      </c>
      <c r="Z2985" s="2" t="s">
        <v>18495</v>
      </c>
      <c r="AA2985" t="s">
        <v>18496</v>
      </c>
      <c r="AB2985" s="2" t="s">
        <v>18497</v>
      </c>
      <c r="AC2985" t="s">
        <v>18498</v>
      </c>
      <c r="AD2985" t="s">
        <v>5365</v>
      </c>
      <c r="AE2985" t="s">
        <v>18499</v>
      </c>
      <c r="AG2985" t="s">
        <v>18500</v>
      </c>
      <c r="AH2985" t="s">
        <v>18501</v>
      </c>
      <c r="AI2985" t="s">
        <v>18502</v>
      </c>
    </row>
    <row r="2986" spans="2:35" ht="165">
      <c r="B2986" s="1">
        <v>45574</v>
      </c>
      <c r="C2986" s="1">
        <v>45573</v>
      </c>
      <c r="D2986" t="s">
        <v>18503</v>
      </c>
      <c r="E2986" t="s">
        <v>18504</v>
      </c>
      <c r="F2986" t="s">
        <v>37</v>
      </c>
      <c r="G2986" t="s">
        <v>78</v>
      </c>
      <c r="H2986" t="s">
        <v>18505</v>
      </c>
      <c r="I2986" t="s">
        <v>40</v>
      </c>
      <c r="J2986" t="s">
        <v>321</v>
      </c>
      <c r="K2986" t="s">
        <v>2629</v>
      </c>
      <c r="L2986" t="s">
        <v>409</v>
      </c>
      <c r="N2986" t="s">
        <v>410</v>
      </c>
      <c r="O2986" t="s">
        <v>18506</v>
      </c>
      <c r="Q2986">
        <v>29560</v>
      </c>
      <c r="R2986" t="s">
        <v>95</v>
      </c>
      <c r="S2986" t="s">
        <v>17620</v>
      </c>
      <c r="T2986">
        <v>25</v>
      </c>
      <c r="V2986" s="1">
        <v>45568</v>
      </c>
      <c r="W2986" t="s">
        <v>18040</v>
      </c>
      <c r="X2986">
        <v>3150000452</v>
      </c>
      <c r="Y2986" t="s">
        <v>301</v>
      </c>
      <c r="Z2986" t="s">
        <v>301</v>
      </c>
      <c r="AA2986" s="2" t="s">
        <v>18507</v>
      </c>
      <c r="AB2986" t="s">
        <v>181</v>
      </c>
      <c r="AD2986" t="s">
        <v>18040</v>
      </c>
      <c r="AE2986" t="s">
        <v>18508</v>
      </c>
      <c r="AG2986" t="s">
        <v>18509</v>
      </c>
      <c r="AH2986" t="s">
        <v>17626</v>
      </c>
      <c r="AI2986" t="s">
        <v>18510</v>
      </c>
    </row>
    <row r="2987" spans="2:35" ht="225">
      <c r="B2987" s="1">
        <v>45574</v>
      </c>
      <c r="C2987" s="1">
        <v>45573</v>
      </c>
      <c r="D2987" t="s">
        <v>18503</v>
      </c>
      <c r="E2987" t="s">
        <v>18511</v>
      </c>
      <c r="F2987" t="s">
        <v>37</v>
      </c>
      <c r="G2987" t="s">
        <v>78</v>
      </c>
      <c r="H2987" t="s">
        <v>18505</v>
      </c>
      <c r="I2987" t="s">
        <v>40</v>
      </c>
      <c r="J2987" t="s">
        <v>525</v>
      </c>
      <c r="K2987" t="s">
        <v>2629</v>
      </c>
      <c r="L2987" t="s">
        <v>409</v>
      </c>
      <c r="N2987" t="s">
        <v>410</v>
      </c>
      <c r="O2987" t="s">
        <v>18506</v>
      </c>
      <c r="Q2987">
        <v>29559</v>
      </c>
      <c r="R2987" t="s">
        <v>95</v>
      </c>
      <c r="S2987" t="s">
        <v>17620</v>
      </c>
      <c r="T2987">
        <v>25</v>
      </c>
      <c r="V2987" s="1">
        <v>45573</v>
      </c>
      <c r="W2987" t="s">
        <v>17621</v>
      </c>
      <c r="X2987">
        <v>3331000862</v>
      </c>
      <c r="Y2987" t="s">
        <v>18512</v>
      </c>
      <c r="Z2987" t="s">
        <v>301</v>
      </c>
      <c r="AA2987" s="2" t="s">
        <v>18513</v>
      </c>
      <c r="AB2987" t="s">
        <v>13135</v>
      </c>
      <c r="AC2987" t="s">
        <v>18514</v>
      </c>
      <c r="AG2987" t="s">
        <v>18515</v>
      </c>
      <c r="AH2987" t="s">
        <v>17626</v>
      </c>
      <c r="AI2987" t="s">
        <v>18516</v>
      </c>
    </row>
    <row r="2988" spans="2:35">
      <c r="B2988" s="1">
        <v>45574</v>
      </c>
      <c r="C2988" s="1">
        <v>45574</v>
      </c>
      <c r="D2988" t="s">
        <v>7761</v>
      </c>
      <c r="E2988" t="s">
        <v>18517</v>
      </c>
      <c r="F2988">
        <v>13</v>
      </c>
      <c r="G2988" t="s">
        <v>7763</v>
      </c>
      <c r="H2988" t="s">
        <v>2125</v>
      </c>
      <c r="I2988" t="s">
        <v>40</v>
      </c>
      <c r="J2988" t="s">
        <v>996</v>
      </c>
      <c r="K2988" t="s">
        <v>42</v>
      </c>
      <c r="L2988" t="s">
        <v>933</v>
      </c>
      <c r="N2988" t="s">
        <v>934</v>
      </c>
      <c r="Q2988">
        <v>29558</v>
      </c>
      <c r="R2988" t="s">
        <v>119</v>
      </c>
      <c r="S2988" t="s">
        <v>10603</v>
      </c>
      <c r="T2988">
        <v>18</v>
      </c>
      <c r="W2988" t="s">
        <v>2127</v>
      </c>
      <c r="X2988">
        <v>838275</v>
      </c>
      <c r="Y2988" t="s">
        <v>301</v>
      </c>
      <c r="Z2988" t="s">
        <v>8446</v>
      </c>
      <c r="AA2988" t="s">
        <v>18518</v>
      </c>
      <c r="AB2988" t="s">
        <v>18519</v>
      </c>
      <c r="AG2988" t="s">
        <v>18520</v>
      </c>
      <c r="AH2988" t="s">
        <v>10608</v>
      </c>
      <c r="AI2988" t="s">
        <v>18521</v>
      </c>
    </row>
    <row r="2989" spans="2:35" ht="225">
      <c r="B2989" s="1">
        <v>45574</v>
      </c>
      <c r="C2989" s="1">
        <v>45574</v>
      </c>
      <c r="D2989" t="s">
        <v>8369</v>
      </c>
      <c r="E2989" t="s">
        <v>15810</v>
      </c>
      <c r="F2989">
        <v>2</v>
      </c>
      <c r="G2989" t="s">
        <v>2668</v>
      </c>
      <c r="H2989" t="s">
        <v>39</v>
      </c>
      <c r="I2989" t="s">
        <v>40</v>
      </c>
      <c r="J2989" s="2" t="s">
        <v>1592</v>
      </c>
      <c r="K2989" t="s">
        <v>42</v>
      </c>
      <c r="L2989" t="s">
        <v>63</v>
      </c>
      <c r="N2989" t="s">
        <v>64</v>
      </c>
      <c r="Q2989">
        <v>29557</v>
      </c>
      <c r="R2989" t="s">
        <v>119</v>
      </c>
      <c r="S2989" t="s">
        <v>8371</v>
      </c>
      <c r="T2989">
        <v>28</v>
      </c>
      <c r="W2989" t="s">
        <v>66</v>
      </c>
      <c r="X2989">
        <v>838480</v>
      </c>
      <c r="Y2989" s="2" t="s">
        <v>18522</v>
      </c>
      <c r="Z2989" s="2" t="s">
        <v>18523</v>
      </c>
      <c r="AA2989" s="2" t="s">
        <v>1727</v>
      </c>
      <c r="AB2989" t="s">
        <v>70</v>
      </c>
      <c r="AC2989" t="s">
        <v>656</v>
      </c>
      <c r="AG2989" t="s">
        <v>18524</v>
      </c>
      <c r="AH2989" t="s">
        <v>18525</v>
      </c>
      <c r="AI2989" t="s">
        <v>18526</v>
      </c>
    </row>
    <row r="2990" spans="2:35" ht="225">
      <c r="B2990" s="1">
        <v>45573</v>
      </c>
      <c r="C2990" s="1">
        <v>45573</v>
      </c>
      <c r="D2990" t="s">
        <v>837</v>
      </c>
      <c r="E2990" t="s">
        <v>13127</v>
      </c>
      <c r="F2990">
        <v>5</v>
      </c>
      <c r="G2990" t="s">
        <v>839</v>
      </c>
      <c r="H2990" t="s">
        <v>513</v>
      </c>
      <c r="I2990" t="s">
        <v>94</v>
      </c>
      <c r="J2990" s="2" t="s">
        <v>190</v>
      </c>
      <c r="K2990" t="s">
        <v>42</v>
      </c>
      <c r="L2990" t="s">
        <v>761</v>
      </c>
      <c r="N2990" t="s">
        <v>762</v>
      </c>
      <c r="Q2990">
        <v>29556</v>
      </c>
      <c r="R2990" t="s">
        <v>322</v>
      </c>
      <c r="S2990" t="s">
        <v>18489</v>
      </c>
      <c r="T2990">
        <v>25</v>
      </c>
      <c r="W2990" t="s">
        <v>390</v>
      </c>
      <c r="X2990" t="s">
        <v>841</v>
      </c>
      <c r="Y2990" s="2" t="s">
        <v>18527</v>
      </c>
      <c r="Z2990" s="2" t="s">
        <v>18528</v>
      </c>
      <c r="AA2990" t="s">
        <v>820</v>
      </c>
      <c r="AB2990" t="s">
        <v>10393</v>
      </c>
      <c r="AG2990" t="s">
        <v>18491</v>
      </c>
      <c r="AH2990" t="s">
        <v>10563</v>
      </c>
      <c r="AI2990" t="s">
        <v>18492</v>
      </c>
    </row>
    <row r="2991" spans="2:35" ht="180">
      <c r="B2991" s="1">
        <v>45573</v>
      </c>
      <c r="C2991" s="1">
        <v>45573</v>
      </c>
      <c r="D2991" t="s">
        <v>837</v>
      </c>
      <c r="E2991" t="s">
        <v>13127</v>
      </c>
      <c r="F2991">
        <v>5</v>
      </c>
      <c r="G2991" t="s">
        <v>839</v>
      </c>
      <c r="H2991" t="s">
        <v>513</v>
      </c>
      <c r="I2991" t="s">
        <v>94</v>
      </c>
      <c r="J2991" t="s">
        <v>109</v>
      </c>
      <c r="K2991" t="s">
        <v>387</v>
      </c>
      <c r="L2991" t="s">
        <v>761</v>
      </c>
      <c r="N2991" t="s">
        <v>762</v>
      </c>
      <c r="Q2991">
        <v>29555</v>
      </c>
      <c r="R2991" t="s">
        <v>322</v>
      </c>
      <c r="S2991" t="s">
        <v>18489</v>
      </c>
      <c r="T2991">
        <v>25</v>
      </c>
      <c r="W2991" t="s">
        <v>390</v>
      </c>
      <c r="X2991" t="s">
        <v>847</v>
      </c>
      <c r="Y2991" t="s">
        <v>9364</v>
      </c>
      <c r="Z2991" s="2" t="s">
        <v>18529</v>
      </c>
      <c r="AA2991" t="s">
        <v>820</v>
      </c>
      <c r="AB2991" t="s">
        <v>181</v>
      </c>
      <c r="AG2991" t="s">
        <v>18530</v>
      </c>
      <c r="AH2991" t="s">
        <v>18531</v>
      </c>
      <c r="AI2991" t="s">
        <v>18532</v>
      </c>
    </row>
    <row r="2992" spans="2:35" ht="165">
      <c r="B2992" s="1">
        <v>45573</v>
      </c>
      <c r="C2992" s="1">
        <v>45573</v>
      </c>
      <c r="D2992" t="s">
        <v>8341</v>
      </c>
      <c r="E2992" t="s">
        <v>12743</v>
      </c>
      <c r="F2992">
        <v>2</v>
      </c>
      <c r="G2992" t="s">
        <v>60</v>
      </c>
      <c r="H2992" t="s">
        <v>39</v>
      </c>
      <c r="I2992" t="s">
        <v>40</v>
      </c>
      <c r="J2992" s="2" t="s">
        <v>1592</v>
      </c>
      <c r="K2992" t="s">
        <v>42</v>
      </c>
      <c r="L2992" t="s">
        <v>63</v>
      </c>
      <c r="N2992" t="s">
        <v>64</v>
      </c>
      <c r="Q2992">
        <v>29554</v>
      </c>
      <c r="R2992" t="s">
        <v>119</v>
      </c>
      <c r="S2992" t="s">
        <v>8343</v>
      </c>
      <c r="T2992">
        <v>26</v>
      </c>
      <c r="W2992" t="s">
        <v>66</v>
      </c>
      <c r="X2992">
        <v>838201</v>
      </c>
      <c r="Y2992" t="s">
        <v>18533</v>
      </c>
      <c r="Z2992" s="2" t="s">
        <v>18534</v>
      </c>
      <c r="AA2992" s="2" t="s">
        <v>1727</v>
      </c>
      <c r="AB2992" t="s">
        <v>70</v>
      </c>
      <c r="AC2992" t="s">
        <v>4542</v>
      </c>
      <c r="AG2992" t="s">
        <v>18535</v>
      </c>
      <c r="AH2992" t="s">
        <v>11356</v>
      </c>
      <c r="AI2992" t="s">
        <v>18536</v>
      </c>
    </row>
    <row r="2993" spans="2:35" ht="255">
      <c r="B2993" s="1">
        <v>45573</v>
      </c>
      <c r="C2993" s="1">
        <v>45573</v>
      </c>
      <c r="D2993" t="s">
        <v>18537</v>
      </c>
      <c r="E2993" t="s">
        <v>18538</v>
      </c>
      <c r="F2993" t="s">
        <v>148</v>
      </c>
      <c r="G2993" t="s">
        <v>447</v>
      </c>
      <c r="H2993" t="s">
        <v>150</v>
      </c>
      <c r="I2993" t="s">
        <v>40</v>
      </c>
      <c r="J2993" s="2" t="s">
        <v>18539</v>
      </c>
      <c r="K2993" t="s">
        <v>42</v>
      </c>
      <c r="L2993" t="s">
        <v>15532</v>
      </c>
      <c r="N2993" t="s">
        <v>15533</v>
      </c>
      <c r="Q2993">
        <v>29553</v>
      </c>
      <c r="R2993" t="s">
        <v>95</v>
      </c>
      <c r="S2993" t="s">
        <v>2808</v>
      </c>
      <c r="T2993">
        <v>29</v>
      </c>
      <c r="U2993" s="2" t="s">
        <v>18540</v>
      </c>
      <c r="W2993" t="s">
        <v>16496</v>
      </c>
      <c r="X2993">
        <v>839234</v>
      </c>
      <c r="Y2993" t="s">
        <v>18541</v>
      </c>
      <c r="Z2993" s="2" t="s">
        <v>18542</v>
      </c>
      <c r="AA2993" s="2" t="s">
        <v>18543</v>
      </c>
      <c r="AB2993" s="2" t="s">
        <v>18544</v>
      </c>
      <c r="AG2993" t="s">
        <v>18545</v>
      </c>
      <c r="AH2993" t="s">
        <v>18546</v>
      </c>
      <c r="AI2993" t="s">
        <v>18547</v>
      </c>
    </row>
    <row r="2994" spans="2:35" ht="225">
      <c r="B2994" s="1">
        <v>45573</v>
      </c>
      <c r="C2994" s="1">
        <v>45573</v>
      </c>
      <c r="D2994" t="s">
        <v>17497</v>
      </c>
      <c r="E2994" t="s">
        <v>18548</v>
      </c>
      <c r="F2994">
        <v>6</v>
      </c>
      <c r="G2994" t="s">
        <v>1234</v>
      </c>
      <c r="H2994" t="s">
        <v>39</v>
      </c>
      <c r="I2994" t="s">
        <v>40</v>
      </c>
      <c r="J2994" s="2" t="s">
        <v>62</v>
      </c>
      <c r="K2994" t="s">
        <v>42</v>
      </c>
      <c r="L2994" t="s">
        <v>433</v>
      </c>
      <c r="N2994" t="s">
        <v>434</v>
      </c>
      <c r="Q2994">
        <v>29552</v>
      </c>
      <c r="R2994" t="s">
        <v>119</v>
      </c>
      <c r="S2994" t="s">
        <v>18549</v>
      </c>
      <c r="T2994">
        <v>26</v>
      </c>
      <c r="W2994" t="s">
        <v>502</v>
      </c>
      <c r="X2994">
        <v>838464</v>
      </c>
      <c r="Y2994" t="s">
        <v>2303</v>
      </c>
      <c r="Z2994" s="2" t="s">
        <v>18550</v>
      </c>
      <c r="AA2994" s="2" t="s">
        <v>18550</v>
      </c>
      <c r="AB2994" t="s">
        <v>18551</v>
      </c>
      <c r="AG2994" t="s">
        <v>18552</v>
      </c>
      <c r="AH2994" t="s">
        <v>18553</v>
      </c>
      <c r="AI2994" t="s">
        <v>18554</v>
      </c>
    </row>
    <row r="2995" spans="2:35" ht="105">
      <c r="B2995" s="1">
        <v>45573</v>
      </c>
      <c r="C2995" s="1">
        <v>45573</v>
      </c>
      <c r="D2995" t="s">
        <v>9062</v>
      </c>
      <c r="E2995" t="s">
        <v>9063</v>
      </c>
      <c r="F2995">
        <v>8</v>
      </c>
      <c r="G2995" t="s">
        <v>342</v>
      </c>
      <c r="H2995" t="s">
        <v>39</v>
      </c>
      <c r="I2995" t="s">
        <v>40</v>
      </c>
      <c r="J2995" t="s">
        <v>109</v>
      </c>
      <c r="K2995" t="s">
        <v>42</v>
      </c>
      <c r="L2995" t="s">
        <v>343</v>
      </c>
      <c r="N2995" t="s">
        <v>344</v>
      </c>
      <c r="Q2995">
        <v>29551</v>
      </c>
      <c r="R2995" t="s">
        <v>119</v>
      </c>
      <c r="S2995" t="s">
        <v>11350</v>
      </c>
      <c r="T2995">
        <v>27</v>
      </c>
      <c r="U2995" s="2" t="s">
        <v>18555</v>
      </c>
      <c r="W2995" t="s">
        <v>1501</v>
      </c>
      <c r="X2995">
        <v>838399</v>
      </c>
      <c r="Y2995" t="s">
        <v>301</v>
      </c>
      <c r="Z2995" t="s">
        <v>301</v>
      </c>
      <c r="AA2995" t="e">
        <f ca="1">-Preventive Maintenance
-ARCHIVE tests</f>
        <v>#NAME?</v>
      </c>
      <c r="AB2995" t="s">
        <v>9638</v>
      </c>
      <c r="AG2995" t="s">
        <v>18556</v>
      </c>
      <c r="AH2995" t="s">
        <v>18557</v>
      </c>
      <c r="AI2995" t="s">
        <v>18558</v>
      </c>
    </row>
    <row r="2996" spans="2:35" ht="315">
      <c r="B2996" s="1">
        <v>45573</v>
      </c>
      <c r="C2996" s="1">
        <v>45573</v>
      </c>
      <c r="D2996" t="s">
        <v>8654</v>
      </c>
      <c r="E2996" t="s">
        <v>8655</v>
      </c>
      <c r="F2996">
        <v>8</v>
      </c>
      <c r="G2996" t="s">
        <v>257</v>
      </c>
      <c r="H2996" t="s">
        <v>258</v>
      </c>
      <c r="I2996" t="s">
        <v>40</v>
      </c>
      <c r="J2996" t="s">
        <v>79</v>
      </c>
      <c r="K2996" t="s">
        <v>42</v>
      </c>
      <c r="L2996" t="s">
        <v>259</v>
      </c>
      <c r="N2996" t="s">
        <v>260</v>
      </c>
      <c r="Q2996">
        <v>29550</v>
      </c>
      <c r="R2996" t="s">
        <v>119</v>
      </c>
      <c r="S2996" t="s">
        <v>8656</v>
      </c>
      <c r="T2996">
        <v>28</v>
      </c>
      <c r="U2996" s="2" t="s">
        <v>18559</v>
      </c>
      <c r="V2996" s="1">
        <v>45573</v>
      </c>
      <c r="W2996" t="s">
        <v>84</v>
      </c>
      <c r="X2996">
        <v>838409</v>
      </c>
      <c r="Y2996" t="s">
        <v>18560</v>
      </c>
      <c r="Z2996" t="e">
        <f ca="1">- module Replacement</f>
        <v>#NAME?</v>
      </c>
      <c r="AA2996" s="2" t="s">
        <v>18561</v>
      </c>
      <c r="AB2996" t="s">
        <v>70</v>
      </c>
      <c r="AD2996" t="s">
        <v>18562</v>
      </c>
      <c r="AE2996" t="s">
        <v>18563</v>
      </c>
      <c r="AG2996" t="s">
        <v>18564</v>
      </c>
      <c r="AH2996" t="s">
        <v>18565</v>
      </c>
      <c r="AI2996" t="s">
        <v>18566</v>
      </c>
    </row>
    <row r="2997" spans="2:35" ht="165">
      <c r="B2997" s="1">
        <v>45573</v>
      </c>
      <c r="C2997" s="1">
        <v>45572</v>
      </c>
      <c r="D2997" t="s">
        <v>1057</v>
      </c>
      <c r="E2997" t="s">
        <v>1058</v>
      </c>
      <c r="F2997">
        <v>1</v>
      </c>
      <c r="G2997" t="s">
        <v>1046</v>
      </c>
      <c r="H2997" t="s">
        <v>39</v>
      </c>
      <c r="I2997" t="s">
        <v>40</v>
      </c>
      <c r="J2997" s="2" t="s">
        <v>190</v>
      </c>
      <c r="K2997" t="s">
        <v>42</v>
      </c>
      <c r="L2997" t="s">
        <v>1048</v>
      </c>
      <c r="N2997" t="s">
        <v>1049</v>
      </c>
      <c r="Q2997">
        <v>29549</v>
      </c>
      <c r="R2997" t="s">
        <v>95</v>
      </c>
      <c r="S2997" t="s">
        <v>18567</v>
      </c>
      <c r="T2997">
        <v>30</v>
      </c>
      <c r="U2997" s="2" t="s">
        <v>18568</v>
      </c>
      <c r="W2997" t="s">
        <v>1060</v>
      </c>
      <c r="X2997">
        <v>820303</v>
      </c>
      <c r="Y2997" t="s">
        <v>7984</v>
      </c>
      <c r="Z2997" t="e">
        <f ca="1">- cleaned cartridge Bays, plunger Rods _xludf.and I-CORE
- generated reports</f>
        <v>#NAME?</v>
      </c>
      <c r="AA2997" t="s">
        <v>7985</v>
      </c>
      <c r="AB2997" t="s">
        <v>1936</v>
      </c>
      <c r="AG2997" t="s">
        <v>18569</v>
      </c>
      <c r="AH2997" t="s">
        <v>3393</v>
      </c>
      <c r="AI2997" t="s">
        <v>18570</v>
      </c>
    </row>
    <row r="2998" spans="2:35" ht="360">
      <c r="B2998" s="1">
        <v>45572</v>
      </c>
      <c r="C2998" s="1">
        <v>45568</v>
      </c>
      <c r="D2998" t="s">
        <v>1885</v>
      </c>
      <c r="E2998" t="s">
        <v>2136</v>
      </c>
      <c r="F2998" t="s">
        <v>1255</v>
      </c>
      <c r="G2998" t="s">
        <v>1887</v>
      </c>
      <c r="H2998" t="s">
        <v>295</v>
      </c>
      <c r="I2998" t="s">
        <v>40</v>
      </c>
      <c r="J2998" s="2" t="s">
        <v>62</v>
      </c>
      <c r="K2998" t="s">
        <v>42</v>
      </c>
      <c r="L2998" t="s">
        <v>296</v>
      </c>
      <c r="N2998" t="s">
        <v>297</v>
      </c>
      <c r="Q2998">
        <v>29548</v>
      </c>
      <c r="R2998" t="s">
        <v>119</v>
      </c>
      <c r="S2998" t="s">
        <v>1888</v>
      </c>
      <c r="T2998">
        <v>21.4</v>
      </c>
      <c r="U2998" s="2" t="s">
        <v>18571</v>
      </c>
      <c r="V2998" s="1">
        <v>45568</v>
      </c>
      <c r="W2998" t="s">
        <v>981</v>
      </c>
      <c r="X2998">
        <v>837662</v>
      </c>
      <c r="Y2998" t="s">
        <v>301</v>
      </c>
      <c r="Z2998" s="2" t="s">
        <v>17761</v>
      </c>
      <c r="AA2998" s="2" t="s">
        <v>18080</v>
      </c>
      <c r="AB2998" s="2" t="s">
        <v>18572</v>
      </c>
      <c r="AD2998" s="2" t="s">
        <v>17891</v>
      </c>
      <c r="AE2998" t="s">
        <v>18573</v>
      </c>
      <c r="AG2998" t="s">
        <v>18574</v>
      </c>
      <c r="AH2998" t="s">
        <v>18575</v>
      </c>
      <c r="AI2998" t="s">
        <v>18576</v>
      </c>
    </row>
    <row r="2999" spans="2:35" ht="195">
      <c r="B2999" s="1">
        <v>45572</v>
      </c>
      <c r="C2999" s="1">
        <v>45569</v>
      </c>
      <c r="D2999" t="s">
        <v>8123</v>
      </c>
      <c r="E2999" t="s">
        <v>18577</v>
      </c>
      <c r="F2999">
        <v>13</v>
      </c>
      <c r="G2999" t="s">
        <v>4484</v>
      </c>
      <c r="H2999" t="s">
        <v>2125</v>
      </c>
      <c r="I2999" t="s">
        <v>40</v>
      </c>
      <c r="J2999" s="2" t="s">
        <v>2170</v>
      </c>
      <c r="K2999" t="s">
        <v>42</v>
      </c>
      <c r="L2999" t="s">
        <v>933</v>
      </c>
      <c r="N2999" t="s">
        <v>934</v>
      </c>
      <c r="Q2999">
        <v>29547</v>
      </c>
      <c r="R2999" t="s">
        <v>119</v>
      </c>
      <c r="S2999" t="s">
        <v>8125</v>
      </c>
      <c r="T2999">
        <v>30</v>
      </c>
      <c r="W2999" t="s">
        <v>2127</v>
      </c>
      <c r="X2999">
        <v>838554</v>
      </c>
      <c r="Y2999" t="s">
        <v>18578</v>
      </c>
      <c r="Z2999" s="2" t="s">
        <v>18579</v>
      </c>
      <c r="AA2999" s="2" t="s">
        <v>18580</v>
      </c>
      <c r="AB2999" t="s">
        <v>13650</v>
      </c>
      <c r="AG2999" t="s">
        <v>18581</v>
      </c>
      <c r="AH2999" t="s">
        <v>8129</v>
      </c>
      <c r="AI2999" t="s">
        <v>18582</v>
      </c>
    </row>
    <row r="3000" spans="2:35" ht="165">
      <c r="B3000" s="1">
        <v>45572</v>
      </c>
      <c r="C3000" s="1">
        <v>45572</v>
      </c>
      <c r="D3000" t="s">
        <v>11901</v>
      </c>
      <c r="E3000" t="s">
        <v>7772</v>
      </c>
      <c r="F3000">
        <v>6</v>
      </c>
      <c r="G3000" t="s">
        <v>1234</v>
      </c>
      <c r="H3000" t="s">
        <v>39</v>
      </c>
      <c r="I3000" t="s">
        <v>40</v>
      </c>
      <c r="J3000" s="2" t="s">
        <v>62</v>
      </c>
      <c r="K3000" t="s">
        <v>42</v>
      </c>
      <c r="L3000" t="s">
        <v>433</v>
      </c>
      <c r="N3000" t="s">
        <v>434</v>
      </c>
      <c r="Q3000">
        <v>29546</v>
      </c>
      <c r="R3000" t="s">
        <v>119</v>
      </c>
      <c r="S3000" t="s">
        <v>11903</v>
      </c>
      <c r="T3000">
        <v>28</v>
      </c>
      <c r="W3000" t="s">
        <v>502</v>
      </c>
      <c r="X3000">
        <v>837612</v>
      </c>
      <c r="Y3000" t="s">
        <v>18583</v>
      </c>
      <c r="Z3000" s="2" t="s">
        <v>18584</v>
      </c>
      <c r="AA3000" s="2" t="s">
        <v>18584</v>
      </c>
      <c r="AB3000" s="2" t="s">
        <v>18585</v>
      </c>
      <c r="AG3000" t="s">
        <v>18586</v>
      </c>
      <c r="AH3000" t="s">
        <v>11908</v>
      </c>
      <c r="AI3000" t="s">
        <v>18587</v>
      </c>
    </row>
    <row r="3001" spans="2:35" ht="240">
      <c r="B3001" s="1">
        <v>45572</v>
      </c>
      <c r="C3001" s="1">
        <v>45572</v>
      </c>
      <c r="D3001" t="s">
        <v>18588</v>
      </c>
      <c r="E3001" t="s">
        <v>7772</v>
      </c>
      <c r="F3001">
        <v>6</v>
      </c>
      <c r="G3001" t="s">
        <v>1234</v>
      </c>
      <c r="H3001" t="s">
        <v>6500</v>
      </c>
      <c r="I3001" t="s">
        <v>40</v>
      </c>
      <c r="J3001" t="s">
        <v>583</v>
      </c>
      <c r="K3001" t="s">
        <v>42</v>
      </c>
      <c r="L3001" t="s">
        <v>433</v>
      </c>
      <c r="N3001" t="s">
        <v>434</v>
      </c>
      <c r="Q3001">
        <v>29545</v>
      </c>
      <c r="R3001" t="s">
        <v>95</v>
      </c>
      <c r="S3001" t="s">
        <v>18589</v>
      </c>
      <c r="T3001">
        <v>23</v>
      </c>
      <c r="W3001" t="s">
        <v>502</v>
      </c>
      <c r="X3001">
        <v>110005268</v>
      </c>
      <c r="Y3001" t="s">
        <v>18590</v>
      </c>
      <c r="Z3001" s="2" t="s">
        <v>18591</v>
      </c>
      <c r="AA3001" s="2" t="s">
        <v>18591</v>
      </c>
      <c r="AB3001" t="s">
        <v>1011</v>
      </c>
      <c r="AG3001" t="s">
        <v>18592</v>
      </c>
      <c r="AH3001" t="s">
        <v>18593</v>
      </c>
      <c r="AI3001" t="s">
        <v>18594</v>
      </c>
    </row>
    <row r="3002" spans="2:35" ht="195">
      <c r="B3002" s="1">
        <v>45572</v>
      </c>
      <c r="C3002" s="4">
        <v>45464.472916666666</v>
      </c>
      <c r="D3002" t="s">
        <v>3139</v>
      </c>
      <c r="E3002" t="s">
        <v>3140</v>
      </c>
      <c r="F3002">
        <v>3</v>
      </c>
      <c r="G3002" t="s">
        <v>174</v>
      </c>
      <c r="H3002" t="s">
        <v>61</v>
      </c>
      <c r="I3002" t="s">
        <v>40</v>
      </c>
      <c r="J3002" t="s">
        <v>109</v>
      </c>
      <c r="K3002" t="s">
        <v>42</v>
      </c>
      <c r="L3002" t="s">
        <v>175</v>
      </c>
      <c r="N3002" t="s">
        <v>176</v>
      </c>
      <c r="Q3002">
        <v>29544</v>
      </c>
      <c r="R3002" t="s">
        <v>45</v>
      </c>
      <c r="S3002" t="s">
        <v>18595</v>
      </c>
      <c r="T3002">
        <v>25</v>
      </c>
      <c r="U3002" s="2" t="s">
        <v>18596</v>
      </c>
      <c r="W3002" t="s">
        <v>84</v>
      </c>
      <c r="X3002">
        <v>834623</v>
      </c>
      <c r="Y3002" t="s">
        <v>374</v>
      </c>
      <c r="Z3002" t="s">
        <v>103</v>
      </c>
      <c r="AA3002" t="e">
        <f ca="1">- checked _xludf.and cleaned cartridge bay, plunger rod, _xludf.filter
- generated reports
- performed self test</f>
        <v>#NAME?</v>
      </c>
      <c r="AB3002" t="s">
        <v>181</v>
      </c>
      <c r="AG3002" t="s">
        <v>18597</v>
      </c>
      <c r="AH3002" t="s">
        <v>18598</v>
      </c>
      <c r="AI3002" t="s">
        <v>18599</v>
      </c>
    </row>
    <row r="3003" spans="2:35" ht="90">
      <c r="B3003" s="1">
        <v>45572</v>
      </c>
      <c r="C3003" s="4">
        <v>45545.597222222219</v>
      </c>
      <c r="D3003" t="s">
        <v>3897</v>
      </c>
      <c r="E3003" t="s">
        <v>3140</v>
      </c>
      <c r="F3003">
        <v>3</v>
      </c>
      <c r="G3003" t="s">
        <v>174</v>
      </c>
      <c r="H3003" t="s">
        <v>39</v>
      </c>
      <c r="I3003" t="s">
        <v>40</v>
      </c>
      <c r="J3003" t="s">
        <v>109</v>
      </c>
      <c r="K3003" t="s">
        <v>42</v>
      </c>
      <c r="L3003" t="s">
        <v>175</v>
      </c>
      <c r="N3003" t="s">
        <v>176</v>
      </c>
      <c r="Q3003">
        <v>29543</v>
      </c>
      <c r="R3003" t="s">
        <v>95</v>
      </c>
      <c r="S3003" t="s">
        <v>3898</v>
      </c>
      <c r="T3003">
        <v>25</v>
      </c>
      <c r="W3003" t="s">
        <v>84</v>
      </c>
      <c r="X3003">
        <v>110008530</v>
      </c>
      <c r="Y3003" t="s">
        <v>374</v>
      </c>
      <c r="Z3003" t="s">
        <v>103</v>
      </c>
      <c r="AA3003" t="e">
        <f ca="1">- checked _xludf.and cleaned cartridge bay, plunger rod, _xludf.filter
- generated reports
- performed self test</f>
        <v>#NAME?</v>
      </c>
      <c r="AB3003" s="2" t="s">
        <v>17317</v>
      </c>
      <c r="AG3003" t="s">
        <v>18600</v>
      </c>
      <c r="AH3003" t="s">
        <v>8887</v>
      </c>
      <c r="AI3003" t="s">
        <v>18601</v>
      </c>
    </row>
    <row r="3004" spans="2:35" ht="90">
      <c r="B3004" s="1">
        <v>45572</v>
      </c>
      <c r="C3004" s="4">
        <v>45548.565972222219</v>
      </c>
      <c r="D3004" t="s">
        <v>6471</v>
      </c>
      <c r="E3004" t="s">
        <v>7442</v>
      </c>
      <c r="F3004" t="s">
        <v>148</v>
      </c>
      <c r="G3004" t="s">
        <v>447</v>
      </c>
      <c r="H3004" t="s">
        <v>39</v>
      </c>
      <c r="I3004" t="s">
        <v>40</v>
      </c>
      <c r="J3004" t="s">
        <v>109</v>
      </c>
      <c r="K3004" t="s">
        <v>42</v>
      </c>
      <c r="L3004" t="s">
        <v>175</v>
      </c>
      <c r="N3004" t="s">
        <v>176</v>
      </c>
      <c r="Q3004">
        <v>29542</v>
      </c>
      <c r="R3004" t="s">
        <v>703</v>
      </c>
      <c r="S3004" t="s">
        <v>18602</v>
      </c>
      <c r="T3004">
        <v>25</v>
      </c>
      <c r="W3004" t="s">
        <v>84</v>
      </c>
      <c r="X3004">
        <v>847578</v>
      </c>
      <c r="Y3004" t="s">
        <v>374</v>
      </c>
      <c r="Z3004" t="s">
        <v>103</v>
      </c>
      <c r="AA3004" t="e">
        <f ca="1">- checked cartridge bay, plunger rod, _xludf.filter
- generated reports
- scanned system logs _xludf.For hardware errors (None found)</f>
        <v>#NAME?</v>
      </c>
      <c r="AB3004" s="2" t="s">
        <v>18603</v>
      </c>
      <c r="AG3004" t="s">
        <v>18604</v>
      </c>
      <c r="AH3004" t="s">
        <v>18605</v>
      </c>
      <c r="AI3004" t="s">
        <v>18606</v>
      </c>
    </row>
    <row r="3005" spans="2:35" ht="150">
      <c r="B3005" s="1">
        <v>45572</v>
      </c>
      <c r="C3005" s="1">
        <v>45568</v>
      </c>
      <c r="D3005" t="s">
        <v>3139</v>
      </c>
      <c r="E3005" t="s">
        <v>3140</v>
      </c>
      <c r="F3005" t="s">
        <v>148</v>
      </c>
      <c r="G3005" t="s">
        <v>174</v>
      </c>
      <c r="H3005" t="s">
        <v>39</v>
      </c>
      <c r="I3005" t="s">
        <v>40</v>
      </c>
      <c r="J3005" t="s">
        <v>109</v>
      </c>
      <c r="K3005" t="s">
        <v>42</v>
      </c>
      <c r="L3005" t="s">
        <v>175</v>
      </c>
      <c r="N3005" t="s">
        <v>176</v>
      </c>
      <c r="Q3005">
        <v>29541</v>
      </c>
      <c r="R3005" t="s">
        <v>967</v>
      </c>
      <c r="S3005" t="s">
        <v>14419</v>
      </c>
      <c r="T3005">
        <v>26</v>
      </c>
      <c r="W3005" t="s">
        <v>84</v>
      </c>
      <c r="X3005">
        <v>1100023507</v>
      </c>
      <c r="Y3005" t="s">
        <v>374</v>
      </c>
      <c r="Z3005" t="s">
        <v>103</v>
      </c>
      <c r="AA3005" t="e">
        <f ca="1">- checked system logs _xludf.For hardware errors (None)
- checked GeneXpert FAN _xludf.filter (_xludf.Clean)
- generated reports</f>
        <v>#NAME?</v>
      </c>
      <c r="AB3005" s="2" t="s">
        <v>18607</v>
      </c>
      <c r="AG3005" t="s">
        <v>18608</v>
      </c>
      <c r="AH3005" t="s">
        <v>18609</v>
      </c>
      <c r="AI3005" t="s">
        <v>18610</v>
      </c>
    </row>
    <row r="3006" spans="2:35" ht="225">
      <c r="B3006" s="1">
        <v>45572</v>
      </c>
      <c r="C3006" s="1">
        <v>45572</v>
      </c>
      <c r="D3006" t="s">
        <v>18611</v>
      </c>
      <c r="E3006" t="s">
        <v>7772</v>
      </c>
      <c r="F3006">
        <v>6</v>
      </c>
      <c r="G3006" t="s">
        <v>1234</v>
      </c>
      <c r="H3006" t="s">
        <v>39</v>
      </c>
      <c r="I3006" t="s">
        <v>40</v>
      </c>
      <c r="J3006" s="2" t="s">
        <v>62</v>
      </c>
      <c r="K3006" t="s">
        <v>42</v>
      </c>
      <c r="L3006" t="s">
        <v>433</v>
      </c>
      <c r="N3006" t="s">
        <v>434</v>
      </c>
      <c r="Q3006">
        <v>29540</v>
      </c>
      <c r="R3006" t="s">
        <v>119</v>
      </c>
      <c r="S3006" t="s">
        <v>9775</v>
      </c>
      <c r="T3006">
        <v>26</v>
      </c>
      <c r="W3006" t="s">
        <v>5318</v>
      </c>
      <c r="X3006">
        <v>110020743</v>
      </c>
      <c r="Y3006" t="s">
        <v>2303</v>
      </c>
      <c r="Z3006" s="2" t="s">
        <v>18612</v>
      </c>
      <c r="AA3006" s="2" t="s">
        <v>18612</v>
      </c>
      <c r="AB3006" s="2" t="s">
        <v>18613</v>
      </c>
      <c r="AG3006" t="s">
        <v>18614</v>
      </c>
      <c r="AH3006" t="s">
        <v>18615</v>
      </c>
      <c r="AI3006" t="s">
        <v>18616</v>
      </c>
    </row>
    <row r="3007" spans="2:35" ht="409.5">
      <c r="B3007" s="1">
        <v>45572</v>
      </c>
      <c r="C3007" s="1">
        <v>45572</v>
      </c>
      <c r="D3007" t="s">
        <v>9540</v>
      </c>
      <c r="E3007" t="s">
        <v>14270</v>
      </c>
      <c r="F3007" t="s">
        <v>148</v>
      </c>
      <c r="G3007" t="s">
        <v>4786</v>
      </c>
      <c r="H3007" t="s">
        <v>662</v>
      </c>
      <c r="I3007" t="s">
        <v>40</v>
      </c>
      <c r="J3007" t="s">
        <v>525</v>
      </c>
      <c r="K3007" t="s">
        <v>42</v>
      </c>
      <c r="L3007" t="s">
        <v>1028</v>
      </c>
      <c r="N3007" t="s">
        <v>1029</v>
      </c>
      <c r="Q3007">
        <v>29539</v>
      </c>
      <c r="R3007" t="s">
        <v>95</v>
      </c>
      <c r="S3007" t="s">
        <v>10335</v>
      </c>
      <c r="T3007">
        <v>25</v>
      </c>
      <c r="U3007" s="2" t="s">
        <v>18617</v>
      </c>
      <c r="W3007" t="s">
        <v>1967</v>
      </c>
      <c r="X3007">
        <v>831316</v>
      </c>
      <c r="Y3007" t="s">
        <v>18618</v>
      </c>
      <c r="Z3007" t="s">
        <v>3775</v>
      </c>
      <c r="AA3007" s="2" t="s">
        <v>18619</v>
      </c>
      <c r="AB3007" t="s">
        <v>18620</v>
      </c>
      <c r="AG3007" t="s">
        <v>18621</v>
      </c>
      <c r="AH3007" t="s">
        <v>18622</v>
      </c>
      <c r="AI3007" t="s">
        <v>18623</v>
      </c>
    </row>
    <row r="3008" spans="2:35" ht="195">
      <c r="B3008" s="1">
        <v>45572</v>
      </c>
      <c r="C3008" s="1">
        <v>45568</v>
      </c>
      <c r="D3008" t="s">
        <v>5158</v>
      </c>
      <c r="E3008" t="s">
        <v>18624</v>
      </c>
      <c r="F3008" t="s">
        <v>148</v>
      </c>
      <c r="G3008" t="s">
        <v>310</v>
      </c>
      <c r="H3008" t="s">
        <v>662</v>
      </c>
      <c r="I3008" t="s">
        <v>40</v>
      </c>
      <c r="J3008" t="s">
        <v>525</v>
      </c>
      <c r="K3008" t="s">
        <v>42</v>
      </c>
      <c r="L3008" t="s">
        <v>1028</v>
      </c>
      <c r="N3008" t="s">
        <v>1029</v>
      </c>
      <c r="Q3008">
        <v>29538</v>
      </c>
      <c r="R3008" t="s">
        <v>322</v>
      </c>
      <c r="S3008" t="s">
        <v>14635</v>
      </c>
      <c r="T3008">
        <v>21</v>
      </c>
      <c r="U3008" s="2" t="s">
        <v>18625</v>
      </c>
      <c r="W3008" t="s">
        <v>5169</v>
      </c>
      <c r="X3008">
        <v>110013856</v>
      </c>
      <c r="Y3008" t="s">
        <v>18626</v>
      </c>
      <c r="Z3008" t="s">
        <v>10920</v>
      </c>
      <c r="AA3008" s="2" t="s">
        <v>18627</v>
      </c>
      <c r="AB3008" t="s">
        <v>3300</v>
      </c>
      <c r="AG3008" t="s">
        <v>18628</v>
      </c>
      <c r="AH3008" t="s">
        <v>5165</v>
      </c>
      <c r="AI3008" t="s">
        <v>18629</v>
      </c>
    </row>
    <row r="3009" spans="2:35" ht="165">
      <c r="B3009" s="1">
        <v>45572</v>
      </c>
      <c r="C3009" s="1">
        <v>45566</v>
      </c>
      <c r="D3009" t="s">
        <v>5158</v>
      </c>
      <c r="E3009" t="s">
        <v>5167</v>
      </c>
      <c r="F3009" t="s">
        <v>148</v>
      </c>
      <c r="G3009" t="s">
        <v>310</v>
      </c>
      <c r="H3009" t="s">
        <v>662</v>
      </c>
      <c r="I3009" t="s">
        <v>40</v>
      </c>
      <c r="J3009" t="s">
        <v>525</v>
      </c>
      <c r="K3009" t="s">
        <v>42</v>
      </c>
      <c r="L3009" t="s">
        <v>1028</v>
      </c>
      <c r="N3009" t="s">
        <v>1029</v>
      </c>
      <c r="Q3009">
        <v>29536</v>
      </c>
      <c r="R3009" t="s">
        <v>322</v>
      </c>
      <c r="S3009" t="s">
        <v>14635</v>
      </c>
      <c r="T3009">
        <v>25</v>
      </c>
      <c r="W3009" t="s">
        <v>5169</v>
      </c>
      <c r="X3009">
        <v>110013856</v>
      </c>
      <c r="Y3009" t="s">
        <v>18630</v>
      </c>
      <c r="Z3009" t="s">
        <v>5186</v>
      </c>
      <c r="AA3009" s="2" t="s">
        <v>18631</v>
      </c>
      <c r="AB3009" t="s">
        <v>18632</v>
      </c>
      <c r="AG3009" t="s">
        <v>18633</v>
      </c>
      <c r="AH3009" t="s">
        <v>5165</v>
      </c>
      <c r="AI3009" t="s">
        <v>18634</v>
      </c>
    </row>
    <row r="3010" spans="2:35" ht="225">
      <c r="B3010" s="1">
        <v>45572</v>
      </c>
      <c r="C3010" s="1">
        <v>45561</v>
      </c>
      <c r="D3010" t="s">
        <v>3295</v>
      </c>
      <c r="E3010" t="s">
        <v>18635</v>
      </c>
      <c r="F3010" t="s">
        <v>37</v>
      </c>
      <c r="G3010" t="s">
        <v>748</v>
      </c>
      <c r="H3010" t="s">
        <v>39</v>
      </c>
      <c r="I3010" t="s">
        <v>40</v>
      </c>
      <c r="J3010" t="s">
        <v>79</v>
      </c>
      <c r="K3010" t="s">
        <v>42</v>
      </c>
      <c r="L3010" t="s">
        <v>1028</v>
      </c>
      <c r="N3010" t="s">
        <v>1029</v>
      </c>
      <c r="Q3010">
        <v>29537</v>
      </c>
      <c r="R3010" t="s">
        <v>703</v>
      </c>
      <c r="S3010" t="s">
        <v>18636</v>
      </c>
      <c r="T3010">
        <v>23</v>
      </c>
      <c r="U3010" s="2" t="s">
        <v>18637</v>
      </c>
      <c r="V3010" s="1">
        <v>45553</v>
      </c>
      <c r="W3010" t="s">
        <v>3299</v>
      </c>
      <c r="X3010">
        <v>842166</v>
      </c>
      <c r="Y3010" t="s">
        <v>18638</v>
      </c>
      <c r="Z3010" t="s">
        <v>2443</v>
      </c>
      <c r="AA3010" s="2" t="s">
        <v>18639</v>
      </c>
      <c r="AB3010" t="s">
        <v>18640</v>
      </c>
      <c r="AC3010" t="s">
        <v>18641</v>
      </c>
      <c r="AD3010" t="s">
        <v>18642</v>
      </c>
      <c r="AE3010">
        <v>12146</v>
      </c>
      <c r="AG3010" t="s">
        <v>18643</v>
      </c>
      <c r="AH3010" t="s">
        <v>18644</v>
      </c>
      <c r="AI3010" t="s">
        <v>18645</v>
      </c>
    </row>
    <row r="3011" spans="2:35" ht="240">
      <c r="B3011" s="1">
        <v>45572</v>
      </c>
      <c r="C3011" s="1">
        <v>45561</v>
      </c>
      <c r="D3011" t="s">
        <v>3295</v>
      </c>
      <c r="E3011" t="s">
        <v>18635</v>
      </c>
      <c r="F3011" t="s">
        <v>37</v>
      </c>
      <c r="G3011" t="s">
        <v>748</v>
      </c>
      <c r="H3011" t="s">
        <v>18646</v>
      </c>
      <c r="I3011" t="s">
        <v>40</v>
      </c>
      <c r="J3011" t="s">
        <v>109</v>
      </c>
      <c r="K3011" t="s">
        <v>42</v>
      </c>
      <c r="L3011" t="s">
        <v>1028</v>
      </c>
      <c r="N3011" t="s">
        <v>1029</v>
      </c>
      <c r="Q3011">
        <v>29534</v>
      </c>
      <c r="R3011" t="s">
        <v>703</v>
      </c>
      <c r="S3011" t="s">
        <v>18647</v>
      </c>
      <c r="T3011">
        <v>23</v>
      </c>
      <c r="U3011" s="2" t="s">
        <v>18648</v>
      </c>
      <c r="W3011" t="s">
        <v>13947</v>
      </c>
      <c r="X3011">
        <v>110012951</v>
      </c>
      <c r="Y3011" t="s">
        <v>1978</v>
      </c>
      <c r="Z3011" t="s">
        <v>1548</v>
      </c>
      <c r="AA3011" s="2" t="s">
        <v>1979</v>
      </c>
      <c r="AB3011" t="s">
        <v>3300</v>
      </c>
      <c r="AG3011" t="s">
        <v>18649</v>
      </c>
      <c r="AH3011" t="s">
        <v>18650</v>
      </c>
      <c r="AI3011" t="s">
        <v>18651</v>
      </c>
    </row>
    <row r="3012" spans="2:35" ht="270">
      <c r="B3012" s="1">
        <v>45572</v>
      </c>
      <c r="C3012" s="1">
        <v>45566</v>
      </c>
      <c r="D3012" t="s">
        <v>7219</v>
      </c>
      <c r="E3012" t="s">
        <v>14277</v>
      </c>
      <c r="F3012" t="s">
        <v>148</v>
      </c>
      <c r="G3012" t="s">
        <v>310</v>
      </c>
      <c r="H3012" t="s">
        <v>7019</v>
      </c>
      <c r="I3012" t="s">
        <v>40</v>
      </c>
      <c r="J3012" s="2" t="s">
        <v>190</v>
      </c>
      <c r="K3012" t="s">
        <v>42</v>
      </c>
      <c r="L3012" t="s">
        <v>1028</v>
      </c>
      <c r="N3012" t="s">
        <v>1029</v>
      </c>
      <c r="Q3012">
        <v>29535</v>
      </c>
      <c r="R3012" t="s">
        <v>322</v>
      </c>
      <c r="S3012" t="s">
        <v>16275</v>
      </c>
      <c r="T3012">
        <v>25</v>
      </c>
      <c r="U3012" s="2" t="s">
        <v>18652</v>
      </c>
      <c r="W3012" t="s">
        <v>2441</v>
      </c>
      <c r="X3012">
        <v>821257</v>
      </c>
      <c r="Y3012" t="s">
        <v>18653</v>
      </c>
      <c r="Z3012" t="s">
        <v>5186</v>
      </c>
      <c r="AA3012" s="2" t="s">
        <v>18654</v>
      </c>
      <c r="AB3012" t="s">
        <v>18655</v>
      </c>
      <c r="AG3012" t="s">
        <v>18656</v>
      </c>
      <c r="AH3012" t="s">
        <v>16281</v>
      </c>
      <c r="AI3012" t="s">
        <v>18657</v>
      </c>
    </row>
    <row r="3013" spans="2:35" ht="105">
      <c r="B3013" s="1">
        <v>45572</v>
      </c>
      <c r="C3013" s="1">
        <v>45572</v>
      </c>
      <c r="D3013" t="s">
        <v>4503</v>
      </c>
      <c r="E3013" t="s">
        <v>4504</v>
      </c>
      <c r="F3013">
        <v>1</v>
      </c>
      <c r="G3013" t="s">
        <v>1046</v>
      </c>
      <c r="H3013" t="s">
        <v>1047</v>
      </c>
      <c r="I3013" t="s">
        <v>40</v>
      </c>
      <c r="J3013" t="s">
        <v>109</v>
      </c>
      <c r="K3013" t="s">
        <v>42</v>
      </c>
      <c r="L3013" t="s">
        <v>1048</v>
      </c>
      <c r="N3013" t="s">
        <v>1049</v>
      </c>
      <c r="Q3013">
        <v>29533</v>
      </c>
      <c r="R3013" t="s">
        <v>119</v>
      </c>
      <c r="S3013" t="s">
        <v>4505</v>
      </c>
      <c r="T3013">
        <v>29</v>
      </c>
      <c r="U3013" s="2" t="s">
        <v>1407</v>
      </c>
      <c r="W3013" t="s">
        <v>1051</v>
      </c>
      <c r="X3013">
        <v>838516</v>
      </c>
      <c r="Y3013" t="s">
        <v>1052</v>
      </c>
      <c r="Z3013" t="e">
        <f ca="1">- cleaned cartridge Bays, plunger Rods _xludf.and I-CORE
- generated reports</f>
        <v>#NAME?</v>
      </c>
      <c r="AA3013" t="s">
        <v>820</v>
      </c>
      <c r="AB3013" t="s">
        <v>1428</v>
      </c>
      <c r="AG3013" t="s">
        <v>18658</v>
      </c>
      <c r="AH3013" t="s">
        <v>4507</v>
      </c>
      <c r="AI3013" t="s">
        <v>18659</v>
      </c>
    </row>
    <row r="3014" spans="2:35" ht="180">
      <c r="B3014" s="1">
        <v>45572</v>
      </c>
      <c r="C3014" s="1">
        <v>45572</v>
      </c>
      <c r="D3014" t="s">
        <v>7881</v>
      </c>
      <c r="E3014" t="s">
        <v>8756</v>
      </c>
      <c r="F3014">
        <v>7</v>
      </c>
      <c r="G3014" t="s">
        <v>432</v>
      </c>
      <c r="H3014" t="s">
        <v>386</v>
      </c>
      <c r="I3014" t="s">
        <v>40</v>
      </c>
      <c r="J3014" t="s">
        <v>996</v>
      </c>
      <c r="K3014" t="s">
        <v>42</v>
      </c>
      <c r="L3014" t="s">
        <v>610</v>
      </c>
      <c r="N3014" t="s">
        <v>611</v>
      </c>
      <c r="Q3014">
        <v>29532</v>
      </c>
      <c r="R3014" t="s">
        <v>119</v>
      </c>
      <c r="S3014" t="s">
        <v>13419</v>
      </c>
      <c r="T3014">
        <v>25</v>
      </c>
      <c r="U3014" s="2" t="s">
        <v>18660</v>
      </c>
      <c r="W3014" t="s">
        <v>502</v>
      </c>
      <c r="X3014">
        <v>838512</v>
      </c>
      <c r="Y3014" t="s">
        <v>18661</v>
      </c>
      <c r="Z3014" s="2" t="s">
        <v>18662</v>
      </c>
      <c r="AA3014" s="2" t="s">
        <v>18662</v>
      </c>
      <c r="AB3014" s="2" t="s">
        <v>18663</v>
      </c>
      <c r="AG3014" t="s">
        <v>18664</v>
      </c>
      <c r="AH3014" t="s">
        <v>14337</v>
      </c>
      <c r="AI3014" t="s">
        <v>18665</v>
      </c>
    </row>
    <row r="3015" spans="2:35">
      <c r="B3015" s="1">
        <v>45572</v>
      </c>
      <c r="C3015" s="1">
        <v>45565</v>
      </c>
      <c r="D3015" t="s">
        <v>9805</v>
      </c>
      <c r="E3015" t="s">
        <v>510</v>
      </c>
      <c r="F3015" t="s">
        <v>511</v>
      </c>
      <c r="G3015" t="s">
        <v>512</v>
      </c>
      <c r="H3015" t="s">
        <v>18666</v>
      </c>
      <c r="I3015" t="s">
        <v>40</v>
      </c>
      <c r="J3015" t="s">
        <v>525</v>
      </c>
      <c r="K3015" t="s">
        <v>42</v>
      </c>
      <c r="L3015" t="s">
        <v>1048</v>
      </c>
      <c r="N3015" t="s">
        <v>1049</v>
      </c>
      <c r="O3015" t="s">
        <v>18667</v>
      </c>
      <c r="Q3015">
        <v>29531</v>
      </c>
      <c r="R3015" t="s">
        <v>322</v>
      </c>
      <c r="S3015" t="s">
        <v>18668</v>
      </c>
      <c r="T3015">
        <v>20</v>
      </c>
      <c r="W3015" t="s">
        <v>1051</v>
      </c>
      <c r="X3015">
        <v>821632</v>
      </c>
      <c r="Y3015" t="s">
        <v>18669</v>
      </c>
      <c r="Z3015" t="e">
        <f ca="1">- checked BIOS</f>
        <v>#NAME?</v>
      </c>
      <c r="AA3015" t="s">
        <v>18670</v>
      </c>
      <c r="AB3015" t="e">
        <f ca="1">- Unit is _xludf.not operational
- No Hard drive DETECTED</f>
        <v>#NAME?</v>
      </c>
      <c r="AG3015" t="s">
        <v>18671</v>
      </c>
      <c r="AH3015" t="s">
        <v>18672</v>
      </c>
      <c r="AI3015" t="s">
        <v>18673</v>
      </c>
    </row>
    <row r="3016" spans="2:35" ht="360">
      <c r="B3016" s="1">
        <v>45572</v>
      </c>
      <c r="C3016" s="1">
        <v>45565</v>
      </c>
      <c r="D3016" t="s">
        <v>9805</v>
      </c>
      <c r="E3016" t="s">
        <v>510</v>
      </c>
      <c r="F3016">
        <v>1</v>
      </c>
      <c r="G3016" t="s">
        <v>512</v>
      </c>
      <c r="H3016" t="s">
        <v>61</v>
      </c>
      <c r="I3016" t="s">
        <v>40</v>
      </c>
      <c r="J3016" t="s">
        <v>109</v>
      </c>
      <c r="K3016" t="s">
        <v>42</v>
      </c>
      <c r="L3016" t="s">
        <v>1048</v>
      </c>
      <c r="N3016" t="s">
        <v>1049</v>
      </c>
      <c r="Q3016">
        <v>29530</v>
      </c>
      <c r="R3016" t="s">
        <v>322</v>
      </c>
      <c r="S3016" t="s">
        <v>9806</v>
      </c>
      <c r="T3016">
        <v>18</v>
      </c>
      <c r="U3016" s="2" t="s">
        <v>18674</v>
      </c>
      <c r="W3016" t="s">
        <v>1051</v>
      </c>
      <c r="X3016">
        <v>110016112</v>
      </c>
      <c r="Y3016" t="s">
        <v>1052</v>
      </c>
      <c r="Z3016" t="e">
        <f ca="1">- cleaned cartridge Bays, plunger Rods _xludf.and I-CORE
- adjusted _xludf.Date _xludf.and _xludf.time
- generated reports</f>
        <v>#NAME?</v>
      </c>
      <c r="AA3016" t="s">
        <v>820</v>
      </c>
      <c r="AB3016" t="s">
        <v>1428</v>
      </c>
      <c r="AG3016" t="s">
        <v>18675</v>
      </c>
      <c r="AH3016" t="s">
        <v>18676</v>
      </c>
      <c r="AI3016" t="s">
        <v>18677</v>
      </c>
    </row>
    <row r="3017" spans="2:35" ht="360">
      <c r="B3017" s="1">
        <v>45572</v>
      </c>
      <c r="C3017" s="1">
        <v>45565</v>
      </c>
      <c r="D3017" t="s">
        <v>9805</v>
      </c>
      <c r="E3017" t="s">
        <v>510</v>
      </c>
      <c r="F3017">
        <v>1</v>
      </c>
      <c r="G3017" t="s">
        <v>512</v>
      </c>
      <c r="H3017" t="s">
        <v>61</v>
      </c>
      <c r="I3017" t="s">
        <v>40</v>
      </c>
      <c r="J3017" t="s">
        <v>109</v>
      </c>
      <c r="K3017" t="s">
        <v>42</v>
      </c>
      <c r="L3017" t="s">
        <v>1048</v>
      </c>
      <c r="N3017" t="s">
        <v>1049</v>
      </c>
      <c r="Q3017">
        <v>29529</v>
      </c>
      <c r="R3017" t="s">
        <v>322</v>
      </c>
      <c r="S3017" t="s">
        <v>9806</v>
      </c>
      <c r="T3017">
        <v>18</v>
      </c>
      <c r="U3017" s="2" t="s">
        <v>18674</v>
      </c>
      <c r="W3017" t="s">
        <v>1051</v>
      </c>
      <c r="X3017">
        <v>110016112</v>
      </c>
      <c r="Y3017" t="s">
        <v>1052</v>
      </c>
      <c r="Z3017" t="e">
        <f ca="1">- cleaned cartridge Bays, plunger Rods _xludf.and I-CORE
- adjusted _xludf.Date _xludf.and _xludf.time
- generated reports</f>
        <v>#NAME?</v>
      </c>
      <c r="AA3017" t="s">
        <v>820</v>
      </c>
      <c r="AB3017" t="s">
        <v>1428</v>
      </c>
      <c r="AG3017" t="s">
        <v>18678</v>
      </c>
      <c r="AH3017" t="s">
        <v>18676</v>
      </c>
      <c r="AI3017" t="s">
        <v>18679</v>
      </c>
    </row>
    <row r="3018" spans="2:35" ht="105">
      <c r="B3018" s="1">
        <v>45569</v>
      </c>
      <c r="C3018" s="1">
        <v>45569</v>
      </c>
      <c r="D3018" t="s">
        <v>18680</v>
      </c>
      <c r="E3018" t="s">
        <v>18681</v>
      </c>
      <c r="F3018">
        <v>6</v>
      </c>
      <c r="G3018" t="s">
        <v>269</v>
      </c>
      <c r="H3018" t="s">
        <v>10969</v>
      </c>
      <c r="I3018" t="s">
        <v>40</v>
      </c>
      <c r="J3018" s="2" t="s">
        <v>62</v>
      </c>
      <c r="K3018" t="s">
        <v>42</v>
      </c>
      <c r="L3018" t="s">
        <v>1288</v>
      </c>
      <c r="N3018" t="s">
        <v>1289</v>
      </c>
      <c r="Q3018">
        <v>29528</v>
      </c>
      <c r="R3018" t="s">
        <v>119</v>
      </c>
      <c r="S3018" t="s">
        <v>13431</v>
      </c>
      <c r="T3018">
        <v>25</v>
      </c>
      <c r="U3018" s="2" t="s">
        <v>12652</v>
      </c>
      <c r="V3018" s="1">
        <v>45538</v>
      </c>
      <c r="W3018" t="s">
        <v>1292</v>
      </c>
      <c r="X3018">
        <v>838475</v>
      </c>
      <c r="Y3018" t="s">
        <v>10179</v>
      </c>
      <c r="Z3018" t="e">
        <f ca="1">-COLLECT IQR, system _xludf.Log, ARCHIVE, _xludf.and CALIBRATION Data</f>
        <v>#NAME?</v>
      </c>
      <c r="AA3018" t="e">
        <f ca="1">-PERFORM Preventive Maintenance
-PERFORM XpertCheck CALIBRATION:
module B2 _xludf.For service</f>
        <v>#NAME?</v>
      </c>
      <c r="AB3018" t="s">
        <v>1293</v>
      </c>
      <c r="AD3018" t="s">
        <v>15700</v>
      </c>
      <c r="AE3018">
        <v>11959</v>
      </c>
      <c r="AG3018" t="s">
        <v>18682</v>
      </c>
      <c r="AH3018" t="s">
        <v>18683</v>
      </c>
      <c r="AI3018" t="s">
        <v>18684</v>
      </c>
    </row>
    <row r="3019" spans="2:35" ht="105">
      <c r="B3019" s="1">
        <v>45569</v>
      </c>
      <c r="C3019" s="1">
        <v>45569</v>
      </c>
      <c r="D3019" t="s">
        <v>13660</v>
      </c>
      <c r="E3019" t="s">
        <v>18685</v>
      </c>
      <c r="F3019" t="s">
        <v>148</v>
      </c>
      <c r="G3019" t="s">
        <v>310</v>
      </c>
      <c r="H3019" t="s">
        <v>39</v>
      </c>
      <c r="I3019" t="s">
        <v>40</v>
      </c>
      <c r="J3019" t="s">
        <v>525</v>
      </c>
      <c r="K3019" t="s">
        <v>42</v>
      </c>
      <c r="L3019" t="s">
        <v>175</v>
      </c>
      <c r="N3019" t="s">
        <v>176</v>
      </c>
      <c r="Q3019">
        <v>29527</v>
      </c>
      <c r="R3019" t="s">
        <v>703</v>
      </c>
      <c r="S3019" t="s">
        <v>13661</v>
      </c>
      <c r="T3019">
        <v>25</v>
      </c>
      <c r="W3019" t="s">
        <v>84</v>
      </c>
      <c r="X3019">
        <v>840974</v>
      </c>
      <c r="Y3019" t="s">
        <v>18686</v>
      </c>
      <c r="Z3019" t="s">
        <v>18687</v>
      </c>
      <c r="AA3019" t="e">
        <f ca="1">- Reset RAM
- generated reports</f>
        <v>#NAME?</v>
      </c>
      <c r="AB3019" s="2" t="s">
        <v>18688</v>
      </c>
      <c r="AG3019" t="s">
        <v>18689</v>
      </c>
      <c r="AH3019" t="s">
        <v>13664</v>
      </c>
      <c r="AI3019" t="s">
        <v>18690</v>
      </c>
    </row>
    <row r="3020" spans="2:35" ht="409.5">
      <c r="B3020" s="1">
        <v>45569</v>
      </c>
      <c r="C3020" s="1">
        <v>45569</v>
      </c>
      <c r="D3020" t="s">
        <v>1316</v>
      </c>
      <c r="E3020" t="s">
        <v>2916</v>
      </c>
      <c r="F3020">
        <v>11</v>
      </c>
      <c r="G3020" t="s">
        <v>1205</v>
      </c>
      <c r="H3020" t="s">
        <v>1317</v>
      </c>
      <c r="I3020" t="s">
        <v>40</v>
      </c>
      <c r="J3020" s="2" t="s">
        <v>1157</v>
      </c>
      <c r="K3020" t="s">
        <v>42</v>
      </c>
      <c r="L3020" t="s">
        <v>204</v>
      </c>
      <c r="N3020" t="s">
        <v>205</v>
      </c>
      <c r="Q3020">
        <v>29526</v>
      </c>
      <c r="R3020" t="s">
        <v>119</v>
      </c>
      <c r="S3020" t="s">
        <v>1318</v>
      </c>
      <c r="T3020">
        <v>24.6</v>
      </c>
      <c r="U3020" s="2" t="s">
        <v>18691</v>
      </c>
      <c r="V3020" s="1">
        <v>45539</v>
      </c>
      <c r="W3020" t="s">
        <v>208</v>
      </c>
      <c r="X3020">
        <v>838262</v>
      </c>
      <c r="Y3020" s="2" t="s">
        <v>18692</v>
      </c>
      <c r="Z3020" s="2" t="s">
        <v>18693</v>
      </c>
      <c r="AA3020" s="2" t="s">
        <v>18694</v>
      </c>
      <c r="AB3020" t="s">
        <v>1211</v>
      </c>
      <c r="AD3020" t="s">
        <v>5365</v>
      </c>
      <c r="AE3020">
        <v>12009</v>
      </c>
      <c r="AG3020" t="s">
        <v>18695</v>
      </c>
      <c r="AH3020" t="s">
        <v>18696</v>
      </c>
      <c r="AI3020" t="s">
        <v>18697</v>
      </c>
    </row>
    <row r="3021" spans="2:35" ht="285">
      <c r="B3021" s="1">
        <v>45569</v>
      </c>
      <c r="C3021" s="1">
        <v>45569</v>
      </c>
      <c r="D3021" t="s">
        <v>1316</v>
      </c>
      <c r="E3021" t="s">
        <v>2916</v>
      </c>
      <c r="F3021">
        <v>11</v>
      </c>
      <c r="G3021" t="s">
        <v>1205</v>
      </c>
      <c r="H3021" t="s">
        <v>1317</v>
      </c>
      <c r="I3021" t="s">
        <v>40</v>
      </c>
      <c r="J3021" t="s">
        <v>109</v>
      </c>
      <c r="K3021" t="s">
        <v>42</v>
      </c>
      <c r="L3021" t="s">
        <v>204</v>
      </c>
      <c r="N3021" t="s">
        <v>205</v>
      </c>
      <c r="Q3021">
        <v>29525</v>
      </c>
      <c r="R3021" t="s">
        <v>322</v>
      </c>
      <c r="S3021" t="s">
        <v>1318</v>
      </c>
      <c r="T3021">
        <v>25.6</v>
      </c>
      <c r="U3021" s="2" t="s">
        <v>18691</v>
      </c>
      <c r="W3021" t="s">
        <v>208</v>
      </c>
      <c r="X3021">
        <v>839236</v>
      </c>
      <c r="Y3021" t="s">
        <v>1052</v>
      </c>
      <c r="Z3021" s="2" t="s">
        <v>12517</v>
      </c>
      <c r="AA3021" t="s">
        <v>2551</v>
      </c>
      <c r="AB3021" t="s">
        <v>10846</v>
      </c>
      <c r="AC3021" t="s">
        <v>18698</v>
      </c>
      <c r="AG3021" t="s">
        <v>18699</v>
      </c>
      <c r="AH3021" t="s">
        <v>18700</v>
      </c>
      <c r="AI3021" t="s">
        <v>18701</v>
      </c>
    </row>
    <row r="3022" spans="2:35" ht="285">
      <c r="B3022" s="1">
        <v>45569</v>
      </c>
      <c r="C3022" s="1">
        <v>45569</v>
      </c>
      <c r="D3022" t="s">
        <v>10457</v>
      </c>
      <c r="E3022" t="s">
        <v>6691</v>
      </c>
      <c r="F3022">
        <v>7</v>
      </c>
      <c r="G3022" t="s">
        <v>269</v>
      </c>
      <c r="H3022" t="s">
        <v>1047</v>
      </c>
      <c r="I3022" t="s">
        <v>40</v>
      </c>
      <c r="J3022" s="2" t="s">
        <v>62</v>
      </c>
      <c r="K3022" t="s">
        <v>42</v>
      </c>
      <c r="L3022" t="s">
        <v>1288</v>
      </c>
      <c r="N3022" t="s">
        <v>1289</v>
      </c>
      <c r="Q3022">
        <v>29524</v>
      </c>
      <c r="R3022" t="s">
        <v>119</v>
      </c>
      <c r="S3022" t="s">
        <v>10458</v>
      </c>
      <c r="T3022">
        <v>25</v>
      </c>
      <c r="U3022" s="2" t="s">
        <v>18702</v>
      </c>
      <c r="V3022" s="1">
        <v>45538</v>
      </c>
      <c r="W3022" t="s">
        <v>1292</v>
      </c>
      <c r="X3022">
        <v>838525</v>
      </c>
      <c r="Y3022" t="s">
        <v>10179</v>
      </c>
      <c r="Z3022" t="s">
        <v>18703</v>
      </c>
      <c r="AA3022" t="e">
        <f ca="1">-PERFORM Preventive Maintenance PROCEDURE
-PERFORM XpertCheck CALIBRATION:
module A1,A2, _xludf.and A3 - passed
                                                                                                                                                                                                                                                                module A4 - _xludf.For service</f>
        <v>#NAME?</v>
      </c>
      <c r="AB3022" t="s">
        <v>18704</v>
      </c>
      <c r="AD3022" t="s">
        <v>18705</v>
      </c>
      <c r="AE3022">
        <v>11972</v>
      </c>
      <c r="AG3022" t="s">
        <v>18706</v>
      </c>
      <c r="AH3022" t="s">
        <v>18707</v>
      </c>
      <c r="AI3022" t="s">
        <v>18708</v>
      </c>
    </row>
    <row r="3023" spans="2:35" ht="105">
      <c r="B3023" s="1">
        <v>45569</v>
      </c>
      <c r="C3023" s="1">
        <v>45569</v>
      </c>
      <c r="D3023" t="s">
        <v>16716</v>
      </c>
      <c r="E3023" t="s">
        <v>1128</v>
      </c>
      <c r="F3023">
        <v>8</v>
      </c>
      <c r="G3023" t="s">
        <v>342</v>
      </c>
      <c r="H3023" t="s">
        <v>258</v>
      </c>
      <c r="I3023" t="s">
        <v>40</v>
      </c>
      <c r="J3023" t="s">
        <v>109</v>
      </c>
      <c r="K3023" t="s">
        <v>42</v>
      </c>
      <c r="L3023" t="s">
        <v>259</v>
      </c>
      <c r="N3023" t="s">
        <v>260</v>
      </c>
      <c r="Q3023">
        <v>29523</v>
      </c>
      <c r="R3023" t="s">
        <v>119</v>
      </c>
      <c r="S3023" t="s">
        <v>7473</v>
      </c>
      <c r="T3023">
        <v>24</v>
      </c>
      <c r="U3023" s="2" t="s">
        <v>10565</v>
      </c>
      <c r="V3023" s="1">
        <v>45569</v>
      </c>
      <c r="W3023" t="s">
        <v>84</v>
      </c>
      <c r="X3023">
        <v>838421</v>
      </c>
      <c r="Y3023" t="s">
        <v>263</v>
      </c>
      <c r="Z3023" t="s">
        <v>263</v>
      </c>
      <c r="AA3023" t="e">
        <f ca="1">- performed Preventive Maintenance
- Generate IQR _xludf.and system _xludf.Log</f>
        <v>#NAME?</v>
      </c>
      <c r="AB3023" t="s">
        <v>70</v>
      </c>
      <c r="AG3023" t="s">
        <v>18709</v>
      </c>
      <c r="AH3023" t="s">
        <v>18710</v>
      </c>
      <c r="AI3023" t="s">
        <v>18711</v>
      </c>
    </row>
    <row r="3024" spans="2:35" ht="165">
      <c r="B3024" s="1">
        <v>45569</v>
      </c>
      <c r="C3024" s="1">
        <v>45568</v>
      </c>
      <c r="D3024" t="s">
        <v>18712</v>
      </c>
      <c r="E3024" t="s">
        <v>3713</v>
      </c>
      <c r="F3024" t="s">
        <v>148</v>
      </c>
      <c r="G3024" t="s">
        <v>310</v>
      </c>
      <c r="H3024" t="s">
        <v>386</v>
      </c>
      <c r="I3024" t="s">
        <v>40</v>
      </c>
      <c r="J3024" t="s">
        <v>525</v>
      </c>
      <c r="K3024" t="s">
        <v>387</v>
      </c>
      <c r="L3024" t="s">
        <v>448</v>
      </c>
      <c r="N3024" t="s">
        <v>450</v>
      </c>
      <c r="Q3024">
        <v>29522</v>
      </c>
      <c r="R3024" t="s">
        <v>322</v>
      </c>
      <c r="S3024" t="s">
        <v>3824</v>
      </c>
      <c r="T3024">
        <v>27</v>
      </c>
      <c r="W3024" t="s">
        <v>476</v>
      </c>
      <c r="X3024" t="s">
        <v>16210</v>
      </c>
      <c r="Y3024" t="s">
        <v>18713</v>
      </c>
      <c r="Z3024" s="2" t="s">
        <v>18714</v>
      </c>
      <c r="AA3024" t="s">
        <v>768</v>
      </c>
      <c r="AB3024" t="s">
        <v>486</v>
      </c>
      <c r="AG3024" t="s">
        <v>18715</v>
      </c>
      <c r="AH3024" t="s">
        <v>6118</v>
      </c>
      <c r="AI3024" t="s">
        <v>18716</v>
      </c>
    </row>
    <row r="3025" spans="2:35" ht="375">
      <c r="B3025" s="1">
        <v>45569</v>
      </c>
      <c r="C3025" s="1">
        <v>45567</v>
      </c>
      <c r="D3025" t="s">
        <v>660</v>
      </c>
      <c r="E3025" t="s">
        <v>2569</v>
      </c>
      <c r="F3025" t="s">
        <v>148</v>
      </c>
      <c r="G3025" t="s">
        <v>447</v>
      </c>
      <c r="H3025" t="s">
        <v>662</v>
      </c>
      <c r="I3025" t="s">
        <v>40</v>
      </c>
      <c r="J3025" t="s">
        <v>525</v>
      </c>
      <c r="K3025" t="s">
        <v>42</v>
      </c>
      <c r="L3025" t="s">
        <v>448</v>
      </c>
      <c r="N3025" t="s">
        <v>450</v>
      </c>
      <c r="O3025" t="s">
        <v>663</v>
      </c>
      <c r="Q3025">
        <v>29521</v>
      </c>
      <c r="R3025" t="s">
        <v>322</v>
      </c>
      <c r="S3025" t="s">
        <v>3987</v>
      </c>
      <c r="T3025">
        <v>28</v>
      </c>
      <c r="U3025" s="2" t="s">
        <v>18717</v>
      </c>
      <c r="W3025" t="s">
        <v>6785</v>
      </c>
      <c r="X3025">
        <v>110014171</v>
      </c>
      <c r="Y3025" t="s">
        <v>18718</v>
      </c>
      <c r="Z3025" s="2" t="s">
        <v>2575</v>
      </c>
      <c r="AA3025" t="s">
        <v>768</v>
      </c>
      <c r="AB3025" t="s">
        <v>656</v>
      </c>
      <c r="AG3025" t="s">
        <v>18719</v>
      </c>
      <c r="AH3025" t="s">
        <v>12852</v>
      </c>
      <c r="AI3025" t="s">
        <v>18720</v>
      </c>
    </row>
    <row r="3026" spans="2:35" ht="225">
      <c r="B3026" s="1">
        <v>45569</v>
      </c>
      <c r="C3026" s="1">
        <v>45568</v>
      </c>
      <c r="D3026" t="s">
        <v>6595</v>
      </c>
      <c r="E3026" t="s">
        <v>18721</v>
      </c>
      <c r="F3026" t="s">
        <v>148</v>
      </c>
      <c r="G3026" t="s">
        <v>785</v>
      </c>
      <c r="H3026" t="s">
        <v>39</v>
      </c>
      <c r="I3026" t="s">
        <v>40</v>
      </c>
      <c r="J3026" t="s">
        <v>109</v>
      </c>
      <c r="K3026" t="s">
        <v>42</v>
      </c>
      <c r="L3026" t="s">
        <v>43</v>
      </c>
      <c r="N3026" t="s">
        <v>44</v>
      </c>
      <c r="O3026" t="s">
        <v>787</v>
      </c>
      <c r="Q3026">
        <v>29520</v>
      </c>
      <c r="R3026" t="s">
        <v>322</v>
      </c>
      <c r="S3026" t="s">
        <v>786</v>
      </c>
      <c r="T3026">
        <v>22</v>
      </c>
      <c r="U3026" s="2" t="s">
        <v>18722</v>
      </c>
      <c r="W3026" t="s">
        <v>11663</v>
      </c>
      <c r="X3026">
        <v>821648</v>
      </c>
      <c r="Y3026" t="s">
        <v>121</v>
      </c>
      <c r="Z3026" t="s">
        <v>5995</v>
      </c>
      <c r="AA3026" s="2" t="s">
        <v>123</v>
      </c>
      <c r="AB3026" t="s">
        <v>18723</v>
      </c>
      <c r="AG3026" t="s">
        <v>18724</v>
      </c>
      <c r="AH3026" t="s">
        <v>793</v>
      </c>
      <c r="AI3026" t="s">
        <v>18725</v>
      </c>
    </row>
    <row r="3027" spans="2:35" ht="409.5">
      <c r="B3027" s="1">
        <v>45569</v>
      </c>
      <c r="C3027" s="1">
        <v>45566</v>
      </c>
      <c r="D3027" t="s">
        <v>3119</v>
      </c>
      <c r="E3027" t="s">
        <v>17268</v>
      </c>
      <c r="F3027" t="s">
        <v>148</v>
      </c>
      <c r="G3027" t="s">
        <v>310</v>
      </c>
      <c r="H3027" t="s">
        <v>61</v>
      </c>
      <c r="I3027" t="s">
        <v>40</v>
      </c>
      <c r="J3027" s="2" t="s">
        <v>609</v>
      </c>
      <c r="K3027" t="s">
        <v>42</v>
      </c>
      <c r="L3027" t="s">
        <v>15532</v>
      </c>
      <c r="N3027" t="s">
        <v>15533</v>
      </c>
      <c r="Q3027">
        <v>29519</v>
      </c>
      <c r="R3027" t="s">
        <v>95</v>
      </c>
      <c r="S3027" t="s">
        <v>3124</v>
      </c>
      <c r="T3027">
        <v>25</v>
      </c>
      <c r="U3027" s="2" t="s">
        <v>18726</v>
      </c>
      <c r="W3027" t="s">
        <v>15620</v>
      </c>
      <c r="X3027">
        <v>110001648</v>
      </c>
      <c r="Y3027" t="s">
        <v>18727</v>
      </c>
      <c r="Z3027" s="2" t="s">
        <v>18728</v>
      </c>
      <c r="AA3027" s="2" t="s">
        <v>18729</v>
      </c>
      <c r="AB3027" s="2" t="s">
        <v>17371</v>
      </c>
      <c r="AG3027" t="s">
        <v>18730</v>
      </c>
      <c r="AH3027" t="s">
        <v>18731</v>
      </c>
      <c r="AI3027" t="s">
        <v>18732</v>
      </c>
    </row>
    <row r="3028" spans="2:35" ht="225">
      <c r="B3028" s="1">
        <v>45569</v>
      </c>
      <c r="C3028" s="1">
        <v>45568</v>
      </c>
      <c r="D3028" t="s">
        <v>6595</v>
      </c>
      <c r="E3028" t="s">
        <v>18721</v>
      </c>
      <c r="F3028" t="s">
        <v>148</v>
      </c>
      <c r="G3028" t="s">
        <v>785</v>
      </c>
      <c r="H3028" t="s">
        <v>39</v>
      </c>
      <c r="I3028" t="s">
        <v>40</v>
      </c>
      <c r="J3028" t="s">
        <v>109</v>
      </c>
      <c r="K3028" t="s">
        <v>42</v>
      </c>
      <c r="L3028" t="s">
        <v>43</v>
      </c>
      <c r="N3028" t="s">
        <v>44</v>
      </c>
      <c r="O3028" t="s">
        <v>787</v>
      </c>
      <c r="Q3028">
        <v>29518</v>
      </c>
      <c r="R3028" t="s">
        <v>322</v>
      </c>
      <c r="S3028" t="s">
        <v>786</v>
      </c>
      <c r="T3028">
        <v>22</v>
      </c>
      <c r="U3028" s="2" t="s">
        <v>18722</v>
      </c>
      <c r="W3028" t="s">
        <v>11663</v>
      </c>
      <c r="X3028">
        <v>821648</v>
      </c>
      <c r="Y3028" t="s">
        <v>121</v>
      </c>
      <c r="Z3028" t="s">
        <v>5995</v>
      </c>
      <c r="AA3028" s="2" t="s">
        <v>123</v>
      </c>
      <c r="AB3028" t="s">
        <v>18723</v>
      </c>
      <c r="AG3028" t="s">
        <v>18733</v>
      </c>
      <c r="AH3028" t="s">
        <v>793</v>
      </c>
      <c r="AI3028" t="s">
        <v>18734</v>
      </c>
    </row>
    <row r="3029" spans="2:35" ht="409.5">
      <c r="B3029" s="1">
        <v>45568</v>
      </c>
      <c r="C3029" s="1">
        <v>45568</v>
      </c>
      <c r="D3029" t="s">
        <v>6113</v>
      </c>
      <c r="E3029" t="s">
        <v>3713</v>
      </c>
      <c r="F3029" t="s">
        <v>148</v>
      </c>
      <c r="G3029" t="s">
        <v>310</v>
      </c>
      <c r="H3029" t="s">
        <v>5486</v>
      </c>
      <c r="I3029" t="s">
        <v>40</v>
      </c>
      <c r="J3029" t="s">
        <v>525</v>
      </c>
      <c r="K3029" t="s">
        <v>387</v>
      </c>
      <c r="L3029" t="s">
        <v>448</v>
      </c>
      <c r="N3029" t="s">
        <v>450</v>
      </c>
      <c r="Q3029">
        <v>29517</v>
      </c>
      <c r="R3029" t="s">
        <v>322</v>
      </c>
      <c r="S3029" t="s">
        <v>3824</v>
      </c>
      <c r="T3029">
        <v>26</v>
      </c>
      <c r="W3029" t="s">
        <v>476</v>
      </c>
      <c r="X3029" t="s">
        <v>4180</v>
      </c>
      <c r="Y3029" s="2" t="s">
        <v>18735</v>
      </c>
      <c r="Z3029" s="2" t="s">
        <v>18736</v>
      </c>
      <c r="AA3029" t="s">
        <v>768</v>
      </c>
      <c r="AB3029" t="s">
        <v>4087</v>
      </c>
      <c r="AC3029" t="s">
        <v>18737</v>
      </c>
      <c r="AG3029" t="s">
        <v>18738</v>
      </c>
      <c r="AH3029" t="s">
        <v>6118</v>
      </c>
      <c r="AI3029" t="s">
        <v>18739</v>
      </c>
    </row>
    <row r="3030" spans="2:35" ht="409.5">
      <c r="B3030" s="1">
        <v>45568</v>
      </c>
      <c r="C3030" s="1">
        <v>45568</v>
      </c>
      <c r="D3030" t="s">
        <v>1203</v>
      </c>
      <c r="E3030" t="s">
        <v>12890</v>
      </c>
      <c r="F3030">
        <v>11</v>
      </c>
      <c r="G3030" t="s">
        <v>1205</v>
      </c>
      <c r="H3030" t="s">
        <v>202</v>
      </c>
      <c r="I3030" t="s">
        <v>40</v>
      </c>
      <c r="J3030" t="s">
        <v>109</v>
      </c>
      <c r="K3030" t="s">
        <v>42</v>
      </c>
      <c r="L3030" t="s">
        <v>204</v>
      </c>
      <c r="N3030" t="s">
        <v>205</v>
      </c>
      <c r="Q3030">
        <v>29516</v>
      </c>
      <c r="R3030" t="s">
        <v>967</v>
      </c>
      <c r="S3030" t="s">
        <v>1206</v>
      </c>
      <c r="T3030">
        <v>27.6</v>
      </c>
      <c r="U3030" s="2" t="s">
        <v>18740</v>
      </c>
      <c r="W3030" t="s">
        <v>2550</v>
      </c>
      <c r="X3030">
        <v>110023505</v>
      </c>
      <c r="Y3030" t="s">
        <v>1052</v>
      </c>
      <c r="Z3030" s="2" t="s">
        <v>1892</v>
      </c>
      <c r="AA3030" t="s">
        <v>2551</v>
      </c>
      <c r="AB3030" t="s">
        <v>1211</v>
      </c>
      <c r="AG3030" t="s">
        <v>18741</v>
      </c>
      <c r="AH3030" t="s">
        <v>10698</v>
      </c>
      <c r="AI3030" t="s">
        <v>18742</v>
      </c>
    </row>
    <row r="3031" spans="2:35" ht="255">
      <c r="B3031" s="1">
        <v>45568</v>
      </c>
      <c r="C3031" s="1">
        <v>45568</v>
      </c>
      <c r="D3031" t="s">
        <v>1203</v>
      </c>
      <c r="E3031" t="s">
        <v>13962</v>
      </c>
      <c r="F3031">
        <v>11</v>
      </c>
      <c r="G3031" t="s">
        <v>1205</v>
      </c>
      <c r="H3031" t="s">
        <v>202</v>
      </c>
      <c r="I3031" t="s">
        <v>40</v>
      </c>
      <c r="J3031" t="s">
        <v>109</v>
      </c>
      <c r="K3031" t="s">
        <v>42</v>
      </c>
      <c r="L3031" t="s">
        <v>204</v>
      </c>
      <c r="N3031" t="s">
        <v>205</v>
      </c>
      <c r="Q3031">
        <v>29515</v>
      </c>
      <c r="R3031" t="s">
        <v>967</v>
      </c>
      <c r="S3031" t="s">
        <v>1206</v>
      </c>
      <c r="T3031">
        <v>25.6</v>
      </c>
      <c r="W3031" t="s">
        <v>2550</v>
      </c>
      <c r="X3031">
        <v>110023506</v>
      </c>
      <c r="Y3031" t="s">
        <v>1052</v>
      </c>
      <c r="Z3031" s="2" t="s">
        <v>1892</v>
      </c>
      <c r="AA3031" t="s">
        <v>2551</v>
      </c>
      <c r="AB3031" t="s">
        <v>1211</v>
      </c>
      <c r="AG3031" t="s">
        <v>18743</v>
      </c>
      <c r="AH3031" t="s">
        <v>13968</v>
      </c>
      <c r="AI3031" t="s">
        <v>18744</v>
      </c>
    </row>
    <row r="3032" spans="2:35" ht="105">
      <c r="B3032" s="1">
        <v>45568</v>
      </c>
      <c r="C3032" s="1">
        <v>45568</v>
      </c>
      <c r="D3032" t="s">
        <v>1496</v>
      </c>
      <c r="E3032" t="s">
        <v>1497</v>
      </c>
      <c r="F3032">
        <v>8</v>
      </c>
      <c r="G3032" t="s">
        <v>342</v>
      </c>
      <c r="H3032" t="s">
        <v>1498</v>
      </c>
      <c r="I3032" t="s">
        <v>40</v>
      </c>
      <c r="J3032" s="2" t="s">
        <v>41</v>
      </c>
      <c r="K3032" t="s">
        <v>42</v>
      </c>
      <c r="L3032" t="s">
        <v>343</v>
      </c>
      <c r="N3032" t="s">
        <v>344</v>
      </c>
      <c r="Q3032">
        <v>29514</v>
      </c>
      <c r="R3032" t="s">
        <v>119</v>
      </c>
      <c r="S3032" t="s">
        <v>7820</v>
      </c>
      <c r="T3032">
        <v>29</v>
      </c>
      <c r="U3032" s="2" t="s">
        <v>18745</v>
      </c>
      <c r="V3032" s="1">
        <v>45545</v>
      </c>
      <c r="W3032" t="s">
        <v>1501</v>
      </c>
      <c r="X3032">
        <v>838297</v>
      </c>
      <c r="Y3032" t="s">
        <v>18746</v>
      </c>
      <c r="Z3032" t="s">
        <v>18747</v>
      </c>
      <c r="AA3032" t="e">
        <f ca="1">-module Replacement
-Preventive Maintenance</f>
        <v>#NAME?</v>
      </c>
      <c r="AB3032" t="s">
        <v>9638</v>
      </c>
      <c r="AD3032" t="s">
        <v>18748</v>
      </c>
      <c r="AE3032" t="s">
        <v>18749</v>
      </c>
      <c r="AG3032" t="s">
        <v>18750</v>
      </c>
      <c r="AH3032" t="s">
        <v>7824</v>
      </c>
      <c r="AI3032" t="s">
        <v>18751</v>
      </c>
    </row>
    <row r="3033" spans="2:35" ht="105">
      <c r="B3033" s="1">
        <v>45568</v>
      </c>
      <c r="C3033" s="1">
        <v>45568</v>
      </c>
      <c r="D3033" t="s">
        <v>18752</v>
      </c>
      <c r="E3033" t="s">
        <v>11333</v>
      </c>
      <c r="F3033" t="s">
        <v>1255</v>
      </c>
      <c r="G3033" t="s">
        <v>3346</v>
      </c>
      <c r="H3033" t="s">
        <v>39</v>
      </c>
      <c r="I3033" t="s">
        <v>94</v>
      </c>
      <c r="J3033" t="s">
        <v>996</v>
      </c>
      <c r="K3033" t="s">
        <v>42</v>
      </c>
      <c r="L3033" t="s">
        <v>1257</v>
      </c>
      <c r="N3033" t="s">
        <v>1258</v>
      </c>
      <c r="O3033" t="s">
        <v>1258</v>
      </c>
      <c r="Q3033">
        <v>29513</v>
      </c>
      <c r="R3033" t="s">
        <v>119</v>
      </c>
      <c r="S3033" t="s">
        <v>11609</v>
      </c>
      <c r="T3033">
        <v>29</v>
      </c>
      <c r="U3033" s="2" t="s">
        <v>8432</v>
      </c>
      <c r="V3033" s="1">
        <v>45540</v>
      </c>
      <c r="W3033" t="s">
        <v>17323</v>
      </c>
      <c r="X3033">
        <v>838832</v>
      </c>
      <c r="Y3033" t="s">
        <v>301</v>
      </c>
      <c r="Z3033" t="s">
        <v>18753</v>
      </c>
      <c r="AA3033" t="s">
        <v>18753</v>
      </c>
      <c r="AB3033" t="s">
        <v>3161</v>
      </c>
      <c r="AC3033" t="s">
        <v>301</v>
      </c>
      <c r="AD3033" t="s">
        <v>5255</v>
      </c>
      <c r="AE3033">
        <v>12045</v>
      </c>
      <c r="AG3033" t="s">
        <v>18754</v>
      </c>
      <c r="AH3033" t="s">
        <v>18755</v>
      </c>
      <c r="AI3033" t="s">
        <v>18756</v>
      </c>
    </row>
    <row r="3034" spans="2:35" ht="255">
      <c r="B3034" s="1">
        <v>45568</v>
      </c>
      <c r="C3034" s="1">
        <v>45568</v>
      </c>
      <c r="D3034" t="s">
        <v>18006</v>
      </c>
      <c r="E3034" t="s">
        <v>14910</v>
      </c>
      <c r="F3034">
        <v>11</v>
      </c>
      <c r="G3034" t="s">
        <v>1205</v>
      </c>
      <c r="H3034" t="s">
        <v>513</v>
      </c>
      <c r="I3034" t="s">
        <v>40</v>
      </c>
      <c r="J3034" s="2" t="s">
        <v>190</v>
      </c>
      <c r="K3034" t="s">
        <v>387</v>
      </c>
      <c r="L3034" t="s">
        <v>204</v>
      </c>
      <c r="N3034" t="s">
        <v>205</v>
      </c>
      <c r="O3034" t="s">
        <v>2867</v>
      </c>
      <c r="Q3034">
        <v>29512</v>
      </c>
      <c r="R3034" t="s">
        <v>95</v>
      </c>
      <c r="S3034" t="s">
        <v>4675</v>
      </c>
      <c r="T3034">
        <v>25.8</v>
      </c>
      <c r="W3034" t="s">
        <v>14911</v>
      </c>
      <c r="X3034" t="s">
        <v>4676</v>
      </c>
      <c r="Y3034" t="s">
        <v>18757</v>
      </c>
      <c r="Z3034" s="2" t="s">
        <v>18758</v>
      </c>
      <c r="AA3034" t="s">
        <v>18759</v>
      </c>
      <c r="AB3034" t="s">
        <v>13782</v>
      </c>
      <c r="AG3034" t="s">
        <v>18760</v>
      </c>
      <c r="AH3034" t="s">
        <v>5080</v>
      </c>
      <c r="AI3034" t="s">
        <v>18761</v>
      </c>
    </row>
    <row r="3035" spans="2:35">
      <c r="B3035" s="1">
        <v>45568</v>
      </c>
      <c r="C3035" s="1">
        <v>45567</v>
      </c>
      <c r="D3035" t="s">
        <v>10122</v>
      </c>
      <c r="E3035" t="s">
        <v>10123</v>
      </c>
      <c r="F3035">
        <v>13</v>
      </c>
      <c r="G3035" t="s">
        <v>931</v>
      </c>
      <c r="H3035" t="s">
        <v>2125</v>
      </c>
      <c r="I3035" t="s">
        <v>40</v>
      </c>
      <c r="J3035" t="s">
        <v>996</v>
      </c>
      <c r="K3035" t="s">
        <v>42</v>
      </c>
      <c r="L3035" t="s">
        <v>933</v>
      </c>
      <c r="N3035" t="s">
        <v>934</v>
      </c>
      <c r="Q3035">
        <v>29511</v>
      </c>
      <c r="R3035" t="s">
        <v>119</v>
      </c>
      <c r="S3035" t="s">
        <v>18762</v>
      </c>
      <c r="T3035">
        <v>30</v>
      </c>
      <c r="W3035" t="s">
        <v>3662</v>
      </c>
      <c r="X3035">
        <v>838514</v>
      </c>
      <c r="Y3035" t="s">
        <v>18763</v>
      </c>
      <c r="Z3035" t="s">
        <v>18764</v>
      </c>
      <c r="AA3035" t="s">
        <v>18765</v>
      </c>
      <c r="AB3035" t="s">
        <v>18766</v>
      </c>
      <c r="AG3035" t="s">
        <v>18767</v>
      </c>
      <c r="AH3035" t="s">
        <v>18768</v>
      </c>
      <c r="AI3035" t="s">
        <v>18769</v>
      </c>
    </row>
    <row r="3036" spans="2:35">
      <c r="B3036" s="1">
        <v>45568</v>
      </c>
      <c r="C3036" s="1">
        <v>45568</v>
      </c>
      <c r="D3036" t="s">
        <v>18094</v>
      </c>
      <c r="E3036" t="s">
        <v>18095</v>
      </c>
      <c r="F3036">
        <v>7</v>
      </c>
      <c r="G3036" t="s">
        <v>432</v>
      </c>
      <c r="H3036" t="s">
        <v>386</v>
      </c>
      <c r="I3036" t="s">
        <v>40</v>
      </c>
      <c r="J3036" t="s">
        <v>79</v>
      </c>
      <c r="K3036" t="s">
        <v>387</v>
      </c>
      <c r="L3036" t="s">
        <v>610</v>
      </c>
      <c r="N3036" t="s">
        <v>611</v>
      </c>
      <c r="Q3036">
        <v>29510</v>
      </c>
      <c r="R3036" t="s">
        <v>95</v>
      </c>
      <c r="S3036" t="s">
        <v>435</v>
      </c>
      <c r="T3036">
        <v>24</v>
      </c>
      <c r="W3036" t="s">
        <v>390</v>
      </c>
      <c r="X3036" t="s">
        <v>437</v>
      </c>
      <c r="Y3036" t="s">
        <v>18770</v>
      </c>
      <c r="Z3036" t="s">
        <v>18771</v>
      </c>
      <c r="AA3036" t="s">
        <v>18771</v>
      </c>
      <c r="AB3036" t="s">
        <v>18099</v>
      </c>
      <c r="AG3036" t="s">
        <v>18772</v>
      </c>
      <c r="AH3036" t="s">
        <v>18101</v>
      </c>
      <c r="AI3036" t="s">
        <v>18773</v>
      </c>
    </row>
    <row r="3037" spans="2:35" ht="409.5">
      <c r="B3037" s="1">
        <v>45568</v>
      </c>
      <c r="C3037" s="1">
        <v>45568</v>
      </c>
      <c r="D3037" t="s">
        <v>2272</v>
      </c>
      <c r="E3037" t="s">
        <v>8404</v>
      </c>
      <c r="F3037" t="s">
        <v>148</v>
      </c>
      <c r="G3037" t="s">
        <v>310</v>
      </c>
      <c r="H3037" t="s">
        <v>2274</v>
      </c>
      <c r="I3037" t="s">
        <v>40</v>
      </c>
      <c r="J3037" s="2" t="s">
        <v>1309</v>
      </c>
      <c r="K3037" t="s">
        <v>387</v>
      </c>
      <c r="L3037" t="s">
        <v>1943</v>
      </c>
      <c r="N3037" t="s">
        <v>1944</v>
      </c>
      <c r="Q3037">
        <v>29509</v>
      </c>
      <c r="R3037" t="s">
        <v>95</v>
      </c>
      <c r="S3037" t="s">
        <v>18774</v>
      </c>
      <c r="T3037">
        <v>25</v>
      </c>
      <c r="W3037" t="s">
        <v>390</v>
      </c>
      <c r="X3037" t="s">
        <v>2277</v>
      </c>
      <c r="Y3037" s="2" t="s">
        <v>18775</v>
      </c>
      <c r="Z3037" t="s">
        <v>18776</v>
      </c>
      <c r="AA3037" s="2" t="s">
        <v>18777</v>
      </c>
      <c r="AB3037" t="s">
        <v>18778</v>
      </c>
      <c r="AG3037" t="s">
        <v>18779</v>
      </c>
      <c r="AH3037" t="s">
        <v>18780</v>
      </c>
      <c r="AI3037" t="s">
        <v>18781</v>
      </c>
    </row>
    <row r="3038" spans="2:35" ht="360">
      <c r="B3038" s="1">
        <v>45568</v>
      </c>
      <c r="C3038" s="1">
        <v>45568</v>
      </c>
      <c r="D3038" t="s">
        <v>4118</v>
      </c>
      <c r="E3038" t="s">
        <v>7946</v>
      </c>
      <c r="F3038">
        <v>5</v>
      </c>
      <c r="G3038" t="s">
        <v>759</v>
      </c>
      <c r="H3038" t="s">
        <v>39</v>
      </c>
      <c r="I3038" t="s">
        <v>94</v>
      </c>
      <c r="J3038" t="s">
        <v>525</v>
      </c>
      <c r="K3038" t="s">
        <v>42</v>
      </c>
      <c r="L3038" t="s">
        <v>761</v>
      </c>
      <c r="N3038" t="s">
        <v>762</v>
      </c>
      <c r="Q3038">
        <v>29508</v>
      </c>
      <c r="R3038" t="s">
        <v>95</v>
      </c>
      <c r="S3038" t="s">
        <v>6291</v>
      </c>
      <c r="T3038">
        <v>29</v>
      </c>
      <c r="U3038" s="2" t="s">
        <v>18782</v>
      </c>
      <c r="W3038" t="s">
        <v>817</v>
      </c>
      <c r="X3038">
        <v>110017942</v>
      </c>
      <c r="Y3038" t="s">
        <v>18783</v>
      </c>
      <c r="Z3038" s="2" t="s">
        <v>18784</v>
      </c>
      <c r="AA3038" s="2" t="s">
        <v>18785</v>
      </c>
      <c r="AB3038" t="s">
        <v>70</v>
      </c>
      <c r="AG3038" t="s">
        <v>18786</v>
      </c>
      <c r="AH3038" t="s">
        <v>17536</v>
      </c>
      <c r="AI3038" t="s">
        <v>18787</v>
      </c>
    </row>
    <row r="3039" spans="2:35" ht="405">
      <c r="B3039" s="1">
        <v>45568</v>
      </c>
      <c r="C3039" s="1">
        <v>45568</v>
      </c>
      <c r="D3039" t="s">
        <v>18788</v>
      </c>
      <c r="E3039" t="s">
        <v>18789</v>
      </c>
      <c r="F3039">
        <v>7</v>
      </c>
      <c r="G3039" t="s">
        <v>269</v>
      </c>
      <c r="H3039" t="s">
        <v>1047</v>
      </c>
      <c r="I3039" t="s">
        <v>40</v>
      </c>
      <c r="J3039" s="2" t="s">
        <v>41</v>
      </c>
      <c r="K3039" t="s">
        <v>42</v>
      </c>
      <c r="L3039" t="s">
        <v>1288</v>
      </c>
      <c r="N3039" t="s">
        <v>1289</v>
      </c>
      <c r="Q3039">
        <v>29507</v>
      </c>
      <c r="R3039" t="s">
        <v>119</v>
      </c>
      <c r="S3039" t="s">
        <v>18790</v>
      </c>
      <c r="T3039">
        <v>26</v>
      </c>
      <c r="U3039" s="2" t="s">
        <v>16941</v>
      </c>
      <c r="V3039" s="1">
        <v>45545</v>
      </c>
      <c r="W3039" t="s">
        <v>1292</v>
      </c>
      <c r="X3039">
        <v>838482</v>
      </c>
      <c r="Y3039" t="e">
        <f ca="1">-_xludf.For module B1 &amp; module B3 Replacement</f>
        <v>#NAME?</v>
      </c>
      <c r="Z3039" t="e">
        <f ca="1">-COLLECT IQR , system _xludf.Log, _xludf.and ARCHIVE</f>
        <v>#NAME?</v>
      </c>
      <c r="AA3039" s="2" t="s">
        <v>18791</v>
      </c>
      <c r="AB3039" t="s">
        <v>1293</v>
      </c>
      <c r="AD3039" t="s">
        <v>18792</v>
      </c>
      <c r="AE3039" s="3">
        <v>1206112062</v>
      </c>
      <c r="AG3039" t="s">
        <v>18793</v>
      </c>
      <c r="AH3039" t="s">
        <v>18794</v>
      </c>
      <c r="AI3039" t="s">
        <v>18795</v>
      </c>
    </row>
    <row r="3040" spans="2:35" ht="345">
      <c r="B3040" s="1">
        <v>45568</v>
      </c>
      <c r="C3040" s="1">
        <v>45567</v>
      </c>
      <c r="D3040" t="s">
        <v>8188</v>
      </c>
      <c r="E3040" t="s">
        <v>18796</v>
      </c>
      <c r="F3040">
        <v>12</v>
      </c>
      <c r="G3040" t="s">
        <v>1887</v>
      </c>
      <c r="H3040" t="s">
        <v>1473</v>
      </c>
      <c r="I3040" t="s">
        <v>40</v>
      </c>
      <c r="J3040" s="2" t="s">
        <v>62</v>
      </c>
      <c r="K3040" t="s">
        <v>42</v>
      </c>
      <c r="L3040" t="s">
        <v>296</v>
      </c>
      <c r="N3040" t="s">
        <v>297</v>
      </c>
      <c r="Q3040">
        <v>29506</v>
      </c>
      <c r="R3040" t="s">
        <v>119</v>
      </c>
      <c r="S3040" t="s">
        <v>8190</v>
      </c>
      <c r="T3040">
        <v>26.1</v>
      </c>
      <c r="U3040" s="2" t="s">
        <v>18797</v>
      </c>
      <c r="V3040" s="1">
        <v>45567</v>
      </c>
      <c r="W3040" t="s">
        <v>981</v>
      </c>
      <c r="X3040">
        <v>837613</v>
      </c>
      <c r="Y3040" t="s">
        <v>18798</v>
      </c>
      <c r="Z3040" s="2" t="s">
        <v>17761</v>
      </c>
      <c r="AA3040" s="2" t="s">
        <v>18799</v>
      </c>
      <c r="AB3040" s="2" t="s">
        <v>18800</v>
      </c>
      <c r="AD3040" s="2" t="s">
        <v>17764</v>
      </c>
      <c r="AE3040" t="s">
        <v>18801</v>
      </c>
      <c r="AG3040" t="s">
        <v>18802</v>
      </c>
      <c r="AH3040" t="s">
        <v>8194</v>
      </c>
      <c r="AI3040" t="s">
        <v>18803</v>
      </c>
    </row>
    <row r="3041" spans="2:35" ht="409.5">
      <c r="B3041" s="1">
        <v>45568</v>
      </c>
      <c r="C3041" s="1">
        <v>45567</v>
      </c>
      <c r="D3041" t="s">
        <v>5645</v>
      </c>
      <c r="E3041" t="s">
        <v>2136</v>
      </c>
      <c r="F3041" t="s">
        <v>1255</v>
      </c>
      <c r="G3041" t="s">
        <v>1887</v>
      </c>
      <c r="H3041" t="s">
        <v>1473</v>
      </c>
      <c r="I3041" t="s">
        <v>40</v>
      </c>
      <c r="J3041" s="2" t="s">
        <v>1309</v>
      </c>
      <c r="K3041" t="s">
        <v>42</v>
      </c>
      <c r="L3041" t="s">
        <v>296</v>
      </c>
      <c r="N3041" t="s">
        <v>297</v>
      </c>
      <c r="Q3041">
        <v>29505</v>
      </c>
      <c r="R3041" t="s">
        <v>119</v>
      </c>
      <c r="S3041" t="s">
        <v>5646</v>
      </c>
      <c r="T3041">
        <v>26.4</v>
      </c>
      <c r="U3041" s="2" t="s">
        <v>18804</v>
      </c>
      <c r="V3041" s="1">
        <v>45567</v>
      </c>
      <c r="W3041" t="s">
        <v>981</v>
      </c>
      <c r="X3041">
        <v>838528</v>
      </c>
      <c r="Y3041" t="s">
        <v>11013</v>
      </c>
      <c r="Z3041" s="2" t="s">
        <v>18805</v>
      </c>
      <c r="AA3041" s="2" t="s">
        <v>18806</v>
      </c>
      <c r="AB3041" s="2" t="s">
        <v>18807</v>
      </c>
      <c r="AD3041" s="2" t="s">
        <v>18808</v>
      </c>
      <c r="AE3041" t="s">
        <v>18809</v>
      </c>
      <c r="AG3041" t="s">
        <v>18810</v>
      </c>
      <c r="AH3041" t="s">
        <v>5650</v>
      </c>
      <c r="AI3041" t="s">
        <v>18811</v>
      </c>
    </row>
    <row r="3042" spans="2:35" ht="270">
      <c r="B3042" s="1">
        <v>45567</v>
      </c>
      <c r="C3042" s="1">
        <v>45562</v>
      </c>
      <c r="D3042" t="s">
        <v>13380</v>
      </c>
      <c r="E3042" t="s">
        <v>13381</v>
      </c>
      <c r="F3042" t="s">
        <v>148</v>
      </c>
      <c r="G3042" t="s">
        <v>544</v>
      </c>
      <c r="H3042" t="s">
        <v>39</v>
      </c>
      <c r="I3042" t="s">
        <v>40</v>
      </c>
      <c r="J3042" s="2" t="s">
        <v>190</v>
      </c>
      <c r="K3042" t="s">
        <v>42</v>
      </c>
      <c r="L3042" t="s">
        <v>43</v>
      </c>
      <c r="N3042" t="s">
        <v>44</v>
      </c>
      <c r="Q3042">
        <v>29502</v>
      </c>
      <c r="R3042" t="s">
        <v>703</v>
      </c>
      <c r="S3042" t="s">
        <v>13382</v>
      </c>
      <c r="T3042">
        <v>22</v>
      </c>
      <c r="U3042" s="2" t="s">
        <v>18812</v>
      </c>
      <c r="W3042" t="s">
        <v>48</v>
      </c>
      <c r="X3042">
        <v>110008418</v>
      </c>
      <c r="Y3042" t="s">
        <v>18813</v>
      </c>
      <c r="Z3042" t="s">
        <v>122</v>
      </c>
      <c r="AA3042" s="2" t="s">
        <v>18814</v>
      </c>
      <c r="AB3042" t="s">
        <v>18815</v>
      </c>
      <c r="AG3042" t="s">
        <v>18816</v>
      </c>
      <c r="AH3042" t="s">
        <v>13386</v>
      </c>
      <c r="AI3042" t="s">
        <v>18817</v>
      </c>
    </row>
    <row r="3043" spans="2:35" ht="255">
      <c r="B3043" s="1">
        <v>45567</v>
      </c>
      <c r="C3043" s="1">
        <v>45566</v>
      </c>
      <c r="D3043" t="s">
        <v>1081</v>
      </c>
      <c r="E3043" t="s">
        <v>18818</v>
      </c>
      <c r="F3043" t="s">
        <v>148</v>
      </c>
      <c r="G3043" t="s">
        <v>785</v>
      </c>
      <c r="H3043" t="s">
        <v>386</v>
      </c>
      <c r="I3043" t="s">
        <v>40</v>
      </c>
      <c r="J3043" t="s">
        <v>109</v>
      </c>
      <c r="K3043" t="s">
        <v>387</v>
      </c>
      <c r="L3043" t="s">
        <v>43</v>
      </c>
      <c r="N3043" t="s">
        <v>44</v>
      </c>
      <c r="Q3043">
        <v>29504</v>
      </c>
      <c r="R3043" t="s">
        <v>95</v>
      </c>
      <c r="S3043" t="s">
        <v>2074</v>
      </c>
      <c r="T3043">
        <v>24</v>
      </c>
      <c r="W3043" t="s">
        <v>390</v>
      </c>
      <c r="X3043" t="s">
        <v>2075</v>
      </c>
      <c r="Y3043" t="s">
        <v>121</v>
      </c>
      <c r="Z3043" t="s">
        <v>122</v>
      </c>
      <c r="AA3043" s="2" t="s">
        <v>2076</v>
      </c>
      <c r="AB3043" t="s">
        <v>88</v>
      </c>
      <c r="AG3043" t="s">
        <v>18819</v>
      </c>
      <c r="AH3043" t="s">
        <v>18820</v>
      </c>
      <c r="AI3043" t="s">
        <v>18821</v>
      </c>
    </row>
    <row r="3044" spans="2:35" ht="255">
      <c r="B3044" s="1">
        <v>45567</v>
      </c>
      <c r="C3044" s="1">
        <v>45566</v>
      </c>
      <c r="D3044" t="s">
        <v>1081</v>
      </c>
      <c r="E3044" t="s">
        <v>18822</v>
      </c>
      <c r="F3044" t="s">
        <v>148</v>
      </c>
      <c r="G3044" t="s">
        <v>785</v>
      </c>
      <c r="H3044" t="s">
        <v>1083</v>
      </c>
      <c r="I3044" t="s">
        <v>40</v>
      </c>
      <c r="J3044" t="s">
        <v>109</v>
      </c>
      <c r="K3044" t="s">
        <v>387</v>
      </c>
      <c r="L3044" t="s">
        <v>43</v>
      </c>
      <c r="N3044" t="s">
        <v>44</v>
      </c>
      <c r="Q3044">
        <v>29503</v>
      </c>
      <c r="R3044" t="s">
        <v>95</v>
      </c>
      <c r="S3044" t="s">
        <v>1084</v>
      </c>
      <c r="T3044">
        <v>24</v>
      </c>
      <c r="W3044" t="s">
        <v>390</v>
      </c>
      <c r="X3044" t="s">
        <v>5969</v>
      </c>
      <c r="Y3044" t="s">
        <v>121</v>
      </c>
      <c r="Z3044" t="s">
        <v>122</v>
      </c>
      <c r="AA3044" s="2" t="s">
        <v>12034</v>
      </c>
      <c r="AB3044" t="s">
        <v>88</v>
      </c>
      <c r="AG3044" t="s">
        <v>18823</v>
      </c>
      <c r="AH3044" t="s">
        <v>18824</v>
      </c>
      <c r="AI3044" t="s">
        <v>18825</v>
      </c>
    </row>
    <row r="3045" spans="2:35" ht="409.5">
      <c r="B3045" s="1">
        <v>45567</v>
      </c>
      <c r="C3045" s="1">
        <v>45566</v>
      </c>
      <c r="D3045" t="s">
        <v>1081</v>
      </c>
      <c r="E3045" t="s">
        <v>18818</v>
      </c>
      <c r="F3045" t="s">
        <v>148</v>
      </c>
      <c r="G3045" t="s">
        <v>785</v>
      </c>
      <c r="H3045" t="s">
        <v>39</v>
      </c>
      <c r="I3045" t="s">
        <v>40</v>
      </c>
      <c r="J3045" t="s">
        <v>109</v>
      </c>
      <c r="K3045" t="s">
        <v>42</v>
      </c>
      <c r="L3045" t="s">
        <v>43</v>
      </c>
      <c r="N3045" t="s">
        <v>44</v>
      </c>
      <c r="Q3045">
        <v>29501</v>
      </c>
      <c r="R3045" t="s">
        <v>95</v>
      </c>
      <c r="S3045" t="s">
        <v>2016</v>
      </c>
      <c r="T3045">
        <v>22</v>
      </c>
      <c r="U3045" s="2" t="s">
        <v>18826</v>
      </c>
      <c r="W3045" t="s">
        <v>5136</v>
      </c>
      <c r="X3045">
        <v>110015767</v>
      </c>
      <c r="Y3045" t="s">
        <v>121</v>
      </c>
      <c r="Z3045" t="s">
        <v>122</v>
      </c>
      <c r="AA3045" s="2" t="s">
        <v>18827</v>
      </c>
      <c r="AB3045" t="s">
        <v>548</v>
      </c>
      <c r="AG3045" t="s">
        <v>18828</v>
      </c>
      <c r="AH3045" t="s">
        <v>14997</v>
      </c>
      <c r="AI3045" t="s">
        <v>18829</v>
      </c>
    </row>
    <row r="3046" spans="2:35" ht="409.5">
      <c r="B3046" s="1">
        <v>45567</v>
      </c>
      <c r="C3046" s="1">
        <v>45567</v>
      </c>
      <c r="D3046" t="s">
        <v>7826</v>
      </c>
      <c r="E3046" t="s">
        <v>7827</v>
      </c>
      <c r="F3046">
        <v>11</v>
      </c>
      <c r="G3046" t="s">
        <v>1759</v>
      </c>
      <c r="H3046" t="s">
        <v>202</v>
      </c>
      <c r="I3046" t="s">
        <v>40</v>
      </c>
      <c r="J3046" s="2" t="s">
        <v>62</v>
      </c>
      <c r="K3046" t="s">
        <v>42</v>
      </c>
      <c r="L3046" t="s">
        <v>204</v>
      </c>
      <c r="N3046" t="s">
        <v>205</v>
      </c>
      <c r="Q3046">
        <v>29500</v>
      </c>
      <c r="R3046" t="s">
        <v>119</v>
      </c>
      <c r="S3046" t="s">
        <v>7828</v>
      </c>
      <c r="T3046">
        <v>28.6</v>
      </c>
      <c r="U3046" s="2" t="s">
        <v>9106</v>
      </c>
      <c r="V3046" s="1">
        <v>45539</v>
      </c>
      <c r="W3046" t="s">
        <v>208</v>
      </c>
      <c r="X3046">
        <v>838487</v>
      </c>
      <c r="Y3046" s="2" t="s">
        <v>18830</v>
      </c>
      <c r="Z3046" s="2" t="s">
        <v>18831</v>
      </c>
      <c r="AA3046" s="2" t="s">
        <v>18832</v>
      </c>
      <c r="AB3046" s="2" t="s">
        <v>18833</v>
      </c>
      <c r="AD3046" t="s">
        <v>17086</v>
      </c>
      <c r="AE3046" t="s">
        <v>18834</v>
      </c>
      <c r="AG3046" t="s">
        <v>18835</v>
      </c>
      <c r="AH3046" t="s">
        <v>7833</v>
      </c>
      <c r="AI3046" t="s">
        <v>18836</v>
      </c>
    </row>
    <row r="3047" spans="2:35" ht="105">
      <c r="B3047" s="1">
        <v>45567</v>
      </c>
      <c r="C3047" s="1">
        <v>45562</v>
      </c>
      <c r="D3047" t="s">
        <v>15574</v>
      </c>
      <c r="E3047" t="s">
        <v>18837</v>
      </c>
      <c r="F3047">
        <v>6</v>
      </c>
      <c r="G3047" t="s">
        <v>5216</v>
      </c>
      <c r="H3047" t="s">
        <v>10969</v>
      </c>
      <c r="I3047" t="s">
        <v>40</v>
      </c>
      <c r="J3047" t="s">
        <v>321</v>
      </c>
      <c r="K3047" t="s">
        <v>42</v>
      </c>
      <c r="L3047" t="s">
        <v>1288</v>
      </c>
      <c r="N3047" t="s">
        <v>1289</v>
      </c>
      <c r="Q3047">
        <v>29499</v>
      </c>
      <c r="R3047" t="s">
        <v>967</v>
      </c>
      <c r="S3047" t="s">
        <v>15576</v>
      </c>
      <c r="T3047">
        <v>29</v>
      </c>
      <c r="U3047" s="2" t="s">
        <v>1509</v>
      </c>
      <c r="V3047" s="1">
        <v>45547</v>
      </c>
      <c r="W3047" t="s">
        <v>1292</v>
      </c>
      <c r="X3047">
        <v>110023539</v>
      </c>
      <c r="Y3047" t="s">
        <v>18838</v>
      </c>
      <c r="Z3047" t="e">
        <f ca="1">-COLLECT Installation QUALIFICATION report</f>
        <v>#NAME?</v>
      </c>
      <c r="AA3047" t="e">
        <f ca="1">-PERFORM GeneXpert EQUIPMENT Installation _xludf.and workstation Set up</f>
        <v>#NAME?</v>
      </c>
      <c r="AB3047" t="s">
        <v>1293</v>
      </c>
      <c r="AE3047">
        <v>12134</v>
      </c>
      <c r="AG3047" t="s">
        <v>18839</v>
      </c>
      <c r="AH3047" t="s">
        <v>18840</v>
      </c>
      <c r="AI3047" t="s">
        <v>18841</v>
      </c>
    </row>
    <row r="3048" spans="2:35" ht="135">
      <c r="B3048" s="1">
        <v>45567</v>
      </c>
      <c r="C3048" s="1">
        <v>45567</v>
      </c>
      <c r="D3048" t="s">
        <v>9682</v>
      </c>
      <c r="E3048" t="s">
        <v>13246</v>
      </c>
      <c r="F3048">
        <v>9</v>
      </c>
      <c r="G3048" t="s">
        <v>2197</v>
      </c>
      <c r="H3048" t="s">
        <v>39</v>
      </c>
      <c r="I3048" t="s">
        <v>94</v>
      </c>
      <c r="J3048" s="2" t="s">
        <v>18842</v>
      </c>
      <c r="K3048" t="s">
        <v>42</v>
      </c>
      <c r="L3048" t="s">
        <v>1257</v>
      </c>
      <c r="N3048" t="s">
        <v>1258</v>
      </c>
      <c r="O3048" t="s">
        <v>1258</v>
      </c>
      <c r="Q3048">
        <v>29498</v>
      </c>
      <c r="R3048" t="s">
        <v>119</v>
      </c>
      <c r="S3048" t="s">
        <v>13247</v>
      </c>
      <c r="T3048">
        <v>27</v>
      </c>
      <c r="U3048" s="2" t="s">
        <v>18843</v>
      </c>
      <c r="V3048" s="1">
        <v>45540</v>
      </c>
      <c r="W3048" t="s">
        <v>17323</v>
      </c>
      <c r="X3048">
        <v>838568</v>
      </c>
      <c r="Y3048" t="s">
        <v>18844</v>
      </c>
      <c r="Z3048" t="s">
        <v>18845</v>
      </c>
      <c r="AA3048" t="s">
        <v>18846</v>
      </c>
      <c r="AB3048" t="s">
        <v>18847</v>
      </c>
      <c r="AC3048" t="s">
        <v>18848</v>
      </c>
      <c r="AD3048" t="s">
        <v>5255</v>
      </c>
      <c r="AE3048">
        <v>12034</v>
      </c>
      <c r="AG3048" t="s">
        <v>18849</v>
      </c>
      <c r="AH3048" t="s">
        <v>13254</v>
      </c>
      <c r="AI3048" t="s">
        <v>18850</v>
      </c>
    </row>
    <row r="3049" spans="2:35" ht="60">
      <c r="B3049" s="1">
        <v>45567</v>
      </c>
      <c r="C3049" s="1">
        <v>45565</v>
      </c>
      <c r="D3049" t="s">
        <v>8131</v>
      </c>
      <c r="E3049" t="s">
        <v>8132</v>
      </c>
      <c r="F3049">
        <v>6</v>
      </c>
      <c r="G3049" t="s">
        <v>4457</v>
      </c>
      <c r="H3049" t="s">
        <v>258</v>
      </c>
      <c r="I3049" t="s">
        <v>40</v>
      </c>
      <c r="J3049" s="2" t="s">
        <v>62</v>
      </c>
      <c r="K3049" t="s">
        <v>42</v>
      </c>
      <c r="L3049" t="s">
        <v>259</v>
      </c>
      <c r="N3049" t="s">
        <v>260</v>
      </c>
      <c r="Q3049">
        <v>29497</v>
      </c>
      <c r="R3049" t="s">
        <v>322</v>
      </c>
      <c r="S3049" t="s">
        <v>18851</v>
      </c>
      <c r="T3049">
        <v>29</v>
      </c>
      <c r="V3049" s="1">
        <v>45565</v>
      </c>
      <c r="W3049" t="s">
        <v>423</v>
      </c>
      <c r="X3049">
        <v>110020745</v>
      </c>
      <c r="Y3049" t="s">
        <v>67</v>
      </c>
      <c r="Z3049" t="e">
        <f ca="1">- PM _xludf.and CALIBRATION</f>
        <v>#NAME?</v>
      </c>
      <c r="AA3049" t="e">
        <f ca="1">- performed Preventive Maintenance
- performed XpertCheck CALIBRATION
- Generate IQR _xludf.and system _xludf.Log</f>
        <v>#NAME?</v>
      </c>
      <c r="AB3049" t="s">
        <v>70</v>
      </c>
      <c r="AD3049" t="s">
        <v>948</v>
      </c>
      <c r="AE3049">
        <v>12047</v>
      </c>
      <c r="AG3049" t="s">
        <v>18852</v>
      </c>
      <c r="AH3049" t="s">
        <v>18853</v>
      </c>
      <c r="AI3049" t="s">
        <v>18854</v>
      </c>
    </row>
    <row r="3050" spans="2:35" ht="135">
      <c r="B3050" s="1">
        <v>45567</v>
      </c>
      <c r="C3050" s="1">
        <v>45567</v>
      </c>
      <c r="D3050" t="s">
        <v>340</v>
      </c>
      <c r="E3050" t="s">
        <v>341</v>
      </c>
      <c r="F3050">
        <v>8</v>
      </c>
      <c r="G3050" t="s">
        <v>342</v>
      </c>
      <c r="H3050" t="s">
        <v>1498</v>
      </c>
      <c r="I3050" t="s">
        <v>40</v>
      </c>
      <c r="J3050" s="2" t="s">
        <v>41</v>
      </c>
      <c r="K3050" t="s">
        <v>42</v>
      </c>
      <c r="L3050" t="s">
        <v>343</v>
      </c>
      <c r="N3050" t="s">
        <v>344</v>
      </c>
      <c r="Q3050">
        <v>29496</v>
      </c>
      <c r="R3050" t="s">
        <v>119</v>
      </c>
      <c r="S3050" t="s">
        <v>18855</v>
      </c>
      <c r="T3050">
        <v>18</v>
      </c>
      <c r="U3050" s="2" t="s">
        <v>16507</v>
      </c>
      <c r="V3050" s="1">
        <v>45545</v>
      </c>
      <c r="W3050" t="s">
        <v>1501</v>
      </c>
      <c r="X3050">
        <v>838555</v>
      </c>
      <c r="Y3050" t="s">
        <v>18856</v>
      </c>
      <c r="Z3050" t="s">
        <v>18857</v>
      </c>
      <c r="AA3050" t="e">
        <f ca="1">-module Replacement
-Preventive Maintenance</f>
        <v>#NAME?</v>
      </c>
      <c r="AB3050" t="s">
        <v>18858</v>
      </c>
      <c r="AD3050" s="2" t="s">
        <v>18859</v>
      </c>
      <c r="AE3050" t="s">
        <v>18860</v>
      </c>
      <c r="AG3050" t="s">
        <v>18861</v>
      </c>
      <c r="AH3050" t="s">
        <v>18862</v>
      </c>
      <c r="AI3050" t="s">
        <v>18863</v>
      </c>
    </row>
    <row r="3051" spans="2:35" ht="150">
      <c r="B3051" s="1">
        <v>45567</v>
      </c>
      <c r="C3051" s="1">
        <v>45566</v>
      </c>
      <c r="D3051" t="s">
        <v>6471</v>
      </c>
      <c r="E3051" t="s">
        <v>582</v>
      </c>
      <c r="F3051" t="s">
        <v>148</v>
      </c>
      <c r="G3051" t="s">
        <v>447</v>
      </c>
      <c r="H3051" t="s">
        <v>513</v>
      </c>
      <c r="I3051" t="s">
        <v>40</v>
      </c>
      <c r="J3051" s="2" t="s">
        <v>190</v>
      </c>
      <c r="K3051" t="s">
        <v>387</v>
      </c>
      <c r="L3051" t="s">
        <v>175</v>
      </c>
      <c r="N3051" t="s">
        <v>176</v>
      </c>
      <c r="Q3051">
        <v>29495</v>
      </c>
      <c r="R3051" t="s">
        <v>322</v>
      </c>
      <c r="S3051" t="s">
        <v>18864</v>
      </c>
      <c r="T3051">
        <v>25</v>
      </c>
      <c r="W3051" t="s">
        <v>390</v>
      </c>
      <c r="X3051" t="s">
        <v>4307</v>
      </c>
      <c r="Y3051" s="2" t="s">
        <v>18865</v>
      </c>
      <c r="Z3051" t="s">
        <v>103</v>
      </c>
      <c r="AA3051" t="e">
        <f ca="1">- checked rotor roller pumps
- checked CALIBRATION parameters
- performed self test
- performed Back up UPS test</f>
        <v>#NAME?</v>
      </c>
      <c r="AB3051" s="2" t="s">
        <v>18866</v>
      </c>
      <c r="AG3051" t="s">
        <v>18867</v>
      </c>
      <c r="AH3051" t="s">
        <v>18868</v>
      </c>
      <c r="AI3051" t="s">
        <v>18869</v>
      </c>
    </row>
    <row r="3052" spans="2:35" ht="330">
      <c r="B3052" s="1">
        <v>45567</v>
      </c>
      <c r="C3052" s="1">
        <v>45566</v>
      </c>
      <c r="D3052" t="s">
        <v>5602</v>
      </c>
      <c r="E3052" t="s">
        <v>2580</v>
      </c>
      <c r="F3052" t="s">
        <v>148</v>
      </c>
      <c r="G3052" t="s">
        <v>447</v>
      </c>
      <c r="H3052" t="s">
        <v>662</v>
      </c>
      <c r="I3052" t="s">
        <v>40</v>
      </c>
      <c r="J3052" t="s">
        <v>109</v>
      </c>
      <c r="K3052" t="s">
        <v>42</v>
      </c>
      <c r="L3052" t="s">
        <v>448</v>
      </c>
      <c r="N3052" t="s">
        <v>450</v>
      </c>
      <c r="Q3052">
        <v>29494</v>
      </c>
      <c r="R3052" t="s">
        <v>95</v>
      </c>
      <c r="S3052" t="s">
        <v>5604</v>
      </c>
      <c r="T3052">
        <v>28</v>
      </c>
      <c r="U3052" s="2" t="s">
        <v>18870</v>
      </c>
      <c r="W3052" t="s">
        <v>6785</v>
      </c>
      <c r="X3052">
        <v>804476</v>
      </c>
      <c r="Y3052" s="2" t="s">
        <v>18871</v>
      </c>
      <c r="Z3052" s="2" t="s">
        <v>2011</v>
      </c>
      <c r="AA3052" t="s">
        <v>122</v>
      </c>
      <c r="AB3052" s="2" t="s">
        <v>18872</v>
      </c>
      <c r="AG3052" t="s">
        <v>18873</v>
      </c>
      <c r="AH3052" t="s">
        <v>7424</v>
      </c>
      <c r="AI3052" t="s">
        <v>18874</v>
      </c>
    </row>
    <row r="3053" spans="2:35" ht="409.5">
      <c r="B3053" s="1">
        <v>45567</v>
      </c>
      <c r="C3053" s="1">
        <v>45566</v>
      </c>
      <c r="D3053" t="s">
        <v>5602</v>
      </c>
      <c r="E3053" t="s">
        <v>2580</v>
      </c>
      <c r="F3053" t="s">
        <v>148</v>
      </c>
      <c r="G3053" t="s">
        <v>447</v>
      </c>
      <c r="H3053" t="s">
        <v>662</v>
      </c>
      <c r="I3053" t="s">
        <v>40</v>
      </c>
      <c r="J3053" t="s">
        <v>109</v>
      </c>
      <c r="K3053" t="s">
        <v>42</v>
      </c>
      <c r="L3053" t="s">
        <v>448</v>
      </c>
      <c r="N3053" t="s">
        <v>450</v>
      </c>
      <c r="Q3053">
        <v>29493</v>
      </c>
      <c r="R3053" t="s">
        <v>322</v>
      </c>
      <c r="S3053" t="s">
        <v>5604</v>
      </c>
      <c r="T3053">
        <v>28</v>
      </c>
      <c r="U3053" s="2" t="s">
        <v>18875</v>
      </c>
      <c r="W3053" t="s">
        <v>6121</v>
      </c>
      <c r="X3053">
        <v>838524</v>
      </c>
      <c r="Y3053" t="s">
        <v>485</v>
      </c>
      <c r="Z3053" s="2" t="s">
        <v>2011</v>
      </c>
      <c r="AA3053" t="s">
        <v>122</v>
      </c>
      <c r="AB3053" t="s">
        <v>486</v>
      </c>
      <c r="AG3053" t="s">
        <v>18876</v>
      </c>
      <c r="AH3053" t="s">
        <v>7424</v>
      </c>
      <c r="AI3053" t="s">
        <v>18877</v>
      </c>
    </row>
    <row r="3054" spans="2:35" ht="409.5">
      <c r="B3054" s="1">
        <v>45566</v>
      </c>
      <c r="C3054" s="1">
        <v>45566</v>
      </c>
      <c r="D3054" t="s">
        <v>10656</v>
      </c>
      <c r="E3054" t="s">
        <v>18878</v>
      </c>
      <c r="F3054">
        <v>5</v>
      </c>
      <c r="G3054" t="s">
        <v>8314</v>
      </c>
      <c r="H3054" t="s">
        <v>39</v>
      </c>
      <c r="I3054" t="s">
        <v>94</v>
      </c>
      <c r="J3054" s="2" t="s">
        <v>1592</v>
      </c>
      <c r="K3054" t="s">
        <v>42</v>
      </c>
      <c r="L3054" t="s">
        <v>761</v>
      </c>
      <c r="N3054" t="s">
        <v>762</v>
      </c>
      <c r="Q3054">
        <v>29492</v>
      </c>
      <c r="R3054" t="s">
        <v>119</v>
      </c>
      <c r="S3054" t="s">
        <v>10657</v>
      </c>
      <c r="T3054">
        <v>26</v>
      </c>
      <c r="U3054" s="2" t="s">
        <v>18879</v>
      </c>
      <c r="W3054" t="s">
        <v>765</v>
      </c>
      <c r="X3054">
        <v>838563</v>
      </c>
      <c r="Y3054" s="2" t="s">
        <v>18880</v>
      </c>
      <c r="Z3054" s="2" t="s">
        <v>18881</v>
      </c>
      <c r="AA3054" s="2" t="s">
        <v>18882</v>
      </c>
      <c r="AB3054" t="s">
        <v>70</v>
      </c>
      <c r="AG3054" t="s">
        <v>18883</v>
      </c>
      <c r="AH3054" t="s">
        <v>8318</v>
      </c>
      <c r="AI3054" t="s">
        <v>18884</v>
      </c>
    </row>
    <row r="3055" spans="2:35" ht="375">
      <c r="B3055" s="1">
        <v>45566</v>
      </c>
      <c r="C3055" s="1">
        <v>45566</v>
      </c>
      <c r="D3055" t="s">
        <v>4206</v>
      </c>
      <c r="E3055" t="s">
        <v>718</v>
      </c>
      <c r="F3055">
        <v>11</v>
      </c>
      <c r="G3055" t="s">
        <v>2836</v>
      </c>
      <c r="H3055" t="s">
        <v>202</v>
      </c>
      <c r="I3055" t="s">
        <v>40</v>
      </c>
      <c r="J3055" s="2" t="s">
        <v>62</v>
      </c>
      <c r="K3055" t="s">
        <v>42</v>
      </c>
      <c r="L3055" t="s">
        <v>204</v>
      </c>
      <c r="N3055" t="s">
        <v>205</v>
      </c>
      <c r="Q3055">
        <v>29491</v>
      </c>
      <c r="R3055" t="s">
        <v>119</v>
      </c>
      <c r="S3055" t="s">
        <v>4209</v>
      </c>
      <c r="T3055">
        <v>23.8</v>
      </c>
      <c r="U3055" s="2" t="s">
        <v>2367</v>
      </c>
      <c r="V3055" s="1">
        <v>45539</v>
      </c>
      <c r="W3055" t="s">
        <v>208</v>
      </c>
      <c r="X3055">
        <v>838295</v>
      </c>
      <c r="Y3055" t="s">
        <v>1618</v>
      </c>
      <c r="Z3055" s="2" t="s">
        <v>18885</v>
      </c>
      <c r="AA3055" t="s">
        <v>1620</v>
      </c>
      <c r="AB3055" t="s">
        <v>18886</v>
      </c>
      <c r="AD3055" t="s">
        <v>18887</v>
      </c>
      <c r="AE3055" t="s">
        <v>18888</v>
      </c>
      <c r="AG3055" t="s">
        <v>18889</v>
      </c>
      <c r="AH3055" t="s">
        <v>18890</v>
      </c>
      <c r="AI3055" t="s">
        <v>18891</v>
      </c>
    </row>
    <row r="3056" spans="2:35" ht="180">
      <c r="B3056" s="1">
        <v>45566</v>
      </c>
      <c r="C3056" s="1">
        <v>45566</v>
      </c>
      <c r="D3056" t="s">
        <v>5228</v>
      </c>
      <c r="E3056" t="s">
        <v>18892</v>
      </c>
      <c r="F3056" t="s">
        <v>148</v>
      </c>
      <c r="G3056" t="s">
        <v>447</v>
      </c>
      <c r="H3056" t="s">
        <v>39</v>
      </c>
      <c r="I3056" t="s">
        <v>40</v>
      </c>
      <c r="J3056" t="s">
        <v>109</v>
      </c>
      <c r="K3056" t="s">
        <v>42</v>
      </c>
      <c r="L3056" t="s">
        <v>15532</v>
      </c>
      <c r="N3056" t="s">
        <v>15533</v>
      </c>
      <c r="Q3056">
        <v>29490</v>
      </c>
      <c r="R3056" t="s">
        <v>322</v>
      </c>
      <c r="S3056" t="s">
        <v>18893</v>
      </c>
      <c r="T3056">
        <v>25</v>
      </c>
      <c r="U3056" s="2" t="s">
        <v>10630</v>
      </c>
      <c r="W3056" t="s">
        <v>16496</v>
      </c>
      <c r="X3056">
        <v>110012766</v>
      </c>
      <c r="Y3056" t="s">
        <v>18894</v>
      </c>
      <c r="Z3056" s="2" t="s">
        <v>18895</v>
      </c>
      <c r="AA3056" s="2" t="s">
        <v>18896</v>
      </c>
      <c r="AB3056" s="2" t="s">
        <v>17371</v>
      </c>
      <c r="AG3056" t="s">
        <v>18897</v>
      </c>
      <c r="AH3056" t="s">
        <v>18898</v>
      </c>
      <c r="AI3056" t="s">
        <v>18899</v>
      </c>
    </row>
    <row r="3057" spans="2:35" ht="409.5">
      <c r="B3057" s="1">
        <v>45566</v>
      </c>
      <c r="C3057" s="1">
        <v>45565</v>
      </c>
      <c r="D3057" t="s">
        <v>5602</v>
      </c>
      <c r="E3057" t="s">
        <v>2580</v>
      </c>
      <c r="F3057" t="s">
        <v>148</v>
      </c>
      <c r="G3057" t="s">
        <v>447</v>
      </c>
      <c r="H3057" t="s">
        <v>662</v>
      </c>
      <c r="I3057" t="s">
        <v>40</v>
      </c>
      <c r="J3057" s="2" t="s">
        <v>62</v>
      </c>
      <c r="K3057" t="s">
        <v>42</v>
      </c>
      <c r="L3057" t="s">
        <v>448</v>
      </c>
      <c r="N3057" t="s">
        <v>450</v>
      </c>
      <c r="Q3057">
        <v>29489</v>
      </c>
      <c r="R3057" t="s">
        <v>322</v>
      </c>
      <c r="S3057" t="s">
        <v>5604</v>
      </c>
      <c r="T3057">
        <v>26</v>
      </c>
      <c r="U3057" s="2" t="s">
        <v>18900</v>
      </c>
      <c r="V3057" s="1">
        <v>45562</v>
      </c>
      <c r="W3057" t="s">
        <v>6785</v>
      </c>
      <c r="X3057">
        <v>110005587</v>
      </c>
      <c r="Y3057" s="2" t="s">
        <v>18901</v>
      </c>
      <c r="Z3057" s="2" t="s">
        <v>3071</v>
      </c>
      <c r="AA3057" t="s">
        <v>881</v>
      </c>
      <c r="AB3057" s="2" t="s">
        <v>18902</v>
      </c>
      <c r="AD3057" t="s">
        <v>11518</v>
      </c>
      <c r="AE3057">
        <v>98839</v>
      </c>
      <c r="AG3057" t="s">
        <v>18903</v>
      </c>
      <c r="AH3057" t="s">
        <v>5609</v>
      </c>
      <c r="AI3057" t="s">
        <v>18904</v>
      </c>
    </row>
    <row r="3058" spans="2:35" ht="300">
      <c r="B3058" s="1">
        <v>45565</v>
      </c>
      <c r="C3058" s="1">
        <v>45562</v>
      </c>
      <c r="D3058" t="s">
        <v>7200</v>
      </c>
      <c r="E3058" t="s">
        <v>12226</v>
      </c>
      <c r="F3058">
        <v>12</v>
      </c>
      <c r="G3058" t="s">
        <v>978</v>
      </c>
      <c r="H3058" t="s">
        <v>1473</v>
      </c>
      <c r="I3058" t="s">
        <v>40</v>
      </c>
      <c r="J3058" s="2" t="s">
        <v>62</v>
      </c>
      <c r="K3058" t="s">
        <v>42</v>
      </c>
      <c r="L3058" t="s">
        <v>296</v>
      </c>
      <c r="N3058" t="s">
        <v>297</v>
      </c>
      <c r="Q3058">
        <v>29487</v>
      </c>
      <c r="R3058" t="s">
        <v>119</v>
      </c>
      <c r="S3058" t="s">
        <v>7202</v>
      </c>
      <c r="T3058">
        <v>27.8</v>
      </c>
      <c r="U3058" s="2" t="s">
        <v>10767</v>
      </c>
      <c r="V3058" s="1">
        <v>45562</v>
      </c>
      <c r="W3058" t="s">
        <v>981</v>
      </c>
      <c r="X3058">
        <v>838504</v>
      </c>
      <c r="Y3058" t="s">
        <v>301</v>
      </c>
      <c r="Z3058" s="2" t="s">
        <v>18905</v>
      </c>
      <c r="AA3058" s="2" t="s">
        <v>17896</v>
      </c>
      <c r="AB3058" s="2" t="s">
        <v>15461</v>
      </c>
      <c r="AD3058" s="2" t="s">
        <v>18366</v>
      </c>
      <c r="AE3058" t="s">
        <v>18906</v>
      </c>
      <c r="AG3058" t="s">
        <v>18907</v>
      </c>
      <c r="AH3058" t="s">
        <v>9170</v>
      </c>
      <c r="AI3058" t="s">
        <v>18908</v>
      </c>
    </row>
    <row r="3059" spans="2:35" ht="285">
      <c r="B3059" s="1">
        <v>45565</v>
      </c>
      <c r="C3059" s="1">
        <v>45561</v>
      </c>
      <c r="D3059" t="s">
        <v>9886</v>
      </c>
      <c r="E3059" t="s">
        <v>9887</v>
      </c>
      <c r="F3059">
        <v>12</v>
      </c>
      <c r="G3059" t="s">
        <v>5785</v>
      </c>
      <c r="H3059" t="s">
        <v>1473</v>
      </c>
      <c r="I3059" t="s">
        <v>40</v>
      </c>
      <c r="J3059" s="2" t="s">
        <v>62</v>
      </c>
      <c r="K3059" t="s">
        <v>42</v>
      </c>
      <c r="L3059" t="s">
        <v>296</v>
      </c>
      <c r="N3059" t="s">
        <v>297</v>
      </c>
      <c r="Q3059">
        <v>29488</v>
      </c>
      <c r="R3059" t="s">
        <v>119</v>
      </c>
      <c r="S3059" t="s">
        <v>9888</v>
      </c>
      <c r="T3059">
        <v>26.3</v>
      </c>
      <c r="U3059" s="2" t="s">
        <v>9896</v>
      </c>
      <c r="V3059" s="1">
        <v>45561</v>
      </c>
      <c r="W3059" t="s">
        <v>981</v>
      </c>
      <c r="X3059">
        <v>838419</v>
      </c>
      <c r="Y3059" t="s">
        <v>301</v>
      </c>
      <c r="Z3059" s="2" t="s">
        <v>18909</v>
      </c>
      <c r="AA3059" s="2" t="s">
        <v>18910</v>
      </c>
      <c r="AB3059" s="2" t="s">
        <v>15461</v>
      </c>
      <c r="AD3059" s="2" t="s">
        <v>18366</v>
      </c>
      <c r="AE3059" t="s">
        <v>18911</v>
      </c>
      <c r="AG3059" t="s">
        <v>18912</v>
      </c>
      <c r="AH3059" t="s">
        <v>9892</v>
      </c>
      <c r="AI3059" t="s">
        <v>18913</v>
      </c>
    </row>
    <row r="3060" spans="2:35" ht="315">
      <c r="B3060" s="1">
        <v>45565</v>
      </c>
      <c r="C3060" s="1">
        <v>45559</v>
      </c>
      <c r="D3060" t="s">
        <v>3712</v>
      </c>
      <c r="E3060" t="s">
        <v>6028</v>
      </c>
      <c r="F3060" t="s">
        <v>148</v>
      </c>
      <c r="G3060" t="s">
        <v>310</v>
      </c>
      <c r="H3060" t="s">
        <v>2274</v>
      </c>
      <c r="I3060" t="s">
        <v>40</v>
      </c>
      <c r="J3060" s="2" t="s">
        <v>190</v>
      </c>
      <c r="K3060" t="s">
        <v>387</v>
      </c>
      <c r="L3060" t="s">
        <v>1943</v>
      </c>
      <c r="N3060" t="s">
        <v>1944</v>
      </c>
      <c r="Q3060">
        <v>29486</v>
      </c>
      <c r="R3060" t="s">
        <v>322</v>
      </c>
      <c r="S3060" t="s">
        <v>3824</v>
      </c>
      <c r="T3060">
        <v>25</v>
      </c>
      <c r="W3060" t="s">
        <v>390</v>
      </c>
      <c r="X3060" t="s">
        <v>4180</v>
      </c>
      <c r="Y3060" s="2" t="s">
        <v>18914</v>
      </c>
      <c r="Z3060" s="2" t="s">
        <v>2278</v>
      </c>
      <c r="AA3060" t="s">
        <v>4402</v>
      </c>
      <c r="AB3060" t="s">
        <v>18915</v>
      </c>
      <c r="AG3060" t="s">
        <v>18916</v>
      </c>
      <c r="AH3060" t="s">
        <v>3717</v>
      </c>
      <c r="AI3060" t="s">
        <v>18917</v>
      </c>
    </row>
    <row r="3061" spans="2:35" ht="315">
      <c r="B3061" s="1">
        <v>45565</v>
      </c>
      <c r="C3061" s="1">
        <v>45559</v>
      </c>
      <c r="D3061" t="s">
        <v>3712</v>
      </c>
      <c r="E3061" t="s">
        <v>6028</v>
      </c>
      <c r="F3061" t="s">
        <v>148</v>
      </c>
      <c r="G3061" t="s">
        <v>310</v>
      </c>
      <c r="H3061" t="s">
        <v>2274</v>
      </c>
      <c r="I3061" t="s">
        <v>40</v>
      </c>
      <c r="J3061" t="s">
        <v>109</v>
      </c>
      <c r="K3061" t="s">
        <v>387</v>
      </c>
      <c r="L3061" t="s">
        <v>1943</v>
      </c>
      <c r="N3061" t="s">
        <v>1944</v>
      </c>
      <c r="Q3061">
        <v>29485</v>
      </c>
      <c r="R3061" t="s">
        <v>322</v>
      </c>
      <c r="S3061" t="s">
        <v>3824</v>
      </c>
      <c r="T3061">
        <v>25</v>
      </c>
      <c r="W3061" t="s">
        <v>390</v>
      </c>
      <c r="X3061" t="s">
        <v>16210</v>
      </c>
      <c r="Y3061" t="s">
        <v>2099</v>
      </c>
      <c r="Z3061" t="s">
        <v>2100</v>
      </c>
      <c r="AA3061" s="2" t="s">
        <v>2278</v>
      </c>
      <c r="AB3061" t="s">
        <v>88</v>
      </c>
      <c r="AG3061" t="s">
        <v>18918</v>
      </c>
      <c r="AH3061" t="s">
        <v>3717</v>
      </c>
      <c r="AI3061" t="s">
        <v>18919</v>
      </c>
    </row>
    <row r="3062" spans="2:35" ht="165">
      <c r="B3062" s="1">
        <v>45565</v>
      </c>
      <c r="C3062" s="1">
        <v>45565</v>
      </c>
      <c r="D3062" t="s">
        <v>5427</v>
      </c>
      <c r="E3062" t="s">
        <v>18920</v>
      </c>
      <c r="F3062">
        <v>6</v>
      </c>
      <c r="G3062" t="s">
        <v>1286</v>
      </c>
      <c r="H3062" t="s">
        <v>258</v>
      </c>
      <c r="I3062" t="s">
        <v>40</v>
      </c>
      <c r="J3062" t="s">
        <v>321</v>
      </c>
      <c r="K3062" t="s">
        <v>42</v>
      </c>
      <c r="L3062" t="s">
        <v>259</v>
      </c>
      <c r="N3062" t="s">
        <v>260</v>
      </c>
      <c r="Q3062">
        <v>29484</v>
      </c>
      <c r="R3062" t="s">
        <v>967</v>
      </c>
      <c r="S3062" t="s">
        <v>5429</v>
      </c>
      <c r="T3062">
        <v>29</v>
      </c>
      <c r="U3062" s="2" t="s">
        <v>1509</v>
      </c>
      <c r="V3062" s="1">
        <v>45565</v>
      </c>
      <c r="W3062" t="s">
        <v>423</v>
      </c>
      <c r="X3062">
        <v>110023527</v>
      </c>
      <c r="Y3062" t="s">
        <v>18921</v>
      </c>
      <c r="Z3062" t="s">
        <v>1716</v>
      </c>
      <c r="AA3062" s="2" t="s">
        <v>18922</v>
      </c>
      <c r="AB3062" t="s">
        <v>70</v>
      </c>
      <c r="AD3062" s="2" t="s">
        <v>18923</v>
      </c>
      <c r="AE3062">
        <v>12122</v>
      </c>
      <c r="AG3062" t="s">
        <v>18924</v>
      </c>
      <c r="AH3062" t="s">
        <v>18925</v>
      </c>
      <c r="AI3062" t="s">
        <v>18926</v>
      </c>
    </row>
    <row r="3063" spans="2:35" ht="330">
      <c r="B3063" s="1">
        <v>45565</v>
      </c>
      <c r="C3063" s="1">
        <v>45559</v>
      </c>
      <c r="D3063" t="s">
        <v>13660</v>
      </c>
      <c r="E3063" t="s">
        <v>309</v>
      </c>
      <c r="F3063" t="s">
        <v>148</v>
      </c>
      <c r="G3063" t="s">
        <v>310</v>
      </c>
      <c r="H3063" t="s">
        <v>39</v>
      </c>
      <c r="I3063" t="s">
        <v>40</v>
      </c>
      <c r="J3063" t="s">
        <v>109</v>
      </c>
      <c r="K3063" t="s">
        <v>42</v>
      </c>
      <c r="L3063" t="s">
        <v>175</v>
      </c>
      <c r="N3063" t="s">
        <v>176</v>
      </c>
      <c r="O3063" t="s">
        <v>18927</v>
      </c>
      <c r="Q3063">
        <v>29483</v>
      </c>
      <c r="R3063" t="s">
        <v>703</v>
      </c>
      <c r="S3063" t="s">
        <v>18928</v>
      </c>
      <c r="T3063">
        <v>25</v>
      </c>
      <c r="W3063" t="s">
        <v>84</v>
      </c>
      <c r="X3063">
        <v>840974</v>
      </c>
      <c r="Y3063" t="s">
        <v>374</v>
      </c>
      <c r="Z3063" t="s">
        <v>103</v>
      </c>
      <c r="AA3063" s="2" t="s">
        <v>18929</v>
      </c>
      <c r="AB3063" t="s">
        <v>181</v>
      </c>
      <c r="AG3063" t="s">
        <v>18930</v>
      </c>
      <c r="AH3063" t="s">
        <v>18931</v>
      </c>
      <c r="AI3063" t="s">
        <v>18932</v>
      </c>
    </row>
    <row r="3064" spans="2:35" ht="90">
      <c r="B3064" s="1">
        <v>45565</v>
      </c>
      <c r="C3064" s="1">
        <v>45560</v>
      </c>
      <c r="D3064" t="s">
        <v>2470</v>
      </c>
      <c r="E3064" t="s">
        <v>9436</v>
      </c>
      <c r="F3064" t="s">
        <v>148</v>
      </c>
      <c r="G3064" t="s">
        <v>230</v>
      </c>
      <c r="H3064" t="s">
        <v>513</v>
      </c>
      <c r="I3064" t="s">
        <v>40</v>
      </c>
      <c r="J3064" t="s">
        <v>79</v>
      </c>
      <c r="K3064" t="s">
        <v>387</v>
      </c>
      <c r="L3064" t="s">
        <v>175</v>
      </c>
      <c r="N3064" t="s">
        <v>176</v>
      </c>
      <c r="Q3064">
        <v>29482</v>
      </c>
      <c r="R3064" t="s">
        <v>322</v>
      </c>
      <c r="S3064" t="s">
        <v>4894</v>
      </c>
      <c r="T3064">
        <v>25</v>
      </c>
      <c r="V3064" s="1">
        <v>45560</v>
      </c>
      <c r="W3064" t="s">
        <v>390</v>
      </c>
      <c r="X3064" t="s">
        <v>5622</v>
      </c>
      <c r="Y3064" t="s">
        <v>18933</v>
      </c>
      <c r="Z3064" t="s">
        <v>18934</v>
      </c>
      <c r="AA3064" t="e">
        <f ca="1">- replaced parts
- performed self test</f>
        <v>#NAME?</v>
      </c>
      <c r="AB3064" t="s">
        <v>181</v>
      </c>
      <c r="AC3064" t="s">
        <v>18935</v>
      </c>
      <c r="AD3064" s="2" t="s">
        <v>18936</v>
      </c>
      <c r="AE3064">
        <v>12167</v>
      </c>
      <c r="AG3064" t="s">
        <v>18937</v>
      </c>
      <c r="AH3064" t="s">
        <v>4898</v>
      </c>
      <c r="AI3064" t="s">
        <v>18938</v>
      </c>
    </row>
    <row r="3065" spans="2:35" ht="345">
      <c r="B3065" s="1">
        <v>45564</v>
      </c>
      <c r="C3065" s="1">
        <v>45562</v>
      </c>
      <c r="D3065" t="s">
        <v>2176</v>
      </c>
      <c r="E3065" t="s">
        <v>2580</v>
      </c>
      <c r="F3065" t="s">
        <v>148</v>
      </c>
      <c r="G3065" t="s">
        <v>447</v>
      </c>
      <c r="H3065" t="s">
        <v>662</v>
      </c>
      <c r="I3065" t="s">
        <v>40</v>
      </c>
      <c r="J3065" t="s">
        <v>109</v>
      </c>
      <c r="K3065" t="s">
        <v>42</v>
      </c>
      <c r="L3065" t="s">
        <v>448</v>
      </c>
      <c r="N3065" t="s">
        <v>450</v>
      </c>
      <c r="Q3065">
        <v>29481</v>
      </c>
      <c r="R3065" t="s">
        <v>322</v>
      </c>
      <c r="S3065" t="s">
        <v>3086</v>
      </c>
      <c r="T3065">
        <v>25</v>
      </c>
      <c r="U3065" s="2" t="s">
        <v>18939</v>
      </c>
      <c r="W3065" t="s">
        <v>1573</v>
      </c>
      <c r="X3065">
        <v>110016781</v>
      </c>
      <c r="Y3065" t="s">
        <v>485</v>
      </c>
      <c r="Z3065" s="2" t="s">
        <v>2011</v>
      </c>
      <c r="AA3065" t="s">
        <v>122</v>
      </c>
      <c r="AB3065" t="s">
        <v>486</v>
      </c>
      <c r="AG3065" t="s">
        <v>18940</v>
      </c>
      <c r="AH3065" t="s">
        <v>18941</v>
      </c>
      <c r="AI3065" t="s">
        <v>18942</v>
      </c>
    </row>
    <row r="3066" spans="2:35" ht="300">
      <c r="B3066" s="1">
        <v>45564</v>
      </c>
      <c r="C3066" s="1">
        <v>45562</v>
      </c>
      <c r="D3066" t="s">
        <v>1145</v>
      </c>
      <c r="E3066" t="s">
        <v>473</v>
      </c>
      <c r="F3066" t="s">
        <v>148</v>
      </c>
      <c r="G3066" t="s">
        <v>447</v>
      </c>
      <c r="H3066" t="s">
        <v>150</v>
      </c>
      <c r="I3066" t="s">
        <v>40</v>
      </c>
      <c r="J3066" t="s">
        <v>109</v>
      </c>
      <c r="K3066" t="s">
        <v>42</v>
      </c>
      <c r="L3066" t="s">
        <v>448</v>
      </c>
      <c r="N3066" t="s">
        <v>450</v>
      </c>
      <c r="Q3066">
        <v>29480</v>
      </c>
      <c r="R3066" t="s">
        <v>322</v>
      </c>
      <c r="S3066" t="s">
        <v>1147</v>
      </c>
      <c r="T3066">
        <v>26</v>
      </c>
      <c r="U3066" s="2" t="s">
        <v>18943</v>
      </c>
      <c r="W3066" t="s">
        <v>6121</v>
      </c>
      <c r="X3066">
        <v>838837</v>
      </c>
      <c r="Y3066" t="s">
        <v>485</v>
      </c>
      <c r="Z3066" s="2" t="s">
        <v>2011</v>
      </c>
      <c r="AA3066" t="s">
        <v>122</v>
      </c>
      <c r="AB3066" s="2" t="s">
        <v>18944</v>
      </c>
      <c r="AG3066" t="s">
        <v>18945</v>
      </c>
      <c r="AH3066" t="s">
        <v>1153</v>
      </c>
      <c r="AI3066" t="s">
        <v>18946</v>
      </c>
    </row>
    <row r="3067" spans="2:35" ht="180">
      <c r="B3067" s="1">
        <v>45564</v>
      </c>
      <c r="C3067" s="1">
        <v>45562</v>
      </c>
      <c r="D3067" t="s">
        <v>1145</v>
      </c>
      <c r="E3067" t="s">
        <v>473</v>
      </c>
      <c r="F3067" t="s">
        <v>148</v>
      </c>
      <c r="G3067" t="s">
        <v>447</v>
      </c>
      <c r="H3067" t="s">
        <v>150</v>
      </c>
      <c r="I3067" t="s">
        <v>40</v>
      </c>
      <c r="J3067" t="s">
        <v>109</v>
      </c>
      <c r="K3067" t="s">
        <v>42</v>
      </c>
      <c r="L3067" t="s">
        <v>448</v>
      </c>
      <c r="N3067" t="s">
        <v>450</v>
      </c>
      <c r="Q3067">
        <v>29479</v>
      </c>
      <c r="R3067" t="s">
        <v>95</v>
      </c>
      <c r="S3067" t="s">
        <v>1147</v>
      </c>
      <c r="T3067">
        <v>26</v>
      </c>
      <c r="W3067" t="s">
        <v>6128</v>
      </c>
      <c r="X3067">
        <v>804205</v>
      </c>
      <c r="Y3067" s="2" t="s">
        <v>17938</v>
      </c>
      <c r="Z3067" s="2" t="s">
        <v>2011</v>
      </c>
      <c r="AA3067" t="s">
        <v>6997</v>
      </c>
      <c r="AB3067" t="s">
        <v>18947</v>
      </c>
      <c r="AG3067" t="s">
        <v>18948</v>
      </c>
      <c r="AH3067" t="s">
        <v>1153</v>
      </c>
      <c r="AI3067" t="s">
        <v>18949</v>
      </c>
    </row>
    <row r="3068" spans="2:35" ht="405">
      <c r="B3068" s="1">
        <v>45564</v>
      </c>
      <c r="C3068" s="1">
        <v>45561</v>
      </c>
      <c r="D3068" t="s">
        <v>6783</v>
      </c>
      <c r="E3068" t="s">
        <v>2569</v>
      </c>
      <c r="F3068" t="s">
        <v>148</v>
      </c>
      <c r="G3068" t="s">
        <v>447</v>
      </c>
      <c r="H3068" t="s">
        <v>662</v>
      </c>
      <c r="I3068" t="s">
        <v>40</v>
      </c>
      <c r="J3068" t="s">
        <v>79</v>
      </c>
      <c r="K3068" t="s">
        <v>42</v>
      </c>
      <c r="L3068" t="s">
        <v>448</v>
      </c>
      <c r="N3068" t="s">
        <v>450</v>
      </c>
      <c r="Q3068">
        <v>29478</v>
      </c>
      <c r="R3068" t="s">
        <v>95</v>
      </c>
      <c r="S3068" t="s">
        <v>12054</v>
      </c>
      <c r="T3068">
        <v>26</v>
      </c>
      <c r="U3068" s="2" t="s">
        <v>18950</v>
      </c>
      <c r="W3068" t="s">
        <v>6785</v>
      </c>
      <c r="X3068">
        <v>839306</v>
      </c>
      <c r="Y3068" s="2" t="s">
        <v>18951</v>
      </c>
      <c r="Z3068" s="2" t="s">
        <v>18952</v>
      </c>
      <c r="AA3068" t="s">
        <v>914</v>
      </c>
      <c r="AB3068" t="s">
        <v>4741</v>
      </c>
      <c r="AC3068" t="s">
        <v>18953</v>
      </c>
      <c r="AG3068" t="s">
        <v>18954</v>
      </c>
      <c r="AH3068" t="s">
        <v>12059</v>
      </c>
      <c r="AI3068" t="s">
        <v>18955</v>
      </c>
    </row>
    <row r="3069" spans="2:35" ht="409.5">
      <c r="B3069" s="1">
        <v>45563</v>
      </c>
      <c r="C3069" s="1">
        <v>45561</v>
      </c>
      <c r="D3069" t="s">
        <v>5932</v>
      </c>
      <c r="E3069" t="s">
        <v>8889</v>
      </c>
      <c r="F3069">
        <v>11</v>
      </c>
      <c r="G3069" t="s">
        <v>1205</v>
      </c>
      <c r="H3069" t="s">
        <v>202</v>
      </c>
      <c r="I3069" t="s">
        <v>40</v>
      </c>
      <c r="J3069" s="2" t="s">
        <v>1309</v>
      </c>
      <c r="K3069" t="s">
        <v>42</v>
      </c>
      <c r="L3069" t="s">
        <v>204</v>
      </c>
      <c r="N3069" t="s">
        <v>205</v>
      </c>
      <c r="Q3069">
        <v>29477</v>
      </c>
      <c r="R3069" t="s">
        <v>119</v>
      </c>
      <c r="S3069" t="s">
        <v>7643</v>
      </c>
      <c r="T3069">
        <v>26.5</v>
      </c>
      <c r="U3069" s="2" t="s">
        <v>18956</v>
      </c>
      <c r="V3069" s="1">
        <v>45553</v>
      </c>
      <c r="W3069" t="s">
        <v>208</v>
      </c>
      <c r="X3069">
        <v>838553</v>
      </c>
      <c r="Y3069" s="2" t="s">
        <v>18957</v>
      </c>
      <c r="Z3069" s="2" t="s">
        <v>18958</v>
      </c>
      <c r="AA3069" t="s">
        <v>18959</v>
      </c>
      <c r="AB3069" s="2" t="s">
        <v>18960</v>
      </c>
      <c r="AD3069" s="2" t="s">
        <v>18961</v>
      </c>
      <c r="AE3069" t="s">
        <v>18962</v>
      </c>
      <c r="AG3069" t="s">
        <v>18963</v>
      </c>
      <c r="AH3069" t="s">
        <v>5943</v>
      </c>
      <c r="AI3069" t="s">
        <v>18964</v>
      </c>
    </row>
    <row r="3070" spans="2:35" ht="330">
      <c r="B3070" s="1">
        <v>45563</v>
      </c>
      <c r="C3070" s="1">
        <v>45561</v>
      </c>
      <c r="D3070" t="s">
        <v>18965</v>
      </c>
      <c r="E3070" t="s">
        <v>18966</v>
      </c>
      <c r="F3070">
        <v>6</v>
      </c>
      <c r="G3070" t="s">
        <v>5216</v>
      </c>
      <c r="H3070" t="s">
        <v>39</v>
      </c>
      <c r="I3070" t="s">
        <v>40</v>
      </c>
      <c r="J3070" t="s">
        <v>321</v>
      </c>
      <c r="K3070" t="s">
        <v>42</v>
      </c>
      <c r="L3070" t="s">
        <v>259</v>
      </c>
      <c r="N3070" t="s">
        <v>260</v>
      </c>
      <c r="Q3070">
        <v>29476</v>
      </c>
      <c r="R3070" t="s">
        <v>967</v>
      </c>
      <c r="S3070" t="s">
        <v>18967</v>
      </c>
      <c r="T3070">
        <v>29</v>
      </c>
      <c r="U3070" s="2" t="s">
        <v>1509</v>
      </c>
      <c r="V3070" s="1">
        <v>45561</v>
      </c>
      <c r="W3070" t="s">
        <v>423</v>
      </c>
      <c r="X3070">
        <v>110023540</v>
      </c>
      <c r="Y3070" t="s">
        <v>18921</v>
      </c>
      <c r="Z3070" t="s">
        <v>263</v>
      </c>
      <c r="AA3070" s="2" t="s">
        <v>18968</v>
      </c>
      <c r="AB3070" t="s">
        <v>181</v>
      </c>
      <c r="AE3070">
        <v>12135</v>
      </c>
      <c r="AG3070" t="s">
        <v>18969</v>
      </c>
      <c r="AH3070" t="s">
        <v>18970</v>
      </c>
      <c r="AI3070" t="s">
        <v>18971</v>
      </c>
    </row>
    <row r="3071" spans="2:35" ht="285">
      <c r="B3071" s="1">
        <v>45563</v>
      </c>
      <c r="C3071" s="1">
        <v>45562</v>
      </c>
      <c r="D3071" t="s">
        <v>18972</v>
      </c>
      <c r="E3071" t="s">
        <v>18973</v>
      </c>
      <c r="F3071">
        <v>6</v>
      </c>
      <c r="G3071" t="s">
        <v>5216</v>
      </c>
      <c r="H3071" t="s">
        <v>202</v>
      </c>
      <c r="I3071" t="s">
        <v>40</v>
      </c>
      <c r="J3071" t="s">
        <v>321</v>
      </c>
      <c r="K3071" t="s">
        <v>42</v>
      </c>
      <c r="L3071" t="s">
        <v>259</v>
      </c>
      <c r="N3071" t="s">
        <v>260</v>
      </c>
      <c r="Q3071">
        <v>29475</v>
      </c>
      <c r="R3071" t="s">
        <v>967</v>
      </c>
      <c r="S3071" t="s">
        <v>18974</v>
      </c>
      <c r="T3071">
        <v>29</v>
      </c>
      <c r="U3071" s="2" t="s">
        <v>1509</v>
      </c>
      <c r="V3071" s="1">
        <v>45562</v>
      </c>
      <c r="W3071" t="s">
        <v>423</v>
      </c>
      <c r="X3071">
        <v>110023538</v>
      </c>
      <c r="Y3071" t="s">
        <v>18921</v>
      </c>
      <c r="Z3071" t="s">
        <v>263</v>
      </c>
      <c r="AA3071" s="2" t="s">
        <v>18975</v>
      </c>
      <c r="AB3071" t="s">
        <v>181</v>
      </c>
      <c r="AD3071" s="2" t="s">
        <v>18976</v>
      </c>
      <c r="AE3071">
        <v>12133</v>
      </c>
      <c r="AG3071" t="s">
        <v>18977</v>
      </c>
      <c r="AH3071" t="s">
        <v>18978</v>
      </c>
      <c r="AI3071" t="s">
        <v>18979</v>
      </c>
    </row>
    <row r="3072" spans="2:35" ht="105">
      <c r="B3072" s="1">
        <v>45562</v>
      </c>
      <c r="C3072" s="1">
        <v>45562</v>
      </c>
      <c r="D3072" t="s">
        <v>18980</v>
      </c>
      <c r="E3072" t="s">
        <v>18981</v>
      </c>
      <c r="F3072">
        <v>9</v>
      </c>
      <c r="G3072" t="s">
        <v>2197</v>
      </c>
      <c r="H3072" t="s">
        <v>39</v>
      </c>
      <c r="I3072" t="s">
        <v>94</v>
      </c>
      <c r="J3072" t="s">
        <v>996</v>
      </c>
      <c r="K3072" t="s">
        <v>42</v>
      </c>
      <c r="L3072" t="s">
        <v>1257</v>
      </c>
      <c r="N3072" t="s">
        <v>1258</v>
      </c>
      <c r="O3072" t="s">
        <v>1258</v>
      </c>
      <c r="Q3072">
        <v>29474</v>
      </c>
      <c r="R3072" t="s">
        <v>119</v>
      </c>
      <c r="S3072" t="s">
        <v>9187</v>
      </c>
      <c r="T3072">
        <v>25</v>
      </c>
      <c r="U3072" s="2" t="s">
        <v>13638</v>
      </c>
      <c r="V3072" s="1">
        <v>45540</v>
      </c>
      <c r="W3072" t="s">
        <v>17323</v>
      </c>
      <c r="X3072">
        <v>837664</v>
      </c>
      <c r="Y3072" t="s">
        <v>301</v>
      </c>
      <c r="Z3072" t="s">
        <v>18982</v>
      </c>
      <c r="AA3072" t="s">
        <v>18982</v>
      </c>
      <c r="AB3072" t="s">
        <v>3161</v>
      </c>
      <c r="AC3072" t="s">
        <v>18983</v>
      </c>
      <c r="AD3072" t="s">
        <v>5255</v>
      </c>
      <c r="AE3072">
        <v>12036</v>
      </c>
      <c r="AG3072" t="s">
        <v>18984</v>
      </c>
      <c r="AH3072" t="s">
        <v>12434</v>
      </c>
      <c r="AI3072" t="s">
        <v>18985</v>
      </c>
    </row>
    <row r="3073" spans="2:35" ht="105">
      <c r="B3073" s="1">
        <v>45562</v>
      </c>
      <c r="C3073" s="1">
        <v>45562</v>
      </c>
      <c r="D3073" t="s">
        <v>15574</v>
      </c>
      <c r="E3073" t="s">
        <v>18837</v>
      </c>
      <c r="F3073">
        <v>6</v>
      </c>
      <c r="G3073" t="s">
        <v>5216</v>
      </c>
      <c r="H3073" t="s">
        <v>10969</v>
      </c>
      <c r="I3073" t="s">
        <v>40</v>
      </c>
      <c r="J3073" t="s">
        <v>321</v>
      </c>
      <c r="K3073" t="s">
        <v>42</v>
      </c>
      <c r="L3073" t="s">
        <v>1288</v>
      </c>
      <c r="N3073" t="s">
        <v>1289</v>
      </c>
      <c r="Q3073">
        <v>29473</v>
      </c>
      <c r="R3073" t="s">
        <v>967</v>
      </c>
      <c r="S3073" t="s">
        <v>15576</v>
      </c>
      <c r="T3073">
        <v>29</v>
      </c>
      <c r="U3073" s="2" t="s">
        <v>1509</v>
      </c>
      <c r="V3073" s="1">
        <v>45547</v>
      </c>
      <c r="W3073" t="s">
        <v>1292</v>
      </c>
      <c r="X3073">
        <v>110023539</v>
      </c>
      <c r="Y3073" t="s">
        <v>18838</v>
      </c>
      <c r="Z3073" t="e">
        <f ca="1">-COLLECT Installation QUALIFICATION report</f>
        <v>#NAME?</v>
      </c>
      <c r="AA3073" t="e">
        <f ca="1">-PERFORM GeneXpert EQUIPMENT Installation _xludf.and workstation Set up</f>
        <v>#NAME?</v>
      </c>
      <c r="AB3073" t="s">
        <v>1293</v>
      </c>
      <c r="AE3073">
        <v>12134</v>
      </c>
      <c r="AG3073" t="s">
        <v>18986</v>
      </c>
      <c r="AH3073" t="s">
        <v>18840</v>
      </c>
      <c r="AI3073" t="s">
        <v>18987</v>
      </c>
    </row>
    <row r="3074" spans="2:35" ht="225">
      <c r="B3074" s="1">
        <v>45562</v>
      </c>
      <c r="C3074" s="1">
        <v>45559</v>
      </c>
      <c r="D3074" t="s">
        <v>4765</v>
      </c>
      <c r="E3074" t="s">
        <v>18988</v>
      </c>
      <c r="F3074" t="s">
        <v>148</v>
      </c>
      <c r="G3074" t="s">
        <v>785</v>
      </c>
      <c r="H3074" t="s">
        <v>39</v>
      </c>
      <c r="I3074" t="s">
        <v>40</v>
      </c>
      <c r="J3074" s="2" t="s">
        <v>190</v>
      </c>
      <c r="K3074" t="s">
        <v>42</v>
      </c>
      <c r="L3074" t="s">
        <v>43</v>
      </c>
      <c r="N3074" t="s">
        <v>44</v>
      </c>
      <c r="Q3074">
        <v>29472</v>
      </c>
      <c r="R3074" t="s">
        <v>322</v>
      </c>
      <c r="S3074" t="s">
        <v>4704</v>
      </c>
      <c r="T3074">
        <v>24</v>
      </c>
      <c r="U3074" s="2" t="s">
        <v>1184</v>
      </c>
      <c r="W3074" t="s">
        <v>153</v>
      </c>
      <c r="X3074">
        <v>110024245</v>
      </c>
      <c r="Y3074" t="s">
        <v>121</v>
      </c>
      <c r="Z3074" t="s">
        <v>122</v>
      </c>
      <c r="AA3074" s="2" t="s">
        <v>9744</v>
      </c>
      <c r="AB3074" t="s">
        <v>2887</v>
      </c>
      <c r="AG3074" t="s">
        <v>18989</v>
      </c>
      <c r="AH3074" t="s">
        <v>6075</v>
      </c>
      <c r="AI3074" t="s">
        <v>18990</v>
      </c>
    </row>
    <row r="3075" spans="2:35" ht="405">
      <c r="B3075" s="1">
        <v>45561</v>
      </c>
      <c r="C3075" s="1">
        <v>45561</v>
      </c>
      <c r="D3075" t="s">
        <v>9653</v>
      </c>
      <c r="E3075" t="s">
        <v>18991</v>
      </c>
      <c r="F3075">
        <v>10</v>
      </c>
      <c r="G3075" t="s">
        <v>2392</v>
      </c>
      <c r="H3075" t="s">
        <v>608</v>
      </c>
      <c r="I3075" t="s">
        <v>40</v>
      </c>
      <c r="J3075" t="s">
        <v>996</v>
      </c>
      <c r="K3075" t="s">
        <v>42</v>
      </c>
      <c r="L3075" t="s">
        <v>610</v>
      </c>
      <c r="N3075" t="s">
        <v>611</v>
      </c>
      <c r="Q3075">
        <v>29471</v>
      </c>
      <c r="R3075" t="s">
        <v>119</v>
      </c>
      <c r="S3075" t="s">
        <v>18992</v>
      </c>
      <c r="T3075">
        <v>26</v>
      </c>
      <c r="U3075" s="2" t="s">
        <v>18993</v>
      </c>
      <c r="W3075" t="s">
        <v>360</v>
      </c>
      <c r="X3075">
        <v>838229</v>
      </c>
      <c r="Y3075" t="s">
        <v>18994</v>
      </c>
      <c r="Z3075" s="2" t="s">
        <v>18995</v>
      </c>
      <c r="AA3075" s="2" t="s">
        <v>18995</v>
      </c>
      <c r="AB3075" s="2" t="s">
        <v>18996</v>
      </c>
      <c r="AG3075" t="s">
        <v>18997</v>
      </c>
      <c r="AH3075" t="s">
        <v>18998</v>
      </c>
      <c r="AI3075" t="s">
        <v>18999</v>
      </c>
    </row>
    <row r="3076" spans="2:35" ht="409.5">
      <c r="B3076" s="1">
        <v>45561</v>
      </c>
      <c r="C3076" s="1">
        <v>45561</v>
      </c>
      <c r="D3076" t="s">
        <v>9642</v>
      </c>
      <c r="E3076" t="s">
        <v>19000</v>
      </c>
      <c r="F3076">
        <v>10</v>
      </c>
      <c r="G3076" t="s">
        <v>2392</v>
      </c>
      <c r="H3076" t="s">
        <v>608</v>
      </c>
      <c r="I3076" t="s">
        <v>40</v>
      </c>
      <c r="J3076" t="s">
        <v>79</v>
      </c>
      <c r="K3076" t="s">
        <v>42</v>
      </c>
      <c r="L3076" t="s">
        <v>610</v>
      </c>
      <c r="N3076" t="s">
        <v>611</v>
      </c>
      <c r="Q3076">
        <v>29470</v>
      </c>
      <c r="R3076" t="s">
        <v>119</v>
      </c>
      <c r="S3076" t="s">
        <v>9644</v>
      </c>
      <c r="T3076">
        <v>25</v>
      </c>
      <c r="U3076" s="2" t="s">
        <v>13161</v>
      </c>
      <c r="W3076" t="s">
        <v>360</v>
      </c>
      <c r="X3076">
        <v>838224</v>
      </c>
      <c r="Y3076" t="s">
        <v>19001</v>
      </c>
      <c r="Z3076" s="2" t="s">
        <v>19002</v>
      </c>
      <c r="AA3076" s="2" t="s">
        <v>19002</v>
      </c>
      <c r="AB3076" t="s">
        <v>1263</v>
      </c>
      <c r="AG3076" t="s">
        <v>19003</v>
      </c>
      <c r="AH3076" t="s">
        <v>19004</v>
      </c>
      <c r="AI3076" t="s">
        <v>19005</v>
      </c>
    </row>
    <row r="3077" spans="2:35" ht="409.5">
      <c r="B3077" s="1">
        <v>45561</v>
      </c>
      <c r="C3077" s="1">
        <v>45561</v>
      </c>
      <c r="D3077" t="s">
        <v>19006</v>
      </c>
      <c r="E3077" t="s">
        <v>19007</v>
      </c>
      <c r="F3077">
        <v>10</v>
      </c>
      <c r="G3077" t="s">
        <v>2392</v>
      </c>
      <c r="H3077" t="s">
        <v>608</v>
      </c>
      <c r="I3077" t="s">
        <v>40</v>
      </c>
      <c r="J3077" t="s">
        <v>79</v>
      </c>
      <c r="K3077" t="s">
        <v>42</v>
      </c>
      <c r="L3077" t="s">
        <v>610</v>
      </c>
      <c r="N3077" t="s">
        <v>611</v>
      </c>
      <c r="Q3077">
        <v>29469</v>
      </c>
      <c r="R3077" t="s">
        <v>119</v>
      </c>
      <c r="S3077" t="s">
        <v>9665</v>
      </c>
      <c r="T3077">
        <v>25</v>
      </c>
      <c r="U3077" s="2" t="s">
        <v>19008</v>
      </c>
      <c r="W3077" t="s">
        <v>360</v>
      </c>
      <c r="X3077">
        <v>838402</v>
      </c>
      <c r="Y3077" t="s">
        <v>19009</v>
      </c>
      <c r="Z3077" s="2" t="s">
        <v>19010</v>
      </c>
      <c r="AA3077" s="2" t="s">
        <v>19011</v>
      </c>
      <c r="AB3077" t="s">
        <v>7886</v>
      </c>
      <c r="AG3077" t="s">
        <v>19012</v>
      </c>
      <c r="AH3077" t="s">
        <v>19013</v>
      </c>
      <c r="AI3077" t="s">
        <v>19014</v>
      </c>
    </row>
    <row r="3078" spans="2:35" ht="240">
      <c r="B3078" s="1">
        <v>45561</v>
      </c>
      <c r="C3078" s="1">
        <v>45561</v>
      </c>
      <c r="D3078" t="s">
        <v>8625</v>
      </c>
      <c r="E3078" t="s">
        <v>19015</v>
      </c>
      <c r="F3078">
        <v>5</v>
      </c>
      <c r="G3078" t="s">
        <v>827</v>
      </c>
      <c r="H3078" t="s">
        <v>39</v>
      </c>
      <c r="I3078" t="s">
        <v>94</v>
      </c>
      <c r="J3078" s="2" t="s">
        <v>41</v>
      </c>
      <c r="K3078" t="s">
        <v>42</v>
      </c>
      <c r="L3078" t="s">
        <v>761</v>
      </c>
      <c r="N3078" t="s">
        <v>762</v>
      </c>
      <c r="Q3078">
        <v>29468</v>
      </c>
      <c r="R3078" t="s">
        <v>119</v>
      </c>
      <c r="S3078" t="s">
        <v>19016</v>
      </c>
      <c r="T3078">
        <v>27</v>
      </c>
      <c r="U3078" s="2" t="s">
        <v>17376</v>
      </c>
      <c r="W3078" t="s">
        <v>765</v>
      </c>
      <c r="X3078">
        <v>838572</v>
      </c>
      <c r="Y3078" t="s">
        <v>19017</v>
      </c>
      <c r="Z3078" s="2" t="s">
        <v>19018</v>
      </c>
      <c r="AA3078" s="2" t="s">
        <v>19019</v>
      </c>
      <c r="AB3078" t="s">
        <v>70</v>
      </c>
      <c r="AG3078" t="s">
        <v>19020</v>
      </c>
      <c r="AH3078" t="s">
        <v>19021</v>
      </c>
      <c r="AI3078" t="s">
        <v>19022</v>
      </c>
    </row>
    <row r="3079" spans="2:35" ht="409.5">
      <c r="B3079" s="1">
        <v>45561</v>
      </c>
      <c r="C3079" s="1">
        <v>45561</v>
      </c>
      <c r="D3079" t="s">
        <v>9878</v>
      </c>
      <c r="E3079" t="s">
        <v>11921</v>
      </c>
      <c r="F3079">
        <v>12</v>
      </c>
      <c r="G3079" t="s">
        <v>5785</v>
      </c>
      <c r="H3079" t="s">
        <v>1473</v>
      </c>
      <c r="I3079" t="s">
        <v>40</v>
      </c>
      <c r="J3079" s="2" t="s">
        <v>1309</v>
      </c>
      <c r="K3079" t="s">
        <v>42</v>
      </c>
      <c r="L3079" t="s">
        <v>296</v>
      </c>
      <c r="N3079" t="s">
        <v>297</v>
      </c>
      <c r="Q3079">
        <v>29467</v>
      </c>
      <c r="R3079" t="s">
        <v>119</v>
      </c>
      <c r="S3079" t="s">
        <v>9880</v>
      </c>
      <c r="T3079">
        <v>22.4</v>
      </c>
      <c r="U3079" s="2" t="s">
        <v>11354</v>
      </c>
      <c r="V3079" s="1">
        <v>45561</v>
      </c>
      <c r="W3079" t="s">
        <v>981</v>
      </c>
      <c r="X3079">
        <v>838542</v>
      </c>
      <c r="Y3079" t="s">
        <v>19023</v>
      </c>
      <c r="Z3079" s="2" t="s">
        <v>19024</v>
      </c>
      <c r="AA3079" s="2" t="s">
        <v>19025</v>
      </c>
      <c r="AB3079" s="2" t="s">
        <v>19026</v>
      </c>
      <c r="AD3079" s="2" t="s">
        <v>19027</v>
      </c>
      <c r="AE3079" t="s">
        <v>19028</v>
      </c>
      <c r="AG3079" t="s">
        <v>19029</v>
      </c>
      <c r="AH3079" t="s">
        <v>19030</v>
      </c>
      <c r="AI3079" t="s">
        <v>19031</v>
      </c>
    </row>
    <row r="3080" spans="2:35" ht="240">
      <c r="B3080" s="1">
        <v>45561</v>
      </c>
      <c r="C3080" s="1">
        <v>45561</v>
      </c>
      <c r="D3080" t="s">
        <v>11255</v>
      </c>
      <c r="E3080" t="s">
        <v>16661</v>
      </c>
      <c r="F3080">
        <v>10</v>
      </c>
      <c r="G3080" t="s">
        <v>8359</v>
      </c>
      <c r="H3080" t="s">
        <v>2125</v>
      </c>
      <c r="I3080" t="s">
        <v>40</v>
      </c>
      <c r="J3080" t="s">
        <v>996</v>
      </c>
      <c r="K3080" t="s">
        <v>42</v>
      </c>
      <c r="L3080" t="s">
        <v>933</v>
      </c>
      <c r="N3080" t="s">
        <v>934</v>
      </c>
      <c r="Q3080">
        <v>29466</v>
      </c>
      <c r="R3080" t="s">
        <v>119</v>
      </c>
      <c r="S3080" t="s">
        <v>16662</v>
      </c>
      <c r="T3080">
        <v>27</v>
      </c>
      <c r="W3080" t="s">
        <v>2127</v>
      </c>
      <c r="X3080">
        <v>838440</v>
      </c>
      <c r="Y3080" t="s">
        <v>19032</v>
      </c>
      <c r="Z3080" t="s">
        <v>4800</v>
      </c>
      <c r="AA3080" t="s">
        <v>18765</v>
      </c>
      <c r="AB3080" s="2" t="s">
        <v>19033</v>
      </c>
      <c r="AG3080" t="s">
        <v>19034</v>
      </c>
      <c r="AH3080" t="s">
        <v>16665</v>
      </c>
      <c r="AI3080" t="s">
        <v>19035</v>
      </c>
    </row>
    <row r="3081" spans="2:35" ht="120">
      <c r="B3081" s="1">
        <v>45561</v>
      </c>
      <c r="C3081" s="1">
        <v>45561</v>
      </c>
      <c r="D3081" t="s">
        <v>7890</v>
      </c>
      <c r="E3081" t="s">
        <v>6356</v>
      </c>
      <c r="F3081">
        <v>6</v>
      </c>
      <c r="G3081" t="s">
        <v>1286</v>
      </c>
      <c r="H3081" t="s">
        <v>1498</v>
      </c>
      <c r="I3081" t="s">
        <v>40</v>
      </c>
      <c r="J3081" s="2" t="s">
        <v>62</v>
      </c>
      <c r="K3081" t="s">
        <v>42</v>
      </c>
      <c r="L3081" t="s">
        <v>343</v>
      </c>
      <c r="N3081" t="s">
        <v>344</v>
      </c>
      <c r="Q3081">
        <v>29465</v>
      </c>
      <c r="R3081" t="s">
        <v>119</v>
      </c>
      <c r="S3081" t="s">
        <v>6358</v>
      </c>
      <c r="T3081">
        <v>31</v>
      </c>
      <c r="U3081" s="2" t="s">
        <v>19036</v>
      </c>
      <c r="V3081" s="1">
        <v>45538</v>
      </c>
      <c r="W3081" t="s">
        <v>12910</v>
      </c>
      <c r="X3081">
        <v>838393</v>
      </c>
      <c r="Y3081" t="s">
        <v>3191</v>
      </c>
      <c r="Z3081" t="e">
        <f ca="1">-run XpertCheck CALIBRATION on ALL four modules</f>
        <v>#NAME?</v>
      </c>
      <c r="AA3081" t="e">
        <f ca="1">-Preventive Maintenance
-XpertCheck CALIBRATION</f>
        <v>#NAME?</v>
      </c>
      <c r="AB3081" t="s">
        <v>19037</v>
      </c>
      <c r="AD3081" s="2" t="s">
        <v>19038</v>
      </c>
      <c r="AE3081" t="s">
        <v>19039</v>
      </c>
      <c r="AG3081" t="s">
        <v>19040</v>
      </c>
      <c r="AH3081" t="s">
        <v>7895</v>
      </c>
      <c r="AI3081" t="s">
        <v>19041</v>
      </c>
    </row>
    <row r="3082" spans="2:35" ht="120">
      <c r="B3082" s="1">
        <v>45561</v>
      </c>
      <c r="C3082" s="1">
        <v>45561</v>
      </c>
      <c r="D3082" t="s">
        <v>7890</v>
      </c>
      <c r="E3082" t="s">
        <v>6356</v>
      </c>
      <c r="F3082">
        <v>6</v>
      </c>
      <c r="G3082" t="s">
        <v>1286</v>
      </c>
      <c r="H3082" t="s">
        <v>1498</v>
      </c>
      <c r="I3082" t="s">
        <v>40</v>
      </c>
      <c r="J3082" s="2" t="s">
        <v>62</v>
      </c>
      <c r="K3082" t="s">
        <v>42</v>
      </c>
      <c r="L3082" t="s">
        <v>343</v>
      </c>
      <c r="N3082" t="s">
        <v>344</v>
      </c>
      <c r="Q3082">
        <v>29464</v>
      </c>
      <c r="R3082" t="s">
        <v>119</v>
      </c>
      <c r="S3082" t="s">
        <v>6358</v>
      </c>
      <c r="T3082">
        <v>31</v>
      </c>
      <c r="U3082" s="2" t="s">
        <v>19036</v>
      </c>
      <c r="V3082" s="1">
        <v>45538</v>
      </c>
      <c r="W3082" t="s">
        <v>12910</v>
      </c>
      <c r="X3082">
        <v>838393</v>
      </c>
      <c r="Y3082" t="s">
        <v>3191</v>
      </c>
      <c r="Z3082" t="e">
        <f ca="1">-run XpertCheck CALIBRATION on ALL four modules</f>
        <v>#NAME?</v>
      </c>
      <c r="AA3082" t="e">
        <f ca="1">-Preventive Maintenance
-XpertCheck CALIBRATION</f>
        <v>#NAME?</v>
      </c>
      <c r="AB3082" t="s">
        <v>19037</v>
      </c>
      <c r="AD3082" s="2" t="s">
        <v>19038</v>
      </c>
      <c r="AE3082" t="s">
        <v>19039</v>
      </c>
      <c r="AG3082" t="s">
        <v>19042</v>
      </c>
      <c r="AH3082" t="s">
        <v>7895</v>
      </c>
      <c r="AI3082" t="s">
        <v>19043</v>
      </c>
    </row>
    <row r="3083" spans="2:35" ht="105">
      <c r="B3083" s="1">
        <v>45561</v>
      </c>
      <c r="C3083" s="1">
        <v>45561</v>
      </c>
      <c r="D3083" t="s">
        <v>9179</v>
      </c>
      <c r="E3083" t="s">
        <v>9180</v>
      </c>
      <c r="F3083">
        <v>9</v>
      </c>
      <c r="G3083" t="s">
        <v>2197</v>
      </c>
      <c r="H3083" t="s">
        <v>39</v>
      </c>
      <c r="I3083" t="s">
        <v>94</v>
      </c>
      <c r="J3083" t="s">
        <v>996</v>
      </c>
      <c r="K3083" t="s">
        <v>42</v>
      </c>
      <c r="L3083" t="s">
        <v>1257</v>
      </c>
      <c r="N3083" t="s">
        <v>1258</v>
      </c>
      <c r="O3083" t="s">
        <v>1258</v>
      </c>
      <c r="Q3083">
        <v>29463</v>
      </c>
      <c r="R3083" t="s">
        <v>119</v>
      </c>
      <c r="S3083" t="s">
        <v>1258</v>
      </c>
      <c r="T3083">
        <v>28</v>
      </c>
      <c r="U3083" s="2" t="s">
        <v>12652</v>
      </c>
      <c r="V3083" s="1">
        <v>45540</v>
      </c>
      <c r="W3083" t="s">
        <v>17323</v>
      </c>
      <c r="X3083">
        <v>838443</v>
      </c>
      <c r="Y3083" t="s">
        <v>301</v>
      </c>
      <c r="Z3083" t="s">
        <v>19044</v>
      </c>
      <c r="AA3083" t="s">
        <v>19045</v>
      </c>
      <c r="AB3083" t="s">
        <v>19046</v>
      </c>
      <c r="AC3083" t="s">
        <v>19047</v>
      </c>
      <c r="AD3083" t="s">
        <v>5255</v>
      </c>
      <c r="AE3083">
        <v>12038</v>
      </c>
      <c r="AG3083" t="s">
        <v>19048</v>
      </c>
      <c r="AH3083" t="s">
        <v>9183</v>
      </c>
      <c r="AI3083" t="s">
        <v>19049</v>
      </c>
    </row>
    <row r="3084" spans="2:35" ht="105">
      <c r="B3084" s="1">
        <v>45561</v>
      </c>
      <c r="C3084" s="1">
        <v>45561</v>
      </c>
      <c r="D3084" t="s">
        <v>7951</v>
      </c>
      <c r="E3084" t="s">
        <v>19050</v>
      </c>
      <c r="F3084">
        <v>6</v>
      </c>
      <c r="G3084" t="s">
        <v>5216</v>
      </c>
      <c r="H3084" t="s">
        <v>202</v>
      </c>
      <c r="I3084" t="s">
        <v>40</v>
      </c>
      <c r="J3084" s="2" t="s">
        <v>62</v>
      </c>
      <c r="K3084" t="s">
        <v>42</v>
      </c>
      <c r="L3084" t="s">
        <v>259</v>
      </c>
      <c r="N3084" t="s">
        <v>260</v>
      </c>
      <c r="Q3084">
        <v>29462</v>
      </c>
      <c r="R3084" t="s">
        <v>119</v>
      </c>
      <c r="S3084" t="s">
        <v>13446</v>
      </c>
      <c r="T3084">
        <v>29</v>
      </c>
      <c r="U3084" s="2" t="s">
        <v>19051</v>
      </c>
      <c r="V3084" s="1">
        <v>45561</v>
      </c>
      <c r="W3084" t="s">
        <v>84</v>
      </c>
      <c r="X3084">
        <v>838291</v>
      </c>
      <c r="Y3084" t="s">
        <v>67</v>
      </c>
      <c r="Z3084" t="e">
        <f ca="1">- Preventive Maintenance
- XpertCheck CALIBRATION</f>
        <v>#NAME?</v>
      </c>
      <c r="AA3084" t="e">
        <f ca="1">- performed Preventive Maintenance
- performed XpertCheck CALIBRATION
- Generate reports</f>
        <v>#NAME?</v>
      </c>
      <c r="AB3084" t="s">
        <v>70</v>
      </c>
      <c r="AD3084" t="s">
        <v>948</v>
      </c>
      <c r="AE3084">
        <v>11953</v>
      </c>
      <c r="AG3084" t="s">
        <v>19052</v>
      </c>
      <c r="AH3084" t="s">
        <v>19053</v>
      </c>
      <c r="AI3084" t="s">
        <v>19054</v>
      </c>
    </row>
    <row r="3085" spans="2:35" ht="105">
      <c r="B3085" s="1">
        <v>45561</v>
      </c>
      <c r="C3085" s="1">
        <v>45561</v>
      </c>
      <c r="D3085" t="s">
        <v>13444</v>
      </c>
      <c r="E3085" t="s">
        <v>7952</v>
      </c>
      <c r="F3085">
        <v>6</v>
      </c>
      <c r="G3085" t="s">
        <v>1286</v>
      </c>
      <c r="H3085" t="s">
        <v>1047</v>
      </c>
      <c r="I3085" t="s">
        <v>40</v>
      </c>
      <c r="J3085" t="s">
        <v>321</v>
      </c>
      <c r="K3085" t="s">
        <v>42</v>
      </c>
      <c r="L3085" t="s">
        <v>1288</v>
      </c>
      <c r="N3085" t="s">
        <v>1289</v>
      </c>
      <c r="Q3085">
        <v>29461</v>
      </c>
      <c r="R3085" t="s">
        <v>967</v>
      </c>
      <c r="S3085" t="s">
        <v>13446</v>
      </c>
      <c r="T3085">
        <v>26</v>
      </c>
      <c r="U3085" s="2" t="s">
        <v>1509</v>
      </c>
      <c r="V3085" s="1">
        <v>45547</v>
      </c>
      <c r="W3085" t="s">
        <v>1292</v>
      </c>
      <c r="X3085">
        <v>110023537</v>
      </c>
      <c r="Y3085" t="s">
        <v>18838</v>
      </c>
      <c r="Z3085" t="e">
        <f ca="1">-COLLECT Installation QUALIFICATION report</f>
        <v>#NAME?</v>
      </c>
      <c r="AA3085" t="e">
        <f ca="1">-Setup GeneXpert workstation
-PERFORM GeneXpert EQUIPMENT Installation
-system Unit:CPH1023F47084</f>
        <v>#NAME?</v>
      </c>
      <c r="AB3085" t="s">
        <v>1293</v>
      </c>
      <c r="AE3085">
        <v>12132</v>
      </c>
      <c r="AG3085" t="s">
        <v>19055</v>
      </c>
      <c r="AH3085" t="s">
        <v>15607</v>
      </c>
      <c r="AI3085" t="s">
        <v>19056</v>
      </c>
    </row>
    <row r="3086" spans="2:35" ht="105">
      <c r="B3086" s="1">
        <v>45561</v>
      </c>
      <c r="C3086" s="1">
        <v>45561</v>
      </c>
      <c r="D3086" t="s">
        <v>16504</v>
      </c>
      <c r="E3086" t="s">
        <v>19057</v>
      </c>
      <c r="F3086">
        <v>6</v>
      </c>
      <c r="G3086" t="s">
        <v>1286</v>
      </c>
      <c r="H3086" t="s">
        <v>39</v>
      </c>
      <c r="I3086" t="s">
        <v>40</v>
      </c>
      <c r="J3086" t="s">
        <v>321</v>
      </c>
      <c r="K3086" t="s">
        <v>42</v>
      </c>
      <c r="L3086" t="s">
        <v>1288</v>
      </c>
      <c r="N3086" t="s">
        <v>1289</v>
      </c>
      <c r="Q3086">
        <v>29460</v>
      </c>
      <c r="R3086" t="s">
        <v>967</v>
      </c>
      <c r="S3086" t="s">
        <v>10807</v>
      </c>
      <c r="T3086">
        <v>24</v>
      </c>
      <c r="U3086" s="2" t="s">
        <v>1509</v>
      </c>
      <c r="V3086" s="1">
        <v>45547</v>
      </c>
      <c r="W3086" t="s">
        <v>1292</v>
      </c>
      <c r="X3086">
        <v>110023528</v>
      </c>
      <c r="Y3086" t="s">
        <v>18838</v>
      </c>
      <c r="Z3086" t="e">
        <f ca="1">-COLLECT Installation QUALIFICATION report</f>
        <v>#NAME?</v>
      </c>
      <c r="AA3086" t="e">
        <f ca="1">-PERFORM GeneXpert workstation Set up _xludf.and GeneXpert EQUIPMENT Installation
-system Unit SN : CPH1023F47171</f>
        <v>#NAME?</v>
      </c>
      <c r="AB3086" t="s">
        <v>1293</v>
      </c>
      <c r="AE3086">
        <v>12123</v>
      </c>
      <c r="AG3086" t="s">
        <v>19058</v>
      </c>
      <c r="AH3086" t="s">
        <v>16509</v>
      </c>
      <c r="AI3086" t="s">
        <v>19059</v>
      </c>
    </row>
    <row r="3087" spans="2:35" ht="105">
      <c r="B3087" s="1">
        <v>45561</v>
      </c>
      <c r="C3087" s="1">
        <v>45560</v>
      </c>
      <c r="D3087" t="s">
        <v>9139</v>
      </c>
      <c r="E3087" t="s">
        <v>1285</v>
      </c>
      <c r="F3087">
        <v>6</v>
      </c>
      <c r="G3087" t="s">
        <v>1286</v>
      </c>
      <c r="H3087" t="s">
        <v>39</v>
      </c>
      <c r="I3087" t="s">
        <v>40</v>
      </c>
      <c r="J3087" t="s">
        <v>321</v>
      </c>
      <c r="K3087" t="s">
        <v>42</v>
      </c>
      <c r="L3087" t="s">
        <v>1288</v>
      </c>
      <c r="N3087" t="s">
        <v>1289</v>
      </c>
      <c r="O3087" t="s">
        <v>19060</v>
      </c>
      <c r="Q3087">
        <v>29459</v>
      </c>
      <c r="R3087" t="s">
        <v>967</v>
      </c>
      <c r="S3087" t="s">
        <v>5385</v>
      </c>
      <c r="T3087">
        <v>20</v>
      </c>
      <c r="U3087" s="2" t="s">
        <v>1509</v>
      </c>
      <c r="V3087" s="1">
        <v>45547</v>
      </c>
      <c r="W3087" t="s">
        <v>1292</v>
      </c>
      <c r="X3087">
        <v>110023529</v>
      </c>
      <c r="Y3087" t="s">
        <v>18838</v>
      </c>
      <c r="Z3087" t="e">
        <f ca="1">-COLLECT Installation QUALIFICATION report</f>
        <v>#NAME?</v>
      </c>
      <c r="AA3087" t="e">
        <f ca="1">-PERFORM GX EQUIPMENT Installation _xludf.and workstation Setup
-system Unit SN:CPH1023F46956</f>
        <v>#NAME?</v>
      </c>
      <c r="AB3087" t="s">
        <v>1293</v>
      </c>
      <c r="AE3087">
        <v>12124</v>
      </c>
      <c r="AG3087" t="s">
        <v>19061</v>
      </c>
      <c r="AH3087" t="s">
        <v>10240</v>
      </c>
      <c r="AI3087" t="s">
        <v>19062</v>
      </c>
    </row>
    <row r="3088" spans="2:35" ht="270">
      <c r="B3088" s="1">
        <v>45561</v>
      </c>
      <c r="C3088" s="1">
        <v>45561</v>
      </c>
      <c r="D3088" t="s">
        <v>9147</v>
      </c>
      <c r="E3088" t="s">
        <v>19063</v>
      </c>
      <c r="F3088">
        <v>6</v>
      </c>
      <c r="G3088" t="s">
        <v>1234</v>
      </c>
      <c r="H3088" t="s">
        <v>258</v>
      </c>
      <c r="I3088" t="s">
        <v>40</v>
      </c>
      <c r="J3088" s="2" t="s">
        <v>1157</v>
      </c>
      <c r="K3088" t="s">
        <v>42</v>
      </c>
      <c r="L3088" t="s">
        <v>594</v>
      </c>
      <c r="N3088" t="s">
        <v>595</v>
      </c>
      <c r="O3088" t="s">
        <v>19064</v>
      </c>
      <c r="Q3088">
        <v>29458</v>
      </c>
      <c r="R3088" t="s">
        <v>119</v>
      </c>
      <c r="S3088" t="s">
        <v>19065</v>
      </c>
      <c r="T3088">
        <v>31.6</v>
      </c>
      <c r="V3088" s="1">
        <v>45561</v>
      </c>
      <c r="W3088" t="s">
        <v>666</v>
      </c>
      <c r="X3088">
        <v>838523</v>
      </c>
      <c r="Y3088" t="s">
        <v>19066</v>
      </c>
      <c r="Z3088" s="2" t="s">
        <v>19067</v>
      </c>
      <c r="AA3088" t="s">
        <v>19068</v>
      </c>
      <c r="AB3088" t="s">
        <v>19069</v>
      </c>
      <c r="AC3088" t="s">
        <v>19070</v>
      </c>
      <c r="AG3088" t="s">
        <v>19071</v>
      </c>
      <c r="AH3088" t="s">
        <v>19072</v>
      </c>
      <c r="AI3088" t="s">
        <v>19073</v>
      </c>
    </row>
    <row r="3089" spans="2:35">
      <c r="B3089" s="1">
        <v>45561</v>
      </c>
      <c r="C3089" s="1">
        <v>45561</v>
      </c>
      <c r="D3089" t="s">
        <v>19074</v>
      </c>
      <c r="E3089" t="s">
        <v>19075</v>
      </c>
      <c r="F3089">
        <v>10</v>
      </c>
      <c r="G3089" t="s">
        <v>8359</v>
      </c>
      <c r="H3089" t="s">
        <v>2125</v>
      </c>
      <c r="I3089" t="s">
        <v>40</v>
      </c>
      <c r="J3089" t="s">
        <v>996</v>
      </c>
      <c r="K3089" t="s">
        <v>42</v>
      </c>
      <c r="L3089" t="s">
        <v>933</v>
      </c>
      <c r="N3089" t="s">
        <v>934</v>
      </c>
      <c r="Q3089">
        <v>29457</v>
      </c>
      <c r="R3089" t="s">
        <v>119</v>
      </c>
      <c r="S3089" t="s">
        <v>19076</v>
      </c>
      <c r="T3089">
        <v>28</v>
      </c>
      <c r="W3089" t="s">
        <v>2127</v>
      </c>
      <c r="X3089">
        <v>838547</v>
      </c>
      <c r="Y3089" t="s">
        <v>301</v>
      </c>
      <c r="Z3089" t="s">
        <v>301</v>
      </c>
      <c r="AA3089" t="s">
        <v>18765</v>
      </c>
      <c r="AB3089" t="s">
        <v>2131</v>
      </c>
      <c r="AG3089" t="s">
        <v>19077</v>
      </c>
      <c r="AH3089" t="s">
        <v>19078</v>
      </c>
      <c r="AI3089" t="s">
        <v>19079</v>
      </c>
    </row>
    <row r="3090" spans="2:35" ht="225">
      <c r="B3090" s="1">
        <v>45560</v>
      </c>
      <c r="C3090" s="1">
        <v>45560</v>
      </c>
      <c r="D3090" t="s">
        <v>16626</v>
      </c>
      <c r="E3090" t="s">
        <v>19080</v>
      </c>
      <c r="F3090">
        <v>10</v>
      </c>
      <c r="G3090" t="s">
        <v>8359</v>
      </c>
      <c r="H3090" t="s">
        <v>2125</v>
      </c>
      <c r="I3090" t="s">
        <v>40</v>
      </c>
      <c r="J3090" s="2" t="s">
        <v>1309</v>
      </c>
      <c r="K3090" t="s">
        <v>42</v>
      </c>
      <c r="L3090" t="s">
        <v>933</v>
      </c>
      <c r="N3090" t="s">
        <v>934</v>
      </c>
      <c r="Q3090">
        <v>29456</v>
      </c>
      <c r="R3090" t="s">
        <v>119</v>
      </c>
      <c r="S3090" t="s">
        <v>16628</v>
      </c>
      <c r="T3090">
        <v>27</v>
      </c>
      <c r="W3090" t="s">
        <v>2127</v>
      </c>
      <c r="X3090">
        <v>838271</v>
      </c>
      <c r="Y3090" s="2" t="s">
        <v>19081</v>
      </c>
      <c r="Z3090" s="2" t="s">
        <v>19082</v>
      </c>
      <c r="AA3090" s="2" t="s">
        <v>19083</v>
      </c>
      <c r="AB3090" s="2" t="s">
        <v>19084</v>
      </c>
      <c r="AG3090" t="s">
        <v>19085</v>
      </c>
      <c r="AH3090" t="s">
        <v>19086</v>
      </c>
      <c r="AI3090" t="s">
        <v>19087</v>
      </c>
    </row>
    <row r="3091" spans="2:35" ht="409.5">
      <c r="B3091" s="1">
        <v>45560</v>
      </c>
      <c r="C3091" s="1">
        <v>45560</v>
      </c>
      <c r="D3091" t="s">
        <v>7325</v>
      </c>
      <c r="E3091" t="s">
        <v>7326</v>
      </c>
      <c r="F3091">
        <v>12</v>
      </c>
      <c r="G3091" t="s">
        <v>978</v>
      </c>
      <c r="H3091" t="s">
        <v>1473</v>
      </c>
      <c r="I3091" t="s">
        <v>40</v>
      </c>
      <c r="J3091" s="2" t="s">
        <v>1309</v>
      </c>
      <c r="K3091" t="s">
        <v>42</v>
      </c>
      <c r="L3091" t="s">
        <v>296</v>
      </c>
      <c r="N3091" t="s">
        <v>297</v>
      </c>
      <c r="Q3091">
        <v>29454</v>
      </c>
      <c r="R3091" t="s">
        <v>119</v>
      </c>
      <c r="S3091" t="s">
        <v>7327</v>
      </c>
      <c r="T3091">
        <v>27.1</v>
      </c>
      <c r="U3091" s="2" t="s">
        <v>19088</v>
      </c>
      <c r="V3091" s="1">
        <v>45560</v>
      </c>
      <c r="W3091" t="s">
        <v>981</v>
      </c>
      <c r="X3091">
        <v>838265</v>
      </c>
      <c r="Y3091" t="s">
        <v>19089</v>
      </c>
      <c r="Z3091" s="2" t="s">
        <v>19090</v>
      </c>
      <c r="AA3091" s="2" t="s">
        <v>19091</v>
      </c>
      <c r="AB3091" s="2" t="s">
        <v>19092</v>
      </c>
      <c r="AD3091" s="2" t="s">
        <v>19093</v>
      </c>
      <c r="AE3091" t="s">
        <v>19094</v>
      </c>
      <c r="AG3091" t="s">
        <v>19095</v>
      </c>
      <c r="AH3091" t="s">
        <v>19096</v>
      </c>
      <c r="AI3091" t="s">
        <v>19097</v>
      </c>
    </row>
    <row r="3092" spans="2:35" ht="300">
      <c r="B3092" s="1">
        <v>45560</v>
      </c>
      <c r="C3092" s="1">
        <v>45559</v>
      </c>
      <c r="D3092" t="s">
        <v>5017</v>
      </c>
      <c r="E3092" t="s">
        <v>19098</v>
      </c>
      <c r="F3092">
        <v>12</v>
      </c>
      <c r="G3092" t="s">
        <v>978</v>
      </c>
      <c r="H3092" t="s">
        <v>1473</v>
      </c>
      <c r="I3092" t="s">
        <v>40</v>
      </c>
      <c r="J3092" s="2" t="s">
        <v>62</v>
      </c>
      <c r="K3092" t="s">
        <v>42</v>
      </c>
      <c r="L3092" t="s">
        <v>296</v>
      </c>
      <c r="N3092" t="s">
        <v>297</v>
      </c>
      <c r="Q3092">
        <v>29455</v>
      </c>
      <c r="R3092" t="s">
        <v>119</v>
      </c>
      <c r="S3092" t="s">
        <v>19099</v>
      </c>
      <c r="T3092">
        <v>27.1</v>
      </c>
      <c r="U3092" s="2" t="s">
        <v>19100</v>
      </c>
      <c r="V3092" s="1">
        <v>45559</v>
      </c>
      <c r="W3092" t="s">
        <v>981</v>
      </c>
      <c r="X3092">
        <v>838569</v>
      </c>
      <c r="Y3092" t="s">
        <v>301</v>
      </c>
      <c r="Z3092" s="2" t="s">
        <v>19101</v>
      </c>
      <c r="AA3092" s="2" t="s">
        <v>19102</v>
      </c>
      <c r="AB3092" s="2" t="s">
        <v>19103</v>
      </c>
      <c r="AD3092" s="2" t="s">
        <v>18082</v>
      </c>
      <c r="AE3092" t="s">
        <v>19104</v>
      </c>
      <c r="AG3092" t="s">
        <v>19105</v>
      </c>
      <c r="AH3092" t="s">
        <v>19106</v>
      </c>
      <c r="AI3092" t="s">
        <v>19107</v>
      </c>
    </row>
    <row r="3093" spans="2:35" ht="165">
      <c r="B3093" s="1">
        <v>45560</v>
      </c>
      <c r="C3093" s="1">
        <v>45560</v>
      </c>
      <c r="D3093" t="s">
        <v>17451</v>
      </c>
      <c r="E3093" t="s">
        <v>9506</v>
      </c>
      <c r="F3093">
        <v>6</v>
      </c>
      <c r="G3093" t="s">
        <v>1507</v>
      </c>
      <c r="H3093" t="s">
        <v>39</v>
      </c>
      <c r="I3093" t="s">
        <v>40</v>
      </c>
      <c r="J3093" s="2" t="s">
        <v>62</v>
      </c>
      <c r="K3093" t="s">
        <v>42</v>
      </c>
      <c r="L3093" t="s">
        <v>270</v>
      </c>
      <c r="N3093" t="s">
        <v>2481</v>
      </c>
      <c r="Q3093">
        <v>29453</v>
      </c>
      <c r="R3093" t="s">
        <v>119</v>
      </c>
      <c r="S3093" t="s">
        <v>9508</v>
      </c>
      <c r="T3093">
        <v>26</v>
      </c>
      <c r="V3093" s="1">
        <v>45537</v>
      </c>
      <c r="W3093" t="s">
        <v>3662</v>
      </c>
      <c r="X3093">
        <v>837615</v>
      </c>
      <c r="Y3093" t="s">
        <v>19108</v>
      </c>
      <c r="Z3093" t="s">
        <v>19109</v>
      </c>
      <c r="AA3093" t="s">
        <v>19110</v>
      </c>
      <c r="AB3093" s="2" t="s">
        <v>19111</v>
      </c>
      <c r="AE3093">
        <v>5424</v>
      </c>
      <c r="AG3093" t="s">
        <v>19112</v>
      </c>
      <c r="AH3093" t="s">
        <v>9512</v>
      </c>
      <c r="AI3093" t="s">
        <v>19113</v>
      </c>
    </row>
    <row r="3094" spans="2:35" ht="105">
      <c r="B3094" s="1">
        <v>45560</v>
      </c>
      <c r="C3094" s="1">
        <v>45560</v>
      </c>
      <c r="D3094" t="s">
        <v>9139</v>
      </c>
      <c r="E3094" t="s">
        <v>1285</v>
      </c>
      <c r="F3094">
        <v>6</v>
      </c>
      <c r="G3094" t="s">
        <v>1286</v>
      </c>
      <c r="H3094" t="s">
        <v>39</v>
      </c>
      <c r="I3094" t="s">
        <v>40</v>
      </c>
      <c r="J3094" t="s">
        <v>321</v>
      </c>
      <c r="K3094" t="s">
        <v>42</v>
      </c>
      <c r="L3094" t="s">
        <v>1288</v>
      </c>
      <c r="N3094" t="s">
        <v>1289</v>
      </c>
      <c r="O3094" t="s">
        <v>19060</v>
      </c>
      <c r="Q3094">
        <v>29452</v>
      </c>
      <c r="R3094" t="s">
        <v>119</v>
      </c>
      <c r="S3094" t="s">
        <v>5385</v>
      </c>
      <c r="T3094">
        <v>20</v>
      </c>
      <c r="U3094" s="2" t="s">
        <v>1509</v>
      </c>
      <c r="V3094" s="1">
        <v>45547</v>
      </c>
      <c r="W3094" t="s">
        <v>1292</v>
      </c>
      <c r="X3094">
        <v>110023529</v>
      </c>
      <c r="Y3094" t="s">
        <v>18838</v>
      </c>
      <c r="Z3094" t="e">
        <f ca="1">-COLLECT Installation QUALIFICATION report</f>
        <v>#NAME?</v>
      </c>
      <c r="AA3094" t="e">
        <f ca="1">-PERFORM GX EQUIPMENT Installation _xludf.and workstation Setup
-system Unit SN:CPH1023F46956</f>
        <v>#NAME?</v>
      </c>
      <c r="AB3094" t="s">
        <v>1293</v>
      </c>
      <c r="AE3094">
        <v>12124</v>
      </c>
      <c r="AG3094" t="s">
        <v>19061</v>
      </c>
      <c r="AH3094" t="s">
        <v>10240</v>
      </c>
      <c r="AI3094" t="s">
        <v>19062</v>
      </c>
    </row>
    <row r="3095" spans="2:35" ht="180">
      <c r="B3095" s="1">
        <v>45560</v>
      </c>
      <c r="C3095" s="1">
        <v>45560</v>
      </c>
      <c r="D3095" t="s">
        <v>5087</v>
      </c>
      <c r="E3095" t="s">
        <v>19114</v>
      </c>
      <c r="F3095" t="s">
        <v>148</v>
      </c>
      <c r="G3095" t="s">
        <v>447</v>
      </c>
      <c r="H3095" t="s">
        <v>4735</v>
      </c>
      <c r="I3095" t="s">
        <v>40</v>
      </c>
      <c r="J3095" t="s">
        <v>79</v>
      </c>
      <c r="K3095" t="s">
        <v>408</v>
      </c>
      <c r="L3095" t="s">
        <v>448</v>
      </c>
      <c r="N3095" t="s">
        <v>450</v>
      </c>
      <c r="O3095" t="s">
        <v>650</v>
      </c>
      <c r="P3095" t="s">
        <v>19115</v>
      </c>
      <c r="Q3095">
        <v>29451</v>
      </c>
      <c r="R3095" t="s">
        <v>322</v>
      </c>
      <c r="S3095" t="s">
        <v>650</v>
      </c>
      <c r="T3095">
        <v>26</v>
      </c>
      <c r="V3095" s="1">
        <v>45555</v>
      </c>
      <c r="W3095" t="s">
        <v>1878</v>
      </c>
      <c r="X3095" t="s">
        <v>19116</v>
      </c>
      <c r="Y3095" t="s">
        <v>19117</v>
      </c>
      <c r="Z3095" s="2" t="s">
        <v>19118</v>
      </c>
      <c r="AA3095" t="s">
        <v>19119</v>
      </c>
      <c r="AB3095" t="s">
        <v>486</v>
      </c>
      <c r="AD3095" t="s">
        <v>19120</v>
      </c>
      <c r="AE3095" t="s">
        <v>19121</v>
      </c>
      <c r="AG3095" t="s">
        <v>19122</v>
      </c>
      <c r="AH3095" t="s">
        <v>5087</v>
      </c>
      <c r="AI3095" t="s">
        <v>19123</v>
      </c>
    </row>
    <row r="3096" spans="2:35" ht="409.5">
      <c r="B3096" s="1">
        <v>45560</v>
      </c>
      <c r="C3096" s="1">
        <v>45560</v>
      </c>
      <c r="D3096" t="s">
        <v>19124</v>
      </c>
      <c r="E3096" t="s">
        <v>15820</v>
      </c>
      <c r="F3096">
        <v>6</v>
      </c>
      <c r="G3096" t="s">
        <v>1286</v>
      </c>
      <c r="H3096" t="s">
        <v>1498</v>
      </c>
      <c r="I3096" t="s">
        <v>40</v>
      </c>
      <c r="J3096" t="s">
        <v>321</v>
      </c>
      <c r="K3096" t="s">
        <v>42</v>
      </c>
      <c r="L3096" t="s">
        <v>343</v>
      </c>
      <c r="N3096" t="s">
        <v>344</v>
      </c>
      <c r="Q3096">
        <v>29450</v>
      </c>
      <c r="R3096" t="s">
        <v>967</v>
      </c>
      <c r="S3096" t="s">
        <v>19125</v>
      </c>
      <c r="T3096">
        <v>24</v>
      </c>
      <c r="V3096" s="1">
        <v>45547</v>
      </c>
      <c r="W3096" t="s">
        <v>2949</v>
      </c>
      <c r="X3096">
        <v>110023532</v>
      </c>
      <c r="Y3096" t="s">
        <v>301</v>
      </c>
      <c r="Z3096" t="s">
        <v>301</v>
      </c>
      <c r="AA3096" s="2" t="s">
        <v>19126</v>
      </c>
      <c r="AB3096" t="s">
        <v>348</v>
      </c>
      <c r="AD3096" s="2" t="s">
        <v>19127</v>
      </c>
      <c r="AE3096" t="s">
        <v>19128</v>
      </c>
      <c r="AG3096" t="s">
        <v>19129</v>
      </c>
      <c r="AH3096" t="s">
        <v>5339</v>
      </c>
      <c r="AI3096" t="s">
        <v>19130</v>
      </c>
    </row>
    <row r="3097" spans="2:35" ht="225">
      <c r="B3097" s="1">
        <v>45560</v>
      </c>
      <c r="C3097" s="1">
        <v>45560</v>
      </c>
      <c r="D3097" t="s">
        <v>19131</v>
      </c>
      <c r="E3097" t="s">
        <v>7477</v>
      </c>
      <c r="F3097">
        <v>11</v>
      </c>
      <c r="G3097" t="s">
        <v>1205</v>
      </c>
      <c r="H3097" t="s">
        <v>202</v>
      </c>
      <c r="I3097" t="s">
        <v>40</v>
      </c>
      <c r="J3097" t="s">
        <v>79</v>
      </c>
      <c r="K3097" t="s">
        <v>42</v>
      </c>
      <c r="L3097" t="s">
        <v>204</v>
      </c>
      <c r="N3097" t="s">
        <v>205</v>
      </c>
      <c r="Q3097">
        <v>29449</v>
      </c>
      <c r="R3097" t="s">
        <v>119</v>
      </c>
      <c r="S3097" t="s">
        <v>7478</v>
      </c>
      <c r="T3097">
        <v>23.5</v>
      </c>
      <c r="W3097" t="s">
        <v>208</v>
      </c>
      <c r="X3097">
        <v>838507</v>
      </c>
      <c r="Y3097" t="s">
        <v>19132</v>
      </c>
      <c r="Z3097" s="2" t="s">
        <v>19133</v>
      </c>
      <c r="AA3097" t="s">
        <v>19134</v>
      </c>
      <c r="AB3097" s="2" t="s">
        <v>19135</v>
      </c>
      <c r="AG3097" t="s">
        <v>19136</v>
      </c>
      <c r="AH3097" t="s">
        <v>13502</v>
      </c>
      <c r="AI3097" t="s">
        <v>19137</v>
      </c>
    </row>
    <row r="3098" spans="2:35" ht="360">
      <c r="B3098" s="1">
        <v>45560</v>
      </c>
      <c r="C3098" s="1">
        <v>45560</v>
      </c>
      <c r="D3098" t="s">
        <v>15797</v>
      </c>
      <c r="E3098" t="s">
        <v>19138</v>
      </c>
      <c r="F3098">
        <v>6</v>
      </c>
      <c r="G3098" t="s">
        <v>1286</v>
      </c>
      <c r="H3098" t="s">
        <v>202</v>
      </c>
      <c r="I3098" t="s">
        <v>40</v>
      </c>
      <c r="J3098" t="s">
        <v>321</v>
      </c>
      <c r="K3098" t="s">
        <v>42</v>
      </c>
      <c r="L3098" t="s">
        <v>259</v>
      </c>
      <c r="N3098" t="s">
        <v>260</v>
      </c>
      <c r="Q3098">
        <v>29448</v>
      </c>
      <c r="R3098" t="s">
        <v>967</v>
      </c>
      <c r="S3098" t="s">
        <v>14199</v>
      </c>
      <c r="T3098">
        <v>28</v>
      </c>
      <c r="V3098" s="1">
        <v>45560</v>
      </c>
      <c r="W3098" t="s">
        <v>423</v>
      </c>
      <c r="X3098">
        <v>110023531</v>
      </c>
      <c r="Y3098" t="s">
        <v>263</v>
      </c>
      <c r="Z3098" t="s">
        <v>263</v>
      </c>
      <c r="AA3098" s="2" t="s">
        <v>19139</v>
      </c>
      <c r="AB3098" t="s">
        <v>181</v>
      </c>
      <c r="AG3098" t="s">
        <v>19140</v>
      </c>
      <c r="AH3098" t="s">
        <v>19141</v>
      </c>
      <c r="AI3098" t="s">
        <v>19142</v>
      </c>
    </row>
    <row r="3099" spans="2:35">
      <c r="B3099" s="1">
        <v>45560</v>
      </c>
      <c r="C3099" s="1">
        <v>45560</v>
      </c>
      <c r="D3099" t="s">
        <v>172</v>
      </c>
      <c r="E3099" t="s">
        <v>15680</v>
      </c>
      <c r="F3099">
        <v>6</v>
      </c>
      <c r="G3099" t="s">
        <v>1286</v>
      </c>
      <c r="H3099" t="s">
        <v>39</v>
      </c>
      <c r="I3099" t="s">
        <v>40</v>
      </c>
      <c r="J3099" t="s">
        <v>321</v>
      </c>
      <c r="K3099" t="s">
        <v>42</v>
      </c>
      <c r="L3099" t="s">
        <v>270</v>
      </c>
      <c r="N3099" t="s">
        <v>2481</v>
      </c>
      <c r="Q3099">
        <v>29447</v>
      </c>
      <c r="R3099" t="s">
        <v>119</v>
      </c>
      <c r="S3099" t="s">
        <v>1527</v>
      </c>
      <c r="T3099">
        <v>26</v>
      </c>
      <c r="V3099" s="1">
        <v>45547</v>
      </c>
      <c r="W3099" t="s">
        <v>19143</v>
      </c>
      <c r="X3099">
        <v>110023536</v>
      </c>
      <c r="Y3099" t="s">
        <v>301</v>
      </c>
      <c r="Z3099" t="s">
        <v>19144</v>
      </c>
      <c r="AA3099" t="e">
        <f ca="1">- installed new GeneXpert unit.
- re-orient end user on basic machine operation, Maintenance, _xludf.and results archiving.</f>
        <v>#NAME?</v>
      </c>
      <c r="AB3099" t="s">
        <v>4668</v>
      </c>
      <c r="AE3099" t="s">
        <v>19145</v>
      </c>
      <c r="AG3099" t="s">
        <v>19146</v>
      </c>
      <c r="AH3099" t="s">
        <v>19147</v>
      </c>
      <c r="AI3099" t="s">
        <v>19148</v>
      </c>
    </row>
    <row r="3100" spans="2:35" ht="105">
      <c r="B3100" s="1">
        <v>45560</v>
      </c>
      <c r="C3100" s="1">
        <v>45560</v>
      </c>
      <c r="D3100" t="s">
        <v>8539</v>
      </c>
      <c r="E3100" t="s">
        <v>8540</v>
      </c>
      <c r="F3100">
        <v>9</v>
      </c>
      <c r="G3100" t="s">
        <v>2197</v>
      </c>
      <c r="H3100" t="s">
        <v>39</v>
      </c>
      <c r="I3100" t="s">
        <v>94</v>
      </c>
      <c r="J3100" t="s">
        <v>996</v>
      </c>
      <c r="K3100" t="s">
        <v>42</v>
      </c>
      <c r="L3100" t="s">
        <v>1257</v>
      </c>
      <c r="N3100" t="s">
        <v>1258</v>
      </c>
      <c r="O3100" t="s">
        <v>1258</v>
      </c>
      <c r="Q3100">
        <v>29446</v>
      </c>
      <c r="R3100" t="s">
        <v>119</v>
      </c>
      <c r="S3100" t="s">
        <v>19149</v>
      </c>
      <c r="T3100">
        <v>25</v>
      </c>
      <c r="U3100" s="2" t="s">
        <v>19150</v>
      </c>
      <c r="V3100" s="1">
        <v>45540</v>
      </c>
      <c r="W3100" t="s">
        <v>18473</v>
      </c>
      <c r="X3100">
        <v>838533</v>
      </c>
      <c r="Y3100" t="s">
        <v>19151</v>
      </c>
      <c r="Z3100" t="s">
        <v>19152</v>
      </c>
      <c r="AA3100" t="s">
        <v>19152</v>
      </c>
      <c r="AB3100" t="s">
        <v>19153</v>
      </c>
      <c r="AC3100" t="s">
        <v>19154</v>
      </c>
      <c r="AD3100" t="s">
        <v>5255</v>
      </c>
      <c r="AE3100">
        <v>12033</v>
      </c>
      <c r="AG3100" t="s">
        <v>19155</v>
      </c>
      <c r="AH3100" t="s">
        <v>9494</v>
      </c>
      <c r="AI3100" t="s">
        <v>19156</v>
      </c>
    </row>
    <row r="3101" spans="2:35" ht="300">
      <c r="B3101" s="1">
        <v>45560</v>
      </c>
      <c r="C3101" s="1">
        <v>45560</v>
      </c>
      <c r="D3101" t="s">
        <v>15154</v>
      </c>
      <c r="E3101" t="s">
        <v>19157</v>
      </c>
      <c r="F3101">
        <v>5</v>
      </c>
      <c r="G3101" t="s">
        <v>827</v>
      </c>
      <c r="H3101" t="s">
        <v>39</v>
      </c>
      <c r="I3101" t="s">
        <v>94</v>
      </c>
      <c r="J3101" s="2" t="s">
        <v>41</v>
      </c>
      <c r="K3101" t="s">
        <v>42</v>
      </c>
      <c r="L3101" t="s">
        <v>761</v>
      </c>
      <c r="N3101" t="s">
        <v>762</v>
      </c>
      <c r="Q3101">
        <v>29445</v>
      </c>
      <c r="R3101" t="s">
        <v>119</v>
      </c>
      <c r="S3101" t="s">
        <v>10740</v>
      </c>
      <c r="T3101">
        <v>29</v>
      </c>
      <c r="U3101" s="2" t="s">
        <v>19158</v>
      </c>
      <c r="W3101" t="s">
        <v>765</v>
      </c>
      <c r="X3101">
        <v>838267</v>
      </c>
      <c r="Y3101" t="s">
        <v>19159</v>
      </c>
      <c r="Z3101" s="2" t="s">
        <v>19160</v>
      </c>
      <c r="AA3101" s="2" t="s">
        <v>19161</v>
      </c>
      <c r="AB3101" t="s">
        <v>70</v>
      </c>
      <c r="AG3101" t="s">
        <v>19162</v>
      </c>
      <c r="AH3101" t="s">
        <v>10743</v>
      </c>
      <c r="AI3101" t="s">
        <v>19163</v>
      </c>
    </row>
    <row r="3102" spans="2:35" ht="105">
      <c r="B3102" s="1">
        <v>45560</v>
      </c>
      <c r="C3102" s="1">
        <v>45560</v>
      </c>
      <c r="D3102" t="s">
        <v>14852</v>
      </c>
      <c r="E3102" t="s">
        <v>18307</v>
      </c>
      <c r="F3102">
        <v>6</v>
      </c>
      <c r="G3102" t="s">
        <v>1286</v>
      </c>
      <c r="H3102" t="s">
        <v>10969</v>
      </c>
      <c r="I3102" t="s">
        <v>40</v>
      </c>
      <c r="J3102" t="s">
        <v>321</v>
      </c>
      <c r="K3102" t="s">
        <v>42</v>
      </c>
      <c r="L3102" t="s">
        <v>1288</v>
      </c>
      <c r="N3102" t="s">
        <v>1289</v>
      </c>
      <c r="Q3102">
        <v>29444</v>
      </c>
      <c r="R3102" t="s">
        <v>967</v>
      </c>
      <c r="S3102" t="s">
        <v>5417</v>
      </c>
      <c r="T3102">
        <v>22</v>
      </c>
      <c r="U3102" s="2" t="s">
        <v>1509</v>
      </c>
      <c r="V3102" s="1">
        <v>45547</v>
      </c>
      <c r="W3102" t="s">
        <v>1292</v>
      </c>
      <c r="X3102">
        <v>110023530</v>
      </c>
      <c r="Y3102" t="s">
        <v>18838</v>
      </c>
      <c r="Z3102" t="e">
        <f ca="1">-COLLECT Installation QUALIFICATION report</f>
        <v>#NAME?</v>
      </c>
      <c r="AA3102" t="e">
        <f ca="1">-PERFORM GeneXpert EQUIPMENT Installation</f>
        <v>#NAME?</v>
      </c>
      <c r="AB3102" t="s">
        <v>1293</v>
      </c>
      <c r="AE3102">
        <v>12125</v>
      </c>
      <c r="AG3102" t="s">
        <v>19164</v>
      </c>
      <c r="AH3102" t="s">
        <v>5420</v>
      </c>
      <c r="AI3102" t="s">
        <v>19165</v>
      </c>
    </row>
    <row r="3103" spans="2:35" ht="255">
      <c r="B3103" s="1">
        <v>45560</v>
      </c>
      <c r="C3103" s="1">
        <v>45560</v>
      </c>
      <c r="D3103" t="s">
        <v>19166</v>
      </c>
      <c r="E3103" t="s">
        <v>8484</v>
      </c>
      <c r="F3103">
        <v>10</v>
      </c>
      <c r="G3103" t="s">
        <v>1395</v>
      </c>
      <c r="H3103" t="s">
        <v>2125</v>
      </c>
      <c r="I3103" t="s">
        <v>40</v>
      </c>
      <c r="J3103" s="2" t="s">
        <v>1309</v>
      </c>
      <c r="K3103" t="s">
        <v>42</v>
      </c>
      <c r="L3103" t="s">
        <v>933</v>
      </c>
      <c r="N3103" t="s">
        <v>934</v>
      </c>
      <c r="Q3103">
        <v>29443</v>
      </c>
      <c r="R3103" t="s">
        <v>119</v>
      </c>
      <c r="S3103" t="s">
        <v>12065</v>
      </c>
      <c r="T3103">
        <v>27</v>
      </c>
      <c r="W3103" t="s">
        <v>19167</v>
      </c>
      <c r="X3103">
        <v>838574</v>
      </c>
      <c r="Y3103" t="s">
        <v>19168</v>
      </c>
      <c r="Z3103" s="2" t="s">
        <v>19082</v>
      </c>
      <c r="AA3103" s="2" t="s">
        <v>19169</v>
      </c>
      <c r="AB3103" s="2" t="s">
        <v>19170</v>
      </c>
      <c r="AG3103" t="s">
        <v>19171</v>
      </c>
      <c r="AH3103" t="s">
        <v>8488</v>
      </c>
      <c r="AI3103" t="s">
        <v>19172</v>
      </c>
    </row>
    <row r="3104" spans="2:35" ht="409.5">
      <c r="B3104" s="1">
        <v>45559</v>
      </c>
      <c r="C3104" s="1">
        <v>45559</v>
      </c>
      <c r="D3104" t="s">
        <v>1203</v>
      </c>
      <c r="E3104" t="s">
        <v>19173</v>
      </c>
      <c r="F3104">
        <v>11</v>
      </c>
      <c r="G3104" t="s">
        <v>1205</v>
      </c>
      <c r="H3104" t="s">
        <v>19174</v>
      </c>
      <c r="I3104" t="s">
        <v>40</v>
      </c>
      <c r="J3104" s="2" t="s">
        <v>1899</v>
      </c>
      <c r="K3104" t="s">
        <v>387</v>
      </c>
      <c r="L3104" t="s">
        <v>204</v>
      </c>
      <c r="N3104" t="s">
        <v>205</v>
      </c>
      <c r="O3104" t="s">
        <v>2867</v>
      </c>
      <c r="Q3104">
        <v>29442</v>
      </c>
      <c r="R3104" t="s">
        <v>95</v>
      </c>
      <c r="S3104" t="s">
        <v>6315</v>
      </c>
      <c r="T3104">
        <v>22.6</v>
      </c>
      <c r="V3104" s="1">
        <v>45552</v>
      </c>
      <c r="W3104" t="s">
        <v>14911</v>
      </c>
      <c r="X3104" t="s">
        <v>15523</v>
      </c>
      <c r="Y3104" t="s">
        <v>19175</v>
      </c>
      <c r="Z3104" s="2" t="s">
        <v>19176</v>
      </c>
      <c r="AA3104" s="2" t="s">
        <v>19177</v>
      </c>
      <c r="AB3104" t="s">
        <v>19178</v>
      </c>
      <c r="AD3104" t="s">
        <v>19179</v>
      </c>
      <c r="AE3104" t="s">
        <v>19180</v>
      </c>
      <c r="AG3104" t="s">
        <v>19181</v>
      </c>
      <c r="AH3104" t="s">
        <v>19182</v>
      </c>
      <c r="AI3104" t="s">
        <v>19183</v>
      </c>
    </row>
    <row r="3105" spans="2:35" ht="270">
      <c r="B3105" s="1">
        <v>45559</v>
      </c>
      <c r="C3105" s="1">
        <v>45559</v>
      </c>
      <c r="D3105" t="s">
        <v>4091</v>
      </c>
      <c r="E3105" t="s">
        <v>19184</v>
      </c>
      <c r="F3105">
        <v>5</v>
      </c>
      <c r="G3105" t="s">
        <v>827</v>
      </c>
      <c r="H3105" t="s">
        <v>39</v>
      </c>
      <c r="I3105" t="s">
        <v>94</v>
      </c>
      <c r="J3105" s="2" t="s">
        <v>41</v>
      </c>
      <c r="K3105" t="s">
        <v>42</v>
      </c>
      <c r="L3105" t="s">
        <v>761</v>
      </c>
      <c r="N3105" t="s">
        <v>762</v>
      </c>
      <c r="Q3105">
        <v>29441</v>
      </c>
      <c r="R3105" t="s">
        <v>119</v>
      </c>
      <c r="S3105" t="s">
        <v>9895</v>
      </c>
      <c r="T3105">
        <v>25</v>
      </c>
      <c r="U3105" s="2" t="s">
        <v>19185</v>
      </c>
      <c r="W3105" t="s">
        <v>765</v>
      </c>
      <c r="X3105">
        <v>838268</v>
      </c>
      <c r="Y3105" t="s">
        <v>19186</v>
      </c>
      <c r="Z3105" s="2" t="s">
        <v>19187</v>
      </c>
      <c r="AA3105" s="2" t="s">
        <v>19188</v>
      </c>
      <c r="AB3105" t="s">
        <v>70</v>
      </c>
      <c r="AG3105" t="s">
        <v>19189</v>
      </c>
      <c r="AH3105" t="s">
        <v>19190</v>
      </c>
      <c r="AI3105" t="s">
        <v>19191</v>
      </c>
    </row>
    <row r="3106" spans="2:35" ht="270">
      <c r="B3106" s="1">
        <v>45559</v>
      </c>
      <c r="C3106" s="1">
        <v>45559</v>
      </c>
      <c r="D3106" t="s">
        <v>5378</v>
      </c>
      <c r="E3106" t="s">
        <v>5379</v>
      </c>
      <c r="F3106">
        <v>6</v>
      </c>
      <c r="G3106" t="s">
        <v>1507</v>
      </c>
      <c r="H3106" t="s">
        <v>258</v>
      </c>
      <c r="I3106" t="s">
        <v>40</v>
      </c>
      <c r="J3106" t="s">
        <v>321</v>
      </c>
      <c r="K3106" t="s">
        <v>42</v>
      </c>
      <c r="L3106" t="s">
        <v>1288</v>
      </c>
      <c r="N3106" t="s">
        <v>1289</v>
      </c>
      <c r="Q3106">
        <v>29440</v>
      </c>
      <c r="R3106" t="s">
        <v>119</v>
      </c>
      <c r="S3106" t="s">
        <v>5380</v>
      </c>
      <c r="T3106">
        <v>25</v>
      </c>
      <c r="U3106" s="2" t="s">
        <v>1509</v>
      </c>
      <c r="W3106" t="s">
        <v>3662</v>
      </c>
      <c r="X3106">
        <v>110023543</v>
      </c>
      <c r="Y3106" t="s">
        <v>18921</v>
      </c>
      <c r="Z3106" t="s">
        <v>18921</v>
      </c>
      <c r="AA3106" s="2" t="s">
        <v>19192</v>
      </c>
      <c r="AB3106" t="s">
        <v>4668</v>
      </c>
      <c r="AG3106" t="s">
        <v>19193</v>
      </c>
      <c r="AH3106" t="s">
        <v>19194</v>
      </c>
      <c r="AI3106" t="s">
        <v>19195</v>
      </c>
    </row>
    <row r="3107" spans="2:35" ht="409.5">
      <c r="B3107" s="1">
        <v>45559</v>
      </c>
      <c r="C3107" s="1">
        <v>45559</v>
      </c>
      <c r="D3107" t="s">
        <v>5353</v>
      </c>
      <c r="E3107" t="s">
        <v>19196</v>
      </c>
      <c r="F3107">
        <v>6</v>
      </c>
      <c r="G3107" t="s">
        <v>1507</v>
      </c>
      <c r="H3107" t="s">
        <v>202</v>
      </c>
      <c r="I3107" t="s">
        <v>40</v>
      </c>
      <c r="J3107" t="s">
        <v>321</v>
      </c>
      <c r="K3107" t="s">
        <v>42</v>
      </c>
      <c r="L3107" t="s">
        <v>259</v>
      </c>
      <c r="N3107" t="s">
        <v>260</v>
      </c>
      <c r="Q3107">
        <v>29439</v>
      </c>
      <c r="R3107" t="s">
        <v>967</v>
      </c>
      <c r="S3107" t="s">
        <v>5355</v>
      </c>
      <c r="T3107">
        <v>29</v>
      </c>
      <c r="V3107" s="1">
        <v>45559</v>
      </c>
      <c r="W3107" t="s">
        <v>84</v>
      </c>
      <c r="X3107">
        <v>110023541</v>
      </c>
      <c r="Y3107" t="s">
        <v>263</v>
      </c>
      <c r="Z3107" t="s">
        <v>263</v>
      </c>
      <c r="AA3107" s="2" t="s">
        <v>19197</v>
      </c>
      <c r="AB3107" t="s">
        <v>181</v>
      </c>
      <c r="AG3107" t="s">
        <v>19198</v>
      </c>
      <c r="AH3107" t="s">
        <v>19199</v>
      </c>
      <c r="AI3107" t="s">
        <v>19200</v>
      </c>
    </row>
    <row r="3108" spans="2:35" ht="409.5">
      <c r="B3108" s="1">
        <v>45559</v>
      </c>
      <c r="C3108" s="1">
        <v>45559</v>
      </c>
      <c r="D3108" t="s">
        <v>19201</v>
      </c>
      <c r="E3108" t="s">
        <v>3365</v>
      </c>
      <c r="F3108">
        <v>6</v>
      </c>
      <c r="G3108" t="s">
        <v>1286</v>
      </c>
      <c r="H3108" t="s">
        <v>39</v>
      </c>
      <c r="I3108" t="s">
        <v>40</v>
      </c>
      <c r="J3108" t="s">
        <v>321</v>
      </c>
      <c r="K3108" t="s">
        <v>42</v>
      </c>
      <c r="L3108" t="s">
        <v>343</v>
      </c>
      <c r="N3108" t="s">
        <v>344</v>
      </c>
      <c r="Q3108">
        <v>29438</v>
      </c>
      <c r="R3108" t="s">
        <v>967</v>
      </c>
      <c r="S3108" t="s">
        <v>3366</v>
      </c>
      <c r="T3108">
        <v>25</v>
      </c>
      <c r="V3108" s="1">
        <v>45547</v>
      </c>
      <c r="W3108" t="s">
        <v>2949</v>
      </c>
      <c r="X3108">
        <v>110023526</v>
      </c>
      <c r="Y3108" t="s">
        <v>301</v>
      </c>
      <c r="Z3108" t="s">
        <v>301</v>
      </c>
      <c r="AA3108" s="2" t="s">
        <v>19202</v>
      </c>
      <c r="AB3108" t="s">
        <v>348</v>
      </c>
      <c r="AD3108" s="2" t="s">
        <v>19203</v>
      </c>
      <c r="AE3108" t="s">
        <v>19204</v>
      </c>
      <c r="AG3108" t="s">
        <v>19205</v>
      </c>
      <c r="AH3108" t="s">
        <v>19206</v>
      </c>
      <c r="AI3108" t="s">
        <v>19207</v>
      </c>
    </row>
    <row r="3109" spans="2:35" ht="409.5">
      <c r="B3109" s="1">
        <v>45559</v>
      </c>
      <c r="C3109" s="1">
        <v>45559</v>
      </c>
      <c r="D3109" t="s">
        <v>19208</v>
      </c>
      <c r="E3109" t="s">
        <v>2569</v>
      </c>
      <c r="F3109" t="s">
        <v>148</v>
      </c>
      <c r="G3109" t="s">
        <v>447</v>
      </c>
      <c r="H3109" t="s">
        <v>2570</v>
      </c>
      <c r="I3109" t="s">
        <v>40</v>
      </c>
      <c r="J3109" t="s">
        <v>109</v>
      </c>
      <c r="K3109" t="s">
        <v>42</v>
      </c>
      <c r="L3109" t="s">
        <v>448</v>
      </c>
      <c r="N3109" t="s">
        <v>450</v>
      </c>
      <c r="O3109" t="s">
        <v>2808</v>
      </c>
      <c r="Q3109">
        <v>29437</v>
      </c>
      <c r="R3109" t="s">
        <v>95</v>
      </c>
      <c r="S3109" t="s">
        <v>2571</v>
      </c>
      <c r="T3109">
        <v>31</v>
      </c>
      <c r="U3109" s="2" t="s">
        <v>19209</v>
      </c>
      <c r="W3109" t="s">
        <v>6128</v>
      </c>
      <c r="X3109">
        <v>807155</v>
      </c>
      <c r="Y3109" t="s">
        <v>19210</v>
      </c>
      <c r="Z3109" s="2" t="s">
        <v>2011</v>
      </c>
      <c r="AA3109" t="s">
        <v>122</v>
      </c>
      <c r="AB3109" s="2" t="s">
        <v>19211</v>
      </c>
      <c r="AG3109" t="s">
        <v>19212</v>
      </c>
      <c r="AH3109" t="s">
        <v>19213</v>
      </c>
      <c r="AI3109" t="s">
        <v>19214</v>
      </c>
    </row>
    <row r="3110" spans="2:35" ht="180">
      <c r="B3110" s="1">
        <v>45559</v>
      </c>
      <c r="C3110" s="1">
        <v>45559</v>
      </c>
      <c r="D3110" t="s">
        <v>9223</v>
      </c>
      <c r="E3110" t="s">
        <v>2569</v>
      </c>
      <c r="F3110" t="s">
        <v>148</v>
      </c>
      <c r="G3110" t="s">
        <v>447</v>
      </c>
      <c r="H3110" t="s">
        <v>150</v>
      </c>
      <c r="I3110" t="s">
        <v>40</v>
      </c>
      <c r="J3110" t="s">
        <v>525</v>
      </c>
      <c r="K3110" t="s">
        <v>42</v>
      </c>
      <c r="L3110" t="s">
        <v>448</v>
      </c>
      <c r="N3110" t="s">
        <v>450</v>
      </c>
      <c r="O3110" t="s">
        <v>2808</v>
      </c>
      <c r="Q3110">
        <v>29436</v>
      </c>
      <c r="R3110" t="s">
        <v>95</v>
      </c>
      <c r="S3110" t="s">
        <v>2809</v>
      </c>
      <c r="T3110">
        <v>28</v>
      </c>
      <c r="U3110" s="2" t="s">
        <v>19215</v>
      </c>
      <c r="W3110" t="s">
        <v>6121</v>
      </c>
      <c r="X3110">
        <v>839234</v>
      </c>
      <c r="Y3110" t="s">
        <v>19216</v>
      </c>
      <c r="Z3110" s="2" t="s">
        <v>2011</v>
      </c>
      <c r="AA3110" t="s">
        <v>4487</v>
      </c>
      <c r="AB3110" s="2" t="s">
        <v>19217</v>
      </c>
      <c r="AG3110" t="s">
        <v>19218</v>
      </c>
      <c r="AH3110" t="s">
        <v>11567</v>
      </c>
      <c r="AI3110" t="s">
        <v>19219</v>
      </c>
    </row>
    <row r="3111" spans="2:35" ht="210">
      <c r="B3111" s="1">
        <v>45559</v>
      </c>
      <c r="C3111" s="1">
        <v>45559</v>
      </c>
      <c r="D3111" t="s">
        <v>2221</v>
      </c>
      <c r="E3111" t="s">
        <v>2221</v>
      </c>
      <c r="F3111">
        <v>9</v>
      </c>
      <c r="G3111" t="s">
        <v>2197</v>
      </c>
      <c r="H3111" t="s">
        <v>39</v>
      </c>
      <c r="I3111" t="s">
        <v>94</v>
      </c>
      <c r="J3111" s="2" t="s">
        <v>18472</v>
      </c>
      <c r="K3111" t="s">
        <v>42</v>
      </c>
      <c r="L3111" t="s">
        <v>1257</v>
      </c>
      <c r="N3111" t="s">
        <v>1258</v>
      </c>
      <c r="O3111" t="s">
        <v>1258</v>
      </c>
      <c r="Q3111">
        <v>29435</v>
      </c>
      <c r="R3111" t="s">
        <v>119</v>
      </c>
      <c r="S3111" t="s">
        <v>19220</v>
      </c>
      <c r="T3111">
        <v>27</v>
      </c>
      <c r="U3111" s="2" t="s">
        <v>19221</v>
      </c>
      <c r="V3111" s="1">
        <v>45533</v>
      </c>
      <c r="W3111" t="s">
        <v>17323</v>
      </c>
      <c r="X3111">
        <v>838204</v>
      </c>
      <c r="Y3111" t="s">
        <v>19222</v>
      </c>
      <c r="Z3111" t="s">
        <v>19223</v>
      </c>
      <c r="AA3111" t="s">
        <v>19223</v>
      </c>
      <c r="AB3111" t="s">
        <v>19224</v>
      </c>
      <c r="AC3111" t="s">
        <v>19225</v>
      </c>
      <c r="AD3111" t="s">
        <v>19226</v>
      </c>
      <c r="AE3111" t="s">
        <v>19227</v>
      </c>
      <c r="AG3111" t="s">
        <v>19228</v>
      </c>
      <c r="AH3111" t="s">
        <v>19229</v>
      </c>
      <c r="AI3111" t="s">
        <v>19230</v>
      </c>
    </row>
    <row r="3112" spans="2:35" ht="345">
      <c r="B3112" s="1">
        <v>45559</v>
      </c>
      <c r="C3112" s="1">
        <v>45558</v>
      </c>
      <c r="D3112" t="s">
        <v>6844</v>
      </c>
      <c r="E3112" t="s">
        <v>8927</v>
      </c>
      <c r="F3112">
        <v>12</v>
      </c>
      <c r="G3112" t="s">
        <v>294</v>
      </c>
      <c r="H3112" t="s">
        <v>1473</v>
      </c>
      <c r="I3112" t="s">
        <v>40</v>
      </c>
      <c r="J3112" s="2" t="s">
        <v>62</v>
      </c>
      <c r="K3112" t="s">
        <v>42</v>
      </c>
      <c r="L3112" t="s">
        <v>296</v>
      </c>
      <c r="N3112" t="s">
        <v>297</v>
      </c>
      <c r="Q3112">
        <v>29434</v>
      </c>
      <c r="R3112" t="s">
        <v>119</v>
      </c>
      <c r="S3112" t="s">
        <v>6846</v>
      </c>
      <c r="T3112">
        <v>27.6</v>
      </c>
      <c r="U3112" s="2" t="s">
        <v>13516</v>
      </c>
      <c r="V3112" s="1">
        <v>45558</v>
      </c>
      <c r="W3112" t="s">
        <v>981</v>
      </c>
      <c r="X3112">
        <v>838261</v>
      </c>
      <c r="Y3112" t="s">
        <v>16344</v>
      </c>
      <c r="Z3112" s="2" t="s">
        <v>19231</v>
      </c>
      <c r="AA3112" s="2" t="s">
        <v>19232</v>
      </c>
      <c r="AB3112" s="2" t="s">
        <v>19233</v>
      </c>
      <c r="AD3112" s="2" t="s">
        <v>19234</v>
      </c>
      <c r="AE3112" t="s">
        <v>19235</v>
      </c>
      <c r="AG3112" t="s">
        <v>19236</v>
      </c>
      <c r="AH3112" t="s">
        <v>19237</v>
      </c>
      <c r="AI3112" t="s">
        <v>19238</v>
      </c>
    </row>
    <row r="3113" spans="2:35" ht="135">
      <c r="B3113" s="1">
        <v>45559</v>
      </c>
      <c r="C3113" s="1">
        <v>45559</v>
      </c>
      <c r="D3113" t="s">
        <v>12460</v>
      </c>
      <c r="E3113" t="s">
        <v>10197</v>
      </c>
      <c r="F3113">
        <v>6</v>
      </c>
      <c r="G3113" t="s">
        <v>1507</v>
      </c>
      <c r="H3113" t="s">
        <v>39</v>
      </c>
      <c r="I3113" t="s">
        <v>40</v>
      </c>
      <c r="J3113" s="2" t="s">
        <v>41</v>
      </c>
      <c r="K3113" t="s">
        <v>42</v>
      </c>
      <c r="L3113" t="s">
        <v>343</v>
      </c>
      <c r="N3113" t="s">
        <v>344</v>
      </c>
      <c r="Q3113">
        <v>29433</v>
      </c>
      <c r="R3113" t="s">
        <v>119</v>
      </c>
      <c r="S3113" t="s">
        <v>10198</v>
      </c>
      <c r="T3113">
        <v>26</v>
      </c>
      <c r="U3113" s="2" t="s">
        <v>10205</v>
      </c>
      <c r="V3113" s="1">
        <v>45537</v>
      </c>
      <c r="W3113" t="s">
        <v>1501</v>
      </c>
      <c r="X3113">
        <v>838296</v>
      </c>
      <c r="Y3113" t="s">
        <v>19239</v>
      </c>
      <c r="Z3113" t="s">
        <v>19240</v>
      </c>
      <c r="AA3113" t="e">
        <f ca="1">-module Replacement
-Preventive Maintenance</f>
        <v>#NAME?</v>
      </c>
      <c r="AB3113" t="s">
        <v>9638</v>
      </c>
      <c r="AD3113" s="2" t="s">
        <v>19241</v>
      </c>
      <c r="AE3113" t="s">
        <v>19242</v>
      </c>
      <c r="AG3113" t="s">
        <v>19243</v>
      </c>
      <c r="AH3113" t="s">
        <v>19244</v>
      </c>
      <c r="AI3113" t="s">
        <v>19245</v>
      </c>
    </row>
    <row r="3114" spans="2:35" ht="225">
      <c r="B3114" s="1">
        <v>45558</v>
      </c>
      <c r="C3114" s="1">
        <v>45558</v>
      </c>
      <c r="D3114" t="s">
        <v>12354</v>
      </c>
      <c r="E3114" t="s">
        <v>11871</v>
      </c>
      <c r="F3114">
        <v>6</v>
      </c>
      <c r="G3114" t="s">
        <v>1507</v>
      </c>
      <c r="H3114" t="s">
        <v>258</v>
      </c>
      <c r="I3114" t="s">
        <v>40</v>
      </c>
      <c r="J3114" t="s">
        <v>321</v>
      </c>
      <c r="K3114" t="s">
        <v>42</v>
      </c>
      <c r="L3114" t="s">
        <v>270</v>
      </c>
      <c r="N3114" t="s">
        <v>2481</v>
      </c>
      <c r="Q3114">
        <v>29432</v>
      </c>
      <c r="R3114" t="s">
        <v>119</v>
      </c>
      <c r="S3114" t="s">
        <v>5329</v>
      </c>
      <c r="T3114">
        <v>25</v>
      </c>
      <c r="W3114" t="s">
        <v>19246</v>
      </c>
      <c r="X3114">
        <v>110023542</v>
      </c>
      <c r="Y3114" t="s">
        <v>301</v>
      </c>
      <c r="Z3114" t="s">
        <v>19247</v>
      </c>
      <c r="AA3114" s="2" t="s">
        <v>19248</v>
      </c>
      <c r="AB3114" t="s">
        <v>4668</v>
      </c>
      <c r="AG3114" t="s">
        <v>19249</v>
      </c>
      <c r="AH3114" t="s">
        <v>11874</v>
      </c>
      <c r="AI3114" t="s">
        <v>19250</v>
      </c>
    </row>
    <row r="3115" spans="2:35" ht="105">
      <c r="B3115" s="1">
        <v>45558</v>
      </c>
      <c r="C3115" s="1">
        <v>45558</v>
      </c>
      <c r="D3115" t="s">
        <v>19251</v>
      </c>
      <c r="E3115" t="s">
        <v>15610</v>
      </c>
      <c r="F3115">
        <v>6</v>
      </c>
      <c r="G3115" t="s">
        <v>1507</v>
      </c>
      <c r="H3115" t="s">
        <v>10969</v>
      </c>
      <c r="I3115" t="s">
        <v>40</v>
      </c>
      <c r="J3115" t="s">
        <v>321</v>
      </c>
      <c r="K3115" t="s">
        <v>42</v>
      </c>
      <c r="L3115" t="s">
        <v>1288</v>
      </c>
      <c r="N3115" t="s">
        <v>1289</v>
      </c>
      <c r="Q3115">
        <v>29431</v>
      </c>
      <c r="R3115" t="s">
        <v>967</v>
      </c>
      <c r="S3115" t="s">
        <v>19252</v>
      </c>
      <c r="T3115">
        <v>27</v>
      </c>
      <c r="U3115" s="2" t="s">
        <v>1509</v>
      </c>
      <c r="V3115" s="1">
        <v>45547</v>
      </c>
      <c r="W3115" t="s">
        <v>1292</v>
      </c>
      <c r="X3115">
        <v>110022580</v>
      </c>
      <c r="Y3115" t="s">
        <v>18838</v>
      </c>
      <c r="Z3115" t="e">
        <f ca="1">-COLLECT IQR</f>
        <v>#NAME?</v>
      </c>
      <c r="AA3115" t="e">
        <f ca="1">-PERFORM GX workstation Setup _xludf.and Installation
-system Unit SN CPH1023F46953
-conduct training _xludf.For GX operation _xludf.and Maintenance</f>
        <v>#NAME?</v>
      </c>
      <c r="AB3115" t="s">
        <v>1293</v>
      </c>
      <c r="AE3115">
        <v>12139</v>
      </c>
      <c r="AG3115" t="s">
        <v>19253</v>
      </c>
      <c r="AH3115" t="s">
        <v>19254</v>
      </c>
      <c r="AI3115" t="s">
        <v>19255</v>
      </c>
    </row>
    <row r="3116" spans="2:35" ht="405">
      <c r="B3116" s="1">
        <v>45558</v>
      </c>
      <c r="C3116" s="1">
        <v>45558</v>
      </c>
      <c r="D3116" t="s">
        <v>5466</v>
      </c>
      <c r="E3116" t="s">
        <v>19256</v>
      </c>
      <c r="F3116">
        <v>6</v>
      </c>
      <c r="G3116" t="s">
        <v>1286</v>
      </c>
      <c r="H3116" t="s">
        <v>202</v>
      </c>
      <c r="I3116" t="s">
        <v>40</v>
      </c>
      <c r="J3116" t="s">
        <v>321</v>
      </c>
      <c r="K3116" t="s">
        <v>42</v>
      </c>
      <c r="L3116" t="s">
        <v>259</v>
      </c>
      <c r="N3116" t="s">
        <v>260</v>
      </c>
      <c r="Q3116">
        <v>29430</v>
      </c>
      <c r="R3116" t="s">
        <v>967</v>
      </c>
      <c r="S3116" t="s">
        <v>5468</v>
      </c>
      <c r="T3116">
        <v>28</v>
      </c>
      <c r="V3116" s="1">
        <v>45558</v>
      </c>
      <c r="W3116" t="s">
        <v>423</v>
      </c>
      <c r="X3116">
        <v>110023535</v>
      </c>
      <c r="Y3116" t="s">
        <v>263</v>
      </c>
      <c r="Z3116" t="e">
        <f ca="1">- test UPS
- Generate reports (IQR _xludf.and system _xludf.Log)</f>
        <v>#NAME?</v>
      </c>
      <c r="AA3116" s="2" t="s">
        <v>19257</v>
      </c>
      <c r="AB3116" t="s">
        <v>70</v>
      </c>
      <c r="AD3116" s="2" t="s">
        <v>19258</v>
      </c>
      <c r="AE3116" t="s">
        <v>967</v>
      </c>
      <c r="AG3116" t="s">
        <v>19259</v>
      </c>
      <c r="AH3116" t="s">
        <v>15758</v>
      </c>
      <c r="AI3116" t="s">
        <v>19260</v>
      </c>
    </row>
    <row r="3117" spans="2:35" ht="105">
      <c r="B3117" s="1">
        <v>45558</v>
      </c>
      <c r="C3117" s="1">
        <v>45558</v>
      </c>
      <c r="D3117" t="s">
        <v>8074</v>
      </c>
      <c r="E3117" t="s">
        <v>8075</v>
      </c>
      <c r="F3117">
        <v>6</v>
      </c>
      <c r="G3117" t="s">
        <v>4457</v>
      </c>
      <c r="H3117" t="s">
        <v>39</v>
      </c>
      <c r="I3117" t="s">
        <v>40</v>
      </c>
      <c r="J3117" t="s">
        <v>79</v>
      </c>
      <c r="K3117" t="s">
        <v>42</v>
      </c>
      <c r="L3117" t="s">
        <v>343</v>
      </c>
      <c r="N3117" t="s">
        <v>344</v>
      </c>
      <c r="Q3117">
        <v>29429</v>
      </c>
      <c r="R3117" t="s">
        <v>119</v>
      </c>
      <c r="S3117" t="s">
        <v>8076</v>
      </c>
      <c r="T3117">
        <v>25</v>
      </c>
      <c r="U3117" s="2" t="s">
        <v>3973</v>
      </c>
      <c r="V3117" s="1">
        <v>45537</v>
      </c>
      <c r="W3117" t="s">
        <v>1501</v>
      </c>
      <c r="X3117">
        <v>838457</v>
      </c>
      <c r="Y3117" t="s">
        <v>16232</v>
      </c>
      <c r="Z3117" t="s">
        <v>19261</v>
      </c>
      <c r="AA3117" t="e">
        <f ca="1">-module Replacement</f>
        <v>#NAME?</v>
      </c>
      <c r="AB3117" t="s">
        <v>9638</v>
      </c>
      <c r="AE3117" t="s">
        <v>19262</v>
      </c>
      <c r="AG3117" t="s">
        <v>19263</v>
      </c>
      <c r="AH3117" t="s">
        <v>19264</v>
      </c>
      <c r="AI3117" t="s">
        <v>19265</v>
      </c>
    </row>
    <row r="3118" spans="2:35" ht="105">
      <c r="B3118" s="1">
        <v>45558</v>
      </c>
      <c r="C3118" s="1">
        <v>45558</v>
      </c>
      <c r="D3118" t="s">
        <v>8074</v>
      </c>
      <c r="E3118" t="s">
        <v>8075</v>
      </c>
      <c r="F3118">
        <v>6</v>
      </c>
      <c r="G3118" t="s">
        <v>4457</v>
      </c>
      <c r="H3118" t="s">
        <v>39</v>
      </c>
      <c r="I3118" t="s">
        <v>40</v>
      </c>
      <c r="J3118" t="s">
        <v>79</v>
      </c>
      <c r="K3118" t="s">
        <v>42</v>
      </c>
      <c r="L3118" t="s">
        <v>343</v>
      </c>
      <c r="N3118" t="s">
        <v>344</v>
      </c>
      <c r="Q3118">
        <v>29428</v>
      </c>
      <c r="R3118" t="s">
        <v>119</v>
      </c>
      <c r="S3118" t="s">
        <v>8076</v>
      </c>
      <c r="T3118">
        <v>25</v>
      </c>
      <c r="U3118" s="2" t="s">
        <v>3973</v>
      </c>
      <c r="V3118" s="1">
        <v>45537</v>
      </c>
      <c r="W3118" t="s">
        <v>1501</v>
      </c>
      <c r="X3118">
        <v>838457</v>
      </c>
      <c r="Y3118" t="s">
        <v>16232</v>
      </c>
      <c r="Z3118" t="s">
        <v>19261</v>
      </c>
      <c r="AA3118" t="e">
        <f ca="1">-module Replacement</f>
        <v>#NAME?</v>
      </c>
      <c r="AB3118" t="s">
        <v>9638</v>
      </c>
      <c r="AE3118" t="s">
        <v>19262</v>
      </c>
      <c r="AG3118" t="s">
        <v>19266</v>
      </c>
      <c r="AH3118" t="s">
        <v>19264</v>
      </c>
      <c r="AI3118" t="s">
        <v>19267</v>
      </c>
    </row>
    <row r="3119" spans="2:35" ht="409.5">
      <c r="B3119" s="1">
        <v>45558</v>
      </c>
      <c r="C3119" s="1">
        <v>45558</v>
      </c>
      <c r="D3119" t="s">
        <v>7459</v>
      </c>
      <c r="E3119" t="s">
        <v>19268</v>
      </c>
      <c r="F3119">
        <v>11</v>
      </c>
      <c r="G3119" t="s">
        <v>1205</v>
      </c>
      <c r="H3119" t="s">
        <v>202</v>
      </c>
      <c r="I3119" t="s">
        <v>40</v>
      </c>
      <c r="J3119" s="2" t="s">
        <v>62</v>
      </c>
      <c r="K3119" t="s">
        <v>42</v>
      </c>
      <c r="L3119" t="s">
        <v>204</v>
      </c>
      <c r="N3119" t="s">
        <v>205</v>
      </c>
      <c r="Q3119">
        <v>29427</v>
      </c>
      <c r="R3119" t="s">
        <v>119</v>
      </c>
      <c r="S3119" t="s">
        <v>7460</v>
      </c>
      <c r="T3119">
        <v>27.5</v>
      </c>
      <c r="U3119" s="2" t="s">
        <v>19269</v>
      </c>
      <c r="V3119" s="1">
        <v>45539</v>
      </c>
      <c r="W3119" t="s">
        <v>208</v>
      </c>
      <c r="X3119">
        <v>838511</v>
      </c>
      <c r="Y3119" t="s">
        <v>2839</v>
      </c>
      <c r="Z3119" s="2" t="s">
        <v>19270</v>
      </c>
      <c r="AA3119" t="s">
        <v>1620</v>
      </c>
      <c r="AB3119" t="s">
        <v>19271</v>
      </c>
      <c r="AD3119" t="s">
        <v>5365</v>
      </c>
      <c r="AE3119">
        <v>12006</v>
      </c>
      <c r="AG3119" t="s">
        <v>19272</v>
      </c>
      <c r="AH3119" t="s">
        <v>19273</v>
      </c>
      <c r="AI3119" t="s">
        <v>19274</v>
      </c>
    </row>
    <row r="3120" spans="2:35" ht="270">
      <c r="B3120" s="1">
        <v>45558</v>
      </c>
      <c r="C3120" s="4">
        <v>45555.404861111114</v>
      </c>
      <c r="D3120" t="s">
        <v>919</v>
      </c>
      <c r="E3120" t="s">
        <v>19275</v>
      </c>
      <c r="F3120" t="s">
        <v>148</v>
      </c>
      <c r="G3120" t="s">
        <v>310</v>
      </c>
      <c r="H3120" t="s">
        <v>513</v>
      </c>
      <c r="I3120" t="s">
        <v>40</v>
      </c>
      <c r="J3120" s="2" t="s">
        <v>1309</v>
      </c>
      <c r="K3120" t="s">
        <v>387</v>
      </c>
      <c r="L3120" t="s">
        <v>1028</v>
      </c>
      <c r="N3120" t="s">
        <v>1029</v>
      </c>
      <c r="Q3120">
        <v>29424</v>
      </c>
      <c r="R3120" t="s">
        <v>322</v>
      </c>
      <c r="S3120" t="s">
        <v>16290</v>
      </c>
      <c r="T3120">
        <v>25</v>
      </c>
      <c r="V3120" s="1">
        <v>45552</v>
      </c>
      <c r="W3120" t="s">
        <v>390</v>
      </c>
      <c r="X3120" t="s">
        <v>922</v>
      </c>
      <c r="Y3120" s="2" t="s">
        <v>19276</v>
      </c>
      <c r="Z3120" s="2" t="s">
        <v>19277</v>
      </c>
      <c r="AA3120" s="2" t="s">
        <v>19278</v>
      </c>
      <c r="AB3120" s="2" t="s">
        <v>19279</v>
      </c>
      <c r="AD3120" t="s">
        <v>19280</v>
      </c>
      <c r="AE3120">
        <v>12140</v>
      </c>
      <c r="AG3120" t="s">
        <v>19281</v>
      </c>
      <c r="AH3120" t="s">
        <v>5901</v>
      </c>
      <c r="AI3120" t="s">
        <v>19282</v>
      </c>
    </row>
    <row r="3121" spans="2:35" ht="240">
      <c r="B3121" s="1">
        <v>45558</v>
      </c>
      <c r="C3121" s="4">
        <v>45553.486111111109</v>
      </c>
      <c r="D3121" t="s">
        <v>14010</v>
      </c>
      <c r="E3121" t="s">
        <v>14011</v>
      </c>
      <c r="F3121" t="s">
        <v>148</v>
      </c>
      <c r="G3121" t="s">
        <v>774</v>
      </c>
      <c r="H3121" t="s">
        <v>39</v>
      </c>
      <c r="I3121" t="s">
        <v>40</v>
      </c>
      <c r="J3121" t="s">
        <v>109</v>
      </c>
      <c r="K3121" t="s">
        <v>42</v>
      </c>
      <c r="L3121" t="s">
        <v>1028</v>
      </c>
      <c r="N3121" t="s">
        <v>1029</v>
      </c>
      <c r="Q3121">
        <v>29426</v>
      </c>
      <c r="R3121" t="s">
        <v>322</v>
      </c>
      <c r="S3121" t="s">
        <v>14012</v>
      </c>
      <c r="T3121">
        <v>27</v>
      </c>
      <c r="U3121" s="2" t="s">
        <v>19283</v>
      </c>
      <c r="W3121" t="s">
        <v>14014</v>
      </c>
      <c r="X3121">
        <v>110017869</v>
      </c>
      <c r="Y3121" t="s">
        <v>1978</v>
      </c>
      <c r="Z3121" t="s">
        <v>1548</v>
      </c>
      <c r="AA3121" s="2" t="s">
        <v>1979</v>
      </c>
      <c r="AB3121" t="s">
        <v>3300</v>
      </c>
      <c r="AG3121" t="s">
        <v>19284</v>
      </c>
      <c r="AH3121" t="s">
        <v>19285</v>
      </c>
      <c r="AI3121" t="s">
        <v>19286</v>
      </c>
    </row>
    <row r="3122" spans="2:35" ht="409.5">
      <c r="B3122" s="1">
        <v>45558</v>
      </c>
      <c r="C3122" s="4">
        <v>45554.461111111108</v>
      </c>
      <c r="D3122" t="s">
        <v>19287</v>
      </c>
      <c r="E3122" t="s">
        <v>9541</v>
      </c>
      <c r="F3122" t="s">
        <v>148</v>
      </c>
      <c r="G3122" t="s">
        <v>4786</v>
      </c>
      <c r="H3122" t="s">
        <v>662</v>
      </c>
      <c r="I3122" t="s">
        <v>40</v>
      </c>
      <c r="J3122" s="2" t="s">
        <v>6184</v>
      </c>
      <c r="K3122" t="s">
        <v>42</v>
      </c>
      <c r="L3122" t="s">
        <v>1028</v>
      </c>
      <c r="N3122" t="s">
        <v>1029</v>
      </c>
      <c r="Q3122">
        <v>29425</v>
      </c>
      <c r="R3122" t="s">
        <v>95</v>
      </c>
      <c r="S3122" t="s">
        <v>4787</v>
      </c>
      <c r="T3122">
        <v>26</v>
      </c>
      <c r="U3122" s="2" t="s">
        <v>19288</v>
      </c>
      <c r="W3122" t="s">
        <v>1967</v>
      </c>
      <c r="X3122">
        <v>831316</v>
      </c>
      <c r="Y3122" s="2" t="s">
        <v>19289</v>
      </c>
      <c r="Z3122" t="s">
        <v>1548</v>
      </c>
      <c r="AA3122" s="2" t="s">
        <v>19290</v>
      </c>
      <c r="AB3122" s="2" t="s">
        <v>19291</v>
      </c>
      <c r="AC3122" t="s">
        <v>19292</v>
      </c>
      <c r="AG3122" t="s">
        <v>19293</v>
      </c>
      <c r="AH3122" t="s">
        <v>4793</v>
      </c>
      <c r="AI3122" t="s">
        <v>19294</v>
      </c>
    </row>
    <row r="3123" spans="2:35" ht="210">
      <c r="B3123" s="1">
        <v>45558</v>
      </c>
      <c r="C3123" s="4">
        <v>45555.538194444445</v>
      </c>
      <c r="D3123" t="s">
        <v>2257</v>
      </c>
      <c r="E3123" t="s">
        <v>19295</v>
      </c>
      <c r="F3123" t="s">
        <v>37</v>
      </c>
      <c r="G3123" t="s">
        <v>748</v>
      </c>
      <c r="H3123" t="s">
        <v>39</v>
      </c>
      <c r="I3123" t="s">
        <v>40</v>
      </c>
      <c r="J3123" t="s">
        <v>79</v>
      </c>
      <c r="K3123" t="s">
        <v>42</v>
      </c>
      <c r="L3123" t="s">
        <v>1028</v>
      </c>
      <c r="N3123" t="s">
        <v>1029</v>
      </c>
      <c r="Q3123">
        <v>29423</v>
      </c>
      <c r="R3123" t="s">
        <v>119</v>
      </c>
      <c r="S3123" t="s">
        <v>19296</v>
      </c>
      <c r="T3123">
        <v>24</v>
      </c>
      <c r="U3123" s="2" t="s">
        <v>19297</v>
      </c>
      <c r="V3123" s="1">
        <v>45552</v>
      </c>
      <c r="W3123" t="s">
        <v>1967</v>
      </c>
      <c r="X3123">
        <v>838537</v>
      </c>
      <c r="Y3123" t="s">
        <v>19298</v>
      </c>
      <c r="Z3123" t="s">
        <v>2443</v>
      </c>
      <c r="AA3123" s="2" t="s">
        <v>19299</v>
      </c>
      <c r="AB3123" t="s">
        <v>3063</v>
      </c>
      <c r="AC3123" t="s">
        <v>19300</v>
      </c>
      <c r="AD3123" t="s">
        <v>19301</v>
      </c>
      <c r="AE3123">
        <v>12097</v>
      </c>
      <c r="AG3123" t="s">
        <v>19302</v>
      </c>
      <c r="AH3123" t="s">
        <v>19303</v>
      </c>
      <c r="AI3123" t="s">
        <v>19304</v>
      </c>
    </row>
    <row r="3124" spans="2:35" ht="240">
      <c r="B3124" s="1">
        <v>45558</v>
      </c>
      <c r="C3124" s="4">
        <v>45553.487500000003</v>
      </c>
      <c r="D3124" t="s">
        <v>14010</v>
      </c>
      <c r="E3124" t="s">
        <v>14011</v>
      </c>
      <c r="F3124" t="s">
        <v>148</v>
      </c>
      <c r="G3124" t="s">
        <v>774</v>
      </c>
      <c r="H3124" t="s">
        <v>39</v>
      </c>
      <c r="I3124" t="s">
        <v>40</v>
      </c>
      <c r="J3124" t="s">
        <v>109</v>
      </c>
      <c r="K3124" t="s">
        <v>42</v>
      </c>
      <c r="L3124" t="s">
        <v>1028</v>
      </c>
      <c r="N3124" t="s">
        <v>1029</v>
      </c>
      <c r="Q3124">
        <v>29422</v>
      </c>
      <c r="R3124" t="s">
        <v>322</v>
      </c>
      <c r="S3124" t="s">
        <v>14012</v>
      </c>
      <c r="T3124">
        <v>27</v>
      </c>
      <c r="U3124" s="2" t="s">
        <v>19305</v>
      </c>
      <c r="W3124" t="s">
        <v>14014</v>
      </c>
      <c r="X3124">
        <v>110017870</v>
      </c>
      <c r="Y3124" t="s">
        <v>1978</v>
      </c>
      <c r="Z3124" t="s">
        <v>1548</v>
      </c>
      <c r="AA3124" s="2" t="s">
        <v>1979</v>
      </c>
      <c r="AB3124" t="s">
        <v>3300</v>
      </c>
      <c r="AG3124" t="s">
        <v>19306</v>
      </c>
      <c r="AH3124" t="s">
        <v>19285</v>
      </c>
      <c r="AI3124" t="s">
        <v>19307</v>
      </c>
    </row>
    <row r="3125" spans="2:35" ht="225">
      <c r="B3125" s="1">
        <v>45558</v>
      </c>
      <c r="C3125" s="1">
        <v>45554</v>
      </c>
      <c r="D3125" t="s">
        <v>542</v>
      </c>
      <c r="E3125" t="s">
        <v>15941</v>
      </c>
      <c r="F3125" t="s">
        <v>148</v>
      </c>
      <c r="G3125" t="s">
        <v>544</v>
      </c>
      <c r="H3125" t="s">
        <v>39</v>
      </c>
      <c r="I3125" t="s">
        <v>40</v>
      </c>
      <c r="J3125" t="s">
        <v>109</v>
      </c>
      <c r="K3125" t="s">
        <v>42</v>
      </c>
      <c r="L3125" t="s">
        <v>43</v>
      </c>
      <c r="N3125" t="s">
        <v>44</v>
      </c>
      <c r="Q3125">
        <v>29421</v>
      </c>
      <c r="R3125" t="s">
        <v>322</v>
      </c>
      <c r="S3125" t="s">
        <v>15929</v>
      </c>
      <c r="T3125">
        <v>22</v>
      </c>
      <c r="W3125" t="s">
        <v>153</v>
      </c>
      <c r="X3125">
        <v>110016107</v>
      </c>
      <c r="Y3125" t="s">
        <v>121</v>
      </c>
      <c r="Z3125" t="s">
        <v>122</v>
      </c>
      <c r="AA3125" s="2" t="s">
        <v>19308</v>
      </c>
      <c r="AB3125" t="s">
        <v>548</v>
      </c>
      <c r="AG3125" t="s">
        <v>19309</v>
      </c>
      <c r="AH3125" t="s">
        <v>19310</v>
      </c>
      <c r="AI3125" t="s">
        <v>19311</v>
      </c>
    </row>
    <row r="3126" spans="2:35" ht="270">
      <c r="B3126" s="1">
        <v>45558</v>
      </c>
      <c r="C3126" s="1">
        <v>45554</v>
      </c>
      <c r="D3126" t="s">
        <v>542</v>
      </c>
      <c r="E3126" t="s">
        <v>15941</v>
      </c>
      <c r="F3126" t="s">
        <v>148</v>
      </c>
      <c r="G3126" t="s">
        <v>544</v>
      </c>
      <c r="H3126" t="s">
        <v>39</v>
      </c>
      <c r="I3126" t="s">
        <v>40</v>
      </c>
      <c r="J3126" t="s">
        <v>109</v>
      </c>
      <c r="K3126" t="s">
        <v>42</v>
      </c>
      <c r="L3126" t="s">
        <v>43</v>
      </c>
      <c r="N3126" t="s">
        <v>44</v>
      </c>
      <c r="Q3126">
        <v>29420</v>
      </c>
      <c r="R3126" t="s">
        <v>322</v>
      </c>
      <c r="S3126" t="s">
        <v>15929</v>
      </c>
      <c r="T3126">
        <v>24</v>
      </c>
      <c r="U3126" s="2" t="s">
        <v>19312</v>
      </c>
      <c r="W3126" t="s">
        <v>153</v>
      </c>
      <c r="X3126">
        <v>120000613</v>
      </c>
      <c r="Y3126" t="s">
        <v>121</v>
      </c>
      <c r="Z3126" t="s">
        <v>5995</v>
      </c>
      <c r="AA3126" s="2" t="s">
        <v>9744</v>
      </c>
      <c r="AB3126" t="s">
        <v>548</v>
      </c>
      <c r="AG3126" t="s">
        <v>19313</v>
      </c>
      <c r="AH3126" t="s">
        <v>19314</v>
      </c>
      <c r="AI3126" t="s">
        <v>19315</v>
      </c>
    </row>
    <row r="3127" spans="2:35" ht="225">
      <c r="B3127" s="1">
        <v>45558</v>
      </c>
      <c r="C3127" s="1">
        <v>45554</v>
      </c>
      <c r="D3127" t="s">
        <v>542</v>
      </c>
      <c r="E3127" t="s">
        <v>15941</v>
      </c>
      <c r="F3127" t="s">
        <v>148</v>
      </c>
      <c r="G3127" t="s">
        <v>544</v>
      </c>
      <c r="H3127" t="s">
        <v>39</v>
      </c>
      <c r="I3127" t="s">
        <v>40</v>
      </c>
      <c r="J3127" t="s">
        <v>109</v>
      </c>
      <c r="K3127" t="s">
        <v>42</v>
      </c>
      <c r="L3127" t="s">
        <v>43</v>
      </c>
      <c r="N3127" t="s">
        <v>44</v>
      </c>
      <c r="Q3127">
        <v>29419</v>
      </c>
      <c r="R3127" t="s">
        <v>322</v>
      </c>
      <c r="S3127" t="s">
        <v>15929</v>
      </c>
      <c r="T3127">
        <v>22</v>
      </c>
      <c r="W3127" t="s">
        <v>153</v>
      </c>
      <c r="X3127">
        <v>110016107</v>
      </c>
      <c r="Y3127" t="s">
        <v>121</v>
      </c>
      <c r="Z3127" t="s">
        <v>122</v>
      </c>
      <c r="AA3127" s="2" t="s">
        <v>19308</v>
      </c>
      <c r="AB3127" t="s">
        <v>548</v>
      </c>
      <c r="AG3127" t="s">
        <v>19316</v>
      </c>
      <c r="AH3127" t="s">
        <v>19310</v>
      </c>
      <c r="AI3127" t="s">
        <v>19317</v>
      </c>
    </row>
    <row r="3128" spans="2:35" ht="225">
      <c r="B3128" s="1">
        <v>45558</v>
      </c>
      <c r="C3128" s="1">
        <v>45555</v>
      </c>
      <c r="D3128" t="s">
        <v>3030</v>
      </c>
      <c r="E3128" t="s">
        <v>3031</v>
      </c>
      <c r="F3128" t="s">
        <v>37</v>
      </c>
      <c r="G3128" t="s">
        <v>38</v>
      </c>
      <c r="H3128" t="s">
        <v>39</v>
      </c>
      <c r="I3128" t="s">
        <v>40</v>
      </c>
      <c r="J3128" t="s">
        <v>109</v>
      </c>
      <c r="K3128" t="s">
        <v>42</v>
      </c>
      <c r="L3128" t="s">
        <v>43</v>
      </c>
      <c r="N3128" t="s">
        <v>44</v>
      </c>
      <c r="Q3128">
        <v>29418</v>
      </c>
      <c r="R3128" t="s">
        <v>967</v>
      </c>
      <c r="S3128" t="s">
        <v>3032</v>
      </c>
      <c r="T3128">
        <v>24</v>
      </c>
      <c r="U3128" s="2" t="s">
        <v>19318</v>
      </c>
      <c r="W3128" t="s">
        <v>153</v>
      </c>
      <c r="X3128">
        <v>110023496</v>
      </c>
      <c r="Y3128" t="s">
        <v>121</v>
      </c>
      <c r="Z3128" t="s">
        <v>122</v>
      </c>
      <c r="AA3128" s="2" t="s">
        <v>9744</v>
      </c>
      <c r="AB3128" t="s">
        <v>548</v>
      </c>
      <c r="AG3128" t="s">
        <v>19319</v>
      </c>
      <c r="AH3128" t="s">
        <v>3035</v>
      </c>
      <c r="AI3128" t="s">
        <v>19320</v>
      </c>
    </row>
    <row r="3129" spans="2:35" ht="270">
      <c r="B3129" s="1">
        <v>45558</v>
      </c>
      <c r="C3129" s="1">
        <v>45554</v>
      </c>
      <c r="D3129" t="s">
        <v>542</v>
      </c>
      <c r="E3129" t="s">
        <v>15941</v>
      </c>
      <c r="F3129" t="s">
        <v>148</v>
      </c>
      <c r="G3129" t="s">
        <v>544</v>
      </c>
      <c r="H3129" t="s">
        <v>39</v>
      </c>
      <c r="I3129" t="s">
        <v>40</v>
      </c>
      <c r="J3129" t="s">
        <v>109</v>
      </c>
      <c r="K3129" t="s">
        <v>42</v>
      </c>
      <c r="L3129" t="s">
        <v>43</v>
      </c>
      <c r="N3129" t="s">
        <v>44</v>
      </c>
      <c r="Q3129">
        <v>29417</v>
      </c>
      <c r="R3129" t="s">
        <v>322</v>
      </c>
      <c r="S3129" t="s">
        <v>15929</v>
      </c>
      <c r="T3129">
        <v>24</v>
      </c>
      <c r="U3129" s="2" t="s">
        <v>19312</v>
      </c>
      <c r="W3129" t="s">
        <v>153</v>
      </c>
      <c r="X3129">
        <v>120000613</v>
      </c>
      <c r="Y3129" t="s">
        <v>121</v>
      </c>
      <c r="Z3129" t="s">
        <v>5995</v>
      </c>
      <c r="AA3129" s="2" t="s">
        <v>9744</v>
      </c>
      <c r="AB3129" t="s">
        <v>548</v>
      </c>
      <c r="AG3129" t="s">
        <v>19321</v>
      </c>
      <c r="AH3129" t="s">
        <v>19314</v>
      </c>
      <c r="AI3129" t="s">
        <v>19322</v>
      </c>
    </row>
    <row r="3130" spans="2:35" ht="409.5">
      <c r="B3130" s="1">
        <v>45558</v>
      </c>
      <c r="C3130" s="1">
        <v>45553</v>
      </c>
      <c r="D3130" t="s">
        <v>1099</v>
      </c>
      <c r="E3130" t="s">
        <v>6645</v>
      </c>
      <c r="F3130" t="s">
        <v>148</v>
      </c>
      <c r="G3130" t="s">
        <v>406</v>
      </c>
      <c r="H3130" t="s">
        <v>39</v>
      </c>
      <c r="I3130" t="s">
        <v>40</v>
      </c>
      <c r="J3130" t="s">
        <v>109</v>
      </c>
      <c r="K3130" t="s">
        <v>42</v>
      </c>
      <c r="L3130" t="s">
        <v>43</v>
      </c>
      <c r="N3130" t="s">
        <v>44</v>
      </c>
      <c r="O3130" t="s">
        <v>1091</v>
      </c>
      <c r="Q3130">
        <v>29414</v>
      </c>
      <c r="R3130" t="s">
        <v>95</v>
      </c>
      <c r="S3130" t="s">
        <v>5690</v>
      </c>
      <c r="T3130">
        <v>24</v>
      </c>
      <c r="U3130" s="2" t="s">
        <v>19323</v>
      </c>
      <c r="W3130" t="s">
        <v>153</v>
      </c>
      <c r="X3130">
        <v>120002383</v>
      </c>
      <c r="Y3130" t="s">
        <v>121</v>
      </c>
      <c r="Z3130" t="s">
        <v>122</v>
      </c>
      <c r="AA3130" s="2" t="s">
        <v>6566</v>
      </c>
      <c r="AB3130" t="s">
        <v>548</v>
      </c>
      <c r="AG3130" t="s">
        <v>19324</v>
      </c>
      <c r="AH3130" t="s">
        <v>15431</v>
      </c>
      <c r="AI3130" t="s">
        <v>19325</v>
      </c>
    </row>
    <row r="3131" spans="2:35" ht="409.5">
      <c r="B3131" s="1">
        <v>45558</v>
      </c>
      <c r="C3131" s="1">
        <v>45553</v>
      </c>
      <c r="D3131" t="s">
        <v>1099</v>
      </c>
      <c r="E3131" t="s">
        <v>6645</v>
      </c>
      <c r="F3131" t="s">
        <v>148</v>
      </c>
      <c r="G3131" t="s">
        <v>406</v>
      </c>
      <c r="H3131" t="s">
        <v>39</v>
      </c>
      <c r="I3131" t="s">
        <v>94</v>
      </c>
      <c r="J3131" t="s">
        <v>109</v>
      </c>
      <c r="K3131" t="s">
        <v>42</v>
      </c>
      <c r="L3131" t="s">
        <v>43</v>
      </c>
      <c r="N3131" t="s">
        <v>44</v>
      </c>
      <c r="O3131" t="s">
        <v>1091</v>
      </c>
      <c r="Q3131">
        <v>29412</v>
      </c>
      <c r="R3131" t="s">
        <v>95</v>
      </c>
      <c r="S3131" t="s">
        <v>5690</v>
      </c>
      <c r="T3131">
        <v>24</v>
      </c>
      <c r="U3131" s="2" t="s">
        <v>19326</v>
      </c>
      <c r="W3131" t="s">
        <v>48</v>
      </c>
      <c r="X3131">
        <v>839231</v>
      </c>
      <c r="Y3131" t="s">
        <v>121</v>
      </c>
      <c r="Z3131" t="s">
        <v>122</v>
      </c>
      <c r="AA3131" s="2" t="s">
        <v>123</v>
      </c>
      <c r="AB3131" t="s">
        <v>548</v>
      </c>
      <c r="AG3131" t="s">
        <v>19327</v>
      </c>
      <c r="AH3131" t="s">
        <v>15431</v>
      </c>
      <c r="AI3131" t="s">
        <v>19328</v>
      </c>
    </row>
    <row r="3132" spans="2:35" ht="225">
      <c r="B3132" s="1">
        <v>45558</v>
      </c>
      <c r="C3132" s="1">
        <v>45553</v>
      </c>
      <c r="D3132" t="s">
        <v>2264</v>
      </c>
      <c r="E3132" t="s">
        <v>5505</v>
      </c>
      <c r="F3132" t="s">
        <v>148</v>
      </c>
      <c r="G3132" t="s">
        <v>2007</v>
      </c>
      <c r="H3132" t="s">
        <v>39</v>
      </c>
      <c r="I3132" t="s">
        <v>40</v>
      </c>
      <c r="J3132" t="s">
        <v>109</v>
      </c>
      <c r="K3132" t="s">
        <v>42</v>
      </c>
      <c r="L3132" t="s">
        <v>43</v>
      </c>
      <c r="N3132" t="s">
        <v>44</v>
      </c>
      <c r="O3132" t="s">
        <v>2266</v>
      </c>
      <c r="Q3132">
        <v>29415</v>
      </c>
      <c r="R3132" t="s">
        <v>322</v>
      </c>
      <c r="S3132" t="s">
        <v>5506</v>
      </c>
      <c r="T3132">
        <v>24</v>
      </c>
      <c r="U3132" s="2" t="s">
        <v>19329</v>
      </c>
      <c r="W3132" t="s">
        <v>153</v>
      </c>
      <c r="X3132">
        <v>110023460</v>
      </c>
      <c r="Y3132" t="s">
        <v>121</v>
      </c>
      <c r="Z3132" t="s">
        <v>122</v>
      </c>
      <c r="AA3132" s="2" t="s">
        <v>123</v>
      </c>
      <c r="AB3132" t="s">
        <v>548</v>
      </c>
      <c r="AG3132" t="s">
        <v>19330</v>
      </c>
      <c r="AH3132" t="s">
        <v>6353</v>
      </c>
      <c r="AI3132" t="s">
        <v>19331</v>
      </c>
    </row>
    <row r="3133" spans="2:35" ht="360">
      <c r="B3133" s="1">
        <v>45558</v>
      </c>
      <c r="C3133" s="1">
        <v>45554</v>
      </c>
      <c r="D3133" t="s">
        <v>3669</v>
      </c>
      <c r="E3133" t="s">
        <v>3670</v>
      </c>
      <c r="F3133" t="s">
        <v>37</v>
      </c>
      <c r="G3133" t="s">
        <v>38</v>
      </c>
      <c r="H3133" t="s">
        <v>39</v>
      </c>
      <c r="I3133" t="s">
        <v>40</v>
      </c>
      <c r="J3133" t="s">
        <v>109</v>
      </c>
      <c r="K3133" t="s">
        <v>42</v>
      </c>
      <c r="L3133" t="s">
        <v>43</v>
      </c>
      <c r="N3133" t="s">
        <v>44</v>
      </c>
      <c r="Q3133">
        <v>29413</v>
      </c>
      <c r="R3133" t="s">
        <v>95</v>
      </c>
      <c r="S3133" t="s">
        <v>19332</v>
      </c>
      <c r="T3133">
        <v>24</v>
      </c>
      <c r="U3133" s="2" t="s">
        <v>19333</v>
      </c>
      <c r="W3133" t="s">
        <v>48</v>
      </c>
      <c r="X3133">
        <v>110005265</v>
      </c>
      <c r="Y3133" t="s">
        <v>121</v>
      </c>
      <c r="Z3133" t="s">
        <v>122</v>
      </c>
      <c r="AA3133" s="2" t="s">
        <v>123</v>
      </c>
      <c r="AB3133" t="s">
        <v>548</v>
      </c>
      <c r="AG3133" t="s">
        <v>19334</v>
      </c>
      <c r="AH3133" t="s">
        <v>18167</v>
      </c>
      <c r="AI3133" t="s">
        <v>19335</v>
      </c>
    </row>
    <row r="3134" spans="2:35" ht="255">
      <c r="B3134" s="1">
        <v>45558</v>
      </c>
      <c r="C3134" s="1">
        <v>45553</v>
      </c>
      <c r="D3134" t="s">
        <v>1099</v>
      </c>
      <c r="E3134" t="s">
        <v>6645</v>
      </c>
      <c r="F3134" t="s">
        <v>148</v>
      </c>
      <c r="G3134" t="s">
        <v>406</v>
      </c>
      <c r="H3134" t="s">
        <v>386</v>
      </c>
      <c r="I3134" t="s">
        <v>40</v>
      </c>
      <c r="J3134" t="s">
        <v>109</v>
      </c>
      <c r="K3134" t="s">
        <v>387</v>
      </c>
      <c r="L3134" t="s">
        <v>43</v>
      </c>
      <c r="N3134" t="s">
        <v>44</v>
      </c>
      <c r="O3134" t="s">
        <v>1091</v>
      </c>
      <c r="Q3134">
        <v>29416</v>
      </c>
      <c r="R3134" t="s">
        <v>95</v>
      </c>
      <c r="S3134" t="s">
        <v>10409</v>
      </c>
      <c r="T3134">
        <v>24</v>
      </c>
      <c r="W3134" t="s">
        <v>390</v>
      </c>
      <c r="X3134" t="s">
        <v>5702</v>
      </c>
      <c r="Y3134" t="s">
        <v>121</v>
      </c>
      <c r="Z3134" t="s">
        <v>122</v>
      </c>
      <c r="AA3134" s="2" t="s">
        <v>6458</v>
      </c>
      <c r="AB3134" t="s">
        <v>88</v>
      </c>
      <c r="AG3134" t="s">
        <v>19336</v>
      </c>
      <c r="AH3134" t="s">
        <v>19337</v>
      </c>
      <c r="AI3134" t="s">
        <v>19338</v>
      </c>
    </row>
    <row r="3135" spans="2:35" ht="409.5">
      <c r="B3135" s="1">
        <v>45558</v>
      </c>
      <c r="C3135" s="1">
        <v>45558</v>
      </c>
      <c r="D3135" t="s">
        <v>11087</v>
      </c>
      <c r="E3135" t="s">
        <v>11088</v>
      </c>
      <c r="F3135" t="s">
        <v>511</v>
      </c>
      <c r="G3135" t="s">
        <v>4938</v>
      </c>
      <c r="H3135" t="s">
        <v>1047</v>
      </c>
      <c r="I3135" t="s">
        <v>40</v>
      </c>
      <c r="J3135" s="2" t="s">
        <v>41</v>
      </c>
      <c r="K3135" t="s">
        <v>42</v>
      </c>
      <c r="L3135" t="s">
        <v>1048</v>
      </c>
      <c r="N3135" t="s">
        <v>1049</v>
      </c>
      <c r="Q3135">
        <v>29411</v>
      </c>
      <c r="R3135" t="s">
        <v>119</v>
      </c>
      <c r="S3135" t="s">
        <v>11089</v>
      </c>
      <c r="T3135">
        <v>25</v>
      </c>
      <c r="V3135" s="1">
        <v>45551</v>
      </c>
      <c r="W3135" t="s">
        <v>1051</v>
      </c>
      <c r="X3135">
        <v>838274</v>
      </c>
      <c r="Y3135" t="s">
        <v>19339</v>
      </c>
      <c r="Z3135" s="2" t="s">
        <v>19340</v>
      </c>
      <c r="AA3135" t="s">
        <v>19341</v>
      </c>
      <c r="AB3135" t="s">
        <v>1428</v>
      </c>
      <c r="AC3135" t="s">
        <v>12618</v>
      </c>
      <c r="AD3135" t="s">
        <v>19342</v>
      </c>
      <c r="AE3135" t="s">
        <v>19343</v>
      </c>
      <c r="AG3135" t="s">
        <v>19344</v>
      </c>
      <c r="AH3135" t="s">
        <v>11092</v>
      </c>
      <c r="AI3135" t="s">
        <v>19345</v>
      </c>
    </row>
    <row r="3136" spans="2:35" ht="330">
      <c r="B3136" s="1">
        <v>45558</v>
      </c>
      <c r="C3136" s="1">
        <v>45558</v>
      </c>
      <c r="D3136" t="s">
        <v>7264</v>
      </c>
      <c r="E3136" t="s">
        <v>7265</v>
      </c>
      <c r="F3136">
        <v>1</v>
      </c>
      <c r="G3136" t="s">
        <v>1909</v>
      </c>
      <c r="H3136" t="s">
        <v>1047</v>
      </c>
      <c r="I3136" t="s">
        <v>40</v>
      </c>
      <c r="J3136" s="2" t="s">
        <v>41</v>
      </c>
      <c r="K3136" t="s">
        <v>42</v>
      </c>
      <c r="L3136" t="s">
        <v>1048</v>
      </c>
      <c r="N3136" t="s">
        <v>1049</v>
      </c>
      <c r="Q3136">
        <v>29410</v>
      </c>
      <c r="R3136" t="s">
        <v>119</v>
      </c>
      <c r="S3136" t="s">
        <v>7266</v>
      </c>
      <c r="T3136">
        <v>28</v>
      </c>
      <c r="U3136" s="2" t="s">
        <v>15382</v>
      </c>
      <c r="V3136" s="1">
        <v>45545</v>
      </c>
      <c r="W3136" t="s">
        <v>1051</v>
      </c>
      <c r="X3136">
        <v>838270</v>
      </c>
      <c r="Y3136" t="s">
        <v>3290</v>
      </c>
      <c r="Z3136" s="2" t="s">
        <v>19346</v>
      </c>
      <c r="AA3136" t="s">
        <v>19347</v>
      </c>
      <c r="AB3136" t="s">
        <v>1428</v>
      </c>
      <c r="AC3136" t="s">
        <v>12618</v>
      </c>
      <c r="AD3136" t="s">
        <v>19348</v>
      </c>
      <c r="AE3136" t="s">
        <v>19349</v>
      </c>
      <c r="AG3136" t="s">
        <v>19350</v>
      </c>
      <c r="AH3136" t="s">
        <v>7268</v>
      </c>
      <c r="AI3136" t="s">
        <v>19351</v>
      </c>
    </row>
    <row r="3137" spans="2:35" ht="180">
      <c r="B3137" s="1">
        <v>45558</v>
      </c>
      <c r="C3137" s="4">
        <v>45555.533333333333</v>
      </c>
      <c r="D3137" t="s">
        <v>2470</v>
      </c>
      <c r="E3137" t="s">
        <v>9436</v>
      </c>
      <c r="F3137" t="s">
        <v>148</v>
      </c>
      <c r="G3137" t="s">
        <v>230</v>
      </c>
      <c r="H3137" t="s">
        <v>513</v>
      </c>
      <c r="I3137" t="s">
        <v>40</v>
      </c>
      <c r="J3137" t="s">
        <v>525</v>
      </c>
      <c r="K3137" t="s">
        <v>387</v>
      </c>
      <c r="L3137" t="s">
        <v>175</v>
      </c>
      <c r="N3137" t="s">
        <v>176</v>
      </c>
      <c r="Q3137">
        <v>29409</v>
      </c>
      <c r="R3137" t="s">
        <v>322</v>
      </c>
      <c r="S3137" t="s">
        <v>4894</v>
      </c>
      <c r="T3137">
        <v>25</v>
      </c>
      <c r="W3137" t="s">
        <v>390</v>
      </c>
      <c r="X3137" t="s">
        <v>5622</v>
      </c>
      <c r="Y3137" s="2" t="s">
        <v>19352</v>
      </c>
      <c r="Z3137" t="s">
        <v>19353</v>
      </c>
      <c r="AA3137" t="e">
        <f ca="1">- adjusted display contrast
- swapped display board with other Unit
- performed functionality test</f>
        <v>#NAME?</v>
      </c>
      <c r="AB3137" s="2" t="s">
        <v>19354</v>
      </c>
      <c r="AC3137" t="s">
        <v>19355</v>
      </c>
      <c r="AG3137" t="s">
        <v>19356</v>
      </c>
      <c r="AH3137" t="s">
        <v>4898</v>
      </c>
      <c r="AI3137" t="s">
        <v>19357</v>
      </c>
    </row>
    <row r="3138" spans="2:35" ht="270">
      <c r="B3138" s="1">
        <v>45557</v>
      </c>
      <c r="C3138" s="1">
        <v>45557</v>
      </c>
      <c r="D3138" t="s">
        <v>16407</v>
      </c>
      <c r="E3138" t="s">
        <v>19358</v>
      </c>
      <c r="F3138">
        <v>7</v>
      </c>
      <c r="G3138" t="s">
        <v>432</v>
      </c>
      <c r="H3138" t="s">
        <v>608</v>
      </c>
      <c r="I3138" t="s">
        <v>40</v>
      </c>
      <c r="J3138" t="s">
        <v>996</v>
      </c>
      <c r="K3138" t="s">
        <v>42</v>
      </c>
      <c r="L3138" t="s">
        <v>610</v>
      </c>
      <c r="N3138" t="s">
        <v>611</v>
      </c>
      <c r="Q3138">
        <v>29408</v>
      </c>
      <c r="R3138" t="s">
        <v>119</v>
      </c>
      <c r="S3138" t="s">
        <v>16409</v>
      </c>
      <c r="T3138">
        <v>24</v>
      </c>
      <c r="U3138" s="2" t="s">
        <v>19359</v>
      </c>
      <c r="W3138" t="s">
        <v>360</v>
      </c>
      <c r="X3138">
        <v>838513</v>
      </c>
      <c r="Y3138" t="s">
        <v>67</v>
      </c>
      <c r="Z3138" s="2" t="s">
        <v>19360</v>
      </c>
      <c r="AA3138" s="2" t="s">
        <v>19360</v>
      </c>
      <c r="AB3138" s="2" t="s">
        <v>19361</v>
      </c>
      <c r="AG3138" t="s">
        <v>19362</v>
      </c>
      <c r="AH3138" t="s">
        <v>16414</v>
      </c>
      <c r="AI3138" t="s">
        <v>19363</v>
      </c>
    </row>
    <row r="3139" spans="2:35" ht="409.5">
      <c r="B3139" s="1">
        <v>45557</v>
      </c>
      <c r="C3139" s="1">
        <v>45552</v>
      </c>
      <c r="D3139" t="s">
        <v>1885</v>
      </c>
      <c r="E3139" t="s">
        <v>2136</v>
      </c>
      <c r="F3139" t="s">
        <v>1255</v>
      </c>
      <c r="G3139" t="s">
        <v>1887</v>
      </c>
      <c r="H3139" t="s">
        <v>1473</v>
      </c>
      <c r="I3139" t="s">
        <v>40</v>
      </c>
      <c r="J3139" s="2" t="s">
        <v>41</v>
      </c>
      <c r="K3139" t="s">
        <v>42</v>
      </c>
      <c r="L3139" t="s">
        <v>296</v>
      </c>
      <c r="N3139" t="s">
        <v>297</v>
      </c>
      <c r="Q3139">
        <v>29407</v>
      </c>
      <c r="R3139" t="s">
        <v>119</v>
      </c>
      <c r="S3139" t="s">
        <v>1888</v>
      </c>
      <c r="T3139">
        <v>19.8</v>
      </c>
      <c r="U3139" s="2" t="s">
        <v>19364</v>
      </c>
      <c r="V3139" s="1">
        <v>45552</v>
      </c>
      <c r="W3139" t="s">
        <v>981</v>
      </c>
      <c r="X3139">
        <v>837662</v>
      </c>
      <c r="Y3139" t="s">
        <v>19365</v>
      </c>
      <c r="Z3139" s="2" t="s">
        <v>19366</v>
      </c>
      <c r="AA3139" s="2" t="s">
        <v>19367</v>
      </c>
      <c r="AB3139" t="s">
        <v>7205</v>
      </c>
      <c r="AD3139" s="2" t="s">
        <v>19368</v>
      </c>
      <c r="AE3139" t="s">
        <v>19369</v>
      </c>
      <c r="AG3139" t="s">
        <v>19370</v>
      </c>
      <c r="AH3139" t="s">
        <v>8496</v>
      </c>
      <c r="AI3139" t="s">
        <v>19371</v>
      </c>
    </row>
    <row r="3140" spans="2:35" ht="255">
      <c r="B3140" s="1">
        <v>45556</v>
      </c>
      <c r="C3140" s="1">
        <v>45556</v>
      </c>
      <c r="D3140" t="s">
        <v>3679</v>
      </c>
      <c r="E3140" t="s">
        <v>2580</v>
      </c>
      <c r="F3140" t="s">
        <v>148</v>
      </c>
      <c r="G3140" t="s">
        <v>447</v>
      </c>
      <c r="H3140" t="s">
        <v>662</v>
      </c>
      <c r="I3140" t="s">
        <v>40</v>
      </c>
      <c r="J3140" t="s">
        <v>109</v>
      </c>
      <c r="K3140" t="s">
        <v>42</v>
      </c>
      <c r="L3140" t="s">
        <v>448</v>
      </c>
      <c r="N3140" t="s">
        <v>450</v>
      </c>
      <c r="O3140" t="s">
        <v>3680</v>
      </c>
      <c r="Q3140">
        <v>29406</v>
      </c>
      <c r="R3140" t="s">
        <v>322</v>
      </c>
      <c r="S3140" t="s">
        <v>6492</v>
      </c>
      <c r="T3140">
        <v>26</v>
      </c>
      <c r="U3140" s="2" t="s">
        <v>19372</v>
      </c>
      <c r="W3140" t="s">
        <v>6785</v>
      </c>
      <c r="X3140">
        <v>838655</v>
      </c>
      <c r="Y3140" t="s">
        <v>485</v>
      </c>
      <c r="Z3140" s="2" t="s">
        <v>2011</v>
      </c>
      <c r="AA3140" t="s">
        <v>122</v>
      </c>
      <c r="AB3140" t="s">
        <v>486</v>
      </c>
      <c r="AG3140" t="s">
        <v>19373</v>
      </c>
      <c r="AH3140" t="s">
        <v>19374</v>
      </c>
      <c r="AI3140" t="s">
        <v>19375</v>
      </c>
    </row>
    <row r="3141" spans="2:35" ht="409.5">
      <c r="B3141" s="1">
        <v>45556</v>
      </c>
      <c r="C3141" s="1">
        <v>45556</v>
      </c>
      <c r="D3141" t="s">
        <v>4132</v>
      </c>
      <c r="E3141" t="s">
        <v>4133</v>
      </c>
      <c r="F3141" t="s">
        <v>148</v>
      </c>
      <c r="G3141" t="s">
        <v>447</v>
      </c>
      <c r="H3141" t="s">
        <v>386</v>
      </c>
      <c r="I3141" t="s">
        <v>40</v>
      </c>
      <c r="J3141" t="s">
        <v>109</v>
      </c>
      <c r="K3141" t="s">
        <v>387</v>
      </c>
      <c r="L3141" t="s">
        <v>448</v>
      </c>
      <c r="N3141" t="s">
        <v>450</v>
      </c>
      <c r="Q3141">
        <v>29405</v>
      </c>
      <c r="R3141" t="s">
        <v>322</v>
      </c>
      <c r="S3141" t="s">
        <v>4134</v>
      </c>
      <c r="T3141">
        <v>25</v>
      </c>
      <c r="W3141" t="s">
        <v>476</v>
      </c>
      <c r="X3141" t="s">
        <v>4135</v>
      </c>
      <c r="Y3141" t="s">
        <v>485</v>
      </c>
      <c r="Z3141" s="2" t="s">
        <v>19376</v>
      </c>
      <c r="AA3141" t="s">
        <v>122</v>
      </c>
      <c r="AB3141" t="s">
        <v>486</v>
      </c>
      <c r="AG3141" t="s">
        <v>19377</v>
      </c>
      <c r="AH3141" t="s">
        <v>19378</v>
      </c>
      <c r="AI3141" t="s">
        <v>19379</v>
      </c>
    </row>
    <row r="3142" spans="2:35">
      <c r="B3142" s="1">
        <v>45555</v>
      </c>
      <c r="C3142" s="1">
        <v>45555</v>
      </c>
      <c r="D3142" t="s">
        <v>8464</v>
      </c>
      <c r="E3142" t="s">
        <v>13200</v>
      </c>
      <c r="F3142">
        <v>7</v>
      </c>
      <c r="G3142" t="s">
        <v>432</v>
      </c>
      <c r="H3142" t="s">
        <v>1498</v>
      </c>
      <c r="I3142" t="s">
        <v>40</v>
      </c>
      <c r="J3142" t="s">
        <v>79</v>
      </c>
      <c r="K3142" t="s">
        <v>42</v>
      </c>
      <c r="L3142" t="s">
        <v>343</v>
      </c>
      <c r="N3142" t="s">
        <v>344</v>
      </c>
      <c r="Q3142">
        <v>29403</v>
      </c>
      <c r="R3142" t="s">
        <v>119</v>
      </c>
      <c r="S3142" t="s">
        <v>13201</v>
      </c>
      <c r="T3142">
        <v>28</v>
      </c>
      <c r="W3142" t="s">
        <v>1501</v>
      </c>
      <c r="X3142">
        <v>838509</v>
      </c>
      <c r="Y3142" t="s">
        <v>19380</v>
      </c>
      <c r="Z3142" t="e">
        <f ca="1">-_xludf.Replace CMOS battery of CPU</f>
        <v>#NAME?</v>
      </c>
      <c r="AA3142" t="e">
        <f ca="1">-_xludf.Replace CMOS battery</f>
        <v>#NAME?</v>
      </c>
      <c r="AB3142" t="s">
        <v>16150</v>
      </c>
      <c r="AG3142" t="s">
        <v>19381</v>
      </c>
      <c r="AH3142" t="s">
        <v>8469</v>
      </c>
      <c r="AI3142" t="s">
        <v>19382</v>
      </c>
    </row>
    <row r="3143" spans="2:35" ht="105">
      <c r="B3143" s="1">
        <v>45555</v>
      </c>
      <c r="C3143" s="1">
        <v>45555</v>
      </c>
      <c r="D3143" t="s">
        <v>4482</v>
      </c>
      <c r="E3143" t="s">
        <v>8024</v>
      </c>
      <c r="F3143">
        <v>13</v>
      </c>
      <c r="G3143" t="s">
        <v>4484</v>
      </c>
      <c r="H3143" t="s">
        <v>61</v>
      </c>
      <c r="I3143" t="s">
        <v>40</v>
      </c>
      <c r="J3143" t="s">
        <v>109</v>
      </c>
      <c r="K3143" t="s">
        <v>42</v>
      </c>
      <c r="L3143" t="s">
        <v>933</v>
      </c>
      <c r="N3143" t="s">
        <v>934</v>
      </c>
      <c r="Q3143">
        <v>29402</v>
      </c>
      <c r="R3143" t="s">
        <v>95</v>
      </c>
      <c r="S3143" t="s">
        <v>8025</v>
      </c>
      <c r="T3143">
        <v>20</v>
      </c>
      <c r="W3143" t="s">
        <v>2127</v>
      </c>
      <c r="X3143">
        <v>831292</v>
      </c>
      <c r="Y3143" t="s">
        <v>19383</v>
      </c>
      <c r="Z3143" t="s">
        <v>4800</v>
      </c>
      <c r="AA3143" s="2" t="s">
        <v>19384</v>
      </c>
      <c r="AB3143" t="s">
        <v>19385</v>
      </c>
      <c r="AG3143" t="s">
        <v>19386</v>
      </c>
      <c r="AH3143" t="s">
        <v>19387</v>
      </c>
      <c r="AI3143" t="s">
        <v>19388</v>
      </c>
    </row>
    <row r="3144" spans="2:35" ht="409.5">
      <c r="B3144" s="1">
        <v>45555</v>
      </c>
      <c r="C3144" s="1">
        <v>45555</v>
      </c>
      <c r="D3144" t="s">
        <v>4118</v>
      </c>
      <c r="E3144" t="s">
        <v>7946</v>
      </c>
      <c r="F3144">
        <v>5</v>
      </c>
      <c r="G3144" t="s">
        <v>759</v>
      </c>
      <c r="H3144" t="s">
        <v>39</v>
      </c>
      <c r="I3144" t="s">
        <v>94</v>
      </c>
      <c r="J3144" s="2" t="s">
        <v>190</v>
      </c>
      <c r="K3144" t="s">
        <v>42</v>
      </c>
      <c r="L3144" t="s">
        <v>761</v>
      </c>
      <c r="N3144" t="s">
        <v>762</v>
      </c>
      <c r="Q3144">
        <v>29401</v>
      </c>
      <c r="R3144" t="s">
        <v>95</v>
      </c>
      <c r="S3144" t="s">
        <v>12176</v>
      </c>
      <c r="T3144">
        <v>28</v>
      </c>
      <c r="U3144" s="2" t="s">
        <v>19389</v>
      </c>
      <c r="W3144" t="s">
        <v>817</v>
      </c>
      <c r="X3144">
        <v>110017942</v>
      </c>
      <c r="Y3144" s="2" t="s">
        <v>19390</v>
      </c>
      <c r="Z3144" s="2" t="s">
        <v>19391</v>
      </c>
      <c r="AA3144" s="2" t="s">
        <v>19392</v>
      </c>
      <c r="AB3144" t="s">
        <v>181</v>
      </c>
      <c r="AC3144" t="s">
        <v>19393</v>
      </c>
      <c r="AG3144" t="s">
        <v>19394</v>
      </c>
      <c r="AH3144" t="s">
        <v>4123</v>
      </c>
      <c r="AI3144" t="s">
        <v>19395</v>
      </c>
    </row>
    <row r="3145" spans="2:35" ht="240">
      <c r="B3145" s="1">
        <v>45555</v>
      </c>
      <c r="C3145" s="1">
        <v>45555</v>
      </c>
      <c r="D3145" t="s">
        <v>15557</v>
      </c>
      <c r="E3145" t="s">
        <v>19396</v>
      </c>
      <c r="F3145" t="s">
        <v>148</v>
      </c>
      <c r="G3145" t="s">
        <v>447</v>
      </c>
      <c r="H3145" t="s">
        <v>39</v>
      </c>
      <c r="I3145" t="s">
        <v>40</v>
      </c>
      <c r="J3145" s="2" t="s">
        <v>41</v>
      </c>
      <c r="K3145" t="s">
        <v>42</v>
      </c>
      <c r="L3145" t="s">
        <v>15532</v>
      </c>
      <c r="N3145" t="s">
        <v>15533</v>
      </c>
      <c r="Q3145">
        <v>29400</v>
      </c>
      <c r="R3145" t="s">
        <v>703</v>
      </c>
      <c r="S3145" t="s">
        <v>7787</v>
      </c>
      <c r="T3145">
        <v>25</v>
      </c>
      <c r="U3145" s="2" t="s">
        <v>19397</v>
      </c>
      <c r="V3145" s="1">
        <v>45553</v>
      </c>
      <c r="W3145" t="s">
        <v>15535</v>
      </c>
      <c r="X3145">
        <v>840975</v>
      </c>
      <c r="Y3145" t="s">
        <v>559</v>
      </c>
      <c r="Z3145" s="2" t="s">
        <v>19398</v>
      </c>
      <c r="AA3145" s="2" t="s">
        <v>19399</v>
      </c>
      <c r="AB3145" s="2" t="s">
        <v>17371</v>
      </c>
      <c r="AD3145" t="s">
        <v>19400</v>
      </c>
      <c r="AE3145" t="s">
        <v>19401</v>
      </c>
      <c r="AG3145" t="s">
        <v>19402</v>
      </c>
      <c r="AH3145" t="s">
        <v>19403</v>
      </c>
      <c r="AI3145" t="s">
        <v>19404</v>
      </c>
    </row>
    <row r="3146" spans="2:35" ht="270">
      <c r="B3146" s="1">
        <v>45555</v>
      </c>
      <c r="C3146" s="1">
        <v>45555</v>
      </c>
      <c r="D3146" t="s">
        <v>3696</v>
      </c>
      <c r="E3146" t="s">
        <v>18202</v>
      </c>
      <c r="F3146" t="s">
        <v>148</v>
      </c>
      <c r="G3146" t="s">
        <v>447</v>
      </c>
      <c r="H3146" t="s">
        <v>61</v>
      </c>
      <c r="I3146" t="s">
        <v>40</v>
      </c>
      <c r="J3146" t="s">
        <v>109</v>
      </c>
      <c r="K3146" t="s">
        <v>42</v>
      </c>
      <c r="L3146" t="s">
        <v>15532</v>
      </c>
      <c r="N3146" t="s">
        <v>15533</v>
      </c>
      <c r="Q3146">
        <v>29399</v>
      </c>
      <c r="R3146" t="s">
        <v>703</v>
      </c>
      <c r="S3146" t="s">
        <v>3698</v>
      </c>
      <c r="T3146">
        <v>24</v>
      </c>
      <c r="U3146" s="2" t="s">
        <v>19405</v>
      </c>
      <c r="W3146" t="s">
        <v>15535</v>
      </c>
      <c r="X3146">
        <v>835601</v>
      </c>
      <c r="Y3146" t="s">
        <v>19406</v>
      </c>
      <c r="Z3146" s="2" t="s">
        <v>18420</v>
      </c>
      <c r="AA3146" t="s">
        <v>19407</v>
      </c>
      <c r="AB3146" s="2" t="s">
        <v>17371</v>
      </c>
      <c r="AG3146" t="s">
        <v>19408</v>
      </c>
      <c r="AH3146" t="s">
        <v>18209</v>
      </c>
      <c r="AI3146" t="s">
        <v>19409</v>
      </c>
    </row>
    <row r="3147" spans="2:35" ht="409.5">
      <c r="B3147" s="1">
        <v>45555</v>
      </c>
      <c r="C3147" s="1">
        <v>45555</v>
      </c>
      <c r="D3147" t="s">
        <v>8160</v>
      </c>
      <c r="E3147" t="s">
        <v>19410</v>
      </c>
      <c r="F3147">
        <v>11</v>
      </c>
      <c r="G3147" t="s">
        <v>1205</v>
      </c>
      <c r="H3147" t="s">
        <v>202</v>
      </c>
      <c r="I3147" t="s">
        <v>40</v>
      </c>
      <c r="J3147" s="2" t="s">
        <v>2170</v>
      </c>
      <c r="K3147" t="s">
        <v>42</v>
      </c>
      <c r="L3147" t="s">
        <v>204</v>
      </c>
      <c r="N3147" t="s">
        <v>205</v>
      </c>
      <c r="O3147" t="s">
        <v>8163</v>
      </c>
      <c r="Q3147">
        <v>29398</v>
      </c>
      <c r="R3147" t="s">
        <v>119</v>
      </c>
      <c r="S3147" t="s">
        <v>8162</v>
      </c>
      <c r="T3147">
        <v>27.5</v>
      </c>
      <c r="U3147" s="2" t="s">
        <v>19411</v>
      </c>
      <c r="V3147" s="1">
        <v>45545</v>
      </c>
      <c r="W3147" t="s">
        <v>208</v>
      </c>
      <c r="X3147">
        <v>838401</v>
      </c>
      <c r="Y3147" s="2" t="s">
        <v>19412</v>
      </c>
      <c r="Z3147" s="2" t="s">
        <v>19413</v>
      </c>
      <c r="AA3147" t="s">
        <v>18959</v>
      </c>
      <c r="AB3147" s="2" t="s">
        <v>19414</v>
      </c>
      <c r="AD3147" s="2" t="s">
        <v>19415</v>
      </c>
      <c r="AE3147" t="s">
        <v>19416</v>
      </c>
      <c r="AG3147" t="s">
        <v>19417</v>
      </c>
      <c r="AH3147" t="s">
        <v>17991</v>
      </c>
      <c r="AI3147" t="s">
        <v>19418</v>
      </c>
    </row>
    <row r="3148" spans="2:35" ht="120">
      <c r="B3148" s="1">
        <v>45555</v>
      </c>
      <c r="C3148" s="1">
        <v>45555</v>
      </c>
      <c r="D3148" t="s">
        <v>7634</v>
      </c>
      <c r="E3148" t="s">
        <v>19419</v>
      </c>
      <c r="F3148">
        <v>13</v>
      </c>
      <c r="G3148" t="s">
        <v>4484</v>
      </c>
      <c r="H3148" t="s">
        <v>2125</v>
      </c>
      <c r="I3148" t="s">
        <v>40</v>
      </c>
      <c r="J3148" s="2" t="s">
        <v>62</v>
      </c>
      <c r="K3148" t="s">
        <v>42</v>
      </c>
      <c r="L3148" t="s">
        <v>933</v>
      </c>
      <c r="N3148" t="s">
        <v>934</v>
      </c>
      <c r="Q3148">
        <v>29397</v>
      </c>
      <c r="R3148" t="s">
        <v>119</v>
      </c>
      <c r="S3148" t="s">
        <v>12142</v>
      </c>
      <c r="T3148">
        <v>26</v>
      </c>
      <c r="W3148" t="s">
        <v>2127</v>
      </c>
      <c r="X3148">
        <v>837611</v>
      </c>
      <c r="Y3148" t="s">
        <v>301</v>
      </c>
      <c r="Z3148" t="s">
        <v>301</v>
      </c>
      <c r="AA3148" s="2" t="s">
        <v>15551</v>
      </c>
      <c r="AB3148" t="s">
        <v>2131</v>
      </c>
      <c r="AC3148" t="s">
        <v>15697</v>
      </c>
      <c r="AG3148" t="s">
        <v>19420</v>
      </c>
      <c r="AH3148" t="s">
        <v>19421</v>
      </c>
      <c r="AI3148" t="s">
        <v>19422</v>
      </c>
    </row>
    <row r="3149" spans="2:35" ht="210">
      <c r="B3149" s="1">
        <v>45555</v>
      </c>
      <c r="C3149" s="1">
        <v>45555</v>
      </c>
      <c r="D3149" t="s">
        <v>9732</v>
      </c>
      <c r="E3149" t="s">
        <v>19423</v>
      </c>
      <c r="F3149">
        <v>7</v>
      </c>
      <c r="G3149" t="s">
        <v>1286</v>
      </c>
      <c r="H3149" t="s">
        <v>39</v>
      </c>
      <c r="I3149" t="s">
        <v>40</v>
      </c>
      <c r="J3149" s="2" t="s">
        <v>14104</v>
      </c>
      <c r="K3149" t="s">
        <v>42</v>
      </c>
      <c r="L3149" t="s">
        <v>433</v>
      </c>
      <c r="N3149" t="s">
        <v>434</v>
      </c>
      <c r="Q3149">
        <v>29396</v>
      </c>
      <c r="R3149" t="s">
        <v>967</v>
      </c>
      <c r="S3149" t="s">
        <v>5436</v>
      </c>
      <c r="T3149">
        <v>22</v>
      </c>
      <c r="W3149" t="s">
        <v>502</v>
      </c>
      <c r="X3149">
        <v>110023534</v>
      </c>
      <c r="Y3149" s="2" t="s">
        <v>19424</v>
      </c>
      <c r="Z3149" s="2" t="s">
        <v>19424</v>
      </c>
      <c r="AA3149" s="2" t="s">
        <v>19424</v>
      </c>
      <c r="AB3149" t="s">
        <v>1011</v>
      </c>
      <c r="AG3149" t="s">
        <v>19425</v>
      </c>
      <c r="AH3149" t="s">
        <v>5440</v>
      </c>
      <c r="AI3149" t="s">
        <v>19426</v>
      </c>
    </row>
    <row r="3150" spans="2:35" ht="180">
      <c r="B3150" s="1">
        <v>45555</v>
      </c>
      <c r="C3150" s="1">
        <v>45555</v>
      </c>
      <c r="D3150" t="s">
        <v>3696</v>
      </c>
      <c r="E3150" t="s">
        <v>19427</v>
      </c>
      <c r="F3150" t="s">
        <v>148</v>
      </c>
      <c r="G3150" t="s">
        <v>447</v>
      </c>
      <c r="H3150" t="s">
        <v>61</v>
      </c>
      <c r="I3150" t="s">
        <v>40</v>
      </c>
      <c r="J3150" t="s">
        <v>109</v>
      </c>
      <c r="K3150" t="s">
        <v>42</v>
      </c>
      <c r="L3150" t="s">
        <v>15532</v>
      </c>
      <c r="N3150" t="s">
        <v>15533</v>
      </c>
      <c r="Q3150">
        <v>29395</v>
      </c>
      <c r="R3150" t="s">
        <v>703</v>
      </c>
      <c r="S3150" t="s">
        <v>3698</v>
      </c>
      <c r="T3150">
        <v>24</v>
      </c>
      <c r="U3150" s="2" t="s">
        <v>19428</v>
      </c>
      <c r="W3150" t="s">
        <v>15535</v>
      </c>
      <c r="X3150">
        <v>835602</v>
      </c>
      <c r="Y3150" t="s">
        <v>19429</v>
      </c>
      <c r="Z3150" s="2" t="s">
        <v>18420</v>
      </c>
      <c r="AA3150" t="s">
        <v>16914</v>
      </c>
      <c r="AB3150" s="2" t="s">
        <v>17371</v>
      </c>
      <c r="AG3150" t="s">
        <v>19430</v>
      </c>
      <c r="AH3150" t="s">
        <v>18209</v>
      </c>
      <c r="AI3150" t="s">
        <v>19431</v>
      </c>
    </row>
    <row r="3151" spans="2:35" ht="105">
      <c r="B3151" s="1">
        <v>45555</v>
      </c>
      <c r="C3151" s="1">
        <v>45555</v>
      </c>
      <c r="D3151" t="s">
        <v>19432</v>
      </c>
      <c r="E3151" t="s">
        <v>1285</v>
      </c>
      <c r="F3151">
        <v>6</v>
      </c>
      <c r="G3151" t="s">
        <v>1286</v>
      </c>
      <c r="H3151" t="s">
        <v>6500</v>
      </c>
      <c r="I3151" t="s">
        <v>40</v>
      </c>
      <c r="J3151" s="2" t="s">
        <v>62</v>
      </c>
      <c r="K3151" t="s">
        <v>42</v>
      </c>
      <c r="L3151" t="s">
        <v>433</v>
      </c>
      <c r="N3151" t="s">
        <v>434</v>
      </c>
      <c r="Q3151">
        <v>29394</v>
      </c>
      <c r="R3151" t="s">
        <v>322</v>
      </c>
      <c r="S3151" t="s">
        <v>7853</v>
      </c>
      <c r="T3151">
        <v>26</v>
      </c>
      <c r="W3151" t="s">
        <v>19433</v>
      </c>
      <c r="X3151">
        <v>110021716</v>
      </c>
      <c r="Y3151" t="s">
        <v>301</v>
      </c>
      <c r="Z3151" s="2" t="s">
        <v>19434</v>
      </c>
      <c r="AA3151" s="2" t="s">
        <v>19434</v>
      </c>
      <c r="AB3151" t="s">
        <v>441</v>
      </c>
      <c r="AC3151" t="s">
        <v>19435</v>
      </c>
      <c r="AG3151" t="s">
        <v>19436</v>
      </c>
      <c r="AH3151" t="s">
        <v>7856</v>
      </c>
      <c r="AI3151" t="s">
        <v>19437</v>
      </c>
    </row>
    <row r="3152" spans="2:35" ht="225">
      <c r="B3152" s="1">
        <v>45555</v>
      </c>
      <c r="C3152" s="1">
        <v>45555</v>
      </c>
      <c r="D3152" t="s">
        <v>7859</v>
      </c>
      <c r="E3152" t="s">
        <v>718</v>
      </c>
      <c r="F3152">
        <v>6</v>
      </c>
      <c r="G3152" t="s">
        <v>1286</v>
      </c>
      <c r="H3152" t="s">
        <v>258</v>
      </c>
      <c r="I3152" t="s">
        <v>40</v>
      </c>
      <c r="J3152" s="2" t="s">
        <v>62</v>
      </c>
      <c r="K3152" t="s">
        <v>42</v>
      </c>
      <c r="L3152" t="s">
        <v>594</v>
      </c>
      <c r="N3152" t="s">
        <v>595</v>
      </c>
      <c r="O3152" t="s">
        <v>595</v>
      </c>
      <c r="Q3152">
        <v>29393</v>
      </c>
      <c r="R3152" t="s">
        <v>119</v>
      </c>
      <c r="S3152" t="s">
        <v>7853</v>
      </c>
      <c r="T3152">
        <v>24</v>
      </c>
      <c r="V3152" s="1">
        <v>45555</v>
      </c>
      <c r="W3152" t="s">
        <v>360</v>
      </c>
      <c r="X3152">
        <v>838290</v>
      </c>
      <c r="Y3152" t="s">
        <v>2060</v>
      </c>
      <c r="Z3152" s="2" t="s">
        <v>19438</v>
      </c>
      <c r="AA3152" s="2" t="s">
        <v>19439</v>
      </c>
      <c r="AB3152" t="s">
        <v>19440</v>
      </c>
      <c r="AG3152" t="s">
        <v>19441</v>
      </c>
      <c r="AH3152" t="s">
        <v>7856</v>
      </c>
      <c r="AI3152" t="s">
        <v>19442</v>
      </c>
    </row>
    <row r="3153" spans="2:35" ht="240">
      <c r="B3153" s="1">
        <v>45554</v>
      </c>
      <c r="C3153" s="1">
        <v>45554</v>
      </c>
      <c r="D3153" t="s">
        <v>19443</v>
      </c>
      <c r="E3153" t="s">
        <v>4747</v>
      </c>
      <c r="F3153">
        <v>6</v>
      </c>
      <c r="G3153" t="s">
        <v>1286</v>
      </c>
      <c r="H3153" t="s">
        <v>39</v>
      </c>
      <c r="I3153" t="s">
        <v>40</v>
      </c>
      <c r="J3153" s="2" t="s">
        <v>1370</v>
      </c>
      <c r="K3153" t="s">
        <v>42</v>
      </c>
      <c r="L3153" t="s">
        <v>433</v>
      </c>
      <c r="N3153" t="s">
        <v>434</v>
      </c>
      <c r="Q3153">
        <v>29392</v>
      </c>
      <c r="R3153" t="s">
        <v>119</v>
      </c>
      <c r="S3153" t="s">
        <v>4748</v>
      </c>
      <c r="T3153">
        <v>29</v>
      </c>
      <c r="W3153" t="s">
        <v>502</v>
      </c>
      <c r="X3153">
        <v>838501</v>
      </c>
      <c r="Y3153" s="2" t="s">
        <v>19444</v>
      </c>
      <c r="Z3153" s="2" t="s">
        <v>19445</v>
      </c>
      <c r="AA3153" s="2" t="s">
        <v>19445</v>
      </c>
      <c r="AB3153" s="2" t="s">
        <v>19446</v>
      </c>
      <c r="AG3153" t="s">
        <v>19447</v>
      </c>
      <c r="AH3153" t="s">
        <v>11965</v>
      </c>
      <c r="AI3153" t="s">
        <v>19448</v>
      </c>
    </row>
    <row r="3154" spans="2:35" ht="285">
      <c r="B3154" s="1">
        <v>45554</v>
      </c>
      <c r="C3154" s="1">
        <v>45554</v>
      </c>
      <c r="D3154" t="s">
        <v>10967</v>
      </c>
      <c r="E3154" t="s">
        <v>10968</v>
      </c>
      <c r="F3154">
        <v>7</v>
      </c>
      <c r="G3154" t="s">
        <v>432</v>
      </c>
      <c r="H3154" t="s">
        <v>10969</v>
      </c>
      <c r="I3154" t="s">
        <v>40</v>
      </c>
      <c r="J3154" s="2" t="s">
        <v>62</v>
      </c>
      <c r="K3154" t="s">
        <v>42</v>
      </c>
      <c r="L3154" t="s">
        <v>1288</v>
      </c>
      <c r="N3154" t="s">
        <v>1289</v>
      </c>
      <c r="Q3154">
        <v>29391</v>
      </c>
      <c r="R3154" t="s">
        <v>119</v>
      </c>
      <c r="S3154" t="s">
        <v>15836</v>
      </c>
      <c r="T3154">
        <v>25</v>
      </c>
      <c r="U3154" s="2" t="s">
        <v>19449</v>
      </c>
      <c r="V3154" s="1">
        <v>45538</v>
      </c>
      <c r="W3154" t="s">
        <v>1292</v>
      </c>
      <c r="X3154">
        <v>838510</v>
      </c>
      <c r="Y3154" t="e">
        <f ca="1">-_xludf.For XpertCheck CALIBRATION</f>
        <v>#NAME?</v>
      </c>
      <c r="Z3154" t="e">
        <f ca="1">-COLLECT IQR,system _xludf.Log, ARCHIVE, _xludf.and CALIBRATION file</f>
        <v>#NAME?</v>
      </c>
      <c r="AA3154" t="e">
        <f ca="1">-PERFORM Cleaning of GX workstation
-PERFORM XpertCheck CALIBRATION:
module C2 _xludf.and module C3 passed</f>
        <v>#NAME?</v>
      </c>
      <c r="AB3154" t="s">
        <v>1293</v>
      </c>
      <c r="AD3154" t="s">
        <v>19450</v>
      </c>
      <c r="AE3154">
        <v>11971</v>
      </c>
      <c r="AG3154" t="s">
        <v>19451</v>
      </c>
      <c r="AH3154" t="s">
        <v>17035</v>
      </c>
      <c r="AI3154" t="s">
        <v>19452</v>
      </c>
    </row>
    <row r="3155" spans="2:35" ht="285">
      <c r="B3155" s="1">
        <v>45554</v>
      </c>
      <c r="C3155" s="1">
        <v>45554</v>
      </c>
      <c r="D3155" t="s">
        <v>10967</v>
      </c>
      <c r="E3155" t="s">
        <v>10968</v>
      </c>
      <c r="F3155">
        <v>7</v>
      </c>
      <c r="G3155" t="s">
        <v>432</v>
      </c>
      <c r="H3155" t="s">
        <v>10969</v>
      </c>
      <c r="I3155" t="s">
        <v>40</v>
      </c>
      <c r="J3155" s="2" t="s">
        <v>62</v>
      </c>
      <c r="K3155" t="s">
        <v>42</v>
      </c>
      <c r="L3155" t="s">
        <v>1288</v>
      </c>
      <c r="N3155" t="s">
        <v>1289</v>
      </c>
      <c r="Q3155">
        <v>29390</v>
      </c>
      <c r="R3155" t="s">
        <v>119</v>
      </c>
      <c r="S3155" t="s">
        <v>15836</v>
      </c>
      <c r="T3155">
        <v>25</v>
      </c>
      <c r="U3155" s="2" t="s">
        <v>19449</v>
      </c>
      <c r="V3155" s="1">
        <v>45538</v>
      </c>
      <c r="W3155" t="s">
        <v>1292</v>
      </c>
      <c r="X3155">
        <v>838508</v>
      </c>
      <c r="Y3155" t="e">
        <f ca="1">-_xludf.For XpertCheck CALIBRATION</f>
        <v>#NAME?</v>
      </c>
      <c r="Z3155" t="e">
        <f ca="1">-COLLECT IQR, system _xludf.Log, ARCHIVE, _xludf.and CALIBRATION file</f>
        <v>#NAME?</v>
      </c>
      <c r="AA3155" t="e">
        <f ca="1">-PERFORM Cleaning of GeneXpert workstation
-PERFORM XpertCheck CALIBRATION:
module B2 _xludf.and module B3 passed</f>
        <v>#NAME?</v>
      </c>
      <c r="AB3155" t="s">
        <v>1293</v>
      </c>
      <c r="AD3155" t="s">
        <v>19453</v>
      </c>
      <c r="AE3155">
        <v>11970</v>
      </c>
      <c r="AG3155" t="s">
        <v>19454</v>
      </c>
      <c r="AH3155" t="s">
        <v>17035</v>
      </c>
      <c r="AI3155" t="s">
        <v>19455</v>
      </c>
    </row>
    <row r="3156" spans="2:35" ht="409.5">
      <c r="B3156" s="1">
        <v>45554</v>
      </c>
      <c r="C3156" s="1">
        <v>45554</v>
      </c>
      <c r="D3156" t="s">
        <v>5402</v>
      </c>
      <c r="E3156" t="s">
        <v>718</v>
      </c>
      <c r="F3156">
        <v>6</v>
      </c>
      <c r="G3156" t="s">
        <v>1286</v>
      </c>
      <c r="H3156" t="s">
        <v>39</v>
      </c>
      <c r="I3156" t="s">
        <v>40</v>
      </c>
      <c r="J3156" t="s">
        <v>321</v>
      </c>
      <c r="K3156" t="s">
        <v>42</v>
      </c>
      <c r="L3156" t="s">
        <v>594</v>
      </c>
      <c r="N3156" t="s">
        <v>595</v>
      </c>
      <c r="O3156" t="s">
        <v>595</v>
      </c>
      <c r="Q3156">
        <v>29389</v>
      </c>
      <c r="R3156" t="s">
        <v>119</v>
      </c>
      <c r="S3156" t="s">
        <v>5404</v>
      </c>
      <c r="T3156">
        <v>23</v>
      </c>
      <c r="V3156" s="1">
        <v>45554</v>
      </c>
      <c r="W3156" t="s">
        <v>1573</v>
      </c>
      <c r="X3156">
        <v>110023533</v>
      </c>
      <c r="Y3156" t="s">
        <v>19456</v>
      </c>
      <c r="Z3156" s="2" t="s">
        <v>19457</v>
      </c>
      <c r="AA3156" s="2" t="s">
        <v>19458</v>
      </c>
      <c r="AB3156" t="s">
        <v>4890</v>
      </c>
      <c r="AG3156" t="s">
        <v>19459</v>
      </c>
      <c r="AH3156" t="s">
        <v>19460</v>
      </c>
      <c r="AI3156" t="s">
        <v>19461</v>
      </c>
    </row>
    <row r="3157" spans="2:35" ht="405">
      <c r="B3157" s="1">
        <v>45554</v>
      </c>
      <c r="C3157" s="1">
        <v>45554</v>
      </c>
      <c r="D3157" t="s">
        <v>7810</v>
      </c>
      <c r="E3157" t="s">
        <v>7811</v>
      </c>
      <c r="F3157">
        <v>11</v>
      </c>
      <c r="G3157" t="s">
        <v>1205</v>
      </c>
      <c r="H3157" t="s">
        <v>202</v>
      </c>
      <c r="I3157" t="s">
        <v>40</v>
      </c>
      <c r="J3157" s="2" t="s">
        <v>62</v>
      </c>
      <c r="K3157" t="s">
        <v>42</v>
      </c>
      <c r="L3157" t="s">
        <v>204</v>
      </c>
      <c r="N3157" t="s">
        <v>205</v>
      </c>
      <c r="Q3157">
        <v>29388</v>
      </c>
      <c r="R3157" t="s">
        <v>119</v>
      </c>
      <c r="S3157" t="s">
        <v>7812</v>
      </c>
      <c r="T3157">
        <v>25.1</v>
      </c>
      <c r="U3157" s="2" t="s">
        <v>19462</v>
      </c>
      <c r="V3157" s="1">
        <v>45539</v>
      </c>
      <c r="W3157" t="s">
        <v>208</v>
      </c>
      <c r="X3157">
        <v>838232</v>
      </c>
      <c r="Y3157" t="s">
        <v>1618</v>
      </c>
      <c r="Z3157" s="2" t="s">
        <v>19463</v>
      </c>
      <c r="AA3157" t="s">
        <v>1620</v>
      </c>
      <c r="AB3157" s="2" t="s">
        <v>19464</v>
      </c>
      <c r="AD3157" t="s">
        <v>18887</v>
      </c>
      <c r="AE3157" t="s">
        <v>19465</v>
      </c>
      <c r="AG3157" t="s">
        <v>19466</v>
      </c>
      <c r="AH3157" t="s">
        <v>7816</v>
      </c>
      <c r="AI3157" t="s">
        <v>19467</v>
      </c>
    </row>
    <row r="3158" spans="2:35" ht="409.5">
      <c r="B3158" s="1">
        <v>45554</v>
      </c>
      <c r="C3158" s="1">
        <v>45554</v>
      </c>
      <c r="D3158" t="s">
        <v>606</v>
      </c>
      <c r="E3158" t="s">
        <v>607</v>
      </c>
      <c r="F3158">
        <v>7</v>
      </c>
      <c r="G3158" t="s">
        <v>432</v>
      </c>
      <c r="H3158" t="s">
        <v>608</v>
      </c>
      <c r="I3158" t="s">
        <v>40</v>
      </c>
      <c r="J3158" t="s">
        <v>79</v>
      </c>
      <c r="K3158" t="s">
        <v>42</v>
      </c>
      <c r="L3158" t="s">
        <v>610</v>
      </c>
      <c r="N3158" t="s">
        <v>611</v>
      </c>
      <c r="O3158" t="s">
        <v>19468</v>
      </c>
      <c r="Q3158">
        <v>29387</v>
      </c>
      <c r="R3158" t="s">
        <v>119</v>
      </c>
      <c r="S3158" t="s">
        <v>612</v>
      </c>
      <c r="T3158">
        <v>21</v>
      </c>
      <c r="U3158" s="2" t="s">
        <v>19469</v>
      </c>
      <c r="W3158" t="s">
        <v>360</v>
      </c>
      <c r="X3158">
        <v>838559</v>
      </c>
      <c r="Y3158" t="s">
        <v>19470</v>
      </c>
      <c r="Z3158" s="2" t="s">
        <v>19471</v>
      </c>
      <c r="AA3158" s="2" t="s">
        <v>19471</v>
      </c>
      <c r="AB3158" t="s">
        <v>7886</v>
      </c>
      <c r="AG3158" t="s">
        <v>19472</v>
      </c>
      <c r="AH3158" t="s">
        <v>19473</v>
      </c>
      <c r="AI3158" t="s">
        <v>19474</v>
      </c>
    </row>
    <row r="3159" spans="2:35" ht="225">
      <c r="B3159" s="1">
        <v>45554</v>
      </c>
      <c r="C3159" s="1">
        <v>45554</v>
      </c>
      <c r="D3159" t="s">
        <v>6414</v>
      </c>
      <c r="E3159" t="s">
        <v>19475</v>
      </c>
      <c r="F3159">
        <v>6</v>
      </c>
      <c r="G3159" t="s">
        <v>1286</v>
      </c>
      <c r="H3159" t="s">
        <v>258</v>
      </c>
      <c r="I3159" t="s">
        <v>40</v>
      </c>
      <c r="J3159" s="2" t="s">
        <v>1370</v>
      </c>
      <c r="K3159" t="s">
        <v>42</v>
      </c>
      <c r="L3159" t="s">
        <v>594</v>
      </c>
      <c r="N3159" t="s">
        <v>595</v>
      </c>
      <c r="O3159" t="s">
        <v>595</v>
      </c>
      <c r="Q3159">
        <v>29386</v>
      </c>
      <c r="R3159" t="s">
        <v>119</v>
      </c>
      <c r="S3159" t="s">
        <v>6416</v>
      </c>
      <c r="T3159">
        <v>24</v>
      </c>
      <c r="V3159" s="1">
        <v>45553</v>
      </c>
      <c r="W3159" t="s">
        <v>360</v>
      </c>
      <c r="X3159">
        <v>838289</v>
      </c>
      <c r="Y3159" s="2" t="s">
        <v>19476</v>
      </c>
      <c r="Z3159" s="2" t="s">
        <v>19477</v>
      </c>
      <c r="AA3159" t="s">
        <v>19478</v>
      </c>
      <c r="AB3159" s="2" t="s">
        <v>19479</v>
      </c>
      <c r="AG3159" t="s">
        <v>19480</v>
      </c>
      <c r="AH3159" t="s">
        <v>19481</v>
      </c>
      <c r="AI3159" t="s">
        <v>19482</v>
      </c>
    </row>
    <row r="3160" spans="2:35" ht="225">
      <c r="B3160" s="1">
        <v>45553</v>
      </c>
      <c r="C3160" s="1">
        <v>45553</v>
      </c>
      <c r="D3160" t="s">
        <v>16538</v>
      </c>
      <c r="E3160" t="s">
        <v>16539</v>
      </c>
      <c r="F3160">
        <v>7</v>
      </c>
      <c r="G3160" t="s">
        <v>432</v>
      </c>
      <c r="H3160" t="s">
        <v>608</v>
      </c>
      <c r="I3160" t="s">
        <v>40</v>
      </c>
      <c r="J3160" t="s">
        <v>996</v>
      </c>
      <c r="K3160" t="s">
        <v>42</v>
      </c>
      <c r="L3160" t="s">
        <v>610</v>
      </c>
      <c r="N3160" t="s">
        <v>611</v>
      </c>
      <c r="Q3160">
        <v>29385</v>
      </c>
      <c r="R3160" t="s">
        <v>119</v>
      </c>
      <c r="S3160" t="s">
        <v>16540</v>
      </c>
      <c r="T3160">
        <v>26</v>
      </c>
      <c r="U3160" s="2" t="s">
        <v>19483</v>
      </c>
      <c r="W3160" t="s">
        <v>360</v>
      </c>
      <c r="X3160">
        <v>838283</v>
      </c>
      <c r="Y3160" t="s">
        <v>19484</v>
      </c>
      <c r="Z3160" s="2" t="s">
        <v>19485</v>
      </c>
      <c r="AA3160" s="2" t="s">
        <v>19485</v>
      </c>
      <c r="AB3160" s="2" t="s">
        <v>19486</v>
      </c>
      <c r="AG3160" t="s">
        <v>19487</v>
      </c>
      <c r="AH3160" t="s">
        <v>16545</v>
      </c>
      <c r="AI3160" t="s">
        <v>19488</v>
      </c>
    </row>
    <row r="3161" spans="2:35" ht="300">
      <c r="B3161" s="1">
        <v>45553</v>
      </c>
      <c r="C3161" s="1">
        <v>45553</v>
      </c>
      <c r="D3161" t="s">
        <v>7881</v>
      </c>
      <c r="E3161" t="s">
        <v>7882</v>
      </c>
      <c r="F3161">
        <v>7</v>
      </c>
      <c r="G3161" t="s">
        <v>432</v>
      </c>
      <c r="H3161" t="s">
        <v>608</v>
      </c>
      <c r="I3161" t="s">
        <v>40</v>
      </c>
      <c r="J3161" t="s">
        <v>79</v>
      </c>
      <c r="K3161" t="s">
        <v>42</v>
      </c>
      <c r="L3161" t="s">
        <v>610</v>
      </c>
      <c r="N3161" t="s">
        <v>611</v>
      </c>
      <c r="Q3161">
        <v>29384</v>
      </c>
      <c r="R3161" t="s">
        <v>119</v>
      </c>
      <c r="S3161" t="s">
        <v>13419</v>
      </c>
      <c r="T3161">
        <v>26</v>
      </c>
      <c r="U3161" s="2" t="s">
        <v>19489</v>
      </c>
      <c r="W3161" t="s">
        <v>360</v>
      </c>
      <c r="X3161">
        <v>838512</v>
      </c>
      <c r="Y3161" t="s">
        <v>19490</v>
      </c>
      <c r="Z3161" s="2" t="s">
        <v>19491</v>
      </c>
      <c r="AA3161" s="2" t="s">
        <v>19491</v>
      </c>
      <c r="AB3161" t="s">
        <v>9638</v>
      </c>
      <c r="AG3161" t="s">
        <v>19492</v>
      </c>
      <c r="AH3161" t="s">
        <v>14337</v>
      </c>
      <c r="AI3161" t="s">
        <v>19493</v>
      </c>
    </row>
    <row r="3162" spans="2:35" ht="210">
      <c r="B3162" s="1">
        <v>45553</v>
      </c>
      <c r="C3162" s="1">
        <v>45554</v>
      </c>
      <c r="D3162" t="s">
        <v>8464</v>
      </c>
      <c r="E3162" t="s">
        <v>13200</v>
      </c>
      <c r="F3162">
        <v>7</v>
      </c>
      <c r="G3162" t="s">
        <v>432</v>
      </c>
      <c r="H3162" t="s">
        <v>11433</v>
      </c>
      <c r="I3162" t="s">
        <v>40</v>
      </c>
      <c r="J3162" s="2" t="s">
        <v>1309</v>
      </c>
      <c r="K3162" t="s">
        <v>42</v>
      </c>
      <c r="L3162" t="s">
        <v>343</v>
      </c>
      <c r="N3162" t="s">
        <v>344</v>
      </c>
      <c r="Q3162">
        <v>29383</v>
      </c>
      <c r="R3162" t="s">
        <v>119</v>
      </c>
      <c r="S3162" t="s">
        <v>13201</v>
      </c>
      <c r="T3162">
        <v>28</v>
      </c>
      <c r="U3162" s="2" t="s">
        <v>3632</v>
      </c>
      <c r="V3162" s="1">
        <v>45533</v>
      </c>
      <c r="W3162" t="s">
        <v>1501</v>
      </c>
      <c r="X3162">
        <v>838509</v>
      </c>
      <c r="Y3162" t="e">
        <f ca="1">-module B2 _xludf.and B3 H/W fail</f>
        <v>#NAME?</v>
      </c>
      <c r="Z3162" s="2" t="s">
        <v>19494</v>
      </c>
      <c r="AA3162" t="e">
        <f ca="1">-module Replacement
-Preventive Maintenance
-XpertCheck CALIBRATION
-_xludf.Replace _xludf.filter</f>
        <v>#NAME?</v>
      </c>
      <c r="AB3162" t="s">
        <v>19495</v>
      </c>
      <c r="AD3162" t="s">
        <v>19496</v>
      </c>
      <c r="AE3162" t="s">
        <v>19497</v>
      </c>
      <c r="AG3162" t="s">
        <v>19498</v>
      </c>
      <c r="AH3162" t="s">
        <v>8469</v>
      </c>
      <c r="AI3162" t="s">
        <v>19499</v>
      </c>
    </row>
    <row r="3163" spans="2:35" ht="409.5">
      <c r="B3163" s="1">
        <v>45553</v>
      </c>
      <c r="C3163" s="1">
        <v>45553</v>
      </c>
      <c r="D3163" t="s">
        <v>3423</v>
      </c>
      <c r="E3163" t="s">
        <v>12017</v>
      </c>
      <c r="F3163">
        <v>7</v>
      </c>
      <c r="G3163" t="s">
        <v>432</v>
      </c>
      <c r="H3163" t="s">
        <v>10969</v>
      </c>
      <c r="I3163" t="s">
        <v>40</v>
      </c>
      <c r="J3163" t="s">
        <v>109</v>
      </c>
      <c r="K3163" t="s">
        <v>42</v>
      </c>
      <c r="L3163" t="s">
        <v>1288</v>
      </c>
      <c r="N3163" t="s">
        <v>1289</v>
      </c>
      <c r="Q3163">
        <v>29382</v>
      </c>
      <c r="R3163" t="s">
        <v>95</v>
      </c>
      <c r="S3163" t="s">
        <v>11987</v>
      </c>
      <c r="T3163">
        <v>21</v>
      </c>
      <c r="U3163" s="2" t="s">
        <v>19500</v>
      </c>
      <c r="W3163" t="s">
        <v>1292</v>
      </c>
      <c r="X3163">
        <v>110008524</v>
      </c>
      <c r="Y3163" t="e">
        <f ca="1">-Preventive Maintenance</f>
        <v>#NAME?</v>
      </c>
      <c r="Z3163" t="e">
        <f ca="1">-COLLECT IQR, system _xludf.Log, _xludf.and ARCHIVE</f>
        <v>#NAME?</v>
      </c>
      <c r="AA3163" t="e">
        <f ca="1">-PERFORM Preventive Maintenance PROCEDURE
-_xludf.Clean GeneXpert workstation</f>
        <v>#NAME?</v>
      </c>
      <c r="AB3163" t="e">
        <f ca="1">-EQUIPMENT is operational</f>
        <v>#NAME?</v>
      </c>
      <c r="AG3163" t="s">
        <v>19501</v>
      </c>
      <c r="AH3163" t="s">
        <v>18416</v>
      </c>
      <c r="AI3163" t="s">
        <v>19502</v>
      </c>
    </row>
    <row r="3164" spans="2:35" ht="375">
      <c r="B3164" s="1">
        <v>45553</v>
      </c>
      <c r="C3164" s="1">
        <v>45553</v>
      </c>
      <c r="D3164" t="s">
        <v>7476</v>
      </c>
      <c r="E3164" t="s">
        <v>19503</v>
      </c>
      <c r="F3164">
        <v>11</v>
      </c>
      <c r="G3164" t="s">
        <v>1205</v>
      </c>
      <c r="H3164" t="s">
        <v>202</v>
      </c>
      <c r="I3164" t="s">
        <v>40</v>
      </c>
      <c r="J3164" s="2" t="s">
        <v>62</v>
      </c>
      <c r="K3164" t="s">
        <v>42</v>
      </c>
      <c r="L3164" t="s">
        <v>204</v>
      </c>
      <c r="N3164" t="s">
        <v>205</v>
      </c>
      <c r="Q3164">
        <v>29381</v>
      </c>
      <c r="R3164" t="s">
        <v>119</v>
      </c>
      <c r="S3164" t="s">
        <v>7478</v>
      </c>
      <c r="T3164">
        <v>25.7</v>
      </c>
      <c r="U3164" s="2" t="s">
        <v>19504</v>
      </c>
      <c r="V3164" s="1">
        <v>45539</v>
      </c>
      <c r="W3164" t="s">
        <v>208</v>
      </c>
      <c r="X3164">
        <v>838507</v>
      </c>
      <c r="Y3164" t="s">
        <v>2839</v>
      </c>
      <c r="Z3164" s="2" t="s">
        <v>19505</v>
      </c>
      <c r="AA3164" t="s">
        <v>18496</v>
      </c>
      <c r="AB3164" s="2" t="s">
        <v>19506</v>
      </c>
      <c r="AD3164" t="s">
        <v>18887</v>
      </c>
      <c r="AE3164" t="s">
        <v>19507</v>
      </c>
      <c r="AG3164" t="s">
        <v>19508</v>
      </c>
      <c r="AH3164" t="s">
        <v>16750</v>
      </c>
      <c r="AI3164" t="s">
        <v>19509</v>
      </c>
    </row>
    <row r="3165" spans="2:35" ht="105">
      <c r="B3165" s="1">
        <v>45553</v>
      </c>
      <c r="C3165" s="1">
        <v>45553</v>
      </c>
      <c r="D3165" t="s">
        <v>7465</v>
      </c>
      <c r="E3165" t="s">
        <v>7466</v>
      </c>
      <c r="F3165">
        <v>8</v>
      </c>
      <c r="G3165" t="s">
        <v>342</v>
      </c>
      <c r="H3165" t="s">
        <v>202</v>
      </c>
      <c r="I3165" t="s">
        <v>40</v>
      </c>
      <c r="J3165" t="s">
        <v>109</v>
      </c>
      <c r="K3165" t="s">
        <v>42</v>
      </c>
      <c r="L3165" t="s">
        <v>259</v>
      </c>
      <c r="N3165" t="s">
        <v>260</v>
      </c>
      <c r="Q3165">
        <v>29380</v>
      </c>
      <c r="R3165" t="s">
        <v>119</v>
      </c>
      <c r="S3165" t="s">
        <v>16053</v>
      </c>
      <c r="T3165">
        <v>27</v>
      </c>
      <c r="U3165" s="2" t="s">
        <v>6812</v>
      </c>
      <c r="V3165" s="1">
        <v>45553</v>
      </c>
      <c r="W3165" t="s">
        <v>84</v>
      </c>
      <c r="X3165">
        <v>838551</v>
      </c>
      <c r="Y3165" t="s">
        <v>263</v>
      </c>
      <c r="Z3165" t="s">
        <v>263</v>
      </c>
      <c r="AA3165" t="e">
        <f ca="1">- performed Preventive Maintenance (Cleaning plunger rod, cartridge bay, icore _xludf.and FAN _xludf.filter)
- performed functionality test</f>
        <v>#NAME?</v>
      </c>
      <c r="AB3165" t="s">
        <v>181</v>
      </c>
      <c r="AG3165" t="s">
        <v>19510</v>
      </c>
      <c r="AH3165" t="s">
        <v>19511</v>
      </c>
      <c r="AI3165" t="s">
        <v>19512</v>
      </c>
    </row>
    <row r="3166" spans="2:35" ht="60">
      <c r="B3166" s="1">
        <v>45553</v>
      </c>
      <c r="C3166" s="1">
        <v>45553</v>
      </c>
      <c r="D3166" t="s">
        <v>2327</v>
      </c>
      <c r="E3166" t="s">
        <v>19513</v>
      </c>
      <c r="F3166">
        <v>7</v>
      </c>
      <c r="G3166" t="s">
        <v>432</v>
      </c>
      <c r="H3166" t="s">
        <v>39</v>
      </c>
      <c r="I3166" t="s">
        <v>40</v>
      </c>
      <c r="J3166" s="2" t="s">
        <v>62</v>
      </c>
      <c r="K3166" t="s">
        <v>42</v>
      </c>
      <c r="L3166" t="s">
        <v>343</v>
      </c>
      <c r="N3166" t="s">
        <v>344</v>
      </c>
      <c r="Q3166">
        <v>29379</v>
      </c>
      <c r="R3166" t="s">
        <v>119</v>
      </c>
      <c r="S3166" t="s">
        <v>19514</v>
      </c>
      <c r="T3166">
        <v>26</v>
      </c>
      <c r="V3166" s="1">
        <v>45538</v>
      </c>
      <c r="W3166" t="s">
        <v>1501</v>
      </c>
      <c r="X3166">
        <v>838506</v>
      </c>
      <c r="Y3166" t="s">
        <v>3191</v>
      </c>
      <c r="Z3166" t="e">
        <f ca="1">-run XpertCheck CALIBRATION on ALL modules</f>
        <v>#NAME?</v>
      </c>
      <c r="AA3166" t="e">
        <f ca="1">-Preventive Maintenance
-XpertCheck CALIBRATION</f>
        <v>#NAME?</v>
      </c>
      <c r="AB3166" t="s">
        <v>15124</v>
      </c>
      <c r="AD3166" t="s">
        <v>19515</v>
      </c>
      <c r="AE3166" t="s">
        <v>19516</v>
      </c>
      <c r="AG3166" t="s">
        <v>19517</v>
      </c>
      <c r="AH3166" t="s">
        <v>19518</v>
      </c>
      <c r="AI3166" t="s">
        <v>19519</v>
      </c>
    </row>
    <row r="3167" spans="2:35" ht="375">
      <c r="B3167" s="1">
        <v>45552</v>
      </c>
      <c r="C3167" s="4">
        <v>45548.57708333333</v>
      </c>
      <c r="D3167" t="s">
        <v>2364</v>
      </c>
      <c r="E3167" t="s">
        <v>19520</v>
      </c>
      <c r="F3167">
        <v>12</v>
      </c>
      <c r="G3167" t="s">
        <v>978</v>
      </c>
      <c r="H3167" t="s">
        <v>1473</v>
      </c>
      <c r="I3167" t="s">
        <v>40</v>
      </c>
      <c r="J3167" s="2" t="s">
        <v>41</v>
      </c>
      <c r="K3167" t="s">
        <v>42</v>
      </c>
      <c r="L3167" t="s">
        <v>296</v>
      </c>
      <c r="N3167" t="s">
        <v>297</v>
      </c>
      <c r="Q3167">
        <v>29376</v>
      </c>
      <c r="R3167" t="s">
        <v>119</v>
      </c>
      <c r="S3167" t="s">
        <v>2366</v>
      </c>
      <c r="T3167">
        <v>25.7</v>
      </c>
      <c r="U3167" s="2" t="s">
        <v>19521</v>
      </c>
      <c r="V3167" s="1">
        <v>45548</v>
      </c>
      <c r="W3167" t="s">
        <v>981</v>
      </c>
      <c r="X3167">
        <v>838570</v>
      </c>
      <c r="Y3167" t="s">
        <v>16344</v>
      </c>
      <c r="Z3167" s="2" t="s">
        <v>19522</v>
      </c>
      <c r="AA3167" s="2" t="s">
        <v>19523</v>
      </c>
      <c r="AB3167" t="s">
        <v>7205</v>
      </c>
      <c r="AD3167" t="s">
        <v>19524</v>
      </c>
      <c r="AE3167" t="s">
        <v>19525</v>
      </c>
      <c r="AG3167" t="s">
        <v>19526</v>
      </c>
      <c r="AH3167" t="s">
        <v>19527</v>
      </c>
      <c r="AI3167" t="s">
        <v>19528</v>
      </c>
    </row>
    <row r="3168" spans="2:35" ht="409.5">
      <c r="B3168" s="1">
        <v>45552</v>
      </c>
      <c r="C3168" s="4">
        <v>45545.457638888889</v>
      </c>
      <c r="D3168" t="s">
        <v>4413</v>
      </c>
      <c r="E3168" t="s">
        <v>19529</v>
      </c>
      <c r="F3168">
        <v>12</v>
      </c>
      <c r="G3168" t="s">
        <v>978</v>
      </c>
      <c r="H3168" t="s">
        <v>1473</v>
      </c>
      <c r="I3168" t="s">
        <v>40</v>
      </c>
      <c r="J3168" s="2" t="s">
        <v>41</v>
      </c>
      <c r="K3168" t="s">
        <v>42</v>
      </c>
      <c r="L3168" t="s">
        <v>296</v>
      </c>
      <c r="N3168" t="s">
        <v>297</v>
      </c>
      <c r="Q3168">
        <v>29377</v>
      </c>
      <c r="R3168" t="s">
        <v>119</v>
      </c>
      <c r="S3168" t="s">
        <v>4415</v>
      </c>
      <c r="T3168">
        <v>25.7</v>
      </c>
      <c r="U3168" s="2" t="s">
        <v>19530</v>
      </c>
      <c r="V3168" s="1">
        <v>45545</v>
      </c>
      <c r="W3168" t="s">
        <v>981</v>
      </c>
      <c r="X3168">
        <v>838544</v>
      </c>
      <c r="Y3168" s="2" t="s">
        <v>19531</v>
      </c>
      <c r="Z3168" s="2" t="s">
        <v>19532</v>
      </c>
      <c r="AA3168" s="2" t="s">
        <v>19533</v>
      </c>
      <c r="AB3168" t="s">
        <v>972</v>
      </c>
      <c r="AD3168" t="s">
        <v>19534</v>
      </c>
      <c r="AE3168" t="s">
        <v>19535</v>
      </c>
      <c r="AG3168" t="s">
        <v>19536</v>
      </c>
      <c r="AH3168" t="s">
        <v>4421</v>
      </c>
      <c r="AI3168" t="s">
        <v>19537</v>
      </c>
    </row>
    <row r="3169" spans="2:35" ht="409.5">
      <c r="B3169" s="1">
        <v>45552</v>
      </c>
      <c r="C3169" s="4">
        <v>45546.543055555558</v>
      </c>
      <c r="D3169" t="s">
        <v>13856</v>
      </c>
      <c r="E3169" t="s">
        <v>19538</v>
      </c>
      <c r="F3169" t="s">
        <v>1255</v>
      </c>
      <c r="G3169" t="s">
        <v>1887</v>
      </c>
      <c r="H3169" t="s">
        <v>1473</v>
      </c>
      <c r="I3169" t="s">
        <v>40</v>
      </c>
      <c r="J3169" s="2" t="s">
        <v>41</v>
      </c>
      <c r="K3169" t="s">
        <v>42</v>
      </c>
      <c r="L3169" t="s">
        <v>296</v>
      </c>
      <c r="N3169" t="s">
        <v>297</v>
      </c>
      <c r="Q3169">
        <v>29378</v>
      </c>
      <c r="R3169" t="s">
        <v>119</v>
      </c>
      <c r="S3169" t="s">
        <v>13858</v>
      </c>
      <c r="T3169">
        <v>25.3</v>
      </c>
      <c r="U3169" s="2" t="s">
        <v>2341</v>
      </c>
      <c r="V3169" s="1">
        <v>45546</v>
      </c>
      <c r="W3169" t="s">
        <v>981</v>
      </c>
      <c r="X3169">
        <v>838205</v>
      </c>
      <c r="Y3169" t="s">
        <v>16363</v>
      </c>
      <c r="Z3169" s="2" t="s">
        <v>19539</v>
      </c>
      <c r="AA3169" s="2" t="s">
        <v>19540</v>
      </c>
      <c r="AB3169" t="s">
        <v>7205</v>
      </c>
      <c r="AD3169" t="s">
        <v>19541</v>
      </c>
      <c r="AE3169" t="s">
        <v>19542</v>
      </c>
      <c r="AG3169" t="s">
        <v>19543</v>
      </c>
      <c r="AH3169" t="s">
        <v>17767</v>
      </c>
      <c r="AI3169" t="s">
        <v>19544</v>
      </c>
    </row>
    <row r="3170" spans="2:35" ht="105">
      <c r="B3170" s="1">
        <v>45552</v>
      </c>
      <c r="C3170" s="1">
        <v>45552</v>
      </c>
      <c r="D3170" t="s">
        <v>11880</v>
      </c>
      <c r="E3170" t="s">
        <v>11881</v>
      </c>
      <c r="F3170">
        <v>6</v>
      </c>
      <c r="G3170" t="s">
        <v>1234</v>
      </c>
      <c r="H3170" t="s">
        <v>39</v>
      </c>
      <c r="I3170" t="s">
        <v>40</v>
      </c>
      <c r="J3170" s="2" t="s">
        <v>62</v>
      </c>
      <c r="K3170" t="s">
        <v>42</v>
      </c>
      <c r="L3170" t="s">
        <v>270</v>
      </c>
      <c r="N3170" t="s">
        <v>2481</v>
      </c>
      <c r="O3170" t="s">
        <v>2481</v>
      </c>
      <c r="Q3170">
        <v>29375</v>
      </c>
      <c r="R3170" t="s">
        <v>119</v>
      </c>
      <c r="S3170" t="s">
        <v>19545</v>
      </c>
      <c r="T3170">
        <v>26</v>
      </c>
      <c r="U3170" s="2" t="s">
        <v>19546</v>
      </c>
      <c r="W3170" t="s">
        <v>3662</v>
      </c>
      <c r="X3170">
        <v>838477</v>
      </c>
      <c r="Y3170" t="s">
        <v>2060</v>
      </c>
      <c r="Z3170" t="s">
        <v>19547</v>
      </c>
      <c r="AA3170" t="s">
        <v>19548</v>
      </c>
      <c r="AB3170" t="s">
        <v>19549</v>
      </c>
      <c r="AG3170" t="s">
        <v>19550</v>
      </c>
      <c r="AH3170" t="s">
        <v>19551</v>
      </c>
      <c r="AI3170" t="s">
        <v>19552</v>
      </c>
    </row>
    <row r="3171" spans="2:35" ht="210">
      <c r="B3171" s="1">
        <v>45551</v>
      </c>
      <c r="C3171" s="1">
        <v>45551</v>
      </c>
      <c r="D3171" t="s">
        <v>18503</v>
      </c>
      <c r="E3171" t="s">
        <v>18511</v>
      </c>
      <c r="F3171" t="s">
        <v>37</v>
      </c>
      <c r="G3171" t="s">
        <v>78</v>
      </c>
      <c r="H3171" t="s">
        <v>18505</v>
      </c>
      <c r="I3171" t="s">
        <v>40</v>
      </c>
      <c r="J3171" s="2" t="s">
        <v>760</v>
      </c>
      <c r="K3171" t="s">
        <v>2629</v>
      </c>
      <c r="L3171" t="s">
        <v>409</v>
      </c>
      <c r="N3171" t="s">
        <v>410</v>
      </c>
      <c r="O3171" t="s">
        <v>19553</v>
      </c>
      <c r="Q3171">
        <v>29374</v>
      </c>
      <c r="R3171" t="s">
        <v>95</v>
      </c>
      <c r="S3171" t="s">
        <v>17620</v>
      </c>
      <c r="T3171">
        <v>23</v>
      </c>
      <c r="V3171" s="1">
        <v>45548</v>
      </c>
      <c r="W3171" t="s">
        <v>17621</v>
      </c>
      <c r="X3171">
        <v>3331000862</v>
      </c>
      <c r="Y3171" t="s">
        <v>19554</v>
      </c>
      <c r="Z3171" t="s">
        <v>19555</v>
      </c>
      <c r="AA3171" s="2" t="s">
        <v>19556</v>
      </c>
      <c r="AB3171" t="s">
        <v>19557</v>
      </c>
      <c r="AC3171" t="s">
        <v>19558</v>
      </c>
      <c r="AD3171" t="s">
        <v>19559</v>
      </c>
      <c r="AE3171">
        <v>98762</v>
      </c>
      <c r="AG3171" t="s">
        <v>19560</v>
      </c>
      <c r="AH3171" t="s">
        <v>17626</v>
      </c>
      <c r="AI3171" t="s">
        <v>19561</v>
      </c>
    </row>
    <row r="3172" spans="2:35" ht="135">
      <c r="B3172" s="1">
        <v>45551</v>
      </c>
      <c r="C3172" s="4">
        <v>45551.451388888891</v>
      </c>
      <c r="D3172" t="s">
        <v>11065</v>
      </c>
      <c r="E3172" t="s">
        <v>11066</v>
      </c>
      <c r="F3172">
        <v>7</v>
      </c>
      <c r="G3172" t="s">
        <v>269</v>
      </c>
      <c r="H3172" t="s">
        <v>258</v>
      </c>
      <c r="I3172" t="s">
        <v>40</v>
      </c>
      <c r="J3172" s="2" t="s">
        <v>62</v>
      </c>
      <c r="K3172" t="s">
        <v>42</v>
      </c>
      <c r="L3172" t="s">
        <v>270</v>
      </c>
      <c r="N3172" t="s">
        <v>2481</v>
      </c>
      <c r="Q3172">
        <v>29373</v>
      </c>
      <c r="R3172" t="s">
        <v>119</v>
      </c>
      <c r="S3172" t="s">
        <v>16682</v>
      </c>
      <c r="T3172">
        <v>24</v>
      </c>
      <c r="U3172" s="2" t="s">
        <v>3623</v>
      </c>
      <c r="V3172" s="1">
        <v>45538</v>
      </c>
      <c r="W3172" t="s">
        <v>3662</v>
      </c>
      <c r="X3172">
        <v>838481</v>
      </c>
      <c r="Y3172" t="s">
        <v>2060</v>
      </c>
      <c r="Z3172" t="s">
        <v>19562</v>
      </c>
      <c r="AA3172" t="s">
        <v>19563</v>
      </c>
      <c r="AB3172" s="2" t="s">
        <v>19564</v>
      </c>
      <c r="AD3172" t="s">
        <v>948</v>
      </c>
      <c r="AE3172">
        <v>11969</v>
      </c>
      <c r="AG3172" t="s">
        <v>19565</v>
      </c>
      <c r="AH3172" t="s">
        <v>19566</v>
      </c>
      <c r="AI3172" t="s">
        <v>19567</v>
      </c>
    </row>
    <row r="3173" spans="2:35" ht="315">
      <c r="B3173" s="1">
        <v>45551</v>
      </c>
      <c r="C3173" s="4">
        <v>45551.402777777781</v>
      </c>
      <c r="D3173" t="s">
        <v>146</v>
      </c>
      <c r="E3173" t="s">
        <v>19568</v>
      </c>
      <c r="F3173" t="s">
        <v>148</v>
      </c>
      <c r="G3173" t="s">
        <v>149</v>
      </c>
      <c r="H3173" t="s">
        <v>386</v>
      </c>
      <c r="I3173" t="s">
        <v>40</v>
      </c>
      <c r="J3173" t="s">
        <v>79</v>
      </c>
      <c r="K3173" t="s">
        <v>387</v>
      </c>
      <c r="L3173" t="s">
        <v>448</v>
      </c>
      <c r="N3173" t="s">
        <v>450</v>
      </c>
      <c r="O3173" t="s">
        <v>650</v>
      </c>
      <c r="Q3173">
        <v>29372</v>
      </c>
      <c r="R3173" t="s">
        <v>95</v>
      </c>
      <c r="S3173" t="s">
        <v>650</v>
      </c>
      <c r="T3173">
        <v>26</v>
      </c>
      <c r="V3173" s="1">
        <v>45546</v>
      </c>
      <c r="W3173" t="s">
        <v>476</v>
      </c>
      <c r="X3173" t="s">
        <v>391</v>
      </c>
      <c r="Y3173" s="2" t="s">
        <v>19569</v>
      </c>
      <c r="Z3173" s="2" t="s">
        <v>19570</v>
      </c>
      <c r="AA3173" s="2" t="s">
        <v>19571</v>
      </c>
      <c r="AB3173" t="s">
        <v>486</v>
      </c>
      <c r="AC3173" t="s">
        <v>19572</v>
      </c>
      <c r="AD3173" t="s">
        <v>19573</v>
      </c>
      <c r="AE3173">
        <v>12088</v>
      </c>
      <c r="AG3173" t="s">
        <v>19574</v>
      </c>
      <c r="AH3173" t="s">
        <v>449</v>
      </c>
      <c r="AI3173" t="s">
        <v>19575</v>
      </c>
    </row>
    <row r="3174" spans="2:35" ht="409.5">
      <c r="B3174" s="1">
        <v>45551</v>
      </c>
      <c r="C3174" s="4">
        <v>45548.652083333334</v>
      </c>
      <c r="D3174" t="s">
        <v>2257</v>
      </c>
      <c r="E3174" t="s">
        <v>19576</v>
      </c>
      <c r="F3174" t="s">
        <v>37</v>
      </c>
      <c r="G3174" t="s">
        <v>748</v>
      </c>
      <c r="H3174" t="s">
        <v>39</v>
      </c>
      <c r="I3174" t="s">
        <v>40</v>
      </c>
      <c r="J3174" t="s">
        <v>525</v>
      </c>
      <c r="K3174" t="s">
        <v>42</v>
      </c>
      <c r="L3174" t="s">
        <v>1028</v>
      </c>
      <c r="N3174" t="s">
        <v>1029</v>
      </c>
      <c r="Q3174">
        <v>29370</v>
      </c>
      <c r="R3174" t="s">
        <v>119</v>
      </c>
      <c r="S3174" t="s">
        <v>8974</v>
      </c>
      <c r="T3174">
        <v>24</v>
      </c>
      <c r="U3174" s="2" t="s">
        <v>16122</v>
      </c>
      <c r="W3174" t="s">
        <v>1967</v>
      </c>
      <c r="X3174">
        <v>838537</v>
      </c>
      <c r="Y3174" t="s">
        <v>19577</v>
      </c>
      <c r="Z3174" t="s">
        <v>3775</v>
      </c>
      <c r="AA3174" s="2" t="s">
        <v>19578</v>
      </c>
      <c r="AB3174" t="s">
        <v>19579</v>
      </c>
      <c r="AG3174" t="s">
        <v>19580</v>
      </c>
      <c r="AH3174" t="s">
        <v>8978</v>
      </c>
      <c r="AI3174" t="s">
        <v>19581</v>
      </c>
    </row>
    <row r="3175" spans="2:35" ht="315">
      <c r="B3175" s="1">
        <v>45551</v>
      </c>
      <c r="C3175" s="4">
        <v>45547.621527777781</v>
      </c>
      <c r="D3175" t="s">
        <v>919</v>
      </c>
      <c r="E3175" t="s">
        <v>19582</v>
      </c>
      <c r="F3175" t="s">
        <v>148</v>
      </c>
      <c r="G3175" t="s">
        <v>310</v>
      </c>
      <c r="H3175" t="s">
        <v>39</v>
      </c>
      <c r="I3175" t="s">
        <v>40</v>
      </c>
      <c r="J3175" t="s">
        <v>109</v>
      </c>
      <c r="K3175" t="s">
        <v>42</v>
      </c>
      <c r="L3175" t="s">
        <v>1028</v>
      </c>
      <c r="N3175" t="s">
        <v>1029</v>
      </c>
      <c r="Q3175">
        <v>29371</v>
      </c>
      <c r="R3175" t="s">
        <v>703</v>
      </c>
      <c r="S3175" t="s">
        <v>942</v>
      </c>
      <c r="T3175">
        <v>24</v>
      </c>
      <c r="U3175" s="2" t="s">
        <v>19583</v>
      </c>
      <c r="W3175" t="s">
        <v>1967</v>
      </c>
      <c r="X3175">
        <v>110000711</v>
      </c>
      <c r="Y3175" t="s">
        <v>1978</v>
      </c>
      <c r="Z3175" t="s">
        <v>1548</v>
      </c>
      <c r="AA3175" s="2" t="s">
        <v>19584</v>
      </c>
      <c r="AB3175" t="s">
        <v>3300</v>
      </c>
      <c r="AG3175" t="s">
        <v>19585</v>
      </c>
      <c r="AH3175" t="s">
        <v>7697</v>
      </c>
      <c r="AI3175" t="s">
        <v>19586</v>
      </c>
    </row>
    <row r="3176" spans="2:35" ht="105">
      <c r="B3176" s="1">
        <v>45550</v>
      </c>
      <c r="C3176" s="4">
        <v>45546.370138888888</v>
      </c>
      <c r="D3176" t="s">
        <v>3738</v>
      </c>
      <c r="E3176" t="s">
        <v>3739</v>
      </c>
      <c r="F3176">
        <v>1</v>
      </c>
      <c r="G3176" t="s">
        <v>1046</v>
      </c>
      <c r="H3176" t="s">
        <v>39</v>
      </c>
      <c r="I3176" t="s">
        <v>40</v>
      </c>
      <c r="J3176" t="s">
        <v>109</v>
      </c>
      <c r="K3176" t="s">
        <v>42</v>
      </c>
      <c r="L3176" t="s">
        <v>1048</v>
      </c>
      <c r="N3176" t="s">
        <v>1049</v>
      </c>
      <c r="Q3176">
        <v>29369</v>
      </c>
      <c r="R3176" t="s">
        <v>119</v>
      </c>
      <c r="S3176" t="s">
        <v>3740</v>
      </c>
      <c r="T3176">
        <v>29</v>
      </c>
      <c r="U3176" s="2" t="s">
        <v>19587</v>
      </c>
      <c r="W3176" t="s">
        <v>1051</v>
      </c>
      <c r="X3176">
        <v>838438</v>
      </c>
      <c r="Y3176" t="s">
        <v>1052</v>
      </c>
      <c r="Z3176" t="e">
        <f ca="1">- cleaned cartridge Bays, plunger Rods _xludf.and I-CORE
- replaced _xludf.filter
- generated reports</f>
        <v>#NAME?</v>
      </c>
      <c r="AA3176" t="s">
        <v>820</v>
      </c>
      <c r="AB3176" t="s">
        <v>1428</v>
      </c>
      <c r="AG3176" t="s">
        <v>19588</v>
      </c>
      <c r="AH3176" t="s">
        <v>3742</v>
      </c>
      <c r="AI3176" t="s">
        <v>19589</v>
      </c>
    </row>
    <row r="3177" spans="2:35" ht="345">
      <c r="B3177" s="1">
        <v>45550</v>
      </c>
      <c r="C3177" s="4">
        <v>45546.511805555558</v>
      </c>
      <c r="D3177" t="s">
        <v>4511</v>
      </c>
      <c r="E3177" t="s">
        <v>4512</v>
      </c>
      <c r="F3177">
        <v>1</v>
      </c>
      <c r="G3177" t="s">
        <v>1046</v>
      </c>
      <c r="H3177" t="s">
        <v>1047</v>
      </c>
      <c r="I3177" t="s">
        <v>40</v>
      </c>
      <c r="J3177" s="2" t="s">
        <v>41</v>
      </c>
      <c r="K3177" t="s">
        <v>42</v>
      </c>
      <c r="L3177" t="s">
        <v>1048</v>
      </c>
      <c r="N3177" t="s">
        <v>1049</v>
      </c>
      <c r="Q3177">
        <v>29368</v>
      </c>
      <c r="R3177" t="s">
        <v>119</v>
      </c>
      <c r="S3177" t="s">
        <v>4513</v>
      </c>
      <c r="T3177">
        <v>28</v>
      </c>
      <c r="U3177" s="2" t="s">
        <v>8657</v>
      </c>
      <c r="V3177" s="1">
        <v>45537</v>
      </c>
      <c r="W3177" t="s">
        <v>1051</v>
      </c>
      <c r="X3177">
        <v>838288</v>
      </c>
      <c r="Y3177" t="s">
        <v>1924</v>
      </c>
      <c r="Z3177" s="2" t="s">
        <v>19590</v>
      </c>
      <c r="AA3177" t="s">
        <v>1926</v>
      </c>
      <c r="AB3177" t="s">
        <v>1428</v>
      </c>
      <c r="AC3177" t="s">
        <v>11073</v>
      </c>
      <c r="AD3177" t="s">
        <v>19591</v>
      </c>
      <c r="AE3177" t="s">
        <v>19592</v>
      </c>
      <c r="AG3177" t="s">
        <v>19593</v>
      </c>
      <c r="AH3177" t="s">
        <v>4515</v>
      </c>
      <c r="AI3177" t="s">
        <v>19594</v>
      </c>
    </row>
    <row r="3178" spans="2:35" ht="330">
      <c r="B3178" s="1">
        <v>45550</v>
      </c>
      <c r="C3178" s="4">
        <v>45546.364583333336</v>
      </c>
      <c r="D3178" t="s">
        <v>4503</v>
      </c>
      <c r="E3178" t="s">
        <v>4504</v>
      </c>
      <c r="F3178">
        <v>1</v>
      </c>
      <c r="G3178" t="s">
        <v>1046</v>
      </c>
      <c r="H3178" t="s">
        <v>1047</v>
      </c>
      <c r="I3178" t="s">
        <v>40</v>
      </c>
      <c r="J3178" s="2" t="s">
        <v>41</v>
      </c>
      <c r="K3178" t="s">
        <v>42</v>
      </c>
      <c r="L3178" t="s">
        <v>1048</v>
      </c>
      <c r="N3178" t="s">
        <v>1049</v>
      </c>
      <c r="Q3178">
        <v>29367</v>
      </c>
      <c r="R3178" t="s">
        <v>119</v>
      </c>
      <c r="S3178" t="s">
        <v>4505</v>
      </c>
      <c r="T3178">
        <v>29</v>
      </c>
      <c r="U3178" s="2" t="s">
        <v>2493</v>
      </c>
      <c r="V3178" s="1">
        <v>45537</v>
      </c>
      <c r="W3178" t="s">
        <v>1051</v>
      </c>
      <c r="X3178">
        <v>838516</v>
      </c>
      <c r="Y3178" t="s">
        <v>1924</v>
      </c>
      <c r="Z3178" s="2" t="s">
        <v>19595</v>
      </c>
      <c r="AA3178" t="s">
        <v>820</v>
      </c>
      <c r="AB3178" t="s">
        <v>1428</v>
      </c>
      <c r="AD3178" t="s">
        <v>19596</v>
      </c>
      <c r="AE3178" t="s">
        <v>19597</v>
      </c>
      <c r="AG3178" t="s">
        <v>19598</v>
      </c>
      <c r="AH3178" t="s">
        <v>19599</v>
      </c>
      <c r="AI3178" t="s">
        <v>19600</v>
      </c>
    </row>
    <row r="3179" spans="2:35" ht="120">
      <c r="B3179" s="1">
        <v>45550</v>
      </c>
      <c r="C3179" s="4">
        <v>45546.361805555556</v>
      </c>
      <c r="D3179" t="s">
        <v>3732</v>
      </c>
      <c r="E3179" t="s">
        <v>3732</v>
      </c>
      <c r="F3179">
        <v>1</v>
      </c>
      <c r="G3179" t="s">
        <v>1046</v>
      </c>
      <c r="H3179" t="s">
        <v>1047</v>
      </c>
      <c r="I3179" t="s">
        <v>40</v>
      </c>
      <c r="J3179" t="s">
        <v>109</v>
      </c>
      <c r="K3179" t="s">
        <v>42</v>
      </c>
      <c r="L3179" t="s">
        <v>1048</v>
      </c>
      <c r="N3179" t="s">
        <v>1049</v>
      </c>
      <c r="Q3179">
        <v>29366</v>
      </c>
      <c r="R3179" t="s">
        <v>119</v>
      </c>
      <c r="S3179" t="s">
        <v>19601</v>
      </c>
      <c r="T3179">
        <v>25</v>
      </c>
      <c r="U3179" s="2" t="s">
        <v>553</v>
      </c>
      <c r="W3179" t="s">
        <v>1051</v>
      </c>
      <c r="X3179">
        <v>838473</v>
      </c>
      <c r="Y3179" t="s">
        <v>19602</v>
      </c>
      <c r="Z3179" t="e">
        <f ca="1">- cleaned cartridge Bays, plunger Rods _xludf.and I-CORE
- generated reports</f>
        <v>#NAME?</v>
      </c>
      <c r="AA3179" t="s">
        <v>820</v>
      </c>
      <c r="AB3179" s="2" t="s">
        <v>19603</v>
      </c>
      <c r="AG3179" t="s">
        <v>19604</v>
      </c>
      <c r="AH3179" t="s">
        <v>19605</v>
      </c>
      <c r="AI3179" t="s">
        <v>19606</v>
      </c>
    </row>
    <row r="3180" spans="2:35" ht="240">
      <c r="B3180" s="1">
        <v>45549</v>
      </c>
      <c r="C3180" s="4">
        <v>45548.702777777777</v>
      </c>
      <c r="D3180" t="s">
        <v>8684</v>
      </c>
      <c r="E3180" t="s">
        <v>19607</v>
      </c>
      <c r="F3180">
        <v>5</v>
      </c>
      <c r="G3180" t="s">
        <v>814</v>
      </c>
      <c r="H3180" t="s">
        <v>39</v>
      </c>
      <c r="I3180" t="s">
        <v>94</v>
      </c>
      <c r="J3180" s="2" t="s">
        <v>41</v>
      </c>
      <c r="K3180" t="s">
        <v>42</v>
      </c>
      <c r="L3180" t="s">
        <v>761</v>
      </c>
      <c r="N3180" t="s">
        <v>762</v>
      </c>
      <c r="Q3180">
        <v>29365</v>
      </c>
      <c r="R3180" t="s">
        <v>119</v>
      </c>
      <c r="S3180" t="s">
        <v>14253</v>
      </c>
      <c r="T3180">
        <v>24</v>
      </c>
      <c r="U3180" s="2" t="s">
        <v>19608</v>
      </c>
      <c r="W3180" t="s">
        <v>765</v>
      </c>
      <c r="X3180">
        <v>838266</v>
      </c>
      <c r="Y3180" t="s">
        <v>19609</v>
      </c>
      <c r="Z3180" s="2" t="s">
        <v>19610</v>
      </c>
      <c r="AA3180" s="2" t="s">
        <v>19611</v>
      </c>
      <c r="AB3180" t="s">
        <v>181</v>
      </c>
      <c r="AG3180" t="s">
        <v>19612</v>
      </c>
      <c r="AH3180" t="s">
        <v>8693</v>
      </c>
      <c r="AI3180" t="s">
        <v>19613</v>
      </c>
    </row>
    <row r="3181" spans="2:35" ht="105">
      <c r="B3181" s="1">
        <v>45548</v>
      </c>
      <c r="C3181" s="4">
        <v>45548.736805555556</v>
      </c>
      <c r="D3181" t="s">
        <v>10354</v>
      </c>
      <c r="E3181" t="s">
        <v>19614</v>
      </c>
      <c r="F3181">
        <v>7</v>
      </c>
      <c r="G3181" t="s">
        <v>6529</v>
      </c>
      <c r="H3181" t="s">
        <v>10969</v>
      </c>
      <c r="I3181" t="s">
        <v>40</v>
      </c>
      <c r="J3181" s="2" t="s">
        <v>62</v>
      </c>
      <c r="K3181" t="s">
        <v>42</v>
      </c>
      <c r="L3181" t="s">
        <v>1288</v>
      </c>
      <c r="N3181" t="s">
        <v>1289</v>
      </c>
      <c r="Q3181">
        <v>29364</v>
      </c>
      <c r="R3181" t="s">
        <v>119</v>
      </c>
      <c r="S3181" t="s">
        <v>14511</v>
      </c>
      <c r="T3181">
        <v>28</v>
      </c>
      <c r="U3181" s="2" t="s">
        <v>8628</v>
      </c>
      <c r="V3181" s="1">
        <v>45538</v>
      </c>
      <c r="W3181" t="s">
        <v>1292</v>
      </c>
      <c r="X3181">
        <v>838494</v>
      </c>
      <c r="Y3181" t="e">
        <f ca="1">-_xludf.For XpertCheck CALIBRATION</f>
        <v>#NAME?</v>
      </c>
      <c r="Z3181" t="e">
        <f ca="1">-COLLECT IQR, system _xludf.Log, ARCHIVE, _xludf.and CALIBRATION Data</f>
        <v>#NAME?</v>
      </c>
      <c r="AA3181" t="e">
        <f ca="1">-PERFORM Preventive Maintenance PROCEDURE
-PERFORM XpertCheck CALIBRATION: ALL modules passed</f>
        <v>#NAME?</v>
      </c>
      <c r="AB3181" t="e">
        <f ca="1">-EQUIPMENT is operational</f>
        <v>#NAME?</v>
      </c>
      <c r="AD3181" t="s">
        <v>15700</v>
      </c>
      <c r="AE3181">
        <v>11962</v>
      </c>
      <c r="AG3181" t="s">
        <v>19615</v>
      </c>
      <c r="AH3181" t="s">
        <v>19616</v>
      </c>
      <c r="AI3181" t="s">
        <v>19617</v>
      </c>
    </row>
    <row r="3182" spans="2:35" ht="375">
      <c r="B3182" s="1">
        <v>45548</v>
      </c>
      <c r="C3182" s="4">
        <v>45547.631249999999</v>
      </c>
      <c r="D3182" t="s">
        <v>660</v>
      </c>
      <c r="E3182" t="s">
        <v>2569</v>
      </c>
      <c r="F3182" t="s">
        <v>148</v>
      </c>
      <c r="G3182" t="s">
        <v>447</v>
      </c>
      <c r="H3182" t="s">
        <v>662</v>
      </c>
      <c r="I3182" t="s">
        <v>40</v>
      </c>
      <c r="J3182" t="s">
        <v>109</v>
      </c>
      <c r="K3182" t="s">
        <v>42</v>
      </c>
      <c r="L3182" t="s">
        <v>448</v>
      </c>
      <c r="N3182" t="s">
        <v>450</v>
      </c>
      <c r="O3182" t="s">
        <v>663</v>
      </c>
      <c r="Q3182">
        <v>29363</v>
      </c>
      <c r="R3182" t="s">
        <v>322</v>
      </c>
      <c r="S3182" t="s">
        <v>3987</v>
      </c>
      <c r="T3182">
        <v>26</v>
      </c>
      <c r="U3182" s="2" t="s">
        <v>19618</v>
      </c>
      <c r="W3182" t="s">
        <v>19619</v>
      </c>
      <c r="X3182">
        <v>110014171</v>
      </c>
      <c r="Y3182" t="s">
        <v>485</v>
      </c>
      <c r="Z3182" s="2" t="s">
        <v>2011</v>
      </c>
      <c r="AA3182" t="s">
        <v>122</v>
      </c>
      <c r="AB3182" t="s">
        <v>486</v>
      </c>
      <c r="AG3182" t="s">
        <v>19620</v>
      </c>
      <c r="AH3182" t="s">
        <v>3991</v>
      </c>
      <c r="AI3182" t="s">
        <v>19621</v>
      </c>
    </row>
    <row r="3183" spans="2:35" ht="225">
      <c r="B3183" s="1">
        <v>45548</v>
      </c>
      <c r="C3183" s="4">
        <v>45548.56527777778</v>
      </c>
      <c r="D3183" t="s">
        <v>702</v>
      </c>
      <c r="E3183" t="s">
        <v>13381</v>
      </c>
      <c r="F3183" t="s">
        <v>148</v>
      </c>
      <c r="G3183" t="s">
        <v>544</v>
      </c>
      <c r="H3183" t="s">
        <v>39</v>
      </c>
      <c r="I3183" t="s">
        <v>40</v>
      </c>
      <c r="J3183" t="s">
        <v>109</v>
      </c>
      <c r="K3183" t="s">
        <v>42</v>
      </c>
      <c r="L3183" t="s">
        <v>43</v>
      </c>
      <c r="N3183" t="s">
        <v>44</v>
      </c>
      <c r="Q3183">
        <v>29362</v>
      </c>
      <c r="R3183" t="s">
        <v>703</v>
      </c>
      <c r="S3183" t="s">
        <v>14488</v>
      </c>
      <c r="T3183">
        <v>22</v>
      </c>
      <c r="U3183" s="2" t="s">
        <v>19622</v>
      </c>
      <c r="W3183" t="s">
        <v>48</v>
      </c>
      <c r="X3183">
        <v>110008418</v>
      </c>
      <c r="Y3183" t="s">
        <v>121</v>
      </c>
      <c r="Z3183" t="s">
        <v>122</v>
      </c>
      <c r="AA3183" s="2" t="s">
        <v>9744</v>
      </c>
      <c r="AB3183" t="s">
        <v>548</v>
      </c>
      <c r="AG3183" t="s">
        <v>19623</v>
      </c>
      <c r="AH3183" t="s">
        <v>15448</v>
      </c>
      <c r="AI3183" t="s">
        <v>19624</v>
      </c>
    </row>
    <row r="3184" spans="2:35" ht="225">
      <c r="B3184" s="1">
        <v>45548</v>
      </c>
      <c r="C3184" s="4">
        <v>45547.640972222223</v>
      </c>
      <c r="D3184" t="s">
        <v>1678</v>
      </c>
      <c r="E3184" t="s">
        <v>19625</v>
      </c>
      <c r="F3184" t="s">
        <v>148</v>
      </c>
      <c r="G3184" t="s">
        <v>785</v>
      </c>
      <c r="H3184" t="s">
        <v>39</v>
      </c>
      <c r="I3184" t="s">
        <v>40</v>
      </c>
      <c r="J3184" t="s">
        <v>109</v>
      </c>
      <c r="K3184" t="s">
        <v>42</v>
      </c>
      <c r="L3184" t="s">
        <v>43</v>
      </c>
      <c r="N3184" t="s">
        <v>44</v>
      </c>
      <c r="Q3184">
        <v>29361</v>
      </c>
      <c r="R3184" t="s">
        <v>322</v>
      </c>
      <c r="S3184" t="s">
        <v>18437</v>
      </c>
      <c r="T3184">
        <v>22</v>
      </c>
      <c r="U3184" s="2" t="s">
        <v>19626</v>
      </c>
      <c r="W3184" t="s">
        <v>153</v>
      </c>
      <c r="X3184">
        <v>110024246</v>
      </c>
      <c r="Y3184" t="s">
        <v>121</v>
      </c>
      <c r="Z3184" t="s">
        <v>122</v>
      </c>
      <c r="AA3184" s="2" t="s">
        <v>123</v>
      </c>
      <c r="AB3184" t="s">
        <v>548</v>
      </c>
      <c r="AG3184" t="s">
        <v>19627</v>
      </c>
      <c r="AH3184" t="s">
        <v>1684</v>
      </c>
      <c r="AI3184" t="s">
        <v>19628</v>
      </c>
    </row>
    <row r="3185" spans="2:35" ht="225">
      <c r="B3185" s="1">
        <v>45548</v>
      </c>
      <c r="C3185" s="4">
        <v>45547.563194444447</v>
      </c>
      <c r="D3185" t="s">
        <v>1686</v>
      </c>
      <c r="E3185" t="s">
        <v>6077</v>
      </c>
      <c r="F3185" t="s">
        <v>148</v>
      </c>
      <c r="G3185" t="s">
        <v>785</v>
      </c>
      <c r="H3185" t="s">
        <v>39</v>
      </c>
      <c r="I3185" t="s">
        <v>40</v>
      </c>
      <c r="J3185" t="s">
        <v>109</v>
      </c>
      <c r="K3185" t="s">
        <v>42</v>
      </c>
      <c r="L3185" t="s">
        <v>43</v>
      </c>
      <c r="N3185" t="s">
        <v>44</v>
      </c>
      <c r="Q3185">
        <v>29360</v>
      </c>
      <c r="R3185" t="s">
        <v>322</v>
      </c>
      <c r="S3185" t="s">
        <v>1688</v>
      </c>
      <c r="T3185">
        <v>22</v>
      </c>
      <c r="U3185" s="2" t="s">
        <v>19629</v>
      </c>
      <c r="W3185" t="s">
        <v>153</v>
      </c>
      <c r="X3185">
        <v>110024247</v>
      </c>
      <c r="Y3185" t="s">
        <v>121</v>
      </c>
      <c r="Z3185" t="s">
        <v>122</v>
      </c>
      <c r="AA3185" s="2" t="s">
        <v>9744</v>
      </c>
      <c r="AB3185" t="s">
        <v>548</v>
      </c>
      <c r="AG3185" t="s">
        <v>19630</v>
      </c>
      <c r="AH3185" t="s">
        <v>8273</v>
      </c>
      <c r="AI3185" t="s">
        <v>19631</v>
      </c>
    </row>
    <row r="3186" spans="2:35" ht="225">
      <c r="B3186" s="1">
        <v>45548</v>
      </c>
      <c r="C3186" s="4">
        <v>45547.640972222223</v>
      </c>
      <c r="D3186" t="s">
        <v>1678</v>
      </c>
      <c r="E3186" t="s">
        <v>19625</v>
      </c>
      <c r="F3186" t="s">
        <v>148</v>
      </c>
      <c r="G3186" t="s">
        <v>785</v>
      </c>
      <c r="H3186" t="s">
        <v>39</v>
      </c>
      <c r="I3186" t="s">
        <v>40</v>
      </c>
      <c r="J3186" t="s">
        <v>109</v>
      </c>
      <c r="K3186" t="s">
        <v>42</v>
      </c>
      <c r="L3186" t="s">
        <v>43</v>
      </c>
      <c r="N3186" t="s">
        <v>44</v>
      </c>
      <c r="Q3186">
        <v>29357</v>
      </c>
      <c r="R3186" t="s">
        <v>322</v>
      </c>
      <c r="S3186" t="s">
        <v>18437</v>
      </c>
      <c r="T3186">
        <v>22</v>
      </c>
      <c r="U3186" s="2" t="s">
        <v>19626</v>
      </c>
      <c r="W3186" t="s">
        <v>153</v>
      </c>
      <c r="X3186">
        <v>110024246</v>
      </c>
      <c r="Y3186" t="s">
        <v>121</v>
      </c>
      <c r="Z3186" t="s">
        <v>122</v>
      </c>
      <c r="AA3186" s="2" t="s">
        <v>123</v>
      </c>
      <c r="AB3186" t="s">
        <v>548</v>
      </c>
      <c r="AG3186" t="s">
        <v>19632</v>
      </c>
      <c r="AH3186" t="s">
        <v>1684</v>
      </c>
      <c r="AI3186" t="s">
        <v>19633</v>
      </c>
    </row>
    <row r="3187" spans="2:35" ht="225">
      <c r="B3187" s="1">
        <v>45548</v>
      </c>
      <c r="C3187" s="4">
        <v>45548.56527777778</v>
      </c>
      <c r="D3187" t="s">
        <v>702</v>
      </c>
      <c r="E3187" t="s">
        <v>13381</v>
      </c>
      <c r="F3187" t="s">
        <v>148</v>
      </c>
      <c r="G3187" t="s">
        <v>544</v>
      </c>
      <c r="H3187" t="s">
        <v>39</v>
      </c>
      <c r="I3187" t="s">
        <v>40</v>
      </c>
      <c r="J3187" t="s">
        <v>109</v>
      </c>
      <c r="K3187" t="s">
        <v>42</v>
      </c>
      <c r="L3187" t="s">
        <v>43</v>
      </c>
      <c r="N3187" t="s">
        <v>44</v>
      </c>
      <c r="Q3187">
        <v>29359</v>
      </c>
      <c r="R3187" t="s">
        <v>703</v>
      </c>
      <c r="S3187" t="s">
        <v>14488</v>
      </c>
      <c r="T3187">
        <v>22</v>
      </c>
      <c r="U3187" s="2" t="s">
        <v>19622</v>
      </c>
      <c r="W3187" t="s">
        <v>48</v>
      </c>
      <c r="X3187">
        <v>110008418</v>
      </c>
      <c r="Y3187" t="s">
        <v>121</v>
      </c>
      <c r="Z3187" t="s">
        <v>122</v>
      </c>
      <c r="AA3187" s="2" t="s">
        <v>9744</v>
      </c>
      <c r="AB3187" t="s">
        <v>548</v>
      </c>
      <c r="AG3187" t="s">
        <v>19634</v>
      </c>
      <c r="AH3187" t="s">
        <v>15448</v>
      </c>
      <c r="AI3187" t="s">
        <v>19635</v>
      </c>
    </row>
    <row r="3188" spans="2:35" ht="225">
      <c r="B3188" s="1">
        <v>45548</v>
      </c>
      <c r="C3188" s="4">
        <v>45547.563194444447</v>
      </c>
      <c r="D3188" t="s">
        <v>1686</v>
      </c>
      <c r="E3188" t="s">
        <v>6077</v>
      </c>
      <c r="F3188" t="s">
        <v>148</v>
      </c>
      <c r="G3188" t="s">
        <v>785</v>
      </c>
      <c r="H3188" t="s">
        <v>39</v>
      </c>
      <c r="I3188" t="s">
        <v>40</v>
      </c>
      <c r="J3188" t="s">
        <v>109</v>
      </c>
      <c r="K3188" t="s">
        <v>42</v>
      </c>
      <c r="L3188" t="s">
        <v>43</v>
      </c>
      <c r="N3188" t="s">
        <v>44</v>
      </c>
      <c r="Q3188">
        <v>29358</v>
      </c>
      <c r="R3188" t="s">
        <v>322</v>
      </c>
      <c r="S3188" t="s">
        <v>1688</v>
      </c>
      <c r="T3188">
        <v>22</v>
      </c>
      <c r="U3188" s="2" t="s">
        <v>19629</v>
      </c>
      <c r="W3188" t="s">
        <v>153</v>
      </c>
      <c r="X3188">
        <v>110024247</v>
      </c>
      <c r="Y3188" t="s">
        <v>121</v>
      </c>
      <c r="Z3188" t="s">
        <v>122</v>
      </c>
      <c r="AA3188" s="2" t="s">
        <v>9744</v>
      </c>
      <c r="AB3188" t="s">
        <v>548</v>
      </c>
      <c r="AG3188" t="s">
        <v>19636</v>
      </c>
      <c r="AH3188" t="s">
        <v>8273</v>
      </c>
      <c r="AI3188" t="s">
        <v>19637</v>
      </c>
    </row>
    <row r="3189" spans="2:35" ht="285">
      <c r="B3189" s="1">
        <v>45548</v>
      </c>
      <c r="C3189" s="4">
        <v>45548.59097222222</v>
      </c>
      <c r="D3189" t="s">
        <v>5087</v>
      </c>
      <c r="E3189" t="s">
        <v>19638</v>
      </c>
      <c r="F3189" t="s">
        <v>148</v>
      </c>
      <c r="G3189" t="s">
        <v>447</v>
      </c>
      <c r="H3189" t="s">
        <v>19639</v>
      </c>
      <c r="I3189" t="s">
        <v>40</v>
      </c>
      <c r="J3189" t="s">
        <v>79</v>
      </c>
      <c r="K3189" t="s">
        <v>42</v>
      </c>
      <c r="L3189" t="s">
        <v>448</v>
      </c>
      <c r="N3189" t="s">
        <v>450</v>
      </c>
      <c r="O3189" t="s">
        <v>650</v>
      </c>
      <c r="Q3189">
        <v>29356</v>
      </c>
      <c r="R3189" t="s">
        <v>322</v>
      </c>
      <c r="S3189" t="s">
        <v>650</v>
      </c>
      <c r="T3189">
        <v>26</v>
      </c>
      <c r="W3189" t="s">
        <v>19640</v>
      </c>
      <c r="X3189" t="s">
        <v>13339</v>
      </c>
      <c r="Y3189" t="s">
        <v>19641</v>
      </c>
      <c r="Z3189" s="2" t="s">
        <v>19642</v>
      </c>
      <c r="AA3189" t="s">
        <v>14151</v>
      </c>
      <c r="AB3189" t="s">
        <v>19643</v>
      </c>
      <c r="AG3189" t="s">
        <v>19644</v>
      </c>
      <c r="AH3189" t="s">
        <v>13642</v>
      </c>
      <c r="AI3189" t="s">
        <v>19645</v>
      </c>
    </row>
    <row r="3190" spans="2:35" ht="225">
      <c r="B3190" s="1">
        <v>45548</v>
      </c>
      <c r="C3190" s="4">
        <v>45548.57708333333</v>
      </c>
      <c r="D3190" t="s">
        <v>8727</v>
      </c>
      <c r="E3190" t="s">
        <v>15843</v>
      </c>
      <c r="F3190" t="s">
        <v>37</v>
      </c>
      <c r="G3190" t="s">
        <v>2499</v>
      </c>
      <c r="H3190" t="s">
        <v>39</v>
      </c>
      <c r="I3190" t="s">
        <v>40</v>
      </c>
      <c r="J3190" s="2" t="s">
        <v>41</v>
      </c>
      <c r="K3190" t="s">
        <v>42</v>
      </c>
      <c r="L3190" t="s">
        <v>15532</v>
      </c>
      <c r="N3190" t="s">
        <v>15533</v>
      </c>
      <c r="Q3190">
        <v>29355</v>
      </c>
      <c r="R3190" t="s">
        <v>119</v>
      </c>
      <c r="S3190" t="s">
        <v>15844</v>
      </c>
      <c r="T3190">
        <v>25</v>
      </c>
      <c r="U3190" s="2" t="s">
        <v>19646</v>
      </c>
      <c r="V3190" s="1">
        <v>45545</v>
      </c>
      <c r="W3190" t="s">
        <v>15535</v>
      </c>
      <c r="X3190">
        <v>838206</v>
      </c>
      <c r="Y3190" t="s">
        <v>19647</v>
      </c>
      <c r="Z3190" s="2" t="s">
        <v>19648</v>
      </c>
      <c r="AA3190" s="2" t="s">
        <v>19649</v>
      </c>
      <c r="AB3190" s="2" t="s">
        <v>17371</v>
      </c>
      <c r="AD3190" t="s">
        <v>19400</v>
      </c>
      <c r="AE3190" t="s">
        <v>19650</v>
      </c>
      <c r="AG3190" t="s">
        <v>19651</v>
      </c>
      <c r="AH3190" t="s">
        <v>8736</v>
      </c>
      <c r="AI3190" t="s">
        <v>19652</v>
      </c>
    </row>
    <row r="3191" spans="2:35" ht="120">
      <c r="B3191" s="1">
        <v>45548</v>
      </c>
      <c r="C3191" s="4">
        <v>45548.546527777777</v>
      </c>
      <c r="D3191" t="s">
        <v>5563</v>
      </c>
      <c r="E3191" t="s">
        <v>12328</v>
      </c>
      <c r="F3191">
        <v>7</v>
      </c>
      <c r="G3191" t="s">
        <v>432</v>
      </c>
      <c r="H3191" t="s">
        <v>150</v>
      </c>
      <c r="I3191" t="s">
        <v>40</v>
      </c>
      <c r="J3191" t="s">
        <v>996</v>
      </c>
      <c r="K3191" t="s">
        <v>42</v>
      </c>
      <c r="L3191" t="s">
        <v>343</v>
      </c>
      <c r="N3191" t="s">
        <v>344</v>
      </c>
      <c r="Q3191">
        <v>29354</v>
      </c>
      <c r="R3191" t="s">
        <v>119</v>
      </c>
      <c r="S3191" t="s">
        <v>5564</v>
      </c>
      <c r="T3191">
        <v>27</v>
      </c>
      <c r="U3191" s="2" t="s">
        <v>19653</v>
      </c>
      <c r="V3191" s="1">
        <v>45538</v>
      </c>
      <c r="W3191" t="s">
        <v>1501</v>
      </c>
      <c r="X3191">
        <v>838561</v>
      </c>
      <c r="Y3191" t="s">
        <v>3191</v>
      </c>
      <c r="Z3191" t="e">
        <f ca="1">-run XpertCheck on ALL four modules</f>
        <v>#NAME?</v>
      </c>
      <c r="AA3191" t="e">
        <f ca="1">-XpertCheck CALIBRATION</f>
        <v>#NAME?</v>
      </c>
      <c r="AB3191" t="s">
        <v>19654</v>
      </c>
      <c r="AD3191" s="2" t="s">
        <v>19655</v>
      </c>
      <c r="AE3191" t="s">
        <v>19656</v>
      </c>
      <c r="AG3191" t="s">
        <v>19657</v>
      </c>
      <c r="AH3191" t="s">
        <v>19658</v>
      </c>
      <c r="AI3191" t="s">
        <v>19659</v>
      </c>
    </row>
    <row r="3192" spans="2:35" ht="409.5">
      <c r="B3192" s="1">
        <v>45548</v>
      </c>
      <c r="C3192" s="4">
        <v>45548.434027777781</v>
      </c>
      <c r="D3192" t="s">
        <v>19660</v>
      </c>
      <c r="E3192" t="s">
        <v>19661</v>
      </c>
      <c r="F3192">
        <v>7</v>
      </c>
      <c r="G3192" t="s">
        <v>6529</v>
      </c>
      <c r="H3192" t="s">
        <v>10969</v>
      </c>
      <c r="I3192" t="s">
        <v>40</v>
      </c>
      <c r="J3192" s="2" t="s">
        <v>1309</v>
      </c>
      <c r="K3192" t="s">
        <v>42</v>
      </c>
      <c r="L3192" t="s">
        <v>1288</v>
      </c>
      <c r="N3192" t="s">
        <v>1289</v>
      </c>
      <c r="Q3192">
        <v>29353</v>
      </c>
      <c r="R3192" t="s">
        <v>119</v>
      </c>
      <c r="S3192" t="s">
        <v>19662</v>
      </c>
      <c r="T3192">
        <v>28</v>
      </c>
      <c r="U3192" s="2" t="s">
        <v>19663</v>
      </c>
      <c r="V3192" s="1">
        <v>45533</v>
      </c>
      <c r="W3192" t="s">
        <v>1292</v>
      </c>
      <c r="X3192">
        <v>838292</v>
      </c>
      <c r="Y3192" t="e">
        <f ca="1">-module B2 Replacement
-_xludf.For XpertCheck CALIBRATION</f>
        <v>#NAME?</v>
      </c>
      <c r="Z3192" t="e">
        <f ca="1">-COLLECT IQR, system _xludf.Log, ARCHIVE, _xludf.and CALIBRATION Data</f>
        <v>#NAME?</v>
      </c>
      <c r="AA3192" s="2" t="s">
        <v>19664</v>
      </c>
      <c r="AB3192" t="s">
        <v>1293</v>
      </c>
      <c r="AD3192" s="2" t="s">
        <v>19665</v>
      </c>
      <c r="AE3192" t="s">
        <v>19666</v>
      </c>
      <c r="AG3192" t="s">
        <v>19667</v>
      </c>
      <c r="AH3192" t="s">
        <v>19668</v>
      </c>
      <c r="AI3192" t="s">
        <v>19669</v>
      </c>
    </row>
    <row r="3193" spans="2:35" ht="165">
      <c r="B3193" s="1">
        <v>45547</v>
      </c>
      <c r="C3193" s="4">
        <v>45547.714583333334</v>
      </c>
      <c r="D3193" t="s">
        <v>9251</v>
      </c>
      <c r="E3193" t="s">
        <v>19670</v>
      </c>
      <c r="F3193">
        <v>2</v>
      </c>
      <c r="G3193" t="s">
        <v>60</v>
      </c>
      <c r="H3193" t="s">
        <v>39</v>
      </c>
      <c r="I3193" t="s">
        <v>40</v>
      </c>
      <c r="J3193" s="2" t="s">
        <v>41</v>
      </c>
      <c r="K3193" t="s">
        <v>42</v>
      </c>
      <c r="L3193" t="s">
        <v>63</v>
      </c>
      <c r="N3193" t="s">
        <v>64</v>
      </c>
      <c r="Q3193">
        <v>29352</v>
      </c>
      <c r="R3193" t="s">
        <v>119</v>
      </c>
      <c r="S3193" t="s">
        <v>9253</v>
      </c>
      <c r="T3193">
        <v>25</v>
      </c>
      <c r="U3193" s="2" t="s">
        <v>19671</v>
      </c>
      <c r="V3193" s="1">
        <v>45533</v>
      </c>
      <c r="W3193" t="s">
        <v>66</v>
      </c>
      <c r="X3193">
        <v>838272</v>
      </c>
      <c r="Y3193" t="s">
        <v>19672</v>
      </c>
      <c r="Z3193" s="2" t="s">
        <v>19673</v>
      </c>
      <c r="AA3193" s="2" t="s">
        <v>2726</v>
      </c>
      <c r="AB3193" t="s">
        <v>70</v>
      </c>
      <c r="AD3193" t="s">
        <v>12133</v>
      </c>
      <c r="AE3193" t="s">
        <v>19674</v>
      </c>
      <c r="AG3193" t="s">
        <v>19675</v>
      </c>
      <c r="AH3193" t="s">
        <v>11348</v>
      </c>
      <c r="AI3193" t="s">
        <v>19676</v>
      </c>
    </row>
    <row r="3194" spans="2:35" ht="405">
      <c r="B3194" s="1">
        <v>45547</v>
      </c>
      <c r="C3194" s="4">
        <v>45547.702777777777</v>
      </c>
      <c r="D3194" t="s">
        <v>19677</v>
      </c>
      <c r="E3194" t="s">
        <v>19678</v>
      </c>
      <c r="F3194">
        <v>7</v>
      </c>
      <c r="G3194" t="s">
        <v>6529</v>
      </c>
      <c r="H3194" t="s">
        <v>10969</v>
      </c>
      <c r="I3194" t="s">
        <v>40</v>
      </c>
      <c r="J3194" s="2" t="s">
        <v>19679</v>
      </c>
      <c r="K3194" t="s">
        <v>42</v>
      </c>
      <c r="L3194" t="s">
        <v>1288</v>
      </c>
      <c r="N3194" t="s">
        <v>1289</v>
      </c>
      <c r="Q3194">
        <v>29351</v>
      </c>
      <c r="R3194" t="s">
        <v>119</v>
      </c>
      <c r="S3194" t="s">
        <v>10220</v>
      </c>
      <c r="T3194">
        <v>25</v>
      </c>
      <c r="U3194" s="2" t="s">
        <v>15013</v>
      </c>
      <c r="V3194" s="1">
        <v>45533</v>
      </c>
      <c r="W3194" t="s">
        <v>1292</v>
      </c>
      <c r="X3194">
        <v>838396</v>
      </c>
      <c r="Y3194" t="e">
        <f ca="1">-_xludf.For module B2 _xludf.and module B3 Replacement
-GX STICKER ID Installation</f>
        <v>#NAME?</v>
      </c>
      <c r="Z3194" t="e">
        <f ca="1">-COLLECT IQR, system _xludf.Log, _xludf.and ARCHIVE</f>
        <v>#NAME?</v>
      </c>
      <c r="AA3194" s="2" t="s">
        <v>19680</v>
      </c>
      <c r="AB3194" t="s">
        <v>1293</v>
      </c>
      <c r="AD3194" t="s">
        <v>19681</v>
      </c>
      <c r="AE3194" t="s">
        <v>19682</v>
      </c>
      <c r="AG3194" t="s">
        <v>19683</v>
      </c>
      <c r="AH3194" t="s">
        <v>19684</v>
      </c>
      <c r="AI3194" t="s">
        <v>19685</v>
      </c>
    </row>
    <row r="3195" spans="2:35" ht="225">
      <c r="B3195" s="1">
        <v>45547</v>
      </c>
      <c r="C3195" s="1">
        <v>45547</v>
      </c>
      <c r="D3195" t="s">
        <v>7529</v>
      </c>
      <c r="E3195" t="s">
        <v>19686</v>
      </c>
      <c r="F3195">
        <v>5</v>
      </c>
      <c r="G3195" t="s">
        <v>759</v>
      </c>
      <c r="H3195" t="s">
        <v>39</v>
      </c>
      <c r="I3195" t="s">
        <v>94</v>
      </c>
      <c r="J3195" s="2" t="s">
        <v>41</v>
      </c>
      <c r="K3195" t="s">
        <v>42</v>
      </c>
      <c r="L3195" t="s">
        <v>761</v>
      </c>
      <c r="N3195" t="s">
        <v>762</v>
      </c>
      <c r="Q3195">
        <v>29350</v>
      </c>
      <c r="R3195" t="s">
        <v>119</v>
      </c>
      <c r="S3195" t="s">
        <v>17907</v>
      </c>
      <c r="T3195">
        <v>28</v>
      </c>
      <c r="U3195" s="2" t="s">
        <v>6086</v>
      </c>
      <c r="W3195" t="s">
        <v>765</v>
      </c>
      <c r="X3195">
        <v>838397</v>
      </c>
      <c r="Y3195" t="s">
        <v>19687</v>
      </c>
      <c r="Z3195" s="2" t="s">
        <v>19688</v>
      </c>
      <c r="AA3195" s="2" t="s">
        <v>19689</v>
      </c>
      <c r="AB3195" t="s">
        <v>70</v>
      </c>
      <c r="AC3195" t="s">
        <v>19690</v>
      </c>
      <c r="AG3195" t="s">
        <v>19691</v>
      </c>
      <c r="AH3195" t="s">
        <v>15870</v>
      </c>
      <c r="AI3195" t="s">
        <v>19692</v>
      </c>
    </row>
    <row r="3196" spans="2:35" ht="345">
      <c r="B3196" s="1">
        <v>45547</v>
      </c>
      <c r="C3196" s="4">
        <v>45547.631249999999</v>
      </c>
      <c r="D3196" t="s">
        <v>11484</v>
      </c>
      <c r="E3196" t="s">
        <v>19693</v>
      </c>
      <c r="F3196">
        <v>9</v>
      </c>
      <c r="G3196" t="s">
        <v>1205</v>
      </c>
      <c r="H3196" t="s">
        <v>39</v>
      </c>
      <c r="I3196" t="s">
        <v>94</v>
      </c>
      <c r="J3196" s="2" t="s">
        <v>19694</v>
      </c>
      <c r="K3196" t="s">
        <v>42</v>
      </c>
      <c r="L3196" t="s">
        <v>1257</v>
      </c>
      <c r="N3196" t="s">
        <v>1258</v>
      </c>
      <c r="O3196" t="s">
        <v>19695</v>
      </c>
      <c r="Q3196">
        <v>29349</v>
      </c>
      <c r="R3196" t="s">
        <v>95</v>
      </c>
      <c r="S3196" t="s">
        <v>4902</v>
      </c>
      <c r="T3196">
        <v>27</v>
      </c>
      <c r="U3196" s="2" t="s">
        <v>19696</v>
      </c>
      <c r="V3196" s="1">
        <v>44445</v>
      </c>
      <c r="W3196" t="s">
        <v>17323</v>
      </c>
      <c r="X3196">
        <v>210118423</v>
      </c>
      <c r="Y3196" t="s">
        <v>19697</v>
      </c>
      <c r="Z3196" t="s">
        <v>19698</v>
      </c>
      <c r="AA3196" t="s">
        <v>19698</v>
      </c>
      <c r="AB3196" t="s">
        <v>19699</v>
      </c>
      <c r="AC3196" t="s">
        <v>301</v>
      </c>
      <c r="AD3196" t="s">
        <v>19700</v>
      </c>
      <c r="AE3196">
        <v>98725</v>
      </c>
      <c r="AG3196" t="s">
        <v>19701</v>
      </c>
      <c r="AH3196" t="s">
        <v>11489</v>
      </c>
      <c r="AI3196" t="s">
        <v>19702</v>
      </c>
    </row>
    <row r="3197" spans="2:35" ht="409.5">
      <c r="B3197" s="1">
        <v>45547</v>
      </c>
      <c r="C3197" s="4">
        <v>45547.6</v>
      </c>
      <c r="D3197" t="s">
        <v>8429</v>
      </c>
      <c r="E3197" t="s">
        <v>9854</v>
      </c>
      <c r="F3197">
        <v>11</v>
      </c>
      <c r="G3197" t="s">
        <v>1205</v>
      </c>
      <c r="H3197" t="s">
        <v>202</v>
      </c>
      <c r="I3197" t="s">
        <v>40</v>
      </c>
      <c r="J3197" s="2" t="s">
        <v>1309</v>
      </c>
      <c r="K3197" t="s">
        <v>42</v>
      </c>
      <c r="L3197" t="s">
        <v>204</v>
      </c>
      <c r="N3197" t="s">
        <v>205</v>
      </c>
      <c r="Q3197">
        <v>29348</v>
      </c>
      <c r="R3197" t="s">
        <v>119</v>
      </c>
      <c r="S3197" t="s">
        <v>8431</v>
      </c>
      <c r="T3197">
        <v>27.5</v>
      </c>
      <c r="U3197" s="2" t="s">
        <v>13447</v>
      </c>
      <c r="V3197" s="1">
        <v>45533</v>
      </c>
      <c r="W3197" t="s">
        <v>208</v>
      </c>
      <c r="X3197">
        <v>838456</v>
      </c>
      <c r="Y3197" s="2" t="s">
        <v>19703</v>
      </c>
      <c r="Z3197" s="2" t="s">
        <v>19704</v>
      </c>
      <c r="AA3197" t="s">
        <v>19705</v>
      </c>
      <c r="AB3197" s="2" t="s">
        <v>19706</v>
      </c>
      <c r="AD3197" s="2" t="s">
        <v>19707</v>
      </c>
      <c r="AE3197" t="s">
        <v>19708</v>
      </c>
      <c r="AG3197" t="s">
        <v>19709</v>
      </c>
      <c r="AH3197" t="s">
        <v>19710</v>
      </c>
      <c r="AI3197" t="s">
        <v>19711</v>
      </c>
    </row>
    <row r="3198" spans="2:35" ht="150">
      <c r="B3198" s="1">
        <v>45547</v>
      </c>
      <c r="C3198" s="4">
        <v>45547.476388888892</v>
      </c>
      <c r="D3198" t="s">
        <v>1825</v>
      </c>
      <c r="E3198" t="s">
        <v>19712</v>
      </c>
      <c r="F3198">
        <v>7</v>
      </c>
      <c r="G3198" t="s">
        <v>432</v>
      </c>
      <c r="H3198" t="s">
        <v>500</v>
      </c>
      <c r="I3198" t="s">
        <v>40</v>
      </c>
      <c r="J3198" s="2" t="s">
        <v>62</v>
      </c>
      <c r="K3198" t="s">
        <v>42</v>
      </c>
      <c r="L3198" t="s">
        <v>433</v>
      </c>
      <c r="N3198" t="s">
        <v>434</v>
      </c>
      <c r="Q3198">
        <v>29347</v>
      </c>
      <c r="R3198" t="s">
        <v>119</v>
      </c>
      <c r="S3198" t="s">
        <v>1818</v>
      </c>
      <c r="T3198">
        <v>26</v>
      </c>
      <c r="W3198" t="s">
        <v>502</v>
      </c>
      <c r="X3198">
        <v>838263</v>
      </c>
      <c r="Y3198" t="s">
        <v>2303</v>
      </c>
      <c r="Z3198" s="2" t="s">
        <v>19713</v>
      </c>
      <c r="AA3198" s="2" t="s">
        <v>19713</v>
      </c>
      <c r="AB3198" t="s">
        <v>1011</v>
      </c>
      <c r="AG3198" t="s">
        <v>19714</v>
      </c>
      <c r="AH3198" t="s">
        <v>1823</v>
      </c>
      <c r="AI3198" t="s">
        <v>19715</v>
      </c>
    </row>
    <row r="3199" spans="2:35" ht="255">
      <c r="B3199" s="1">
        <v>45547</v>
      </c>
      <c r="C3199" s="4">
        <v>45547.474305555559</v>
      </c>
      <c r="D3199" t="s">
        <v>10149</v>
      </c>
      <c r="E3199" t="s">
        <v>19716</v>
      </c>
      <c r="F3199">
        <v>10</v>
      </c>
      <c r="G3199" t="s">
        <v>2723</v>
      </c>
      <c r="H3199" t="s">
        <v>258</v>
      </c>
      <c r="I3199" t="s">
        <v>40</v>
      </c>
      <c r="J3199" s="2" t="s">
        <v>17874</v>
      </c>
      <c r="K3199" t="s">
        <v>42</v>
      </c>
      <c r="L3199" t="s">
        <v>594</v>
      </c>
      <c r="N3199" t="s">
        <v>595</v>
      </c>
      <c r="O3199" t="s">
        <v>595</v>
      </c>
      <c r="Q3199">
        <v>29346</v>
      </c>
      <c r="R3199" t="s">
        <v>119</v>
      </c>
      <c r="S3199" t="s">
        <v>10801</v>
      </c>
      <c r="T3199">
        <v>23</v>
      </c>
      <c r="V3199" s="1">
        <v>45547</v>
      </c>
      <c r="W3199" t="s">
        <v>360</v>
      </c>
      <c r="X3199">
        <v>838269</v>
      </c>
      <c r="Y3199" s="2" t="s">
        <v>19717</v>
      </c>
      <c r="Z3199" s="2" t="s">
        <v>19718</v>
      </c>
      <c r="AA3199" s="2" t="s">
        <v>19719</v>
      </c>
      <c r="AB3199" s="2" t="s">
        <v>19720</v>
      </c>
      <c r="AG3199" t="s">
        <v>19721</v>
      </c>
      <c r="AH3199" t="s">
        <v>17658</v>
      </c>
      <c r="AI3199" t="s">
        <v>19722</v>
      </c>
    </row>
    <row r="3200" spans="2:35" ht="165">
      <c r="B3200" s="1">
        <v>45547</v>
      </c>
      <c r="C3200" s="4">
        <v>45547.42083333333</v>
      </c>
      <c r="D3200" t="s">
        <v>13291</v>
      </c>
      <c r="E3200" t="s">
        <v>19723</v>
      </c>
      <c r="F3200" t="s">
        <v>148</v>
      </c>
      <c r="G3200" t="s">
        <v>447</v>
      </c>
      <c r="H3200" t="s">
        <v>39</v>
      </c>
      <c r="I3200" t="s">
        <v>40</v>
      </c>
      <c r="J3200" t="s">
        <v>321</v>
      </c>
      <c r="K3200" t="s">
        <v>42</v>
      </c>
      <c r="L3200" t="s">
        <v>15532</v>
      </c>
      <c r="N3200" t="s">
        <v>15533</v>
      </c>
      <c r="Q3200">
        <v>29345</v>
      </c>
      <c r="R3200" t="s">
        <v>322</v>
      </c>
      <c r="S3200" t="s">
        <v>19724</v>
      </c>
      <c r="T3200">
        <v>25</v>
      </c>
      <c r="W3200" t="s">
        <v>19725</v>
      </c>
      <c r="X3200">
        <v>110025174</v>
      </c>
      <c r="Y3200" t="s">
        <v>8338</v>
      </c>
      <c r="Z3200" s="2" t="s">
        <v>19726</v>
      </c>
      <c r="AA3200" s="2" t="s">
        <v>19727</v>
      </c>
      <c r="AB3200" s="2" t="s">
        <v>19728</v>
      </c>
      <c r="AG3200" t="s">
        <v>19729</v>
      </c>
      <c r="AH3200" t="s">
        <v>19730</v>
      </c>
      <c r="AI3200" t="s">
        <v>19731</v>
      </c>
    </row>
    <row r="3201" spans="2:35" ht="165">
      <c r="B3201" s="1">
        <v>45547</v>
      </c>
      <c r="C3201" s="4">
        <v>45547.400694444441</v>
      </c>
      <c r="D3201" t="s">
        <v>10321</v>
      </c>
      <c r="E3201" t="s">
        <v>10322</v>
      </c>
      <c r="F3201">
        <v>2</v>
      </c>
      <c r="G3201" t="s">
        <v>2723</v>
      </c>
      <c r="H3201" t="s">
        <v>39</v>
      </c>
      <c r="I3201" t="s">
        <v>40</v>
      </c>
      <c r="J3201" s="2" t="s">
        <v>41</v>
      </c>
      <c r="K3201" t="s">
        <v>42</v>
      </c>
      <c r="L3201" t="s">
        <v>63</v>
      </c>
      <c r="N3201" t="s">
        <v>64</v>
      </c>
      <c r="Q3201">
        <v>29344</v>
      </c>
      <c r="R3201" t="s">
        <v>119</v>
      </c>
      <c r="S3201" t="s">
        <v>19732</v>
      </c>
      <c r="T3201">
        <v>28</v>
      </c>
      <c r="U3201" s="2" t="s">
        <v>19733</v>
      </c>
      <c r="V3201" s="1">
        <v>45545</v>
      </c>
      <c r="W3201" t="s">
        <v>66</v>
      </c>
      <c r="X3201">
        <v>838531</v>
      </c>
      <c r="Y3201" t="s">
        <v>19734</v>
      </c>
      <c r="Z3201" s="2" t="s">
        <v>19735</v>
      </c>
      <c r="AA3201" s="2" t="s">
        <v>2726</v>
      </c>
      <c r="AB3201" t="s">
        <v>70</v>
      </c>
      <c r="AD3201" t="s">
        <v>6397</v>
      </c>
      <c r="AE3201">
        <v>12058</v>
      </c>
      <c r="AG3201" t="s">
        <v>19736</v>
      </c>
      <c r="AH3201" t="s">
        <v>19737</v>
      </c>
      <c r="AI3201" t="s">
        <v>19738</v>
      </c>
    </row>
    <row r="3202" spans="2:35" ht="270">
      <c r="B3202" s="1">
        <v>45547</v>
      </c>
      <c r="C3202" s="4">
        <v>45547.363888888889</v>
      </c>
      <c r="D3202" t="s">
        <v>7076</v>
      </c>
      <c r="E3202" t="s">
        <v>19739</v>
      </c>
      <c r="F3202">
        <v>6</v>
      </c>
      <c r="G3202" t="s">
        <v>1395</v>
      </c>
      <c r="H3202" t="s">
        <v>258</v>
      </c>
      <c r="I3202" t="s">
        <v>40</v>
      </c>
      <c r="J3202" s="2" t="s">
        <v>17874</v>
      </c>
      <c r="K3202" t="s">
        <v>42</v>
      </c>
      <c r="L3202" t="s">
        <v>594</v>
      </c>
      <c r="N3202" t="s">
        <v>595</v>
      </c>
      <c r="O3202" t="s">
        <v>595</v>
      </c>
      <c r="Q3202">
        <v>29343</v>
      </c>
      <c r="R3202" t="s">
        <v>119</v>
      </c>
      <c r="S3202" t="s">
        <v>7078</v>
      </c>
      <c r="T3202">
        <v>23</v>
      </c>
      <c r="V3202" s="1">
        <v>45547</v>
      </c>
      <c r="W3202" t="s">
        <v>360</v>
      </c>
      <c r="X3202">
        <v>838575</v>
      </c>
      <c r="Y3202" s="2" t="s">
        <v>19740</v>
      </c>
      <c r="Z3202" s="2" t="s">
        <v>19741</v>
      </c>
      <c r="AA3202" s="2" t="s">
        <v>19742</v>
      </c>
      <c r="AB3202" t="s">
        <v>13650</v>
      </c>
      <c r="AG3202" t="s">
        <v>19743</v>
      </c>
      <c r="AH3202" t="s">
        <v>19744</v>
      </c>
      <c r="AI3202" t="s">
        <v>19745</v>
      </c>
    </row>
    <row r="3203" spans="2:35" ht="105">
      <c r="B3203" s="1">
        <v>45546</v>
      </c>
      <c r="C3203" s="4">
        <v>45546.893750000003</v>
      </c>
      <c r="D3203" t="s">
        <v>19746</v>
      </c>
      <c r="E3203" t="s">
        <v>19747</v>
      </c>
      <c r="F3203">
        <v>7</v>
      </c>
      <c r="G3203" t="s">
        <v>6529</v>
      </c>
      <c r="H3203" t="s">
        <v>10969</v>
      </c>
      <c r="I3203" t="s">
        <v>40</v>
      </c>
      <c r="J3203" s="2" t="s">
        <v>62</v>
      </c>
      <c r="K3203" t="s">
        <v>42</v>
      </c>
      <c r="L3203" t="s">
        <v>1288</v>
      </c>
      <c r="N3203" t="s">
        <v>1289</v>
      </c>
      <c r="Q3203">
        <v>29342</v>
      </c>
      <c r="R3203" t="s">
        <v>119</v>
      </c>
      <c r="S3203" t="s">
        <v>10213</v>
      </c>
      <c r="T3203">
        <v>22</v>
      </c>
      <c r="U3203" s="2" t="s">
        <v>19748</v>
      </c>
      <c r="V3203" s="1">
        <v>45538</v>
      </c>
      <c r="W3203" t="s">
        <v>1292</v>
      </c>
      <c r="X3203">
        <v>838394</v>
      </c>
      <c r="Y3203" t="e">
        <f ca="1">-_xludf.For XpertCheck CALIBRATION</f>
        <v>#NAME?</v>
      </c>
      <c r="Z3203" t="e">
        <f ca="1">-COLLECT IQR, system _xludf.Log, ARCHIVE, _xludf.and CALIBRATION Data</f>
        <v>#NAME?</v>
      </c>
      <c r="AA3203" t="e">
        <f ca="1">-PERFORM Preventive Maintenance PROCEDURE
-PERFORM XpertCheck CALIBRATION: ALL modules passed</f>
        <v>#NAME?</v>
      </c>
      <c r="AB3203" t="s">
        <v>1293</v>
      </c>
      <c r="AD3203" t="s">
        <v>15700</v>
      </c>
      <c r="AE3203">
        <v>11967</v>
      </c>
      <c r="AG3203" t="s">
        <v>19749</v>
      </c>
      <c r="AH3203" t="s">
        <v>19750</v>
      </c>
      <c r="AI3203" t="s">
        <v>19751</v>
      </c>
    </row>
    <row r="3204" spans="2:35" ht="105">
      <c r="B3204" s="1">
        <v>45546</v>
      </c>
      <c r="C3204" s="4">
        <v>45546.884027777778</v>
      </c>
      <c r="D3204" t="s">
        <v>19752</v>
      </c>
      <c r="E3204" t="s">
        <v>19753</v>
      </c>
      <c r="F3204">
        <v>7</v>
      </c>
      <c r="G3204" t="s">
        <v>6529</v>
      </c>
      <c r="H3204" t="s">
        <v>10969</v>
      </c>
      <c r="I3204" t="s">
        <v>40</v>
      </c>
      <c r="J3204" s="2" t="s">
        <v>62</v>
      </c>
      <c r="K3204" t="s">
        <v>42</v>
      </c>
      <c r="L3204" t="s">
        <v>1288</v>
      </c>
      <c r="N3204" t="s">
        <v>1289</v>
      </c>
      <c r="Q3204">
        <v>29341</v>
      </c>
      <c r="R3204" t="s">
        <v>119</v>
      </c>
      <c r="S3204" t="s">
        <v>10370</v>
      </c>
      <c r="T3204">
        <v>28</v>
      </c>
      <c r="U3204" s="2" t="s">
        <v>19754</v>
      </c>
      <c r="V3204" s="1">
        <v>45538</v>
      </c>
      <c r="W3204" t="s">
        <v>1292</v>
      </c>
      <c r="X3204">
        <v>838203</v>
      </c>
      <c r="Y3204" t="e">
        <f ca="1">-_xludf.For XpertCheck CALIBRATION</f>
        <v>#NAME?</v>
      </c>
      <c r="Z3204" t="e">
        <f ca="1">-COLLECT IQR, system _xludf.Log, ARCHIVE, _xludf.and CALIBRATION Data</f>
        <v>#NAME?</v>
      </c>
      <c r="AA3204" t="e">
        <f ca="1">-PERFORM Preventive Maintenance PROCEDURE
-PERFORM XpertCheck CALIBRATION: ALL modules passed</f>
        <v>#NAME?</v>
      </c>
      <c r="AB3204" t="e">
        <f ca="1">-EQUIPMENT is operational</f>
        <v>#NAME?</v>
      </c>
      <c r="AD3204" t="s">
        <v>15700</v>
      </c>
      <c r="AE3204">
        <v>11968</v>
      </c>
      <c r="AG3204" t="s">
        <v>19755</v>
      </c>
      <c r="AH3204" t="s">
        <v>19756</v>
      </c>
      <c r="AI3204" t="s">
        <v>19757</v>
      </c>
    </row>
    <row r="3205" spans="2:35" ht="409.5">
      <c r="B3205" s="1">
        <v>45546</v>
      </c>
      <c r="C3205" s="4">
        <v>45546.668055555558</v>
      </c>
      <c r="D3205" t="s">
        <v>7743</v>
      </c>
      <c r="E3205" t="s">
        <v>19758</v>
      </c>
      <c r="F3205">
        <v>11</v>
      </c>
      <c r="G3205" t="s">
        <v>1205</v>
      </c>
      <c r="H3205" t="s">
        <v>202</v>
      </c>
      <c r="I3205" t="s">
        <v>40</v>
      </c>
      <c r="J3205" s="2" t="s">
        <v>1309</v>
      </c>
      <c r="K3205" t="s">
        <v>42</v>
      </c>
      <c r="L3205" t="s">
        <v>204</v>
      </c>
      <c r="N3205" t="s">
        <v>205</v>
      </c>
      <c r="Q3205">
        <v>29340</v>
      </c>
      <c r="R3205" t="s">
        <v>119</v>
      </c>
      <c r="S3205" t="s">
        <v>7745</v>
      </c>
      <c r="T3205">
        <v>27.6</v>
      </c>
      <c r="U3205" s="2" t="s">
        <v>14348</v>
      </c>
      <c r="V3205" s="1">
        <v>45533</v>
      </c>
      <c r="W3205" t="s">
        <v>208</v>
      </c>
      <c r="X3205">
        <v>838492</v>
      </c>
      <c r="Y3205" s="2" t="s">
        <v>19759</v>
      </c>
      <c r="Z3205" s="2" t="s">
        <v>19760</v>
      </c>
      <c r="AA3205" t="s">
        <v>19761</v>
      </c>
      <c r="AB3205" s="2" t="s">
        <v>19762</v>
      </c>
      <c r="AC3205" t="s">
        <v>19763</v>
      </c>
      <c r="AD3205" s="2" t="s">
        <v>19764</v>
      </c>
      <c r="AE3205" t="s">
        <v>19765</v>
      </c>
      <c r="AG3205" t="s">
        <v>19766</v>
      </c>
      <c r="AH3205" t="s">
        <v>19767</v>
      </c>
      <c r="AI3205" t="s">
        <v>19768</v>
      </c>
    </row>
    <row r="3206" spans="2:35" ht="180">
      <c r="B3206" s="1">
        <v>45546</v>
      </c>
      <c r="C3206" s="4">
        <v>45546.613888888889</v>
      </c>
      <c r="D3206" t="s">
        <v>9427</v>
      </c>
      <c r="E3206" t="s">
        <v>11438</v>
      </c>
      <c r="F3206">
        <v>2</v>
      </c>
      <c r="G3206" t="s">
        <v>2723</v>
      </c>
      <c r="H3206" t="s">
        <v>39</v>
      </c>
      <c r="I3206" t="s">
        <v>40</v>
      </c>
      <c r="J3206" s="2" t="s">
        <v>1592</v>
      </c>
      <c r="K3206" t="s">
        <v>42</v>
      </c>
      <c r="L3206" t="s">
        <v>63</v>
      </c>
      <c r="N3206" t="s">
        <v>64</v>
      </c>
      <c r="Q3206">
        <v>29339</v>
      </c>
      <c r="R3206" t="s">
        <v>119</v>
      </c>
      <c r="S3206" t="s">
        <v>9429</v>
      </c>
      <c r="T3206">
        <v>28</v>
      </c>
      <c r="U3206" s="2" t="s">
        <v>19769</v>
      </c>
      <c r="V3206" s="1">
        <v>45533</v>
      </c>
      <c r="W3206" t="s">
        <v>66</v>
      </c>
      <c r="X3206">
        <v>838530</v>
      </c>
      <c r="Y3206" s="2" t="s">
        <v>19770</v>
      </c>
      <c r="Z3206" s="2" t="s">
        <v>19771</v>
      </c>
      <c r="AA3206" s="2" t="s">
        <v>2726</v>
      </c>
      <c r="AB3206" t="s">
        <v>70</v>
      </c>
      <c r="AC3206" t="s">
        <v>11378</v>
      </c>
      <c r="AD3206" t="s">
        <v>6397</v>
      </c>
      <c r="AE3206">
        <v>11931</v>
      </c>
      <c r="AG3206" t="s">
        <v>19772</v>
      </c>
      <c r="AH3206" t="s">
        <v>11443</v>
      </c>
      <c r="AI3206" t="s">
        <v>19773</v>
      </c>
    </row>
    <row r="3207" spans="2:35" ht="105">
      <c r="B3207" s="1">
        <v>45546</v>
      </c>
      <c r="C3207" s="4">
        <v>45546.57708333333</v>
      </c>
      <c r="D3207" t="s">
        <v>5563</v>
      </c>
      <c r="E3207" t="s">
        <v>1555</v>
      </c>
      <c r="F3207">
        <v>7</v>
      </c>
      <c r="G3207" t="s">
        <v>432</v>
      </c>
      <c r="H3207" t="s">
        <v>150</v>
      </c>
      <c r="I3207" t="s">
        <v>40</v>
      </c>
      <c r="J3207" t="s">
        <v>109</v>
      </c>
      <c r="K3207" t="s">
        <v>42</v>
      </c>
      <c r="L3207" t="s">
        <v>343</v>
      </c>
      <c r="N3207" t="s">
        <v>344</v>
      </c>
      <c r="Q3207">
        <v>29338</v>
      </c>
      <c r="R3207" t="s">
        <v>119</v>
      </c>
      <c r="S3207" t="s">
        <v>5564</v>
      </c>
      <c r="T3207">
        <v>27</v>
      </c>
      <c r="U3207" s="2" t="s">
        <v>19774</v>
      </c>
      <c r="W3207" t="s">
        <v>1501</v>
      </c>
      <c r="X3207">
        <v>838561</v>
      </c>
      <c r="Y3207" t="s">
        <v>8412</v>
      </c>
      <c r="Z3207" t="e">
        <f ca="1">-Preventive Maintenance</f>
        <v>#NAME?</v>
      </c>
      <c r="AA3207" t="e">
        <f ca="1">-Preventive Maintenance</f>
        <v>#NAME?</v>
      </c>
      <c r="AB3207" t="s">
        <v>9638</v>
      </c>
      <c r="AG3207" t="s">
        <v>19775</v>
      </c>
      <c r="AH3207" t="s">
        <v>14800</v>
      </c>
      <c r="AI3207" t="s">
        <v>19776</v>
      </c>
    </row>
    <row r="3208" spans="2:35" ht="285">
      <c r="B3208" s="1">
        <v>45546</v>
      </c>
      <c r="C3208" s="4">
        <v>45546.51666666667</v>
      </c>
      <c r="D3208" t="s">
        <v>10344</v>
      </c>
      <c r="E3208" t="s">
        <v>19777</v>
      </c>
      <c r="F3208">
        <v>2</v>
      </c>
      <c r="G3208" t="s">
        <v>2723</v>
      </c>
      <c r="H3208" t="s">
        <v>39</v>
      </c>
      <c r="I3208" t="s">
        <v>40</v>
      </c>
      <c r="J3208" s="2" t="s">
        <v>41</v>
      </c>
      <c r="K3208" t="s">
        <v>42</v>
      </c>
      <c r="L3208" t="s">
        <v>63</v>
      </c>
      <c r="N3208" t="s">
        <v>64</v>
      </c>
      <c r="Q3208">
        <v>29337</v>
      </c>
      <c r="R3208" t="s">
        <v>119</v>
      </c>
      <c r="S3208" t="s">
        <v>10346</v>
      </c>
      <c r="T3208">
        <v>28</v>
      </c>
      <c r="U3208" s="2" t="s">
        <v>19778</v>
      </c>
      <c r="V3208" s="1">
        <v>45533</v>
      </c>
      <c r="W3208" t="s">
        <v>66</v>
      </c>
      <c r="X3208">
        <v>838474</v>
      </c>
      <c r="Y3208" t="s">
        <v>19779</v>
      </c>
      <c r="Z3208" t="s">
        <v>11377</v>
      </c>
      <c r="AA3208" s="2" t="s">
        <v>19780</v>
      </c>
      <c r="AB3208" t="s">
        <v>70</v>
      </c>
      <c r="AC3208" t="s">
        <v>11378</v>
      </c>
      <c r="AD3208" t="s">
        <v>6397</v>
      </c>
      <c r="AE3208">
        <v>11930</v>
      </c>
      <c r="AG3208" t="s">
        <v>19781</v>
      </c>
      <c r="AH3208" t="s">
        <v>10350</v>
      </c>
      <c r="AI3208" t="s">
        <v>19782</v>
      </c>
    </row>
    <row r="3209" spans="2:35" ht="409.5">
      <c r="B3209" s="1">
        <v>45545</v>
      </c>
      <c r="C3209" s="4">
        <v>45545.646527777775</v>
      </c>
      <c r="D3209" t="s">
        <v>146</v>
      </c>
      <c r="E3209" t="s">
        <v>19783</v>
      </c>
      <c r="F3209" t="s">
        <v>148</v>
      </c>
      <c r="G3209" t="s">
        <v>447</v>
      </c>
      <c r="H3209" t="s">
        <v>386</v>
      </c>
      <c r="I3209" t="s">
        <v>40</v>
      </c>
      <c r="J3209" t="s">
        <v>525</v>
      </c>
      <c r="K3209" t="s">
        <v>387</v>
      </c>
      <c r="L3209" t="s">
        <v>448</v>
      </c>
      <c r="N3209" t="s">
        <v>650</v>
      </c>
      <c r="O3209" t="s">
        <v>388</v>
      </c>
      <c r="Q3209">
        <v>29336</v>
      </c>
      <c r="R3209" t="s">
        <v>95</v>
      </c>
      <c r="S3209" t="s">
        <v>17157</v>
      </c>
      <c r="T3209">
        <v>27</v>
      </c>
      <c r="W3209" t="s">
        <v>476</v>
      </c>
      <c r="X3209" t="s">
        <v>391</v>
      </c>
      <c r="Y3209" s="2" t="s">
        <v>19784</v>
      </c>
      <c r="Z3209" s="2" t="s">
        <v>19785</v>
      </c>
      <c r="AA3209" t="s">
        <v>768</v>
      </c>
      <c r="AB3209" s="2" t="s">
        <v>19786</v>
      </c>
      <c r="AC3209" t="s">
        <v>19787</v>
      </c>
      <c r="AG3209" t="s">
        <v>19788</v>
      </c>
      <c r="AH3209" t="s">
        <v>19789</v>
      </c>
      <c r="AI3209" t="s">
        <v>19790</v>
      </c>
    </row>
    <row r="3210" spans="2:35" ht="165">
      <c r="B3210" s="1">
        <v>45545</v>
      </c>
      <c r="C3210" s="4">
        <v>45545.652083333334</v>
      </c>
      <c r="D3210" t="s">
        <v>15729</v>
      </c>
      <c r="E3210" t="s">
        <v>19791</v>
      </c>
      <c r="F3210" t="s">
        <v>511</v>
      </c>
      <c r="G3210" t="s">
        <v>15731</v>
      </c>
      <c r="H3210" t="s">
        <v>39</v>
      </c>
      <c r="I3210" t="s">
        <v>40</v>
      </c>
      <c r="J3210" s="2" t="s">
        <v>41</v>
      </c>
      <c r="K3210" t="s">
        <v>42</v>
      </c>
      <c r="L3210" t="s">
        <v>63</v>
      </c>
      <c r="N3210" t="s">
        <v>64</v>
      </c>
      <c r="Q3210">
        <v>29335</v>
      </c>
      <c r="R3210" t="s">
        <v>119</v>
      </c>
      <c r="S3210" t="s">
        <v>15732</v>
      </c>
      <c r="T3210">
        <v>28</v>
      </c>
      <c r="V3210" s="1">
        <v>45533</v>
      </c>
      <c r="W3210" t="s">
        <v>66</v>
      </c>
      <c r="X3210">
        <v>838466</v>
      </c>
      <c r="Y3210" t="s">
        <v>19792</v>
      </c>
      <c r="Z3210" s="2" t="s">
        <v>19793</v>
      </c>
      <c r="AA3210" s="2" t="s">
        <v>2726</v>
      </c>
      <c r="AB3210" t="s">
        <v>70</v>
      </c>
      <c r="AD3210" t="s">
        <v>6397</v>
      </c>
      <c r="AE3210">
        <v>11855</v>
      </c>
      <c r="AG3210" t="s">
        <v>19794</v>
      </c>
      <c r="AH3210" t="s">
        <v>16549</v>
      </c>
      <c r="AI3210" t="s">
        <v>19795</v>
      </c>
    </row>
    <row r="3211" spans="2:35" ht="330">
      <c r="B3211" s="1">
        <v>45545</v>
      </c>
      <c r="C3211" s="4">
        <v>45545.622916666667</v>
      </c>
      <c r="D3211" t="s">
        <v>7146</v>
      </c>
      <c r="E3211" t="s">
        <v>7147</v>
      </c>
      <c r="F3211" t="s">
        <v>1181</v>
      </c>
      <c r="G3211" t="s">
        <v>7148</v>
      </c>
      <c r="H3211" t="s">
        <v>39</v>
      </c>
      <c r="I3211" t="s">
        <v>40</v>
      </c>
      <c r="J3211" s="2" t="s">
        <v>2170</v>
      </c>
      <c r="K3211" t="s">
        <v>42</v>
      </c>
      <c r="L3211" t="s">
        <v>43</v>
      </c>
      <c r="N3211" t="s">
        <v>44</v>
      </c>
      <c r="Q3211">
        <v>29334</v>
      </c>
      <c r="R3211" t="s">
        <v>119</v>
      </c>
      <c r="S3211" t="s">
        <v>19796</v>
      </c>
      <c r="T3211">
        <v>24</v>
      </c>
      <c r="U3211" s="2" t="s">
        <v>8172</v>
      </c>
      <c r="V3211" s="1">
        <v>45533</v>
      </c>
      <c r="W3211" t="s">
        <v>48</v>
      </c>
      <c r="X3211">
        <v>838228</v>
      </c>
      <c r="Y3211" s="2" t="s">
        <v>19797</v>
      </c>
      <c r="Z3211" s="2" t="s">
        <v>19798</v>
      </c>
      <c r="AA3211" s="2" t="s">
        <v>19799</v>
      </c>
      <c r="AB3211" t="s">
        <v>19800</v>
      </c>
      <c r="AD3211" s="2" t="s">
        <v>19801</v>
      </c>
      <c r="AE3211" t="s">
        <v>19802</v>
      </c>
      <c r="AG3211" t="s">
        <v>19803</v>
      </c>
      <c r="AH3211" t="s">
        <v>19804</v>
      </c>
      <c r="AI3211" t="s">
        <v>19805</v>
      </c>
    </row>
    <row r="3212" spans="2:35" ht="225">
      <c r="B3212" s="1">
        <v>45545</v>
      </c>
      <c r="C3212" s="4">
        <v>45545.607638888891</v>
      </c>
      <c r="D3212" t="s">
        <v>6555</v>
      </c>
      <c r="E3212" t="s">
        <v>19806</v>
      </c>
      <c r="F3212">
        <v>5</v>
      </c>
      <c r="G3212" t="s">
        <v>839</v>
      </c>
      <c r="H3212" t="s">
        <v>19807</v>
      </c>
      <c r="I3212" t="s">
        <v>94</v>
      </c>
      <c r="J3212" s="2" t="s">
        <v>41</v>
      </c>
      <c r="K3212" t="s">
        <v>42</v>
      </c>
      <c r="L3212" t="s">
        <v>761</v>
      </c>
      <c r="N3212" t="s">
        <v>762</v>
      </c>
      <c r="Q3212">
        <v>29333</v>
      </c>
      <c r="R3212" t="s">
        <v>119</v>
      </c>
      <c r="S3212" t="s">
        <v>6557</v>
      </c>
      <c r="T3212">
        <v>23</v>
      </c>
      <c r="U3212" s="2" t="s">
        <v>11420</v>
      </c>
      <c r="W3212" t="s">
        <v>765</v>
      </c>
      <c r="X3212">
        <v>838398</v>
      </c>
      <c r="Y3212" t="s">
        <v>19808</v>
      </c>
      <c r="Z3212" s="2" t="s">
        <v>19809</v>
      </c>
      <c r="AA3212" s="2" t="s">
        <v>19810</v>
      </c>
      <c r="AB3212" t="s">
        <v>181</v>
      </c>
      <c r="AG3212" t="s">
        <v>19811</v>
      </c>
      <c r="AH3212" t="s">
        <v>6562</v>
      </c>
      <c r="AI3212" t="s">
        <v>19812</v>
      </c>
    </row>
    <row r="3213" spans="2:35" ht="409.5">
      <c r="B3213" s="1">
        <v>45545</v>
      </c>
      <c r="C3213" s="4">
        <v>45545.554861111108</v>
      </c>
      <c r="D3213" t="s">
        <v>8160</v>
      </c>
      <c r="E3213" t="s">
        <v>15636</v>
      </c>
      <c r="F3213">
        <v>11</v>
      </c>
      <c r="G3213" t="s">
        <v>1205</v>
      </c>
      <c r="H3213" t="s">
        <v>202</v>
      </c>
      <c r="I3213" t="s">
        <v>40</v>
      </c>
      <c r="J3213" s="2" t="s">
        <v>41</v>
      </c>
      <c r="K3213" t="s">
        <v>42</v>
      </c>
      <c r="L3213" t="s">
        <v>204</v>
      </c>
      <c r="N3213" t="s">
        <v>205</v>
      </c>
      <c r="Q3213">
        <v>29332</v>
      </c>
      <c r="R3213" t="s">
        <v>119</v>
      </c>
      <c r="S3213" t="s">
        <v>8162</v>
      </c>
      <c r="T3213">
        <v>25.6</v>
      </c>
      <c r="U3213" s="2" t="s">
        <v>17066</v>
      </c>
      <c r="V3213" s="1">
        <v>45537</v>
      </c>
      <c r="W3213" t="s">
        <v>208</v>
      </c>
      <c r="X3213">
        <v>838401</v>
      </c>
      <c r="Y3213" s="2" t="s">
        <v>19813</v>
      </c>
      <c r="Z3213" s="2" t="s">
        <v>19814</v>
      </c>
      <c r="AA3213" s="2" t="s">
        <v>1764</v>
      </c>
      <c r="AB3213" s="2" t="s">
        <v>19815</v>
      </c>
      <c r="AD3213" t="s">
        <v>10253</v>
      </c>
      <c r="AE3213" t="s">
        <v>19816</v>
      </c>
      <c r="AG3213" t="s">
        <v>19817</v>
      </c>
      <c r="AH3213" t="s">
        <v>19818</v>
      </c>
      <c r="AI3213" t="s">
        <v>19819</v>
      </c>
    </row>
    <row r="3214" spans="2:35" ht="409.5">
      <c r="B3214" s="1">
        <v>45545</v>
      </c>
      <c r="C3214" s="4">
        <v>45545.511111111111</v>
      </c>
      <c r="D3214" t="s">
        <v>19820</v>
      </c>
      <c r="E3214" t="s">
        <v>5208</v>
      </c>
      <c r="F3214" t="s">
        <v>148</v>
      </c>
      <c r="G3214" t="s">
        <v>310</v>
      </c>
      <c r="H3214" t="s">
        <v>39</v>
      </c>
      <c r="I3214" t="s">
        <v>40</v>
      </c>
      <c r="J3214" s="2" t="s">
        <v>760</v>
      </c>
      <c r="K3214" t="s">
        <v>42</v>
      </c>
      <c r="L3214" t="s">
        <v>1943</v>
      </c>
      <c r="N3214" t="s">
        <v>1944</v>
      </c>
      <c r="Q3214">
        <v>29331</v>
      </c>
      <c r="R3214" t="s">
        <v>322</v>
      </c>
      <c r="S3214" t="s">
        <v>5210</v>
      </c>
      <c r="T3214">
        <v>25</v>
      </c>
      <c r="W3214" t="s">
        <v>5225</v>
      </c>
      <c r="X3214">
        <v>110016343</v>
      </c>
      <c r="Y3214" s="2" t="s">
        <v>15147</v>
      </c>
      <c r="Z3214" t="s">
        <v>19821</v>
      </c>
      <c r="AA3214" s="2" t="s">
        <v>19822</v>
      </c>
      <c r="AB3214" t="s">
        <v>19823</v>
      </c>
      <c r="AG3214" t="s">
        <v>19824</v>
      </c>
      <c r="AH3214" t="s">
        <v>5212</v>
      </c>
      <c r="AI3214" t="s">
        <v>19825</v>
      </c>
    </row>
    <row r="3215" spans="2:35" ht="375">
      <c r="B3215" s="1">
        <v>45545</v>
      </c>
      <c r="C3215" s="4">
        <v>45545.500694444447</v>
      </c>
      <c r="D3215" t="s">
        <v>8654</v>
      </c>
      <c r="E3215" t="s">
        <v>8655</v>
      </c>
      <c r="F3215">
        <v>8</v>
      </c>
      <c r="G3215" t="s">
        <v>257</v>
      </c>
      <c r="H3215" t="s">
        <v>202</v>
      </c>
      <c r="I3215" t="s">
        <v>40</v>
      </c>
      <c r="J3215" s="2" t="s">
        <v>41</v>
      </c>
      <c r="K3215" t="s">
        <v>42</v>
      </c>
      <c r="L3215" t="s">
        <v>259</v>
      </c>
      <c r="N3215" t="s">
        <v>260</v>
      </c>
      <c r="Q3215">
        <v>29330</v>
      </c>
      <c r="R3215" t="s">
        <v>119</v>
      </c>
      <c r="S3215" t="s">
        <v>8656</v>
      </c>
      <c r="T3215">
        <v>29</v>
      </c>
      <c r="U3215" s="2" t="s">
        <v>3399</v>
      </c>
      <c r="V3215" s="1">
        <v>45545</v>
      </c>
      <c r="W3215" t="s">
        <v>84</v>
      </c>
      <c r="X3215">
        <v>838409</v>
      </c>
      <c r="Y3215" t="s">
        <v>19826</v>
      </c>
      <c r="Z3215" t="e">
        <f ca="1">- Preventive Maintenance
- module Replacement</f>
        <v>#NAME?</v>
      </c>
      <c r="AA3215" s="2" t="s">
        <v>19827</v>
      </c>
      <c r="AB3215" t="s">
        <v>181</v>
      </c>
      <c r="AD3215" t="s">
        <v>19828</v>
      </c>
      <c r="AE3215" t="s">
        <v>119</v>
      </c>
      <c r="AG3215" t="s">
        <v>19829</v>
      </c>
      <c r="AH3215" t="s">
        <v>19830</v>
      </c>
      <c r="AI3215" t="s">
        <v>19831</v>
      </c>
    </row>
    <row r="3216" spans="2:35" ht="165">
      <c r="B3216" s="1">
        <v>45545</v>
      </c>
      <c r="C3216" s="1">
        <v>45545</v>
      </c>
      <c r="D3216" t="s">
        <v>8570</v>
      </c>
      <c r="E3216" t="s">
        <v>19832</v>
      </c>
      <c r="F3216">
        <v>2</v>
      </c>
      <c r="G3216" t="s">
        <v>2668</v>
      </c>
      <c r="H3216" t="s">
        <v>39</v>
      </c>
      <c r="I3216" t="s">
        <v>40</v>
      </c>
      <c r="J3216" s="2" t="s">
        <v>1592</v>
      </c>
      <c r="K3216" t="s">
        <v>42</v>
      </c>
      <c r="L3216" t="s">
        <v>63</v>
      </c>
      <c r="N3216" t="s">
        <v>64</v>
      </c>
      <c r="Q3216">
        <v>29329</v>
      </c>
      <c r="R3216" t="s">
        <v>119</v>
      </c>
      <c r="S3216" t="s">
        <v>9392</v>
      </c>
      <c r="T3216">
        <v>28</v>
      </c>
      <c r="U3216" s="2" t="s">
        <v>13859</v>
      </c>
      <c r="V3216" s="1">
        <v>45533</v>
      </c>
      <c r="W3216" t="s">
        <v>66</v>
      </c>
      <c r="X3216">
        <v>838521</v>
      </c>
      <c r="Y3216" t="s">
        <v>19734</v>
      </c>
      <c r="Z3216" s="2" t="s">
        <v>19833</v>
      </c>
      <c r="AA3216" s="2" t="s">
        <v>2726</v>
      </c>
      <c r="AB3216" t="s">
        <v>70</v>
      </c>
      <c r="AD3216" t="s">
        <v>6397</v>
      </c>
      <c r="AE3216">
        <v>11874</v>
      </c>
      <c r="AG3216" t="s">
        <v>19834</v>
      </c>
      <c r="AH3216" t="s">
        <v>19835</v>
      </c>
      <c r="AI3216" t="s">
        <v>19836</v>
      </c>
    </row>
    <row r="3217" spans="2:35" ht="180">
      <c r="B3217" s="1">
        <v>45545</v>
      </c>
      <c r="C3217" s="4">
        <v>45540.550694444442</v>
      </c>
      <c r="D3217" t="s">
        <v>8529</v>
      </c>
      <c r="E3217" t="s">
        <v>19837</v>
      </c>
      <c r="F3217">
        <v>7</v>
      </c>
      <c r="G3217" t="s">
        <v>432</v>
      </c>
      <c r="H3217" t="s">
        <v>39</v>
      </c>
      <c r="I3217" t="s">
        <v>40</v>
      </c>
      <c r="J3217" s="2" t="s">
        <v>1592</v>
      </c>
      <c r="K3217" t="s">
        <v>42</v>
      </c>
      <c r="L3217" t="s">
        <v>433</v>
      </c>
      <c r="N3217" t="s">
        <v>434</v>
      </c>
      <c r="Q3217">
        <v>29328</v>
      </c>
      <c r="R3217" t="s">
        <v>119</v>
      </c>
      <c r="S3217" t="s">
        <v>8531</v>
      </c>
      <c r="T3217">
        <v>27</v>
      </c>
      <c r="W3217" t="s">
        <v>502</v>
      </c>
      <c r="X3217">
        <v>838279</v>
      </c>
      <c r="Y3217" s="2" t="s">
        <v>19838</v>
      </c>
      <c r="Z3217" s="2" t="s">
        <v>19839</v>
      </c>
      <c r="AA3217" s="2" t="s">
        <v>19839</v>
      </c>
      <c r="AB3217" s="2" t="s">
        <v>19840</v>
      </c>
      <c r="AG3217" t="s">
        <v>19841</v>
      </c>
      <c r="AH3217" t="s">
        <v>8537</v>
      </c>
      <c r="AI3217" t="s">
        <v>19842</v>
      </c>
    </row>
    <row r="3218" spans="2:35" ht="180">
      <c r="B3218" s="1">
        <v>45545</v>
      </c>
      <c r="C3218" s="4">
        <v>45538.413194444445</v>
      </c>
      <c r="D3218" t="s">
        <v>5546</v>
      </c>
      <c r="E3218" t="s">
        <v>1555</v>
      </c>
      <c r="F3218">
        <v>7</v>
      </c>
      <c r="G3218" t="s">
        <v>432</v>
      </c>
      <c r="H3218" t="s">
        <v>39</v>
      </c>
      <c r="I3218" t="s">
        <v>40</v>
      </c>
      <c r="J3218" s="2" t="s">
        <v>1808</v>
      </c>
      <c r="K3218" t="s">
        <v>42</v>
      </c>
      <c r="L3218" t="s">
        <v>433</v>
      </c>
      <c r="N3218" t="s">
        <v>434</v>
      </c>
      <c r="Q3218">
        <v>29327</v>
      </c>
      <c r="R3218" t="s">
        <v>119</v>
      </c>
      <c r="S3218" t="s">
        <v>5548</v>
      </c>
      <c r="T3218">
        <v>30</v>
      </c>
      <c r="W3218" t="s">
        <v>1008</v>
      </c>
      <c r="X3218">
        <v>838527</v>
      </c>
      <c r="Y3218" t="s">
        <v>19843</v>
      </c>
      <c r="Z3218" s="2" t="s">
        <v>19844</v>
      </c>
      <c r="AA3218" s="2" t="s">
        <v>19844</v>
      </c>
      <c r="AB3218" s="2" t="s">
        <v>19845</v>
      </c>
      <c r="AG3218" t="s">
        <v>19846</v>
      </c>
      <c r="AH3218" t="s">
        <v>5551</v>
      </c>
      <c r="AI3218" t="s">
        <v>19847</v>
      </c>
    </row>
    <row r="3219" spans="2:35" ht="409.5">
      <c r="B3219" s="1">
        <v>45545</v>
      </c>
      <c r="C3219" s="4">
        <v>45545.394444444442</v>
      </c>
      <c r="D3219" t="s">
        <v>19848</v>
      </c>
      <c r="E3219" t="s">
        <v>2234</v>
      </c>
      <c r="F3219">
        <v>7</v>
      </c>
      <c r="G3219" t="s">
        <v>432</v>
      </c>
      <c r="H3219" t="s">
        <v>258</v>
      </c>
      <c r="I3219" t="s">
        <v>40</v>
      </c>
      <c r="J3219" t="s">
        <v>19849</v>
      </c>
      <c r="K3219" t="s">
        <v>42</v>
      </c>
      <c r="L3219" t="s">
        <v>594</v>
      </c>
      <c r="N3219" t="s">
        <v>595</v>
      </c>
      <c r="O3219" t="s">
        <v>595</v>
      </c>
      <c r="Q3219">
        <v>29326</v>
      </c>
      <c r="R3219" t="s">
        <v>119</v>
      </c>
      <c r="S3219" t="s">
        <v>2235</v>
      </c>
      <c r="T3219">
        <v>23</v>
      </c>
      <c r="V3219" s="1">
        <v>45545</v>
      </c>
      <c r="W3219" t="s">
        <v>2484</v>
      </c>
      <c r="X3219">
        <v>838564</v>
      </c>
      <c r="Y3219" t="s">
        <v>19850</v>
      </c>
      <c r="Z3219" s="2" t="s">
        <v>19851</v>
      </c>
      <c r="AA3219" s="2" t="s">
        <v>19852</v>
      </c>
      <c r="AB3219" t="s">
        <v>12955</v>
      </c>
      <c r="AG3219" t="s">
        <v>19853</v>
      </c>
      <c r="AH3219" t="s">
        <v>2241</v>
      </c>
      <c r="AI3219" t="s">
        <v>19854</v>
      </c>
    </row>
    <row r="3220" spans="2:35" ht="270">
      <c r="B3220" s="1">
        <v>45544</v>
      </c>
      <c r="C3220" s="4">
        <v>45538.481944444444</v>
      </c>
      <c r="D3220" t="s">
        <v>8748</v>
      </c>
      <c r="E3220" t="s">
        <v>18078</v>
      </c>
      <c r="F3220">
        <v>12</v>
      </c>
      <c r="G3220" t="s">
        <v>294</v>
      </c>
      <c r="H3220" t="s">
        <v>1473</v>
      </c>
      <c r="I3220" t="s">
        <v>40</v>
      </c>
      <c r="J3220" t="s">
        <v>109</v>
      </c>
      <c r="K3220" t="s">
        <v>42</v>
      </c>
      <c r="L3220" t="s">
        <v>296</v>
      </c>
      <c r="N3220" t="s">
        <v>297</v>
      </c>
      <c r="Q3220">
        <v>29325</v>
      </c>
      <c r="R3220" t="s">
        <v>119</v>
      </c>
      <c r="S3220" t="s">
        <v>19855</v>
      </c>
      <c r="T3220">
        <v>28.1</v>
      </c>
      <c r="U3220" s="2" t="s">
        <v>4094</v>
      </c>
      <c r="W3220" t="s">
        <v>981</v>
      </c>
      <c r="X3220">
        <v>838556</v>
      </c>
      <c r="Y3220" t="s">
        <v>54</v>
      </c>
      <c r="Z3220" t="s">
        <v>9161</v>
      </c>
      <c r="AA3220" s="2" t="s">
        <v>19856</v>
      </c>
      <c r="AB3220" t="s">
        <v>19857</v>
      </c>
      <c r="AG3220" t="s">
        <v>19858</v>
      </c>
      <c r="AH3220" t="s">
        <v>19859</v>
      </c>
      <c r="AI3220" t="s">
        <v>19860</v>
      </c>
    </row>
    <row r="3221" spans="2:35" ht="75">
      <c r="B3221" s="1">
        <v>45544</v>
      </c>
      <c r="C3221" s="4">
        <v>45544.431944444441</v>
      </c>
      <c r="D3221" t="s">
        <v>11826</v>
      </c>
      <c r="E3221" t="s">
        <v>11475</v>
      </c>
      <c r="F3221">
        <v>6</v>
      </c>
      <c r="G3221" t="s">
        <v>1234</v>
      </c>
      <c r="H3221" t="s">
        <v>39</v>
      </c>
      <c r="I3221" t="s">
        <v>40</v>
      </c>
      <c r="J3221" s="2" t="s">
        <v>41</v>
      </c>
      <c r="K3221" t="s">
        <v>42</v>
      </c>
      <c r="L3221" t="s">
        <v>270</v>
      </c>
      <c r="N3221" t="s">
        <v>2481</v>
      </c>
      <c r="Q3221">
        <v>29324</v>
      </c>
      <c r="R3221" t="s">
        <v>119</v>
      </c>
      <c r="S3221" t="s">
        <v>11476</v>
      </c>
      <c r="T3221">
        <v>25</v>
      </c>
      <c r="U3221" s="2" t="s">
        <v>2367</v>
      </c>
      <c r="W3221" t="s">
        <v>1292</v>
      </c>
      <c r="X3221">
        <v>838483</v>
      </c>
      <c r="Y3221" t="s">
        <v>19861</v>
      </c>
      <c r="Z3221" t="s">
        <v>19862</v>
      </c>
      <c r="AA3221" t="s">
        <v>19863</v>
      </c>
      <c r="AB3221" t="s">
        <v>3527</v>
      </c>
      <c r="AG3221" t="s">
        <v>19864</v>
      </c>
      <c r="AH3221" t="s">
        <v>11482</v>
      </c>
      <c r="AI3221" t="s">
        <v>19865</v>
      </c>
    </row>
    <row r="3222" spans="2:35" ht="45">
      <c r="B3222" s="1">
        <v>45544</v>
      </c>
      <c r="C3222" s="4">
        <v>45539.539583333331</v>
      </c>
      <c r="D3222" t="s">
        <v>2470</v>
      </c>
      <c r="E3222" t="s">
        <v>9436</v>
      </c>
      <c r="F3222" t="s">
        <v>148</v>
      </c>
      <c r="G3222" t="s">
        <v>230</v>
      </c>
      <c r="H3222" t="s">
        <v>513</v>
      </c>
      <c r="I3222" t="s">
        <v>40</v>
      </c>
      <c r="J3222" s="2" t="s">
        <v>41</v>
      </c>
      <c r="K3222" t="s">
        <v>387</v>
      </c>
      <c r="L3222" t="s">
        <v>175</v>
      </c>
      <c r="N3222" t="s">
        <v>176</v>
      </c>
      <c r="Q3222">
        <v>29323</v>
      </c>
      <c r="R3222" t="s">
        <v>322</v>
      </c>
      <c r="S3222" t="s">
        <v>4894</v>
      </c>
      <c r="T3222">
        <v>25</v>
      </c>
      <c r="V3222" s="1">
        <v>45538</v>
      </c>
      <c r="W3222" t="s">
        <v>390</v>
      </c>
      <c r="X3222" t="s">
        <v>5622</v>
      </c>
      <c r="Y3222" t="s">
        <v>15109</v>
      </c>
      <c r="Z3222" t="s">
        <v>14606</v>
      </c>
      <c r="AA3222" t="e">
        <f ca="1">- replaced rotor roller rubbers
- performed Maintenance
- performed self test</f>
        <v>#NAME?</v>
      </c>
      <c r="AB3222" t="s">
        <v>181</v>
      </c>
      <c r="AD3222" t="s">
        <v>14607</v>
      </c>
      <c r="AE3222">
        <v>11976</v>
      </c>
      <c r="AG3222" t="s">
        <v>19866</v>
      </c>
      <c r="AH3222" t="s">
        <v>4898</v>
      </c>
      <c r="AI3222" t="s">
        <v>19867</v>
      </c>
    </row>
    <row r="3223" spans="2:35" ht="120">
      <c r="B3223" s="1">
        <v>45544</v>
      </c>
      <c r="C3223" s="4">
        <v>45541.540277777778</v>
      </c>
      <c r="D3223" t="s">
        <v>1155</v>
      </c>
      <c r="E3223" t="s">
        <v>8331</v>
      </c>
      <c r="F3223" t="s">
        <v>148</v>
      </c>
      <c r="G3223" t="s">
        <v>230</v>
      </c>
      <c r="H3223" t="s">
        <v>39</v>
      </c>
      <c r="I3223" t="s">
        <v>40</v>
      </c>
      <c r="J3223" t="s">
        <v>525</v>
      </c>
      <c r="K3223" t="s">
        <v>42</v>
      </c>
      <c r="L3223" t="s">
        <v>175</v>
      </c>
      <c r="N3223" t="s">
        <v>176</v>
      </c>
      <c r="Q3223">
        <v>29322</v>
      </c>
      <c r="R3223" t="s">
        <v>322</v>
      </c>
      <c r="S3223" t="s">
        <v>8332</v>
      </c>
      <c r="T3223">
        <v>25</v>
      </c>
      <c r="W3223" t="s">
        <v>84</v>
      </c>
      <c r="X3223">
        <v>807112</v>
      </c>
      <c r="Y3223" t="s">
        <v>19868</v>
      </c>
      <c r="Z3223" t="s">
        <v>19869</v>
      </c>
      <c r="AA3223" t="e">
        <f ca="1">- resert Gateway board connection
- swapped C4 with C1
- performed self test
- generated reports</f>
        <v>#NAME?</v>
      </c>
      <c r="AB3223" s="2" t="s">
        <v>19870</v>
      </c>
      <c r="AG3223" t="s">
        <v>19871</v>
      </c>
      <c r="AH3223" t="s">
        <v>16488</v>
      </c>
      <c r="AI3223" t="s">
        <v>19872</v>
      </c>
    </row>
    <row r="3224" spans="2:35" ht="120">
      <c r="B3224" s="1">
        <v>45544</v>
      </c>
      <c r="C3224" s="4">
        <v>45541.540277777778</v>
      </c>
      <c r="D3224" t="s">
        <v>1155</v>
      </c>
      <c r="E3224" t="s">
        <v>8331</v>
      </c>
      <c r="F3224" t="s">
        <v>148</v>
      </c>
      <c r="G3224" t="s">
        <v>230</v>
      </c>
      <c r="H3224" t="s">
        <v>39</v>
      </c>
      <c r="I3224" t="s">
        <v>40</v>
      </c>
      <c r="J3224" t="s">
        <v>525</v>
      </c>
      <c r="K3224" t="s">
        <v>42</v>
      </c>
      <c r="L3224" t="s">
        <v>175</v>
      </c>
      <c r="N3224" t="s">
        <v>176</v>
      </c>
      <c r="Q3224">
        <v>29321</v>
      </c>
      <c r="R3224" t="s">
        <v>322</v>
      </c>
      <c r="S3224" t="s">
        <v>8332</v>
      </c>
      <c r="T3224">
        <v>25</v>
      </c>
      <c r="W3224" t="s">
        <v>84</v>
      </c>
      <c r="X3224">
        <v>807112</v>
      </c>
      <c r="Y3224" t="s">
        <v>19868</v>
      </c>
      <c r="Z3224" t="s">
        <v>19869</v>
      </c>
      <c r="AA3224" t="e">
        <f ca="1">- resert Gateway board connection
- swapped C4 with C1
- performed self test
- generated reports</f>
        <v>#NAME?</v>
      </c>
      <c r="AB3224" s="2" t="s">
        <v>19870</v>
      </c>
      <c r="AG3224" t="s">
        <v>19873</v>
      </c>
      <c r="AH3224" t="s">
        <v>16488</v>
      </c>
      <c r="AI3224" t="s">
        <v>19874</v>
      </c>
    </row>
    <row r="3225" spans="2:35" ht="120">
      <c r="B3225" s="1">
        <v>45544</v>
      </c>
      <c r="C3225" s="4">
        <v>45539.541666666664</v>
      </c>
      <c r="D3225" t="s">
        <v>2470</v>
      </c>
      <c r="E3225" t="s">
        <v>9436</v>
      </c>
      <c r="F3225" t="s">
        <v>148</v>
      </c>
      <c r="G3225" t="s">
        <v>230</v>
      </c>
      <c r="H3225" t="s">
        <v>513</v>
      </c>
      <c r="I3225" t="s">
        <v>40</v>
      </c>
      <c r="J3225" s="2" t="s">
        <v>41</v>
      </c>
      <c r="K3225" t="s">
        <v>387</v>
      </c>
      <c r="L3225" t="s">
        <v>175</v>
      </c>
      <c r="N3225" t="s">
        <v>176</v>
      </c>
      <c r="Q3225">
        <v>29320</v>
      </c>
      <c r="R3225" t="s">
        <v>322</v>
      </c>
      <c r="S3225" t="s">
        <v>4894</v>
      </c>
      <c r="T3225">
        <v>25</v>
      </c>
      <c r="V3225" s="1">
        <v>45538</v>
      </c>
      <c r="W3225" t="s">
        <v>390</v>
      </c>
      <c r="X3225" t="s">
        <v>2472</v>
      </c>
      <c r="Y3225" t="s">
        <v>15866</v>
      </c>
      <c r="Z3225" t="s">
        <v>9395</v>
      </c>
      <c r="AA3225" t="e">
        <f ca="1">- replaced UPS
- checked rotor roller pumps
- checked CALIBRATION parameters
- performed self test</f>
        <v>#NAME?</v>
      </c>
      <c r="AB3225" s="2" t="s">
        <v>19875</v>
      </c>
      <c r="AD3225" s="2" t="s">
        <v>19876</v>
      </c>
      <c r="AE3225">
        <v>11977</v>
      </c>
      <c r="AG3225" t="s">
        <v>19877</v>
      </c>
      <c r="AH3225" t="s">
        <v>4898</v>
      </c>
      <c r="AI3225" t="s">
        <v>19878</v>
      </c>
    </row>
    <row r="3226" spans="2:35" ht="165">
      <c r="B3226" s="1">
        <v>45544</v>
      </c>
      <c r="C3226" s="4">
        <v>45544.613194444442</v>
      </c>
      <c r="D3226" t="s">
        <v>10876</v>
      </c>
      <c r="E3226" t="s">
        <v>19879</v>
      </c>
      <c r="F3226">
        <v>2</v>
      </c>
      <c r="G3226" t="s">
        <v>10878</v>
      </c>
      <c r="H3226" t="s">
        <v>39</v>
      </c>
      <c r="I3226" t="s">
        <v>40</v>
      </c>
      <c r="J3226" s="2" t="s">
        <v>41</v>
      </c>
      <c r="K3226" t="s">
        <v>42</v>
      </c>
      <c r="L3226" t="s">
        <v>63</v>
      </c>
      <c r="N3226" t="s">
        <v>64</v>
      </c>
      <c r="Q3226">
        <v>29319</v>
      </c>
      <c r="R3226" t="s">
        <v>119</v>
      </c>
      <c r="S3226" t="s">
        <v>10879</v>
      </c>
      <c r="T3226">
        <v>29</v>
      </c>
      <c r="U3226" s="2" t="s">
        <v>19880</v>
      </c>
      <c r="V3226" s="1">
        <v>45533</v>
      </c>
      <c r="W3226" t="s">
        <v>66</v>
      </c>
      <c r="X3226">
        <v>838469</v>
      </c>
      <c r="Y3226" t="s">
        <v>19881</v>
      </c>
      <c r="Z3226" s="2" t="s">
        <v>19882</v>
      </c>
      <c r="AA3226" s="2" t="s">
        <v>2726</v>
      </c>
      <c r="AB3226" t="s">
        <v>70</v>
      </c>
      <c r="AD3226" t="s">
        <v>6397</v>
      </c>
      <c r="AE3226">
        <v>11901</v>
      </c>
      <c r="AG3226" t="s">
        <v>19883</v>
      </c>
      <c r="AH3226" t="s">
        <v>19884</v>
      </c>
      <c r="AI3226" t="s">
        <v>19885</v>
      </c>
    </row>
    <row r="3227" spans="2:35" ht="409.5">
      <c r="B3227" s="1">
        <v>45544</v>
      </c>
      <c r="C3227" s="4">
        <v>45544.578472222223</v>
      </c>
      <c r="D3227" t="s">
        <v>1316</v>
      </c>
      <c r="E3227" t="s">
        <v>2916</v>
      </c>
      <c r="F3227">
        <v>11</v>
      </c>
      <c r="G3227" t="s">
        <v>1205</v>
      </c>
      <c r="H3227" t="s">
        <v>1317</v>
      </c>
      <c r="I3227" t="s">
        <v>40</v>
      </c>
      <c r="J3227" s="2" t="s">
        <v>41</v>
      </c>
      <c r="K3227" t="s">
        <v>42</v>
      </c>
      <c r="L3227" t="s">
        <v>204</v>
      </c>
      <c r="N3227" t="s">
        <v>205</v>
      </c>
      <c r="Q3227">
        <v>29318</v>
      </c>
      <c r="R3227" t="s">
        <v>119</v>
      </c>
      <c r="S3227" t="s">
        <v>1318</v>
      </c>
      <c r="T3227">
        <v>25.6</v>
      </c>
      <c r="U3227" s="2" t="s">
        <v>19886</v>
      </c>
      <c r="V3227" s="1">
        <v>45533</v>
      </c>
      <c r="W3227" t="s">
        <v>208</v>
      </c>
      <c r="X3227">
        <v>838262</v>
      </c>
      <c r="Y3227" s="2" t="s">
        <v>19887</v>
      </c>
      <c r="Z3227" s="2" t="s">
        <v>19888</v>
      </c>
      <c r="AA3227" t="s">
        <v>10252</v>
      </c>
      <c r="AB3227" t="s">
        <v>1211</v>
      </c>
      <c r="AD3227" t="s">
        <v>10783</v>
      </c>
      <c r="AE3227" t="s">
        <v>19889</v>
      </c>
      <c r="AG3227" t="s">
        <v>19890</v>
      </c>
      <c r="AH3227" t="s">
        <v>19891</v>
      </c>
      <c r="AI3227" t="s">
        <v>19892</v>
      </c>
    </row>
    <row r="3228" spans="2:35" ht="285">
      <c r="B3228" s="1">
        <v>45544</v>
      </c>
      <c r="C3228" s="4">
        <v>45544.583333333336</v>
      </c>
      <c r="D3228" t="s">
        <v>1316</v>
      </c>
      <c r="E3228" t="s">
        <v>2916</v>
      </c>
      <c r="F3228">
        <v>11</v>
      </c>
      <c r="G3228" t="s">
        <v>1205</v>
      </c>
      <c r="H3228" t="s">
        <v>1317</v>
      </c>
      <c r="I3228" t="s">
        <v>40</v>
      </c>
      <c r="J3228" t="s">
        <v>109</v>
      </c>
      <c r="K3228" t="s">
        <v>42</v>
      </c>
      <c r="L3228" t="s">
        <v>204</v>
      </c>
      <c r="N3228" t="s">
        <v>205</v>
      </c>
      <c r="Q3228">
        <v>29317</v>
      </c>
      <c r="R3228" t="s">
        <v>322</v>
      </c>
      <c r="S3228" t="s">
        <v>1318</v>
      </c>
      <c r="T3228">
        <v>25.6</v>
      </c>
      <c r="U3228" s="2" t="s">
        <v>19886</v>
      </c>
      <c r="W3228" t="s">
        <v>208</v>
      </c>
      <c r="X3228">
        <v>839236</v>
      </c>
      <c r="Y3228" t="s">
        <v>1052</v>
      </c>
      <c r="Z3228" s="2" t="s">
        <v>1892</v>
      </c>
      <c r="AA3228" t="s">
        <v>2551</v>
      </c>
      <c r="AB3228" t="s">
        <v>19893</v>
      </c>
      <c r="AG3228" t="s">
        <v>19894</v>
      </c>
      <c r="AH3228" t="s">
        <v>19895</v>
      </c>
      <c r="AI3228" t="s">
        <v>19896</v>
      </c>
    </row>
    <row r="3229" spans="2:35" ht="330">
      <c r="B3229" s="1">
        <v>45544</v>
      </c>
      <c r="C3229" s="4">
        <v>45538.87777777778</v>
      </c>
      <c r="D3229" t="s">
        <v>7264</v>
      </c>
      <c r="E3229" t="s">
        <v>7265</v>
      </c>
      <c r="F3229">
        <v>1</v>
      </c>
      <c r="G3229" t="s">
        <v>1909</v>
      </c>
      <c r="H3229" t="s">
        <v>1047</v>
      </c>
      <c r="I3229" t="s">
        <v>40</v>
      </c>
      <c r="J3229" s="2" t="s">
        <v>41</v>
      </c>
      <c r="K3229" t="s">
        <v>42</v>
      </c>
      <c r="L3229" t="s">
        <v>1048</v>
      </c>
      <c r="N3229" t="s">
        <v>1049</v>
      </c>
      <c r="Q3229">
        <v>29316</v>
      </c>
      <c r="R3229" t="s">
        <v>119</v>
      </c>
      <c r="S3229" t="s">
        <v>7266</v>
      </c>
      <c r="T3229">
        <v>26</v>
      </c>
      <c r="U3229" s="2" t="s">
        <v>19897</v>
      </c>
      <c r="V3229" s="1">
        <v>45533</v>
      </c>
      <c r="W3229" t="s">
        <v>1051</v>
      </c>
      <c r="X3229">
        <v>838270</v>
      </c>
      <c r="Y3229" t="s">
        <v>1924</v>
      </c>
      <c r="Z3229" s="2" t="s">
        <v>19898</v>
      </c>
      <c r="AA3229" t="s">
        <v>1926</v>
      </c>
      <c r="AB3229" t="s">
        <v>14475</v>
      </c>
      <c r="AC3229" t="s">
        <v>11073</v>
      </c>
      <c r="AD3229" t="s">
        <v>19899</v>
      </c>
      <c r="AE3229" t="s">
        <v>19900</v>
      </c>
      <c r="AG3229" t="s">
        <v>19901</v>
      </c>
      <c r="AH3229" t="s">
        <v>7268</v>
      </c>
      <c r="AI3229" t="s">
        <v>19902</v>
      </c>
    </row>
    <row r="3230" spans="2:35" ht="345">
      <c r="B3230" s="1">
        <v>45544</v>
      </c>
      <c r="C3230" s="4">
        <v>45538.881249999999</v>
      </c>
      <c r="D3230" t="s">
        <v>7248</v>
      </c>
      <c r="E3230" t="s">
        <v>11082</v>
      </c>
      <c r="F3230">
        <v>1</v>
      </c>
      <c r="G3230" t="s">
        <v>1922</v>
      </c>
      <c r="H3230" t="s">
        <v>1047</v>
      </c>
      <c r="I3230" t="s">
        <v>40</v>
      </c>
      <c r="J3230" s="2" t="s">
        <v>41</v>
      </c>
      <c r="K3230" t="s">
        <v>42</v>
      </c>
      <c r="L3230" t="s">
        <v>1048</v>
      </c>
      <c r="N3230" t="s">
        <v>1049</v>
      </c>
      <c r="Q3230">
        <v>29315</v>
      </c>
      <c r="R3230" t="s">
        <v>119</v>
      </c>
      <c r="S3230" t="s">
        <v>7250</v>
      </c>
      <c r="T3230">
        <v>29</v>
      </c>
      <c r="U3230" s="2" t="s">
        <v>17742</v>
      </c>
      <c r="V3230" s="1">
        <v>45533</v>
      </c>
      <c r="W3230" t="s">
        <v>1051</v>
      </c>
      <c r="X3230">
        <v>838277</v>
      </c>
      <c r="Y3230" t="s">
        <v>1924</v>
      </c>
      <c r="Z3230" s="2" t="s">
        <v>19903</v>
      </c>
      <c r="AA3230" t="s">
        <v>1926</v>
      </c>
      <c r="AB3230" t="s">
        <v>70</v>
      </c>
      <c r="AC3230" t="s">
        <v>12618</v>
      </c>
      <c r="AD3230" t="s">
        <v>19904</v>
      </c>
      <c r="AE3230" t="s">
        <v>19905</v>
      </c>
      <c r="AG3230" t="s">
        <v>19906</v>
      </c>
      <c r="AH3230" t="s">
        <v>19907</v>
      </c>
      <c r="AI3230" t="s">
        <v>19908</v>
      </c>
    </row>
    <row r="3231" spans="2:35" ht="330">
      <c r="B3231" s="1">
        <v>45544</v>
      </c>
      <c r="C3231" s="4">
        <v>45538.869444444441</v>
      </c>
      <c r="D3231" t="s">
        <v>3738</v>
      </c>
      <c r="E3231" t="s">
        <v>3739</v>
      </c>
      <c r="F3231">
        <v>1</v>
      </c>
      <c r="G3231" t="s">
        <v>1046</v>
      </c>
      <c r="H3231" t="s">
        <v>39</v>
      </c>
      <c r="I3231" t="s">
        <v>40</v>
      </c>
      <c r="J3231" s="2" t="s">
        <v>41</v>
      </c>
      <c r="K3231" t="s">
        <v>42</v>
      </c>
      <c r="L3231" t="s">
        <v>1048</v>
      </c>
      <c r="N3231" t="s">
        <v>1049</v>
      </c>
      <c r="Q3231">
        <v>29314</v>
      </c>
      <c r="R3231" t="s">
        <v>119</v>
      </c>
      <c r="S3231" t="s">
        <v>3740</v>
      </c>
      <c r="T3231">
        <v>27</v>
      </c>
      <c r="U3231" s="2" t="s">
        <v>11599</v>
      </c>
      <c r="V3231" s="1">
        <v>45533</v>
      </c>
      <c r="W3231" t="s">
        <v>1051</v>
      </c>
      <c r="X3231">
        <v>838438</v>
      </c>
      <c r="Y3231" t="s">
        <v>1924</v>
      </c>
      <c r="Z3231" s="2" t="s">
        <v>19909</v>
      </c>
      <c r="AA3231" t="s">
        <v>19910</v>
      </c>
      <c r="AB3231" t="s">
        <v>1428</v>
      </c>
      <c r="AD3231" t="s">
        <v>19911</v>
      </c>
      <c r="AE3231" t="s">
        <v>19912</v>
      </c>
      <c r="AG3231" t="s">
        <v>19913</v>
      </c>
      <c r="AH3231" t="s">
        <v>3742</v>
      </c>
      <c r="AI3231" t="s">
        <v>19914</v>
      </c>
    </row>
    <row r="3232" spans="2:35" ht="330">
      <c r="B3232" s="1">
        <v>45544</v>
      </c>
      <c r="C3232" s="4">
        <v>45541.383333333331</v>
      </c>
      <c r="D3232" t="s">
        <v>2257</v>
      </c>
      <c r="E3232" t="s">
        <v>19915</v>
      </c>
      <c r="F3232" t="s">
        <v>37</v>
      </c>
      <c r="G3232" t="s">
        <v>748</v>
      </c>
      <c r="H3232" t="s">
        <v>39</v>
      </c>
      <c r="I3232" t="s">
        <v>40</v>
      </c>
      <c r="J3232" s="2" t="s">
        <v>41</v>
      </c>
      <c r="K3232" t="s">
        <v>42</v>
      </c>
      <c r="L3232" t="s">
        <v>1028</v>
      </c>
      <c r="N3232" t="s">
        <v>1029</v>
      </c>
      <c r="Q3232">
        <v>29313</v>
      </c>
      <c r="R3232" t="s">
        <v>119</v>
      </c>
      <c r="S3232" t="s">
        <v>8974</v>
      </c>
      <c r="T3232">
        <v>24</v>
      </c>
      <c r="U3232" s="2" t="s">
        <v>19916</v>
      </c>
      <c r="V3232" s="1">
        <v>45537</v>
      </c>
      <c r="W3232" t="s">
        <v>1967</v>
      </c>
      <c r="X3232">
        <v>838537</v>
      </c>
      <c r="Y3232" t="s">
        <v>19917</v>
      </c>
      <c r="Z3232" t="s">
        <v>1034</v>
      </c>
      <c r="AA3232" s="2" t="s">
        <v>19918</v>
      </c>
      <c r="AB3232" t="s">
        <v>3300</v>
      </c>
      <c r="AC3232" t="s">
        <v>19919</v>
      </c>
      <c r="AD3232" t="s">
        <v>19920</v>
      </c>
      <c r="AE3232" t="s">
        <v>19921</v>
      </c>
      <c r="AG3232" t="s">
        <v>19922</v>
      </c>
      <c r="AH3232" t="s">
        <v>8978</v>
      </c>
      <c r="AI3232" t="s">
        <v>19923</v>
      </c>
    </row>
    <row r="3233" spans="2:35" ht="409.5">
      <c r="B3233" s="1">
        <v>45544</v>
      </c>
      <c r="C3233" s="4">
        <v>45538.873611111114</v>
      </c>
      <c r="D3233" t="s">
        <v>4517</v>
      </c>
      <c r="E3233" t="s">
        <v>4518</v>
      </c>
      <c r="F3233">
        <v>1</v>
      </c>
      <c r="G3233" t="s">
        <v>1046</v>
      </c>
      <c r="H3233" t="s">
        <v>39</v>
      </c>
      <c r="I3233" t="s">
        <v>40</v>
      </c>
      <c r="J3233" s="2" t="s">
        <v>41</v>
      </c>
      <c r="K3233" t="s">
        <v>42</v>
      </c>
      <c r="L3233" t="s">
        <v>1048</v>
      </c>
      <c r="N3233" t="s">
        <v>1049</v>
      </c>
      <c r="Q3233">
        <v>29312</v>
      </c>
      <c r="R3233" t="s">
        <v>119</v>
      </c>
      <c r="S3233" t="s">
        <v>7992</v>
      </c>
      <c r="T3233">
        <v>25</v>
      </c>
      <c r="U3233" s="2" t="s">
        <v>19924</v>
      </c>
      <c r="V3233" s="1">
        <v>45533</v>
      </c>
      <c r="W3233" t="s">
        <v>1051</v>
      </c>
      <c r="X3233">
        <v>838467</v>
      </c>
      <c r="Y3233" t="s">
        <v>1924</v>
      </c>
      <c r="Z3233" s="2" t="s">
        <v>19925</v>
      </c>
      <c r="AA3233" t="s">
        <v>1926</v>
      </c>
      <c r="AB3233" t="e">
        <f ca="1">- Unit is Partially operational
- Out of box defective new module</f>
        <v>#NAME?</v>
      </c>
      <c r="AC3233" t="s">
        <v>12618</v>
      </c>
      <c r="AD3233" t="s">
        <v>19926</v>
      </c>
      <c r="AE3233" t="s">
        <v>19927</v>
      </c>
      <c r="AG3233" t="s">
        <v>19928</v>
      </c>
      <c r="AH3233" t="s">
        <v>13014</v>
      </c>
      <c r="AI3233" t="s">
        <v>19929</v>
      </c>
    </row>
    <row r="3234" spans="2:35" ht="330">
      <c r="B3234" s="1">
        <v>45544</v>
      </c>
      <c r="C3234" s="4">
        <v>45538.863194444442</v>
      </c>
      <c r="D3234" t="s">
        <v>3732</v>
      </c>
      <c r="E3234" t="s">
        <v>3733</v>
      </c>
      <c r="F3234">
        <v>1</v>
      </c>
      <c r="G3234" t="s">
        <v>1046</v>
      </c>
      <c r="H3234" t="s">
        <v>1047</v>
      </c>
      <c r="I3234" t="s">
        <v>40</v>
      </c>
      <c r="J3234" s="2" t="s">
        <v>41</v>
      </c>
      <c r="K3234" t="s">
        <v>42</v>
      </c>
      <c r="L3234" t="s">
        <v>1048</v>
      </c>
      <c r="N3234" t="s">
        <v>1049</v>
      </c>
      <c r="Q3234">
        <v>29311</v>
      </c>
      <c r="R3234" t="s">
        <v>119</v>
      </c>
      <c r="S3234" t="s">
        <v>19601</v>
      </c>
      <c r="T3234">
        <v>23</v>
      </c>
      <c r="U3234" s="2" t="s">
        <v>19930</v>
      </c>
      <c r="V3234" s="1">
        <v>45533</v>
      </c>
      <c r="W3234" t="s">
        <v>1051</v>
      </c>
      <c r="X3234">
        <v>838473</v>
      </c>
      <c r="Y3234" t="s">
        <v>1924</v>
      </c>
      <c r="Z3234" s="2" t="s">
        <v>19931</v>
      </c>
      <c r="AA3234" t="s">
        <v>1926</v>
      </c>
      <c r="AB3234" t="s">
        <v>1428</v>
      </c>
      <c r="AC3234" t="s">
        <v>12618</v>
      </c>
      <c r="AD3234" t="s">
        <v>19932</v>
      </c>
      <c r="AE3234" t="s">
        <v>19933</v>
      </c>
      <c r="AG3234" t="s">
        <v>19934</v>
      </c>
      <c r="AH3234" t="s">
        <v>7274</v>
      </c>
      <c r="AI3234" t="s">
        <v>19935</v>
      </c>
    </row>
    <row r="3235" spans="2:35" ht="330">
      <c r="B3235" s="1">
        <v>45544</v>
      </c>
      <c r="C3235" s="4">
        <v>45538.866666666669</v>
      </c>
      <c r="D3235" t="s">
        <v>4528</v>
      </c>
      <c r="E3235" t="s">
        <v>4529</v>
      </c>
      <c r="F3235">
        <v>1</v>
      </c>
      <c r="G3235" t="s">
        <v>1046</v>
      </c>
      <c r="H3235" t="s">
        <v>1047</v>
      </c>
      <c r="I3235" t="s">
        <v>40</v>
      </c>
      <c r="J3235" s="2" t="s">
        <v>41</v>
      </c>
      <c r="K3235" t="s">
        <v>42</v>
      </c>
      <c r="L3235" t="s">
        <v>1048</v>
      </c>
      <c r="N3235" t="s">
        <v>1049</v>
      </c>
      <c r="Q3235">
        <v>29310</v>
      </c>
      <c r="R3235" t="s">
        <v>119</v>
      </c>
      <c r="S3235" t="s">
        <v>4530</v>
      </c>
      <c r="T3235">
        <v>28</v>
      </c>
      <c r="U3235" s="2" t="s">
        <v>19936</v>
      </c>
      <c r="V3235" s="1">
        <v>45533</v>
      </c>
      <c r="W3235" t="s">
        <v>1051</v>
      </c>
      <c r="X3235">
        <v>838472</v>
      </c>
      <c r="Y3235" t="s">
        <v>1924</v>
      </c>
      <c r="Z3235" s="2" t="s">
        <v>19937</v>
      </c>
      <c r="AA3235" t="s">
        <v>19910</v>
      </c>
      <c r="AB3235" t="s">
        <v>1428</v>
      </c>
      <c r="AC3235" t="s">
        <v>12618</v>
      </c>
      <c r="AD3235" t="s">
        <v>19938</v>
      </c>
      <c r="AE3235" t="s">
        <v>19939</v>
      </c>
      <c r="AG3235" t="s">
        <v>19940</v>
      </c>
      <c r="AH3235" t="s">
        <v>4532</v>
      </c>
      <c r="AI3235" t="s">
        <v>19941</v>
      </c>
    </row>
    <row r="3236" spans="2:35" ht="165">
      <c r="B3236" s="1">
        <v>45544</v>
      </c>
      <c r="C3236" s="4">
        <v>45538.355555555558</v>
      </c>
      <c r="D3236" t="s">
        <v>1057</v>
      </c>
      <c r="E3236" t="s">
        <v>1058</v>
      </c>
      <c r="F3236">
        <v>1</v>
      </c>
      <c r="G3236" t="s">
        <v>1046</v>
      </c>
      <c r="H3236" t="s">
        <v>39</v>
      </c>
      <c r="I3236" t="s">
        <v>40</v>
      </c>
      <c r="J3236" s="2" t="s">
        <v>190</v>
      </c>
      <c r="K3236" t="s">
        <v>42</v>
      </c>
      <c r="L3236" t="s">
        <v>1048</v>
      </c>
      <c r="N3236" t="s">
        <v>1049</v>
      </c>
      <c r="Q3236">
        <v>29309</v>
      </c>
      <c r="R3236" t="s">
        <v>95</v>
      </c>
      <c r="S3236" t="s">
        <v>1059</v>
      </c>
      <c r="T3236">
        <v>29</v>
      </c>
      <c r="U3236" s="2" t="s">
        <v>19942</v>
      </c>
      <c r="W3236" t="s">
        <v>1060</v>
      </c>
      <c r="X3236">
        <v>820303</v>
      </c>
      <c r="Y3236" s="2" t="s">
        <v>19943</v>
      </c>
      <c r="Z3236" t="e">
        <f ca="1">- cleaned cartridge Bays, plunger Rods _xludf.and I-CORE
- generated reports</f>
        <v>#NAME?</v>
      </c>
      <c r="AA3236" t="s">
        <v>820</v>
      </c>
      <c r="AB3236" t="s">
        <v>14475</v>
      </c>
      <c r="AG3236" t="s">
        <v>19944</v>
      </c>
      <c r="AH3236" t="s">
        <v>3393</v>
      </c>
      <c r="AI3236" t="s">
        <v>19945</v>
      </c>
    </row>
    <row r="3237" spans="2:35" ht="285">
      <c r="B3237" s="1">
        <v>45544</v>
      </c>
      <c r="C3237" s="4">
        <v>45544.484027777777</v>
      </c>
      <c r="D3237" t="s">
        <v>16716</v>
      </c>
      <c r="E3237" t="s">
        <v>1128</v>
      </c>
      <c r="F3237">
        <v>8</v>
      </c>
      <c r="G3237" t="s">
        <v>342</v>
      </c>
      <c r="H3237" t="s">
        <v>202</v>
      </c>
      <c r="I3237" t="s">
        <v>40</v>
      </c>
      <c r="J3237" s="2" t="s">
        <v>41</v>
      </c>
      <c r="K3237" t="s">
        <v>42</v>
      </c>
      <c r="L3237" t="s">
        <v>259</v>
      </c>
      <c r="N3237" t="s">
        <v>260</v>
      </c>
      <c r="Q3237">
        <v>29308</v>
      </c>
      <c r="R3237" t="s">
        <v>119</v>
      </c>
      <c r="S3237" t="s">
        <v>7473</v>
      </c>
      <c r="T3237">
        <v>24</v>
      </c>
      <c r="U3237" s="2" t="s">
        <v>19946</v>
      </c>
      <c r="V3237" s="1">
        <v>45544</v>
      </c>
      <c r="W3237" t="s">
        <v>84</v>
      </c>
      <c r="X3237">
        <v>838421</v>
      </c>
      <c r="Y3237" t="s">
        <v>19947</v>
      </c>
      <c r="Z3237" t="e">
        <f ca="1">-module Replacement
-PM</f>
        <v>#NAME?</v>
      </c>
      <c r="AA3237" s="2" t="s">
        <v>19948</v>
      </c>
      <c r="AB3237" t="s">
        <v>181</v>
      </c>
      <c r="AD3237" t="s">
        <v>19828</v>
      </c>
      <c r="AE3237" t="s">
        <v>119</v>
      </c>
      <c r="AG3237" t="s">
        <v>19949</v>
      </c>
      <c r="AH3237" t="s">
        <v>9129</v>
      </c>
      <c r="AI3237" t="s">
        <v>19950</v>
      </c>
    </row>
    <row r="3238" spans="2:35" ht="165">
      <c r="B3238" s="1">
        <v>45544</v>
      </c>
      <c r="C3238" s="4">
        <v>45544.381944444445</v>
      </c>
      <c r="D3238" t="s">
        <v>11901</v>
      </c>
      <c r="E3238" t="s">
        <v>11902</v>
      </c>
      <c r="F3238">
        <v>6</v>
      </c>
      <c r="G3238" t="s">
        <v>1234</v>
      </c>
      <c r="H3238" t="s">
        <v>258</v>
      </c>
      <c r="I3238" t="s">
        <v>40</v>
      </c>
      <c r="J3238" s="2" t="s">
        <v>41</v>
      </c>
      <c r="K3238" t="s">
        <v>42</v>
      </c>
      <c r="L3238" t="s">
        <v>270</v>
      </c>
      <c r="N3238" t="s">
        <v>2481</v>
      </c>
      <c r="Q3238">
        <v>29307</v>
      </c>
      <c r="R3238" t="s">
        <v>119</v>
      </c>
      <c r="S3238" t="s">
        <v>16463</v>
      </c>
      <c r="T3238">
        <v>25</v>
      </c>
      <c r="U3238" s="2" t="s">
        <v>19951</v>
      </c>
      <c r="V3238" s="1">
        <v>45533</v>
      </c>
      <c r="W3238" t="s">
        <v>3662</v>
      </c>
      <c r="X3238">
        <v>837612</v>
      </c>
      <c r="Y3238" t="s">
        <v>19952</v>
      </c>
      <c r="Z3238" s="2" t="s">
        <v>19953</v>
      </c>
      <c r="AA3238" t="s">
        <v>19954</v>
      </c>
      <c r="AB3238" t="s">
        <v>4668</v>
      </c>
      <c r="AD3238" t="s">
        <v>19955</v>
      </c>
      <c r="AE3238" t="s">
        <v>19956</v>
      </c>
      <c r="AG3238" t="s">
        <v>19957</v>
      </c>
      <c r="AH3238" t="s">
        <v>19958</v>
      </c>
      <c r="AI3238" t="s">
        <v>19959</v>
      </c>
    </row>
    <row r="3239" spans="2:35" ht="255">
      <c r="B3239" s="1">
        <v>45544</v>
      </c>
      <c r="C3239" s="4">
        <v>45541.621527777781</v>
      </c>
      <c r="D3239" t="s">
        <v>4379</v>
      </c>
      <c r="E3239" t="s">
        <v>7368</v>
      </c>
      <c r="F3239" t="s">
        <v>148</v>
      </c>
      <c r="G3239" t="s">
        <v>785</v>
      </c>
      <c r="H3239" t="s">
        <v>386</v>
      </c>
      <c r="I3239" t="s">
        <v>40</v>
      </c>
      <c r="J3239" t="s">
        <v>109</v>
      </c>
      <c r="K3239" t="s">
        <v>387</v>
      </c>
      <c r="L3239" t="s">
        <v>43</v>
      </c>
      <c r="N3239" t="s">
        <v>44</v>
      </c>
      <c r="O3239" t="s">
        <v>7369</v>
      </c>
      <c r="Q3239">
        <v>29306</v>
      </c>
      <c r="R3239" t="s">
        <v>95</v>
      </c>
      <c r="S3239" t="s">
        <v>4389</v>
      </c>
      <c r="T3239">
        <v>24</v>
      </c>
      <c r="W3239" t="s">
        <v>390</v>
      </c>
      <c r="X3239" t="s">
        <v>4390</v>
      </c>
      <c r="Y3239" t="s">
        <v>121</v>
      </c>
      <c r="Z3239" t="s">
        <v>122</v>
      </c>
      <c r="AA3239" s="2" t="s">
        <v>2076</v>
      </c>
      <c r="AB3239" t="s">
        <v>88</v>
      </c>
      <c r="AG3239" t="s">
        <v>19960</v>
      </c>
      <c r="AH3239" t="s">
        <v>19961</v>
      </c>
      <c r="AI3239" t="s">
        <v>19962</v>
      </c>
    </row>
    <row r="3240" spans="2:35" ht="409.5">
      <c r="B3240" s="1">
        <v>45544</v>
      </c>
      <c r="C3240" s="4">
        <v>45541.59375</v>
      </c>
      <c r="D3240" t="s">
        <v>4379</v>
      </c>
      <c r="E3240" t="s">
        <v>7368</v>
      </c>
      <c r="F3240" t="s">
        <v>148</v>
      </c>
      <c r="G3240" t="s">
        <v>785</v>
      </c>
      <c r="H3240" t="s">
        <v>39</v>
      </c>
      <c r="I3240" t="s">
        <v>40</v>
      </c>
      <c r="J3240" t="s">
        <v>109</v>
      </c>
      <c r="K3240" t="s">
        <v>42</v>
      </c>
      <c r="L3240" t="s">
        <v>43</v>
      </c>
      <c r="N3240" t="s">
        <v>44</v>
      </c>
      <c r="O3240" t="s">
        <v>7369</v>
      </c>
      <c r="Q3240">
        <v>29305</v>
      </c>
      <c r="R3240" t="s">
        <v>322</v>
      </c>
      <c r="S3240" t="s">
        <v>19963</v>
      </c>
      <c r="T3240">
        <v>24</v>
      </c>
      <c r="U3240" s="2" t="s">
        <v>19964</v>
      </c>
      <c r="W3240" t="s">
        <v>3178</v>
      </c>
      <c r="X3240">
        <v>838627</v>
      </c>
      <c r="Y3240" t="s">
        <v>121</v>
      </c>
      <c r="Z3240" t="s">
        <v>122</v>
      </c>
      <c r="AA3240" s="2" t="s">
        <v>123</v>
      </c>
      <c r="AB3240" t="s">
        <v>19965</v>
      </c>
      <c r="AG3240" t="s">
        <v>19966</v>
      </c>
      <c r="AH3240" t="s">
        <v>19967</v>
      </c>
      <c r="AI3240" t="s">
        <v>19968</v>
      </c>
    </row>
    <row r="3241" spans="2:35" ht="105">
      <c r="B3241" s="1">
        <v>45543</v>
      </c>
      <c r="C3241" s="4">
        <v>45540.600694444445</v>
      </c>
      <c r="D3241" t="s">
        <v>4694</v>
      </c>
      <c r="E3241" t="s">
        <v>7904</v>
      </c>
      <c r="F3241">
        <v>12</v>
      </c>
      <c r="G3241" t="s">
        <v>2137</v>
      </c>
      <c r="H3241" t="s">
        <v>5391</v>
      </c>
      <c r="I3241" t="s">
        <v>40</v>
      </c>
      <c r="J3241" t="s">
        <v>79</v>
      </c>
      <c r="K3241" t="s">
        <v>42</v>
      </c>
      <c r="L3241" t="s">
        <v>296</v>
      </c>
      <c r="N3241" t="s">
        <v>297</v>
      </c>
      <c r="Q3241">
        <v>29304</v>
      </c>
      <c r="R3241" t="s">
        <v>119</v>
      </c>
      <c r="S3241" t="s">
        <v>7905</v>
      </c>
      <c r="T3241">
        <v>26.4</v>
      </c>
      <c r="U3241" s="2" t="s">
        <v>19969</v>
      </c>
      <c r="W3241" t="s">
        <v>19970</v>
      </c>
      <c r="X3241">
        <v>838545</v>
      </c>
      <c r="Y3241" t="s">
        <v>19971</v>
      </c>
      <c r="Z3241" t="s">
        <v>19972</v>
      </c>
      <c r="AA3241" t="s">
        <v>19973</v>
      </c>
      <c r="AB3241" t="s">
        <v>19857</v>
      </c>
      <c r="AG3241" t="s">
        <v>19974</v>
      </c>
      <c r="AH3241" t="s">
        <v>19975</v>
      </c>
      <c r="AI3241" t="s">
        <v>19976</v>
      </c>
    </row>
    <row r="3242" spans="2:35" ht="180">
      <c r="B3242" s="1">
        <v>45542</v>
      </c>
      <c r="C3242" s="4">
        <v>45540.579861111109</v>
      </c>
      <c r="D3242" t="s">
        <v>2176</v>
      </c>
      <c r="E3242" t="s">
        <v>2580</v>
      </c>
      <c r="F3242" t="s">
        <v>148</v>
      </c>
      <c r="G3242" t="s">
        <v>447</v>
      </c>
      <c r="H3242" t="s">
        <v>17343</v>
      </c>
      <c r="I3242" t="s">
        <v>40</v>
      </c>
      <c r="J3242" s="2" t="s">
        <v>190</v>
      </c>
      <c r="K3242" t="s">
        <v>42</v>
      </c>
      <c r="L3242" t="s">
        <v>448</v>
      </c>
      <c r="N3242" t="s">
        <v>450</v>
      </c>
      <c r="Q3242">
        <v>29303</v>
      </c>
      <c r="R3242" t="s">
        <v>322</v>
      </c>
      <c r="S3242" t="s">
        <v>2582</v>
      </c>
      <c r="T3242">
        <v>27</v>
      </c>
      <c r="U3242" s="2" t="s">
        <v>19977</v>
      </c>
      <c r="W3242" t="s">
        <v>2591</v>
      </c>
      <c r="X3242">
        <v>110014085</v>
      </c>
      <c r="Y3242" t="s">
        <v>19978</v>
      </c>
      <c r="Z3242" s="2" t="s">
        <v>2011</v>
      </c>
      <c r="AA3242" t="s">
        <v>680</v>
      </c>
      <c r="AB3242" s="2" t="s">
        <v>19979</v>
      </c>
      <c r="AG3242" t="s">
        <v>19980</v>
      </c>
      <c r="AH3242" t="s">
        <v>15742</v>
      </c>
      <c r="AI3242" t="s">
        <v>19981</v>
      </c>
    </row>
    <row r="3243" spans="2:35" ht="409.5">
      <c r="B3243" s="1">
        <v>45542</v>
      </c>
      <c r="C3243" s="4">
        <v>45540.630555555559</v>
      </c>
      <c r="D3243" t="s">
        <v>1145</v>
      </c>
      <c r="E3243" t="s">
        <v>473</v>
      </c>
      <c r="F3243" t="s">
        <v>148</v>
      </c>
      <c r="G3243" t="s">
        <v>447</v>
      </c>
      <c r="H3243" t="s">
        <v>386</v>
      </c>
      <c r="I3243" t="s">
        <v>40</v>
      </c>
      <c r="J3243" t="s">
        <v>525</v>
      </c>
      <c r="K3243" t="s">
        <v>387</v>
      </c>
      <c r="L3243" t="s">
        <v>448</v>
      </c>
      <c r="N3243" t="s">
        <v>450</v>
      </c>
      <c r="Q3243">
        <v>29302</v>
      </c>
      <c r="R3243" t="s">
        <v>322</v>
      </c>
      <c r="S3243" t="s">
        <v>5004</v>
      </c>
      <c r="T3243">
        <v>26</v>
      </c>
      <c r="W3243" t="s">
        <v>476</v>
      </c>
      <c r="X3243" t="s">
        <v>5005</v>
      </c>
      <c r="Y3243" t="s">
        <v>19982</v>
      </c>
      <c r="Z3243" s="2" t="s">
        <v>19983</v>
      </c>
      <c r="AA3243" t="s">
        <v>19984</v>
      </c>
      <c r="AB3243" t="s">
        <v>486</v>
      </c>
      <c r="AG3243" t="s">
        <v>19985</v>
      </c>
      <c r="AH3243" t="s">
        <v>5010</v>
      </c>
      <c r="AI3243" t="s">
        <v>19986</v>
      </c>
    </row>
    <row r="3244" spans="2:35" ht="270">
      <c r="B3244" s="1">
        <v>45541</v>
      </c>
      <c r="C3244" s="4">
        <v>45541.665972222225</v>
      </c>
      <c r="D3244" t="s">
        <v>19987</v>
      </c>
      <c r="E3244" t="s">
        <v>19988</v>
      </c>
      <c r="F3244" t="s">
        <v>148</v>
      </c>
      <c r="G3244" t="s">
        <v>447</v>
      </c>
      <c r="H3244" t="s">
        <v>19989</v>
      </c>
      <c r="I3244" t="s">
        <v>40</v>
      </c>
      <c r="J3244" t="s">
        <v>1422</v>
      </c>
      <c r="K3244" t="s">
        <v>42</v>
      </c>
      <c r="L3244" t="s">
        <v>448</v>
      </c>
      <c r="N3244" t="s">
        <v>450</v>
      </c>
      <c r="Q3244">
        <v>29301</v>
      </c>
      <c r="R3244" t="s">
        <v>322</v>
      </c>
      <c r="S3244" t="s">
        <v>19990</v>
      </c>
      <c r="T3244">
        <v>26</v>
      </c>
      <c r="U3244" s="2" t="s">
        <v>19991</v>
      </c>
      <c r="W3244" t="s">
        <v>6128</v>
      </c>
      <c r="X3244">
        <v>821257</v>
      </c>
      <c r="Y3244" t="s">
        <v>4709</v>
      </c>
      <c r="Z3244" s="2" t="s">
        <v>2011</v>
      </c>
      <c r="AA3244" t="s">
        <v>8501</v>
      </c>
      <c r="AB3244" t="s">
        <v>486</v>
      </c>
      <c r="AC3244" t="s">
        <v>19992</v>
      </c>
      <c r="AG3244" t="s">
        <v>19993</v>
      </c>
      <c r="AH3244" t="s">
        <v>19994</v>
      </c>
      <c r="AI3244" t="s">
        <v>19995</v>
      </c>
    </row>
    <row r="3245" spans="2:35" ht="409.5">
      <c r="B3245" s="1">
        <v>45541</v>
      </c>
      <c r="C3245" s="4">
        <v>45541.647222222222</v>
      </c>
      <c r="D3245" t="s">
        <v>5932</v>
      </c>
      <c r="E3245" t="s">
        <v>7642</v>
      </c>
      <c r="F3245">
        <v>11</v>
      </c>
      <c r="G3245" t="s">
        <v>2836</v>
      </c>
      <c r="H3245" t="s">
        <v>1047</v>
      </c>
      <c r="I3245" t="s">
        <v>40</v>
      </c>
      <c r="J3245" s="2" t="s">
        <v>1592</v>
      </c>
      <c r="K3245" t="s">
        <v>42</v>
      </c>
      <c r="L3245" t="s">
        <v>204</v>
      </c>
      <c r="N3245" t="s">
        <v>205</v>
      </c>
      <c r="Q3245">
        <v>29300</v>
      </c>
      <c r="R3245" t="s">
        <v>119</v>
      </c>
      <c r="S3245" t="s">
        <v>7643</v>
      </c>
      <c r="T3245">
        <v>23.5</v>
      </c>
      <c r="U3245" s="2" t="s">
        <v>7490</v>
      </c>
      <c r="V3245" s="1">
        <v>45537</v>
      </c>
      <c r="W3245" t="s">
        <v>208</v>
      </c>
      <c r="X3245">
        <v>838553</v>
      </c>
      <c r="Y3245" s="2" t="s">
        <v>19996</v>
      </c>
      <c r="Z3245" s="2" t="s">
        <v>19997</v>
      </c>
      <c r="AA3245" t="s">
        <v>19998</v>
      </c>
      <c r="AB3245" s="2" t="s">
        <v>19999</v>
      </c>
      <c r="AD3245" t="s">
        <v>20000</v>
      </c>
      <c r="AE3245" t="s">
        <v>20001</v>
      </c>
      <c r="AG3245" t="s">
        <v>20002</v>
      </c>
      <c r="AH3245" t="s">
        <v>20003</v>
      </c>
      <c r="AI3245" t="s">
        <v>20004</v>
      </c>
    </row>
    <row r="3246" spans="2:35" ht="270">
      <c r="B3246" s="1">
        <v>45541</v>
      </c>
      <c r="C3246" s="4">
        <v>45540.660416666666</v>
      </c>
      <c r="D3246" t="s">
        <v>2106</v>
      </c>
      <c r="E3246" t="s">
        <v>14162</v>
      </c>
      <c r="F3246">
        <v>5</v>
      </c>
      <c r="G3246" t="s">
        <v>839</v>
      </c>
      <c r="H3246" t="s">
        <v>39</v>
      </c>
      <c r="I3246" t="s">
        <v>94</v>
      </c>
      <c r="J3246" s="2" t="s">
        <v>41</v>
      </c>
      <c r="K3246" t="s">
        <v>42</v>
      </c>
      <c r="L3246" t="s">
        <v>761</v>
      </c>
      <c r="N3246" t="s">
        <v>762</v>
      </c>
      <c r="Q3246">
        <v>29299</v>
      </c>
      <c r="R3246" t="s">
        <v>119</v>
      </c>
      <c r="S3246" t="s">
        <v>8909</v>
      </c>
      <c r="T3246">
        <v>29</v>
      </c>
      <c r="U3246" s="2" t="s">
        <v>18956</v>
      </c>
      <c r="W3246" t="s">
        <v>765</v>
      </c>
      <c r="X3246">
        <v>838389</v>
      </c>
      <c r="Y3246" t="s">
        <v>20005</v>
      </c>
      <c r="Z3246" s="2" t="s">
        <v>20006</v>
      </c>
      <c r="AA3246" s="2" t="s">
        <v>20007</v>
      </c>
      <c r="AB3246" t="s">
        <v>20008</v>
      </c>
      <c r="AG3246" t="s">
        <v>20009</v>
      </c>
      <c r="AH3246" t="s">
        <v>8912</v>
      </c>
      <c r="AI3246" t="s">
        <v>20010</v>
      </c>
    </row>
    <row r="3247" spans="2:35" ht="105">
      <c r="B3247" s="1">
        <v>45541</v>
      </c>
      <c r="C3247" s="4">
        <v>45541.529166666667</v>
      </c>
      <c r="D3247" t="s">
        <v>9185</v>
      </c>
      <c r="E3247" t="s">
        <v>18981</v>
      </c>
      <c r="F3247">
        <v>9</v>
      </c>
      <c r="G3247" t="s">
        <v>2197</v>
      </c>
      <c r="H3247" t="s">
        <v>39</v>
      </c>
      <c r="I3247" t="s">
        <v>94</v>
      </c>
      <c r="J3247" s="2" t="s">
        <v>20011</v>
      </c>
      <c r="K3247" t="s">
        <v>42</v>
      </c>
      <c r="L3247" t="s">
        <v>1257</v>
      </c>
      <c r="N3247" t="s">
        <v>1258</v>
      </c>
      <c r="O3247" t="s">
        <v>2199</v>
      </c>
      <c r="Q3247">
        <v>29298</v>
      </c>
      <c r="R3247" t="s">
        <v>119</v>
      </c>
      <c r="S3247" t="s">
        <v>9187</v>
      </c>
      <c r="T3247">
        <v>22</v>
      </c>
      <c r="U3247" s="2" t="s">
        <v>20012</v>
      </c>
      <c r="V3247" s="1">
        <v>45541</v>
      </c>
      <c r="W3247" t="s">
        <v>17297</v>
      </c>
      <c r="X3247">
        <v>837664</v>
      </c>
      <c r="Y3247" t="s">
        <v>20013</v>
      </c>
      <c r="Z3247" t="s">
        <v>20014</v>
      </c>
      <c r="AA3247" t="s">
        <v>20015</v>
      </c>
      <c r="AB3247" t="s">
        <v>20016</v>
      </c>
      <c r="AC3247" t="s">
        <v>301</v>
      </c>
      <c r="AD3247" t="s">
        <v>54</v>
      </c>
      <c r="AE3247" t="s">
        <v>54</v>
      </c>
      <c r="AG3247" t="s">
        <v>20017</v>
      </c>
      <c r="AH3247" t="s">
        <v>12434</v>
      </c>
      <c r="AI3247" t="s">
        <v>20018</v>
      </c>
    </row>
    <row r="3248" spans="2:35" ht="225">
      <c r="B3248" s="1">
        <v>45541</v>
      </c>
      <c r="C3248" s="4">
        <v>45541.501388888886</v>
      </c>
      <c r="D3248" t="s">
        <v>6595</v>
      </c>
      <c r="E3248" t="s">
        <v>20019</v>
      </c>
      <c r="F3248" t="s">
        <v>148</v>
      </c>
      <c r="G3248" t="s">
        <v>785</v>
      </c>
      <c r="H3248" t="s">
        <v>39</v>
      </c>
      <c r="I3248" t="s">
        <v>40</v>
      </c>
      <c r="J3248" t="s">
        <v>109</v>
      </c>
      <c r="K3248" t="s">
        <v>42</v>
      </c>
      <c r="L3248" t="s">
        <v>43</v>
      </c>
      <c r="N3248" t="s">
        <v>44</v>
      </c>
      <c r="O3248" t="s">
        <v>787</v>
      </c>
      <c r="Q3248">
        <v>29297</v>
      </c>
      <c r="R3248" t="s">
        <v>322</v>
      </c>
      <c r="S3248" t="s">
        <v>786</v>
      </c>
      <c r="T3248">
        <v>24</v>
      </c>
      <c r="U3248" s="2" t="s">
        <v>20020</v>
      </c>
      <c r="W3248" t="s">
        <v>11663</v>
      </c>
      <c r="X3248">
        <v>821648</v>
      </c>
      <c r="Y3248" t="s">
        <v>121</v>
      </c>
      <c r="Z3248" t="s">
        <v>122</v>
      </c>
      <c r="AA3248" s="2" t="s">
        <v>123</v>
      </c>
      <c r="AB3248" t="s">
        <v>20021</v>
      </c>
      <c r="AG3248" t="s">
        <v>20022</v>
      </c>
      <c r="AH3248" t="s">
        <v>20023</v>
      </c>
      <c r="AI3248" t="s">
        <v>20024</v>
      </c>
    </row>
    <row r="3249" spans="2:35" ht="409.5">
      <c r="B3249" s="1">
        <v>45540</v>
      </c>
      <c r="C3249" s="4">
        <v>45538.612500000003</v>
      </c>
      <c r="D3249" t="s">
        <v>1081</v>
      </c>
      <c r="E3249" t="s">
        <v>20025</v>
      </c>
      <c r="F3249" t="s">
        <v>148</v>
      </c>
      <c r="G3249" t="s">
        <v>785</v>
      </c>
      <c r="H3249" t="s">
        <v>39</v>
      </c>
      <c r="I3249" t="s">
        <v>40</v>
      </c>
      <c r="J3249" s="2" t="s">
        <v>41</v>
      </c>
      <c r="K3249" t="s">
        <v>42</v>
      </c>
      <c r="L3249" t="s">
        <v>43</v>
      </c>
      <c r="N3249" t="s">
        <v>44</v>
      </c>
      <c r="Q3249">
        <v>29296</v>
      </c>
      <c r="R3249" t="s">
        <v>95</v>
      </c>
      <c r="S3249" t="s">
        <v>2016</v>
      </c>
      <c r="T3249">
        <v>22</v>
      </c>
      <c r="U3249" s="2" t="s">
        <v>20026</v>
      </c>
      <c r="V3249" s="1">
        <v>45534</v>
      </c>
      <c r="W3249" t="s">
        <v>5136</v>
      </c>
      <c r="X3249">
        <v>110015767</v>
      </c>
      <c r="Y3249" t="s">
        <v>2165</v>
      </c>
      <c r="Z3249" t="s">
        <v>2166</v>
      </c>
      <c r="AA3249" s="2" t="s">
        <v>20027</v>
      </c>
      <c r="AB3249" t="s">
        <v>548</v>
      </c>
      <c r="AD3249" s="2" t="s">
        <v>20028</v>
      </c>
      <c r="AE3249" t="s">
        <v>20029</v>
      </c>
      <c r="AG3249" t="s">
        <v>20030</v>
      </c>
      <c r="AH3249" t="s">
        <v>20031</v>
      </c>
      <c r="AI3249" t="s">
        <v>20032</v>
      </c>
    </row>
    <row r="3250" spans="2:35" ht="270">
      <c r="B3250" s="1">
        <v>45540</v>
      </c>
      <c r="C3250" s="4">
        <v>45540.605555555558</v>
      </c>
      <c r="D3250" t="s">
        <v>146</v>
      </c>
      <c r="E3250" t="s">
        <v>13362</v>
      </c>
      <c r="F3250" t="s">
        <v>148</v>
      </c>
      <c r="G3250" t="s">
        <v>785</v>
      </c>
      <c r="H3250" t="s">
        <v>39</v>
      </c>
      <c r="I3250" t="s">
        <v>40</v>
      </c>
      <c r="J3250" s="2" t="s">
        <v>62</v>
      </c>
      <c r="K3250" t="s">
        <v>42</v>
      </c>
      <c r="L3250" t="s">
        <v>43</v>
      </c>
      <c r="N3250" t="s">
        <v>44</v>
      </c>
      <c r="O3250" t="s">
        <v>388</v>
      </c>
      <c r="Q3250">
        <v>29295</v>
      </c>
      <c r="R3250" t="s">
        <v>95</v>
      </c>
      <c r="S3250" t="s">
        <v>11968</v>
      </c>
      <c r="T3250">
        <v>24</v>
      </c>
      <c r="U3250" s="2" t="s">
        <v>20033</v>
      </c>
      <c r="V3250" s="1">
        <v>45539</v>
      </c>
      <c r="W3250" t="s">
        <v>153</v>
      </c>
      <c r="X3250">
        <v>110003714</v>
      </c>
      <c r="Y3250" t="s">
        <v>1111</v>
      </c>
      <c r="Z3250" t="s">
        <v>1519</v>
      </c>
      <c r="AA3250" s="2" t="s">
        <v>12737</v>
      </c>
      <c r="AB3250" t="s">
        <v>20034</v>
      </c>
      <c r="AC3250" t="s">
        <v>20035</v>
      </c>
      <c r="AD3250" t="s">
        <v>20036</v>
      </c>
      <c r="AE3250" t="s">
        <v>20037</v>
      </c>
      <c r="AG3250" t="s">
        <v>20038</v>
      </c>
      <c r="AH3250" t="s">
        <v>20039</v>
      </c>
      <c r="AI3250" t="s">
        <v>20040</v>
      </c>
    </row>
    <row r="3251" spans="2:35" ht="255">
      <c r="B3251" s="1">
        <v>45540</v>
      </c>
      <c r="C3251" s="4">
        <v>45538.573611111111</v>
      </c>
      <c r="D3251" t="s">
        <v>1081</v>
      </c>
      <c r="E3251" t="s">
        <v>20041</v>
      </c>
      <c r="F3251" t="s">
        <v>148</v>
      </c>
      <c r="G3251" t="s">
        <v>785</v>
      </c>
      <c r="H3251" t="s">
        <v>386</v>
      </c>
      <c r="I3251" t="s">
        <v>40</v>
      </c>
      <c r="J3251" t="s">
        <v>109</v>
      </c>
      <c r="K3251" t="s">
        <v>387</v>
      </c>
      <c r="L3251" t="s">
        <v>43</v>
      </c>
      <c r="N3251" t="s">
        <v>44</v>
      </c>
      <c r="Q3251">
        <v>29294</v>
      </c>
      <c r="R3251" t="s">
        <v>95</v>
      </c>
      <c r="S3251" t="s">
        <v>2074</v>
      </c>
      <c r="T3251">
        <v>20</v>
      </c>
      <c r="W3251" t="s">
        <v>390</v>
      </c>
      <c r="X3251" t="s">
        <v>2075</v>
      </c>
      <c r="Y3251" t="s">
        <v>121</v>
      </c>
      <c r="Z3251" t="s">
        <v>122</v>
      </c>
      <c r="AA3251" s="2" t="s">
        <v>20042</v>
      </c>
      <c r="AB3251" t="s">
        <v>88</v>
      </c>
      <c r="AG3251" t="s">
        <v>20043</v>
      </c>
      <c r="AH3251" t="s">
        <v>20044</v>
      </c>
      <c r="AI3251" t="s">
        <v>20045</v>
      </c>
    </row>
    <row r="3252" spans="2:35" ht="255">
      <c r="B3252" s="1">
        <v>45540</v>
      </c>
      <c r="C3252" s="4">
        <v>45538.650694444441</v>
      </c>
      <c r="D3252" t="s">
        <v>1081</v>
      </c>
      <c r="E3252" t="s">
        <v>5141</v>
      </c>
      <c r="F3252" t="s">
        <v>148</v>
      </c>
      <c r="G3252" t="s">
        <v>785</v>
      </c>
      <c r="H3252" t="s">
        <v>1083</v>
      </c>
      <c r="I3252" t="s">
        <v>40</v>
      </c>
      <c r="J3252" t="s">
        <v>109</v>
      </c>
      <c r="K3252" t="s">
        <v>387</v>
      </c>
      <c r="L3252" t="s">
        <v>43</v>
      </c>
      <c r="N3252" t="s">
        <v>44</v>
      </c>
      <c r="Q3252">
        <v>29293</v>
      </c>
      <c r="R3252" t="s">
        <v>95</v>
      </c>
      <c r="S3252" t="s">
        <v>15901</v>
      </c>
      <c r="T3252">
        <v>20</v>
      </c>
      <c r="W3252" t="s">
        <v>390</v>
      </c>
      <c r="X3252" t="s">
        <v>5969</v>
      </c>
      <c r="Y3252" t="s">
        <v>121</v>
      </c>
      <c r="Z3252" t="s">
        <v>122</v>
      </c>
      <c r="AA3252" s="2" t="s">
        <v>2076</v>
      </c>
      <c r="AB3252" t="s">
        <v>88</v>
      </c>
      <c r="AG3252" t="s">
        <v>20046</v>
      </c>
      <c r="AH3252" t="s">
        <v>15904</v>
      </c>
      <c r="AI3252" t="s">
        <v>20047</v>
      </c>
    </row>
    <row r="3253" spans="2:35" ht="120">
      <c r="B3253" s="1">
        <v>45540</v>
      </c>
      <c r="C3253" s="4">
        <v>45540.603472222225</v>
      </c>
      <c r="D3253" t="s">
        <v>20048</v>
      </c>
      <c r="E3253" t="s">
        <v>20049</v>
      </c>
      <c r="F3253">
        <v>6</v>
      </c>
      <c r="G3253" t="s">
        <v>1507</v>
      </c>
      <c r="H3253" t="s">
        <v>10969</v>
      </c>
      <c r="I3253" t="s">
        <v>40</v>
      </c>
      <c r="J3253" s="2" t="s">
        <v>20050</v>
      </c>
      <c r="K3253" t="s">
        <v>42</v>
      </c>
      <c r="L3253" t="s">
        <v>1288</v>
      </c>
      <c r="N3253" t="s">
        <v>1289</v>
      </c>
      <c r="Q3253">
        <v>29292</v>
      </c>
      <c r="R3253" t="s">
        <v>119</v>
      </c>
      <c r="S3253" t="s">
        <v>10198</v>
      </c>
      <c r="T3253">
        <v>26</v>
      </c>
      <c r="U3253" s="2" t="s">
        <v>20051</v>
      </c>
      <c r="V3253" s="1">
        <v>45537</v>
      </c>
      <c r="W3253" t="s">
        <v>1292</v>
      </c>
      <c r="X3253">
        <v>838296</v>
      </c>
      <c r="Y3253" t="e">
        <f ca="1">-_xludf.For Preventive Maintenance _xludf.and CALIBRATION
-GX STICKER ID Installation</f>
        <v>#NAME?</v>
      </c>
      <c r="Z3253" t="s">
        <v>14552</v>
      </c>
      <c r="AA3253" t="e">
        <f ca="1">-PERFORM Cleaning of GX EQUIPMENT _xludf.and Preventive Maintenance PROCEDURE
-_xludf.Replace FAN _xludf.filter
-PERFORM XpertCheck CALIBRATION:
B1-_xludf.For service
                                                                                                                                                                                                                                                                B2,B3,_xludf.and B4-passed</f>
        <v>#NAME?</v>
      </c>
      <c r="AB3253" t="s">
        <v>1293</v>
      </c>
      <c r="AD3253" t="s">
        <v>5255</v>
      </c>
      <c r="AE3253">
        <v>5423</v>
      </c>
      <c r="AG3253" t="s">
        <v>20052</v>
      </c>
      <c r="AH3253" t="s">
        <v>19244</v>
      </c>
      <c r="AI3253" t="s">
        <v>20053</v>
      </c>
    </row>
    <row r="3254" spans="2:35" ht="105">
      <c r="B3254" s="1">
        <v>45540</v>
      </c>
      <c r="C3254" s="4">
        <v>45540.553472222222</v>
      </c>
      <c r="D3254" t="s">
        <v>8539</v>
      </c>
      <c r="E3254" t="s">
        <v>20054</v>
      </c>
      <c r="F3254">
        <v>9</v>
      </c>
      <c r="G3254" t="s">
        <v>2197</v>
      </c>
      <c r="H3254" t="s">
        <v>39</v>
      </c>
      <c r="I3254" t="s">
        <v>94</v>
      </c>
      <c r="J3254" s="2" t="s">
        <v>20011</v>
      </c>
      <c r="K3254" t="s">
        <v>42</v>
      </c>
      <c r="L3254" t="s">
        <v>1257</v>
      </c>
      <c r="N3254" t="s">
        <v>1258</v>
      </c>
      <c r="O3254" t="s">
        <v>1258</v>
      </c>
      <c r="Q3254">
        <v>29291</v>
      </c>
      <c r="R3254" t="s">
        <v>119</v>
      </c>
      <c r="S3254" t="s">
        <v>8542</v>
      </c>
      <c r="T3254">
        <v>25</v>
      </c>
      <c r="U3254" s="2" t="s">
        <v>5469</v>
      </c>
      <c r="V3254" s="1">
        <v>45540</v>
      </c>
      <c r="W3254" t="s">
        <v>17323</v>
      </c>
      <c r="X3254">
        <v>838533</v>
      </c>
      <c r="Y3254" t="s">
        <v>20055</v>
      </c>
      <c r="Z3254" t="s">
        <v>20056</v>
      </c>
      <c r="AA3254" t="s">
        <v>20057</v>
      </c>
      <c r="AB3254" t="s">
        <v>20058</v>
      </c>
      <c r="AC3254" t="s">
        <v>20059</v>
      </c>
      <c r="AD3254" t="s">
        <v>54</v>
      </c>
      <c r="AE3254" t="s">
        <v>54</v>
      </c>
      <c r="AG3254" t="s">
        <v>20060</v>
      </c>
      <c r="AH3254" t="s">
        <v>9494</v>
      </c>
      <c r="AI3254" t="s">
        <v>20061</v>
      </c>
    </row>
    <row r="3255" spans="2:35" ht="409.5">
      <c r="B3255" s="1">
        <v>45540</v>
      </c>
      <c r="C3255" s="4">
        <v>45540.517361111109</v>
      </c>
      <c r="D3255" t="s">
        <v>8914</v>
      </c>
      <c r="E3255" t="s">
        <v>20062</v>
      </c>
      <c r="F3255">
        <v>5</v>
      </c>
      <c r="G3255" t="s">
        <v>839</v>
      </c>
      <c r="H3255" t="s">
        <v>39</v>
      </c>
      <c r="I3255" t="s">
        <v>94</v>
      </c>
      <c r="J3255" s="2" t="s">
        <v>1592</v>
      </c>
      <c r="K3255" t="s">
        <v>42</v>
      </c>
      <c r="L3255" t="s">
        <v>761</v>
      </c>
      <c r="N3255" t="s">
        <v>762</v>
      </c>
      <c r="Q3255">
        <v>29290</v>
      </c>
      <c r="R3255" t="s">
        <v>119</v>
      </c>
      <c r="S3255" t="s">
        <v>8916</v>
      </c>
      <c r="T3255">
        <v>26</v>
      </c>
      <c r="U3255" s="2" t="s">
        <v>20063</v>
      </c>
      <c r="W3255" t="s">
        <v>765</v>
      </c>
      <c r="X3255">
        <v>838558</v>
      </c>
      <c r="Y3255" s="2" t="s">
        <v>20064</v>
      </c>
      <c r="Z3255" s="2" t="s">
        <v>20065</v>
      </c>
      <c r="AA3255" s="2" t="s">
        <v>20066</v>
      </c>
      <c r="AB3255" t="s">
        <v>181</v>
      </c>
      <c r="AG3255" t="s">
        <v>20067</v>
      </c>
      <c r="AH3255" t="s">
        <v>17130</v>
      </c>
      <c r="AI3255" t="s">
        <v>20068</v>
      </c>
    </row>
    <row r="3256" spans="2:35" ht="330">
      <c r="B3256" s="1">
        <v>45540</v>
      </c>
      <c r="C3256" s="4">
        <v>45540.525694444441</v>
      </c>
      <c r="D3256" t="s">
        <v>10368</v>
      </c>
      <c r="E3256" t="s">
        <v>18482</v>
      </c>
      <c r="F3256">
        <v>7</v>
      </c>
      <c r="G3256" t="s">
        <v>6529</v>
      </c>
      <c r="H3256" t="s">
        <v>1498</v>
      </c>
      <c r="I3256" t="s">
        <v>40</v>
      </c>
      <c r="J3256" s="2" t="s">
        <v>20069</v>
      </c>
      <c r="K3256" t="s">
        <v>42</v>
      </c>
      <c r="L3256" t="s">
        <v>343</v>
      </c>
      <c r="N3256" t="s">
        <v>344</v>
      </c>
      <c r="Q3256">
        <v>29289</v>
      </c>
      <c r="R3256" t="s">
        <v>119</v>
      </c>
      <c r="S3256" t="s">
        <v>10370</v>
      </c>
      <c r="T3256">
        <v>28</v>
      </c>
      <c r="U3256" s="2" t="s">
        <v>19754</v>
      </c>
      <c r="W3256" t="s">
        <v>1501</v>
      </c>
      <c r="X3256">
        <v>838203</v>
      </c>
      <c r="Y3256" t="s">
        <v>301</v>
      </c>
      <c r="Z3256" t="s">
        <v>301</v>
      </c>
      <c r="AA3256" s="2" t="s">
        <v>20070</v>
      </c>
      <c r="AB3256" t="s">
        <v>9638</v>
      </c>
      <c r="AG3256" t="s">
        <v>20071</v>
      </c>
      <c r="AH3256" t="s">
        <v>16592</v>
      </c>
      <c r="AI3256" t="s">
        <v>20072</v>
      </c>
    </row>
    <row r="3257" spans="2:35">
      <c r="B3257" s="1">
        <v>45540</v>
      </c>
      <c r="C3257" s="4">
        <v>45540.520138888889</v>
      </c>
      <c r="D3257" t="s">
        <v>8654</v>
      </c>
      <c r="E3257" t="s">
        <v>8655</v>
      </c>
      <c r="F3257">
        <v>8</v>
      </c>
      <c r="G3257" t="s">
        <v>257</v>
      </c>
      <c r="H3257" t="s">
        <v>202</v>
      </c>
      <c r="I3257" t="s">
        <v>40</v>
      </c>
      <c r="J3257" t="s">
        <v>109</v>
      </c>
      <c r="K3257" t="s">
        <v>42</v>
      </c>
      <c r="L3257" t="s">
        <v>259</v>
      </c>
      <c r="N3257" t="s">
        <v>260</v>
      </c>
      <c r="Q3257">
        <v>29288</v>
      </c>
      <c r="R3257" t="s">
        <v>119</v>
      </c>
      <c r="S3257" t="s">
        <v>20073</v>
      </c>
      <c r="T3257">
        <v>29</v>
      </c>
      <c r="V3257" s="1">
        <v>45540</v>
      </c>
      <c r="W3257" t="s">
        <v>84</v>
      </c>
      <c r="X3257">
        <v>838409</v>
      </c>
      <c r="Y3257" t="s">
        <v>263</v>
      </c>
      <c r="Z3257" t="s">
        <v>263</v>
      </c>
      <c r="AA3257" t="e">
        <f ca="1">- Preventive Maintenance</f>
        <v>#NAME?</v>
      </c>
      <c r="AB3257" t="s">
        <v>20074</v>
      </c>
      <c r="AG3257" t="s">
        <v>20075</v>
      </c>
      <c r="AH3257" t="s">
        <v>20076</v>
      </c>
      <c r="AI3257" t="s">
        <v>20077</v>
      </c>
    </row>
    <row r="3258" spans="2:35" ht="165">
      <c r="B3258" s="1">
        <v>45540</v>
      </c>
      <c r="C3258" s="4">
        <v>45540.427777777775</v>
      </c>
      <c r="D3258" t="s">
        <v>20078</v>
      </c>
      <c r="E3258" t="s">
        <v>718</v>
      </c>
      <c r="F3258">
        <v>7</v>
      </c>
      <c r="G3258" t="s">
        <v>432</v>
      </c>
      <c r="H3258" t="s">
        <v>2290</v>
      </c>
      <c r="I3258" t="s">
        <v>40</v>
      </c>
      <c r="J3258" t="s">
        <v>321</v>
      </c>
      <c r="K3258" t="s">
        <v>42</v>
      </c>
      <c r="L3258" t="s">
        <v>594</v>
      </c>
      <c r="N3258" t="s">
        <v>595</v>
      </c>
      <c r="O3258" t="s">
        <v>595</v>
      </c>
      <c r="Q3258">
        <v>29287</v>
      </c>
      <c r="R3258" t="s">
        <v>119</v>
      </c>
      <c r="S3258" t="s">
        <v>20079</v>
      </c>
      <c r="T3258">
        <v>23</v>
      </c>
      <c r="V3258" s="1">
        <v>45540</v>
      </c>
      <c r="W3258" t="s">
        <v>360</v>
      </c>
      <c r="X3258">
        <v>838231</v>
      </c>
      <c r="Y3258" t="s">
        <v>20080</v>
      </c>
      <c r="Z3258" s="2" t="s">
        <v>20081</v>
      </c>
      <c r="AA3258" t="s">
        <v>20082</v>
      </c>
      <c r="AB3258" t="s">
        <v>20083</v>
      </c>
      <c r="AG3258" t="s">
        <v>20084</v>
      </c>
      <c r="AH3258" t="s">
        <v>2241</v>
      </c>
      <c r="AI3258" t="s">
        <v>20085</v>
      </c>
    </row>
    <row r="3259" spans="2:35" ht="409.5">
      <c r="B3259" s="1">
        <v>45540</v>
      </c>
      <c r="C3259" s="4">
        <v>45540.398611111108</v>
      </c>
      <c r="D3259" t="s">
        <v>6682</v>
      </c>
      <c r="E3259" t="s">
        <v>5764</v>
      </c>
      <c r="F3259" t="s">
        <v>37</v>
      </c>
      <c r="G3259" t="s">
        <v>78</v>
      </c>
      <c r="H3259" t="s">
        <v>39</v>
      </c>
      <c r="I3259" t="s">
        <v>40</v>
      </c>
      <c r="J3259" s="2" t="s">
        <v>41</v>
      </c>
      <c r="K3259" t="s">
        <v>42</v>
      </c>
      <c r="L3259" t="s">
        <v>1943</v>
      </c>
      <c r="N3259" t="s">
        <v>1944</v>
      </c>
      <c r="Q3259">
        <v>29286</v>
      </c>
      <c r="R3259" t="s">
        <v>119</v>
      </c>
      <c r="S3259" t="s">
        <v>8239</v>
      </c>
      <c r="T3259">
        <v>25</v>
      </c>
      <c r="U3259" s="2" t="s">
        <v>20086</v>
      </c>
      <c r="V3259" s="1">
        <v>45537</v>
      </c>
      <c r="W3259" t="s">
        <v>84</v>
      </c>
      <c r="X3259">
        <v>838225</v>
      </c>
      <c r="Y3259" s="2" t="s">
        <v>20087</v>
      </c>
      <c r="Z3259" t="s">
        <v>1947</v>
      </c>
      <c r="AA3259" s="2" t="s">
        <v>1948</v>
      </c>
      <c r="AB3259" t="s">
        <v>88</v>
      </c>
      <c r="AD3259" t="s">
        <v>20088</v>
      </c>
      <c r="AE3259" t="s">
        <v>20089</v>
      </c>
      <c r="AG3259" t="s">
        <v>20090</v>
      </c>
      <c r="AH3259" t="s">
        <v>8645</v>
      </c>
      <c r="AI3259" t="s">
        <v>20091</v>
      </c>
    </row>
    <row r="3260" spans="2:35" ht="120">
      <c r="B3260" s="1">
        <v>45539</v>
      </c>
      <c r="C3260" s="4">
        <v>45539.678472222222</v>
      </c>
      <c r="D3260" t="s">
        <v>20092</v>
      </c>
      <c r="E3260" t="s">
        <v>20093</v>
      </c>
      <c r="F3260">
        <v>6</v>
      </c>
      <c r="G3260" t="s">
        <v>4457</v>
      </c>
      <c r="H3260" t="s">
        <v>10969</v>
      </c>
      <c r="I3260" t="s">
        <v>40</v>
      </c>
      <c r="J3260" s="2" t="s">
        <v>20050</v>
      </c>
      <c r="K3260" t="s">
        <v>42</v>
      </c>
      <c r="L3260" t="s">
        <v>1288</v>
      </c>
      <c r="N3260" t="s">
        <v>1289</v>
      </c>
      <c r="Q3260">
        <v>29285</v>
      </c>
      <c r="R3260" t="s">
        <v>119</v>
      </c>
      <c r="S3260" t="s">
        <v>8146</v>
      </c>
      <c r="T3260">
        <v>27</v>
      </c>
      <c r="U3260" s="2" t="s">
        <v>9485</v>
      </c>
      <c r="V3260" s="1">
        <v>45537</v>
      </c>
      <c r="W3260" t="s">
        <v>1292</v>
      </c>
      <c r="X3260">
        <v>838458</v>
      </c>
      <c r="Y3260" t="e">
        <f ca="1">-module B3 H/W fail
-_xludf.For Maintenance _xludf.and CALIBRATION
-GX STICKER ID Installation</f>
        <v>#NAME?</v>
      </c>
      <c r="Z3260" t="e">
        <f ca="1">-COLLECT IQR,system _xludf.Log, ARCHIVE, _xludf.and CALIBRATION Data</f>
        <v>#NAME?</v>
      </c>
      <c r="AA3260" t="e">
        <f ca="1">-PERFORM GX Cleaning _xludf.and Preventive Maintenance PROCEDURE
-_xludf.Replace FAN _xludf.filter
-PERFORM XpertCheck CALIBRATION:
B1, B4 - passed
                                                                                                                                                                                                                                                                B2, B3 - _xludf.For service</f>
        <v>#NAME?</v>
      </c>
      <c r="AB3260" t="s">
        <v>1293</v>
      </c>
      <c r="AD3260" s="2" t="s">
        <v>20094</v>
      </c>
      <c r="AE3260">
        <v>5422</v>
      </c>
      <c r="AG3260" t="s">
        <v>20095</v>
      </c>
      <c r="AH3260" t="s">
        <v>20096</v>
      </c>
      <c r="AI3260" t="s">
        <v>20097</v>
      </c>
    </row>
    <row r="3261" spans="2:35" ht="120">
      <c r="B3261" s="1">
        <v>45539</v>
      </c>
      <c r="C3261" s="4">
        <v>45539.673611111109</v>
      </c>
      <c r="D3261" t="s">
        <v>20098</v>
      </c>
      <c r="E3261" t="s">
        <v>20099</v>
      </c>
      <c r="F3261">
        <v>6</v>
      </c>
      <c r="G3261" t="s">
        <v>4457</v>
      </c>
      <c r="H3261" t="s">
        <v>10969</v>
      </c>
      <c r="I3261" t="s">
        <v>40</v>
      </c>
      <c r="J3261" s="2" t="s">
        <v>20050</v>
      </c>
      <c r="K3261" t="s">
        <v>42</v>
      </c>
      <c r="L3261" t="s">
        <v>1288</v>
      </c>
      <c r="N3261" t="s">
        <v>1289</v>
      </c>
      <c r="Q3261">
        <v>29284</v>
      </c>
      <c r="R3261" t="s">
        <v>119</v>
      </c>
      <c r="S3261" t="s">
        <v>4458</v>
      </c>
      <c r="T3261">
        <v>29</v>
      </c>
      <c r="U3261" s="2" t="s">
        <v>20100</v>
      </c>
      <c r="V3261" s="1">
        <v>45537</v>
      </c>
      <c r="W3261" t="s">
        <v>1292</v>
      </c>
      <c r="X3261">
        <v>838540</v>
      </c>
      <c r="Y3261" t="e">
        <f ca="1">-_xludf.For Preventive Maintenance _xludf.and CALIBRATION</f>
        <v>#NAME?</v>
      </c>
      <c r="Z3261" t="e">
        <f ca="1">-COLLECT IQR,system _xludf.Log, ARCHIVE, _xludf.and CALIBRATION Data</f>
        <v>#NAME?</v>
      </c>
      <c r="AA3261" t="e">
        <f ca="1">-GX STICKER ID Installation
-PERFORM Cleaning of GX EQUIPMENT _xludf.and Preventive Maintenance PROCEDURE
-_xludf.Replace FAN _xludf.filter
-PERFORM XpertCheck CALIBRATION:
B1-Retry THEN service
                                                                                                                                                                                                                                                                B2,B3, _xludf.and B3 - passed</f>
        <v>#NAME?</v>
      </c>
      <c r="AB3261" t="s">
        <v>1293</v>
      </c>
      <c r="AD3261" s="2" t="s">
        <v>20094</v>
      </c>
      <c r="AE3261">
        <v>5421</v>
      </c>
      <c r="AG3261" t="s">
        <v>20101</v>
      </c>
      <c r="AH3261" t="s">
        <v>20102</v>
      </c>
      <c r="AI3261" t="s">
        <v>20103</v>
      </c>
    </row>
    <row r="3262" spans="2:35" ht="270">
      <c r="B3262" s="1">
        <v>45539</v>
      </c>
      <c r="C3262" s="4">
        <v>45539.643750000003</v>
      </c>
      <c r="D3262" t="s">
        <v>20104</v>
      </c>
      <c r="E3262" t="s">
        <v>17194</v>
      </c>
      <c r="F3262">
        <v>7</v>
      </c>
      <c r="G3262" t="s">
        <v>432</v>
      </c>
      <c r="H3262" t="s">
        <v>608</v>
      </c>
      <c r="I3262" t="s">
        <v>40</v>
      </c>
      <c r="J3262" s="2" t="s">
        <v>1157</v>
      </c>
      <c r="K3262" t="s">
        <v>42</v>
      </c>
      <c r="L3262" t="s">
        <v>594</v>
      </c>
      <c r="N3262" t="s">
        <v>595</v>
      </c>
      <c r="O3262" t="s">
        <v>595</v>
      </c>
      <c r="Q3262">
        <v>29283</v>
      </c>
      <c r="R3262" t="s">
        <v>119</v>
      </c>
      <c r="S3262" t="s">
        <v>20105</v>
      </c>
      <c r="T3262">
        <v>23</v>
      </c>
      <c r="V3262" s="1">
        <v>45539</v>
      </c>
      <c r="W3262" t="s">
        <v>502</v>
      </c>
      <c r="X3262">
        <v>838559</v>
      </c>
      <c r="Y3262" t="s">
        <v>20106</v>
      </c>
      <c r="Z3262" s="2" t="s">
        <v>20107</v>
      </c>
      <c r="AA3262" t="s">
        <v>20108</v>
      </c>
      <c r="AB3262" s="2" t="s">
        <v>20109</v>
      </c>
      <c r="AG3262" t="s">
        <v>20110</v>
      </c>
      <c r="AH3262" t="s">
        <v>17201</v>
      </c>
      <c r="AI3262" t="s">
        <v>20111</v>
      </c>
    </row>
    <row r="3263" spans="2:35" ht="165">
      <c r="B3263" s="1">
        <v>45539</v>
      </c>
      <c r="C3263" s="4">
        <v>45539.613194444442</v>
      </c>
      <c r="D3263" t="s">
        <v>855</v>
      </c>
      <c r="E3263" t="s">
        <v>12037</v>
      </c>
      <c r="F3263" t="s">
        <v>148</v>
      </c>
      <c r="G3263" t="s">
        <v>310</v>
      </c>
      <c r="H3263" t="s">
        <v>39</v>
      </c>
      <c r="I3263" t="s">
        <v>40</v>
      </c>
      <c r="J3263" t="s">
        <v>525</v>
      </c>
      <c r="K3263" t="s">
        <v>42</v>
      </c>
      <c r="L3263" t="s">
        <v>857</v>
      </c>
      <c r="N3263" t="s">
        <v>858</v>
      </c>
      <c r="Q3263">
        <v>29282</v>
      </c>
      <c r="R3263" t="s">
        <v>322</v>
      </c>
      <c r="S3263" t="s">
        <v>859</v>
      </c>
      <c r="T3263">
        <v>22</v>
      </c>
      <c r="W3263" t="s">
        <v>860</v>
      </c>
      <c r="X3263">
        <v>809643</v>
      </c>
      <c r="Y3263" t="s">
        <v>20112</v>
      </c>
      <c r="Z3263" t="s">
        <v>301</v>
      </c>
      <c r="AA3263" s="2" t="s">
        <v>20113</v>
      </c>
      <c r="AB3263" t="s">
        <v>20114</v>
      </c>
      <c r="AG3263" t="s">
        <v>20115</v>
      </c>
      <c r="AH3263" t="s">
        <v>6762</v>
      </c>
      <c r="AI3263" t="s">
        <v>20116</v>
      </c>
    </row>
    <row r="3264" spans="2:35" ht="409.5">
      <c r="B3264" s="1">
        <v>45539</v>
      </c>
      <c r="C3264" s="4">
        <v>45539.563888888886</v>
      </c>
      <c r="D3264" t="s">
        <v>3119</v>
      </c>
      <c r="E3264" t="s">
        <v>20117</v>
      </c>
      <c r="F3264" t="s">
        <v>148</v>
      </c>
      <c r="G3264" t="s">
        <v>310</v>
      </c>
      <c r="H3264" t="s">
        <v>61</v>
      </c>
      <c r="I3264" t="s">
        <v>40</v>
      </c>
      <c r="J3264" s="2" t="s">
        <v>609</v>
      </c>
      <c r="K3264" t="s">
        <v>42</v>
      </c>
      <c r="L3264" t="s">
        <v>15532</v>
      </c>
      <c r="N3264" t="s">
        <v>15533</v>
      </c>
      <c r="Q3264">
        <v>29281</v>
      </c>
      <c r="R3264" t="s">
        <v>95</v>
      </c>
      <c r="S3264" t="s">
        <v>3124</v>
      </c>
      <c r="T3264">
        <v>19</v>
      </c>
      <c r="U3264" s="2" t="s">
        <v>20118</v>
      </c>
      <c r="W3264" t="s">
        <v>15620</v>
      </c>
      <c r="X3264">
        <v>110001648</v>
      </c>
      <c r="Y3264" t="s">
        <v>20119</v>
      </c>
      <c r="Z3264" s="2" t="s">
        <v>20120</v>
      </c>
      <c r="AA3264" s="2" t="s">
        <v>20121</v>
      </c>
      <c r="AB3264" s="2" t="s">
        <v>17371</v>
      </c>
      <c r="AG3264" t="s">
        <v>20122</v>
      </c>
      <c r="AH3264" t="s">
        <v>20123</v>
      </c>
      <c r="AI3264" t="s">
        <v>20124</v>
      </c>
    </row>
    <row r="3265" spans="2:35" ht="105">
      <c r="B3265" s="1">
        <v>45539</v>
      </c>
      <c r="C3265" s="4">
        <v>45539.556250000001</v>
      </c>
      <c r="D3265" t="s">
        <v>9958</v>
      </c>
      <c r="E3265" t="s">
        <v>20125</v>
      </c>
      <c r="F3265" t="s">
        <v>148</v>
      </c>
      <c r="G3265" t="s">
        <v>20126</v>
      </c>
      <c r="H3265" t="s">
        <v>20127</v>
      </c>
      <c r="I3265" t="s">
        <v>94</v>
      </c>
      <c r="J3265" t="s">
        <v>321</v>
      </c>
      <c r="K3265" t="s">
        <v>2629</v>
      </c>
      <c r="L3265" t="s">
        <v>409</v>
      </c>
      <c r="N3265" t="s">
        <v>410</v>
      </c>
      <c r="Q3265">
        <v>29280</v>
      </c>
      <c r="R3265" t="s">
        <v>95</v>
      </c>
      <c r="S3265" t="s">
        <v>20128</v>
      </c>
      <c r="T3265">
        <v>25</v>
      </c>
      <c r="W3265" t="s">
        <v>9964</v>
      </c>
      <c r="X3265">
        <v>3943037091</v>
      </c>
      <c r="Y3265" t="s">
        <v>54</v>
      </c>
      <c r="Z3265" t="s">
        <v>54</v>
      </c>
      <c r="AA3265" s="2" t="s">
        <v>20129</v>
      </c>
      <c r="AB3265" t="s">
        <v>181</v>
      </c>
      <c r="AG3265" t="s">
        <v>20130</v>
      </c>
      <c r="AH3265" t="s">
        <v>20131</v>
      </c>
      <c r="AI3265" t="s">
        <v>20132</v>
      </c>
    </row>
    <row r="3266" spans="2:35" ht="195">
      <c r="B3266" s="1">
        <v>45539</v>
      </c>
      <c r="C3266" s="4">
        <v>45539.576388888891</v>
      </c>
      <c r="D3266" t="s">
        <v>5087</v>
      </c>
      <c r="E3266" t="s">
        <v>1856</v>
      </c>
      <c r="F3266" t="s">
        <v>148</v>
      </c>
      <c r="G3266" t="s">
        <v>447</v>
      </c>
      <c r="H3266" t="s">
        <v>19639</v>
      </c>
      <c r="I3266" t="s">
        <v>40</v>
      </c>
      <c r="J3266" t="s">
        <v>79</v>
      </c>
      <c r="K3266" t="s">
        <v>387</v>
      </c>
      <c r="L3266" t="s">
        <v>448</v>
      </c>
      <c r="N3266" t="s">
        <v>450</v>
      </c>
      <c r="O3266" t="s">
        <v>650</v>
      </c>
      <c r="Q3266">
        <v>29279</v>
      </c>
      <c r="R3266" t="s">
        <v>322</v>
      </c>
      <c r="S3266" t="s">
        <v>650</v>
      </c>
      <c r="T3266">
        <v>27</v>
      </c>
      <c r="V3266" s="1">
        <v>45539</v>
      </c>
      <c r="W3266" t="s">
        <v>476</v>
      </c>
      <c r="X3266" t="s">
        <v>20133</v>
      </c>
      <c r="Y3266" t="s">
        <v>20134</v>
      </c>
      <c r="Z3266" s="2" t="s">
        <v>20135</v>
      </c>
      <c r="AA3266" t="s">
        <v>914</v>
      </c>
      <c r="AB3266" t="s">
        <v>486</v>
      </c>
      <c r="AD3266" t="s">
        <v>20136</v>
      </c>
      <c r="AE3266" t="s">
        <v>449</v>
      </c>
      <c r="AG3266" t="s">
        <v>20137</v>
      </c>
      <c r="AH3266" t="s">
        <v>13642</v>
      </c>
      <c r="AI3266" t="s">
        <v>20138</v>
      </c>
    </row>
    <row r="3267" spans="2:35" ht="150">
      <c r="B3267" s="1">
        <v>45539</v>
      </c>
      <c r="C3267" s="4">
        <v>45539.559027777781</v>
      </c>
      <c r="D3267" t="s">
        <v>8570</v>
      </c>
      <c r="E3267" t="s">
        <v>20139</v>
      </c>
      <c r="F3267">
        <v>9</v>
      </c>
      <c r="G3267" t="s">
        <v>1628</v>
      </c>
      <c r="H3267" t="s">
        <v>39</v>
      </c>
      <c r="I3267" t="s">
        <v>94</v>
      </c>
      <c r="J3267" s="2" t="s">
        <v>20140</v>
      </c>
      <c r="K3267" t="s">
        <v>42</v>
      </c>
      <c r="L3267" t="s">
        <v>1257</v>
      </c>
      <c r="N3267" t="s">
        <v>1258</v>
      </c>
      <c r="O3267" t="s">
        <v>1258</v>
      </c>
      <c r="Q3267">
        <v>29278</v>
      </c>
      <c r="R3267" t="s">
        <v>119</v>
      </c>
      <c r="S3267" t="s">
        <v>20141</v>
      </c>
      <c r="T3267">
        <v>27</v>
      </c>
      <c r="U3267" s="2" t="s">
        <v>20142</v>
      </c>
      <c r="V3267" s="1">
        <v>45139</v>
      </c>
      <c r="W3267" t="s">
        <v>17323</v>
      </c>
      <c r="X3267">
        <v>838276</v>
      </c>
      <c r="Y3267" t="s">
        <v>20143</v>
      </c>
      <c r="Z3267" t="s">
        <v>20144</v>
      </c>
      <c r="AA3267" t="s">
        <v>20144</v>
      </c>
      <c r="AB3267" t="s">
        <v>20145</v>
      </c>
      <c r="AC3267" t="s">
        <v>20146</v>
      </c>
      <c r="AD3267" t="s">
        <v>5255</v>
      </c>
      <c r="AE3267">
        <v>10393</v>
      </c>
      <c r="AG3267" t="s">
        <v>20147</v>
      </c>
      <c r="AH3267" t="s">
        <v>17429</v>
      </c>
      <c r="AI3267" t="s">
        <v>20148</v>
      </c>
    </row>
    <row r="3268" spans="2:35" ht="105">
      <c r="B3268" s="1">
        <v>45539</v>
      </c>
      <c r="C3268" s="4">
        <v>45539.435416666667</v>
      </c>
      <c r="D3268" t="s">
        <v>10354</v>
      </c>
      <c r="E3268" t="s">
        <v>12991</v>
      </c>
      <c r="F3268">
        <v>7</v>
      </c>
      <c r="G3268" t="s">
        <v>6529</v>
      </c>
      <c r="H3268" t="s">
        <v>1498</v>
      </c>
      <c r="I3268" t="s">
        <v>40</v>
      </c>
      <c r="J3268" s="2" t="s">
        <v>19679</v>
      </c>
      <c r="K3268" t="s">
        <v>42</v>
      </c>
      <c r="L3268" t="s">
        <v>343</v>
      </c>
      <c r="N3268" t="s">
        <v>344</v>
      </c>
      <c r="Q3268">
        <v>29277</v>
      </c>
      <c r="R3268" t="s">
        <v>119</v>
      </c>
      <c r="S3268" t="s">
        <v>14511</v>
      </c>
      <c r="T3268">
        <v>28</v>
      </c>
      <c r="U3268" s="2" t="s">
        <v>10199</v>
      </c>
      <c r="V3268" s="1">
        <v>45533</v>
      </c>
      <c r="W3268" t="s">
        <v>1501</v>
      </c>
      <c r="X3268">
        <v>838494</v>
      </c>
      <c r="Y3268" t="s">
        <v>20149</v>
      </c>
      <c r="Z3268" t="s">
        <v>20150</v>
      </c>
      <c r="AA3268" t="e">
        <f ca="1">-module Replacement
-Preventive Maintenance
-GX ID STICKER Installation</f>
        <v>#NAME?</v>
      </c>
      <c r="AB3268" t="s">
        <v>9638</v>
      </c>
      <c r="AE3268" t="s">
        <v>20151</v>
      </c>
      <c r="AG3268" t="s">
        <v>20152</v>
      </c>
      <c r="AH3268" t="s">
        <v>19616</v>
      </c>
      <c r="AI3268" t="s">
        <v>20153</v>
      </c>
    </row>
    <row r="3269" spans="2:35" ht="300">
      <c r="B3269" s="1">
        <v>45538</v>
      </c>
      <c r="C3269" s="4">
        <v>45538.604861111111</v>
      </c>
      <c r="D3269" t="s">
        <v>6809</v>
      </c>
      <c r="E3269" t="s">
        <v>6810</v>
      </c>
      <c r="F3269">
        <v>11</v>
      </c>
      <c r="G3269" t="s">
        <v>201</v>
      </c>
      <c r="H3269" t="s">
        <v>202</v>
      </c>
      <c r="I3269" t="s">
        <v>40</v>
      </c>
      <c r="J3269" t="s">
        <v>109</v>
      </c>
      <c r="K3269" t="s">
        <v>42</v>
      </c>
      <c r="L3269" t="s">
        <v>204</v>
      </c>
      <c r="N3269" t="s">
        <v>205</v>
      </c>
      <c r="Q3269">
        <v>29276</v>
      </c>
      <c r="R3269" t="s">
        <v>119</v>
      </c>
      <c r="S3269" t="s">
        <v>6811</v>
      </c>
      <c r="T3269">
        <v>28.5</v>
      </c>
      <c r="U3269" s="2" t="s">
        <v>11120</v>
      </c>
      <c r="W3269" t="s">
        <v>208</v>
      </c>
      <c r="X3269">
        <v>838490</v>
      </c>
      <c r="Y3269" t="s">
        <v>20154</v>
      </c>
      <c r="Z3269" s="2" t="s">
        <v>20155</v>
      </c>
      <c r="AA3269" t="s">
        <v>20156</v>
      </c>
      <c r="AB3269" t="s">
        <v>1211</v>
      </c>
      <c r="AG3269" t="s">
        <v>20157</v>
      </c>
      <c r="AH3269" t="s">
        <v>20158</v>
      </c>
      <c r="AI3269" t="s">
        <v>20159</v>
      </c>
    </row>
    <row r="3270" spans="2:35" ht="210">
      <c r="B3270" s="1">
        <v>45538</v>
      </c>
      <c r="C3270" s="4">
        <v>45538.662499999999</v>
      </c>
      <c r="D3270" t="s">
        <v>20160</v>
      </c>
      <c r="E3270" t="s">
        <v>8132</v>
      </c>
      <c r="F3270">
        <v>6</v>
      </c>
      <c r="G3270" t="s">
        <v>4457</v>
      </c>
      <c r="H3270" t="s">
        <v>18666</v>
      </c>
      <c r="I3270" t="s">
        <v>40</v>
      </c>
      <c r="J3270" s="2" t="s">
        <v>20161</v>
      </c>
      <c r="K3270" t="s">
        <v>42</v>
      </c>
      <c r="L3270" t="s">
        <v>1288</v>
      </c>
      <c r="N3270" t="s">
        <v>1289</v>
      </c>
      <c r="Q3270">
        <v>29275</v>
      </c>
      <c r="R3270" t="s">
        <v>95</v>
      </c>
      <c r="S3270" t="s">
        <v>18851</v>
      </c>
      <c r="T3270">
        <v>30</v>
      </c>
      <c r="U3270" s="2" t="s">
        <v>20162</v>
      </c>
      <c r="W3270" t="s">
        <v>1292</v>
      </c>
      <c r="X3270">
        <v>110020745</v>
      </c>
      <c r="Y3270" t="e">
        <f ca="1">-_xludf.For Preventive Maintenance
-GX STICKER ID INSATALLATION</f>
        <v>#NAME?</v>
      </c>
      <c r="Z3270" t="e">
        <f ca="1">-COLLECT IQR,system _xludf.Log, _xludf.and ARCHIVE</f>
        <v>#NAME?</v>
      </c>
      <c r="AA3270" t="e">
        <f ca="1">-PERFORM GX Cleaning _xludf.and Preventive Maintenance PROCEDURE
-_xludf.Clean FAN _xludf.filter, plunger rod, _xludf.and PROBES</f>
        <v>#NAME?</v>
      </c>
      <c r="AB3270" t="s">
        <v>1293</v>
      </c>
      <c r="AG3270" t="s">
        <v>20163</v>
      </c>
      <c r="AH3270" t="s">
        <v>20164</v>
      </c>
      <c r="AI3270" t="s">
        <v>20165</v>
      </c>
    </row>
    <row r="3271" spans="2:35" ht="409.5">
      <c r="B3271" s="1">
        <v>45538</v>
      </c>
      <c r="C3271" s="4">
        <v>45538.559027777781</v>
      </c>
      <c r="D3271" t="s">
        <v>2272</v>
      </c>
      <c r="E3271" t="s">
        <v>2282</v>
      </c>
      <c r="F3271" t="s">
        <v>148</v>
      </c>
      <c r="G3271" t="s">
        <v>310</v>
      </c>
      <c r="H3271" t="s">
        <v>295</v>
      </c>
      <c r="I3271" t="s">
        <v>40</v>
      </c>
      <c r="J3271" t="s">
        <v>109</v>
      </c>
      <c r="K3271" t="s">
        <v>42</v>
      </c>
      <c r="L3271" t="s">
        <v>1943</v>
      </c>
      <c r="N3271" t="s">
        <v>1944</v>
      </c>
      <c r="O3271" t="s">
        <v>2275</v>
      </c>
      <c r="Q3271">
        <v>29274</v>
      </c>
      <c r="R3271" t="s">
        <v>703</v>
      </c>
      <c r="S3271" t="s">
        <v>5674</v>
      </c>
      <c r="T3271">
        <v>27</v>
      </c>
      <c r="U3271" s="2" t="s">
        <v>20166</v>
      </c>
      <c r="W3271" t="s">
        <v>84</v>
      </c>
      <c r="X3271">
        <v>835604</v>
      </c>
      <c r="Y3271" t="s">
        <v>2099</v>
      </c>
      <c r="Z3271" t="s">
        <v>4315</v>
      </c>
      <c r="AA3271" s="2" t="s">
        <v>2101</v>
      </c>
      <c r="AB3271" t="s">
        <v>88</v>
      </c>
      <c r="AG3271" t="s">
        <v>20167</v>
      </c>
      <c r="AH3271" t="s">
        <v>20168</v>
      </c>
      <c r="AI3271" t="s">
        <v>20169</v>
      </c>
    </row>
    <row r="3272" spans="2:35" ht="409.5">
      <c r="B3272" s="1">
        <v>45538</v>
      </c>
      <c r="C3272" s="4">
        <v>45538.536805555559</v>
      </c>
      <c r="D3272" t="s">
        <v>2272</v>
      </c>
      <c r="E3272" t="s">
        <v>2282</v>
      </c>
      <c r="F3272" t="s">
        <v>148</v>
      </c>
      <c r="G3272" t="s">
        <v>310</v>
      </c>
      <c r="H3272" t="s">
        <v>5042</v>
      </c>
      <c r="I3272" t="s">
        <v>40</v>
      </c>
      <c r="J3272" t="s">
        <v>109</v>
      </c>
      <c r="K3272" t="s">
        <v>42</v>
      </c>
      <c r="L3272" t="s">
        <v>1943</v>
      </c>
      <c r="N3272" t="s">
        <v>1944</v>
      </c>
      <c r="O3272" t="s">
        <v>2275</v>
      </c>
      <c r="Q3272">
        <v>29273</v>
      </c>
      <c r="R3272" t="s">
        <v>703</v>
      </c>
      <c r="S3272" t="s">
        <v>6830</v>
      </c>
      <c r="T3272">
        <v>25</v>
      </c>
      <c r="U3272" s="2" t="s">
        <v>20170</v>
      </c>
      <c r="W3272" t="s">
        <v>373</v>
      </c>
      <c r="X3272">
        <v>120002026</v>
      </c>
      <c r="Y3272" t="s">
        <v>2099</v>
      </c>
      <c r="Z3272" t="s">
        <v>2100</v>
      </c>
      <c r="AA3272" s="2" t="s">
        <v>2101</v>
      </c>
      <c r="AB3272" t="s">
        <v>88</v>
      </c>
      <c r="AG3272" t="s">
        <v>20171</v>
      </c>
      <c r="AH3272" t="s">
        <v>12529</v>
      </c>
      <c r="AI3272" t="s">
        <v>20172</v>
      </c>
    </row>
    <row r="3273" spans="2:35" ht="105">
      <c r="B3273" s="1">
        <v>45538</v>
      </c>
      <c r="C3273" s="4">
        <v>45538.479861111111</v>
      </c>
      <c r="D3273" t="s">
        <v>3970</v>
      </c>
      <c r="E3273" t="s">
        <v>11158</v>
      </c>
      <c r="F3273">
        <v>9</v>
      </c>
      <c r="G3273" t="s">
        <v>2197</v>
      </c>
      <c r="H3273" t="s">
        <v>39</v>
      </c>
      <c r="I3273" t="s">
        <v>94</v>
      </c>
      <c r="J3273" s="2" t="s">
        <v>20173</v>
      </c>
      <c r="K3273" t="s">
        <v>42</v>
      </c>
      <c r="L3273" t="s">
        <v>1257</v>
      </c>
      <c r="N3273" t="s">
        <v>1258</v>
      </c>
      <c r="O3273" t="s">
        <v>1258</v>
      </c>
      <c r="Q3273">
        <v>29272</v>
      </c>
      <c r="R3273" t="s">
        <v>119</v>
      </c>
      <c r="S3273" t="s">
        <v>3972</v>
      </c>
      <c r="T3273">
        <v>27</v>
      </c>
      <c r="U3273" s="2" t="s">
        <v>20174</v>
      </c>
      <c r="V3273" s="1">
        <v>45538</v>
      </c>
      <c r="W3273" t="s">
        <v>17297</v>
      </c>
      <c r="X3273">
        <v>838233</v>
      </c>
      <c r="Y3273" t="s">
        <v>20175</v>
      </c>
      <c r="Z3273" t="s">
        <v>20176</v>
      </c>
      <c r="AA3273" t="s">
        <v>20176</v>
      </c>
      <c r="AB3273" t="s">
        <v>20177</v>
      </c>
      <c r="AC3273" t="s">
        <v>301</v>
      </c>
      <c r="AD3273" t="s">
        <v>54</v>
      </c>
      <c r="AE3273" t="s">
        <v>54</v>
      </c>
      <c r="AG3273" t="s">
        <v>20178</v>
      </c>
      <c r="AH3273" t="s">
        <v>20179</v>
      </c>
      <c r="AI3273" t="s">
        <v>20180</v>
      </c>
    </row>
    <row r="3274" spans="2:35" ht="255">
      <c r="B3274" s="1">
        <v>45538</v>
      </c>
      <c r="C3274" s="4">
        <v>45538.45208333333</v>
      </c>
      <c r="D3274" t="s">
        <v>20181</v>
      </c>
      <c r="E3274" t="s">
        <v>12984</v>
      </c>
      <c r="F3274">
        <v>7</v>
      </c>
      <c r="G3274" t="s">
        <v>6529</v>
      </c>
      <c r="H3274" t="s">
        <v>1498</v>
      </c>
      <c r="I3274" t="s">
        <v>40</v>
      </c>
      <c r="J3274" s="2" t="s">
        <v>20182</v>
      </c>
      <c r="K3274" t="s">
        <v>42</v>
      </c>
      <c r="L3274" t="s">
        <v>343</v>
      </c>
      <c r="N3274" t="s">
        <v>344</v>
      </c>
      <c r="Q3274">
        <v>29271</v>
      </c>
      <c r="R3274" t="s">
        <v>119</v>
      </c>
      <c r="S3274" t="s">
        <v>10213</v>
      </c>
      <c r="T3274">
        <v>26</v>
      </c>
      <c r="U3274" s="2" t="s">
        <v>2341</v>
      </c>
      <c r="W3274" t="s">
        <v>1501</v>
      </c>
      <c r="X3274">
        <v>838394</v>
      </c>
      <c r="Y3274" t="s">
        <v>301</v>
      </c>
      <c r="Z3274" t="s">
        <v>301</v>
      </c>
      <c r="AA3274" s="2" t="s">
        <v>20183</v>
      </c>
      <c r="AB3274" t="s">
        <v>9638</v>
      </c>
      <c r="AG3274" t="s">
        <v>20184</v>
      </c>
      <c r="AH3274" t="s">
        <v>12989</v>
      </c>
      <c r="AI3274" t="s">
        <v>20185</v>
      </c>
    </row>
    <row r="3275" spans="2:35" ht="210">
      <c r="B3275" s="1">
        <v>45538</v>
      </c>
      <c r="C3275" s="4">
        <v>45538.390277777777</v>
      </c>
      <c r="D3275" t="s">
        <v>5087</v>
      </c>
      <c r="E3275" t="s">
        <v>20186</v>
      </c>
      <c r="F3275" t="s">
        <v>148</v>
      </c>
      <c r="G3275" t="s">
        <v>447</v>
      </c>
      <c r="H3275" t="s">
        <v>19639</v>
      </c>
      <c r="I3275" t="s">
        <v>40</v>
      </c>
      <c r="J3275" t="s">
        <v>79</v>
      </c>
      <c r="K3275" t="s">
        <v>387</v>
      </c>
      <c r="L3275" t="s">
        <v>448</v>
      </c>
      <c r="N3275" t="s">
        <v>450</v>
      </c>
      <c r="O3275" t="s">
        <v>650</v>
      </c>
      <c r="Q3275">
        <v>29270</v>
      </c>
      <c r="R3275" t="s">
        <v>322</v>
      </c>
      <c r="S3275" t="s">
        <v>650</v>
      </c>
      <c r="T3275">
        <v>26</v>
      </c>
      <c r="V3275" s="1">
        <v>45534</v>
      </c>
      <c r="W3275" t="s">
        <v>476</v>
      </c>
      <c r="X3275" t="s">
        <v>484</v>
      </c>
      <c r="Y3275" t="s">
        <v>20134</v>
      </c>
      <c r="Z3275" s="2" t="s">
        <v>20187</v>
      </c>
      <c r="AA3275" t="s">
        <v>914</v>
      </c>
      <c r="AB3275" t="s">
        <v>486</v>
      </c>
      <c r="AD3275" s="2" t="s">
        <v>20188</v>
      </c>
      <c r="AE3275" t="s">
        <v>449</v>
      </c>
      <c r="AG3275" t="s">
        <v>20189</v>
      </c>
      <c r="AH3275" t="s">
        <v>20190</v>
      </c>
      <c r="AI3275" t="s">
        <v>20191</v>
      </c>
    </row>
    <row r="3276" spans="2:35" ht="255">
      <c r="B3276" s="1">
        <v>45538</v>
      </c>
      <c r="C3276" s="4">
        <v>45533.634027777778</v>
      </c>
      <c r="D3276" t="s">
        <v>2470</v>
      </c>
      <c r="E3276" t="s">
        <v>9436</v>
      </c>
      <c r="F3276" t="s">
        <v>148</v>
      </c>
      <c r="G3276" t="s">
        <v>230</v>
      </c>
      <c r="H3276" t="s">
        <v>513</v>
      </c>
      <c r="I3276" t="s">
        <v>40</v>
      </c>
      <c r="J3276" t="s">
        <v>525</v>
      </c>
      <c r="K3276" t="s">
        <v>387</v>
      </c>
      <c r="L3276" t="s">
        <v>175</v>
      </c>
      <c r="N3276" t="s">
        <v>176</v>
      </c>
      <c r="Q3276">
        <v>29269</v>
      </c>
      <c r="R3276" t="s">
        <v>322</v>
      </c>
      <c r="S3276" t="s">
        <v>4894</v>
      </c>
      <c r="T3276">
        <v>25</v>
      </c>
      <c r="W3276" t="s">
        <v>390</v>
      </c>
      <c r="X3276" t="s">
        <v>2472</v>
      </c>
      <c r="Y3276" t="s">
        <v>20192</v>
      </c>
      <c r="Z3276" t="s">
        <v>103</v>
      </c>
      <c r="AA3276" t="e">
        <f ca="1">- performed self test on UPS (_xludf.not working)
- performed Back up _xludf.mode (_xludf.not working)</f>
        <v>#NAME?</v>
      </c>
      <c r="AB3276" s="2" t="s">
        <v>20193</v>
      </c>
      <c r="AG3276" t="s">
        <v>20194</v>
      </c>
      <c r="AH3276" t="s">
        <v>4898</v>
      </c>
      <c r="AI3276" t="s">
        <v>20195</v>
      </c>
    </row>
    <row r="3277" spans="2:35" ht="225">
      <c r="B3277" s="1">
        <v>45538</v>
      </c>
      <c r="C3277" s="4">
        <v>45534.607638888891</v>
      </c>
      <c r="D3277" t="s">
        <v>1155</v>
      </c>
      <c r="E3277" t="s">
        <v>8331</v>
      </c>
      <c r="F3277" t="s">
        <v>148</v>
      </c>
      <c r="G3277" t="s">
        <v>230</v>
      </c>
      <c r="H3277" t="s">
        <v>39</v>
      </c>
      <c r="I3277" t="s">
        <v>40</v>
      </c>
      <c r="J3277" s="2" t="s">
        <v>190</v>
      </c>
      <c r="K3277" t="s">
        <v>42</v>
      </c>
      <c r="L3277" t="s">
        <v>175</v>
      </c>
      <c r="N3277" t="s">
        <v>176</v>
      </c>
      <c r="Q3277">
        <v>29268</v>
      </c>
      <c r="R3277" t="s">
        <v>322</v>
      </c>
      <c r="S3277" t="s">
        <v>8332</v>
      </c>
      <c r="T3277">
        <v>25</v>
      </c>
      <c r="W3277" t="s">
        <v>84</v>
      </c>
      <c r="X3277">
        <v>807112</v>
      </c>
      <c r="Y3277" s="2" t="s">
        <v>20196</v>
      </c>
      <c r="Z3277" t="s">
        <v>103</v>
      </c>
      <c r="AA3277" t="e">
        <f ca="1">- checked _xludf.and cleaned cartridge bay, plunger rod, _xludf.filter
- generated reports
- performed self test</f>
        <v>#NAME?</v>
      </c>
      <c r="AB3277" s="2" t="s">
        <v>20197</v>
      </c>
      <c r="AG3277" t="s">
        <v>20198</v>
      </c>
      <c r="AH3277" t="s">
        <v>16488</v>
      </c>
      <c r="AI3277" t="s">
        <v>20199</v>
      </c>
    </row>
    <row r="3278" spans="2:35" ht="120">
      <c r="B3278" s="1">
        <v>45538</v>
      </c>
      <c r="C3278" s="4">
        <v>45534.61041666667</v>
      </c>
      <c r="D3278" t="s">
        <v>1155</v>
      </c>
      <c r="E3278" t="s">
        <v>8331</v>
      </c>
      <c r="F3278" t="s">
        <v>148</v>
      </c>
      <c r="G3278" t="s">
        <v>230</v>
      </c>
      <c r="H3278" t="s">
        <v>39</v>
      </c>
      <c r="I3278" t="s">
        <v>40</v>
      </c>
      <c r="J3278" s="2" t="s">
        <v>190</v>
      </c>
      <c r="K3278" t="s">
        <v>42</v>
      </c>
      <c r="L3278" t="s">
        <v>175</v>
      </c>
      <c r="N3278" t="s">
        <v>176</v>
      </c>
      <c r="Q3278">
        <v>29267</v>
      </c>
      <c r="R3278" t="s">
        <v>322</v>
      </c>
      <c r="S3278" t="s">
        <v>8332</v>
      </c>
      <c r="T3278">
        <v>25</v>
      </c>
      <c r="W3278" t="s">
        <v>84</v>
      </c>
      <c r="X3278">
        <v>807956</v>
      </c>
      <c r="Y3278" s="2" t="s">
        <v>20200</v>
      </c>
      <c r="Z3278" t="s">
        <v>103</v>
      </c>
      <c r="AA3278" t="e">
        <f ca="1">- checked _xludf.and cleaned cartridge bay, plunger rod, _xludf.filter
- generated reports
- performed self test</f>
        <v>#NAME?</v>
      </c>
      <c r="AB3278" s="2" t="s">
        <v>20201</v>
      </c>
      <c r="AG3278" t="s">
        <v>20202</v>
      </c>
      <c r="AH3278" t="s">
        <v>16488</v>
      </c>
      <c r="AI3278" t="s">
        <v>20203</v>
      </c>
    </row>
    <row r="3279" spans="2:35">
      <c r="B3279" s="1">
        <v>45538</v>
      </c>
      <c r="C3279" s="4">
        <v>45533.631944444445</v>
      </c>
      <c r="D3279" t="s">
        <v>2470</v>
      </c>
      <c r="E3279" t="s">
        <v>9436</v>
      </c>
      <c r="F3279" t="s">
        <v>148</v>
      </c>
      <c r="G3279" t="s">
        <v>230</v>
      </c>
      <c r="H3279" t="s">
        <v>513</v>
      </c>
      <c r="I3279" t="s">
        <v>40</v>
      </c>
      <c r="J3279" t="s">
        <v>525</v>
      </c>
      <c r="K3279" t="s">
        <v>387</v>
      </c>
      <c r="L3279" t="s">
        <v>175</v>
      </c>
      <c r="N3279" t="s">
        <v>176</v>
      </c>
      <c r="Q3279">
        <v>29266</v>
      </c>
      <c r="R3279" t="s">
        <v>322</v>
      </c>
      <c r="S3279" t="s">
        <v>4894</v>
      </c>
      <c r="T3279">
        <v>28</v>
      </c>
      <c r="W3279" t="s">
        <v>390</v>
      </c>
      <c r="X3279" t="s">
        <v>5622</v>
      </c>
      <c r="Y3279" t="s">
        <v>20204</v>
      </c>
      <c r="Z3279" t="s">
        <v>20205</v>
      </c>
      <c r="AA3279" t="e">
        <f ca="1">- checked rotor roller pumps
- Unit HAS recent Preventive Maintenance</f>
        <v>#NAME?</v>
      </c>
      <c r="AB3279" t="s">
        <v>20206</v>
      </c>
      <c r="AG3279" t="s">
        <v>20207</v>
      </c>
      <c r="AH3279" t="s">
        <v>4898</v>
      </c>
      <c r="AI3279" t="s">
        <v>20208</v>
      </c>
    </row>
    <row r="3280" spans="2:35" ht="330">
      <c r="B3280" s="1">
        <v>45537</v>
      </c>
      <c r="C3280" s="4">
        <v>45533.600694444445</v>
      </c>
      <c r="D3280" t="s">
        <v>1885</v>
      </c>
      <c r="E3280" t="s">
        <v>2136</v>
      </c>
      <c r="F3280" t="s">
        <v>1255</v>
      </c>
      <c r="G3280" t="s">
        <v>1887</v>
      </c>
      <c r="H3280" t="s">
        <v>295</v>
      </c>
      <c r="I3280" t="s">
        <v>40</v>
      </c>
      <c r="J3280" t="s">
        <v>109</v>
      </c>
      <c r="K3280" t="s">
        <v>42</v>
      </c>
      <c r="L3280" t="s">
        <v>296</v>
      </c>
      <c r="N3280" t="s">
        <v>297</v>
      </c>
      <c r="Q3280">
        <v>29265</v>
      </c>
      <c r="R3280" t="s">
        <v>119</v>
      </c>
      <c r="S3280" t="s">
        <v>1888</v>
      </c>
      <c r="T3280">
        <v>20.8</v>
      </c>
      <c r="U3280" s="2" t="s">
        <v>20209</v>
      </c>
      <c r="W3280" t="s">
        <v>981</v>
      </c>
      <c r="X3280">
        <v>837662</v>
      </c>
      <c r="Y3280" t="s">
        <v>20210</v>
      </c>
      <c r="Z3280" t="s">
        <v>9161</v>
      </c>
      <c r="AA3280" s="2" t="s">
        <v>20211</v>
      </c>
      <c r="AB3280" t="s">
        <v>20212</v>
      </c>
      <c r="AG3280" t="s">
        <v>20213</v>
      </c>
      <c r="AH3280" t="s">
        <v>1897</v>
      </c>
      <c r="AI3280" t="s">
        <v>20214</v>
      </c>
    </row>
    <row r="3281" spans="2:35" ht="60">
      <c r="B3281" s="1">
        <v>45537</v>
      </c>
      <c r="C3281" s="4">
        <v>45537.644444444442</v>
      </c>
      <c r="D3281" t="s">
        <v>20215</v>
      </c>
      <c r="E3281" t="s">
        <v>718</v>
      </c>
      <c r="F3281">
        <v>7</v>
      </c>
      <c r="G3281" t="s">
        <v>432</v>
      </c>
      <c r="H3281" t="s">
        <v>608</v>
      </c>
      <c r="I3281" t="s">
        <v>94</v>
      </c>
      <c r="J3281" s="2" t="s">
        <v>1808</v>
      </c>
      <c r="K3281" t="s">
        <v>42</v>
      </c>
      <c r="L3281" t="s">
        <v>594</v>
      </c>
      <c r="N3281" t="s">
        <v>595</v>
      </c>
      <c r="O3281" t="s">
        <v>595</v>
      </c>
      <c r="Q3281">
        <v>29264</v>
      </c>
      <c r="R3281" t="s">
        <v>119</v>
      </c>
      <c r="S3281" t="s">
        <v>13419</v>
      </c>
      <c r="T3281">
        <v>23</v>
      </c>
      <c r="V3281" s="1">
        <v>45537</v>
      </c>
      <c r="W3281" t="s">
        <v>502</v>
      </c>
      <c r="X3281">
        <v>838512</v>
      </c>
      <c r="Y3281" t="s">
        <v>20216</v>
      </c>
      <c r="Z3281" t="s">
        <v>20217</v>
      </c>
      <c r="AA3281" t="s">
        <v>20218</v>
      </c>
      <c r="AB3281" t="s">
        <v>20219</v>
      </c>
      <c r="AG3281" t="s">
        <v>20220</v>
      </c>
      <c r="AH3281" t="s">
        <v>20221</v>
      </c>
      <c r="AI3281" t="s">
        <v>20222</v>
      </c>
    </row>
    <row r="3282" spans="2:35" ht="409.5">
      <c r="B3282" s="1">
        <v>45537</v>
      </c>
      <c r="C3282" s="4">
        <v>45532.464583333334</v>
      </c>
      <c r="D3282" t="s">
        <v>1099</v>
      </c>
      <c r="E3282" t="s">
        <v>6645</v>
      </c>
      <c r="F3282" t="s">
        <v>148</v>
      </c>
      <c r="G3282" t="s">
        <v>406</v>
      </c>
      <c r="H3282" t="s">
        <v>39</v>
      </c>
      <c r="I3282" t="s">
        <v>40</v>
      </c>
      <c r="J3282" s="2" t="s">
        <v>41</v>
      </c>
      <c r="K3282" t="s">
        <v>42</v>
      </c>
      <c r="L3282" t="s">
        <v>43</v>
      </c>
      <c r="N3282" t="s">
        <v>44</v>
      </c>
      <c r="O3282" t="s">
        <v>1091</v>
      </c>
      <c r="Q3282">
        <v>29263</v>
      </c>
      <c r="R3282" t="s">
        <v>95</v>
      </c>
      <c r="S3282" t="s">
        <v>5690</v>
      </c>
      <c r="T3282">
        <v>24</v>
      </c>
      <c r="U3282" s="2" t="s">
        <v>20223</v>
      </c>
      <c r="V3282" s="1">
        <v>45525</v>
      </c>
      <c r="W3282" t="s">
        <v>48</v>
      </c>
      <c r="X3282">
        <v>839231</v>
      </c>
      <c r="Y3282" t="s">
        <v>49</v>
      </c>
      <c r="Z3282" t="s">
        <v>50</v>
      </c>
      <c r="AA3282" s="2" t="s">
        <v>20224</v>
      </c>
      <c r="AB3282" t="s">
        <v>548</v>
      </c>
      <c r="AD3282" s="2" t="s">
        <v>20225</v>
      </c>
      <c r="AE3282" t="s">
        <v>20226</v>
      </c>
      <c r="AG3282" t="s">
        <v>20227</v>
      </c>
      <c r="AH3282" t="s">
        <v>20228</v>
      </c>
      <c r="AI3282" t="s">
        <v>20229</v>
      </c>
    </row>
    <row r="3283" spans="2:35" ht="270">
      <c r="B3283" s="1">
        <v>45537</v>
      </c>
      <c r="C3283" s="4">
        <v>45534.574999999997</v>
      </c>
      <c r="D3283" t="s">
        <v>146</v>
      </c>
      <c r="E3283" t="s">
        <v>4822</v>
      </c>
      <c r="F3283" t="s">
        <v>148</v>
      </c>
      <c r="G3283" t="s">
        <v>149</v>
      </c>
      <c r="H3283" t="s">
        <v>39</v>
      </c>
      <c r="I3283" t="s">
        <v>40</v>
      </c>
      <c r="J3283" s="2" t="s">
        <v>41</v>
      </c>
      <c r="K3283" t="s">
        <v>42</v>
      </c>
      <c r="L3283" t="s">
        <v>43</v>
      </c>
      <c r="N3283" t="s">
        <v>44</v>
      </c>
      <c r="Q3283">
        <v>29262</v>
      </c>
      <c r="R3283" t="s">
        <v>95</v>
      </c>
      <c r="S3283" t="s">
        <v>11968</v>
      </c>
      <c r="T3283">
        <v>20</v>
      </c>
      <c r="U3283" s="2" t="s">
        <v>20230</v>
      </c>
      <c r="V3283" s="1">
        <v>45525</v>
      </c>
      <c r="W3283" t="s">
        <v>153</v>
      </c>
      <c r="X3283">
        <v>110003714</v>
      </c>
      <c r="Y3283" t="s">
        <v>2165</v>
      </c>
      <c r="Z3283" t="s">
        <v>2166</v>
      </c>
      <c r="AA3283" s="2" t="s">
        <v>20231</v>
      </c>
      <c r="AB3283" t="s">
        <v>548</v>
      </c>
      <c r="AC3283" t="s">
        <v>20232</v>
      </c>
      <c r="AD3283" s="2" t="s">
        <v>20233</v>
      </c>
      <c r="AE3283" t="s">
        <v>20234</v>
      </c>
      <c r="AG3283" t="s">
        <v>20235</v>
      </c>
      <c r="AH3283" t="s">
        <v>20236</v>
      </c>
      <c r="AI3283" t="s">
        <v>20237</v>
      </c>
    </row>
    <row r="3284" spans="2:35" ht="390">
      <c r="B3284" s="1">
        <v>45537</v>
      </c>
      <c r="C3284" s="4">
        <v>45537.599999999999</v>
      </c>
      <c r="D3284" t="s">
        <v>20238</v>
      </c>
      <c r="E3284" t="s">
        <v>20239</v>
      </c>
      <c r="F3284">
        <v>11</v>
      </c>
      <c r="G3284" t="s">
        <v>1205</v>
      </c>
      <c r="H3284" t="s">
        <v>662</v>
      </c>
      <c r="I3284" t="s">
        <v>40</v>
      </c>
      <c r="J3284" s="2" t="s">
        <v>609</v>
      </c>
      <c r="K3284" t="s">
        <v>42</v>
      </c>
      <c r="L3284" t="s">
        <v>204</v>
      </c>
      <c r="N3284" t="s">
        <v>205</v>
      </c>
      <c r="O3284" t="s">
        <v>20240</v>
      </c>
      <c r="Q3284">
        <v>29261</v>
      </c>
      <c r="R3284" t="s">
        <v>95</v>
      </c>
      <c r="S3284" t="s">
        <v>20241</v>
      </c>
      <c r="T3284">
        <v>24.5</v>
      </c>
      <c r="U3284" s="2" t="s">
        <v>20242</v>
      </c>
      <c r="W3284" t="s">
        <v>208</v>
      </c>
      <c r="X3284">
        <v>839151</v>
      </c>
      <c r="Y3284" t="s">
        <v>20154</v>
      </c>
      <c r="Z3284" s="2" t="s">
        <v>20155</v>
      </c>
      <c r="AA3284" t="s">
        <v>20156</v>
      </c>
      <c r="AB3284" s="2" t="s">
        <v>20243</v>
      </c>
      <c r="AC3284" t="s">
        <v>20244</v>
      </c>
      <c r="AG3284" t="s">
        <v>20245</v>
      </c>
      <c r="AH3284" t="s">
        <v>20246</v>
      </c>
      <c r="AI3284" t="s">
        <v>20247</v>
      </c>
    </row>
    <row r="3285" spans="2:35" ht="270">
      <c r="B3285" s="1">
        <v>45537</v>
      </c>
      <c r="C3285" s="4">
        <v>45537.601388888892</v>
      </c>
      <c r="D3285" t="s">
        <v>20238</v>
      </c>
      <c r="E3285" t="s">
        <v>20239</v>
      </c>
      <c r="F3285">
        <v>11</v>
      </c>
      <c r="G3285" t="s">
        <v>1205</v>
      </c>
      <c r="H3285" t="s">
        <v>61</v>
      </c>
      <c r="I3285" t="s">
        <v>40</v>
      </c>
      <c r="J3285" t="s">
        <v>109</v>
      </c>
      <c r="K3285" t="s">
        <v>42</v>
      </c>
      <c r="L3285" t="s">
        <v>204</v>
      </c>
      <c r="N3285" t="s">
        <v>205</v>
      </c>
      <c r="O3285" t="s">
        <v>20240</v>
      </c>
      <c r="Q3285">
        <v>29260</v>
      </c>
      <c r="R3285" t="s">
        <v>95</v>
      </c>
      <c r="S3285" t="s">
        <v>20241</v>
      </c>
      <c r="T3285">
        <v>25.4</v>
      </c>
      <c r="W3285" t="s">
        <v>20248</v>
      </c>
      <c r="X3285">
        <v>830842</v>
      </c>
      <c r="Y3285" t="s">
        <v>20249</v>
      </c>
      <c r="Z3285" s="2" t="s">
        <v>20250</v>
      </c>
      <c r="AA3285" t="s">
        <v>20251</v>
      </c>
      <c r="AB3285" s="2" t="s">
        <v>20252</v>
      </c>
      <c r="AC3285" t="s">
        <v>20253</v>
      </c>
      <c r="AG3285" t="s">
        <v>20254</v>
      </c>
      <c r="AH3285" t="s">
        <v>20246</v>
      </c>
      <c r="AI3285" t="s">
        <v>20255</v>
      </c>
    </row>
    <row r="3286" spans="2:35" ht="285">
      <c r="B3286" s="1">
        <v>45537</v>
      </c>
      <c r="C3286" s="4">
        <v>45537.565972222219</v>
      </c>
      <c r="D3286" t="s">
        <v>1071</v>
      </c>
      <c r="E3286" t="s">
        <v>1555</v>
      </c>
      <c r="F3286">
        <v>7</v>
      </c>
      <c r="G3286" t="s">
        <v>432</v>
      </c>
      <c r="H3286" t="s">
        <v>150</v>
      </c>
      <c r="I3286" t="s">
        <v>40</v>
      </c>
      <c r="J3286" t="s">
        <v>79</v>
      </c>
      <c r="K3286" t="s">
        <v>42</v>
      </c>
      <c r="L3286" t="s">
        <v>343</v>
      </c>
      <c r="N3286" t="s">
        <v>344</v>
      </c>
      <c r="Q3286">
        <v>29259</v>
      </c>
      <c r="R3286" t="s">
        <v>119</v>
      </c>
      <c r="S3286" t="s">
        <v>8679</v>
      </c>
      <c r="T3286">
        <v>27</v>
      </c>
      <c r="U3286" s="2" t="s">
        <v>20256</v>
      </c>
      <c r="V3286" s="1">
        <v>45533</v>
      </c>
      <c r="W3286" t="s">
        <v>1501</v>
      </c>
      <c r="X3286">
        <v>838285</v>
      </c>
      <c r="Y3286" t="s">
        <v>17821</v>
      </c>
      <c r="Z3286" t="s">
        <v>20257</v>
      </c>
      <c r="AA3286" t="e">
        <f ca="1">-module Replacement</f>
        <v>#NAME?</v>
      </c>
      <c r="AB3286" t="s">
        <v>20258</v>
      </c>
      <c r="AD3286" t="s">
        <v>20259</v>
      </c>
      <c r="AE3286">
        <v>11853</v>
      </c>
      <c r="AG3286" t="s">
        <v>20260</v>
      </c>
      <c r="AH3286" t="s">
        <v>20261</v>
      </c>
      <c r="AI3286" t="s">
        <v>20262</v>
      </c>
    </row>
    <row r="3287" spans="2:35" ht="409.5">
      <c r="B3287" s="1">
        <v>45537</v>
      </c>
      <c r="C3287" s="4">
        <v>45532.464583333334</v>
      </c>
      <c r="D3287" t="s">
        <v>1099</v>
      </c>
      <c r="E3287" t="s">
        <v>6645</v>
      </c>
      <c r="F3287" t="s">
        <v>148</v>
      </c>
      <c r="G3287" t="s">
        <v>406</v>
      </c>
      <c r="H3287" t="s">
        <v>39</v>
      </c>
      <c r="I3287" t="s">
        <v>40</v>
      </c>
      <c r="J3287" s="2" t="s">
        <v>41</v>
      </c>
      <c r="K3287" t="s">
        <v>42</v>
      </c>
      <c r="L3287" t="s">
        <v>43</v>
      </c>
      <c r="N3287" t="s">
        <v>44</v>
      </c>
      <c r="O3287" t="s">
        <v>1091</v>
      </c>
      <c r="Q3287">
        <v>29258</v>
      </c>
      <c r="R3287" t="s">
        <v>95</v>
      </c>
      <c r="S3287" t="s">
        <v>5690</v>
      </c>
      <c r="T3287">
        <v>24</v>
      </c>
      <c r="U3287" s="2" t="s">
        <v>20223</v>
      </c>
      <c r="V3287" s="1">
        <v>45525</v>
      </c>
      <c r="W3287" t="s">
        <v>48</v>
      </c>
      <c r="X3287">
        <v>839231</v>
      </c>
      <c r="Y3287" t="s">
        <v>49</v>
      </c>
      <c r="Z3287" t="s">
        <v>50</v>
      </c>
      <c r="AA3287" s="2" t="s">
        <v>20224</v>
      </c>
      <c r="AB3287" t="s">
        <v>548</v>
      </c>
      <c r="AD3287" s="2" t="s">
        <v>20225</v>
      </c>
      <c r="AE3287" t="s">
        <v>20226</v>
      </c>
      <c r="AG3287" t="s">
        <v>20263</v>
      </c>
      <c r="AH3287" t="s">
        <v>20228</v>
      </c>
      <c r="AI3287" t="s">
        <v>20264</v>
      </c>
    </row>
    <row r="3288" spans="2:35" ht="409.5">
      <c r="B3288" s="1">
        <v>45537</v>
      </c>
      <c r="C3288" s="4">
        <v>45532.467361111114</v>
      </c>
      <c r="D3288" t="s">
        <v>1099</v>
      </c>
      <c r="E3288" t="s">
        <v>6645</v>
      </c>
      <c r="F3288" t="s">
        <v>148</v>
      </c>
      <c r="G3288" t="s">
        <v>406</v>
      </c>
      <c r="H3288" t="s">
        <v>39</v>
      </c>
      <c r="I3288" t="s">
        <v>40</v>
      </c>
      <c r="J3288" t="s">
        <v>109</v>
      </c>
      <c r="K3288" t="s">
        <v>42</v>
      </c>
      <c r="L3288" t="s">
        <v>43</v>
      </c>
      <c r="N3288" t="s">
        <v>44</v>
      </c>
      <c r="O3288" t="s">
        <v>1091</v>
      </c>
      <c r="Q3288">
        <v>29257</v>
      </c>
      <c r="R3288" t="s">
        <v>95</v>
      </c>
      <c r="S3288" t="s">
        <v>5690</v>
      </c>
      <c r="T3288">
        <v>24</v>
      </c>
      <c r="U3288" s="2" t="s">
        <v>20265</v>
      </c>
      <c r="V3288" s="1">
        <v>45511</v>
      </c>
      <c r="W3288" t="s">
        <v>153</v>
      </c>
      <c r="X3288">
        <v>120002383</v>
      </c>
      <c r="Y3288" t="s">
        <v>121</v>
      </c>
      <c r="Z3288" s="2" t="s">
        <v>20266</v>
      </c>
      <c r="AA3288" s="2" t="s">
        <v>20267</v>
      </c>
      <c r="AB3288" t="s">
        <v>548</v>
      </c>
      <c r="AD3288" t="s">
        <v>20268</v>
      </c>
      <c r="AE3288" t="s">
        <v>20269</v>
      </c>
      <c r="AG3288" t="s">
        <v>20270</v>
      </c>
      <c r="AH3288" t="s">
        <v>20228</v>
      </c>
      <c r="AI3288" t="s">
        <v>20271</v>
      </c>
    </row>
    <row r="3289" spans="2:35" ht="255">
      <c r="B3289" s="1">
        <v>45537</v>
      </c>
      <c r="C3289" s="4">
        <v>45534.491666666669</v>
      </c>
      <c r="D3289" t="s">
        <v>146</v>
      </c>
      <c r="E3289" t="s">
        <v>4822</v>
      </c>
      <c r="F3289" t="s">
        <v>148</v>
      </c>
      <c r="G3289" t="s">
        <v>149</v>
      </c>
      <c r="H3289" t="s">
        <v>2274</v>
      </c>
      <c r="I3289" t="s">
        <v>40</v>
      </c>
      <c r="J3289" t="s">
        <v>109</v>
      </c>
      <c r="K3289" t="s">
        <v>387</v>
      </c>
      <c r="L3289" t="s">
        <v>43</v>
      </c>
      <c r="N3289" t="s">
        <v>44</v>
      </c>
      <c r="O3289" t="s">
        <v>388</v>
      </c>
      <c r="Q3289">
        <v>29256</v>
      </c>
      <c r="R3289" t="s">
        <v>95</v>
      </c>
      <c r="S3289" t="s">
        <v>20272</v>
      </c>
      <c r="T3289">
        <v>28</v>
      </c>
      <c r="W3289" t="s">
        <v>390</v>
      </c>
      <c r="X3289" t="s">
        <v>391</v>
      </c>
      <c r="Y3289" t="s">
        <v>121</v>
      </c>
      <c r="Z3289" t="s">
        <v>122</v>
      </c>
      <c r="AA3289" s="2" t="s">
        <v>20273</v>
      </c>
      <c r="AB3289" t="s">
        <v>88</v>
      </c>
      <c r="AG3289" t="s">
        <v>20274</v>
      </c>
      <c r="AH3289" t="s">
        <v>20275</v>
      </c>
      <c r="AI3289" t="s">
        <v>20276</v>
      </c>
    </row>
    <row r="3290" spans="2:35" ht="409.5">
      <c r="B3290" s="1">
        <v>45537</v>
      </c>
      <c r="C3290" s="4">
        <v>45532.464583333334</v>
      </c>
      <c r="D3290" t="s">
        <v>1099</v>
      </c>
      <c r="E3290" t="s">
        <v>6645</v>
      </c>
      <c r="F3290" t="s">
        <v>148</v>
      </c>
      <c r="G3290" t="s">
        <v>406</v>
      </c>
      <c r="H3290" t="s">
        <v>39</v>
      </c>
      <c r="I3290" t="s">
        <v>40</v>
      </c>
      <c r="J3290" s="2" t="s">
        <v>41</v>
      </c>
      <c r="K3290" t="s">
        <v>42</v>
      </c>
      <c r="L3290" t="s">
        <v>43</v>
      </c>
      <c r="N3290" t="s">
        <v>44</v>
      </c>
      <c r="O3290" t="s">
        <v>1091</v>
      </c>
      <c r="Q3290">
        <v>29255</v>
      </c>
      <c r="R3290" t="s">
        <v>95</v>
      </c>
      <c r="S3290" t="s">
        <v>5690</v>
      </c>
      <c r="T3290">
        <v>24</v>
      </c>
      <c r="U3290" s="2" t="s">
        <v>20223</v>
      </c>
      <c r="V3290" s="1">
        <v>45525</v>
      </c>
      <c r="W3290" t="s">
        <v>48</v>
      </c>
      <c r="X3290">
        <v>839231</v>
      </c>
      <c r="Y3290" t="s">
        <v>49</v>
      </c>
      <c r="Z3290" t="s">
        <v>50</v>
      </c>
      <c r="AA3290" s="2" t="s">
        <v>20224</v>
      </c>
      <c r="AB3290" t="s">
        <v>548</v>
      </c>
      <c r="AD3290" s="2" t="s">
        <v>20225</v>
      </c>
      <c r="AE3290" t="s">
        <v>20226</v>
      </c>
      <c r="AG3290" t="s">
        <v>20277</v>
      </c>
      <c r="AH3290" t="s">
        <v>20228</v>
      </c>
      <c r="AI3290" t="s">
        <v>20278</v>
      </c>
    </row>
    <row r="3291" spans="2:35" ht="270">
      <c r="B3291" s="1">
        <v>45537</v>
      </c>
      <c r="C3291" s="4">
        <v>45534.574999999997</v>
      </c>
      <c r="D3291" t="s">
        <v>146</v>
      </c>
      <c r="E3291" t="s">
        <v>4822</v>
      </c>
      <c r="F3291" t="s">
        <v>148</v>
      </c>
      <c r="G3291" t="s">
        <v>149</v>
      </c>
      <c r="H3291" t="s">
        <v>39</v>
      </c>
      <c r="I3291" t="s">
        <v>40</v>
      </c>
      <c r="J3291" s="2" t="s">
        <v>41</v>
      </c>
      <c r="K3291" t="s">
        <v>42</v>
      </c>
      <c r="L3291" t="s">
        <v>43</v>
      </c>
      <c r="N3291" t="s">
        <v>44</v>
      </c>
      <c r="Q3291">
        <v>29254</v>
      </c>
      <c r="R3291" t="s">
        <v>95</v>
      </c>
      <c r="S3291" t="s">
        <v>11968</v>
      </c>
      <c r="T3291">
        <v>20</v>
      </c>
      <c r="U3291" s="2" t="s">
        <v>20230</v>
      </c>
      <c r="V3291" s="1">
        <v>45525</v>
      </c>
      <c r="W3291" t="s">
        <v>153</v>
      </c>
      <c r="X3291">
        <v>110003714</v>
      </c>
      <c r="Y3291" t="s">
        <v>2165</v>
      </c>
      <c r="Z3291" t="s">
        <v>2166</v>
      </c>
      <c r="AA3291" s="2" t="s">
        <v>20231</v>
      </c>
      <c r="AB3291" t="s">
        <v>548</v>
      </c>
      <c r="AC3291" t="s">
        <v>20232</v>
      </c>
      <c r="AD3291" s="2" t="s">
        <v>20233</v>
      </c>
      <c r="AE3291" t="s">
        <v>20234</v>
      </c>
      <c r="AG3291" t="s">
        <v>20279</v>
      </c>
      <c r="AH3291" t="s">
        <v>20236</v>
      </c>
      <c r="AI3291" t="s">
        <v>20280</v>
      </c>
    </row>
    <row r="3292" spans="2:35" ht="409.5">
      <c r="B3292" s="1">
        <v>45537</v>
      </c>
      <c r="C3292" s="4">
        <v>45532.467361111114</v>
      </c>
      <c r="D3292" t="s">
        <v>1099</v>
      </c>
      <c r="E3292" t="s">
        <v>6645</v>
      </c>
      <c r="F3292" t="s">
        <v>148</v>
      </c>
      <c r="G3292" t="s">
        <v>406</v>
      </c>
      <c r="H3292" t="s">
        <v>39</v>
      </c>
      <c r="I3292" t="s">
        <v>40</v>
      </c>
      <c r="J3292" t="s">
        <v>109</v>
      </c>
      <c r="K3292" t="s">
        <v>42</v>
      </c>
      <c r="L3292" t="s">
        <v>43</v>
      </c>
      <c r="N3292" t="s">
        <v>44</v>
      </c>
      <c r="O3292" t="s">
        <v>1091</v>
      </c>
      <c r="Q3292">
        <v>29250</v>
      </c>
      <c r="R3292" t="s">
        <v>95</v>
      </c>
      <c r="S3292" t="s">
        <v>5690</v>
      </c>
      <c r="T3292">
        <v>24</v>
      </c>
      <c r="U3292" s="2" t="s">
        <v>20265</v>
      </c>
      <c r="V3292" s="1">
        <v>45511</v>
      </c>
      <c r="W3292" t="s">
        <v>153</v>
      </c>
      <c r="X3292">
        <v>120002383</v>
      </c>
      <c r="Y3292" t="s">
        <v>121</v>
      </c>
      <c r="Z3292" s="2" t="s">
        <v>20266</v>
      </c>
      <c r="AA3292" s="2" t="s">
        <v>20267</v>
      </c>
      <c r="AB3292" t="s">
        <v>548</v>
      </c>
      <c r="AD3292" t="s">
        <v>20268</v>
      </c>
      <c r="AE3292" t="s">
        <v>20269</v>
      </c>
      <c r="AG3292" t="s">
        <v>20281</v>
      </c>
      <c r="AH3292" t="s">
        <v>20228</v>
      </c>
      <c r="AI3292" t="s">
        <v>20282</v>
      </c>
    </row>
    <row r="3293" spans="2:35" ht="255">
      <c r="B3293" s="1">
        <v>45537</v>
      </c>
      <c r="C3293" s="4">
        <v>45534.491666666669</v>
      </c>
      <c r="D3293" t="s">
        <v>146</v>
      </c>
      <c r="E3293" t="s">
        <v>4822</v>
      </c>
      <c r="F3293" t="s">
        <v>148</v>
      </c>
      <c r="G3293" t="s">
        <v>149</v>
      </c>
      <c r="H3293" t="s">
        <v>2274</v>
      </c>
      <c r="I3293" t="s">
        <v>40</v>
      </c>
      <c r="J3293" t="s">
        <v>109</v>
      </c>
      <c r="K3293" t="s">
        <v>387</v>
      </c>
      <c r="L3293" t="s">
        <v>43</v>
      </c>
      <c r="N3293" t="s">
        <v>44</v>
      </c>
      <c r="O3293" t="s">
        <v>388</v>
      </c>
      <c r="Q3293">
        <v>29252</v>
      </c>
      <c r="R3293" t="s">
        <v>95</v>
      </c>
      <c r="S3293" t="s">
        <v>20272</v>
      </c>
      <c r="T3293">
        <v>28</v>
      </c>
      <c r="W3293" t="s">
        <v>390</v>
      </c>
      <c r="X3293" t="s">
        <v>391</v>
      </c>
      <c r="Y3293" t="s">
        <v>121</v>
      </c>
      <c r="Z3293" t="s">
        <v>122</v>
      </c>
      <c r="AA3293" s="2" t="s">
        <v>20273</v>
      </c>
      <c r="AB3293" t="s">
        <v>88</v>
      </c>
      <c r="AG3293" t="s">
        <v>20283</v>
      </c>
      <c r="AH3293" t="s">
        <v>20275</v>
      </c>
      <c r="AI3293" t="s">
        <v>20284</v>
      </c>
    </row>
    <row r="3294" spans="2:35" ht="409.5">
      <c r="B3294" s="1">
        <v>45537</v>
      </c>
      <c r="C3294" s="4">
        <v>45532.464583333334</v>
      </c>
      <c r="D3294" t="s">
        <v>1099</v>
      </c>
      <c r="E3294" t="s">
        <v>6645</v>
      </c>
      <c r="F3294" t="s">
        <v>148</v>
      </c>
      <c r="G3294" t="s">
        <v>406</v>
      </c>
      <c r="H3294" t="s">
        <v>39</v>
      </c>
      <c r="I3294" t="s">
        <v>40</v>
      </c>
      <c r="J3294" s="2" t="s">
        <v>41</v>
      </c>
      <c r="K3294" t="s">
        <v>42</v>
      </c>
      <c r="L3294" t="s">
        <v>43</v>
      </c>
      <c r="N3294" t="s">
        <v>44</v>
      </c>
      <c r="O3294" t="s">
        <v>1091</v>
      </c>
      <c r="Q3294">
        <v>29251</v>
      </c>
      <c r="R3294" t="s">
        <v>95</v>
      </c>
      <c r="S3294" t="s">
        <v>5690</v>
      </c>
      <c r="T3294">
        <v>24</v>
      </c>
      <c r="U3294" s="2" t="s">
        <v>20223</v>
      </c>
      <c r="V3294" s="1">
        <v>45525</v>
      </c>
      <c r="W3294" t="s">
        <v>48</v>
      </c>
      <c r="X3294">
        <v>839231</v>
      </c>
      <c r="Y3294" t="s">
        <v>49</v>
      </c>
      <c r="Z3294" t="s">
        <v>50</v>
      </c>
      <c r="AA3294" s="2" t="s">
        <v>20224</v>
      </c>
      <c r="AB3294" t="s">
        <v>548</v>
      </c>
      <c r="AD3294" s="2" t="s">
        <v>20225</v>
      </c>
      <c r="AE3294" t="s">
        <v>20226</v>
      </c>
      <c r="AG3294" t="s">
        <v>20285</v>
      </c>
      <c r="AH3294" t="s">
        <v>20228</v>
      </c>
      <c r="AI3294" t="s">
        <v>20286</v>
      </c>
    </row>
    <row r="3295" spans="2:35" ht="270">
      <c r="B3295" s="1">
        <v>45537</v>
      </c>
      <c r="C3295" s="4">
        <v>45534.574999999997</v>
      </c>
      <c r="D3295" t="s">
        <v>146</v>
      </c>
      <c r="E3295" t="s">
        <v>4822</v>
      </c>
      <c r="F3295" t="s">
        <v>148</v>
      </c>
      <c r="G3295" t="s">
        <v>149</v>
      </c>
      <c r="H3295" t="s">
        <v>39</v>
      </c>
      <c r="I3295" t="s">
        <v>40</v>
      </c>
      <c r="J3295" s="2" t="s">
        <v>41</v>
      </c>
      <c r="K3295" t="s">
        <v>42</v>
      </c>
      <c r="L3295" t="s">
        <v>43</v>
      </c>
      <c r="N3295" t="s">
        <v>44</v>
      </c>
      <c r="Q3295">
        <v>29253</v>
      </c>
      <c r="R3295" t="s">
        <v>95</v>
      </c>
      <c r="S3295" t="s">
        <v>11968</v>
      </c>
      <c r="T3295">
        <v>20</v>
      </c>
      <c r="U3295" s="2" t="s">
        <v>20230</v>
      </c>
      <c r="V3295" s="1">
        <v>45525</v>
      </c>
      <c r="W3295" t="s">
        <v>153</v>
      </c>
      <c r="X3295">
        <v>110003714</v>
      </c>
      <c r="Y3295" t="s">
        <v>2165</v>
      </c>
      <c r="Z3295" t="s">
        <v>2166</v>
      </c>
      <c r="AA3295" s="2" t="s">
        <v>20231</v>
      </c>
      <c r="AB3295" t="s">
        <v>548</v>
      </c>
      <c r="AC3295" t="s">
        <v>20232</v>
      </c>
      <c r="AD3295" s="2" t="s">
        <v>20233</v>
      </c>
      <c r="AE3295" t="s">
        <v>20234</v>
      </c>
      <c r="AG3295" t="s">
        <v>20287</v>
      </c>
      <c r="AH3295" t="s">
        <v>20236</v>
      </c>
      <c r="AI3295" t="s">
        <v>20288</v>
      </c>
    </row>
    <row r="3296" spans="2:35" ht="120">
      <c r="B3296" s="1">
        <v>45537</v>
      </c>
      <c r="C3296" s="1">
        <v>45533</v>
      </c>
      <c r="D3296" t="s">
        <v>18588</v>
      </c>
      <c r="E3296" t="s">
        <v>20289</v>
      </c>
      <c r="F3296">
        <v>6</v>
      </c>
      <c r="G3296" t="s">
        <v>5571</v>
      </c>
      <c r="H3296" t="s">
        <v>39</v>
      </c>
      <c r="I3296" t="s">
        <v>40</v>
      </c>
      <c r="J3296" s="2" t="s">
        <v>62</v>
      </c>
      <c r="K3296" t="s">
        <v>42</v>
      </c>
      <c r="L3296" t="s">
        <v>433</v>
      </c>
      <c r="N3296" t="s">
        <v>434</v>
      </c>
      <c r="Q3296">
        <v>29249</v>
      </c>
      <c r="R3296" t="s">
        <v>95</v>
      </c>
      <c r="S3296" t="s">
        <v>11448</v>
      </c>
      <c r="T3296">
        <v>24</v>
      </c>
      <c r="W3296" t="s">
        <v>1008</v>
      </c>
      <c r="X3296">
        <v>110005268</v>
      </c>
      <c r="Y3296" t="s">
        <v>20290</v>
      </c>
      <c r="Z3296" s="2" t="s">
        <v>20291</v>
      </c>
      <c r="AA3296" s="2" t="s">
        <v>20291</v>
      </c>
      <c r="AB3296" t="s">
        <v>20292</v>
      </c>
      <c r="AG3296" t="s">
        <v>20293</v>
      </c>
      <c r="AH3296" t="s">
        <v>11452</v>
      </c>
      <c r="AI3296" t="s">
        <v>20294</v>
      </c>
    </row>
    <row r="3297" spans="2:35">
      <c r="B3297" s="1">
        <v>45537</v>
      </c>
      <c r="C3297" s="4">
        <v>45537.357638888891</v>
      </c>
      <c r="D3297" t="s">
        <v>3423</v>
      </c>
      <c r="E3297" t="s">
        <v>7875</v>
      </c>
      <c r="F3297">
        <v>7</v>
      </c>
      <c r="G3297" t="s">
        <v>432</v>
      </c>
      <c r="H3297" t="s">
        <v>386</v>
      </c>
      <c r="I3297" t="s">
        <v>40</v>
      </c>
      <c r="J3297" t="s">
        <v>79</v>
      </c>
      <c r="K3297" t="s">
        <v>42</v>
      </c>
      <c r="L3297" t="s">
        <v>610</v>
      </c>
      <c r="N3297" t="s">
        <v>611</v>
      </c>
      <c r="Q3297">
        <v>29248</v>
      </c>
      <c r="R3297" t="s">
        <v>95</v>
      </c>
      <c r="S3297" t="s">
        <v>9919</v>
      </c>
      <c r="T3297">
        <v>24</v>
      </c>
      <c r="W3297" t="s">
        <v>390</v>
      </c>
      <c r="X3297" t="s">
        <v>10711</v>
      </c>
      <c r="Y3297" t="s">
        <v>20295</v>
      </c>
      <c r="Z3297" t="s">
        <v>20296</v>
      </c>
      <c r="AA3297" t="s">
        <v>20297</v>
      </c>
      <c r="AB3297" t="s">
        <v>19643</v>
      </c>
      <c r="AG3297" t="s">
        <v>20298</v>
      </c>
      <c r="AH3297" t="s">
        <v>20299</v>
      </c>
      <c r="AI3297" t="s">
        <v>20300</v>
      </c>
    </row>
    <row r="3298" spans="2:35" ht="255">
      <c r="B3298" s="1">
        <v>45537</v>
      </c>
      <c r="C3298" s="4">
        <v>45533.634027777778</v>
      </c>
      <c r="D3298" t="s">
        <v>2470</v>
      </c>
      <c r="E3298" t="s">
        <v>9436</v>
      </c>
      <c r="F3298" t="s">
        <v>148</v>
      </c>
      <c r="G3298" t="s">
        <v>230</v>
      </c>
      <c r="H3298" t="s">
        <v>513</v>
      </c>
      <c r="I3298" t="s">
        <v>40</v>
      </c>
      <c r="J3298" t="s">
        <v>525</v>
      </c>
      <c r="K3298" t="s">
        <v>387</v>
      </c>
      <c r="L3298" t="s">
        <v>175</v>
      </c>
      <c r="N3298" t="s">
        <v>176</v>
      </c>
      <c r="Q3298">
        <v>29247</v>
      </c>
      <c r="R3298" t="s">
        <v>322</v>
      </c>
      <c r="S3298" t="s">
        <v>4894</v>
      </c>
      <c r="T3298">
        <v>25</v>
      </c>
      <c r="W3298" t="s">
        <v>390</v>
      </c>
      <c r="X3298" t="s">
        <v>2472</v>
      </c>
      <c r="Y3298" t="s">
        <v>20192</v>
      </c>
      <c r="Z3298" t="s">
        <v>103</v>
      </c>
      <c r="AA3298" t="e">
        <f ca="1">- performed self test on UPS (_xludf.not working)
- performed Back up _xludf.mode (_xludf.not working)</f>
        <v>#NAME?</v>
      </c>
      <c r="AB3298" s="2" t="s">
        <v>20193</v>
      </c>
      <c r="AG3298" t="s">
        <v>20301</v>
      </c>
      <c r="AH3298" t="s">
        <v>4898</v>
      </c>
      <c r="AI3298" t="s">
        <v>20302</v>
      </c>
    </row>
    <row r="3299" spans="2:35">
      <c r="B3299" s="1">
        <v>45537</v>
      </c>
      <c r="C3299" s="4">
        <v>45533.631944444445</v>
      </c>
      <c r="D3299" t="s">
        <v>2470</v>
      </c>
      <c r="E3299" t="s">
        <v>9436</v>
      </c>
      <c r="F3299" t="s">
        <v>148</v>
      </c>
      <c r="G3299" t="s">
        <v>230</v>
      </c>
      <c r="H3299" t="s">
        <v>513</v>
      </c>
      <c r="I3299" t="s">
        <v>40</v>
      </c>
      <c r="J3299" t="s">
        <v>525</v>
      </c>
      <c r="K3299" t="s">
        <v>387</v>
      </c>
      <c r="L3299" t="s">
        <v>175</v>
      </c>
      <c r="N3299" t="s">
        <v>176</v>
      </c>
      <c r="Q3299">
        <v>29246</v>
      </c>
      <c r="R3299" t="s">
        <v>322</v>
      </c>
      <c r="S3299" t="s">
        <v>4894</v>
      </c>
      <c r="T3299">
        <v>28</v>
      </c>
      <c r="W3299" t="s">
        <v>390</v>
      </c>
      <c r="X3299" t="s">
        <v>5622</v>
      </c>
      <c r="Y3299" t="s">
        <v>20204</v>
      </c>
      <c r="Z3299" t="s">
        <v>20205</v>
      </c>
      <c r="AA3299" t="e">
        <f ca="1">- checked rotor roller pumps
- Unit HAS recent Preventive Maintenance</f>
        <v>#NAME?</v>
      </c>
      <c r="AB3299" t="s">
        <v>20206</v>
      </c>
      <c r="AG3299" t="s">
        <v>20303</v>
      </c>
      <c r="AH3299" t="s">
        <v>4898</v>
      </c>
      <c r="AI3299" t="s">
        <v>20304</v>
      </c>
    </row>
    <row r="3300" spans="2:35" ht="135">
      <c r="B3300" s="1">
        <v>45534</v>
      </c>
      <c r="C3300" s="4">
        <v>45534.676388888889</v>
      </c>
      <c r="D3300" t="s">
        <v>855</v>
      </c>
      <c r="E3300" t="s">
        <v>12037</v>
      </c>
      <c r="F3300" t="s">
        <v>148</v>
      </c>
      <c r="G3300" t="s">
        <v>310</v>
      </c>
      <c r="H3300" t="s">
        <v>39</v>
      </c>
      <c r="I3300" t="s">
        <v>40</v>
      </c>
      <c r="J3300" s="2" t="s">
        <v>20305</v>
      </c>
      <c r="K3300" t="s">
        <v>42</v>
      </c>
      <c r="L3300" t="s">
        <v>857</v>
      </c>
      <c r="N3300" t="s">
        <v>858</v>
      </c>
      <c r="Q3300">
        <v>29245</v>
      </c>
      <c r="R3300" t="s">
        <v>322</v>
      </c>
      <c r="S3300" t="s">
        <v>859</v>
      </c>
      <c r="T3300">
        <v>22</v>
      </c>
      <c r="W3300" t="s">
        <v>20306</v>
      </c>
      <c r="X3300">
        <v>815686</v>
      </c>
      <c r="Y3300" t="s">
        <v>6766</v>
      </c>
      <c r="Z3300" t="s">
        <v>301</v>
      </c>
      <c r="AA3300" s="2" t="s">
        <v>20307</v>
      </c>
      <c r="AB3300" t="s">
        <v>20308</v>
      </c>
      <c r="AG3300" t="s">
        <v>20309</v>
      </c>
      <c r="AH3300" t="s">
        <v>20310</v>
      </c>
      <c r="AI3300" t="s">
        <v>20311</v>
      </c>
    </row>
    <row r="3301" spans="2:35" ht="165">
      <c r="B3301" s="1">
        <v>45534</v>
      </c>
      <c r="C3301" s="4">
        <v>45534.679166666669</v>
      </c>
      <c r="D3301" t="s">
        <v>855</v>
      </c>
      <c r="E3301" t="s">
        <v>12037</v>
      </c>
      <c r="F3301" t="s">
        <v>148</v>
      </c>
      <c r="G3301" t="s">
        <v>310</v>
      </c>
      <c r="H3301" t="s">
        <v>39</v>
      </c>
      <c r="I3301" t="s">
        <v>40</v>
      </c>
      <c r="J3301" s="2" t="s">
        <v>20305</v>
      </c>
      <c r="K3301" t="s">
        <v>42</v>
      </c>
      <c r="L3301" t="s">
        <v>857</v>
      </c>
      <c r="N3301" t="s">
        <v>858</v>
      </c>
      <c r="Q3301">
        <v>29244</v>
      </c>
      <c r="R3301" t="s">
        <v>322</v>
      </c>
      <c r="S3301" t="s">
        <v>859</v>
      </c>
      <c r="T3301">
        <v>22</v>
      </c>
      <c r="W3301" t="s">
        <v>20306</v>
      </c>
      <c r="X3301">
        <v>808092</v>
      </c>
      <c r="Y3301" t="s">
        <v>6766</v>
      </c>
      <c r="Z3301" t="s">
        <v>301</v>
      </c>
      <c r="AA3301" s="2" t="s">
        <v>20312</v>
      </c>
      <c r="AB3301" t="s">
        <v>20313</v>
      </c>
      <c r="AG3301" t="s">
        <v>20314</v>
      </c>
      <c r="AH3301" t="s">
        <v>20310</v>
      </c>
      <c r="AI3301" t="s">
        <v>20315</v>
      </c>
    </row>
    <row r="3302" spans="2:35" ht="409.5">
      <c r="B3302" s="1">
        <v>45534</v>
      </c>
      <c r="C3302" s="4">
        <v>45534.604861111111</v>
      </c>
      <c r="D3302" t="s">
        <v>20316</v>
      </c>
      <c r="E3302" t="s">
        <v>20317</v>
      </c>
      <c r="F3302">
        <v>6</v>
      </c>
      <c r="G3302" t="s">
        <v>1286</v>
      </c>
      <c r="H3302" t="s">
        <v>39</v>
      </c>
      <c r="I3302" t="s">
        <v>94</v>
      </c>
      <c r="J3302" s="2" t="s">
        <v>1848</v>
      </c>
      <c r="K3302" t="s">
        <v>42</v>
      </c>
      <c r="L3302" t="s">
        <v>594</v>
      </c>
      <c r="N3302" t="s">
        <v>595</v>
      </c>
      <c r="O3302" t="s">
        <v>20318</v>
      </c>
      <c r="Q3302">
        <v>29243</v>
      </c>
      <c r="R3302" t="s">
        <v>119</v>
      </c>
      <c r="S3302" t="s">
        <v>4748</v>
      </c>
      <c r="T3302">
        <v>23</v>
      </c>
      <c r="V3302" s="1">
        <v>45534</v>
      </c>
      <c r="W3302" t="s">
        <v>360</v>
      </c>
      <c r="X3302">
        <v>838501</v>
      </c>
      <c r="Y3302" t="s">
        <v>20319</v>
      </c>
      <c r="Z3302" t="s">
        <v>20320</v>
      </c>
      <c r="AA3302" s="2" t="s">
        <v>20321</v>
      </c>
      <c r="AB3302" s="2" t="s">
        <v>20322</v>
      </c>
      <c r="AC3302" t="s">
        <v>20323</v>
      </c>
      <c r="AG3302" t="s">
        <v>20324</v>
      </c>
      <c r="AH3302" t="s">
        <v>20325</v>
      </c>
      <c r="AI3302" t="s">
        <v>20326</v>
      </c>
    </row>
    <row r="3303" spans="2:35" ht="105">
      <c r="B3303" s="1">
        <v>45534</v>
      </c>
      <c r="C3303" s="4">
        <v>45532.573611111111</v>
      </c>
      <c r="D3303" t="s">
        <v>8074</v>
      </c>
      <c r="E3303" t="s">
        <v>8075</v>
      </c>
      <c r="F3303">
        <v>6</v>
      </c>
      <c r="G3303" t="s">
        <v>4457</v>
      </c>
      <c r="H3303" t="s">
        <v>39</v>
      </c>
      <c r="I3303" t="s">
        <v>40</v>
      </c>
      <c r="J3303" t="s">
        <v>20327</v>
      </c>
      <c r="K3303" t="s">
        <v>42</v>
      </c>
      <c r="L3303" t="s">
        <v>343</v>
      </c>
      <c r="N3303" t="s">
        <v>344</v>
      </c>
      <c r="Q3303">
        <v>29242</v>
      </c>
      <c r="R3303" t="s">
        <v>119</v>
      </c>
      <c r="S3303" t="s">
        <v>20328</v>
      </c>
      <c r="T3303">
        <v>26</v>
      </c>
      <c r="U3303" s="2" t="s">
        <v>20329</v>
      </c>
      <c r="W3303" t="s">
        <v>1501</v>
      </c>
      <c r="X3303">
        <v>838457</v>
      </c>
      <c r="Y3303" t="s">
        <v>3191</v>
      </c>
      <c r="Z3303" t="e">
        <f ca="1">-run XpertCheck on ALL modules</f>
        <v>#NAME?</v>
      </c>
      <c r="AA3303" t="e">
        <f ca="1">-Preventive Maintenance
-XpertCheck CALIBRATION
-GeneXpert ID STICKER Installation</f>
        <v>#NAME?</v>
      </c>
      <c r="AB3303" t="s">
        <v>20330</v>
      </c>
      <c r="AG3303" t="s">
        <v>20331</v>
      </c>
      <c r="AH3303" t="s">
        <v>8079</v>
      </c>
      <c r="AI3303" t="s">
        <v>20332</v>
      </c>
    </row>
    <row r="3304" spans="2:35" ht="315">
      <c r="B3304" s="1">
        <v>45534</v>
      </c>
      <c r="C3304" s="4">
        <v>45534.494444444441</v>
      </c>
      <c r="D3304" t="s">
        <v>9958</v>
      </c>
      <c r="E3304" t="s">
        <v>20333</v>
      </c>
      <c r="F3304" t="s">
        <v>148</v>
      </c>
      <c r="G3304" t="s">
        <v>310</v>
      </c>
      <c r="H3304" t="s">
        <v>20334</v>
      </c>
      <c r="I3304" t="s">
        <v>94</v>
      </c>
      <c r="J3304" t="s">
        <v>321</v>
      </c>
      <c r="K3304" t="s">
        <v>2629</v>
      </c>
      <c r="L3304" t="s">
        <v>409</v>
      </c>
      <c r="N3304" t="s">
        <v>410</v>
      </c>
      <c r="Q3304">
        <v>29241</v>
      </c>
      <c r="R3304" t="s">
        <v>95</v>
      </c>
      <c r="S3304" t="s">
        <v>20335</v>
      </c>
      <c r="T3304">
        <v>25</v>
      </c>
      <c r="V3304" s="1">
        <v>45533</v>
      </c>
      <c r="W3304" t="s">
        <v>20336</v>
      </c>
      <c r="X3304">
        <v>5321007166</v>
      </c>
      <c r="Y3304" t="s">
        <v>54</v>
      </c>
      <c r="Z3304" t="s">
        <v>54</v>
      </c>
      <c r="AA3304" s="2" t="s">
        <v>20337</v>
      </c>
      <c r="AB3304" t="s">
        <v>181</v>
      </c>
      <c r="AC3304" t="s">
        <v>20338</v>
      </c>
      <c r="AD3304" s="2" t="s">
        <v>20339</v>
      </c>
      <c r="AE3304" t="s">
        <v>20340</v>
      </c>
      <c r="AG3304" t="s">
        <v>20341</v>
      </c>
      <c r="AH3304" t="s">
        <v>20342</v>
      </c>
      <c r="AI3304" t="s">
        <v>20343</v>
      </c>
    </row>
    <row r="3305" spans="2:35" ht="300">
      <c r="B3305" s="1">
        <v>45534</v>
      </c>
      <c r="C3305" s="4">
        <v>45534.5</v>
      </c>
      <c r="D3305" t="s">
        <v>9958</v>
      </c>
      <c r="E3305" t="s">
        <v>20333</v>
      </c>
      <c r="F3305" t="s">
        <v>148</v>
      </c>
      <c r="G3305" t="s">
        <v>310</v>
      </c>
      <c r="H3305" t="s">
        <v>20344</v>
      </c>
      <c r="I3305" t="s">
        <v>94</v>
      </c>
      <c r="J3305" t="s">
        <v>321</v>
      </c>
      <c r="K3305" t="s">
        <v>2629</v>
      </c>
      <c r="L3305" t="s">
        <v>409</v>
      </c>
      <c r="N3305" t="s">
        <v>410</v>
      </c>
      <c r="Q3305">
        <v>29240</v>
      </c>
      <c r="R3305" t="s">
        <v>95</v>
      </c>
      <c r="S3305" t="s">
        <v>20335</v>
      </c>
      <c r="T3305">
        <v>25</v>
      </c>
      <c r="V3305" s="1">
        <v>45533</v>
      </c>
      <c r="W3305" t="s">
        <v>20336</v>
      </c>
      <c r="X3305">
        <v>5321007325</v>
      </c>
      <c r="Y3305" t="s">
        <v>54</v>
      </c>
      <c r="Z3305" t="s">
        <v>54</v>
      </c>
      <c r="AA3305" s="2" t="s">
        <v>20345</v>
      </c>
      <c r="AB3305" t="s">
        <v>181</v>
      </c>
      <c r="AC3305" t="s">
        <v>20338</v>
      </c>
      <c r="AD3305" t="s">
        <v>20336</v>
      </c>
      <c r="AE3305" t="s">
        <v>20340</v>
      </c>
      <c r="AG3305" t="s">
        <v>20346</v>
      </c>
      <c r="AH3305" t="s">
        <v>20342</v>
      </c>
      <c r="AI3305" t="s">
        <v>20347</v>
      </c>
    </row>
    <row r="3306" spans="2:35">
      <c r="B3306" s="1">
        <v>45534</v>
      </c>
      <c r="C3306" s="4">
        <v>45534.521527777775</v>
      </c>
      <c r="D3306" t="s">
        <v>16716</v>
      </c>
      <c r="E3306" t="s">
        <v>1128</v>
      </c>
      <c r="F3306">
        <v>8</v>
      </c>
      <c r="G3306" t="s">
        <v>342</v>
      </c>
      <c r="H3306" t="s">
        <v>202</v>
      </c>
      <c r="I3306" t="s">
        <v>40</v>
      </c>
      <c r="J3306" t="s">
        <v>109</v>
      </c>
      <c r="K3306" t="s">
        <v>42</v>
      </c>
      <c r="L3306" t="s">
        <v>259</v>
      </c>
      <c r="N3306" t="s">
        <v>260</v>
      </c>
      <c r="Q3306">
        <v>29239</v>
      </c>
      <c r="R3306" t="s">
        <v>119</v>
      </c>
      <c r="S3306" t="s">
        <v>20348</v>
      </c>
      <c r="T3306">
        <v>25</v>
      </c>
      <c r="V3306" s="1">
        <v>45534</v>
      </c>
      <c r="W3306" t="s">
        <v>84</v>
      </c>
      <c r="X3306">
        <v>838421</v>
      </c>
      <c r="Y3306" t="s">
        <v>263</v>
      </c>
      <c r="Z3306" t="s">
        <v>263</v>
      </c>
      <c r="AA3306" t="e">
        <f ca="1">- Preventive Maintenance</f>
        <v>#NAME?</v>
      </c>
      <c r="AB3306" t="s">
        <v>181</v>
      </c>
      <c r="AG3306" t="s">
        <v>20349</v>
      </c>
      <c r="AH3306" t="s">
        <v>17752</v>
      </c>
      <c r="AI3306" t="s">
        <v>20350</v>
      </c>
    </row>
    <row r="3307" spans="2:35" ht="120">
      <c r="B3307" s="1">
        <v>45534</v>
      </c>
      <c r="C3307" s="4">
        <v>45534.50277777778</v>
      </c>
      <c r="D3307" t="s">
        <v>17485</v>
      </c>
      <c r="E3307" t="s">
        <v>17486</v>
      </c>
      <c r="F3307">
        <v>10</v>
      </c>
      <c r="G3307" t="s">
        <v>8359</v>
      </c>
      <c r="H3307" t="s">
        <v>2125</v>
      </c>
      <c r="I3307" t="s">
        <v>40</v>
      </c>
      <c r="J3307" t="s">
        <v>109</v>
      </c>
      <c r="K3307" t="s">
        <v>42</v>
      </c>
      <c r="L3307" t="s">
        <v>933</v>
      </c>
      <c r="N3307" t="s">
        <v>934</v>
      </c>
      <c r="Q3307">
        <v>29238</v>
      </c>
      <c r="R3307" t="s">
        <v>119</v>
      </c>
      <c r="S3307" t="s">
        <v>17487</v>
      </c>
      <c r="T3307">
        <v>30</v>
      </c>
      <c r="W3307" t="s">
        <v>2127</v>
      </c>
      <c r="X3307">
        <v>838571</v>
      </c>
      <c r="Y3307" t="s">
        <v>301</v>
      </c>
      <c r="Z3307" t="s">
        <v>301</v>
      </c>
      <c r="AA3307" s="2" t="s">
        <v>20351</v>
      </c>
      <c r="AB3307" t="s">
        <v>2131</v>
      </c>
      <c r="AG3307" t="s">
        <v>20352</v>
      </c>
      <c r="AH3307" t="s">
        <v>17491</v>
      </c>
      <c r="AI3307" t="s">
        <v>20353</v>
      </c>
    </row>
    <row r="3308" spans="2:35" ht="315">
      <c r="B3308" s="1">
        <v>45534</v>
      </c>
      <c r="C3308" s="4">
        <v>45534.488194444442</v>
      </c>
      <c r="D3308" t="s">
        <v>20354</v>
      </c>
      <c r="E3308" t="s">
        <v>718</v>
      </c>
      <c r="F3308">
        <v>6</v>
      </c>
      <c r="G3308" t="s">
        <v>5216</v>
      </c>
      <c r="H3308" t="s">
        <v>39</v>
      </c>
      <c r="I3308" t="s">
        <v>94</v>
      </c>
      <c r="J3308" s="2" t="s">
        <v>4373</v>
      </c>
      <c r="K3308" t="s">
        <v>42</v>
      </c>
      <c r="L3308" t="s">
        <v>594</v>
      </c>
      <c r="N3308" t="s">
        <v>595</v>
      </c>
      <c r="O3308" t="s">
        <v>595</v>
      </c>
      <c r="Q3308">
        <v>29237</v>
      </c>
      <c r="R3308" t="s">
        <v>119</v>
      </c>
      <c r="S3308" t="s">
        <v>13446</v>
      </c>
      <c r="T3308">
        <v>24</v>
      </c>
      <c r="V3308" s="1">
        <v>45533</v>
      </c>
      <c r="W3308" t="s">
        <v>502</v>
      </c>
      <c r="X3308">
        <v>838291</v>
      </c>
      <c r="Y3308" t="s">
        <v>54</v>
      </c>
      <c r="Z3308" t="s">
        <v>20355</v>
      </c>
      <c r="AA3308" s="2" t="s">
        <v>20356</v>
      </c>
      <c r="AB3308" t="s">
        <v>9638</v>
      </c>
      <c r="AC3308" t="s">
        <v>20357</v>
      </c>
      <c r="AG3308" t="s">
        <v>20358</v>
      </c>
      <c r="AH3308" t="s">
        <v>20359</v>
      </c>
      <c r="AI3308" t="s">
        <v>20360</v>
      </c>
    </row>
    <row r="3309" spans="2:35" ht="409.5">
      <c r="B3309" s="1">
        <v>45534</v>
      </c>
      <c r="C3309" s="4">
        <v>45533.706944444442</v>
      </c>
      <c r="D3309" t="s">
        <v>5496</v>
      </c>
      <c r="E3309" t="s">
        <v>20361</v>
      </c>
      <c r="F3309">
        <v>5</v>
      </c>
      <c r="G3309" t="s">
        <v>839</v>
      </c>
      <c r="H3309" t="s">
        <v>39</v>
      </c>
      <c r="I3309" t="s">
        <v>94</v>
      </c>
      <c r="J3309" s="2" t="s">
        <v>41</v>
      </c>
      <c r="K3309" t="s">
        <v>42</v>
      </c>
      <c r="L3309" t="s">
        <v>761</v>
      </c>
      <c r="N3309" t="s">
        <v>762</v>
      </c>
      <c r="Q3309">
        <v>29236</v>
      </c>
      <c r="R3309" t="s">
        <v>119</v>
      </c>
      <c r="S3309" t="s">
        <v>20362</v>
      </c>
      <c r="T3309">
        <v>29</v>
      </c>
      <c r="U3309" s="2" t="s">
        <v>20363</v>
      </c>
      <c r="W3309" t="s">
        <v>765</v>
      </c>
      <c r="X3309">
        <v>838391</v>
      </c>
      <c r="Y3309" s="2" t="s">
        <v>20364</v>
      </c>
      <c r="Z3309" s="2" t="s">
        <v>20365</v>
      </c>
      <c r="AA3309" s="2" t="s">
        <v>20366</v>
      </c>
      <c r="AB3309" t="s">
        <v>70</v>
      </c>
      <c r="AG3309" t="s">
        <v>20367</v>
      </c>
      <c r="AH3309" t="s">
        <v>20368</v>
      </c>
      <c r="AI3309" t="s">
        <v>20369</v>
      </c>
    </row>
    <row r="3310" spans="2:35" ht="409.5">
      <c r="B3310" s="1">
        <v>45534</v>
      </c>
      <c r="C3310" s="4">
        <v>45534.448611111111</v>
      </c>
      <c r="D3310" t="s">
        <v>20370</v>
      </c>
      <c r="E3310" t="s">
        <v>20371</v>
      </c>
      <c r="F3310" t="s">
        <v>148</v>
      </c>
      <c r="G3310" t="s">
        <v>310</v>
      </c>
      <c r="H3310" t="s">
        <v>295</v>
      </c>
      <c r="I3310" t="s">
        <v>40</v>
      </c>
      <c r="J3310" s="2" t="s">
        <v>190</v>
      </c>
      <c r="K3310" t="s">
        <v>42</v>
      </c>
      <c r="L3310" t="s">
        <v>1943</v>
      </c>
      <c r="N3310" t="s">
        <v>1944</v>
      </c>
      <c r="Q3310">
        <v>29235</v>
      </c>
      <c r="R3310" t="s">
        <v>322</v>
      </c>
      <c r="S3310" t="s">
        <v>12200</v>
      </c>
      <c r="T3310">
        <v>25</v>
      </c>
      <c r="U3310" s="2" t="s">
        <v>20372</v>
      </c>
      <c r="W3310" t="s">
        <v>895</v>
      </c>
      <c r="X3310">
        <v>844975</v>
      </c>
      <c r="Y3310" s="2" t="s">
        <v>20373</v>
      </c>
      <c r="Z3310" t="s">
        <v>2100</v>
      </c>
      <c r="AA3310" s="2" t="s">
        <v>20374</v>
      </c>
      <c r="AB3310" t="s">
        <v>20375</v>
      </c>
      <c r="AG3310" t="s">
        <v>20376</v>
      </c>
      <c r="AH3310" t="s">
        <v>20377</v>
      </c>
      <c r="AI3310" t="s">
        <v>20378</v>
      </c>
    </row>
    <row r="3311" spans="2:35" ht="285">
      <c r="B3311" s="1">
        <v>45533</v>
      </c>
      <c r="C3311" s="4">
        <v>45533.63958333333</v>
      </c>
      <c r="D3311" t="s">
        <v>7522</v>
      </c>
      <c r="E3311" t="s">
        <v>9044</v>
      </c>
      <c r="F3311">
        <v>11</v>
      </c>
      <c r="G3311" t="s">
        <v>1759</v>
      </c>
      <c r="H3311" t="s">
        <v>202</v>
      </c>
      <c r="I3311" t="s">
        <v>40</v>
      </c>
      <c r="J3311" t="s">
        <v>109</v>
      </c>
      <c r="K3311" t="s">
        <v>42</v>
      </c>
      <c r="L3311" t="s">
        <v>204</v>
      </c>
      <c r="N3311" t="s">
        <v>205</v>
      </c>
      <c r="Q3311">
        <v>29234</v>
      </c>
      <c r="R3311" t="s">
        <v>119</v>
      </c>
      <c r="S3311" t="s">
        <v>7524</v>
      </c>
      <c r="T3311">
        <v>29.5</v>
      </c>
      <c r="U3311" s="2" t="s">
        <v>20379</v>
      </c>
      <c r="W3311" t="s">
        <v>208</v>
      </c>
      <c r="X3311">
        <v>838500</v>
      </c>
      <c r="Y3311" t="s">
        <v>20380</v>
      </c>
      <c r="Z3311" s="2" t="s">
        <v>20381</v>
      </c>
      <c r="AA3311" t="s">
        <v>20156</v>
      </c>
      <c r="AB3311" t="s">
        <v>20382</v>
      </c>
      <c r="AC3311" t="s">
        <v>20383</v>
      </c>
      <c r="AG3311" t="s">
        <v>20384</v>
      </c>
      <c r="AH3311" t="s">
        <v>20385</v>
      </c>
      <c r="AI3311" t="s">
        <v>20386</v>
      </c>
    </row>
    <row r="3312" spans="2:35" ht="120">
      <c r="B3312" s="1">
        <v>45533</v>
      </c>
      <c r="C3312" s="4">
        <v>45533.387499999997</v>
      </c>
      <c r="D3312" t="s">
        <v>16626</v>
      </c>
      <c r="E3312" t="s">
        <v>20387</v>
      </c>
      <c r="F3312">
        <v>10</v>
      </c>
      <c r="G3312" t="s">
        <v>8359</v>
      </c>
      <c r="H3312" t="s">
        <v>2125</v>
      </c>
      <c r="I3312" t="s">
        <v>40</v>
      </c>
      <c r="J3312" t="s">
        <v>109</v>
      </c>
      <c r="K3312" t="s">
        <v>42</v>
      </c>
      <c r="L3312" t="s">
        <v>933</v>
      </c>
      <c r="N3312" t="s">
        <v>934</v>
      </c>
      <c r="Q3312">
        <v>29233</v>
      </c>
      <c r="R3312" t="s">
        <v>119</v>
      </c>
      <c r="S3312" t="s">
        <v>16628</v>
      </c>
      <c r="T3312">
        <v>27</v>
      </c>
      <c r="W3312" t="s">
        <v>2127</v>
      </c>
      <c r="X3312">
        <v>838271</v>
      </c>
      <c r="Y3312" t="s">
        <v>20388</v>
      </c>
      <c r="Z3312" t="s">
        <v>301</v>
      </c>
      <c r="AA3312" s="2" t="s">
        <v>20351</v>
      </c>
      <c r="AB3312" t="s">
        <v>18766</v>
      </c>
      <c r="AG3312" t="s">
        <v>20389</v>
      </c>
      <c r="AH3312" t="s">
        <v>19086</v>
      </c>
      <c r="AI3312" t="s">
        <v>20390</v>
      </c>
    </row>
    <row r="3313" spans="2:35" ht="120">
      <c r="B3313" s="1">
        <v>45533</v>
      </c>
      <c r="C3313" s="4">
        <v>45533.621527777781</v>
      </c>
      <c r="D3313" t="s">
        <v>11255</v>
      </c>
      <c r="E3313" t="s">
        <v>16661</v>
      </c>
      <c r="F3313">
        <v>10</v>
      </c>
      <c r="G3313" t="s">
        <v>8359</v>
      </c>
      <c r="H3313" t="s">
        <v>2125</v>
      </c>
      <c r="I3313" t="s">
        <v>40</v>
      </c>
      <c r="J3313" t="s">
        <v>109</v>
      </c>
      <c r="K3313" t="s">
        <v>42</v>
      </c>
      <c r="L3313" t="s">
        <v>933</v>
      </c>
      <c r="N3313" t="s">
        <v>934</v>
      </c>
      <c r="Q3313">
        <v>29232</v>
      </c>
      <c r="R3313" t="s">
        <v>119</v>
      </c>
      <c r="S3313" t="s">
        <v>16662</v>
      </c>
      <c r="T3313">
        <v>30</v>
      </c>
      <c r="W3313" t="s">
        <v>2127</v>
      </c>
      <c r="X3313">
        <v>838440</v>
      </c>
      <c r="Y3313" t="s">
        <v>301</v>
      </c>
      <c r="Z3313" t="s">
        <v>301</v>
      </c>
      <c r="AA3313" s="2" t="s">
        <v>20351</v>
      </c>
      <c r="AB3313" t="s">
        <v>8924</v>
      </c>
      <c r="AG3313" t="s">
        <v>20391</v>
      </c>
      <c r="AH3313" t="s">
        <v>16665</v>
      </c>
      <c r="AI3313" t="s">
        <v>20392</v>
      </c>
    </row>
    <row r="3314" spans="2:35" ht="270">
      <c r="B3314" s="1">
        <v>45533</v>
      </c>
      <c r="C3314" s="4">
        <v>45533.436111111114</v>
      </c>
      <c r="D3314" t="s">
        <v>8188</v>
      </c>
      <c r="E3314" t="s">
        <v>18796</v>
      </c>
      <c r="F3314" t="s">
        <v>1255</v>
      </c>
      <c r="G3314" t="s">
        <v>1887</v>
      </c>
      <c r="H3314" t="s">
        <v>1473</v>
      </c>
      <c r="I3314" t="s">
        <v>40</v>
      </c>
      <c r="J3314" t="s">
        <v>109</v>
      </c>
      <c r="K3314" t="s">
        <v>42</v>
      </c>
      <c r="L3314" t="s">
        <v>296</v>
      </c>
      <c r="N3314" t="s">
        <v>297</v>
      </c>
      <c r="Q3314">
        <v>29231</v>
      </c>
      <c r="R3314" t="s">
        <v>119</v>
      </c>
      <c r="S3314" t="s">
        <v>8190</v>
      </c>
      <c r="T3314">
        <v>26.8</v>
      </c>
      <c r="U3314" s="2" t="s">
        <v>19626</v>
      </c>
      <c r="W3314" t="s">
        <v>981</v>
      </c>
      <c r="X3314">
        <v>837613</v>
      </c>
      <c r="Y3314" t="s">
        <v>54</v>
      </c>
      <c r="Z3314" t="s">
        <v>9161</v>
      </c>
      <c r="AA3314" s="2" t="s">
        <v>19856</v>
      </c>
      <c r="AB3314" t="s">
        <v>972</v>
      </c>
      <c r="AG3314" t="s">
        <v>20393</v>
      </c>
      <c r="AH3314" t="s">
        <v>20394</v>
      </c>
      <c r="AI3314" t="s">
        <v>20395</v>
      </c>
    </row>
    <row r="3315" spans="2:35" ht="270">
      <c r="B3315" s="1">
        <v>45533</v>
      </c>
      <c r="C3315" s="4">
        <v>45533.436111111114</v>
      </c>
      <c r="D3315" t="s">
        <v>8188</v>
      </c>
      <c r="E3315" t="s">
        <v>18796</v>
      </c>
      <c r="F3315" t="s">
        <v>1255</v>
      </c>
      <c r="G3315" t="s">
        <v>1887</v>
      </c>
      <c r="H3315" t="s">
        <v>1473</v>
      </c>
      <c r="I3315" t="s">
        <v>40</v>
      </c>
      <c r="J3315" t="s">
        <v>109</v>
      </c>
      <c r="K3315" t="s">
        <v>42</v>
      </c>
      <c r="L3315" t="s">
        <v>296</v>
      </c>
      <c r="N3315" t="s">
        <v>297</v>
      </c>
      <c r="Q3315">
        <v>29230</v>
      </c>
      <c r="R3315" t="s">
        <v>119</v>
      </c>
      <c r="S3315" t="s">
        <v>8190</v>
      </c>
      <c r="T3315">
        <v>26.8</v>
      </c>
      <c r="U3315" s="2" t="s">
        <v>19626</v>
      </c>
      <c r="W3315" t="s">
        <v>981</v>
      </c>
      <c r="X3315">
        <v>837613</v>
      </c>
      <c r="Y3315" t="s">
        <v>54</v>
      </c>
      <c r="Z3315" t="s">
        <v>9161</v>
      </c>
      <c r="AA3315" s="2" t="s">
        <v>19856</v>
      </c>
      <c r="AB3315" t="s">
        <v>972</v>
      </c>
      <c r="AG3315" t="s">
        <v>20396</v>
      </c>
      <c r="AH3315" t="s">
        <v>20394</v>
      </c>
      <c r="AI3315" t="s">
        <v>20397</v>
      </c>
    </row>
    <row r="3316" spans="2:35" ht="135">
      <c r="B3316" s="1">
        <v>45533</v>
      </c>
      <c r="C3316" s="4">
        <v>45532.54583333333</v>
      </c>
      <c r="D3316" t="s">
        <v>10983</v>
      </c>
      <c r="E3316" t="s">
        <v>20398</v>
      </c>
      <c r="F3316">
        <v>6</v>
      </c>
      <c r="G3316" t="s">
        <v>1234</v>
      </c>
      <c r="H3316" t="s">
        <v>39</v>
      </c>
      <c r="I3316" t="s">
        <v>40</v>
      </c>
      <c r="J3316" s="2" t="s">
        <v>62</v>
      </c>
      <c r="K3316" t="s">
        <v>42</v>
      </c>
      <c r="L3316" t="s">
        <v>433</v>
      </c>
      <c r="N3316" t="s">
        <v>434</v>
      </c>
      <c r="Q3316">
        <v>29229</v>
      </c>
      <c r="R3316" t="s">
        <v>119</v>
      </c>
      <c r="S3316" t="s">
        <v>20399</v>
      </c>
      <c r="T3316">
        <v>29</v>
      </c>
      <c r="W3316" t="s">
        <v>1008</v>
      </c>
      <c r="X3316">
        <v>838464</v>
      </c>
      <c r="Y3316" s="2" t="s">
        <v>20400</v>
      </c>
      <c r="Z3316" s="2" t="s">
        <v>20401</v>
      </c>
      <c r="AA3316" s="2" t="s">
        <v>20401</v>
      </c>
      <c r="AB3316" s="2" t="s">
        <v>20402</v>
      </c>
      <c r="AG3316" t="s">
        <v>20403</v>
      </c>
      <c r="AH3316" t="s">
        <v>20404</v>
      </c>
      <c r="AI3316" t="s">
        <v>20405</v>
      </c>
    </row>
    <row r="3317" spans="2:35" ht="120">
      <c r="B3317" s="1">
        <v>45533</v>
      </c>
      <c r="C3317" s="4">
        <v>45533.509027777778</v>
      </c>
      <c r="D3317" t="s">
        <v>20406</v>
      </c>
      <c r="E3317" t="s">
        <v>20407</v>
      </c>
      <c r="F3317">
        <v>10</v>
      </c>
      <c r="G3317" t="s">
        <v>8359</v>
      </c>
      <c r="H3317" t="s">
        <v>39</v>
      </c>
      <c r="I3317" t="s">
        <v>40</v>
      </c>
      <c r="J3317" t="s">
        <v>109</v>
      </c>
      <c r="K3317" t="s">
        <v>42</v>
      </c>
      <c r="L3317" t="s">
        <v>933</v>
      </c>
      <c r="N3317" t="s">
        <v>934</v>
      </c>
      <c r="Q3317">
        <v>29228</v>
      </c>
      <c r="R3317" t="s">
        <v>119</v>
      </c>
      <c r="S3317" t="s">
        <v>19076</v>
      </c>
      <c r="T3317">
        <v>30</v>
      </c>
      <c r="W3317" t="s">
        <v>2127</v>
      </c>
      <c r="X3317">
        <v>838547</v>
      </c>
      <c r="Y3317" t="s">
        <v>20408</v>
      </c>
      <c r="Z3317" t="s">
        <v>301</v>
      </c>
      <c r="AA3317" s="2" t="s">
        <v>20351</v>
      </c>
      <c r="AB3317" t="s">
        <v>2131</v>
      </c>
      <c r="AG3317" t="s">
        <v>20409</v>
      </c>
      <c r="AH3317" t="s">
        <v>19078</v>
      </c>
      <c r="AI3317" t="s">
        <v>20410</v>
      </c>
    </row>
    <row r="3318" spans="2:35" ht="105">
      <c r="B3318" s="1">
        <v>45533</v>
      </c>
      <c r="C3318" s="4">
        <v>45533.440972222219</v>
      </c>
      <c r="D3318" t="s">
        <v>20411</v>
      </c>
      <c r="E3318" t="s">
        <v>9726</v>
      </c>
      <c r="F3318">
        <v>10</v>
      </c>
      <c r="G3318" t="s">
        <v>1395</v>
      </c>
      <c r="H3318" t="s">
        <v>10969</v>
      </c>
      <c r="I3318" t="s">
        <v>40</v>
      </c>
      <c r="J3318" s="2" t="s">
        <v>20412</v>
      </c>
      <c r="K3318" t="s">
        <v>42</v>
      </c>
      <c r="L3318" t="s">
        <v>1288</v>
      </c>
      <c r="N3318" t="s">
        <v>1289</v>
      </c>
      <c r="Q3318">
        <v>29227</v>
      </c>
      <c r="R3318" t="s">
        <v>119</v>
      </c>
      <c r="S3318" t="s">
        <v>9727</v>
      </c>
      <c r="T3318">
        <v>28</v>
      </c>
      <c r="U3318" s="2" t="s">
        <v>20413</v>
      </c>
      <c r="W3318" t="s">
        <v>1292</v>
      </c>
      <c r="X3318">
        <v>838562</v>
      </c>
      <c r="Y3318" t="e">
        <f ca="1">-_xludf.For Preventive Maintenance
-GX STICKER ID Installation</f>
        <v>#NAME?</v>
      </c>
      <c r="Z3318" t="e">
        <f ca="1">-COLLECT IQR,system _xludf.Log, _xludf.and ARCHIVE</f>
        <v>#NAME?</v>
      </c>
      <c r="AA3318" t="e">
        <f ca="1">-PERFORM GX Cleaning _xludf.and Preventive Maintenance PROCEDURE</f>
        <v>#NAME?</v>
      </c>
      <c r="AB3318" t="s">
        <v>1293</v>
      </c>
      <c r="AG3318" t="s">
        <v>20414</v>
      </c>
      <c r="AH3318" t="s">
        <v>18384</v>
      </c>
      <c r="AI3318" t="s">
        <v>20415</v>
      </c>
    </row>
    <row r="3319" spans="2:35" ht="105">
      <c r="B3319" s="1">
        <v>45533</v>
      </c>
      <c r="C3319" s="4">
        <v>45533.434027777781</v>
      </c>
      <c r="D3319" t="s">
        <v>340</v>
      </c>
      <c r="E3319" t="s">
        <v>8872</v>
      </c>
      <c r="F3319">
        <v>8</v>
      </c>
      <c r="G3319" t="s">
        <v>342</v>
      </c>
      <c r="H3319" t="s">
        <v>202</v>
      </c>
      <c r="I3319" t="s">
        <v>40</v>
      </c>
      <c r="J3319" t="s">
        <v>109</v>
      </c>
      <c r="K3319" t="s">
        <v>42</v>
      </c>
      <c r="L3319" t="s">
        <v>259</v>
      </c>
      <c r="N3319" t="s">
        <v>260</v>
      </c>
      <c r="O3319" t="s">
        <v>260</v>
      </c>
      <c r="Q3319">
        <v>29226</v>
      </c>
      <c r="R3319" t="s">
        <v>119</v>
      </c>
      <c r="S3319" t="s">
        <v>345</v>
      </c>
      <c r="T3319">
        <v>25</v>
      </c>
      <c r="U3319" s="2" t="s">
        <v>20416</v>
      </c>
      <c r="V3319" s="1">
        <v>45533</v>
      </c>
      <c r="W3319" t="s">
        <v>84</v>
      </c>
      <c r="X3319">
        <v>838555</v>
      </c>
      <c r="Y3319" t="s">
        <v>54</v>
      </c>
      <c r="Z3319" t="s">
        <v>1716</v>
      </c>
      <c r="AA3319" t="e">
        <f ca="1">- Preventive Maintenance (Cleaning plunger rod, cartridge bay, icore _xludf.and FAN _xludf.filter)
- performed functionality test</f>
        <v>#NAME?</v>
      </c>
      <c r="AB3319" t="s">
        <v>181</v>
      </c>
      <c r="AG3319" t="s">
        <v>20417</v>
      </c>
      <c r="AH3319" t="s">
        <v>20418</v>
      </c>
      <c r="AI3319" t="s">
        <v>20419</v>
      </c>
    </row>
    <row r="3320" spans="2:35" ht="375">
      <c r="B3320" s="1">
        <v>45533</v>
      </c>
      <c r="C3320" s="4">
        <v>45532.658333333333</v>
      </c>
      <c r="D3320" t="s">
        <v>5645</v>
      </c>
      <c r="E3320" t="s">
        <v>2136</v>
      </c>
      <c r="F3320" t="s">
        <v>1255</v>
      </c>
      <c r="G3320" t="s">
        <v>1887</v>
      </c>
      <c r="H3320" t="s">
        <v>1473</v>
      </c>
      <c r="I3320" t="s">
        <v>40</v>
      </c>
      <c r="J3320" t="s">
        <v>109</v>
      </c>
      <c r="K3320" t="s">
        <v>42</v>
      </c>
      <c r="L3320" t="s">
        <v>296</v>
      </c>
      <c r="N3320" t="s">
        <v>297</v>
      </c>
      <c r="Q3320">
        <v>29225</v>
      </c>
      <c r="R3320" t="s">
        <v>119</v>
      </c>
      <c r="S3320" t="s">
        <v>5646</v>
      </c>
      <c r="T3320">
        <v>27.3</v>
      </c>
      <c r="U3320" s="2" t="s">
        <v>20420</v>
      </c>
      <c r="W3320" t="s">
        <v>981</v>
      </c>
      <c r="X3320">
        <v>838528</v>
      </c>
      <c r="Y3320" t="s">
        <v>20421</v>
      </c>
      <c r="Z3320" t="s">
        <v>9161</v>
      </c>
      <c r="AA3320" s="2" t="s">
        <v>20422</v>
      </c>
      <c r="AB3320" t="s">
        <v>1480</v>
      </c>
      <c r="AG3320" t="s">
        <v>20423</v>
      </c>
      <c r="AH3320" t="s">
        <v>5650</v>
      </c>
      <c r="AI3320" t="s">
        <v>20424</v>
      </c>
    </row>
    <row r="3321" spans="2:35" ht="375">
      <c r="B3321" s="1">
        <v>45533</v>
      </c>
      <c r="C3321" s="4">
        <v>45532.662499999999</v>
      </c>
      <c r="D3321" t="s">
        <v>5645</v>
      </c>
      <c r="E3321" t="s">
        <v>2136</v>
      </c>
      <c r="F3321" t="s">
        <v>1255</v>
      </c>
      <c r="G3321" t="s">
        <v>1887</v>
      </c>
      <c r="H3321" t="s">
        <v>1473</v>
      </c>
      <c r="I3321" t="s">
        <v>40</v>
      </c>
      <c r="J3321" t="s">
        <v>109</v>
      </c>
      <c r="K3321" t="s">
        <v>42</v>
      </c>
      <c r="L3321" t="s">
        <v>296</v>
      </c>
      <c r="N3321" t="s">
        <v>297</v>
      </c>
      <c r="Q3321">
        <v>29224</v>
      </c>
      <c r="R3321" t="s">
        <v>967</v>
      </c>
      <c r="S3321" t="s">
        <v>11535</v>
      </c>
      <c r="T3321">
        <v>27.1</v>
      </c>
      <c r="U3321" s="2" t="s">
        <v>20420</v>
      </c>
      <c r="W3321" t="s">
        <v>970</v>
      </c>
      <c r="X3321">
        <v>110023524</v>
      </c>
      <c r="Y3321" t="s">
        <v>54</v>
      </c>
      <c r="Z3321" t="s">
        <v>20425</v>
      </c>
      <c r="AA3321" s="2" t="s">
        <v>20422</v>
      </c>
      <c r="AB3321" t="s">
        <v>972</v>
      </c>
      <c r="AG3321" t="s">
        <v>20426</v>
      </c>
      <c r="AH3321" t="s">
        <v>20427</v>
      </c>
      <c r="AI3321" t="s">
        <v>20428</v>
      </c>
    </row>
    <row r="3322" spans="2:35" ht="195">
      <c r="B3322" s="1">
        <v>45532</v>
      </c>
      <c r="C3322" s="4">
        <v>45532.645833333336</v>
      </c>
      <c r="D3322" t="s">
        <v>8483</v>
      </c>
      <c r="E3322" t="s">
        <v>20429</v>
      </c>
      <c r="F3322">
        <v>13</v>
      </c>
      <c r="G3322" t="s">
        <v>1395</v>
      </c>
      <c r="H3322" t="s">
        <v>202</v>
      </c>
      <c r="I3322" t="s">
        <v>40</v>
      </c>
      <c r="J3322" t="s">
        <v>109</v>
      </c>
      <c r="K3322" t="s">
        <v>42</v>
      </c>
      <c r="L3322" t="s">
        <v>933</v>
      </c>
      <c r="N3322" t="s">
        <v>934</v>
      </c>
      <c r="Q3322">
        <v>29223</v>
      </c>
      <c r="R3322" t="s">
        <v>119</v>
      </c>
      <c r="S3322" t="s">
        <v>12065</v>
      </c>
      <c r="T3322">
        <v>29</v>
      </c>
      <c r="W3322" t="s">
        <v>2127</v>
      </c>
      <c r="X3322">
        <v>838574</v>
      </c>
      <c r="Y3322" t="s">
        <v>20430</v>
      </c>
      <c r="Z3322" t="s">
        <v>301</v>
      </c>
      <c r="AA3322" s="2" t="s">
        <v>20351</v>
      </c>
      <c r="AB3322" s="2" t="s">
        <v>20431</v>
      </c>
      <c r="AG3322" t="s">
        <v>20432</v>
      </c>
      <c r="AH3322" t="s">
        <v>8488</v>
      </c>
      <c r="AI3322" t="s">
        <v>20433</v>
      </c>
    </row>
    <row r="3323" spans="2:35" ht="225">
      <c r="B3323" s="1">
        <v>45532</v>
      </c>
      <c r="C3323" s="4">
        <v>45532.640277777777</v>
      </c>
      <c r="D3323" t="s">
        <v>17706</v>
      </c>
      <c r="E3323" t="s">
        <v>9769</v>
      </c>
      <c r="F3323">
        <v>10</v>
      </c>
      <c r="G3323" t="s">
        <v>1395</v>
      </c>
      <c r="H3323" t="s">
        <v>39</v>
      </c>
      <c r="I3323" t="s">
        <v>40</v>
      </c>
      <c r="J3323" s="2" t="s">
        <v>20412</v>
      </c>
      <c r="K3323" t="s">
        <v>42</v>
      </c>
      <c r="L3323" t="s">
        <v>1288</v>
      </c>
      <c r="N3323" t="s">
        <v>1289</v>
      </c>
      <c r="Q3323">
        <v>29222</v>
      </c>
      <c r="R3323" t="s">
        <v>119</v>
      </c>
      <c r="S3323" t="s">
        <v>7078</v>
      </c>
      <c r="T3323">
        <v>27</v>
      </c>
      <c r="U3323" s="2" t="s">
        <v>8751</v>
      </c>
      <c r="W3323" t="s">
        <v>1292</v>
      </c>
      <c r="X3323">
        <v>838575</v>
      </c>
      <c r="Y3323" s="2" t="s">
        <v>20434</v>
      </c>
      <c r="Z3323" t="e">
        <f ca="1">-COLLECT IQR,system _xludf.Log, _xludf.and ARCHIVE</f>
        <v>#NAME?</v>
      </c>
      <c r="AA3323" t="e">
        <f ca="1">-PERFORM GX WORSKTATION Cleaning _xludf.and Preventive Maintenance PROCEDURE</f>
        <v>#NAME?</v>
      </c>
      <c r="AB3323" t="e">
        <f ca="1">-EQUIPMENT is operational</f>
        <v>#NAME?</v>
      </c>
      <c r="AC3323" t="e">
        <f ca="1">-_xludf.For FAN _xludf.filter Replacement</f>
        <v>#NAME?</v>
      </c>
      <c r="AG3323" t="s">
        <v>20435</v>
      </c>
      <c r="AH3323" t="s">
        <v>20436</v>
      </c>
      <c r="AI3323" t="s">
        <v>20437</v>
      </c>
    </row>
    <row r="3324" spans="2:35" ht="405">
      <c r="B3324" s="1">
        <v>45532</v>
      </c>
      <c r="C3324" s="4">
        <v>45532.529166666667</v>
      </c>
      <c r="D3324" t="s">
        <v>7826</v>
      </c>
      <c r="E3324" t="s">
        <v>7827</v>
      </c>
      <c r="F3324">
        <v>11</v>
      </c>
      <c r="G3324" t="s">
        <v>1759</v>
      </c>
      <c r="H3324" t="s">
        <v>202</v>
      </c>
      <c r="I3324" t="s">
        <v>40</v>
      </c>
      <c r="J3324" t="s">
        <v>79</v>
      </c>
      <c r="K3324" t="s">
        <v>42</v>
      </c>
      <c r="L3324" t="s">
        <v>204</v>
      </c>
      <c r="N3324" t="s">
        <v>205</v>
      </c>
      <c r="Q3324">
        <v>29221</v>
      </c>
      <c r="R3324" t="s">
        <v>119</v>
      </c>
      <c r="S3324" t="s">
        <v>7828</v>
      </c>
      <c r="T3324">
        <v>28.6</v>
      </c>
      <c r="U3324" s="2" t="s">
        <v>17275</v>
      </c>
      <c r="W3324" t="s">
        <v>208</v>
      </c>
      <c r="X3324">
        <v>838487</v>
      </c>
      <c r="Y3324" t="s">
        <v>20438</v>
      </c>
      <c r="Z3324" s="2" t="s">
        <v>20439</v>
      </c>
      <c r="AA3324" t="s">
        <v>20440</v>
      </c>
      <c r="AB3324" t="s">
        <v>20441</v>
      </c>
      <c r="AG3324" t="s">
        <v>20442</v>
      </c>
      <c r="AH3324" t="s">
        <v>20443</v>
      </c>
      <c r="AI3324" t="s">
        <v>20444</v>
      </c>
    </row>
    <row r="3325" spans="2:35" ht="210">
      <c r="B3325" s="1">
        <v>45532</v>
      </c>
      <c r="C3325" s="4">
        <v>45532.376388888886</v>
      </c>
      <c r="D3325" t="s">
        <v>8907</v>
      </c>
      <c r="E3325" t="s">
        <v>9399</v>
      </c>
      <c r="F3325">
        <v>6</v>
      </c>
      <c r="G3325" t="s">
        <v>9400</v>
      </c>
      <c r="H3325" t="s">
        <v>1498</v>
      </c>
      <c r="I3325" t="s">
        <v>40</v>
      </c>
      <c r="J3325" t="s">
        <v>20445</v>
      </c>
      <c r="K3325" t="s">
        <v>42</v>
      </c>
      <c r="L3325" t="s">
        <v>343</v>
      </c>
      <c r="N3325" t="s">
        <v>344</v>
      </c>
      <c r="Q3325">
        <v>29220</v>
      </c>
      <c r="R3325" t="s">
        <v>119</v>
      </c>
      <c r="S3325" t="s">
        <v>9401</v>
      </c>
      <c r="T3325">
        <v>28</v>
      </c>
      <c r="U3325" s="2" t="s">
        <v>20446</v>
      </c>
      <c r="W3325" t="s">
        <v>1501</v>
      </c>
      <c r="X3325">
        <v>838412</v>
      </c>
      <c r="Y3325" t="s">
        <v>3191</v>
      </c>
      <c r="Z3325" t="e">
        <f ca="1">-run XpertCheck on ALL four modules</f>
        <v>#NAME?</v>
      </c>
      <c r="AA3325" t="e">
        <f ca="1">-Preventive Maintenance
-XpertCheck CALIBRATION
-GeneXpert ID STICKER Installation</f>
        <v>#NAME?</v>
      </c>
      <c r="AB3325" t="s">
        <v>20447</v>
      </c>
      <c r="AG3325" t="s">
        <v>20448</v>
      </c>
      <c r="AH3325" t="s">
        <v>15647</v>
      </c>
      <c r="AI3325" t="s">
        <v>20449</v>
      </c>
    </row>
    <row r="3326" spans="2:35" ht="225">
      <c r="B3326" s="1">
        <v>45531</v>
      </c>
      <c r="C3326" s="4">
        <v>45531.645138888889</v>
      </c>
      <c r="D3326" t="s">
        <v>5087</v>
      </c>
      <c r="E3326" t="s">
        <v>20186</v>
      </c>
      <c r="F3326" t="s">
        <v>148</v>
      </c>
      <c r="G3326" t="s">
        <v>447</v>
      </c>
      <c r="H3326" t="s">
        <v>4735</v>
      </c>
      <c r="I3326" t="s">
        <v>40</v>
      </c>
      <c r="J3326" t="s">
        <v>79</v>
      </c>
      <c r="K3326" t="s">
        <v>387</v>
      </c>
      <c r="L3326" t="s">
        <v>448</v>
      </c>
      <c r="N3326" t="s">
        <v>450</v>
      </c>
      <c r="O3326" t="s">
        <v>650</v>
      </c>
      <c r="Q3326">
        <v>29219</v>
      </c>
      <c r="R3326" t="s">
        <v>322</v>
      </c>
      <c r="S3326" t="s">
        <v>650</v>
      </c>
      <c r="T3326">
        <v>26</v>
      </c>
      <c r="W3326" t="s">
        <v>6251</v>
      </c>
      <c r="X3326" t="s">
        <v>20450</v>
      </c>
      <c r="Y3326" t="s">
        <v>20451</v>
      </c>
      <c r="Z3326" s="2" t="s">
        <v>20452</v>
      </c>
      <c r="AA3326" t="s">
        <v>9749</v>
      </c>
      <c r="AB3326" t="s">
        <v>486</v>
      </c>
      <c r="AG3326" t="s">
        <v>20453</v>
      </c>
      <c r="AH3326" t="s">
        <v>6373</v>
      </c>
      <c r="AI3326" t="s">
        <v>20454</v>
      </c>
    </row>
    <row r="3327" spans="2:35" ht="210">
      <c r="B3327" s="1">
        <v>45531</v>
      </c>
      <c r="C3327" s="4">
        <v>45531.643750000003</v>
      </c>
      <c r="D3327" t="s">
        <v>5087</v>
      </c>
      <c r="E3327" t="s">
        <v>20455</v>
      </c>
      <c r="F3327" t="s">
        <v>148</v>
      </c>
      <c r="G3327" t="s">
        <v>447</v>
      </c>
      <c r="H3327" t="s">
        <v>4735</v>
      </c>
      <c r="I3327" t="s">
        <v>40</v>
      </c>
      <c r="J3327" t="s">
        <v>79</v>
      </c>
      <c r="K3327" t="s">
        <v>387</v>
      </c>
      <c r="L3327" t="s">
        <v>448</v>
      </c>
      <c r="N3327" t="s">
        <v>450</v>
      </c>
      <c r="O3327" t="s">
        <v>650</v>
      </c>
      <c r="Q3327">
        <v>29218</v>
      </c>
      <c r="R3327" t="s">
        <v>322</v>
      </c>
      <c r="S3327" t="s">
        <v>650</v>
      </c>
      <c r="T3327">
        <v>26</v>
      </c>
      <c r="W3327" t="s">
        <v>6251</v>
      </c>
      <c r="X3327" t="s">
        <v>20456</v>
      </c>
      <c r="Y3327" t="s">
        <v>20451</v>
      </c>
      <c r="Z3327" s="2" t="s">
        <v>20457</v>
      </c>
      <c r="AA3327" t="s">
        <v>9749</v>
      </c>
      <c r="AB3327" t="s">
        <v>486</v>
      </c>
      <c r="AG3327" t="s">
        <v>20458</v>
      </c>
      <c r="AH3327" t="s">
        <v>5087</v>
      </c>
      <c r="AI3327" t="s">
        <v>20459</v>
      </c>
    </row>
    <row r="3328" spans="2:35" ht="225">
      <c r="B3328" s="1">
        <v>45531</v>
      </c>
      <c r="C3328" s="4">
        <v>45531.64166666667</v>
      </c>
      <c r="D3328" t="s">
        <v>5087</v>
      </c>
      <c r="E3328" t="s">
        <v>1866</v>
      </c>
      <c r="F3328" t="s">
        <v>148</v>
      </c>
      <c r="G3328" t="s">
        <v>447</v>
      </c>
      <c r="H3328" t="s">
        <v>4735</v>
      </c>
      <c r="I3328" t="s">
        <v>40</v>
      </c>
      <c r="J3328" t="s">
        <v>79</v>
      </c>
      <c r="K3328" t="s">
        <v>387</v>
      </c>
      <c r="L3328" t="s">
        <v>448</v>
      </c>
      <c r="N3328" t="s">
        <v>450</v>
      </c>
      <c r="O3328" t="s">
        <v>650</v>
      </c>
      <c r="Q3328">
        <v>29217</v>
      </c>
      <c r="R3328" t="s">
        <v>322</v>
      </c>
      <c r="S3328" t="s">
        <v>650</v>
      </c>
      <c r="T3328">
        <v>26</v>
      </c>
      <c r="W3328" t="s">
        <v>6251</v>
      </c>
      <c r="X3328" t="s">
        <v>20460</v>
      </c>
      <c r="Y3328" t="s">
        <v>20461</v>
      </c>
      <c r="Z3328" s="2" t="s">
        <v>20452</v>
      </c>
      <c r="AA3328" t="s">
        <v>9749</v>
      </c>
      <c r="AB3328" t="s">
        <v>486</v>
      </c>
      <c r="AG3328" t="s">
        <v>20462</v>
      </c>
      <c r="AH3328" t="s">
        <v>13642</v>
      </c>
      <c r="AI3328" t="s">
        <v>20463</v>
      </c>
    </row>
    <row r="3329" spans="2:35" ht="225">
      <c r="B3329" s="1">
        <v>45531</v>
      </c>
      <c r="C3329" s="4">
        <v>45531.638888888891</v>
      </c>
      <c r="D3329" t="s">
        <v>5087</v>
      </c>
      <c r="E3329" t="s">
        <v>20464</v>
      </c>
      <c r="F3329" t="s">
        <v>148</v>
      </c>
      <c r="G3329" t="s">
        <v>447</v>
      </c>
      <c r="H3329" t="s">
        <v>19639</v>
      </c>
      <c r="I3329" t="s">
        <v>40</v>
      </c>
      <c r="J3329" t="s">
        <v>79</v>
      </c>
      <c r="K3329" t="s">
        <v>387</v>
      </c>
      <c r="L3329" t="s">
        <v>448</v>
      </c>
      <c r="N3329" t="s">
        <v>450</v>
      </c>
      <c r="O3329" t="s">
        <v>650</v>
      </c>
      <c r="Q3329">
        <v>29216</v>
      </c>
      <c r="R3329" t="s">
        <v>322</v>
      </c>
      <c r="S3329" t="s">
        <v>650</v>
      </c>
      <c r="T3329">
        <v>26</v>
      </c>
      <c r="W3329" t="s">
        <v>6251</v>
      </c>
      <c r="X3329" t="s">
        <v>20465</v>
      </c>
      <c r="Y3329" t="s">
        <v>20461</v>
      </c>
      <c r="Z3329" s="2" t="s">
        <v>20466</v>
      </c>
      <c r="AA3329" t="s">
        <v>9749</v>
      </c>
      <c r="AB3329" t="s">
        <v>486</v>
      </c>
      <c r="AG3329" t="s">
        <v>20467</v>
      </c>
      <c r="AH3329" t="s">
        <v>13642</v>
      </c>
      <c r="AI3329" t="s">
        <v>20468</v>
      </c>
    </row>
    <row r="3330" spans="2:35">
      <c r="B3330" s="1">
        <v>45531</v>
      </c>
      <c r="C3330" s="4">
        <v>45526.40902777778</v>
      </c>
      <c r="D3330" t="s">
        <v>4936</v>
      </c>
      <c r="E3330" t="s">
        <v>4937</v>
      </c>
      <c r="F3330" t="s">
        <v>511</v>
      </c>
      <c r="G3330" t="s">
        <v>4938</v>
      </c>
      <c r="H3330" t="s">
        <v>61</v>
      </c>
      <c r="I3330" t="s">
        <v>40</v>
      </c>
      <c r="J3330" t="s">
        <v>109</v>
      </c>
      <c r="K3330" t="s">
        <v>42</v>
      </c>
      <c r="L3330" t="s">
        <v>1048</v>
      </c>
      <c r="N3330" t="s">
        <v>1049</v>
      </c>
      <c r="Q3330">
        <v>29215</v>
      </c>
      <c r="R3330" t="s">
        <v>967</v>
      </c>
      <c r="S3330" t="s">
        <v>4939</v>
      </c>
      <c r="T3330">
        <v>30</v>
      </c>
      <c r="W3330" t="s">
        <v>1424</v>
      </c>
      <c r="X3330">
        <v>110023499</v>
      </c>
      <c r="Y3330" t="s">
        <v>1052</v>
      </c>
      <c r="Z3330" t="e">
        <f ca="1">- cleaned cartridge Bays, plunger Rods _xludf.and I-CORE
- generated reports
- Attached service STICKER</f>
        <v>#NAME?</v>
      </c>
      <c r="AA3330" t="s">
        <v>820</v>
      </c>
      <c r="AB3330" t="s">
        <v>1428</v>
      </c>
      <c r="AG3330" t="s">
        <v>20469</v>
      </c>
      <c r="AH3330" t="s">
        <v>20470</v>
      </c>
      <c r="AI3330" t="s">
        <v>20471</v>
      </c>
    </row>
    <row r="3331" spans="2:35" ht="105">
      <c r="B3331" s="1">
        <v>45531</v>
      </c>
      <c r="C3331" s="4">
        <v>45526.340277777781</v>
      </c>
      <c r="D3331" t="s">
        <v>11087</v>
      </c>
      <c r="E3331" t="s">
        <v>11088</v>
      </c>
      <c r="F3331" t="s">
        <v>511</v>
      </c>
      <c r="G3331" t="s">
        <v>4938</v>
      </c>
      <c r="H3331" t="s">
        <v>1047</v>
      </c>
      <c r="I3331" t="s">
        <v>40</v>
      </c>
      <c r="J3331" t="s">
        <v>109</v>
      </c>
      <c r="K3331" t="s">
        <v>42</v>
      </c>
      <c r="L3331" t="s">
        <v>1048</v>
      </c>
      <c r="N3331" t="s">
        <v>1049</v>
      </c>
      <c r="Q3331">
        <v>29214</v>
      </c>
      <c r="R3331" t="s">
        <v>119</v>
      </c>
      <c r="S3331" t="s">
        <v>11089</v>
      </c>
      <c r="T3331">
        <v>27</v>
      </c>
      <c r="U3331" s="2" t="s">
        <v>20472</v>
      </c>
      <c r="W3331" t="s">
        <v>1051</v>
      </c>
      <c r="X3331">
        <v>838274</v>
      </c>
      <c r="Y3331" t="s">
        <v>1052</v>
      </c>
      <c r="Z3331" t="e">
        <f ca="1">- cleaned cartridge Bays, plunger Rods _xludf.and I-CORE
- generated reports
- Attached service STICKER</f>
        <v>#NAME?</v>
      </c>
      <c r="AA3331" t="s">
        <v>820</v>
      </c>
      <c r="AB3331" t="s">
        <v>1428</v>
      </c>
      <c r="AG3331" t="s">
        <v>20473</v>
      </c>
      <c r="AH3331" t="s">
        <v>11092</v>
      </c>
      <c r="AI3331" t="s">
        <v>20474</v>
      </c>
    </row>
    <row r="3332" spans="2:35" ht="105">
      <c r="B3332" s="1">
        <v>45531</v>
      </c>
      <c r="C3332" s="4">
        <v>45525.577777777777</v>
      </c>
      <c r="D3332" t="s">
        <v>1420</v>
      </c>
      <c r="E3332" t="s">
        <v>1456</v>
      </c>
      <c r="F3332" t="s">
        <v>511</v>
      </c>
      <c r="G3332" t="s">
        <v>512</v>
      </c>
      <c r="H3332" t="s">
        <v>1047</v>
      </c>
      <c r="I3332" t="s">
        <v>40</v>
      </c>
      <c r="J3332" t="s">
        <v>109</v>
      </c>
      <c r="K3332" t="s">
        <v>42</v>
      </c>
      <c r="L3332" t="s">
        <v>1048</v>
      </c>
      <c r="N3332" t="s">
        <v>1049</v>
      </c>
      <c r="Q3332">
        <v>29213</v>
      </c>
      <c r="R3332" t="s">
        <v>967</v>
      </c>
      <c r="S3332" t="s">
        <v>1423</v>
      </c>
      <c r="T3332">
        <v>30</v>
      </c>
      <c r="U3332" s="2" t="s">
        <v>20475</v>
      </c>
      <c r="W3332" t="s">
        <v>1424</v>
      </c>
      <c r="X3332">
        <v>110023498</v>
      </c>
      <c r="Y3332" t="s">
        <v>1052</v>
      </c>
      <c r="Z3332" t="e">
        <f ca="1">- cleaned cartridge Bays, plunger Rods _xludf.and I-CORE
- generated reports
- Attached service STICKER</f>
        <v>#NAME?</v>
      </c>
      <c r="AA3332" t="s">
        <v>820</v>
      </c>
      <c r="AB3332" t="s">
        <v>1428</v>
      </c>
      <c r="AG3332" t="s">
        <v>20476</v>
      </c>
      <c r="AH3332" t="s">
        <v>20477</v>
      </c>
      <c r="AI3332" t="s">
        <v>20478</v>
      </c>
    </row>
    <row r="3333" spans="2:35" ht="105">
      <c r="B3333" s="1">
        <v>45531</v>
      </c>
      <c r="C3333" s="4">
        <v>45525.480555555558</v>
      </c>
      <c r="D3333" t="s">
        <v>6919</v>
      </c>
      <c r="E3333" t="s">
        <v>510</v>
      </c>
      <c r="F3333" t="s">
        <v>511</v>
      </c>
      <c r="G3333" t="s">
        <v>512</v>
      </c>
      <c r="H3333" t="s">
        <v>39</v>
      </c>
      <c r="I3333" t="s">
        <v>40</v>
      </c>
      <c r="J3333" s="2" t="s">
        <v>609</v>
      </c>
      <c r="K3333" t="s">
        <v>42</v>
      </c>
      <c r="L3333" t="s">
        <v>1048</v>
      </c>
      <c r="N3333" t="s">
        <v>1049</v>
      </c>
      <c r="Q3333">
        <v>29212</v>
      </c>
      <c r="R3333" t="s">
        <v>119</v>
      </c>
      <c r="S3333" t="s">
        <v>6920</v>
      </c>
      <c r="T3333">
        <v>25</v>
      </c>
      <c r="U3333" s="2" t="s">
        <v>20479</v>
      </c>
      <c r="W3333" t="s">
        <v>1051</v>
      </c>
      <c r="X3333">
        <v>838281</v>
      </c>
      <c r="Y3333" t="s">
        <v>20480</v>
      </c>
      <c r="Z3333" t="e">
        <f ca="1">- cleaned cartridge Bays, plunger Rods _xludf.and I-CORE
- generated reports
- Attached service STICKER
- Disassembled GeneXpert system</f>
        <v>#NAME?</v>
      </c>
      <c r="AA3333" t="s">
        <v>20481</v>
      </c>
      <c r="AB3333" t="e">
        <f ca="1">- Unit is Disassembled _xludf.For Room renovation</f>
        <v>#NAME?</v>
      </c>
      <c r="AG3333" t="s">
        <v>20482</v>
      </c>
      <c r="AH3333" t="s">
        <v>20483</v>
      </c>
      <c r="AI3333" t="s">
        <v>20484</v>
      </c>
    </row>
    <row r="3334" spans="2:35" ht="285">
      <c r="B3334" s="1">
        <v>45531</v>
      </c>
      <c r="C3334" s="4">
        <v>45517.269444444442</v>
      </c>
      <c r="D3334" t="s">
        <v>6610</v>
      </c>
      <c r="E3334" t="s">
        <v>20485</v>
      </c>
      <c r="F3334" t="s">
        <v>1181</v>
      </c>
      <c r="G3334" t="s">
        <v>6612</v>
      </c>
      <c r="H3334" t="s">
        <v>39</v>
      </c>
      <c r="I3334" t="s">
        <v>40</v>
      </c>
      <c r="J3334" s="2" t="s">
        <v>62</v>
      </c>
      <c r="K3334" t="s">
        <v>42</v>
      </c>
      <c r="L3334" t="s">
        <v>1028</v>
      </c>
      <c r="N3334" t="s">
        <v>1029</v>
      </c>
      <c r="Q3334">
        <v>29209</v>
      </c>
      <c r="R3334" t="s">
        <v>119</v>
      </c>
      <c r="S3334" t="s">
        <v>6613</v>
      </c>
      <c r="T3334">
        <v>28</v>
      </c>
      <c r="U3334" s="2" t="s">
        <v>20486</v>
      </c>
      <c r="V3334" s="1">
        <v>45414</v>
      </c>
      <c r="W3334" t="s">
        <v>1967</v>
      </c>
      <c r="X3334">
        <v>838573</v>
      </c>
      <c r="Y3334" t="s">
        <v>1547</v>
      </c>
      <c r="Z3334" s="2" t="s">
        <v>3787</v>
      </c>
      <c r="AA3334" s="2" t="s">
        <v>20487</v>
      </c>
      <c r="AB3334" t="s">
        <v>20488</v>
      </c>
      <c r="AD3334" t="s">
        <v>7189</v>
      </c>
      <c r="AE3334" t="s">
        <v>20489</v>
      </c>
      <c r="AG3334" t="s">
        <v>20490</v>
      </c>
      <c r="AH3334" t="s">
        <v>6617</v>
      </c>
      <c r="AI3334" t="s">
        <v>20491</v>
      </c>
    </row>
    <row r="3335" spans="2:35" ht="165">
      <c r="B3335" s="1">
        <v>45531</v>
      </c>
      <c r="C3335" s="4">
        <v>45513.501388888886</v>
      </c>
      <c r="D3335" t="s">
        <v>6619</v>
      </c>
      <c r="E3335" t="s">
        <v>9009</v>
      </c>
      <c r="F3335" t="s">
        <v>37</v>
      </c>
      <c r="G3335" t="s">
        <v>748</v>
      </c>
      <c r="H3335" t="s">
        <v>39</v>
      </c>
      <c r="I3335" t="s">
        <v>40</v>
      </c>
      <c r="J3335" t="s">
        <v>79</v>
      </c>
      <c r="K3335" t="s">
        <v>42</v>
      </c>
      <c r="L3335" t="s">
        <v>1028</v>
      </c>
      <c r="N3335" t="s">
        <v>1029</v>
      </c>
      <c r="Q3335">
        <v>29210</v>
      </c>
      <c r="R3335" t="s">
        <v>119</v>
      </c>
      <c r="S3335" t="s">
        <v>5176</v>
      </c>
      <c r="T3335">
        <v>25</v>
      </c>
      <c r="U3335" s="2" t="s">
        <v>20492</v>
      </c>
      <c r="V3335" s="1">
        <v>45511</v>
      </c>
      <c r="W3335" t="s">
        <v>1967</v>
      </c>
      <c r="X3335">
        <v>838535</v>
      </c>
      <c r="Y3335" t="s">
        <v>20493</v>
      </c>
      <c r="Z3335" t="s">
        <v>2443</v>
      </c>
      <c r="AA3335" s="2" t="s">
        <v>20494</v>
      </c>
      <c r="AB3335" t="s">
        <v>20495</v>
      </c>
      <c r="AD3335" t="s">
        <v>15025</v>
      </c>
      <c r="AE3335" t="s">
        <v>20496</v>
      </c>
      <c r="AG3335" t="s">
        <v>20497</v>
      </c>
      <c r="AH3335" t="s">
        <v>5181</v>
      </c>
      <c r="AI3335" t="s">
        <v>20498</v>
      </c>
    </row>
    <row r="3336" spans="2:35" ht="255">
      <c r="B3336" s="1">
        <v>45531</v>
      </c>
      <c r="C3336" s="4">
        <v>45512.489583333336</v>
      </c>
      <c r="D3336" t="s">
        <v>2257</v>
      </c>
      <c r="E3336" t="s">
        <v>20499</v>
      </c>
      <c r="F3336" t="s">
        <v>37</v>
      </c>
      <c r="G3336" t="s">
        <v>748</v>
      </c>
      <c r="H3336" t="s">
        <v>39</v>
      </c>
      <c r="I3336" t="s">
        <v>40</v>
      </c>
      <c r="J3336" t="s">
        <v>109</v>
      </c>
      <c r="K3336" t="s">
        <v>42</v>
      </c>
      <c r="L3336" t="s">
        <v>1028</v>
      </c>
      <c r="N3336" t="s">
        <v>1029</v>
      </c>
      <c r="Q3336">
        <v>29207</v>
      </c>
      <c r="R3336" t="s">
        <v>119</v>
      </c>
      <c r="S3336" t="s">
        <v>8974</v>
      </c>
      <c r="T3336">
        <v>25</v>
      </c>
      <c r="U3336" s="2" t="s">
        <v>20500</v>
      </c>
      <c r="W3336" t="s">
        <v>1967</v>
      </c>
      <c r="X3336">
        <v>838537</v>
      </c>
      <c r="Y3336" t="s">
        <v>3127</v>
      </c>
      <c r="Z3336" t="s">
        <v>1548</v>
      </c>
      <c r="AA3336" s="2" t="s">
        <v>20501</v>
      </c>
      <c r="AB3336" t="s">
        <v>20502</v>
      </c>
      <c r="AG3336" t="s">
        <v>20503</v>
      </c>
      <c r="AH3336" t="s">
        <v>8978</v>
      </c>
      <c r="AI3336" t="s">
        <v>20504</v>
      </c>
    </row>
    <row r="3337" spans="2:35" ht="240">
      <c r="B3337" s="1">
        <v>45531</v>
      </c>
      <c r="C3337" s="4">
        <v>45520.456944444442</v>
      </c>
      <c r="D3337" t="s">
        <v>8225</v>
      </c>
      <c r="E3337" t="s">
        <v>8226</v>
      </c>
      <c r="F3337" t="s">
        <v>37</v>
      </c>
      <c r="G3337" t="s">
        <v>748</v>
      </c>
      <c r="H3337" t="s">
        <v>39</v>
      </c>
      <c r="I3337" t="s">
        <v>40</v>
      </c>
      <c r="J3337" t="s">
        <v>109</v>
      </c>
      <c r="K3337" t="s">
        <v>42</v>
      </c>
      <c r="L3337" t="s">
        <v>1028</v>
      </c>
      <c r="N3337" t="s">
        <v>1029</v>
      </c>
      <c r="Q3337">
        <v>29208</v>
      </c>
      <c r="R3337" t="s">
        <v>322</v>
      </c>
      <c r="S3337" t="s">
        <v>20505</v>
      </c>
      <c r="T3337">
        <v>25</v>
      </c>
      <c r="U3337" s="2" t="s">
        <v>20506</v>
      </c>
      <c r="W3337" t="s">
        <v>1032</v>
      </c>
      <c r="X3337">
        <v>110016785</v>
      </c>
      <c r="Y3337" t="s">
        <v>1978</v>
      </c>
      <c r="Z3337" t="s">
        <v>1548</v>
      </c>
      <c r="AA3337" s="2" t="s">
        <v>20507</v>
      </c>
      <c r="AB3337" t="s">
        <v>3300</v>
      </c>
      <c r="AG3337" t="s">
        <v>20508</v>
      </c>
      <c r="AH3337" t="s">
        <v>20509</v>
      </c>
      <c r="AI3337" t="s">
        <v>20510</v>
      </c>
    </row>
    <row r="3338" spans="2:35" ht="165">
      <c r="B3338" s="1">
        <v>45531</v>
      </c>
      <c r="C3338" s="4">
        <v>45513.501388888886</v>
      </c>
      <c r="D3338" t="s">
        <v>6619</v>
      </c>
      <c r="E3338" t="s">
        <v>9009</v>
      </c>
      <c r="F3338" t="s">
        <v>37</v>
      </c>
      <c r="G3338" t="s">
        <v>748</v>
      </c>
      <c r="H3338" t="s">
        <v>39</v>
      </c>
      <c r="I3338" t="s">
        <v>40</v>
      </c>
      <c r="J3338" t="s">
        <v>79</v>
      </c>
      <c r="K3338" t="s">
        <v>42</v>
      </c>
      <c r="L3338" t="s">
        <v>1028</v>
      </c>
      <c r="N3338" t="s">
        <v>1029</v>
      </c>
      <c r="Q3338">
        <v>29211</v>
      </c>
      <c r="R3338" t="s">
        <v>119</v>
      </c>
      <c r="S3338" t="s">
        <v>5176</v>
      </c>
      <c r="T3338">
        <v>25</v>
      </c>
      <c r="U3338" s="2" t="s">
        <v>20492</v>
      </c>
      <c r="V3338" s="1">
        <v>45511</v>
      </c>
      <c r="W3338" t="s">
        <v>1967</v>
      </c>
      <c r="X3338">
        <v>838535</v>
      </c>
      <c r="Y3338" t="s">
        <v>20493</v>
      </c>
      <c r="Z3338" t="s">
        <v>2443</v>
      </c>
      <c r="AA3338" s="2" t="s">
        <v>20494</v>
      </c>
      <c r="AB3338" t="s">
        <v>20495</v>
      </c>
      <c r="AD3338" t="s">
        <v>15025</v>
      </c>
      <c r="AE3338" t="s">
        <v>20496</v>
      </c>
      <c r="AG3338" t="s">
        <v>20511</v>
      </c>
      <c r="AH3338" t="s">
        <v>5181</v>
      </c>
      <c r="AI3338" t="s">
        <v>20512</v>
      </c>
    </row>
    <row r="3339" spans="2:35" ht="360">
      <c r="B3339" s="1">
        <v>45531</v>
      </c>
      <c r="C3339" s="4">
        <v>45525.447222222225</v>
      </c>
      <c r="D3339" t="s">
        <v>9805</v>
      </c>
      <c r="E3339" t="s">
        <v>510</v>
      </c>
      <c r="F3339" t="s">
        <v>511</v>
      </c>
      <c r="G3339" t="s">
        <v>512</v>
      </c>
      <c r="H3339" t="s">
        <v>61</v>
      </c>
      <c r="I3339" t="s">
        <v>40</v>
      </c>
      <c r="J3339" t="s">
        <v>109</v>
      </c>
      <c r="K3339" t="s">
        <v>42</v>
      </c>
      <c r="L3339" t="s">
        <v>1048</v>
      </c>
      <c r="N3339" t="s">
        <v>1049</v>
      </c>
      <c r="Q3339">
        <v>29206</v>
      </c>
      <c r="R3339" t="s">
        <v>322</v>
      </c>
      <c r="S3339" t="s">
        <v>9806</v>
      </c>
      <c r="T3339">
        <v>21</v>
      </c>
      <c r="U3339" s="2" t="s">
        <v>20513</v>
      </c>
      <c r="W3339" t="s">
        <v>1051</v>
      </c>
      <c r="X3339">
        <v>110016112</v>
      </c>
      <c r="Y3339" t="s">
        <v>1052</v>
      </c>
      <c r="Z3339" t="e">
        <f ca="1">- cleaned cartridge Bays, plunger Rods _xludf.and I-CORE
- generated reports
- Attached service STICKER</f>
        <v>#NAME?</v>
      </c>
      <c r="AA3339" t="s">
        <v>820</v>
      </c>
      <c r="AB3339" t="s">
        <v>1428</v>
      </c>
      <c r="AG3339" t="s">
        <v>20514</v>
      </c>
      <c r="AH3339" t="s">
        <v>20515</v>
      </c>
      <c r="AI3339" t="s">
        <v>20516</v>
      </c>
    </row>
    <row r="3340" spans="2:35">
      <c r="B3340" s="1">
        <v>45531</v>
      </c>
      <c r="C3340" s="4">
        <v>45485.555555555555</v>
      </c>
      <c r="D3340" t="s">
        <v>3139</v>
      </c>
      <c r="E3340" t="s">
        <v>3140</v>
      </c>
      <c r="F3340" t="s">
        <v>148</v>
      </c>
      <c r="G3340" t="s">
        <v>174</v>
      </c>
      <c r="H3340" t="s">
        <v>39</v>
      </c>
      <c r="I3340" t="s">
        <v>40</v>
      </c>
      <c r="J3340" t="s">
        <v>583</v>
      </c>
      <c r="K3340" t="s">
        <v>42</v>
      </c>
      <c r="L3340" t="s">
        <v>175</v>
      </c>
      <c r="N3340" t="s">
        <v>176</v>
      </c>
      <c r="Q3340">
        <v>29205</v>
      </c>
      <c r="R3340" t="s">
        <v>967</v>
      </c>
      <c r="S3340" t="s">
        <v>14419</v>
      </c>
      <c r="T3340">
        <v>27</v>
      </c>
      <c r="W3340" t="s">
        <v>423</v>
      </c>
      <c r="X3340">
        <v>110023507</v>
      </c>
      <c r="Y3340" t="s">
        <v>20517</v>
      </c>
      <c r="Z3340" t="s">
        <v>20518</v>
      </c>
      <c r="AA3340" t="e">
        <f ca="1">- rearranged GX Unit away FROM below aircon
- generated reports
- performed functionality test</f>
        <v>#NAME?</v>
      </c>
      <c r="AB3340" t="s">
        <v>181</v>
      </c>
      <c r="AG3340" t="s">
        <v>20519</v>
      </c>
      <c r="AH3340" t="s">
        <v>20520</v>
      </c>
      <c r="AI3340" t="s">
        <v>20521</v>
      </c>
    </row>
    <row r="3341" spans="2:35" ht="285">
      <c r="B3341" s="1">
        <v>45531</v>
      </c>
      <c r="C3341" s="4">
        <v>45525.379166666666</v>
      </c>
      <c r="D3341" t="s">
        <v>11102</v>
      </c>
      <c r="E3341" t="s">
        <v>11103</v>
      </c>
      <c r="F3341" t="s">
        <v>511</v>
      </c>
      <c r="G3341" t="s">
        <v>512</v>
      </c>
      <c r="H3341" t="s">
        <v>39</v>
      </c>
      <c r="I3341" t="s">
        <v>40</v>
      </c>
      <c r="J3341" s="2" t="s">
        <v>62</v>
      </c>
      <c r="K3341" t="s">
        <v>42</v>
      </c>
      <c r="L3341" t="s">
        <v>1048</v>
      </c>
      <c r="N3341" t="s">
        <v>1049</v>
      </c>
      <c r="Q3341">
        <v>29204</v>
      </c>
      <c r="R3341" t="s">
        <v>119</v>
      </c>
      <c r="S3341" t="s">
        <v>11104</v>
      </c>
      <c r="T3341">
        <v>29</v>
      </c>
      <c r="U3341" s="2" t="s">
        <v>20522</v>
      </c>
      <c r="V3341" s="1">
        <v>45492</v>
      </c>
      <c r="W3341" t="s">
        <v>1051</v>
      </c>
      <c r="X3341">
        <v>838282</v>
      </c>
      <c r="Y3341" t="s">
        <v>19602</v>
      </c>
      <c r="Z3341" t="e">
        <f ca="1">- cleaned cartridge Bays, plunger Rods _xludf.and I-CORE
- performed XpertCheck
- generated reports
- Attached service STICKER</f>
        <v>#NAME?</v>
      </c>
      <c r="AA3341" t="s">
        <v>20523</v>
      </c>
      <c r="AB3341" s="2" t="s">
        <v>20524</v>
      </c>
      <c r="AD3341" t="s">
        <v>1958</v>
      </c>
      <c r="AE3341" t="s">
        <v>20525</v>
      </c>
      <c r="AG3341" t="s">
        <v>20526</v>
      </c>
      <c r="AH3341" t="s">
        <v>20527</v>
      </c>
      <c r="AI3341" t="s">
        <v>20528</v>
      </c>
    </row>
    <row r="3342" spans="2:35" ht="120">
      <c r="B3342" s="1">
        <v>45531</v>
      </c>
      <c r="C3342" s="4">
        <v>45504.582638888889</v>
      </c>
      <c r="D3342" t="s">
        <v>20529</v>
      </c>
      <c r="E3342" t="s">
        <v>370</v>
      </c>
      <c r="F3342" t="s">
        <v>148</v>
      </c>
      <c r="G3342" t="s">
        <v>371</v>
      </c>
      <c r="H3342" t="s">
        <v>39</v>
      </c>
      <c r="I3342" t="s">
        <v>40</v>
      </c>
      <c r="J3342" t="s">
        <v>583</v>
      </c>
      <c r="K3342" t="s">
        <v>42</v>
      </c>
      <c r="L3342" t="s">
        <v>175</v>
      </c>
      <c r="N3342" t="s">
        <v>176</v>
      </c>
      <c r="Q3342">
        <v>29203</v>
      </c>
      <c r="R3342" t="s">
        <v>119</v>
      </c>
      <c r="S3342" t="s">
        <v>20530</v>
      </c>
      <c r="T3342">
        <v>27</v>
      </c>
      <c r="W3342" t="s">
        <v>84</v>
      </c>
      <c r="X3342">
        <v>831906</v>
      </c>
      <c r="Y3342" t="s">
        <v>8255</v>
      </c>
      <c r="Z3342" t="e">
        <f ca="1">- Relocated Unit</f>
        <v>#NAME?</v>
      </c>
      <c r="AA3342" t="s">
        <v>20531</v>
      </c>
      <c r="AB3342" s="2" t="s">
        <v>20532</v>
      </c>
      <c r="AG3342" t="s">
        <v>20533</v>
      </c>
      <c r="AH3342" t="s">
        <v>20534</v>
      </c>
      <c r="AI3342" t="s">
        <v>20535</v>
      </c>
    </row>
    <row r="3343" spans="2:35" ht="105">
      <c r="B3343" s="1">
        <v>45531</v>
      </c>
      <c r="C3343" s="4">
        <v>45531.601388888892</v>
      </c>
      <c r="D3343" t="s">
        <v>9995</v>
      </c>
      <c r="E3343" t="s">
        <v>20536</v>
      </c>
      <c r="F3343">
        <v>10</v>
      </c>
      <c r="G3343" t="s">
        <v>1395</v>
      </c>
      <c r="H3343" t="s">
        <v>39</v>
      </c>
      <c r="I3343" t="s">
        <v>40</v>
      </c>
      <c r="J3343" s="2" t="s">
        <v>20537</v>
      </c>
      <c r="K3343" t="s">
        <v>42</v>
      </c>
      <c r="L3343" t="s">
        <v>1288</v>
      </c>
      <c r="N3343" t="s">
        <v>1289</v>
      </c>
      <c r="Q3343">
        <v>29202</v>
      </c>
      <c r="R3343" t="s">
        <v>119</v>
      </c>
      <c r="S3343" t="s">
        <v>15285</v>
      </c>
      <c r="T3343">
        <v>21</v>
      </c>
      <c r="U3343" s="2" t="s">
        <v>20538</v>
      </c>
      <c r="W3343" t="s">
        <v>1292</v>
      </c>
      <c r="X3343">
        <v>838442</v>
      </c>
      <c r="Y3343" t="e">
        <f ca="1">-GX STICKER ID Installation
-module B2 temperature _xludf.error
-_xludf.For Preventive Maintenance</f>
        <v>#NAME?</v>
      </c>
      <c r="Z3343" t="e">
        <f ca="1">-COLLECT IQR , system _xludf.Log, _xludf.and ARCHIVE</f>
        <v>#NAME?</v>
      </c>
      <c r="AA3343" t="e">
        <f ca="1">-PERFORM Cleaning of GX workstation
-PERFORM Preventive Maintenance PROCEDURE</f>
        <v>#NAME?</v>
      </c>
      <c r="AB3343" t="s">
        <v>1293</v>
      </c>
      <c r="AG3343" t="s">
        <v>20539</v>
      </c>
      <c r="AH3343" t="s">
        <v>15290</v>
      </c>
      <c r="AI3343" t="s">
        <v>20540</v>
      </c>
    </row>
    <row r="3344" spans="2:35">
      <c r="B3344" s="1">
        <v>45531</v>
      </c>
      <c r="C3344" s="4">
        <v>45531.59652777778</v>
      </c>
      <c r="D3344" t="s">
        <v>6037</v>
      </c>
      <c r="E3344" t="s">
        <v>7875</v>
      </c>
      <c r="F3344">
        <v>7</v>
      </c>
      <c r="G3344" t="s">
        <v>432</v>
      </c>
      <c r="H3344" t="s">
        <v>386</v>
      </c>
      <c r="I3344" t="s">
        <v>40</v>
      </c>
      <c r="J3344" t="s">
        <v>79</v>
      </c>
      <c r="K3344" t="s">
        <v>387</v>
      </c>
      <c r="L3344" t="s">
        <v>610</v>
      </c>
      <c r="N3344" t="s">
        <v>611</v>
      </c>
      <c r="Q3344">
        <v>29201</v>
      </c>
      <c r="R3344" t="s">
        <v>95</v>
      </c>
      <c r="S3344" t="s">
        <v>6039</v>
      </c>
      <c r="T3344">
        <v>24</v>
      </c>
      <c r="W3344" t="s">
        <v>390</v>
      </c>
      <c r="X3344" t="s">
        <v>6040</v>
      </c>
      <c r="Y3344" t="e">
        <f ca="1">- Valve test failure DUE to pneumatic assembly problem. (service Unit)</f>
        <v>#NAME?</v>
      </c>
      <c r="Z3344" t="s">
        <v>20541</v>
      </c>
      <c r="AA3344" t="s">
        <v>20542</v>
      </c>
      <c r="AB3344" t="s">
        <v>20543</v>
      </c>
      <c r="AG3344" t="s">
        <v>20544</v>
      </c>
      <c r="AH3344" t="s">
        <v>10028</v>
      </c>
      <c r="AI3344" t="s">
        <v>20545</v>
      </c>
    </row>
    <row r="3345" spans="2:35" ht="285">
      <c r="B3345" s="1">
        <v>45531</v>
      </c>
      <c r="C3345" s="4">
        <v>45531.55</v>
      </c>
      <c r="D3345" t="s">
        <v>1071</v>
      </c>
      <c r="E3345" t="s">
        <v>1555</v>
      </c>
      <c r="F3345">
        <v>7</v>
      </c>
      <c r="G3345" t="s">
        <v>432</v>
      </c>
      <c r="H3345" t="s">
        <v>150</v>
      </c>
      <c r="I3345" t="s">
        <v>40</v>
      </c>
      <c r="J3345" s="2" t="s">
        <v>62</v>
      </c>
      <c r="K3345" t="s">
        <v>42</v>
      </c>
      <c r="L3345" t="s">
        <v>343</v>
      </c>
      <c r="N3345" t="s">
        <v>344</v>
      </c>
      <c r="Q3345">
        <v>29200</v>
      </c>
      <c r="R3345" t="s">
        <v>119</v>
      </c>
      <c r="S3345" t="s">
        <v>8679</v>
      </c>
      <c r="T3345">
        <v>27</v>
      </c>
      <c r="U3345" s="2" t="s">
        <v>20546</v>
      </c>
      <c r="W3345" t="s">
        <v>1501</v>
      </c>
      <c r="X3345">
        <v>838285</v>
      </c>
      <c r="Y3345" t="s">
        <v>3191</v>
      </c>
      <c r="Z3345" t="s">
        <v>20547</v>
      </c>
      <c r="AA3345" t="e">
        <f ca="1">-Preventive Maintenance
-XpertCheck CALIBRATION</f>
        <v>#NAME?</v>
      </c>
      <c r="AB3345" t="s">
        <v>20548</v>
      </c>
      <c r="AG3345" t="s">
        <v>20549</v>
      </c>
      <c r="AH3345" t="s">
        <v>20550</v>
      </c>
      <c r="AI3345" t="s">
        <v>20551</v>
      </c>
    </row>
    <row r="3346" spans="2:35" ht="409.5">
      <c r="B3346" s="1">
        <v>45531</v>
      </c>
      <c r="C3346" s="4">
        <v>45526.619444444441</v>
      </c>
      <c r="D3346" t="s">
        <v>11557</v>
      </c>
      <c r="E3346" t="s">
        <v>20552</v>
      </c>
      <c r="F3346" t="s">
        <v>37</v>
      </c>
      <c r="G3346" t="s">
        <v>78</v>
      </c>
      <c r="H3346" t="s">
        <v>61</v>
      </c>
      <c r="I3346" t="s">
        <v>40</v>
      </c>
      <c r="J3346" t="s">
        <v>109</v>
      </c>
      <c r="K3346" t="s">
        <v>42</v>
      </c>
      <c r="L3346" t="s">
        <v>1943</v>
      </c>
      <c r="N3346" t="s">
        <v>1944</v>
      </c>
      <c r="Q3346">
        <v>29199</v>
      </c>
      <c r="R3346" t="s">
        <v>95</v>
      </c>
      <c r="S3346" t="s">
        <v>96</v>
      </c>
      <c r="T3346">
        <v>25</v>
      </c>
      <c r="U3346" s="2" t="s">
        <v>20553</v>
      </c>
      <c r="W3346" t="s">
        <v>84</v>
      </c>
      <c r="X3346">
        <v>839233</v>
      </c>
      <c r="Y3346" t="s">
        <v>2099</v>
      </c>
      <c r="Z3346" t="s">
        <v>2100</v>
      </c>
      <c r="AA3346" s="2" t="s">
        <v>2101</v>
      </c>
      <c r="AB3346" t="s">
        <v>88</v>
      </c>
      <c r="AG3346" t="s">
        <v>20554</v>
      </c>
      <c r="AH3346" t="s">
        <v>20555</v>
      </c>
      <c r="AI3346" t="s">
        <v>20556</v>
      </c>
    </row>
    <row r="3347" spans="2:35" ht="150">
      <c r="B3347" s="1">
        <v>45531</v>
      </c>
      <c r="C3347" s="4">
        <v>45526.661805555559</v>
      </c>
      <c r="D3347" t="s">
        <v>8684</v>
      </c>
      <c r="E3347" t="s">
        <v>19607</v>
      </c>
      <c r="F3347">
        <v>5</v>
      </c>
      <c r="G3347" t="s">
        <v>814</v>
      </c>
      <c r="H3347" t="s">
        <v>39</v>
      </c>
      <c r="I3347" t="s">
        <v>94</v>
      </c>
      <c r="J3347" s="2" t="s">
        <v>41</v>
      </c>
      <c r="K3347" t="s">
        <v>42</v>
      </c>
      <c r="L3347" t="s">
        <v>761</v>
      </c>
      <c r="N3347" t="s">
        <v>762</v>
      </c>
      <c r="Q3347">
        <v>29198</v>
      </c>
      <c r="R3347" t="s">
        <v>119</v>
      </c>
      <c r="S3347" t="s">
        <v>8687</v>
      </c>
      <c r="T3347">
        <v>28</v>
      </c>
      <c r="U3347" s="2" t="s">
        <v>20557</v>
      </c>
      <c r="W3347" t="s">
        <v>765</v>
      </c>
      <c r="X3347">
        <v>838266</v>
      </c>
      <c r="Y3347" s="2" t="s">
        <v>20558</v>
      </c>
      <c r="Z3347" s="2" t="s">
        <v>20559</v>
      </c>
      <c r="AA3347" s="2" t="s">
        <v>19161</v>
      </c>
      <c r="AB3347" t="s">
        <v>181</v>
      </c>
      <c r="AG3347" t="s">
        <v>20560</v>
      </c>
      <c r="AH3347" t="s">
        <v>8693</v>
      </c>
      <c r="AI3347" t="s">
        <v>20561</v>
      </c>
    </row>
    <row r="3348" spans="2:35" ht="180">
      <c r="B3348" s="1">
        <v>45531</v>
      </c>
      <c r="C3348" s="4">
        <v>45519.597916666666</v>
      </c>
      <c r="D3348" t="s">
        <v>2470</v>
      </c>
      <c r="E3348" t="s">
        <v>9436</v>
      </c>
      <c r="F3348" t="s">
        <v>148</v>
      </c>
      <c r="G3348" t="s">
        <v>230</v>
      </c>
      <c r="H3348" t="s">
        <v>513</v>
      </c>
      <c r="I3348" t="s">
        <v>40</v>
      </c>
      <c r="J3348" t="s">
        <v>109</v>
      </c>
      <c r="K3348" t="s">
        <v>387</v>
      </c>
      <c r="L3348" t="s">
        <v>175</v>
      </c>
      <c r="N3348" t="s">
        <v>176</v>
      </c>
      <c r="Q3348">
        <v>29197</v>
      </c>
      <c r="R3348" t="s">
        <v>322</v>
      </c>
      <c r="S3348" t="s">
        <v>4894</v>
      </c>
      <c r="T3348">
        <v>25</v>
      </c>
      <c r="W3348" t="s">
        <v>390</v>
      </c>
      <c r="X3348" t="s">
        <v>391</v>
      </c>
      <c r="Y3348" t="s">
        <v>374</v>
      </c>
      <c r="Z3348" t="s">
        <v>103</v>
      </c>
      <c r="AA3348" t="e">
        <f ca="1">- checked rotor roller pumps
- checked CALIBRATION parameters (values are within accepted range)
- performed self test</f>
        <v>#NAME?</v>
      </c>
      <c r="AB3348" s="2" t="s">
        <v>20562</v>
      </c>
      <c r="AG3348" t="s">
        <v>20563</v>
      </c>
      <c r="AH3348" t="s">
        <v>20564</v>
      </c>
      <c r="AI3348" t="s">
        <v>20565</v>
      </c>
    </row>
    <row r="3349" spans="2:35" ht="165">
      <c r="B3349" s="1">
        <v>45531</v>
      </c>
      <c r="C3349" s="4">
        <v>45525.575694444444</v>
      </c>
      <c r="D3349" t="s">
        <v>14487</v>
      </c>
      <c r="E3349" t="s">
        <v>229</v>
      </c>
      <c r="F3349" t="s">
        <v>148</v>
      </c>
      <c r="G3349" t="s">
        <v>230</v>
      </c>
      <c r="H3349" t="s">
        <v>39</v>
      </c>
      <c r="I3349" t="s">
        <v>40</v>
      </c>
      <c r="J3349" t="s">
        <v>525</v>
      </c>
      <c r="K3349" t="s">
        <v>42</v>
      </c>
      <c r="L3349" t="s">
        <v>175</v>
      </c>
      <c r="N3349" t="s">
        <v>176</v>
      </c>
      <c r="Q3349">
        <v>29196</v>
      </c>
      <c r="R3349" t="s">
        <v>703</v>
      </c>
      <c r="S3349" t="s">
        <v>14488</v>
      </c>
      <c r="T3349">
        <v>25</v>
      </c>
      <c r="W3349" t="s">
        <v>84</v>
      </c>
      <c r="X3349">
        <v>110008420</v>
      </c>
      <c r="Y3349" t="s">
        <v>20566</v>
      </c>
      <c r="Z3349" t="s">
        <v>20567</v>
      </c>
      <c r="AA3349" t="e">
        <f ca="1">- checked UPS
- performed _xludf.Power test (No _xludf.Power)
- plugged GX system directly to _xludf.Power OUTLET temporarily</f>
        <v>#NAME?</v>
      </c>
      <c r="AB3349" s="2" t="s">
        <v>20568</v>
      </c>
      <c r="AG3349" t="s">
        <v>20569</v>
      </c>
      <c r="AH3349" t="s">
        <v>17153</v>
      </c>
      <c r="AI3349" t="s">
        <v>20570</v>
      </c>
    </row>
    <row r="3350" spans="2:35" ht="270">
      <c r="B3350" s="1">
        <v>45531</v>
      </c>
      <c r="C3350" s="4">
        <v>45526.479861111111</v>
      </c>
      <c r="D3350" t="s">
        <v>20571</v>
      </c>
      <c r="E3350" t="s">
        <v>20572</v>
      </c>
      <c r="F3350" t="s">
        <v>148</v>
      </c>
      <c r="G3350" t="s">
        <v>785</v>
      </c>
      <c r="H3350" t="s">
        <v>39</v>
      </c>
      <c r="I3350" t="s">
        <v>40</v>
      </c>
      <c r="J3350" s="2" t="s">
        <v>41</v>
      </c>
      <c r="K3350" t="s">
        <v>42</v>
      </c>
      <c r="L3350" t="s">
        <v>43</v>
      </c>
      <c r="N3350" t="s">
        <v>44</v>
      </c>
      <c r="Q3350">
        <v>29195</v>
      </c>
      <c r="R3350" t="s">
        <v>322</v>
      </c>
      <c r="S3350" t="s">
        <v>20573</v>
      </c>
      <c r="T3350">
        <v>26</v>
      </c>
      <c r="U3350" s="2" t="s">
        <v>5301</v>
      </c>
      <c r="V3350" s="1">
        <v>45525</v>
      </c>
      <c r="W3350" t="s">
        <v>153</v>
      </c>
      <c r="X3350">
        <v>110024245</v>
      </c>
      <c r="Y3350" t="s">
        <v>8731</v>
      </c>
      <c r="Z3350" t="s">
        <v>179</v>
      </c>
      <c r="AA3350" s="2" t="s">
        <v>20574</v>
      </c>
      <c r="AB3350" t="s">
        <v>548</v>
      </c>
      <c r="AD3350" s="2" t="s">
        <v>20575</v>
      </c>
      <c r="AE3350" t="s">
        <v>20576</v>
      </c>
      <c r="AG3350" t="s">
        <v>20577</v>
      </c>
      <c r="AH3350" t="s">
        <v>6075</v>
      </c>
      <c r="AI3350" t="s">
        <v>20578</v>
      </c>
    </row>
    <row r="3351" spans="2:35" ht="270">
      <c r="B3351" s="1">
        <v>45531</v>
      </c>
      <c r="C3351" s="4">
        <v>45526.479861111111</v>
      </c>
      <c r="D3351" t="s">
        <v>20571</v>
      </c>
      <c r="E3351" t="s">
        <v>20572</v>
      </c>
      <c r="F3351" t="s">
        <v>148</v>
      </c>
      <c r="G3351" t="s">
        <v>785</v>
      </c>
      <c r="H3351" t="s">
        <v>39</v>
      </c>
      <c r="I3351" t="s">
        <v>40</v>
      </c>
      <c r="J3351" s="2" t="s">
        <v>41</v>
      </c>
      <c r="K3351" t="s">
        <v>42</v>
      </c>
      <c r="L3351" t="s">
        <v>43</v>
      </c>
      <c r="N3351" t="s">
        <v>44</v>
      </c>
      <c r="Q3351">
        <v>29194</v>
      </c>
      <c r="R3351" t="s">
        <v>322</v>
      </c>
      <c r="S3351" t="s">
        <v>20573</v>
      </c>
      <c r="T3351">
        <v>26</v>
      </c>
      <c r="U3351" s="2" t="s">
        <v>5301</v>
      </c>
      <c r="V3351" s="1">
        <v>45525</v>
      </c>
      <c r="W3351" t="s">
        <v>153</v>
      </c>
      <c r="X3351">
        <v>110024245</v>
      </c>
      <c r="Y3351" t="s">
        <v>8731</v>
      </c>
      <c r="Z3351" t="s">
        <v>179</v>
      </c>
      <c r="AA3351" s="2" t="s">
        <v>20574</v>
      </c>
      <c r="AB3351" t="s">
        <v>548</v>
      </c>
      <c r="AD3351" s="2" t="s">
        <v>20575</v>
      </c>
      <c r="AE3351" t="s">
        <v>20576</v>
      </c>
      <c r="AG3351" t="s">
        <v>20579</v>
      </c>
      <c r="AH3351" t="s">
        <v>6075</v>
      </c>
      <c r="AI3351" t="s">
        <v>20580</v>
      </c>
    </row>
    <row r="3352" spans="2:35" ht="285">
      <c r="B3352" s="1">
        <v>45530</v>
      </c>
      <c r="C3352" s="4">
        <v>45526.479166666664</v>
      </c>
      <c r="D3352" t="s">
        <v>2364</v>
      </c>
      <c r="E3352" t="s">
        <v>7483</v>
      </c>
      <c r="F3352">
        <v>12</v>
      </c>
      <c r="G3352" t="s">
        <v>978</v>
      </c>
      <c r="H3352" t="s">
        <v>1473</v>
      </c>
      <c r="I3352" t="s">
        <v>40</v>
      </c>
      <c r="J3352" t="s">
        <v>109</v>
      </c>
      <c r="K3352" t="s">
        <v>42</v>
      </c>
      <c r="L3352" t="s">
        <v>296</v>
      </c>
      <c r="N3352" t="s">
        <v>297</v>
      </c>
      <c r="Q3352">
        <v>29193</v>
      </c>
      <c r="R3352" t="s">
        <v>119</v>
      </c>
      <c r="S3352" t="s">
        <v>7484</v>
      </c>
      <c r="T3352">
        <v>26.7</v>
      </c>
      <c r="U3352" s="2" t="s">
        <v>20581</v>
      </c>
      <c r="W3352" t="s">
        <v>981</v>
      </c>
      <c r="X3352">
        <v>838570</v>
      </c>
      <c r="Y3352" t="s">
        <v>20582</v>
      </c>
      <c r="Z3352" t="s">
        <v>9161</v>
      </c>
      <c r="AA3352" s="2" t="s">
        <v>20583</v>
      </c>
      <c r="AB3352" t="s">
        <v>1480</v>
      </c>
      <c r="AG3352" t="s">
        <v>20584</v>
      </c>
      <c r="AH3352" t="s">
        <v>7488</v>
      </c>
      <c r="AI3352" t="s">
        <v>20585</v>
      </c>
    </row>
    <row r="3353" spans="2:35" ht="90">
      <c r="B3353" s="1">
        <v>45526</v>
      </c>
      <c r="C3353" s="4">
        <v>45526.622916666667</v>
      </c>
      <c r="D3353" t="s">
        <v>20586</v>
      </c>
      <c r="E3353" t="s">
        <v>229</v>
      </c>
      <c r="F3353" t="s">
        <v>148</v>
      </c>
      <c r="G3353" t="s">
        <v>230</v>
      </c>
      <c r="H3353" t="s">
        <v>39</v>
      </c>
      <c r="I3353" t="s">
        <v>40</v>
      </c>
      <c r="J3353" s="2" t="s">
        <v>41</v>
      </c>
      <c r="K3353" t="s">
        <v>42</v>
      </c>
      <c r="L3353" t="s">
        <v>175</v>
      </c>
      <c r="N3353" t="s">
        <v>176</v>
      </c>
      <c r="Q3353">
        <v>29192</v>
      </c>
      <c r="R3353" t="s">
        <v>703</v>
      </c>
      <c r="S3353" t="s">
        <v>14672</v>
      </c>
      <c r="T3353">
        <v>25</v>
      </c>
      <c r="V3353" s="1">
        <v>45525</v>
      </c>
      <c r="W3353" t="s">
        <v>423</v>
      </c>
      <c r="X3353">
        <v>110118312</v>
      </c>
      <c r="Y3353" t="s">
        <v>8731</v>
      </c>
      <c r="Z3353" t="s">
        <v>8035</v>
      </c>
      <c r="AA3353" t="e">
        <f ca="1">- replaced module B1
- generated reports
- performed self test</f>
        <v>#NAME?</v>
      </c>
      <c r="AB3353" t="s">
        <v>181</v>
      </c>
      <c r="AD3353" s="2" t="s">
        <v>20587</v>
      </c>
      <c r="AE3353">
        <v>11835</v>
      </c>
      <c r="AG3353" t="s">
        <v>20588</v>
      </c>
      <c r="AH3353" t="s">
        <v>14674</v>
      </c>
      <c r="AI3353" t="s">
        <v>20589</v>
      </c>
    </row>
    <row r="3354" spans="2:35" ht="120">
      <c r="B3354" s="1">
        <v>45526</v>
      </c>
      <c r="C3354" s="4">
        <v>45526.625694444447</v>
      </c>
      <c r="D3354" t="s">
        <v>8522</v>
      </c>
      <c r="E3354" t="s">
        <v>20590</v>
      </c>
      <c r="F3354">
        <v>13</v>
      </c>
      <c r="G3354" t="s">
        <v>8524</v>
      </c>
      <c r="H3354" t="s">
        <v>39</v>
      </c>
      <c r="I3354" t="s">
        <v>40</v>
      </c>
      <c r="J3354" t="s">
        <v>109</v>
      </c>
      <c r="K3354" t="s">
        <v>42</v>
      </c>
      <c r="L3354" t="s">
        <v>933</v>
      </c>
      <c r="N3354" t="s">
        <v>934</v>
      </c>
      <c r="Q3354">
        <v>29191</v>
      </c>
      <c r="R3354" t="s">
        <v>119</v>
      </c>
      <c r="S3354" t="s">
        <v>14952</v>
      </c>
      <c r="T3354">
        <v>30</v>
      </c>
      <c r="W3354" t="s">
        <v>2127</v>
      </c>
      <c r="X3354">
        <v>838439</v>
      </c>
      <c r="Y3354" t="s">
        <v>301</v>
      </c>
      <c r="Z3354" t="s">
        <v>301</v>
      </c>
      <c r="AA3354" s="2" t="s">
        <v>20591</v>
      </c>
      <c r="AB3354" t="s">
        <v>2131</v>
      </c>
      <c r="AG3354" t="s">
        <v>20592</v>
      </c>
      <c r="AH3354" t="s">
        <v>20593</v>
      </c>
      <c r="AI3354" t="s">
        <v>20594</v>
      </c>
    </row>
    <row r="3355" spans="2:35" ht="285">
      <c r="B3355" s="1">
        <v>45526</v>
      </c>
      <c r="C3355" s="4">
        <v>45526.577777777777</v>
      </c>
      <c r="D3355" t="s">
        <v>20595</v>
      </c>
      <c r="E3355" t="s">
        <v>20596</v>
      </c>
      <c r="F3355">
        <v>3</v>
      </c>
      <c r="G3355" t="s">
        <v>134</v>
      </c>
      <c r="H3355" t="s">
        <v>513</v>
      </c>
      <c r="I3355" t="s">
        <v>94</v>
      </c>
      <c r="J3355" s="2" t="s">
        <v>62</v>
      </c>
      <c r="K3355" t="s">
        <v>387</v>
      </c>
      <c r="L3355" t="s">
        <v>80</v>
      </c>
      <c r="N3355" t="s">
        <v>81</v>
      </c>
      <c r="O3355" t="s">
        <v>20597</v>
      </c>
      <c r="Q3355">
        <v>29190</v>
      </c>
      <c r="R3355" t="s">
        <v>95</v>
      </c>
      <c r="S3355" t="s">
        <v>20598</v>
      </c>
      <c r="T3355">
        <v>25</v>
      </c>
      <c r="V3355" s="1">
        <v>45512</v>
      </c>
      <c r="W3355" t="s">
        <v>390</v>
      </c>
      <c r="X3355" t="s">
        <v>7574</v>
      </c>
      <c r="Y3355" t="s">
        <v>20599</v>
      </c>
      <c r="Z3355" t="s">
        <v>20600</v>
      </c>
      <c r="AA3355" s="2" t="s">
        <v>20601</v>
      </c>
      <c r="AB3355" t="s">
        <v>20602</v>
      </c>
      <c r="AC3355" t="s">
        <v>54</v>
      </c>
      <c r="AD3355" t="s">
        <v>10573</v>
      </c>
      <c r="AE3355" t="s">
        <v>20603</v>
      </c>
      <c r="AG3355" t="s">
        <v>20604</v>
      </c>
      <c r="AH3355" t="s">
        <v>20605</v>
      </c>
      <c r="AI3355" t="s">
        <v>20606</v>
      </c>
    </row>
    <row r="3356" spans="2:35" ht="105">
      <c r="B3356" s="1">
        <v>45526</v>
      </c>
      <c r="C3356" s="4">
        <v>45526.449305555558</v>
      </c>
      <c r="D3356" t="s">
        <v>20607</v>
      </c>
      <c r="E3356" t="s">
        <v>12975</v>
      </c>
      <c r="F3356" t="s">
        <v>1255</v>
      </c>
      <c r="G3356" t="s">
        <v>3346</v>
      </c>
      <c r="H3356" t="s">
        <v>39</v>
      </c>
      <c r="I3356" t="s">
        <v>94</v>
      </c>
      <c r="J3356" t="s">
        <v>20608</v>
      </c>
      <c r="K3356" t="s">
        <v>42</v>
      </c>
      <c r="L3356" t="s">
        <v>1257</v>
      </c>
      <c r="N3356" t="s">
        <v>1258</v>
      </c>
      <c r="O3356" t="s">
        <v>2199</v>
      </c>
      <c r="Q3356">
        <v>29189</v>
      </c>
      <c r="R3356" t="s">
        <v>119</v>
      </c>
      <c r="S3356" t="s">
        <v>20609</v>
      </c>
      <c r="T3356">
        <v>27</v>
      </c>
      <c r="U3356" s="2" t="s">
        <v>18336</v>
      </c>
      <c r="V3356" s="1">
        <v>45526</v>
      </c>
      <c r="W3356" t="s">
        <v>17323</v>
      </c>
      <c r="X3356">
        <v>838832</v>
      </c>
      <c r="Y3356" t="s">
        <v>301</v>
      </c>
      <c r="Z3356" t="s">
        <v>20610</v>
      </c>
      <c r="AA3356" t="s">
        <v>20611</v>
      </c>
      <c r="AB3356" t="s">
        <v>7411</v>
      </c>
      <c r="AC3356" t="s">
        <v>10841</v>
      </c>
      <c r="AD3356" t="s">
        <v>54</v>
      </c>
      <c r="AE3356" t="s">
        <v>54</v>
      </c>
      <c r="AG3356" t="s">
        <v>20612</v>
      </c>
      <c r="AH3356" t="s">
        <v>11338</v>
      </c>
      <c r="AI3356" t="s">
        <v>20613</v>
      </c>
    </row>
    <row r="3357" spans="2:35" ht="105">
      <c r="B3357" s="1">
        <v>45526</v>
      </c>
      <c r="C3357" s="4">
        <v>45526.449305555558</v>
      </c>
      <c r="D3357" t="s">
        <v>20607</v>
      </c>
      <c r="E3357" t="s">
        <v>12975</v>
      </c>
      <c r="F3357" t="s">
        <v>1255</v>
      </c>
      <c r="G3357" t="s">
        <v>3346</v>
      </c>
      <c r="H3357" t="s">
        <v>39</v>
      </c>
      <c r="I3357" t="s">
        <v>94</v>
      </c>
      <c r="J3357" s="2" t="s">
        <v>20614</v>
      </c>
      <c r="K3357" t="s">
        <v>42</v>
      </c>
      <c r="L3357" t="s">
        <v>1257</v>
      </c>
      <c r="N3357" t="s">
        <v>1258</v>
      </c>
      <c r="O3357" t="s">
        <v>2199</v>
      </c>
      <c r="Q3357">
        <v>29188</v>
      </c>
      <c r="R3357" t="s">
        <v>119</v>
      </c>
      <c r="S3357" t="s">
        <v>20609</v>
      </c>
      <c r="T3357">
        <v>27</v>
      </c>
      <c r="U3357" s="2" t="s">
        <v>18336</v>
      </c>
      <c r="V3357" s="1">
        <v>45526</v>
      </c>
      <c r="W3357" t="s">
        <v>17323</v>
      </c>
      <c r="X3357">
        <v>838832</v>
      </c>
      <c r="Y3357" t="s">
        <v>301</v>
      </c>
      <c r="Z3357" t="s">
        <v>20610</v>
      </c>
      <c r="AA3357" t="s">
        <v>20611</v>
      </c>
      <c r="AB3357" t="s">
        <v>7411</v>
      </c>
      <c r="AC3357" t="s">
        <v>10841</v>
      </c>
      <c r="AD3357" t="s">
        <v>54</v>
      </c>
      <c r="AE3357" t="s">
        <v>54</v>
      </c>
      <c r="AG3357" t="s">
        <v>20612</v>
      </c>
      <c r="AH3357" t="s">
        <v>11338</v>
      </c>
      <c r="AI3357" t="s">
        <v>20613</v>
      </c>
    </row>
    <row r="3358" spans="2:35" ht="105">
      <c r="B3358" s="1">
        <v>45526</v>
      </c>
      <c r="C3358" s="4">
        <v>45526.417361111111</v>
      </c>
      <c r="D3358" t="s">
        <v>20615</v>
      </c>
      <c r="E3358" t="s">
        <v>6528</v>
      </c>
      <c r="F3358">
        <v>7</v>
      </c>
      <c r="G3358" t="s">
        <v>6529</v>
      </c>
      <c r="H3358" t="s">
        <v>39</v>
      </c>
      <c r="I3358" t="s">
        <v>40</v>
      </c>
      <c r="J3358" s="2" t="s">
        <v>1808</v>
      </c>
      <c r="K3358" t="s">
        <v>42</v>
      </c>
      <c r="L3358" t="s">
        <v>433</v>
      </c>
      <c r="N3358" t="s">
        <v>434</v>
      </c>
      <c r="Q3358">
        <v>29187</v>
      </c>
      <c r="R3358" t="s">
        <v>119</v>
      </c>
      <c r="S3358" t="s">
        <v>20616</v>
      </c>
      <c r="T3358">
        <v>29</v>
      </c>
      <c r="W3358" t="s">
        <v>1008</v>
      </c>
      <c r="X3358">
        <v>838292</v>
      </c>
      <c r="Y3358" t="s">
        <v>20617</v>
      </c>
      <c r="Z3358" s="2" t="s">
        <v>20618</v>
      </c>
      <c r="AA3358" s="2" t="s">
        <v>20618</v>
      </c>
      <c r="AB3358" t="s">
        <v>20619</v>
      </c>
      <c r="AG3358" t="s">
        <v>20620</v>
      </c>
      <c r="AH3358" t="s">
        <v>20621</v>
      </c>
      <c r="AI3358" t="s">
        <v>20622</v>
      </c>
    </row>
    <row r="3359" spans="2:35" ht="240">
      <c r="B3359" s="1">
        <v>45526</v>
      </c>
      <c r="C3359" s="4">
        <v>45525.606249999997</v>
      </c>
      <c r="D3359" t="s">
        <v>5783</v>
      </c>
      <c r="E3359" t="s">
        <v>20623</v>
      </c>
      <c r="F3359">
        <v>12</v>
      </c>
      <c r="G3359" t="s">
        <v>5785</v>
      </c>
      <c r="H3359" t="s">
        <v>1473</v>
      </c>
      <c r="I3359" t="s">
        <v>40</v>
      </c>
      <c r="J3359" t="s">
        <v>109</v>
      </c>
      <c r="K3359" t="s">
        <v>42</v>
      </c>
      <c r="L3359" t="s">
        <v>296</v>
      </c>
      <c r="N3359" t="s">
        <v>297</v>
      </c>
      <c r="Q3359">
        <v>29185</v>
      </c>
      <c r="R3359" t="s">
        <v>119</v>
      </c>
      <c r="S3359" t="s">
        <v>20624</v>
      </c>
      <c r="T3359">
        <v>28.2</v>
      </c>
      <c r="U3359" s="2" t="s">
        <v>20625</v>
      </c>
      <c r="W3359" t="s">
        <v>981</v>
      </c>
      <c r="X3359">
        <v>838546</v>
      </c>
      <c r="Y3359" t="s">
        <v>54</v>
      </c>
      <c r="Z3359" t="s">
        <v>9161</v>
      </c>
      <c r="AA3359" s="2" t="s">
        <v>20626</v>
      </c>
      <c r="AB3359" t="s">
        <v>972</v>
      </c>
      <c r="AG3359" t="s">
        <v>20627</v>
      </c>
      <c r="AH3359" t="s">
        <v>9163</v>
      </c>
      <c r="AI3359" t="s">
        <v>20628</v>
      </c>
    </row>
    <row r="3360" spans="2:35" ht="105">
      <c r="B3360" s="1">
        <v>45526</v>
      </c>
      <c r="C3360" s="4">
        <v>45525.405555555553</v>
      </c>
      <c r="D3360" t="s">
        <v>965</v>
      </c>
      <c r="E3360" t="s">
        <v>15826</v>
      </c>
      <c r="F3360">
        <v>12</v>
      </c>
      <c r="G3360" t="s">
        <v>294</v>
      </c>
      <c r="H3360" t="s">
        <v>1473</v>
      </c>
      <c r="I3360" t="s">
        <v>40</v>
      </c>
      <c r="J3360" t="s">
        <v>79</v>
      </c>
      <c r="K3360" t="s">
        <v>42</v>
      </c>
      <c r="L3360" t="s">
        <v>296</v>
      </c>
      <c r="N3360" t="s">
        <v>297</v>
      </c>
      <c r="Q3360">
        <v>29186</v>
      </c>
      <c r="R3360" t="s">
        <v>967</v>
      </c>
      <c r="S3360" t="s">
        <v>968</v>
      </c>
      <c r="T3360">
        <v>24.3</v>
      </c>
      <c r="U3360" s="2" t="s">
        <v>16913</v>
      </c>
      <c r="W3360" t="s">
        <v>970</v>
      </c>
      <c r="X3360">
        <v>110023520</v>
      </c>
      <c r="Y3360" t="s">
        <v>20629</v>
      </c>
      <c r="Z3360" t="s">
        <v>20630</v>
      </c>
      <c r="AA3360" t="s">
        <v>20631</v>
      </c>
      <c r="AB3360" t="s">
        <v>972</v>
      </c>
      <c r="AG3360" t="s">
        <v>20632</v>
      </c>
      <c r="AH3360" t="s">
        <v>20633</v>
      </c>
      <c r="AI3360" t="s">
        <v>20634</v>
      </c>
    </row>
    <row r="3361" spans="2:35" ht="409.5">
      <c r="B3361" s="1">
        <v>45525</v>
      </c>
      <c r="C3361" s="4">
        <v>45524.637499999997</v>
      </c>
      <c r="D3361" t="s">
        <v>5602</v>
      </c>
      <c r="E3361" t="s">
        <v>2580</v>
      </c>
      <c r="F3361" t="s">
        <v>148</v>
      </c>
      <c r="G3361" t="s">
        <v>447</v>
      </c>
      <c r="H3361" t="s">
        <v>662</v>
      </c>
      <c r="I3361" t="s">
        <v>40</v>
      </c>
      <c r="J3361" t="s">
        <v>79</v>
      </c>
      <c r="K3361" t="s">
        <v>42</v>
      </c>
      <c r="L3361" t="s">
        <v>448</v>
      </c>
      <c r="N3361" t="s">
        <v>450</v>
      </c>
      <c r="Q3361">
        <v>29184</v>
      </c>
      <c r="R3361" t="s">
        <v>322</v>
      </c>
      <c r="S3361" t="s">
        <v>5604</v>
      </c>
      <c r="T3361">
        <v>26</v>
      </c>
      <c r="U3361" s="2" t="s">
        <v>20635</v>
      </c>
      <c r="V3361" s="1">
        <v>45519</v>
      </c>
      <c r="W3361" t="s">
        <v>6785</v>
      </c>
      <c r="X3361">
        <v>110005587</v>
      </c>
      <c r="Y3361" t="s">
        <v>20636</v>
      </c>
      <c r="Z3361" s="2" t="s">
        <v>2585</v>
      </c>
      <c r="AA3361" t="s">
        <v>5712</v>
      </c>
      <c r="AB3361" s="2" t="s">
        <v>20637</v>
      </c>
      <c r="AC3361" t="s">
        <v>16062</v>
      </c>
      <c r="AD3361" t="s">
        <v>4669</v>
      </c>
      <c r="AE3361">
        <v>98621</v>
      </c>
      <c r="AG3361" t="s">
        <v>20638</v>
      </c>
      <c r="AH3361" t="s">
        <v>5609</v>
      </c>
      <c r="AI3361" t="s">
        <v>20639</v>
      </c>
    </row>
    <row r="3362" spans="2:35" ht="409.5">
      <c r="B3362" s="1">
        <v>45525</v>
      </c>
      <c r="C3362" s="4">
        <v>45524.618750000001</v>
      </c>
      <c r="D3362" t="s">
        <v>5602</v>
      </c>
      <c r="E3362" t="s">
        <v>2580</v>
      </c>
      <c r="F3362" t="s">
        <v>148</v>
      </c>
      <c r="G3362" t="s">
        <v>447</v>
      </c>
      <c r="H3362" t="s">
        <v>662</v>
      </c>
      <c r="I3362" t="s">
        <v>40</v>
      </c>
      <c r="J3362" t="s">
        <v>79</v>
      </c>
      <c r="K3362" t="s">
        <v>42</v>
      </c>
      <c r="L3362" t="s">
        <v>448</v>
      </c>
      <c r="N3362" t="s">
        <v>450</v>
      </c>
      <c r="Q3362">
        <v>29183</v>
      </c>
      <c r="R3362" t="s">
        <v>322</v>
      </c>
      <c r="S3362" t="s">
        <v>5604</v>
      </c>
      <c r="T3362">
        <v>28</v>
      </c>
      <c r="U3362" s="2" t="s">
        <v>20640</v>
      </c>
      <c r="V3362" s="1">
        <v>45519</v>
      </c>
      <c r="W3362" t="s">
        <v>6121</v>
      </c>
      <c r="X3362">
        <v>838524</v>
      </c>
      <c r="Y3362" t="s">
        <v>20641</v>
      </c>
      <c r="Z3362" s="2" t="s">
        <v>20642</v>
      </c>
      <c r="AA3362" t="s">
        <v>20643</v>
      </c>
      <c r="AB3362" t="s">
        <v>486</v>
      </c>
      <c r="AC3362" t="s">
        <v>16062</v>
      </c>
      <c r="AD3362" t="s">
        <v>4669</v>
      </c>
      <c r="AE3362">
        <v>98621</v>
      </c>
      <c r="AG3362" t="s">
        <v>20644</v>
      </c>
      <c r="AH3362" t="s">
        <v>5609</v>
      </c>
      <c r="AI3362" t="s">
        <v>20645</v>
      </c>
    </row>
    <row r="3363" spans="2:35" ht="300">
      <c r="B3363" s="1">
        <v>45525</v>
      </c>
      <c r="C3363" s="4">
        <v>45525.625694444447</v>
      </c>
      <c r="D3363" t="s">
        <v>5087</v>
      </c>
      <c r="E3363" t="s">
        <v>19638</v>
      </c>
      <c r="F3363" t="s">
        <v>148</v>
      </c>
      <c r="G3363" t="s">
        <v>447</v>
      </c>
      <c r="H3363" t="s">
        <v>4735</v>
      </c>
      <c r="I3363" t="s">
        <v>40</v>
      </c>
      <c r="J3363" t="s">
        <v>525</v>
      </c>
      <c r="K3363" t="s">
        <v>387</v>
      </c>
      <c r="L3363" t="s">
        <v>448</v>
      </c>
      <c r="N3363" t="s">
        <v>450</v>
      </c>
      <c r="O3363" t="s">
        <v>650</v>
      </c>
      <c r="Q3363">
        <v>29182</v>
      </c>
      <c r="R3363" t="s">
        <v>322</v>
      </c>
      <c r="S3363" t="s">
        <v>650</v>
      </c>
      <c r="T3363">
        <v>26</v>
      </c>
      <c r="W3363" t="s">
        <v>20646</v>
      </c>
      <c r="X3363">
        <v>5014</v>
      </c>
      <c r="Y3363" s="2" t="s">
        <v>20647</v>
      </c>
      <c r="Z3363" s="2" t="s">
        <v>20648</v>
      </c>
      <c r="AA3363" t="s">
        <v>768</v>
      </c>
      <c r="AB3363" t="s">
        <v>20649</v>
      </c>
      <c r="AC3363" t="s">
        <v>20650</v>
      </c>
      <c r="AG3363" t="s">
        <v>20651</v>
      </c>
      <c r="AH3363" t="s">
        <v>20652</v>
      </c>
      <c r="AI3363" t="s">
        <v>20653</v>
      </c>
    </row>
    <row r="3364" spans="2:35" ht="120">
      <c r="B3364" s="1">
        <v>45525</v>
      </c>
      <c r="C3364" s="4">
        <v>45525.630555555559</v>
      </c>
      <c r="D3364" t="s">
        <v>14503</v>
      </c>
      <c r="E3364" t="s">
        <v>20654</v>
      </c>
      <c r="F3364">
        <v>13</v>
      </c>
      <c r="G3364" t="s">
        <v>4484</v>
      </c>
      <c r="H3364" t="s">
        <v>2125</v>
      </c>
      <c r="I3364" t="s">
        <v>40</v>
      </c>
      <c r="J3364" t="s">
        <v>109</v>
      </c>
      <c r="K3364" t="s">
        <v>42</v>
      </c>
      <c r="L3364" t="s">
        <v>933</v>
      </c>
      <c r="N3364" t="s">
        <v>934</v>
      </c>
      <c r="Q3364">
        <v>29181</v>
      </c>
      <c r="R3364" t="s">
        <v>119</v>
      </c>
      <c r="S3364" t="s">
        <v>14505</v>
      </c>
      <c r="T3364">
        <v>26</v>
      </c>
      <c r="W3364" t="s">
        <v>2127</v>
      </c>
      <c r="X3364">
        <v>838550</v>
      </c>
      <c r="Y3364" t="s">
        <v>301</v>
      </c>
      <c r="Z3364" t="s">
        <v>301</v>
      </c>
      <c r="AA3364" s="2" t="s">
        <v>20351</v>
      </c>
      <c r="AB3364" t="s">
        <v>2131</v>
      </c>
      <c r="AG3364" t="s">
        <v>20655</v>
      </c>
      <c r="AH3364" t="s">
        <v>20656</v>
      </c>
      <c r="AI3364" t="s">
        <v>20657</v>
      </c>
    </row>
    <row r="3365" spans="2:35" ht="165">
      <c r="B3365" s="1">
        <v>45525</v>
      </c>
      <c r="C3365" s="4">
        <v>45525.576388888891</v>
      </c>
      <c r="D3365" t="s">
        <v>9427</v>
      </c>
      <c r="E3365" t="s">
        <v>11438</v>
      </c>
      <c r="F3365">
        <v>2</v>
      </c>
      <c r="G3365" t="s">
        <v>2723</v>
      </c>
      <c r="H3365" t="s">
        <v>39</v>
      </c>
      <c r="I3365" t="s">
        <v>40</v>
      </c>
      <c r="J3365" t="s">
        <v>109</v>
      </c>
      <c r="K3365" t="s">
        <v>42</v>
      </c>
      <c r="L3365" t="s">
        <v>63</v>
      </c>
      <c r="N3365" t="s">
        <v>64</v>
      </c>
      <c r="Q3365">
        <v>29180</v>
      </c>
      <c r="R3365" t="s">
        <v>119</v>
      </c>
      <c r="S3365" t="s">
        <v>9429</v>
      </c>
      <c r="T3365">
        <v>28</v>
      </c>
      <c r="U3365" s="2" t="s">
        <v>20658</v>
      </c>
      <c r="W3365" t="s">
        <v>66</v>
      </c>
      <c r="X3365">
        <v>838530</v>
      </c>
      <c r="Y3365" t="s">
        <v>2692</v>
      </c>
      <c r="Z3365" s="2" t="s">
        <v>20659</v>
      </c>
      <c r="AA3365" t="s">
        <v>20660</v>
      </c>
      <c r="AB3365" t="s">
        <v>70</v>
      </c>
      <c r="AG3365" t="s">
        <v>20661</v>
      </c>
      <c r="AH3365" t="s">
        <v>11443</v>
      </c>
      <c r="AI3365" t="s">
        <v>20662</v>
      </c>
    </row>
    <row r="3366" spans="2:35" ht="195">
      <c r="B3366" s="1">
        <v>45525</v>
      </c>
      <c r="C3366" s="4">
        <v>45525.529166666667</v>
      </c>
      <c r="D3366" t="s">
        <v>7751</v>
      </c>
      <c r="E3366" t="s">
        <v>7752</v>
      </c>
      <c r="F3366">
        <v>13</v>
      </c>
      <c r="G3366" t="s">
        <v>4484</v>
      </c>
      <c r="H3366" t="s">
        <v>2125</v>
      </c>
      <c r="I3366" t="s">
        <v>40</v>
      </c>
      <c r="J3366" s="2" t="s">
        <v>62</v>
      </c>
      <c r="K3366" t="s">
        <v>42</v>
      </c>
      <c r="L3366" t="s">
        <v>933</v>
      </c>
      <c r="N3366" t="s">
        <v>934</v>
      </c>
      <c r="Q3366">
        <v>29179</v>
      </c>
      <c r="R3366" t="s">
        <v>119</v>
      </c>
      <c r="S3366" t="s">
        <v>7753</v>
      </c>
      <c r="T3366">
        <v>30</v>
      </c>
      <c r="W3366" t="s">
        <v>2127</v>
      </c>
      <c r="X3366">
        <v>838403</v>
      </c>
      <c r="Y3366" t="s">
        <v>20663</v>
      </c>
      <c r="Z3366" t="s">
        <v>20664</v>
      </c>
      <c r="AA3366" s="2" t="s">
        <v>20665</v>
      </c>
      <c r="AB3366" s="2" t="s">
        <v>20666</v>
      </c>
      <c r="AG3366" t="s">
        <v>20667</v>
      </c>
      <c r="AH3366" t="s">
        <v>20668</v>
      </c>
      <c r="AI3366" t="s">
        <v>20669</v>
      </c>
    </row>
    <row r="3367" spans="2:35" ht="165">
      <c r="B3367" s="1">
        <v>45525</v>
      </c>
      <c r="C3367" s="4">
        <v>45525.500694444447</v>
      </c>
      <c r="D3367" t="s">
        <v>10344</v>
      </c>
      <c r="E3367" t="s">
        <v>10345</v>
      </c>
      <c r="F3367">
        <v>2</v>
      </c>
      <c r="G3367" t="s">
        <v>2723</v>
      </c>
      <c r="H3367" t="s">
        <v>39</v>
      </c>
      <c r="I3367" t="s">
        <v>40</v>
      </c>
      <c r="J3367" t="s">
        <v>109</v>
      </c>
      <c r="K3367" t="s">
        <v>42</v>
      </c>
      <c r="L3367" t="s">
        <v>63</v>
      </c>
      <c r="N3367" t="s">
        <v>64</v>
      </c>
      <c r="Q3367">
        <v>29178</v>
      </c>
      <c r="R3367" t="s">
        <v>119</v>
      </c>
      <c r="S3367" t="s">
        <v>20670</v>
      </c>
      <c r="T3367">
        <v>28</v>
      </c>
      <c r="U3367" s="2" t="s">
        <v>20671</v>
      </c>
      <c r="W3367" t="s">
        <v>66</v>
      </c>
      <c r="X3367">
        <v>838474</v>
      </c>
      <c r="Y3367" t="s">
        <v>2692</v>
      </c>
      <c r="Z3367" s="2" t="s">
        <v>2726</v>
      </c>
      <c r="AA3367" t="s">
        <v>20660</v>
      </c>
      <c r="AB3367" t="s">
        <v>70</v>
      </c>
      <c r="AG3367" t="s">
        <v>20672</v>
      </c>
      <c r="AH3367" t="s">
        <v>20673</v>
      </c>
      <c r="AI3367" t="s">
        <v>20674</v>
      </c>
    </row>
    <row r="3368" spans="2:35" ht="270">
      <c r="B3368" s="1">
        <v>45525</v>
      </c>
      <c r="C3368" s="4">
        <v>45525.498611111114</v>
      </c>
      <c r="D3368" t="s">
        <v>8429</v>
      </c>
      <c r="E3368" t="s">
        <v>9854</v>
      </c>
      <c r="F3368">
        <v>11</v>
      </c>
      <c r="G3368" t="s">
        <v>1205</v>
      </c>
      <c r="H3368" t="s">
        <v>202</v>
      </c>
      <c r="I3368" t="s">
        <v>40</v>
      </c>
      <c r="J3368" s="2" t="s">
        <v>355</v>
      </c>
      <c r="K3368" t="s">
        <v>42</v>
      </c>
      <c r="L3368" t="s">
        <v>204</v>
      </c>
      <c r="N3368" t="s">
        <v>205</v>
      </c>
      <c r="Q3368">
        <v>29177</v>
      </c>
      <c r="R3368" t="s">
        <v>119</v>
      </c>
      <c r="S3368" t="s">
        <v>8431</v>
      </c>
      <c r="T3368">
        <v>26.5</v>
      </c>
      <c r="U3368" s="2" t="s">
        <v>13770</v>
      </c>
      <c r="W3368" t="s">
        <v>20675</v>
      </c>
      <c r="X3368">
        <v>838456</v>
      </c>
      <c r="Y3368" t="s">
        <v>20676</v>
      </c>
      <c r="Z3368" s="2" t="s">
        <v>20677</v>
      </c>
      <c r="AA3368" t="s">
        <v>20678</v>
      </c>
      <c r="AB3368" s="2" t="s">
        <v>20679</v>
      </c>
      <c r="AG3368" t="s">
        <v>20680</v>
      </c>
      <c r="AH3368" t="s">
        <v>20681</v>
      </c>
      <c r="AI3368" t="s">
        <v>20682</v>
      </c>
    </row>
    <row r="3369" spans="2:35" ht="165">
      <c r="B3369" s="1">
        <v>45525</v>
      </c>
      <c r="C3369" s="4">
        <v>45525.504861111112</v>
      </c>
      <c r="D3369" t="s">
        <v>20683</v>
      </c>
      <c r="E3369" t="s">
        <v>6529</v>
      </c>
      <c r="F3369">
        <v>7</v>
      </c>
      <c r="G3369" t="s">
        <v>6529</v>
      </c>
      <c r="H3369" t="s">
        <v>39</v>
      </c>
      <c r="I3369" t="s">
        <v>40</v>
      </c>
      <c r="J3369" t="s">
        <v>20684</v>
      </c>
      <c r="K3369" t="s">
        <v>42</v>
      </c>
      <c r="L3369" t="s">
        <v>433</v>
      </c>
      <c r="N3369" t="s">
        <v>434</v>
      </c>
      <c r="Q3369">
        <v>29176</v>
      </c>
      <c r="R3369" t="s">
        <v>119</v>
      </c>
      <c r="S3369" t="s">
        <v>20685</v>
      </c>
      <c r="T3369">
        <v>25</v>
      </c>
      <c r="W3369" t="s">
        <v>1008</v>
      </c>
      <c r="X3369">
        <v>840969</v>
      </c>
      <c r="Y3369" t="s">
        <v>301</v>
      </c>
      <c r="Z3369" s="2" t="s">
        <v>20686</v>
      </c>
      <c r="AA3369" s="2" t="s">
        <v>20686</v>
      </c>
      <c r="AB3369" t="s">
        <v>1011</v>
      </c>
      <c r="AG3369" t="s">
        <v>20687</v>
      </c>
      <c r="AH3369" t="s">
        <v>20688</v>
      </c>
      <c r="AI3369" t="s">
        <v>20689</v>
      </c>
    </row>
    <row r="3370" spans="2:35" ht="409.5">
      <c r="B3370" s="1">
        <v>45525</v>
      </c>
      <c r="C3370" s="4">
        <v>45524.655555555553</v>
      </c>
      <c r="D3370" t="s">
        <v>11127</v>
      </c>
      <c r="E3370" t="s">
        <v>12651</v>
      </c>
      <c r="F3370">
        <v>5</v>
      </c>
      <c r="G3370" t="s">
        <v>759</v>
      </c>
      <c r="H3370" t="s">
        <v>39</v>
      </c>
      <c r="I3370" t="s">
        <v>94</v>
      </c>
      <c r="J3370" s="2" t="s">
        <v>62</v>
      </c>
      <c r="K3370" t="s">
        <v>42</v>
      </c>
      <c r="L3370" t="s">
        <v>761</v>
      </c>
      <c r="N3370" t="s">
        <v>762</v>
      </c>
      <c r="Q3370">
        <v>29175</v>
      </c>
      <c r="R3370" t="s">
        <v>119</v>
      </c>
      <c r="S3370" t="s">
        <v>11128</v>
      </c>
      <c r="T3370">
        <v>24</v>
      </c>
      <c r="U3370" s="2" t="s">
        <v>11120</v>
      </c>
      <c r="W3370" t="s">
        <v>765</v>
      </c>
      <c r="X3370">
        <v>838565</v>
      </c>
      <c r="Y3370" s="2" t="s">
        <v>4475</v>
      </c>
      <c r="Z3370" s="2" t="s">
        <v>20690</v>
      </c>
      <c r="AA3370" s="2" t="s">
        <v>4477</v>
      </c>
      <c r="AB3370" t="s">
        <v>181</v>
      </c>
      <c r="AG3370" t="s">
        <v>20691</v>
      </c>
      <c r="AH3370" t="s">
        <v>17521</v>
      </c>
      <c r="AI3370" t="s">
        <v>20692</v>
      </c>
    </row>
    <row r="3371" spans="2:35" ht="409.5">
      <c r="B3371" s="1">
        <v>45525</v>
      </c>
      <c r="C3371" s="4">
        <v>45523.55972222222</v>
      </c>
      <c r="D3371" t="s">
        <v>4118</v>
      </c>
      <c r="E3371" t="s">
        <v>20693</v>
      </c>
      <c r="F3371">
        <v>5</v>
      </c>
      <c r="G3371" t="s">
        <v>759</v>
      </c>
      <c r="H3371" t="s">
        <v>39</v>
      </c>
      <c r="I3371" t="s">
        <v>94</v>
      </c>
      <c r="J3371" t="s">
        <v>109</v>
      </c>
      <c r="K3371" t="s">
        <v>42</v>
      </c>
      <c r="L3371" t="s">
        <v>761</v>
      </c>
      <c r="N3371" t="s">
        <v>762</v>
      </c>
      <c r="Q3371">
        <v>29174</v>
      </c>
      <c r="R3371" t="s">
        <v>95</v>
      </c>
      <c r="S3371" t="s">
        <v>12176</v>
      </c>
      <c r="T3371">
        <v>28</v>
      </c>
      <c r="U3371" s="2" t="s">
        <v>20694</v>
      </c>
      <c r="W3371" t="s">
        <v>817</v>
      </c>
      <c r="X3371">
        <v>110017942</v>
      </c>
      <c r="Y3371" t="s">
        <v>818</v>
      </c>
      <c r="Z3371" s="2" t="s">
        <v>20695</v>
      </c>
      <c r="AA3371" t="s">
        <v>820</v>
      </c>
      <c r="AB3371" t="s">
        <v>181</v>
      </c>
      <c r="AG3371" t="s">
        <v>20696</v>
      </c>
      <c r="AH3371" t="s">
        <v>20697</v>
      </c>
      <c r="AI3371" t="s">
        <v>20698</v>
      </c>
    </row>
    <row r="3372" spans="2:35" ht="390">
      <c r="B3372" s="1">
        <v>45525</v>
      </c>
      <c r="C3372" s="4">
        <v>45525.459722222222</v>
      </c>
      <c r="D3372" t="s">
        <v>5060</v>
      </c>
      <c r="E3372" t="s">
        <v>15186</v>
      </c>
      <c r="F3372">
        <v>3</v>
      </c>
      <c r="G3372" t="s">
        <v>284</v>
      </c>
      <c r="H3372" t="s">
        <v>9313</v>
      </c>
      <c r="I3372" t="s">
        <v>94</v>
      </c>
      <c r="J3372" s="2" t="s">
        <v>41</v>
      </c>
      <c r="K3372" t="s">
        <v>42</v>
      </c>
      <c r="L3372" t="s">
        <v>135</v>
      </c>
      <c r="N3372" t="s">
        <v>136</v>
      </c>
      <c r="Q3372">
        <v>29173</v>
      </c>
      <c r="R3372" t="s">
        <v>322</v>
      </c>
      <c r="S3372" t="s">
        <v>11281</v>
      </c>
      <c r="T3372">
        <v>26</v>
      </c>
      <c r="U3372" s="2" t="s">
        <v>20699</v>
      </c>
      <c r="V3372" s="1">
        <v>45524</v>
      </c>
      <c r="W3372" t="s">
        <v>2680</v>
      </c>
      <c r="X3372">
        <v>829390</v>
      </c>
      <c r="Y3372" s="2" t="s">
        <v>20700</v>
      </c>
      <c r="Z3372" s="2" t="s">
        <v>20701</v>
      </c>
      <c r="AA3372" s="2" t="s">
        <v>5713</v>
      </c>
      <c r="AB3372" t="s">
        <v>181</v>
      </c>
      <c r="AD3372" t="s">
        <v>20702</v>
      </c>
      <c r="AE3372">
        <v>11825</v>
      </c>
      <c r="AG3372" t="s">
        <v>20703</v>
      </c>
      <c r="AH3372" t="s">
        <v>15193</v>
      </c>
      <c r="AI3372" t="s">
        <v>20704</v>
      </c>
    </row>
    <row r="3373" spans="2:35" ht="180">
      <c r="B3373" s="1">
        <v>45525</v>
      </c>
      <c r="C3373" s="4">
        <v>45525.447916666664</v>
      </c>
      <c r="D3373" t="s">
        <v>4482</v>
      </c>
      <c r="E3373" t="s">
        <v>8024</v>
      </c>
      <c r="F3373">
        <v>13</v>
      </c>
      <c r="G3373" t="s">
        <v>4484</v>
      </c>
      <c r="H3373" t="s">
        <v>61</v>
      </c>
      <c r="I3373" t="s">
        <v>40</v>
      </c>
      <c r="J3373" t="s">
        <v>109</v>
      </c>
      <c r="K3373" t="s">
        <v>42</v>
      </c>
      <c r="L3373" t="s">
        <v>933</v>
      </c>
      <c r="N3373" t="s">
        <v>934</v>
      </c>
      <c r="Q3373">
        <v>29172</v>
      </c>
      <c r="R3373" t="s">
        <v>95</v>
      </c>
      <c r="S3373" t="s">
        <v>8025</v>
      </c>
      <c r="T3373">
        <v>27</v>
      </c>
      <c r="W3373" t="s">
        <v>2394</v>
      </c>
      <c r="X3373">
        <v>831292</v>
      </c>
      <c r="Y3373" t="s">
        <v>20705</v>
      </c>
      <c r="Z3373" t="s">
        <v>301</v>
      </c>
      <c r="AA3373" s="2" t="s">
        <v>20351</v>
      </c>
      <c r="AB3373" s="2" t="s">
        <v>20706</v>
      </c>
      <c r="AG3373" t="s">
        <v>20707</v>
      </c>
      <c r="AH3373" t="s">
        <v>8030</v>
      </c>
      <c r="AI3373" t="s">
        <v>20708</v>
      </c>
    </row>
    <row r="3374" spans="2:35" ht="105">
      <c r="B3374" s="1">
        <v>45525</v>
      </c>
      <c r="C3374" s="4">
        <v>45525.40902777778</v>
      </c>
      <c r="D3374" t="s">
        <v>9702</v>
      </c>
      <c r="E3374" t="s">
        <v>9703</v>
      </c>
      <c r="F3374" t="s">
        <v>1255</v>
      </c>
      <c r="G3374" t="s">
        <v>3346</v>
      </c>
      <c r="H3374" t="s">
        <v>39</v>
      </c>
      <c r="I3374" t="s">
        <v>40</v>
      </c>
      <c r="J3374" s="2" t="s">
        <v>20709</v>
      </c>
      <c r="K3374" t="s">
        <v>42</v>
      </c>
      <c r="L3374" t="s">
        <v>1257</v>
      </c>
      <c r="N3374" t="s">
        <v>1258</v>
      </c>
      <c r="O3374" t="s">
        <v>2199</v>
      </c>
      <c r="Q3374">
        <v>29171</v>
      </c>
      <c r="R3374" t="s">
        <v>119</v>
      </c>
      <c r="S3374" t="s">
        <v>20710</v>
      </c>
      <c r="T3374">
        <v>28</v>
      </c>
      <c r="U3374" s="2" t="s">
        <v>20711</v>
      </c>
      <c r="V3374" s="1">
        <v>45525</v>
      </c>
      <c r="W3374" t="s">
        <v>17323</v>
      </c>
      <c r="X3374">
        <v>838835</v>
      </c>
      <c r="Y3374" t="s">
        <v>301</v>
      </c>
      <c r="Z3374" t="s">
        <v>20712</v>
      </c>
      <c r="AA3374" t="s">
        <v>20712</v>
      </c>
      <c r="AB3374" t="s">
        <v>7411</v>
      </c>
      <c r="AC3374" t="s">
        <v>20713</v>
      </c>
      <c r="AD3374" t="s">
        <v>54</v>
      </c>
      <c r="AE3374" t="s">
        <v>54</v>
      </c>
      <c r="AG3374" t="s">
        <v>20714</v>
      </c>
      <c r="AH3374" t="s">
        <v>20715</v>
      </c>
      <c r="AI3374" t="s">
        <v>20716</v>
      </c>
    </row>
    <row r="3375" spans="2:35" ht="165">
      <c r="B3375" s="1">
        <v>45525</v>
      </c>
      <c r="C3375" s="4">
        <v>45525.411111111112</v>
      </c>
      <c r="D3375" t="s">
        <v>10321</v>
      </c>
      <c r="E3375" t="s">
        <v>10322</v>
      </c>
      <c r="F3375">
        <v>2</v>
      </c>
      <c r="G3375" t="s">
        <v>2723</v>
      </c>
      <c r="H3375" t="s">
        <v>39</v>
      </c>
      <c r="I3375" t="s">
        <v>40</v>
      </c>
      <c r="J3375" t="s">
        <v>109</v>
      </c>
      <c r="K3375" t="s">
        <v>42</v>
      </c>
      <c r="L3375" t="s">
        <v>63</v>
      </c>
      <c r="N3375" t="s">
        <v>64</v>
      </c>
      <c r="Q3375">
        <v>29170</v>
      </c>
      <c r="R3375" t="s">
        <v>119</v>
      </c>
      <c r="S3375" t="s">
        <v>10323</v>
      </c>
      <c r="T3375">
        <v>25</v>
      </c>
      <c r="U3375" s="2" t="s">
        <v>20717</v>
      </c>
      <c r="W3375" t="s">
        <v>66</v>
      </c>
      <c r="X3375">
        <v>838531</v>
      </c>
      <c r="Y3375" t="s">
        <v>2692</v>
      </c>
      <c r="Z3375" s="2" t="s">
        <v>2726</v>
      </c>
      <c r="AA3375" t="s">
        <v>20660</v>
      </c>
      <c r="AB3375" t="s">
        <v>70</v>
      </c>
      <c r="AG3375" t="s">
        <v>20718</v>
      </c>
      <c r="AH3375" t="s">
        <v>19737</v>
      </c>
      <c r="AI3375" t="s">
        <v>20719</v>
      </c>
    </row>
    <row r="3376" spans="2:35" ht="285">
      <c r="B3376" s="1">
        <v>45524</v>
      </c>
      <c r="C3376" s="4">
        <v>45519.48333333333</v>
      </c>
      <c r="D3376" t="s">
        <v>7200</v>
      </c>
      <c r="E3376" t="s">
        <v>20720</v>
      </c>
      <c r="F3376">
        <v>12</v>
      </c>
      <c r="G3376" t="s">
        <v>978</v>
      </c>
      <c r="H3376" t="s">
        <v>1473</v>
      </c>
      <c r="I3376" t="s">
        <v>40</v>
      </c>
      <c r="J3376" t="s">
        <v>109</v>
      </c>
      <c r="K3376" t="s">
        <v>42</v>
      </c>
      <c r="L3376" t="s">
        <v>296</v>
      </c>
      <c r="N3376" t="s">
        <v>297</v>
      </c>
      <c r="Q3376">
        <v>29168</v>
      </c>
      <c r="R3376" t="s">
        <v>119</v>
      </c>
      <c r="S3376" t="s">
        <v>7202</v>
      </c>
      <c r="T3376">
        <v>25.1</v>
      </c>
      <c r="U3376" s="2" t="s">
        <v>20721</v>
      </c>
      <c r="W3376" t="s">
        <v>981</v>
      </c>
      <c r="X3376">
        <v>838504</v>
      </c>
      <c r="Y3376" t="s">
        <v>54</v>
      </c>
      <c r="Z3376" t="s">
        <v>9161</v>
      </c>
      <c r="AA3376" s="2" t="s">
        <v>20722</v>
      </c>
      <c r="AB3376" t="s">
        <v>972</v>
      </c>
      <c r="AG3376" t="s">
        <v>20723</v>
      </c>
      <c r="AH3376" t="s">
        <v>20724</v>
      </c>
      <c r="AI3376" t="s">
        <v>20725</v>
      </c>
    </row>
    <row r="3377" spans="2:35" ht="285">
      <c r="B3377" s="1">
        <v>45524</v>
      </c>
      <c r="C3377" s="4">
        <v>45517.604166666664</v>
      </c>
      <c r="D3377" t="s">
        <v>7897</v>
      </c>
      <c r="E3377" t="s">
        <v>7898</v>
      </c>
      <c r="F3377">
        <v>12</v>
      </c>
      <c r="G3377" t="s">
        <v>2137</v>
      </c>
      <c r="H3377" t="s">
        <v>1473</v>
      </c>
      <c r="I3377" t="s">
        <v>40</v>
      </c>
      <c r="J3377" t="s">
        <v>109</v>
      </c>
      <c r="K3377" t="s">
        <v>42</v>
      </c>
      <c r="L3377" t="s">
        <v>296</v>
      </c>
      <c r="N3377" t="s">
        <v>297</v>
      </c>
      <c r="Q3377">
        <v>29169</v>
      </c>
      <c r="R3377" t="s">
        <v>119</v>
      </c>
      <c r="S3377" t="s">
        <v>18365</v>
      </c>
      <c r="T3377">
        <v>23.6</v>
      </c>
      <c r="U3377" s="2" t="s">
        <v>20726</v>
      </c>
      <c r="W3377" t="s">
        <v>981</v>
      </c>
      <c r="X3377">
        <v>838259</v>
      </c>
      <c r="Y3377" t="s">
        <v>54</v>
      </c>
      <c r="Z3377" t="s">
        <v>9161</v>
      </c>
      <c r="AA3377" s="2" t="s">
        <v>20727</v>
      </c>
      <c r="AB3377" t="s">
        <v>972</v>
      </c>
      <c r="AG3377" t="s">
        <v>20728</v>
      </c>
      <c r="AH3377" t="s">
        <v>20729</v>
      </c>
      <c r="AI3377" t="s">
        <v>20730</v>
      </c>
    </row>
    <row r="3378" spans="2:35" ht="285">
      <c r="B3378" s="1">
        <v>45524</v>
      </c>
      <c r="C3378" s="4">
        <v>45524.452777777777</v>
      </c>
      <c r="D3378" t="s">
        <v>965</v>
      </c>
      <c r="E3378" t="s">
        <v>15826</v>
      </c>
      <c r="F3378">
        <v>12</v>
      </c>
      <c r="G3378" t="s">
        <v>294</v>
      </c>
      <c r="H3378" t="s">
        <v>1473</v>
      </c>
      <c r="I3378" t="s">
        <v>40</v>
      </c>
      <c r="J3378" s="2" t="s">
        <v>41</v>
      </c>
      <c r="K3378" t="s">
        <v>42</v>
      </c>
      <c r="L3378" t="s">
        <v>296</v>
      </c>
      <c r="N3378" t="s">
        <v>297</v>
      </c>
      <c r="Q3378">
        <v>29167</v>
      </c>
      <c r="R3378" t="s">
        <v>967</v>
      </c>
      <c r="S3378" t="s">
        <v>12658</v>
      </c>
      <c r="T3378">
        <v>24.1</v>
      </c>
      <c r="U3378" s="2" t="s">
        <v>20731</v>
      </c>
      <c r="W3378" t="s">
        <v>970</v>
      </c>
      <c r="X3378">
        <v>110023520</v>
      </c>
      <c r="Y3378" t="s">
        <v>20732</v>
      </c>
      <c r="Z3378" t="s">
        <v>9161</v>
      </c>
      <c r="AA3378" s="2" t="s">
        <v>20733</v>
      </c>
      <c r="AB3378" t="s">
        <v>972</v>
      </c>
      <c r="AG3378" t="s">
        <v>20734</v>
      </c>
      <c r="AH3378" t="s">
        <v>12663</v>
      </c>
      <c r="AI3378" t="s">
        <v>20735</v>
      </c>
    </row>
    <row r="3379" spans="2:35" ht="240">
      <c r="B3379" s="1">
        <v>45524</v>
      </c>
      <c r="C3379" s="4">
        <v>45510.527083333334</v>
      </c>
      <c r="D3379" t="s">
        <v>146</v>
      </c>
      <c r="E3379" t="s">
        <v>4822</v>
      </c>
      <c r="F3379" t="s">
        <v>148</v>
      </c>
      <c r="G3379" t="s">
        <v>149</v>
      </c>
      <c r="H3379" t="s">
        <v>39</v>
      </c>
      <c r="I3379" t="s">
        <v>40</v>
      </c>
      <c r="J3379" t="s">
        <v>109</v>
      </c>
      <c r="K3379" t="s">
        <v>387</v>
      </c>
      <c r="L3379" t="s">
        <v>43</v>
      </c>
      <c r="N3379" t="s">
        <v>44</v>
      </c>
      <c r="Q3379">
        <v>29166</v>
      </c>
      <c r="R3379" t="s">
        <v>95</v>
      </c>
      <c r="S3379" t="s">
        <v>20736</v>
      </c>
      <c r="T3379">
        <v>24</v>
      </c>
      <c r="W3379" t="s">
        <v>390</v>
      </c>
      <c r="X3379" t="s">
        <v>391</v>
      </c>
      <c r="Y3379" t="s">
        <v>121</v>
      </c>
      <c r="Z3379" t="s">
        <v>122</v>
      </c>
      <c r="AA3379" s="2" t="s">
        <v>20737</v>
      </c>
      <c r="AB3379" t="s">
        <v>88</v>
      </c>
      <c r="AG3379" t="s">
        <v>20738</v>
      </c>
      <c r="AH3379" t="s">
        <v>20739</v>
      </c>
      <c r="AI3379" t="s">
        <v>20740</v>
      </c>
    </row>
    <row r="3380" spans="2:35" ht="255">
      <c r="B3380" s="1">
        <v>45524</v>
      </c>
      <c r="C3380" s="4">
        <v>45510.503472222219</v>
      </c>
      <c r="D3380" t="s">
        <v>146</v>
      </c>
      <c r="E3380" t="s">
        <v>4822</v>
      </c>
      <c r="F3380" t="s">
        <v>148</v>
      </c>
      <c r="G3380" t="s">
        <v>149</v>
      </c>
      <c r="H3380" t="s">
        <v>39</v>
      </c>
      <c r="I3380" t="s">
        <v>40</v>
      </c>
      <c r="J3380" t="s">
        <v>109</v>
      </c>
      <c r="K3380" t="s">
        <v>42</v>
      </c>
      <c r="L3380" t="s">
        <v>43</v>
      </c>
      <c r="N3380" t="s">
        <v>44</v>
      </c>
      <c r="O3380" t="s">
        <v>388</v>
      </c>
      <c r="Q3380">
        <v>29165</v>
      </c>
      <c r="R3380" t="s">
        <v>95</v>
      </c>
      <c r="S3380" t="s">
        <v>11968</v>
      </c>
      <c r="T3380">
        <v>22</v>
      </c>
      <c r="U3380" s="2" t="s">
        <v>20741</v>
      </c>
      <c r="W3380" t="s">
        <v>153</v>
      </c>
      <c r="X3380">
        <v>110003714</v>
      </c>
      <c r="Y3380" t="s">
        <v>121</v>
      </c>
      <c r="Z3380" t="s">
        <v>122</v>
      </c>
      <c r="AA3380" s="2" t="s">
        <v>9740</v>
      </c>
      <c r="AB3380" t="s">
        <v>548</v>
      </c>
      <c r="AG3380" t="s">
        <v>20742</v>
      </c>
      <c r="AH3380" t="s">
        <v>6444</v>
      </c>
      <c r="AI3380" t="s">
        <v>20743</v>
      </c>
    </row>
    <row r="3381" spans="2:35" ht="409.5">
      <c r="B3381" s="1">
        <v>45524</v>
      </c>
      <c r="C3381" s="4">
        <v>45506.667361111111</v>
      </c>
      <c r="D3381" t="s">
        <v>20744</v>
      </c>
      <c r="E3381" t="s">
        <v>4002</v>
      </c>
      <c r="F3381" t="s">
        <v>148</v>
      </c>
      <c r="G3381" t="s">
        <v>406</v>
      </c>
      <c r="H3381" t="s">
        <v>39</v>
      </c>
      <c r="I3381" t="s">
        <v>40</v>
      </c>
      <c r="J3381" s="2" t="s">
        <v>190</v>
      </c>
      <c r="K3381" t="s">
        <v>42</v>
      </c>
      <c r="L3381" t="s">
        <v>43</v>
      </c>
      <c r="N3381" t="s">
        <v>44</v>
      </c>
      <c r="O3381" t="s">
        <v>1091</v>
      </c>
      <c r="Q3381">
        <v>29164</v>
      </c>
      <c r="R3381" t="s">
        <v>95</v>
      </c>
      <c r="S3381" t="s">
        <v>5690</v>
      </c>
      <c r="T3381">
        <v>20</v>
      </c>
      <c r="U3381" s="2" t="s">
        <v>20745</v>
      </c>
      <c r="W3381" t="s">
        <v>153</v>
      </c>
      <c r="X3381">
        <v>120002383</v>
      </c>
      <c r="Y3381" t="s">
        <v>20746</v>
      </c>
      <c r="Z3381" t="s">
        <v>20747</v>
      </c>
      <c r="AA3381" s="2" t="s">
        <v>20748</v>
      </c>
      <c r="AB3381" t="s">
        <v>20749</v>
      </c>
      <c r="AG3381" t="s">
        <v>20750</v>
      </c>
      <c r="AH3381" t="s">
        <v>20228</v>
      </c>
      <c r="AI3381" t="s">
        <v>20751</v>
      </c>
    </row>
    <row r="3382" spans="2:35" ht="409.5">
      <c r="B3382" s="1">
        <v>45524</v>
      </c>
      <c r="C3382" s="4">
        <v>45506.655555555553</v>
      </c>
      <c r="D3382" t="s">
        <v>20744</v>
      </c>
      <c r="E3382" t="s">
        <v>6645</v>
      </c>
      <c r="F3382" t="s">
        <v>148</v>
      </c>
      <c r="G3382" t="s">
        <v>406</v>
      </c>
      <c r="H3382" t="s">
        <v>39</v>
      </c>
      <c r="I3382" t="s">
        <v>40</v>
      </c>
      <c r="J3382" t="s">
        <v>109</v>
      </c>
      <c r="K3382" t="s">
        <v>42</v>
      </c>
      <c r="L3382" t="s">
        <v>43</v>
      </c>
      <c r="N3382" t="s">
        <v>44</v>
      </c>
      <c r="O3382" t="s">
        <v>1091</v>
      </c>
      <c r="Q3382">
        <v>29162</v>
      </c>
      <c r="R3382" t="s">
        <v>95</v>
      </c>
      <c r="S3382" t="s">
        <v>5690</v>
      </c>
      <c r="T3382">
        <v>20</v>
      </c>
      <c r="U3382" s="2" t="s">
        <v>20752</v>
      </c>
      <c r="W3382" t="s">
        <v>48</v>
      </c>
      <c r="X3382">
        <v>839231</v>
      </c>
      <c r="Y3382" t="s">
        <v>121</v>
      </c>
      <c r="Z3382" t="s">
        <v>122</v>
      </c>
      <c r="AA3382" s="2" t="s">
        <v>123</v>
      </c>
      <c r="AB3382" t="s">
        <v>548</v>
      </c>
      <c r="AG3382" t="s">
        <v>20753</v>
      </c>
      <c r="AH3382" t="s">
        <v>20228</v>
      </c>
      <c r="AI3382" t="s">
        <v>20754</v>
      </c>
    </row>
    <row r="3383" spans="2:35" ht="409.5">
      <c r="B3383" s="1">
        <v>45524</v>
      </c>
      <c r="C3383" s="4">
        <v>45506.655555555553</v>
      </c>
      <c r="D3383" t="s">
        <v>20744</v>
      </c>
      <c r="E3383" t="s">
        <v>6645</v>
      </c>
      <c r="F3383" t="s">
        <v>148</v>
      </c>
      <c r="G3383" t="s">
        <v>406</v>
      </c>
      <c r="H3383" t="s">
        <v>39</v>
      </c>
      <c r="I3383" t="s">
        <v>40</v>
      </c>
      <c r="J3383" t="s">
        <v>109</v>
      </c>
      <c r="K3383" t="s">
        <v>42</v>
      </c>
      <c r="L3383" t="s">
        <v>43</v>
      </c>
      <c r="N3383" t="s">
        <v>44</v>
      </c>
      <c r="O3383" t="s">
        <v>1091</v>
      </c>
      <c r="Q3383">
        <v>29163</v>
      </c>
      <c r="R3383" t="s">
        <v>95</v>
      </c>
      <c r="S3383" t="s">
        <v>5690</v>
      </c>
      <c r="T3383">
        <v>20</v>
      </c>
      <c r="U3383" s="2" t="s">
        <v>20752</v>
      </c>
      <c r="W3383" t="s">
        <v>48</v>
      </c>
      <c r="X3383">
        <v>839231</v>
      </c>
      <c r="Y3383" t="s">
        <v>121</v>
      </c>
      <c r="Z3383" t="s">
        <v>122</v>
      </c>
      <c r="AA3383" s="2" t="s">
        <v>123</v>
      </c>
      <c r="AB3383" t="s">
        <v>548</v>
      </c>
      <c r="AG3383" t="s">
        <v>20755</v>
      </c>
      <c r="AH3383" t="s">
        <v>20228</v>
      </c>
      <c r="AI3383" t="s">
        <v>20756</v>
      </c>
    </row>
    <row r="3384" spans="2:35" ht="315">
      <c r="B3384" s="1">
        <v>45524</v>
      </c>
      <c r="C3384" s="4">
        <v>45506.467361111114</v>
      </c>
      <c r="D3384" t="s">
        <v>20571</v>
      </c>
      <c r="E3384" t="s">
        <v>20757</v>
      </c>
      <c r="F3384" t="s">
        <v>148</v>
      </c>
      <c r="G3384" t="s">
        <v>785</v>
      </c>
      <c r="H3384" t="s">
        <v>39</v>
      </c>
      <c r="I3384" t="s">
        <v>40</v>
      </c>
      <c r="J3384" s="2" t="s">
        <v>190</v>
      </c>
      <c r="K3384" t="s">
        <v>42</v>
      </c>
      <c r="L3384" t="s">
        <v>43</v>
      </c>
      <c r="N3384" t="s">
        <v>44</v>
      </c>
      <c r="Q3384">
        <v>29161</v>
      </c>
      <c r="R3384" t="s">
        <v>322</v>
      </c>
      <c r="S3384" t="s">
        <v>4704</v>
      </c>
      <c r="T3384">
        <v>26</v>
      </c>
      <c r="U3384" s="2" t="s">
        <v>20758</v>
      </c>
      <c r="W3384" t="s">
        <v>153</v>
      </c>
      <c r="X3384">
        <v>110024245</v>
      </c>
      <c r="Y3384" t="s">
        <v>20759</v>
      </c>
      <c r="Z3384" t="s">
        <v>122</v>
      </c>
      <c r="AA3384" s="2" t="s">
        <v>20760</v>
      </c>
      <c r="AB3384" t="s">
        <v>20761</v>
      </c>
      <c r="AG3384" t="s">
        <v>20762</v>
      </c>
      <c r="AH3384" t="s">
        <v>6075</v>
      </c>
      <c r="AI3384" t="s">
        <v>20763</v>
      </c>
    </row>
    <row r="3385" spans="2:35" ht="225">
      <c r="B3385" s="1">
        <v>45524</v>
      </c>
      <c r="C3385" s="4">
        <v>45520.468055555553</v>
      </c>
      <c r="D3385" t="s">
        <v>3030</v>
      </c>
      <c r="E3385" t="s">
        <v>3031</v>
      </c>
      <c r="F3385" t="s">
        <v>37</v>
      </c>
      <c r="G3385" t="s">
        <v>38</v>
      </c>
      <c r="H3385" t="s">
        <v>39</v>
      </c>
      <c r="I3385" t="s">
        <v>40</v>
      </c>
      <c r="J3385" t="s">
        <v>109</v>
      </c>
      <c r="K3385" t="s">
        <v>42</v>
      </c>
      <c r="L3385" t="s">
        <v>43</v>
      </c>
      <c r="N3385" t="s">
        <v>44</v>
      </c>
      <c r="Q3385">
        <v>29160</v>
      </c>
      <c r="R3385" t="s">
        <v>967</v>
      </c>
      <c r="S3385" t="s">
        <v>3032</v>
      </c>
      <c r="T3385">
        <v>24</v>
      </c>
      <c r="U3385" s="2" t="s">
        <v>20764</v>
      </c>
      <c r="W3385" t="s">
        <v>153</v>
      </c>
      <c r="X3385">
        <v>110023496</v>
      </c>
      <c r="Y3385" t="s">
        <v>121</v>
      </c>
      <c r="Z3385" t="s">
        <v>122</v>
      </c>
      <c r="AA3385" s="2" t="s">
        <v>123</v>
      </c>
      <c r="AB3385" t="s">
        <v>548</v>
      </c>
      <c r="AG3385" t="s">
        <v>20765</v>
      </c>
      <c r="AH3385" t="s">
        <v>3035</v>
      </c>
      <c r="AI3385" t="s">
        <v>20766</v>
      </c>
    </row>
    <row r="3386" spans="2:35" ht="165">
      <c r="B3386" s="1">
        <v>45524</v>
      </c>
      <c r="C3386" s="4">
        <v>45524.65625</v>
      </c>
      <c r="D3386" t="s">
        <v>20767</v>
      </c>
      <c r="E3386" t="s">
        <v>20768</v>
      </c>
      <c r="F3386">
        <v>2</v>
      </c>
      <c r="G3386" t="s">
        <v>2723</v>
      </c>
      <c r="H3386" t="s">
        <v>39</v>
      </c>
      <c r="I3386" t="s">
        <v>40</v>
      </c>
      <c r="J3386" t="s">
        <v>109</v>
      </c>
      <c r="K3386" t="s">
        <v>42</v>
      </c>
      <c r="L3386" t="s">
        <v>63</v>
      </c>
      <c r="N3386" t="s">
        <v>64</v>
      </c>
      <c r="O3386" t="s">
        <v>10822</v>
      </c>
      <c r="Q3386">
        <v>29159</v>
      </c>
      <c r="R3386" t="s">
        <v>119</v>
      </c>
      <c r="S3386" t="s">
        <v>20769</v>
      </c>
      <c r="T3386">
        <v>29</v>
      </c>
      <c r="U3386" s="2" t="s">
        <v>20770</v>
      </c>
      <c r="W3386" t="s">
        <v>66</v>
      </c>
      <c r="X3386">
        <v>838532</v>
      </c>
      <c r="Y3386" t="s">
        <v>2692</v>
      </c>
      <c r="Z3386" s="2" t="s">
        <v>2726</v>
      </c>
      <c r="AA3386" t="s">
        <v>20660</v>
      </c>
      <c r="AB3386" t="s">
        <v>70</v>
      </c>
      <c r="AG3386" t="s">
        <v>20771</v>
      </c>
      <c r="AH3386" t="s">
        <v>20772</v>
      </c>
      <c r="AI3386" t="s">
        <v>20773</v>
      </c>
    </row>
    <row r="3387" spans="2:35" ht="165">
      <c r="B3387" s="1">
        <v>45524</v>
      </c>
      <c r="C3387" s="4">
        <v>45524.617361111108</v>
      </c>
      <c r="D3387" t="s">
        <v>7067</v>
      </c>
      <c r="E3387" t="s">
        <v>7068</v>
      </c>
      <c r="F3387">
        <v>2</v>
      </c>
      <c r="G3387" t="s">
        <v>2723</v>
      </c>
      <c r="H3387" t="s">
        <v>11433</v>
      </c>
      <c r="I3387" t="s">
        <v>40</v>
      </c>
      <c r="J3387" t="s">
        <v>109</v>
      </c>
      <c r="K3387" t="s">
        <v>42</v>
      </c>
      <c r="L3387" t="s">
        <v>63</v>
      </c>
      <c r="N3387" t="s">
        <v>64</v>
      </c>
      <c r="Q3387">
        <v>29158</v>
      </c>
      <c r="R3387" t="s">
        <v>119</v>
      </c>
      <c r="S3387" t="s">
        <v>7069</v>
      </c>
      <c r="T3387">
        <v>29</v>
      </c>
      <c r="U3387" s="2" t="s">
        <v>12558</v>
      </c>
      <c r="W3387" t="s">
        <v>66</v>
      </c>
      <c r="X3387">
        <v>838465</v>
      </c>
      <c r="Y3387" t="s">
        <v>2692</v>
      </c>
      <c r="Z3387" s="2" t="s">
        <v>1727</v>
      </c>
      <c r="AA3387" t="s">
        <v>20660</v>
      </c>
      <c r="AB3387" t="s">
        <v>70</v>
      </c>
      <c r="AG3387" t="s">
        <v>20774</v>
      </c>
      <c r="AH3387" t="s">
        <v>10833</v>
      </c>
      <c r="AI3387" t="s">
        <v>20775</v>
      </c>
    </row>
    <row r="3388" spans="2:35" ht="165">
      <c r="B3388" s="1">
        <v>45524</v>
      </c>
      <c r="C3388" s="4">
        <v>45524.57916666667</v>
      </c>
      <c r="D3388" t="s">
        <v>20776</v>
      </c>
      <c r="E3388" t="s">
        <v>20777</v>
      </c>
      <c r="F3388" t="s">
        <v>511</v>
      </c>
      <c r="G3388" t="s">
        <v>20778</v>
      </c>
      <c r="H3388" t="s">
        <v>39</v>
      </c>
      <c r="I3388" t="s">
        <v>40</v>
      </c>
      <c r="J3388" t="s">
        <v>109</v>
      </c>
      <c r="K3388" t="s">
        <v>42</v>
      </c>
      <c r="L3388" t="s">
        <v>63</v>
      </c>
      <c r="N3388" t="s">
        <v>64</v>
      </c>
      <c r="Q3388">
        <v>29157</v>
      </c>
      <c r="R3388" t="s">
        <v>322</v>
      </c>
      <c r="S3388" t="s">
        <v>20779</v>
      </c>
      <c r="T3388">
        <v>28</v>
      </c>
      <c r="U3388" s="2" t="s">
        <v>20780</v>
      </c>
      <c r="W3388" t="s">
        <v>66</v>
      </c>
      <c r="X3388">
        <v>847727</v>
      </c>
      <c r="Y3388" t="s">
        <v>2692</v>
      </c>
      <c r="Z3388" s="2" t="s">
        <v>2726</v>
      </c>
      <c r="AA3388" t="s">
        <v>20660</v>
      </c>
      <c r="AB3388" t="s">
        <v>70</v>
      </c>
      <c r="AG3388" t="s">
        <v>20781</v>
      </c>
      <c r="AH3388" t="s">
        <v>20782</v>
      </c>
      <c r="AI3388" t="s">
        <v>20783</v>
      </c>
    </row>
    <row r="3389" spans="2:35" ht="360">
      <c r="B3389" s="1">
        <v>45524</v>
      </c>
      <c r="C3389" s="4">
        <v>45524.518750000003</v>
      </c>
      <c r="D3389" t="s">
        <v>6518</v>
      </c>
      <c r="E3389" t="s">
        <v>6519</v>
      </c>
      <c r="F3389">
        <v>11</v>
      </c>
      <c r="G3389" t="s">
        <v>1205</v>
      </c>
      <c r="H3389" t="s">
        <v>202</v>
      </c>
      <c r="I3389" t="s">
        <v>40</v>
      </c>
      <c r="J3389" s="2" t="s">
        <v>4208</v>
      </c>
      <c r="K3389" t="s">
        <v>42</v>
      </c>
      <c r="L3389" t="s">
        <v>204</v>
      </c>
      <c r="N3389" t="s">
        <v>205</v>
      </c>
      <c r="Q3389">
        <v>29156</v>
      </c>
      <c r="R3389" t="s">
        <v>119</v>
      </c>
      <c r="S3389" t="s">
        <v>6520</v>
      </c>
      <c r="T3389">
        <v>27.5</v>
      </c>
      <c r="U3389" s="2" t="s">
        <v>15357</v>
      </c>
      <c r="W3389" t="s">
        <v>20675</v>
      </c>
      <c r="X3389">
        <v>838505</v>
      </c>
      <c r="Y3389" s="2" t="s">
        <v>20784</v>
      </c>
      <c r="Z3389" s="2" t="s">
        <v>20785</v>
      </c>
      <c r="AA3389" t="s">
        <v>20786</v>
      </c>
      <c r="AB3389" s="2" t="s">
        <v>20787</v>
      </c>
      <c r="AG3389" t="s">
        <v>20788</v>
      </c>
      <c r="AH3389" t="s">
        <v>20789</v>
      </c>
      <c r="AI3389" t="s">
        <v>20790</v>
      </c>
    </row>
    <row r="3390" spans="2:35" ht="135">
      <c r="B3390" s="1">
        <v>45524</v>
      </c>
      <c r="C3390" s="4">
        <v>45524.463888888888</v>
      </c>
      <c r="D3390" t="s">
        <v>9062</v>
      </c>
      <c r="E3390" t="s">
        <v>9063</v>
      </c>
      <c r="F3390">
        <v>8</v>
      </c>
      <c r="G3390" t="s">
        <v>342</v>
      </c>
      <c r="H3390" t="s">
        <v>1498</v>
      </c>
      <c r="I3390" t="s">
        <v>40</v>
      </c>
      <c r="J3390" s="2" t="s">
        <v>20791</v>
      </c>
      <c r="K3390" t="s">
        <v>42</v>
      </c>
      <c r="L3390" t="s">
        <v>343</v>
      </c>
      <c r="N3390" t="s">
        <v>344</v>
      </c>
      <c r="Q3390">
        <v>29155</v>
      </c>
      <c r="R3390" t="s">
        <v>119</v>
      </c>
      <c r="S3390" t="s">
        <v>11350</v>
      </c>
      <c r="T3390">
        <v>28</v>
      </c>
      <c r="U3390" s="2" t="s">
        <v>9488</v>
      </c>
      <c r="W3390" t="s">
        <v>1501</v>
      </c>
      <c r="X3390">
        <v>838399</v>
      </c>
      <c r="Y3390" t="s">
        <v>3191</v>
      </c>
      <c r="Z3390" t="e">
        <f ca="1">-run XPC on ALL four modules</f>
        <v>#NAME?</v>
      </c>
      <c r="AA3390" t="e">
        <f ca="1">-Preventive Maintenance
-XpertChecl CALIBRATION
-GX ID STICKER Installation</f>
        <v>#NAME?</v>
      </c>
      <c r="AB3390" t="s">
        <v>20792</v>
      </c>
      <c r="AG3390" t="s">
        <v>20793</v>
      </c>
      <c r="AH3390" t="s">
        <v>18557</v>
      </c>
      <c r="AI3390" t="s">
        <v>20794</v>
      </c>
    </row>
    <row r="3391" spans="2:35" ht="165">
      <c r="B3391" s="1">
        <v>45524</v>
      </c>
      <c r="C3391" s="4">
        <v>45524.447916666664</v>
      </c>
      <c r="D3391" t="s">
        <v>20795</v>
      </c>
      <c r="E3391" t="s">
        <v>20796</v>
      </c>
      <c r="F3391">
        <v>2</v>
      </c>
      <c r="G3391" t="s">
        <v>2668</v>
      </c>
      <c r="H3391" t="s">
        <v>39</v>
      </c>
      <c r="I3391" t="s">
        <v>40</v>
      </c>
      <c r="J3391" t="s">
        <v>109</v>
      </c>
      <c r="K3391" t="s">
        <v>42</v>
      </c>
      <c r="L3391" t="s">
        <v>63</v>
      </c>
      <c r="N3391" t="s">
        <v>64</v>
      </c>
      <c r="Q3391">
        <v>29154</v>
      </c>
      <c r="R3391" t="s">
        <v>119</v>
      </c>
      <c r="S3391" t="s">
        <v>11404</v>
      </c>
      <c r="T3391">
        <v>28</v>
      </c>
      <c r="U3391" s="2" t="s">
        <v>16755</v>
      </c>
      <c r="W3391" t="s">
        <v>66</v>
      </c>
      <c r="X3391">
        <v>838208</v>
      </c>
      <c r="Y3391" t="s">
        <v>2692</v>
      </c>
      <c r="Z3391" s="2" t="s">
        <v>1727</v>
      </c>
      <c r="AA3391" t="s">
        <v>20660</v>
      </c>
      <c r="AB3391" t="s">
        <v>70</v>
      </c>
      <c r="AG3391" t="s">
        <v>20797</v>
      </c>
      <c r="AH3391" t="s">
        <v>11407</v>
      </c>
      <c r="AI3391" t="s">
        <v>20798</v>
      </c>
    </row>
    <row r="3392" spans="2:35" ht="409.5">
      <c r="B3392" s="1">
        <v>45524</v>
      </c>
      <c r="C3392" s="4">
        <v>45520.672222222223</v>
      </c>
      <c r="D3392" t="s">
        <v>472</v>
      </c>
      <c r="E3392" t="s">
        <v>473</v>
      </c>
      <c r="F3392" t="s">
        <v>148</v>
      </c>
      <c r="G3392" t="s">
        <v>447</v>
      </c>
      <c r="H3392" t="s">
        <v>386</v>
      </c>
      <c r="I3392" t="s">
        <v>40</v>
      </c>
      <c r="J3392" t="s">
        <v>525</v>
      </c>
      <c r="K3392" t="s">
        <v>387</v>
      </c>
      <c r="L3392" t="s">
        <v>448</v>
      </c>
      <c r="N3392" t="s">
        <v>450</v>
      </c>
      <c r="Q3392">
        <v>29153</v>
      </c>
      <c r="R3392" t="s">
        <v>322</v>
      </c>
      <c r="S3392" t="s">
        <v>475</v>
      </c>
      <c r="T3392">
        <v>29</v>
      </c>
      <c r="W3392" t="s">
        <v>476</v>
      </c>
      <c r="X3392" t="s">
        <v>20799</v>
      </c>
      <c r="Y3392" t="s">
        <v>20800</v>
      </c>
      <c r="Z3392" s="2" t="s">
        <v>20801</v>
      </c>
      <c r="AA3392" t="s">
        <v>768</v>
      </c>
      <c r="AB3392" t="s">
        <v>4087</v>
      </c>
      <c r="AC3392" t="s">
        <v>20802</v>
      </c>
      <c r="AG3392" t="s">
        <v>20803</v>
      </c>
      <c r="AH3392" t="s">
        <v>472</v>
      </c>
      <c r="AI3392" t="s">
        <v>20804</v>
      </c>
    </row>
    <row r="3393" spans="2:35">
      <c r="B3393" s="1">
        <v>45524</v>
      </c>
      <c r="C3393" s="4">
        <v>45520.675694444442</v>
      </c>
      <c r="D3393" t="s">
        <v>472</v>
      </c>
      <c r="E3393" t="s">
        <v>473</v>
      </c>
      <c r="F3393" t="s">
        <v>148</v>
      </c>
      <c r="G3393" t="s">
        <v>447</v>
      </c>
      <c r="H3393" t="s">
        <v>2274</v>
      </c>
      <c r="I3393" t="s">
        <v>40</v>
      </c>
      <c r="J3393" t="s">
        <v>525</v>
      </c>
      <c r="K3393" t="s">
        <v>387</v>
      </c>
      <c r="L3393" t="s">
        <v>448</v>
      </c>
      <c r="N3393" t="s">
        <v>450</v>
      </c>
      <c r="Q3393">
        <v>29152</v>
      </c>
      <c r="R3393" t="s">
        <v>322</v>
      </c>
      <c r="S3393" t="s">
        <v>475</v>
      </c>
      <c r="T3393">
        <v>29</v>
      </c>
      <c r="W3393" t="s">
        <v>476</v>
      </c>
      <c r="X3393" t="s">
        <v>477</v>
      </c>
      <c r="Y3393" t="s">
        <v>20805</v>
      </c>
      <c r="Z3393" t="s">
        <v>20806</v>
      </c>
      <c r="AA3393" t="s">
        <v>4487</v>
      </c>
      <c r="AB3393" t="s">
        <v>486</v>
      </c>
      <c r="AG3393" t="s">
        <v>20807</v>
      </c>
      <c r="AH3393" t="s">
        <v>472</v>
      </c>
      <c r="AI3393" t="s">
        <v>20808</v>
      </c>
    </row>
    <row r="3394" spans="2:35" ht="195">
      <c r="B3394" s="1">
        <v>45524</v>
      </c>
      <c r="C3394" s="4">
        <v>45524.354166666664</v>
      </c>
      <c r="D3394" t="s">
        <v>5306</v>
      </c>
      <c r="E3394" t="s">
        <v>20809</v>
      </c>
      <c r="F3394">
        <v>2</v>
      </c>
      <c r="G3394" t="s">
        <v>2668</v>
      </c>
      <c r="H3394" t="s">
        <v>150</v>
      </c>
      <c r="I3394" t="s">
        <v>40</v>
      </c>
      <c r="J3394" s="2" t="s">
        <v>20810</v>
      </c>
      <c r="K3394" t="s">
        <v>42</v>
      </c>
      <c r="L3394" t="s">
        <v>63</v>
      </c>
      <c r="N3394" t="s">
        <v>64</v>
      </c>
      <c r="Q3394">
        <v>29151</v>
      </c>
      <c r="R3394" t="s">
        <v>967</v>
      </c>
      <c r="S3394" t="s">
        <v>20811</v>
      </c>
      <c r="T3394">
        <v>29</v>
      </c>
      <c r="W3394" t="s">
        <v>373</v>
      </c>
      <c r="X3394">
        <v>110023504</v>
      </c>
      <c r="Y3394" t="s">
        <v>1425</v>
      </c>
      <c r="Z3394" t="s">
        <v>20812</v>
      </c>
      <c r="AA3394" s="2" t="s">
        <v>20813</v>
      </c>
      <c r="AB3394" t="s">
        <v>70</v>
      </c>
      <c r="AG3394" t="s">
        <v>20814</v>
      </c>
      <c r="AH3394" t="s">
        <v>7017</v>
      </c>
      <c r="AI3394" t="s">
        <v>20815</v>
      </c>
    </row>
    <row r="3395" spans="2:35" ht="105">
      <c r="B3395" s="1">
        <v>45523</v>
      </c>
      <c r="C3395" s="4">
        <v>45520.36041666667</v>
      </c>
      <c r="D3395" t="s">
        <v>1065</v>
      </c>
      <c r="E3395" t="s">
        <v>1066</v>
      </c>
      <c r="F3395">
        <v>1</v>
      </c>
      <c r="G3395" t="s">
        <v>1046</v>
      </c>
      <c r="H3395" t="s">
        <v>1047</v>
      </c>
      <c r="I3395" t="s">
        <v>40</v>
      </c>
      <c r="J3395" t="s">
        <v>109</v>
      </c>
      <c r="K3395" t="s">
        <v>42</v>
      </c>
      <c r="L3395" t="s">
        <v>1048</v>
      </c>
      <c r="N3395" t="s">
        <v>1049</v>
      </c>
      <c r="Q3395">
        <v>29150</v>
      </c>
      <c r="R3395" t="s">
        <v>119</v>
      </c>
      <c r="S3395" t="s">
        <v>1067</v>
      </c>
      <c r="T3395">
        <v>29</v>
      </c>
      <c r="U3395" s="2" t="s">
        <v>10199</v>
      </c>
      <c r="W3395" t="s">
        <v>1051</v>
      </c>
      <c r="X3395">
        <v>838284</v>
      </c>
      <c r="Y3395" t="s">
        <v>1052</v>
      </c>
      <c r="Z3395" t="e">
        <f ca="1">- cleaned cartridge Bays, plunger Rods _xludf.and I-CORE
- generated reports
- Attached service STICKER</f>
        <v>#NAME?</v>
      </c>
      <c r="AA3395" t="s">
        <v>820</v>
      </c>
      <c r="AB3395" t="s">
        <v>1428</v>
      </c>
      <c r="AG3395" t="s">
        <v>20816</v>
      </c>
      <c r="AH3395" t="s">
        <v>20817</v>
      </c>
      <c r="AI3395" t="s">
        <v>20818</v>
      </c>
    </row>
    <row r="3396" spans="2:35" ht="105">
      <c r="B3396" s="1">
        <v>45523</v>
      </c>
      <c r="C3396" s="4">
        <v>45519.586805555555</v>
      </c>
      <c r="D3396" t="s">
        <v>2620</v>
      </c>
      <c r="E3396" t="s">
        <v>2621</v>
      </c>
      <c r="F3396">
        <v>1</v>
      </c>
      <c r="G3396" t="s">
        <v>1046</v>
      </c>
      <c r="H3396" t="s">
        <v>39</v>
      </c>
      <c r="I3396" t="s">
        <v>40</v>
      </c>
      <c r="J3396" t="s">
        <v>109</v>
      </c>
      <c r="K3396" t="s">
        <v>42</v>
      </c>
      <c r="L3396" t="s">
        <v>1048</v>
      </c>
      <c r="N3396" t="s">
        <v>1049</v>
      </c>
      <c r="Q3396">
        <v>29149</v>
      </c>
      <c r="R3396" t="s">
        <v>967</v>
      </c>
      <c r="S3396" t="s">
        <v>2622</v>
      </c>
      <c r="T3396">
        <v>28</v>
      </c>
      <c r="U3396" s="2" t="s">
        <v>20819</v>
      </c>
      <c r="W3396" t="s">
        <v>1424</v>
      </c>
      <c r="X3396">
        <v>110023501</v>
      </c>
      <c r="Y3396" t="s">
        <v>1052</v>
      </c>
      <c r="Z3396" t="e">
        <f ca="1">- cleaned cartridge Bays, plunger Rods _xludf.and I-CORE
- generated reports
- Attached service STICKER</f>
        <v>#NAME?</v>
      </c>
      <c r="AA3396" t="s">
        <v>820</v>
      </c>
      <c r="AB3396" t="s">
        <v>1428</v>
      </c>
      <c r="AG3396" t="s">
        <v>20820</v>
      </c>
      <c r="AH3396" t="s">
        <v>20821</v>
      </c>
      <c r="AI3396" t="s">
        <v>20822</v>
      </c>
    </row>
    <row r="3397" spans="2:35" ht="105">
      <c r="B3397" s="1">
        <v>45523</v>
      </c>
      <c r="C3397" s="4">
        <v>45519.506249999999</v>
      </c>
      <c r="D3397" t="s">
        <v>9342</v>
      </c>
      <c r="E3397" t="s">
        <v>20823</v>
      </c>
      <c r="F3397">
        <v>1</v>
      </c>
      <c r="G3397" t="s">
        <v>1046</v>
      </c>
      <c r="H3397" t="s">
        <v>1047</v>
      </c>
      <c r="I3397" t="s">
        <v>40</v>
      </c>
      <c r="J3397" t="s">
        <v>109</v>
      </c>
      <c r="K3397" t="s">
        <v>42</v>
      </c>
      <c r="L3397" t="s">
        <v>1048</v>
      </c>
      <c r="N3397" t="s">
        <v>1049</v>
      </c>
      <c r="Q3397">
        <v>29148</v>
      </c>
      <c r="R3397" t="s">
        <v>119</v>
      </c>
      <c r="S3397" t="s">
        <v>9344</v>
      </c>
      <c r="T3397">
        <v>30</v>
      </c>
      <c r="U3397" s="2" t="s">
        <v>20824</v>
      </c>
      <c r="W3397" t="s">
        <v>1051</v>
      </c>
      <c r="X3397">
        <v>838287</v>
      </c>
      <c r="Y3397" t="s">
        <v>1052</v>
      </c>
      <c r="Z3397" t="e">
        <f ca="1">- cleaned cartridge Bays, plunger Rods _xludf.and I-CORE
- generated reports
- Attached service STICKER</f>
        <v>#NAME?</v>
      </c>
      <c r="AA3397" t="s">
        <v>820</v>
      </c>
      <c r="AB3397" t="s">
        <v>1428</v>
      </c>
      <c r="AG3397" t="s">
        <v>20825</v>
      </c>
      <c r="AH3397" t="s">
        <v>9349</v>
      </c>
      <c r="AI3397" t="s">
        <v>20826</v>
      </c>
    </row>
    <row r="3398" spans="2:35" ht="105">
      <c r="B3398" s="1">
        <v>45523</v>
      </c>
      <c r="C3398" s="4">
        <v>45518.473611111112</v>
      </c>
      <c r="D3398" t="s">
        <v>7038</v>
      </c>
      <c r="E3398" t="s">
        <v>20827</v>
      </c>
      <c r="F3398">
        <v>1</v>
      </c>
      <c r="G3398" t="s">
        <v>1046</v>
      </c>
      <c r="H3398" t="s">
        <v>1047</v>
      </c>
      <c r="I3398" t="s">
        <v>40</v>
      </c>
      <c r="J3398" t="s">
        <v>109</v>
      </c>
      <c r="K3398" t="s">
        <v>42</v>
      </c>
      <c r="L3398" t="s">
        <v>1048</v>
      </c>
      <c r="N3398" t="s">
        <v>1049</v>
      </c>
      <c r="Q3398">
        <v>29147</v>
      </c>
      <c r="R3398" t="s">
        <v>119</v>
      </c>
      <c r="S3398" t="s">
        <v>7040</v>
      </c>
      <c r="T3398">
        <v>29</v>
      </c>
      <c r="U3398" s="2" t="s">
        <v>20828</v>
      </c>
      <c r="W3398" t="s">
        <v>1051</v>
      </c>
      <c r="X3398">
        <v>838278</v>
      </c>
      <c r="Y3398" t="s">
        <v>1052</v>
      </c>
      <c r="Z3398" t="e">
        <f ca="1">- cleaned cartridge Bays, plunger Rods _xludf.and I-CORE
- generated reports
- Attached service STICKER</f>
        <v>#NAME?</v>
      </c>
      <c r="AA3398" t="s">
        <v>820</v>
      </c>
      <c r="AB3398" t="s">
        <v>1428</v>
      </c>
      <c r="AG3398" t="s">
        <v>20829</v>
      </c>
      <c r="AH3398" t="s">
        <v>20830</v>
      </c>
      <c r="AI3398" t="s">
        <v>20831</v>
      </c>
    </row>
    <row r="3399" spans="2:35" ht="135">
      <c r="B3399" s="1">
        <v>45523</v>
      </c>
      <c r="C3399" s="4">
        <v>45523.643750000003</v>
      </c>
      <c r="D3399" t="s">
        <v>855</v>
      </c>
      <c r="E3399" t="s">
        <v>12037</v>
      </c>
      <c r="F3399" t="s">
        <v>148</v>
      </c>
      <c r="G3399" t="s">
        <v>310</v>
      </c>
      <c r="H3399" t="s">
        <v>39</v>
      </c>
      <c r="I3399" t="s">
        <v>40</v>
      </c>
      <c r="J3399" s="2" t="s">
        <v>760</v>
      </c>
      <c r="K3399" t="s">
        <v>42</v>
      </c>
      <c r="L3399" t="s">
        <v>857</v>
      </c>
      <c r="N3399" t="s">
        <v>858</v>
      </c>
      <c r="Q3399">
        <v>29146</v>
      </c>
      <c r="R3399" t="s">
        <v>322</v>
      </c>
      <c r="S3399" t="s">
        <v>859</v>
      </c>
      <c r="T3399">
        <v>21</v>
      </c>
      <c r="W3399" t="s">
        <v>860</v>
      </c>
      <c r="X3399">
        <v>809643</v>
      </c>
      <c r="Y3399" s="2" t="s">
        <v>20832</v>
      </c>
      <c r="Z3399" t="e">
        <f ca="1">- Manually connected to embedded PC to Reset _xludf.error
- opened _xludf.and cleaned internal parts of UPS
- lubricated UPS cooling fans</f>
        <v>#NAME?</v>
      </c>
      <c r="AA3399" t="e">
        <f ca="1">- performed basic Troubleshooting of embedded PC
- perforrmed basic Troubleshooting of UPS</f>
        <v>#NAME?</v>
      </c>
      <c r="AB3399" t="s">
        <v>20833</v>
      </c>
      <c r="AG3399" t="s">
        <v>20834</v>
      </c>
      <c r="AH3399" t="s">
        <v>6908</v>
      </c>
      <c r="AI3399" t="s">
        <v>20835</v>
      </c>
    </row>
    <row r="3400" spans="2:35" ht="165">
      <c r="B3400" s="1">
        <v>45523</v>
      </c>
      <c r="C3400" s="4">
        <v>45518.647222222222</v>
      </c>
      <c r="D3400" t="s">
        <v>4091</v>
      </c>
      <c r="E3400" t="s">
        <v>20836</v>
      </c>
      <c r="F3400">
        <v>5</v>
      </c>
      <c r="G3400" t="s">
        <v>827</v>
      </c>
      <c r="H3400" t="s">
        <v>39</v>
      </c>
      <c r="I3400" t="s">
        <v>94</v>
      </c>
      <c r="J3400" t="s">
        <v>109</v>
      </c>
      <c r="K3400" t="s">
        <v>42</v>
      </c>
      <c r="L3400" t="s">
        <v>761</v>
      </c>
      <c r="N3400" t="s">
        <v>762</v>
      </c>
      <c r="Q3400">
        <v>29145</v>
      </c>
      <c r="R3400" t="s">
        <v>119</v>
      </c>
      <c r="S3400" t="s">
        <v>9895</v>
      </c>
      <c r="T3400">
        <v>25</v>
      </c>
      <c r="U3400" s="2" t="s">
        <v>10914</v>
      </c>
      <c r="W3400" t="s">
        <v>765</v>
      </c>
      <c r="X3400">
        <v>838268</v>
      </c>
      <c r="Y3400" t="s">
        <v>818</v>
      </c>
      <c r="Z3400" s="2" t="s">
        <v>20837</v>
      </c>
      <c r="AA3400" t="s">
        <v>820</v>
      </c>
      <c r="AB3400" t="s">
        <v>70</v>
      </c>
      <c r="AG3400" t="s">
        <v>20838</v>
      </c>
      <c r="AH3400" t="s">
        <v>10671</v>
      </c>
      <c r="AI3400" t="s">
        <v>20839</v>
      </c>
    </row>
    <row r="3401" spans="2:35" ht="409.5">
      <c r="B3401" s="1">
        <v>45523</v>
      </c>
      <c r="C3401" s="4">
        <v>45517.624305555553</v>
      </c>
      <c r="D3401" t="s">
        <v>15154</v>
      </c>
      <c r="E3401" t="s">
        <v>10739</v>
      </c>
      <c r="F3401">
        <v>5</v>
      </c>
      <c r="G3401" t="s">
        <v>827</v>
      </c>
      <c r="H3401" t="s">
        <v>39</v>
      </c>
      <c r="I3401" t="s">
        <v>94</v>
      </c>
      <c r="J3401" s="2" t="s">
        <v>1157</v>
      </c>
      <c r="K3401" t="s">
        <v>42</v>
      </c>
      <c r="L3401" t="s">
        <v>761</v>
      </c>
      <c r="N3401" t="s">
        <v>762</v>
      </c>
      <c r="Q3401">
        <v>29144</v>
      </c>
      <c r="R3401" t="s">
        <v>119</v>
      </c>
      <c r="S3401" t="s">
        <v>20840</v>
      </c>
      <c r="T3401">
        <v>30</v>
      </c>
      <c r="U3401" s="2" t="s">
        <v>20841</v>
      </c>
      <c r="W3401" t="s">
        <v>765</v>
      </c>
      <c r="X3401">
        <v>838267</v>
      </c>
      <c r="Y3401" t="s">
        <v>5500</v>
      </c>
      <c r="Z3401" s="2" t="s">
        <v>20842</v>
      </c>
      <c r="AA3401" s="2" t="s">
        <v>20843</v>
      </c>
      <c r="AB3401" s="2" t="s">
        <v>20844</v>
      </c>
      <c r="AC3401" t="s">
        <v>20845</v>
      </c>
      <c r="AG3401" t="s">
        <v>20846</v>
      </c>
      <c r="AH3401" t="s">
        <v>15162</v>
      </c>
      <c r="AI3401" t="s">
        <v>20847</v>
      </c>
    </row>
    <row r="3402" spans="2:35" ht="180">
      <c r="B3402" s="1">
        <v>45523</v>
      </c>
      <c r="C3402" s="4">
        <v>45517.42291666667</v>
      </c>
      <c r="D3402" t="s">
        <v>4471</v>
      </c>
      <c r="E3402" t="s">
        <v>20848</v>
      </c>
      <c r="F3402">
        <v>5</v>
      </c>
      <c r="G3402" t="s">
        <v>827</v>
      </c>
      <c r="H3402" t="s">
        <v>39</v>
      </c>
      <c r="I3402" t="s">
        <v>94</v>
      </c>
      <c r="J3402" t="s">
        <v>109</v>
      </c>
      <c r="K3402" t="s">
        <v>42</v>
      </c>
      <c r="L3402" t="s">
        <v>761</v>
      </c>
      <c r="N3402" t="s">
        <v>762</v>
      </c>
      <c r="Q3402">
        <v>29143</v>
      </c>
      <c r="R3402" t="s">
        <v>967</v>
      </c>
      <c r="S3402" t="s">
        <v>15293</v>
      </c>
      <c r="T3402">
        <v>29</v>
      </c>
      <c r="U3402" s="2" t="s">
        <v>14410</v>
      </c>
      <c r="W3402" t="s">
        <v>817</v>
      </c>
      <c r="X3402">
        <v>110023512</v>
      </c>
      <c r="Y3402" t="s">
        <v>818</v>
      </c>
      <c r="Z3402" s="2" t="s">
        <v>20849</v>
      </c>
      <c r="AA3402" t="s">
        <v>820</v>
      </c>
      <c r="AB3402" t="s">
        <v>70</v>
      </c>
      <c r="AG3402" t="s">
        <v>20850</v>
      </c>
      <c r="AH3402" t="s">
        <v>20851</v>
      </c>
      <c r="AI3402" t="s">
        <v>20852</v>
      </c>
    </row>
    <row r="3403" spans="2:35" ht="409.5">
      <c r="B3403" s="1">
        <v>45523</v>
      </c>
      <c r="C3403" s="4">
        <v>45516.677083333336</v>
      </c>
      <c r="D3403" t="s">
        <v>8625</v>
      </c>
      <c r="E3403" t="s">
        <v>20853</v>
      </c>
      <c r="F3403">
        <v>5</v>
      </c>
      <c r="G3403" t="s">
        <v>827</v>
      </c>
      <c r="H3403" t="s">
        <v>39</v>
      </c>
      <c r="I3403" t="s">
        <v>94</v>
      </c>
      <c r="J3403" s="2" t="s">
        <v>190</v>
      </c>
      <c r="K3403" t="s">
        <v>42</v>
      </c>
      <c r="L3403" t="s">
        <v>761</v>
      </c>
      <c r="N3403" t="s">
        <v>762</v>
      </c>
      <c r="Q3403">
        <v>29142</v>
      </c>
      <c r="R3403" t="s">
        <v>119</v>
      </c>
      <c r="S3403" t="s">
        <v>8627</v>
      </c>
      <c r="T3403">
        <v>29</v>
      </c>
      <c r="W3403" t="s">
        <v>765</v>
      </c>
      <c r="X3403">
        <v>838572</v>
      </c>
      <c r="Y3403" t="s">
        <v>818</v>
      </c>
      <c r="Z3403" s="2" t="s">
        <v>20854</v>
      </c>
      <c r="AA3403" s="2" t="s">
        <v>20855</v>
      </c>
      <c r="AB3403" t="s">
        <v>70</v>
      </c>
      <c r="AC3403" t="s">
        <v>20856</v>
      </c>
      <c r="AG3403" t="s">
        <v>20857</v>
      </c>
      <c r="AH3403" t="s">
        <v>8632</v>
      </c>
      <c r="AI3403" t="s">
        <v>20858</v>
      </c>
    </row>
    <row r="3404" spans="2:35" ht="180">
      <c r="B3404" s="1">
        <v>45523</v>
      </c>
      <c r="C3404" s="4">
        <v>45516.425000000003</v>
      </c>
      <c r="D3404" t="s">
        <v>20859</v>
      </c>
      <c r="E3404" t="s">
        <v>20860</v>
      </c>
      <c r="F3404">
        <v>5</v>
      </c>
      <c r="G3404" t="s">
        <v>759</v>
      </c>
      <c r="H3404" t="s">
        <v>20861</v>
      </c>
      <c r="I3404" t="s">
        <v>40</v>
      </c>
      <c r="J3404" t="s">
        <v>109</v>
      </c>
      <c r="K3404" t="s">
        <v>42</v>
      </c>
      <c r="L3404" t="s">
        <v>761</v>
      </c>
      <c r="N3404" t="s">
        <v>762</v>
      </c>
      <c r="Q3404">
        <v>29141</v>
      </c>
      <c r="R3404" t="s">
        <v>119</v>
      </c>
      <c r="S3404" t="s">
        <v>7298</v>
      </c>
      <c r="T3404">
        <v>29</v>
      </c>
      <c r="U3404" s="2" t="s">
        <v>14679</v>
      </c>
      <c r="W3404" t="s">
        <v>765</v>
      </c>
      <c r="X3404">
        <v>838264</v>
      </c>
      <c r="Y3404" t="s">
        <v>14413</v>
      </c>
      <c r="Z3404" s="2" t="s">
        <v>20862</v>
      </c>
      <c r="AA3404" t="s">
        <v>820</v>
      </c>
      <c r="AB3404" t="s">
        <v>181</v>
      </c>
      <c r="AG3404" t="s">
        <v>20863</v>
      </c>
      <c r="AH3404" t="s">
        <v>11742</v>
      </c>
      <c r="AI3404" t="s">
        <v>20864</v>
      </c>
    </row>
    <row r="3405" spans="2:35" ht="405">
      <c r="B3405" s="1">
        <v>45520</v>
      </c>
      <c r="C3405" s="4">
        <v>45519.490972222222</v>
      </c>
      <c r="D3405" t="s">
        <v>1145</v>
      </c>
      <c r="E3405" t="s">
        <v>473</v>
      </c>
      <c r="F3405" t="s">
        <v>148</v>
      </c>
      <c r="G3405" t="s">
        <v>447</v>
      </c>
      <c r="H3405" t="s">
        <v>150</v>
      </c>
      <c r="I3405" t="s">
        <v>40</v>
      </c>
      <c r="J3405" s="2" t="s">
        <v>62</v>
      </c>
      <c r="K3405" t="s">
        <v>42</v>
      </c>
      <c r="L3405" t="s">
        <v>448</v>
      </c>
      <c r="N3405" t="s">
        <v>450</v>
      </c>
      <c r="Q3405">
        <v>29140</v>
      </c>
      <c r="R3405" t="s">
        <v>322</v>
      </c>
      <c r="S3405" t="s">
        <v>1147</v>
      </c>
      <c r="T3405">
        <v>29</v>
      </c>
      <c r="U3405" s="2" t="s">
        <v>20865</v>
      </c>
      <c r="W3405" t="s">
        <v>20866</v>
      </c>
      <c r="X3405">
        <v>838837</v>
      </c>
      <c r="Y3405" t="s">
        <v>873</v>
      </c>
      <c r="Z3405" s="2" t="s">
        <v>3071</v>
      </c>
      <c r="AA3405" s="2" t="s">
        <v>20867</v>
      </c>
      <c r="AB3405" s="2" t="s">
        <v>20868</v>
      </c>
      <c r="AG3405" t="s">
        <v>20869</v>
      </c>
      <c r="AH3405" t="s">
        <v>1153</v>
      </c>
      <c r="AI3405" t="s">
        <v>20870</v>
      </c>
    </row>
    <row r="3406" spans="2:35" ht="405">
      <c r="B3406" s="1">
        <v>45520</v>
      </c>
      <c r="C3406" s="4">
        <v>45519.450694444444</v>
      </c>
      <c r="D3406" t="s">
        <v>472</v>
      </c>
      <c r="E3406" t="s">
        <v>473</v>
      </c>
      <c r="F3406" t="s">
        <v>148</v>
      </c>
      <c r="G3406" t="s">
        <v>447</v>
      </c>
      <c r="H3406" t="s">
        <v>386</v>
      </c>
      <c r="I3406" t="s">
        <v>40</v>
      </c>
      <c r="J3406" t="s">
        <v>109</v>
      </c>
      <c r="K3406" t="s">
        <v>387</v>
      </c>
      <c r="L3406" t="s">
        <v>448</v>
      </c>
      <c r="N3406" t="s">
        <v>450</v>
      </c>
      <c r="Q3406">
        <v>29139</v>
      </c>
      <c r="R3406" t="s">
        <v>322</v>
      </c>
      <c r="S3406" t="s">
        <v>475</v>
      </c>
      <c r="T3406">
        <v>26</v>
      </c>
      <c r="W3406" t="s">
        <v>476</v>
      </c>
      <c r="X3406" t="s">
        <v>492</v>
      </c>
      <c r="Y3406" t="s">
        <v>485</v>
      </c>
      <c r="Z3406" s="2" t="s">
        <v>6718</v>
      </c>
      <c r="AA3406" t="s">
        <v>122</v>
      </c>
      <c r="AB3406" t="s">
        <v>486</v>
      </c>
      <c r="AG3406" t="s">
        <v>20871</v>
      </c>
      <c r="AH3406" t="s">
        <v>472</v>
      </c>
      <c r="AI3406" t="s">
        <v>20872</v>
      </c>
    </row>
    <row r="3407" spans="2:35" ht="409.5">
      <c r="B3407" s="1">
        <v>45520</v>
      </c>
      <c r="C3407" s="4">
        <v>45519.435416666667</v>
      </c>
      <c r="D3407" t="s">
        <v>472</v>
      </c>
      <c r="E3407" t="s">
        <v>473</v>
      </c>
      <c r="F3407" t="s">
        <v>148</v>
      </c>
      <c r="G3407" t="s">
        <v>447</v>
      </c>
      <c r="H3407" t="s">
        <v>2274</v>
      </c>
      <c r="I3407" t="s">
        <v>40</v>
      </c>
      <c r="J3407" t="s">
        <v>109</v>
      </c>
      <c r="K3407" t="s">
        <v>387</v>
      </c>
      <c r="L3407" t="s">
        <v>448</v>
      </c>
      <c r="N3407" t="s">
        <v>450</v>
      </c>
      <c r="Q3407">
        <v>29138</v>
      </c>
      <c r="R3407" t="s">
        <v>322</v>
      </c>
      <c r="S3407" t="s">
        <v>475</v>
      </c>
      <c r="T3407">
        <v>26</v>
      </c>
      <c r="W3407" t="s">
        <v>476</v>
      </c>
      <c r="X3407" t="s">
        <v>20799</v>
      </c>
      <c r="Y3407" s="2" t="s">
        <v>20873</v>
      </c>
      <c r="Z3407" s="2" t="s">
        <v>20874</v>
      </c>
      <c r="AA3407" t="s">
        <v>680</v>
      </c>
      <c r="AB3407" t="s">
        <v>20875</v>
      </c>
      <c r="AG3407" t="s">
        <v>20876</v>
      </c>
      <c r="AH3407" t="s">
        <v>472</v>
      </c>
      <c r="AI3407" t="s">
        <v>20877</v>
      </c>
    </row>
    <row r="3408" spans="2:35" ht="180">
      <c r="B3408" s="1">
        <v>45520</v>
      </c>
      <c r="C3408" s="4">
        <v>45520.584027777775</v>
      </c>
      <c r="D3408" t="s">
        <v>20878</v>
      </c>
      <c r="E3408" t="s">
        <v>20879</v>
      </c>
      <c r="F3408" t="s">
        <v>148</v>
      </c>
      <c r="G3408" t="s">
        <v>447</v>
      </c>
      <c r="H3408" t="s">
        <v>39</v>
      </c>
      <c r="I3408" t="s">
        <v>40</v>
      </c>
      <c r="J3408" t="s">
        <v>109</v>
      </c>
      <c r="K3408" t="s">
        <v>42</v>
      </c>
      <c r="L3408" t="s">
        <v>15532</v>
      </c>
      <c r="N3408" t="s">
        <v>15533</v>
      </c>
      <c r="Q3408">
        <v>29137</v>
      </c>
      <c r="R3408" t="s">
        <v>703</v>
      </c>
      <c r="S3408" t="s">
        <v>7787</v>
      </c>
      <c r="T3408">
        <v>24</v>
      </c>
      <c r="U3408" s="2" t="s">
        <v>20880</v>
      </c>
      <c r="W3408" t="s">
        <v>16496</v>
      </c>
      <c r="X3408">
        <v>840975</v>
      </c>
      <c r="Y3408" t="s">
        <v>15536</v>
      </c>
      <c r="Z3408" s="2" t="s">
        <v>20881</v>
      </c>
      <c r="AA3408" s="2" t="s">
        <v>18896</v>
      </c>
      <c r="AB3408" s="2" t="s">
        <v>20882</v>
      </c>
      <c r="AG3408" t="s">
        <v>20883</v>
      </c>
      <c r="AH3408" t="s">
        <v>7793</v>
      </c>
      <c r="AI3408" t="s">
        <v>20884</v>
      </c>
    </row>
    <row r="3409" spans="2:35" ht="195">
      <c r="B3409" s="1">
        <v>45520</v>
      </c>
      <c r="C3409" s="4">
        <v>45520.447916666664</v>
      </c>
      <c r="D3409" t="s">
        <v>7172</v>
      </c>
      <c r="E3409" t="s">
        <v>20885</v>
      </c>
      <c r="F3409" t="s">
        <v>148</v>
      </c>
      <c r="G3409" t="s">
        <v>310</v>
      </c>
      <c r="H3409" t="s">
        <v>39</v>
      </c>
      <c r="I3409" t="s">
        <v>40</v>
      </c>
      <c r="J3409" t="s">
        <v>109</v>
      </c>
      <c r="K3409" t="s">
        <v>42</v>
      </c>
      <c r="L3409" t="s">
        <v>15532</v>
      </c>
      <c r="N3409" t="s">
        <v>15533</v>
      </c>
      <c r="Q3409">
        <v>29136</v>
      </c>
      <c r="R3409" t="s">
        <v>703</v>
      </c>
      <c r="S3409" t="s">
        <v>2912</v>
      </c>
      <c r="T3409">
        <v>27</v>
      </c>
      <c r="U3409" s="2" t="s">
        <v>20886</v>
      </c>
      <c r="W3409" t="s">
        <v>16496</v>
      </c>
      <c r="X3409">
        <v>835540</v>
      </c>
      <c r="Y3409" t="s">
        <v>15536</v>
      </c>
      <c r="Z3409" s="2" t="s">
        <v>20881</v>
      </c>
      <c r="AA3409" s="2" t="s">
        <v>20887</v>
      </c>
      <c r="AB3409" s="2" t="s">
        <v>17371</v>
      </c>
      <c r="AG3409" t="s">
        <v>20888</v>
      </c>
      <c r="AH3409" t="s">
        <v>14071</v>
      </c>
      <c r="AI3409" t="s">
        <v>20889</v>
      </c>
    </row>
    <row r="3410" spans="2:35" ht="409.5">
      <c r="B3410" s="1">
        <v>45520</v>
      </c>
      <c r="C3410" s="4">
        <v>45520.421527777777</v>
      </c>
      <c r="D3410" t="s">
        <v>20890</v>
      </c>
      <c r="E3410" t="s">
        <v>20891</v>
      </c>
      <c r="F3410" t="s">
        <v>148</v>
      </c>
      <c r="G3410" t="s">
        <v>447</v>
      </c>
      <c r="H3410" t="s">
        <v>61</v>
      </c>
      <c r="I3410" t="s">
        <v>94</v>
      </c>
      <c r="J3410" s="2" t="s">
        <v>62</v>
      </c>
      <c r="K3410" t="s">
        <v>42</v>
      </c>
      <c r="L3410" t="s">
        <v>15532</v>
      </c>
      <c r="N3410" t="s">
        <v>15533</v>
      </c>
      <c r="Q3410">
        <v>29135</v>
      </c>
      <c r="R3410" t="s">
        <v>322</v>
      </c>
      <c r="S3410" t="s">
        <v>15652</v>
      </c>
      <c r="T3410">
        <v>28</v>
      </c>
      <c r="U3410" s="2" t="s">
        <v>20892</v>
      </c>
      <c r="V3410" s="1">
        <v>45513</v>
      </c>
      <c r="W3410" t="s">
        <v>16697</v>
      </c>
      <c r="X3410">
        <v>845462</v>
      </c>
      <c r="Y3410" t="s">
        <v>20893</v>
      </c>
      <c r="Z3410" s="2" t="s">
        <v>20894</v>
      </c>
      <c r="AA3410" s="2" t="s">
        <v>20895</v>
      </c>
      <c r="AB3410" s="2" t="s">
        <v>20896</v>
      </c>
      <c r="AC3410" t="s">
        <v>20897</v>
      </c>
      <c r="AD3410" t="s">
        <v>948</v>
      </c>
      <c r="AE3410" t="s">
        <v>20898</v>
      </c>
      <c r="AG3410" t="s">
        <v>20899</v>
      </c>
      <c r="AH3410" t="s">
        <v>15657</v>
      </c>
      <c r="AI3410" t="s">
        <v>20900</v>
      </c>
    </row>
    <row r="3411" spans="2:35" ht="409.5">
      <c r="B3411" s="1">
        <v>45520</v>
      </c>
      <c r="C3411" s="4">
        <v>45520.40625</v>
      </c>
      <c r="D3411" t="s">
        <v>20901</v>
      </c>
      <c r="E3411" t="s">
        <v>20891</v>
      </c>
      <c r="F3411" t="s">
        <v>148</v>
      </c>
      <c r="G3411" t="s">
        <v>447</v>
      </c>
      <c r="H3411" t="s">
        <v>61</v>
      </c>
      <c r="I3411" t="s">
        <v>94</v>
      </c>
      <c r="J3411" s="2" t="s">
        <v>1309</v>
      </c>
      <c r="K3411" t="s">
        <v>42</v>
      </c>
      <c r="L3411" t="s">
        <v>15532</v>
      </c>
      <c r="N3411" t="s">
        <v>15533</v>
      </c>
      <c r="Q3411">
        <v>29134</v>
      </c>
      <c r="R3411" t="s">
        <v>322</v>
      </c>
      <c r="S3411" t="s">
        <v>15652</v>
      </c>
      <c r="T3411">
        <v>23</v>
      </c>
      <c r="U3411" s="2" t="s">
        <v>20902</v>
      </c>
      <c r="V3411" s="1">
        <v>45513</v>
      </c>
      <c r="W3411" t="s">
        <v>20903</v>
      </c>
      <c r="X3411">
        <v>805294</v>
      </c>
      <c r="Y3411" s="2" t="s">
        <v>20904</v>
      </c>
      <c r="Z3411" s="2" t="s">
        <v>20905</v>
      </c>
      <c r="AA3411" s="2" t="s">
        <v>20906</v>
      </c>
      <c r="AB3411" t="s">
        <v>181</v>
      </c>
      <c r="AC3411" t="s">
        <v>20897</v>
      </c>
      <c r="AD3411" s="2" t="s">
        <v>20907</v>
      </c>
      <c r="AE3411" t="s">
        <v>20908</v>
      </c>
      <c r="AG3411" t="s">
        <v>20909</v>
      </c>
      <c r="AH3411" t="s">
        <v>15657</v>
      </c>
      <c r="AI3411" t="s">
        <v>20910</v>
      </c>
    </row>
    <row r="3412" spans="2:35" ht="409.5">
      <c r="B3412" s="1">
        <v>45519</v>
      </c>
      <c r="C3412" s="4">
        <v>45519.659722222219</v>
      </c>
      <c r="D3412" t="s">
        <v>11265</v>
      </c>
      <c r="E3412" t="s">
        <v>11266</v>
      </c>
      <c r="F3412">
        <v>3</v>
      </c>
      <c r="G3412" t="s">
        <v>1722</v>
      </c>
      <c r="H3412" t="s">
        <v>39</v>
      </c>
      <c r="I3412" t="s">
        <v>40</v>
      </c>
      <c r="J3412" s="2" t="s">
        <v>41</v>
      </c>
      <c r="K3412" t="s">
        <v>42</v>
      </c>
      <c r="L3412" t="s">
        <v>63</v>
      </c>
      <c r="N3412" t="s">
        <v>64</v>
      </c>
      <c r="Q3412">
        <v>29133</v>
      </c>
      <c r="R3412" t="s">
        <v>322</v>
      </c>
      <c r="S3412" t="s">
        <v>11267</v>
      </c>
      <c r="T3412">
        <v>22</v>
      </c>
      <c r="U3412" s="2" t="s">
        <v>20911</v>
      </c>
      <c r="V3412" s="1">
        <v>45491</v>
      </c>
      <c r="W3412" t="s">
        <v>373</v>
      </c>
      <c r="X3412">
        <v>110013773</v>
      </c>
      <c r="Y3412" t="s">
        <v>20912</v>
      </c>
      <c r="Z3412" s="2" t="s">
        <v>20913</v>
      </c>
      <c r="AA3412" s="2" t="s">
        <v>1727</v>
      </c>
      <c r="AB3412" t="s">
        <v>70</v>
      </c>
      <c r="AE3412">
        <v>11728</v>
      </c>
      <c r="AG3412" t="s">
        <v>20914</v>
      </c>
      <c r="AH3412" t="s">
        <v>20915</v>
      </c>
      <c r="AI3412" t="s">
        <v>20916</v>
      </c>
    </row>
    <row r="3413" spans="2:35" ht="285">
      <c r="B3413" s="1">
        <v>45519</v>
      </c>
      <c r="C3413" s="4">
        <v>45519.602083333331</v>
      </c>
      <c r="D3413" t="s">
        <v>10967</v>
      </c>
      <c r="E3413" t="s">
        <v>10968</v>
      </c>
      <c r="F3413">
        <v>7</v>
      </c>
      <c r="G3413" t="s">
        <v>432</v>
      </c>
      <c r="H3413" t="s">
        <v>10969</v>
      </c>
      <c r="I3413" t="s">
        <v>40</v>
      </c>
      <c r="J3413" t="s">
        <v>79</v>
      </c>
      <c r="K3413" t="s">
        <v>42</v>
      </c>
      <c r="L3413" t="s">
        <v>1288</v>
      </c>
      <c r="N3413" t="s">
        <v>1289</v>
      </c>
      <c r="Q3413">
        <v>29132</v>
      </c>
      <c r="R3413" t="s">
        <v>119</v>
      </c>
      <c r="S3413" t="s">
        <v>15836</v>
      </c>
      <c r="T3413">
        <v>25</v>
      </c>
      <c r="U3413" s="2" t="s">
        <v>20917</v>
      </c>
      <c r="W3413" t="s">
        <v>1292</v>
      </c>
      <c r="X3413">
        <v>838508</v>
      </c>
      <c r="Y3413" t="e">
        <f ca="1">-system Unit _xludf.Date _xludf.and _xludf.time DOES _xludf.not UPDATE</f>
        <v>#NAME?</v>
      </c>
      <c r="Z3413" t="e">
        <f ca="1">-COLLECT IQR, system _xludf.Log, _xludf.and ARCHIVE</f>
        <v>#NAME?</v>
      </c>
      <c r="AA3413" t="e">
        <f ca="1">-PERFORM system Unit CMOS battery Replacement _xludf.and _xludf.time/_xludf.Date adjustment</f>
        <v>#NAME?</v>
      </c>
      <c r="AB3413" t="s">
        <v>1293</v>
      </c>
      <c r="AG3413" t="s">
        <v>20918</v>
      </c>
      <c r="AH3413" t="s">
        <v>17035</v>
      </c>
      <c r="AI3413" t="s">
        <v>20919</v>
      </c>
    </row>
    <row r="3414" spans="2:35" ht="105">
      <c r="B3414" s="1">
        <v>45519</v>
      </c>
      <c r="C3414" s="4">
        <v>45519.577777777777</v>
      </c>
      <c r="D3414" t="s">
        <v>1496</v>
      </c>
      <c r="E3414" t="s">
        <v>1497</v>
      </c>
      <c r="F3414">
        <v>8</v>
      </c>
      <c r="G3414" t="s">
        <v>342</v>
      </c>
      <c r="H3414" t="s">
        <v>1498</v>
      </c>
      <c r="I3414" t="s">
        <v>40</v>
      </c>
      <c r="J3414" s="2" t="s">
        <v>62</v>
      </c>
      <c r="K3414" t="s">
        <v>42</v>
      </c>
      <c r="L3414" t="s">
        <v>343</v>
      </c>
      <c r="N3414" t="s">
        <v>344</v>
      </c>
      <c r="Q3414">
        <v>29131</v>
      </c>
      <c r="R3414" t="s">
        <v>119</v>
      </c>
      <c r="S3414" t="s">
        <v>7820</v>
      </c>
      <c r="T3414">
        <v>26</v>
      </c>
      <c r="U3414" s="2" t="s">
        <v>13591</v>
      </c>
      <c r="W3414" t="s">
        <v>1501</v>
      </c>
      <c r="X3414">
        <v>838297</v>
      </c>
      <c r="Y3414" t="s">
        <v>3191</v>
      </c>
      <c r="Z3414" t="e">
        <f ca="1">-run XpertCheck on ALL four modules</f>
        <v>#NAME?</v>
      </c>
      <c r="AA3414" t="e">
        <f ca="1">-Preventive Maintenance
-XpertCheck CALIBRATION</f>
        <v>#NAME?</v>
      </c>
      <c r="AB3414" t="s">
        <v>20920</v>
      </c>
      <c r="AG3414" t="s">
        <v>20921</v>
      </c>
      <c r="AH3414" t="s">
        <v>12926</v>
      </c>
      <c r="AI3414" t="s">
        <v>20922</v>
      </c>
    </row>
    <row r="3415" spans="2:35" ht="240">
      <c r="B3415" s="1">
        <v>45519</v>
      </c>
      <c r="C3415" s="4">
        <v>45519.502083333333</v>
      </c>
      <c r="D3415" t="s">
        <v>187</v>
      </c>
      <c r="E3415" t="s">
        <v>20923</v>
      </c>
      <c r="F3415" t="s">
        <v>37</v>
      </c>
      <c r="G3415" t="s">
        <v>189</v>
      </c>
      <c r="H3415" t="s">
        <v>39</v>
      </c>
      <c r="I3415" t="s">
        <v>40</v>
      </c>
      <c r="J3415" t="s">
        <v>321</v>
      </c>
      <c r="K3415" t="s">
        <v>42</v>
      </c>
      <c r="L3415" t="s">
        <v>1943</v>
      </c>
      <c r="N3415" t="s">
        <v>1944</v>
      </c>
      <c r="Q3415">
        <v>29130</v>
      </c>
      <c r="R3415" t="s">
        <v>322</v>
      </c>
      <c r="S3415" t="s">
        <v>12000</v>
      </c>
      <c r="T3415">
        <v>25</v>
      </c>
      <c r="W3415" t="s">
        <v>373</v>
      </c>
      <c r="X3415">
        <v>110024615</v>
      </c>
      <c r="Y3415" t="s">
        <v>20924</v>
      </c>
      <c r="Z3415" t="s">
        <v>3764</v>
      </c>
      <c r="AA3415" s="2" t="s">
        <v>20925</v>
      </c>
      <c r="AB3415" t="s">
        <v>88</v>
      </c>
      <c r="AG3415" t="s">
        <v>20926</v>
      </c>
      <c r="AH3415" t="s">
        <v>12005</v>
      </c>
      <c r="AI3415" t="s">
        <v>20927</v>
      </c>
    </row>
    <row r="3416" spans="2:35" ht="105">
      <c r="B3416" s="1">
        <v>45519</v>
      </c>
      <c r="C3416" s="4">
        <v>45504.462500000001</v>
      </c>
      <c r="D3416" t="s">
        <v>4511</v>
      </c>
      <c r="E3416" t="s">
        <v>4512</v>
      </c>
      <c r="F3416">
        <v>1</v>
      </c>
      <c r="G3416" t="s">
        <v>1046</v>
      </c>
      <c r="H3416" t="s">
        <v>1047</v>
      </c>
      <c r="I3416" t="s">
        <v>40</v>
      </c>
      <c r="J3416" t="s">
        <v>109</v>
      </c>
      <c r="K3416" t="s">
        <v>42</v>
      </c>
      <c r="L3416" t="s">
        <v>1048</v>
      </c>
      <c r="N3416" t="s">
        <v>1049</v>
      </c>
      <c r="Q3416">
        <v>29129</v>
      </c>
      <c r="R3416" t="s">
        <v>119</v>
      </c>
      <c r="S3416" t="s">
        <v>4513</v>
      </c>
      <c r="T3416">
        <v>27</v>
      </c>
      <c r="U3416" s="2" t="s">
        <v>20928</v>
      </c>
      <c r="W3416" t="s">
        <v>1051</v>
      </c>
      <c r="X3416">
        <v>838288</v>
      </c>
      <c r="Y3416" t="s">
        <v>1052</v>
      </c>
      <c r="Z3416" t="e">
        <f ca="1">- cleaned cartridge Bays, plunger Rods _xludf.and I-CORE
- generated reports
- Attached service STICKER</f>
        <v>#NAME?</v>
      </c>
      <c r="AA3416" t="s">
        <v>820</v>
      </c>
      <c r="AB3416" t="s">
        <v>1936</v>
      </c>
      <c r="AG3416" t="s">
        <v>20929</v>
      </c>
      <c r="AH3416" t="s">
        <v>4515</v>
      </c>
      <c r="AI3416" t="s">
        <v>20930</v>
      </c>
    </row>
    <row r="3417" spans="2:35" ht="409.5">
      <c r="B3417" s="1">
        <v>45519</v>
      </c>
      <c r="C3417" s="4">
        <v>45517.439583333333</v>
      </c>
      <c r="D3417" t="s">
        <v>7547</v>
      </c>
      <c r="E3417" t="s">
        <v>20931</v>
      </c>
      <c r="F3417" t="s">
        <v>1181</v>
      </c>
      <c r="G3417" t="s">
        <v>3753</v>
      </c>
      <c r="H3417" t="s">
        <v>39</v>
      </c>
      <c r="I3417" t="s">
        <v>40</v>
      </c>
      <c r="J3417" s="2" t="s">
        <v>62</v>
      </c>
      <c r="K3417" t="s">
        <v>42</v>
      </c>
      <c r="L3417" t="s">
        <v>1943</v>
      </c>
      <c r="N3417" t="s">
        <v>1944</v>
      </c>
      <c r="Q3417">
        <v>29128</v>
      </c>
      <c r="R3417" t="s">
        <v>119</v>
      </c>
      <c r="S3417" t="s">
        <v>20932</v>
      </c>
      <c r="T3417">
        <v>25</v>
      </c>
      <c r="U3417" s="2" t="s">
        <v>7525</v>
      </c>
      <c r="V3417" s="1">
        <v>45513</v>
      </c>
      <c r="W3417" t="s">
        <v>84</v>
      </c>
      <c r="X3417">
        <v>838226</v>
      </c>
      <c r="Y3417" s="2" t="s">
        <v>3044</v>
      </c>
      <c r="Z3417" t="s">
        <v>3045</v>
      </c>
      <c r="AA3417" s="2" t="s">
        <v>3046</v>
      </c>
      <c r="AB3417" t="s">
        <v>20933</v>
      </c>
      <c r="AD3417" t="s">
        <v>20934</v>
      </c>
      <c r="AE3417" t="s">
        <v>20935</v>
      </c>
      <c r="AG3417" t="s">
        <v>20936</v>
      </c>
      <c r="AH3417" t="s">
        <v>20937</v>
      </c>
      <c r="AI3417" t="s">
        <v>20938</v>
      </c>
    </row>
    <row r="3418" spans="2:35" ht="405">
      <c r="B3418" s="1">
        <v>45519</v>
      </c>
      <c r="C3418" s="4">
        <v>45519.402083333334</v>
      </c>
      <c r="D3418" t="s">
        <v>20939</v>
      </c>
      <c r="E3418" t="s">
        <v>15618</v>
      </c>
      <c r="F3418" t="s">
        <v>148</v>
      </c>
      <c r="G3418" t="s">
        <v>447</v>
      </c>
      <c r="H3418" t="s">
        <v>39</v>
      </c>
      <c r="I3418" t="s">
        <v>40</v>
      </c>
      <c r="J3418" s="2" t="s">
        <v>190</v>
      </c>
      <c r="K3418" t="s">
        <v>42</v>
      </c>
      <c r="L3418" t="s">
        <v>15532</v>
      </c>
      <c r="N3418" t="s">
        <v>15533</v>
      </c>
      <c r="Q3418">
        <v>29127</v>
      </c>
      <c r="R3418" t="s">
        <v>322</v>
      </c>
      <c r="S3418" t="s">
        <v>5229</v>
      </c>
      <c r="T3418">
        <v>25</v>
      </c>
      <c r="W3418" t="s">
        <v>20940</v>
      </c>
      <c r="X3418">
        <v>110023495</v>
      </c>
      <c r="Y3418" t="s">
        <v>20941</v>
      </c>
      <c r="Z3418" s="2" t="s">
        <v>20942</v>
      </c>
      <c r="AA3418" s="2" t="s">
        <v>20943</v>
      </c>
      <c r="AB3418" s="2" t="s">
        <v>17371</v>
      </c>
      <c r="AC3418" t="s">
        <v>20944</v>
      </c>
      <c r="AG3418" t="s">
        <v>20945</v>
      </c>
      <c r="AH3418" t="s">
        <v>15572</v>
      </c>
      <c r="AI3418" t="s">
        <v>20946</v>
      </c>
    </row>
    <row r="3419" spans="2:35" ht="285">
      <c r="B3419" s="1">
        <v>45518</v>
      </c>
      <c r="C3419" s="4">
        <v>45516.654861111114</v>
      </c>
      <c r="D3419" t="s">
        <v>1316</v>
      </c>
      <c r="E3419" t="s">
        <v>13837</v>
      </c>
      <c r="F3419">
        <v>11</v>
      </c>
      <c r="G3419" t="s">
        <v>1205</v>
      </c>
      <c r="H3419" t="s">
        <v>202</v>
      </c>
      <c r="I3419" t="s">
        <v>40</v>
      </c>
      <c r="J3419" t="s">
        <v>525</v>
      </c>
      <c r="K3419" t="s">
        <v>42</v>
      </c>
      <c r="L3419" t="s">
        <v>204</v>
      </c>
      <c r="N3419" t="s">
        <v>205</v>
      </c>
      <c r="Q3419">
        <v>29126</v>
      </c>
      <c r="R3419" t="s">
        <v>119</v>
      </c>
      <c r="S3419" t="s">
        <v>1318</v>
      </c>
      <c r="T3419">
        <v>27.5</v>
      </c>
      <c r="U3419" s="2" t="s">
        <v>20947</v>
      </c>
      <c r="W3419" t="s">
        <v>20675</v>
      </c>
      <c r="X3419">
        <v>838262</v>
      </c>
      <c r="Y3419" t="s">
        <v>20948</v>
      </c>
      <c r="Z3419" t="s">
        <v>20949</v>
      </c>
      <c r="AA3419" t="s">
        <v>20950</v>
      </c>
      <c r="AB3419" t="s">
        <v>20441</v>
      </c>
      <c r="AG3419" t="s">
        <v>20951</v>
      </c>
      <c r="AH3419" t="s">
        <v>20952</v>
      </c>
      <c r="AI3419" t="s">
        <v>20953</v>
      </c>
    </row>
    <row r="3420" spans="2:35" ht="360">
      <c r="B3420" s="1">
        <v>45518</v>
      </c>
      <c r="C3420" s="4">
        <v>45518.426388888889</v>
      </c>
      <c r="D3420" t="s">
        <v>4694</v>
      </c>
      <c r="E3420" t="s">
        <v>20954</v>
      </c>
      <c r="F3420">
        <v>11</v>
      </c>
      <c r="G3420" t="s">
        <v>2137</v>
      </c>
      <c r="H3420" t="s">
        <v>202</v>
      </c>
      <c r="I3420" t="s">
        <v>40</v>
      </c>
      <c r="J3420" t="s">
        <v>109</v>
      </c>
      <c r="K3420" t="s">
        <v>42</v>
      </c>
      <c r="L3420" t="s">
        <v>204</v>
      </c>
      <c r="N3420" t="s">
        <v>205</v>
      </c>
      <c r="Q3420">
        <v>29125</v>
      </c>
      <c r="R3420" t="s">
        <v>119</v>
      </c>
      <c r="S3420" t="s">
        <v>7905</v>
      </c>
      <c r="T3420">
        <v>26.8</v>
      </c>
      <c r="U3420" s="2" t="s">
        <v>20955</v>
      </c>
      <c r="W3420" t="s">
        <v>20675</v>
      </c>
      <c r="X3420">
        <v>838545</v>
      </c>
      <c r="Y3420" t="s">
        <v>20154</v>
      </c>
      <c r="Z3420" s="2" t="s">
        <v>20956</v>
      </c>
      <c r="AA3420" t="s">
        <v>20156</v>
      </c>
      <c r="AB3420" t="s">
        <v>1211</v>
      </c>
      <c r="AG3420" t="s">
        <v>20957</v>
      </c>
      <c r="AH3420" t="s">
        <v>20958</v>
      </c>
      <c r="AI3420" t="s">
        <v>20959</v>
      </c>
    </row>
    <row r="3421" spans="2:35">
      <c r="B3421" s="1">
        <v>45518</v>
      </c>
      <c r="C3421" s="4">
        <v>45518.693055555559</v>
      </c>
      <c r="D3421" t="s">
        <v>13723</v>
      </c>
      <c r="E3421" t="s">
        <v>1555</v>
      </c>
      <c r="F3421">
        <v>7</v>
      </c>
      <c r="G3421" t="s">
        <v>432</v>
      </c>
      <c r="H3421" t="s">
        <v>513</v>
      </c>
      <c r="I3421" t="s">
        <v>40</v>
      </c>
      <c r="J3421" t="s">
        <v>79</v>
      </c>
      <c r="K3421" t="s">
        <v>387</v>
      </c>
      <c r="L3421" t="s">
        <v>1288</v>
      </c>
      <c r="N3421" t="s">
        <v>1289</v>
      </c>
      <c r="Q3421">
        <v>29124</v>
      </c>
      <c r="R3421" t="s">
        <v>95</v>
      </c>
      <c r="S3421" t="s">
        <v>3424</v>
      </c>
      <c r="T3421">
        <v>23</v>
      </c>
      <c r="W3421" t="s">
        <v>390</v>
      </c>
      <c r="X3421" t="s">
        <v>3425</v>
      </c>
      <c r="Y3421" t="e">
        <f ca="1">-No _xludf.Power
-UNUSUAL sound during centrifuge operation</f>
        <v>#NAME?</v>
      </c>
      <c r="Z3421" t="e">
        <f ca="1">-PERFORM functionality test, passed</f>
        <v>#NAME?</v>
      </c>
      <c r="AA3421" t="e">
        <f ca="1">-_xludf.Replace Fuse _xludf.For _xludf.Power issue
-_xludf.Clean centrifuge assembly
-PERFORM centrifuge DIAGNOSTIC test, passed</f>
        <v>#NAME?</v>
      </c>
      <c r="AB3421" t="s">
        <v>1293</v>
      </c>
      <c r="AG3421" t="s">
        <v>20960</v>
      </c>
      <c r="AH3421" t="s">
        <v>20961</v>
      </c>
      <c r="AI3421" t="s">
        <v>20962</v>
      </c>
    </row>
    <row r="3422" spans="2:35" ht="120">
      <c r="B3422" s="1">
        <v>45518</v>
      </c>
      <c r="C3422" s="4">
        <v>45518.665277777778</v>
      </c>
      <c r="D3422" t="s">
        <v>1253</v>
      </c>
      <c r="E3422" t="s">
        <v>1253</v>
      </c>
      <c r="F3422" t="s">
        <v>1255</v>
      </c>
      <c r="G3422" t="s">
        <v>1256</v>
      </c>
      <c r="H3422" t="s">
        <v>39</v>
      </c>
      <c r="I3422" t="s">
        <v>94</v>
      </c>
      <c r="J3422" s="2" t="s">
        <v>20963</v>
      </c>
      <c r="K3422" t="s">
        <v>42</v>
      </c>
      <c r="L3422" t="s">
        <v>1257</v>
      </c>
      <c r="N3422" t="s">
        <v>2199</v>
      </c>
      <c r="O3422" t="s">
        <v>2199</v>
      </c>
      <c r="Q3422">
        <v>29123</v>
      </c>
      <c r="R3422" t="s">
        <v>119</v>
      </c>
      <c r="S3422" t="s">
        <v>1259</v>
      </c>
      <c r="T3422">
        <v>29</v>
      </c>
      <c r="U3422" s="2" t="s">
        <v>20964</v>
      </c>
      <c r="V3422" s="1">
        <v>45518</v>
      </c>
      <c r="W3422" t="s">
        <v>2384</v>
      </c>
      <c r="X3422">
        <v>838838</v>
      </c>
      <c r="Y3422" t="s">
        <v>20965</v>
      </c>
      <c r="Z3422" t="s">
        <v>20966</v>
      </c>
      <c r="AA3422" t="s">
        <v>20966</v>
      </c>
      <c r="AB3422" t="s">
        <v>20967</v>
      </c>
      <c r="AC3422" t="s">
        <v>20967</v>
      </c>
      <c r="AD3422" t="s">
        <v>54</v>
      </c>
      <c r="AE3422" t="s">
        <v>54</v>
      </c>
      <c r="AG3422" t="s">
        <v>20968</v>
      </c>
      <c r="AH3422" t="s">
        <v>20969</v>
      </c>
      <c r="AI3422" t="s">
        <v>20970</v>
      </c>
    </row>
    <row r="3423" spans="2:35" ht="105">
      <c r="B3423" s="1">
        <v>45518</v>
      </c>
      <c r="C3423" s="4">
        <v>45518.615277777775</v>
      </c>
      <c r="D3423" t="s">
        <v>340</v>
      </c>
      <c r="E3423" t="s">
        <v>341</v>
      </c>
      <c r="F3423">
        <v>8</v>
      </c>
      <c r="G3423" t="s">
        <v>342</v>
      </c>
      <c r="H3423" t="s">
        <v>11433</v>
      </c>
      <c r="I3423" t="s">
        <v>40</v>
      </c>
      <c r="J3423" s="2" t="s">
        <v>62</v>
      </c>
      <c r="K3423" t="s">
        <v>42</v>
      </c>
      <c r="L3423" t="s">
        <v>343</v>
      </c>
      <c r="N3423" t="s">
        <v>344</v>
      </c>
      <c r="Q3423">
        <v>29122</v>
      </c>
      <c r="R3423" t="s">
        <v>119</v>
      </c>
      <c r="S3423" t="s">
        <v>345</v>
      </c>
      <c r="T3423">
        <v>26</v>
      </c>
      <c r="U3423" s="2" t="s">
        <v>20971</v>
      </c>
      <c r="W3423" t="s">
        <v>1501</v>
      </c>
      <c r="X3423">
        <v>838555</v>
      </c>
      <c r="Y3423" t="s">
        <v>20972</v>
      </c>
      <c r="Z3423" t="e">
        <f ca="1">-run XpertCheck on ALL four modules</f>
        <v>#NAME?</v>
      </c>
      <c r="AA3423" t="e">
        <f ca="1">-Preventive Maintenance
-XpertCheck CALIBRATION</f>
        <v>#NAME?</v>
      </c>
      <c r="AB3423" t="s">
        <v>20973</v>
      </c>
      <c r="AG3423" t="s">
        <v>20974</v>
      </c>
      <c r="AH3423" t="s">
        <v>20975</v>
      </c>
      <c r="AI3423" t="s">
        <v>20976</v>
      </c>
    </row>
    <row r="3424" spans="2:35" ht="255">
      <c r="B3424" s="1">
        <v>45518</v>
      </c>
      <c r="C3424" s="4">
        <v>45518.567361111112</v>
      </c>
      <c r="D3424" t="s">
        <v>8123</v>
      </c>
      <c r="E3424" t="s">
        <v>8124</v>
      </c>
      <c r="F3424">
        <v>13</v>
      </c>
      <c r="G3424" t="s">
        <v>4484</v>
      </c>
      <c r="H3424" t="s">
        <v>2125</v>
      </c>
      <c r="I3424" t="s">
        <v>40</v>
      </c>
      <c r="J3424" s="2" t="s">
        <v>62</v>
      </c>
      <c r="K3424" t="s">
        <v>42</v>
      </c>
      <c r="L3424" t="s">
        <v>933</v>
      </c>
      <c r="N3424" t="s">
        <v>934</v>
      </c>
      <c r="Q3424">
        <v>29121</v>
      </c>
      <c r="R3424" t="s">
        <v>119</v>
      </c>
      <c r="S3424" t="s">
        <v>8125</v>
      </c>
      <c r="T3424">
        <v>30</v>
      </c>
      <c r="W3424" t="s">
        <v>2127</v>
      </c>
      <c r="X3424">
        <v>838554</v>
      </c>
      <c r="Y3424" t="s">
        <v>20977</v>
      </c>
      <c r="Z3424" t="s">
        <v>13654</v>
      </c>
      <c r="AA3424" s="2" t="s">
        <v>20978</v>
      </c>
      <c r="AB3424" s="2" t="s">
        <v>20979</v>
      </c>
      <c r="AG3424" t="s">
        <v>20980</v>
      </c>
      <c r="AH3424" t="s">
        <v>8129</v>
      </c>
      <c r="AI3424" t="s">
        <v>20981</v>
      </c>
    </row>
    <row r="3425" spans="2:35" ht="165">
      <c r="B3425" s="1">
        <v>45518</v>
      </c>
      <c r="C3425" s="4">
        <v>45518.563194444447</v>
      </c>
      <c r="D3425" t="s">
        <v>8059</v>
      </c>
      <c r="E3425" t="s">
        <v>9865</v>
      </c>
      <c r="F3425">
        <v>7</v>
      </c>
      <c r="G3425" t="s">
        <v>432</v>
      </c>
      <c r="H3425" t="s">
        <v>39</v>
      </c>
      <c r="I3425" t="s">
        <v>40</v>
      </c>
      <c r="J3425" s="2" t="s">
        <v>1808</v>
      </c>
      <c r="K3425" t="s">
        <v>42</v>
      </c>
      <c r="L3425" t="s">
        <v>433</v>
      </c>
      <c r="N3425" t="s">
        <v>434</v>
      </c>
      <c r="Q3425">
        <v>29120</v>
      </c>
      <c r="R3425" t="s">
        <v>119</v>
      </c>
      <c r="S3425" t="s">
        <v>1818</v>
      </c>
      <c r="T3425">
        <v>26</v>
      </c>
      <c r="W3425" t="s">
        <v>1008</v>
      </c>
      <c r="X3425">
        <v>838263</v>
      </c>
      <c r="Y3425" t="s">
        <v>20982</v>
      </c>
      <c r="Z3425" s="2" t="s">
        <v>20983</v>
      </c>
      <c r="AA3425" s="2" t="s">
        <v>20983</v>
      </c>
      <c r="AB3425" t="s">
        <v>1011</v>
      </c>
      <c r="AG3425" t="s">
        <v>20984</v>
      </c>
      <c r="AH3425" t="s">
        <v>1823</v>
      </c>
      <c r="AI3425" t="s">
        <v>20985</v>
      </c>
    </row>
    <row r="3426" spans="2:35" ht="180">
      <c r="B3426" s="1">
        <v>45518</v>
      </c>
      <c r="C3426" s="4">
        <v>45518.560416666667</v>
      </c>
      <c r="D3426" t="s">
        <v>20986</v>
      </c>
      <c r="E3426" t="s">
        <v>20987</v>
      </c>
      <c r="F3426" t="s">
        <v>148</v>
      </c>
      <c r="G3426" t="s">
        <v>310</v>
      </c>
      <c r="H3426" t="s">
        <v>39</v>
      </c>
      <c r="I3426" t="s">
        <v>40</v>
      </c>
      <c r="J3426" t="s">
        <v>109</v>
      </c>
      <c r="K3426" t="s">
        <v>42</v>
      </c>
      <c r="L3426" t="s">
        <v>15532</v>
      </c>
      <c r="N3426" t="s">
        <v>15533</v>
      </c>
      <c r="Q3426">
        <v>29119</v>
      </c>
      <c r="R3426" t="s">
        <v>322</v>
      </c>
      <c r="S3426" t="s">
        <v>11711</v>
      </c>
      <c r="T3426">
        <v>25</v>
      </c>
      <c r="U3426" s="2" t="s">
        <v>16913</v>
      </c>
      <c r="W3426" t="s">
        <v>20988</v>
      </c>
      <c r="X3426">
        <v>110022622</v>
      </c>
      <c r="Y3426" t="s">
        <v>15536</v>
      </c>
      <c r="Z3426" s="2" t="s">
        <v>20989</v>
      </c>
      <c r="AA3426" s="2" t="s">
        <v>20990</v>
      </c>
      <c r="AB3426" s="2" t="s">
        <v>17371</v>
      </c>
      <c r="AG3426" t="s">
        <v>20991</v>
      </c>
      <c r="AH3426" t="s">
        <v>20992</v>
      </c>
      <c r="AI3426" t="s">
        <v>20993</v>
      </c>
    </row>
    <row r="3427" spans="2:35" ht="105">
      <c r="B3427" s="1">
        <v>45518</v>
      </c>
      <c r="C3427" s="4">
        <v>45517.636805555558</v>
      </c>
      <c r="D3427" t="s">
        <v>6347</v>
      </c>
      <c r="E3427" t="s">
        <v>229</v>
      </c>
      <c r="F3427" t="s">
        <v>148</v>
      </c>
      <c r="G3427" t="s">
        <v>230</v>
      </c>
      <c r="H3427" t="s">
        <v>39</v>
      </c>
      <c r="I3427" t="s">
        <v>40</v>
      </c>
      <c r="J3427" s="2" t="s">
        <v>20994</v>
      </c>
      <c r="K3427" t="s">
        <v>42</v>
      </c>
      <c r="L3427" t="s">
        <v>175</v>
      </c>
      <c r="N3427" t="s">
        <v>176</v>
      </c>
      <c r="Q3427">
        <v>29118</v>
      </c>
      <c r="R3427" t="s">
        <v>703</v>
      </c>
      <c r="S3427" t="s">
        <v>14741</v>
      </c>
      <c r="T3427">
        <v>27</v>
      </c>
      <c r="W3427" t="s">
        <v>84</v>
      </c>
      <c r="X3427">
        <v>835600</v>
      </c>
      <c r="Y3427" t="s">
        <v>20995</v>
      </c>
      <c r="Z3427" t="s">
        <v>103</v>
      </c>
      <c r="AA3427" t="e">
        <f ca="1">- Attached GX DETAILS _xludf.and QR Reporting STICKER
- generated reports
- scanned GX _xludf.For errors (None)</f>
        <v>#NAME?</v>
      </c>
      <c r="AB3427" s="2" t="s">
        <v>20996</v>
      </c>
      <c r="AG3427" t="s">
        <v>20997</v>
      </c>
      <c r="AH3427" t="s">
        <v>20998</v>
      </c>
      <c r="AI3427" t="s">
        <v>20999</v>
      </c>
    </row>
    <row r="3428" spans="2:35" ht="409.5">
      <c r="B3428" s="1">
        <v>45518</v>
      </c>
      <c r="C3428" s="4">
        <v>45518.474999999999</v>
      </c>
      <c r="D3428" t="s">
        <v>3119</v>
      </c>
      <c r="E3428" t="s">
        <v>21000</v>
      </c>
      <c r="F3428" t="s">
        <v>148</v>
      </c>
      <c r="G3428" t="s">
        <v>310</v>
      </c>
      <c r="H3428" t="s">
        <v>61</v>
      </c>
      <c r="I3428" t="s">
        <v>40</v>
      </c>
      <c r="J3428" s="2" t="s">
        <v>190</v>
      </c>
      <c r="K3428" t="s">
        <v>42</v>
      </c>
      <c r="L3428" t="s">
        <v>15532</v>
      </c>
      <c r="N3428" t="s">
        <v>15533</v>
      </c>
      <c r="Q3428">
        <v>29117</v>
      </c>
      <c r="R3428" t="s">
        <v>95</v>
      </c>
      <c r="S3428" t="s">
        <v>3124</v>
      </c>
      <c r="T3428">
        <v>19</v>
      </c>
      <c r="U3428" s="2" t="s">
        <v>21001</v>
      </c>
      <c r="W3428" t="s">
        <v>20940</v>
      </c>
      <c r="X3428">
        <v>110001648</v>
      </c>
      <c r="Y3428" s="2" t="s">
        <v>21002</v>
      </c>
      <c r="Z3428" s="2" t="s">
        <v>21003</v>
      </c>
      <c r="AA3428" s="2" t="s">
        <v>21004</v>
      </c>
      <c r="AB3428" t="s">
        <v>88</v>
      </c>
      <c r="AG3428" t="s">
        <v>21005</v>
      </c>
      <c r="AH3428" t="s">
        <v>21006</v>
      </c>
      <c r="AI3428" t="s">
        <v>21007</v>
      </c>
    </row>
    <row r="3429" spans="2:35" ht="300">
      <c r="B3429" s="1">
        <v>45518</v>
      </c>
      <c r="C3429" s="4">
        <v>45518.466666666667</v>
      </c>
      <c r="D3429" t="s">
        <v>21008</v>
      </c>
      <c r="E3429" t="s">
        <v>21008</v>
      </c>
      <c r="F3429" t="s">
        <v>1255</v>
      </c>
      <c r="G3429" t="s">
        <v>1256</v>
      </c>
      <c r="H3429" t="s">
        <v>39</v>
      </c>
      <c r="I3429" t="s">
        <v>94</v>
      </c>
      <c r="J3429" s="2" t="s">
        <v>21009</v>
      </c>
      <c r="K3429" t="s">
        <v>42</v>
      </c>
      <c r="L3429" t="s">
        <v>1257</v>
      </c>
      <c r="N3429" t="s">
        <v>2199</v>
      </c>
      <c r="O3429" t="s">
        <v>2199</v>
      </c>
      <c r="Q3429">
        <v>29116</v>
      </c>
      <c r="R3429" t="s">
        <v>95</v>
      </c>
      <c r="S3429" t="s">
        <v>7364</v>
      </c>
      <c r="T3429">
        <v>25</v>
      </c>
      <c r="V3429" s="1">
        <v>45518</v>
      </c>
      <c r="W3429" t="s">
        <v>2384</v>
      </c>
      <c r="X3429">
        <v>110015481</v>
      </c>
      <c r="Y3429" t="s">
        <v>21010</v>
      </c>
      <c r="Z3429" t="s">
        <v>21011</v>
      </c>
      <c r="AA3429" t="s">
        <v>21011</v>
      </c>
      <c r="AB3429" t="s">
        <v>21012</v>
      </c>
      <c r="AC3429" t="s">
        <v>301</v>
      </c>
      <c r="AD3429" t="s">
        <v>54</v>
      </c>
      <c r="AE3429" t="s">
        <v>54</v>
      </c>
      <c r="AG3429" t="s">
        <v>21013</v>
      </c>
      <c r="AH3429" t="s">
        <v>21014</v>
      </c>
      <c r="AI3429" t="s">
        <v>21015</v>
      </c>
    </row>
    <row r="3430" spans="2:35" ht="285">
      <c r="B3430" s="1">
        <v>45518</v>
      </c>
      <c r="C3430" s="4">
        <v>45518.402777777781</v>
      </c>
      <c r="D3430" t="s">
        <v>9147</v>
      </c>
      <c r="E3430" t="s">
        <v>21016</v>
      </c>
      <c r="F3430">
        <v>6</v>
      </c>
      <c r="G3430" t="s">
        <v>1234</v>
      </c>
      <c r="H3430" t="s">
        <v>39</v>
      </c>
      <c r="I3430" t="s">
        <v>94</v>
      </c>
      <c r="J3430" s="2" t="s">
        <v>1808</v>
      </c>
      <c r="K3430" t="s">
        <v>42</v>
      </c>
      <c r="L3430" t="s">
        <v>594</v>
      </c>
      <c r="N3430" t="s">
        <v>595</v>
      </c>
      <c r="O3430" t="s">
        <v>595</v>
      </c>
      <c r="Q3430">
        <v>29115</v>
      </c>
      <c r="R3430" t="s">
        <v>119</v>
      </c>
      <c r="S3430" t="s">
        <v>19064</v>
      </c>
      <c r="T3430">
        <v>23</v>
      </c>
      <c r="V3430" s="1">
        <v>45518</v>
      </c>
      <c r="W3430" t="s">
        <v>502</v>
      </c>
      <c r="X3430">
        <v>838523</v>
      </c>
      <c r="Y3430" s="2" t="s">
        <v>21017</v>
      </c>
      <c r="Z3430" t="s">
        <v>4315</v>
      </c>
      <c r="AA3430" t="s">
        <v>4315</v>
      </c>
      <c r="AB3430" t="s">
        <v>21018</v>
      </c>
      <c r="AG3430" t="s">
        <v>21019</v>
      </c>
      <c r="AH3430" t="s">
        <v>21020</v>
      </c>
      <c r="AI3430" t="s">
        <v>21021</v>
      </c>
    </row>
    <row r="3431" spans="2:35" ht="135">
      <c r="B3431" s="1">
        <v>45518</v>
      </c>
      <c r="C3431" s="4">
        <v>45516.586111111108</v>
      </c>
      <c r="D3431" t="s">
        <v>8464</v>
      </c>
      <c r="E3431" t="s">
        <v>21022</v>
      </c>
      <c r="F3431">
        <v>7</v>
      </c>
      <c r="G3431" t="s">
        <v>432</v>
      </c>
      <c r="H3431" t="s">
        <v>39</v>
      </c>
      <c r="I3431" t="s">
        <v>40</v>
      </c>
      <c r="J3431" s="2" t="s">
        <v>21023</v>
      </c>
      <c r="K3431" t="s">
        <v>42</v>
      </c>
      <c r="L3431" t="s">
        <v>433</v>
      </c>
      <c r="N3431" t="s">
        <v>434</v>
      </c>
      <c r="Q3431">
        <v>29114</v>
      </c>
      <c r="R3431" t="s">
        <v>119</v>
      </c>
      <c r="S3431" t="s">
        <v>13201</v>
      </c>
      <c r="T3431">
        <v>27</v>
      </c>
      <c r="W3431" t="s">
        <v>1008</v>
      </c>
      <c r="X3431">
        <v>838509</v>
      </c>
      <c r="Y3431" s="2" t="s">
        <v>21024</v>
      </c>
      <c r="Z3431" s="2" t="s">
        <v>21025</v>
      </c>
      <c r="AA3431" s="2" t="s">
        <v>21025</v>
      </c>
      <c r="AB3431" s="2" t="s">
        <v>21026</v>
      </c>
      <c r="AG3431" t="s">
        <v>21027</v>
      </c>
      <c r="AH3431" t="s">
        <v>8469</v>
      </c>
      <c r="AI3431" t="s">
        <v>21028</v>
      </c>
    </row>
    <row r="3432" spans="2:35" ht="360">
      <c r="B3432" s="1">
        <v>45518</v>
      </c>
      <c r="C3432" s="4">
        <v>45510.394444444442</v>
      </c>
      <c r="D3432" t="s">
        <v>21029</v>
      </c>
      <c r="E3432" t="s">
        <v>12628</v>
      </c>
      <c r="F3432">
        <v>3</v>
      </c>
      <c r="G3432" t="s">
        <v>134</v>
      </c>
      <c r="H3432" t="s">
        <v>39</v>
      </c>
      <c r="I3432" t="s">
        <v>40</v>
      </c>
      <c r="J3432" t="s">
        <v>109</v>
      </c>
      <c r="K3432" t="s">
        <v>42</v>
      </c>
      <c r="L3432" t="s">
        <v>135</v>
      </c>
      <c r="N3432" t="s">
        <v>136</v>
      </c>
      <c r="O3432" t="s">
        <v>21030</v>
      </c>
      <c r="Q3432">
        <v>29113</v>
      </c>
      <c r="R3432" t="s">
        <v>322</v>
      </c>
      <c r="S3432" t="s">
        <v>14695</v>
      </c>
      <c r="T3432">
        <v>22</v>
      </c>
      <c r="U3432" s="2" t="s">
        <v>21031</v>
      </c>
      <c r="W3432" t="s">
        <v>3335</v>
      </c>
      <c r="X3432">
        <v>110018556</v>
      </c>
      <c r="Y3432" t="s">
        <v>7229</v>
      </c>
      <c r="Z3432" t="s">
        <v>4315</v>
      </c>
      <c r="AA3432" s="2" t="s">
        <v>4316</v>
      </c>
      <c r="AB3432" t="s">
        <v>181</v>
      </c>
      <c r="AG3432" t="s">
        <v>21032</v>
      </c>
      <c r="AH3432" t="s">
        <v>21033</v>
      </c>
      <c r="AI3432" t="s">
        <v>21034</v>
      </c>
    </row>
    <row r="3433" spans="2:35" ht="360">
      <c r="B3433" s="1">
        <v>45518</v>
      </c>
      <c r="C3433" s="4">
        <v>45506.604861111111</v>
      </c>
      <c r="D3433" t="s">
        <v>9326</v>
      </c>
      <c r="E3433" t="s">
        <v>12628</v>
      </c>
      <c r="F3433">
        <v>3</v>
      </c>
      <c r="G3433" t="s">
        <v>134</v>
      </c>
      <c r="H3433" t="s">
        <v>39</v>
      </c>
      <c r="I3433" t="s">
        <v>40</v>
      </c>
      <c r="J3433" t="s">
        <v>109</v>
      </c>
      <c r="K3433" t="s">
        <v>42</v>
      </c>
      <c r="L3433" t="s">
        <v>135</v>
      </c>
      <c r="N3433" t="s">
        <v>136</v>
      </c>
      <c r="Q3433">
        <v>29112</v>
      </c>
      <c r="R3433" t="s">
        <v>322</v>
      </c>
      <c r="S3433" t="s">
        <v>9328</v>
      </c>
      <c r="T3433">
        <v>28</v>
      </c>
      <c r="U3433" s="2" t="s">
        <v>21035</v>
      </c>
      <c r="W3433" t="s">
        <v>3335</v>
      </c>
      <c r="X3433">
        <v>1100137448</v>
      </c>
      <c r="Y3433" t="s">
        <v>7229</v>
      </c>
      <c r="Z3433" t="s">
        <v>4315</v>
      </c>
      <c r="AA3433" s="2" t="s">
        <v>4316</v>
      </c>
      <c r="AB3433" t="s">
        <v>181</v>
      </c>
      <c r="AG3433" t="s">
        <v>21036</v>
      </c>
      <c r="AH3433" t="s">
        <v>21037</v>
      </c>
      <c r="AI3433" t="s">
        <v>21038</v>
      </c>
    </row>
    <row r="3434" spans="2:35" ht="360">
      <c r="B3434" s="1">
        <v>45518</v>
      </c>
      <c r="C3434" s="4">
        <v>45506.574305555558</v>
      </c>
      <c r="D3434" t="s">
        <v>9326</v>
      </c>
      <c r="E3434" t="s">
        <v>12628</v>
      </c>
      <c r="F3434">
        <v>3</v>
      </c>
      <c r="G3434" t="s">
        <v>134</v>
      </c>
      <c r="H3434" t="s">
        <v>61</v>
      </c>
      <c r="I3434" t="s">
        <v>40</v>
      </c>
      <c r="J3434" t="s">
        <v>109</v>
      </c>
      <c r="K3434" t="s">
        <v>42</v>
      </c>
      <c r="L3434" t="s">
        <v>135</v>
      </c>
      <c r="N3434" t="s">
        <v>136</v>
      </c>
      <c r="Q3434">
        <v>29111</v>
      </c>
      <c r="R3434" t="s">
        <v>322</v>
      </c>
      <c r="S3434" t="s">
        <v>11499</v>
      </c>
      <c r="T3434">
        <v>28</v>
      </c>
      <c r="U3434" s="2" t="s">
        <v>21039</v>
      </c>
      <c r="W3434" t="s">
        <v>3335</v>
      </c>
      <c r="X3434">
        <v>110012825</v>
      </c>
      <c r="Y3434" t="s">
        <v>7229</v>
      </c>
      <c r="Z3434" t="s">
        <v>4315</v>
      </c>
      <c r="AA3434" s="2" t="s">
        <v>4316</v>
      </c>
      <c r="AB3434" t="s">
        <v>9323</v>
      </c>
      <c r="AG3434" t="s">
        <v>21040</v>
      </c>
      <c r="AH3434" t="s">
        <v>11502</v>
      </c>
      <c r="AI3434" t="s">
        <v>21041</v>
      </c>
    </row>
    <row r="3435" spans="2:35" ht="360">
      <c r="B3435" s="1">
        <v>45518</v>
      </c>
      <c r="C3435" s="4">
        <v>45503.490277777775</v>
      </c>
      <c r="D3435" t="s">
        <v>5060</v>
      </c>
      <c r="E3435" t="s">
        <v>15186</v>
      </c>
      <c r="F3435">
        <v>3</v>
      </c>
      <c r="G3435" t="s">
        <v>284</v>
      </c>
      <c r="H3435" t="s">
        <v>9313</v>
      </c>
      <c r="I3435" t="s">
        <v>40</v>
      </c>
      <c r="J3435" t="s">
        <v>109</v>
      </c>
      <c r="K3435" t="s">
        <v>42</v>
      </c>
      <c r="L3435" t="s">
        <v>135</v>
      </c>
      <c r="N3435" t="s">
        <v>136</v>
      </c>
      <c r="Q3435">
        <v>29110</v>
      </c>
      <c r="R3435" t="s">
        <v>322</v>
      </c>
      <c r="S3435" t="s">
        <v>11281</v>
      </c>
      <c r="T3435">
        <v>29</v>
      </c>
      <c r="U3435" s="2" t="s">
        <v>21042</v>
      </c>
      <c r="W3435" t="s">
        <v>2680</v>
      </c>
      <c r="X3435">
        <v>829390</v>
      </c>
      <c r="Y3435" t="s">
        <v>7229</v>
      </c>
      <c r="Z3435" t="s">
        <v>4315</v>
      </c>
      <c r="AA3435" s="2" t="s">
        <v>4316</v>
      </c>
      <c r="AB3435" t="s">
        <v>21043</v>
      </c>
      <c r="AG3435" t="s">
        <v>21044</v>
      </c>
      <c r="AH3435" t="s">
        <v>15193</v>
      </c>
      <c r="AI3435" t="s">
        <v>21045</v>
      </c>
    </row>
    <row r="3436" spans="2:35" ht="409.5">
      <c r="B3436" s="1">
        <v>45518</v>
      </c>
      <c r="C3436" s="4">
        <v>45503.487500000003</v>
      </c>
      <c r="D3436" t="s">
        <v>21046</v>
      </c>
      <c r="E3436" t="s">
        <v>15186</v>
      </c>
      <c r="F3436">
        <v>3</v>
      </c>
      <c r="G3436" t="s">
        <v>284</v>
      </c>
      <c r="H3436" t="s">
        <v>9313</v>
      </c>
      <c r="I3436" t="s">
        <v>40</v>
      </c>
      <c r="J3436" t="s">
        <v>109</v>
      </c>
      <c r="K3436" t="s">
        <v>42</v>
      </c>
      <c r="L3436" t="s">
        <v>135</v>
      </c>
      <c r="N3436" t="s">
        <v>136</v>
      </c>
      <c r="Q3436">
        <v>29109</v>
      </c>
      <c r="R3436" t="s">
        <v>322</v>
      </c>
      <c r="S3436" t="s">
        <v>11281</v>
      </c>
      <c r="T3436">
        <v>27</v>
      </c>
      <c r="U3436" s="2" t="s">
        <v>21047</v>
      </c>
      <c r="W3436" t="s">
        <v>3335</v>
      </c>
      <c r="X3436">
        <v>110017894</v>
      </c>
      <c r="Y3436" t="s">
        <v>485</v>
      </c>
      <c r="Z3436" t="s">
        <v>4315</v>
      </c>
      <c r="AA3436" s="2" t="s">
        <v>4316</v>
      </c>
      <c r="AB3436" t="s">
        <v>181</v>
      </c>
      <c r="AG3436" t="s">
        <v>21048</v>
      </c>
      <c r="AH3436" t="s">
        <v>15193</v>
      </c>
      <c r="AI3436" t="s">
        <v>21049</v>
      </c>
    </row>
    <row r="3437" spans="2:35" ht="60">
      <c r="B3437" s="1">
        <v>45517</v>
      </c>
      <c r="C3437" s="4">
        <v>45513.428472222222</v>
      </c>
      <c r="D3437" t="s">
        <v>7593</v>
      </c>
      <c r="E3437" t="s">
        <v>7594</v>
      </c>
      <c r="F3437">
        <v>1</v>
      </c>
      <c r="G3437" t="s">
        <v>1909</v>
      </c>
      <c r="H3437" t="s">
        <v>39</v>
      </c>
      <c r="I3437" t="s">
        <v>40</v>
      </c>
      <c r="J3437" s="2" t="s">
        <v>62</v>
      </c>
      <c r="K3437" t="s">
        <v>42</v>
      </c>
      <c r="L3437" t="s">
        <v>1048</v>
      </c>
      <c r="N3437" t="s">
        <v>1049</v>
      </c>
      <c r="Q3437">
        <v>29108</v>
      </c>
      <c r="R3437" t="s">
        <v>119</v>
      </c>
      <c r="S3437" t="s">
        <v>7595</v>
      </c>
      <c r="T3437">
        <v>25</v>
      </c>
      <c r="V3437" s="1">
        <v>45492</v>
      </c>
      <c r="W3437" t="s">
        <v>1051</v>
      </c>
      <c r="X3437">
        <v>838426</v>
      </c>
      <c r="Y3437" t="s">
        <v>19602</v>
      </c>
      <c r="Z3437" t="e">
        <f ca="1">- cleaned cartridge Bays, plunger Rods _xludf.and I-CORE
- generated reports
- performed XpertCheck
- Attached service STICKER</f>
        <v>#NAME?</v>
      </c>
      <c r="AA3437" t="s">
        <v>4930</v>
      </c>
      <c r="AB3437" t="e">
        <f ca="1">- Unit is Fully operational
- ALL modules passed XpertCheck</f>
        <v>#NAME?</v>
      </c>
      <c r="AD3437" t="s">
        <v>1958</v>
      </c>
      <c r="AE3437" t="s">
        <v>21050</v>
      </c>
      <c r="AG3437" t="s">
        <v>21051</v>
      </c>
      <c r="AH3437" t="s">
        <v>10444</v>
      </c>
      <c r="AI3437" t="s">
        <v>21052</v>
      </c>
    </row>
    <row r="3438" spans="2:35" ht="105">
      <c r="B3438" s="1">
        <v>45517</v>
      </c>
      <c r="C3438" s="4">
        <v>45512.488194444442</v>
      </c>
      <c r="D3438" t="s">
        <v>7264</v>
      </c>
      <c r="E3438" t="s">
        <v>7265</v>
      </c>
      <c r="F3438">
        <v>1</v>
      </c>
      <c r="G3438" t="s">
        <v>1909</v>
      </c>
      <c r="H3438" t="s">
        <v>1047</v>
      </c>
      <c r="I3438" t="s">
        <v>40</v>
      </c>
      <c r="J3438" t="s">
        <v>109</v>
      </c>
      <c r="K3438" t="s">
        <v>42</v>
      </c>
      <c r="L3438" t="s">
        <v>1048</v>
      </c>
      <c r="N3438" t="s">
        <v>1049</v>
      </c>
      <c r="Q3438">
        <v>29107</v>
      </c>
      <c r="R3438" t="s">
        <v>119</v>
      </c>
      <c r="S3438" t="s">
        <v>7266</v>
      </c>
      <c r="T3438">
        <v>30</v>
      </c>
      <c r="U3438" s="2" t="s">
        <v>5251</v>
      </c>
      <c r="W3438" t="s">
        <v>1051</v>
      </c>
      <c r="X3438">
        <v>838270</v>
      </c>
      <c r="Y3438" t="s">
        <v>1052</v>
      </c>
      <c r="Z3438" t="e">
        <f ca="1">- cleaned cartridge Bays, plunger Rods _xludf.and I-CORE
- generated reports
- Attached service STICKER</f>
        <v>#NAME?</v>
      </c>
      <c r="AA3438" t="s">
        <v>820</v>
      </c>
      <c r="AB3438" t="e">
        <f ca="1">- Unit is Partially operational
- High temperature in IQR DUE No electricity during Site visit hence No air-conditioning</f>
        <v>#NAME?</v>
      </c>
      <c r="AG3438" t="s">
        <v>21053</v>
      </c>
      <c r="AH3438" t="s">
        <v>21054</v>
      </c>
      <c r="AI3438" t="s">
        <v>21055</v>
      </c>
    </row>
    <row r="3439" spans="2:35" ht="105">
      <c r="B3439" s="1">
        <v>45517</v>
      </c>
      <c r="C3439" s="4">
        <v>45512.487500000003</v>
      </c>
      <c r="D3439" t="s">
        <v>5707</v>
      </c>
      <c r="E3439" t="s">
        <v>11096</v>
      </c>
      <c r="F3439">
        <v>1</v>
      </c>
      <c r="G3439" t="s">
        <v>1922</v>
      </c>
      <c r="H3439" t="s">
        <v>39</v>
      </c>
      <c r="I3439" t="s">
        <v>40</v>
      </c>
      <c r="J3439" t="s">
        <v>109</v>
      </c>
      <c r="K3439" t="s">
        <v>42</v>
      </c>
      <c r="L3439" t="s">
        <v>1048</v>
      </c>
      <c r="N3439" t="s">
        <v>1049</v>
      </c>
      <c r="Q3439">
        <v>29106</v>
      </c>
      <c r="R3439" t="s">
        <v>119</v>
      </c>
      <c r="S3439" t="s">
        <v>5709</v>
      </c>
      <c r="T3439">
        <v>26</v>
      </c>
      <c r="U3439" s="2" t="s">
        <v>8628</v>
      </c>
      <c r="W3439" t="s">
        <v>1051</v>
      </c>
      <c r="X3439">
        <v>838273</v>
      </c>
      <c r="Y3439" t="s">
        <v>1052</v>
      </c>
      <c r="Z3439" t="e">
        <f ca="1">- cleaned cartridge Bays, plunger Rods _xludf.and I-CORE
- generated reports
- Attached service STICKER</f>
        <v>#NAME?</v>
      </c>
      <c r="AA3439" t="s">
        <v>820</v>
      </c>
      <c r="AB3439" t="s">
        <v>70</v>
      </c>
      <c r="AG3439" t="s">
        <v>21056</v>
      </c>
      <c r="AH3439" t="s">
        <v>5716</v>
      </c>
      <c r="AI3439" t="s">
        <v>21057</v>
      </c>
    </row>
    <row r="3440" spans="2:35" ht="105">
      <c r="B3440" s="1">
        <v>45517</v>
      </c>
      <c r="C3440" s="4">
        <v>45512.48541666667</v>
      </c>
      <c r="D3440" t="s">
        <v>4927</v>
      </c>
      <c r="E3440" t="s">
        <v>4928</v>
      </c>
      <c r="F3440">
        <v>1</v>
      </c>
      <c r="G3440" t="s">
        <v>1922</v>
      </c>
      <c r="H3440" t="s">
        <v>1047</v>
      </c>
      <c r="I3440" t="s">
        <v>40</v>
      </c>
      <c r="J3440" t="s">
        <v>109</v>
      </c>
      <c r="K3440" t="s">
        <v>42</v>
      </c>
      <c r="L3440" t="s">
        <v>1048</v>
      </c>
      <c r="N3440" t="s">
        <v>1049</v>
      </c>
      <c r="Q3440">
        <v>29105</v>
      </c>
      <c r="R3440" t="s">
        <v>967</v>
      </c>
      <c r="S3440" t="s">
        <v>4929</v>
      </c>
      <c r="T3440">
        <v>29</v>
      </c>
      <c r="U3440" s="2" t="s">
        <v>20819</v>
      </c>
      <c r="W3440" t="s">
        <v>1424</v>
      </c>
      <c r="X3440">
        <v>110023500</v>
      </c>
      <c r="Y3440" t="s">
        <v>1052</v>
      </c>
      <c r="Z3440" t="e">
        <f ca="1">- cleaned cartridge Bays, plunger Rods _xludf.and I-CORE
- generated reports
- Attached service STICKER</f>
        <v>#NAME?</v>
      </c>
      <c r="AA3440" t="s">
        <v>820</v>
      </c>
      <c r="AB3440" t="s">
        <v>1428</v>
      </c>
      <c r="AG3440" t="s">
        <v>21058</v>
      </c>
      <c r="AH3440" t="s">
        <v>4934</v>
      </c>
      <c r="AI3440" t="s">
        <v>21059</v>
      </c>
    </row>
    <row r="3441" spans="2:35" ht="409.5">
      <c r="B3441" s="1">
        <v>45517</v>
      </c>
      <c r="C3441" s="4">
        <v>45512.445138888892</v>
      </c>
      <c r="D3441" t="s">
        <v>7248</v>
      </c>
      <c r="E3441" t="s">
        <v>11082</v>
      </c>
      <c r="F3441">
        <v>1</v>
      </c>
      <c r="G3441" t="s">
        <v>1922</v>
      </c>
      <c r="H3441" t="s">
        <v>39</v>
      </c>
      <c r="I3441" t="s">
        <v>40</v>
      </c>
      <c r="J3441" s="2" t="s">
        <v>62</v>
      </c>
      <c r="K3441" t="s">
        <v>42</v>
      </c>
      <c r="L3441" t="s">
        <v>1048</v>
      </c>
      <c r="N3441" t="s">
        <v>1049</v>
      </c>
      <c r="Q3441">
        <v>29104</v>
      </c>
      <c r="R3441" t="s">
        <v>119</v>
      </c>
      <c r="S3441" t="s">
        <v>7250</v>
      </c>
      <c r="T3441">
        <v>29</v>
      </c>
      <c r="U3441" s="2" t="s">
        <v>21060</v>
      </c>
      <c r="V3441" s="1">
        <v>45470</v>
      </c>
      <c r="W3441" t="s">
        <v>1051</v>
      </c>
      <c r="X3441">
        <v>838277</v>
      </c>
      <c r="Y3441" t="s">
        <v>19602</v>
      </c>
      <c r="Z3441" t="e">
        <f ca="1">- cleaned cartridge Bays, plunger Rods _xludf.and I-CORE
- performed XpertCheck
- generated reports
- Attached service STICKER</f>
        <v>#NAME?</v>
      </c>
      <c r="AA3441" t="s">
        <v>15348</v>
      </c>
      <c r="AB3441" s="2" t="s">
        <v>21061</v>
      </c>
      <c r="AD3441" t="s">
        <v>1958</v>
      </c>
      <c r="AE3441" t="s">
        <v>21062</v>
      </c>
      <c r="AG3441" t="s">
        <v>21063</v>
      </c>
      <c r="AH3441" t="s">
        <v>7252</v>
      </c>
      <c r="AI3441" t="s">
        <v>21064</v>
      </c>
    </row>
    <row r="3442" spans="2:35" ht="105">
      <c r="B3442" s="1">
        <v>45517</v>
      </c>
      <c r="C3442" s="4">
        <v>45512.313888888886</v>
      </c>
      <c r="D3442" t="s">
        <v>13897</v>
      </c>
      <c r="E3442" t="s">
        <v>21065</v>
      </c>
      <c r="F3442">
        <v>1</v>
      </c>
      <c r="G3442" t="s">
        <v>2599</v>
      </c>
      <c r="H3442" t="s">
        <v>61</v>
      </c>
      <c r="I3442" t="s">
        <v>40</v>
      </c>
      <c r="J3442" t="s">
        <v>109</v>
      </c>
      <c r="K3442" t="s">
        <v>42</v>
      </c>
      <c r="L3442" t="s">
        <v>1048</v>
      </c>
      <c r="N3442" t="s">
        <v>1049</v>
      </c>
      <c r="Q3442">
        <v>29103</v>
      </c>
      <c r="R3442" t="s">
        <v>703</v>
      </c>
      <c r="S3442" t="s">
        <v>13899</v>
      </c>
      <c r="T3442">
        <v>25</v>
      </c>
      <c r="U3442" s="2" t="s">
        <v>21066</v>
      </c>
      <c r="W3442" t="s">
        <v>1051</v>
      </c>
      <c r="X3442">
        <v>835542</v>
      </c>
      <c r="Y3442" t="s">
        <v>1052</v>
      </c>
      <c r="Z3442" t="e">
        <f ca="1">- cleaned cartridge Bays, plunger Rods _xludf.and I-CORE
- generated reports
- Attached service STICKER</f>
        <v>#NAME?</v>
      </c>
      <c r="AA3442" t="s">
        <v>820</v>
      </c>
      <c r="AB3442" t="s">
        <v>181</v>
      </c>
      <c r="AG3442" t="s">
        <v>21067</v>
      </c>
      <c r="AH3442" t="s">
        <v>21068</v>
      </c>
      <c r="AI3442" t="s">
        <v>21069</v>
      </c>
    </row>
    <row r="3443" spans="2:35" ht="195">
      <c r="B3443" s="1">
        <v>45517</v>
      </c>
      <c r="C3443" s="4">
        <v>45511.45208333333</v>
      </c>
      <c r="D3443" t="s">
        <v>11077</v>
      </c>
      <c r="E3443" t="s">
        <v>2598</v>
      </c>
      <c r="F3443">
        <v>1</v>
      </c>
      <c r="G3443" t="s">
        <v>2599</v>
      </c>
      <c r="H3443" t="s">
        <v>932</v>
      </c>
      <c r="I3443" t="s">
        <v>40</v>
      </c>
      <c r="J3443" t="s">
        <v>21070</v>
      </c>
      <c r="K3443" t="s">
        <v>42</v>
      </c>
      <c r="L3443" t="s">
        <v>1048</v>
      </c>
      <c r="N3443" t="s">
        <v>1049</v>
      </c>
      <c r="Q3443">
        <v>29102</v>
      </c>
      <c r="R3443" t="s">
        <v>322</v>
      </c>
      <c r="S3443" t="s">
        <v>21071</v>
      </c>
      <c r="T3443">
        <v>30</v>
      </c>
      <c r="W3443" t="s">
        <v>1424</v>
      </c>
      <c r="X3443">
        <v>110022474</v>
      </c>
      <c r="Y3443" t="s">
        <v>21072</v>
      </c>
      <c r="Z3443" t="s">
        <v>21073</v>
      </c>
      <c r="AA3443" t="s">
        <v>21073</v>
      </c>
      <c r="AB3443" s="2" t="s">
        <v>21074</v>
      </c>
      <c r="AG3443" t="s">
        <v>21075</v>
      </c>
      <c r="AH3443" t="s">
        <v>21076</v>
      </c>
      <c r="AI3443" t="s">
        <v>21077</v>
      </c>
    </row>
    <row r="3444" spans="2:35" ht="105">
      <c r="B3444" s="1">
        <v>45517</v>
      </c>
      <c r="C3444" s="4">
        <v>45511.356944444444</v>
      </c>
      <c r="D3444" t="s">
        <v>7254</v>
      </c>
      <c r="E3444" t="s">
        <v>7255</v>
      </c>
      <c r="F3444">
        <v>1</v>
      </c>
      <c r="G3444" t="s">
        <v>2599</v>
      </c>
      <c r="H3444" t="s">
        <v>39</v>
      </c>
      <c r="I3444" t="s">
        <v>40</v>
      </c>
      <c r="J3444" s="2" t="s">
        <v>62</v>
      </c>
      <c r="K3444" t="s">
        <v>42</v>
      </c>
      <c r="L3444" t="s">
        <v>1048</v>
      </c>
      <c r="N3444" t="s">
        <v>1049</v>
      </c>
      <c r="Q3444">
        <v>29101</v>
      </c>
      <c r="R3444" t="s">
        <v>119</v>
      </c>
      <c r="S3444" t="s">
        <v>7256</v>
      </c>
      <c r="T3444">
        <v>29</v>
      </c>
      <c r="U3444" s="2" t="s">
        <v>17376</v>
      </c>
      <c r="V3444" s="1">
        <v>45470</v>
      </c>
      <c r="W3444" t="s">
        <v>1051</v>
      </c>
      <c r="X3444">
        <v>838416</v>
      </c>
      <c r="Y3444" t="e">
        <f ca="1">- _xludf.For CALIBRATION _xludf.and Preventive Maintenance</f>
        <v>#NAME?</v>
      </c>
      <c r="Z3444" t="e">
        <f ca="1">- cleaned cartridge Bays, plunger Rods _xludf.and I-CORE
- performed XpertCheck
- generated reports
- Attached service STICKER</f>
        <v>#NAME?</v>
      </c>
      <c r="AA3444" t="s">
        <v>20523</v>
      </c>
      <c r="AB3444" t="e">
        <f ca="1">- Unit is Partially operational
- Unable to PERFORM XpertCheck on newly replaced module B3(753904)</f>
        <v>#NAME?</v>
      </c>
      <c r="AD3444" t="s">
        <v>1958</v>
      </c>
      <c r="AE3444" t="s">
        <v>21078</v>
      </c>
      <c r="AG3444" t="s">
        <v>21079</v>
      </c>
      <c r="AH3444" t="s">
        <v>21080</v>
      </c>
      <c r="AI3444" t="s">
        <v>21081</v>
      </c>
    </row>
    <row r="3445" spans="2:35" ht="105">
      <c r="B3445" s="1">
        <v>45517</v>
      </c>
      <c r="C3445" s="4">
        <v>45506.496527777781</v>
      </c>
      <c r="D3445" t="s">
        <v>4528</v>
      </c>
      <c r="E3445" t="s">
        <v>4529</v>
      </c>
      <c r="F3445">
        <v>1</v>
      </c>
      <c r="G3445" t="s">
        <v>1046</v>
      </c>
      <c r="H3445" t="s">
        <v>1047</v>
      </c>
      <c r="I3445" t="s">
        <v>40</v>
      </c>
      <c r="J3445" t="s">
        <v>109</v>
      </c>
      <c r="K3445" t="s">
        <v>42</v>
      </c>
      <c r="L3445" t="s">
        <v>1048</v>
      </c>
      <c r="N3445" t="s">
        <v>1049</v>
      </c>
      <c r="Q3445">
        <v>29100</v>
      </c>
      <c r="R3445" t="s">
        <v>119</v>
      </c>
      <c r="S3445" t="s">
        <v>4530</v>
      </c>
      <c r="T3445">
        <v>28</v>
      </c>
      <c r="U3445" s="2" t="s">
        <v>18351</v>
      </c>
      <c r="W3445" t="s">
        <v>1051</v>
      </c>
      <c r="X3445">
        <v>838472</v>
      </c>
      <c r="Y3445" t="s">
        <v>1052</v>
      </c>
      <c r="Z3445" t="e">
        <f ca="1">- cleaned cartridge Bays, plunger Rods _xludf.and I-CORE
- generated reports
- Attached service STICKER</f>
        <v>#NAME?</v>
      </c>
      <c r="AA3445" t="s">
        <v>820</v>
      </c>
      <c r="AB3445" t="s">
        <v>70</v>
      </c>
      <c r="AG3445" t="s">
        <v>21082</v>
      </c>
      <c r="AH3445" t="s">
        <v>4532</v>
      </c>
      <c r="AI3445" t="s">
        <v>21083</v>
      </c>
    </row>
    <row r="3446" spans="2:35" ht="105">
      <c r="B3446" s="1">
        <v>45517</v>
      </c>
      <c r="C3446" s="4">
        <v>45506.423611111109</v>
      </c>
      <c r="D3446" t="s">
        <v>3732</v>
      </c>
      <c r="E3446" t="s">
        <v>3733</v>
      </c>
      <c r="F3446">
        <v>1</v>
      </c>
      <c r="G3446" t="s">
        <v>1046</v>
      </c>
      <c r="H3446" t="s">
        <v>1047</v>
      </c>
      <c r="I3446" t="s">
        <v>40</v>
      </c>
      <c r="J3446" t="s">
        <v>109</v>
      </c>
      <c r="K3446" t="s">
        <v>42</v>
      </c>
      <c r="L3446" t="s">
        <v>1048</v>
      </c>
      <c r="N3446" t="s">
        <v>1049</v>
      </c>
      <c r="Q3446">
        <v>29099</v>
      </c>
      <c r="R3446" t="s">
        <v>119</v>
      </c>
      <c r="S3446" t="s">
        <v>19601</v>
      </c>
      <c r="T3446">
        <v>25</v>
      </c>
      <c r="U3446" s="2" t="s">
        <v>21084</v>
      </c>
      <c r="W3446" t="s">
        <v>1051</v>
      </c>
      <c r="X3446">
        <v>838473</v>
      </c>
      <c r="Y3446" t="s">
        <v>1052</v>
      </c>
      <c r="Z3446" t="e">
        <f ca="1">- cleaned cartridge Bays, plunger Rods _xludf.and I-CORE
- generated reports
- Attached service STICKER</f>
        <v>#NAME?</v>
      </c>
      <c r="AA3446" t="s">
        <v>820</v>
      </c>
      <c r="AB3446" t="s">
        <v>1936</v>
      </c>
      <c r="AG3446" t="s">
        <v>21085</v>
      </c>
      <c r="AH3446" t="s">
        <v>7274</v>
      </c>
      <c r="AI3446" t="s">
        <v>21086</v>
      </c>
    </row>
    <row r="3447" spans="2:35" ht="105">
      <c r="B3447" s="1">
        <v>45517</v>
      </c>
      <c r="C3447" s="4">
        <v>45505.567361111112</v>
      </c>
      <c r="D3447" t="s">
        <v>3738</v>
      </c>
      <c r="E3447" t="s">
        <v>3739</v>
      </c>
      <c r="F3447">
        <v>1</v>
      </c>
      <c r="G3447" t="s">
        <v>1046</v>
      </c>
      <c r="H3447" t="s">
        <v>39</v>
      </c>
      <c r="I3447" t="s">
        <v>40</v>
      </c>
      <c r="J3447" t="s">
        <v>109</v>
      </c>
      <c r="K3447" t="s">
        <v>42</v>
      </c>
      <c r="L3447" t="s">
        <v>1048</v>
      </c>
      <c r="N3447" t="s">
        <v>1049</v>
      </c>
      <c r="Q3447">
        <v>29098</v>
      </c>
      <c r="R3447" t="s">
        <v>119</v>
      </c>
      <c r="S3447" t="s">
        <v>3740</v>
      </c>
      <c r="T3447">
        <v>29</v>
      </c>
      <c r="U3447" s="2" t="s">
        <v>21087</v>
      </c>
      <c r="W3447" t="s">
        <v>1051</v>
      </c>
      <c r="X3447">
        <v>838438</v>
      </c>
      <c r="Y3447" t="s">
        <v>1052</v>
      </c>
      <c r="Z3447" t="e">
        <f ca="1">- cleaned cartridge Bays, plunger Rods _xludf.and I-CORE
- generated reports
- Attached service STICKER</f>
        <v>#NAME?</v>
      </c>
      <c r="AA3447" t="s">
        <v>820</v>
      </c>
      <c r="AB3447" t="s">
        <v>1428</v>
      </c>
      <c r="AG3447" t="s">
        <v>21088</v>
      </c>
      <c r="AH3447" t="s">
        <v>3742</v>
      </c>
      <c r="AI3447" t="s">
        <v>21089</v>
      </c>
    </row>
    <row r="3448" spans="2:35" ht="105">
      <c r="B3448" s="1">
        <v>45517</v>
      </c>
      <c r="C3448" s="4">
        <v>45505.482638888891</v>
      </c>
      <c r="D3448" t="s">
        <v>1057</v>
      </c>
      <c r="E3448" t="s">
        <v>16764</v>
      </c>
      <c r="F3448">
        <v>1</v>
      </c>
      <c r="G3448" t="s">
        <v>1046</v>
      </c>
      <c r="H3448" t="s">
        <v>39</v>
      </c>
      <c r="I3448" t="s">
        <v>40</v>
      </c>
      <c r="J3448" t="s">
        <v>109</v>
      </c>
      <c r="K3448" t="s">
        <v>42</v>
      </c>
      <c r="L3448" t="s">
        <v>1048</v>
      </c>
      <c r="N3448" t="s">
        <v>1049</v>
      </c>
      <c r="Q3448">
        <v>29097</v>
      </c>
      <c r="R3448" t="s">
        <v>95</v>
      </c>
      <c r="S3448" t="s">
        <v>1059</v>
      </c>
      <c r="T3448">
        <v>29</v>
      </c>
      <c r="U3448" s="2" t="s">
        <v>21090</v>
      </c>
      <c r="W3448" t="s">
        <v>1051</v>
      </c>
      <c r="X3448">
        <v>820303</v>
      </c>
      <c r="Y3448" t="s">
        <v>1052</v>
      </c>
      <c r="Z3448" t="e">
        <f ca="1">- cleaned cartridge Bays, plunger Rods _xludf.and I-CORE
- generated reports
- Attached service STICKER</f>
        <v>#NAME?</v>
      </c>
      <c r="AA3448" t="s">
        <v>820</v>
      </c>
      <c r="AB3448" t="s">
        <v>21091</v>
      </c>
      <c r="AG3448" t="s">
        <v>21092</v>
      </c>
      <c r="AH3448" t="s">
        <v>3393</v>
      </c>
      <c r="AI3448" t="s">
        <v>21093</v>
      </c>
    </row>
    <row r="3449" spans="2:35" ht="105">
      <c r="B3449" s="1">
        <v>45517</v>
      </c>
      <c r="C3449" s="4">
        <v>45505.436805555553</v>
      </c>
      <c r="D3449" t="s">
        <v>4503</v>
      </c>
      <c r="E3449" t="s">
        <v>4504</v>
      </c>
      <c r="F3449">
        <v>1</v>
      </c>
      <c r="G3449" t="s">
        <v>1046</v>
      </c>
      <c r="H3449" t="s">
        <v>1047</v>
      </c>
      <c r="I3449" t="s">
        <v>40</v>
      </c>
      <c r="J3449" t="s">
        <v>109</v>
      </c>
      <c r="K3449" t="s">
        <v>42</v>
      </c>
      <c r="L3449" t="s">
        <v>1048</v>
      </c>
      <c r="N3449" t="s">
        <v>1049</v>
      </c>
      <c r="Q3449">
        <v>29096</v>
      </c>
      <c r="R3449" t="s">
        <v>119</v>
      </c>
      <c r="S3449" t="s">
        <v>4505</v>
      </c>
      <c r="T3449">
        <v>30</v>
      </c>
      <c r="U3449" s="2" t="s">
        <v>5149</v>
      </c>
      <c r="W3449" t="s">
        <v>1051</v>
      </c>
      <c r="X3449">
        <v>838516</v>
      </c>
      <c r="Y3449" t="s">
        <v>1052</v>
      </c>
      <c r="Z3449" t="e">
        <f ca="1">- cleaned cartridge Bays, plunger Rods _xludf.and I-CORE
- generated reports
- Attached service STICKER</f>
        <v>#NAME?</v>
      </c>
      <c r="AA3449" t="s">
        <v>820</v>
      </c>
      <c r="AB3449" t="s">
        <v>1936</v>
      </c>
      <c r="AG3449" t="s">
        <v>21094</v>
      </c>
      <c r="AH3449" t="s">
        <v>4507</v>
      </c>
      <c r="AI3449" t="s">
        <v>21095</v>
      </c>
    </row>
    <row r="3450" spans="2:35" ht="105">
      <c r="B3450" s="1">
        <v>45517</v>
      </c>
      <c r="C3450" s="4">
        <v>45505.34097222222</v>
      </c>
      <c r="D3450" t="s">
        <v>4523</v>
      </c>
      <c r="E3450" t="s">
        <v>14119</v>
      </c>
      <c r="F3450">
        <v>1</v>
      </c>
      <c r="G3450" t="s">
        <v>1046</v>
      </c>
      <c r="H3450" t="s">
        <v>1047</v>
      </c>
      <c r="I3450" t="s">
        <v>40</v>
      </c>
      <c r="J3450" t="s">
        <v>109</v>
      </c>
      <c r="K3450" t="s">
        <v>42</v>
      </c>
      <c r="L3450" t="s">
        <v>1048</v>
      </c>
      <c r="N3450" t="s">
        <v>1049</v>
      </c>
      <c r="Q3450">
        <v>29095</v>
      </c>
      <c r="R3450" t="s">
        <v>119</v>
      </c>
      <c r="S3450" t="s">
        <v>7964</v>
      </c>
      <c r="T3450">
        <v>26</v>
      </c>
      <c r="U3450" s="2" t="s">
        <v>21096</v>
      </c>
      <c r="W3450" t="s">
        <v>1051</v>
      </c>
      <c r="X3450">
        <v>838286</v>
      </c>
      <c r="Y3450" t="s">
        <v>1052</v>
      </c>
      <c r="Z3450" t="e">
        <f ca="1">- cleaned cartridge Bays, plunger Rods _xludf.and I-CORE
- generated reports
- Attached service STICKER</f>
        <v>#NAME?</v>
      </c>
      <c r="AA3450" t="s">
        <v>820</v>
      </c>
      <c r="AB3450" t="s">
        <v>70</v>
      </c>
      <c r="AG3450" t="s">
        <v>21097</v>
      </c>
      <c r="AH3450" t="s">
        <v>8788</v>
      </c>
      <c r="AI3450" t="s">
        <v>21098</v>
      </c>
    </row>
    <row r="3451" spans="2:35" ht="105">
      <c r="B3451" s="1">
        <v>45517</v>
      </c>
      <c r="C3451" s="4">
        <v>45504.462500000001</v>
      </c>
      <c r="D3451" t="s">
        <v>4511</v>
      </c>
      <c r="E3451" t="s">
        <v>4512</v>
      </c>
      <c r="F3451">
        <v>1</v>
      </c>
      <c r="G3451" t="s">
        <v>1046</v>
      </c>
      <c r="H3451" t="s">
        <v>1047</v>
      </c>
      <c r="I3451" t="s">
        <v>40</v>
      </c>
      <c r="J3451" t="s">
        <v>996</v>
      </c>
      <c r="K3451" t="s">
        <v>42</v>
      </c>
      <c r="L3451" t="s">
        <v>1048</v>
      </c>
      <c r="N3451" t="s">
        <v>1049</v>
      </c>
      <c r="Q3451">
        <v>29094</v>
      </c>
      <c r="R3451" t="s">
        <v>119</v>
      </c>
      <c r="S3451" t="s">
        <v>4513</v>
      </c>
      <c r="T3451">
        <v>27</v>
      </c>
      <c r="U3451" s="2" t="s">
        <v>20928</v>
      </c>
      <c r="W3451" t="s">
        <v>1051</v>
      </c>
      <c r="X3451">
        <v>838288</v>
      </c>
      <c r="Y3451" t="s">
        <v>1052</v>
      </c>
      <c r="Z3451" t="e">
        <f ca="1">- cleaned cartridge Bays, plunger Rods _xludf.and I-CORE
- generated reports
- Attached service STICKER</f>
        <v>#NAME?</v>
      </c>
      <c r="AA3451" t="s">
        <v>820</v>
      </c>
      <c r="AB3451" t="s">
        <v>1936</v>
      </c>
      <c r="AG3451" t="s">
        <v>20929</v>
      </c>
      <c r="AH3451" t="s">
        <v>4515</v>
      </c>
      <c r="AI3451" t="s">
        <v>20930</v>
      </c>
    </row>
    <row r="3452" spans="2:35" ht="105">
      <c r="B3452" s="1">
        <v>45517</v>
      </c>
      <c r="C3452" s="4">
        <v>45504.432638888888</v>
      </c>
      <c r="D3452" t="s">
        <v>1432</v>
      </c>
      <c r="E3452" t="s">
        <v>10452</v>
      </c>
      <c r="F3452">
        <v>1</v>
      </c>
      <c r="G3452" t="s">
        <v>1046</v>
      </c>
      <c r="H3452" t="s">
        <v>1047</v>
      </c>
      <c r="I3452" t="s">
        <v>40</v>
      </c>
      <c r="J3452" t="s">
        <v>109</v>
      </c>
      <c r="K3452" t="s">
        <v>42</v>
      </c>
      <c r="L3452" t="s">
        <v>1048</v>
      </c>
      <c r="N3452" t="s">
        <v>1049</v>
      </c>
      <c r="Q3452">
        <v>29093</v>
      </c>
      <c r="R3452" t="s">
        <v>119</v>
      </c>
      <c r="S3452" t="s">
        <v>10453</v>
      </c>
      <c r="T3452">
        <v>30</v>
      </c>
      <c r="U3452" s="2" t="s">
        <v>21099</v>
      </c>
      <c r="W3452" t="s">
        <v>1051</v>
      </c>
      <c r="X3452">
        <v>838518</v>
      </c>
      <c r="Y3452" t="s">
        <v>1052</v>
      </c>
      <c r="Z3452" t="e">
        <f ca="1">- cleaned cartridge Bays, plunger Rods _xludf.and I-CORE
- generated reports
- Attached service STICKER</f>
        <v>#NAME?</v>
      </c>
      <c r="AA3452" t="s">
        <v>820</v>
      </c>
      <c r="AB3452" t="s">
        <v>1428</v>
      </c>
      <c r="AG3452" t="s">
        <v>21100</v>
      </c>
      <c r="AH3452" t="s">
        <v>10455</v>
      </c>
      <c r="AI3452" t="s">
        <v>21101</v>
      </c>
    </row>
    <row r="3453" spans="2:35" ht="105">
      <c r="B3453" s="1">
        <v>45517</v>
      </c>
      <c r="C3453" s="4">
        <v>45504.373611111114</v>
      </c>
      <c r="D3453" t="s">
        <v>4517</v>
      </c>
      <c r="E3453" t="s">
        <v>4518</v>
      </c>
      <c r="F3453">
        <v>1</v>
      </c>
      <c r="G3453" t="s">
        <v>1046</v>
      </c>
      <c r="H3453" t="s">
        <v>39</v>
      </c>
      <c r="I3453" t="s">
        <v>40</v>
      </c>
      <c r="J3453" t="s">
        <v>109</v>
      </c>
      <c r="K3453" t="s">
        <v>42</v>
      </c>
      <c r="L3453" t="s">
        <v>1048</v>
      </c>
      <c r="N3453" t="s">
        <v>1049</v>
      </c>
      <c r="Q3453">
        <v>29092</v>
      </c>
      <c r="R3453" t="s">
        <v>119</v>
      </c>
      <c r="S3453" t="s">
        <v>7992</v>
      </c>
      <c r="T3453">
        <v>28</v>
      </c>
      <c r="U3453" s="2" t="s">
        <v>20174</v>
      </c>
      <c r="W3453" t="s">
        <v>1051</v>
      </c>
      <c r="X3453">
        <v>838467</v>
      </c>
      <c r="Y3453" t="s">
        <v>1052</v>
      </c>
      <c r="Z3453" t="e">
        <f ca="1">- cleaned cartridge Bays, plunger Rods _xludf.and I-CORE
- generated reports
- Attached service STICKER</f>
        <v>#NAME?</v>
      </c>
      <c r="AA3453" t="s">
        <v>820</v>
      </c>
      <c r="AB3453" t="s">
        <v>21102</v>
      </c>
      <c r="AG3453" t="s">
        <v>21103</v>
      </c>
      <c r="AH3453" t="s">
        <v>13014</v>
      </c>
      <c r="AI3453" t="s">
        <v>21104</v>
      </c>
    </row>
    <row r="3454" spans="2:35" ht="105">
      <c r="B3454" s="1">
        <v>45517</v>
      </c>
      <c r="C3454" s="4">
        <v>45517.637499999997</v>
      </c>
      <c r="D3454" t="s">
        <v>6672</v>
      </c>
      <c r="E3454" t="s">
        <v>9442</v>
      </c>
      <c r="F3454">
        <v>8</v>
      </c>
      <c r="G3454" t="s">
        <v>1663</v>
      </c>
      <c r="H3454" t="s">
        <v>202</v>
      </c>
      <c r="I3454" t="s">
        <v>40</v>
      </c>
      <c r="J3454" s="2" t="s">
        <v>62</v>
      </c>
      <c r="K3454" t="s">
        <v>42</v>
      </c>
      <c r="L3454" t="s">
        <v>259</v>
      </c>
      <c r="N3454" t="s">
        <v>260</v>
      </c>
      <c r="Q3454">
        <v>29091</v>
      </c>
      <c r="R3454" t="s">
        <v>119</v>
      </c>
      <c r="S3454" t="s">
        <v>9443</v>
      </c>
      <c r="T3454">
        <v>29</v>
      </c>
      <c r="U3454" s="2" t="s">
        <v>21105</v>
      </c>
      <c r="V3454" s="1">
        <v>45517</v>
      </c>
      <c r="W3454" t="s">
        <v>84</v>
      </c>
      <c r="X3454">
        <v>838202</v>
      </c>
      <c r="Y3454" t="s">
        <v>67</v>
      </c>
      <c r="Z3454" t="s">
        <v>21106</v>
      </c>
      <c r="AA3454" t="e">
        <f ca="1">- performed Preventive Maintenance
- XpertCheck CALIBRATION
- functionality test
- Generate IQR _xludf.and system
- GX ID STICKER Installation</f>
        <v>#NAME?</v>
      </c>
      <c r="AB3454" t="s">
        <v>181</v>
      </c>
      <c r="AG3454" t="s">
        <v>21107</v>
      </c>
      <c r="AH3454" t="s">
        <v>9447</v>
      </c>
      <c r="AI3454" t="s">
        <v>21108</v>
      </c>
    </row>
    <row r="3455" spans="2:35" ht="75">
      <c r="B3455" s="1">
        <v>45517</v>
      </c>
      <c r="C3455" s="4">
        <v>45503.561805555553</v>
      </c>
      <c r="D3455" t="s">
        <v>4953</v>
      </c>
      <c r="E3455" t="s">
        <v>4954</v>
      </c>
      <c r="F3455">
        <v>1</v>
      </c>
      <c r="G3455" t="s">
        <v>1046</v>
      </c>
      <c r="H3455" t="s">
        <v>39</v>
      </c>
      <c r="I3455" t="s">
        <v>40</v>
      </c>
      <c r="J3455" t="s">
        <v>109</v>
      </c>
      <c r="K3455" t="s">
        <v>42</v>
      </c>
      <c r="L3455" t="s">
        <v>1048</v>
      </c>
      <c r="N3455" t="s">
        <v>1049</v>
      </c>
      <c r="Q3455">
        <v>29090</v>
      </c>
      <c r="R3455" t="s">
        <v>119</v>
      </c>
      <c r="S3455" t="s">
        <v>4955</v>
      </c>
      <c r="T3455">
        <v>29</v>
      </c>
      <c r="U3455" s="2" t="s">
        <v>2367</v>
      </c>
      <c r="W3455" t="s">
        <v>1051</v>
      </c>
      <c r="X3455">
        <v>838437</v>
      </c>
      <c r="Y3455" t="s">
        <v>1052</v>
      </c>
      <c r="Z3455" t="e">
        <f ca="1">- cleaned cartridge Bays, plunger Rods _xludf.and I-CORE
- generated reports
- Attached service STICKER</f>
        <v>#NAME?</v>
      </c>
      <c r="AA3455" t="s">
        <v>820</v>
      </c>
      <c r="AB3455" t="s">
        <v>1428</v>
      </c>
      <c r="AG3455" t="s">
        <v>21109</v>
      </c>
      <c r="AH3455" t="s">
        <v>4958</v>
      </c>
      <c r="AI3455" t="s">
        <v>21110</v>
      </c>
    </row>
    <row r="3456" spans="2:35">
      <c r="B3456" s="1">
        <v>45517</v>
      </c>
      <c r="C3456" s="4">
        <v>45517.599999999999</v>
      </c>
      <c r="D3456" t="s">
        <v>1071</v>
      </c>
      <c r="E3456" t="s">
        <v>1072</v>
      </c>
      <c r="F3456">
        <v>7</v>
      </c>
      <c r="G3456" t="s">
        <v>432</v>
      </c>
      <c r="H3456" t="s">
        <v>386</v>
      </c>
      <c r="I3456" t="s">
        <v>40</v>
      </c>
      <c r="J3456" t="s">
        <v>109</v>
      </c>
      <c r="K3456" t="s">
        <v>387</v>
      </c>
      <c r="L3456" t="s">
        <v>610</v>
      </c>
      <c r="N3456" t="s">
        <v>611</v>
      </c>
      <c r="Q3456">
        <v>29089</v>
      </c>
      <c r="R3456" t="s">
        <v>95</v>
      </c>
      <c r="S3456" t="s">
        <v>1073</v>
      </c>
      <c r="T3456">
        <v>24</v>
      </c>
      <c r="W3456" t="s">
        <v>390</v>
      </c>
      <c r="X3456" t="s">
        <v>1074</v>
      </c>
      <c r="Y3456" t="s">
        <v>21111</v>
      </c>
      <c r="Z3456" t="s">
        <v>21112</v>
      </c>
      <c r="AA3456" t="s">
        <v>21112</v>
      </c>
      <c r="AB3456" t="s">
        <v>21113</v>
      </c>
      <c r="AG3456" t="s">
        <v>21114</v>
      </c>
      <c r="AH3456" t="s">
        <v>1079</v>
      </c>
      <c r="AI3456" t="s">
        <v>21115</v>
      </c>
    </row>
    <row r="3457" spans="2:35" ht="180">
      <c r="B3457" s="1">
        <v>45517</v>
      </c>
      <c r="C3457" s="4">
        <v>45517.598611111112</v>
      </c>
      <c r="D3457" t="s">
        <v>5087</v>
      </c>
      <c r="E3457" t="s">
        <v>20186</v>
      </c>
      <c r="F3457" t="s">
        <v>148</v>
      </c>
      <c r="G3457" t="s">
        <v>447</v>
      </c>
      <c r="H3457" t="s">
        <v>5087</v>
      </c>
      <c r="I3457" t="s">
        <v>40</v>
      </c>
      <c r="J3457" t="s">
        <v>79</v>
      </c>
      <c r="K3457" t="s">
        <v>387</v>
      </c>
      <c r="L3457" t="s">
        <v>448</v>
      </c>
      <c r="N3457" t="s">
        <v>450</v>
      </c>
      <c r="Q3457">
        <v>29088</v>
      </c>
      <c r="R3457" t="s">
        <v>322</v>
      </c>
      <c r="S3457" t="s">
        <v>450</v>
      </c>
      <c r="T3457">
        <v>26</v>
      </c>
      <c r="V3457" s="1">
        <v>45517</v>
      </c>
      <c r="W3457" t="s">
        <v>476</v>
      </c>
      <c r="X3457" t="s">
        <v>6637</v>
      </c>
      <c r="Y3457" t="s">
        <v>21116</v>
      </c>
      <c r="Z3457" s="2" t="s">
        <v>21117</v>
      </c>
      <c r="AA3457" t="s">
        <v>9749</v>
      </c>
      <c r="AB3457" t="s">
        <v>486</v>
      </c>
      <c r="AD3457" t="s">
        <v>21118</v>
      </c>
      <c r="AE3457" t="s">
        <v>449</v>
      </c>
      <c r="AG3457" t="s">
        <v>21119</v>
      </c>
      <c r="AH3457" t="s">
        <v>21120</v>
      </c>
      <c r="AI3457" t="s">
        <v>21121</v>
      </c>
    </row>
    <row r="3458" spans="2:35" ht="105">
      <c r="B3458" s="1">
        <v>45517</v>
      </c>
      <c r="C3458" s="4">
        <v>45517.566666666666</v>
      </c>
      <c r="D3458" t="s">
        <v>9469</v>
      </c>
      <c r="E3458" t="s">
        <v>9470</v>
      </c>
      <c r="F3458">
        <v>8</v>
      </c>
      <c r="G3458" t="s">
        <v>1663</v>
      </c>
      <c r="H3458" t="s">
        <v>202</v>
      </c>
      <c r="I3458" t="s">
        <v>40</v>
      </c>
      <c r="J3458" s="2" t="s">
        <v>62</v>
      </c>
      <c r="K3458" t="s">
        <v>42</v>
      </c>
      <c r="L3458" t="s">
        <v>259</v>
      </c>
      <c r="N3458" t="s">
        <v>260</v>
      </c>
      <c r="O3458" t="s">
        <v>260</v>
      </c>
      <c r="Q3458">
        <v>29087</v>
      </c>
      <c r="R3458" t="s">
        <v>119</v>
      </c>
      <c r="S3458" t="s">
        <v>9471</v>
      </c>
      <c r="T3458">
        <v>28</v>
      </c>
      <c r="U3458" s="2" t="s">
        <v>21122</v>
      </c>
      <c r="V3458" s="1">
        <v>45517</v>
      </c>
      <c r="W3458" t="s">
        <v>84</v>
      </c>
      <c r="X3458">
        <v>838498</v>
      </c>
      <c r="Y3458" t="s">
        <v>67</v>
      </c>
      <c r="Z3458" t="s">
        <v>21123</v>
      </c>
      <c r="AA3458" t="e">
        <f ca="1">- performed Preventive Maintenance
- XpertCheck CALIBRATION
- functionality test
- Generate IQR _xludf.and system _xludf.Log</f>
        <v>#NAME?</v>
      </c>
      <c r="AB3458" t="s">
        <v>21124</v>
      </c>
      <c r="AG3458" t="s">
        <v>21125</v>
      </c>
      <c r="AH3458" t="s">
        <v>21126</v>
      </c>
      <c r="AI3458" t="s">
        <v>21127</v>
      </c>
    </row>
    <row r="3459" spans="2:35" ht="300">
      <c r="B3459" s="1">
        <v>45517</v>
      </c>
      <c r="C3459" s="4">
        <v>45517.552083333336</v>
      </c>
      <c r="D3459" t="s">
        <v>8429</v>
      </c>
      <c r="E3459" t="s">
        <v>9854</v>
      </c>
      <c r="F3459">
        <v>11</v>
      </c>
      <c r="G3459" t="s">
        <v>1205</v>
      </c>
      <c r="H3459" t="s">
        <v>202</v>
      </c>
      <c r="I3459" t="s">
        <v>40</v>
      </c>
      <c r="J3459" t="s">
        <v>109</v>
      </c>
      <c r="K3459" t="s">
        <v>42</v>
      </c>
      <c r="L3459" t="s">
        <v>204</v>
      </c>
      <c r="N3459" t="s">
        <v>205</v>
      </c>
      <c r="Q3459">
        <v>29086</v>
      </c>
      <c r="R3459" t="s">
        <v>119</v>
      </c>
      <c r="S3459" t="s">
        <v>21128</v>
      </c>
      <c r="T3459">
        <v>25.8</v>
      </c>
      <c r="U3459" s="2" t="s">
        <v>11184</v>
      </c>
      <c r="W3459" t="s">
        <v>21129</v>
      </c>
      <c r="X3459">
        <v>838456</v>
      </c>
      <c r="Y3459" t="s">
        <v>20154</v>
      </c>
      <c r="Z3459" s="2" t="s">
        <v>21130</v>
      </c>
      <c r="AA3459" t="s">
        <v>20156</v>
      </c>
      <c r="AB3459" s="2" t="s">
        <v>21131</v>
      </c>
      <c r="AC3459" t="s">
        <v>21132</v>
      </c>
      <c r="AG3459" t="s">
        <v>21133</v>
      </c>
      <c r="AH3459" t="s">
        <v>11819</v>
      </c>
      <c r="AI3459" t="s">
        <v>21134</v>
      </c>
    </row>
    <row r="3460" spans="2:35" ht="225">
      <c r="B3460" s="1">
        <v>45517</v>
      </c>
      <c r="C3460" s="4">
        <v>45517.501388888886</v>
      </c>
      <c r="D3460" t="s">
        <v>7761</v>
      </c>
      <c r="E3460" t="s">
        <v>18517</v>
      </c>
      <c r="F3460">
        <v>13</v>
      </c>
      <c r="G3460" t="s">
        <v>7763</v>
      </c>
      <c r="H3460" t="s">
        <v>2125</v>
      </c>
      <c r="I3460" t="s">
        <v>40</v>
      </c>
      <c r="J3460" s="2" t="s">
        <v>190</v>
      </c>
      <c r="K3460" t="s">
        <v>42</v>
      </c>
      <c r="L3460" t="s">
        <v>933</v>
      </c>
      <c r="N3460" t="s">
        <v>934</v>
      </c>
      <c r="Q3460">
        <v>29085</v>
      </c>
      <c r="R3460" t="s">
        <v>119</v>
      </c>
      <c r="S3460" t="s">
        <v>10603</v>
      </c>
      <c r="T3460">
        <v>30</v>
      </c>
      <c r="W3460" t="s">
        <v>2127</v>
      </c>
      <c r="X3460">
        <v>838275</v>
      </c>
      <c r="Y3460" t="s">
        <v>21135</v>
      </c>
      <c r="Z3460" t="s">
        <v>301</v>
      </c>
      <c r="AA3460" s="2" t="s">
        <v>21136</v>
      </c>
      <c r="AB3460" s="2" t="s">
        <v>21137</v>
      </c>
      <c r="AG3460" t="s">
        <v>21138</v>
      </c>
      <c r="AH3460" t="s">
        <v>21139</v>
      </c>
      <c r="AI3460" t="s">
        <v>21140</v>
      </c>
    </row>
    <row r="3461" spans="2:35" ht="409.5">
      <c r="B3461" s="1">
        <v>45517</v>
      </c>
      <c r="C3461" s="4">
        <v>45517.35</v>
      </c>
      <c r="D3461" t="s">
        <v>13262</v>
      </c>
      <c r="E3461" t="s">
        <v>7609</v>
      </c>
      <c r="F3461" t="s">
        <v>1181</v>
      </c>
      <c r="G3461" t="s">
        <v>3753</v>
      </c>
      <c r="H3461" t="s">
        <v>39</v>
      </c>
      <c r="I3461" t="s">
        <v>40</v>
      </c>
      <c r="J3461" s="2" t="s">
        <v>62</v>
      </c>
      <c r="K3461" t="s">
        <v>42</v>
      </c>
      <c r="L3461" t="s">
        <v>1943</v>
      </c>
      <c r="N3461" t="s">
        <v>1944</v>
      </c>
      <c r="Q3461">
        <v>29084</v>
      </c>
      <c r="R3461" t="s">
        <v>119</v>
      </c>
      <c r="S3461" t="s">
        <v>21141</v>
      </c>
      <c r="T3461">
        <v>25</v>
      </c>
      <c r="U3461" s="2" t="s">
        <v>21142</v>
      </c>
      <c r="V3461" s="1">
        <v>45513</v>
      </c>
      <c r="W3461" t="s">
        <v>84</v>
      </c>
      <c r="X3461">
        <v>838230</v>
      </c>
      <c r="Y3461" s="2" t="s">
        <v>3044</v>
      </c>
      <c r="Z3461" t="s">
        <v>3045</v>
      </c>
      <c r="AA3461" s="2" t="s">
        <v>3046</v>
      </c>
      <c r="AB3461" t="s">
        <v>88</v>
      </c>
      <c r="AD3461" t="s">
        <v>948</v>
      </c>
      <c r="AE3461" t="s">
        <v>21143</v>
      </c>
      <c r="AG3461" t="s">
        <v>21144</v>
      </c>
      <c r="AH3461" t="s">
        <v>7612</v>
      </c>
      <c r="AI3461" t="s">
        <v>21145</v>
      </c>
    </row>
    <row r="3462" spans="2:35" ht="315">
      <c r="B3462" s="1">
        <v>45517</v>
      </c>
      <c r="C3462" s="4">
        <v>45506.467361111114</v>
      </c>
      <c r="D3462" t="s">
        <v>20571</v>
      </c>
      <c r="E3462" t="s">
        <v>20757</v>
      </c>
      <c r="F3462" t="s">
        <v>148</v>
      </c>
      <c r="G3462" t="s">
        <v>785</v>
      </c>
      <c r="H3462" t="s">
        <v>39</v>
      </c>
      <c r="I3462" t="s">
        <v>40</v>
      </c>
      <c r="J3462" s="2" t="s">
        <v>190</v>
      </c>
      <c r="K3462" t="s">
        <v>42</v>
      </c>
      <c r="L3462" t="s">
        <v>43</v>
      </c>
      <c r="N3462" t="s">
        <v>44</v>
      </c>
      <c r="Q3462">
        <v>29083</v>
      </c>
      <c r="R3462" t="s">
        <v>322</v>
      </c>
      <c r="S3462" t="s">
        <v>4704</v>
      </c>
      <c r="T3462">
        <v>26</v>
      </c>
      <c r="U3462" s="2" t="s">
        <v>20758</v>
      </c>
      <c r="W3462" t="s">
        <v>153</v>
      </c>
      <c r="X3462">
        <v>110024245</v>
      </c>
      <c r="Y3462" t="s">
        <v>20759</v>
      </c>
      <c r="Z3462" t="s">
        <v>122</v>
      </c>
      <c r="AA3462" s="2" t="s">
        <v>20760</v>
      </c>
      <c r="AB3462" t="s">
        <v>20761</v>
      </c>
      <c r="AG3462" t="s">
        <v>21146</v>
      </c>
      <c r="AH3462" t="s">
        <v>6075</v>
      </c>
      <c r="AI3462" t="s">
        <v>21147</v>
      </c>
    </row>
    <row r="3463" spans="2:35" ht="195">
      <c r="B3463" s="1">
        <v>45516</v>
      </c>
      <c r="C3463" s="4">
        <v>45513.440972222219</v>
      </c>
      <c r="D3463" t="s">
        <v>965</v>
      </c>
      <c r="E3463" t="s">
        <v>15826</v>
      </c>
      <c r="F3463">
        <v>12</v>
      </c>
      <c r="G3463" t="s">
        <v>294</v>
      </c>
      <c r="H3463" t="s">
        <v>1473</v>
      </c>
      <c r="I3463" t="s">
        <v>40</v>
      </c>
      <c r="J3463" t="s">
        <v>109</v>
      </c>
      <c r="K3463" t="s">
        <v>42</v>
      </c>
      <c r="L3463" t="s">
        <v>296</v>
      </c>
      <c r="N3463" t="s">
        <v>297</v>
      </c>
      <c r="Q3463">
        <v>29082</v>
      </c>
      <c r="R3463" t="s">
        <v>967</v>
      </c>
      <c r="S3463" t="s">
        <v>21148</v>
      </c>
      <c r="T3463">
        <v>24.6</v>
      </c>
      <c r="W3463" t="s">
        <v>970</v>
      </c>
      <c r="X3463">
        <v>110023520</v>
      </c>
      <c r="Y3463" t="s">
        <v>54</v>
      </c>
      <c r="Z3463" t="s">
        <v>21149</v>
      </c>
      <c r="AA3463" s="2" t="s">
        <v>21150</v>
      </c>
      <c r="AB3463" t="s">
        <v>972</v>
      </c>
      <c r="AG3463" t="s">
        <v>21151</v>
      </c>
      <c r="AH3463" t="s">
        <v>21152</v>
      </c>
      <c r="AI3463" t="s">
        <v>21153</v>
      </c>
    </row>
    <row r="3464" spans="2:35" ht="105">
      <c r="B3464" s="1">
        <v>45516</v>
      </c>
      <c r="C3464" s="4">
        <v>45516.613194444442</v>
      </c>
      <c r="D3464" t="s">
        <v>8067</v>
      </c>
      <c r="E3464" t="s">
        <v>8068</v>
      </c>
      <c r="F3464">
        <v>8</v>
      </c>
      <c r="G3464" t="s">
        <v>257</v>
      </c>
      <c r="H3464" t="s">
        <v>202</v>
      </c>
      <c r="I3464" t="s">
        <v>40</v>
      </c>
      <c r="J3464" s="2" t="s">
        <v>62</v>
      </c>
      <c r="K3464" t="s">
        <v>42</v>
      </c>
      <c r="L3464" t="s">
        <v>259</v>
      </c>
      <c r="N3464" t="s">
        <v>260</v>
      </c>
      <c r="Q3464">
        <v>29081</v>
      </c>
      <c r="R3464" t="s">
        <v>119</v>
      </c>
      <c r="S3464" t="s">
        <v>8069</v>
      </c>
      <c r="T3464">
        <v>24</v>
      </c>
      <c r="U3464" s="2" t="s">
        <v>21154</v>
      </c>
      <c r="V3464" s="1">
        <v>45516</v>
      </c>
      <c r="W3464" t="s">
        <v>84</v>
      </c>
      <c r="X3464">
        <v>838406</v>
      </c>
      <c r="Y3464" t="s">
        <v>67</v>
      </c>
      <c r="Z3464" t="s">
        <v>21155</v>
      </c>
      <c r="AA3464" t="e">
        <f ca="1">- performed Preventive Maintenance
- XpertCheck CALIBRATION
- functionality test
- GX ID STICKER Installation</f>
        <v>#NAME?</v>
      </c>
      <c r="AB3464" t="s">
        <v>21156</v>
      </c>
      <c r="AD3464" t="s">
        <v>948</v>
      </c>
      <c r="AE3464" t="s">
        <v>119</v>
      </c>
      <c r="AG3464" t="s">
        <v>21157</v>
      </c>
      <c r="AH3464" t="s">
        <v>14469</v>
      </c>
      <c r="AI3464" t="s">
        <v>21158</v>
      </c>
    </row>
    <row r="3465" spans="2:35" ht="300">
      <c r="B3465" s="1">
        <v>45516</v>
      </c>
      <c r="C3465" s="4">
        <v>45516.482638888891</v>
      </c>
      <c r="D3465" t="s">
        <v>8727</v>
      </c>
      <c r="E3465" t="s">
        <v>21159</v>
      </c>
      <c r="F3465" t="s">
        <v>37</v>
      </c>
      <c r="G3465" t="s">
        <v>2499</v>
      </c>
      <c r="H3465" t="s">
        <v>39</v>
      </c>
      <c r="I3465" t="s">
        <v>40</v>
      </c>
      <c r="J3465" s="2" t="s">
        <v>62</v>
      </c>
      <c r="K3465" t="s">
        <v>42</v>
      </c>
      <c r="L3465" t="s">
        <v>15532</v>
      </c>
      <c r="N3465" t="s">
        <v>15533</v>
      </c>
      <c r="Q3465">
        <v>29080</v>
      </c>
      <c r="R3465" t="s">
        <v>119</v>
      </c>
      <c r="S3465" t="s">
        <v>21160</v>
      </c>
      <c r="T3465">
        <v>25</v>
      </c>
      <c r="U3465" s="2" t="s">
        <v>21161</v>
      </c>
      <c r="V3465" s="1">
        <v>45503</v>
      </c>
      <c r="W3465" t="s">
        <v>16496</v>
      </c>
      <c r="X3465">
        <v>838206</v>
      </c>
      <c r="Y3465" t="s">
        <v>20893</v>
      </c>
      <c r="Z3465" s="2" t="s">
        <v>21162</v>
      </c>
      <c r="AA3465" s="2" t="s">
        <v>21163</v>
      </c>
      <c r="AB3465" s="2" t="s">
        <v>21164</v>
      </c>
      <c r="AC3465" t="s">
        <v>21165</v>
      </c>
      <c r="AD3465" t="s">
        <v>948</v>
      </c>
      <c r="AE3465" t="s">
        <v>21166</v>
      </c>
      <c r="AG3465" t="s">
        <v>21167</v>
      </c>
      <c r="AH3465" t="s">
        <v>21168</v>
      </c>
      <c r="AI3465" t="s">
        <v>21169</v>
      </c>
    </row>
    <row r="3466" spans="2:35" ht="225">
      <c r="B3466" s="1">
        <v>45516</v>
      </c>
      <c r="C3466" s="4">
        <v>45511.407638888886</v>
      </c>
      <c r="D3466" t="s">
        <v>21170</v>
      </c>
      <c r="E3466" t="s">
        <v>5041</v>
      </c>
      <c r="F3466">
        <v>12</v>
      </c>
      <c r="G3466" t="s">
        <v>978</v>
      </c>
      <c r="H3466" t="s">
        <v>295</v>
      </c>
      <c r="I3466" t="s">
        <v>40</v>
      </c>
      <c r="J3466" t="s">
        <v>109</v>
      </c>
      <c r="K3466" t="s">
        <v>42</v>
      </c>
      <c r="L3466" t="s">
        <v>296</v>
      </c>
      <c r="N3466" t="s">
        <v>297</v>
      </c>
      <c r="Q3466">
        <v>29079</v>
      </c>
      <c r="R3466" t="s">
        <v>95</v>
      </c>
      <c r="S3466" t="s">
        <v>21171</v>
      </c>
      <c r="T3466">
        <v>21.6</v>
      </c>
      <c r="U3466" s="2" t="s">
        <v>21172</v>
      </c>
      <c r="W3466" t="s">
        <v>970</v>
      </c>
      <c r="X3466">
        <v>110003713</v>
      </c>
      <c r="Y3466" t="s">
        <v>21173</v>
      </c>
      <c r="Z3466" t="s">
        <v>9161</v>
      </c>
      <c r="AA3466" s="2" t="s">
        <v>21174</v>
      </c>
      <c r="AB3466" t="s">
        <v>21175</v>
      </c>
      <c r="AG3466" t="s">
        <v>21176</v>
      </c>
      <c r="AH3466" t="s">
        <v>21177</v>
      </c>
      <c r="AI3466" t="s">
        <v>21178</v>
      </c>
    </row>
    <row r="3467" spans="2:35" ht="375">
      <c r="B3467" s="1">
        <v>45516</v>
      </c>
      <c r="C3467" s="4">
        <v>45512.47152777778</v>
      </c>
      <c r="D3467" t="s">
        <v>7325</v>
      </c>
      <c r="E3467" t="s">
        <v>16066</v>
      </c>
      <c r="F3467">
        <v>12</v>
      </c>
      <c r="G3467" t="s">
        <v>978</v>
      </c>
      <c r="H3467" t="s">
        <v>1473</v>
      </c>
      <c r="I3467" t="s">
        <v>40</v>
      </c>
      <c r="J3467" t="s">
        <v>109</v>
      </c>
      <c r="K3467" t="s">
        <v>42</v>
      </c>
      <c r="L3467" t="s">
        <v>296</v>
      </c>
      <c r="N3467" t="s">
        <v>297</v>
      </c>
      <c r="Q3467">
        <v>29078</v>
      </c>
      <c r="R3467" t="s">
        <v>119</v>
      </c>
      <c r="S3467" t="s">
        <v>7327</v>
      </c>
      <c r="T3467">
        <v>26.1</v>
      </c>
      <c r="U3467" s="2" t="s">
        <v>21179</v>
      </c>
      <c r="W3467" t="s">
        <v>981</v>
      </c>
      <c r="X3467">
        <v>838265</v>
      </c>
      <c r="Y3467" s="2" t="s">
        <v>21180</v>
      </c>
      <c r="Z3467" s="2" t="s">
        <v>21181</v>
      </c>
      <c r="AA3467" s="2" t="s">
        <v>21182</v>
      </c>
      <c r="AB3467" t="s">
        <v>16070</v>
      </c>
      <c r="AG3467" t="s">
        <v>21183</v>
      </c>
      <c r="AH3467" t="s">
        <v>21184</v>
      </c>
      <c r="AI3467" t="s">
        <v>21185</v>
      </c>
    </row>
    <row r="3468" spans="2:35" ht="120">
      <c r="B3468" s="1">
        <v>45516</v>
      </c>
      <c r="C3468" s="4">
        <v>45516.420138888891</v>
      </c>
      <c r="D3468" t="s">
        <v>6373</v>
      </c>
      <c r="E3468" t="s">
        <v>1856</v>
      </c>
      <c r="F3468" t="s">
        <v>148</v>
      </c>
      <c r="G3468" t="s">
        <v>447</v>
      </c>
      <c r="H3468" t="s">
        <v>6373</v>
      </c>
      <c r="I3468" t="s">
        <v>40</v>
      </c>
      <c r="J3468" t="s">
        <v>79</v>
      </c>
      <c r="K3468" t="s">
        <v>387</v>
      </c>
      <c r="L3468" t="s">
        <v>448</v>
      </c>
      <c r="N3468" t="s">
        <v>650</v>
      </c>
      <c r="O3468" t="s">
        <v>650</v>
      </c>
      <c r="Q3468">
        <v>29077</v>
      </c>
      <c r="R3468" t="s">
        <v>322</v>
      </c>
      <c r="S3468" t="s">
        <v>650</v>
      </c>
      <c r="T3468">
        <v>26</v>
      </c>
      <c r="W3468" t="s">
        <v>6251</v>
      </c>
      <c r="X3468" t="s">
        <v>21186</v>
      </c>
      <c r="Y3468" t="s">
        <v>20134</v>
      </c>
      <c r="Z3468" s="2" t="s">
        <v>21187</v>
      </c>
      <c r="AA3468" t="s">
        <v>9749</v>
      </c>
      <c r="AB3468" t="s">
        <v>486</v>
      </c>
      <c r="AG3468" t="s">
        <v>21188</v>
      </c>
      <c r="AH3468" t="s">
        <v>6373</v>
      </c>
      <c r="AI3468" t="s">
        <v>21189</v>
      </c>
    </row>
    <row r="3469" spans="2:35" ht="120">
      <c r="B3469" s="1">
        <v>45516</v>
      </c>
      <c r="C3469" s="4">
        <v>45516.418055555558</v>
      </c>
      <c r="D3469" t="s">
        <v>13642</v>
      </c>
      <c r="E3469" t="s">
        <v>1856</v>
      </c>
      <c r="F3469" t="s">
        <v>148</v>
      </c>
      <c r="G3469" t="s">
        <v>447</v>
      </c>
      <c r="H3469" t="s">
        <v>4735</v>
      </c>
      <c r="I3469" t="s">
        <v>40</v>
      </c>
      <c r="J3469" t="s">
        <v>79</v>
      </c>
      <c r="K3469" t="s">
        <v>387</v>
      </c>
      <c r="L3469" t="s">
        <v>448</v>
      </c>
      <c r="N3469" t="s">
        <v>650</v>
      </c>
      <c r="O3469" t="s">
        <v>650</v>
      </c>
      <c r="Q3469">
        <v>29076</v>
      </c>
      <c r="R3469" t="s">
        <v>322</v>
      </c>
      <c r="S3469" t="s">
        <v>650</v>
      </c>
      <c r="T3469">
        <v>26</v>
      </c>
      <c r="W3469" t="s">
        <v>6251</v>
      </c>
      <c r="X3469" t="s">
        <v>21190</v>
      </c>
      <c r="Y3469" t="s">
        <v>20134</v>
      </c>
      <c r="Z3469" s="2" t="s">
        <v>21187</v>
      </c>
      <c r="AA3469" t="s">
        <v>9749</v>
      </c>
      <c r="AB3469" t="s">
        <v>486</v>
      </c>
      <c r="AG3469" t="s">
        <v>21191</v>
      </c>
      <c r="AH3469" t="s">
        <v>6373</v>
      </c>
      <c r="AI3469" t="s">
        <v>21192</v>
      </c>
    </row>
    <row r="3470" spans="2:35" ht="120">
      <c r="B3470" s="1">
        <v>45516</v>
      </c>
      <c r="C3470" s="4">
        <v>45516.415277777778</v>
      </c>
      <c r="D3470" t="s">
        <v>5087</v>
      </c>
      <c r="E3470" t="s">
        <v>1856</v>
      </c>
      <c r="F3470" t="s">
        <v>148</v>
      </c>
      <c r="G3470" t="s">
        <v>447</v>
      </c>
      <c r="H3470" t="s">
        <v>4735</v>
      </c>
      <c r="I3470" t="s">
        <v>40</v>
      </c>
      <c r="J3470" t="s">
        <v>79</v>
      </c>
      <c r="K3470" t="s">
        <v>387</v>
      </c>
      <c r="L3470" t="s">
        <v>448</v>
      </c>
      <c r="N3470" t="s">
        <v>650</v>
      </c>
      <c r="O3470" t="s">
        <v>650</v>
      </c>
      <c r="Q3470">
        <v>29075</v>
      </c>
      <c r="R3470" t="s">
        <v>322</v>
      </c>
      <c r="S3470" t="s">
        <v>650</v>
      </c>
      <c r="T3470">
        <v>28</v>
      </c>
      <c r="W3470" t="s">
        <v>21193</v>
      </c>
      <c r="X3470" t="s">
        <v>21194</v>
      </c>
      <c r="Y3470" t="s">
        <v>20134</v>
      </c>
      <c r="Z3470" s="2" t="s">
        <v>21195</v>
      </c>
      <c r="AA3470" t="s">
        <v>9749</v>
      </c>
      <c r="AB3470" t="s">
        <v>486</v>
      </c>
      <c r="AG3470" t="s">
        <v>21196</v>
      </c>
      <c r="AH3470" t="s">
        <v>13642</v>
      </c>
      <c r="AI3470" t="s">
        <v>21197</v>
      </c>
    </row>
    <row r="3471" spans="2:35" ht="120">
      <c r="B3471" s="1">
        <v>45516</v>
      </c>
      <c r="C3471" s="4">
        <v>45516.410416666666</v>
      </c>
      <c r="D3471" t="s">
        <v>6373</v>
      </c>
      <c r="E3471" t="s">
        <v>20186</v>
      </c>
      <c r="F3471" t="s">
        <v>148</v>
      </c>
      <c r="G3471" t="s">
        <v>447</v>
      </c>
      <c r="H3471" t="s">
        <v>19639</v>
      </c>
      <c r="I3471" t="s">
        <v>40</v>
      </c>
      <c r="J3471" t="s">
        <v>79</v>
      </c>
      <c r="K3471" t="s">
        <v>387</v>
      </c>
      <c r="L3471" t="s">
        <v>448</v>
      </c>
      <c r="N3471" t="s">
        <v>650</v>
      </c>
      <c r="O3471" t="s">
        <v>650</v>
      </c>
      <c r="Q3471">
        <v>29074</v>
      </c>
      <c r="R3471" t="s">
        <v>322</v>
      </c>
      <c r="S3471" t="s">
        <v>650</v>
      </c>
      <c r="T3471">
        <v>26</v>
      </c>
      <c r="W3471" t="s">
        <v>6251</v>
      </c>
      <c r="X3471" t="s">
        <v>21198</v>
      </c>
      <c r="Y3471" t="s">
        <v>20134</v>
      </c>
      <c r="Z3471" s="2" t="s">
        <v>21199</v>
      </c>
      <c r="AA3471" t="s">
        <v>9749</v>
      </c>
      <c r="AB3471" t="s">
        <v>486</v>
      </c>
      <c r="AG3471" t="s">
        <v>21200</v>
      </c>
      <c r="AH3471" t="s">
        <v>5087</v>
      </c>
      <c r="AI3471" t="s">
        <v>21201</v>
      </c>
    </row>
    <row r="3472" spans="2:35" ht="105">
      <c r="B3472" s="1">
        <v>45516</v>
      </c>
      <c r="C3472" s="4">
        <v>45513.569444444445</v>
      </c>
      <c r="D3472" t="s">
        <v>14487</v>
      </c>
      <c r="E3472" t="s">
        <v>229</v>
      </c>
      <c r="F3472" t="s">
        <v>148</v>
      </c>
      <c r="G3472" t="s">
        <v>230</v>
      </c>
      <c r="H3472" t="s">
        <v>39</v>
      </c>
      <c r="I3472" t="s">
        <v>40</v>
      </c>
      <c r="J3472" t="s">
        <v>109</v>
      </c>
      <c r="K3472" t="s">
        <v>42</v>
      </c>
      <c r="L3472" t="s">
        <v>175</v>
      </c>
      <c r="N3472" t="s">
        <v>176</v>
      </c>
      <c r="Q3472">
        <v>29073</v>
      </c>
      <c r="R3472" t="s">
        <v>703</v>
      </c>
      <c r="S3472" t="s">
        <v>21202</v>
      </c>
      <c r="T3472">
        <v>27</v>
      </c>
      <c r="U3472" s="2" t="s">
        <v>6946</v>
      </c>
      <c r="W3472" t="s">
        <v>84</v>
      </c>
      <c r="X3472">
        <v>110008415</v>
      </c>
      <c r="Y3472" t="s">
        <v>374</v>
      </c>
      <c r="Z3472" t="s">
        <v>103</v>
      </c>
      <c r="AA3472" t="e">
        <f ca="1">- checked _xludf.and cleaned cartridge bay, plunger rod, _xludf.filter, icore slot
- generated reports
- performed self test</f>
        <v>#NAME?</v>
      </c>
      <c r="AB3472" t="s">
        <v>181</v>
      </c>
      <c r="AG3472" t="s">
        <v>21203</v>
      </c>
      <c r="AH3472" t="s">
        <v>21204</v>
      </c>
      <c r="AI3472" t="s">
        <v>21205</v>
      </c>
    </row>
    <row r="3473" spans="2:35" ht="105">
      <c r="B3473" s="1">
        <v>45516</v>
      </c>
      <c r="C3473" s="4">
        <v>45513.567361111112</v>
      </c>
      <c r="D3473" t="s">
        <v>14487</v>
      </c>
      <c r="E3473" t="s">
        <v>229</v>
      </c>
      <c r="F3473" t="s">
        <v>148</v>
      </c>
      <c r="G3473" t="s">
        <v>230</v>
      </c>
      <c r="H3473" t="s">
        <v>39</v>
      </c>
      <c r="I3473" t="s">
        <v>40</v>
      </c>
      <c r="J3473" t="s">
        <v>109</v>
      </c>
      <c r="K3473" t="s">
        <v>42</v>
      </c>
      <c r="L3473" t="s">
        <v>175</v>
      </c>
      <c r="N3473" t="s">
        <v>176</v>
      </c>
      <c r="Q3473">
        <v>29072</v>
      </c>
      <c r="R3473" t="s">
        <v>703</v>
      </c>
      <c r="S3473" t="s">
        <v>21202</v>
      </c>
      <c r="T3473">
        <v>27</v>
      </c>
      <c r="U3473" s="2" t="s">
        <v>21206</v>
      </c>
      <c r="W3473" t="s">
        <v>84</v>
      </c>
      <c r="X3473">
        <v>110008420</v>
      </c>
      <c r="Y3473" t="s">
        <v>374</v>
      </c>
      <c r="Z3473" t="s">
        <v>103</v>
      </c>
      <c r="AA3473" t="e">
        <f ca="1">- checked _xludf.and cleaned cartridge bay, plunger rod, _xludf.filter
- generated reports
- performed self test</f>
        <v>#NAME?</v>
      </c>
      <c r="AB3473" t="s">
        <v>181</v>
      </c>
      <c r="AG3473" t="s">
        <v>21207</v>
      </c>
      <c r="AH3473" t="s">
        <v>21204</v>
      </c>
      <c r="AI3473" t="s">
        <v>21208</v>
      </c>
    </row>
    <row r="3474" spans="2:35" ht="409.5">
      <c r="B3474" s="1">
        <v>45516</v>
      </c>
      <c r="C3474" s="4">
        <v>45513.617361111108</v>
      </c>
      <c r="D3474" t="s">
        <v>9951</v>
      </c>
      <c r="E3474" t="s">
        <v>4260</v>
      </c>
      <c r="F3474" t="s">
        <v>148</v>
      </c>
      <c r="G3474" t="s">
        <v>2007</v>
      </c>
      <c r="H3474" t="s">
        <v>662</v>
      </c>
      <c r="I3474" t="s">
        <v>40</v>
      </c>
      <c r="J3474" t="s">
        <v>109</v>
      </c>
      <c r="K3474" t="s">
        <v>42</v>
      </c>
      <c r="L3474" t="s">
        <v>448</v>
      </c>
      <c r="N3474" t="s">
        <v>650</v>
      </c>
      <c r="O3474" t="s">
        <v>14456</v>
      </c>
      <c r="Q3474">
        <v>29071</v>
      </c>
      <c r="R3474" t="s">
        <v>95</v>
      </c>
      <c r="S3474" t="s">
        <v>13105</v>
      </c>
      <c r="T3474">
        <v>28</v>
      </c>
      <c r="U3474" s="2" t="s">
        <v>21209</v>
      </c>
      <c r="W3474" t="s">
        <v>6504</v>
      </c>
      <c r="X3474">
        <v>110001647</v>
      </c>
      <c r="Y3474" s="2" t="s">
        <v>21210</v>
      </c>
      <c r="Z3474" s="2" t="s">
        <v>21211</v>
      </c>
      <c r="AA3474" t="s">
        <v>122</v>
      </c>
      <c r="AB3474" s="2" t="s">
        <v>21212</v>
      </c>
      <c r="AC3474" t="s">
        <v>21213</v>
      </c>
      <c r="AG3474" t="s">
        <v>21214</v>
      </c>
      <c r="AH3474" t="s">
        <v>13112</v>
      </c>
      <c r="AI3474" t="s">
        <v>21215</v>
      </c>
    </row>
    <row r="3475" spans="2:35" ht="210">
      <c r="B3475" s="1">
        <v>45516</v>
      </c>
      <c r="C3475" s="4">
        <v>45513.443749999999</v>
      </c>
      <c r="D3475" t="s">
        <v>4259</v>
      </c>
      <c r="E3475" t="s">
        <v>4260</v>
      </c>
      <c r="F3475" t="s">
        <v>148</v>
      </c>
      <c r="G3475" t="s">
        <v>2007</v>
      </c>
      <c r="H3475" t="s">
        <v>39</v>
      </c>
      <c r="I3475" t="s">
        <v>40</v>
      </c>
      <c r="J3475" t="s">
        <v>109</v>
      </c>
      <c r="K3475" t="s">
        <v>42</v>
      </c>
      <c r="L3475" t="s">
        <v>448</v>
      </c>
      <c r="N3475" t="s">
        <v>650</v>
      </c>
      <c r="O3475" t="s">
        <v>21216</v>
      </c>
      <c r="Q3475">
        <v>29070</v>
      </c>
      <c r="R3475" t="s">
        <v>703</v>
      </c>
      <c r="S3475" t="s">
        <v>4261</v>
      </c>
      <c r="T3475">
        <v>30</v>
      </c>
      <c r="U3475" s="2" t="s">
        <v>21217</v>
      </c>
      <c r="W3475" t="s">
        <v>21218</v>
      </c>
      <c r="X3475">
        <v>812560</v>
      </c>
      <c r="Y3475" t="s">
        <v>485</v>
      </c>
      <c r="Z3475" s="2" t="s">
        <v>2011</v>
      </c>
      <c r="AA3475" s="2" t="s">
        <v>21219</v>
      </c>
      <c r="AB3475" t="s">
        <v>486</v>
      </c>
      <c r="AG3475" t="s">
        <v>21220</v>
      </c>
      <c r="AH3475" t="s">
        <v>21221</v>
      </c>
      <c r="AI3475" t="s">
        <v>21222</v>
      </c>
    </row>
    <row r="3476" spans="2:35" ht="240">
      <c r="B3476" s="1">
        <v>45516</v>
      </c>
      <c r="C3476" s="4">
        <v>45510.527083333334</v>
      </c>
      <c r="D3476" t="s">
        <v>146</v>
      </c>
      <c r="E3476" t="s">
        <v>4822</v>
      </c>
      <c r="F3476" t="s">
        <v>148</v>
      </c>
      <c r="G3476" t="s">
        <v>149</v>
      </c>
      <c r="H3476" t="s">
        <v>39</v>
      </c>
      <c r="I3476" t="s">
        <v>40</v>
      </c>
      <c r="J3476" t="s">
        <v>109</v>
      </c>
      <c r="K3476" t="s">
        <v>387</v>
      </c>
      <c r="L3476" t="s">
        <v>43</v>
      </c>
      <c r="N3476" t="s">
        <v>44</v>
      </c>
      <c r="Q3476">
        <v>29069</v>
      </c>
      <c r="R3476" t="s">
        <v>95</v>
      </c>
      <c r="S3476" t="s">
        <v>20736</v>
      </c>
      <c r="T3476">
        <v>24</v>
      </c>
      <c r="W3476" t="s">
        <v>390</v>
      </c>
      <c r="X3476" t="s">
        <v>391</v>
      </c>
      <c r="Y3476" t="s">
        <v>121</v>
      </c>
      <c r="Z3476" t="s">
        <v>122</v>
      </c>
      <c r="AA3476" s="2" t="s">
        <v>20737</v>
      </c>
      <c r="AB3476" t="s">
        <v>88</v>
      </c>
      <c r="AG3476" t="s">
        <v>21223</v>
      </c>
      <c r="AH3476" t="s">
        <v>20739</v>
      </c>
      <c r="AI3476" t="s">
        <v>21224</v>
      </c>
    </row>
    <row r="3477" spans="2:35" ht="255">
      <c r="B3477" s="1">
        <v>45516</v>
      </c>
      <c r="C3477" s="4">
        <v>45510.503472222219</v>
      </c>
      <c r="D3477" t="s">
        <v>146</v>
      </c>
      <c r="E3477" t="s">
        <v>4822</v>
      </c>
      <c r="F3477" t="s">
        <v>148</v>
      </c>
      <c r="G3477" t="s">
        <v>149</v>
      </c>
      <c r="H3477" t="s">
        <v>39</v>
      </c>
      <c r="I3477" t="s">
        <v>40</v>
      </c>
      <c r="J3477" t="s">
        <v>109</v>
      </c>
      <c r="K3477" t="s">
        <v>42</v>
      </c>
      <c r="L3477" t="s">
        <v>43</v>
      </c>
      <c r="N3477" t="s">
        <v>44</v>
      </c>
      <c r="O3477" t="s">
        <v>388</v>
      </c>
      <c r="Q3477">
        <v>29068</v>
      </c>
      <c r="R3477" t="s">
        <v>95</v>
      </c>
      <c r="S3477" t="s">
        <v>11968</v>
      </c>
      <c r="T3477">
        <v>22</v>
      </c>
      <c r="U3477" s="2" t="s">
        <v>20741</v>
      </c>
      <c r="W3477" t="s">
        <v>153</v>
      </c>
      <c r="X3477">
        <v>110003714</v>
      </c>
      <c r="Y3477" t="s">
        <v>121</v>
      </c>
      <c r="Z3477" t="s">
        <v>122</v>
      </c>
      <c r="AA3477" s="2" t="s">
        <v>9740</v>
      </c>
      <c r="AB3477" t="s">
        <v>548</v>
      </c>
      <c r="AG3477" t="s">
        <v>21225</v>
      </c>
      <c r="AH3477" t="s">
        <v>6444</v>
      </c>
      <c r="AI3477" t="s">
        <v>21226</v>
      </c>
    </row>
    <row r="3478" spans="2:35" ht="409.5">
      <c r="B3478" s="1">
        <v>45516</v>
      </c>
      <c r="C3478" s="4">
        <v>45506.667361111111</v>
      </c>
      <c r="D3478" t="s">
        <v>20744</v>
      </c>
      <c r="E3478" t="s">
        <v>4002</v>
      </c>
      <c r="F3478" t="s">
        <v>148</v>
      </c>
      <c r="G3478" t="s">
        <v>406</v>
      </c>
      <c r="H3478" t="s">
        <v>39</v>
      </c>
      <c r="I3478" t="s">
        <v>40</v>
      </c>
      <c r="J3478" s="2" t="s">
        <v>190</v>
      </c>
      <c r="K3478" t="s">
        <v>42</v>
      </c>
      <c r="L3478" t="s">
        <v>43</v>
      </c>
      <c r="N3478" t="s">
        <v>44</v>
      </c>
      <c r="O3478" t="s">
        <v>1091</v>
      </c>
      <c r="Q3478">
        <v>29067</v>
      </c>
      <c r="R3478" t="s">
        <v>95</v>
      </c>
      <c r="S3478" t="s">
        <v>5690</v>
      </c>
      <c r="T3478">
        <v>20</v>
      </c>
      <c r="U3478" s="2" t="s">
        <v>20745</v>
      </c>
      <c r="W3478" t="s">
        <v>153</v>
      </c>
      <c r="X3478">
        <v>120002383</v>
      </c>
      <c r="Y3478" t="s">
        <v>20746</v>
      </c>
      <c r="Z3478" t="s">
        <v>20747</v>
      </c>
      <c r="AA3478" s="2" t="s">
        <v>20748</v>
      </c>
      <c r="AB3478" t="s">
        <v>20749</v>
      </c>
      <c r="AG3478" t="s">
        <v>21227</v>
      </c>
      <c r="AH3478" t="s">
        <v>20228</v>
      </c>
      <c r="AI3478" t="s">
        <v>21228</v>
      </c>
    </row>
    <row r="3479" spans="2:35" ht="409.5">
      <c r="B3479" s="1">
        <v>45516</v>
      </c>
      <c r="C3479" s="4">
        <v>45506.655555555553</v>
      </c>
      <c r="D3479" t="s">
        <v>20744</v>
      </c>
      <c r="E3479" t="s">
        <v>6645</v>
      </c>
      <c r="F3479" t="s">
        <v>148</v>
      </c>
      <c r="G3479" t="s">
        <v>406</v>
      </c>
      <c r="H3479" t="s">
        <v>39</v>
      </c>
      <c r="I3479" t="s">
        <v>40</v>
      </c>
      <c r="J3479" t="s">
        <v>109</v>
      </c>
      <c r="K3479" t="s">
        <v>42</v>
      </c>
      <c r="L3479" t="s">
        <v>43</v>
      </c>
      <c r="N3479" t="s">
        <v>44</v>
      </c>
      <c r="O3479" t="s">
        <v>1091</v>
      </c>
      <c r="Q3479">
        <v>29066</v>
      </c>
      <c r="R3479" t="s">
        <v>95</v>
      </c>
      <c r="S3479" t="s">
        <v>5690</v>
      </c>
      <c r="T3479">
        <v>20</v>
      </c>
      <c r="U3479" s="2" t="s">
        <v>20752</v>
      </c>
      <c r="W3479" t="s">
        <v>48</v>
      </c>
      <c r="X3479">
        <v>839231</v>
      </c>
      <c r="Y3479" t="s">
        <v>121</v>
      </c>
      <c r="Z3479" t="s">
        <v>122</v>
      </c>
      <c r="AA3479" s="2" t="s">
        <v>123</v>
      </c>
      <c r="AB3479" t="s">
        <v>548</v>
      </c>
      <c r="AG3479" t="s">
        <v>21229</v>
      </c>
      <c r="AH3479" t="s">
        <v>20228</v>
      </c>
      <c r="AI3479" t="s">
        <v>21230</v>
      </c>
    </row>
    <row r="3480" spans="2:35" ht="315">
      <c r="B3480" s="1">
        <v>45516</v>
      </c>
      <c r="C3480" s="4">
        <v>45506.467361111114</v>
      </c>
      <c r="D3480" t="s">
        <v>20571</v>
      </c>
      <c r="E3480" t="s">
        <v>20757</v>
      </c>
      <c r="F3480" t="s">
        <v>148</v>
      </c>
      <c r="G3480" t="s">
        <v>785</v>
      </c>
      <c r="H3480" t="s">
        <v>39</v>
      </c>
      <c r="I3480" t="s">
        <v>40</v>
      </c>
      <c r="J3480" s="2" t="s">
        <v>190</v>
      </c>
      <c r="K3480" t="s">
        <v>42</v>
      </c>
      <c r="L3480" t="s">
        <v>43</v>
      </c>
      <c r="N3480" t="s">
        <v>44</v>
      </c>
      <c r="Q3480">
        <v>29065</v>
      </c>
      <c r="R3480" t="s">
        <v>322</v>
      </c>
      <c r="S3480" t="s">
        <v>4704</v>
      </c>
      <c r="T3480">
        <v>26</v>
      </c>
      <c r="U3480" s="2" t="s">
        <v>20758</v>
      </c>
      <c r="W3480" t="s">
        <v>153</v>
      </c>
      <c r="X3480">
        <v>110024245</v>
      </c>
      <c r="Y3480" t="s">
        <v>20759</v>
      </c>
      <c r="Z3480" t="s">
        <v>122</v>
      </c>
      <c r="AA3480" s="2" t="s">
        <v>20760</v>
      </c>
      <c r="AB3480" t="s">
        <v>20761</v>
      </c>
      <c r="AG3480" t="s">
        <v>21231</v>
      </c>
      <c r="AH3480" t="s">
        <v>6075</v>
      </c>
      <c r="AI3480" t="s">
        <v>21232</v>
      </c>
    </row>
    <row r="3481" spans="2:35" ht="195">
      <c r="B3481" s="1">
        <v>45516</v>
      </c>
      <c r="C3481" s="4">
        <v>45513.534722222219</v>
      </c>
      <c r="D3481" t="s">
        <v>2264</v>
      </c>
      <c r="E3481" t="s">
        <v>12072</v>
      </c>
      <c r="F3481" t="s">
        <v>148</v>
      </c>
      <c r="G3481" t="s">
        <v>2007</v>
      </c>
      <c r="H3481" t="s">
        <v>39</v>
      </c>
      <c r="I3481" t="s">
        <v>40</v>
      </c>
      <c r="J3481" t="s">
        <v>109</v>
      </c>
      <c r="K3481" t="s">
        <v>42</v>
      </c>
      <c r="L3481" t="s">
        <v>43</v>
      </c>
      <c r="N3481" t="s">
        <v>44</v>
      </c>
      <c r="O3481" t="s">
        <v>21233</v>
      </c>
      <c r="Q3481">
        <v>29064</v>
      </c>
      <c r="R3481" t="s">
        <v>322</v>
      </c>
      <c r="S3481" t="s">
        <v>21234</v>
      </c>
      <c r="T3481">
        <v>25</v>
      </c>
      <c r="U3481" s="2" t="s">
        <v>2367</v>
      </c>
      <c r="W3481" t="s">
        <v>21235</v>
      </c>
      <c r="X3481">
        <v>110023460</v>
      </c>
      <c r="Y3481" t="s">
        <v>21236</v>
      </c>
      <c r="Z3481" t="s">
        <v>10275</v>
      </c>
      <c r="AA3481" s="2" t="s">
        <v>21237</v>
      </c>
      <c r="AB3481" t="s">
        <v>70</v>
      </c>
      <c r="AC3481" t="s">
        <v>21238</v>
      </c>
      <c r="AG3481" t="s">
        <v>21239</v>
      </c>
      <c r="AH3481" t="s">
        <v>21240</v>
      </c>
      <c r="AI3481" t="s">
        <v>21241</v>
      </c>
    </row>
    <row r="3482" spans="2:35" ht="270">
      <c r="B3482" s="1">
        <v>45516</v>
      </c>
      <c r="C3482" s="4">
        <v>45512.662499999999</v>
      </c>
      <c r="D3482" t="s">
        <v>542</v>
      </c>
      <c r="E3482" t="s">
        <v>15941</v>
      </c>
      <c r="F3482" t="s">
        <v>148</v>
      </c>
      <c r="G3482" t="s">
        <v>544</v>
      </c>
      <c r="H3482" t="s">
        <v>39</v>
      </c>
      <c r="I3482" t="s">
        <v>40</v>
      </c>
      <c r="J3482" s="2" t="s">
        <v>62</v>
      </c>
      <c r="K3482" t="s">
        <v>42</v>
      </c>
      <c r="L3482" t="s">
        <v>43</v>
      </c>
      <c r="N3482" t="s">
        <v>44</v>
      </c>
      <c r="Q3482">
        <v>29063</v>
      </c>
      <c r="R3482" t="s">
        <v>322</v>
      </c>
      <c r="S3482" t="s">
        <v>545</v>
      </c>
      <c r="T3482">
        <v>22</v>
      </c>
      <c r="U3482" s="2" t="s">
        <v>21242</v>
      </c>
      <c r="V3482" s="1">
        <v>45496</v>
      </c>
      <c r="W3482" t="s">
        <v>153</v>
      </c>
      <c r="X3482">
        <v>120000613</v>
      </c>
      <c r="Y3482" t="s">
        <v>1111</v>
      </c>
      <c r="Z3482" t="s">
        <v>1519</v>
      </c>
      <c r="AA3482" s="2" t="s">
        <v>21243</v>
      </c>
      <c r="AB3482" t="s">
        <v>1521</v>
      </c>
      <c r="AD3482" t="s">
        <v>21244</v>
      </c>
      <c r="AE3482" t="s">
        <v>21245</v>
      </c>
      <c r="AG3482" t="s">
        <v>21246</v>
      </c>
      <c r="AH3482" t="s">
        <v>550</v>
      </c>
      <c r="AI3482" t="s">
        <v>21247</v>
      </c>
    </row>
    <row r="3483" spans="2:35" ht="225">
      <c r="B3483" s="1">
        <v>45516</v>
      </c>
      <c r="C3483" s="4">
        <v>45512.660416666666</v>
      </c>
      <c r="D3483" t="s">
        <v>542</v>
      </c>
      <c r="E3483" t="s">
        <v>15941</v>
      </c>
      <c r="F3483" t="s">
        <v>148</v>
      </c>
      <c r="G3483" t="s">
        <v>544</v>
      </c>
      <c r="H3483" t="s">
        <v>39</v>
      </c>
      <c r="I3483" t="s">
        <v>40</v>
      </c>
      <c r="J3483" t="s">
        <v>109</v>
      </c>
      <c r="K3483" t="s">
        <v>42</v>
      </c>
      <c r="L3483" t="s">
        <v>43</v>
      </c>
      <c r="N3483" t="s">
        <v>44</v>
      </c>
      <c r="Q3483">
        <v>29062</v>
      </c>
      <c r="R3483" t="s">
        <v>322</v>
      </c>
      <c r="S3483" t="s">
        <v>545</v>
      </c>
      <c r="T3483">
        <v>22</v>
      </c>
      <c r="U3483" s="2" t="s">
        <v>21248</v>
      </c>
      <c r="W3483" t="s">
        <v>153</v>
      </c>
      <c r="X3483">
        <v>110016107</v>
      </c>
      <c r="Y3483" t="s">
        <v>121</v>
      </c>
      <c r="Z3483" t="s">
        <v>122</v>
      </c>
      <c r="AA3483" s="2" t="s">
        <v>9744</v>
      </c>
      <c r="AB3483" t="s">
        <v>548</v>
      </c>
      <c r="AG3483" t="s">
        <v>21249</v>
      </c>
      <c r="AH3483" t="s">
        <v>550</v>
      </c>
      <c r="AI3483" t="s">
        <v>21250</v>
      </c>
    </row>
    <row r="3484" spans="2:35" ht="180">
      <c r="B3484" s="1">
        <v>45516</v>
      </c>
      <c r="C3484" s="4">
        <v>45513.454861111109</v>
      </c>
      <c r="D3484" t="s">
        <v>7939</v>
      </c>
      <c r="E3484" t="s">
        <v>21251</v>
      </c>
      <c r="F3484">
        <v>5</v>
      </c>
      <c r="G3484" t="s">
        <v>5795</v>
      </c>
      <c r="H3484" t="s">
        <v>39</v>
      </c>
      <c r="I3484" t="s">
        <v>94</v>
      </c>
      <c r="J3484" t="s">
        <v>109</v>
      </c>
      <c r="K3484" t="s">
        <v>42</v>
      </c>
      <c r="L3484" t="s">
        <v>761</v>
      </c>
      <c r="N3484" t="s">
        <v>762</v>
      </c>
      <c r="Q3484">
        <v>29061</v>
      </c>
      <c r="R3484" t="s">
        <v>119</v>
      </c>
      <c r="S3484" t="s">
        <v>21252</v>
      </c>
      <c r="T3484">
        <v>29</v>
      </c>
      <c r="U3484" s="2" t="s">
        <v>21253</v>
      </c>
      <c r="W3484" t="s">
        <v>765</v>
      </c>
      <c r="X3484">
        <v>838207</v>
      </c>
      <c r="Y3484" t="s">
        <v>14413</v>
      </c>
      <c r="Z3484" s="2" t="s">
        <v>21254</v>
      </c>
      <c r="AA3484" t="s">
        <v>820</v>
      </c>
      <c r="AB3484" t="s">
        <v>70</v>
      </c>
      <c r="AG3484" t="s">
        <v>21255</v>
      </c>
      <c r="AH3484" t="s">
        <v>21256</v>
      </c>
      <c r="AI3484" t="s">
        <v>21257</v>
      </c>
    </row>
    <row r="3485" spans="2:35" ht="409.5">
      <c r="B3485" s="1">
        <v>45516</v>
      </c>
      <c r="C3485" s="4">
        <v>45512.576388888891</v>
      </c>
      <c r="D3485" t="s">
        <v>8698</v>
      </c>
      <c r="E3485" t="s">
        <v>21258</v>
      </c>
      <c r="F3485">
        <v>5</v>
      </c>
      <c r="G3485" t="s">
        <v>839</v>
      </c>
      <c r="H3485" t="s">
        <v>39</v>
      </c>
      <c r="I3485" t="s">
        <v>94</v>
      </c>
      <c r="J3485" s="2" t="s">
        <v>62</v>
      </c>
      <c r="K3485" t="s">
        <v>42</v>
      </c>
      <c r="L3485" t="s">
        <v>761</v>
      </c>
      <c r="N3485" t="s">
        <v>762</v>
      </c>
      <c r="Q3485">
        <v>29060</v>
      </c>
      <c r="R3485" t="s">
        <v>45</v>
      </c>
      <c r="S3485" t="s">
        <v>8700</v>
      </c>
      <c r="T3485">
        <v>40</v>
      </c>
      <c r="U3485" s="2" t="s">
        <v>21259</v>
      </c>
      <c r="W3485" t="s">
        <v>765</v>
      </c>
      <c r="X3485">
        <v>838560</v>
      </c>
      <c r="Y3485" t="s">
        <v>5500</v>
      </c>
      <c r="Z3485" s="2" t="s">
        <v>21260</v>
      </c>
      <c r="AA3485" s="2" t="s">
        <v>4477</v>
      </c>
      <c r="AB3485" t="s">
        <v>181</v>
      </c>
      <c r="AG3485" t="s">
        <v>21261</v>
      </c>
      <c r="AH3485" t="s">
        <v>21262</v>
      </c>
      <c r="AI3485" t="s">
        <v>21263</v>
      </c>
    </row>
    <row r="3486" spans="2:35" ht="180">
      <c r="B3486" s="1">
        <v>45516</v>
      </c>
      <c r="C3486" s="4">
        <v>45512.441666666666</v>
      </c>
      <c r="D3486" t="s">
        <v>7155</v>
      </c>
      <c r="E3486" t="s">
        <v>21264</v>
      </c>
      <c r="F3486">
        <v>5</v>
      </c>
      <c r="G3486" t="s">
        <v>839</v>
      </c>
      <c r="H3486" t="s">
        <v>39</v>
      </c>
      <c r="I3486" t="s">
        <v>94</v>
      </c>
      <c r="J3486" t="s">
        <v>109</v>
      </c>
      <c r="K3486" t="s">
        <v>42</v>
      </c>
      <c r="L3486" t="s">
        <v>761</v>
      </c>
      <c r="N3486" t="s">
        <v>762</v>
      </c>
      <c r="Q3486">
        <v>29059</v>
      </c>
      <c r="R3486" t="s">
        <v>119</v>
      </c>
      <c r="S3486" t="s">
        <v>7158</v>
      </c>
      <c r="T3486">
        <v>26</v>
      </c>
      <c r="U3486" s="2" t="s">
        <v>15382</v>
      </c>
      <c r="W3486" t="s">
        <v>765</v>
      </c>
      <c r="X3486">
        <v>838496</v>
      </c>
      <c r="Y3486" t="s">
        <v>818</v>
      </c>
      <c r="Z3486" s="2" t="s">
        <v>21265</v>
      </c>
      <c r="AA3486" t="s">
        <v>820</v>
      </c>
      <c r="AB3486" t="s">
        <v>70</v>
      </c>
      <c r="AG3486" t="s">
        <v>21266</v>
      </c>
      <c r="AH3486" t="s">
        <v>21267</v>
      </c>
      <c r="AI3486" t="s">
        <v>21268</v>
      </c>
    </row>
    <row r="3487" spans="2:35" ht="180">
      <c r="B3487" s="1">
        <v>45516</v>
      </c>
      <c r="C3487" s="4">
        <v>45511.666666666664</v>
      </c>
      <c r="D3487" t="s">
        <v>6555</v>
      </c>
      <c r="E3487" t="s">
        <v>10763</v>
      </c>
      <c r="F3487">
        <v>5</v>
      </c>
      <c r="G3487" t="s">
        <v>839</v>
      </c>
      <c r="H3487" t="s">
        <v>39</v>
      </c>
      <c r="I3487" t="s">
        <v>94</v>
      </c>
      <c r="J3487" t="s">
        <v>109</v>
      </c>
      <c r="K3487" t="s">
        <v>42</v>
      </c>
      <c r="L3487" t="s">
        <v>761</v>
      </c>
      <c r="N3487" t="s">
        <v>762</v>
      </c>
      <c r="Q3487">
        <v>29058</v>
      </c>
      <c r="R3487" t="s">
        <v>119</v>
      </c>
      <c r="S3487" t="s">
        <v>21269</v>
      </c>
      <c r="T3487">
        <v>22</v>
      </c>
      <c r="U3487" s="2" t="s">
        <v>21270</v>
      </c>
      <c r="W3487" t="s">
        <v>765</v>
      </c>
      <c r="X3487">
        <v>838398</v>
      </c>
      <c r="Y3487" t="s">
        <v>14413</v>
      </c>
      <c r="Z3487" s="2" t="s">
        <v>21271</v>
      </c>
      <c r="AA3487" t="s">
        <v>820</v>
      </c>
      <c r="AB3487" t="s">
        <v>70</v>
      </c>
      <c r="AG3487" t="s">
        <v>21272</v>
      </c>
      <c r="AH3487" t="s">
        <v>21273</v>
      </c>
      <c r="AI3487" t="s">
        <v>21274</v>
      </c>
    </row>
    <row r="3488" spans="2:35" ht="409.5">
      <c r="B3488" s="1">
        <v>45516</v>
      </c>
      <c r="C3488" s="4">
        <v>45511.530555555553</v>
      </c>
      <c r="D3488" t="s">
        <v>8914</v>
      </c>
      <c r="E3488" t="s">
        <v>8915</v>
      </c>
      <c r="F3488">
        <v>5</v>
      </c>
      <c r="G3488" t="s">
        <v>839</v>
      </c>
      <c r="H3488" t="s">
        <v>39</v>
      </c>
      <c r="I3488" t="s">
        <v>94</v>
      </c>
      <c r="J3488" s="2" t="s">
        <v>62</v>
      </c>
      <c r="K3488" t="s">
        <v>42</v>
      </c>
      <c r="L3488" t="s">
        <v>761</v>
      </c>
      <c r="N3488" t="s">
        <v>762</v>
      </c>
      <c r="Q3488">
        <v>29057</v>
      </c>
      <c r="R3488" t="s">
        <v>119</v>
      </c>
      <c r="S3488" t="s">
        <v>21275</v>
      </c>
      <c r="T3488">
        <v>30</v>
      </c>
      <c r="U3488" s="2" t="s">
        <v>21276</v>
      </c>
      <c r="W3488" t="s">
        <v>765</v>
      </c>
      <c r="X3488">
        <v>838558</v>
      </c>
      <c r="Y3488" t="s">
        <v>21277</v>
      </c>
      <c r="Z3488" s="2" t="s">
        <v>21278</v>
      </c>
      <c r="AA3488" s="2" t="s">
        <v>4477</v>
      </c>
      <c r="AB3488" t="s">
        <v>70</v>
      </c>
      <c r="AG3488" t="s">
        <v>21279</v>
      </c>
      <c r="AH3488" t="s">
        <v>21280</v>
      </c>
      <c r="AI3488" t="s">
        <v>21281</v>
      </c>
    </row>
    <row r="3489" spans="2:35" ht="180">
      <c r="B3489" s="1">
        <v>45516</v>
      </c>
      <c r="C3489" s="4">
        <v>45510.693055555559</v>
      </c>
      <c r="D3489" t="s">
        <v>7529</v>
      </c>
      <c r="E3489" t="s">
        <v>21282</v>
      </c>
      <c r="F3489">
        <v>5</v>
      </c>
      <c r="G3489" t="s">
        <v>759</v>
      </c>
      <c r="H3489" t="s">
        <v>39</v>
      </c>
      <c r="I3489" t="s">
        <v>94</v>
      </c>
      <c r="J3489" t="s">
        <v>109</v>
      </c>
      <c r="K3489" t="s">
        <v>42</v>
      </c>
      <c r="L3489" t="s">
        <v>761</v>
      </c>
      <c r="N3489" t="s">
        <v>762</v>
      </c>
      <c r="Q3489">
        <v>29056</v>
      </c>
      <c r="R3489" t="s">
        <v>119</v>
      </c>
      <c r="S3489" t="s">
        <v>9597</v>
      </c>
      <c r="T3489">
        <v>28</v>
      </c>
      <c r="U3489" s="2" t="s">
        <v>21283</v>
      </c>
      <c r="W3489" t="s">
        <v>765</v>
      </c>
      <c r="X3489">
        <v>838397</v>
      </c>
      <c r="Y3489" t="s">
        <v>14413</v>
      </c>
      <c r="Z3489" s="2" t="s">
        <v>21284</v>
      </c>
      <c r="AA3489" t="s">
        <v>820</v>
      </c>
      <c r="AB3489" t="s">
        <v>70</v>
      </c>
      <c r="AG3489" t="s">
        <v>21285</v>
      </c>
      <c r="AH3489" t="s">
        <v>15870</v>
      </c>
      <c r="AI3489" t="s">
        <v>21286</v>
      </c>
    </row>
    <row r="3490" spans="2:35" ht="120">
      <c r="B3490" s="1">
        <v>45516</v>
      </c>
      <c r="C3490" s="4">
        <v>45510.597222222219</v>
      </c>
      <c r="D3490" t="s">
        <v>5496</v>
      </c>
      <c r="E3490" t="s">
        <v>21287</v>
      </c>
      <c r="F3490">
        <v>5</v>
      </c>
      <c r="G3490" t="s">
        <v>839</v>
      </c>
      <c r="H3490" t="s">
        <v>39</v>
      </c>
      <c r="I3490" t="s">
        <v>94</v>
      </c>
      <c r="J3490" t="s">
        <v>109</v>
      </c>
      <c r="K3490" t="s">
        <v>42</v>
      </c>
      <c r="L3490" t="s">
        <v>761</v>
      </c>
      <c r="N3490" t="s">
        <v>762</v>
      </c>
      <c r="Q3490">
        <v>29055</v>
      </c>
      <c r="R3490" t="s">
        <v>967</v>
      </c>
      <c r="S3490" t="s">
        <v>5498</v>
      </c>
      <c r="T3490">
        <v>29</v>
      </c>
      <c r="U3490" s="2" t="s">
        <v>21288</v>
      </c>
      <c r="W3490" t="s">
        <v>765</v>
      </c>
      <c r="X3490">
        <v>110023511</v>
      </c>
      <c r="Y3490" t="s">
        <v>818</v>
      </c>
      <c r="Z3490" s="2" t="s">
        <v>21289</v>
      </c>
      <c r="AA3490" t="s">
        <v>820</v>
      </c>
      <c r="AB3490" t="s">
        <v>70</v>
      </c>
      <c r="AG3490" t="s">
        <v>21290</v>
      </c>
      <c r="AH3490" t="s">
        <v>5503</v>
      </c>
      <c r="AI3490" t="s">
        <v>21291</v>
      </c>
    </row>
    <row r="3491" spans="2:35" ht="180">
      <c r="B3491" s="1">
        <v>45516</v>
      </c>
      <c r="C3491" s="4">
        <v>45510.586805555555</v>
      </c>
      <c r="D3491" t="s">
        <v>5496</v>
      </c>
      <c r="E3491" t="s">
        <v>21287</v>
      </c>
      <c r="F3491">
        <v>5</v>
      </c>
      <c r="G3491" t="s">
        <v>839</v>
      </c>
      <c r="H3491" t="s">
        <v>39</v>
      </c>
      <c r="I3491" t="s">
        <v>94</v>
      </c>
      <c r="J3491" t="s">
        <v>109</v>
      </c>
      <c r="K3491" t="s">
        <v>42</v>
      </c>
      <c r="L3491" t="s">
        <v>761</v>
      </c>
      <c r="N3491" t="s">
        <v>762</v>
      </c>
      <c r="Q3491">
        <v>29054</v>
      </c>
      <c r="R3491" t="s">
        <v>119</v>
      </c>
      <c r="S3491" t="s">
        <v>5498</v>
      </c>
      <c r="T3491">
        <v>29</v>
      </c>
      <c r="U3491" s="2" t="s">
        <v>21292</v>
      </c>
      <c r="W3491" t="s">
        <v>765</v>
      </c>
      <c r="X3491">
        <v>838391</v>
      </c>
      <c r="Y3491" t="s">
        <v>818</v>
      </c>
      <c r="Z3491" s="2" t="s">
        <v>21293</v>
      </c>
      <c r="AA3491" t="s">
        <v>820</v>
      </c>
      <c r="AB3491" t="s">
        <v>70</v>
      </c>
      <c r="AG3491" t="s">
        <v>21294</v>
      </c>
      <c r="AH3491" t="s">
        <v>5503</v>
      </c>
      <c r="AI3491" t="s">
        <v>21295</v>
      </c>
    </row>
    <row r="3492" spans="2:35" ht="210">
      <c r="B3492" s="1">
        <v>45516</v>
      </c>
      <c r="C3492" s="4">
        <v>45513.552777777775</v>
      </c>
      <c r="D3492" t="s">
        <v>6943</v>
      </c>
      <c r="E3492" t="s">
        <v>21296</v>
      </c>
      <c r="F3492">
        <v>5</v>
      </c>
      <c r="G3492" t="s">
        <v>5795</v>
      </c>
      <c r="H3492" t="s">
        <v>39</v>
      </c>
      <c r="I3492" t="s">
        <v>94</v>
      </c>
      <c r="J3492" t="s">
        <v>109</v>
      </c>
      <c r="K3492" t="s">
        <v>42</v>
      </c>
      <c r="L3492" t="s">
        <v>761</v>
      </c>
      <c r="N3492" t="s">
        <v>762</v>
      </c>
      <c r="Q3492">
        <v>29053</v>
      </c>
      <c r="R3492" t="s">
        <v>119</v>
      </c>
      <c r="S3492" t="s">
        <v>6945</v>
      </c>
      <c r="T3492">
        <v>28</v>
      </c>
      <c r="U3492" s="2" t="s">
        <v>21297</v>
      </c>
      <c r="W3492" t="s">
        <v>765</v>
      </c>
      <c r="X3492">
        <v>838576</v>
      </c>
      <c r="Y3492" t="s">
        <v>818</v>
      </c>
      <c r="Z3492" s="2" t="s">
        <v>21298</v>
      </c>
      <c r="AA3492" t="s">
        <v>820</v>
      </c>
      <c r="AB3492" t="s">
        <v>181</v>
      </c>
      <c r="AG3492" t="s">
        <v>21299</v>
      </c>
      <c r="AH3492" t="s">
        <v>6951</v>
      </c>
      <c r="AI3492" t="s">
        <v>21300</v>
      </c>
    </row>
    <row r="3493" spans="2:35" ht="375">
      <c r="B3493" s="1">
        <v>45516</v>
      </c>
      <c r="C3493" s="4">
        <v>45513.706944444442</v>
      </c>
      <c r="D3493" t="s">
        <v>837</v>
      </c>
      <c r="E3493" t="s">
        <v>10558</v>
      </c>
      <c r="F3493">
        <v>5</v>
      </c>
      <c r="G3493" t="s">
        <v>839</v>
      </c>
      <c r="H3493" t="s">
        <v>39</v>
      </c>
      <c r="I3493" t="s">
        <v>94</v>
      </c>
      <c r="J3493" t="s">
        <v>21301</v>
      </c>
      <c r="K3493" t="s">
        <v>42</v>
      </c>
      <c r="L3493" t="s">
        <v>761</v>
      </c>
      <c r="N3493" t="s">
        <v>762</v>
      </c>
      <c r="Q3493">
        <v>29052</v>
      </c>
      <c r="R3493" t="s">
        <v>322</v>
      </c>
      <c r="S3493" t="s">
        <v>21302</v>
      </c>
      <c r="T3493">
        <v>27</v>
      </c>
      <c r="U3493" s="2" t="s">
        <v>21303</v>
      </c>
      <c r="W3493" t="s">
        <v>765</v>
      </c>
      <c r="X3493">
        <v>110008458</v>
      </c>
      <c r="Y3493" t="s">
        <v>21304</v>
      </c>
      <c r="Z3493" s="2" t="s">
        <v>21305</v>
      </c>
      <c r="AA3493" t="s">
        <v>21304</v>
      </c>
      <c r="AB3493" t="s">
        <v>70</v>
      </c>
      <c r="AG3493" t="s">
        <v>21306</v>
      </c>
      <c r="AH3493" t="s">
        <v>21307</v>
      </c>
      <c r="AI3493" t="s">
        <v>21308</v>
      </c>
    </row>
    <row r="3494" spans="2:35" ht="210">
      <c r="B3494" s="1">
        <v>45513</v>
      </c>
      <c r="C3494" s="4">
        <v>45513.75277777778</v>
      </c>
      <c r="D3494" t="s">
        <v>1203</v>
      </c>
      <c r="E3494" t="s">
        <v>12890</v>
      </c>
      <c r="F3494">
        <v>11</v>
      </c>
      <c r="G3494" t="s">
        <v>1205</v>
      </c>
      <c r="H3494" t="s">
        <v>6865</v>
      </c>
      <c r="I3494" t="s">
        <v>40</v>
      </c>
      <c r="J3494" s="2" t="s">
        <v>355</v>
      </c>
      <c r="K3494" t="s">
        <v>387</v>
      </c>
      <c r="L3494" t="s">
        <v>204</v>
      </c>
      <c r="N3494" t="s">
        <v>205</v>
      </c>
      <c r="O3494" t="s">
        <v>2867</v>
      </c>
      <c r="Q3494">
        <v>29051</v>
      </c>
      <c r="R3494" t="s">
        <v>95</v>
      </c>
      <c r="S3494" t="s">
        <v>21309</v>
      </c>
      <c r="T3494">
        <v>25.6</v>
      </c>
      <c r="W3494" t="s">
        <v>390</v>
      </c>
      <c r="X3494" t="s">
        <v>6316</v>
      </c>
      <c r="Y3494" t="s">
        <v>21310</v>
      </c>
      <c r="Z3494" s="2" t="s">
        <v>21311</v>
      </c>
      <c r="AA3494" t="s">
        <v>21312</v>
      </c>
      <c r="AB3494" s="2" t="s">
        <v>21313</v>
      </c>
      <c r="AG3494" t="s">
        <v>21314</v>
      </c>
      <c r="AH3494" t="s">
        <v>21315</v>
      </c>
      <c r="AI3494" t="s">
        <v>21316</v>
      </c>
    </row>
    <row r="3495" spans="2:35" ht="409.5">
      <c r="B3495" s="1">
        <v>45513</v>
      </c>
      <c r="C3495" s="4">
        <v>45513.679166666669</v>
      </c>
      <c r="D3495" t="s">
        <v>855</v>
      </c>
      <c r="E3495" t="s">
        <v>12037</v>
      </c>
      <c r="F3495" t="s">
        <v>148</v>
      </c>
      <c r="G3495" t="s">
        <v>310</v>
      </c>
      <c r="H3495" t="s">
        <v>39</v>
      </c>
      <c r="I3495" t="s">
        <v>40</v>
      </c>
      <c r="J3495" s="2" t="s">
        <v>41</v>
      </c>
      <c r="K3495" t="s">
        <v>42</v>
      </c>
      <c r="L3495" t="s">
        <v>857</v>
      </c>
      <c r="N3495" t="s">
        <v>858</v>
      </c>
      <c r="Q3495">
        <v>29050</v>
      </c>
      <c r="R3495" t="s">
        <v>322</v>
      </c>
      <c r="S3495" t="s">
        <v>859</v>
      </c>
      <c r="T3495">
        <v>22</v>
      </c>
      <c r="U3495" s="2" t="s">
        <v>21317</v>
      </c>
      <c r="V3495" s="1">
        <v>45511</v>
      </c>
      <c r="W3495" t="s">
        <v>860</v>
      </c>
      <c r="X3495">
        <v>809643</v>
      </c>
      <c r="Y3495" t="s">
        <v>21318</v>
      </c>
      <c r="Z3495" t="s">
        <v>7399</v>
      </c>
      <c r="AA3495" s="2" t="s">
        <v>21319</v>
      </c>
      <c r="AB3495" t="s">
        <v>181</v>
      </c>
      <c r="AC3495" t="s">
        <v>21320</v>
      </c>
      <c r="AD3495" s="2" t="s">
        <v>21321</v>
      </c>
      <c r="AE3495" t="s">
        <v>21322</v>
      </c>
      <c r="AG3495" t="s">
        <v>21323</v>
      </c>
      <c r="AH3495" t="s">
        <v>6908</v>
      </c>
      <c r="AI3495" t="s">
        <v>21324</v>
      </c>
    </row>
    <row r="3496" spans="2:35" ht="90">
      <c r="B3496" s="1">
        <v>45513</v>
      </c>
      <c r="C3496" s="4">
        <v>45513.627083333333</v>
      </c>
      <c r="D3496" t="s">
        <v>6044</v>
      </c>
      <c r="E3496" t="s">
        <v>1555</v>
      </c>
      <c r="F3496">
        <v>7</v>
      </c>
      <c r="G3496" t="s">
        <v>432</v>
      </c>
      <c r="H3496" t="s">
        <v>39</v>
      </c>
      <c r="I3496" t="s">
        <v>40</v>
      </c>
      <c r="J3496" s="2" t="s">
        <v>355</v>
      </c>
      <c r="K3496" t="s">
        <v>387</v>
      </c>
      <c r="L3496" t="s">
        <v>610</v>
      </c>
      <c r="N3496" t="s">
        <v>611</v>
      </c>
      <c r="Q3496">
        <v>29049</v>
      </c>
      <c r="R3496" t="s">
        <v>95</v>
      </c>
      <c r="S3496" t="s">
        <v>21325</v>
      </c>
      <c r="T3496">
        <v>28</v>
      </c>
      <c r="W3496" t="s">
        <v>476</v>
      </c>
      <c r="X3496" t="s">
        <v>11975</v>
      </c>
      <c r="Y3496" t="s">
        <v>21326</v>
      </c>
      <c r="Z3496" t="s">
        <v>21327</v>
      </c>
      <c r="AA3496" t="s">
        <v>21328</v>
      </c>
      <c r="AB3496" t="s">
        <v>21329</v>
      </c>
      <c r="AG3496" t="s">
        <v>21330</v>
      </c>
      <c r="AH3496" t="s">
        <v>21331</v>
      </c>
      <c r="AI3496" t="s">
        <v>21332</v>
      </c>
    </row>
    <row r="3497" spans="2:35" ht="409.5">
      <c r="B3497" s="1">
        <v>45513</v>
      </c>
      <c r="C3497" s="4">
        <v>45513.59652777778</v>
      </c>
      <c r="D3497" t="s">
        <v>3423</v>
      </c>
      <c r="E3497" t="s">
        <v>12017</v>
      </c>
      <c r="F3497">
        <v>7</v>
      </c>
      <c r="G3497" t="s">
        <v>432</v>
      </c>
      <c r="H3497" t="s">
        <v>10969</v>
      </c>
      <c r="I3497" t="s">
        <v>40</v>
      </c>
      <c r="J3497" t="s">
        <v>109</v>
      </c>
      <c r="K3497" t="s">
        <v>42</v>
      </c>
      <c r="L3497" t="s">
        <v>1288</v>
      </c>
      <c r="N3497" t="s">
        <v>1289</v>
      </c>
      <c r="Q3497">
        <v>29048</v>
      </c>
      <c r="R3497" t="s">
        <v>95</v>
      </c>
      <c r="S3497" t="s">
        <v>9919</v>
      </c>
      <c r="T3497">
        <v>22</v>
      </c>
      <c r="U3497" s="2" t="s">
        <v>21333</v>
      </c>
      <c r="W3497" t="s">
        <v>1292</v>
      </c>
      <c r="X3497">
        <v>110008524</v>
      </c>
      <c r="Y3497" t="s">
        <v>21334</v>
      </c>
      <c r="Z3497" t="e">
        <f ca="1">-COLLECT IQR, system _xludf.Log, _xludf.and ARCHIVE</f>
        <v>#NAME?</v>
      </c>
      <c r="AA3497" t="e">
        <f ca="1">-PERFORM Preventive Maintenance PROCEDURE
-_xludf.Clean FAN _xludf.filter, plunger rod, _xludf.and PROBES</f>
        <v>#NAME?</v>
      </c>
      <c r="AB3497" t="s">
        <v>1293</v>
      </c>
      <c r="AG3497" t="s">
        <v>21335</v>
      </c>
      <c r="AH3497" t="s">
        <v>21336</v>
      </c>
      <c r="AI3497" t="s">
        <v>21337</v>
      </c>
    </row>
    <row r="3498" spans="2:35" ht="150">
      <c r="B3498" s="1">
        <v>45513</v>
      </c>
      <c r="C3498" s="4">
        <v>45513.609027777777</v>
      </c>
      <c r="D3498" t="s">
        <v>7050</v>
      </c>
      <c r="E3498" t="s">
        <v>21338</v>
      </c>
      <c r="F3498">
        <v>9</v>
      </c>
      <c r="G3498" t="s">
        <v>2197</v>
      </c>
      <c r="H3498" t="s">
        <v>39</v>
      </c>
      <c r="I3498" t="s">
        <v>40</v>
      </c>
      <c r="J3498" s="2" t="s">
        <v>21339</v>
      </c>
      <c r="K3498" t="s">
        <v>387</v>
      </c>
      <c r="L3498" t="s">
        <v>1257</v>
      </c>
      <c r="N3498" t="s">
        <v>1258</v>
      </c>
      <c r="O3498" t="s">
        <v>2199</v>
      </c>
      <c r="Q3498">
        <v>29047</v>
      </c>
      <c r="R3498" t="s">
        <v>95</v>
      </c>
      <c r="S3498" t="s">
        <v>7052</v>
      </c>
      <c r="T3498">
        <v>21</v>
      </c>
      <c r="V3498" s="1">
        <v>45513</v>
      </c>
      <c r="W3498" t="s">
        <v>476</v>
      </c>
      <c r="X3498" t="s">
        <v>7053</v>
      </c>
      <c r="Y3498" t="s">
        <v>301</v>
      </c>
      <c r="Z3498" t="s">
        <v>21340</v>
      </c>
      <c r="AA3498" t="s">
        <v>21340</v>
      </c>
      <c r="AB3498" t="s">
        <v>21341</v>
      </c>
      <c r="AC3498" t="s">
        <v>301</v>
      </c>
      <c r="AD3498" t="s">
        <v>54</v>
      </c>
      <c r="AE3498" t="s">
        <v>54</v>
      </c>
      <c r="AG3498" t="s">
        <v>21342</v>
      </c>
      <c r="AH3498" t="s">
        <v>21343</v>
      </c>
      <c r="AI3498" t="s">
        <v>21344</v>
      </c>
    </row>
    <row r="3499" spans="2:35" ht="330">
      <c r="B3499" s="1">
        <v>45513</v>
      </c>
      <c r="C3499" s="4">
        <v>45513.590277777781</v>
      </c>
      <c r="D3499" t="s">
        <v>11484</v>
      </c>
      <c r="E3499" t="s">
        <v>11485</v>
      </c>
      <c r="F3499">
        <v>9</v>
      </c>
      <c r="G3499" t="s">
        <v>2197</v>
      </c>
      <c r="H3499" t="s">
        <v>39</v>
      </c>
      <c r="I3499" t="s">
        <v>40</v>
      </c>
      <c r="J3499" s="2" t="s">
        <v>21345</v>
      </c>
      <c r="K3499" t="s">
        <v>42</v>
      </c>
      <c r="L3499" t="s">
        <v>1257</v>
      </c>
      <c r="N3499" t="s">
        <v>2199</v>
      </c>
      <c r="O3499" t="s">
        <v>1258</v>
      </c>
      <c r="Q3499">
        <v>29046</v>
      </c>
      <c r="R3499" t="s">
        <v>95</v>
      </c>
      <c r="S3499" t="s">
        <v>4902</v>
      </c>
      <c r="T3499">
        <v>27</v>
      </c>
      <c r="U3499" s="2" t="s">
        <v>21346</v>
      </c>
      <c r="V3499" s="1">
        <v>45513</v>
      </c>
      <c r="W3499" t="s">
        <v>17323</v>
      </c>
      <c r="X3499">
        <v>834128</v>
      </c>
      <c r="Y3499" t="s">
        <v>21347</v>
      </c>
      <c r="Z3499" t="s">
        <v>21348</v>
      </c>
      <c r="AA3499" t="s">
        <v>21349</v>
      </c>
      <c r="AB3499" t="s">
        <v>21350</v>
      </c>
      <c r="AC3499" t="s">
        <v>301</v>
      </c>
      <c r="AD3499" t="s">
        <v>54</v>
      </c>
      <c r="AE3499" t="s">
        <v>54</v>
      </c>
      <c r="AG3499" t="s">
        <v>21351</v>
      </c>
      <c r="AH3499" t="s">
        <v>21352</v>
      </c>
      <c r="AI3499" t="s">
        <v>21353</v>
      </c>
    </row>
    <row r="3500" spans="2:35" ht="105">
      <c r="B3500" s="1">
        <v>45513</v>
      </c>
      <c r="C3500" s="4">
        <v>45513.538194444445</v>
      </c>
      <c r="D3500" t="s">
        <v>7465</v>
      </c>
      <c r="E3500" t="s">
        <v>7466</v>
      </c>
      <c r="F3500">
        <v>8</v>
      </c>
      <c r="G3500" t="s">
        <v>342</v>
      </c>
      <c r="H3500" t="s">
        <v>202</v>
      </c>
      <c r="I3500" t="s">
        <v>40</v>
      </c>
      <c r="J3500" s="2" t="s">
        <v>62</v>
      </c>
      <c r="K3500" t="s">
        <v>42</v>
      </c>
      <c r="L3500" t="s">
        <v>259</v>
      </c>
      <c r="N3500" t="s">
        <v>260</v>
      </c>
      <c r="Q3500">
        <v>29045</v>
      </c>
      <c r="R3500" t="s">
        <v>119</v>
      </c>
      <c r="S3500" t="s">
        <v>16053</v>
      </c>
      <c r="T3500">
        <v>29</v>
      </c>
      <c r="U3500" s="2" t="s">
        <v>18336</v>
      </c>
      <c r="V3500" s="1">
        <v>45513</v>
      </c>
      <c r="W3500" t="s">
        <v>84</v>
      </c>
      <c r="X3500">
        <v>838551</v>
      </c>
      <c r="Y3500" t="s">
        <v>67</v>
      </c>
      <c r="Z3500" t="e">
        <f ca="1">- PM, XPC</f>
        <v>#NAME?</v>
      </c>
      <c r="AA3500" t="e">
        <f ca="1">- performed Preventive Maintenance
- XpertCheck CALIBRATION
- functionality test
- Generate IQR _xludf.and system _xludf.Log
- GX ID STICKER Installation</f>
        <v>#NAME?</v>
      </c>
      <c r="AB3500" t="s">
        <v>21354</v>
      </c>
      <c r="AD3500" t="s">
        <v>948</v>
      </c>
      <c r="AE3500" t="s">
        <v>119</v>
      </c>
      <c r="AG3500" t="s">
        <v>21355</v>
      </c>
      <c r="AH3500" t="s">
        <v>21356</v>
      </c>
      <c r="AI3500" t="s">
        <v>21357</v>
      </c>
    </row>
    <row r="3501" spans="2:35" ht="409.5">
      <c r="B3501" s="1">
        <v>45513</v>
      </c>
      <c r="C3501" s="4">
        <v>45512.676388888889</v>
      </c>
      <c r="D3501" t="s">
        <v>5602</v>
      </c>
      <c r="E3501" t="s">
        <v>2580</v>
      </c>
      <c r="F3501" t="s">
        <v>148</v>
      </c>
      <c r="G3501" t="s">
        <v>447</v>
      </c>
      <c r="H3501" t="s">
        <v>662</v>
      </c>
      <c r="I3501" t="s">
        <v>40</v>
      </c>
      <c r="J3501" t="s">
        <v>109</v>
      </c>
      <c r="K3501" t="s">
        <v>42</v>
      </c>
      <c r="L3501" t="s">
        <v>448</v>
      </c>
      <c r="N3501" t="s">
        <v>650</v>
      </c>
      <c r="Q3501">
        <v>29044</v>
      </c>
      <c r="R3501" t="s">
        <v>322</v>
      </c>
      <c r="S3501" t="s">
        <v>5604</v>
      </c>
      <c r="T3501">
        <v>26</v>
      </c>
      <c r="U3501" s="2" t="s">
        <v>21358</v>
      </c>
      <c r="W3501" t="s">
        <v>6785</v>
      </c>
      <c r="X3501">
        <v>110005587</v>
      </c>
      <c r="Y3501" t="s">
        <v>21359</v>
      </c>
      <c r="Z3501" s="2" t="s">
        <v>2011</v>
      </c>
      <c r="AA3501" t="s">
        <v>21360</v>
      </c>
      <c r="AB3501" t="s">
        <v>21361</v>
      </c>
      <c r="AG3501" t="s">
        <v>21362</v>
      </c>
      <c r="AH3501" t="s">
        <v>5609</v>
      </c>
      <c r="AI3501" t="s">
        <v>21363</v>
      </c>
    </row>
    <row r="3502" spans="2:35" ht="330">
      <c r="B3502" s="1">
        <v>45513</v>
      </c>
      <c r="C3502" s="4">
        <v>45512.650694444441</v>
      </c>
      <c r="D3502" t="s">
        <v>5602</v>
      </c>
      <c r="E3502" t="s">
        <v>2580</v>
      </c>
      <c r="F3502" t="s">
        <v>148</v>
      </c>
      <c r="G3502" t="s">
        <v>447</v>
      </c>
      <c r="H3502" t="s">
        <v>662</v>
      </c>
      <c r="I3502" t="s">
        <v>40</v>
      </c>
      <c r="J3502" t="s">
        <v>109</v>
      </c>
      <c r="K3502" t="s">
        <v>42</v>
      </c>
      <c r="L3502" t="s">
        <v>448</v>
      </c>
      <c r="N3502" t="s">
        <v>650</v>
      </c>
      <c r="Q3502">
        <v>29043</v>
      </c>
      <c r="R3502" t="s">
        <v>95</v>
      </c>
      <c r="S3502" t="s">
        <v>5604</v>
      </c>
      <c r="T3502">
        <v>29</v>
      </c>
      <c r="U3502" s="2" t="s">
        <v>21364</v>
      </c>
      <c r="W3502" t="s">
        <v>6785</v>
      </c>
      <c r="X3502">
        <v>804476</v>
      </c>
      <c r="Y3502" s="2" t="s">
        <v>21365</v>
      </c>
      <c r="Z3502" s="2" t="s">
        <v>2011</v>
      </c>
      <c r="AA3502" t="s">
        <v>21360</v>
      </c>
      <c r="AB3502" s="2" t="s">
        <v>21366</v>
      </c>
      <c r="AG3502" t="s">
        <v>21367</v>
      </c>
      <c r="AH3502" t="s">
        <v>7424</v>
      </c>
      <c r="AI3502" t="s">
        <v>21368</v>
      </c>
    </row>
    <row r="3503" spans="2:35" ht="409.5">
      <c r="B3503" s="1">
        <v>45513</v>
      </c>
      <c r="C3503" s="4">
        <v>45512.629166666666</v>
      </c>
      <c r="D3503" t="s">
        <v>5602</v>
      </c>
      <c r="E3503" t="s">
        <v>2580</v>
      </c>
      <c r="F3503" t="s">
        <v>148</v>
      </c>
      <c r="G3503" t="s">
        <v>447</v>
      </c>
      <c r="H3503" t="s">
        <v>662</v>
      </c>
      <c r="I3503" t="s">
        <v>40</v>
      </c>
      <c r="J3503" t="s">
        <v>109</v>
      </c>
      <c r="K3503" t="s">
        <v>42</v>
      </c>
      <c r="L3503" t="s">
        <v>448</v>
      </c>
      <c r="N3503" t="s">
        <v>650</v>
      </c>
      <c r="Q3503">
        <v>29042</v>
      </c>
      <c r="R3503" t="s">
        <v>322</v>
      </c>
      <c r="S3503" t="s">
        <v>5604</v>
      </c>
      <c r="T3503">
        <v>29</v>
      </c>
      <c r="U3503" s="2" t="s">
        <v>21369</v>
      </c>
      <c r="W3503" t="s">
        <v>1139</v>
      </c>
      <c r="X3503">
        <v>838524</v>
      </c>
      <c r="Y3503" t="s">
        <v>21370</v>
      </c>
      <c r="Z3503" s="2" t="s">
        <v>2011</v>
      </c>
      <c r="AA3503" t="s">
        <v>21360</v>
      </c>
      <c r="AB3503" s="2" t="s">
        <v>21371</v>
      </c>
      <c r="AG3503" t="s">
        <v>21372</v>
      </c>
      <c r="AH3503" t="s">
        <v>7424</v>
      </c>
      <c r="AI3503" t="s">
        <v>21373</v>
      </c>
    </row>
    <row r="3504" spans="2:35" ht="409.5">
      <c r="B3504" s="1">
        <v>45513</v>
      </c>
      <c r="C3504" s="4">
        <v>45512.387499999997</v>
      </c>
      <c r="D3504" t="s">
        <v>21374</v>
      </c>
      <c r="E3504" t="s">
        <v>21375</v>
      </c>
      <c r="F3504" t="s">
        <v>148</v>
      </c>
      <c r="G3504" t="s">
        <v>447</v>
      </c>
      <c r="H3504" t="s">
        <v>39</v>
      </c>
      <c r="I3504" t="s">
        <v>40</v>
      </c>
      <c r="J3504" t="s">
        <v>109</v>
      </c>
      <c r="K3504" t="s">
        <v>42</v>
      </c>
      <c r="L3504" t="s">
        <v>448</v>
      </c>
      <c r="N3504" t="s">
        <v>650</v>
      </c>
      <c r="Q3504">
        <v>29041</v>
      </c>
      <c r="R3504" t="s">
        <v>95</v>
      </c>
      <c r="S3504" t="s">
        <v>21376</v>
      </c>
      <c r="T3504">
        <v>30</v>
      </c>
      <c r="U3504" s="2" t="s">
        <v>21377</v>
      </c>
      <c r="W3504" t="s">
        <v>6121</v>
      </c>
      <c r="X3504">
        <v>110008529</v>
      </c>
      <c r="Y3504" t="s">
        <v>485</v>
      </c>
      <c r="Z3504" s="2" t="s">
        <v>2011</v>
      </c>
      <c r="AA3504" t="s">
        <v>122</v>
      </c>
      <c r="AB3504" t="s">
        <v>486</v>
      </c>
      <c r="AG3504" t="s">
        <v>21378</v>
      </c>
      <c r="AH3504" t="s">
        <v>21379</v>
      </c>
      <c r="AI3504" t="s">
        <v>21380</v>
      </c>
    </row>
    <row r="3505" spans="2:35" ht="255">
      <c r="B3505" s="1">
        <v>45513</v>
      </c>
      <c r="C3505" s="4">
        <v>45511.637499999997</v>
      </c>
      <c r="D3505" t="s">
        <v>14138</v>
      </c>
      <c r="E3505" t="s">
        <v>2569</v>
      </c>
      <c r="F3505" t="s">
        <v>148</v>
      </c>
      <c r="G3505" t="s">
        <v>447</v>
      </c>
      <c r="H3505" t="s">
        <v>662</v>
      </c>
      <c r="I3505" t="s">
        <v>40</v>
      </c>
      <c r="J3505" t="s">
        <v>109</v>
      </c>
      <c r="K3505" t="s">
        <v>42</v>
      </c>
      <c r="L3505" t="s">
        <v>448</v>
      </c>
      <c r="N3505" t="s">
        <v>650</v>
      </c>
      <c r="O3505" t="s">
        <v>6501</v>
      </c>
      <c r="Q3505">
        <v>29040</v>
      </c>
      <c r="R3505" t="s">
        <v>703</v>
      </c>
      <c r="S3505" t="s">
        <v>21381</v>
      </c>
      <c r="T3505">
        <v>23</v>
      </c>
      <c r="U3505" s="2" t="s">
        <v>21382</v>
      </c>
      <c r="W3505" t="s">
        <v>6504</v>
      </c>
      <c r="X3505">
        <v>110020700</v>
      </c>
      <c r="Y3505" t="s">
        <v>485</v>
      </c>
      <c r="Z3505" s="2" t="s">
        <v>2011</v>
      </c>
      <c r="AA3505" t="s">
        <v>122</v>
      </c>
      <c r="AB3505" t="s">
        <v>486</v>
      </c>
      <c r="AG3505" t="s">
        <v>21383</v>
      </c>
      <c r="AH3505" t="s">
        <v>21384</v>
      </c>
      <c r="AI3505" t="s">
        <v>21385</v>
      </c>
    </row>
    <row r="3506" spans="2:35" ht="195">
      <c r="B3506" s="1">
        <v>45513</v>
      </c>
      <c r="C3506" s="4">
        <v>45513.424305555556</v>
      </c>
      <c r="D3506" t="s">
        <v>10876</v>
      </c>
      <c r="E3506" t="s">
        <v>19879</v>
      </c>
      <c r="F3506">
        <v>2</v>
      </c>
      <c r="G3506" t="s">
        <v>10878</v>
      </c>
      <c r="H3506" t="s">
        <v>39</v>
      </c>
      <c r="I3506" t="s">
        <v>40</v>
      </c>
      <c r="J3506" s="2" t="s">
        <v>190</v>
      </c>
      <c r="K3506" t="s">
        <v>42</v>
      </c>
      <c r="L3506" t="s">
        <v>63</v>
      </c>
      <c r="N3506" t="s">
        <v>64</v>
      </c>
      <c r="Q3506">
        <v>29039</v>
      </c>
      <c r="R3506" t="s">
        <v>119</v>
      </c>
      <c r="S3506" t="s">
        <v>10879</v>
      </c>
      <c r="T3506">
        <v>27</v>
      </c>
      <c r="U3506" s="2" t="s">
        <v>21386</v>
      </c>
      <c r="W3506" t="s">
        <v>66</v>
      </c>
      <c r="X3506">
        <v>838469</v>
      </c>
      <c r="Y3506" t="s">
        <v>21387</v>
      </c>
      <c r="Z3506" t="s">
        <v>1935</v>
      </c>
      <c r="AA3506" s="2" t="s">
        <v>20813</v>
      </c>
      <c r="AB3506" t="s">
        <v>70</v>
      </c>
      <c r="AG3506" t="s">
        <v>21388</v>
      </c>
      <c r="AH3506" t="s">
        <v>21389</v>
      </c>
      <c r="AI3506" t="s">
        <v>21390</v>
      </c>
    </row>
    <row r="3507" spans="2:35" ht="285">
      <c r="B3507" s="1">
        <v>45512</v>
      </c>
      <c r="C3507" s="4">
        <v>45512.611111111109</v>
      </c>
      <c r="D3507" t="s">
        <v>10967</v>
      </c>
      <c r="E3507" t="s">
        <v>3263</v>
      </c>
      <c r="F3507">
        <v>7</v>
      </c>
      <c r="G3507" t="s">
        <v>432</v>
      </c>
      <c r="H3507" t="s">
        <v>39</v>
      </c>
      <c r="I3507" t="s">
        <v>40</v>
      </c>
      <c r="J3507" t="s">
        <v>996</v>
      </c>
      <c r="K3507" t="s">
        <v>42</v>
      </c>
      <c r="L3507" t="s">
        <v>1288</v>
      </c>
      <c r="N3507" t="s">
        <v>1289</v>
      </c>
      <c r="Q3507">
        <v>29038</v>
      </c>
      <c r="R3507" t="s">
        <v>119</v>
      </c>
      <c r="S3507" t="s">
        <v>15836</v>
      </c>
      <c r="T3507">
        <v>25</v>
      </c>
      <c r="U3507" s="2" t="s">
        <v>21391</v>
      </c>
      <c r="W3507" t="s">
        <v>1292</v>
      </c>
      <c r="X3507">
        <v>838510</v>
      </c>
      <c r="Y3507" t="s">
        <v>9143</v>
      </c>
      <c r="Z3507" t="e">
        <f ca="1">-COLLECT IQR, system _xludf.Log, _xludf.and ARCHIVE</f>
        <v>#NAME?</v>
      </c>
      <c r="AA3507" t="e">
        <f ca="1">-PERFORM Preventive Maintenance PROCEDURE
-_xludf.Clean plunger rod, FAN filters, _xludf.and PROBE</f>
        <v>#NAME?</v>
      </c>
      <c r="AB3507" t="s">
        <v>1293</v>
      </c>
      <c r="AG3507" t="s">
        <v>21392</v>
      </c>
      <c r="AH3507" t="s">
        <v>17035</v>
      </c>
      <c r="AI3507" t="s">
        <v>21393</v>
      </c>
    </row>
    <row r="3508" spans="2:35" ht="285">
      <c r="B3508" s="1">
        <v>45512</v>
      </c>
      <c r="C3508" s="4">
        <v>45512.60833333333</v>
      </c>
      <c r="D3508" t="s">
        <v>10967</v>
      </c>
      <c r="E3508" t="s">
        <v>3263</v>
      </c>
      <c r="F3508">
        <v>7</v>
      </c>
      <c r="G3508" t="s">
        <v>432</v>
      </c>
      <c r="H3508" t="s">
        <v>39</v>
      </c>
      <c r="I3508" t="s">
        <v>40</v>
      </c>
      <c r="J3508" t="s">
        <v>109</v>
      </c>
      <c r="K3508" t="s">
        <v>42</v>
      </c>
      <c r="L3508" t="s">
        <v>1288</v>
      </c>
      <c r="N3508" t="s">
        <v>1289</v>
      </c>
      <c r="Q3508">
        <v>29037</v>
      </c>
      <c r="R3508" t="s">
        <v>119</v>
      </c>
      <c r="S3508" t="s">
        <v>15836</v>
      </c>
      <c r="T3508">
        <v>25</v>
      </c>
      <c r="U3508" s="2" t="s">
        <v>21391</v>
      </c>
      <c r="W3508" t="s">
        <v>1292</v>
      </c>
      <c r="X3508">
        <v>838508</v>
      </c>
      <c r="Y3508" t="s">
        <v>1529</v>
      </c>
      <c r="Z3508" t="e">
        <f ca="1">-COLLECT IQR, system _xludf.Log, _xludf.and ARCHIVE</f>
        <v>#NAME?</v>
      </c>
      <c r="AA3508" t="e">
        <f ca="1">-PERFORM GeneXpert Maintenance PROCEDURE
-Check _xludf.Power cable Connections</f>
        <v>#NAME?</v>
      </c>
      <c r="AB3508" t="s">
        <v>1293</v>
      </c>
      <c r="AG3508" t="s">
        <v>21394</v>
      </c>
      <c r="AH3508" t="s">
        <v>21395</v>
      </c>
      <c r="AI3508" t="s">
        <v>21396</v>
      </c>
    </row>
    <row r="3509" spans="2:35" ht="360">
      <c r="B3509" s="1">
        <v>45512</v>
      </c>
      <c r="C3509" s="4">
        <v>45512.467361111114</v>
      </c>
      <c r="D3509" t="s">
        <v>3669</v>
      </c>
      <c r="E3509" t="s">
        <v>21397</v>
      </c>
      <c r="F3509" t="s">
        <v>37</v>
      </c>
      <c r="G3509" t="s">
        <v>38</v>
      </c>
      <c r="H3509" t="s">
        <v>39</v>
      </c>
      <c r="I3509" t="s">
        <v>40</v>
      </c>
      <c r="J3509" t="s">
        <v>109</v>
      </c>
      <c r="K3509" t="s">
        <v>42</v>
      </c>
      <c r="L3509" t="s">
        <v>43</v>
      </c>
      <c r="N3509" t="s">
        <v>44</v>
      </c>
      <c r="Q3509">
        <v>29036</v>
      </c>
      <c r="R3509" t="s">
        <v>95</v>
      </c>
      <c r="S3509" t="s">
        <v>5580</v>
      </c>
      <c r="T3509">
        <v>22</v>
      </c>
      <c r="U3509" s="2" t="s">
        <v>21398</v>
      </c>
      <c r="W3509" t="s">
        <v>48</v>
      </c>
      <c r="X3509">
        <v>110005265</v>
      </c>
      <c r="Y3509" t="s">
        <v>121</v>
      </c>
      <c r="Z3509" t="s">
        <v>122</v>
      </c>
      <c r="AA3509" s="2" t="s">
        <v>10063</v>
      </c>
      <c r="AB3509" t="s">
        <v>548</v>
      </c>
      <c r="AG3509" t="s">
        <v>21399</v>
      </c>
      <c r="AH3509" t="s">
        <v>11659</v>
      </c>
      <c r="AI3509" t="s">
        <v>21400</v>
      </c>
    </row>
    <row r="3510" spans="2:35" ht="345">
      <c r="B3510" s="1">
        <v>45512</v>
      </c>
      <c r="C3510" s="4">
        <v>45512.458333333336</v>
      </c>
      <c r="D3510" t="s">
        <v>21401</v>
      </c>
      <c r="E3510" t="s">
        <v>7811</v>
      </c>
      <c r="F3510">
        <v>11</v>
      </c>
      <c r="G3510" t="s">
        <v>1205</v>
      </c>
      <c r="H3510" t="s">
        <v>202</v>
      </c>
      <c r="I3510" t="s">
        <v>40</v>
      </c>
      <c r="J3510" t="s">
        <v>109</v>
      </c>
      <c r="K3510" t="s">
        <v>42</v>
      </c>
      <c r="L3510" t="s">
        <v>204</v>
      </c>
      <c r="N3510" t="s">
        <v>205</v>
      </c>
      <c r="Q3510">
        <v>29035</v>
      </c>
      <c r="R3510" t="s">
        <v>119</v>
      </c>
      <c r="S3510" t="s">
        <v>7812</v>
      </c>
      <c r="T3510">
        <v>26.9</v>
      </c>
      <c r="U3510" s="2" t="s">
        <v>19158</v>
      </c>
      <c r="W3510" t="s">
        <v>20675</v>
      </c>
      <c r="X3510">
        <v>838232</v>
      </c>
      <c r="Y3510" t="s">
        <v>1052</v>
      </c>
      <c r="Z3510" s="2" t="s">
        <v>21402</v>
      </c>
      <c r="AA3510" t="s">
        <v>2551</v>
      </c>
      <c r="AB3510" t="s">
        <v>1211</v>
      </c>
      <c r="AG3510" t="s">
        <v>21403</v>
      </c>
      <c r="AH3510" t="s">
        <v>21404</v>
      </c>
      <c r="AI3510" t="s">
        <v>21405</v>
      </c>
    </row>
    <row r="3511" spans="2:35" ht="150">
      <c r="B3511" s="1">
        <v>45512</v>
      </c>
      <c r="C3511" s="4">
        <v>45512.490277777775</v>
      </c>
      <c r="D3511" t="s">
        <v>2773</v>
      </c>
      <c r="E3511" t="s">
        <v>2774</v>
      </c>
      <c r="F3511">
        <v>2</v>
      </c>
      <c r="G3511" t="s">
        <v>2723</v>
      </c>
      <c r="H3511" t="s">
        <v>21406</v>
      </c>
      <c r="I3511" t="s">
        <v>40</v>
      </c>
      <c r="J3511" s="2" t="s">
        <v>21407</v>
      </c>
      <c r="K3511" t="s">
        <v>42</v>
      </c>
      <c r="L3511" t="s">
        <v>63</v>
      </c>
      <c r="N3511" t="s">
        <v>64</v>
      </c>
      <c r="Q3511">
        <v>29034</v>
      </c>
      <c r="R3511" t="s">
        <v>322</v>
      </c>
      <c r="S3511" t="s">
        <v>21408</v>
      </c>
      <c r="T3511">
        <v>26</v>
      </c>
      <c r="W3511" t="s">
        <v>66</v>
      </c>
      <c r="X3511">
        <v>803870</v>
      </c>
      <c r="Y3511" t="s">
        <v>21409</v>
      </c>
      <c r="Z3511" s="2" t="s">
        <v>21410</v>
      </c>
      <c r="AA3511" t="s">
        <v>21411</v>
      </c>
      <c r="AB3511" t="s">
        <v>70</v>
      </c>
      <c r="AG3511" t="s">
        <v>21412</v>
      </c>
      <c r="AH3511" t="s">
        <v>21413</v>
      </c>
      <c r="AI3511" t="s">
        <v>21414</v>
      </c>
    </row>
    <row r="3512" spans="2:35" ht="409.5">
      <c r="B3512" s="1">
        <v>45512</v>
      </c>
      <c r="C3512" s="4">
        <v>45512.459722222222</v>
      </c>
      <c r="D3512" t="s">
        <v>2773</v>
      </c>
      <c r="E3512" t="s">
        <v>2774</v>
      </c>
      <c r="F3512">
        <v>2</v>
      </c>
      <c r="G3512" t="s">
        <v>2723</v>
      </c>
      <c r="H3512" t="s">
        <v>61</v>
      </c>
      <c r="I3512" t="s">
        <v>40</v>
      </c>
      <c r="J3512" t="s">
        <v>109</v>
      </c>
      <c r="K3512" t="s">
        <v>42</v>
      </c>
      <c r="L3512" t="s">
        <v>63</v>
      </c>
      <c r="N3512" t="s">
        <v>64</v>
      </c>
      <c r="Q3512">
        <v>29033</v>
      </c>
      <c r="R3512" t="s">
        <v>322</v>
      </c>
      <c r="S3512" t="s">
        <v>2775</v>
      </c>
      <c r="T3512">
        <v>25</v>
      </c>
      <c r="U3512" s="2" t="s">
        <v>21415</v>
      </c>
      <c r="W3512" t="s">
        <v>66</v>
      </c>
      <c r="X3512">
        <v>110008457</v>
      </c>
      <c r="Y3512" t="s">
        <v>2692</v>
      </c>
      <c r="Z3512" s="2" t="s">
        <v>1727</v>
      </c>
      <c r="AA3512" t="s">
        <v>20660</v>
      </c>
      <c r="AB3512" t="s">
        <v>70</v>
      </c>
      <c r="AG3512" t="s">
        <v>21416</v>
      </c>
      <c r="AH3512" t="s">
        <v>2779</v>
      </c>
      <c r="AI3512" t="s">
        <v>21417</v>
      </c>
    </row>
    <row r="3513" spans="2:35" ht="270">
      <c r="B3513" s="1">
        <v>45512</v>
      </c>
      <c r="C3513" s="4">
        <v>45512.438194444447</v>
      </c>
      <c r="D3513" t="s">
        <v>9231</v>
      </c>
      <c r="E3513" t="s">
        <v>21418</v>
      </c>
      <c r="F3513" t="s">
        <v>148</v>
      </c>
      <c r="G3513" t="s">
        <v>447</v>
      </c>
      <c r="H3513" t="s">
        <v>39</v>
      </c>
      <c r="I3513" t="s">
        <v>40</v>
      </c>
      <c r="J3513" s="2" t="s">
        <v>62</v>
      </c>
      <c r="K3513" t="s">
        <v>42</v>
      </c>
      <c r="L3513" t="s">
        <v>15532</v>
      </c>
      <c r="N3513" t="s">
        <v>15533</v>
      </c>
      <c r="Q3513">
        <v>29032</v>
      </c>
      <c r="R3513" t="s">
        <v>322</v>
      </c>
      <c r="S3513" t="s">
        <v>16113</v>
      </c>
      <c r="T3513">
        <v>25</v>
      </c>
      <c r="U3513" s="2" t="s">
        <v>21419</v>
      </c>
      <c r="V3513" s="1">
        <v>45503</v>
      </c>
      <c r="W3513" t="s">
        <v>15620</v>
      </c>
      <c r="X3513">
        <v>110020697</v>
      </c>
      <c r="Y3513" t="s">
        <v>21420</v>
      </c>
      <c r="Z3513" s="2" t="s">
        <v>21421</v>
      </c>
      <c r="AA3513" s="2" t="s">
        <v>21422</v>
      </c>
      <c r="AB3513" s="2" t="s">
        <v>17371</v>
      </c>
      <c r="AD3513" t="s">
        <v>7189</v>
      </c>
      <c r="AE3513" t="s">
        <v>21423</v>
      </c>
      <c r="AG3513" t="s">
        <v>21424</v>
      </c>
      <c r="AH3513" t="s">
        <v>21425</v>
      </c>
      <c r="AI3513" t="s">
        <v>21426</v>
      </c>
    </row>
    <row r="3514" spans="2:35">
      <c r="B3514" s="1">
        <v>45512</v>
      </c>
      <c r="C3514" s="4">
        <v>45512.39166666667</v>
      </c>
      <c r="D3514" t="s">
        <v>21427</v>
      </c>
      <c r="E3514" t="s">
        <v>21428</v>
      </c>
      <c r="F3514">
        <v>8</v>
      </c>
      <c r="G3514" t="s">
        <v>2945</v>
      </c>
      <c r="H3514" t="s">
        <v>202</v>
      </c>
      <c r="I3514" t="s">
        <v>40</v>
      </c>
      <c r="J3514" t="s">
        <v>109</v>
      </c>
      <c r="K3514" t="s">
        <v>42</v>
      </c>
      <c r="L3514" t="s">
        <v>259</v>
      </c>
      <c r="N3514" t="s">
        <v>260</v>
      </c>
      <c r="Q3514">
        <v>29031</v>
      </c>
      <c r="R3514" t="s">
        <v>967</v>
      </c>
      <c r="S3514" t="s">
        <v>5555</v>
      </c>
      <c r="T3514">
        <v>26</v>
      </c>
      <c r="V3514" s="1">
        <v>45512</v>
      </c>
      <c r="W3514" t="s">
        <v>423</v>
      </c>
      <c r="X3514">
        <v>110023514</v>
      </c>
      <c r="Y3514" t="s">
        <v>263</v>
      </c>
      <c r="Z3514" t="s">
        <v>263</v>
      </c>
      <c r="AA3514" t="e">
        <f ca="1">-performed Preventive Maintenance
- GX ID STICKER Installation</f>
        <v>#NAME?</v>
      </c>
      <c r="AB3514" t="s">
        <v>181</v>
      </c>
      <c r="AG3514" t="s">
        <v>21429</v>
      </c>
      <c r="AH3514" t="s">
        <v>21430</v>
      </c>
      <c r="AI3514" t="s">
        <v>21431</v>
      </c>
    </row>
    <row r="3515" spans="2:35" ht="285">
      <c r="B3515" s="1">
        <v>45511</v>
      </c>
      <c r="C3515" s="4">
        <v>45510.582638888889</v>
      </c>
      <c r="D3515" t="s">
        <v>1145</v>
      </c>
      <c r="E3515" t="s">
        <v>473</v>
      </c>
      <c r="F3515" t="s">
        <v>148</v>
      </c>
      <c r="G3515" t="s">
        <v>447</v>
      </c>
      <c r="H3515" t="s">
        <v>9616</v>
      </c>
      <c r="I3515" t="s">
        <v>40</v>
      </c>
      <c r="J3515" t="s">
        <v>109</v>
      </c>
      <c r="K3515" t="s">
        <v>408</v>
      </c>
      <c r="L3515" t="s">
        <v>448</v>
      </c>
      <c r="N3515" t="s">
        <v>650</v>
      </c>
      <c r="P3515" t="s">
        <v>6378</v>
      </c>
      <c r="Q3515">
        <v>29030</v>
      </c>
      <c r="R3515" t="s">
        <v>322</v>
      </c>
      <c r="S3515" t="s">
        <v>9617</v>
      </c>
      <c r="T3515">
        <v>27</v>
      </c>
      <c r="W3515" t="s">
        <v>21432</v>
      </c>
      <c r="X3515" t="s">
        <v>21433</v>
      </c>
      <c r="Y3515" t="s">
        <v>485</v>
      </c>
      <c r="Z3515" s="2" t="s">
        <v>21434</v>
      </c>
      <c r="AA3515" t="s">
        <v>122</v>
      </c>
      <c r="AB3515" t="s">
        <v>486</v>
      </c>
      <c r="AG3515" t="s">
        <v>21435</v>
      </c>
      <c r="AH3515" t="s">
        <v>21436</v>
      </c>
      <c r="AI3515" t="s">
        <v>21437</v>
      </c>
    </row>
    <row r="3516" spans="2:35" ht="165">
      <c r="B3516" s="1">
        <v>45511</v>
      </c>
      <c r="C3516" s="4">
        <v>45511.615972222222</v>
      </c>
      <c r="D3516" t="s">
        <v>6392</v>
      </c>
      <c r="E3516" t="s">
        <v>21438</v>
      </c>
      <c r="F3516">
        <v>2</v>
      </c>
      <c r="G3516" t="s">
        <v>2668</v>
      </c>
      <c r="H3516" t="s">
        <v>39</v>
      </c>
      <c r="I3516" t="s">
        <v>40</v>
      </c>
      <c r="J3516" t="s">
        <v>109</v>
      </c>
      <c r="K3516" t="s">
        <v>42</v>
      </c>
      <c r="L3516" t="s">
        <v>63</v>
      </c>
      <c r="N3516" t="s">
        <v>64</v>
      </c>
      <c r="O3516" t="s">
        <v>21439</v>
      </c>
      <c r="Q3516">
        <v>29029</v>
      </c>
      <c r="R3516" t="s">
        <v>119</v>
      </c>
      <c r="S3516" t="s">
        <v>21440</v>
      </c>
      <c r="T3516">
        <v>28</v>
      </c>
      <c r="U3516" s="2" t="s">
        <v>21441</v>
      </c>
      <c r="W3516" t="s">
        <v>66</v>
      </c>
      <c r="X3516">
        <v>838484</v>
      </c>
      <c r="Y3516" t="s">
        <v>21442</v>
      </c>
      <c r="Z3516" t="s">
        <v>1935</v>
      </c>
      <c r="AA3516" s="2" t="s">
        <v>1727</v>
      </c>
      <c r="AB3516" t="s">
        <v>70</v>
      </c>
      <c r="AG3516" t="s">
        <v>21443</v>
      </c>
      <c r="AH3516" t="s">
        <v>21444</v>
      </c>
      <c r="AI3516" t="s">
        <v>21445</v>
      </c>
    </row>
    <row r="3517" spans="2:35" ht="255">
      <c r="B3517" s="1">
        <v>45511</v>
      </c>
      <c r="C3517" s="4">
        <v>45511.595138888886</v>
      </c>
      <c r="D3517" t="s">
        <v>5125</v>
      </c>
      <c r="E3517" t="s">
        <v>21446</v>
      </c>
      <c r="F3517" t="s">
        <v>148</v>
      </c>
      <c r="G3517" t="s">
        <v>447</v>
      </c>
      <c r="H3517" t="s">
        <v>39</v>
      </c>
      <c r="I3517" t="s">
        <v>40</v>
      </c>
      <c r="J3517" s="2" t="s">
        <v>62</v>
      </c>
      <c r="K3517" t="s">
        <v>42</v>
      </c>
      <c r="L3517" t="s">
        <v>15532</v>
      </c>
      <c r="N3517" t="s">
        <v>15533</v>
      </c>
      <c r="Q3517">
        <v>29028</v>
      </c>
      <c r="R3517" t="s">
        <v>322</v>
      </c>
      <c r="S3517" t="s">
        <v>5127</v>
      </c>
      <c r="T3517">
        <v>25</v>
      </c>
      <c r="V3517" s="1">
        <v>45503</v>
      </c>
      <c r="W3517" t="s">
        <v>15620</v>
      </c>
      <c r="X3517">
        <v>110020698</v>
      </c>
      <c r="Y3517" t="s">
        <v>21420</v>
      </c>
      <c r="Z3517" s="2" t="s">
        <v>21421</v>
      </c>
      <c r="AA3517" s="2" t="s">
        <v>21422</v>
      </c>
      <c r="AB3517" s="2" t="s">
        <v>17371</v>
      </c>
      <c r="AD3517" t="s">
        <v>948</v>
      </c>
      <c r="AE3517" t="s">
        <v>21447</v>
      </c>
      <c r="AG3517" t="s">
        <v>21448</v>
      </c>
      <c r="AH3517" t="s">
        <v>21449</v>
      </c>
      <c r="AI3517" t="s">
        <v>21450</v>
      </c>
    </row>
    <row r="3518" spans="2:35" ht="165">
      <c r="B3518" s="1">
        <v>45511</v>
      </c>
      <c r="C3518" s="4">
        <v>45511.55972222222</v>
      </c>
      <c r="D3518" t="s">
        <v>8570</v>
      </c>
      <c r="E3518" t="s">
        <v>19832</v>
      </c>
      <c r="F3518">
        <v>2</v>
      </c>
      <c r="G3518" t="s">
        <v>2668</v>
      </c>
      <c r="H3518" t="s">
        <v>39</v>
      </c>
      <c r="I3518" t="s">
        <v>40</v>
      </c>
      <c r="J3518" t="s">
        <v>109</v>
      </c>
      <c r="K3518" t="s">
        <v>42</v>
      </c>
      <c r="L3518" t="s">
        <v>63</v>
      </c>
      <c r="N3518" t="s">
        <v>64</v>
      </c>
      <c r="Q3518">
        <v>29027</v>
      </c>
      <c r="R3518" t="s">
        <v>119</v>
      </c>
      <c r="S3518" t="s">
        <v>9392</v>
      </c>
      <c r="T3518">
        <v>28</v>
      </c>
      <c r="U3518" s="2" t="s">
        <v>8344</v>
      </c>
      <c r="W3518" t="s">
        <v>66</v>
      </c>
      <c r="X3518">
        <v>838521</v>
      </c>
      <c r="Y3518" t="s">
        <v>2692</v>
      </c>
      <c r="Z3518" s="2" t="s">
        <v>1727</v>
      </c>
      <c r="AA3518" t="s">
        <v>20660</v>
      </c>
      <c r="AB3518" t="s">
        <v>70</v>
      </c>
      <c r="AG3518" t="s">
        <v>21451</v>
      </c>
      <c r="AH3518" t="s">
        <v>21452</v>
      </c>
      <c r="AI3518" t="s">
        <v>21453</v>
      </c>
    </row>
    <row r="3519" spans="2:35" ht="165">
      <c r="B3519" s="1">
        <v>45511</v>
      </c>
      <c r="C3519" s="4">
        <v>45511.506944444445</v>
      </c>
      <c r="D3519" t="s">
        <v>8369</v>
      </c>
      <c r="E3519" t="s">
        <v>21454</v>
      </c>
      <c r="F3519">
        <v>2</v>
      </c>
      <c r="G3519" t="s">
        <v>2668</v>
      </c>
      <c r="H3519" t="s">
        <v>39</v>
      </c>
      <c r="I3519" t="s">
        <v>40</v>
      </c>
      <c r="J3519" t="s">
        <v>109</v>
      </c>
      <c r="K3519" t="s">
        <v>42</v>
      </c>
      <c r="L3519" t="s">
        <v>63</v>
      </c>
      <c r="N3519" t="s">
        <v>64</v>
      </c>
      <c r="Q3519">
        <v>29026</v>
      </c>
      <c r="R3519" t="s">
        <v>119</v>
      </c>
      <c r="S3519" t="s">
        <v>8371</v>
      </c>
      <c r="T3519">
        <v>25</v>
      </c>
      <c r="U3519" s="2" t="s">
        <v>15013</v>
      </c>
      <c r="W3519" t="s">
        <v>66</v>
      </c>
      <c r="X3519">
        <v>838480</v>
      </c>
      <c r="Y3519" t="s">
        <v>2692</v>
      </c>
      <c r="Z3519" s="2" t="s">
        <v>1727</v>
      </c>
      <c r="AA3519" t="s">
        <v>20660</v>
      </c>
      <c r="AB3519" t="s">
        <v>70</v>
      </c>
      <c r="AG3519" t="s">
        <v>21455</v>
      </c>
      <c r="AH3519" t="s">
        <v>10775</v>
      </c>
      <c r="AI3519" t="s">
        <v>21456</v>
      </c>
    </row>
    <row r="3520" spans="2:35" ht="105">
      <c r="B3520" s="1">
        <v>45511</v>
      </c>
      <c r="C3520" s="4">
        <v>45511.507638888892</v>
      </c>
      <c r="D3520" t="s">
        <v>8529</v>
      </c>
      <c r="E3520" t="s">
        <v>9832</v>
      </c>
      <c r="F3520">
        <v>7</v>
      </c>
      <c r="G3520" t="s">
        <v>432</v>
      </c>
      <c r="H3520" t="s">
        <v>1498</v>
      </c>
      <c r="I3520" t="s">
        <v>40</v>
      </c>
      <c r="J3520" s="2" t="s">
        <v>21457</v>
      </c>
      <c r="K3520" t="s">
        <v>42</v>
      </c>
      <c r="L3520" t="s">
        <v>343</v>
      </c>
      <c r="N3520" t="s">
        <v>344</v>
      </c>
      <c r="Q3520">
        <v>29025</v>
      </c>
      <c r="R3520" t="s">
        <v>119</v>
      </c>
      <c r="S3520" t="s">
        <v>8531</v>
      </c>
      <c r="T3520">
        <v>25</v>
      </c>
      <c r="U3520" s="2" t="s">
        <v>21458</v>
      </c>
      <c r="W3520" t="s">
        <v>1501</v>
      </c>
      <c r="X3520">
        <v>838279</v>
      </c>
      <c r="Y3520" t="s">
        <v>301</v>
      </c>
      <c r="Z3520" t="s">
        <v>301</v>
      </c>
      <c r="AA3520" t="e">
        <f ca="1">-Preventive Maintenance
-GeneXpert ID STICKER Installation</f>
        <v>#NAME?</v>
      </c>
      <c r="AB3520" t="s">
        <v>9638</v>
      </c>
      <c r="AC3520" t="s">
        <v>21459</v>
      </c>
      <c r="AG3520" t="s">
        <v>21460</v>
      </c>
      <c r="AH3520" t="s">
        <v>9836</v>
      </c>
      <c r="AI3520" t="s">
        <v>21461</v>
      </c>
    </row>
    <row r="3521" spans="2:35" ht="120">
      <c r="B3521" s="1">
        <v>45511</v>
      </c>
      <c r="C3521" s="4">
        <v>45511.465277777781</v>
      </c>
      <c r="D3521" t="s">
        <v>12473</v>
      </c>
      <c r="E3521" t="s">
        <v>12474</v>
      </c>
      <c r="F3521">
        <v>13</v>
      </c>
      <c r="G3521" t="s">
        <v>931</v>
      </c>
      <c r="H3521" t="s">
        <v>2125</v>
      </c>
      <c r="I3521" t="s">
        <v>40</v>
      </c>
      <c r="J3521" t="s">
        <v>109</v>
      </c>
      <c r="K3521" t="s">
        <v>42</v>
      </c>
      <c r="L3521" t="s">
        <v>933</v>
      </c>
      <c r="N3521" t="s">
        <v>934</v>
      </c>
      <c r="Q3521">
        <v>29024</v>
      </c>
      <c r="R3521" t="s">
        <v>119</v>
      </c>
      <c r="S3521" t="s">
        <v>12475</v>
      </c>
      <c r="T3521">
        <v>30</v>
      </c>
      <c r="W3521" t="s">
        <v>2127</v>
      </c>
      <c r="X3521">
        <v>838444</v>
      </c>
      <c r="Y3521" t="s">
        <v>301</v>
      </c>
      <c r="Z3521" t="s">
        <v>301</v>
      </c>
      <c r="AA3521" s="2" t="s">
        <v>20351</v>
      </c>
      <c r="AB3521" t="s">
        <v>2131</v>
      </c>
      <c r="AG3521" t="s">
        <v>21462</v>
      </c>
      <c r="AH3521" t="s">
        <v>21463</v>
      </c>
      <c r="AI3521" t="s">
        <v>21464</v>
      </c>
    </row>
    <row r="3522" spans="2:35" ht="105">
      <c r="B3522" s="1">
        <v>45511</v>
      </c>
      <c r="C3522" s="4">
        <v>45511.477083333331</v>
      </c>
      <c r="D3522" t="s">
        <v>9762</v>
      </c>
      <c r="E3522" t="s">
        <v>9763</v>
      </c>
      <c r="F3522">
        <v>8</v>
      </c>
      <c r="G3522" t="s">
        <v>2945</v>
      </c>
      <c r="H3522" t="s">
        <v>39</v>
      </c>
      <c r="I3522" t="s">
        <v>40</v>
      </c>
      <c r="J3522" s="2" t="s">
        <v>62</v>
      </c>
      <c r="K3522" t="s">
        <v>42</v>
      </c>
      <c r="L3522" t="s">
        <v>259</v>
      </c>
      <c r="N3522" t="s">
        <v>260</v>
      </c>
      <c r="Q3522">
        <v>29023</v>
      </c>
      <c r="R3522" t="s">
        <v>119</v>
      </c>
      <c r="S3522" t="s">
        <v>9764</v>
      </c>
      <c r="T3522">
        <v>29</v>
      </c>
      <c r="U3522" s="2" t="s">
        <v>18336</v>
      </c>
      <c r="V3522" s="1">
        <v>45511</v>
      </c>
      <c r="W3522" t="s">
        <v>84</v>
      </c>
      <c r="X3522">
        <v>838548</v>
      </c>
      <c r="Y3522" t="s">
        <v>67</v>
      </c>
      <c r="Z3522" t="e">
        <f ca="1">- PM, XPC</f>
        <v>#NAME?</v>
      </c>
      <c r="AA3522" t="e">
        <f ca="1">- performed Preventive Maintenance
- performed XpertCheck CALIBRATION
- performed functionality test
- GX ID STICKER Installation
- Genarate reports</f>
        <v>#NAME?</v>
      </c>
      <c r="AB3522" t="s">
        <v>181</v>
      </c>
      <c r="AD3522" t="s">
        <v>5056</v>
      </c>
      <c r="AE3522" t="s">
        <v>119</v>
      </c>
      <c r="AG3522" t="s">
        <v>21465</v>
      </c>
      <c r="AH3522" t="s">
        <v>21466</v>
      </c>
      <c r="AI3522" t="s">
        <v>21467</v>
      </c>
    </row>
    <row r="3523" spans="2:35" ht="240">
      <c r="B3523" s="1">
        <v>45511</v>
      </c>
      <c r="C3523" s="4">
        <v>45511.445833333331</v>
      </c>
      <c r="D3523" t="s">
        <v>12460</v>
      </c>
      <c r="E3523" t="s">
        <v>15489</v>
      </c>
      <c r="F3523">
        <v>6</v>
      </c>
      <c r="G3523" t="s">
        <v>1234</v>
      </c>
      <c r="H3523" t="s">
        <v>258</v>
      </c>
      <c r="I3523" t="s">
        <v>40</v>
      </c>
      <c r="J3523" s="2" t="s">
        <v>62</v>
      </c>
      <c r="K3523" t="s">
        <v>42</v>
      </c>
      <c r="L3523" t="s">
        <v>270</v>
      </c>
      <c r="N3523" t="s">
        <v>2481</v>
      </c>
      <c r="Q3523">
        <v>29022</v>
      </c>
      <c r="R3523" t="s">
        <v>119</v>
      </c>
      <c r="S3523" t="s">
        <v>21468</v>
      </c>
      <c r="T3523">
        <v>25</v>
      </c>
      <c r="U3523" s="2" t="s">
        <v>21122</v>
      </c>
      <c r="W3523" t="s">
        <v>3662</v>
      </c>
      <c r="X3523">
        <v>838491</v>
      </c>
      <c r="Y3523" t="s">
        <v>301</v>
      </c>
      <c r="Z3523" t="e">
        <f ca="1">- cleaned _xludf.filter,otic slots, module Bays, pkunger rods.</f>
        <v>#NAME?</v>
      </c>
      <c r="AA3523" s="2" t="s">
        <v>21469</v>
      </c>
      <c r="AB3523" s="2" t="s">
        <v>21470</v>
      </c>
      <c r="AG3523" t="s">
        <v>21471</v>
      </c>
      <c r="AH3523" t="s">
        <v>21472</v>
      </c>
      <c r="AI3523" t="s">
        <v>21473</v>
      </c>
    </row>
    <row r="3524" spans="2:35" ht="240">
      <c r="B3524" s="1">
        <v>45511</v>
      </c>
      <c r="C3524" s="4">
        <v>45511.418055555558</v>
      </c>
      <c r="D3524" t="s">
        <v>21474</v>
      </c>
      <c r="E3524" t="s">
        <v>5041</v>
      </c>
      <c r="F3524">
        <v>12</v>
      </c>
      <c r="G3524" t="s">
        <v>978</v>
      </c>
      <c r="H3524" t="s">
        <v>21475</v>
      </c>
      <c r="I3524" t="s">
        <v>40</v>
      </c>
      <c r="J3524" t="s">
        <v>109</v>
      </c>
      <c r="K3524" t="s">
        <v>42</v>
      </c>
      <c r="L3524" t="s">
        <v>296</v>
      </c>
      <c r="N3524" t="s">
        <v>297</v>
      </c>
      <c r="Q3524">
        <v>29021</v>
      </c>
      <c r="R3524" t="s">
        <v>95</v>
      </c>
      <c r="S3524" t="s">
        <v>21476</v>
      </c>
      <c r="T3524">
        <v>23.6</v>
      </c>
      <c r="U3524" s="2" t="s">
        <v>21477</v>
      </c>
      <c r="W3524" t="s">
        <v>981</v>
      </c>
      <c r="X3524">
        <v>831313</v>
      </c>
      <c r="Y3524" t="s">
        <v>21478</v>
      </c>
      <c r="Z3524" t="s">
        <v>9161</v>
      </c>
      <c r="AA3524" s="2" t="s">
        <v>21479</v>
      </c>
      <c r="AB3524" t="s">
        <v>21480</v>
      </c>
      <c r="AG3524" t="s">
        <v>21481</v>
      </c>
      <c r="AH3524" t="s">
        <v>21482</v>
      </c>
      <c r="AI3524" t="s">
        <v>21483</v>
      </c>
    </row>
    <row r="3525" spans="2:35" ht="120">
      <c r="B3525" s="1">
        <v>45511</v>
      </c>
      <c r="C3525" s="4">
        <v>45510.631249999999</v>
      </c>
      <c r="D3525" t="s">
        <v>11603</v>
      </c>
      <c r="E3525" t="s">
        <v>420</v>
      </c>
      <c r="F3525" t="s">
        <v>148</v>
      </c>
      <c r="G3525" t="s">
        <v>421</v>
      </c>
      <c r="H3525" t="s">
        <v>39</v>
      </c>
      <c r="I3525" t="s">
        <v>40</v>
      </c>
      <c r="J3525" s="2" t="s">
        <v>62</v>
      </c>
      <c r="K3525" t="s">
        <v>42</v>
      </c>
      <c r="L3525" t="s">
        <v>175</v>
      </c>
      <c r="N3525" t="s">
        <v>176</v>
      </c>
      <c r="Q3525">
        <v>29020</v>
      </c>
      <c r="R3525" t="s">
        <v>95</v>
      </c>
      <c r="S3525" t="s">
        <v>11604</v>
      </c>
      <c r="T3525">
        <v>28</v>
      </c>
      <c r="U3525" s="2" t="s">
        <v>21484</v>
      </c>
      <c r="V3525" s="1">
        <v>45496</v>
      </c>
      <c r="W3525" t="s">
        <v>423</v>
      </c>
      <c r="X3525">
        <v>110020699</v>
      </c>
      <c r="Y3525" t="s">
        <v>998</v>
      </c>
      <c r="Z3525" t="s">
        <v>999</v>
      </c>
      <c r="AA3525" t="e">
        <f ca="1">- checked _xludf.and cleaned cartridge bay, plunger rod, _xludf.filter, icore slot
- performed XpertCheck
- generated reports</f>
        <v>#NAME?</v>
      </c>
      <c r="AB3525" s="2" t="s">
        <v>3237</v>
      </c>
      <c r="AD3525" t="s">
        <v>7189</v>
      </c>
      <c r="AE3525">
        <v>11737</v>
      </c>
      <c r="AG3525" t="s">
        <v>21485</v>
      </c>
      <c r="AH3525" t="s">
        <v>11606</v>
      </c>
      <c r="AI3525" t="s">
        <v>21486</v>
      </c>
    </row>
    <row r="3526" spans="2:35" ht="120">
      <c r="B3526" s="1">
        <v>45511</v>
      </c>
      <c r="C3526" s="4">
        <v>45510.631249999999</v>
      </c>
      <c r="D3526" t="s">
        <v>11603</v>
      </c>
      <c r="E3526" t="s">
        <v>420</v>
      </c>
      <c r="F3526" t="s">
        <v>148</v>
      </c>
      <c r="G3526" t="s">
        <v>421</v>
      </c>
      <c r="H3526" t="s">
        <v>39</v>
      </c>
      <c r="I3526" t="s">
        <v>40</v>
      </c>
      <c r="J3526" s="2" t="s">
        <v>62</v>
      </c>
      <c r="K3526" t="s">
        <v>42</v>
      </c>
      <c r="L3526" t="s">
        <v>175</v>
      </c>
      <c r="N3526" t="s">
        <v>176</v>
      </c>
      <c r="Q3526">
        <v>29019</v>
      </c>
      <c r="R3526" t="s">
        <v>95</v>
      </c>
      <c r="S3526" t="s">
        <v>11604</v>
      </c>
      <c r="T3526">
        <v>28</v>
      </c>
      <c r="U3526" s="2" t="s">
        <v>21484</v>
      </c>
      <c r="V3526" s="1">
        <v>45496</v>
      </c>
      <c r="W3526" t="s">
        <v>423</v>
      </c>
      <c r="X3526">
        <v>110020699</v>
      </c>
      <c r="Y3526" t="s">
        <v>998</v>
      </c>
      <c r="Z3526" t="s">
        <v>999</v>
      </c>
      <c r="AA3526" t="e">
        <f ca="1">- checked _xludf.and cleaned cartridge bay, plunger rod, _xludf.filter, icore slot
- performed XpertCheck
- generated reports</f>
        <v>#NAME?</v>
      </c>
      <c r="AB3526" s="2" t="s">
        <v>3237</v>
      </c>
      <c r="AD3526" t="s">
        <v>7189</v>
      </c>
      <c r="AE3526">
        <v>11737</v>
      </c>
      <c r="AG3526" t="s">
        <v>21487</v>
      </c>
      <c r="AH3526" t="s">
        <v>11606</v>
      </c>
      <c r="AI3526" t="s">
        <v>21488</v>
      </c>
    </row>
    <row r="3527" spans="2:35" ht="409.5">
      <c r="B3527" s="1">
        <v>45511</v>
      </c>
      <c r="C3527" s="4">
        <v>45510.645833333336</v>
      </c>
      <c r="D3527" t="s">
        <v>4379</v>
      </c>
      <c r="E3527" t="s">
        <v>7368</v>
      </c>
      <c r="F3527" t="s">
        <v>148</v>
      </c>
      <c r="G3527" t="s">
        <v>785</v>
      </c>
      <c r="H3527" t="s">
        <v>39</v>
      </c>
      <c r="I3527" t="s">
        <v>40</v>
      </c>
      <c r="J3527" t="s">
        <v>109</v>
      </c>
      <c r="K3527" t="s">
        <v>42</v>
      </c>
      <c r="L3527" t="s">
        <v>43</v>
      </c>
      <c r="N3527" t="s">
        <v>44</v>
      </c>
      <c r="O3527" t="s">
        <v>7369</v>
      </c>
      <c r="Q3527">
        <v>29018</v>
      </c>
      <c r="R3527" t="s">
        <v>322</v>
      </c>
      <c r="S3527" t="s">
        <v>4382</v>
      </c>
      <c r="T3527">
        <v>22</v>
      </c>
      <c r="U3527" s="2" t="s">
        <v>21489</v>
      </c>
      <c r="W3527" t="s">
        <v>3178</v>
      </c>
      <c r="X3527">
        <v>838627</v>
      </c>
      <c r="Y3527" t="s">
        <v>121</v>
      </c>
      <c r="Z3527" t="s">
        <v>122</v>
      </c>
      <c r="AA3527" s="2" t="s">
        <v>123</v>
      </c>
      <c r="AB3527" t="s">
        <v>21490</v>
      </c>
      <c r="AC3527" t="s">
        <v>21491</v>
      </c>
      <c r="AG3527" t="s">
        <v>21492</v>
      </c>
      <c r="AH3527" t="s">
        <v>21493</v>
      </c>
      <c r="AI3527" t="s">
        <v>21494</v>
      </c>
    </row>
    <row r="3528" spans="2:35" ht="255">
      <c r="B3528" s="1">
        <v>45511</v>
      </c>
      <c r="C3528" s="4">
        <v>45510.680555555555</v>
      </c>
      <c r="D3528" t="s">
        <v>4379</v>
      </c>
      <c r="E3528" t="s">
        <v>7368</v>
      </c>
      <c r="F3528" t="s">
        <v>148</v>
      </c>
      <c r="G3528" t="s">
        <v>785</v>
      </c>
      <c r="H3528" t="s">
        <v>39</v>
      </c>
      <c r="I3528" t="s">
        <v>40</v>
      </c>
      <c r="J3528" t="s">
        <v>109</v>
      </c>
      <c r="K3528" t="s">
        <v>387</v>
      </c>
      <c r="L3528" t="s">
        <v>43</v>
      </c>
      <c r="N3528" t="s">
        <v>44</v>
      </c>
      <c r="O3528" t="s">
        <v>7369</v>
      </c>
      <c r="Q3528">
        <v>29017</v>
      </c>
      <c r="R3528" t="s">
        <v>95</v>
      </c>
      <c r="S3528" t="s">
        <v>4389</v>
      </c>
      <c r="T3528">
        <v>24</v>
      </c>
      <c r="W3528" t="s">
        <v>390</v>
      </c>
      <c r="X3528" t="s">
        <v>4390</v>
      </c>
      <c r="Y3528" t="s">
        <v>121</v>
      </c>
      <c r="Z3528" t="s">
        <v>122</v>
      </c>
      <c r="AA3528" s="2" t="s">
        <v>14371</v>
      </c>
      <c r="AB3528" t="s">
        <v>181</v>
      </c>
      <c r="AG3528" t="s">
        <v>21495</v>
      </c>
      <c r="AH3528" t="s">
        <v>21496</v>
      </c>
      <c r="AI3528" t="s">
        <v>21497</v>
      </c>
    </row>
    <row r="3529" spans="2:35" ht="345">
      <c r="B3529" s="1">
        <v>45510</v>
      </c>
      <c r="C3529" s="4">
        <v>45510.594444444447</v>
      </c>
      <c r="D3529" t="s">
        <v>3696</v>
      </c>
      <c r="E3529" t="s">
        <v>21498</v>
      </c>
      <c r="F3529" t="s">
        <v>148</v>
      </c>
      <c r="G3529" t="s">
        <v>447</v>
      </c>
      <c r="H3529" t="s">
        <v>39</v>
      </c>
      <c r="I3529" t="s">
        <v>40</v>
      </c>
      <c r="J3529" s="2" t="s">
        <v>190</v>
      </c>
      <c r="K3529" t="s">
        <v>42</v>
      </c>
      <c r="L3529" t="s">
        <v>15532</v>
      </c>
      <c r="N3529" t="s">
        <v>15533</v>
      </c>
      <c r="Q3529">
        <v>29016</v>
      </c>
      <c r="R3529" t="s">
        <v>703</v>
      </c>
      <c r="S3529" t="s">
        <v>3698</v>
      </c>
      <c r="T3529">
        <v>25</v>
      </c>
      <c r="U3529" s="2" t="s">
        <v>21499</v>
      </c>
      <c r="W3529" t="s">
        <v>16496</v>
      </c>
      <c r="X3529">
        <v>835601</v>
      </c>
      <c r="Y3529" t="s">
        <v>21500</v>
      </c>
      <c r="Z3529" s="2" t="s">
        <v>21501</v>
      </c>
      <c r="AA3529" s="2" t="s">
        <v>21502</v>
      </c>
      <c r="AB3529" t="s">
        <v>88</v>
      </c>
      <c r="AG3529" t="s">
        <v>21503</v>
      </c>
      <c r="AH3529" t="s">
        <v>21504</v>
      </c>
      <c r="AI3529" t="s">
        <v>21505</v>
      </c>
    </row>
    <row r="3530" spans="2:35" ht="105">
      <c r="B3530" s="1">
        <v>45510</v>
      </c>
      <c r="C3530" s="4">
        <v>45510.667361111111</v>
      </c>
      <c r="D3530" t="s">
        <v>7537</v>
      </c>
      <c r="E3530" t="s">
        <v>21506</v>
      </c>
      <c r="F3530">
        <v>7</v>
      </c>
      <c r="G3530" t="s">
        <v>269</v>
      </c>
      <c r="H3530" t="s">
        <v>10969</v>
      </c>
      <c r="I3530" t="s">
        <v>40</v>
      </c>
      <c r="J3530" s="2" t="s">
        <v>20182</v>
      </c>
      <c r="K3530" t="s">
        <v>42</v>
      </c>
      <c r="L3530" t="s">
        <v>1288</v>
      </c>
      <c r="N3530" t="s">
        <v>1289</v>
      </c>
      <c r="Q3530">
        <v>29015</v>
      </c>
      <c r="R3530" t="s">
        <v>967</v>
      </c>
      <c r="S3530" t="s">
        <v>3523</v>
      </c>
      <c r="T3530">
        <v>28</v>
      </c>
      <c r="U3530" s="2" t="s">
        <v>21507</v>
      </c>
      <c r="W3530" t="s">
        <v>1292</v>
      </c>
      <c r="X3530">
        <v>110023502</v>
      </c>
      <c r="Y3530" t="e">
        <f ca="1">-_xludf.For Preventive Maintenance
-GX ID STICKER Installation</f>
        <v>#NAME?</v>
      </c>
      <c r="Z3530" t="e">
        <f ca="1">-COLLECT IQR, system _xludf.Log, _xludf.and ARCHIVE</f>
        <v>#NAME?</v>
      </c>
      <c r="AA3530" t="e">
        <f ca="1">-PERFORM Preventive Maintenance PROCEDURE</f>
        <v>#NAME?</v>
      </c>
      <c r="AB3530" t="s">
        <v>1293</v>
      </c>
      <c r="AG3530" t="s">
        <v>21508</v>
      </c>
      <c r="AH3530" t="s">
        <v>3531</v>
      </c>
      <c r="AI3530" t="s">
        <v>21509</v>
      </c>
    </row>
    <row r="3531" spans="2:35" ht="285">
      <c r="B3531" s="1">
        <v>45510</v>
      </c>
      <c r="C3531" s="4">
        <v>45510.657638888886</v>
      </c>
      <c r="D3531" t="s">
        <v>9886</v>
      </c>
      <c r="E3531" t="s">
        <v>9887</v>
      </c>
      <c r="F3531">
        <v>12</v>
      </c>
      <c r="G3531" t="s">
        <v>5785</v>
      </c>
      <c r="H3531" t="s">
        <v>1473</v>
      </c>
      <c r="I3531" t="s">
        <v>40</v>
      </c>
      <c r="J3531" t="s">
        <v>321</v>
      </c>
      <c r="K3531" t="s">
        <v>42</v>
      </c>
      <c r="L3531" t="s">
        <v>296</v>
      </c>
      <c r="N3531" t="s">
        <v>297</v>
      </c>
      <c r="Q3531">
        <v>29014</v>
      </c>
      <c r="R3531" t="s">
        <v>119</v>
      </c>
      <c r="S3531" t="s">
        <v>9888</v>
      </c>
      <c r="T3531">
        <v>27.4</v>
      </c>
      <c r="U3531" s="2" t="s">
        <v>15750</v>
      </c>
      <c r="W3531" t="s">
        <v>981</v>
      </c>
      <c r="X3531">
        <v>838419</v>
      </c>
      <c r="Y3531" t="s">
        <v>54</v>
      </c>
      <c r="Z3531" t="s">
        <v>9161</v>
      </c>
      <c r="AA3531" s="2" t="s">
        <v>21510</v>
      </c>
      <c r="AB3531" t="s">
        <v>972</v>
      </c>
      <c r="AG3531" t="s">
        <v>21511</v>
      </c>
      <c r="AH3531" t="s">
        <v>21512</v>
      </c>
      <c r="AI3531" t="s">
        <v>21513</v>
      </c>
    </row>
    <row r="3532" spans="2:35" ht="405">
      <c r="B3532" s="1">
        <v>45510</v>
      </c>
      <c r="C3532" s="4">
        <v>45510.553472222222</v>
      </c>
      <c r="D3532" t="s">
        <v>9878</v>
      </c>
      <c r="E3532" t="s">
        <v>9879</v>
      </c>
      <c r="F3532">
        <v>12</v>
      </c>
      <c r="G3532" t="s">
        <v>5785</v>
      </c>
      <c r="H3532" t="s">
        <v>39</v>
      </c>
      <c r="I3532" t="s">
        <v>40</v>
      </c>
      <c r="J3532" t="s">
        <v>109</v>
      </c>
      <c r="K3532" t="s">
        <v>42</v>
      </c>
      <c r="L3532" t="s">
        <v>296</v>
      </c>
      <c r="N3532" t="s">
        <v>297</v>
      </c>
      <c r="Q3532">
        <v>29013</v>
      </c>
      <c r="R3532" t="s">
        <v>119</v>
      </c>
      <c r="S3532" t="s">
        <v>9880</v>
      </c>
      <c r="T3532">
        <v>25.9</v>
      </c>
      <c r="U3532" s="2" t="s">
        <v>16769</v>
      </c>
      <c r="W3532" t="s">
        <v>981</v>
      </c>
      <c r="X3532">
        <v>838542</v>
      </c>
      <c r="Y3532" s="2" t="s">
        <v>21514</v>
      </c>
      <c r="Z3532" t="s">
        <v>9161</v>
      </c>
      <c r="AA3532" s="2" t="s">
        <v>21515</v>
      </c>
      <c r="AB3532" t="s">
        <v>1480</v>
      </c>
      <c r="AG3532" t="s">
        <v>21516</v>
      </c>
      <c r="AH3532" t="s">
        <v>9884</v>
      </c>
      <c r="AI3532" t="s">
        <v>21517</v>
      </c>
    </row>
    <row r="3533" spans="2:35" ht="165">
      <c r="B3533" s="1">
        <v>45510</v>
      </c>
      <c r="C3533" s="4">
        <v>45510.632638888892</v>
      </c>
      <c r="D3533" t="s">
        <v>8341</v>
      </c>
      <c r="E3533" t="s">
        <v>12743</v>
      </c>
      <c r="F3533">
        <v>2</v>
      </c>
      <c r="G3533" t="s">
        <v>60</v>
      </c>
      <c r="H3533" t="s">
        <v>39</v>
      </c>
      <c r="I3533" t="s">
        <v>40</v>
      </c>
      <c r="J3533" s="2" t="s">
        <v>190</v>
      </c>
      <c r="K3533" t="s">
        <v>42</v>
      </c>
      <c r="L3533" t="s">
        <v>63</v>
      </c>
      <c r="N3533" t="s">
        <v>64</v>
      </c>
      <c r="Q3533">
        <v>29012</v>
      </c>
      <c r="R3533" t="s">
        <v>119</v>
      </c>
      <c r="S3533" t="s">
        <v>8343</v>
      </c>
      <c r="T3533">
        <v>28</v>
      </c>
      <c r="U3533" s="2" t="s">
        <v>14467</v>
      </c>
      <c r="W3533" t="s">
        <v>66</v>
      </c>
      <c r="X3533">
        <v>838201</v>
      </c>
      <c r="Y3533" t="s">
        <v>21518</v>
      </c>
      <c r="Z3533" t="s">
        <v>2322</v>
      </c>
      <c r="AA3533" s="2" t="s">
        <v>1727</v>
      </c>
      <c r="AB3533" t="s">
        <v>70</v>
      </c>
      <c r="AC3533" t="s">
        <v>4542</v>
      </c>
      <c r="AG3533" t="s">
        <v>21519</v>
      </c>
      <c r="AH3533" t="s">
        <v>21520</v>
      </c>
      <c r="AI3533" t="s">
        <v>21521</v>
      </c>
    </row>
    <row r="3534" spans="2:35" ht="165">
      <c r="B3534" s="1">
        <v>45510</v>
      </c>
      <c r="C3534" s="4">
        <v>45510.55972222222</v>
      </c>
      <c r="D3534" t="s">
        <v>9251</v>
      </c>
      <c r="E3534" t="s">
        <v>19670</v>
      </c>
      <c r="F3534">
        <v>2</v>
      </c>
      <c r="G3534" t="s">
        <v>60</v>
      </c>
      <c r="H3534" t="s">
        <v>39</v>
      </c>
      <c r="I3534" t="s">
        <v>40</v>
      </c>
      <c r="J3534" t="s">
        <v>109</v>
      </c>
      <c r="K3534" t="s">
        <v>42</v>
      </c>
      <c r="L3534" t="s">
        <v>63</v>
      </c>
      <c r="N3534" t="s">
        <v>64</v>
      </c>
      <c r="Q3534">
        <v>29011</v>
      </c>
      <c r="R3534" t="s">
        <v>119</v>
      </c>
      <c r="S3534" t="s">
        <v>9253</v>
      </c>
      <c r="T3534">
        <v>28</v>
      </c>
      <c r="U3534" s="2" t="s">
        <v>15020</v>
      </c>
      <c r="W3534" t="s">
        <v>66</v>
      </c>
      <c r="X3534">
        <v>838272</v>
      </c>
      <c r="Y3534" t="s">
        <v>2692</v>
      </c>
      <c r="Z3534" s="2" t="s">
        <v>1727</v>
      </c>
      <c r="AA3534" t="s">
        <v>20660</v>
      </c>
      <c r="AB3534" t="s">
        <v>70</v>
      </c>
      <c r="AG3534" t="s">
        <v>21522</v>
      </c>
      <c r="AH3534" t="s">
        <v>21523</v>
      </c>
      <c r="AI3534" t="s">
        <v>21524</v>
      </c>
    </row>
    <row r="3535" spans="2:35" ht="345">
      <c r="B3535" s="1">
        <v>45510</v>
      </c>
      <c r="C3535" s="4">
        <v>45510.4375</v>
      </c>
      <c r="D3535" t="s">
        <v>21525</v>
      </c>
      <c r="E3535" t="s">
        <v>17478</v>
      </c>
      <c r="F3535" t="s">
        <v>148</v>
      </c>
      <c r="G3535" t="s">
        <v>447</v>
      </c>
      <c r="H3535" t="s">
        <v>39</v>
      </c>
      <c r="I3535" t="s">
        <v>40</v>
      </c>
      <c r="J3535" s="2" t="s">
        <v>62</v>
      </c>
      <c r="K3535" t="s">
        <v>42</v>
      </c>
      <c r="L3535" t="s">
        <v>15532</v>
      </c>
      <c r="N3535" t="s">
        <v>15533</v>
      </c>
      <c r="Q3535">
        <v>29010</v>
      </c>
      <c r="R3535" t="s">
        <v>322</v>
      </c>
      <c r="S3535" t="s">
        <v>9279</v>
      </c>
      <c r="T3535">
        <v>25</v>
      </c>
      <c r="U3535" s="2" t="s">
        <v>21526</v>
      </c>
      <c r="V3535" s="1">
        <v>45503</v>
      </c>
      <c r="W3535" t="s">
        <v>20940</v>
      </c>
      <c r="X3535">
        <v>120000577</v>
      </c>
      <c r="Y3535" t="s">
        <v>21527</v>
      </c>
      <c r="Z3535" s="2" t="s">
        <v>21528</v>
      </c>
      <c r="AA3535" s="2" t="s">
        <v>21529</v>
      </c>
      <c r="AB3535" s="2" t="s">
        <v>17371</v>
      </c>
      <c r="AD3535" t="s">
        <v>7189</v>
      </c>
      <c r="AE3535" t="s">
        <v>21530</v>
      </c>
      <c r="AG3535" t="s">
        <v>21531</v>
      </c>
      <c r="AH3535" t="s">
        <v>9282</v>
      </c>
      <c r="AI3535" t="s">
        <v>21532</v>
      </c>
    </row>
    <row r="3536" spans="2:35" ht="300">
      <c r="B3536" s="1">
        <v>45509</v>
      </c>
      <c r="C3536" s="4">
        <v>45504.44027777778</v>
      </c>
      <c r="D3536" t="s">
        <v>5017</v>
      </c>
      <c r="E3536" t="s">
        <v>21533</v>
      </c>
      <c r="F3536">
        <v>12</v>
      </c>
      <c r="G3536" t="s">
        <v>978</v>
      </c>
      <c r="H3536" t="s">
        <v>1473</v>
      </c>
      <c r="I3536" t="s">
        <v>40</v>
      </c>
      <c r="J3536" t="s">
        <v>109</v>
      </c>
      <c r="K3536" t="s">
        <v>42</v>
      </c>
      <c r="L3536" t="s">
        <v>296</v>
      </c>
      <c r="N3536" t="s">
        <v>297</v>
      </c>
      <c r="Q3536">
        <v>29009</v>
      </c>
      <c r="R3536" t="s">
        <v>119</v>
      </c>
      <c r="S3536" t="s">
        <v>5019</v>
      </c>
      <c r="T3536">
        <v>26.4</v>
      </c>
      <c r="U3536" s="2" t="s">
        <v>16050</v>
      </c>
      <c r="W3536" t="s">
        <v>21534</v>
      </c>
      <c r="X3536">
        <v>838569</v>
      </c>
      <c r="Y3536" t="s">
        <v>54</v>
      </c>
      <c r="Z3536" t="s">
        <v>303</v>
      </c>
      <c r="AA3536" s="2" t="s">
        <v>21535</v>
      </c>
      <c r="AB3536" t="s">
        <v>972</v>
      </c>
      <c r="AG3536" t="s">
        <v>21536</v>
      </c>
      <c r="AH3536" t="s">
        <v>7713</v>
      </c>
      <c r="AI3536" t="s">
        <v>21537</v>
      </c>
    </row>
    <row r="3537" spans="2:35" ht="360">
      <c r="B3537" s="1">
        <v>45509</v>
      </c>
      <c r="C3537" s="4">
        <v>45505.462500000001</v>
      </c>
      <c r="D3537" t="s">
        <v>21538</v>
      </c>
      <c r="E3537" t="s">
        <v>7497</v>
      </c>
      <c r="F3537">
        <v>12</v>
      </c>
      <c r="G3537" t="s">
        <v>978</v>
      </c>
      <c r="H3537" t="s">
        <v>1473</v>
      </c>
      <c r="I3537" t="s">
        <v>40</v>
      </c>
      <c r="J3537" t="s">
        <v>321</v>
      </c>
      <c r="K3537" t="s">
        <v>42</v>
      </c>
      <c r="L3537" t="s">
        <v>296</v>
      </c>
      <c r="N3537" t="s">
        <v>297</v>
      </c>
      <c r="Q3537">
        <v>29008</v>
      </c>
      <c r="R3537" t="s">
        <v>119</v>
      </c>
      <c r="S3537" t="s">
        <v>4415</v>
      </c>
      <c r="T3537">
        <v>26.3</v>
      </c>
      <c r="U3537" s="2" t="s">
        <v>21539</v>
      </c>
      <c r="W3537" t="s">
        <v>981</v>
      </c>
      <c r="X3537">
        <v>838544</v>
      </c>
      <c r="Y3537" s="2" t="s">
        <v>21540</v>
      </c>
      <c r="Z3537" t="s">
        <v>8494</v>
      </c>
      <c r="AA3537" s="2" t="s">
        <v>21541</v>
      </c>
      <c r="AB3537" t="s">
        <v>1480</v>
      </c>
      <c r="AG3537" t="s">
        <v>21542</v>
      </c>
      <c r="AH3537" t="s">
        <v>10387</v>
      </c>
      <c r="AI3537" t="s">
        <v>21543</v>
      </c>
    </row>
    <row r="3538" spans="2:35" ht="105">
      <c r="B3538" s="1">
        <v>45509</v>
      </c>
      <c r="C3538" s="4">
        <v>45509.452777777777</v>
      </c>
      <c r="D3538" t="s">
        <v>11880</v>
      </c>
      <c r="E3538" t="s">
        <v>11881</v>
      </c>
      <c r="F3538">
        <v>6</v>
      </c>
      <c r="G3538" t="s">
        <v>269</v>
      </c>
      <c r="H3538" t="s">
        <v>39</v>
      </c>
      <c r="I3538" t="s">
        <v>40</v>
      </c>
      <c r="J3538" t="s">
        <v>109</v>
      </c>
      <c r="K3538" t="s">
        <v>42</v>
      </c>
      <c r="L3538" t="s">
        <v>270</v>
      </c>
      <c r="N3538" t="s">
        <v>2481</v>
      </c>
      <c r="Q3538">
        <v>29007</v>
      </c>
      <c r="R3538" t="s">
        <v>119</v>
      </c>
      <c r="S3538" t="s">
        <v>11882</v>
      </c>
      <c r="T3538">
        <v>25</v>
      </c>
      <c r="U3538" s="2" t="s">
        <v>21544</v>
      </c>
      <c r="W3538" t="s">
        <v>3662</v>
      </c>
      <c r="X3538">
        <v>838477</v>
      </c>
      <c r="Y3538" t="s">
        <v>301</v>
      </c>
      <c r="Z3538" t="e">
        <f ca="1">- cleaned _xludf.filter, plunger Rods, module Bays, optic slots.</f>
        <v>#NAME?</v>
      </c>
      <c r="AA3538" t="e">
        <f ca="1">- Preventive Maintenance.
- Install GX ID QR _xludf.code sticker.</f>
        <v>#NAME?</v>
      </c>
      <c r="AB3538" t="s">
        <v>4668</v>
      </c>
      <c r="AG3538" t="s">
        <v>21545</v>
      </c>
      <c r="AH3538" t="s">
        <v>11886</v>
      </c>
      <c r="AI3538" t="s">
        <v>21546</v>
      </c>
    </row>
    <row r="3539" spans="2:35" ht="60">
      <c r="B3539" s="1">
        <v>45509</v>
      </c>
      <c r="C3539" s="4">
        <v>45505.440972222219</v>
      </c>
      <c r="D3539" t="s">
        <v>21547</v>
      </c>
      <c r="E3539" t="s">
        <v>1285</v>
      </c>
      <c r="F3539">
        <v>6</v>
      </c>
      <c r="G3539" t="s">
        <v>1286</v>
      </c>
      <c r="H3539" t="s">
        <v>39</v>
      </c>
      <c r="I3539" t="s">
        <v>94</v>
      </c>
      <c r="J3539" s="2" t="s">
        <v>21548</v>
      </c>
      <c r="K3539" t="s">
        <v>42</v>
      </c>
      <c r="L3539" t="s">
        <v>594</v>
      </c>
      <c r="N3539" t="s">
        <v>595</v>
      </c>
      <c r="O3539" t="s">
        <v>595</v>
      </c>
      <c r="Q3539">
        <v>29006</v>
      </c>
      <c r="R3539" t="s">
        <v>45</v>
      </c>
      <c r="S3539" t="s">
        <v>21549</v>
      </c>
      <c r="T3539">
        <v>24</v>
      </c>
      <c r="V3539" s="1">
        <v>45505</v>
      </c>
      <c r="W3539" t="s">
        <v>360</v>
      </c>
      <c r="X3539">
        <v>706910</v>
      </c>
      <c r="Y3539" t="s">
        <v>21550</v>
      </c>
      <c r="Z3539" t="s">
        <v>21551</v>
      </c>
      <c r="AA3539" t="s">
        <v>21552</v>
      </c>
      <c r="AB3539" t="s">
        <v>9638</v>
      </c>
      <c r="AG3539" t="s">
        <v>21553</v>
      </c>
      <c r="AH3539" t="s">
        <v>21554</v>
      </c>
      <c r="AI3539" t="s">
        <v>21555</v>
      </c>
    </row>
    <row r="3540" spans="2:35" ht="105">
      <c r="B3540" s="1">
        <v>45509</v>
      </c>
      <c r="C3540" s="4">
        <v>45509.51666666667</v>
      </c>
      <c r="D3540" t="s">
        <v>18680</v>
      </c>
      <c r="E3540" t="s">
        <v>18681</v>
      </c>
      <c r="F3540">
        <v>7</v>
      </c>
      <c r="G3540" t="s">
        <v>269</v>
      </c>
      <c r="H3540" t="s">
        <v>10969</v>
      </c>
      <c r="I3540" t="s">
        <v>40</v>
      </c>
      <c r="J3540" s="2" t="s">
        <v>20182</v>
      </c>
      <c r="K3540" t="s">
        <v>42</v>
      </c>
      <c r="L3540" t="s">
        <v>1288</v>
      </c>
      <c r="N3540" t="s">
        <v>1289</v>
      </c>
      <c r="Q3540">
        <v>29005</v>
      </c>
      <c r="R3540" t="s">
        <v>119</v>
      </c>
      <c r="S3540" t="s">
        <v>13431</v>
      </c>
      <c r="T3540">
        <v>28</v>
      </c>
      <c r="U3540" s="2" t="s">
        <v>21259</v>
      </c>
      <c r="W3540" t="s">
        <v>1292</v>
      </c>
      <c r="X3540">
        <v>838475</v>
      </c>
      <c r="Y3540" t="e">
        <f ca="1">-Preventive Maintenance
-GX ID STICKER Installation</f>
        <v>#NAME?</v>
      </c>
      <c r="Z3540" t="e">
        <f ca="1">-COLLECT IQR, system _xludf.Log, _xludf.and ARCHIVE</f>
        <v>#NAME?</v>
      </c>
      <c r="AA3540" t="e">
        <f ca="1">-PERFORM Preventive Maintenance PROCEDURE
-_xludf.Clean FAN _xludf.filter, plunger rod, _xludf.and PROBES</f>
        <v>#NAME?</v>
      </c>
      <c r="AB3540" t="s">
        <v>1293</v>
      </c>
      <c r="AG3540" t="s">
        <v>21556</v>
      </c>
      <c r="AH3540" t="s">
        <v>21557</v>
      </c>
      <c r="AI3540" t="s">
        <v>21558</v>
      </c>
    </row>
    <row r="3541" spans="2:35" ht="225">
      <c r="B3541" s="1">
        <v>45509</v>
      </c>
      <c r="C3541" s="4">
        <v>45509.434027777781</v>
      </c>
      <c r="D3541" t="s">
        <v>8684</v>
      </c>
      <c r="E3541" t="s">
        <v>21559</v>
      </c>
      <c r="F3541">
        <v>5</v>
      </c>
      <c r="G3541" t="s">
        <v>814</v>
      </c>
      <c r="H3541" t="s">
        <v>39</v>
      </c>
      <c r="I3541" t="s">
        <v>40</v>
      </c>
      <c r="J3541" t="s">
        <v>109</v>
      </c>
      <c r="K3541" t="s">
        <v>42</v>
      </c>
      <c r="L3541" t="s">
        <v>761</v>
      </c>
      <c r="N3541" t="s">
        <v>762</v>
      </c>
      <c r="Q3541">
        <v>29004</v>
      </c>
      <c r="R3541" t="s">
        <v>119</v>
      </c>
      <c r="S3541" t="s">
        <v>14253</v>
      </c>
      <c r="T3541">
        <v>25</v>
      </c>
      <c r="U3541" s="2" t="s">
        <v>8751</v>
      </c>
      <c r="W3541" t="s">
        <v>765</v>
      </c>
      <c r="X3541">
        <v>838266</v>
      </c>
      <c r="Y3541" t="s">
        <v>818</v>
      </c>
      <c r="Z3541" s="2" t="s">
        <v>21560</v>
      </c>
      <c r="AA3541" t="s">
        <v>820</v>
      </c>
      <c r="AB3541" t="s">
        <v>70</v>
      </c>
      <c r="AC3541" t="s">
        <v>21561</v>
      </c>
      <c r="AG3541" t="s">
        <v>21562</v>
      </c>
      <c r="AH3541" t="s">
        <v>12319</v>
      </c>
      <c r="AI3541" t="s">
        <v>21563</v>
      </c>
    </row>
    <row r="3542" spans="2:35" ht="409.5">
      <c r="B3542" s="1">
        <v>45509</v>
      </c>
      <c r="C3542" s="4">
        <v>45506.529861111114</v>
      </c>
      <c r="D3542" t="s">
        <v>5807</v>
      </c>
      <c r="E3542" t="s">
        <v>21564</v>
      </c>
      <c r="F3542">
        <v>5</v>
      </c>
      <c r="G3542" t="s">
        <v>839</v>
      </c>
      <c r="H3542" t="s">
        <v>39</v>
      </c>
      <c r="I3542" t="s">
        <v>94</v>
      </c>
      <c r="J3542" s="2" t="s">
        <v>62</v>
      </c>
      <c r="K3542" t="s">
        <v>42</v>
      </c>
      <c r="L3542" t="s">
        <v>761</v>
      </c>
      <c r="N3542" t="s">
        <v>762</v>
      </c>
      <c r="Q3542">
        <v>29003</v>
      </c>
      <c r="R3542" t="s">
        <v>119</v>
      </c>
      <c r="S3542" t="s">
        <v>7099</v>
      </c>
      <c r="T3542">
        <v>28</v>
      </c>
      <c r="U3542" s="2" t="s">
        <v>21565</v>
      </c>
      <c r="W3542" t="s">
        <v>765</v>
      </c>
      <c r="X3542">
        <v>838408</v>
      </c>
      <c r="Y3542" t="s">
        <v>5500</v>
      </c>
      <c r="Z3542" s="2" t="s">
        <v>21566</v>
      </c>
      <c r="AA3542" s="2" t="s">
        <v>4477</v>
      </c>
      <c r="AB3542" t="s">
        <v>70</v>
      </c>
      <c r="AG3542" t="s">
        <v>21567</v>
      </c>
      <c r="AH3542" t="s">
        <v>10770</v>
      </c>
      <c r="AI3542" t="s">
        <v>21568</v>
      </c>
    </row>
    <row r="3543" spans="2:35" ht="409.5">
      <c r="B3543" s="1">
        <v>45509</v>
      </c>
      <c r="C3543" s="4">
        <v>45505.629166666666</v>
      </c>
      <c r="D3543" t="s">
        <v>8907</v>
      </c>
      <c r="E3543" t="s">
        <v>21569</v>
      </c>
      <c r="F3543">
        <v>5</v>
      </c>
      <c r="G3543" t="s">
        <v>839</v>
      </c>
      <c r="H3543" t="s">
        <v>39</v>
      </c>
      <c r="I3543" t="s">
        <v>94</v>
      </c>
      <c r="J3543" s="2" t="s">
        <v>62</v>
      </c>
      <c r="K3543" t="s">
        <v>42</v>
      </c>
      <c r="L3543" t="s">
        <v>761</v>
      </c>
      <c r="N3543" t="s">
        <v>762</v>
      </c>
      <c r="Q3543">
        <v>29002</v>
      </c>
      <c r="R3543" t="s">
        <v>119</v>
      </c>
      <c r="S3543" t="s">
        <v>8909</v>
      </c>
      <c r="T3543">
        <v>29</v>
      </c>
      <c r="U3543" s="2" t="s">
        <v>21570</v>
      </c>
      <c r="W3543" t="s">
        <v>765</v>
      </c>
      <c r="X3543">
        <v>838389</v>
      </c>
      <c r="Y3543" t="s">
        <v>5500</v>
      </c>
      <c r="Z3543" s="2" t="s">
        <v>21571</v>
      </c>
      <c r="AA3543" s="2" t="s">
        <v>4477</v>
      </c>
      <c r="AB3543" t="s">
        <v>70</v>
      </c>
      <c r="AC3543" t="s">
        <v>21572</v>
      </c>
      <c r="AG3543" t="s">
        <v>21573</v>
      </c>
      <c r="AH3543" t="s">
        <v>21574</v>
      </c>
      <c r="AI3543" t="s">
        <v>21575</v>
      </c>
    </row>
    <row r="3544" spans="2:35" ht="210">
      <c r="B3544" s="1">
        <v>45509</v>
      </c>
      <c r="C3544" s="4">
        <v>45503.607638888891</v>
      </c>
      <c r="D3544" t="s">
        <v>10656</v>
      </c>
      <c r="E3544" t="s">
        <v>21576</v>
      </c>
      <c r="F3544">
        <v>5</v>
      </c>
      <c r="G3544" t="s">
        <v>8314</v>
      </c>
      <c r="H3544" t="s">
        <v>39</v>
      </c>
      <c r="I3544" t="s">
        <v>94</v>
      </c>
      <c r="J3544" s="2" t="s">
        <v>41</v>
      </c>
      <c r="K3544" t="s">
        <v>42</v>
      </c>
      <c r="L3544" t="s">
        <v>761</v>
      </c>
      <c r="N3544" t="s">
        <v>762</v>
      </c>
      <c r="Q3544">
        <v>29001</v>
      </c>
      <c r="R3544" t="s">
        <v>119</v>
      </c>
      <c r="S3544" t="s">
        <v>10657</v>
      </c>
      <c r="T3544">
        <v>28</v>
      </c>
      <c r="W3544" t="s">
        <v>765</v>
      </c>
      <c r="X3544">
        <v>838563</v>
      </c>
      <c r="Y3544" t="s">
        <v>21577</v>
      </c>
      <c r="Z3544" s="2" t="s">
        <v>21578</v>
      </c>
      <c r="AA3544" s="2" t="s">
        <v>21579</v>
      </c>
      <c r="AB3544" t="s">
        <v>70</v>
      </c>
      <c r="AG3544" t="s">
        <v>21580</v>
      </c>
      <c r="AH3544" t="s">
        <v>21581</v>
      </c>
      <c r="AI3544" t="s">
        <v>21582</v>
      </c>
    </row>
    <row r="3545" spans="2:35" ht="240">
      <c r="B3545" s="1">
        <v>45509</v>
      </c>
      <c r="C3545" s="4">
        <v>45509.228472222225</v>
      </c>
      <c r="D3545" t="s">
        <v>21583</v>
      </c>
      <c r="E3545" t="s">
        <v>21584</v>
      </c>
      <c r="F3545">
        <v>9</v>
      </c>
      <c r="G3545" t="s">
        <v>2197</v>
      </c>
      <c r="H3545" t="s">
        <v>39</v>
      </c>
      <c r="I3545" t="s">
        <v>94</v>
      </c>
      <c r="J3545" s="2" t="s">
        <v>21585</v>
      </c>
      <c r="K3545" t="s">
        <v>42</v>
      </c>
      <c r="L3545" t="s">
        <v>1257</v>
      </c>
      <c r="N3545" t="s">
        <v>2199</v>
      </c>
      <c r="O3545" t="s">
        <v>1258</v>
      </c>
      <c r="Q3545">
        <v>29000</v>
      </c>
      <c r="R3545" t="s">
        <v>119</v>
      </c>
      <c r="S3545" t="s">
        <v>17322</v>
      </c>
      <c r="T3545">
        <v>26</v>
      </c>
      <c r="U3545" s="2" t="s">
        <v>10361</v>
      </c>
      <c r="V3545" s="1">
        <v>45505</v>
      </c>
      <c r="W3545" t="s">
        <v>21586</v>
      </c>
      <c r="X3545">
        <v>838443</v>
      </c>
      <c r="Y3545" t="s">
        <v>301</v>
      </c>
      <c r="Z3545" t="s">
        <v>21587</v>
      </c>
      <c r="AA3545" t="s">
        <v>21587</v>
      </c>
      <c r="AB3545" t="s">
        <v>7411</v>
      </c>
      <c r="AC3545" t="s">
        <v>301</v>
      </c>
      <c r="AD3545" t="s">
        <v>54</v>
      </c>
      <c r="AE3545" t="s">
        <v>54</v>
      </c>
      <c r="AG3545" t="s">
        <v>21588</v>
      </c>
      <c r="AH3545" t="s">
        <v>9183</v>
      </c>
      <c r="AI3545" t="s">
        <v>21589</v>
      </c>
    </row>
    <row r="3546" spans="2:35" ht="375">
      <c r="B3546" s="1">
        <v>45506</v>
      </c>
      <c r="C3546" s="4">
        <v>45506.517361111109</v>
      </c>
      <c r="D3546" t="s">
        <v>6619</v>
      </c>
      <c r="E3546" t="s">
        <v>11803</v>
      </c>
      <c r="F3546" t="s">
        <v>37</v>
      </c>
      <c r="G3546" t="s">
        <v>748</v>
      </c>
      <c r="H3546" t="s">
        <v>39</v>
      </c>
      <c r="I3546" t="s">
        <v>40</v>
      </c>
      <c r="J3546" s="2" t="s">
        <v>1592</v>
      </c>
      <c r="K3546" t="s">
        <v>42</v>
      </c>
      <c r="L3546" t="s">
        <v>1028</v>
      </c>
      <c r="N3546" t="s">
        <v>1029</v>
      </c>
      <c r="Q3546">
        <v>28996</v>
      </c>
      <c r="R3546" t="s">
        <v>119</v>
      </c>
      <c r="S3546" t="s">
        <v>5176</v>
      </c>
      <c r="T3546">
        <v>25</v>
      </c>
      <c r="U3546" s="2" t="s">
        <v>21590</v>
      </c>
      <c r="V3546" s="1">
        <v>45502</v>
      </c>
      <c r="W3546" t="s">
        <v>1967</v>
      </c>
      <c r="X3546">
        <v>838535</v>
      </c>
      <c r="Y3546" s="2" t="s">
        <v>21591</v>
      </c>
      <c r="Z3546" s="2" t="s">
        <v>21592</v>
      </c>
      <c r="AA3546" s="2" t="s">
        <v>21593</v>
      </c>
      <c r="AB3546" s="2" t="s">
        <v>21594</v>
      </c>
      <c r="AC3546" t="s">
        <v>21595</v>
      </c>
      <c r="AD3546" t="s">
        <v>21596</v>
      </c>
      <c r="AE3546" t="s">
        <v>21597</v>
      </c>
      <c r="AG3546" t="s">
        <v>21598</v>
      </c>
      <c r="AH3546" t="s">
        <v>5181</v>
      </c>
      <c r="AI3546" t="s">
        <v>21599</v>
      </c>
    </row>
    <row r="3547" spans="2:35" ht="225">
      <c r="B3547" s="1">
        <v>45506</v>
      </c>
      <c r="C3547" s="4">
        <v>45504.597916666666</v>
      </c>
      <c r="D3547" t="s">
        <v>21600</v>
      </c>
      <c r="E3547" t="s">
        <v>14011</v>
      </c>
      <c r="F3547" t="s">
        <v>148</v>
      </c>
      <c r="G3547" t="s">
        <v>774</v>
      </c>
      <c r="H3547" t="s">
        <v>513</v>
      </c>
      <c r="I3547" t="s">
        <v>40</v>
      </c>
      <c r="J3547" t="s">
        <v>109</v>
      </c>
      <c r="K3547" t="s">
        <v>387</v>
      </c>
      <c r="L3547" t="s">
        <v>1028</v>
      </c>
      <c r="N3547" t="s">
        <v>1029</v>
      </c>
      <c r="O3547" t="s">
        <v>10918</v>
      </c>
      <c r="Q3547">
        <v>28999</v>
      </c>
      <c r="R3547" t="s">
        <v>322</v>
      </c>
      <c r="S3547" t="s">
        <v>10944</v>
      </c>
      <c r="T3547">
        <v>25</v>
      </c>
      <c r="W3547" t="s">
        <v>390</v>
      </c>
      <c r="X3547" t="s">
        <v>3773</v>
      </c>
      <c r="Y3547" t="s">
        <v>1978</v>
      </c>
      <c r="Z3547" t="s">
        <v>1548</v>
      </c>
      <c r="AA3547" s="2" t="s">
        <v>21601</v>
      </c>
      <c r="AB3547" t="s">
        <v>21602</v>
      </c>
      <c r="AG3547" t="s">
        <v>21603</v>
      </c>
      <c r="AH3547" t="s">
        <v>10923</v>
      </c>
      <c r="AI3547" t="s">
        <v>21604</v>
      </c>
    </row>
    <row r="3548" spans="2:35" ht="225">
      <c r="B3548" s="1">
        <v>45506</v>
      </c>
      <c r="C3548" s="4">
        <v>45504.594444444447</v>
      </c>
      <c r="D3548" t="s">
        <v>1026</v>
      </c>
      <c r="E3548" t="s">
        <v>14011</v>
      </c>
      <c r="F3548" t="s">
        <v>148</v>
      </c>
      <c r="G3548" t="s">
        <v>774</v>
      </c>
      <c r="H3548" t="s">
        <v>513</v>
      </c>
      <c r="I3548" t="s">
        <v>40</v>
      </c>
      <c r="J3548" t="s">
        <v>109</v>
      </c>
      <c r="K3548" t="s">
        <v>387</v>
      </c>
      <c r="L3548" t="s">
        <v>1028</v>
      </c>
      <c r="N3548" t="s">
        <v>1029</v>
      </c>
      <c r="O3548" t="s">
        <v>10918</v>
      </c>
      <c r="Q3548">
        <v>28997</v>
      </c>
      <c r="R3548" t="s">
        <v>322</v>
      </c>
      <c r="S3548" t="s">
        <v>10944</v>
      </c>
      <c r="T3548">
        <v>25</v>
      </c>
      <c r="W3548" t="s">
        <v>390</v>
      </c>
      <c r="X3548" t="s">
        <v>5184</v>
      </c>
      <c r="Y3548" t="s">
        <v>1978</v>
      </c>
      <c r="Z3548" t="s">
        <v>1548</v>
      </c>
      <c r="AA3548" s="2" t="s">
        <v>21601</v>
      </c>
      <c r="AB3548" t="s">
        <v>21605</v>
      </c>
      <c r="AG3548" t="s">
        <v>21606</v>
      </c>
      <c r="AH3548" t="s">
        <v>10923</v>
      </c>
      <c r="AI3548" t="s">
        <v>21607</v>
      </c>
    </row>
    <row r="3549" spans="2:35" ht="330">
      <c r="B3549" s="1">
        <v>45506</v>
      </c>
      <c r="C3549" s="4">
        <v>45503.595138888886</v>
      </c>
      <c r="D3549" t="s">
        <v>10933</v>
      </c>
      <c r="E3549" t="s">
        <v>15409</v>
      </c>
      <c r="F3549" t="s">
        <v>148</v>
      </c>
      <c r="G3549" t="s">
        <v>310</v>
      </c>
      <c r="H3549" t="s">
        <v>662</v>
      </c>
      <c r="I3549" t="s">
        <v>40</v>
      </c>
      <c r="J3549" t="s">
        <v>109</v>
      </c>
      <c r="K3549" t="s">
        <v>42</v>
      </c>
      <c r="L3549" t="s">
        <v>1028</v>
      </c>
      <c r="N3549" t="s">
        <v>1029</v>
      </c>
      <c r="O3549" t="s">
        <v>21608</v>
      </c>
      <c r="Q3549">
        <v>28995</v>
      </c>
      <c r="R3549" t="s">
        <v>322</v>
      </c>
      <c r="S3549" t="s">
        <v>14776</v>
      </c>
      <c r="T3549">
        <v>20</v>
      </c>
      <c r="U3549" s="2" t="s">
        <v>21609</v>
      </c>
      <c r="W3549" t="s">
        <v>1032</v>
      </c>
      <c r="X3549">
        <v>110015482</v>
      </c>
      <c r="Y3549" t="s">
        <v>1978</v>
      </c>
      <c r="Z3549" t="s">
        <v>1548</v>
      </c>
      <c r="AA3549" s="2" t="s">
        <v>1979</v>
      </c>
      <c r="AB3549" t="s">
        <v>21610</v>
      </c>
      <c r="AG3549" t="s">
        <v>21611</v>
      </c>
      <c r="AH3549" t="s">
        <v>21612</v>
      </c>
      <c r="AI3549" t="s">
        <v>21613</v>
      </c>
    </row>
    <row r="3550" spans="2:35" ht="195">
      <c r="B3550" s="1">
        <v>45506</v>
      </c>
      <c r="C3550" s="4">
        <v>45503.599305555559</v>
      </c>
      <c r="D3550" t="s">
        <v>10933</v>
      </c>
      <c r="E3550" t="s">
        <v>10934</v>
      </c>
      <c r="F3550" t="s">
        <v>148</v>
      </c>
      <c r="G3550" t="s">
        <v>310</v>
      </c>
      <c r="H3550" t="s">
        <v>662</v>
      </c>
      <c r="I3550" t="s">
        <v>40</v>
      </c>
      <c r="J3550" t="s">
        <v>109</v>
      </c>
      <c r="K3550" t="s">
        <v>42</v>
      </c>
      <c r="L3550" t="s">
        <v>1028</v>
      </c>
      <c r="N3550" t="s">
        <v>1029</v>
      </c>
      <c r="O3550" t="s">
        <v>21608</v>
      </c>
      <c r="Q3550">
        <v>28998</v>
      </c>
      <c r="R3550" t="s">
        <v>322</v>
      </c>
      <c r="S3550" t="s">
        <v>14776</v>
      </c>
      <c r="T3550">
        <v>21</v>
      </c>
      <c r="U3550" s="2" t="s">
        <v>21614</v>
      </c>
      <c r="W3550" t="s">
        <v>2441</v>
      </c>
      <c r="X3550">
        <v>834953</v>
      </c>
      <c r="Y3550" t="s">
        <v>1978</v>
      </c>
      <c r="Z3550" t="s">
        <v>1548</v>
      </c>
      <c r="AA3550" s="2" t="s">
        <v>21615</v>
      </c>
      <c r="AB3550" t="s">
        <v>21616</v>
      </c>
      <c r="AG3550" t="s">
        <v>21617</v>
      </c>
      <c r="AH3550" t="s">
        <v>21612</v>
      </c>
      <c r="AI3550" t="s">
        <v>21618</v>
      </c>
    </row>
    <row r="3551" spans="2:35" ht="60">
      <c r="B3551" s="1">
        <v>45506</v>
      </c>
      <c r="C3551" s="4">
        <v>45506.572916666664</v>
      </c>
      <c r="D3551" t="s">
        <v>21619</v>
      </c>
      <c r="E3551" t="s">
        <v>21620</v>
      </c>
      <c r="F3551">
        <v>6</v>
      </c>
      <c r="G3551" t="s">
        <v>1234</v>
      </c>
      <c r="H3551" t="s">
        <v>61</v>
      </c>
      <c r="I3551" t="s">
        <v>40</v>
      </c>
      <c r="J3551" t="s">
        <v>109</v>
      </c>
      <c r="K3551" t="s">
        <v>42</v>
      </c>
      <c r="L3551" t="s">
        <v>433</v>
      </c>
      <c r="N3551" t="s">
        <v>434</v>
      </c>
      <c r="Q3551">
        <v>28994</v>
      </c>
      <c r="R3551" t="s">
        <v>95</v>
      </c>
      <c r="S3551" t="s">
        <v>11448</v>
      </c>
      <c r="T3551">
        <v>24</v>
      </c>
      <c r="W3551" t="s">
        <v>1008</v>
      </c>
      <c r="X3551">
        <v>110005268</v>
      </c>
      <c r="Y3551" t="s">
        <v>21621</v>
      </c>
      <c r="Z3551" s="2" t="s">
        <v>21622</v>
      </c>
      <c r="AA3551" s="2" t="s">
        <v>21622</v>
      </c>
      <c r="AB3551" t="s">
        <v>1011</v>
      </c>
      <c r="AG3551" t="s">
        <v>21623</v>
      </c>
      <c r="AH3551" t="s">
        <v>11452</v>
      </c>
      <c r="AI3551" t="s">
        <v>21624</v>
      </c>
    </row>
    <row r="3552" spans="2:35" ht="409.5">
      <c r="B3552" s="1">
        <v>45506</v>
      </c>
      <c r="C3552" s="4">
        <v>45506.554861111108</v>
      </c>
      <c r="D3552" t="s">
        <v>12557</v>
      </c>
      <c r="E3552" t="s">
        <v>21625</v>
      </c>
      <c r="F3552">
        <v>10</v>
      </c>
      <c r="G3552" t="s">
        <v>5571</v>
      </c>
      <c r="H3552" t="s">
        <v>39</v>
      </c>
      <c r="I3552" t="s">
        <v>94</v>
      </c>
      <c r="J3552" s="2" t="s">
        <v>21626</v>
      </c>
      <c r="K3552" t="s">
        <v>42</v>
      </c>
      <c r="L3552" t="s">
        <v>1257</v>
      </c>
      <c r="N3552" t="s">
        <v>1258</v>
      </c>
      <c r="O3552" t="s">
        <v>2199</v>
      </c>
      <c r="Q3552">
        <v>28993</v>
      </c>
      <c r="R3552" t="s">
        <v>967</v>
      </c>
      <c r="S3552" t="s">
        <v>5572</v>
      </c>
      <c r="T3552">
        <v>27</v>
      </c>
      <c r="V3552" s="1">
        <v>45463</v>
      </c>
      <c r="W3552" t="s">
        <v>21627</v>
      </c>
      <c r="X3552">
        <v>110023518</v>
      </c>
      <c r="Y3552" t="s">
        <v>301</v>
      </c>
      <c r="Z3552" t="s">
        <v>21628</v>
      </c>
      <c r="AA3552" t="s">
        <v>21629</v>
      </c>
      <c r="AB3552" t="s">
        <v>21630</v>
      </c>
      <c r="AC3552" t="s">
        <v>301</v>
      </c>
      <c r="AD3552" s="2" t="s">
        <v>21631</v>
      </c>
      <c r="AE3552">
        <v>11646</v>
      </c>
      <c r="AG3552" t="s">
        <v>21632</v>
      </c>
      <c r="AH3552" t="s">
        <v>5577</v>
      </c>
      <c r="AI3552" t="s">
        <v>21633</v>
      </c>
    </row>
    <row r="3553" spans="2:35" ht="255">
      <c r="B3553" s="1">
        <v>45506</v>
      </c>
      <c r="C3553" s="4">
        <v>45506.509722222225</v>
      </c>
      <c r="D3553" t="s">
        <v>4206</v>
      </c>
      <c r="E3553" t="s">
        <v>21634</v>
      </c>
      <c r="F3553">
        <v>11</v>
      </c>
      <c r="G3553" t="s">
        <v>2836</v>
      </c>
      <c r="H3553" t="s">
        <v>202</v>
      </c>
      <c r="I3553" t="s">
        <v>40</v>
      </c>
      <c r="J3553" t="s">
        <v>109</v>
      </c>
      <c r="K3553" t="s">
        <v>42</v>
      </c>
      <c r="L3553" t="s">
        <v>204</v>
      </c>
      <c r="N3553" t="s">
        <v>205</v>
      </c>
      <c r="Q3553">
        <v>28992</v>
      </c>
      <c r="R3553" t="s">
        <v>119</v>
      </c>
      <c r="S3553" t="s">
        <v>4209</v>
      </c>
      <c r="T3553">
        <v>26.7</v>
      </c>
      <c r="U3553" s="2" t="s">
        <v>21635</v>
      </c>
      <c r="W3553" t="s">
        <v>208</v>
      </c>
      <c r="X3553">
        <v>838295</v>
      </c>
      <c r="Y3553" t="s">
        <v>1052</v>
      </c>
      <c r="Z3553" s="2" t="s">
        <v>1892</v>
      </c>
      <c r="AA3553" t="s">
        <v>2551</v>
      </c>
      <c r="AB3553" t="s">
        <v>1211</v>
      </c>
      <c r="AG3553" t="s">
        <v>21636</v>
      </c>
      <c r="AH3553" t="s">
        <v>21637</v>
      </c>
      <c r="AI3553" t="s">
        <v>21638</v>
      </c>
    </row>
    <row r="3554" spans="2:35" ht="105">
      <c r="B3554" s="1">
        <v>45506</v>
      </c>
      <c r="C3554" s="4">
        <v>45506.472916666666</v>
      </c>
      <c r="D3554" t="s">
        <v>7634</v>
      </c>
      <c r="E3554" t="s">
        <v>12141</v>
      </c>
      <c r="F3554">
        <v>13</v>
      </c>
      <c r="G3554" t="s">
        <v>4484</v>
      </c>
      <c r="H3554" t="s">
        <v>2125</v>
      </c>
      <c r="I3554" t="s">
        <v>40</v>
      </c>
      <c r="J3554" t="s">
        <v>109</v>
      </c>
      <c r="K3554" t="s">
        <v>42</v>
      </c>
      <c r="L3554" t="s">
        <v>933</v>
      </c>
      <c r="N3554" t="s">
        <v>934</v>
      </c>
      <c r="Q3554">
        <v>28991</v>
      </c>
      <c r="R3554" t="s">
        <v>119</v>
      </c>
      <c r="S3554" t="s">
        <v>12142</v>
      </c>
      <c r="T3554">
        <v>27</v>
      </c>
      <c r="U3554" s="2" t="s">
        <v>8164</v>
      </c>
      <c r="W3554" t="s">
        <v>2127</v>
      </c>
      <c r="X3554">
        <v>837611</v>
      </c>
      <c r="Y3554" t="s">
        <v>301</v>
      </c>
      <c r="Z3554" t="s">
        <v>301</v>
      </c>
      <c r="AA3554" t="s">
        <v>21639</v>
      </c>
      <c r="AB3554" t="s">
        <v>2131</v>
      </c>
      <c r="AG3554" t="s">
        <v>21640</v>
      </c>
      <c r="AH3554" t="s">
        <v>13658</v>
      </c>
      <c r="AI3554" t="s">
        <v>21641</v>
      </c>
    </row>
    <row r="3555" spans="2:35" ht="409.5">
      <c r="B3555" s="1">
        <v>45506</v>
      </c>
      <c r="C3555" s="4">
        <v>45506.469444444447</v>
      </c>
      <c r="D3555" t="s">
        <v>8440</v>
      </c>
      <c r="E3555" t="s">
        <v>21642</v>
      </c>
      <c r="F3555">
        <v>3</v>
      </c>
      <c r="G3555" t="s">
        <v>134</v>
      </c>
      <c r="H3555" t="s">
        <v>39</v>
      </c>
      <c r="I3555" t="s">
        <v>40</v>
      </c>
      <c r="J3555" t="s">
        <v>109</v>
      </c>
      <c r="K3555" t="s">
        <v>42</v>
      </c>
      <c r="L3555" t="s">
        <v>135</v>
      </c>
      <c r="N3555" t="s">
        <v>136</v>
      </c>
      <c r="O3555" t="s">
        <v>9097</v>
      </c>
      <c r="Q3555">
        <v>28990</v>
      </c>
      <c r="R3555" t="s">
        <v>95</v>
      </c>
      <c r="S3555" t="s">
        <v>8442</v>
      </c>
      <c r="T3555">
        <v>24</v>
      </c>
      <c r="U3555" s="2" t="s">
        <v>21643</v>
      </c>
      <c r="W3555" t="s">
        <v>2680</v>
      </c>
      <c r="X3555">
        <v>839235</v>
      </c>
      <c r="Y3555" t="s">
        <v>7229</v>
      </c>
      <c r="Z3555" t="s">
        <v>4315</v>
      </c>
      <c r="AA3555" s="2" t="s">
        <v>4316</v>
      </c>
      <c r="AB3555" t="s">
        <v>9323</v>
      </c>
      <c r="AC3555" t="s">
        <v>21644</v>
      </c>
      <c r="AG3555" t="s">
        <v>21645</v>
      </c>
      <c r="AH3555" t="s">
        <v>11472</v>
      </c>
      <c r="AI3555" t="s">
        <v>21646</v>
      </c>
    </row>
    <row r="3556" spans="2:35" ht="105">
      <c r="B3556" s="1">
        <v>45506</v>
      </c>
      <c r="C3556" s="4">
        <v>45506.347916666666</v>
      </c>
      <c r="D3556" t="s">
        <v>21647</v>
      </c>
      <c r="E3556" t="s">
        <v>7772</v>
      </c>
      <c r="F3556">
        <v>6</v>
      </c>
      <c r="G3556" t="s">
        <v>1234</v>
      </c>
      <c r="H3556" t="s">
        <v>39</v>
      </c>
      <c r="I3556" t="s">
        <v>40</v>
      </c>
      <c r="J3556" t="s">
        <v>109</v>
      </c>
      <c r="K3556" t="s">
        <v>42</v>
      </c>
      <c r="L3556" t="s">
        <v>433</v>
      </c>
      <c r="N3556" t="s">
        <v>434</v>
      </c>
      <c r="Q3556">
        <v>28989</v>
      </c>
      <c r="R3556" t="s">
        <v>95</v>
      </c>
      <c r="S3556" t="s">
        <v>7773</v>
      </c>
      <c r="T3556">
        <v>28</v>
      </c>
      <c r="W3556" t="s">
        <v>1008</v>
      </c>
      <c r="X3556">
        <v>110020743</v>
      </c>
      <c r="Y3556" t="s">
        <v>301</v>
      </c>
      <c r="Z3556" s="2" t="s">
        <v>21648</v>
      </c>
      <c r="AA3556" s="2" t="s">
        <v>21648</v>
      </c>
      <c r="AB3556" t="s">
        <v>1011</v>
      </c>
      <c r="AG3556" t="s">
        <v>21649</v>
      </c>
      <c r="AH3556" t="s">
        <v>21650</v>
      </c>
      <c r="AI3556" t="s">
        <v>21651</v>
      </c>
    </row>
    <row r="3557" spans="2:35" ht="300">
      <c r="B3557" s="1">
        <v>45505</v>
      </c>
      <c r="C3557" s="4">
        <v>45505.490972222222</v>
      </c>
      <c r="D3557" t="s">
        <v>1316</v>
      </c>
      <c r="E3557" t="s">
        <v>21652</v>
      </c>
      <c r="F3557">
        <v>11</v>
      </c>
      <c r="G3557" t="s">
        <v>1205</v>
      </c>
      <c r="H3557" t="s">
        <v>1317</v>
      </c>
      <c r="I3557" t="s">
        <v>40</v>
      </c>
      <c r="J3557" t="s">
        <v>109</v>
      </c>
      <c r="K3557" t="s">
        <v>42</v>
      </c>
      <c r="L3557" t="s">
        <v>204</v>
      </c>
      <c r="N3557" t="s">
        <v>205</v>
      </c>
      <c r="Q3557">
        <v>28988</v>
      </c>
      <c r="R3557" t="s">
        <v>322</v>
      </c>
      <c r="S3557" t="s">
        <v>1318</v>
      </c>
      <c r="T3557">
        <v>24.8</v>
      </c>
      <c r="U3557" s="2" t="s">
        <v>21653</v>
      </c>
      <c r="W3557" t="s">
        <v>208</v>
      </c>
      <c r="X3557">
        <v>839236</v>
      </c>
      <c r="Y3557" t="s">
        <v>1052</v>
      </c>
      <c r="Z3557" s="2" t="s">
        <v>21654</v>
      </c>
      <c r="AA3557" t="s">
        <v>2551</v>
      </c>
      <c r="AB3557" t="s">
        <v>19893</v>
      </c>
      <c r="AG3557" t="s">
        <v>21655</v>
      </c>
      <c r="AH3557" t="s">
        <v>20952</v>
      </c>
      <c r="AI3557" t="s">
        <v>21656</v>
      </c>
    </row>
    <row r="3558" spans="2:35" ht="300">
      <c r="B3558" s="1">
        <v>45505</v>
      </c>
      <c r="C3558" s="4">
        <v>45505.493055555555</v>
      </c>
      <c r="D3558" t="s">
        <v>1316</v>
      </c>
      <c r="E3558" t="s">
        <v>21657</v>
      </c>
      <c r="F3558">
        <v>11</v>
      </c>
      <c r="G3558" t="s">
        <v>1205</v>
      </c>
      <c r="H3558" t="s">
        <v>1317</v>
      </c>
      <c r="I3558" t="s">
        <v>40</v>
      </c>
      <c r="J3558" t="s">
        <v>109</v>
      </c>
      <c r="K3558" t="s">
        <v>42</v>
      </c>
      <c r="L3558" t="s">
        <v>204</v>
      </c>
      <c r="N3558" t="s">
        <v>205</v>
      </c>
      <c r="Q3558">
        <v>28987</v>
      </c>
      <c r="R3558" t="s">
        <v>119</v>
      </c>
      <c r="S3558" t="s">
        <v>1318</v>
      </c>
      <c r="T3558">
        <v>25.8</v>
      </c>
      <c r="U3558" s="2" t="s">
        <v>21658</v>
      </c>
      <c r="W3558" t="s">
        <v>208</v>
      </c>
      <c r="X3558">
        <v>838262</v>
      </c>
      <c r="Y3558" t="s">
        <v>1052</v>
      </c>
      <c r="Z3558" s="2" t="s">
        <v>21130</v>
      </c>
      <c r="AA3558" t="s">
        <v>2551</v>
      </c>
      <c r="AB3558" t="s">
        <v>21659</v>
      </c>
      <c r="AG3558" t="s">
        <v>21660</v>
      </c>
      <c r="AH3558" t="s">
        <v>20952</v>
      </c>
      <c r="AI3558" t="s">
        <v>21661</v>
      </c>
    </row>
    <row r="3559" spans="2:35" ht="409.5">
      <c r="B3559" s="1">
        <v>45505</v>
      </c>
      <c r="C3559" s="4">
        <v>45504.629861111112</v>
      </c>
      <c r="D3559" t="s">
        <v>1081</v>
      </c>
      <c r="E3559" t="s">
        <v>20041</v>
      </c>
      <c r="F3559" t="s">
        <v>148</v>
      </c>
      <c r="G3559" t="s">
        <v>785</v>
      </c>
      <c r="H3559" t="s">
        <v>39</v>
      </c>
      <c r="I3559" t="s">
        <v>40</v>
      </c>
      <c r="J3559" t="s">
        <v>109</v>
      </c>
      <c r="K3559" t="s">
        <v>42</v>
      </c>
      <c r="L3559" t="s">
        <v>43</v>
      </c>
      <c r="N3559" t="s">
        <v>44</v>
      </c>
      <c r="Q3559">
        <v>28986</v>
      </c>
      <c r="R3559" t="s">
        <v>95</v>
      </c>
      <c r="S3559" t="s">
        <v>2016</v>
      </c>
      <c r="T3559">
        <v>20</v>
      </c>
      <c r="U3559" s="2" t="s">
        <v>21662</v>
      </c>
      <c r="W3559" t="s">
        <v>5136</v>
      </c>
      <c r="X3559">
        <v>110015767</v>
      </c>
      <c r="Y3559" t="s">
        <v>121</v>
      </c>
      <c r="Z3559" t="s">
        <v>122</v>
      </c>
      <c r="AA3559" s="2" t="s">
        <v>21663</v>
      </c>
      <c r="AB3559" t="s">
        <v>21664</v>
      </c>
      <c r="AG3559" t="s">
        <v>21665</v>
      </c>
      <c r="AH3559" t="s">
        <v>21666</v>
      </c>
      <c r="AI3559" t="s">
        <v>21667</v>
      </c>
    </row>
    <row r="3560" spans="2:35" ht="315">
      <c r="B3560" s="1">
        <v>45505</v>
      </c>
      <c r="C3560" s="4">
        <v>45505.621527777781</v>
      </c>
      <c r="D3560" t="s">
        <v>21668</v>
      </c>
      <c r="E3560" t="s">
        <v>21669</v>
      </c>
      <c r="F3560" t="s">
        <v>148</v>
      </c>
      <c r="G3560" t="s">
        <v>447</v>
      </c>
      <c r="H3560" t="s">
        <v>21670</v>
      </c>
      <c r="I3560" t="s">
        <v>94</v>
      </c>
      <c r="J3560" t="s">
        <v>109</v>
      </c>
      <c r="K3560" t="s">
        <v>2629</v>
      </c>
      <c r="L3560" t="s">
        <v>409</v>
      </c>
      <c r="N3560" t="s">
        <v>410</v>
      </c>
      <c r="O3560" t="s">
        <v>10489</v>
      </c>
      <c r="Q3560">
        <v>28985</v>
      </c>
      <c r="R3560" t="s">
        <v>95</v>
      </c>
      <c r="S3560" t="s">
        <v>21671</v>
      </c>
      <c r="T3560">
        <v>25</v>
      </c>
      <c r="W3560" t="s">
        <v>10496</v>
      </c>
      <c r="X3560">
        <v>3942010146</v>
      </c>
      <c r="Y3560" t="s">
        <v>21672</v>
      </c>
      <c r="Z3560" t="s">
        <v>21673</v>
      </c>
      <c r="AA3560" s="2" t="s">
        <v>21674</v>
      </c>
      <c r="AB3560" t="s">
        <v>21675</v>
      </c>
      <c r="AG3560" t="s">
        <v>21676</v>
      </c>
      <c r="AH3560" t="s">
        <v>21677</v>
      </c>
      <c r="AI3560" t="s">
        <v>21678</v>
      </c>
    </row>
    <row r="3561" spans="2:35">
      <c r="B3561" s="1">
        <v>45505</v>
      </c>
      <c r="C3561" s="4">
        <v>45505.634027777778</v>
      </c>
      <c r="D3561" t="s">
        <v>4849</v>
      </c>
      <c r="E3561" t="s">
        <v>4850</v>
      </c>
      <c r="F3561" t="s">
        <v>1255</v>
      </c>
      <c r="G3561" t="s">
        <v>4685</v>
      </c>
      <c r="H3561" t="s">
        <v>1498</v>
      </c>
      <c r="I3561" t="s">
        <v>40</v>
      </c>
      <c r="J3561" t="s">
        <v>321</v>
      </c>
      <c r="K3561" t="s">
        <v>42</v>
      </c>
      <c r="L3561" t="s">
        <v>343</v>
      </c>
      <c r="N3561" t="s">
        <v>344</v>
      </c>
      <c r="Q3561">
        <v>28984</v>
      </c>
      <c r="R3561" t="s">
        <v>119</v>
      </c>
      <c r="S3561" t="s">
        <v>4851</v>
      </c>
      <c r="T3561">
        <v>25</v>
      </c>
      <c r="V3561" s="1">
        <v>45463</v>
      </c>
      <c r="W3561" t="s">
        <v>2949</v>
      </c>
      <c r="X3561">
        <v>110023525</v>
      </c>
      <c r="Y3561" t="s">
        <v>301</v>
      </c>
      <c r="Z3561" t="s">
        <v>301</v>
      </c>
      <c r="AA3561" t="e">
        <f ca="1">-Setup GeneXpert workstation
-Install GeneXpert Unit _xludf.and peripherals
-Demonstrate Installation _xludf.and placement of Unit
-PERFORM basic training _xludf.and refresher on Maintenance _xludf.and Troubleshooting</f>
        <v>#NAME?</v>
      </c>
      <c r="AB3561" t="s">
        <v>348</v>
      </c>
      <c r="AE3561" t="s">
        <v>21679</v>
      </c>
      <c r="AG3561" t="s">
        <v>21680</v>
      </c>
      <c r="AH3561" t="s">
        <v>21681</v>
      </c>
      <c r="AI3561" t="s">
        <v>21682</v>
      </c>
    </row>
    <row r="3562" spans="2:35" ht="165">
      <c r="B3562" s="1">
        <v>45505</v>
      </c>
      <c r="C3562" s="4">
        <v>45505.59097222222</v>
      </c>
      <c r="D3562" t="s">
        <v>855</v>
      </c>
      <c r="E3562" t="s">
        <v>12037</v>
      </c>
      <c r="F3562" t="s">
        <v>148</v>
      </c>
      <c r="G3562" t="s">
        <v>310</v>
      </c>
      <c r="H3562" t="s">
        <v>39</v>
      </c>
      <c r="I3562" t="s">
        <v>94</v>
      </c>
      <c r="J3562" s="2" t="s">
        <v>9961</v>
      </c>
      <c r="K3562" t="s">
        <v>42</v>
      </c>
      <c r="L3562" t="s">
        <v>857</v>
      </c>
      <c r="N3562" t="s">
        <v>858</v>
      </c>
      <c r="Q3562">
        <v>28983</v>
      </c>
      <c r="R3562" t="s">
        <v>322</v>
      </c>
      <c r="S3562" t="s">
        <v>859</v>
      </c>
      <c r="T3562">
        <v>26</v>
      </c>
      <c r="W3562" t="s">
        <v>21683</v>
      </c>
      <c r="X3562">
        <v>110022374</v>
      </c>
      <c r="Y3562" t="s">
        <v>8338</v>
      </c>
      <c r="Z3562" t="s">
        <v>6430</v>
      </c>
      <c r="AA3562" s="2" t="s">
        <v>21684</v>
      </c>
      <c r="AB3562" t="s">
        <v>181</v>
      </c>
      <c r="AG3562" t="s">
        <v>21685</v>
      </c>
      <c r="AH3562" t="s">
        <v>20310</v>
      </c>
      <c r="AI3562" t="s">
        <v>21686</v>
      </c>
    </row>
    <row r="3563" spans="2:35" ht="120">
      <c r="B3563" s="1">
        <v>45505</v>
      </c>
      <c r="C3563" s="4">
        <v>45505.603472222225</v>
      </c>
      <c r="D3563" t="s">
        <v>17497</v>
      </c>
      <c r="E3563" t="s">
        <v>21687</v>
      </c>
      <c r="F3563">
        <v>6</v>
      </c>
      <c r="G3563" t="s">
        <v>1234</v>
      </c>
      <c r="H3563" t="s">
        <v>39</v>
      </c>
      <c r="I3563" t="s">
        <v>40</v>
      </c>
      <c r="J3563" s="2" t="s">
        <v>1808</v>
      </c>
      <c r="K3563" t="s">
        <v>42</v>
      </c>
      <c r="L3563" t="s">
        <v>433</v>
      </c>
      <c r="N3563" t="s">
        <v>434</v>
      </c>
      <c r="Q3563">
        <v>28982</v>
      </c>
      <c r="R3563" t="s">
        <v>119</v>
      </c>
      <c r="S3563" t="s">
        <v>20399</v>
      </c>
      <c r="T3563">
        <v>29</v>
      </c>
      <c r="W3563" t="s">
        <v>1008</v>
      </c>
      <c r="X3563">
        <v>838464</v>
      </c>
      <c r="Y3563" t="s">
        <v>301</v>
      </c>
      <c r="Z3563" s="2" t="s">
        <v>21688</v>
      </c>
      <c r="AA3563" s="2" t="s">
        <v>21688</v>
      </c>
      <c r="AB3563" t="s">
        <v>1011</v>
      </c>
      <c r="AG3563" t="s">
        <v>21689</v>
      </c>
      <c r="AH3563" t="s">
        <v>20404</v>
      </c>
      <c r="AI3563" t="s">
        <v>21690</v>
      </c>
    </row>
    <row r="3564" spans="2:35" ht="120">
      <c r="B3564" s="1">
        <v>45505</v>
      </c>
      <c r="C3564" s="4">
        <v>45505.571527777778</v>
      </c>
      <c r="D3564" t="s">
        <v>21691</v>
      </c>
      <c r="E3564" t="s">
        <v>7772</v>
      </c>
      <c r="F3564">
        <v>6</v>
      </c>
      <c r="G3564" t="s">
        <v>1234</v>
      </c>
      <c r="H3564" t="s">
        <v>39</v>
      </c>
      <c r="I3564" t="s">
        <v>40</v>
      </c>
      <c r="J3564" s="2" t="s">
        <v>1808</v>
      </c>
      <c r="K3564" t="s">
        <v>42</v>
      </c>
      <c r="L3564" t="s">
        <v>433</v>
      </c>
      <c r="N3564" t="s">
        <v>434</v>
      </c>
      <c r="Q3564">
        <v>28981</v>
      </c>
      <c r="R3564" t="s">
        <v>119</v>
      </c>
      <c r="S3564" t="s">
        <v>21692</v>
      </c>
      <c r="T3564">
        <v>29</v>
      </c>
      <c r="W3564" t="s">
        <v>1008</v>
      </c>
      <c r="X3564">
        <v>837612</v>
      </c>
      <c r="Y3564" t="s">
        <v>21693</v>
      </c>
      <c r="Z3564" s="2" t="s">
        <v>21694</v>
      </c>
      <c r="AA3564" s="2" t="s">
        <v>21694</v>
      </c>
      <c r="AB3564" t="s">
        <v>21695</v>
      </c>
      <c r="AG3564" t="s">
        <v>21696</v>
      </c>
      <c r="AH3564" t="s">
        <v>21697</v>
      </c>
      <c r="AI3564" t="s">
        <v>21698</v>
      </c>
    </row>
    <row r="3565" spans="2:35" ht="105">
      <c r="B3565" s="1">
        <v>45505</v>
      </c>
      <c r="C3565" s="4">
        <v>45505.55</v>
      </c>
      <c r="D3565" t="s">
        <v>340</v>
      </c>
      <c r="E3565" t="s">
        <v>8872</v>
      </c>
      <c r="F3565">
        <v>8</v>
      </c>
      <c r="G3565" t="s">
        <v>342</v>
      </c>
      <c r="H3565" t="s">
        <v>202</v>
      </c>
      <c r="I3565" t="s">
        <v>40</v>
      </c>
      <c r="J3565" t="s">
        <v>109</v>
      </c>
      <c r="K3565" t="s">
        <v>42</v>
      </c>
      <c r="L3565" t="s">
        <v>259</v>
      </c>
      <c r="N3565" t="s">
        <v>260</v>
      </c>
      <c r="Q3565">
        <v>28980</v>
      </c>
      <c r="R3565" t="s">
        <v>119</v>
      </c>
      <c r="S3565" t="s">
        <v>345</v>
      </c>
      <c r="T3565">
        <v>24</v>
      </c>
      <c r="U3565" s="2" t="s">
        <v>15865</v>
      </c>
      <c r="V3565" s="1">
        <v>45505</v>
      </c>
      <c r="W3565" t="s">
        <v>84</v>
      </c>
      <c r="X3565">
        <v>838555</v>
      </c>
      <c r="Y3565" t="s">
        <v>263</v>
      </c>
      <c r="Z3565" t="s">
        <v>263</v>
      </c>
      <c r="AA3565" t="e">
        <f ca="1">- performed Preventive Maintenance (Cleaning plunger rod, cartridge bay, icore _xludf.and FAN _xludf.filter)
- performed functionality test
- Install GX ID STICKER</f>
        <v>#NAME?</v>
      </c>
      <c r="AB3565" t="s">
        <v>181</v>
      </c>
      <c r="AG3565" t="s">
        <v>21699</v>
      </c>
      <c r="AH3565" t="s">
        <v>8455</v>
      </c>
      <c r="AI3565" t="s">
        <v>21700</v>
      </c>
    </row>
    <row r="3566" spans="2:35" ht="105">
      <c r="B3566" s="1">
        <v>45505</v>
      </c>
      <c r="C3566" s="4">
        <v>45505.543749999997</v>
      </c>
      <c r="D3566" t="s">
        <v>10465</v>
      </c>
      <c r="E3566" t="s">
        <v>9173</v>
      </c>
      <c r="F3566">
        <v>10</v>
      </c>
      <c r="G3566" t="s">
        <v>1395</v>
      </c>
      <c r="H3566" t="s">
        <v>2125</v>
      </c>
      <c r="I3566" t="s">
        <v>40</v>
      </c>
      <c r="J3566" s="2" t="s">
        <v>1808</v>
      </c>
      <c r="K3566" t="s">
        <v>42</v>
      </c>
      <c r="L3566" t="s">
        <v>933</v>
      </c>
      <c r="N3566" t="s">
        <v>934</v>
      </c>
      <c r="Q3566">
        <v>28979</v>
      </c>
      <c r="R3566" t="s">
        <v>119</v>
      </c>
      <c r="S3566" t="s">
        <v>9174</v>
      </c>
      <c r="T3566">
        <v>26</v>
      </c>
      <c r="U3566" s="2" t="s">
        <v>21701</v>
      </c>
      <c r="W3566" t="s">
        <v>10610</v>
      </c>
      <c r="X3566">
        <v>838557</v>
      </c>
      <c r="Y3566" t="s">
        <v>301</v>
      </c>
      <c r="Z3566" t="s">
        <v>301</v>
      </c>
      <c r="AA3566" t="s">
        <v>21702</v>
      </c>
      <c r="AB3566" t="s">
        <v>2131</v>
      </c>
      <c r="AG3566" t="s">
        <v>21703</v>
      </c>
      <c r="AH3566" t="s">
        <v>10469</v>
      </c>
      <c r="AI3566" t="s">
        <v>21704</v>
      </c>
    </row>
    <row r="3567" spans="2:35" ht="105">
      <c r="B3567" s="1">
        <v>45505</v>
      </c>
      <c r="C3567" s="4">
        <v>45505.520833333336</v>
      </c>
      <c r="D3567" t="s">
        <v>5089</v>
      </c>
      <c r="E3567" t="s">
        <v>5090</v>
      </c>
      <c r="F3567">
        <v>3</v>
      </c>
      <c r="G3567" t="s">
        <v>1722</v>
      </c>
      <c r="H3567" t="s">
        <v>61</v>
      </c>
      <c r="I3567" t="s">
        <v>40</v>
      </c>
      <c r="J3567" t="s">
        <v>109</v>
      </c>
      <c r="K3567" t="s">
        <v>42</v>
      </c>
      <c r="L3567" t="s">
        <v>63</v>
      </c>
      <c r="N3567" t="s">
        <v>64</v>
      </c>
      <c r="Q3567">
        <v>28978</v>
      </c>
      <c r="R3567" t="s">
        <v>967</v>
      </c>
      <c r="S3567" t="s">
        <v>15318</v>
      </c>
      <c r="T3567">
        <v>25</v>
      </c>
      <c r="W3567" t="s">
        <v>373</v>
      </c>
      <c r="X3567">
        <v>110023508</v>
      </c>
      <c r="Y3567" t="s">
        <v>2692</v>
      </c>
      <c r="Z3567" t="s">
        <v>10275</v>
      </c>
      <c r="AA3567" s="2" t="s">
        <v>7015</v>
      </c>
      <c r="AB3567" t="s">
        <v>70</v>
      </c>
      <c r="AG3567" t="s">
        <v>21705</v>
      </c>
      <c r="AH3567" t="s">
        <v>21706</v>
      </c>
      <c r="AI3567" t="s">
        <v>21707</v>
      </c>
    </row>
    <row r="3568" spans="2:35" ht="409.5">
      <c r="B3568" s="1">
        <v>45505</v>
      </c>
      <c r="C3568" s="4">
        <v>45505.478472222225</v>
      </c>
      <c r="D3568" t="s">
        <v>11265</v>
      </c>
      <c r="E3568" t="s">
        <v>11266</v>
      </c>
      <c r="F3568">
        <v>3</v>
      </c>
      <c r="G3568" t="s">
        <v>1722</v>
      </c>
      <c r="H3568" t="s">
        <v>39</v>
      </c>
      <c r="I3568" t="s">
        <v>40</v>
      </c>
      <c r="J3568" t="s">
        <v>109</v>
      </c>
      <c r="K3568" t="s">
        <v>42</v>
      </c>
      <c r="L3568" t="s">
        <v>63</v>
      </c>
      <c r="N3568" t="s">
        <v>64</v>
      </c>
      <c r="Q3568">
        <v>28977</v>
      </c>
      <c r="R3568" t="s">
        <v>322</v>
      </c>
      <c r="S3568" t="s">
        <v>11267</v>
      </c>
      <c r="T3568">
        <v>25</v>
      </c>
      <c r="U3568" s="2" t="s">
        <v>21708</v>
      </c>
      <c r="W3568" t="s">
        <v>373</v>
      </c>
      <c r="X3568">
        <v>110013773</v>
      </c>
      <c r="Y3568" t="s">
        <v>2692</v>
      </c>
      <c r="Z3568" t="s">
        <v>10275</v>
      </c>
      <c r="AA3568" s="2" t="s">
        <v>7015</v>
      </c>
      <c r="AB3568" t="s">
        <v>70</v>
      </c>
      <c r="AG3568" t="s">
        <v>21709</v>
      </c>
      <c r="AH3568" t="s">
        <v>21710</v>
      </c>
      <c r="AI3568" t="s">
        <v>21711</v>
      </c>
    </row>
    <row r="3569" spans="2:35" ht="120">
      <c r="B3569" s="1">
        <v>45505</v>
      </c>
      <c r="C3569" s="4">
        <v>45504.662499999999</v>
      </c>
      <c r="D3569" t="s">
        <v>1155</v>
      </c>
      <c r="E3569" t="s">
        <v>229</v>
      </c>
      <c r="F3569" t="s">
        <v>148</v>
      </c>
      <c r="G3569" t="s">
        <v>230</v>
      </c>
      <c r="H3569" t="s">
        <v>39</v>
      </c>
      <c r="I3569" t="s">
        <v>40</v>
      </c>
      <c r="J3569" t="s">
        <v>109</v>
      </c>
      <c r="K3569" t="s">
        <v>42</v>
      </c>
      <c r="L3569" t="s">
        <v>175</v>
      </c>
      <c r="N3569" t="s">
        <v>176</v>
      </c>
      <c r="Q3569">
        <v>28974</v>
      </c>
      <c r="R3569" t="s">
        <v>322</v>
      </c>
      <c r="S3569" t="s">
        <v>8332</v>
      </c>
      <c r="T3569">
        <v>27</v>
      </c>
      <c r="W3569" t="s">
        <v>84</v>
      </c>
      <c r="X3569">
        <v>807112</v>
      </c>
      <c r="Y3569" t="s">
        <v>374</v>
      </c>
      <c r="Z3569" t="s">
        <v>103</v>
      </c>
      <c r="AA3569" t="e">
        <f ca="1">- checked _xludf.and cleaned cartridge bay, plunger rod, _xludf.filter
- generated reports
- performed self test</f>
        <v>#NAME?</v>
      </c>
      <c r="AB3569" s="2" t="s">
        <v>21712</v>
      </c>
      <c r="AG3569" t="s">
        <v>21713</v>
      </c>
      <c r="AH3569" t="s">
        <v>1166</v>
      </c>
      <c r="AI3569" t="s">
        <v>21714</v>
      </c>
    </row>
    <row r="3570" spans="2:35" ht="120">
      <c r="B3570" s="1">
        <v>45505</v>
      </c>
      <c r="C3570" s="4">
        <v>45504.666666666664</v>
      </c>
      <c r="D3570" t="s">
        <v>1155</v>
      </c>
      <c r="E3570" t="s">
        <v>229</v>
      </c>
      <c r="F3570" t="s">
        <v>148</v>
      </c>
      <c r="G3570" t="s">
        <v>230</v>
      </c>
      <c r="H3570" t="s">
        <v>39</v>
      </c>
      <c r="I3570" t="s">
        <v>40</v>
      </c>
      <c r="J3570" t="s">
        <v>109</v>
      </c>
      <c r="K3570" t="s">
        <v>42</v>
      </c>
      <c r="L3570" t="s">
        <v>175</v>
      </c>
      <c r="N3570" t="s">
        <v>176</v>
      </c>
      <c r="Q3570">
        <v>28976</v>
      </c>
      <c r="R3570" t="s">
        <v>322</v>
      </c>
      <c r="S3570" t="s">
        <v>8332</v>
      </c>
      <c r="T3570">
        <v>27</v>
      </c>
      <c r="W3570" t="s">
        <v>84</v>
      </c>
      <c r="X3570">
        <v>807956</v>
      </c>
      <c r="Y3570" t="s">
        <v>374</v>
      </c>
      <c r="Z3570" t="s">
        <v>103</v>
      </c>
      <c r="AA3570" t="e">
        <f ca="1">- checked _xludf.and cleaned cartridge bay, plunger rod, _xludf.filter
- generated reports
- performed self test</f>
        <v>#NAME?</v>
      </c>
      <c r="AB3570" s="2" t="s">
        <v>21715</v>
      </c>
      <c r="AG3570" t="s">
        <v>21716</v>
      </c>
      <c r="AH3570" t="s">
        <v>1166</v>
      </c>
      <c r="AI3570" t="s">
        <v>21717</v>
      </c>
    </row>
    <row r="3571" spans="2:35">
      <c r="B3571" s="1">
        <v>45505</v>
      </c>
      <c r="C3571" s="4">
        <v>45504.661805555559</v>
      </c>
      <c r="D3571" t="s">
        <v>1155</v>
      </c>
      <c r="E3571" t="s">
        <v>229</v>
      </c>
      <c r="F3571" t="s">
        <v>148</v>
      </c>
      <c r="G3571" t="s">
        <v>230</v>
      </c>
      <c r="H3571" t="s">
        <v>39</v>
      </c>
      <c r="I3571" t="s">
        <v>40</v>
      </c>
      <c r="J3571" t="s">
        <v>109</v>
      </c>
      <c r="K3571" t="s">
        <v>42</v>
      </c>
      <c r="L3571" t="s">
        <v>175</v>
      </c>
      <c r="N3571" t="s">
        <v>176</v>
      </c>
      <c r="Q3571">
        <v>28975</v>
      </c>
      <c r="R3571" t="s">
        <v>45</v>
      </c>
      <c r="S3571" t="s">
        <v>8332</v>
      </c>
      <c r="T3571">
        <v>27</v>
      </c>
      <c r="W3571" t="s">
        <v>84</v>
      </c>
      <c r="X3571">
        <v>808649</v>
      </c>
      <c r="Y3571" t="s">
        <v>374</v>
      </c>
      <c r="Z3571" t="s">
        <v>103</v>
      </c>
      <c r="AA3571" t="e">
        <f ca="1">- checked _xludf.and cleaned cartridge bay, plunger rod, _xludf.filter
- generated reports
- performed self test</f>
        <v>#NAME?</v>
      </c>
      <c r="AB3571" t="s">
        <v>181</v>
      </c>
      <c r="AG3571" t="s">
        <v>21718</v>
      </c>
      <c r="AH3571" t="s">
        <v>1166</v>
      </c>
      <c r="AI3571" t="s">
        <v>21719</v>
      </c>
    </row>
    <row r="3572" spans="2:35">
      <c r="B3572" s="1">
        <v>45505</v>
      </c>
      <c r="C3572" s="4">
        <v>45504.657638888886</v>
      </c>
      <c r="D3572" t="s">
        <v>1155</v>
      </c>
      <c r="E3572" t="s">
        <v>229</v>
      </c>
      <c r="F3572" t="s">
        <v>148</v>
      </c>
      <c r="G3572" t="s">
        <v>230</v>
      </c>
      <c r="H3572" t="s">
        <v>39</v>
      </c>
      <c r="I3572" t="s">
        <v>40</v>
      </c>
      <c r="J3572" t="s">
        <v>109</v>
      </c>
      <c r="K3572" t="s">
        <v>42</v>
      </c>
      <c r="L3572" t="s">
        <v>175</v>
      </c>
      <c r="N3572" t="s">
        <v>176</v>
      </c>
      <c r="Q3572">
        <v>28973</v>
      </c>
      <c r="R3572" t="s">
        <v>119</v>
      </c>
      <c r="S3572" t="s">
        <v>8332</v>
      </c>
      <c r="T3572">
        <v>27</v>
      </c>
      <c r="W3572" t="s">
        <v>84</v>
      </c>
      <c r="X3572">
        <v>881895</v>
      </c>
      <c r="Y3572" t="s">
        <v>374</v>
      </c>
      <c r="Z3572" t="s">
        <v>103</v>
      </c>
      <c r="AA3572" t="e">
        <f ca="1">- checked _xludf.and cleaned cartridge bay, plunger rod, _xludf.filter
- generated reports
- performed functionality test</f>
        <v>#NAME?</v>
      </c>
      <c r="AB3572" t="s">
        <v>181</v>
      </c>
      <c r="AG3572" t="s">
        <v>21720</v>
      </c>
      <c r="AH3572" t="s">
        <v>1166</v>
      </c>
      <c r="AI3572" t="s">
        <v>21721</v>
      </c>
    </row>
    <row r="3573" spans="2:35" ht="405">
      <c r="B3573" s="1">
        <v>45505</v>
      </c>
      <c r="C3573" s="4">
        <v>45504.65625</v>
      </c>
      <c r="D3573" t="s">
        <v>660</v>
      </c>
      <c r="E3573" t="s">
        <v>2569</v>
      </c>
      <c r="F3573" t="s">
        <v>148</v>
      </c>
      <c r="G3573" t="s">
        <v>447</v>
      </c>
      <c r="H3573" t="s">
        <v>386</v>
      </c>
      <c r="I3573" t="s">
        <v>40</v>
      </c>
      <c r="J3573" t="s">
        <v>109</v>
      </c>
      <c r="K3573" t="s">
        <v>387</v>
      </c>
      <c r="L3573" t="s">
        <v>448</v>
      </c>
      <c r="N3573" t="s">
        <v>650</v>
      </c>
      <c r="O3573" t="s">
        <v>663</v>
      </c>
      <c r="Q3573">
        <v>28972</v>
      </c>
      <c r="R3573" t="s">
        <v>322</v>
      </c>
      <c r="S3573" t="s">
        <v>17787</v>
      </c>
      <c r="T3573">
        <v>26</v>
      </c>
      <c r="W3573" t="s">
        <v>476</v>
      </c>
      <c r="X3573" t="s">
        <v>5906</v>
      </c>
      <c r="Y3573" t="s">
        <v>485</v>
      </c>
      <c r="Z3573" s="2" t="s">
        <v>6718</v>
      </c>
      <c r="AA3573" t="s">
        <v>122</v>
      </c>
      <c r="AB3573" t="s">
        <v>486</v>
      </c>
      <c r="AG3573" t="s">
        <v>21722</v>
      </c>
      <c r="AH3573" t="s">
        <v>21723</v>
      </c>
      <c r="AI3573" t="s">
        <v>21724</v>
      </c>
    </row>
    <row r="3574" spans="2:35" ht="375">
      <c r="B3574" s="1">
        <v>45505</v>
      </c>
      <c r="C3574" s="4">
        <v>45504.507638888892</v>
      </c>
      <c r="D3574" t="s">
        <v>5903</v>
      </c>
      <c r="E3574" t="s">
        <v>14537</v>
      </c>
      <c r="F3574" t="s">
        <v>148</v>
      </c>
      <c r="G3574" t="s">
        <v>447</v>
      </c>
      <c r="H3574" t="s">
        <v>662</v>
      </c>
      <c r="I3574" t="s">
        <v>40</v>
      </c>
      <c r="J3574" t="s">
        <v>109</v>
      </c>
      <c r="K3574" t="s">
        <v>42</v>
      </c>
      <c r="L3574" t="s">
        <v>448</v>
      </c>
      <c r="N3574" t="s">
        <v>650</v>
      </c>
      <c r="O3574" t="s">
        <v>663</v>
      </c>
      <c r="Q3574">
        <v>28971</v>
      </c>
      <c r="R3574" t="s">
        <v>322</v>
      </c>
      <c r="S3574" t="s">
        <v>3987</v>
      </c>
      <c r="T3574">
        <v>28</v>
      </c>
      <c r="U3574" s="2" t="s">
        <v>21725</v>
      </c>
      <c r="W3574" t="s">
        <v>6785</v>
      </c>
      <c r="X3574">
        <v>110014171</v>
      </c>
      <c r="Y3574" t="s">
        <v>485</v>
      </c>
      <c r="Z3574" s="2" t="s">
        <v>2011</v>
      </c>
      <c r="AA3574" t="s">
        <v>122</v>
      </c>
      <c r="AB3574" t="s">
        <v>486</v>
      </c>
      <c r="AG3574" t="s">
        <v>21726</v>
      </c>
      <c r="AH3574" t="s">
        <v>12852</v>
      </c>
      <c r="AI3574" t="s">
        <v>21727</v>
      </c>
    </row>
    <row r="3575" spans="2:35" ht="405">
      <c r="B3575" s="1">
        <v>45505</v>
      </c>
      <c r="C3575" s="4">
        <v>45499.640972222223</v>
      </c>
      <c r="D3575" t="s">
        <v>1145</v>
      </c>
      <c r="E3575" t="s">
        <v>473</v>
      </c>
      <c r="F3575" t="s">
        <v>148</v>
      </c>
      <c r="G3575" t="s">
        <v>447</v>
      </c>
      <c r="H3575" t="s">
        <v>386</v>
      </c>
      <c r="I3575" t="s">
        <v>40</v>
      </c>
      <c r="J3575" t="s">
        <v>109</v>
      </c>
      <c r="K3575" t="s">
        <v>387</v>
      </c>
      <c r="L3575" t="s">
        <v>448</v>
      </c>
      <c r="N3575" t="s">
        <v>650</v>
      </c>
      <c r="Q3575">
        <v>28970</v>
      </c>
      <c r="R3575" t="s">
        <v>322</v>
      </c>
      <c r="S3575" t="s">
        <v>5004</v>
      </c>
      <c r="T3575">
        <v>26</v>
      </c>
      <c r="W3575" t="s">
        <v>476</v>
      </c>
      <c r="X3575" t="s">
        <v>7383</v>
      </c>
      <c r="Y3575" t="s">
        <v>485</v>
      </c>
      <c r="Z3575" s="2" t="s">
        <v>6718</v>
      </c>
      <c r="AA3575" t="s">
        <v>122</v>
      </c>
      <c r="AB3575" t="s">
        <v>486</v>
      </c>
      <c r="AG3575" t="s">
        <v>21728</v>
      </c>
      <c r="AH3575" t="s">
        <v>5010</v>
      </c>
      <c r="AI3575" t="s">
        <v>21729</v>
      </c>
    </row>
    <row r="3576" spans="2:35" ht="405">
      <c r="B3576" s="1">
        <v>45505</v>
      </c>
      <c r="C3576" s="4">
        <v>45499.60833333333</v>
      </c>
      <c r="D3576" t="s">
        <v>1145</v>
      </c>
      <c r="E3576" t="s">
        <v>473</v>
      </c>
      <c r="F3576" t="s">
        <v>148</v>
      </c>
      <c r="G3576" t="s">
        <v>447</v>
      </c>
      <c r="H3576" t="s">
        <v>21730</v>
      </c>
      <c r="I3576" t="s">
        <v>40</v>
      </c>
      <c r="J3576" t="s">
        <v>109</v>
      </c>
      <c r="K3576" t="s">
        <v>387</v>
      </c>
      <c r="L3576" t="s">
        <v>448</v>
      </c>
      <c r="N3576" t="s">
        <v>650</v>
      </c>
      <c r="Q3576">
        <v>28969</v>
      </c>
      <c r="R3576" t="s">
        <v>322</v>
      </c>
      <c r="S3576" t="s">
        <v>5004</v>
      </c>
      <c r="T3576">
        <v>26</v>
      </c>
      <c r="W3576" t="s">
        <v>476</v>
      </c>
      <c r="X3576" t="s">
        <v>5005</v>
      </c>
      <c r="Y3576" t="s">
        <v>485</v>
      </c>
      <c r="Z3576" s="2" t="s">
        <v>6718</v>
      </c>
      <c r="AA3576" t="s">
        <v>122</v>
      </c>
      <c r="AB3576" t="s">
        <v>486</v>
      </c>
      <c r="AG3576" t="s">
        <v>21731</v>
      </c>
      <c r="AH3576" t="s">
        <v>5010</v>
      </c>
      <c r="AI3576" t="s">
        <v>21732</v>
      </c>
    </row>
    <row r="3577" spans="2:35" ht="270">
      <c r="B3577" s="1">
        <v>45504</v>
      </c>
      <c r="C3577" s="4">
        <v>45504.915277777778</v>
      </c>
      <c r="D3577" t="s">
        <v>21733</v>
      </c>
      <c r="E3577" t="s">
        <v>21734</v>
      </c>
      <c r="F3577" t="s">
        <v>1181</v>
      </c>
      <c r="G3577" t="s">
        <v>1182</v>
      </c>
      <c r="H3577" t="s">
        <v>39</v>
      </c>
      <c r="I3577" t="s">
        <v>40</v>
      </c>
      <c r="J3577" t="s">
        <v>321</v>
      </c>
      <c r="K3577" t="s">
        <v>42</v>
      </c>
      <c r="L3577" t="s">
        <v>15532</v>
      </c>
      <c r="N3577" t="s">
        <v>15533</v>
      </c>
      <c r="Q3577">
        <v>28968</v>
      </c>
      <c r="R3577" t="s">
        <v>967</v>
      </c>
      <c r="S3577" t="s">
        <v>4865</v>
      </c>
      <c r="T3577">
        <v>25</v>
      </c>
      <c r="U3577" s="2" t="s">
        <v>21735</v>
      </c>
      <c r="V3577" s="1">
        <v>45463</v>
      </c>
      <c r="W3577" t="s">
        <v>20940</v>
      </c>
      <c r="X3577">
        <v>110023509</v>
      </c>
      <c r="Y3577" t="s">
        <v>15977</v>
      </c>
      <c r="Z3577" s="2" t="s">
        <v>21736</v>
      </c>
      <c r="AA3577" s="2" t="s">
        <v>21737</v>
      </c>
      <c r="AB3577" s="2" t="s">
        <v>21738</v>
      </c>
      <c r="AD3577" t="s">
        <v>21739</v>
      </c>
      <c r="AE3577" t="s">
        <v>21740</v>
      </c>
      <c r="AG3577" t="s">
        <v>21741</v>
      </c>
      <c r="AH3577" t="s">
        <v>21742</v>
      </c>
      <c r="AI3577" t="s">
        <v>21743</v>
      </c>
    </row>
    <row r="3578" spans="2:35" ht="285">
      <c r="B3578" s="1">
        <v>45504</v>
      </c>
      <c r="C3578" s="4">
        <v>45503.470138888886</v>
      </c>
      <c r="D3578" t="s">
        <v>5073</v>
      </c>
      <c r="E3578" t="s">
        <v>21744</v>
      </c>
      <c r="F3578">
        <v>11</v>
      </c>
      <c r="G3578" t="s">
        <v>1205</v>
      </c>
      <c r="H3578" t="s">
        <v>513</v>
      </c>
      <c r="I3578" t="s">
        <v>40</v>
      </c>
      <c r="J3578" t="s">
        <v>109</v>
      </c>
      <c r="K3578" t="s">
        <v>387</v>
      </c>
      <c r="L3578" t="s">
        <v>204</v>
      </c>
      <c r="N3578" t="s">
        <v>205</v>
      </c>
      <c r="O3578" t="s">
        <v>2867</v>
      </c>
      <c r="Q3578">
        <v>28967</v>
      </c>
      <c r="R3578" t="s">
        <v>95</v>
      </c>
      <c r="S3578" t="s">
        <v>4675</v>
      </c>
      <c r="T3578">
        <v>25.8</v>
      </c>
      <c r="W3578" t="s">
        <v>390</v>
      </c>
      <c r="X3578" t="s">
        <v>4676</v>
      </c>
      <c r="Y3578" t="s">
        <v>1052</v>
      </c>
      <c r="Z3578" s="2" t="s">
        <v>21745</v>
      </c>
      <c r="AA3578" t="s">
        <v>2551</v>
      </c>
      <c r="AB3578" t="s">
        <v>364</v>
      </c>
      <c r="AG3578" t="s">
        <v>21746</v>
      </c>
      <c r="AH3578" t="s">
        <v>5080</v>
      </c>
      <c r="AI3578" t="s">
        <v>21747</v>
      </c>
    </row>
    <row r="3579" spans="2:35" ht="315">
      <c r="B3579" s="1">
        <v>45504</v>
      </c>
      <c r="C3579" s="4">
        <v>45504.546527777777</v>
      </c>
      <c r="D3579" t="s">
        <v>21748</v>
      </c>
      <c r="E3579" t="s">
        <v>21749</v>
      </c>
      <c r="F3579">
        <v>11</v>
      </c>
      <c r="G3579" t="s">
        <v>1205</v>
      </c>
      <c r="H3579" t="s">
        <v>202</v>
      </c>
      <c r="I3579" t="s">
        <v>40</v>
      </c>
      <c r="J3579" t="s">
        <v>109</v>
      </c>
      <c r="K3579" t="s">
        <v>42</v>
      </c>
      <c r="L3579" t="s">
        <v>204</v>
      </c>
      <c r="N3579" t="s">
        <v>205</v>
      </c>
      <c r="Q3579">
        <v>28966</v>
      </c>
      <c r="R3579" t="s">
        <v>119</v>
      </c>
      <c r="S3579" t="s">
        <v>7478</v>
      </c>
      <c r="T3579">
        <v>26.8</v>
      </c>
      <c r="U3579" s="2" t="s">
        <v>21750</v>
      </c>
      <c r="W3579" t="s">
        <v>20675</v>
      </c>
      <c r="X3579">
        <v>838507</v>
      </c>
      <c r="Y3579" t="s">
        <v>1052</v>
      </c>
      <c r="Z3579" s="2" t="s">
        <v>2918</v>
      </c>
      <c r="AA3579" t="s">
        <v>2551</v>
      </c>
      <c r="AB3579" t="s">
        <v>1211</v>
      </c>
      <c r="AG3579" t="s">
        <v>21751</v>
      </c>
      <c r="AH3579" t="s">
        <v>21752</v>
      </c>
      <c r="AI3579" t="s">
        <v>21753</v>
      </c>
    </row>
    <row r="3580" spans="2:35" ht="225">
      <c r="B3580" s="1">
        <v>45504</v>
      </c>
      <c r="C3580" s="4">
        <v>45503.611111111109</v>
      </c>
      <c r="D3580" t="s">
        <v>1678</v>
      </c>
      <c r="E3580" t="s">
        <v>21754</v>
      </c>
      <c r="F3580" t="s">
        <v>148</v>
      </c>
      <c r="G3580" t="s">
        <v>785</v>
      </c>
      <c r="H3580" t="s">
        <v>39</v>
      </c>
      <c r="I3580" t="s">
        <v>40</v>
      </c>
      <c r="J3580" t="s">
        <v>109</v>
      </c>
      <c r="K3580" t="s">
        <v>42</v>
      </c>
      <c r="L3580" t="s">
        <v>43</v>
      </c>
      <c r="N3580" t="s">
        <v>44</v>
      </c>
      <c r="Q3580">
        <v>28964</v>
      </c>
      <c r="R3580" t="s">
        <v>322</v>
      </c>
      <c r="S3580" t="s">
        <v>18437</v>
      </c>
      <c r="T3580">
        <v>20</v>
      </c>
      <c r="U3580" s="2" t="s">
        <v>21755</v>
      </c>
      <c r="W3580" t="s">
        <v>153</v>
      </c>
      <c r="X3580">
        <v>110024246</v>
      </c>
      <c r="Y3580" t="s">
        <v>121</v>
      </c>
      <c r="Z3580" t="s">
        <v>122</v>
      </c>
      <c r="AA3580" s="2" t="s">
        <v>21756</v>
      </c>
      <c r="AB3580" t="s">
        <v>548</v>
      </c>
      <c r="AG3580" t="s">
        <v>21757</v>
      </c>
      <c r="AH3580" t="s">
        <v>14357</v>
      </c>
      <c r="AI3580" t="s">
        <v>21758</v>
      </c>
    </row>
    <row r="3581" spans="2:35" ht="225">
      <c r="B3581" s="1">
        <v>45504</v>
      </c>
      <c r="C3581" s="4">
        <v>45503.479861111111</v>
      </c>
      <c r="D3581" t="s">
        <v>1686</v>
      </c>
      <c r="E3581" t="s">
        <v>21759</v>
      </c>
      <c r="F3581" t="s">
        <v>148</v>
      </c>
      <c r="G3581" t="s">
        <v>785</v>
      </c>
      <c r="H3581" t="s">
        <v>39</v>
      </c>
      <c r="I3581" t="s">
        <v>40</v>
      </c>
      <c r="J3581" t="s">
        <v>109</v>
      </c>
      <c r="K3581" t="s">
        <v>42</v>
      </c>
      <c r="L3581" t="s">
        <v>43</v>
      </c>
      <c r="N3581" t="s">
        <v>44</v>
      </c>
      <c r="Q3581">
        <v>28965</v>
      </c>
      <c r="R3581" t="s">
        <v>322</v>
      </c>
      <c r="S3581" t="s">
        <v>1688</v>
      </c>
      <c r="T3581">
        <v>20</v>
      </c>
      <c r="U3581" s="2" t="s">
        <v>21760</v>
      </c>
      <c r="W3581" t="s">
        <v>153</v>
      </c>
      <c r="X3581">
        <v>110024247</v>
      </c>
      <c r="Y3581" t="s">
        <v>121</v>
      </c>
      <c r="Z3581" t="s">
        <v>122</v>
      </c>
      <c r="AA3581" s="2" t="s">
        <v>9740</v>
      </c>
      <c r="AB3581" t="s">
        <v>548</v>
      </c>
      <c r="AG3581" t="s">
        <v>21761</v>
      </c>
      <c r="AH3581" t="s">
        <v>8273</v>
      </c>
      <c r="AI3581" t="s">
        <v>21762</v>
      </c>
    </row>
    <row r="3582" spans="2:35" ht="105">
      <c r="B3582" s="1">
        <v>45504</v>
      </c>
      <c r="C3582" s="4">
        <v>45504.565972222219</v>
      </c>
      <c r="D3582" t="s">
        <v>8654</v>
      </c>
      <c r="E3582" t="s">
        <v>8655</v>
      </c>
      <c r="F3582">
        <v>8</v>
      </c>
      <c r="G3582" t="s">
        <v>257</v>
      </c>
      <c r="H3582" t="s">
        <v>202</v>
      </c>
      <c r="I3582" t="s">
        <v>40</v>
      </c>
      <c r="J3582" s="2" t="s">
        <v>62</v>
      </c>
      <c r="K3582" t="s">
        <v>42</v>
      </c>
      <c r="L3582" t="s">
        <v>259</v>
      </c>
      <c r="N3582" t="s">
        <v>260</v>
      </c>
      <c r="O3582" t="s">
        <v>260</v>
      </c>
      <c r="Q3582">
        <v>28963</v>
      </c>
      <c r="R3582" t="s">
        <v>119</v>
      </c>
      <c r="S3582" t="s">
        <v>8656</v>
      </c>
      <c r="T3582">
        <v>28</v>
      </c>
      <c r="U3582" s="2" t="s">
        <v>13894</v>
      </c>
      <c r="V3582" s="1">
        <v>45504</v>
      </c>
      <c r="W3582" t="s">
        <v>84</v>
      </c>
      <c r="X3582">
        <v>838409</v>
      </c>
      <c r="Y3582" t="s">
        <v>67</v>
      </c>
      <c r="Z3582" t="e">
        <f ca="1">- PM
- CALIBRATION</f>
        <v>#NAME?</v>
      </c>
      <c r="AA3582" t="e">
        <f ca="1">- performed Preventive Maintenance
- performed XpertCheck CALIBRATION
- GX ID STICKER Installation
- Generate _xludf.files</f>
        <v>#NAME?</v>
      </c>
      <c r="AB3582" t="s">
        <v>181</v>
      </c>
      <c r="AG3582" t="s">
        <v>21763</v>
      </c>
      <c r="AH3582" t="s">
        <v>21764</v>
      </c>
      <c r="AI3582" t="s">
        <v>21765</v>
      </c>
    </row>
    <row r="3583" spans="2:35" ht="330">
      <c r="B3583" s="1">
        <v>45504</v>
      </c>
      <c r="C3583" s="4">
        <v>45504.511111111111</v>
      </c>
      <c r="D3583" t="s">
        <v>10703</v>
      </c>
      <c r="E3583" t="s">
        <v>16371</v>
      </c>
      <c r="F3583">
        <v>10</v>
      </c>
      <c r="G3583" t="s">
        <v>2392</v>
      </c>
      <c r="H3583" t="s">
        <v>1498</v>
      </c>
      <c r="I3583" t="s">
        <v>40</v>
      </c>
      <c r="J3583" t="s">
        <v>21766</v>
      </c>
      <c r="K3583" t="s">
        <v>42</v>
      </c>
      <c r="L3583" t="s">
        <v>343</v>
      </c>
      <c r="N3583" t="s">
        <v>344</v>
      </c>
      <c r="Q3583">
        <v>28962</v>
      </c>
      <c r="R3583" t="s">
        <v>119</v>
      </c>
      <c r="S3583" t="s">
        <v>10705</v>
      </c>
      <c r="T3583">
        <v>28</v>
      </c>
      <c r="U3583" s="2" t="s">
        <v>21767</v>
      </c>
      <c r="W3583" t="s">
        <v>1501</v>
      </c>
      <c r="X3583">
        <v>838294</v>
      </c>
      <c r="Y3583" t="s">
        <v>21768</v>
      </c>
      <c r="Z3583" t="s">
        <v>301</v>
      </c>
      <c r="AA3583" s="2" t="s">
        <v>21769</v>
      </c>
      <c r="AB3583" t="s">
        <v>21770</v>
      </c>
      <c r="AG3583" t="s">
        <v>21771</v>
      </c>
      <c r="AH3583" t="s">
        <v>10708</v>
      </c>
      <c r="AI3583" t="s">
        <v>21772</v>
      </c>
    </row>
    <row r="3584" spans="2:35" ht="210">
      <c r="B3584" s="1">
        <v>45504</v>
      </c>
      <c r="C3584" s="4">
        <v>45504.49722222222</v>
      </c>
      <c r="D3584" t="s">
        <v>2221</v>
      </c>
      <c r="E3584" t="s">
        <v>21773</v>
      </c>
      <c r="F3584">
        <v>9</v>
      </c>
      <c r="G3584" t="s">
        <v>2197</v>
      </c>
      <c r="H3584" t="s">
        <v>39</v>
      </c>
      <c r="I3584" t="s">
        <v>94</v>
      </c>
      <c r="J3584" s="2" t="s">
        <v>21774</v>
      </c>
      <c r="K3584" t="s">
        <v>42</v>
      </c>
      <c r="L3584" t="s">
        <v>1257</v>
      </c>
      <c r="N3584" t="s">
        <v>2199</v>
      </c>
      <c r="O3584" t="s">
        <v>1258</v>
      </c>
      <c r="Q3584">
        <v>28961</v>
      </c>
      <c r="R3584" t="s">
        <v>119</v>
      </c>
      <c r="S3584" t="s">
        <v>2224</v>
      </c>
      <c r="T3584">
        <v>24</v>
      </c>
      <c r="U3584" s="2" t="s">
        <v>21775</v>
      </c>
      <c r="V3584" s="1">
        <v>45504</v>
      </c>
      <c r="W3584" t="s">
        <v>2384</v>
      </c>
      <c r="X3584">
        <v>838204</v>
      </c>
      <c r="Y3584" t="s">
        <v>21776</v>
      </c>
      <c r="Z3584" t="s">
        <v>21777</v>
      </c>
      <c r="AA3584" t="s">
        <v>21777</v>
      </c>
      <c r="AB3584" t="s">
        <v>21778</v>
      </c>
      <c r="AC3584" t="s">
        <v>21779</v>
      </c>
      <c r="AD3584" t="s">
        <v>54</v>
      </c>
      <c r="AE3584" t="s">
        <v>54</v>
      </c>
      <c r="AG3584" t="s">
        <v>21780</v>
      </c>
      <c r="AH3584" t="s">
        <v>2231</v>
      </c>
      <c r="AI3584" t="s">
        <v>21781</v>
      </c>
    </row>
    <row r="3585" spans="2:35" ht="345">
      <c r="B3585" s="1">
        <v>45504</v>
      </c>
      <c r="C3585" s="4">
        <v>45504.429166666669</v>
      </c>
      <c r="D3585" t="s">
        <v>9711</v>
      </c>
      <c r="E3585" t="s">
        <v>10679</v>
      </c>
      <c r="F3585">
        <v>10</v>
      </c>
      <c r="G3585" t="s">
        <v>2392</v>
      </c>
      <c r="H3585" t="s">
        <v>1498</v>
      </c>
      <c r="I3585" t="s">
        <v>40</v>
      </c>
      <c r="J3585" t="s">
        <v>21766</v>
      </c>
      <c r="K3585" t="s">
        <v>42</v>
      </c>
      <c r="L3585" t="s">
        <v>343</v>
      </c>
      <c r="N3585" t="s">
        <v>344</v>
      </c>
      <c r="Q3585">
        <v>28960</v>
      </c>
      <c r="R3585" t="s">
        <v>119</v>
      </c>
      <c r="S3585" t="s">
        <v>9713</v>
      </c>
      <c r="T3585">
        <v>23</v>
      </c>
      <c r="U3585" s="2" t="s">
        <v>21283</v>
      </c>
      <c r="W3585" t="s">
        <v>1501</v>
      </c>
      <c r="X3585">
        <v>838227</v>
      </c>
      <c r="Y3585" t="s">
        <v>21782</v>
      </c>
      <c r="Z3585" t="s">
        <v>301</v>
      </c>
      <c r="AA3585" s="2" t="s">
        <v>21783</v>
      </c>
      <c r="AB3585" t="s">
        <v>21784</v>
      </c>
      <c r="AG3585" t="s">
        <v>21785</v>
      </c>
      <c r="AH3585" t="s">
        <v>10681</v>
      </c>
      <c r="AI3585" t="s">
        <v>21786</v>
      </c>
    </row>
    <row r="3586" spans="2:35" ht="270">
      <c r="B3586" s="1">
        <v>45504</v>
      </c>
      <c r="C3586" s="4">
        <v>45503.45</v>
      </c>
      <c r="D3586" t="s">
        <v>976</v>
      </c>
      <c r="E3586" t="s">
        <v>14526</v>
      </c>
      <c r="F3586">
        <v>12</v>
      </c>
      <c r="G3586" t="s">
        <v>978</v>
      </c>
      <c r="H3586" t="s">
        <v>1473</v>
      </c>
      <c r="I3586" t="s">
        <v>40</v>
      </c>
      <c r="J3586" t="s">
        <v>109</v>
      </c>
      <c r="K3586" t="s">
        <v>42</v>
      </c>
      <c r="L3586" t="s">
        <v>296</v>
      </c>
      <c r="N3586" t="s">
        <v>297</v>
      </c>
      <c r="Q3586">
        <v>28959</v>
      </c>
      <c r="R3586" t="s">
        <v>119</v>
      </c>
      <c r="S3586" t="s">
        <v>16361</v>
      </c>
      <c r="T3586">
        <v>25.4</v>
      </c>
      <c r="U3586" s="2" t="s">
        <v>21787</v>
      </c>
      <c r="W3586" t="s">
        <v>981</v>
      </c>
      <c r="X3586">
        <v>838543</v>
      </c>
      <c r="Y3586" t="s">
        <v>54</v>
      </c>
      <c r="Z3586" t="s">
        <v>9161</v>
      </c>
      <c r="AA3586" s="2" t="s">
        <v>21788</v>
      </c>
      <c r="AB3586" t="s">
        <v>972</v>
      </c>
      <c r="AG3586" t="s">
        <v>21789</v>
      </c>
      <c r="AH3586" t="s">
        <v>21790</v>
      </c>
      <c r="AI3586" t="s">
        <v>21791</v>
      </c>
    </row>
    <row r="3587" spans="2:35" ht="270">
      <c r="B3587" s="1">
        <v>45504</v>
      </c>
      <c r="C3587" s="4">
        <v>45504.370833333334</v>
      </c>
      <c r="D3587" t="s">
        <v>9663</v>
      </c>
      <c r="E3587" t="s">
        <v>9664</v>
      </c>
      <c r="F3587">
        <v>10</v>
      </c>
      <c r="G3587" t="s">
        <v>2392</v>
      </c>
      <c r="H3587" t="s">
        <v>1498</v>
      </c>
      <c r="I3587" t="s">
        <v>40</v>
      </c>
      <c r="J3587" s="2" t="s">
        <v>21457</v>
      </c>
      <c r="K3587" t="s">
        <v>42</v>
      </c>
      <c r="L3587" t="s">
        <v>343</v>
      </c>
      <c r="N3587" t="s">
        <v>344</v>
      </c>
      <c r="Q3587">
        <v>28958</v>
      </c>
      <c r="R3587" t="s">
        <v>119</v>
      </c>
      <c r="S3587" t="s">
        <v>9665</v>
      </c>
      <c r="T3587">
        <v>28</v>
      </c>
      <c r="U3587" s="2" t="s">
        <v>21477</v>
      </c>
      <c r="W3587" t="s">
        <v>1501</v>
      </c>
      <c r="X3587">
        <v>838402</v>
      </c>
      <c r="Y3587" t="s">
        <v>301</v>
      </c>
      <c r="Z3587" t="s">
        <v>301</v>
      </c>
      <c r="AA3587" s="2" t="s">
        <v>21792</v>
      </c>
      <c r="AB3587" t="s">
        <v>21793</v>
      </c>
      <c r="AG3587" t="s">
        <v>21794</v>
      </c>
      <c r="AH3587" t="s">
        <v>9669</v>
      </c>
      <c r="AI3587" t="s">
        <v>21795</v>
      </c>
    </row>
    <row r="3588" spans="2:35" ht="270">
      <c r="B3588" s="1">
        <v>45503</v>
      </c>
      <c r="C3588" s="4">
        <v>45503.640972222223</v>
      </c>
      <c r="D3588" t="s">
        <v>21796</v>
      </c>
      <c r="E3588" t="s">
        <v>21797</v>
      </c>
      <c r="F3588" t="s">
        <v>1181</v>
      </c>
      <c r="G3588" t="s">
        <v>1182</v>
      </c>
      <c r="H3588" t="s">
        <v>39</v>
      </c>
      <c r="I3588" t="s">
        <v>40</v>
      </c>
      <c r="J3588" t="s">
        <v>321</v>
      </c>
      <c r="K3588" t="s">
        <v>42</v>
      </c>
      <c r="L3588" t="s">
        <v>15532</v>
      </c>
      <c r="N3588" t="s">
        <v>15533</v>
      </c>
      <c r="Q3588">
        <v>28957</v>
      </c>
      <c r="R3588" t="s">
        <v>967</v>
      </c>
      <c r="S3588" t="s">
        <v>2211</v>
      </c>
      <c r="T3588">
        <v>25</v>
      </c>
      <c r="U3588" s="2" t="s">
        <v>21798</v>
      </c>
      <c r="V3588" s="1">
        <v>45463</v>
      </c>
      <c r="W3588" t="s">
        <v>16496</v>
      </c>
      <c r="X3588">
        <v>110023510</v>
      </c>
      <c r="Y3588" t="s">
        <v>21799</v>
      </c>
      <c r="Z3588" s="2" t="s">
        <v>21736</v>
      </c>
      <c r="AA3588" s="2" t="s">
        <v>21800</v>
      </c>
      <c r="AB3588" s="2" t="s">
        <v>17371</v>
      </c>
      <c r="AD3588" t="s">
        <v>21801</v>
      </c>
      <c r="AE3588" t="s">
        <v>21802</v>
      </c>
      <c r="AG3588" t="s">
        <v>21803</v>
      </c>
      <c r="AH3588" t="s">
        <v>4812</v>
      </c>
      <c r="AI3588" t="s">
        <v>21804</v>
      </c>
    </row>
    <row r="3589" spans="2:35" ht="255">
      <c r="B3589" s="1">
        <v>45503</v>
      </c>
      <c r="C3589" s="4">
        <v>45503.570138888892</v>
      </c>
      <c r="D3589" t="s">
        <v>2568</v>
      </c>
      <c r="E3589" t="s">
        <v>14537</v>
      </c>
      <c r="F3589" t="s">
        <v>148</v>
      </c>
      <c r="G3589" t="s">
        <v>447</v>
      </c>
      <c r="H3589" t="s">
        <v>2807</v>
      </c>
      <c r="I3589" t="s">
        <v>40</v>
      </c>
      <c r="J3589" t="s">
        <v>109</v>
      </c>
      <c r="K3589" t="s">
        <v>42</v>
      </c>
      <c r="L3589" t="s">
        <v>448</v>
      </c>
      <c r="N3589" t="s">
        <v>650</v>
      </c>
      <c r="O3589" t="s">
        <v>2808</v>
      </c>
      <c r="Q3589">
        <v>28956</v>
      </c>
      <c r="R3589" t="s">
        <v>95</v>
      </c>
      <c r="S3589" t="s">
        <v>2809</v>
      </c>
      <c r="T3589">
        <v>28</v>
      </c>
      <c r="U3589" s="2" t="s">
        <v>21805</v>
      </c>
      <c r="W3589" t="s">
        <v>360</v>
      </c>
      <c r="X3589">
        <v>839234</v>
      </c>
      <c r="Y3589" s="2" t="s">
        <v>21806</v>
      </c>
      <c r="Z3589" s="2" t="s">
        <v>2011</v>
      </c>
      <c r="AA3589" t="s">
        <v>122</v>
      </c>
      <c r="AB3589" s="2" t="s">
        <v>21807</v>
      </c>
      <c r="AG3589" t="s">
        <v>21808</v>
      </c>
      <c r="AH3589" t="s">
        <v>21809</v>
      </c>
      <c r="AI3589" t="s">
        <v>21810</v>
      </c>
    </row>
    <row r="3590" spans="2:35" ht="409.5">
      <c r="B3590" s="1">
        <v>45503</v>
      </c>
      <c r="C3590" s="4">
        <v>45503.595138888886</v>
      </c>
      <c r="D3590" t="s">
        <v>2568</v>
      </c>
      <c r="E3590" t="s">
        <v>14537</v>
      </c>
      <c r="F3590" t="s">
        <v>148</v>
      </c>
      <c r="G3590" t="s">
        <v>447</v>
      </c>
      <c r="H3590" t="s">
        <v>2570</v>
      </c>
      <c r="I3590" t="s">
        <v>40</v>
      </c>
      <c r="J3590" t="s">
        <v>109</v>
      </c>
      <c r="K3590" t="s">
        <v>42</v>
      </c>
      <c r="L3590" t="s">
        <v>448</v>
      </c>
      <c r="N3590" t="s">
        <v>650</v>
      </c>
      <c r="O3590" t="s">
        <v>2808</v>
      </c>
      <c r="Q3590">
        <v>28955</v>
      </c>
      <c r="R3590" t="s">
        <v>95</v>
      </c>
      <c r="S3590" t="s">
        <v>2571</v>
      </c>
      <c r="T3590">
        <v>29</v>
      </c>
      <c r="U3590" s="2" t="s">
        <v>21811</v>
      </c>
      <c r="W3590" t="s">
        <v>6128</v>
      </c>
      <c r="X3590">
        <v>807155</v>
      </c>
      <c r="Y3590" s="2" t="s">
        <v>21812</v>
      </c>
      <c r="Z3590" s="2" t="s">
        <v>2011</v>
      </c>
      <c r="AA3590" t="s">
        <v>122</v>
      </c>
      <c r="AB3590" t="s">
        <v>21813</v>
      </c>
      <c r="AG3590" t="s">
        <v>21814</v>
      </c>
      <c r="AH3590" t="s">
        <v>21815</v>
      </c>
      <c r="AI3590" t="s">
        <v>21816</v>
      </c>
    </row>
    <row r="3591" spans="2:35" ht="255">
      <c r="B3591" s="1">
        <v>45503</v>
      </c>
      <c r="C3591" s="4">
        <v>45503.586111111108</v>
      </c>
      <c r="D3591" t="s">
        <v>15052</v>
      </c>
      <c r="E3591" t="s">
        <v>21817</v>
      </c>
      <c r="F3591">
        <v>9</v>
      </c>
      <c r="G3591" t="s">
        <v>2197</v>
      </c>
      <c r="H3591" t="s">
        <v>39</v>
      </c>
      <c r="I3591" t="s">
        <v>40</v>
      </c>
      <c r="J3591" s="2" t="s">
        <v>21818</v>
      </c>
      <c r="K3591" t="s">
        <v>42</v>
      </c>
      <c r="L3591" t="s">
        <v>1257</v>
      </c>
      <c r="N3591" t="s">
        <v>1258</v>
      </c>
      <c r="O3591" t="s">
        <v>2199</v>
      </c>
      <c r="Q3591">
        <v>28954</v>
      </c>
      <c r="R3591" t="s">
        <v>967</v>
      </c>
      <c r="S3591" t="s">
        <v>21819</v>
      </c>
      <c r="T3591">
        <v>23</v>
      </c>
      <c r="V3591" s="1">
        <v>45463</v>
      </c>
      <c r="W3591" t="s">
        <v>21820</v>
      </c>
      <c r="X3591">
        <v>110023517</v>
      </c>
      <c r="Y3591" t="s">
        <v>301</v>
      </c>
      <c r="Z3591" t="s">
        <v>21821</v>
      </c>
      <c r="AA3591" t="s">
        <v>21821</v>
      </c>
      <c r="AB3591" t="s">
        <v>3161</v>
      </c>
      <c r="AC3591" t="s">
        <v>301</v>
      </c>
      <c r="AD3591" s="2" t="s">
        <v>21822</v>
      </c>
      <c r="AE3591">
        <v>11645</v>
      </c>
      <c r="AG3591" t="s">
        <v>21823</v>
      </c>
      <c r="AH3591" t="s">
        <v>21824</v>
      </c>
      <c r="AI3591" t="s">
        <v>21825</v>
      </c>
    </row>
    <row r="3592" spans="2:35" ht="105">
      <c r="B3592" s="1">
        <v>45503</v>
      </c>
      <c r="C3592" s="4">
        <v>45503.559027777781</v>
      </c>
      <c r="D3592" t="s">
        <v>16716</v>
      </c>
      <c r="E3592" t="s">
        <v>1128</v>
      </c>
      <c r="F3592">
        <v>8</v>
      </c>
      <c r="G3592" t="s">
        <v>342</v>
      </c>
      <c r="H3592" t="s">
        <v>202</v>
      </c>
      <c r="I3592" t="s">
        <v>40</v>
      </c>
      <c r="J3592" s="2" t="s">
        <v>62</v>
      </c>
      <c r="K3592" t="s">
        <v>42</v>
      </c>
      <c r="L3592" t="s">
        <v>259</v>
      </c>
      <c r="N3592" t="s">
        <v>260</v>
      </c>
      <c r="Q3592">
        <v>28953</v>
      </c>
      <c r="R3592" t="s">
        <v>119</v>
      </c>
      <c r="S3592" t="s">
        <v>17749</v>
      </c>
      <c r="T3592">
        <v>26</v>
      </c>
      <c r="U3592" s="2" t="s">
        <v>21767</v>
      </c>
      <c r="V3592" s="1">
        <v>45503</v>
      </c>
      <c r="W3592" t="s">
        <v>84</v>
      </c>
      <c r="X3592">
        <v>838421</v>
      </c>
      <c r="Y3592" t="s">
        <v>21236</v>
      </c>
      <c r="Z3592" s="2" t="s">
        <v>21826</v>
      </c>
      <c r="AA3592" t="e">
        <f ca="1">- performed Preventive Maintenance
- XpertCheck CALIBRATION
- performed functionality test
- Generate reports</f>
        <v>#NAME?</v>
      </c>
      <c r="AB3592" t="s">
        <v>181</v>
      </c>
      <c r="AG3592" t="s">
        <v>21827</v>
      </c>
      <c r="AH3592" t="s">
        <v>17752</v>
      </c>
      <c r="AI3592" t="s">
        <v>21828</v>
      </c>
    </row>
    <row r="3593" spans="2:35" ht="409.5">
      <c r="B3593" s="1">
        <v>45503</v>
      </c>
      <c r="C3593" s="4">
        <v>45496.590277777781</v>
      </c>
      <c r="D3593" t="s">
        <v>21829</v>
      </c>
      <c r="E3593" t="s">
        <v>3140</v>
      </c>
      <c r="F3593">
        <v>3</v>
      </c>
      <c r="G3593" t="s">
        <v>174</v>
      </c>
      <c r="H3593" t="s">
        <v>39</v>
      </c>
      <c r="I3593" t="s">
        <v>40</v>
      </c>
      <c r="J3593" t="s">
        <v>525</v>
      </c>
      <c r="K3593" t="s">
        <v>42</v>
      </c>
      <c r="L3593" t="s">
        <v>175</v>
      </c>
      <c r="N3593" t="s">
        <v>176</v>
      </c>
      <c r="Q3593">
        <v>28952</v>
      </c>
      <c r="R3593" t="s">
        <v>95</v>
      </c>
      <c r="S3593" t="s">
        <v>3898</v>
      </c>
      <c r="T3593">
        <v>23</v>
      </c>
      <c r="W3593" t="s">
        <v>423</v>
      </c>
      <c r="X3593">
        <v>110008530</v>
      </c>
      <c r="Y3593" t="s">
        <v>21830</v>
      </c>
      <c r="Z3593" t="s">
        <v>6307</v>
      </c>
      <c r="AA3593" s="2" t="s">
        <v>21831</v>
      </c>
      <c r="AB3593" s="2" t="s">
        <v>21832</v>
      </c>
      <c r="AG3593" t="s">
        <v>21833</v>
      </c>
      <c r="AH3593" t="s">
        <v>8887</v>
      </c>
      <c r="AI3593" t="s">
        <v>21834</v>
      </c>
    </row>
    <row r="3594" spans="2:35" ht="180">
      <c r="B3594" s="1">
        <v>45503</v>
      </c>
      <c r="C3594" s="4">
        <v>45503.5</v>
      </c>
      <c r="D3594" t="s">
        <v>6667</v>
      </c>
      <c r="E3594" t="s">
        <v>2817</v>
      </c>
      <c r="F3594" t="s">
        <v>148</v>
      </c>
      <c r="G3594" t="s">
        <v>371</v>
      </c>
      <c r="H3594" t="s">
        <v>39</v>
      </c>
      <c r="I3594" t="s">
        <v>40</v>
      </c>
      <c r="J3594" t="s">
        <v>109</v>
      </c>
      <c r="K3594" t="s">
        <v>42</v>
      </c>
      <c r="L3594" t="s">
        <v>175</v>
      </c>
      <c r="N3594" t="s">
        <v>176</v>
      </c>
      <c r="O3594" t="s">
        <v>5518</v>
      </c>
      <c r="Q3594">
        <v>28951</v>
      </c>
      <c r="R3594" t="s">
        <v>703</v>
      </c>
      <c r="S3594" t="s">
        <v>5519</v>
      </c>
      <c r="T3594">
        <v>27</v>
      </c>
      <c r="U3594" s="2" t="s">
        <v>21835</v>
      </c>
      <c r="W3594" t="s">
        <v>84</v>
      </c>
      <c r="X3594">
        <v>110018008</v>
      </c>
      <c r="Y3594" t="s">
        <v>374</v>
      </c>
      <c r="Z3594" t="s">
        <v>103</v>
      </c>
      <c r="AA3594" t="e">
        <f ca="1">- checked _xludf.and cleaned cartridge bay, plunger rod, _xludf.filter
- performed self test
- generated reports</f>
        <v>#NAME?</v>
      </c>
      <c r="AB3594" s="2" t="s">
        <v>21836</v>
      </c>
      <c r="AG3594" t="s">
        <v>21837</v>
      </c>
      <c r="AH3594" t="s">
        <v>5521</v>
      </c>
      <c r="AI3594" t="s">
        <v>21838</v>
      </c>
    </row>
    <row r="3595" spans="2:35" ht="360">
      <c r="B3595" s="1">
        <v>45502</v>
      </c>
      <c r="C3595" s="4">
        <v>45502.634722222225</v>
      </c>
      <c r="D3595" t="s">
        <v>12505</v>
      </c>
      <c r="E3595" t="s">
        <v>12506</v>
      </c>
      <c r="F3595">
        <v>3</v>
      </c>
      <c r="G3595" t="s">
        <v>219</v>
      </c>
      <c r="H3595" t="s">
        <v>61</v>
      </c>
      <c r="I3595" t="s">
        <v>40</v>
      </c>
      <c r="J3595" t="s">
        <v>109</v>
      </c>
      <c r="K3595" t="s">
        <v>42</v>
      </c>
      <c r="L3595" t="s">
        <v>135</v>
      </c>
      <c r="N3595" t="s">
        <v>136</v>
      </c>
      <c r="Q3595">
        <v>28950</v>
      </c>
      <c r="R3595" t="s">
        <v>322</v>
      </c>
      <c r="S3595" t="s">
        <v>12507</v>
      </c>
      <c r="T3595">
        <v>29</v>
      </c>
      <c r="U3595" s="2" t="s">
        <v>21839</v>
      </c>
      <c r="W3595" t="s">
        <v>2680</v>
      </c>
      <c r="X3595">
        <v>838520</v>
      </c>
      <c r="Y3595" s="2" t="s">
        <v>21840</v>
      </c>
      <c r="Z3595" s="2" t="s">
        <v>15166</v>
      </c>
      <c r="AA3595" s="2" t="s">
        <v>4316</v>
      </c>
      <c r="AB3595" s="2" t="s">
        <v>21841</v>
      </c>
      <c r="AG3595" t="s">
        <v>21842</v>
      </c>
      <c r="AH3595" t="s">
        <v>21843</v>
      </c>
      <c r="AI3595" t="s">
        <v>21844</v>
      </c>
    </row>
    <row r="3596" spans="2:35" ht="409.5">
      <c r="B3596" s="1">
        <v>45502</v>
      </c>
      <c r="C3596" s="4">
        <v>45502.568749999999</v>
      </c>
      <c r="D3596" t="s">
        <v>21845</v>
      </c>
      <c r="E3596" t="s">
        <v>21846</v>
      </c>
      <c r="F3596">
        <v>3</v>
      </c>
      <c r="G3596" t="s">
        <v>219</v>
      </c>
      <c r="H3596" t="s">
        <v>39</v>
      </c>
      <c r="I3596" t="s">
        <v>40</v>
      </c>
      <c r="J3596" s="2" t="s">
        <v>41</v>
      </c>
      <c r="K3596" t="s">
        <v>42</v>
      </c>
      <c r="L3596" t="s">
        <v>135</v>
      </c>
      <c r="N3596" t="s">
        <v>136</v>
      </c>
      <c r="Q3596">
        <v>28949</v>
      </c>
      <c r="R3596" t="s">
        <v>119</v>
      </c>
      <c r="S3596" t="s">
        <v>21847</v>
      </c>
      <c r="T3596">
        <v>28</v>
      </c>
      <c r="U3596" s="2" t="s">
        <v>21848</v>
      </c>
      <c r="W3596" t="s">
        <v>2680</v>
      </c>
      <c r="X3596">
        <v>831608</v>
      </c>
      <c r="Y3596" s="2" t="s">
        <v>21849</v>
      </c>
      <c r="Z3596" s="2" t="s">
        <v>21850</v>
      </c>
      <c r="AA3596" s="2" t="s">
        <v>21851</v>
      </c>
      <c r="AB3596" s="2" t="s">
        <v>21852</v>
      </c>
      <c r="AC3596" t="s">
        <v>15866</v>
      </c>
      <c r="AG3596" t="s">
        <v>21853</v>
      </c>
      <c r="AH3596" t="s">
        <v>21854</v>
      </c>
      <c r="AI3596" t="s">
        <v>21855</v>
      </c>
    </row>
    <row r="3597" spans="2:35" ht="409.5">
      <c r="B3597" s="1">
        <v>45502</v>
      </c>
      <c r="C3597" s="4">
        <v>45502.5</v>
      </c>
      <c r="D3597" t="s">
        <v>1203</v>
      </c>
      <c r="E3597" t="s">
        <v>21856</v>
      </c>
      <c r="F3597">
        <v>11</v>
      </c>
      <c r="G3597" t="s">
        <v>1205</v>
      </c>
      <c r="H3597" t="s">
        <v>6865</v>
      </c>
      <c r="I3597" t="s">
        <v>40</v>
      </c>
      <c r="J3597" s="2" t="s">
        <v>760</v>
      </c>
      <c r="K3597" t="s">
        <v>387</v>
      </c>
      <c r="L3597" t="s">
        <v>204</v>
      </c>
      <c r="N3597" t="s">
        <v>205</v>
      </c>
      <c r="O3597" t="s">
        <v>2867</v>
      </c>
      <c r="Q3597">
        <v>28948</v>
      </c>
      <c r="R3597" t="s">
        <v>95</v>
      </c>
      <c r="S3597" t="s">
        <v>6315</v>
      </c>
      <c r="T3597">
        <v>26.5</v>
      </c>
      <c r="V3597" s="1">
        <v>45497</v>
      </c>
      <c r="W3597" t="s">
        <v>390</v>
      </c>
      <c r="X3597" t="s">
        <v>6867</v>
      </c>
      <c r="Y3597" t="s">
        <v>21857</v>
      </c>
      <c r="Z3597" s="2" t="s">
        <v>21858</v>
      </c>
      <c r="AA3597" t="s">
        <v>21859</v>
      </c>
      <c r="AB3597" s="2" t="s">
        <v>21860</v>
      </c>
      <c r="AC3597" t="s">
        <v>21861</v>
      </c>
      <c r="AD3597" t="s">
        <v>21862</v>
      </c>
      <c r="AE3597">
        <v>11747</v>
      </c>
      <c r="AG3597" t="s">
        <v>21863</v>
      </c>
      <c r="AH3597" t="s">
        <v>21864</v>
      </c>
      <c r="AI3597" t="s">
        <v>21865</v>
      </c>
    </row>
    <row r="3598" spans="2:35" ht="409.5">
      <c r="B3598" s="1">
        <v>45502</v>
      </c>
      <c r="C3598" s="4">
        <v>45492.490277777775</v>
      </c>
      <c r="D3598" t="s">
        <v>1462</v>
      </c>
      <c r="E3598" t="s">
        <v>2892</v>
      </c>
      <c r="F3598">
        <v>8</v>
      </c>
      <c r="G3598" t="s">
        <v>1663</v>
      </c>
      <c r="H3598" t="s">
        <v>202</v>
      </c>
      <c r="I3598" t="s">
        <v>40</v>
      </c>
      <c r="J3598" t="s">
        <v>321</v>
      </c>
      <c r="K3598" t="s">
        <v>42</v>
      </c>
      <c r="L3598" t="s">
        <v>259</v>
      </c>
      <c r="N3598" t="s">
        <v>260</v>
      </c>
      <c r="Q3598">
        <v>28947</v>
      </c>
      <c r="R3598" t="s">
        <v>967</v>
      </c>
      <c r="S3598" t="s">
        <v>21866</v>
      </c>
      <c r="T3598">
        <v>24</v>
      </c>
      <c r="V3598" s="1">
        <v>45492</v>
      </c>
      <c r="W3598" t="s">
        <v>1537</v>
      </c>
      <c r="X3598">
        <v>110023515</v>
      </c>
      <c r="Y3598" t="s">
        <v>21867</v>
      </c>
      <c r="Z3598" t="s">
        <v>13110</v>
      </c>
      <c r="AA3598" s="2" t="s">
        <v>21868</v>
      </c>
      <c r="AB3598" t="s">
        <v>7675</v>
      </c>
      <c r="AD3598" s="2" t="s">
        <v>21869</v>
      </c>
      <c r="AE3598" t="s">
        <v>21870</v>
      </c>
      <c r="AG3598" t="s">
        <v>21871</v>
      </c>
      <c r="AH3598" t="s">
        <v>21872</v>
      </c>
      <c r="AI3598" t="s">
        <v>21873</v>
      </c>
    </row>
    <row r="3599" spans="2:35" ht="195">
      <c r="B3599" s="1">
        <v>45502</v>
      </c>
      <c r="C3599" s="4">
        <v>45499.580555555556</v>
      </c>
      <c r="D3599" t="s">
        <v>1145</v>
      </c>
      <c r="E3599" t="s">
        <v>473</v>
      </c>
      <c r="F3599" t="s">
        <v>148</v>
      </c>
      <c r="G3599" t="s">
        <v>447</v>
      </c>
      <c r="H3599" t="s">
        <v>150</v>
      </c>
      <c r="I3599" t="s">
        <v>40</v>
      </c>
      <c r="J3599" t="s">
        <v>109</v>
      </c>
      <c r="K3599" t="s">
        <v>42</v>
      </c>
      <c r="L3599" t="s">
        <v>448</v>
      </c>
      <c r="N3599" t="s">
        <v>650</v>
      </c>
      <c r="Q3599">
        <v>28946</v>
      </c>
      <c r="R3599" t="s">
        <v>95</v>
      </c>
      <c r="S3599" t="s">
        <v>1147</v>
      </c>
      <c r="T3599">
        <v>29</v>
      </c>
      <c r="U3599" s="2" t="s">
        <v>21874</v>
      </c>
      <c r="W3599" t="s">
        <v>6128</v>
      </c>
      <c r="X3599">
        <v>804205</v>
      </c>
      <c r="Y3599" s="2" t="s">
        <v>21875</v>
      </c>
      <c r="Z3599" s="2" t="s">
        <v>2011</v>
      </c>
      <c r="AA3599" t="s">
        <v>122</v>
      </c>
      <c r="AB3599" t="s">
        <v>21876</v>
      </c>
      <c r="AG3599" t="s">
        <v>21877</v>
      </c>
      <c r="AH3599" t="s">
        <v>1153</v>
      </c>
      <c r="AI3599" t="s">
        <v>21878</v>
      </c>
    </row>
    <row r="3600" spans="2:35" ht="409.5">
      <c r="B3600" s="1">
        <v>45502</v>
      </c>
      <c r="C3600" s="4">
        <v>45499.577777777777</v>
      </c>
      <c r="D3600" t="s">
        <v>1145</v>
      </c>
      <c r="E3600" t="s">
        <v>473</v>
      </c>
      <c r="F3600" t="s">
        <v>148</v>
      </c>
      <c r="G3600" t="s">
        <v>447</v>
      </c>
      <c r="H3600" t="s">
        <v>150</v>
      </c>
      <c r="I3600" t="s">
        <v>40</v>
      </c>
      <c r="J3600" t="s">
        <v>109</v>
      </c>
      <c r="K3600" t="s">
        <v>42</v>
      </c>
      <c r="L3600" t="s">
        <v>448</v>
      </c>
      <c r="N3600" t="s">
        <v>650</v>
      </c>
      <c r="Q3600">
        <v>28945</v>
      </c>
      <c r="R3600" t="s">
        <v>322</v>
      </c>
      <c r="S3600" t="s">
        <v>1147</v>
      </c>
      <c r="T3600">
        <v>30</v>
      </c>
      <c r="U3600" s="2" t="s">
        <v>21879</v>
      </c>
      <c r="W3600" t="s">
        <v>21880</v>
      </c>
      <c r="X3600">
        <v>838837</v>
      </c>
      <c r="Y3600" s="2" t="s">
        <v>21881</v>
      </c>
      <c r="Z3600" s="2" t="s">
        <v>2011</v>
      </c>
      <c r="AA3600" t="s">
        <v>122</v>
      </c>
      <c r="AB3600" s="2" t="s">
        <v>21882</v>
      </c>
      <c r="AG3600" t="s">
        <v>21883</v>
      </c>
      <c r="AH3600" t="s">
        <v>1153</v>
      </c>
      <c r="AI3600" t="s">
        <v>21884</v>
      </c>
    </row>
    <row r="3601" spans="2:35" ht="255">
      <c r="B3601" s="1">
        <v>45502</v>
      </c>
      <c r="C3601" s="4">
        <v>45499.43472222222</v>
      </c>
      <c r="D3601" t="s">
        <v>3679</v>
      </c>
      <c r="E3601" t="s">
        <v>2580</v>
      </c>
      <c r="F3601" t="s">
        <v>148</v>
      </c>
      <c r="G3601" t="s">
        <v>447</v>
      </c>
      <c r="H3601" t="s">
        <v>662</v>
      </c>
      <c r="I3601" t="s">
        <v>40</v>
      </c>
      <c r="J3601" t="s">
        <v>109</v>
      </c>
      <c r="K3601" t="s">
        <v>42</v>
      </c>
      <c r="L3601" t="s">
        <v>448</v>
      </c>
      <c r="N3601" t="s">
        <v>650</v>
      </c>
      <c r="Q3601">
        <v>28944</v>
      </c>
      <c r="R3601" t="s">
        <v>322</v>
      </c>
      <c r="S3601" t="s">
        <v>3680</v>
      </c>
      <c r="T3601">
        <v>25</v>
      </c>
      <c r="U3601" s="2" t="s">
        <v>21885</v>
      </c>
      <c r="W3601" t="s">
        <v>6785</v>
      </c>
      <c r="X3601">
        <v>838655</v>
      </c>
      <c r="Y3601" t="s">
        <v>485</v>
      </c>
      <c r="Z3601" s="2" t="s">
        <v>2011</v>
      </c>
      <c r="AA3601" t="s">
        <v>122</v>
      </c>
      <c r="AB3601" t="s">
        <v>486</v>
      </c>
      <c r="AG3601" t="s">
        <v>21886</v>
      </c>
      <c r="AH3601" t="s">
        <v>21887</v>
      </c>
      <c r="AI3601" t="s">
        <v>21888</v>
      </c>
    </row>
    <row r="3602" spans="2:35" ht="345">
      <c r="B3602" s="1">
        <v>45502</v>
      </c>
      <c r="C3602" s="4">
        <v>45499.407638888886</v>
      </c>
      <c r="D3602" t="s">
        <v>2176</v>
      </c>
      <c r="E3602" t="s">
        <v>2580</v>
      </c>
      <c r="F3602" t="s">
        <v>148</v>
      </c>
      <c r="G3602" t="s">
        <v>447</v>
      </c>
      <c r="H3602" t="s">
        <v>662</v>
      </c>
      <c r="I3602" t="s">
        <v>40</v>
      </c>
      <c r="J3602" t="s">
        <v>109</v>
      </c>
      <c r="K3602" t="s">
        <v>42</v>
      </c>
      <c r="L3602" t="s">
        <v>448</v>
      </c>
      <c r="N3602" t="s">
        <v>650</v>
      </c>
      <c r="Q3602">
        <v>28943</v>
      </c>
      <c r="R3602" t="s">
        <v>322</v>
      </c>
      <c r="S3602" t="s">
        <v>3086</v>
      </c>
      <c r="T3602">
        <v>27</v>
      </c>
      <c r="U3602" s="2" t="s">
        <v>21889</v>
      </c>
      <c r="W3602" t="s">
        <v>21890</v>
      </c>
      <c r="X3602">
        <v>110016781</v>
      </c>
      <c r="Y3602" t="s">
        <v>485</v>
      </c>
      <c r="Z3602" s="2" t="s">
        <v>21891</v>
      </c>
      <c r="AA3602" t="s">
        <v>122</v>
      </c>
      <c r="AB3602" t="s">
        <v>486</v>
      </c>
      <c r="AG3602" t="s">
        <v>21892</v>
      </c>
      <c r="AH3602" t="s">
        <v>21893</v>
      </c>
      <c r="AI3602" t="s">
        <v>21894</v>
      </c>
    </row>
    <row r="3603" spans="2:35" ht="210">
      <c r="B3603" s="1">
        <v>45502</v>
      </c>
      <c r="C3603" s="4">
        <v>45499.390277777777</v>
      </c>
      <c r="D3603" t="s">
        <v>2176</v>
      </c>
      <c r="E3603" t="s">
        <v>2580</v>
      </c>
      <c r="F3603" t="s">
        <v>148</v>
      </c>
      <c r="G3603" t="s">
        <v>447</v>
      </c>
      <c r="H3603" t="s">
        <v>17343</v>
      </c>
      <c r="I3603" t="s">
        <v>40</v>
      </c>
      <c r="J3603" t="s">
        <v>109</v>
      </c>
      <c r="K3603" t="s">
        <v>42</v>
      </c>
      <c r="L3603" t="s">
        <v>448</v>
      </c>
      <c r="N3603" t="s">
        <v>650</v>
      </c>
      <c r="Q3603">
        <v>28942</v>
      </c>
      <c r="R3603" t="s">
        <v>322</v>
      </c>
      <c r="S3603" t="s">
        <v>18343</v>
      </c>
      <c r="T3603">
        <v>28</v>
      </c>
      <c r="U3603" s="2" t="s">
        <v>21895</v>
      </c>
      <c r="W3603" t="s">
        <v>6504</v>
      </c>
      <c r="X3603">
        <v>110014085</v>
      </c>
      <c r="Y3603" t="s">
        <v>485</v>
      </c>
      <c r="Z3603" s="2" t="s">
        <v>21891</v>
      </c>
      <c r="AA3603" t="s">
        <v>122</v>
      </c>
      <c r="AB3603" t="s">
        <v>486</v>
      </c>
      <c r="AG3603" t="s">
        <v>21896</v>
      </c>
      <c r="AH3603" t="s">
        <v>21897</v>
      </c>
      <c r="AI3603" t="s">
        <v>21898</v>
      </c>
    </row>
    <row r="3604" spans="2:35" ht="360">
      <c r="B3604" s="1">
        <v>45501</v>
      </c>
      <c r="C3604" s="4">
        <v>45496.540277777778</v>
      </c>
      <c r="D3604" t="s">
        <v>9302</v>
      </c>
      <c r="E3604" t="s">
        <v>4320</v>
      </c>
      <c r="F3604">
        <v>3</v>
      </c>
      <c r="G3604" t="s">
        <v>730</v>
      </c>
      <c r="H3604" t="s">
        <v>39</v>
      </c>
      <c r="I3604" t="s">
        <v>40</v>
      </c>
      <c r="J3604" t="s">
        <v>109</v>
      </c>
      <c r="K3604" t="s">
        <v>42</v>
      </c>
      <c r="L3604" t="s">
        <v>135</v>
      </c>
      <c r="N3604" t="s">
        <v>136</v>
      </c>
      <c r="O3604" t="s">
        <v>9308</v>
      </c>
      <c r="Q3604">
        <v>28941</v>
      </c>
      <c r="R3604" t="s">
        <v>95</v>
      </c>
      <c r="S3604" t="s">
        <v>9303</v>
      </c>
      <c r="T3604">
        <v>22</v>
      </c>
      <c r="U3604" s="2" t="s">
        <v>21899</v>
      </c>
      <c r="W3604" t="s">
        <v>2680</v>
      </c>
      <c r="X3604">
        <v>839232</v>
      </c>
      <c r="Y3604" t="s">
        <v>7229</v>
      </c>
      <c r="Z3604" t="s">
        <v>4315</v>
      </c>
      <c r="AA3604" s="2" t="s">
        <v>4316</v>
      </c>
      <c r="AB3604" t="s">
        <v>181</v>
      </c>
      <c r="AG3604" t="s">
        <v>21900</v>
      </c>
      <c r="AH3604" t="s">
        <v>21901</v>
      </c>
      <c r="AI3604" t="s">
        <v>21902</v>
      </c>
    </row>
    <row r="3605" spans="2:35" ht="360">
      <c r="B3605" s="1">
        <v>45501</v>
      </c>
      <c r="C3605" s="4">
        <v>45496.542361111111</v>
      </c>
      <c r="D3605" t="s">
        <v>9302</v>
      </c>
      <c r="E3605" t="s">
        <v>21903</v>
      </c>
      <c r="F3605">
        <v>3</v>
      </c>
      <c r="G3605" t="s">
        <v>730</v>
      </c>
      <c r="H3605" t="s">
        <v>39</v>
      </c>
      <c r="I3605" t="s">
        <v>40</v>
      </c>
      <c r="J3605" t="s">
        <v>109</v>
      </c>
      <c r="K3605" t="s">
        <v>42</v>
      </c>
      <c r="L3605" t="s">
        <v>135</v>
      </c>
      <c r="N3605" t="s">
        <v>136</v>
      </c>
      <c r="O3605" t="s">
        <v>9308</v>
      </c>
      <c r="Q3605">
        <v>28940</v>
      </c>
      <c r="R3605" t="s">
        <v>95</v>
      </c>
      <c r="S3605" t="s">
        <v>9303</v>
      </c>
      <c r="T3605">
        <v>22</v>
      </c>
      <c r="U3605" s="2" t="s">
        <v>21899</v>
      </c>
      <c r="W3605" t="s">
        <v>3418</v>
      </c>
      <c r="X3605">
        <v>830841</v>
      </c>
      <c r="Y3605" t="s">
        <v>7229</v>
      </c>
      <c r="Z3605" t="s">
        <v>4315</v>
      </c>
      <c r="AA3605" s="2" t="s">
        <v>4316</v>
      </c>
      <c r="AB3605" t="s">
        <v>181</v>
      </c>
      <c r="AG3605" t="s">
        <v>21904</v>
      </c>
      <c r="AH3605" t="s">
        <v>21901</v>
      </c>
      <c r="AI3605" t="s">
        <v>21905</v>
      </c>
    </row>
    <row r="3606" spans="2:35" ht="315">
      <c r="B3606" s="1">
        <v>45501</v>
      </c>
      <c r="C3606" s="4">
        <v>45501.878472222219</v>
      </c>
      <c r="D3606" t="s">
        <v>7459</v>
      </c>
      <c r="E3606" t="s">
        <v>19268</v>
      </c>
      <c r="F3606">
        <v>11</v>
      </c>
      <c r="G3606" t="s">
        <v>1205</v>
      </c>
      <c r="H3606" t="s">
        <v>202</v>
      </c>
      <c r="I3606" t="s">
        <v>40</v>
      </c>
      <c r="J3606" t="s">
        <v>109</v>
      </c>
      <c r="K3606" t="s">
        <v>42</v>
      </c>
      <c r="L3606" t="s">
        <v>204</v>
      </c>
      <c r="N3606" t="s">
        <v>205</v>
      </c>
      <c r="Q3606">
        <v>28939</v>
      </c>
      <c r="R3606" t="s">
        <v>119</v>
      </c>
      <c r="S3606" t="s">
        <v>7460</v>
      </c>
      <c r="T3606">
        <v>28.6</v>
      </c>
      <c r="U3606" s="2" t="s">
        <v>1840</v>
      </c>
      <c r="W3606" t="s">
        <v>20675</v>
      </c>
      <c r="X3606">
        <v>838511</v>
      </c>
      <c r="Y3606" t="s">
        <v>1052</v>
      </c>
      <c r="Z3606" s="2" t="s">
        <v>1321</v>
      </c>
      <c r="AA3606" t="s">
        <v>2551</v>
      </c>
      <c r="AB3606" t="s">
        <v>1211</v>
      </c>
      <c r="AC3606" t="s">
        <v>21906</v>
      </c>
      <c r="AG3606" t="s">
        <v>21907</v>
      </c>
      <c r="AH3606" t="s">
        <v>21908</v>
      </c>
      <c r="AI3606" t="s">
        <v>21909</v>
      </c>
    </row>
    <row r="3607" spans="2:35" ht="409.5">
      <c r="B3607" s="1">
        <v>45500</v>
      </c>
      <c r="C3607" s="4">
        <v>45499.481249999997</v>
      </c>
      <c r="D3607" t="s">
        <v>965</v>
      </c>
      <c r="E3607" t="s">
        <v>21910</v>
      </c>
      <c r="F3607">
        <v>12</v>
      </c>
      <c r="G3607" t="s">
        <v>978</v>
      </c>
      <c r="H3607" t="s">
        <v>39</v>
      </c>
      <c r="I3607" t="s">
        <v>40</v>
      </c>
      <c r="J3607" t="s">
        <v>321</v>
      </c>
      <c r="K3607" t="s">
        <v>42</v>
      </c>
      <c r="L3607" t="s">
        <v>296</v>
      </c>
      <c r="N3607" t="s">
        <v>297</v>
      </c>
      <c r="Q3607">
        <v>28938</v>
      </c>
      <c r="R3607" t="s">
        <v>967</v>
      </c>
      <c r="S3607" t="s">
        <v>12658</v>
      </c>
      <c r="T3607">
        <v>25.8</v>
      </c>
      <c r="W3607" t="s">
        <v>21911</v>
      </c>
      <c r="X3607">
        <v>110023520</v>
      </c>
      <c r="Y3607" t="s">
        <v>54</v>
      </c>
      <c r="Z3607" t="s">
        <v>10619</v>
      </c>
      <c r="AA3607" s="2" t="s">
        <v>21912</v>
      </c>
      <c r="AB3607" t="s">
        <v>21913</v>
      </c>
      <c r="AG3607" t="s">
        <v>21914</v>
      </c>
      <c r="AH3607" t="s">
        <v>21915</v>
      </c>
      <c r="AI3607" t="s">
        <v>21916</v>
      </c>
    </row>
    <row r="3608" spans="2:35" ht="105">
      <c r="B3608" s="1">
        <v>45499</v>
      </c>
      <c r="C3608" s="4">
        <v>45499.768750000003</v>
      </c>
      <c r="D3608" t="s">
        <v>17651</v>
      </c>
      <c r="E3608" t="s">
        <v>21917</v>
      </c>
      <c r="F3608">
        <v>10</v>
      </c>
      <c r="G3608" t="s">
        <v>1395</v>
      </c>
      <c r="H3608" t="s">
        <v>10969</v>
      </c>
      <c r="I3608" t="s">
        <v>40</v>
      </c>
      <c r="J3608" t="s">
        <v>525</v>
      </c>
      <c r="K3608" t="s">
        <v>42</v>
      </c>
      <c r="L3608" t="s">
        <v>1288</v>
      </c>
      <c r="N3608" t="s">
        <v>1289</v>
      </c>
      <c r="Q3608">
        <v>28937</v>
      </c>
      <c r="R3608" t="s">
        <v>119</v>
      </c>
      <c r="S3608" t="s">
        <v>10801</v>
      </c>
      <c r="T3608">
        <v>25</v>
      </c>
      <c r="U3608" s="2" t="s">
        <v>18351</v>
      </c>
      <c r="W3608" t="s">
        <v>1292</v>
      </c>
      <c r="X3608">
        <v>838269</v>
      </c>
      <c r="Y3608" t="s">
        <v>21918</v>
      </c>
      <c r="Z3608" t="e">
        <f ca="1">-COLLECT IQR,system _xludf.Log, _xludf.and ARCHIVE</f>
        <v>#NAME?</v>
      </c>
      <c r="AA3608" t="e">
        <f ca="1">-PERFORM Troubleshooting _xludf.For system Unit No _xludf.Power issue
-Inspect _xludf.Power cables _xludf.and Connections</f>
        <v>#NAME?</v>
      </c>
      <c r="AB3608" t="s">
        <v>1293</v>
      </c>
      <c r="AG3608" t="s">
        <v>21919</v>
      </c>
      <c r="AH3608" t="s">
        <v>17658</v>
      </c>
      <c r="AI3608" t="s">
        <v>21920</v>
      </c>
    </row>
    <row r="3609" spans="2:35" ht="409.5">
      <c r="B3609" s="1">
        <v>45499</v>
      </c>
      <c r="C3609" s="4">
        <v>45499.589583333334</v>
      </c>
      <c r="D3609" t="s">
        <v>21921</v>
      </c>
      <c r="E3609" t="s">
        <v>5764</v>
      </c>
      <c r="F3609" t="s">
        <v>37</v>
      </c>
      <c r="G3609" t="s">
        <v>78</v>
      </c>
      <c r="H3609" t="s">
        <v>150</v>
      </c>
      <c r="I3609" t="s">
        <v>40</v>
      </c>
      <c r="J3609" t="s">
        <v>109</v>
      </c>
      <c r="K3609" t="s">
        <v>42</v>
      </c>
      <c r="L3609" t="s">
        <v>1943</v>
      </c>
      <c r="N3609" t="s">
        <v>1944</v>
      </c>
      <c r="Q3609">
        <v>28936</v>
      </c>
      <c r="R3609" t="s">
        <v>95</v>
      </c>
      <c r="S3609" t="s">
        <v>13738</v>
      </c>
      <c r="T3609">
        <v>25</v>
      </c>
      <c r="U3609" s="2" t="s">
        <v>21922</v>
      </c>
      <c r="W3609" t="s">
        <v>5771</v>
      </c>
      <c r="X3609">
        <v>812916</v>
      </c>
      <c r="Y3609" t="s">
        <v>2099</v>
      </c>
      <c r="Z3609" t="s">
        <v>2100</v>
      </c>
      <c r="AA3609" s="2" t="s">
        <v>2101</v>
      </c>
      <c r="AB3609" t="s">
        <v>88</v>
      </c>
      <c r="AG3609" t="s">
        <v>21923</v>
      </c>
      <c r="AH3609" t="s">
        <v>21924</v>
      </c>
      <c r="AI3609" t="s">
        <v>21925</v>
      </c>
    </row>
    <row r="3610" spans="2:35" ht="150">
      <c r="B3610" s="1">
        <v>45499</v>
      </c>
      <c r="C3610" s="4">
        <v>45499.51666666667</v>
      </c>
      <c r="D3610" t="s">
        <v>21926</v>
      </c>
      <c r="E3610" t="s">
        <v>21927</v>
      </c>
      <c r="F3610" t="s">
        <v>148</v>
      </c>
      <c r="G3610" t="s">
        <v>447</v>
      </c>
      <c r="H3610" t="s">
        <v>39</v>
      </c>
      <c r="I3610" t="s">
        <v>40</v>
      </c>
      <c r="J3610" s="2" t="s">
        <v>41</v>
      </c>
      <c r="K3610" t="s">
        <v>42</v>
      </c>
      <c r="L3610" t="s">
        <v>15532</v>
      </c>
      <c r="N3610" t="s">
        <v>15533</v>
      </c>
      <c r="Q3610">
        <v>28935</v>
      </c>
      <c r="R3610" t="s">
        <v>119</v>
      </c>
      <c r="S3610" t="s">
        <v>21928</v>
      </c>
      <c r="T3610">
        <v>25</v>
      </c>
      <c r="V3610" s="1">
        <v>45498</v>
      </c>
      <c r="W3610" t="s">
        <v>16496</v>
      </c>
      <c r="X3610">
        <v>831597</v>
      </c>
      <c r="Y3610" s="2" t="s">
        <v>21929</v>
      </c>
      <c r="Z3610" s="2" t="s">
        <v>21930</v>
      </c>
      <c r="AA3610" s="2" t="s">
        <v>21931</v>
      </c>
      <c r="AB3610" s="2" t="s">
        <v>17371</v>
      </c>
      <c r="AD3610" t="s">
        <v>21932</v>
      </c>
      <c r="AE3610" t="s">
        <v>21933</v>
      </c>
      <c r="AG3610" t="s">
        <v>21934</v>
      </c>
      <c r="AH3610" t="s">
        <v>21935</v>
      </c>
      <c r="AI3610" t="s">
        <v>21936</v>
      </c>
    </row>
    <row r="3611" spans="2:35" ht="105">
      <c r="B3611" s="1">
        <v>45498</v>
      </c>
      <c r="C3611" s="4">
        <v>45498.78125</v>
      </c>
      <c r="D3611" t="s">
        <v>21937</v>
      </c>
      <c r="E3611" t="s">
        <v>21938</v>
      </c>
      <c r="F3611">
        <v>10</v>
      </c>
      <c r="G3611" t="s">
        <v>1395</v>
      </c>
      <c r="H3611" t="s">
        <v>1047</v>
      </c>
      <c r="I3611" t="s">
        <v>40</v>
      </c>
      <c r="J3611" t="s">
        <v>321</v>
      </c>
      <c r="K3611" t="s">
        <v>42</v>
      </c>
      <c r="L3611" t="s">
        <v>1288</v>
      </c>
      <c r="N3611" t="s">
        <v>1289</v>
      </c>
      <c r="Q3611">
        <v>28934</v>
      </c>
      <c r="R3611" t="s">
        <v>967</v>
      </c>
      <c r="S3611" t="s">
        <v>21939</v>
      </c>
      <c r="T3611">
        <v>30</v>
      </c>
      <c r="U3611" s="2" t="s">
        <v>1509</v>
      </c>
      <c r="W3611" t="s">
        <v>9206</v>
      </c>
      <c r="X3611">
        <v>110023519</v>
      </c>
      <c r="Y3611" t="s">
        <v>18838</v>
      </c>
      <c r="Z3611" t="e">
        <f ca="1">-COLLECT IQR</f>
        <v>#NAME?</v>
      </c>
      <c r="AA3611" t="e">
        <f ca="1">-PERFORM GeneXpert workstation Set-up _xludf.and EQUIPMENT Installation
-PERFORM functionality test, passed
-conduct end-user training</f>
        <v>#NAME?</v>
      </c>
      <c r="AB3611" t="s">
        <v>1293</v>
      </c>
      <c r="AG3611" t="s">
        <v>21940</v>
      </c>
      <c r="AH3611" t="s">
        <v>21941</v>
      </c>
      <c r="AI3611" t="s">
        <v>21942</v>
      </c>
    </row>
    <row r="3612" spans="2:35" ht="375">
      <c r="B3612" s="1">
        <v>45498</v>
      </c>
      <c r="C3612" s="4">
        <v>45498.599305555559</v>
      </c>
      <c r="D3612" t="s">
        <v>3656</v>
      </c>
      <c r="E3612" t="s">
        <v>21943</v>
      </c>
      <c r="F3612" t="s">
        <v>148</v>
      </c>
      <c r="G3612" t="s">
        <v>447</v>
      </c>
      <c r="H3612" t="s">
        <v>61</v>
      </c>
      <c r="I3612" t="s">
        <v>40</v>
      </c>
      <c r="J3612" s="2" t="s">
        <v>190</v>
      </c>
      <c r="K3612" t="s">
        <v>42</v>
      </c>
      <c r="L3612" t="s">
        <v>15532</v>
      </c>
      <c r="N3612" t="s">
        <v>15533</v>
      </c>
      <c r="Q3612">
        <v>28933</v>
      </c>
      <c r="R3612" t="s">
        <v>322</v>
      </c>
      <c r="S3612" t="s">
        <v>3661</v>
      </c>
      <c r="T3612">
        <v>25</v>
      </c>
      <c r="U3612" s="2" t="s">
        <v>21944</v>
      </c>
      <c r="W3612" t="s">
        <v>15535</v>
      </c>
      <c r="X3612">
        <v>839150</v>
      </c>
      <c r="Y3612" s="2" t="s">
        <v>21945</v>
      </c>
      <c r="Z3612" s="2" t="s">
        <v>21946</v>
      </c>
      <c r="AA3612" s="2" t="s">
        <v>21947</v>
      </c>
      <c r="AB3612" s="2" t="s">
        <v>21948</v>
      </c>
      <c r="AC3612" t="s">
        <v>21949</v>
      </c>
      <c r="AG3612" t="s">
        <v>21950</v>
      </c>
      <c r="AH3612" t="s">
        <v>21951</v>
      </c>
      <c r="AI3612" t="s">
        <v>21952</v>
      </c>
    </row>
    <row r="3613" spans="2:35">
      <c r="B3613" s="1">
        <v>45498</v>
      </c>
      <c r="C3613" s="4">
        <v>45496.429166666669</v>
      </c>
      <c r="D3613" t="s">
        <v>5553</v>
      </c>
      <c r="E3613" t="s">
        <v>17754</v>
      </c>
      <c r="F3613">
        <v>8</v>
      </c>
      <c r="G3613" t="s">
        <v>2945</v>
      </c>
      <c r="H3613" t="s">
        <v>11433</v>
      </c>
      <c r="I3613" t="s">
        <v>40</v>
      </c>
      <c r="J3613" t="s">
        <v>321</v>
      </c>
      <c r="K3613" t="s">
        <v>42</v>
      </c>
      <c r="L3613" t="s">
        <v>343</v>
      </c>
      <c r="N3613" t="s">
        <v>344</v>
      </c>
      <c r="Q3613">
        <v>28932</v>
      </c>
      <c r="R3613" t="s">
        <v>967</v>
      </c>
      <c r="S3613" t="s">
        <v>5555</v>
      </c>
      <c r="T3613">
        <v>25</v>
      </c>
      <c r="W3613" t="s">
        <v>2949</v>
      </c>
      <c r="X3613">
        <v>110023514</v>
      </c>
      <c r="Y3613" t="s">
        <v>301</v>
      </c>
      <c r="Z3613" t="s">
        <v>301</v>
      </c>
      <c r="AA3613" t="e">
        <f ca="1">-Install new GeneXpert Unit _xludf.and peripherals
-Setup GeneXpert workstation
-Setup GeneXpert software
-conduct basic training on GxDx software
-Train enduser on regular Maintenance</f>
        <v>#NAME?</v>
      </c>
      <c r="AB3613" t="s">
        <v>21953</v>
      </c>
      <c r="AG3613" t="s">
        <v>21954</v>
      </c>
      <c r="AH3613" t="s">
        <v>21955</v>
      </c>
      <c r="AI3613" t="s">
        <v>21956</v>
      </c>
    </row>
    <row r="3614" spans="2:35" ht="165">
      <c r="B3614" s="1">
        <v>45498</v>
      </c>
      <c r="C3614" s="4">
        <v>45498.565972222219</v>
      </c>
      <c r="D3614" t="s">
        <v>21957</v>
      </c>
      <c r="E3614" t="s">
        <v>21958</v>
      </c>
      <c r="F3614">
        <v>7</v>
      </c>
      <c r="G3614" t="s">
        <v>432</v>
      </c>
      <c r="H3614" t="s">
        <v>39</v>
      </c>
      <c r="I3614" t="s">
        <v>94</v>
      </c>
      <c r="J3614" s="2" t="s">
        <v>20182</v>
      </c>
      <c r="K3614" t="s">
        <v>42</v>
      </c>
      <c r="L3614" t="s">
        <v>594</v>
      </c>
      <c r="N3614" t="s">
        <v>595</v>
      </c>
      <c r="O3614" t="s">
        <v>595</v>
      </c>
      <c r="Q3614">
        <v>28931</v>
      </c>
      <c r="R3614" t="s">
        <v>119</v>
      </c>
      <c r="S3614" t="s">
        <v>21959</v>
      </c>
      <c r="T3614">
        <v>23</v>
      </c>
      <c r="V3614" s="1">
        <v>45498</v>
      </c>
      <c r="W3614" t="s">
        <v>360</v>
      </c>
      <c r="X3614">
        <v>838482</v>
      </c>
      <c r="Y3614" s="2" t="s">
        <v>21960</v>
      </c>
      <c r="Z3614" t="s">
        <v>2551</v>
      </c>
      <c r="AA3614" s="2" t="s">
        <v>21961</v>
      </c>
      <c r="AB3614" s="2" t="s">
        <v>21962</v>
      </c>
      <c r="AG3614" t="s">
        <v>21963</v>
      </c>
      <c r="AH3614" t="s">
        <v>21964</v>
      </c>
      <c r="AI3614" t="s">
        <v>21965</v>
      </c>
    </row>
    <row r="3615" spans="2:35" ht="409.5">
      <c r="B3615" s="1">
        <v>45498</v>
      </c>
      <c r="C3615" s="4">
        <v>45498.401388888888</v>
      </c>
      <c r="D3615" t="s">
        <v>21966</v>
      </c>
      <c r="E3615" t="s">
        <v>11747</v>
      </c>
      <c r="F3615">
        <v>13</v>
      </c>
      <c r="G3615" t="s">
        <v>931</v>
      </c>
      <c r="H3615" t="s">
        <v>2125</v>
      </c>
      <c r="I3615" t="s">
        <v>40</v>
      </c>
      <c r="J3615" t="s">
        <v>321</v>
      </c>
      <c r="K3615" t="s">
        <v>42</v>
      </c>
      <c r="L3615" t="s">
        <v>933</v>
      </c>
      <c r="N3615" t="s">
        <v>934</v>
      </c>
      <c r="Q3615">
        <v>28930</v>
      </c>
      <c r="R3615" t="s">
        <v>967</v>
      </c>
      <c r="S3615" t="s">
        <v>5662</v>
      </c>
      <c r="T3615">
        <v>30</v>
      </c>
      <c r="W3615" t="s">
        <v>10115</v>
      </c>
      <c r="X3615">
        <v>110023523</v>
      </c>
      <c r="Y3615" t="s">
        <v>301</v>
      </c>
      <c r="Z3615" t="s">
        <v>301</v>
      </c>
      <c r="AA3615" s="2" t="s">
        <v>21967</v>
      </c>
      <c r="AB3615" t="s">
        <v>2131</v>
      </c>
      <c r="AG3615" t="s">
        <v>21968</v>
      </c>
      <c r="AH3615" t="s">
        <v>10120</v>
      </c>
      <c r="AI3615" t="s">
        <v>21969</v>
      </c>
    </row>
    <row r="3616" spans="2:35">
      <c r="B3616" s="1">
        <v>45497</v>
      </c>
      <c r="C3616" s="4">
        <v>45497.60833333333</v>
      </c>
      <c r="D3616" t="s">
        <v>10122</v>
      </c>
      <c r="E3616" t="s">
        <v>10123</v>
      </c>
      <c r="F3616">
        <v>13</v>
      </c>
      <c r="G3616" t="s">
        <v>931</v>
      </c>
      <c r="H3616" t="s">
        <v>2125</v>
      </c>
      <c r="I3616" t="s">
        <v>40</v>
      </c>
      <c r="J3616" t="s">
        <v>109</v>
      </c>
      <c r="K3616" t="s">
        <v>42</v>
      </c>
      <c r="L3616" t="s">
        <v>933</v>
      </c>
      <c r="N3616" t="s">
        <v>934</v>
      </c>
      <c r="Q3616">
        <v>28929</v>
      </c>
      <c r="R3616" t="s">
        <v>119</v>
      </c>
      <c r="S3616" t="s">
        <v>12418</v>
      </c>
      <c r="T3616">
        <v>29</v>
      </c>
      <c r="W3616" t="s">
        <v>2127</v>
      </c>
      <c r="X3616">
        <v>838514</v>
      </c>
      <c r="Y3616" t="s">
        <v>301</v>
      </c>
      <c r="Z3616" t="s">
        <v>301</v>
      </c>
      <c r="AA3616" t="s">
        <v>3128</v>
      </c>
      <c r="AB3616" t="s">
        <v>2131</v>
      </c>
      <c r="AG3616" t="s">
        <v>21970</v>
      </c>
      <c r="AH3616" t="s">
        <v>21971</v>
      </c>
      <c r="AI3616" t="s">
        <v>21972</v>
      </c>
    </row>
    <row r="3617" spans="2:35" ht="409.5">
      <c r="B3617" s="1">
        <v>45497</v>
      </c>
      <c r="C3617" s="4">
        <v>45497.602777777778</v>
      </c>
      <c r="D3617" t="s">
        <v>12491</v>
      </c>
      <c r="E3617" t="s">
        <v>21973</v>
      </c>
      <c r="F3617">
        <v>13</v>
      </c>
      <c r="G3617" t="s">
        <v>931</v>
      </c>
      <c r="H3617" t="s">
        <v>2125</v>
      </c>
      <c r="I3617" t="s">
        <v>40</v>
      </c>
      <c r="J3617" t="s">
        <v>321</v>
      </c>
      <c r="K3617" t="s">
        <v>42</v>
      </c>
      <c r="L3617" t="s">
        <v>933</v>
      </c>
      <c r="N3617" t="s">
        <v>934</v>
      </c>
      <c r="Q3617">
        <v>28928</v>
      </c>
      <c r="R3617" t="s">
        <v>967</v>
      </c>
      <c r="S3617" t="s">
        <v>21974</v>
      </c>
      <c r="T3617">
        <v>28</v>
      </c>
      <c r="W3617" t="s">
        <v>10115</v>
      </c>
      <c r="X3617">
        <v>110023522</v>
      </c>
      <c r="Y3617" t="s">
        <v>301</v>
      </c>
      <c r="Z3617" t="s">
        <v>301</v>
      </c>
      <c r="AA3617" s="2" t="s">
        <v>21975</v>
      </c>
      <c r="AB3617" t="s">
        <v>2131</v>
      </c>
      <c r="AG3617" t="s">
        <v>21976</v>
      </c>
      <c r="AH3617" t="s">
        <v>21977</v>
      </c>
      <c r="AI3617" t="s">
        <v>21978</v>
      </c>
    </row>
    <row r="3618" spans="2:35" ht="105">
      <c r="B3618" s="1">
        <v>45497</v>
      </c>
      <c r="C3618" s="4">
        <v>45497.554861111108</v>
      </c>
      <c r="D3618" t="s">
        <v>7465</v>
      </c>
      <c r="E3618" t="s">
        <v>7466</v>
      </c>
      <c r="F3618">
        <v>8</v>
      </c>
      <c r="G3618" t="s">
        <v>342</v>
      </c>
      <c r="H3618" t="s">
        <v>202</v>
      </c>
      <c r="I3618" t="s">
        <v>40</v>
      </c>
      <c r="J3618" t="s">
        <v>109</v>
      </c>
      <c r="K3618" t="s">
        <v>42</v>
      </c>
      <c r="L3618" t="s">
        <v>259</v>
      </c>
      <c r="N3618" t="s">
        <v>260</v>
      </c>
      <c r="Q3618">
        <v>28927</v>
      </c>
      <c r="R3618" t="s">
        <v>119</v>
      </c>
      <c r="S3618" t="s">
        <v>21979</v>
      </c>
      <c r="T3618">
        <v>27</v>
      </c>
      <c r="U3618" s="2" t="s">
        <v>6812</v>
      </c>
      <c r="V3618" s="1">
        <v>45497</v>
      </c>
      <c r="W3618" t="s">
        <v>84</v>
      </c>
      <c r="X3618">
        <v>838551</v>
      </c>
      <c r="Y3618" t="s">
        <v>263</v>
      </c>
      <c r="Z3618" t="s">
        <v>263</v>
      </c>
      <c r="AA3618" t="e">
        <f ca="1">- performed Monthly Preventive Maintenance</f>
        <v>#NAME?</v>
      </c>
      <c r="AB3618" t="s">
        <v>181</v>
      </c>
      <c r="AG3618" t="s">
        <v>21980</v>
      </c>
      <c r="AH3618" t="s">
        <v>21981</v>
      </c>
      <c r="AI3618" t="s">
        <v>21982</v>
      </c>
    </row>
    <row r="3619" spans="2:35" ht="285">
      <c r="B3619" s="1">
        <v>45497</v>
      </c>
      <c r="C3619" s="4">
        <v>45497.42291666667</v>
      </c>
      <c r="D3619" t="s">
        <v>5645</v>
      </c>
      <c r="E3619" t="s">
        <v>2136</v>
      </c>
      <c r="F3619" t="s">
        <v>1255</v>
      </c>
      <c r="G3619" t="s">
        <v>1887</v>
      </c>
      <c r="H3619" t="s">
        <v>1473</v>
      </c>
      <c r="I3619" t="s">
        <v>40</v>
      </c>
      <c r="J3619" s="2" t="s">
        <v>190</v>
      </c>
      <c r="K3619" t="s">
        <v>42</v>
      </c>
      <c r="L3619" t="s">
        <v>296</v>
      </c>
      <c r="N3619" t="s">
        <v>297</v>
      </c>
      <c r="Q3619">
        <v>28926</v>
      </c>
      <c r="R3619" t="s">
        <v>119</v>
      </c>
      <c r="S3619" t="s">
        <v>5646</v>
      </c>
      <c r="T3619">
        <v>26.1</v>
      </c>
      <c r="U3619" s="2" t="s">
        <v>21983</v>
      </c>
      <c r="W3619" t="s">
        <v>21984</v>
      </c>
      <c r="X3619">
        <v>838528</v>
      </c>
      <c r="Y3619" t="s">
        <v>21985</v>
      </c>
      <c r="Z3619" s="2" t="s">
        <v>21986</v>
      </c>
      <c r="AA3619" t="s">
        <v>9161</v>
      </c>
      <c r="AB3619" t="s">
        <v>1480</v>
      </c>
      <c r="AG3619" t="s">
        <v>21987</v>
      </c>
      <c r="AH3619" t="s">
        <v>21988</v>
      </c>
      <c r="AI3619" t="s">
        <v>21989</v>
      </c>
    </row>
    <row r="3620" spans="2:35" ht="360">
      <c r="B3620" s="1">
        <v>45497</v>
      </c>
      <c r="C3620" s="4">
        <v>45496.600694444445</v>
      </c>
      <c r="D3620" t="s">
        <v>5645</v>
      </c>
      <c r="E3620" t="s">
        <v>2136</v>
      </c>
      <c r="F3620" t="s">
        <v>1255</v>
      </c>
      <c r="G3620" t="s">
        <v>1887</v>
      </c>
      <c r="H3620" t="s">
        <v>1473</v>
      </c>
      <c r="I3620" t="s">
        <v>40</v>
      </c>
      <c r="J3620" t="s">
        <v>321</v>
      </c>
      <c r="K3620" t="s">
        <v>42</v>
      </c>
      <c r="L3620" t="s">
        <v>296</v>
      </c>
      <c r="N3620" t="s">
        <v>297</v>
      </c>
      <c r="Q3620">
        <v>28925</v>
      </c>
      <c r="R3620" t="s">
        <v>967</v>
      </c>
      <c r="S3620" t="s">
        <v>11535</v>
      </c>
      <c r="T3620">
        <v>26</v>
      </c>
      <c r="W3620" t="s">
        <v>21990</v>
      </c>
      <c r="X3620">
        <v>110023524</v>
      </c>
      <c r="Y3620" t="s">
        <v>54</v>
      </c>
      <c r="Z3620" t="s">
        <v>10619</v>
      </c>
      <c r="AA3620" s="2" t="s">
        <v>21991</v>
      </c>
      <c r="AB3620" t="s">
        <v>21992</v>
      </c>
      <c r="AG3620" t="s">
        <v>21993</v>
      </c>
      <c r="AH3620" t="s">
        <v>21994</v>
      </c>
      <c r="AI3620" t="s">
        <v>21995</v>
      </c>
    </row>
    <row r="3621" spans="2:35">
      <c r="B3621" s="1">
        <v>45496</v>
      </c>
      <c r="C3621" s="4">
        <v>45496.711111111108</v>
      </c>
      <c r="D3621" t="s">
        <v>12016</v>
      </c>
      <c r="E3621" t="s">
        <v>12017</v>
      </c>
      <c r="F3621">
        <v>7</v>
      </c>
      <c r="G3621" t="s">
        <v>432</v>
      </c>
      <c r="H3621" t="s">
        <v>12018</v>
      </c>
      <c r="I3621" t="s">
        <v>40</v>
      </c>
      <c r="J3621" t="s">
        <v>996</v>
      </c>
      <c r="K3621" t="s">
        <v>387</v>
      </c>
      <c r="L3621" t="s">
        <v>1288</v>
      </c>
      <c r="N3621" t="s">
        <v>1289</v>
      </c>
      <c r="Q3621">
        <v>28924</v>
      </c>
      <c r="R3621" t="s">
        <v>95</v>
      </c>
      <c r="S3621" t="s">
        <v>1556</v>
      </c>
      <c r="T3621">
        <v>25</v>
      </c>
      <c r="W3621" t="s">
        <v>390</v>
      </c>
      <c r="X3621" t="s">
        <v>2402</v>
      </c>
      <c r="Y3621" t="s">
        <v>10179</v>
      </c>
      <c r="Z3621" t="e">
        <f ca="1">-COLLECT CALIBRATION Data</f>
        <v>#NAME?</v>
      </c>
      <c r="AA3621" t="e">
        <f ca="1">-PERFORM Maintenance _xludf.and CALIBRATION PROCEDURE
-PERFORM Cycle test</f>
        <v>#NAME?</v>
      </c>
      <c r="AB3621" t="s">
        <v>1293</v>
      </c>
      <c r="AG3621" t="s">
        <v>21996</v>
      </c>
      <c r="AH3621" t="s">
        <v>21997</v>
      </c>
      <c r="AI3621" t="s">
        <v>21998</v>
      </c>
    </row>
    <row r="3622" spans="2:35">
      <c r="B3622" s="1">
        <v>45496</v>
      </c>
      <c r="C3622" s="4">
        <v>45496.710416666669</v>
      </c>
      <c r="D3622" t="s">
        <v>12016</v>
      </c>
      <c r="E3622" t="s">
        <v>12017</v>
      </c>
      <c r="F3622">
        <v>7</v>
      </c>
      <c r="G3622" t="s">
        <v>432</v>
      </c>
      <c r="H3622" t="s">
        <v>12018</v>
      </c>
      <c r="I3622" t="s">
        <v>40</v>
      </c>
      <c r="J3622" t="s">
        <v>996</v>
      </c>
      <c r="K3622" t="s">
        <v>387</v>
      </c>
      <c r="L3622" t="s">
        <v>1288</v>
      </c>
      <c r="N3622" t="s">
        <v>1289</v>
      </c>
      <c r="Q3622">
        <v>28923</v>
      </c>
      <c r="R3622" t="s">
        <v>95</v>
      </c>
      <c r="S3622" t="s">
        <v>1556</v>
      </c>
      <c r="T3622">
        <v>25</v>
      </c>
      <c r="W3622" t="s">
        <v>390</v>
      </c>
      <c r="X3622" t="s">
        <v>1557</v>
      </c>
      <c r="Y3622" t="s">
        <v>10179</v>
      </c>
      <c r="Z3622" t="e">
        <f ca="1">-COLLECT CALIBRATION Data</f>
        <v>#NAME?</v>
      </c>
      <c r="AA3622" t="e">
        <f ca="1">-PERFORM Maintenance _xludf.and CALIBRATION PROCEDURE
-PERFORM Cycle test, passed</f>
        <v>#NAME?</v>
      </c>
      <c r="AB3622" t="s">
        <v>1293</v>
      </c>
      <c r="AG3622" t="s">
        <v>21999</v>
      </c>
      <c r="AH3622" t="s">
        <v>21997</v>
      </c>
      <c r="AI3622" t="s">
        <v>22000</v>
      </c>
    </row>
    <row r="3623" spans="2:35" ht="409.5">
      <c r="B3623" s="1">
        <v>45496</v>
      </c>
      <c r="C3623" s="4">
        <v>45496.578472222223</v>
      </c>
      <c r="D3623" t="s">
        <v>5626</v>
      </c>
      <c r="E3623" t="s">
        <v>22001</v>
      </c>
      <c r="F3623">
        <v>12</v>
      </c>
      <c r="G3623" t="s">
        <v>2137</v>
      </c>
      <c r="H3623" t="s">
        <v>202</v>
      </c>
      <c r="I3623" t="s">
        <v>40</v>
      </c>
      <c r="J3623" t="s">
        <v>321</v>
      </c>
      <c r="K3623" t="s">
        <v>42</v>
      </c>
      <c r="L3623" t="s">
        <v>204</v>
      </c>
      <c r="N3623" t="s">
        <v>205</v>
      </c>
      <c r="Q3623">
        <v>28922</v>
      </c>
      <c r="R3623" t="s">
        <v>967</v>
      </c>
      <c r="S3623" t="s">
        <v>5628</v>
      </c>
      <c r="T3623">
        <v>25.6</v>
      </c>
      <c r="V3623" s="1">
        <v>45463</v>
      </c>
      <c r="W3623" t="s">
        <v>22002</v>
      </c>
      <c r="X3623">
        <v>110023521</v>
      </c>
      <c r="Y3623" t="s">
        <v>22003</v>
      </c>
      <c r="Z3623" t="s">
        <v>22004</v>
      </c>
      <c r="AA3623" s="2" t="s">
        <v>22005</v>
      </c>
      <c r="AB3623" t="s">
        <v>22006</v>
      </c>
      <c r="AE3623" t="s">
        <v>22007</v>
      </c>
      <c r="AG3623" t="s">
        <v>22008</v>
      </c>
      <c r="AH3623" t="s">
        <v>22009</v>
      </c>
      <c r="AI3623" t="s">
        <v>22010</v>
      </c>
    </row>
    <row r="3624" spans="2:35" ht="409.5">
      <c r="B3624" s="1">
        <v>45496</v>
      </c>
      <c r="C3624" s="4">
        <v>45492.638888888891</v>
      </c>
      <c r="D3624" t="s">
        <v>20744</v>
      </c>
      <c r="E3624" t="s">
        <v>17045</v>
      </c>
      <c r="F3624" t="s">
        <v>148</v>
      </c>
      <c r="G3624" t="s">
        <v>406</v>
      </c>
      <c r="H3624" t="s">
        <v>39</v>
      </c>
      <c r="I3624" t="s">
        <v>40</v>
      </c>
      <c r="J3624" t="s">
        <v>109</v>
      </c>
      <c r="K3624" t="s">
        <v>42</v>
      </c>
      <c r="L3624" t="s">
        <v>43</v>
      </c>
      <c r="N3624" t="s">
        <v>44</v>
      </c>
      <c r="O3624" t="s">
        <v>1091</v>
      </c>
      <c r="Q3624">
        <v>28921</v>
      </c>
      <c r="R3624" t="s">
        <v>95</v>
      </c>
      <c r="S3624" t="s">
        <v>5690</v>
      </c>
      <c r="T3624">
        <v>24</v>
      </c>
      <c r="U3624" s="2" t="s">
        <v>22011</v>
      </c>
      <c r="W3624" t="s">
        <v>153</v>
      </c>
      <c r="X3624">
        <v>120002383</v>
      </c>
      <c r="Y3624" t="s">
        <v>22012</v>
      </c>
      <c r="Z3624" t="s">
        <v>22013</v>
      </c>
      <c r="AA3624" s="2" t="s">
        <v>22014</v>
      </c>
      <c r="AB3624" t="s">
        <v>548</v>
      </c>
      <c r="AG3624" t="s">
        <v>22015</v>
      </c>
      <c r="AH3624" t="s">
        <v>22016</v>
      </c>
      <c r="AI3624" t="s">
        <v>22017</v>
      </c>
    </row>
    <row r="3625" spans="2:35" ht="375">
      <c r="B3625" s="1">
        <v>45496</v>
      </c>
      <c r="C3625" s="4">
        <v>45492.634027777778</v>
      </c>
      <c r="D3625" t="s">
        <v>20744</v>
      </c>
      <c r="E3625" t="s">
        <v>22018</v>
      </c>
      <c r="F3625" t="s">
        <v>148</v>
      </c>
      <c r="G3625" t="s">
        <v>406</v>
      </c>
      <c r="H3625" t="s">
        <v>39</v>
      </c>
      <c r="I3625" t="s">
        <v>40</v>
      </c>
      <c r="J3625" t="s">
        <v>109</v>
      </c>
      <c r="K3625" t="s">
        <v>42</v>
      </c>
      <c r="L3625" t="s">
        <v>43</v>
      </c>
      <c r="N3625" t="s">
        <v>44</v>
      </c>
      <c r="O3625" t="s">
        <v>1091</v>
      </c>
      <c r="Q3625">
        <v>28920</v>
      </c>
      <c r="R3625" t="s">
        <v>95</v>
      </c>
      <c r="S3625" t="s">
        <v>5690</v>
      </c>
      <c r="T3625">
        <v>24</v>
      </c>
      <c r="W3625" t="s">
        <v>48</v>
      </c>
      <c r="X3625">
        <v>839231</v>
      </c>
      <c r="Y3625" t="s">
        <v>22019</v>
      </c>
      <c r="Z3625" t="s">
        <v>22020</v>
      </c>
      <c r="AA3625" s="2" t="s">
        <v>22014</v>
      </c>
      <c r="AB3625" t="s">
        <v>22021</v>
      </c>
      <c r="AG3625" t="s">
        <v>22022</v>
      </c>
      <c r="AH3625" t="s">
        <v>22023</v>
      </c>
      <c r="AI3625" t="s">
        <v>22024</v>
      </c>
    </row>
    <row r="3626" spans="2:35" ht="150">
      <c r="B3626" s="1">
        <v>45496</v>
      </c>
      <c r="C3626" s="4">
        <v>45496.558333333334</v>
      </c>
      <c r="D3626" t="s">
        <v>22025</v>
      </c>
      <c r="E3626" t="s">
        <v>22026</v>
      </c>
      <c r="F3626" t="s">
        <v>148</v>
      </c>
      <c r="G3626" t="s">
        <v>447</v>
      </c>
      <c r="H3626" t="s">
        <v>22027</v>
      </c>
      <c r="I3626" t="s">
        <v>40</v>
      </c>
      <c r="J3626" t="s">
        <v>79</v>
      </c>
      <c r="K3626" t="s">
        <v>42</v>
      </c>
      <c r="L3626" t="s">
        <v>1028</v>
      </c>
      <c r="N3626" t="s">
        <v>1029</v>
      </c>
      <c r="Q3626">
        <v>28919</v>
      </c>
      <c r="R3626" t="s">
        <v>119</v>
      </c>
      <c r="S3626" t="s">
        <v>1029</v>
      </c>
      <c r="T3626">
        <v>25</v>
      </c>
      <c r="W3626" t="s">
        <v>1967</v>
      </c>
      <c r="X3626">
        <v>838535</v>
      </c>
      <c r="Y3626" t="s">
        <v>22028</v>
      </c>
      <c r="Z3626" t="s">
        <v>9749</v>
      </c>
      <c r="AA3626" s="2" t="s">
        <v>22029</v>
      </c>
      <c r="AB3626" t="s">
        <v>22030</v>
      </c>
      <c r="AC3626" t="s">
        <v>22031</v>
      </c>
      <c r="AG3626" t="s">
        <v>22032</v>
      </c>
      <c r="AH3626" t="s">
        <v>1028</v>
      </c>
      <c r="AI3626" t="s">
        <v>22033</v>
      </c>
    </row>
    <row r="3627" spans="2:35" ht="240">
      <c r="B3627" s="1">
        <v>45496</v>
      </c>
      <c r="C3627" s="4">
        <v>45489.438194444447</v>
      </c>
      <c r="D3627" t="s">
        <v>5158</v>
      </c>
      <c r="E3627" t="s">
        <v>15744</v>
      </c>
      <c r="F3627" t="s">
        <v>148</v>
      </c>
      <c r="G3627" t="s">
        <v>310</v>
      </c>
      <c r="H3627" t="s">
        <v>39</v>
      </c>
      <c r="I3627" t="s">
        <v>40</v>
      </c>
      <c r="J3627" t="s">
        <v>109</v>
      </c>
      <c r="K3627" t="s">
        <v>42</v>
      </c>
      <c r="L3627" t="s">
        <v>1028</v>
      </c>
      <c r="N3627" t="s">
        <v>1029</v>
      </c>
      <c r="Q3627">
        <v>28918</v>
      </c>
      <c r="R3627" t="s">
        <v>322</v>
      </c>
      <c r="S3627" t="s">
        <v>22034</v>
      </c>
      <c r="T3627">
        <v>28</v>
      </c>
      <c r="U3627" s="2" t="s">
        <v>22035</v>
      </c>
      <c r="W3627" t="s">
        <v>5169</v>
      </c>
      <c r="X3627">
        <v>110013856</v>
      </c>
      <c r="Y3627" t="s">
        <v>1978</v>
      </c>
      <c r="Z3627" t="s">
        <v>1548</v>
      </c>
      <c r="AA3627" s="2" t="s">
        <v>22036</v>
      </c>
      <c r="AB3627" t="s">
        <v>3300</v>
      </c>
      <c r="AG3627" t="s">
        <v>22037</v>
      </c>
      <c r="AH3627" t="s">
        <v>5165</v>
      </c>
      <c r="AI3627" t="s">
        <v>22038</v>
      </c>
    </row>
    <row r="3628" spans="2:35" ht="345">
      <c r="B3628" s="1">
        <v>45496</v>
      </c>
      <c r="C3628" s="4">
        <v>45483.457638888889</v>
      </c>
      <c r="D3628" t="s">
        <v>2417</v>
      </c>
      <c r="E3628" t="s">
        <v>22039</v>
      </c>
      <c r="F3628" t="s">
        <v>148</v>
      </c>
      <c r="G3628" t="s">
        <v>774</v>
      </c>
      <c r="H3628" t="s">
        <v>39</v>
      </c>
      <c r="I3628" t="s">
        <v>40</v>
      </c>
      <c r="J3628" s="2" t="s">
        <v>190</v>
      </c>
      <c r="K3628" t="s">
        <v>42</v>
      </c>
      <c r="L3628" t="s">
        <v>1028</v>
      </c>
      <c r="N3628" t="s">
        <v>1029</v>
      </c>
      <c r="Q3628">
        <v>28916</v>
      </c>
      <c r="R3628" t="s">
        <v>45</v>
      </c>
      <c r="S3628" t="s">
        <v>22040</v>
      </c>
      <c r="T3628">
        <v>25</v>
      </c>
      <c r="U3628" s="2" t="s">
        <v>22041</v>
      </c>
      <c r="W3628" t="s">
        <v>1967</v>
      </c>
      <c r="X3628">
        <v>807613</v>
      </c>
      <c r="Y3628" t="s">
        <v>22042</v>
      </c>
      <c r="Z3628" s="2" t="s">
        <v>3787</v>
      </c>
      <c r="AA3628" s="2" t="s">
        <v>22043</v>
      </c>
      <c r="AB3628" t="s">
        <v>22044</v>
      </c>
      <c r="AC3628" t="s">
        <v>22045</v>
      </c>
      <c r="AG3628" t="s">
        <v>22046</v>
      </c>
      <c r="AH3628" t="s">
        <v>22047</v>
      </c>
      <c r="AI3628" t="s">
        <v>22048</v>
      </c>
    </row>
    <row r="3629" spans="2:35" ht="255">
      <c r="B3629" s="1">
        <v>45496</v>
      </c>
      <c r="C3629" s="4">
        <v>45482.481944444444</v>
      </c>
      <c r="D3629" t="s">
        <v>3905</v>
      </c>
      <c r="E3629" t="s">
        <v>22049</v>
      </c>
      <c r="F3629" t="s">
        <v>148</v>
      </c>
      <c r="G3629" t="s">
        <v>406</v>
      </c>
      <c r="H3629" t="s">
        <v>39</v>
      </c>
      <c r="I3629" t="s">
        <v>40</v>
      </c>
      <c r="J3629" s="2" t="s">
        <v>41</v>
      </c>
      <c r="K3629" t="s">
        <v>42</v>
      </c>
      <c r="L3629" t="s">
        <v>1028</v>
      </c>
      <c r="N3629" t="s">
        <v>1029</v>
      </c>
      <c r="Q3629">
        <v>28917</v>
      </c>
      <c r="R3629" t="s">
        <v>45</v>
      </c>
      <c r="S3629" t="s">
        <v>22050</v>
      </c>
      <c r="T3629">
        <v>28</v>
      </c>
      <c r="U3629" s="2" t="s">
        <v>22051</v>
      </c>
      <c r="W3629" t="s">
        <v>1967</v>
      </c>
      <c r="X3629">
        <v>814372</v>
      </c>
      <c r="Y3629" t="s">
        <v>22052</v>
      </c>
      <c r="Z3629" t="s">
        <v>1034</v>
      </c>
      <c r="AA3629" s="2" t="s">
        <v>22053</v>
      </c>
      <c r="AB3629" t="s">
        <v>3300</v>
      </c>
      <c r="AC3629" t="s">
        <v>22054</v>
      </c>
      <c r="AG3629" t="s">
        <v>22055</v>
      </c>
      <c r="AH3629" t="s">
        <v>3910</v>
      </c>
      <c r="AI3629" t="s">
        <v>22056</v>
      </c>
    </row>
    <row r="3630" spans="2:35" ht="330">
      <c r="B3630" s="1">
        <v>45496</v>
      </c>
      <c r="C3630" s="4">
        <v>45485.472222222219</v>
      </c>
      <c r="D3630" t="s">
        <v>22057</v>
      </c>
      <c r="E3630" t="s">
        <v>18635</v>
      </c>
      <c r="F3630" t="s">
        <v>37</v>
      </c>
      <c r="G3630" t="s">
        <v>748</v>
      </c>
      <c r="H3630" t="s">
        <v>39</v>
      </c>
      <c r="I3630" t="s">
        <v>40</v>
      </c>
      <c r="J3630" s="2" t="s">
        <v>190</v>
      </c>
      <c r="K3630" t="s">
        <v>42</v>
      </c>
      <c r="L3630" t="s">
        <v>1028</v>
      </c>
      <c r="N3630" t="s">
        <v>1029</v>
      </c>
      <c r="Q3630">
        <v>28914</v>
      </c>
      <c r="R3630" t="s">
        <v>703</v>
      </c>
      <c r="S3630" t="s">
        <v>13939</v>
      </c>
      <c r="T3630">
        <v>24</v>
      </c>
      <c r="U3630" s="2" t="s">
        <v>4347</v>
      </c>
      <c r="W3630" t="s">
        <v>1967</v>
      </c>
      <c r="X3630">
        <v>812380</v>
      </c>
      <c r="Y3630" t="s">
        <v>22058</v>
      </c>
      <c r="Z3630" s="2" t="s">
        <v>22059</v>
      </c>
      <c r="AA3630" s="2" t="s">
        <v>22060</v>
      </c>
      <c r="AB3630" t="s">
        <v>22061</v>
      </c>
      <c r="AG3630" t="s">
        <v>22062</v>
      </c>
      <c r="AH3630" t="s">
        <v>22063</v>
      </c>
      <c r="AI3630" t="s">
        <v>22064</v>
      </c>
    </row>
    <row r="3631" spans="2:35" ht="300">
      <c r="B3631" s="1">
        <v>45496</v>
      </c>
      <c r="C3631" s="4">
        <v>45484.475694444445</v>
      </c>
      <c r="D3631" t="s">
        <v>22065</v>
      </c>
      <c r="E3631" t="s">
        <v>22066</v>
      </c>
      <c r="F3631" t="s">
        <v>37</v>
      </c>
      <c r="G3631" t="s">
        <v>748</v>
      </c>
      <c r="H3631" t="s">
        <v>39</v>
      </c>
      <c r="I3631" t="s">
        <v>40</v>
      </c>
      <c r="J3631" s="2" t="s">
        <v>62</v>
      </c>
      <c r="K3631" t="s">
        <v>42</v>
      </c>
      <c r="L3631" t="s">
        <v>1028</v>
      </c>
      <c r="N3631" t="s">
        <v>1029</v>
      </c>
      <c r="Q3631">
        <v>28913</v>
      </c>
      <c r="R3631" t="s">
        <v>45</v>
      </c>
      <c r="S3631" t="s">
        <v>22067</v>
      </c>
      <c r="T3631">
        <v>24</v>
      </c>
      <c r="U3631" s="2" t="s">
        <v>22068</v>
      </c>
      <c r="W3631" t="s">
        <v>1967</v>
      </c>
      <c r="X3631">
        <v>807584</v>
      </c>
      <c r="Y3631" t="s">
        <v>1547</v>
      </c>
      <c r="Z3631" s="2" t="s">
        <v>7701</v>
      </c>
      <c r="AA3631" s="2" t="s">
        <v>22069</v>
      </c>
      <c r="AB3631" t="s">
        <v>22070</v>
      </c>
      <c r="AC3631" t="s">
        <v>22071</v>
      </c>
      <c r="AG3631" t="s">
        <v>22072</v>
      </c>
      <c r="AH3631" t="s">
        <v>22073</v>
      </c>
      <c r="AI3631" t="s">
        <v>22074</v>
      </c>
    </row>
    <row r="3632" spans="2:35" ht="240">
      <c r="B3632" s="1">
        <v>45496</v>
      </c>
      <c r="C3632" s="4">
        <v>45489.434027777781</v>
      </c>
      <c r="D3632" t="s">
        <v>5158</v>
      </c>
      <c r="E3632" t="s">
        <v>15744</v>
      </c>
      <c r="F3632" t="s">
        <v>148</v>
      </c>
      <c r="G3632" t="s">
        <v>310</v>
      </c>
      <c r="H3632" t="s">
        <v>39</v>
      </c>
      <c r="I3632" t="s">
        <v>40</v>
      </c>
      <c r="J3632" t="s">
        <v>109</v>
      </c>
      <c r="K3632" t="s">
        <v>42</v>
      </c>
      <c r="L3632" t="s">
        <v>1028</v>
      </c>
      <c r="N3632" t="s">
        <v>1029</v>
      </c>
      <c r="Q3632">
        <v>28915</v>
      </c>
      <c r="R3632" t="s">
        <v>322</v>
      </c>
      <c r="S3632" t="s">
        <v>14635</v>
      </c>
      <c r="T3632">
        <v>25</v>
      </c>
      <c r="U3632" s="2" t="s">
        <v>22075</v>
      </c>
      <c r="W3632" t="s">
        <v>1032</v>
      </c>
      <c r="X3632">
        <v>110014099</v>
      </c>
      <c r="Y3632" t="s">
        <v>3127</v>
      </c>
      <c r="Z3632" t="s">
        <v>1548</v>
      </c>
      <c r="AA3632" s="2" t="s">
        <v>9006</v>
      </c>
      <c r="AB3632" t="s">
        <v>22076</v>
      </c>
      <c r="AC3632" t="s">
        <v>22077</v>
      </c>
      <c r="AG3632" t="s">
        <v>22078</v>
      </c>
      <c r="AH3632" t="s">
        <v>5165</v>
      </c>
      <c r="AI3632" t="s">
        <v>22079</v>
      </c>
    </row>
    <row r="3633" spans="2:35">
      <c r="B3633" s="1">
        <v>45495</v>
      </c>
      <c r="C3633" s="4">
        <v>45495.694444444445</v>
      </c>
      <c r="D3633" t="s">
        <v>12491</v>
      </c>
      <c r="E3633" t="s">
        <v>8921</v>
      </c>
      <c r="F3633">
        <v>13</v>
      </c>
      <c r="G3633" t="s">
        <v>931</v>
      </c>
      <c r="H3633" t="s">
        <v>2125</v>
      </c>
      <c r="I3633" t="s">
        <v>40</v>
      </c>
      <c r="J3633" t="s">
        <v>321</v>
      </c>
      <c r="K3633" t="s">
        <v>42</v>
      </c>
      <c r="L3633" t="s">
        <v>933</v>
      </c>
      <c r="N3633" t="s">
        <v>934</v>
      </c>
      <c r="Q3633">
        <v>28912</v>
      </c>
      <c r="R3633" t="s">
        <v>967</v>
      </c>
      <c r="S3633" t="s">
        <v>21974</v>
      </c>
      <c r="T3633">
        <v>23</v>
      </c>
      <c r="W3633" t="s">
        <v>19143</v>
      </c>
      <c r="X3633">
        <v>110023522</v>
      </c>
      <c r="Y3633" t="s">
        <v>22080</v>
      </c>
      <c r="Z3633" t="s">
        <v>22081</v>
      </c>
      <c r="AA3633" t="s">
        <v>22082</v>
      </c>
      <c r="AB3633" t="s">
        <v>22083</v>
      </c>
      <c r="AG3633" t="s">
        <v>22084</v>
      </c>
      <c r="AH3633" t="s">
        <v>22085</v>
      </c>
      <c r="AI3633" t="s">
        <v>22086</v>
      </c>
    </row>
    <row r="3634" spans="2:35" ht="225">
      <c r="B3634" s="1">
        <v>45495</v>
      </c>
      <c r="C3634" s="4">
        <v>45495.645138888889</v>
      </c>
      <c r="D3634" t="s">
        <v>12436</v>
      </c>
      <c r="E3634" t="s">
        <v>22087</v>
      </c>
      <c r="F3634">
        <v>9</v>
      </c>
      <c r="G3634" t="s">
        <v>2903</v>
      </c>
      <c r="H3634" t="s">
        <v>39</v>
      </c>
      <c r="I3634" t="s">
        <v>40</v>
      </c>
      <c r="J3634" t="s">
        <v>321</v>
      </c>
      <c r="K3634" t="s">
        <v>42</v>
      </c>
      <c r="L3634" t="s">
        <v>433</v>
      </c>
      <c r="N3634" t="s">
        <v>434</v>
      </c>
      <c r="Q3634">
        <v>28911</v>
      </c>
      <c r="R3634" t="s">
        <v>967</v>
      </c>
      <c r="S3634" t="s">
        <v>12438</v>
      </c>
      <c r="T3634">
        <v>27</v>
      </c>
      <c r="W3634" t="s">
        <v>1008</v>
      </c>
      <c r="X3634">
        <v>110023516</v>
      </c>
      <c r="Y3634" t="s">
        <v>301</v>
      </c>
      <c r="Z3634" s="2" t="s">
        <v>22088</v>
      </c>
      <c r="AA3634" s="2" t="s">
        <v>22089</v>
      </c>
      <c r="AB3634" t="s">
        <v>1011</v>
      </c>
      <c r="AG3634" t="s">
        <v>22090</v>
      </c>
      <c r="AH3634" t="s">
        <v>15266</v>
      </c>
      <c r="AI3634" t="s">
        <v>22091</v>
      </c>
    </row>
    <row r="3635" spans="2:35" ht="90">
      <c r="B3635" s="1">
        <v>45495</v>
      </c>
      <c r="C3635" s="4">
        <v>45495.591666666667</v>
      </c>
      <c r="D3635" t="s">
        <v>5087</v>
      </c>
      <c r="E3635" t="s">
        <v>22092</v>
      </c>
      <c r="F3635" t="s">
        <v>148</v>
      </c>
      <c r="G3635" t="s">
        <v>447</v>
      </c>
      <c r="H3635" t="s">
        <v>5452</v>
      </c>
      <c r="I3635" t="s">
        <v>40</v>
      </c>
      <c r="J3635" t="s">
        <v>79</v>
      </c>
      <c r="K3635" t="s">
        <v>42</v>
      </c>
      <c r="L3635" t="s">
        <v>448</v>
      </c>
      <c r="N3635" t="s">
        <v>650</v>
      </c>
      <c r="O3635" t="s">
        <v>650</v>
      </c>
      <c r="Q3635">
        <v>28910</v>
      </c>
      <c r="R3635" t="s">
        <v>95</v>
      </c>
      <c r="S3635" t="s">
        <v>650</v>
      </c>
      <c r="T3635">
        <v>28</v>
      </c>
      <c r="W3635" t="s">
        <v>22093</v>
      </c>
      <c r="X3635">
        <v>12151624502</v>
      </c>
      <c r="Y3635" t="s">
        <v>22094</v>
      </c>
      <c r="Z3635" s="2" t="s">
        <v>22095</v>
      </c>
      <c r="AA3635" t="s">
        <v>9749</v>
      </c>
      <c r="AB3635" t="s">
        <v>486</v>
      </c>
      <c r="AG3635" t="s">
        <v>22096</v>
      </c>
      <c r="AH3635" t="s">
        <v>448</v>
      </c>
      <c r="AI3635" t="s">
        <v>22097</v>
      </c>
    </row>
    <row r="3636" spans="2:35" ht="409.5">
      <c r="B3636" s="1">
        <v>45495</v>
      </c>
      <c r="C3636" s="4">
        <v>45489.722222222219</v>
      </c>
      <c r="D3636" t="s">
        <v>4132</v>
      </c>
      <c r="E3636" t="s">
        <v>4133</v>
      </c>
      <c r="F3636" t="s">
        <v>148</v>
      </c>
      <c r="G3636" t="s">
        <v>447</v>
      </c>
      <c r="H3636" t="s">
        <v>386</v>
      </c>
      <c r="I3636" t="s">
        <v>40</v>
      </c>
      <c r="J3636" t="s">
        <v>525</v>
      </c>
      <c r="K3636" t="s">
        <v>387</v>
      </c>
      <c r="L3636" t="s">
        <v>448</v>
      </c>
      <c r="N3636" t="s">
        <v>650</v>
      </c>
      <c r="Q3636">
        <v>28909</v>
      </c>
      <c r="R3636" t="s">
        <v>322</v>
      </c>
      <c r="S3636" t="s">
        <v>4134</v>
      </c>
      <c r="T3636">
        <v>27</v>
      </c>
      <c r="W3636" t="s">
        <v>476</v>
      </c>
      <c r="X3636" t="s">
        <v>4135</v>
      </c>
      <c r="Y3636" t="s">
        <v>22098</v>
      </c>
      <c r="Z3636" s="2" t="s">
        <v>22099</v>
      </c>
      <c r="AA3636" t="s">
        <v>768</v>
      </c>
      <c r="AB3636" t="s">
        <v>486</v>
      </c>
      <c r="AG3636" t="s">
        <v>22100</v>
      </c>
      <c r="AH3636" t="s">
        <v>4138</v>
      </c>
      <c r="AI3636" t="s">
        <v>22101</v>
      </c>
    </row>
    <row r="3637" spans="2:35" ht="195">
      <c r="B3637" s="1">
        <v>45492</v>
      </c>
      <c r="C3637" s="4">
        <v>45492.655555555553</v>
      </c>
      <c r="D3637" t="s">
        <v>3679</v>
      </c>
      <c r="E3637" t="s">
        <v>22102</v>
      </c>
      <c r="F3637" t="s">
        <v>148</v>
      </c>
      <c r="G3637" t="s">
        <v>447</v>
      </c>
      <c r="H3637" t="s">
        <v>513</v>
      </c>
      <c r="I3637" t="s">
        <v>40</v>
      </c>
      <c r="J3637" t="s">
        <v>525</v>
      </c>
      <c r="K3637" t="s">
        <v>387</v>
      </c>
      <c r="L3637" t="s">
        <v>80</v>
      </c>
      <c r="N3637" t="s">
        <v>81</v>
      </c>
      <c r="Q3637">
        <v>28908</v>
      </c>
      <c r="R3637" t="s">
        <v>95</v>
      </c>
      <c r="S3637" t="s">
        <v>3689</v>
      </c>
      <c r="T3637">
        <v>28</v>
      </c>
      <c r="V3637" s="1">
        <v>45492</v>
      </c>
      <c r="W3637" t="s">
        <v>390</v>
      </c>
      <c r="X3637" t="s">
        <v>3690</v>
      </c>
      <c r="Y3637" t="s">
        <v>22103</v>
      </c>
      <c r="Z3637" s="2" t="s">
        <v>22104</v>
      </c>
      <c r="AA3637" s="2" t="s">
        <v>22105</v>
      </c>
      <c r="AB3637" t="s">
        <v>88</v>
      </c>
      <c r="AC3637" t="s">
        <v>54</v>
      </c>
      <c r="AD3637" t="s">
        <v>54</v>
      </c>
      <c r="AE3637" t="s">
        <v>54</v>
      </c>
      <c r="AG3637" t="s">
        <v>22106</v>
      </c>
      <c r="AH3637" t="s">
        <v>22107</v>
      </c>
      <c r="AI3637" t="s">
        <v>22108</v>
      </c>
    </row>
    <row r="3638" spans="2:35" ht="285">
      <c r="B3638" s="1">
        <v>45492</v>
      </c>
      <c r="C3638" s="4">
        <v>45492.606249999997</v>
      </c>
      <c r="D3638" t="s">
        <v>1071</v>
      </c>
      <c r="E3638" t="s">
        <v>1555</v>
      </c>
      <c r="F3638">
        <v>7</v>
      </c>
      <c r="G3638" t="s">
        <v>432</v>
      </c>
      <c r="H3638" t="s">
        <v>150</v>
      </c>
      <c r="I3638" t="s">
        <v>40</v>
      </c>
      <c r="J3638" t="s">
        <v>109</v>
      </c>
      <c r="K3638" t="s">
        <v>42</v>
      </c>
      <c r="L3638" t="s">
        <v>343</v>
      </c>
      <c r="N3638" t="s">
        <v>344</v>
      </c>
      <c r="Q3638">
        <v>28906</v>
      </c>
      <c r="R3638" t="s">
        <v>119</v>
      </c>
      <c r="S3638" t="s">
        <v>8679</v>
      </c>
      <c r="T3638">
        <v>27</v>
      </c>
      <c r="U3638" s="2" t="s">
        <v>22109</v>
      </c>
      <c r="W3638" t="s">
        <v>1501</v>
      </c>
      <c r="X3638">
        <v>838285</v>
      </c>
      <c r="Y3638" t="s">
        <v>8412</v>
      </c>
      <c r="Z3638" t="e">
        <f ca="1">-Preventive Maintenance</f>
        <v>#NAME?</v>
      </c>
      <c r="AA3638" s="2" t="s">
        <v>22110</v>
      </c>
      <c r="AB3638" t="s">
        <v>22111</v>
      </c>
      <c r="AG3638" t="s">
        <v>22112</v>
      </c>
      <c r="AH3638" t="s">
        <v>22113</v>
      </c>
      <c r="AI3638" t="s">
        <v>22114</v>
      </c>
    </row>
    <row r="3639" spans="2:35" ht="285">
      <c r="B3639" s="1">
        <v>45492</v>
      </c>
      <c r="C3639" s="4">
        <v>45492.615277777775</v>
      </c>
      <c r="D3639" t="s">
        <v>1071</v>
      </c>
      <c r="E3639" t="s">
        <v>12328</v>
      </c>
      <c r="F3639">
        <v>7</v>
      </c>
      <c r="G3639" t="s">
        <v>432</v>
      </c>
      <c r="H3639" t="s">
        <v>150</v>
      </c>
      <c r="I3639" t="s">
        <v>40</v>
      </c>
      <c r="J3639" t="s">
        <v>109</v>
      </c>
      <c r="K3639" t="s">
        <v>42</v>
      </c>
      <c r="L3639" t="s">
        <v>343</v>
      </c>
      <c r="N3639" t="s">
        <v>344</v>
      </c>
      <c r="Q3639">
        <v>28907</v>
      </c>
      <c r="R3639" t="s">
        <v>119</v>
      </c>
      <c r="S3639" t="s">
        <v>8679</v>
      </c>
      <c r="T3639">
        <v>23</v>
      </c>
      <c r="U3639" s="2" t="s">
        <v>22115</v>
      </c>
      <c r="W3639" t="s">
        <v>22116</v>
      </c>
      <c r="X3639">
        <v>820206</v>
      </c>
      <c r="Y3639" t="s">
        <v>8412</v>
      </c>
      <c r="Z3639" t="e">
        <f ca="1">-Preventive Maintenance</f>
        <v>#NAME?</v>
      </c>
      <c r="AA3639" s="2" t="s">
        <v>22110</v>
      </c>
      <c r="AB3639" t="s">
        <v>9638</v>
      </c>
      <c r="AG3639" t="s">
        <v>22117</v>
      </c>
      <c r="AH3639" t="s">
        <v>22113</v>
      </c>
      <c r="AI3639" t="s">
        <v>22118</v>
      </c>
    </row>
    <row r="3640" spans="2:35" ht="375">
      <c r="B3640" s="1">
        <v>45492</v>
      </c>
      <c r="C3640" s="4">
        <v>45492.584027777775</v>
      </c>
      <c r="D3640" t="s">
        <v>22119</v>
      </c>
      <c r="E3640" t="s">
        <v>22120</v>
      </c>
      <c r="F3640" t="s">
        <v>37</v>
      </c>
      <c r="G3640" t="s">
        <v>447</v>
      </c>
      <c r="H3640" t="s">
        <v>39</v>
      </c>
      <c r="I3640" t="s">
        <v>40</v>
      </c>
      <c r="J3640" s="2" t="s">
        <v>1309</v>
      </c>
      <c r="K3640" t="s">
        <v>42</v>
      </c>
      <c r="L3640" t="s">
        <v>15532</v>
      </c>
      <c r="N3640" t="s">
        <v>15533</v>
      </c>
      <c r="Q3640">
        <v>28905</v>
      </c>
      <c r="R3640" t="s">
        <v>45</v>
      </c>
      <c r="S3640" t="s">
        <v>22121</v>
      </c>
      <c r="T3640">
        <v>27</v>
      </c>
      <c r="U3640" s="2" t="s">
        <v>22122</v>
      </c>
      <c r="V3640" s="1">
        <v>45482</v>
      </c>
      <c r="W3640" t="s">
        <v>22123</v>
      </c>
      <c r="X3640">
        <v>814155</v>
      </c>
      <c r="Y3640" s="2" t="s">
        <v>22124</v>
      </c>
      <c r="Z3640" s="2" t="s">
        <v>22125</v>
      </c>
      <c r="AA3640" s="2" t="s">
        <v>22126</v>
      </c>
      <c r="AB3640" s="2" t="s">
        <v>22127</v>
      </c>
      <c r="AC3640" t="s">
        <v>22128</v>
      </c>
      <c r="AD3640" s="2" t="s">
        <v>22129</v>
      </c>
      <c r="AE3640" t="s">
        <v>22130</v>
      </c>
      <c r="AG3640" t="s">
        <v>22131</v>
      </c>
      <c r="AH3640" t="s">
        <v>22132</v>
      </c>
      <c r="AI3640" t="s">
        <v>22133</v>
      </c>
    </row>
    <row r="3641" spans="2:35" ht="180">
      <c r="B3641" s="1">
        <v>45492</v>
      </c>
      <c r="C3641" s="4">
        <v>45492.570833333331</v>
      </c>
      <c r="D3641" t="s">
        <v>22134</v>
      </c>
      <c r="E3641" t="s">
        <v>22135</v>
      </c>
      <c r="F3641" t="s">
        <v>37</v>
      </c>
      <c r="G3641" t="s">
        <v>2499</v>
      </c>
      <c r="H3641" t="s">
        <v>39</v>
      </c>
      <c r="I3641" t="s">
        <v>40</v>
      </c>
      <c r="J3641" t="s">
        <v>109</v>
      </c>
      <c r="K3641" t="s">
        <v>42</v>
      </c>
      <c r="L3641" t="s">
        <v>15532</v>
      </c>
      <c r="N3641" t="s">
        <v>15533</v>
      </c>
      <c r="Q3641">
        <v>28904</v>
      </c>
      <c r="R3641" t="s">
        <v>119</v>
      </c>
      <c r="S3641" t="s">
        <v>22136</v>
      </c>
      <c r="T3641">
        <v>28</v>
      </c>
      <c r="U3641" s="2" t="s">
        <v>22137</v>
      </c>
      <c r="W3641" t="s">
        <v>22123</v>
      </c>
      <c r="X3641">
        <v>831636</v>
      </c>
      <c r="Y3641" t="s">
        <v>15536</v>
      </c>
      <c r="Z3641" s="2" t="s">
        <v>20881</v>
      </c>
      <c r="AA3641" t="s">
        <v>16914</v>
      </c>
      <c r="AB3641" s="2" t="s">
        <v>22138</v>
      </c>
      <c r="AC3641" t="s">
        <v>22139</v>
      </c>
      <c r="AG3641" t="s">
        <v>22140</v>
      </c>
      <c r="AH3641" t="s">
        <v>22141</v>
      </c>
      <c r="AI3641" t="s">
        <v>22142</v>
      </c>
    </row>
    <row r="3642" spans="2:35" ht="360">
      <c r="B3642" s="1">
        <v>45492</v>
      </c>
      <c r="C3642" s="4">
        <v>45492.490277777775</v>
      </c>
      <c r="D3642" t="s">
        <v>1462</v>
      </c>
      <c r="E3642" t="s">
        <v>2892</v>
      </c>
      <c r="F3642">
        <v>8</v>
      </c>
      <c r="G3642" t="s">
        <v>1663</v>
      </c>
      <c r="H3642" t="s">
        <v>202</v>
      </c>
      <c r="I3642" t="s">
        <v>40</v>
      </c>
      <c r="J3642" t="s">
        <v>321</v>
      </c>
      <c r="K3642" t="s">
        <v>42</v>
      </c>
      <c r="L3642" t="s">
        <v>259</v>
      </c>
      <c r="N3642" t="s">
        <v>260</v>
      </c>
      <c r="Q3642">
        <v>28903</v>
      </c>
      <c r="R3642" t="s">
        <v>967</v>
      </c>
      <c r="S3642" t="s">
        <v>21866</v>
      </c>
      <c r="T3642">
        <v>24</v>
      </c>
      <c r="V3642" s="1">
        <v>45492</v>
      </c>
      <c r="W3642" t="s">
        <v>1537</v>
      </c>
      <c r="X3642">
        <v>110023515</v>
      </c>
      <c r="Y3642" t="s">
        <v>21867</v>
      </c>
      <c r="Z3642" t="s">
        <v>13110</v>
      </c>
      <c r="AA3642" s="2" t="s">
        <v>22143</v>
      </c>
      <c r="AB3642" t="s">
        <v>7675</v>
      </c>
      <c r="AD3642" s="2" t="s">
        <v>21869</v>
      </c>
      <c r="AE3642" t="s">
        <v>21870</v>
      </c>
      <c r="AG3642" t="s">
        <v>21871</v>
      </c>
      <c r="AH3642" t="s">
        <v>21872</v>
      </c>
      <c r="AI3642" t="s">
        <v>21873</v>
      </c>
    </row>
    <row r="3643" spans="2:35" ht="210">
      <c r="B3643" s="1">
        <v>45492</v>
      </c>
      <c r="C3643" s="4">
        <v>45492.481249999997</v>
      </c>
      <c r="D3643" t="s">
        <v>22144</v>
      </c>
      <c r="E3643" t="s">
        <v>22145</v>
      </c>
      <c r="F3643" t="s">
        <v>148</v>
      </c>
      <c r="G3643" t="s">
        <v>20126</v>
      </c>
      <c r="H3643" t="s">
        <v>39</v>
      </c>
      <c r="I3643" t="s">
        <v>40</v>
      </c>
      <c r="J3643" s="2" t="s">
        <v>609</v>
      </c>
      <c r="K3643" t="s">
        <v>42</v>
      </c>
      <c r="L3643" t="s">
        <v>15532</v>
      </c>
      <c r="N3643" t="s">
        <v>15533</v>
      </c>
      <c r="Q3643">
        <v>28902</v>
      </c>
      <c r="R3643" t="s">
        <v>45</v>
      </c>
      <c r="S3643" t="s">
        <v>22146</v>
      </c>
      <c r="T3643">
        <v>29</v>
      </c>
      <c r="U3643" s="2" t="s">
        <v>22147</v>
      </c>
      <c r="W3643" t="s">
        <v>22123</v>
      </c>
      <c r="X3643">
        <v>805106</v>
      </c>
      <c r="Y3643" t="s">
        <v>15866</v>
      </c>
      <c r="Z3643" s="2" t="s">
        <v>22148</v>
      </c>
      <c r="AA3643" s="2" t="s">
        <v>22149</v>
      </c>
      <c r="AB3643" s="2" t="s">
        <v>17371</v>
      </c>
      <c r="AC3643" t="s">
        <v>22150</v>
      </c>
      <c r="AG3643" t="s">
        <v>22151</v>
      </c>
      <c r="AH3643" t="s">
        <v>22152</v>
      </c>
      <c r="AI3643" t="s">
        <v>22153</v>
      </c>
    </row>
    <row r="3644" spans="2:35" ht="409.5">
      <c r="B3644" s="1">
        <v>45491</v>
      </c>
      <c r="C3644" s="4">
        <v>45491.642361111109</v>
      </c>
      <c r="D3644" t="s">
        <v>22154</v>
      </c>
      <c r="E3644" t="s">
        <v>15650</v>
      </c>
      <c r="F3644" t="s">
        <v>148</v>
      </c>
      <c r="G3644" t="s">
        <v>447</v>
      </c>
      <c r="H3644" t="s">
        <v>39</v>
      </c>
      <c r="I3644" t="s">
        <v>40</v>
      </c>
      <c r="J3644" t="s">
        <v>109</v>
      </c>
      <c r="K3644" t="s">
        <v>42</v>
      </c>
      <c r="L3644" t="s">
        <v>15532</v>
      </c>
      <c r="N3644" t="s">
        <v>15533</v>
      </c>
      <c r="Q3644">
        <v>28901</v>
      </c>
      <c r="R3644" t="s">
        <v>322</v>
      </c>
      <c r="S3644" t="s">
        <v>15652</v>
      </c>
      <c r="T3644">
        <v>29</v>
      </c>
      <c r="U3644" s="2" t="s">
        <v>22155</v>
      </c>
      <c r="W3644" t="s">
        <v>22123</v>
      </c>
      <c r="X3644">
        <v>845462</v>
      </c>
      <c r="Y3644" t="s">
        <v>15536</v>
      </c>
      <c r="Z3644" s="2" t="s">
        <v>22156</v>
      </c>
      <c r="AA3644" s="2" t="s">
        <v>22157</v>
      </c>
      <c r="AB3644" s="2" t="s">
        <v>22158</v>
      </c>
      <c r="AG3644" t="s">
        <v>22159</v>
      </c>
      <c r="AH3644" t="s">
        <v>15657</v>
      </c>
      <c r="AI3644" t="s">
        <v>22160</v>
      </c>
    </row>
    <row r="3645" spans="2:35" ht="270">
      <c r="B3645" s="1">
        <v>45491</v>
      </c>
      <c r="C3645" s="4">
        <v>45490.570138888892</v>
      </c>
      <c r="D3645" t="s">
        <v>9995</v>
      </c>
      <c r="E3645" t="s">
        <v>15284</v>
      </c>
      <c r="F3645">
        <v>10</v>
      </c>
      <c r="G3645" t="s">
        <v>1395</v>
      </c>
      <c r="H3645" t="s">
        <v>2125</v>
      </c>
      <c r="I3645" t="s">
        <v>40</v>
      </c>
      <c r="J3645" t="s">
        <v>109</v>
      </c>
      <c r="K3645" t="s">
        <v>42</v>
      </c>
      <c r="L3645" t="s">
        <v>933</v>
      </c>
      <c r="N3645" t="s">
        <v>934</v>
      </c>
      <c r="Q3645">
        <v>28900</v>
      </c>
      <c r="R3645" t="s">
        <v>119</v>
      </c>
      <c r="S3645" t="s">
        <v>22161</v>
      </c>
      <c r="T3645">
        <v>20</v>
      </c>
      <c r="W3645" t="s">
        <v>3662</v>
      </c>
      <c r="X3645">
        <v>838442</v>
      </c>
      <c r="Y3645" s="2" t="s">
        <v>22162</v>
      </c>
      <c r="Z3645" t="s">
        <v>301</v>
      </c>
      <c r="AA3645" t="s">
        <v>22163</v>
      </c>
      <c r="AB3645" s="2" t="s">
        <v>22164</v>
      </c>
      <c r="AG3645" t="s">
        <v>22165</v>
      </c>
      <c r="AH3645" t="s">
        <v>15290</v>
      </c>
      <c r="AI3645" t="s">
        <v>22166</v>
      </c>
    </row>
    <row r="3646" spans="2:35" ht="105">
      <c r="B3646" s="1">
        <v>45491</v>
      </c>
      <c r="C3646" s="4">
        <v>45491.611111111109</v>
      </c>
      <c r="D3646" t="s">
        <v>6471</v>
      </c>
      <c r="E3646" t="s">
        <v>7442</v>
      </c>
      <c r="F3646" t="s">
        <v>148</v>
      </c>
      <c r="G3646" t="s">
        <v>447</v>
      </c>
      <c r="H3646" t="s">
        <v>39</v>
      </c>
      <c r="I3646" t="s">
        <v>40</v>
      </c>
      <c r="J3646" t="s">
        <v>79</v>
      </c>
      <c r="K3646" t="s">
        <v>42</v>
      </c>
      <c r="L3646" t="s">
        <v>175</v>
      </c>
      <c r="N3646" t="s">
        <v>176</v>
      </c>
      <c r="Q3646">
        <v>28899</v>
      </c>
      <c r="R3646" t="s">
        <v>703</v>
      </c>
      <c r="S3646" t="s">
        <v>18602</v>
      </c>
      <c r="T3646">
        <v>21</v>
      </c>
      <c r="V3646" s="1">
        <v>45489</v>
      </c>
      <c r="W3646" t="s">
        <v>84</v>
      </c>
      <c r="X3646">
        <v>847578</v>
      </c>
      <c r="Y3646" t="s">
        <v>22167</v>
      </c>
      <c r="Z3646" t="s">
        <v>22168</v>
      </c>
      <c r="AA3646" t="e">
        <f ca="1">- replaced B1, B4
- generated reports
- checked _xludf.and cleaned cartridge bay, plunger rod, _xludf.filter
- performed self test</f>
        <v>#NAME?</v>
      </c>
      <c r="AB3646" s="2" t="s">
        <v>22169</v>
      </c>
      <c r="AD3646" s="2" t="s">
        <v>22170</v>
      </c>
      <c r="AE3646">
        <v>11724</v>
      </c>
      <c r="AG3646" t="s">
        <v>22171</v>
      </c>
      <c r="AH3646" t="s">
        <v>22172</v>
      </c>
      <c r="AI3646" t="s">
        <v>22173</v>
      </c>
    </row>
    <row r="3647" spans="2:35" ht="105">
      <c r="B3647" s="1">
        <v>45491</v>
      </c>
      <c r="C3647" s="4">
        <v>45491.575694444444</v>
      </c>
      <c r="D3647" t="s">
        <v>16304</v>
      </c>
      <c r="E3647" t="s">
        <v>18002</v>
      </c>
      <c r="F3647">
        <v>7</v>
      </c>
      <c r="G3647" t="s">
        <v>432</v>
      </c>
      <c r="H3647" t="s">
        <v>10969</v>
      </c>
      <c r="I3647" t="s">
        <v>40</v>
      </c>
      <c r="J3647" s="2" t="s">
        <v>62</v>
      </c>
      <c r="K3647" t="s">
        <v>42</v>
      </c>
      <c r="L3647" t="s">
        <v>1288</v>
      </c>
      <c r="N3647" t="s">
        <v>1289</v>
      </c>
      <c r="Q3647">
        <v>28898</v>
      </c>
      <c r="R3647" t="s">
        <v>119</v>
      </c>
      <c r="S3647" t="s">
        <v>16307</v>
      </c>
      <c r="T3647">
        <v>25</v>
      </c>
      <c r="U3647" s="2" t="s">
        <v>13248</v>
      </c>
      <c r="W3647" t="s">
        <v>1292</v>
      </c>
      <c r="X3647">
        <v>837661</v>
      </c>
      <c r="Y3647" t="e">
        <f ca="1">-_xludf.For Maintenance _xludf.and CALIBRATION</f>
        <v>#NAME?</v>
      </c>
      <c r="Z3647" t="e">
        <f ca="1">-COLLECT IQR,system _xludf.Log, _xludf.and ARCHIVE</f>
        <v>#NAME?</v>
      </c>
      <c r="AA3647" t="e">
        <f ca="1">-PERFORM Preventive Maintenance PROCEDURE
-PERFORM CALIBRATION, ALL modules passed</f>
        <v>#NAME?</v>
      </c>
      <c r="AB3647" t="s">
        <v>1293</v>
      </c>
      <c r="AG3647" t="s">
        <v>22174</v>
      </c>
      <c r="AH3647" t="s">
        <v>14408</v>
      </c>
      <c r="AI3647" t="s">
        <v>22175</v>
      </c>
    </row>
    <row r="3648" spans="2:35" ht="409.5">
      <c r="B3648" s="1">
        <v>45491</v>
      </c>
      <c r="C3648" s="4">
        <v>45491.556250000001</v>
      </c>
      <c r="D3648" t="s">
        <v>5474</v>
      </c>
      <c r="E3648" t="s">
        <v>5485</v>
      </c>
      <c r="F3648" t="s">
        <v>148</v>
      </c>
      <c r="G3648" t="s">
        <v>2007</v>
      </c>
      <c r="H3648" t="s">
        <v>386</v>
      </c>
      <c r="I3648" t="s">
        <v>94</v>
      </c>
      <c r="J3648" s="2" t="s">
        <v>62</v>
      </c>
      <c r="K3648" t="s">
        <v>387</v>
      </c>
      <c r="L3648" t="s">
        <v>448</v>
      </c>
      <c r="N3648" t="s">
        <v>650</v>
      </c>
      <c r="O3648" t="s">
        <v>16098</v>
      </c>
      <c r="Q3648">
        <v>28897</v>
      </c>
      <c r="R3648" t="s">
        <v>95</v>
      </c>
      <c r="S3648" t="s">
        <v>22176</v>
      </c>
      <c r="T3648">
        <v>28</v>
      </c>
      <c r="V3648" s="1">
        <v>45485</v>
      </c>
      <c r="W3648" t="s">
        <v>390</v>
      </c>
      <c r="X3648" t="s">
        <v>5488</v>
      </c>
      <c r="Y3648" t="s">
        <v>22177</v>
      </c>
      <c r="Z3648" s="2" t="s">
        <v>22178</v>
      </c>
      <c r="AA3648" t="s">
        <v>22179</v>
      </c>
      <c r="AB3648" t="s">
        <v>486</v>
      </c>
      <c r="AD3648" t="s">
        <v>8400</v>
      </c>
      <c r="AE3648">
        <v>98419</v>
      </c>
      <c r="AG3648" t="s">
        <v>22180</v>
      </c>
      <c r="AH3648" t="s">
        <v>22181</v>
      </c>
      <c r="AI3648" t="s">
        <v>22182</v>
      </c>
    </row>
    <row r="3649" spans="2:35" ht="315">
      <c r="B3649" s="1">
        <v>45491</v>
      </c>
      <c r="C3649" s="4">
        <v>45491.540972222225</v>
      </c>
      <c r="D3649" t="s">
        <v>17718</v>
      </c>
      <c r="E3649" t="s">
        <v>22183</v>
      </c>
      <c r="F3649">
        <v>11</v>
      </c>
      <c r="G3649" t="s">
        <v>1205</v>
      </c>
      <c r="H3649" t="s">
        <v>202</v>
      </c>
      <c r="I3649" t="s">
        <v>40</v>
      </c>
      <c r="J3649" t="s">
        <v>109</v>
      </c>
      <c r="K3649" t="s">
        <v>42</v>
      </c>
      <c r="L3649" t="s">
        <v>204</v>
      </c>
      <c r="N3649" t="s">
        <v>205</v>
      </c>
      <c r="Q3649">
        <v>28896</v>
      </c>
      <c r="R3649" t="s">
        <v>119</v>
      </c>
      <c r="S3649" t="s">
        <v>7745</v>
      </c>
      <c r="T3649">
        <v>25.9</v>
      </c>
      <c r="U3649" s="2" t="s">
        <v>22184</v>
      </c>
      <c r="W3649" t="s">
        <v>20675</v>
      </c>
      <c r="X3649">
        <v>838492</v>
      </c>
      <c r="Y3649" t="s">
        <v>2851</v>
      </c>
      <c r="Z3649" s="2" t="s">
        <v>22185</v>
      </c>
      <c r="AA3649" t="s">
        <v>2551</v>
      </c>
      <c r="AB3649" t="s">
        <v>22186</v>
      </c>
      <c r="AG3649" t="s">
        <v>22187</v>
      </c>
      <c r="AH3649" t="s">
        <v>22188</v>
      </c>
      <c r="AI3649" t="s">
        <v>22189</v>
      </c>
    </row>
    <row r="3650" spans="2:35" ht="330">
      <c r="B3650" s="1">
        <v>45491</v>
      </c>
      <c r="C3650" s="4">
        <v>45491.499305555553</v>
      </c>
      <c r="D3650" t="s">
        <v>5474</v>
      </c>
      <c r="E3650" t="s">
        <v>18177</v>
      </c>
      <c r="F3650" t="s">
        <v>148</v>
      </c>
      <c r="G3650" t="s">
        <v>2007</v>
      </c>
      <c r="H3650" t="s">
        <v>5476</v>
      </c>
      <c r="I3650" t="s">
        <v>40</v>
      </c>
      <c r="J3650" t="s">
        <v>109</v>
      </c>
      <c r="K3650" t="s">
        <v>408</v>
      </c>
      <c r="L3650" t="s">
        <v>448</v>
      </c>
      <c r="N3650" t="s">
        <v>650</v>
      </c>
      <c r="O3650" t="s">
        <v>16098</v>
      </c>
      <c r="P3650" t="s">
        <v>10094</v>
      </c>
      <c r="Q3650">
        <v>28895</v>
      </c>
      <c r="R3650" t="s">
        <v>95</v>
      </c>
      <c r="S3650" t="s">
        <v>5479</v>
      </c>
      <c r="T3650">
        <v>27</v>
      </c>
      <c r="V3650" s="1">
        <v>45485</v>
      </c>
      <c r="W3650" t="s">
        <v>5480</v>
      </c>
      <c r="X3650">
        <v>797</v>
      </c>
      <c r="Y3650" t="s">
        <v>485</v>
      </c>
      <c r="Z3650" s="2" t="s">
        <v>9911</v>
      </c>
      <c r="AA3650" t="s">
        <v>122</v>
      </c>
      <c r="AB3650" t="s">
        <v>486</v>
      </c>
      <c r="AE3650">
        <v>98420</v>
      </c>
      <c r="AG3650" t="s">
        <v>22190</v>
      </c>
      <c r="AH3650" t="s">
        <v>5483</v>
      </c>
      <c r="AI3650" t="s">
        <v>22191</v>
      </c>
    </row>
    <row r="3651" spans="2:35" ht="225">
      <c r="B3651" s="1">
        <v>45490</v>
      </c>
      <c r="C3651" s="4">
        <v>45489.660416666666</v>
      </c>
      <c r="D3651" t="s">
        <v>6595</v>
      </c>
      <c r="E3651" t="s">
        <v>784</v>
      </c>
      <c r="F3651" t="s">
        <v>148</v>
      </c>
      <c r="G3651" t="s">
        <v>785</v>
      </c>
      <c r="H3651" t="s">
        <v>39</v>
      </c>
      <c r="I3651" t="s">
        <v>40</v>
      </c>
      <c r="J3651" t="s">
        <v>109</v>
      </c>
      <c r="K3651" t="s">
        <v>42</v>
      </c>
      <c r="L3651" t="s">
        <v>43</v>
      </c>
      <c r="N3651" t="s">
        <v>44</v>
      </c>
      <c r="Q3651">
        <v>28894</v>
      </c>
      <c r="R3651" t="s">
        <v>322</v>
      </c>
      <c r="S3651" t="s">
        <v>786</v>
      </c>
      <c r="T3651">
        <v>20</v>
      </c>
      <c r="U3651" s="2" t="s">
        <v>22192</v>
      </c>
      <c r="W3651" t="s">
        <v>11663</v>
      </c>
      <c r="X3651">
        <v>821648</v>
      </c>
      <c r="Y3651" t="s">
        <v>121</v>
      </c>
      <c r="Z3651" t="s">
        <v>122</v>
      </c>
      <c r="AA3651" s="2" t="s">
        <v>15442</v>
      </c>
      <c r="AB3651" t="s">
        <v>22193</v>
      </c>
      <c r="AG3651" t="s">
        <v>22194</v>
      </c>
      <c r="AH3651" t="s">
        <v>810</v>
      </c>
      <c r="AI3651" t="s">
        <v>22195</v>
      </c>
    </row>
    <row r="3652" spans="2:35" ht="409.5">
      <c r="B3652" s="1">
        <v>45490</v>
      </c>
      <c r="C3652" s="4">
        <v>45490.556944444441</v>
      </c>
      <c r="D3652" t="s">
        <v>7826</v>
      </c>
      <c r="E3652" t="s">
        <v>7827</v>
      </c>
      <c r="F3652">
        <v>11</v>
      </c>
      <c r="G3652" t="s">
        <v>1759</v>
      </c>
      <c r="H3652" t="s">
        <v>202</v>
      </c>
      <c r="I3652" t="s">
        <v>40</v>
      </c>
      <c r="J3652" s="2" t="s">
        <v>190</v>
      </c>
      <c r="K3652" t="s">
        <v>42</v>
      </c>
      <c r="L3652" t="s">
        <v>204</v>
      </c>
      <c r="N3652" t="s">
        <v>205</v>
      </c>
      <c r="Q3652">
        <v>28893</v>
      </c>
      <c r="R3652" t="s">
        <v>119</v>
      </c>
      <c r="S3652" t="s">
        <v>7828</v>
      </c>
      <c r="T3652">
        <v>28.6</v>
      </c>
      <c r="U3652" s="2" t="s">
        <v>22196</v>
      </c>
      <c r="W3652" t="s">
        <v>208</v>
      </c>
      <c r="X3652">
        <v>838487</v>
      </c>
      <c r="Y3652" s="2" t="s">
        <v>22197</v>
      </c>
      <c r="Z3652" s="2" t="s">
        <v>22198</v>
      </c>
      <c r="AA3652" t="s">
        <v>2924</v>
      </c>
      <c r="AB3652" t="s">
        <v>1211</v>
      </c>
      <c r="AG3652" t="s">
        <v>22199</v>
      </c>
      <c r="AH3652" t="s">
        <v>20443</v>
      </c>
      <c r="AI3652" t="s">
        <v>22200</v>
      </c>
    </row>
    <row r="3653" spans="2:35">
      <c r="B3653" s="1">
        <v>45490</v>
      </c>
      <c r="C3653" s="4">
        <v>45490.457638888889</v>
      </c>
      <c r="D3653" t="s">
        <v>8357</v>
      </c>
      <c r="E3653" t="s">
        <v>17681</v>
      </c>
      <c r="F3653">
        <v>10</v>
      </c>
      <c r="G3653" t="s">
        <v>8359</v>
      </c>
      <c r="H3653" t="s">
        <v>2125</v>
      </c>
      <c r="I3653" t="s">
        <v>40</v>
      </c>
      <c r="J3653" t="s">
        <v>109</v>
      </c>
      <c r="K3653" t="s">
        <v>42</v>
      </c>
      <c r="L3653" t="s">
        <v>933</v>
      </c>
      <c r="N3653" t="s">
        <v>934</v>
      </c>
      <c r="Q3653">
        <v>28892</v>
      </c>
      <c r="R3653" t="s">
        <v>119</v>
      </c>
      <c r="S3653" t="s">
        <v>22201</v>
      </c>
      <c r="T3653">
        <v>27</v>
      </c>
      <c r="W3653" t="s">
        <v>3662</v>
      </c>
      <c r="X3653">
        <v>838565</v>
      </c>
      <c r="Y3653" t="s">
        <v>301</v>
      </c>
      <c r="Z3653" t="s">
        <v>6997</v>
      </c>
      <c r="AA3653" t="s">
        <v>14506</v>
      </c>
      <c r="AB3653" t="s">
        <v>2131</v>
      </c>
      <c r="AG3653" t="s">
        <v>22202</v>
      </c>
      <c r="AH3653" t="s">
        <v>22203</v>
      </c>
      <c r="AI3653" t="s">
        <v>22204</v>
      </c>
    </row>
    <row r="3654" spans="2:35">
      <c r="B3654" s="1">
        <v>45489</v>
      </c>
      <c r="C3654" s="4">
        <v>45489.59375</v>
      </c>
      <c r="D3654" t="s">
        <v>10149</v>
      </c>
      <c r="E3654" t="s">
        <v>16554</v>
      </c>
      <c r="F3654">
        <v>10</v>
      </c>
      <c r="G3654" t="s">
        <v>1395</v>
      </c>
      <c r="H3654" t="s">
        <v>2125</v>
      </c>
      <c r="I3654" t="s">
        <v>40</v>
      </c>
      <c r="J3654" t="s">
        <v>109</v>
      </c>
      <c r="K3654" t="s">
        <v>42</v>
      </c>
      <c r="L3654" t="s">
        <v>933</v>
      </c>
      <c r="N3654" t="s">
        <v>934</v>
      </c>
      <c r="Q3654">
        <v>28891</v>
      </c>
      <c r="R3654" t="s">
        <v>119</v>
      </c>
      <c r="S3654" t="s">
        <v>10801</v>
      </c>
      <c r="T3654">
        <v>28</v>
      </c>
      <c r="W3654" t="s">
        <v>3662</v>
      </c>
      <c r="X3654">
        <v>838269</v>
      </c>
      <c r="Y3654" t="s">
        <v>22205</v>
      </c>
      <c r="Z3654" t="s">
        <v>6997</v>
      </c>
      <c r="AA3654" t="s">
        <v>3128</v>
      </c>
      <c r="AB3654" t="s">
        <v>22206</v>
      </c>
      <c r="AG3654" t="s">
        <v>22207</v>
      </c>
      <c r="AH3654" t="s">
        <v>22208</v>
      </c>
      <c r="AI3654" t="s">
        <v>22209</v>
      </c>
    </row>
    <row r="3655" spans="2:35" ht="105">
      <c r="B3655" s="1">
        <v>45489</v>
      </c>
      <c r="C3655" s="4">
        <v>45489.756249999999</v>
      </c>
      <c r="D3655" t="s">
        <v>19677</v>
      </c>
      <c r="E3655" t="s">
        <v>19678</v>
      </c>
      <c r="F3655">
        <v>7</v>
      </c>
      <c r="G3655" t="s">
        <v>6529</v>
      </c>
      <c r="H3655" t="s">
        <v>10969</v>
      </c>
      <c r="I3655" t="s">
        <v>40</v>
      </c>
      <c r="J3655" s="2" t="s">
        <v>609</v>
      </c>
      <c r="K3655" t="s">
        <v>42</v>
      </c>
      <c r="L3655" t="s">
        <v>1288</v>
      </c>
      <c r="N3655" t="s">
        <v>1289</v>
      </c>
      <c r="Q3655">
        <v>28890</v>
      </c>
      <c r="R3655" t="s">
        <v>119</v>
      </c>
      <c r="S3655" t="s">
        <v>10220</v>
      </c>
      <c r="T3655">
        <v>25</v>
      </c>
      <c r="U3655" s="2" t="s">
        <v>22210</v>
      </c>
      <c r="W3655" t="s">
        <v>1292</v>
      </c>
      <c r="X3655">
        <v>838396</v>
      </c>
      <c r="Y3655" t="e">
        <f ca="1">-_xludf.For transfer of GeneXpert EQUIPMENT DUE to Hospital CONSTRUCTION
-Preventive Maintenance</f>
        <v>#NAME?</v>
      </c>
      <c r="Z3655" t="e">
        <f ca="1">-COLLECT IQR, system _xludf.Log, _xludf.and ARCHIVE</f>
        <v>#NAME?</v>
      </c>
      <c r="AA3655" t="e">
        <f ca="1">-PERFORM on-Site assistance of GeneXpert EQUIPMENT transfer
-PERFORM functionality test, passed
-PERFORM Preventive Maintenance</f>
        <v>#NAME?</v>
      </c>
      <c r="AB3655" t="s">
        <v>1293</v>
      </c>
      <c r="AG3655" t="s">
        <v>22211</v>
      </c>
      <c r="AH3655" t="s">
        <v>19684</v>
      </c>
      <c r="AI3655" t="s">
        <v>22212</v>
      </c>
    </row>
    <row r="3656" spans="2:35" ht="360">
      <c r="B3656" s="1">
        <v>45489</v>
      </c>
      <c r="C3656" s="4">
        <v>45489.450694444444</v>
      </c>
      <c r="D3656" t="s">
        <v>3669</v>
      </c>
      <c r="E3656" t="s">
        <v>22213</v>
      </c>
      <c r="F3656" t="s">
        <v>37</v>
      </c>
      <c r="G3656" t="s">
        <v>38</v>
      </c>
      <c r="H3656" t="s">
        <v>39</v>
      </c>
      <c r="I3656" t="s">
        <v>40</v>
      </c>
      <c r="J3656" t="s">
        <v>109</v>
      </c>
      <c r="K3656" t="s">
        <v>42</v>
      </c>
      <c r="L3656" t="s">
        <v>43</v>
      </c>
      <c r="N3656" t="s">
        <v>44</v>
      </c>
      <c r="Q3656">
        <v>28889</v>
      </c>
      <c r="R3656" t="s">
        <v>95</v>
      </c>
      <c r="S3656" t="s">
        <v>5580</v>
      </c>
      <c r="T3656">
        <v>20</v>
      </c>
      <c r="U3656" s="2" t="s">
        <v>22214</v>
      </c>
      <c r="W3656" t="s">
        <v>48</v>
      </c>
      <c r="X3656">
        <v>110005265</v>
      </c>
      <c r="Y3656" t="s">
        <v>121</v>
      </c>
      <c r="Z3656" t="s">
        <v>122</v>
      </c>
      <c r="AA3656" s="2" t="s">
        <v>123</v>
      </c>
      <c r="AB3656" t="s">
        <v>548</v>
      </c>
      <c r="AG3656" t="s">
        <v>22215</v>
      </c>
      <c r="AH3656" t="s">
        <v>11659</v>
      </c>
      <c r="AI3656" t="s">
        <v>22216</v>
      </c>
    </row>
    <row r="3657" spans="2:35" ht="90">
      <c r="B3657" s="1">
        <v>45489</v>
      </c>
      <c r="C3657" s="4">
        <v>45489.616666666669</v>
      </c>
      <c r="D3657" t="s">
        <v>13336</v>
      </c>
      <c r="E3657" t="s">
        <v>22217</v>
      </c>
      <c r="F3657" t="s">
        <v>148</v>
      </c>
      <c r="G3657" t="s">
        <v>447</v>
      </c>
      <c r="H3657" t="s">
        <v>39</v>
      </c>
      <c r="I3657" t="s">
        <v>40</v>
      </c>
      <c r="J3657" t="s">
        <v>79</v>
      </c>
      <c r="K3657" t="s">
        <v>42</v>
      </c>
      <c r="L3657" t="s">
        <v>15532</v>
      </c>
      <c r="N3657" t="s">
        <v>15533</v>
      </c>
      <c r="O3657" t="s">
        <v>15533</v>
      </c>
      <c r="Q3657">
        <v>28888</v>
      </c>
      <c r="R3657" t="s">
        <v>322</v>
      </c>
      <c r="S3657" t="s">
        <v>22218</v>
      </c>
      <c r="T3657">
        <v>25</v>
      </c>
      <c r="W3657" t="s">
        <v>22219</v>
      </c>
      <c r="X3657" t="s">
        <v>22220</v>
      </c>
      <c r="Y3657" t="s">
        <v>22221</v>
      </c>
      <c r="Z3657" t="s">
        <v>22222</v>
      </c>
      <c r="AA3657" s="2" t="s">
        <v>22223</v>
      </c>
      <c r="AB3657" t="s">
        <v>181</v>
      </c>
      <c r="AG3657" t="s">
        <v>22224</v>
      </c>
      <c r="AH3657" t="s">
        <v>22225</v>
      </c>
      <c r="AI3657" t="s">
        <v>22226</v>
      </c>
    </row>
    <row r="3658" spans="2:35" ht="375">
      <c r="B3658" s="1">
        <v>45489</v>
      </c>
      <c r="C3658" s="4">
        <v>45484.572916666664</v>
      </c>
      <c r="D3658" t="s">
        <v>22227</v>
      </c>
      <c r="E3658" t="s">
        <v>293</v>
      </c>
      <c r="F3658">
        <v>12</v>
      </c>
      <c r="G3658" t="s">
        <v>294</v>
      </c>
      <c r="H3658" t="s">
        <v>39</v>
      </c>
      <c r="I3658" t="s">
        <v>94</v>
      </c>
      <c r="J3658" s="2" t="s">
        <v>41</v>
      </c>
      <c r="K3658" t="s">
        <v>42</v>
      </c>
      <c r="L3658" t="s">
        <v>296</v>
      </c>
      <c r="N3658" t="s">
        <v>297</v>
      </c>
      <c r="Q3658">
        <v>28887</v>
      </c>
      <c r="R3658" t="s">
        <v>45</v>
      </c>
      <c r="S3658" t="s">
        <v>22228</v>
      </c>
      <c r="T3658">
        <v>27.4</v>
      </c>
      <c r="U3658" s="2" t="s">
        <v>13383</v>
      </c>
      <c r="V3658" s="1">
        <v>45484</v>
      </c>
      <c r="W3658" t="s">
        <v>22229</v>
      </c>
      <c r="X3658">
        <v>815393</v>
      </c>
      <c r="Y3658" t="s">
        <v>15200</v>
      </c>
      <c r="Z3658" s="2" t="s">
        <v>22230</v>
      </c>
      <c r="AA3658" s="2" t="s">
        <v>22231</v>
      </c>
      <c r="AB3658" t="s">
        <v>972</v>
      </c>
      <c r="AD3658" t="s">
        <v>22232</v>
      </c>
      <c r="AE3658" t="s">
        <v>22233</v>
      </c>
      <c r="AG3658" t="s">
        <v>22234</v>
      </c>
      <c r="AH3658" t="s">
        <v>22235</v>
      </c>
      <c r="AI3658" t="s">
        <v>22236</v>
      </c>
    </row>
    <row r="3659" spans="2:35" ht="390">
      <c r="B3659" s="1">
        <v>45489</v>
      </c>
      <c r="C3659" s="4">
        <v>45489.448611111111</v>
      </c>
      <c r="D3659" t="s">
        <v>10158</v>
      </c>
      <c r="E3659" t="s">
        <v>4655</v>
      </c>
      <c r="F3659">
        <v>10</v>
      </c>
      <c r="G3659" t="s">
        <v>1395</v>
      </c>
      <c r="H3659" t="s">
        <v>2125</v>
      </c>
      <c r="I3659" t="s">
        <v>40</v>
      </c>
      <c r="J3659" s="2" t="s">
        <v>190</v>
      </c>
      <c r="K3659" t="s">
        <v>42</v>
      </c>
      <c r="L3659" t="s">
        <v>933</v>
      </c>
      <c r="N3659" t="s">
        <v>934</v>
      </c>
      <c r="Q3659">
        <v>28886</v>
      </c>
      <c r="R3659" t="s">
        <v>119</v>
      </c>
      <c r="S3659" t="s">
        <v>10835</v>
      </c>
      <c r="T3659">
        <v>28</v>
      </c>
      <c r="W3659" t="s">
        <v>3662</v>
      </c>
      <c r="X3659">
        <v>838441</v>
      </c>
      <c r="Y3659" s="2" t="s">
        <v>22237</v>
      </c>
      <c r="Z3659" t="s">
        <v>13655</v>
      </c>
      <c r="AA3659" s="2" t="s">
        <v>22238</v>
      </c>
      <c r="AB3659" t="s">
        <v>2131</v>
      </c>
      <c r="AG3659" t="s">
        <v>22239</v>
      </c>
      <c r="AH3659" t="s">
        <v>12950</v>
      </c>
      <c r="AI3659" t="s">
        <v>22240</v>
      </c>
    </row>
    <row r="3660" spans="2:35" ht="390">
      <c r="B3660" s="1">
        <v>45489</v>
      </c>
      <c r="C3660" s="4">
        <v>45483.556944444441</v>
      </c>
      <c r="D3660" t="s">
        <v>22241</v>
      </c>
      <c r="E3660" t="s">
        <v>22242</v>
      </c>
      <c r="F3660">
        <v>1</v>
      </c>
      <c r="G3660" t="s">
        <v>1046</v>
      </c>
      <c r="H3660" t="s">
        <v>39</v>
      </c>
      <c r="I3660" t="s">
        <v>40</v>
      </c>
      <c r="J3660" s="2" t="s">
        <v>41</v>
      </c>
      <c r="K3660" t="s">
        <v>42</v>
      </c>
      <c r="L3660" t="s">
        <v>135</v>
      </c>
      <c r="N3660" t="s">
        <v>136</v>
      </c>
      <c r="Q3660">
        <v>28885</v>
      </c>
      <c r="R3660" t="s">
        <v>45</v>
      </c>
      <c r="S3660" t="s">
        <v>22243</v>
      </c>
      <c r="T3660">
        <v>28</v>
      </c>
      <c r="U3660" s="2" t="s">
        <v>19546</v>
      </c>
      <c r="V3660" s="1">
        <v>45476</v>
      </c>
      <c r="W3660" t="s">
        <v>2680</v>
      </c>
      <c r="X3660">
        <v>834629</v>
      </c>
      <c r="Y3660" s="2" t="s">
        <v>22244</v>
      </c>
      <c r="Z3660" s="2" t="s">
        <v>140</v>
      </c>
      <c r="AA3660" s="2" t="s">
        <v>5713</v>
      </c>
      <c r="AB3660" s="2" t="s">
        <v>22245</v>
      </c>
      <c r="AD3660" t="s">
        <v>22246</v>
      </c>
      <c r="AE3660">
        <v>49004</v>
      </c>
      <c r="AG3660" t="s">
        <v>22247</v>
      </c>
      <c r="AH3660" t="s">
        <v>22248</v>
      </c>
      <c r="AI3660" t="s">
        <v>22249</v>
      </c>
    </row>
    <row r="3661" spans="2:35" ht="270">
      <c r="B3661" s="1">
        <v>45488</v>
      </c>
      <c r="C3661" s="4">
        <v>45485.576388888891</v>
      </c>
      <c r="D3661" t="s">
        <v>22250</v>
      </c>
      <c r="E3661" t="s">
        <v>22251</v>
      </c>
      <c r="F3661" t="s">
        <v>148</v>
      </c>
      <c r="G3661" t="s">
        <v>447</v>
      </c>
      <c r="H3661" t="s">
        <v>39</v>
      </c>
      <c r="I3661" t="s">
        <v>40</v>
      </c>
      <c r="J3661" s="2" t="s">
        <v>190</v>
      </c>
      <c r="K3661" t="s">
        <v>42</v>
      </c>
      <c r="L3661" t="s">
        <v>43</v>
      </c>
      <c r="N3661" t="s">
        <v>44</v>
      </c>
      <c r="Q3661">
        <v>28883</v>
      </c>
      <c r="R3661" t="s">
        <v>703</v>
      </c>
      <c r="S3661" t="s">
        <v>16923</v>
      </c>
      <c r="T3661">
        <v>24</v>
      </c>
      <c r="U3661" s="2" t="s">
        <v>22252</v>
      </c>
      <c r="W3661" t="s">
        <v>48</v>
      </c>
      <c r="X3661">
        <v>835601</v>
      </c>
      <c r="Y3661" t="s">
        <v>22253</v>
      </c>
      <c r="Z3661" t="s">
        <v>122</v>
      </c>
      <c r="AA3661" s="2" t="s">
        <v>10915</v>
      </c>
      <c r="AB3661" t="s">
        <v>22254</v>
      </c>
      <c r="AG3661" t="s">
        <v>22255</v>
      </c>
      <c r="AH3661" t="s">
        <v>3700</v>
      </c>
      <c r="AI3661" t="s">
        <v>22256</v>
      </c>
    </row>
    <row r="3662" spans="2:35" ht="345">
      <c r="B3662" s="1">
        <v>45488</v>
      </c>
      <c r="C3662" s="4">
        <v>45485.578472222223</v>
      </c>
      <c r="D3662" t="s">
        <v>3696</v>
      </c>
      <c r="E3662" t="s">
        <v>22251</v>
      </c>
      <c r="F3662" t="s">
        <v>148</v>
      </c>
      <c r="G3662" t="s">
        <v>447</v>
      </c>
      <c r="H3662" t="s">
        <v>39</v>
      </c>
      <c r="I3662" t="s">
        <v>40</v>
      </c>
      <c r="J3662" t="s">
        <v>109</v>
      </c>
      <c r="K3662" t="s">
        <v>42</v>
      </c>
      <c r="L3662" t="s">
        <v>43</v>
      </c>
      <c r="N3662" t="s">
        <v>44</v>
      </c>
      <c r="Q3662">
        <v>28884</v>
      </c>
      <c r="R3662" t="s">
        <v>703</v>
      </c>
      <c r="S3662" t="s">
        <v>16923</v>
      </c>
      <c r="T3662">
        <v>24</v>
      </c>
      <c r="U3662" s="2" t="s">
        <v>22257</v>
      </c>
      <c r="W3662" t="s">
        <v>48</v>
      </c>
      <c r="X3662">
        <v>835602</v>
      </c>
      <c r="Y3662" t="s">
        <v>121</v>
      </c>
      <c r="Z3662" t="s">
        <v>122</v>
      </c>
      <c r="AA3662" s="2" t="s">
        <v>123</v>
      </c>
      <c r="AB3662" t="s">
        <v>548</v>
      </c>
      <c r="AG3662" t="s">
        <v>22258</v>
      </c>
      <c r="AH3662" t="s">
        <v>3700</v>
      </c>
      <c r="AI3662" t="s">
        <v>22259</v>
      </c>
    </row>
    <row r="3663" spans="2:35" ht="105">
      <c r="B3663" s="1">
        <v>45488</v>
      </c>
      <c r="C3663" s="4">
        <v>45485.646527777775</v>
      </c>
      <c r="D3663" t="s">
        <v>4953</v>
      </c>
      <c r="E3663" t="s">
        <v>4954</v>
      </c>
      <c r="F3663">
        <v>1</v>
      </c>
      <c r="G3663" t="s">
        <v>1046</v>
      </c>
      <c r="H3663" t="s">
        <v>39</v>
      </c>
      <c r="I3663" t="s">
        <v>40</v>
      </c>
      <c r="J3663" t="s">
        <v>109</v>
      </c>
      <c r="K3663" t="s">
        <v>42</v>
      </c>
      <c r="L3663" t="s">
        <v>1048</v>
      </c>
      <c r="N3663" t="s">
        <v>1049</v>
      </c>
      <c r="Q3663">
        <v>28882</v>
      </c>
      <c r="R3663" t="s">
        <v>119</v>
      </c>
      <c r="S3663" t="s">
        <v>4955</v>
      </c>
      <c r="T3663">
        <v>25</v>
      </c>
      <c r="U3663" s="2" t="s">
        <v>22260</v>
      </c>
      <c r="W3663" t="s">
        <v>1051</v>
      </c>
      <c r="X3663">
        <v>838437</v>
      </c>
      <c r="Y3663" t="s">
        <v>1052</v>
      </c>
      <c r="Z3663" t="e">
        <f ca="1">- cleaned cartridge Bays, plunger Rods _xludf.and I-CORE
- generated reports</f>
        <v>#NAME?</v>
      </c>
      <c r="AA3663" t="s">
        <v>820</v>
      </c>
      <c r="AB3663" t="s">
        <v>1428</v>
      </c>
      <c r="AG3663" t="s">
        <v>22261</v>
      </c>
      <c r="AH3663" t="s">
        <v>4958</v>
      </c>
      <c r="AI3663" t="s">
        <v>22262</v>
      </c>
    </row>
    <row r="3664" spans="2:35" ht="240">
      <c r="B3664" s="1">
        <v>45488</v>
      </c>
      <c r="C3664" s="4">
        <v>45469.438194444447</v>
      </c>
      <c r="D3664" t="s">
        <v>22263</v>
      </c>
      <c r="E3664" t="s">
        <v>22264</v>
      </c>
      <c r="F3664" t="s">
        <v>148</v>
      </c>
      <c r="G3664" t="s">
        <v>4786</v>
      </c>
      <c r="H3664" t="s">
        <v>39</v>
      </c>
      <c r="I3664" t="s">
        <v>40</v>
      </c>
      <c r="J3664" s="2" t="s">
        <v>41</v>
      </c>
      <c r="K3664" t="s">
        <v>42</v>
      </c>
      <c r="L3664" t="s">
        <v>1028</v>
      </c>
      <c r="N3664" t="s">
        <v>1029</v>
      </c>
      <c r="Q3664">
        <v>28881</v>
      </c>
      <c r="R3664" t="s">
        <v>45</v>
      </c>
      <c r="S3664" t="s">
        <v>22265</v>
      </c>
      <c r="T3664">
        <v>27</v>
      </c>
      <c r="U3664" s="2" t="s">
        <v>22266</v>
      </c>
      <c r="W3664" t="s">
        <v>1967</v>
      </c>
      <c r="X3664">
        <v>838541</v>
      </c>
      <c r="Y3664" t="s">
        <v>22267</v>
      </c>
      <c r="Z3664" t="s">
        <v>22268</v>
      </c>
      <c r="AA3664" s="2" t="s">
        <v>22269</v>
      </c>
      <c r="AB3664" t="s">
        <v>22270</v>
      </c>
      <c r="AC3664" t="s">
        <v>22271</v>
      </c>
      <c r="AG3664" t="s">
        <v>22272</v>
      </c>
      <c r="AH3664" t="s">
        <v>22273</v>
      </c>
      <c r="AI3664" t="s">
        <v>22274</v>
      </c>
    </row>
    <row r="3665" spans="2:35" ht="409.5">
      <c r="B3665" s="1">
        <v>45486</v>
      </c>
      <c r="C3665" s="4">
        <v>45485.5625</v>
      </c>
      <c r="D3665" t="s">
        <v>22275</v>
      </c>
      <c r="E3665" t="s">
        <v>22276</v>
      </c>
      <c r="F3665">
        <v>5</v>
      </c>
      <c r="G3665" t="s">
        <v>759</v>
      </c>
      <c r="H3665" t="s">
        <v>39</v>
      </c>
      <c r="I3665" t="s">
        <v>40</v>
      </c>
      <c r="J3665" s="2" t="s">
        <v>1592</v>
      </c>
      <c r="K3665" t="s">
        <v>42</v>
      </c>
      <c r="L3665" t="s">
        <v>761</v>
      </c>
      <c r="N3665" t="s">
        <v>762</v>
      </c>
      <c r="Q3665">
        <v>28880</v>
      </c>
      <c r="R3665" t="s">
        <v>45</v>
      </c>
      <c r="S3665" t="s">
        <v>22277</v>
      </c>
      <c r="T3665">
        <v>28</v>
      </c>
      <c r="U3665" s="2" t="s">
        <v>22278</v>
      </c>
      <c r="W3665" t="s">
        <v>765</v>
      </c>
      <c r="X3665">
        <v>804257</v>
      </c>
      <c r="Y3665" s="2" t="s">
        <v>22279</v>
      </c>
      <c r="Z3665" s="2" t="s">
        <v>22280</v>
      </c>
      <c r="AA3665" s="2" t="s">
        <v>22281</v>
      </c>
      <c r="AB3665" s="2" t="s">
        <v>22282</v>
      </c>
      <c r="AC3665" t="s">
        <v>22283</v>
      </c>
      <c r="AG3665" t="s">
        <v>22284</v>
      </c>
      <c r="AH3665" t="s">
        <v>22285</v>
      </c>
      <c r="AI3665" t="s">
        <v>22286</v>
      </c>
    </row>
    <row r="3666" spans="2:35" ht="409.5">
      <c r="B3666" s="1">
        <v>45486</v>
      </c>
      <c r="C3666" s="4">
        <v>45484.666666666664</v>
      </c>
      <c r="D3666" t="s">
        <v>837</v>
      </c>
      <c r="E3666" t="s">
        <v>22287</v>
      </c>
      <c r="F3666">
        <v>5</v>
      </c>
      <c r="G3666" t="s">
        <v>839</v>
      </c>
      <c r="H3666" t="s">
        <v>22288</v>
      </c>
      <c r="I3666" t="s">
        <v>40</v>
      </c>
      <c r="J3666" s="2" t="s">
        <v>41</v>
      </c>
      <c r="K3666" t="s">
        <v>42</v>
      </c>
      <c r="L3666" t="s">
        <v>761</v>
      </c>
      <c r="N3666" t="s">
        <v>762</v>
      </c>
      <c r="Q3666">
        <v>28879</v>
      </c>
      <c r="R3666" t="s">
        <v>45</v>
      </c>
      <c r="S3666" t="s">
        <v>22289</v>
      </c>
      <c r="T3666">
        <v>26</v>
      </c>
      <c r="U3666" s="2" t="s">
        <v>22290</v>
      </c>
      <c r="W3666" t="s">
        <v>817</v>
      </c>
      <c r="X3666">
        <v>842225</v>
      </c>
      <c r="Y3666" t="s">
        <v>22291</v>
      </c>
      <c r="Z3666" s="2" t="s">
        <v>22292</v>
      </c>
      <c r="AA3666" s="2" t="s">
        <v>22293</v>
      </c>
      <c r="AB3666" t="s">
        <v>181</v>
      </c>
      <c r="AG3666" t="s">
        <v>22294</v>
      </c>
      <c r="AH3666" t="s">
        <v>22295</v>
      </c>
      <c r="AI3666" t="s">
        <v>22296</v>
      </c>
    </row>
    <row r="3667" spans="2:35" ht="240">
      <c r="B3667" s="1">
        <v>45486</v>
      </c>
      <c r="C3667" s="4">
        <v>45484.397916666669</v>
      </c>
      <c r="D3667" t="s">
        <v>22297</v>
      </c>
      <c r="E3667" t="s">
        <v>22298</v>
      </c>
      <c r="F3667">
        <v>5</v>
      </c>
      <c r="G3667" t="s">
        <v>5795</v>
      </c>
      <c r="H3667" t="s">
        <v>39</v>
      </c>
      <c r="I3667" t="s">
        <v>40</v>
      </c>
      <c r="J3667" s="2" t="s">
        <v>41</v>
      </c>
      <c r="K3667" t="s">
        <v>42</v>
      </c>
      <c r="L3667" t="s">
        <v>761</v>
      </c>
      <c r="N3667" t="s">
        <v>762</v>
      </c>
      <c r="Q3667">
        <v>28878</v>
      </c>
      <c r="R3667" t="s">
        <v>45</v>
      </c>
      <c r="S3667" t="s">
        <v>22299</v>
      </c>
      <c r="T3667">
        <v>29</v>
      </c>
      <c r="U3667" s="2" t="s">
        <v>22300</v>
      </c>
      <c r="W3667" t="s">
        <v>765</v>
      </c>
      <c r="X3667">
        <v>808641</v>
      </c>
      <c r="Y3667" t="s">
        <v>22301</v>
      </c>
      <c r="Z3667" s="2" t="s">
        <v>22302</v>
      </c>
      <c r="AA3667" s="2" t="s">
        <v>22303</v>
      </c>
      <c r="AB3667" t="s">
        <v>70</v>
      </c>
      <c r="AG3667" t="s">
        <v>22304</v>
      </c>
      <c r="AH3667" t="s">
        <v>22305</v>
      </c>
      <c r="AI3667" t="s">
        <v>22306</v>
      </c>
    </row>
    <row r="3668" spans="2:35" ht="120">
      <c r="B3668" s="1">
        <v>45486</v>
      </c>
      <c r="C3668" s="4">
        <v>45482.677083333336</v>
      </c>
      <c r="D3668" t="s">
        <v>4982</v>
      </c>
      <c r="E3668" t="s">
        <v>22307</v>
      </c>
      <c r="F3668">
        <v>5</v>
      </c>
      <c r="G3668" t="s">
        <v>759</v>
      </c>
      <c r="H3668" t="s">
        <v>39</v>
      </c>
      <c r="I3668" t="s">
        <v>40</v>
      </c>
      <c r="J3668" t="s">
        <v>109</v>
      </c>
      <c r="K3668" t="s">
        <v>42</v>
      </c>
      <c r="L3668" t="s">
        <v>761</v>
      </c>
      <c r="N3668" t="s">
        <v>762</v>
      </c>
      <c r="Q3668">
        <v>28877</v>
      </c>
      <c r="R3668" t="s">
        <v>45</v>
      </c>
      <c r="S3668" t="s">
        <v>4983</v>
      </c>
      <c r="T3668">
        <v>23</v>
      </c>
      <c r="U3668" s="2" t="s">
        <v>22308</v>
      </c>
      <c r="W3668" t="s">
        <v>765</v>
      </c>
      <c r="X3668">
        <v>110016954</v>
      </c>
      <c r="Y3668" t="s">
        <v>1052</v>
      </c>
      <c r="Z3668" s="2" t="s">
        <v>22309</v>
      </c>
      <c r="AA3668" t="s">
        <v>820</v>
      </c>
      <c r="AB3668" t="s">
        <v>70</v>
      </c>
      <c r="AG3668" t="s">
        <v>22310</v>
      </c>
      <c r="AH3668" t="s">
        <v>4986</v>
      </c>
      <c r="AI3668" t="s">
        <v>22311</v>
      </c>
    </row>
    <row r="3669" spans="2:35" ht="285">
      <c r="B3669" s="1">
        <v>45486</v>
      </c>
      <c r="C3669" s="4">
        <v>45482.67291666667</v>
      </c>
      <c r="D3669" t="s">
        <v>4982</v>
      </c>
      <c r="E3669" t="s">
        <v>22307</v>
      </c>
      <c r="F3669">
        <v>5</v>
      </c>
      <c r="G3669" t="s">
        <v>759</v>
      </c>
      <c r="H3669" t="s">
        <v>39</v>
      </c>
      <c r="I3669" t="s">
        <v>40</v>
      </c>
      <c r="J3669" s="2" t="s">
        <v>41</v>
      </c>
      <c r="K3669" t="s">
        <v>42</v>
      </c>
      <c r="L3669" t="s">
        <v>761</v>
      </c>
      <c r="N3669" t="s">
        <v>762</v>
      </c>
      <c r="Q3669">
        <v>28876</v>
      </c>
      <c r="R3669" t="s">
        <v>45</v>
      </c>
      <c r="S3669" t="s">
        <v>4983</v>
      </c>
      <c r="T3669">
        <v>28</v>
      </c>
      <c r="U3669" s="2" t="s">
        <v>22312</v>
      </c>
      <c r="W3669" t="s">
        <v>765</v>
      </c>
      <c r="X3669">
        <v>808636</v>
      </c>
      <c r="Y3669" t="s">
        <v>22313</v>
      </c>
      <c r="Z3669" s="2" t="s">
        <v>22314</v>
      </c>
      <c r="AA3669" t="s">
        <v>22315</v>
      </c>
      <c r="AB3669" t="s">
        <v>181</v>
      </c>
      <c r="AG3669" t="s">
        <v>22316</v>
      </c>
      <c r="AH3669" t="s">
        <v>22317</v>
      </c>
      <c r="AI3669" t="s">
        <v>22318</v>
      </c>
    </row>
    <row r="3670" spans="2:35" ht="150">
      <c r="B3670" s="1">
        <v>45485</v>
      </c>
      <c r="C3670" s="4">
        <v>45485.521527777775</v>
      </c>
      <c r="D3670" t="s">
        <v>22319</v>
      </c>
      <c r="E3670" t="s">
        <v>22320</v>
      </c>
      <c r="F3670" t="s">
        <v>37</v>
      </c>
      <c r="G3670" t="s">
        <v>78</v>
      </c>
      <c r="H3670" t="s">
        <v>39</v>
      </c>
      <c r="I3670" t="s">
        <v>40</v>
      </c>
      <c r="J3670" t="s">
        <v>321</v>
      </c>
      <c r="K3670" t="s">
        <v>42</v>
      </c>
      <c r="L3670" t="s">
        <v>1943</v>
      </c>
      <c r="N3670" t="s">
        <v>1944</v>
      </c>
      <c r="Q3670">
        <v>28875</v>
      </c>
      <c r="R3670" t="s">
        <v>967</v>
      </c>
      <c r="S3670" t="s">
        <v>5107</v>
      </c>
      <c r="T3670">
        <v>25</v>
      </c>
      <c r="W3670" t="s">
        <v>373</v>
      </c>
      <c r="X3670">
        <v>110023497</v>
      </c>
      <c r="Y3670" t="s">
        <v>20924</v>
      </c>
      <c r="Z3670" t="s">
        <v>3764</v>
      </c>
      <c r="AA3670" s="2" t="s">
        <v>22321</v>
      </c>
      <c r="AB3670" t="s">
        <v>88</v>
      </c>
      <c r="AG3670" t="s">
        <v>22322</v>
      </c>
      <c r="AH3670" t="s">
        <v>22323</v>
      </c>
      <c r="AI3670" t="s">
        <v>22324</v>
      </c>
    </row>
    <row r="3671" spans="2:35" ht="409.5">
      <c r="B3671" s="1">
        <v>45485</v>
      </c>
      <c r="C3671" s="4">
        <v>45484.479861111111</v>
      </c>
      <c r="D3671" t="s">
        <v>22325</v>
      </c>
      <c r="E3671" t="s">
        <v>22326</v>
      </c>
      <c r="F3671" t="s">
        <v>37</v>
      </c>
      <c r="G3671" t="s">
        <v>78</v>
      </c>
      <c r="H3671" t="s">
        <v>39</v>
      </c>
      <c r="I3671" t="s">
        <v>40</v>
      </c>
      <c r="J3671" s="2" t="s">
        <v>41</v>
      </c>
      <c r="K3671" t="s">
        <v>42</v>
      </c>
      <c r="L3671" t="s">
        <v>1943</v>
      </c>
      <c r="N3671" t="s">
        <v>1944</v>
      </c>
      <c r="Q3671">
        <v>28874</v>
      </c>
      <c r="R3671" t="s">
        <v>119</v>
      </c>
      <c r="S3671" t="s">
        <v>22327</v>
      </c>
      <c r="T3671">
        <v>25</v>
      </c>
      <c r="U3671" s="2" t="s">
        <v>22328</v>
      </c>
      <c r="V3671" s="1">
        <v>45484</v>
      </c>
      <c r="W3671" t="s">
        <v>84</v>
      </c>
      <c r="X3671">
        <v>821224</v>
      </c>
      <c r="Y3671" s="2" t="s">
        <v>22329</v>
      </c>
      <c r="Z3671" t="s">
        <v>22330</v>
      </c>
      <c r="AA3671" s="2" t="s">
        <v>1948</v>
      </c>
      <c r="AB3671" t="s">
        <v>88</v>
      </c>
      <c r="AD3671" t="s">
        <v>22331</v>
      </c>
      <c r="AE3671" t="s">
        <v>11329</v>
      </c>
      <c r="AG3671" t="s">
        <v>22332</v>
      </c>
      <c r="AH3671" t="s">
        <v>22333</v>
      </c>
      <c r="AI3671" t="s">
        <v>22334</v>
      </c>
    </row>
    <row r="3672" spans="2:35" ht="255">
      <c r="B3672" s="1">
        <v>45485</v>
      </c>
      <c r="C3672" s="4">
        <v>45483.421527777777</v>
      </c>
      <c r="D3672" t="s">
        <v>22335</v>
      </c>
      <c r="E3672" t="s">
        <v>22336</v>
      </c>
      <c r="F3672" t="s">
        <v>148</v>
      </c>
      <c r="G3672" t="s">
        <v>20126</v>
      </c>
      <c r="H3672" t="s">
        <v>39</v>
      </c>
      <c r="I3672" t="s">
        <v>40</v>
      </c>
      <c r="J3672" t="s">
        <v>321</v>
      </c>
      <c r="K3672" t="s">
        <v>42</v>
      </c>
      <c r="L3672" t="s">
        <v>15532</v>
      </c>
      <c r="N3672" t="s">
        <v>15533</v>
      </c>
      <c r="Q3672">
        <v>28873</v>
      </c>
      <c r="R3672" t="s">
        <v>45</v>
      </c>
      <c r="S3672" t="s">
        <v>22337</v>
      </c>
      <c r="T3672">
        <v>25</v>
      </c>
      <c r="W3672" t="s">
        <v>20940</v>
      </c>
      <c r="X3672">
        <v>110020393</v>
      </c>
      <c r="Y3672" t="s">
        <v>22338</v>
      </c>
      <c r="Z3672" s="2" t="s">
        <v>22339</v>
      </c>
      <c r="AA3672" s="2" t="s">
        <v>22340</v>
      </c>
      <c r="AB3672" s="2" t="s">
        <v>17371</v>
      </c>
      <c r="AG3672" t="s">
        <v>22341</v>
      </c>
      <c r="AH3672" t="s">
        <v>22342</v>
      </c>
      <c r="AI3672" t="s">
        <v>22343</v>
      </c>
    </row>
    <row r="3673" spans="2:35" ht="225">
      <c r="B3673" s="1">
        <v>45484</v>
      </c>
      <c r="C3673" s="4">
        <v>45484.545138888891</v>
      </c>
      <c r="D3673" t="s">
        <v>3604</v>
      </c>
      <c r="E3673" t="s">
        <v>22344</v>
      </c>
      <c r="F3673" t="s">
        <v>148</v>
      </c>
      <c r="G3673" t="s">
        <v>2007</v>
      </c>
      <c r="H3673" t="s">
        <v>39</v>
      </c>
      <c r="I3673" t="s">
        <v>40</v>
      </c>
      <c r="J3673" t="s">
        <v>109</v>
      </c>
      <c r="K3673" t="s">
        <v>42</v>
      </c>
      <c r="L3673" t="s">
        <v>43</v>
      </c>
      <c r="N3673" t="s">
        <v>44</v>
      </c>
      <c r="Q3673">
        <v>28871</v>
      </c>
      <c r="R3673" t="s">
        <v>119</v>
      </c>
      <c r="S3673" t="s">
        <v>3606</v>
      </c>
      <c r="T3673">
        <v>22</v>
      </c>
      <c r="W3673" t="s">
        <v>48</v>
      </c>
      <c r="X3673">
        <v>831875</v>
      </c>
      <c r="Y3673" t="s">
        <v>121</v>
      </c>
      <c r="Z3673" t="s">
        <v>122</v>
      </c>
      <c r="AA3673" s="2" t="s">
        <v>10915</v>
      </c>
      <c r="AB3673" t="s">
        <v>548</v>
      </c>
      <c r="AC3673" t="s">
        <v>22345</v>
      </c>
      <c r="AG3673" t="s">
        <v>22346</v>
      </c>
      <c r="AH3673" t="s">
        <v>3613</v>
      </c>
      <c r="AI3673" t="s">
        <v>22347</v>
      </c>
    </row>
    <row r="3674" spans="2:35" ht="270">
      <c r="B3674" s="1">
        <v>45484</v>
      </c>
      <c r="C3674" s="4">
        <v>45484.543055555558</v>
      </c>
      <c r="D3674" t="s">
        <v>3604</v>
      </c>
      <c r="E3674" t="s">
        <v>22344</v>
      </c>
      <c r="F3674" t="s">
        <v>148</v>
      </c>
      <c r="G3674" t="s">
        <v>2007</v>
      </c>
      <c r="H3674" t="s">
        <v>39</v>
      </c>
      <c r="I3674" t="s">
        <v>40</v>
      </c>
      <c r="J3674" s="2" t="s">
        <v>41</v>
      </c>
      <c r="K3674" t="s">
        <v>42</v>
      </c>
      <c r="L3674" t="s">
        <v>43</v>
      </c>
      <c r="N3674" t="s">
        <v>44</v>
      </c>
      <c r="Q3674">
        <v>28872</v>
      </c>
      <c r="R3674" t="s">
        <v>45</v>
      </c>
      <c r="S3674" t="s">
        <v>3606</v>
      </c>
      <c r="T3674">
        <v>22</v>
      </c>
      <c r="U3674" s="2" t="s">
        <v>22348</v>
      </c>
      <c r="V3674" s="1">
        <v>45484</v>
      </c>
      <c r="W3674" t="s">
        <v>48</v>
      </c>
      <c r="X3674">
        <v>838875</v>
      </c>
      <c r="Y3674" t="s">
        <v>2165</v>
      </c>
      <c r="Z3674" t="s">
        <v>2166</v>
      </c>
      <c r="AA3674" s="2" t="s">
        <v>22349</v>
      </c>
      <c r="AB3674" t="s">
        <v>990</v>
      </c>
      <c r="AD3674" s="2" t="s">
        <v>22350</v>
      </c>
      <c r="AE3674" t="s">
        <v>54</v>
      </c>
      <c r="AG3674" t="s">
        <v>22351</v>
      </c>
      <c r="AH3674" t="s">
        <v>3613</v>
      </c>
      <c r="AI3674" t="s">
        <v>22352</v>
      </c>
    </row>
    <row r="3675" spans="2:35" ht="390">
      <c r="B3675" s="1">
        <v>45484</v>
      </c>
      <c r="C3675" s="4">
        <v>45484.49722222222</v>
      </c>
      <c r="D3675" t="s">
        <v>22353</v>
      </c>
      <c r="E3675" t="s">
        <v>22354</v>
      </c>
      <c r="F3675" t="s">
        <v>1255</v>
      </c>
      <c r="G3675" t="s">
        <v>1887</v>
      </c>
      <c r="H3675" t="s">
        <v>39</v>
      </c>
      <c r="I3675" t="s">
        <v>94</v>
      </c>
      <c r="J3675" s="2" t="s">
        <v>41</v>
      </c>
      <c r="K3675" t="s">
        <v>42</v>
      </c>
      <c r="L3675" t="s">
        <v>296</v>
      </c>
      <c r="N3675" t="s">
        <v>297</v>
      </c>
      <c r="Q3675">
        <v>28870</v>
      </c>
      <c r="R3675" t="s">
        <v>45</v>
      </c>
      <c r="S3675" t="s">
        <v>22355</v>
      </c>
      <c r="T3675">
        <v>29.8</v>
      </c>
      <c r="U3675" s="2" t="s">
        <v>22356</v>
      </c>
      <c r="V3675" s="1">
        <v>45484</v>
      </c>
      <c r="W3675" t="s">
        <v>22357</v>
      </c>
      <c r="X3675">
        <v>815490</v>
      </c>
      <c r="Y3675" t="s">
        <v>16363</v>
      </c>
      <c r="Z3675" s="2" t="s">
        <v>22358</v>
      </c>
      <c r="AA3675" s="2" t="s">
        <v>22231</v>
      </c>
      <c r="AB3675" t="s">
        <v>972</v>
      </c>
      <c r="AD3675" t="s">
        <v>22359</v>
      </c>
      <c r="AE3675" t="s">
        <v>22360</v>
      </c>
      <c r="AG3675" t="s">
        <v>22361</v>
      </c>
      <c r="AH3675" t="s">
        <v>22362</v>
      </c>
      <c r="AI3675" t="s">
        <v>22363</v>
      </c>
    </row>
    <row r="3676" spans="2:35" ht="409.5">
      <c r="B3676" s="1">
        <v>45484</v>
      </c>
      <c r="C3676" s="4">
        <v>45484.479861111111</v>
      </c>
      <c r="D3676" t="s">
        <v>2489</v>
      </c>
      <c r="E3676" t="s">
        <v>2490</v>
      </c>
      <c r="F3676">
        <v>8</v>
      </c>
      <c r="G3676" t="s">
        <v>342</v>
      </c>
      <c r="H3676" t="s">
        <v>39</v>
      </c>
      <c r="I3676" t="s">
        <v>94</v>
      </c>
      <c r="J3676" s="2" t="s">
        <v>1899</v>
      </c>
      <c r="K3676" t="s">
        <v>42</v>
      </c>
      <c r="L3676" t="s">
        <v>343</v>
      </c>
      <c r="N3676" t="s">
        <v>344</v>
      </c>
      <c r="Q3676">
        <v>28869</v>
      </c>
      <c r="R3676" t="s">
        <v>45</v>
      </c>
      <c r="S3676" t="s">
        <v>2492</v>
      </c>
      <c r="T3676">
        <v>27</v>
      </c>
      <c r="U3676" s="2" t="s">
        <v>22364</v>
      </c>
      <c r="W3676" t="s">
        <v>1501</v>
      </c>
      <c r="X3676">
        <v>838143</v>
      </c>
      <c r="Y3676" t="s">
        <v>22365</v>
      </c>
      <c r="Z3676" s="2" t="s">
        <v>22366</v>
      </c>
      <c r="AA3676" s="2" t="s">
        <v>22367</v>
      </c>
      <c r="AB3676" t="s">
        <v>22368</v>
      </c>
      <c r="AC3676" t="s">
        <v>22369</v>
      </c>
      <c r="AG3676" t="s">
        <v>22370</v>
      </c>
      <c r="AH3676" t="s">
        <v>2495</v>
      </c>
      <c r="AI3676" t="s">
        <v>22371</v>
      </c>
    </row>
    <row r="3677" spans="2:35" ht="409.5">
      <c r="B3677" s="1">
        <v>45484</v>
      </c>
      <c r="C3677" s="4">
        <v>45483.645833333336</v>
      </c>
      <c r="D3677" t="s">
        <v>1081</v>
      </c>
      <c r="E3677" t="s">
        <v>20041</v>
      </c>
      <c r="F3677" t="s">
        <v>148</v>
      </c>
      <c r="G3677" t="s">
        <v>785</v>
      </c>
      <c r="H3677" t="s">
        <v>39</v>
      </c>
      <c r="I3677" t="s">
        <v>40</v>
      </c>
      <c r="J3677" t="s">
        <v>109</v>
      </c>
      <c r="K3677" t="s">
        <v>42</v>
      </c>
      <c r="L3677" t="s">
        <v>43</v>
      </c>
      <c r="N3677" t="s">
        <v>44</v>
      </c>
      <c r="Q3677">
        <v>28868</v>
      </c>
      <c r="R3677" t="s">
        <v>95</v>
      </c>
      <c r="S3677" t="s">
        <v>2016</v>
      </c>
      <c r="T3677">
        <v>22</v>
      </c>
      <c r="U3677" s="2" t="s">
        <v>22372</v>
      </c>
      <c r="W3677" t="s">
        <v>5136</v>
      </c>
      <c r="X3677">
        <v>110015766</v>
      </c>
      <c r="Y3677" t="s">
        <v>121</v>
      </c>
      <c r="Z3677" t="s">
        <v>5995</v>
      </c>
      <c r="AA3677" s="2" t="s">
        <v>10915</v>
      </c>
      <c r="AB3677" t="s">
        <v>88</v>
      </c>
      <c r="AG3677" t="s">
        <v>22373</v>
      </c>
      <c r="AH3677" t="s">
        <v>9532</v>
      </c>
      <c r="AI3677" t="s">
        <v>22374</v>
      </c>
    </row>
    <row r="3678" spans="2:35" ht="270">
      <c r="B3678" s="1">
        <v>45484</v>
      </c>
      <c r="C3678" s="4">
        <v>45483.448611111111</v>
      </c>
      <c r="D3678" t="s">
        <v>1699</v>
      </c>
      <c r="E3678" t="s">
        <v>22375</v>
      </c>
      <c r="F3678" t="s">
        <v>37</v>
      </c>
      <c r="G3678" t="s">
        <v>38</v>
      </c>
      <c r="H3678" t="s">
        <v>39</v>
      </c>
      <c r="I3678" t="s">
        <v>40</v>
      </c>
      <c r="J3678" s="2" t="s">
        <v>41</v>
      </c>
      <c r="K3678" t="s">
        <v>42</v>
      </c>
      <c r="L3678" t="s">
        <v>43</v>
      </c>
      <c r="N3678" t="s">
        <v>44</v>
      </c>
      <c r="Q3678">
        <v>28867</v>
      </c>
      <c r="R3678" t="s">
        <v>45</v>
      </c>
      <c r="S3678" t="s">
        <v>1701</v>
      </c>
      <c r="T3678">
        <v>24</v>
      </c>
      <c r="U3678" s="2" t="s">
        <v>22376</v>
      </c>
      <c r="V3678" s="1">
        <v>45483</v>
      </c>
      <c r="W3678" t="s">
        <v>48</v>
      </c>
      <c r="X3678">
        <v>838136</v>
      </c>
      <c r="Y3678" t="s">
        <v>424</v>
      </c>
      <c r="Z3678" t="s">
        <v>425</v>
      </c>
      <c r="AA3678" s="2" t="s">
        <v>22377</v>
      </c>
      <c r="AB3678" t="s">
        <v>548</v>
      </c>
      <c r="AD3678" s="2" t="s">
        <v>22378</v>
      </c>
      <c r="AE3678" t="s">
        <v>54</v>
      </c>
      <c r="AG3678" t="s">
        <v>22379</v>
      </c>
      <c r="AH3678" t="s">
        <v>22380</v>
      </c>
      <c r="AI3678" t="s">
        <v>22381</v>
      </c>
    </row>
    <row r="3679" spans="2:35" ht="225">
      <c r="B3679" s="1">
        <v>45484</v>
      </c>
      <c r="C3679" s="4">
        <v>45483.595138888886</v>
      </c>
      <c r="D3679" t="s">
        <v>1081</v>
      </c>
      <c r="E3679" t="s">
        <v>20041</v>
      </c>
      <c r="F3679" t="s">
        <v>148</v>
      </c>
      <c r="G3679" t="s">
        <v>785</v>
      </c>
      <c r="H3679" t="s">
        <v>1083</v>
      </c>
      <c r="I3679" t="s">
        <v>40</v>
      </c>
      <c r="J3679" t="s">
        <v>109</v>
      </c>
      <c r="K3679" t="s">
        <v>387</v>
      </c>
      <c r="L3679" t="s">
        <v>43</v>
      </c>
      <c r="N3679" t="s">
        <v>44</v>
      </c>
      <c r="Q3679">
        <v>28866</v>
      </c>
      <c r="R3679" t="s">
        <v>95</v>
      </c>
      <c r="S3679" t="s">
        <v>1084</v>
      </c>
      <c r="T3679">
        <v>24</v>
      </c>
      <c r="W3679" t="s">
        <v>390</v>
      </c>
      <c r="X3679" t="s">
        <v>5969</v>
      </c>
      <c r="Y3679" t="s">
        <v>121</v>
      </c>
      <c r="Z3679" t="s">
        <v>122</v>
      </c>
      <c r="AA3679" s="2" t="s">
        <v>22382</v>
      </c>
      <c r="AB3679" t="s">
        <v>88</v>
      </c>
      <c r="AG3679" t="s">
        <v>22383</v>
      </c>
      <c r="AH3679" t="s">
        <v>22384</v>
      </c>
      <c r="AI3679" t="s">
        <v>22385</v>
      </c>
    </row>
    <row r="3680" spans="2:35" ht="225">
      <c r="B3680" s="1">
        <v>45484</v>
      </c>
      <c r="C3680" s="4">
        <v>45483.567361111112</v>
      </c>
      <c r="D3680" t="s">
        <v>1081</v>
      </c>
      <c r="E3680" t="s">
        <v>20041</v>
      </c>
      <c r="F3680" t="s">
        <v>148</v>
      </c>
      <c r="G3680" t="s">
        <v>785</v>
      </c>
      <c r="H3680" t="s">
        <v>386</v>
      </c>
      <c r="I3680" t="s">
        <v>40</v>
      </c>
      <c r="J3680" t="s">
        <v>109</v>
      </c>
      <c r="K3680" t="s">
        <v>387</v>
      </c>
      <c r="L3680" t="s">
        <v>43</v>
      </c>
      <c r="N3680" t="s">
        <v>44</v>
      </c>
      <c r="Q3680">
        <v>28865</v>
      </c>
      <c r="R3680" t="s">
        <v>95</v>
      </c>
      <c r="S3680" t="s">
        <v>2074</v>
      </c>
      <c r="T3680">
        <v>20</v>
      </c>
      <c r="W3680" t="s">
        <v>390</v>
      </c>
      <c r="X3680" t="s">
        <v>2075</v>
      </c>
      <c r="Y3680" t="s">
        <v>121</v>
      </c>
      <c r="Z3680" t="s">
        <v>122</v>
      </c>
      <c r="AA3680" s="2" t="s">
        <v>22382</v>
      </c>
      <c r="AB3680" t="s">
        <v>88</v>
      </c>
      <c r="AG3680" t="s">
        <v>22386</v>
      </c>
      <c r="AH3680" t="s">
        <v>22387</v>
      </c>
      <c r="AI3680" t="s">
        <v>22388</v>
      </c>
    </row>
    <row r="3681" spans="2:35" ht="210">
      <c r="B3681" s="1">
        <v>45484</v>
      </c>
      <c r="C3681" s="4">
        <v>45482.427083333336</v>
      </c>
      <c r="D3681" t="s">
        <v>22389</v>
      </c>
      <c r="E3681" t="s">
        <v>22390</v>
      </c>
      <c r="F3681" t="s">
        <v>148</v>
      </c>
      <c r="G3681" t="s">
        <v>406</v>
      </c>
      <c r="H3681" t="s">
        <v>39</v>
      </c>
      <c r="I3681" t="s">
        <v>40</v>
      </c>
      <c r="J3681" s="2" t="s">
        <v>41</v>
      </c>
      <c r="K3681" t="s">
        <v>42</v>
      </c>
      <c r="L3681" t="s">
        <v>43</v>
      </c>
      <c r="N3681" t="s">
        <v>44</v>
      </c>
      <c r="Q3681">
        <v>28864</v>
      </c>
      <c r="R3681" t="s">
        <v>45</v>
      </c>
      <c r="S3681" t="s">
        <v>22391</v>
      </c>
      <c r="T3681">
        <v>22</v>
      </c>
      <c r="U3681" s="2" t="s">
        <v>22392</v>
      </c>
      <c r="V3681" s="1">
        <v>45482</v>
      </c>
      <c r="W3681" t="s">
        <v>48</v>
      </c>
      <c r="X3681">
        <v>838858</v>
      </c>
      <c r="Y3681" t="s">
        <v>22393</v>
      </c>
      <c r="Z3681" t="s">
        <v>22394</v>
      </c>
      <c r="AA3681" s="2" t="s">
        <v>22395</v>
      </c>
      <c r="AB3681" t="s">
        <v>548</v>
      </c>
      <c r="AD3681" s="2" t="s">
        <v>22396</v>
      </c>
      <c r="AE3681" t="s">
        <v>54</v>
      </c>
      <c r="AG3681" t="s">
        <v>22397</v>
      </c>
      <c r="AH3681" t="s">
        <v>22398</v>
      </c>
      <c r="AI3681" t="s">
        <v>22399</v>
      </c>
    </row>
    <row r="3682" spans="2:35" ht="105">
      <c r="B3682" s="1">
        <v>45484</v>
      </c>
      <c r="C3682" s="4">
        <v>45484.454861111109</v>
      </c>
      <c r="D3682" t="s">
        <v>9762</v>
      </c>
      <c r="E3682" t="s">
        <v>22400</v>
      </c>
      <c r="F3682">
        <v>8</v>
      </c>
      <c r="G3682" t="s">
        <v>2945</v>
      </c>
      <c r="H3682" t="s">
        <v>39</v>
      </c>
      <c r="I3682" t="s">
        <v>40</v>
      </c>
      <c r="J3682" t="s">
        <v>109</v>
      </c>
      <c r="K3682" t="s">
        <v>42</v>
      </c>
      <c r="L3682" t="s">
        <v>259</v>
      </c>
      <c r="N3682" t="s">
        <v>260</v>
      </c>
      <c r="Q3682">
        <v>28863</v>
      </c>
      <c r="R3682" t="s">
        <v>119</v>
      </c>
      <c r="S3682" t="s">
        <v>22401</v>
      </c>
      <c r="T3682">
        <v>28</v>
      </c>
      <c r="U3682" s="2" t="s">
        <v>8634</v>
      </c>
      <c r="V3682" s="1">
        <v>45484</v>
      </c>
      <c r="W3682" t="s">
        <v>84</v>
      </c>
      <c r="X3682">
        <v>838548</v>
      </c>
      <c r="Y3682" t="s">
        <v>263</v>
      </c>
      <c r="Z3682" t="s">
        <v>263</v>
      </c>
      <c r="AA3682" t="e">
        <f ca="1">- Preventive Maintenance (cleaned plunger rod, cartridge bay, icore _xludf.and FAN _xludf.filter)
- performed functionality test</f>
        <v>#NAME?</v>
      </c>
      <c r="AB3682" t="s">
        <v>181</v>
      </c>
      <c r="AG3682" t="s">
        <v>22402</v>
      </c>
      <c r="AH3682" t="s">
        <v>22403</v>
      </c>
      <c r="AI3682" t="s">
        <v>22404</v>
      </c>
    </row>
    <row r="3683" spans="2:35" ht="409.5">
      <c r="B3683" s="1">
        <v>45484</v>
      </c>
      <c r="C3683" s="4">
        <v>45484.384027777778</v>
      </c>
      <c r="D3683" t="s">
        <v>22405</v>
      </c>
      <c r="E3683" t="s">
        <v>12017</v>
      </c>
      <c r="F3683">
        <v>7</v>
      </c>
      <c r="G3683" t="s">
        <v>432</v>
      </c>
      <c r="H3683" t="s">
        <v>10969</v>
      </c>
      <c r="I3683" t="s">
        <v>40</v>
      </c>
      <c r="J3683" t="s">
        <v>109</v>
      </c>
      <c r="K3683" t="s">
        <v>42</v>
      </c>
      <c r="L3683" t="s">
        <v>1288</v>
      </c>
      <c r="N3683" t="s">
        <v>1289</v>
      </c>
      <c r="Q3683">
        <v>28862</v>
      </c>
      <c r="R3683" t="s">
        <v>95</v>
      </c>
      <c r="S3683" t="s">
        <v>11987</v>
      </c>
      <c r="T3683">
        <v>22</v>
      </c>
      <c r="U3683" s="2" t="s">
        <v>22406</v>
      </c>
      <c r="W3683" t="s">
        <v>1292</v>
      </c>
      <c r="X3683">
        <v>110008524</v>
      </c>
      <c r="Y3683" t="e">
        <f ca="1">-Monthly Preventive Maintenance</f>
        <v>#NAME?</v>
      </c>
      <c r="Z3683" t="e">
        <f ca="1">-COLLECT IQR, system _xludf.Log, _xludf.and ARCHIVE</f>
        <v>#NAME?</v>
      </c>
      <c r="AA3683" t="e">
        <f ca="1">-PERFORM Cleaning of GeneXpert workstation
-PERFORM Preventive Maintenance PROCEDURE</f>
        <v>#NAME?</v>
      </c>
      <c r="AB3683" t="s">
        <v>1293</v>
      </c>
      <c r="AG3683" t="s">
        <v>22407</v>
      </c>
      <c r="AH3683" t="s">
        <v>21336</v>
      </c>
      <c r="AI3683" t="s">
        <v>22408</v>
      </c>
    </row>
    <row r="3684" spans="2:35" ht="409.5">
      <c r="B3684" s="1">
        <v>45483</v>
      </c>
      <c r="C3684" s="4">
        <v>45483.534722222219</v>
      </c>
      <c r="D3684" t="s">
        <v>22409</v>
      </c>
      <c r="E3684" t="s">
        <v>22410</v>
      </c>
      <c r="F3684">
        <v>11</v>
      </c>
      <c r="G3684" t="s">
        <v>1205</v>
      </c>
      <c r="H3684" t="s">
        <v>202</v>
      </c>
      <c r="I3684" t="s">
        <v>94</v>
      </c>
      <c r="J3684" t="s">
        <v>79</v>
      </c>
      <c r="K3684" t="s">
        <v>42</v>
      </c>
      <c r="L3684" t="s">
        <v>204</v>
      </c>
      <c r="N3684" t="s">
        <v>205</v>
      </c>
      <c r="Q3684">
        <v>28861</v>
      </c>
      <c r="R3684" t="s">
        <v>719</v>
      </c>
      <c r="S3684" t="s">
        <v>22411</v>
      </c>
      <c r="T3684">
        <v>23.8</v>
      </c>
      <c r="U3684" s="2" t="s">
        <v>22412</v>
      </c>
      <c r="W3684" t="s">
        <v>208</v>
      </c>
      <c r="X3684">
        <v>804835</v>
      </c>
      <c r="Y3684" t="s">
        <v>22413</v>
      </c>
      <c r="Z3684" s="2" t="s">
        <v>22414</v>
      </c>
      <c r="AA3684" t="s">
        <v>12182</v>
      </c>
      <c r="AB3684" t="s">
        <v>1211</v>
      </c>
      <c r="AG3684" t="s">
        <v>22415</v>
      </c>
      <c r="AH3684" t="s">
        <v>22416</v>
      </c>
      <c r="AI3684" t="s">
        <v>22417</v>
      </c>
    </row>
    <row r="3685" spans="2:35" ht="105">
      <c r="B3685" s="1">
        <v>45483</v>
      </c>
      <c r="C3685" s="4">
        <v>45483.494444444441</v>
      </c>
      <c r="D3685" t="s">
        <v>3016</v>
      </c>
      <c r="E3685" t="s">
        <v>22418</v>
      </c>
      <c r="F3685">
        <v>1</v>
      </c>
      <c r="G3685" t="s">
        <v>1046</v>
      </c>
      <c r="H3685" t="s">
        <v>1047</v>
      </c>
      <c r="I3685" t="s">
        <v>40</v>
      </c>
      <c r="J3685" s="2" t="s">
        <v>22419</v>
      </c>
      <c r="K3685" t="s">
        <v>42</v>
      </c>
      <c r="L3685" t="s">
        <v>1048</v>
      </c>
      <c r="N3685" t="s">
        <v>1049</v>
      </c>
      <c r="Q3685">
        <v>28860</v>
      </c>
      <c r="R3685" t="s">
        <v>45</v>
      </c>
      <c r="S3685" t="s">
        <v>3017</v>
      </c>
      <c r="T3685">
        <v>29</v>
      </c>
      <c r="U3685" s="2" t="s">
        <v>22420</v>
      </c>
      <c r="V3685" s="1">
        <v>45483</v>
      </c>
      <c r="W3685" t="s">
        <v>1051</v>
      </c>
      <c r="X3685">
        <v>807598</v>
      </c>
      <c r="Y3685" t="s">
        <v>3725</v>
      </c>
      <c r="Z3685" t="e">
        <f ca="1">- installed GeneXpert system
- Setup user Accounts _xludf.and Necessary Assays
- generated reports</f>
        <v>#NAME?</v>
      </c>
      <c r="AA3685" t="s">
        <v>3726</v>
      </c>
      <c r="AB3685" t="s">
        <v>1428</v>
      </c>
      <c r="AC3685" t="s">
        <v>22421</v>
      </c>
      <c r="AD3685" t="s">
        <v>3727</v>
      </c>
      <c r="AE3685" t="s">
        <v>103</v>
      </c>
      <c r="AG3685" t="s">
        <v>22422</v>
      </c>
      <c r="AH3685" t="s">
        <v>22423</v>
      </c>
      <c r="AI3685" t="s">
        <v>22424</v>
      </c>
    </row>
    <row r="3686" spans="2:35" ht="255">
      <c r="B3686" s="1">
        <v>45483</v>
      </c>
      <c r="C3686" s="4">
        <v>45483.397916666669</v>
      </c>
      <c r="D3686" t="s">
        <v>10647</v>
      </c>
      <c r="E3686" t="s">
        <v>10648</v>
      </c>
      <c r="F3686">
        <v>12</v>
      </c>
      <c r="G3686" t="s">
        <v>2137</v>
      </c>
      <c r="H3686" t="s">
        <v>39</v>
      </c>
      <c r="I3686" t="s">
        <v>40</v>
      </c>
      <c r="J3686" t="s">
        <v>321</v>
      </c>
      <c r="K3686" t="s">
        <v>42</v>
      </c>
      <c r="L3686" t="s">
        <v>296</v>
      </c>
      <c r="N3686" t="s">
        <v>297</v>
      </c>
      <c r="Q3686">
        <v>28859</v>
      </c>
      <c r="R3686" t="s">
        <v>322</v>
      </c>
      <c r="S3686" t="s">
        <v>22425</v>
      </c>
      <c r="T3686">
        <v>25.8</v>
      </c>
      <c r="W3686" t="s">
        <v>22426</v>
      </c>
      <c r="X3686">
        <v>110024249</v>
      </c>
      <c r="Y3686" t="s">
        <v>54</v>
      </c>
      <c r="Z3686" s="2" t="s">
        <v>22427</v>
      </c>
      <c r="AA3686" t="s">
        <v>10619</v>
      </c>
      <c r="AB3686" t="s">
        <v>22428</v>
      </c>
      <c r="AG3686" t="s">
        <v>22429</v>
      </c>
      <c r="AH3686" t="s">
        <v>10654</v>
      </c>
      <c r="AI3686" t="s">
        <v>22430</v>
      </c>
    </row>
    <row r="3687" spans="2:35" ht="409.5">
      <c r="B3687" s="1">
        <v>45483</v>
      </c>
      <c r="C3687" s="4">
        <v>45483.370138888888</v>
      </c>
      <c r="D3687" t="s">
        <v>22431</v>
      </c>
      <c r="E3687" t="s">
        <v>22432</v>
      </c>
      <c r="F3687">
        <v>3</v>
      </c>
      <c r="G3687" t="s">
        <v>730</v>
      </c>
      <c r="H3687" t="s">
        <v>39</v>
      </c>
      <c r="I3687" t="s">
        <v>40</v>
      </c>
      <c r="J3687" s="2" t="s">
        <v>41</v>
      </c>
      <c r="K3687" t="s">
        <v>42</v>
      </c>
      <c r="L3687" t="s">
        <v>135</v>
      </c>
      <c r="N3687" t="s">
        <v>136</v>
      </c>
      <c r="Q3687">
        <v>28858</v>
      </c>
      <c r="R3687" t="s">
        <v>119</v>
      </c>
      <c r="S3687" t="s">
        <v>22433</v>
      </c>
      <c r="T3687">
        <v>28</v>
      </c>
      <c r="U3687" s="2" t="s">
        <v>14116</v>
      </c>
      <c r="V3687" s="1">
        <v>45477</v>
      </c>
      <c r="W3687" t="s">
        <v>2680</v>
      </c>
      <c r="X3687">
        <v>831917</v>
      </c>
      <c r="Y3687" t="s">
        <v>15866</v>
      </c>
      <c r="Z3687" s="2" t="s">
        <v>22434</v>
      </c>
      <c r="AA3687" s="2" t="s">
        <v>22435</v>
      </c>
      <c r="AB3687" t="s">
        <v>181</v>
      </c>
      <c r="AE3687">
        <v>49051</v>
      </c>
      <c r="AG3687" t="s">
        <v>22436</v>
      </c>
      <c r="AH3687" t="s">
        <v>22437</v>
      </c>
      <c r="AI3687" t="s">
        <v>22438</v>
      </c>
    </row>
    <row r="3688" spans="2:35" ht="105">
      <c r="B3688" s="1">
        <v>45482</v>
      </c>
      <c r="C3688" s="4">
        <v>45482.624305555553</v>
      </c>
      <c r="D3688" t="s">
        <v>3154</v>
      </c>
      <c r="E3688" t="s">
        <v>22439</v>
      </c>
      <c r="F3688">
        <v>9</v>
      </c>
      <c r="G3688" t="s">
        <v>2197</v>
      </c>
      <c r="H3688" t="s">
        <v>39</v>
      </c>
      <c r="I3688" t="s">
        <v>94</v>
      </c>
      <c r="J3688" s="2" t="s">
        <v>17375</v>
      </c>
      <c r="K3688" t="s">
        <v>42</v>
      </c>
      <c r="L3688" t="s">
        <v>1257</v>
      </c>
      <c r="N3688" t="s">
        <v>1258</v>
      </c>
      <c r="O3688" t="s">
        <v>2199</v>
      </c>
      <c r="Q3688">
        <v>28857</v>
      </c>
      <c r="R3688" t="s">
        <v>45</v>
      </c>
      <c r="S3688" t="s">
        <v>3156</v>
      </c>
      <c r="T3688">
        <v>23</v>
      </c>
      <c r="U3688" s="2" t="s">
        <v>22440</v>
      </c>
      <c r="V3688" s="1">
        <v>45482</v>
      </c>
      <c r="W3688" t="s">
        <v>2384</v>
      </c>
      <c r="X3688">
        <v>818902</v>
      </c>
      <c r="Y3688" t="s">
        <v>22441</v>
      </c>
      <c r="Z3688" t="s">
        <v>22442</v>
      </c>
      <c r="AA3688" t="s">
        <v>22443</v>
      </c>
      <c r="AB3688" t="s">
        <v>22444</v>
      </c>
      <c r="AC3688" t="s">
        <v>22445</v>
      </c>
      <c r="AD3688" t="s">
        <v>54</v>
      </c>
      <c r="AE3688" t="s">
        <v>54</v>
      </c>
      <c r="AG3688" t="s">
        <v>22446</v>
      </c>
      <c r="AH3688" t="s">
        <v>3163</v>
      </c>
      <c r="AI3688" t="s">
        <v>22447</v>
      </c>
    </row>
    <row r="3689" spans="2:35" ht="165">
      <c r="B3689" s="1">
        <v>45482</v>
      </c>
      <c r="C3689" s="4">
        <v>45482.624305555553</v>
      </c>
      <c r="D3689" t="s">
        <v>22448</v>
      </c>
      <c r="E3689" t="s">
        <v>22449</v>
      </c>
      <c r="F3689">
        <v>3</v>
      </c>
      <c r="G3689" t="s">
        <v>1722</v>
      </c>
      <c r="H3689" t="s">
        <v>39</v>
      </c>
      <c r="I3689" t="s">
        <v>40</v>
      </c>
      <c r="J3689" s="2" t="s">
        <v>190</v>
      </c>
      <c r="K3689" t="s">
        <v>42</v>
      </c>
      <c r="L3689" t="s">
        <v>63</v>
      </c>
      <c r="N3689" t="s">
        <v>64</v>
      </c>
      <c r="Q3689">
        <v>28856</v>
      </c>
      <c r="R3689" t="s">
        <v>119</v>
      </c>
      <c r="S3689" t="s">
        <v>22450</v>
      </c>
      <c r="T3689">
        <v>24</v>
      </c>
      <c r="W3689" t="s">
        <v>66</v>
      </c>
      <c r="X3689">
        <v>831695</v>
      </c>
      <c r="Y3689" t="s">
        <v>22451</v>
      </c>
      <c r="Z3689" t="s">
        <v>2322</v>
      </c>
      <c r="AA3689" s="2" t="s">
        <v>1727</v>
      </c>
      <c r="AB3689" t="s">
        <v>70</v>
      </c>
      <c r="AG3689" t="s">
        <v>22452</v>
      </c>
      <c r="AH3689" t="s">
        <v>22453</v>
      </c>
      <c r="AI3689" t="s">
        <v>22454</v>
      </c>
    </row>
    <row r="3690" spans="2:35" ht="75">
      <c r="B3690" s="1">
        <v>45482</v>
      </c>
      <c r="C3690" s="4">
        <v>45482.563888888886</v>
      </c>
      <c r="D3690" t="s">
        <v>22455</v>
      </c>
      <c r="E3690" t="s">
        <v>22456</v>
      </c>
      <c r="F3690">
        <v>3</v>
      </c>
      <c r="G3690" t="s">
        <v>174</v>
      </c>
      <c r="H3690" t="s">
        <v>39</v>
      </c>
      <c r="I3690" t="s">
        <v>40</v>
      </c>
      <c r="J3690" t="s">
        <v>79</v>
      </c>
      <c r="K3690" t="s">
        <v>42</v>
      </c>
      <c r="L3690" t="s">
        <v>175</v>
      </c>
      <c r="N3690" t="s">
        <v>176</v>
      </c>
      <c r="Q3690">
        <v>28855</v>
      </c>
      <c r="R3690" t="s">
        <v>45</v>
      </c>
      <c r="S3690" t="s">
        <v>22457</v>
      </c>
      <c r="T3690">
        <v>27</v>
      </c>
      <c r="V3690" s="1">
        <v>45482</v>
      </c>
      <c r="W3690" t="s">
        <v>84</v>
      </c>
      <c r="X3690">
        <v>807604</v>
      </c>
      <c r="Y3690" t="s">
        <v>49</v>
      </c>
      <c r="Z3690" t="s">
        <v>22458</v>
      </c>
      <c r="AA3690" t="e">
        <f ca="1">- replaced A4
- checked _xludf.and cleaned cartridge bay, plunger rod, _xludf.filter
- generated reports
- performed self test</f>
        <v>#NAME?</v>
      </c>
      <c r="AB3690" t="s">
        <v>181</v>
      </c>
      <c r="AD3690" s="2" t="s">
        <v>22459</v>
      </c>
      <c r="AE3690" t="s">
        <v>103</v>
      </c>
      <c r="AG3690" t="s">
        <v>22460</v>
      </c>
      <c r="AH3690" t="s">
        <v>22461</v>
      </c>
      <c r="AI3690" t="s">
        <v>22462</v>
      </c>
    </row>
    <row r="3691" spans="2:35" ht="409.5">
      <c r="B3691" s="1">
        <v>45482</v>
      </c>
      <c r="C3691" s="4">
        <v>45482.512499999997</v>
      </c>
      <c r="D3691" t="s">
        <v>22463</v>
      </c>
      <c r="E3691" t="s">
        <v>22464</v>
      </c>
      <c r="F3691" t="s">
        <v>148</v>
      </c>
      <c r="G3691" t="s">
        <v>310</v>
      </c>
      <c r="H3691" t="s">
        <v>39</v>
      </c>
      <c r="I3691" t="s">
        <v>40</v>
      </c>
      <c r="J3691" s="2" t="s">
        <v>41</v>
      </c>
      <c r="K3691" t="s">
        <v>42</v>
      </c>
      <c r="L3691" t="s">
        <v>1943</v>
      </c>
      <c r="N3691" t="s">
        <v>1944</v>
      </c>
      <c r="Q3691">
        <v>28854</v>
      </c>
      <c r="R3691" t="s">
        <v>45</v>
      </c>
      <c r="S3691" t="s">
        <v>22465</v>
      </c>
      <c r="T3691">
        <v>25</v>
      </c>
      <c r="V3691" s="1">
        <v>45476</v>
      </c>
      <c r="W3691" t="s">
        <v>84</v>
      </c>
      <c r="X3691">
        <v>808619</v>
      </c>
      <c r="Y3691" s="2" t="s">
        <v>22466</v>
      </c>
      <c r="Z3691" t="s">
        <v>22330</v>
      </c>
      <c r="AA3691" s="2" t="s">
        <v>1948</v>
      </c>
      <c r="AB3691" t="s">
        <v>88</v>
      </c>
      <c r="AD3691" t="s">
        <v>22467</v>
      </c>
      <c r="AE3691" t="s">
        <v>11329</v>
      </c>
      <c r="AG3691" t="s">
        <v>22468</v>
      </c>
      <c r="AH3691" t="s">
        <v>22469</v>
      </c>
      <c r="AI3691" t="s">
        <v>22470</v>
      </c>
    </row>
    <row r="3692" spans="2:35" ht="409.5">
      <c r="B3692" s="1">
        <v>45482</v>
      </c>
      <c r="C3692" s="4">
        <v>45482.513888888891</v>
      </c>
      <c r="D3692" t="s">
        <v>22463</v>
      </c>
      <c r="E3692" t="s">
        <v>22464</v>
      </c>
      <c r="F3692" t="s">
        <v>148</v>
      </c>
      <c r="G3692" t="s">
        <v>310</v>
      </c>
      <c r="H3692" t="s">
        <v>39</v>
      </c>
      <c r="I3692" t="s">
        <v>40</v>
      </c>
      <c r="J3692" s="2" t="s">
        <v>41</v>
      </c>
      <c r="K3692" t="s">
        <v>42</v>
      </c>
      <c r="L3692" t="s">
        <v>1943</v>
      </c>
      <c r="N3692" t="s">
        <v>1944</v>
      </c>
      <c r="Q3692">
        <v>28853</v>
      </c>
      <c r="R3692" t="s">
        <v>45</v>
      </c>
      <c r="S3692" t="s">
        <v>22465</v>
      </c>
      <c r="T3692">
        <v>25</v>
      </c>
      <c r="V3692" s="1">
        <v>45476</v>
      </c>
      <c r="W3692" t="s">
        <v>84</v>
      </c>
      <c r="X3692">
        <v>814376</v>
      </c>
      <c r="Y3692" s="2" t="s">
        <v>22471</v>
      </c>
      <c r="Z3692" t="s">
        <v>22330</v>
      </c>
      <c r="AA3692" s="2" t="s">
        <v>1948</v>
      </c>
      <c r="AB3692" t="s">
        <v>88</v>
      </c>
      <c r="AD3692" t="s">
        <v>22472</v>
      </c>
      <c r="AE3692" t="s">
        <v>11329</v>
      </c>
      <c r="AG3692" t="s">
        <v>22473</v>
      </c>
      <c r="AH3692" t="s">
        <v>22469</v>
      </c>
      <c r="AI3692" t="s">
        <v>22474</v>
      </c>
    </row>
    <row r="3693" spans="2:35" ht="409.5">
      <c r="B3693" s="1">
        <v>45482</v>
      </c>
      <c r="C3693" s="4">
        <v>45477.43472222222</v>
      </c>
      <c r="D3693" t="s">
        <v>5707</v>
      </c>
      <c r="E3693" t="s">
        <v>22475</v>
      </c>
      <c r="F3693">
        <v>1</v>
      </c>
      <c r="G3693" t="s">
        <v>1922</v>
      </c>
      <c r="H3693" t="s">
        <v>39</v>
      </c>
      <c r="I3693" t="s">
        <v>40</v>
      </c>
      <c r="J3693" s="2" t="s">
        <v>62</v>
      </c>
      <c r="K3693" t="s">
        <v>42</v>
      </c>
      <c r="L3693" t="s">
        <v>1943</v>
      </c>
      <c r="N3693" t="s">
        <v>1944</v>
      </c>
      <c r="Q3693">
        <v>28852</v>
      </c>
      <c r="R3693" t="s">
        <v>119</v>
      </c>
      <c r="S3693" t="s">
        <v>5709</v>
      </c>
      <c r="T3693">
        <v>25</v>
      </c>
      <c r="U3693" s="2" t="s">
        <v>22476</v>
      </c>
      <c r="V3693" s="1">
        <v>45470</v>
      </c>
      <c r="W3693" t="s">
        <v>84</v>
      </c>
      <c r="X3693">
        <v>838273</v>
      </c>
      <c r="Y3693" s="2" t="s">
        <v>3044</v>
      </c>
      <c r="Z3693" t="s">
        <v>3045</v>
      </c>
      <c r="AA3693" s="2" t="s">
        <v>3046</v>
      </c>
      <c r="AB3693" t="s">
        <v>8352</v>
      </c>
      <c r="AD3693" t="s">
        <v>20934</v>
      </c>
      <c r="AE3693" t="s">
        <v>22477</v>
      </c>
      <c r="AG3693" t="s">
        <v>22478</v>
      </c>
      <c r="AH3693" t="s">
        <v>22479</v>
      </c>
      <c r="AI3693" t="s">
        <v>22480</v>
      </c>
    </row>
    <row r="3694" spans="2:35" ht="165">
      <c r="B3694" s="1">
        <v>45482</v>
      </c>
      <c r="C3694" s="4">
        <v>45482.554861111108</v>
      </c>
      <c r="D3694" t="s">
        <v>22481</v>
      </c>
      <c r="E3694" t="s">
        <v>22482</v>
      </c>
      <c r="F3694">
        <v>3</v>
      </c>
      <c r="G3694" t="s">
        <v>1722</v>
      </c>
      <c r="H3694" t="s">
        <v>39</v>
      </c>
      <c r="I3694" t="s">
        <v>40</v>
      </c>
      <c r="J3694" s="2" t="s">
        <v>1592</v>
      </c>
      <c r="K3694" t="s">
        <v>42</v>
      </c>
      <c r="L3694" t="s">
        <v>63</v>
      </c>
      <c r="N3694" t="s">
        <v>64</v>
      </c>
      <c r="O3694" t="s">
        <v>22483</v>
      </c>
      <c r="Q3694">
        <v>28851</v>
      </c>
      <c r="R3694" t="s">
        <v>45</v>
      </c>
      <c r="S3694" t="s">
        <v>22484</v>
      </c>
      <c r="T3694">
        <v>29</v>
      </c>
      <c r="U3694" s="2" t="s">
        <v>13913</v>
      </c>
      <c r="W3694" t="s">
        <v>66</v>
      </c>
      <c r="X3694">
        <v>814182</v>
      </c>
      <c r="Y3694" s="2" t="s">
        <v>22485</v>
      </c>
      <c r="Z3694" s="2" t="s">
        <v>22486</v>
      </c>
      <c r="AA3694" s="2" t="s">
        <v>1727</v>
      </c>
      <c r="AB3694" t="s">
        <v>70</v>
      </c>
      <c r="AC3694" t="s">
        <v>11378</v>
      </c>
      <c r="AG3694" t="s">
        <v>22487</v>
      </c>
      <c r="AH3694" t="s">
        <v>22488</v>
      </c>
      <c r="AI3694" t="s">
        <v>22489</v>
      </c>
    </row>
    <row r="3695" spans="2:35" ht="255">
      <c r="B3695" s="1">
        <v>45482</v>
      </c>
      <c r="C3695" s="4">
        <v>45482.537499999999</v>
      </c>
      <c r="D3695" t="s">
        <v>1652</v>
      </c>
      <c r="E3695" t="s">
        <v>1653</v>
      </c>
      <c r="F3695">
        <v>8</v>
      </c>
      <c r="G3695" t="s">
        <v>342</v>
      </c>
      <c r="H3695" t="s">
        <v>39</v>
      </c>
      <c r="I3695" t="s">
        <v>94</v>
      </c>
      <c r="J3695" s="2" t="s">
        <v>609</v>
      </c>
      <c r="K3695" t="s">
        <v>42</v>
      </c>
      <c r="L3695" t="s">
        <v>343</v>
      </c>
      <c r="N3695" t="s">
        <v>344</v>
      </c>
      <c r="Q3695">
        <v>28850</v>
      </c>
      <c r="R3695" t="s">
        <v>45</v>
      </c>
      <c r="S3695" t="s">
        <v>1654</v>
      </c>
      <c r="T3695">
        <v>29</v>
      </c>
      <c r="U3695" s="2" t="s">
        <v>22490</v>
      </c>
      <c r="W3695" t="s">
        <v>1501</v>
      </c>
      <c r="X3695">
        <v>804253</v>
      </c>
      <c r="Y3695" t="s">
        <v>301</v>
      </c>
      <c r="Z3695" t="e">
        <f ca="1">-Install FAN _xludf.filter</f>
        <v>#NAME?</v>
      </c>
      <c r="AA3695" s="2" t="s">
        <v>22491</v>
      </c>
      <c r="AB3695" t="s">
        <v>9638</v>
      </c>
      <c r="AG3695" t="s">
        <v>22492</v>
      </c>
      <c r="AH3695" t="s">
        <v>1659</v>
      </c>
      <c r="AI3695" t="s">
        <v>22493</v>
      </c>
    </row>
    <row r="3696" spans="2:35" ht="150">
      <c r="B3696" s="1">
        <v>45482</v>
      </c>
      <c r="C3696" s="4">
        <v>45478.521527777775</v>
      </c>
      <c r="D3696" t="s">
        <v>7859</v>
      </c>
      <c r="E3696" t="s">
        <v>1286</v>
      </c>
      <c r="F3696">
        <v>6</v>
      </c>
      <c r="G3696" t="s">
        <v>1286</v>
      </c>
      <c r="H3696" t="s">
        <v>39</v>
      </c>
      <c r="I3696" t="s">
        <v>40</v>
      </c>
      <c r="J3696" s="2" t="s">
        <v>1370</v>
      </c>
      <c r="K3696" t="s">
        <v>42</v>
      </c>
      <c r="L3696" t="s">
        <v>433</v>
      </c>
      <c r="N3696" t="s">
        <v>434</v>
      </c>
      <c r="Q3696">
        <v>28849</v>
      </c>
      <c r="R3696" t="s">
        <v>45</v>
      </c>
      <c r="S3696" t="s">
        <v>22494</v>
      </c>
      <c r="T3696">
        <v>29</v>
      </c>
      <c r="W3696" t="s">
        <v>1008</v>
      </c>
      <c r="X3696">
        <v>804699</v>
      </c>
      <c r="Y3696" t="s">
        <v>22495</v>
      </c>
      <c r="Z3696" s="2" t="s">
        <v>22496</v>
      </c>
      <c r="AA3696" s="2" t="s">
        <v>22496</v>
      </c>
      <c r="AB3696" t="s">
        <v>5438</v>
      </c>
      <c r="AG3696" t="s">
        <v>22497</v>
      </c>
      <c r="AH3696" t="s">
        <v>22498</v>
      </c>
      <c r="AI3696" t="s">
        <v>22499</v>
      </c>
    </row>
    <row r="3697" spans="2:35" ht="409.5">
      <c r="B3697" s="1">
        <v>45482</v>
      </c>
      <c r="C3697" s="4">
        <v>45482.492361111108</v>
      </c>
      <c r="D3697" t="s">
        <v>3119</v>
      </c>
      <c r="E3697" t="s">
        <v>11858</v>
      </c>
      <c r="F3697" t="s">
        <v>148</v>
      </c>
      <c r="G3697" t="s">
        <v>310</v>
      </c>
      <c r="H3697" t="s">
        <v>39</v>
      </c>
      <c r="I3697" t="s">
        <v>40</v>
      </c>
      <c r="J3697" s="2" t="s">
        <v>62</v>
      </c>
      <c r="K3697" t="s">
        <v>42</v>
      </c>
      <c r="L3697" t="s">
        <v>15532</v>
      </c>
      <c r="N3697" t="s">
        <v>15533</v>
      </c>
      <c r="Q3697">
        <v>28848</v>
      </c>
      <c r="R3697" t="s">
        <v>45</v>
      </c>
      <c r="S3697" t="s">
        <v>22500</v>
      </c>
      <c r="T3697">
        <v>19</v>
      </c>
      <c r="U3697" s="2" t="s">
        <v>22501</v>
      </c>
      <c r="V3697" s="1">
        <v>44370</v>
      </c>
      <c r="W3697" t="s">
        <v>20940</v>
      </c>
      <c r="X3697">
        <v>110001648</v>
      </c>
      <c r="Y3697" t="s">
        <v>15536</v>
      </c>
      <c r="Z3697" s="2" t="s">
        <v>20894</v>
      </c>
      <c r="AA3697" s="2" t="s">
        <v>21422</v>
      </c>
      <c r="AB3697" s="2" t="s">
        <v>17371</v>
      </c>
      <c r="AD3697" t="s">
        <v>7189</v>
      </c>
      <c r="AE3697" t="s">
        <v>22502</v>
      </c>
      <c r="AG3697" t="s">
        <v>22503</v>
      </c>
      <c r="AH3697" t="s">
        <v>21006</v>
      </c>
      <c r="AI3697" t="s">
        <v>22504</v>
      </c>
    </row>
    <row r="3698" spans="2:35" ht="195">
      <c r="B3698" s="1">
        <v>45482</v>
      </c>
      <c r="C3698" s="4">
        <v>45482.438888888886</v>
      </c>
      <c r="D3698" t="s">
        <v>340</v>
      </c>
      <c r="E3698" t="s">
        <v>341</v>
      </c>
      <c r="F3698">
        <v>8</v>
      </c>
      <c r="G3698" t="s">
        <v>342</v>
      </c>
      <c r="H3698" t="s">
        <v>22505</v>
      </c>
      <c r="I3698" t="s">
        <v>40</v>
      </c>
      <c r="J3698" t="s">
        <v>109</v>
      </c>
      <c r="K3698" t="s">
        <v>42</v>
      </c>
      <c r="L3698" t="s">
        <v>343</v>
      </c>
      <c r="N3698" t="s">
        <v>344</v>
      </c>
      <c r="Q3698">
        <v>28847</v>
      </c>
      <c r="R3698" t="s">
        <v>119</v>
      </c>
      <c r="S3698" t="s">
        <v>345</v>
      </c>
      <c r="T3698">
        <v>24</v>
      </c>
      <c r="U3698" s="2" t="s">
        <v>22506</v>
      </c>
      <c r="W3698" t="s">
        <v>1501</v>
      </c>
      <c r="X3698">
        <v>838555</v>
      </c>
      <c r="Y3698" t="s">
        <v>301</v>
      </c>
      <c r="Z3698" t="s">
        <v>301</v>
      </c>
      <c r="AA3698" s="2" t="s">
        <v>22367</v>
      </c>
      <c r="AB3698" t="s">
        <v>9638</v>
      </c>
      <c r="AG3698" t="s">
        <v>22507</v>
      </c>
      <c r="AH3698" t="s">
        <v>20975</v>
      </c>
      <c r="AI3698" t="s">
        <v>22508</v>
      </c>
    </row>
    <row r="3699" spans="2:35">
      <c r="B3699" s="1">
        <v>45482</v>
      </c>
      <c r="C3699" s="4">
        <v>45482.429166666669</v>
      </c>
      <c r="D3699" t="s">
        <v>12016</v>
      </c>
      <c r="E3699" t="s">
        <v>12017</v>
      </c>
      <c r="F3699">
        <v>7</v>
      </c>
      <c r="G3699" t="s">
        <v>432</v>
      </c>
      <c r="H3699" t="s">
        <v>12018</v>
      </c>
      <c r="I3699" t="s">
        <v>40</v>
      </c>
      <c r="J3699" t="s">
        <v>525</v>
      </c>
      <c r="K3699" t="s">
        <v>387</v>
      </c>
      <c r="L3699" t="s">
        <v>1288</v>
      </c>
      <c r="N3699" t="s">
        <v>1289</v>
      </c>
      <c r="Q3699">
        <v>28846</v>
      </c>
      <c r="R3699" t="s">
        <v>95</v>
      </c>
      <c r="S3699" t="s">
        <v>1556</v>
      </c>
      <c r="T3699">
        <v>20</v>
      </c>
      <c r="W3699" t="s">
        <v>390</v>
      </c>
      <c r="X3699" t="s">
        <v>1557</v>
      </c>
      <c r="Y3699" t="s">
        <v>22509</v>
      </c>
      <c r="Z3699" t="e">
        <f ca="1">-COLLECT cuff Data values</f>
        <v>#NAME?</v>
      </c>
      <c r="AA3699" t="e">
        <f ca="1">-PERFORM cuff INSPECTION _xludf.and DIAGNOSTICS, passed
-ADJUST cuff _xludf.offset _xludf.value</f>
        <v>#NAME?</v>
      </c>
      <c r="AB3699" t="s">
        <v>1293</v>
      </c>
      <c r="AG3699" t="s">
        <v>22510</v>
      </c>
      <c r="AH3699" t="s">
        <v>22511</v>
      </c>
      <c r="AI3699" t="s">
        <v>22512</v>
      </c>
    </row>
    <row r="3700" spans="2:35" ht="345">
      <c r="B3700" s="1">
        <v>45482</v>
      </c>
      <c r="C3700" s="4">
        <v>45482.415277777778</v>
      </c>
      <c r="D3700" t="s">
        <v>18752</v>
      </c>
      <c r="E3700" t="s">
        <v>718</v>
      </c>
      <c r="F3700">
        <v>7</v>
      </c>
      <c r="G3700" t="s">
        <v>432</v>
      </c>
      <c r="H3700" t="s">
        <v>39</v>
      </c>
      <c r="I3700" t="s">
        <v>94</v>
      </c>
      <c r="J3700" s="2" t="s">
        <v>190</v>
      </c>
      <c r="K3700" t="s">
        <v>42</v>
      </c>
      <c r="L3700" t="s">
        <v>594</v>
      </c>
      <c r="N3700" t="s">
        <v>595</v>
      </c>
      <c r="Q3700">
        <v>28845</v>
      </c>
      <c r="R3700" t="s">
        <v>45</v>
      </c>
      <c r="S3700" t="s">
        <v>22513</v>
      </c>
      <c r="T3700">
        <v>23</v>
      </c>
      <c r="V3700" s="1">
        <v>45474</v>
      </c>
      <c r="W3700" t="s">
        <v>22514</v>
      </c>
      <c r="X3700">
        <v>815485</v>
      </c>
      <c r="Y3700" t="s">
        <v>22515</v>
      </c>
      <c r="Z3700" t="s">
        <v>3128</v>
      </c>
      <c r="AA3700" s="2" t="s">
        <v>22516</v>
      </c>
      <c r="AB3700" t="s">
        <v>22517</v>
      </c>
      <c r="AG3700" t="s">
        <v>22518</v>
      </c>
      <c r="AH3700" t="s">
        <v>22519</v>
      </c>
      <c r="AI3700" t="s">
        <v>22520</v>
      </c>
    </row>
    <row r="3701" spans="2:35" ht="120">
      <c r="B3701" s="1">
        <v>45482</v>
      </c>
      <c r="C3701" s="4">
        <v>45462.541666666664</v>
      </c>
      <c r="D3701" t="s">
        <v>22521</v>
      </c>
      <c r="E3701" t="s">
        <v>22522</v>
      </c>
      <c r="F3701">
        <v>5</v>
      </c>
      <c r="G3701" t="s">
        <v>839</v>
      </c>
      <c r="H3701" t="s">
        <v>39</v>
      </c>
      <c r="I3701" t="s">
        <v>40</v>
      </c>
      <c r="J3701" t="s">
        <v>109</v>
      </c>
      <c r="K3701" t="s">
        <v>42</v>
      </c>
      <c r="L3701" t="s">
        <v>761</v>
      </c>
      <c r="N3701" t="s">
        <v>762</v>
      </c>
      <c r="Q3701">
        <v>28844</v>
      </c>
      <c r="R3701" t="s">
        <v>45</v>
      </c>
      <c r="S3701" t="s">
        <v>22523</v>
      </c>
      <c r="T3701">
        <v>29</v>
      </c>
      <c r="U3701" s="2" t="s">
        <v>22524</v>
      </c>
      <c r="W3701" t="s">
        <v>817</v>
      </c>
      <c r="X3701">
        <v>110019624</v>
      </c>
      <c r="Y3701" t="s">
        <v>818</v>
      </c>
      <c r="Z3701" s="2" t="s">
        <v>22309</v>
      </c>
      <c r="AA3701" t="s">
        <v>820</v>
      </c>
      <c r="AB3701" t="s">
        <v>181</v>
      </c>
      <c r="AG3701" t="s">
        <v>22525</v>
      </c>
      <c r="AH3701" t="s">
        <v>22526</v>
      </c>
      <c r="AI3701" t="s">
        <v>22527</v>
      </c>
    </row>
    <row r="3702" spans="2:35" ht="225">
      <c r="B3702" s="1">
        <v>45481</v>
      </c>
      <c r="C3702" s="4">
        <v>45478.618055555555</v>
      </c>
      <c r="D3702" t="s">
        <v>22528</v>
      </c>
      <c r="E3702" t="s">
        <v>22529</v>
      </c>
      <c r="F3702" t="s">
        <v>37</v>
      </c>
      <c r="G3702" t="s">
        <v>38</v>
      </c>
      <c r="H3702" t="s">
        <v>39</v>
      </c>
      <c r="I3702" t="s">
        <v>40</v>
      </c>
      <c r="J3702" t="s">
        <v>109</v>
      </c>
      <c r="K3702" t="s">
        <v>42</v>
      </c>
      <c r="L3702" t="s">
        <v>43</v>
      </c>
      <c r="N3702" t="s">
        <v>44</v>
      </c>
      <c r="Q3702">
        <v>28843</v>
      </c>
      <c r="R3702" t="s">
        <v>45</v>
      </c>
      <c r="S3702" t="s">
        <v>22530</v>
      </c>
      <c r="T3702">
        <v>24</v>
      </c>
      <c r="W3702" t="s">
        <v>48</v>
      </c>
      <c r="X3702">
        <v>807605</v>
      </c>
      <c r="Y3702" t="s">
        <v>121</v>
      </c>
      <c r="Z3702" t="s">
        <v>122</v>
      </c>
      <c r="AA3702" s="2" t="s">
        <v>9744</v>
      </c>
      <c r="AB3702" t="s">
        <v>548</v>
      </c>
      <c r="AC3702" t="s">
        <v>22531</v>
      </c>
      <c r="AG3702" t="s">
        <v>22532</v>
      </c>
      <c r="AH3702" t="s">
        <v>22533</v>
      </c>
      <c r="AI3702" t="s">
        <v>22534</v>
      </c>
    </row>
    <row r="3703" spans="2:35" ht="270">
      <c r="B3703" s="1">
        <v>45481</v>
      </c>
      <c r="C3703" s="4">
        <v>45478.613888888889</v>
      </c>
      <c r="D3703" t="s">
        <v>22535</v>
      </c>
      <c r="E3703" t="s">
        <v>22529</v>
      </c>
      <c r="F3703" t="s">
        <v>37</v>
      </c>
      <c r="G3703" t="s">
        <v>38</v>
      </c>
      <c r="H3703" t="s">
        <v>39</v>
      </c>
      <c r="I3703" t="s">
        <v>40</v>
      </c>
      <c r="J3703" s="2" t="s">
        <v>41</v>
      </c>
      <c r="K3703" t="s">
        <v>42</v>
      </c>
      <c r="L3703" t="s">
        <v>43</v>
      </c>
      <c r="N3703" t="s">
        <v>44</v>
      </c>
      <c r="Q3703">
        <v>28842</v>
      </c>
      <c r="R3703" t="s">
        <v>45</v>
      </c>
      <c r="S3703" t="s">
        <v>22530</v>
      </c>
      <c r="T3703">
        <v>24</v>
      </c>
      <c r="U3703" s="2" t="s">
        <v>11735</v>
      </c>
      <c r="V3703" s="1">
        <v>45478</v>
      </c>
      <c r="W3703" t="s">
        <v>48</v>
      </c>
      <c r="X3703">
        <v>846045</v>
      </c>
      <c r="Y3703" t="s">
        <v>2165</v>
      </c>
      <c r="Z3703" t="s">
        <v>2166</v>
      </c>
      <c r="AA3703" s="2" t="s">
        <v>22536</v>
      </c>
      <c r="AB3703" t="s">
        <v>548</v>
      </c>
      <c r="AD3703" s="2" t="s">
        <v>22537</v>
      </c>
      <c r="AE3703" t="s">
        <v>54</v>
      </c>
      <c r="AG3703" t="s">
        <v>22538</v>
      </c>
      <c r="AH3703" t="s">
        <v>22533</v>
      </c>
      <c r="AI3703" t="s">
        <v>22539</v>
      </c>
    </row>
    <row r="3704" spans="2:35" ht="225">
      <c r="B3704" s="1">
        <v>45481</v>
      </c>
      <c r="C3704" s="4">
        <v>45478.616666666669</v>
      </c>
      <c r="D3704" t="s">
        <v>22528</v>
      </c>
      <c r="E3704" t="s">
        <v>22529</v>
      </c>
      <c r="F3704" t="s">
        <v>37</v>
      </c>
      <c r="G3704" t="s">
        <v>38</v>
      </c>
      <c r="H3704" t="s">
        <v>39</v>
      </c>
      <c r="I3704" t="s">
        <v>40</v>
      </c>
      <c r="J3704" t="s">
        <v>109</v>
      </c>
      <c r="K3704" t="s">
        <v>42</v>
      </c>
      <c r="L3704" t="s">
        <v>43</v>
      </c>
      <c r="N3704" t="s">
        <v>44</v>
      </c>
      <c r="Q3704">
        <v>28841</v>
      </c>
      <c r="R3704" t="s">
        <v>45</v>
      </c>
      <c r="S3704" t="s">
        <v>22530</v>
      </c>
      <c r="T3704">
        <v>24</v>
      </c>
      <c r="U3704" s="2" t="s">
        <v>18843</v>
      </c>
      <c r="W3704" t="s">
        <v>48</v>
      </c>
      <c r="X3704">
        <v>838199</v>
      </c>
      <c r="Y3704" t="s">
        <v>121</v>
      </c>
      <c r="Z3704" t="s">
        <v>122</v>
      </c>
      <c r="AA3704" s="2" t="s">
        <v>9744</v>
      </c>
      <c r="AB3704" t="s">
        <v>548</v>
      </c>
      <c r="AC3704" t="s">
        <v>22531</v>
      </c>
      <c r="AG3704" t="s">
        <v>22540</v>
      </c>
      <c r="AH3704" t="s">
        <v>22533</v>
      </c>
      <c r="AI3704" t="s">
        <v>22541</v>
      </c>
    </row>
    <row r="3705" spans="2:35" ht="300">
      <c r="B3705" s="1">
        <v>45481</v>
      </c>
      <c r="C3705" s="4">
        <v>45477.555555555555</v>
      </c>
      <c r="D3705" t="s">
        <v>7264</v>
      </c>
      <c r="E3705" t="s">
        <v>22542</v>
      </c>
      <c r="F3705">
        <v>1</v>
      </c>
      <c r="G3705" t="s">
        <v>1909</v>
      </c>
      <c r="H3705" t="s">
        <v>39</v>
      </c>
      <c r="I3705" t="s">
        <v>40</v>
      </c>
      <c r="J3705" s="2" t="s">
        <v>62</v>
      </c>
      <c r="K3705" t="s">
        <v>42</v>
      </c>
      <c r="L3705" t="s">
        <v>1028</v>
      </c>
      <c r="N3705" t="s">
        <v>1029</v>
      </c>
      <c r="Q3705">
        <v>28840</v>
      </c>
      <c r="R3705" t="s">
        <v>119</v>
      </c>
      <c r="S3705" t="s">
        <v>7266</v>
      </c>
      <c r="T3705">
        <v>25</v>
      </c>
      <c r="U3705" s="2" t="s">
        <v>14127</v>
      </c>
      <c r="V3705" s="1">
        <v>45470</v>
      </c>
      <c r="W3705" t="s">
        <v>1967</v>
      </c>
      <c r="X3705">
        <v>838270</v>
      </c>
      <c r="Y3705" t="s">
        <v>1547</v>
      </c>
      <c r="Z3705" t="s">
        <v>8989</v>
      </c>
      <c r="AA3705" s="2" t="s">
        <v>1549</v>
      </c>
      <c r="AB3705" s="2" t="s">
        <v>22543</v>
      </c>
      <c r="AD3705" t="s">
        <v>22544</v>
      </c>
      <c r="AE3705" t="s">
        <v>21062</v>
      </c>
      <c r="AG3705" t="s">
        <v>22545</v>
      </c>
      <c r="AH3705" t="s">
        <v>7268</v>
      </c>
      <c r="AI3705" t="s">
        <v>22546</v>
      </c>
    </row>
    <row r="3706" spans="2:35" ht="120">
      <c r="B3706" s="1">
        <v>45481</v>
      </c>
      <c r="C3706" s="4">
        <v>45478.368750000001</v>
      </c>
      <c r="D3706" t="s">
        <v>22547</v>
      </c>
      <c r="E3706" t="s">
        <v>22548</v>
      </c>
      <c r="F3706">
        <v>9</v>
      </c>
      <c r="G3706" t="s">
        <v>2197</v>
      </c>
      <c r="H3706" t="s">
        <v>39</v>
      </c>
      <c r="I3706" t="s">
        <v>40</v>
      </c>
      <c r="J3706" s="2" t="s">
        <v>22549</v>
      </c>
      <c r="K3706" t="s">
        <v>42</v>
      </c>
      <c r="L3706" t="s">
        <v>1257</v>
      </c>
      <c r="N3706" t="s">
        <v>1258</v>
      </c>
      <c r="O3706" t="s">
        <v>2199</v>
      </c>
      <c r="Q3706">
        <v>28839</v>
      </c>
      <c r="R3706" t="s">
        <v>45</v>
      </c>
      <c r="S3706" t="s">
        <v>22550</v>
      </c>
      <c r="T3706">
        <v>28</v>
      </c>
      <c r="V3706" s="1">
        <v>45478</v>
      </c>
      <c r="W3706" t="s">
        <v>2384</v>
      </c>
      <c r="X3706">
        <v>838140</v>
      </c>
      <c r="Y3706" t="s">
        <v>3975</v>
      </c>
      <c r="Z3706" t="s">
        <v>22551</v>
      </c>
      <c r="AA3706" t="s">
        <v>22551</v>
      </c>
      <c r="AB3706" t="s">
        <v>22552</v>
      </c>
      <c r="AC3706" t="s">
        <v>301</v>
      </c>
      <c r="AD3706" t="s">
        <v>54</v>
      </c>
      <c r="AE3706" t="s">
        <v>54</v>
      </c>
      <c r="AG3706" t="s">
        <v>22553</v>
      </c>
      <c r="AH3706" t="s">
        <v>22554</v>
      </c>
      <c r="AI3706" t="s">
        <v>22555</v>
      </c>
    </row>
    <row r="3707" spans="2:35" ht="390">
      <c r="B3707" s="1">
        <v>45481</v>
      </c>
      <c r="C3707" s="4">
        <v>45476.651388888888</v>
      </c>
      <c r="D3707" t="s">
        <v>12505</v>
      </c>
      <c r="E3707" t="s">
        <v>22556</v>
      </c>
      <c r="F3707">
        <v>3</v>
      </c>
      <c r="G3707" t="s">
        <v>219</v>
      </c>
      <c r="H3707" t="s">
        <v>9313</v>
      </c>
      <c r="I3707" t="s">
        <v>40</v>
      </c>
      <c r="J3707" s="2" t="s">
        <v>41</v>
      </c>
      <c r="K3707" t="s">
        <v>42</v>
      </c>
      <c r="L3707" t="s">
        <v>135</v>
      </c>
      <c r="N3707" t="s">
        <v>136</v>
      </c>
      <c r="Q3707">
        <v>28838</v>
      </c>
      <c r="R3707" t="s">
        <v>45</v>
      </c>
      <c r="S3707" t="s">
        <v>12507</v>
      </c>
      <c r="T3707">
        <v>21</v>
      </c>
      <c r="U3707" s="2" t="s">
        <v>22557</v>
      </c>
      <c r="W3707" t="s">
        <v>2680</v>
      </c>
      <c r="X3707">
        <v>834622</v>
      </c>
      <c r="Y3707" t="s">
        <v>22558</v>
      </c>
      <c r="Z3707" s="2" t="s">
        <v>140</v>
      </c>
      <c r="AA3707" s="2" t="s">
        <v>5713</v>
      </c>
      <c r="AB3707" s="2" t="s">
        <v>22559</v>
      </c>
      <c r="AC3707" t="s">
        <v>9330</v>
      </c>
      <c r="AG3707" t="s">
        <v>22560</v>
      </c>
      <c r="AH3707" t="s">
        <v>14753</v>
      </c>
      <c r="AI3707" t="s">
        <v>22561</v>
      </c>
    </row>
    <row r="3708" spans="2:35" ht="409.5">
      <c r="B3708" s="1">
        <v>45481</v>
      </c>
      <c r="C3708" s="4">
        <v>45478.624305555553</v>
      </c>
      <c r="D3708" t="s">
        <v>4091</v>
      </c>
      <c r="E3708" t="s">
        <v>22562</v>
      </c>
      <c r="F3708">
        <v>5</v>
      </c>
      <c r="G3708" t="s">
        <v>827</v>
      </c>
      <c r="H3708" t="s">
        <v>39</v>
      </c>
      <c r="I3708" t="s">
        <v>94</v>
      </c>
      <c r="J3708" s="2" t="s">
        <v>62</v>
      </c>
      <c r="K3708" t="s">
        <v>42</v>
      </c>
      <c r="L3708" t="s">
        <v>761</v>
      </c>
      <c r="N3708" t="s">
        <v>762</v>
      </c>
      <c r="Q3708">
        <v>28837</v>
      </c>
      <c r="R3708" t="s">
        <v>119</v>
      </c>
      <c r="S3708" t="s">
        <v>9895</v>
      </c>
      <c r="T3708">
        <v>23</v>
      </c>
      <c r="U3708" s="2" t="s">
        <v>22563</v>
      </c>
      <c r="W3708" t="s">
        <v>765</v>
      </c>
      <c r="X3708">
        <v>838268</v>
      </c>
      <c r="Y3708" t="s">
        <v>22564</v>
      </c>
      <c r="Z3708" s="2" t="s">
        <v>22565</v>
      </c>
      <c r="AA3708" s="2" t="s">
        <v>4477</v>
      </c>
      <c r="AB3708" t="s">
        <v>181</v>
      </c>
      <c r="AG3708" t="s">
        <v>22566</v>
      </c>
      <c r="AH3708" t="s">
        <v>10671</v>
      </c>
      <c r="AI3708" t="s">
        <v>22567</v>
      </c>
    </row>
    <row r="3709" spans="2:35" ht="270">
      <c r="B3709" s="1">
        <v>45481</v>
      </c>
      <c r="C3709" s="4">
        <v>45477.706944444442</v>
      </c>
      <c r="D3709" t="s">
        <v>22568</v>
      </c>
      <c r="E3709" t="s">
        <v>22569</v>
      </c>
      <c r="F3709">
        <v>5</v>
      </c>
      <c r="G3709" t="s">
        <v>827</v>
      </c>
      <c r="H3709" t="s">
        <v>39</v>
      </c>
      <c r="I3709" t="s">
        <v>40</v>
      </c>
      <c r="J3709" s="2" t="s">
        <v>190</v>
      </c>
      <c r="K3709" t="s">
        <v>42</v>
      </c>
      <c r="L3709" t="s">
        <v>761</v>
      </c>
      <c r="N3709" t="s">
        <v>762</v>
      </c>
      <c r="Q3709">
        <v>28836</v>
      </c>
      <c r="R3709" t="s">
        <v>45</v>
      </c>
      <c r="S3709" t="s">
        <v>22570</v>
      </c>
      <c r="T3709">
        <v>22</v>
      </c>
      <c r="U3709" s="2" t="s">
        <v>19051</v>
      </c>
      <c r="W3709" t="s">
        <v>817</v>
      </c>
      <c r="X3709">
        <v>110019625</v>
      </c>
      <c r="Y3709" t="s">
        <v>22571</v>
      </c>
      <c r="Z3709" s="2" t="s">
        <v>22572</v>
      </c>
      <c r="AA3709" s="2" t="s">
        <v>10392</v>
      </c>
      <c r="AB3709" t="s">
        <v>181</v>
      </c>
      <c r="AG3709" t="s">
        <v>22573</v>
      </c>
      <c r="AH3709" t="s">
        <v>22574</v>
      </c>
      <c r="AI3709" t="s">
        <v>22575</v>
      </c>
    </row>
    <row r="3710" spans="2:35" ht="345">
      <c r="B3710" s="1">
        <v>45481</v>
      </c>
      <c r="C3710" s="4">
        <v>45477.640277777777</v>
      </c>
      <c r="D3710" t="s">
        <v>22576</v>
      </c>
      <c r="E3710" t="s">
        <v>22577</v>
      </c>
      <c r="F3710">
        <v>5</v>
      </c>
      <c r="G3710" t="s">
        <v>827</v>
      </c>
      <c r="H3710" t="s">
        <v>39</v>
      </c>
      <c r="I3710" t="s">
        <v>40</v>
      </c>
      <c r="J3710" s="2" t="s">
        <v>190</v>
      </c>
      <c r="K3710" t="s">
        <v>42</v>
      </c>
      <c r="L3710" t="s">
        <v>761</v>
      </c>
      <c r="N3710" t="s">
        <v>762</v>
      </c>
      <c r="Q3710">
        <v>28835</v>
      </c>
      <c r="R3710" t="s">
        <v>45</v>
      </c>
      <c r="S3710" t="s">
        <v>22578</v>
      </c>
      <c r="T3710">
        <v>26</v>
      </c>
      <c r="U3710" s="2" t="s">
        <v>21096</v>
      </c>
      <c r="W3710" t="s">
        <v>765</v>
      </c>
      <c r="X3710">
        <v>838244</v>
      </c>
      <c r="Y3710" t="s">
        <v>22579</v>
      </c>
      <c r="Z3710" s="2" t="s">
        <v>22580</v>
      </c>
      <c r="AA3710" s="2" t="s">
        <v>10392</v>
      </c>
      <c r="AB3710" s="2" t="s">
        <v>22581</v>
      </c>
      <c r="AC3710" t="s">
        <v>12414</v>
      </c>
      <c r="AG3710" t="s">
        <v>22582</v>
      </c>
      <c r="AH3710" t="s">
        <v>22583</v>
      </c>
      <c r="AI3710" t="s">
        <v>22584</v>
      </c>
    </row>
    <row r="3711" spans="2:35" ht="409.5">
      <c r="B3711" s="1">
        <v>45481</v>
      </c>
      <c r="C3711" s="4">
        <v>45479.505555555559</v>
      </c>
      <c r="D3711" t="s">
        <v>22585</v>
      </c>
      <c r="E3711" t="s">
        <v>22586</v>
      </c>
      <c r="F3711" t="s">
        <v>37</v>
      </c>
      <c r="G3711" t="s">
        <v>78</v>
      </c>
      <c r="H3711" t="s">
        <v>386</v>
      </c>
      <c r="I3711" t="s">
        <v>40</v>
      </c>
      <c r="J3711" t="s">
        <v>525</v>
      </c>
      <c r="K3711" t="s">
        <v>387</v>
      </c>
      <c r="L3711" t="s">
        <v>448</v>
      </c>
      <c r="N3711" t="s">
        <v>650</v>
      </c>
      <c r="Q3711">
        <v>28834</v>
      </c>
      <c r="R3711" t="s">
        <v>322</v>
      </c>
      <c r="S3711" t="s">
        <v>5953</v>
      </c>
      <c r="T3711">
        <v>27</v>
      </c>
      <c r="W3711" t="s">
        <v>8665</v>
      </c>
      <c r="X3711" t="s">
        <v>5954</v>
      </c>
      <c r="Y3711" s="2" t="s">
        <v>22587</v>
      </c>
      <c r="Z3711" s="2" t="s">
        <v>22588</v>
      </c>
      <c r="AA3711" t="s">
        <v>22589</v>
      </c>
      <c r="AB3711" t="s">
        <v>486</v>
      </c>
      <c r="AC3711" t="s">
        <v>22590</v>
      </c>
      <c r="AG3711" t="s">
        <v>22591</v>
      </c>
      <c r="AH3711" t="s">
        <v>22592</v>
      </c>
      <c r="AI3711" t="s">
        <v>22593</v>
      </c>
    </row>
    <row r="3712" spans="2:35" ht="255">
      <c r="B3712" s="1">
        <v>45480</v>
      </c>
      <c r="C3712" s="4">
        <v>45478.5625</v>
      </c>
      <c r="D3712" t="s">
        <v>22594</v>
      </c>
      <c r="E3712" t="s">
        <v>22595</v>
      </c>
      <c r="F3712" t="s">
        <v>148</v>
      </c>
      <c r="G3712" t="s">
        <v>447</v>
      </c>
      <c r="H3712" t="s">
        <v>5523</v>
      </c>
      <c r="I3712" t="s">
        <v>40</v>
      </c>
      <c r="J3712" s="2" t="s">
        <v>41</v>
      </c>
      <c r="K3712" t="s">
        <v>42</v>
      </c>
      <c r="L3712" t="s">
        <v>15532</v>
      </c>
      <c r="N3712" t="s">
        <v>15533</v>
      </c>
      <c r="Q3712">
        <v>28833</v>
      </c>
      <c r="R3712" t="s">
        <v>119</v>
      </c>
      <c r="S3712" t="s">
        <v>22596</v>
      </c>
      <c r="T3712">
        <v>29</v>
      </c>
      <c r="U3712" s="2" t="s">
        <v>22597</v>
      </c>
      <c r="W3712" t="s">
        <v>22123</v>
      </c>
      <c r="X3712">
        <v>831901</v>
      </c>
      <c r="Y3712" t="s">
        <v>22598</v>
      </c>
      <c r="Z3712" s="2" t="s">
        <v>22599</v>
      </c>
      <c r="AA3712" s="2" t="s">
        <v>22600</v>
      </c>
      <c r="AB3712" s="2" t="s">
        <v>17371</v>
      </c>
      <c r="AG3712" t="s">
        <v>22601</v>
      </c>
      <c r="AH3712" t="s">
        <v>22602</v>
      </c>
      <c r="AI3712" t="s">
        <v>22603</v>
      </c>
    </row>
    <row r="3713" spans="2:35" ht="409.5">
      <c r="B3713" s="1">
        <v>45480</v>
      </c>
      <c r="C3713" s="4">
        <v>45478.402777777781</v>
      </c>
      <c r="D3713" t="s">
        <v>22604</v>
      </c>
      <c r="E3713" t="s">
        <v>22605</v>
      </c>
      <c r="F3713" t="s">
        <v>148</v>
      </c>
      <c r="G3713" t="s">
        <v>447</v>
      </c>
      <c r="H3713" t="s">
        <v>39</v>
      </c>
      <c r="I3713" t="s">
        <v>40</v>
      </c>
      <c r="J3713" t="s">
        <v>109</v>
      </c>
      <c r="K3713" t="s">
        <v>42</v>
      </c>
      <c r="L3713" t="s">
        <v>15532</v>
      </c>
      <c r="N3713" t="s">
        <v>15533</v>
      </c>
      <c r="Q3713">
        <v>28832</v>
      </c>
      <c r="R3713" t="s">
        <v>119</v>
      </c>
      <c r="S3713" t="s">
        <v>22606</v>
      </c>
      <c r="T3713">
        <v>25</v>
      </c>
      <c r="U3713" s="2" t="s">
        <v>22607</v>
      </c>
      <c r="W3713" t="s">
        <v>15535</v>
      </c>
      <c r="X3713">
        <v>831586</v>
      </c>
      <c r="Y3713" t="s">
        <v>15536</v>
      </c>
      <c r="Z3713" s="2" t="s">
        <v>22608</v>
      </c>
      <c r="AA3713" s="2" t="s">
        <v>22609</v>
      </c>
      <c r="AB3713" s="2" t="s">
        <v>22610</v>
      </c>
      <c r="AG3713" t="s">
        <v>22611</v>
      </c>
      <c r="AH3713" t="s">
        <v>22612</v>
      </c>
      <c r="AI3713" t="s">
        <v>22613</v>
      </c>
    </row>
    <row r="3714" spans="2:35" ht="105">
      <c r="B3714" s="1">
        <v>45480</v>
      </c>
      <c r="C3714" s="4">
        <v>45478.64166666667</v>
      </c>
      <c r="D3714" t="s">
        <v>22614</v>
      </c>
      <c r="E3714" t="s">
        <v>22615</v>
      </c>
      <c r="F3714">
        <v>1</v>
      </c>
      <c r="G3714" t="s">
        <v>1046</v>
      </c>
      <c r="H3714" t="s">
        <v>1047</v>
      </c>
      <c r="I3714" t="s">
        <v>40</v>
      </c>
      <c r="J3714" s="2" t="s">
        <v>1808</v>
      </c>
      <c r="K3714" t="s">
        <v>42</v>
      </c>
      <c r="L3714" t="s">
        <v>1048</v>
      </c>
      <c r="N3714" t="s">
        <v>1049</v>
      </c>
      <c r="Q3714">
        <v>28831</v>
      </c>
      <c r="R3714" t="s">
        <v>45</v>
      </c>
      <c r="S3714" t="s">
        <v>22616</v>
      </c>
      <c r="T3714">
        <v>30</v>
      </c>
      <c r="U3714" s="2" t="s">
        <v>22617</v>
      </c>
      <c r="V3714" s="1">
        <v>45478</v>
      </c>
      <c r="W3714" t="s">
        <v>1051</v>
      </c>
      <c r="X3714">
        <v>805109</v>
      </c>
      <c r="Y3714" t="s">
        <v>22618</v>
      </c>
      <c r="Z3714" t="e">
        <f ca="1">- installed GeneXpert system
- replaced BIOS battery
- Setup user Accounts
- cleaned cartridge Bays, plunger Rods _xludf.and I-CORE
- cleaned Surfaces
- generated reports</f>
        <v>#NAME?</v>
      </c>
      <c r="AA3714" t="s">
        <v>22619</v>
      </c>
      <c r="AB3714" t="s">
        <v>1428</v>
      </c>
      <c r="AC3714" t="s">
        <v>22620</v>
      </c>
      <c r="AD3714" t="s">
        <v>3727</v>
      </c>
      <c r="AE3714" t="s">
        <v>103</v>
      </c>
      <c r="AG3714" t="s">
        <v>22621</v>
      </c>
      <c r="AH3714" t="s">
        <v>22622</v>
      </c>
      <c r="AI3714" t="s">
        <v>22623</v>
      </c>
    </row>
    <row r="3715" spans="2:35" ht="150">
      <c r="B3715" s="1">
        <v>45480</v>
      </c>
      <c r="C3715" s="4">
        <v>45478.429166666669</v>
      </c>
      <c r="D3715" t="s">
        <v>22624</v>
      </c>
      <c r="E3715" t="s">
        <v>22625</v>
      </c>
      <c r="F3715">
        <v>1</v>
      </c>
      <c r="G3715" t="s">
        <v>1046</v>
      </c>
      <c r="H3715" t="s">
        <v>39</v>
      </c>
      <c r="I3715" t="s">
        <v>40</v>
      </c>
      <c r="J3715" t="s">
        <v>109</v>
      </c>
      <c r="K3715" t="s">
        <v>42</v>
      </c>
      <c r="L3715" t="s">
        <v>1048</v>
      </c>
      <c r="N3715" t="s">
        <v>1049</v>
      </c>
      <c r="Q3715">
        <v>28830</v>
      </c>
      <c r="R3715" t="s">
        <v>119</v>
      </c>
      <c r="S3715" t="s">
        <v>19601</v>
      </c>
      <c r="T3715">
        <v>25</v>
      </c>
      <c r="U3715" s="2" t="s">
        <v>22626</v>
      </c>
      <c r="W3715" t="s">
        <v>1051</v>
      </c>
      <c r="X3715">
        <v>838473</v>
      </c>
      <c r="Y3715" t="s">
        <v>2851</v>
      </c>
      <c r="Z3715" t="e">
        <f ca="1">- cleaned cartridge Bays, plunger Rods _xludf.and I-CORE
- generated reports</f>
        <v>#NAME?</v>
      </c>
      <c r="AA3715" s="2" t="s">
        <v>22627</v>
      </c>
      <c r="AB3715" t="e">
        <f ca="1">- Unit is Partially operational
- Unable to PERFORM XpertCheck</f>
        <v>#NAME?</v>
      </c>
      <c r="AG3715" t="s">
        <v>22628</v>
      </c>
      <c r="AH3715" t="s">
        <v>19605</v>
      </c>
      <c r="AI3715" t="s">
        <v>22629</v>
      </c>
    </row>
    <row r="3716" spans="2:35" ht="409.5">
      <c r="B3716" s="1">
        <v>45478</v>
      </c>
      <c r="C3716" s="4">
        <v>45478.661111111112</v>
      </c>
      <c r="D3716" t="s">
        <v>3679</v>
      </c>
      <c r="E3716" t="s">
        <v>2580</v>
      </c>
      <c r="F3716" t="s">
        <v>148</v>
      </c>
      <c r="G3716" t="s">
        <v>447</v>
      </c>
      <c r="H3716" t="s">
        <v>386</v>
      </c>
      <c r="I3716" t="s">
        <v>40</v>
      </c>
      <c r="J3716" t="s">
        <v>525</v>
      </c>
      <c r="K3716" t="s">
        <v>387</v>
      </c>
      <c r="L3716" t="s">
        <v>448</v>
      </c>
      <c r="N3716" t="s">
        <v>650</v>
      </c>
      <c r="Q3716">
        <v>28829</v>
      </c>
      <c r="R3716" t="s">
        <v>322</v>
      </c>
      <c r="S3716" t="s">
        <v>22630</v>
      </c>
      <c r="T3716">
        <v>28</v>
      </c>
      <c r="W3716" t="s">
        <v>476</v>
      </c>
      <c r="X3716" t="s">
        <v>3690</v>
      </c>
      <c r="Y3716" t="s">
        <v>22631</v>
      </c>
      <c r="Z3716" s="2" t="s">
        <v>22632</v>
      </c>
      <c r="AA3716" t="s">
        <v>22633</v>
      </c>
      <c r="AB3716" t="s">
        <v>486</v>
      </c>
      <c r="AG3716" t="s">
        <v>22634</v>
      </c>
      <c r="AH3716" t="s">
        <v>22635</v>
      </c>
      <c r="AI3716" t="s">
        <v>22636</v>
      </c>
    </row>
    <row r="3717" spans="2:35" ht="90">
      <c r="B3717" s="1">
        <v>45478</v>
      </c>
      <c r="C3717" s="4">
        <v>45478.486805555556</v>
      </c>
      <c r="D3717" t="s">
        <v>5739</v>
      </c>
      <c r="E3717" t="s">
        <v>22637</v>
      </c>
      <c r="F3717" t="s">
        <v>148</v>
      </c>
      <c r="G3717" t="s">
        <v>406</v>
      </c>
      <c r="H3717" t="s">
        <v>39</v>
      </c>
      <c r="I3717" t="s">
        <v>40</v>
      </c>
      <c r="J3717" t="s">
        <v>321</v>
      </c>
      <c r="K3717" t="s">
        <v>42</v>
      </c>
      <c r="L3717" t="s">
        <v>448</v>
      </c>
      <c r="N3717" t="s">
        <v>650</v>
      </c>
      <c r="Q3717">
        <v>28828</v>
      </c>
      <c r="R3717" t="s">
        <v>95</v>
      </c>
      <c r="S3717" t="s">
        <v>5690</v>
      </c>
      <c r="T3717">
        <v>25</v>
      </c>
      <c r="W3717" t="s">
        <v>22638</v>
      </c>
      <c r="X3717">
        <v>120002383</v>
      </c>
      <c r="Y3717" t="s">
        <v>750</v>
      </c>
      <c r="Z3717" t="s">
        <v>6430</v>
      </c>
      <c r="AA3717" s="2" t="s">
        <v>22639</v>
      </c>
      <c r="AB3717" t="s">
        <v>486</v>
      </c>
      <c r="AG3717" t="s">
        <v>22640</v>
      </c>
      <c r="AH3717" t="s">
        <v>22641</v>
      </c>
      <c r="AI3717" t="s">
        <v>22642</v>
      </c>
    </row>
    <row r="3718" spans="2:35" ht="409.5">
      <c r="B3718" s="1">
        <v>45478</v>
      </c>
      <c r="C3718" s="4">
        <v>45477.609027777777</v>
      </c>
      <c r="D3718" t="s">
        <v>5602</v>
      </c>
      <c r="E3718" t="s">
        <v>2580</v>
      </c>
      <c r="F3718" t="s">
        <v>148</v>
      </c>
      <c r="G3718" t="s">
        <v>447</v>
      </c>
      <c r="H3718" t="s">
        <v>662</v>
      </c>
      <c r="I3718" t="s">
        <v>40</v>
      </c>
      <c r="J3718" t="s">
        <v>109</v>
      </c>
      <c r="K3718" t="s">
        <v>42</v>
      </c>
      <c r="L3718" t="s">
        <v>448</v>
      </c>
      <c r="N3718" t="s">
        <v>650</v>
      </c>
      <c r="Q3718">
        <v>28827</v>
      </c>
      <c r="R3718" t="s">
        <v>322</v>
      </c>
      <c r="S3718" t="s">
        <v>5604</v>
      </c>
      <c r="T3718">
        <v>26</v>
      </c>
      <c r="U3718" s="2" t="s">
        <v>22643</v>
      </c>
      <c r="W3718" t="s">
        <v>6785</v>
      </c>
      <c r="X3718">
        <v>110005587</v>
      </c>
      <c r="Y3718" s="2" t="s">
        <v>22644</v>
      </c>
      <c r="Z3718" s="2" t="s">
        <v>2011</v>
      </c>
      <c r="AA3718" t="s">
        <v>122</v>
      </c>
      <c r="AB3718" s="2" t="s">
        <v>22645</v>
      </c>
      <c r="AG3718" t="s">
        <v>22646</v>
      </c>
      <c r="AH3718" t="s">
        <v>5609</v>
      </c>
      <c r="AI3718" t="s">
        <v>22647</v>
      </c>
    </row>
    <row r="3719" spans="2:35" ht="390">
      <c r="B3719" s="1">
        <v>45478</v>
      </c>
      <c r="C3719" s="4">
        <v>45477.586111111108</v>
      </c>
      <c r="D3719" t="s">
        <v>5602</v>
      </c>
      <c r="E3719" t="s">
        <v>2580</v>
      </c>
      <c r="F3719" t="s">
        <v>148</v>
      </c>
      <c r="G3719" t="s">
        <v>447</v>
      </c>
      <c r="H3719" t="s">
        <v>39</v>
      </c>
      <c r="I3719" t="s">
        <v>40</v>
      </c>
      <c r="J3719" t="s">
        <v>109</v>
      </c>
      <c r="K3719" t="s">
        <v>42</v>
      </c>
      <c r="L3719" t="s">
        <v>448</v>
      </c>
      <c r="N3719" t="s">
        <v>650</v>
      </c>
      <c r="Q3719">
        <v>28826</v>
      </c>
      <c r="R3719" t="s">
        <v>95</v>
      </c>
      <c r="S3719" t="s">
        <v>5604</v>
      </c>
      <c r="T3719">
        <v>28</v>
      </c>
      <c r="U3719" s="2" t="s">
        <v>22648</v>
      </c>
      <c r="W3719" t="s">
        <v>6785</v>
      </c>
      <c r="X3719">
        <v>804476</v>
      </c>
      <c r="Y3719" s="2" t="s">
        <v>22649</v>
      </c>
      <c r="Z3719" s="2" t="s">
        <v>2011</v>
      </c>
      <c r="AA3719" t="s">
        <v>122</v>
      </c>
      <c r="AB3719" s="2" t="s">
        <v>22650</v>
      </c>
      <c r="AG3719" t="s">
        <v>22651</v>
      </c>
      <c r="AH3719" t="s">
        <v>5609</v>
      </c>
      <c r="AI3719" t="s">
        <v>22652</v>
      </c>
    </row>
    <row r="3720" spans="2:35" ht="405">
      <c r="B3720" s="1">
        <v>45478</v>
      </c>
      <c r="C3720" s="4">
        <v>45477.565972222219</v>
      </c>
      <c r="D3720" t="s">
        <v>5602</v>
      </c>
      <c r="E3720" t="s">
        <v>2580</v>
      </c>
      <c r="F3720" t="s">
        <v>148</v>
      </c>
      <c r="G3720" t="s">
        <v>447</v>
      </c>
      <c r="H3720" t="s">
        <v>39</v>
      </c>
      <c r="I3720" t="s">
        <v>40</v>
      </c>
      <c r="J3720" t="s">
        <v>109</v>
      </c>
      <c r="K3720" t="s">
        <v>42</v>
      </c>
      <c r="L3720" t="s">
        <v>448</v>
      </c>
      <c r="N3720" t="s">
        <v>650</v>
      </c>
      <c r="Q3720">
        <v>28825</v>
      </c>
      <c r="R3720" t="s">
        <v>322</v>
      </c>
      <c r="S3720" t="s">
        <v>5604</v>
      </c>
      <c r="T3720">
        <v>27</v>
      </c>
      <c r="U3720" s="2" t="s">
        <v>22653</v>
      </c>
      <c r="W3720" t="s">
        <v>6121</v>
      </c>
      <c r="X3720">
        <v>838524</v>
      </c>
      <c r="Y3720" s="2" t="s">
        <v>22654</v>
      </c>
      <c r="Z3720" s="2" t="s">
        <v>2011</v>
      </c>
      <c r="AA3720" t="s">
        <v>122</v>
      </c>
      <c r="AB3720" s="2" t="s">
        <v>22655</v>
      </c>
      <c r="AG3720" t="s">
        <v>22656</v>
      </c>
      <c r="AH3720" t="s">
        <v>5609</v>
      </c>
      <c r="AI3720" t="s">
        <v>22657</v>
      </c>
    </row>
    <row r="3721" spans="2:35" ht="165">
      <c r="B3721" s="1">
        <v>45478</v>
      </c>
      <c r="C3721" s="4">
        <v>45478.661111111112</v>
      </c>
      <c r="D3721" t="s">
        <v>22658</v>
      </c>
      <c r="E3721" t="s">
        <v>22659</v>
      </c>
      <c r="F3721">
        <v>2</v>
      </c>
      <c r="G3721" t="s">
        <v>60</v>
      </c>
      <c r="H3721" t="s">
        <v>39</v>
      </c>
      <c r="I3721" t="s">
        <v>40</v>
      </c>
      <c r="J3721" t="s">
        <v>109</v>
      </c>
      <c r="K3721" t="s">
        <v>42</v>
      </c>
      <c r="L3721" t="s">
        <v>63</v>
      </c>
      <c r="N3721" t="s">
        <v>64</v>
      </c>
      <c r="Q3721">
        <v>28824</v>
      </c>
      <c r="R3721" t="s">
        <v>45</v>
      </c>
      <c r="S3721" t="s">
        <v>22660</v>
      </c>
      <c r="T3721">
        <v>29</v>
      </c>
      <c r="U3721" s="2" t="s">
        <v>17257</v>
      </c>
      <c r="W3721" t="s">
        <v>22661</v>
      </c>
      <c r="X3721">
        <v>834802</v>
      </c>
      <c r="Y3721" t="s">
        <v>22662</v>
      </c>
      <c r="Z3721" t="s">
        <v>22663</v>
      </c>
      <c r="AA3721" s="2" t="s">
        <v>1727</v>
      </c>
      <c r="AB3721" t="s">
        <v>70</v>
      </c>
      <c r="AG3721" t="s">
        <v>22664</v>
      </c>
      <c r="AH3721" t="s">
        <v>22665</v>
      </c>
      <c r="AI3721" t="s">
        <v>22666</v>
      </c>
    </row>
    <row r="3722" spans="2:35" ht="120">
      <c r="B3722" s="1">
        <v>45478</v>
      </c>
      <c r="C3722" s="4">
        <v>45478.413888888892</v>
      </c>
      <c r="D3722" t="s">
        <v>3569</v>
      </c>
      <c r="E3722" t="s">
        <v>3570</v>
      </c>
      <c r="F3722">
        <v>3</v>
      </c>
      <c r="G3722" t="s">
        <v>174</v>
      </c>
      <c r="H3722" t="s">
        <v>39</v>
      </c>
      <c r="I3722" t="s">
        <v>40</v>
      </c>
      <c r="J3722" t="s">
        <v>109</v>
      </c>
      <c r="K3722" t="s">
        <v>42</v>
      </c>
      <c r="L3722" t="s">
        <v>175</v>
      </c>
      <c r="N3722" t="s">
        <v>176</v>
      </c>
      <c r="Q3722">
        <v>28823</v>
      </c>
      <c r="R3722" t="s">
        <v>45</v>
      </c>
      <c r="S3722" t="s">
        <v>22667</v>
      </c>
      <c r="T3722">
        <v>29</v>
      </c>
      <c r="U3722" s="2" t="s">
        <v>22668</v>
      </c>
      <c r="W3722" t="s">
        <v>84</v>
      </c>
      <c r="X3722">
        <v>807624</v>
      </c>
      <c r="Y3722" t="s">
        <v>374</v>
      </c>
      <c r="Z3722" t="s">
        <v>375</v>
      </c>
      <c r="AA3722" t="e">
        <f ca="1">- checked _xludf.and cleaned cartridge bay, plunger rod, _xludf.filter
- generated reports
- performed self test</f>
        <v>#NAME?</v>
      </c>
      <c r="AB3722" s="2" t="s">
        <v>22669</v>
      </c>
      <c r="AG3722" t="s">
        <v>22670</v>
      </c>
      <c r="AH3722" t="s">
        <v>22671</v>
      </c>
      <c r="AI3722" t="s">
        <v>22672</v>
      </c>
    </row>
    <row r="3723" spans="2:35" ht="210">
      <c r="B3723" s="1">
        <v>45478</v>
      </c>
      <c r="C3723" s="4">
        <v>45478.486111111109</v>
      </c>
      <c r="D3723" t="s">
        <v>3233</v>
      </c>
      <c r="E3723" t="s">
        <v>3234</v>
      </c>
      <c r="F3723">
        <v>3</v>
      </c>
      <c r="G3723" t="s">
        <v>174</v>
      </c>
      <c r="H3723" t="s">
        <v>39</v>
      </c>
      <c r="I3723" t="s">
        <v>40</v>
      </c>
      <c r="J3723" t="s">
        <v>79</v>
      </c>
      <c r="K3723" t="s">
        <v>42</v>
      </c>
      <c r="L3723" t="s">
        <v>175</v>
      </c>
      <c r="N3723" t="s">
        <v>176</v>
      </c>
      <c r="Q3723">
        <v>28822</v>
      </c>
      <c r="R3723" t="s">
        <v>119</v>
      </c>
      <c r="S3723" t="s">
        <v>3235</v>
      </c>
      <c r="T3723">
        <v>27</v>
      </c>
      <c r="U3723" s="2" t="s">
        <v>22673</v>
      </c>
      <c r="V3723" s="1">
        <v>45478</v>
      </c>
      <c r="W3723" t="s">
        <v>84</v>
      </c>
      <c r="X3723">
        <v>831904</v>
      </c>
      <c r="Y3723" t="s">
        <v>559</v>
      </c>
      <c r="Z3723" t="s">
        <v>22674</v>
      </c>
      <c r="AA3723" t="e">
        <f ca="1">- replaced module A3
- checked _xludf.and cleaned cartridge bay, plunger rod, _xludf.filter
- generated reports
- performed self test</f>
        <v>#NAME?</v>
      </c>
      <c r="AB3723" t="s">
        <v>181</v>
      </c>
      <c r="AD3723" s="2" t="s">
        <v>22675</v>
      </c>
      <c r="AE3723" t="s">
        <v>103</v>
      </c>
      <c r="AG3723" t="s">
        <v>22676</v>
      </c>
      <c r="AH3723" t="s">
        <v>22677</v>
      </c>
      <c r="AI3723" t="s">
        <v>22678</v>
      </c>
    </row>
    <row r="3724" spans="2:35" ht="195">
      <c r="B3724" s="1">
        <v>45478</v>
      </c>
      <c r="C3724" s="4">
        <v>45464.472916666666</v>
      </c>
      <c r="D3724" t="s">
        <v>3139</v>
      </c>
      <c r="E3724" t="s">
        <v>3140</v>
      </c>
      <c r="F3724">
        <v>3</v>
      </c>
      <c r="G3724" t="s">
        <v>174</v>
      </c>
      <c r="H3724" t="s">
        <v>61</v>
      </c>
      <c r="I3724" t="s">
        <v>40</v>
      </c>
      <c r="J3724" t="s">
        <v>109</v>
      </c>
      <c r="K3724" t="s">
        <v>42</v>
      </c>
      <c r="L3724" t="s">
        <v>175</v>
      </c>
      <c r="N3724" t="s">
        <v>176</v>
      </c>
      <c r="Q3724">
        <v>28821</v>
      </c>
      <c r="R3724" t="s">
        <v>45</v>
      </c>
      <c r="S3724" t="s">
        <v>18595</v>
      </c>
      <c r="T3724">
        <v>25</v>
      </c>
      <c r="U3724" s="2" t="s">
        <v>18596</v>
      </c>
      <c r="W3724" t="s">
        <v>84</v>
      </c>
      <c r="X3724">
        <v>834623</v>
      </c>
      <c r="Y3724" t="s">
        <v>374</v>
      </c>
      <c r="Z3724" t="s">
        <v>103</v>
      </c>
      <c r="AA3724" t="e">
        <f ca="1">- checked _xludf.and cleaned cartridge bay, plunger rod, _xludf.filter
- generated reports
- performed self test</f>
        <v>#NAME?</v>
      </c>
      <c r="AB3724" t="s">
        <v>181</v>
      </c>
      <c r="AG3724" t="s">
        <v>22679</v>
      </c>
      <c r="AH3724" t="s">
        <v>18598</v>
      </c>
      <c r="AI3724" t="s">
        <v>22680</v>
      </c>
    </row>
    <row r="3725" spans="2:35" ht="405">
      <c r="B3725" s="1">
        <v>45478</v>
      </c>
      <c r="C3725" s="4">
        <v>45476.679861111108</v>
      </c>
      <c r="D3725" t="s">
        <v>16772</v>
      </c>
      <c r="E3725" t="s">
        <v>8331</v>
      </c>
      <c r="F3725" t="s">
        <v>148</v>
      </c>
      <c r="G3725" t="s">
        <v>230</v>
      </c>
      <c r="H3725" t="s">
        <v>39</v>
      </c>
      <c r="I3725" t="s">
        <v>40</v>
      </c>
      <c r="J3725" t="s">
        <v>525</v>
      </c>
      <c r="K3725" t="s">
        <v>42</v>
      </c>
      <c r="L3725" t="s">
        <v>175</v>
      </c>
      <c r="N3725" t="s">
        <v>176</v>
      </c>
      <c r="O3725" t="s">
        <v>22681</v>
      </c>
      <c r="Q3725">
        <v>28820</v>
      </c>
      <c r="R3725" t="s">
        <v>703</v>
      </c>
      <c r="S3725" t="s">
        <v>22681</v>
      </c>
      <c r="T3725">
        <v>29</v>
      </c>
      <c r="W3725" t="s">
        <v>423</v>
      </c>
      <c r="X3725">
        <v>110018312</v>
      </c>
      <c r="Y3725" t="s">
        <v>22682</v>
      </c>
      <c r="Z3725" t="s">
        <v>103</v>
      </c>
      <c r="AA3725" t="e">
        <f ca="1">- checked GeneXpert _xludf.filter
- generated reports
- performed self test
- archived tests May to June</f>
        <v>#NAME?</v>
      </c>
      <c r="AB3725" s="2" t="s">
        <v>22683</v>
      </c>
      <c r="AG3725" t="s">
        <v>22684</v>
      </c>
      <c r="AH3725" t="s">
        <v>22685</v>
      </c>
      <c r="AI3725" t="s">
        <v>22686</v>
      </c>
    </row>
    <row r="3726" spans="2:35" ht="210">
      <c r="B3726" s="1">
        <v>45478</v>
      </c>
      <c r="C3726" s="4">
        <v>45478.486111111109</v>
      </c>
      <c r="D3726" t="s">
        <v>3233</v>
      </c>
      <c r="E3726" t="s">
        <v>3234</v>
      </c>
      <c r="F3726">
        <v>3</v>
      </c>
      <c r="G3726" t="s">
        <v>174</v>
      </c>
      <c r="H3726" t="s">
        <v>39</v>
      </c>
      <c r="I3726" t="s">
        <v>40</v>
      </c>
      <c r="J3726" t="s">
        <v>79</v>
      </c>
      <c r="K3726" t="s">
        <v>42</v>
      </c>
      <c r="L3726" t="s">
        <v>175</v>
      </c>
      <c r="N3726" t="s">
        <v>176</v>
      </c>
      <c r="Q3726">
        <v>28818</v>
      </c>
      <c r="R3726" t="s">
        <v>119</v>
      </c>
      <c r="S3726" t="s">
        <v>3235</v>
      </c>
      <c r="T3726">
        <v>27</v>
      </c>
      <c r="U3726" s="2" t="s">
        <v>22673</v>
      </c>
      <c r="V3726" s="1">
        <v>45478</v>
      </c>
      <c r="W3726" t="s">
        <v>84</v>
      </c>
      <c r="X3726">
        <v>831904</v>
      </c>
      <c r="Y3726" t="s">
        <v>559</v>
      </c>
      <c r="Z3726" t="s">
        <v>22674</v>
      </c>
      <c r="AA3726" t="e">
        <f ca="1">- replaced module A3
- checked _xludf.and cleaned cartridge bay, plunger rod, _xludf.filter
- generated reports
- performed self test</f>
        <v>#NAME?</v>
      </c>
      <c r="AB3726" t="s">
        <v>181</v>
      </c>
      <c r="AD3726" s="2" t="s">
        <v>22675</v>
      </c>
      <c r="AE3726" t="s">
        <v>103</v>
      </c>
      <c r="AG3726" t="s">
        <v>22687</v>
      </c>
      <c r="AH3726" t="s">
        <v>22677</v>
      </c>
      <c r="AI3726" t="s">
        <v>22688</v>
      </c>
    </row>
    <row r="3727" spans="2:35" ht="120">
      <c r="B3727" s="1">
        <v>45478</v>
      </c>
      <c r="C3727" s="4">
        <v>45478.413888888892</v>
      </c>
      <c r="D3727" t="s">
        <v>3569</v>
      </c>
      <c r="E3727" t="s">
        <v>3570</v>
      </c>
      <c r="F3727">
        <v>3</v>
      </c>
      <c r="G3727" t="s">
        <v>174</v>
      </c>
      <c r="H3727" t="s">
        <v>39</v>
      </c>
      <c r="I3727" t="s">
        <v>40</v>
      </c>
      <c r="J3727" t="s">
        <v>109</v>
      </c>
      <c r="K3727" t="s">
        <v>42</v>
      </c>
      <c r="L3727" t="s">
        <v>175</v>
      </c>
      <c r="N3727" t="s">
        <v>176</v>
      </c>
      <c r="Q3727">
        <v>28819</v>
      </c>
      <c r="R3727" t="s">
        <v>45</v>
      </c>
      <c r="S3727" t="s">
        <v>22667</v>
      </c>
      <c r="T3727">
        <v>29</v>
      </c>
      <c r="U3727" s="2" t="s">
        <v>22668</v>
      </c>
      <c r="W3727" t="s">
        <v>84</v>
      </c>
      <c r="X3727">
        <v>807624</v>
      </c>
      <c r="Y3727" t="s">
        <v>374</v>
      </c>
      <c r="Z3727" t="s">
        <v>375</v>
      </c>
      <c r="AA3727" t="e">
        <f ca="1">- checked _xludf.and cleaned cartridge bay, plunger rod, _xludf.filter
- generated reports
- performed self test</f>
        <v>#NAME?</v>
      </c>
      <c r="AB3727" s="2" t="s">
        <v>22669</v>
      </c>
      <c r="AG3727" t="s">
        <v>22689</v>
      </c>
      <c r="AH3727" t="s">
        <v>22671</v>
      </c>
      <c r="AI3727" t="s">
        <v>22690</v>
      </c>
    </row>
    <row r="3728" spans="2:35" ht="210">
      <c r="B3728" s="1">
        <v>45478</v>
      </c>
      <c r="C3728" s="4">
        <v>45478.507638888892</v>
      </c>
      <c r="D3728" t="s">
        <v>8160</v>
      </c>
      <c r="E3728" t="s">
        <v>15636</v>
      </c>
      <c r="F3728">
        <v>11</v>
      </c>
      <c r="G3728" t="s">
        <v>1205</v>
      </c>
      <c r="H3728" t="s">
        <v>202</v>
      </c>
      <c r="I3728" t="s">
        <v>40</v>
      </c>
      <c r="J3728" s="2" t="s">
        <v>22691</v>
      </c>
      <c r="K3728" t="s">
        <v>42</v>
      </c>
      <c r="L3728" t="s">
        <v>204</v>
      </c>
      <c r="N3728" t="s">
        <v>205</v>
      </c>
      <c r="O3728" t="s">
        <v>22692</v>
      </c>
      <c r="Q3728">
        <v>28817</v>
      </c>
      <c r="R3728" t="s">
        <v>119</v>
      </c>
      <c r="S3728" t="s">
        <v>8163</v>
      </c>
      <c r="T3728">
        <v>25.9</v>
      </c>
      <c r="U3728" s="2" t="s">
        <v>22693</v>
      </c>
      <c r="W3728" t="s">
        <v>208</v>
      </c>
      <c r="X3728">
        <v>838401</v>
      </c>
      <c r="Y3728" t="s">
        <v>22694</v>
      </c>
      <c r="Z3728" t="s">
        <v>22695</v>
      </c>
      <c r="AA3728" t="s">
        <v>22696</v>
      </c>
      <c r="AB3728" s="2" t="s">
        <v>22697</v>
      </c>
      <c r="AG3728" t="s">
        <v>22698</v>
      </c>
      <c r="AH3728" t="s">
        <v>17991</v>
      </c>
      <c r="AI3728" t="s">
        <v>22699</v>
      </c>
    </row>
    <row r="3729" spans="2:35" ht="60">
      <c r="B3729" s="1">
        <v>45478</v>
      </c>
      <c r="C3729" s="4">
        <v>45478.579861111109</v>
      </c>
      <c r="D3729" t="s">
        <v>2024</v>
      </c>
      <c r="E3729" t="s">
        <v>2025</v>
      </c>
      <c r="F3729">
        <v>8</v>
      </c>
      <c r="G3729" t="s">
        <v>630</v>
      </c>
      <c r="H3729" t="s">
        <v>39</v>
      </c>
      <c r="I3729" t="s">
        <v>94</v>
      </c>
      <c r="J3729" s="2" t="s">
        <v>62</v>
      </c>
      <c r="K3729" t="s">
        <v>42</v>
      </c>
      <c r="L3729" t="s">
        <v>259</v>
      </c>
      <c r="N3729" t="s">
        <v>260</v>
      </c>
      <c r="Q3729">
        <v>28816</v>
      </c>
      <c r="R3729" t="s">
        <v>45</v>
      </c>
      <c r="S3729" t="s">
        <v>22700</v>
      </c>
      <c r="T3729">
        <v>28</v>
      </c>
      <c r="V3729" s="1">
        <v>45478</v>
      </c>
      <c r="W3729" t="s">
        <v>84</v>
      </c>
      <c r="X3729">
        <v>815271</v>
      </c>
      <c r="Y3729" t="s">
        <v>67</v>
      </c>
      <c r="Z3729" t="s">
        <v>263</v>
      </c>
      <c r="AA3729" t="e">
        <f ca="1">- performed XpertCheck CALIBRATION
- performed Preventive Maintenance</f>
        <v>#NAME?</v>
      </c>
      <c r="AB3729" t="s">
        <v>181</v>
      </c>
      <c r="AD3729" t="s">
        <v>22701</v>
      </c>
      <c r="AE3729" t="s">
        <v>45</v>
      </c>
      <c r="AG3729" t="s">
        <v>22702</v>
      </c>
      <c r="AH3729" t="s">
        <v>22703</v>
      </c>
      <c r="AI3729" t="s">
        <v>22704</v>
      </c>
    </row>
    <row r="3730" spans="2:35" ht="105">
      <c r="B3730" s="1">
        <v>45478</v>
      </c>
      <c r="C3730" s="4">
        <v>45478.566666666666</v>
      </c>
      <c r="D3730" t="s">
        <v>22705</v>
      </c>
      <c r="E3730" t="s">
        <v>22706</v>
      </c>
      <c r="F3730">
        <v>7</v>
      </c>
      <c r="G3730" t="s">
        <v>269</v>
      </c>
      <c r="H3730" t="s">
        <v>10969</v>
      </c>
      <c r="I3730" t="s">
        <v>40</v>
      </c>
      <c r="J3730" s="2" t="s">
        <v>62</v>
      </c>
      <c r="K3730" t="s">
        <v>42</v>
      </c>
      <c r="L3730" t="s">
        <v>1288</v>
      </c>
      <c r="N3730" t="s">
        <v>1289</v>
      </c>
      <c r="Q3730">
        <v>28815</v>
      </c>
      <c r="R3730" t="s">
        <v>45</v>
      </c>
      <c r="S3730" t="s">
        <v>22707</v>
      </c>
      <c r="T3730">
        <v>26</v>
      </c>
      <c r="U3730" s="2" t="s">
        <v>15357</v>
      </c>
      <c r="W3730" t="s">
        <v>1292</v>
      </c>
      <c r="X3730">
        <v>838857</v>
      </c>
      <c r="Y3730" t="e">
        <f ca="1">-_xludf.For Preventive Maintenance
-_xludf.For CALIBRATION</f>
        <v>#NAME?</v>
      </c>
      <c r="Z3730" t="e">
        <f ca="1">-COLLECT IQR,system _xludf.Log,ARCHIVE, _xludf.and CALIBRATION Data</f>
        <v>#NAME?</v>
      </c>
      <c r="AA3730" t="e">
        <f ca="1">-PERFORM Cleaning of GX EQUIPMENT
-PERFORM Preventive Maintenance PROCEDURE
-PERFORM XpertCheck CALIBRATION, ALL modules passed</f>
        <v>#NAME?</v>
      </c>
      <c r="AB3730" t="s">
        <v>1293</v>
      </c>
      <c r="AG3730" t="s">
        <v>22708</v>
      </c>
      <c r="AH3730" t="s">
        <v>22709</v>
      </c>
      <c r="AI3730" t="s">
        <v>22710</v>
      </c>
    </row>
    <row r="3731" spans="2:35" ht="105">
      <c r="B3731" s="1">
        <v>45478</v>
      </c>
      <c r="C3731" s="4">
        <v>45478.547222222223</v>
      </c>
      <c r="D3731" t="s">
        <v>5563</v>
      </c>
      <c r="E3731" t="s">
        <v>1555</v>
      </c>
      <c r="F3731">
        <v>7</v>
      </c>
      <c r="G3731" t="s">
        <v>432</v>
      </c>
      <c r="H3731" t="s">
        <v>150</v>
      </c>
      <c r="I3731" t="s">
        <v>40</v>
      </c>
      <c r="J3731" t="s">
        <v>109</v>
      </c>
      <c r="K3731" t="s">
        <v>42</v>
      </c>
      <c r="L3731" t="s">
        <v>343</v>
      </c>
      <c r="N3731" t="s">
        <v>344</v>
      </c>
      <c r="Q3731">
        <v>28814</v>
      </c>
      <c r="R3731" t="s">
        <v>119</v>
      </c>
      <c r="S3731" t="s">
        <v>5564</v>
      </c>
      <c r="T3731">
        <v>27</v>
      </c>
      <c r="U3731" s="2" t="s">
        <v>22711</v>
      </c>
      <c r="W3731" t="s">
        <v>1501</v>
      </c>
      <c r="X3731">
        <v>838561</v>
      </c>
      <c r="Y3731" t="s">
        <v>7415</v>
      </c>
      <c r="Z3731" t="e">
        <f ca="1">-Preventive Maintenance</f>
        <v>#NAME?</v>
      </c>
      <c r="AA3731" t="e">
        <f ca="1">-Preventive Maintenance</f>
        <v>#NAME?</v>
      </c>
      <c r="AB3731" t="s">
        <v>9638</v>
      </c>
      <c r="AG3731" t="s">
        <v>22712</v>
      </c>
      <c r="AH3731" t="s">
        <v>14800</v>
      </c>
      <c r="AI3731" t="s">
        <v>22713</v>
      </c>
    </row>
    <row r="3732" spans="2:35" ht="165">
      <c r="B3732" s="1">
        <v>45478</v>
      </c>
      <c r="C3732" s="4">
        <v>45478.495138888888</v>
      </c>
      <c r="D3732" t="s">
        <v>11826</v>
      </c>
      <c r="E3732" t="s">
        <v>11475</v>
      </c>
      <c r="F3732">
        <v>6</v>
      </c>
      <c r="G3732" t="s">
        <v>1234</v>
      </c>
      <c r="H3732" t="s">
        <v>258</v>
      </c>
      <c r="I3732" t="s">
        <v>40</v>
      </c>
      <c r="J3732" s="2" t="s">
        <v>62</v>
      </c>
      <c r="K3732" t="s">
        <v>42</v>
      </c>
      <c r="L3732" t="s">
        <v>270</v>
      </c>
      <c r="N3732" t="s">
        <v>2481</v>
      </c>
      <c r="Q3732">
        <v>28813</v>
      </c>
      <c r="R3732" t="s">
        <v>119</v>
      </c>
      <c r="S3732" t="s">
        <v>11476</v>
      </c>
      <c r="T3732">
        <v>25</v>
      </c>
      <c r="U3732" s="2" t="s">
        <v>22714</v>
      </c>
      <c r="W3732" t="s">
        <v>3662</v>
      </c>
      <c r="X3732">
        <v>838483</v>
      </c>
      <c r="Y3732" t="s">
        <v>22715</v>
      </c>
      <c r="Z3732" t="e">
        <f ca="1">- cleaned optics, _xludf.filter, pkunger rod, module bay areas.</f>
        <v>#NAME?</v>
      </c>
      <c r="AA3732" s="2" t="s">
        <v>22716</v>
      </c>
      <c r="AB3732" t="e">
        <f ca="1">- modules B1, B2, B4 passed XpertCheck
- module B3 Requiring service (_xludf.For Replacement)</f>
        <v>#NAME?</v>
      </c>
      <c r="AC3732" t="s">
        <v>22717</v>
      </c>
      <c r="AG3732" t="s">
        <v>22718</v>
      </c>
      <c r="AH3732" t="s">
        <v>22719</v>
      </c>
      <c r="AI3732" t="s">
        <v>22720</v>
      </c>
    </row>
    <row r="3733" spans="2:35" ht="255">
      <c r="B3733" s="1">
        <v>45478</v>
      </c>
      <c r="C3733" s="4">
        <v>45478.484027777777</v>
      </c>
      <c r="D3733" t="s">
        <v>146</v>
      </c>
      <c r="E3733" t="s">
        <v>7165</v>
      </c>
      <c r="F3733" t="s">
        <v>148</v>
      </c>
      <c r="G3733" t="s">
        <v>149</v>
      </c>
      <c r="H3733" t="s">
        <v>386</v>
      </c>
      <c r="I3733" t="s">
        <v>40</v>
      </c>
      <c r="J3733" t="s">
        <v>109</v>
      </c>
      <c r="K3733" t="s">
        <v>387</v>
      </c>
      <c r="L3733" t="s">
        <v>43</v>
      </c>
      <c r="N3733" t="s">
        <v>44</v>
      </c>
      <c r="O3733" t="s">
        <v>388</v>
      </c>
      <c r="Q3733">
        <v>28812</v>
      </c>
      <c r="R3733" t="s">
        <v>95</v>
      </c>
      <c r="S3733" t="s">
        <v>22721</v>
      </c>
      <c r="T3733">
        <v>24</v>
      </c>
      <c r="W3733" t="s">
        <v>390</v>
      </c>
      <c r="X3733" t="s">
        <v>391</v>
      </c>
      <c r="Y3733" t="s">
        <v>121</v>
      </c>
      <c r="Z3733" t="s">
        <v>122</v>
      </c>
      <c r="AA3733" s="2" t="s">
        <v>2076</v>
      </c>
      <c r="AB3733" t="s">
        <v>88</v>
      </c>
      <c r="AG3733" t="s">
        <v>22722</v>
      </c>
      <c r="AH3733" t="s">
        <v>22723</v>
      </c>
      <c r="AI3733" t="s">
        <v>22724</v>
      </c>
    </row>
    <row r="3734" spans="2:35" ht="390">
      <c r="B3734" s="1">
        <v>45478</v>
      </c>
      <c r="C3734" s="4">
        <v>45478.462500000001</v>
      </c>
      <c r="D3734" t="s">
        <v>22725</v>
      </c>
      <c r="E3734" t="s">
        <v>22726</v>
      </c>
      <c r="F3734">
        <v>1</v>
      </c>
      <c r="G3734" t="s">
        <v>1046</v>
      </c>
      <c r="H3734" t="s">
        <v>39</v>
      </c>
      <c r="I3734" t="s">
        <v>40</v>
      </c>
      <c r="J3734" s="2" t="s">
        <v>41</v>
      </c>
      <c r="K3734" t="s">
        <v>42</v>
      </c>
      <c r="L3734" t="s">
        <v>135</v>
      </c>
      <c r="N3734" t="s">
        <v>136</v>
      </c>
      <c r="Q3734">
        <v>28811</v>
      </c>
      <c r="R3734" t="s">
        <v>45</v>
      </c>
      <c r="S3734" t="s">
        <v>22727</v>
      </c>
      <c r="T3734">
        <v>28</v>
      </c>
      <c r="U3734" s="2" t="s">
        <v>22728</v>
      </c>
      <c r="V3734" s="1">
        <v>45476</v>
      </c>
      <c r="W3734" t="s">
        <v>2680</v>
      </c>
      <c r="X3734">
        <v>815394</v>
      </c>
      <c r="Y3734" t="s">
        <v>22729</v>
      </c>
      <c r="Z3734" s="2" t="s">
        <v>140</v>
      </c>
      <c r="AA3734" s="2" t="s">
        <v>5713</v>
      </c>
      <c r="AB3734" t="s">
        <v>9590</v>
      </c>
      <c r="AD3734" t="s">
        <v>22730</v>
      </c>
      <c r="AE3734">
        <v>49022</v>
      </c>
      <c r="AG3734" t="s">
        <v>22731</v>
      </c>
      <c r="AH3734" t="s">
        <v>22732</v>
      </c>
      <c r="AI3734" t="s">
        <v>22733</v>
      </c>
    </row>
    <row r="3735" spans="2:35" ht="270">
      <c r="B3735" s="1">
        <v>45478</v>
      </c>
      <c r="C3735" s="4">
        <v>45478.462500000001</v>
      </c>
      <c r="D3735" t="s">
        <v>146</v>
      </c>
      <c r="E3735" t="s">
        <v>22734</v>
      </c>
      <c r="F3735" t="s">
        <v>148</v>
      </c>
      <c r="G3735" t="s">
        <v>149</v>
      </c>
      <c r="H3735" t="s">
        <v>150</v>
      </c>
      <c r="I3735" t="s">
        <v>40</v>
      </c>
      <c r="J3735" t="s">
        <v>109</v>
      </c>
      <c r="K3735" t="s">
        <v>42</v>
      </c>
      <c r="L3735" t="s">
        <v>43</v>
      </c>
      <c r="N3735" t="s">
        <v>44</v>
      </c>
      <c r="O3735" t="s">
        <v>388</v>
      </c>
      <c r="Q3735">
        <v>28810</v>
      </c>
      <c r="R3735" t="s">
        <v>95</v>
      </c>
      <c r="S3735" t="s">
        <v>22735</v>
      </c>
      <c r="T3735">
        <v>24</v>
      </c>
      <c r="U3735" s="2" t="s">
        <v>22736</v>
      </c>
      <c r="W3735" t="s">
        <v>153</v>
      </c>
      <c r="X3735">
        <v>110003714</v>
      </c>
      <c r="Y3735" t="s">
        <v>121</v>
      </c>
      <c r="Z3735" t="s">
        <v>122</v>
      </c>
      <c r="AA3735" s="2" t="s">
        <v>13884</v>
      </c>
      <c r="AB3735" t="s">
        <v>548</v>
      </c>
      <c r="AC3735" t="s">
        <v>22737</v>
      </c>
      <c r="AG3735" t="s">
        <v>22738</v>
      </c>
      <c r="AH3735" t="s">
        <v>6444</v>
      </c>
      <c r="AI3735" t="s">
        <v>22739</v>
      </c>
    </row>
    <row r="3736" spans="2:35" ht="210">
      <c r="B3736" s="1">
        <v>45478</v>
      </c>
      <c r="C3736" s="4">
        <v>45477.654166666667</v>
      </c>
      <c r="D3736" t="s">
        <v>542</v>
      </c>
      <c r="E3736" t="s">
        <v>4589</v>
      </c>
      <c r="F3736" t="s">
        <v>148</v>
      </c>
      <c r="G3736" t="s">
        <v>544</v>
      </c>
      <c r="H3736" t="s">
        <v>39</v>
      </c>
      <c r="I3736" t="s">
        <v>40</v>
      </c>
      <c r="J3736" t="s">
        <v>79</v>
      </c>
      <c r="K3736" t="s">
        <v>42</v>
      </c>
      <c r="L3736" t="s">
        <v>43</v>
      </c>
      <c r="N3736" t="s">
        <v>44</v>
      </c>
      <c r="Q3736">
        <v>28809</v>
      </c>
      <c r="R3736" t="s">
        <v>45</v>
      </c>
      <c r="S3736" t="s">
        <v>15929</v>
      </c>
      <c r="T3736">
        <v>24</v>
      </c>
      <c r="U3736" s="2" t="s">
        <v>22740</v>
      </c>
      <c r="V3736" s="1">
        <v>45477</v>
      </c>
      <c r="W3736" t="s">
        <v>48</v>
      </c>
      <c r="X3736">
        <v>805211</v>
      </c>
      <c r="Y3736" t="s">
        <v>2514</v>
      </c>
      <c r="Z3736" t="s">
        <v>233</v>
      </c>
      <c r="AA3736" s="2" t="s">
        <v>22741</v>
      </c>
      <c r="AB3736" t="s">
        <v>548</v>
      </c>
      <c r="AD3736" s="2" t="s">
        <v>22742</v>
      </c>
      <c r="AE3736" t="s">
        <v>54</v>
      </c>
      <c r="AG3736" t="s">
        <v>22743</v>
      </c>
      <c r="AH3736" t="s">
        <v>19310</v>
      </c>
      <c r="AI3736" t="s">
        <v>22744</v>
      </c>
    </row>
    <row r="3737" spans="2:35" ht="409.5">
      <c r="B3737" s="1">
        <v>45478</v>
      </c>
      <c r="C3737" s="4">
        <v>45476.504166666666</v>
      </c>
      <c r="D3737" t="s">
        <v>1203</v>
      </c>
      <c r="E3737" t="s">
        <v>22745</v>
      </c>
      <c r="F3737">
        <v>11</v>
      </c>
      <c r="G3737" t="s">
        <v>1205</v>
      </c>
      <c r="H3737" t="s">
        <v>22746</v>
      </c>
      <c r="I3737" t="s">
        <v>40</v>
      </c>
      <c r="J3737" t="s">
        <v>321</v>
      </c>
      <c r="K3737" t="s">
        <v>42</v>
      </c>
      <c r="L3737" t="s">
        <v>204</v>
      </c>
      <c r="N3737" t="s">
        <v>205</v>
      </c>
      <c r="Q3737">
        <v>28808</v>
      </c>
      <c r="R3737" t="s">
        <v>967</v>
      </c>
      <c r="S3737" t="s">
        <v>1206</v>
      </c>
      <c r="T3737">
        <v>24.6</v>
      </c>
      <c r="V3737" s="1">
        <v>45463</v>
      </c>
      <c r="W3737" t="s">
        <v>2550</v>
      </c>
      <c r="X3737">
        <v>110023506</v>
      </c>
      <c r="Y3737" t="s">
        <v>22747</v>
      </c>
      <c r="Z3737" s="2" t="s">
        <v>22748</v>
      </c>
      <c r="AA3737" t="s">
        <v>22749</v>
      </c>
      <c r="AB3737" s="2" t="s">
        <v>22750</v>
      </c>
      <c r="AE3737" t="s">
        <v>22751</v>
      </c>
      <c r="AG3737" t="s">
        <v>22752</v>
      </c>
      <c r="AH3737" t="s">
        <v>22753</v>
      </c>
      <c r="AI3737" t="s">
        <v>22754</v>
      </c>
    </row>
    <row r="3738" spans="2:35" ht="105">
      <c r="B3738" s="1">
        <v>45478</v>
      </c>
      <c r="C3738" s="4">
        <v>45478.347222222219</v>
      </c>
      <c r="D3738" t="s">
        <v>11901</v>
      </c>
      <c r="E3738" t="s">
        <v>11902</v>
      </c>
      <c r="F3738">
        <v>6</v>
      </c>
      <c r="G3738" t="s">
        <v>1234</v>
      </c>
      <c r="H3738" t="s">
        <v>258</v>
      </c>
      <c r="I3738" t="s">
        <v>94</v>
      </c>
      <c r="J3738" s="2" t="s">
        <v>41</v>
      </c>
      <c r="K3738" t="s">
        <v>42</v>
      </c>
      <c r="L3738" t="s">
        <v>270</v>
      </c>
      <c r="N3738" t="s">
        <v>2481</v>
      </c>
      <c r="Q3738">
        <v>28807</v>
      </c>
      <c r="R3738" t="s">
        <v>45</v>
      </c>
      <c r="S3738" t="s">
        <v>22755</v>
      </c>
      <c r="T3738">
        <v>24</v>
      </c>
      <c r="U3738" s="2" t="s">
        <v>22756</v>
      </c>
      <c r="W3738" t="s">
        <v>3662</v>
      </c>
      <c r="X3738">
        <v>804838</v>
      </c>
      <c r="Y3738" t="s">
        <v>22757</v>
      </c>
      <c r="Z3738" t="s">
        <v>22758</v>
      </c>
      <c r="AA3738" t="s">
        <v>22759</v>
      </c>
      <c r="AB3738" t="s">
        <v>4668</v>
      </c>
      <c r="AG3738" t="s">
        <v>22760</v>
      </c>
      <c r="AH3738" t="s">
        <v>22761</v>
      </c>
      <c r="AI3738" t="s">
        <v>22762</v>
      </c>
    </row>
    <row r="3739" spans="2:35" ht="120">
      <c r="B3739" s="1">
        <v>45478</v>
      </c>
      <c r="C3739" s="4">
        <v>45478.340277777781</v>
      </c>
      <c r="D3739" t="s">
        <v>22763</v>
      </c>
      <c r="E3739" t="s">
        <v>22764</v>
      </c>
      <c r="F3739" t="s">
        <v>148</v>
      </c>
      <c r="G3739" t="s">
        <v>22765</v>
      </c>
      <c r="H3739" t="s">
        <v>39</v>
      </c>
      <c r="I3739" t="s">
        <v>40</v>
      </c>
      <c r="J3739" t="s">
        <v>79</v>
      </c>
      <c r="K3739" t="s">
        <v>42</v>
      </c>
      <c r="L3739" t="s">
        <v>175</v>
      </c>
      <c r="N3739" t="s">
        <v>176</v>
      </c>
      <c r="Q3739">
        <v>28806</v>
      </c>
      <c r="R3739" t="s">
        <v>45</v>
      </c>
      <c r="S3739" t="s">
        <v>22766</v>
      </c>
      <c r="T3739">
        <v>25</v>
      </c>
      <c r="V3739" s="1">
        <v>45478</v>
      </c>
      <c r="W3739" t="s">
        <v>84</v>
      </c>
      <c r="X3739">
        <v>804715</v>
      </c>
      <c r="Y3739" t="s">
        <v>22767</v>
      </c>
      <c r="Z3739" t="s">
        <v>22768</v>
      </c>
      <c r="AA3739" t="e">
        <f ca="1">- replaced B2, B3, B4
- generated reports
- performed self test</f>
        <v>#NAME?</v>
      </c>
      <c r="AB3739" t="s">
        <v>181</v>
      </c>
      <c r="AD3739" s="2" t="s">
        <v>22769</v>
      </c>
      <c r="AE3739" t="s">
        <v>103</v>
      </c>
      <c r="AG3739" t="s">
        <v>22770</v>
      </c>
      <c r="AH3739" t="s">
        <v>22771</v>
      </c>
      <c r="AI3739" t="s">
        <v>22772</v>
      </c>
    </row>
    <row r="3740" spans="2:35" ht="255">
      <c r="B3740" s="1">
        <v>45478</v>
      </c>
      <c r="C3740" s="4">
        <v>45478.286805555559</v>
      </c>
      <c r="D3740" t="s">
        <v>22773</v>
      </c>
      <c r="E3740" t="s">
        <v>22774</v>
      </c>
      <c r="F3740">
        <v>12</v>
      </c>
      <c r="G3740" t="s">
        <v>978</v>
      </c>
      <c r="H3740" t="s">
        <v>21475</v>
      </c>
      <c r="I3740" t="s">
        <v>40</v>
      </c>
      <c r="J3740" t="s">
        <v>109</v>
      </c>
      <c r="K3740" t="s">
        <v>42</v>
      </c>
      <c r="L3740" t="s">
        <v>296</v>
      </c>
      <c r="N3740" t="s">
        <v>297</v>
      </c>
      <c r="Q3740">
        <v>28805</v>
      </c>
      <c r="R3740" t="s">
        <v>95</v>
      </c>
      <c r="S3740" t="s">
        <v>5043</v>
      </c>
      <c r="T3740">
        <v>24.5</v>
      </c>
      <c r="U3740" s="2" t="s">
        <v>22775</v>
      </c>
      <c r="W3740" t="s">
        <v>22229</v>
      </c>
      <c r="X3740">
        <v>831313</v>
      </c>
      <c r="Y3740" s="2" t="s">
        <v>22776</v>
      </c>
      <c r="Z3740" s="2" t="s">
        <v>22777</v>
      </c>
      <c r="AA3740" t="s">
        <v>9161</v>
      </c>
      <c r="AB3740" s="2" t="s">
        <v>22778</v>
      </c>
      <c r="AG3740" t="s">
        <v>22779</v>
      </c>
      <c r="AH3740" t="s">
        <v>22780</v>
      </c>
      <c r="AI3740" t="s">
        <v>22781</v>
      </c>
    </row>
    <row r="3741" spans="2:35" ht="105">
      <c r="B3741" s="1">
        <v>45477</v>
      </c>
      <c r="C3741" s="4">
        <v>45477.772222222222</v>
      </c>
      <c r="D3741" t="s">
        <v>22782</v>
      </c>
      <c r="E3741" t="s">
        <v>22783</v>
      </c>
      <c r="F3741">
        <v>7</v>
      </c>
      <c r="G3741" t="s">
        <v>269</v>
      </c>
      <c r="H3741" t="s">
        <v>10969</v>
      </c>
      <c r="I3741" t="s">
        <v>40</v>
      </c>
      <c r="J3741" t="s">
        <v>996</v>
      </c>
      <c r="K3741" t="s">
        <v>42</v>
      </c>
      <c r="L3741" t="s">
        <v>1288</v>
      </c>
      <c r="N3741" t="s">
        <v>1289</v>
      </c>
      <c r="Q3741">
        <v>28804</v>
      </c>
      <c r="R3741" t="s">
        <v>45</v>
      </c>
      <c r="S3741" t="s">
        <v>22784</v>
      </c>
      <c r="T3741">
        <v>29</v>
      </c>
      <c r="U3741" s="2" t="s">
        <v>1509</v>
      </c>
      <c r="W3741" t="s">
        <v>1292</v>
      </c>
      <c r="X3741">
        <v>805275</v>
      </c>
      <c r="Y3741" t="e">
        <f ca="1">-_xludf.For CALIBRATION</f>
        <v>#NAME?</v>
      </c>
      <c r="Z3741" t="e">
        <f ca="1">-COLLECT CALIBRATION Data _xludf.and IQR</f>
        <v>#NAME?</v>
      </c>
      <c r="AA3741" t="e">
        <f ca="1">-PERFORM CALIBRATION PROCEDURE, ALL modules passed</f>
        <v>#NAME?</v>
      </c>
      <c r="AB3741" t="s">
        <v>1293</v>
      </c>
      <c r="AG3741" t="s">
        <v>22785</v>
      </c>
      <c r="AH3741" t="s">
        <v>22786</v>
      </c>
      <c r="AI3741" t="s">
        <v>22787</v>
      </c>
    </row>
    <row r="3742" spans="2:35" ht="409.5">
      <c r="B3742" s="1">
        <v>45477</v>
      </c>
      <c r="C3742" s="4">
        <v>45477.627083333333</v>
      </c>
      <c r="D3742" t="s">
        <v>5932</v>
      </c>
      <c r="E3742" t="s">
        <v>7642</v>
      </c>
      <c r="F3742">
        <v>11</v>
      </c>
      <c r="G3742" t="s">
        <v>2836</v>
      </c>
      <c r="H3742" t="s">
        <v>202</v>
      </c>
      <c r="I3742" t="s">
        <v>40</v>
      </c>
      <c r="J3742" s="2" t="s">
        <v>4208</v>
      </c>
      <c r="K3742" t="s">
        <v>42</v>
      </c>
      <c r="L3742" t="s">
        <v>204</v>
      </c>
      <c r="N3742" t="s">
        <v>205</v>
      </c>
      <c r="Q3742">
        <v>28803</v>
      </c>
      <c r="R3742" t="s">
        <v>119</v>
      </c>
      <c r="S3742" t="s">
        <v>7643</v>
      </c>
      <c r="T3742">
        <v>26.9</v>
      </c>
      <c r="U3742" s="2" t="s">
        <v>22788</v>
      </c>
      <c r="W3742" t="s">
        <v>208</v>
      </c>
      <c r="X3742">
        <v>838553</v>
      </c>
      <c r="Y3742" t="s">
        <v>22789</v>
      </c>
      <c r="Z3742" s="2" t="s">
        <v>22790</v>
      </c>
      <c r="AA3742" t="s">
        <v>22791</v>
      </c>
      <c r="AB3742" s="2" t="s">
        <v>22792</v>
      </c>
      <c r="AG3742" t="s">
        <v>22793</v>
      </c>
      <c r="AH3742" t="s">
        <v>22794</v>
      </c>
      <c r="AI3742" t="s">
        <v>22795</v>
      </c>
    </row>
    <row r="3743" spans="2:35" ht="285">
      <c r="B3743" s="1">
        <v>45477</v>
      </c>
      <c r="C3743" s="4">
        <v>45477.676388888889</v>
      </c>
      <c r="D3743" t="s">
        <v>10321</v>
      </c>
      <c r="E3743" t="s">
        <v>10322</v>
      </c>
      <c r="F3743">
        <v>2</v>
      </c>
      <c r="G3743" t="s">
        <v>2723</v>
      </c>
      <c r="H3743" t="s">
        <v>39</v>
      </c>
      <c r="I3743" t="s">
        <v>40</v>
      </c>
      <c r="J3743" s="2" t="s">
        <v>62</v>
      </c>
      <c r="K3743" t="s">
        <v>42</v>
      </c>
      <c r="L3743" t="s">
        <v>63</v>
      </c>
      <c r="N3743" t="s">
        <v>64</v>
      </c>
      <c r="Q3743">
        <v>28802</v>
      </c>
      <c r="R3743" t="s">
        <v>119</v>
      </c>
      <c r="S3743" t="s">
        <v>10323</v>
      </c>
      <c r="T3743">
        <v>25</v>
      </c>
      <c r="U3743" s="2" t="s">
        <v>2894</v>
      </c>
      <c r="W3743" t="s">
        <v>66</v>
      </c>
      <c r="X3743">
        <v>838531</v>
      </c>
      <c r="Y3743" t="s">
        <v>22796</v>
      </c>
      <c r="Z3743" s="2" t="s">
        <v>22797</v>
      </c>
      <c r="AA3743" s="2" t="s">
        <v>1727</v>
      </c>
      <c r="AB3743" t="s">
        <v>70</v>
      </c>
      <c r="AG3743" t="s">
        <v>22798</v>
      </c>
      <c r="AH3743" t="s">
        <v>19737</v>
      </c>
      <c r="AI3743" t="s">
        <v>22799</v>
      </c>
    </row>
    <row r="3744" spans="2:35" ht="225">
      <c r="B3744" s="1">
        <v>45477</v>
      </c>
      <c r="C3744" s="4">
        <v>45477.612500000003</v>
      </c>
      <c r="D3744" t="s">
        <v>3502</v>
      </c>
      <c r="E3744" t="s">
        <v>3503</v>
      </c>
      <c r="F3744">
        <v>6</v>
      </c>
      <c r="G3744" t="s">
        <v>1507</v>
      </c>
      <c r="H3744" t="s">
        <v>39</v>
      </c>
      <c r="I3744" t="s">
        <v>40</v>
      </c>
      <c r="J3744" s="2" t="s">
        <v>1370</v>
      </c>
      <c r="K3744" t="s">
        <v>42</v>
      </c>
      <c r="L3744" t="s">
        <v>433</v>
      </c>
      <c r="N3744" t="s">
        <v>434</v>
      </c>
      <c r="Q3744">
        <v>28801</v>
      </c>
      <c r="R3744" t="s">
        <v>45</v>
      </c>
      <c r="S3744" t="s">
        <v>3504</v>
      </c>
      <c r="T3744">
        <v>28</v>
      </c>
      <c r="W3744" t="s">
        <v>1008</v>
      </c>
      <c r="X3744">
        <v>815280</v>
      </c>
      <c r="Y3744" t="s">
        <v>22800</v>
      </c>
      <c r="Z3744" s="2" t="s">
        <v>22801</v>
      </c>
      <c r="AA3744" s="2" t="s">
        <v>22802</v>
      </c>
      <c r="AB3744" s="2" t="s">
        <v>22803</v>
      </c>
      <c r="AG3744" t="s">
        <v>22804</v>
      </c>
      <c r="AH3744" t="s">
        <v>3509</v>
      </c>
      <c r="AI3744" t="s">
        <v>22805</v>
      </c>
    </row>
    <row r="3745" spans="2:35" ht="225">
      <c r="B3745" s="1">
        <v>45477</v>
      </c>
      <c r="C3745" s="4">
        <v>45477.48541666667</v>
      </c>
      <c r="D3745" t="s">
        <v>542</v>
      </c>
      <c r="E3745" t="s">
        <v>4589</v>
      </c>
      <c r="F3745" t="s">
        <v>148</v>
      </c>
      <c r="G3745" t="s">
        <v>544</v>
      </c>
      <c r="H3745" t="s">
        <v>39</v>
      </c>
      <c r="I3745" t="s">
        <v>40</v>
      </c>
      <c r="J3745" t="s">
        <v>109</v>
      </c>
      <c r="K3745" t="s">
        <v>42</v>
      </c>
      <c r="L3745" t="s">
        <v>43</v>
      </c>
      <c r="N3745" t="s">
        <v>44</v>
      </c>
      <c r="Q3745">
        <v>28800</v>
      </c>
      <c r="R3745" t="s">
        <v>45</v>
      </c>
      <c r="S3745" t="s">
        <v>15929</v>
      </c>
      <c r="T3745">
        <v>24</v>
      </c>
      <c r="U3745" s="2" t="s">
        <v>22806</v>
      </c>
      <c r="W3745" t="s">
        <v>153</v>
      </c>
      <c r="X3745">
        <v>110020361</v>
      </c>
      <c r="Y3745" t="s">
        <v>121</v>
      </c>
      <c r="Z3745" t="s">
        <v>122</v>
      </c>
      <c r="AA3745" s="2" t="s">
        <v>9740</v>
      </c>
      <c r="AB3745" t="s">
        <v>548</v>
      </c>
      <c r="AG3745" t="s">
        <v>22807</v>
      </c>
      <c r="AH3745" t="s">
        <v>19310</v>
      </c>
      <c r="AI3745" t="s">
        <v>22808</v>
      </c>
    </row>
    <row r="3746" spans="2:35" ht="270">
      <c r="B3746" s="1">
        <v>45477</v>
      </c>
      <c r="C3746" s="4">
        <v>45477.615277777775</v>
      </c>
      <c r="D3746" t="s">
        <v>22809</v>
      </c>
      <c r="E3746" t="s">
        <v>11636</v>
      </c>
      <c r="F3746" t="s">
        <v>148</v>
      </c>
      <c r="G3746" t="s">
        <v>544</v>
      </c>
      <c r="H3746" t="s">
        <v>39</v>
      </c>
      <c r="I3746" t="s">
        <v>40</v>
      </c>
      <c r="J3746" s="2" t="s">
        <v>41</v>
      </c>
      <c r="K3746" t="s">
        <v>42</v>
      </c>
      <c r="L3746" t="s">
        <v>43</v>
      </c>
      <c r="N3746" t="s">
        <v>44</v>
      </c>
      <c r="Q3746">
        <v>28799</v>
      </c>
      <c r="R3746" t="s">
        <v>45</v>
      </c>
      <c r="S3746" t="s">
        <v>22810</v>
      </c>
      <c r="T3746">
        <v>20</v>
      </c>
      <c r="U3746" s="2" t="s">
        <v>22811</v>
      </c>
      <c r="V3746" s="1">
        <v>45477</v>
      </c>
      <c r="W3746" t="s">
        <v>3178</v>
      </c>
      <c r="X3746">
        <v>844113</v>
      </c>
      <c r="Y3746" t="s">
        <v>559</v>
      </c>
      <c r="Z3746" t="s">
        <v>335</v>
      </c>
      <c r="AA3746" s="2" t="s">
        <v>22812</v>
      </c>
      <c r="AB3746" t="s">
        <v>548</v>
      </c>
      <c r="AD3746" s="2" t="s">
        <v>22813</v>
      </c>
      <c r="AE3746" t="s">
        <v>54</v>
      </c>
      <c r="AG3746" t="s">
        <v>22814</v>
      </c>
      <c r="AH3746" t="s">
        <v>22815</v>
      </c>
      <c r="AI3746" t="s">
        <v>22816</v>
      </c>
    </row>
    <row r="3747" spans="2:35" ht="225">
      <c r="B3747" s="1">
        <v>45477</v>
      </c>
      <c r="C3747" s="4">
        <v>45477.584027777775</v>
      </c>
      <c r="D3747" t="s">
        <v>22809</v>
      </c>
      <c r="E3747" t="s">
        <v>11636</v>
      </c>
      <c r="F3747" t="s">
        <v>148</v>
      </c>
      <c r="G3747" t="s">
        <v>544</v>
      </c>
      <c r="H3747" t="s">
        <v>39</v>
      </c>
      <c r="I3747" t="s">
        <v>40</v>
      </c>
      <c r="J3747" t="s">
        <v>109</v>
      </c>
      <c r="K3747" t="s">
        <v>42</v>
      </c>
      <c r="L3747" t="s">
        <v>43</v>
      </c>
      <c r="N3747" t="s">
        <v>44</v>
      </c>
      <c r="Q3747">
        <v>28798</v>
      </c>
      <c r="R3747" t="s">
        <v>45</v>
      </c>
      <c r="S3747" t="s">
        <v>22817</v>
      </c>
      <c r="T3747">
        <v>24</v>
      </c>
      <c r="U3747" s="2" t="s">
        <v>22818</v>
      </c>
      <c r="W3747" t="s">
        <v>48</v>
      </c>
      <c r="X3747">
        <v>807982</v>
      </c>
      <c r="Y3747" t="s">
        <v>121</v>
      </c>
      <c r="Z3747" t="s">
        <v>122</v>
      </c>
      <c r="AA3747" s="2" t="s">
        <v>9740</v>
      </c>
      <c r="AB3747" t="s">
        <v>548</v>
      </c>
      <c r="AG3747" t="s">
        <v>22819</v>
      </c>
      <c r="AH3747" t="s">
        <v>22820</v>
      </c>
      <c r="AI3747" t="s">
        <v>22821</v>
      </c>
    </row>
    <row r="3748" spans="2:35" ht="270">
      <c r="B3748" s="1">
        <v>45477</v>
      </c>
      <c r="C3748" s="4">
        <v>45477.615277777775</v>
      </c>
      <c r="D3748" t="s">
        <v>22809</v>
      </c>
      <c r="E3748" t="s">
        <v>11636</v>
      </c>
      <c r="F3748" t="s">
        <v>148</v>
      </c>
      <c r="G3748" t="s">
        <v>544</v>
      </c>
      <c r="H3748" t="s">
        <v>39</v>
      </c>
      <c r="I3748" t="s">
        <v>40</v>
      </c>
      <c r="J3748" s="2" t="s">
        <v>41</v>
      </c>
      <c r="K3748" t="s">
        <v>42</v>
      </c>
      <c r="L3748" t="s">
        <v>43</v>
      </c>
      <c r="N3748" t="s">
        <v>44</v>
      </c>
      <c r="Q3748">
        <v>28797</v>
      </c>
      <c r="R3748" t="s">
        <v>45</v>
      </c>
      <c r="S3748" t="s">
        <v>22810</v>
      </c>
      <c r="T3748">
        <v>20</v>
      </c>
      <c r="U3748" s="2" t="s">
        <v>22811</v>
      </c>
      <c r="V3748" s="1">
        <v>45477</v>
      </c>
      <c r="W3748" t="s">
        <v>3178</v>
      </c>
      <c r="X3748">
        <v>844113</v>
      </c>
      <c r="Y3748" t="s">
        <v>559</v>
      </c>
      <c r="Z3748" t="s">
        <v>335</v>
      </c>
      <c r="AA3748" s="2" t="s">
        <v>22812</v>
      </c>
      <c r="AB3748" t="s">
        <v>548</v>
      </c>
      <c r="AD3748" s="2" t="s">
        <v>22813</v>
      </c>
      <c r="AE3748" t="s">
        <v>54</v>
      </c>
      <c r="AG3748" t="s">
        <v>22822</v>
      </c>
      <c r="AH3748" t="s">
        <v>22815</v>
      </c>
      <c r="AI3748" t="s">
        <v>22823</v>
      </c>
    </row>
    <row r="3749" spans="2:35" ht="225">
      <c r="B3749" s="1">
        <v>45477</v>
      </c>
      <c r="C3749" s="4">
        <v>45477.486805555556</v>
      </c>
      <c r="D3749" t="s">
        <v>542</v>
      </c>
      <c r="E3749" t="s">
        <v>4589</v>
      </c>
      <c r="F3749" t="s">
        <v>148</v>
      </c>
      <c r="G3749" t="s">
        <v>544</v>
      </c>
      <c r="H3749" t="s">
        <v>39</v>
      </c>
      <c r="I3749" t="s">
        <v>40</v>
      </c>
      <c r="J3749" t="s">
        <v>109</v>
      </c>
      <c r="K3749" t="s">
        <v>42</v>
      </c>
      <c r="L3749" t="s">
        <v>43</v>
      </c>
      <c r="N3749" t="s">
        <v>44</v>
      </c>
      <c r="Q3749">
        <v>28796</v>
      </c>
      <c r="R3749" t="s">
        <v>322</v>
      </c>
      <c r="S3749" t="s">
        <v>15929</v>
      </c>
      <c r="T3749">
        <v>24</v>
      </c>
      <c r="U3749" s="2" t="s">
        <v>22824</v>
      </c>
      <c r="W3749" t="s">
        <v>153</v>
      </c>
      <c r="X3749">
        <v>120000613</v>
      </c>
      <c r="Y3749" t="s">
        <v>121</v>
      </c>
      <c r="Z3749" t="s">
        <v>122</v>
      </c>
      <c r="AA3749" s="2" t="s">
        <v>9740</v>
      </c>
      <c r="AB3749" t="s">
        <v>548</v>
      </c>
      <c r="AG3749" t="s">
        <v>22825</v>
      </c>
      <c r="AH3749" t="s">
        <v>19310</v>
      </c>
      <c r="AI3749" t="s">
        <v>22826</v>
      </c>
    </row>
    <row r="3750" spans="2:35" ht="225">
      <c r="B3750" s="1">
        <v>45477</v>
      </c>
      <c r="C3750" s="4">
        <v>45477.482638888891</v>
      </c>
      <c r="D3750" t="s">
        <v>542</v>
      </c>
      <c r="E3750">
        <v>805211</v>
      </c>
      <c r="F3750" t="s">
        <v>148</v>
      </c>
      <c r="G3750" t="s">
        <v>544</v>
      </c>
      <c r="H3750" t="s">
        <v>39</v>
      </c>
      <c r="I3750" t="s">
        <v>40</v>
      </c>
      <c r="J3750" t="s">
        <v>109</v>
      </c>
      <c r="K3750" t="s">
        <v>42</v>
      </c>
      <c r="L3750" t="s">
        <v>43</v>
      </c>
      <c r="N3750" t="s">
        <v>44</v>
      </c>
      <c r="Q3750">
        <v>28795</v>
      </c>
      <c r="R3750" t="s">
        <v>45</v>
      </c>
      <c r="S3750" t="s">
        <v>15929</v>
      </c>
      <c r="T3750">
        <v>24</v>
      </c>
      <c r="U3750" s="2" t="s">
        <v>22827</v>
      </c>
      <c r="W3750" t="s">
        <v>48</v>
      </c>
      <c r="X3750">
        <v>805211</v>
      </c>
      <c r="Y3750" t="s">
        <v>121</v>
      </c>
      <c r="Z3750" t="s">
        <v>122</v>
      </c>
      <c r="AA3750" s="2" t="s">
        <v>9740</v>
      </c>
      <c r="AB3750" t="s">
        <v>548</v>
      </c>
      <c r="AG3750" t="s">
        <v>22828</v>
      </c>
      <c r="AH3750" t="s">
        <v>19310</v>
      </c>
      <c r="AI3750" t="s">
        <v>22829</v>
      </c>
    </row>
    <row r="3751" spans="2:35" ht="225">
      <c r="B3751" s="1">
        <v>45477</v>
      </c>
      <c r="C3751" s="4">
        <v>45477.584027777775</v>
      </c>
      <c r="D3751" t="s">
        <v>22809</v>
      </c>
      <c r="E3751" t="s">
        <v>11636</v>
      </c>
      <c r="F3751" t="s">
        <v>148</v>
      </c>
      <c r="G3751" t="s">
        <v>544</v>
      </c>
      <c r="H3751" t="s">
        <v>39</v>
      </c>
      <c r="I3751" t="s">
        <v>40</v>
      </c>
      <c r="J3751" t="s">
        <v>109</v>
      </c>
      <c r="K3751" t="s">
        <v>42</v>
      </c>
      <c r="L3751" t="s">
        <v>43</v>
      </c>
      <c r="N3751" t="s">
        <v>44</v>
      </c>
      <c r="Q3751">
        <v>28792</v>
      </c>
      <c r="R3751" t="s">
        <v>45</v>
      </c>
      <c r="S3751" t="s">
        <v>22817</v>
      </c>
      <c r="T3751">
        <v>24</v>
      </c>
      <c r="U3751" s="2" t="s">
        <v>22818</v>
      </c>
      <c r="W3751" t="s">
        <v>48</v>
      </c>
      <c r="X3751">
        <v>807982</v>
      </c>
      <c r="Y3751" t="s">
        <v>121</v>
      </c>
      <c r="Z3751" t="s">
        <v>122</v>
      </c>
      <c r="AA3751" s="2" t="s">
        <v>9740</v>
      </c>
      <c r="AB3751" t="s">
        <v>548</v>
      </c>
      <c r="AG3751" t="s">
        <v>22830</v>
      </c>
      <c r="AH3751" t="s">
        <v>22820</v>
      </c>
      <c r="AI3751" t="s">
        <v>22831</v>
      </c>
    </row>
    <row r="3752" spans="2:35" ht="225">
      <c r="B3752" s="1">
        <v>45477</v>
      </c>
      <c r="C3752" s="4">
        <v>45477.48541666667</v>
      </c>
      <c r="D3752" t="s">
        <v>542</v>
      </c>
      <c r="E3752" t="s">
        <v>4589</v>
      </c>
      <c r="F3752" t="s">
        <v>148</v>
      </c>
      <c r="G3752" t="s">
        <v>544</v>
      </c>
      <c r="H3752" t="s">
        <v>39</v>
      </c>
      <c r="I3752" t="s">
        <v>40</v>
      </c>
      <c r="J3752" t="s">
        <v>109</v>
      </c>
      <c r="K3752" t="s">
        <v>42</v>
      </c>
      <c r="L3752" t="s">
        <v>43</v>
      </c>
      <c r="N3752" t="s">
        <v>44</v>
      </c>
      <c r="Q3752">
        <v>28793</v>
      </c>
      <c r="R3752" t="s">
        <v>45</v>
      </c>
      <c r="S3752" t="s">
        <v>15929</v>
      </c>
      <c r="T3752">
        <v>24</v>
      </c>
      <c r="U3752" s="2" t="s">
        <v>22806</v>
      </c>
      <c r="W3752" t="s">
        <v>153</v>
      </c>
      <c r="X3752">
        <v>110020361</v>
      </c>
      <c r="Y3752" t="s">
        <v>121</v>
      </c>
      <c r="Z3752" t="s">
        <v>122</v>
      </c>
      <c r="AA3752" s="2" t="s">
        <v>9740</v>
      </c>
      <c r="AB3752" t="s">
        <v>548</v>
      </c>
      <c r="AG3752" t="s">
        <v>22832</v>
      </c>
      <c r="AH3752" t="s">
        <v>19310</v>
      </c>
      <c r="AI3752" t="s">
        <v>22833</v>
      </c>
    </row>
    <row r="3753" spans="2:35" ht="225">
      <c r="B3753" s="1">
        <v>45477</v>
      </c>
      <c r="C3753" s="4">
        <v>45477.484722222223</v>
      </c>
      <c r="D3753" t="s">
        <v>542</v>
      </c>
      <c r="E3753" t="s">
        <v>552</v>
      </c>
      <c r="F3753" t="s">
        <v>148</v>
      </c>
      <c r="G3753" t="s">
        <v>544</v>
      </c>
      <c r="H3753" t="s">
        <v>39</v>
      </c>
      <c r="I3753" t="s">
        <v>40</v>
      </c>
      <c r="J3753" t="s">
        <v>109</v>
      </c>
      <c r="K3753" t="s">
        <v>42</v>
      </c>
      <c r="L3753" t="s">
        <v>43</v>
      </c>
      <c r="N3753" t="s">
        <v>44</v>
      </c>
      <c r="Q3753">
        <v>28794</v>
      </c>
      <c r="R3753" t="s">
        <v>119</v>
      </c>
      <c r="S3753" t="s">
        <v>15929</v>
      </c>
      <c r="T3753">
        <v>24</v>
      </c>
      <c r="W3753" t="s">
        <v>48</v>
      </c>
      <c r="X3753">
        <v>831588</v>
      </c>
      <c r="Y3753" t="s">
        <v>121</v>
      </c>
      <c r="Z3753" t="s">
        <v>122</v>
      </c>
      <c r="AA3753" s="2" t="s">
        <v>9740</v>
      </c>
      <c r="AB3753" t="s">
        <v>548</v>
      </c>
      <c r="AG3753" t="s">
        <v>22834</v>
      </c>
      <c r="AH3753" t="s">
        <v>19310</v>
      </c>
      <c r="AI3753" t="s">
        <v>22835</v>
      </c>
    </row>
    <row r="3754" spans="2:35" ht="240">
      <c r="B3754" s="1">
        <v>45477</v>
      </c>
      <c r="C3754" s="4">
        <v>45477.591666666667</v>
      </c>
      <c r="D3754" t="s">
        <v>22836</v>
      </c>
      <c r="E3754" t="s">
        <v>22837</v>
      </c>
      <c r="F3754" t="s">
        <v>148</v>
      </c>
      <c r="G3754" t="s">
        <v>447</v>
      </c>
      <c r="H3754" t="s">
        <v>39</v>
      </c>
      <c r="I3754" t="s">
        <v>40</v>
      </c>
      <c r="J3754" s="2" t="s">
        <v>41</v>
      </c>
      <c r="K3754" t="s">
        <v>42</v>
      </c>
      <c r="L3754" t="s">
        <v>15532</v>
      </c>
      <c r="N3754" t="s">
        <v>15533</v>
      </c>
      <c r="Q3754">
        <v>28791</v>
      </c>
      <c r="R3754" t="s">
        <v>45</v>
      </c>
      <c r="S3754" t="s">
        <v>22838</v>
      </c>
      <c r="T3754">
        <v>25</v>
      </c>
      <c r="U3754" s="2" t="s">
        <v>13439</v>
      </c>
      <c r="V3754" s="1">
        <v>45476</v>
      </c>
      <c r="W3754" t="s">
        <v>15535</v>
      </c>
      <c r="X3754">
        <v>803088</v>
      </c>
      <c r="Y3754" t="s">
        <v>8731</v>
      </c>
      <c r="Z3754" s="2" t="s">
        <v>22839</v>
      </c>
      <c r="AA3754" s="2" t="s">
        <v>22840</v>
      </c>
      <c r="AB3754" s="2" t="s">
        <v>17371</v>
      </c>
      <c r="AD3754" t="s">
        <v>22841</v>
      </c>
      <c r="AE3754" t="s">
        <v>22842</v>
      </c>
      <c r="AG3754" t="s">
        <v>22843</v>
      </c>
      <c r="AH3754" t="s">
        <v>22844</v>
      </c>
      <c r="AI3754" t="s">
        <v>22845</v>
      </c>
    </row>
    <row r="3755" spans="2:35" ht="225">
      <c r="B3755" s="1">
        <v>45477</v>
      </c>
      <c r="C3755" s="4">
        <v>45477.48541666667</v>
      </c>
      <c r="D3755" t="s">
        <v>542</v>
      </c>
      <c r="E3755" t="s">
        <v>4589</v>
      </c>
      <c r="F3755" t="s">
        <v>148</v>
      </c>
      <c r="G3755" t="s">
        <v>544</v>
      </c>
      <c r="H3755" t="s">
        <v>39</v>
      </c>
      <c r="I3755" t="s">
        <v>40</v>
      </c>
      <c r="J3755" t="s">
        <v>109</v>
      </c>
      <c r="K3755" t="s">
        <v>42</v>
      </c>
      <c r="L3755" t="s">
        <v>43</v>
      </c>
      <c r="N3755" t="s">
        <v>44</v>
      </c>
      <c r="Q3755">
        <v>28790</v>
      </c>
      <c r="R3755" t="s">
        <v>45</v>
      </c>
      <c r="S3755" t="s">
        <v>15929</v>
      </c>
      <c r="T3755">
        <v>24</v>
      </c>
      <c r="U3755" s="2" t="s">
        <v>22806</v>
      </c>
      <c r="W3755" t="s">
        <v>153</v>
      </c>
      <c r="X3755">
        <v>110020361</v>
      </c>
      <c r="Y3755" t="s">
        <v>121</v>
      </c>
      <c r="Z3755" t="s">
        <v>122</v>
      </c>
      <c r="AA3755" s="2" t="s">
        <v>9740</v>
      </c>
      <c r="AB3755" t="s">
        <v>548</v>
      </c>
      <c r="AG3755" t="s">
        <v>22846</v>
      </c>
      <c r="AH3755" t="s">
        <v>19310</v>
      </c>
      <c r="AI3755" t="s">
        <v>22847</v>
      </c>
    </row>
    <row r="3756" spans="2:35" ht="225">
      <c r="B3756" s="1">
        <v>45477</v>
      </c>
      <c r="C3756" s="4">
        <v>45477.486805555556</v>
      </c>
      <c r="D3756" t="s">
        <v>542</v>
      </c>
      <c r="E3756" t="s">
        <v>4589</v>
      </c>
      <c r="F3756" t="s">
        <v>148</v>
      </c>
      <c r="G3756" t="s">
        <v>544</v>
      </c>
      <c r="H3756" t="s">
        <v>39</v>
      </c>
      <c r="I3756" t="s">
        <v>40</v>
      </c>
      <c r="J3756" t="s">
        <v>109</v>
      </c>
      <c r="K3756" t="s">
        <v>42</v>
      </c>
      <c r="L3756" t="s">
        <v>43</v>
      </c>
      <c r="N3756" t="s">
        <v>44</v>
      </c>
      <c r="Q3756">
        <v>28788</v>
      </c>
      <c r="R3756" t="s">
        <v>322</v>
      </c>
      <c r="S3756" t="s">
        <v>15929</v>
      </c>
      <c r="T3756">
        <v>24</v>
      </c>
      <c r="U3756" s="2" t="s">
        <v>22824</v>
      </c>
      <c r="W3756" t="s">
        <v>153</v>
      </c>
      <c r="X3756">
        <v>120000613</v>
      </c>
      <c r="Y3756" t="s">
        <v>121</v>
      </c>
      <c r="Z3756" t="s">
        <v>122</v>
      </c>
      <c r="AA3756" s="2" t="s">
        <v>9740</v>
      </c>
      <c r="AB3756" t="s">
        <v>548</v>
      </c>
      <c r="AG3756" t="s">
        <v>22848</v>
      </c>
      <c r="AH3756" t="s">
        <v>19310</v>
      </c>
      <c r="AI3756" t="s">
        <v>22849</v>
      </c>
    </row>
    <row r="3757" spans="2:35" ht="225">
      <c r="B3757" s="1">
        <v>45477</v>
      </c>
      <c r="C3757" s="4">
        <v>45477.584027777775</v>
      </c>
      <c r="D3757" t="s">
        <v>22809</v>
      </c>
      <c r="E3757" t="s">
        <v>11636</v>
      </c>
      <c r="F3757" t="s">
        <v>148</v>
      </c>
      <c r="G3757" t="s">
        <v>544</v>
      </c>
      <c r="H3757" t="s">
        <v>39</v>
      </c>
      <c r="I3757" t="s">
        <v>40</v>
      </c>
      <c r="J3757" t="s">
        <v>109</v>
      </c>
      <c r="K3757" t="s">
        <v>42</v>
      </c>
      <c r="L3757" t="s">
        <v>43</v>
      </c>
      <c r="N3757" t="s">
        <v>44</v>
      </c>
      <c r="Q3757">
        <v>28789</v>
      </c>
      <c r="R3757" t="s">
        <v>45</v>
      </c>
      <c r="S3757" t="s">
        <v>22817</v>
      </c>
      <c r="T3757">
        <v>24</v>
      </c>
      <c r="U3757" s="2" t="s">
        <v>22818</v>
      </c>
      <c r="W3757" t="s">
        <v>48</v>
      </c>
      <c r="X3757">
        <v>807982</v>
      </c>
      <c r="Y3757" t="s">
        <v>121</v>
      </c>
      <c r="Z3757" t="s">
        <v>122</v>
      </c>
      <c r="AA3757" s="2" t="s">
        <v>9740</v>
      </c>
      <c r="AB3757" t="s">
        <v>548</v>
      </c>
      <c r="AG3757" t="s">
        <v>22850</v>
      </c>
      <c r="AH3757" t="s">
        <v>22820</v>
      </c>
      <c r="AI3757" t="s">
        <v>22851</v>
      </c>
    </row>
    <row r="3758" spans="2:35" ht="225">
      <c r="B3758" s="1">
        <v>45477</v>
      </c>
      <c r="C3758" s="4">
        <v>45477.484722222223</v>
      </c>
      <c r="D3758" t="s">
        <v>542</v>
      </c>
      <c r="E3758" t="s">
        <v>552</v>
      </c>
      <c r="F3758" t="s">
        <v>148</v>
      </c>
      <c r="G3758" t="s">
        <v>544</v>
      </c>
      <c r="H3758" t="s">
        <v>39</v>
      </c>
      <c r="I3758" t="s">
        <v>40</v>
      </c>
      <c r="J3758" t="s">
        <v>109</v>
      </c>
      <c r="K3758" t="s">
        <v>42</v>
      </c>
      <c r="L3758" t="s">
        <v>43</v>
      </c>
      <c r="N3758" t="s">
        <v>44</v>
      </c>
      <c r="Q3758">
        <v>28787</v>
      </c>
      <c r="R3758" t="s">
        <v>119</v>
      </c>
      <c r="S3758" t="s">
        <v>15929</v>
      </c>
      <c r="T3758">
        <v>24</v>
      </c>
      <c r="W3758" t="s">
        <v>48</v>
      </c>
      <c r="X3758">
        <v>831588</v>
      </c>
      <c r="Y3758" t="s">
        <v>121</v>
      </c>
      <c r="Z3758" t="s">
        <v>122</v>
      </c>
      <c r="AA3758" s="2" t="s">
        <v>9740</v>
      </c>
      <c r="AB3758" t="s">
        <v>548</v>
      </c>
      <c r="AG3758" t="s">
        <v>22852</v>
      </c>
      <c r="AH3758" t="s">
        <v>19310</v>
      </c>
      <c r="AI3758" t="s">
        <v>22853</v>
      </c>
    </row>
    <row r="3759" spans="2:35" ht="225">
      <c r="B3759" s="1">
        <v>45477</v>
      </c>
      <c r="C3759" s="4">
        <v>45477.482638888891</v>
      </c>
      <c r="D3759" t="s">
        <v>542</v>
      </c>
      <c r="E3759">
        <v>805211</v>
      </c>
      <c r="F3759" t="s">
        <v>148</v>
      </c>
      <c r="G3759" t="s">
        <v>544</v>
      </c>
      <c r="H3759" t="s">
        <v>39</v>
      </c>
      <c r="I3759" t="s">
        <v>40</v>
      </c>
      <c r="J3759" t="s">
        <v>109</v>
      </c>
      <c r="K3759" t="s">
        <v>42</v>
      </c>
      <c r="L3759" t="s">
        <v>43</v>
      </c>
      <c r="N3759" t="s">
        <v>44</v>
      </c>
      <c r="Q3759">
        <v>28786</v>
      </c>
      <c r="R3759" t="s">
        <v>45</v>
      </c>
      <c r="S3759" t="s">
        <v>15929</v>
      </c>
      <c r="T3759">
        <v>24</v>
      </c>
      <c r="U3759" s="2" t="s">
        <v>22827</v>
      </c>
      <c r="W3759" t="s">
        <v>48</v>
      </c>
      <c r="X3759">
        <v>805211</v>
      </c>
      <c r="Y3759" t="s">
        <v>121</v>
      </c>
      <c r="Z3759" t="s">
        <v>122</v>
      </c>
      <c r="AA3759" s="2" t="s">
        <v>9740</v>
      </c>
      <c r="AB3759" t="s">
        <v>548</v>
      </c>
      <c r="AG3759" t="s">
        <v>22854</v>
      </c>
      <c r="AH3759" t="s">
        <v>19310</v>
      </c>
      <c r="AI3759" t="s">
        <v>22855</v>
      </c>
    </row>
    <row r="3760" spans="2:35" ht="330">
      <c r="B3760" s="1">
        <v>45477</v>
      </c>
      <c r="C3760" s="4">
        <v>45476.654166666667</v>
      </c>
      <c r="D3760" t="s">
        <v>2148</v>
      </c>
      <c r="E3760" t="s">
        <v>2149</v>
      </c>
      <c r="F3760" t="s">
        <v>37</v>
      </c>
      <c r="G3760" t="s">
        <v>38</v>
      </c>
      <c r="H3760" t="s">
        <v>39</v>
      </c>
      <c r="I3760" t="s">
        <v>40</v>
      </c>
      <c r="J3760" s="2" t="s">
        <v>190</v>
      </c>
      <c r="K3760" t="s">
        <v>42</v>
      </c>
      <c r="L3760" t="s">
        <v>43</v>
      </c>
      <c r="N3760" t="s">
        <v>44</v>
      </c>
      <c r="Q3760">
        <v>28785</v>
      </c>
      <c r="R3760" t="s">
        <v>119</v>
      </c>
      <c r="S3760" t="s">
        <v>2150</v>
      </c>
      <c r="T3760">
        <v>25</v>
      </c>
      <c r="U3760" s="2" t="s">
        <v>22856</v>
      </c>
      <c r="W3760" t="s">
        <v>48</v>
      </c>
      <c r="X3760">
        <v>820710</v>
      </c>
      <c r="Y3760" t="s">
        <v>22857</v>
      </c>
      <c r="Z3760" t="s">
        <v>22858</v>
      </c>
      <c r="AA3760" s="2" t="s">
        <v>22859</v>
      </c>
      <c r="AB3760" t="s">
        <v>22860</v>
      </c>
      <c r="AC3760" t="s">
        <v>22861</v>
      </c>
      <c r="AG3760" t="s">
        <v>22862</v>
      </c>
      <c r="AH3760" t="s">
        <v>3559</v>
      </c>
      <c r="AI3760" t="s">
        <v>22863</v>
      </c>
    </row>
    <row r="3761" spans="2:35" ht="225">
      <c r="B3761" s="1">
        <v>45477</v>
      </c>
      <c r="C3761" s="4">
        <v>45477.479166666664</v>
      </c>
      <c r="D3761" t="s">
        <v>542</v>
      </c>
      <c r="E3761" t="s">
        <v>4589</v>
      </c>
      <c r="F3761" t="s">
        <v>148</v>
      </c>
      <c r="G3761" t="s">
        <v>544</v>
      </c>
      <c r="H3761" t="s">
        <v>39</v>
      </c>
      <c r="I3761" t="s">
        <v>40</v>
      </c>
      <c r="J3761" t="s">
        <v>109</v>
      </c>
      <c r="K3761" t="s">
        <v>42</v>
      </c>
      <c r="L3761" t="s">
        <v>43</v>
      </c>
      <c r="N3761" t="s">
        <v>44</v>
      </c>
      <c r="Q3761">
        <v>28784</v>
      </c>
      <c r="R3761" t="s">
        <v>322</v>
      </c>
      <c r="S3761" t="s">
        <v>15929</v>
      </c>
      <c r="T3761">
        <v>24</v>
      </c>
      <c r="U3761" s="2" t="s">
        <v>22864</v>
      </c>
      <c r="W3761" t="s">
        <v>153</v>
      </c>
      <c r="X3761">
        <v>110016107</v>
      </c>
      <c r="Y3761" t="s">
        <v>121</v>
      </c>
      <c r="Z3761" t="s">
        <v>122</v>
      </c>
      <c r="AA3761" s="2" t="s">
        <v>9740</v>
      </c>
      <c r="AB3761" t="s">
        <v>548</v>
      </c>
      <c r="AG3761" t="s">
        <v>22865</v>
      </c>
      <c r="AH3761" t="s">
        <v>19310</v>
      </c>
      <c r="AI3761" t="s">
        <v>22866</v>
      </c>
    </row>
    <row r="3762" spans="2:35" ht="225">
      <c r="B3762" s="1">
        <v>45477</v>
      </c>
      <c r="C3762" s="4">
        <v>45475.459722222222</v>
      </c>
      <c r="D3762" t="s">
        <v>2264</v>
      </c>
      <c r="E3762" t="s">
        <v>5505</v>
      </c>
      <c r="F3762" t="s">
        <v>148</v>
      </c>
      <c r="G3762" t="s">
        <v>2007</v>
      </c>
      <c r="H3762" t="s">
        <v>39</v>
      </c>
      <c r="I3762" t="s">
        <v>40</v>
      </c>
      <c r="J3762" t="s">
        <v>109</v>
      </c>
      <c r="K3762" t="s">
        <v>42</v>
      </c>
      <c r="L3762" t="s">
        <v>43</v>
      </c>
      <c r="N3762" t="s">
        <v>44</v>
      </c>
      <c r="O3762" t="s">
        <v>2266</v>
      </c>
      <c r="Q3762">
        <v>28783</v>
      </c>
      <c r="R3762" t="s">
        <v>322</v>
      </c>
      <c r="S3762" t="s">
        <v>21234</v>
      </c>
      <c r="T3762">
        <v>22</v>
      </c>
      <c r="U3762" s="2" t="s">
        <v>11398</v>
      </c>
      <c r="W3762" t="s">
        <v>153</v>
      </c>
      <c r="X3762">
        <v>110023460</v>
      </c>
      <c r="Y3762" t="s">
        <v>121</v>
      </c>
      <c r="Z3762" t="s">
        <v>122</v>
      </c>
      <c r="AA3762" s="2" t="s">
        <v>9740</v>
      </c>
      <c r="AB3762" t="s">
        <v>548</v>
      </c>
      <c r="AG3762" t="s">
        <v>22867</v>
      </c>
      <c r="AH3762" t="s">
        <v>2270</v>
      </c>
      <c r="AI3762" t="s">
        <v>22868</v>
      </c>
    </row>
    <row r="3763" spans="2:35" ht="225">
      <c r="B3763" s="1">
        <v>45477</v>
      </c>
      <c r="C3763" s="4">
        <v>45475.665277777778</v>
      </c>
      <c r="D3763" t="s">
        <v>1099</v>
      </c>
      <c r="E3763" t="s">
        <v>4002</v>
      </c>
      <c r="F3763" t="s">
        <v>148</v>
      </c>
      <c r="G3763" t="s">
        <v>406</v>
      </c>
      <c r="H3763" t="s">
        <v>39</v>
      </c>
      <c r="I3763" t="s">
        <v>40</v>
      </c>
      <c r="J3763" t="s">
        <v>109</v>
      </c>
      <c r="K3763" t="s">
        <v>42</v>
      </c>
      <c r="L3763" t="s">
        <v>43</v>
      </c>
      <c r="N3763" t="s">
        <v>44</v>
      </c>
      <c r="O3763" t="s">
        <v>1091</v>
      </c>
      <c r="Q3763">
        <v>28782</v>
      </c>
      <c r="R3763" t="s">
        <v>95</v>
      </c>
      <c r="S3763" t="s">
        <v>5690</v>
      </c>
      <c r="T3763">
        <v>24</v>
      </c>
      <c r="W3763" t="s">
        <v>48</v>
      </c>
      <c r="X3763">
        <v>839231</v>
      </c>
      <c r="Y3763" t="s">
        <v>121</v>
      </c>
      <c r="Z3763" t="s">
        <v>122</v>
      </c>
      <c r="AA3763" s="2" t="s">
        <v>9740</v>
      </c>
      <c r="AB3763" t="s">
        <v>22869</v>
      </c>
      <c r="AG3763" t="s">
        <v>22870</v>
      </c>
      <c r="AH3763" t="s">
        <v>22871</v>
      </c>
      <c r="AI3763" t="s">
        <v>22872</v>
      </c>
    </row>
    <row r="3764" spans="2:35" ht="409.5">
      <c r="B3764" s="1">
        <v>45477</v>
      </c>
      <c r="C3764" s="4">
        <v>45475.661805555559</v>
      </c>
      <c r="D3764" t="s">
        <v>1099</v>
      </c>
      <c r="E3764" t="s">
        <v>22873</v>
      </c>
      <c r="F3764" t="s">
        <v>148</v>
      </c>
      <c r="G3764" t="s">
        <v>406</v>
      </c>
      <c r="H3764" t="s">
        <v>39</v>
      </c>
      <c r="I3764" t="s">
        <v>40</v>
      </c>
      <c r="J3764" s="2" t="s">
        <v>190</v>
      </c>
      <c r="K3764" t="s">
        <v>42</v>
      </c>
      <c r="L3764" t="s">
        <v>43</v>
      </c>
      <c r="N3764" t="s">
        <v>44</v>
      </c>
      <c r="O3764" t="s">
        <v>1091</v>
      </c>
      <c r="Q3764">
        <v>28781</v>
      </c>
      <c r="R3764" t="s">
        <v>95</v>
      </c>
      <c r="S3764" t="s">
        <v>5690</v>
      </c>
      <c r="T3764">
        <v>24</v>
      </c>
      <c r="U3764" s="2" t="s">
        <v>22874</v>
      </c>
      <c r="W3764" t="s">
        <v>11663</v>
      </c>
      <c r="X3764">
        <v>808411</v>
      </c>
      <c r="Y3764" t="s">
        <v>121</v>
      </c>
      <c r="Z3764" t="s">
        <v>122</v>
      </c>
      <c r="AA3764" s="2" t="s">
        <v>9744</v>
      </c>
      <c r="AB3764" t="s">
        <v>22875</v>
      </c>
      <c r="AG3764" t="s">
        <v>22876</v>
      </c>
      <c r="AH3764" t="s">
        <v>22871</v>
      </c>
      <c r="AI3764" t="s">
        <v>22877</v>
      </c>
    </row>
    <row r="3765" spans="2:35" ht="105">
      <c r="B3765" s="1">
        <v>45477</v>
      </c>
      <c r="C3765" s="4">
        <v>45477.586111111108</v>
      </c>
      <c r="D3765" t="s">
        <v>7537</v>
      </c>
      <c r="E3765" t="s">
        <v>22878</v>
      </c>
      <c r="F3765">
        <v>7</v>
      </c>
      <c r="G3765" t="s">
        <v>269</v>
      </c>
      <c r="H3765" t="s">
        <v>10969</v>
      </c>
      <c r="I3765" t="s">
        <v>40</v>
      </c>
      <c r="J3765" t="s">
        <v>321</v>
      </c>
      <c r="K3765" t="s">
        <v>42</v>
      </c>
      <c r="L3765" t="s">
        <v>1288</v>
      </c>
      <c r="N3765" t="s">
        <v>1289</v>
      </c>
      <c r="Q3765">
        <v>28780</v>
      </c>
      <c r="R3765" t="s">
        <v>967</v>
      </c>
      <c r="S3765" t="s">
        <v>3523</v>
      </c>
      <c r="T3765">
        <v>20</v>
      </c>
      <c r="U3765" s="2" t="s">
        <v>1509</v>
      </c>
      <c r="W3765" t="s">
        <v>9206</v>
      </c>
      <c r="X3765">
        <v>110023502</v>
      </c>
      <c r="Y3765" t="s">
        <v>18838</v>
      </c>
      <c r="Z3765" t="s">
        <v>22879</v>
      </c>
      <c r="AA3765" t="e">
        <f ca="1">-PERFORM Installation of GENEXPER EQUIPMENT
-PERFORM functionality test, passed</f>
        <v>#NAME?</v>
      </c>
      <c r="AB3765" t="s">
        <v>1293</v>
      </c>
      <c r="AG3765" t="s">
        <v>22880</v>
      </c>
      <c r="AH3765" t="s">
        <v>3531</v>
      </c>
      <c r="AI3765" t="s">
        <v>22881</v>
      </c>
    </row>
    <row r="3766" spans="2:35" ht="165">
      <c r="B3766" s="1">
        <v>45477</v>
      </c>
      <c r="C3766" s="4">
        <v>45477.529166666667</v>
      </c>
      <c r="D3766" t="s">
        <v>5199</v>
      </c>
      <c r="E3766" t="s">
        <v>5200</v>
      </c>
      <c r="F3766">
        <v>2</v>
      </c>
      <c r="G3766" t="s">
        <v>2723</v>
      </c>
      <c r="H3766" t="s">
        <v>39</v>
      </c>
      <c r="I3766" t="s">
        <v>40</v>
      </c>
      <c r="J3766" s="2" t="s">
        <v>1808</v>
      </c>
      <c r="K3766" t="s">
        <v>42</v>
      </c>
      <c r="L3766" t="s">
        <v>63</v>
      </c>
      <c r="N3766" t="s">
        <v>64</v>
      </c>
      <c r="Q3766">
        <v>28779</v>
      </c>
      <c r="R3766" t="s">
        <v>967</v>
      </c>
      <c r="S3766" t="s">
        <v>64</v>
      </c>
      <c r="T3766">
        <v>28</v>
      </c>
      <c r="V3766" s="1">
        <v>45463</v>
      </c>
      <c r="W3766" t="s">
        <v>373</v>
      </c>
      <c r="X3766">
        <v>110023503</v>
      </c>
      <c r="Y3766" t="s">
        <v>6010</v>
      </c>
      <c r="Z3766" s="2" t="s">
        <v>22882</v>
      </c>
      <c r="AA3766" s="2" t="s">
        <v>1727</v>
      </c>
      <c r="AB3766" t="s">
        <v>70</v>
      </c>
      <c r="AD3766" t="s">
        <v>22883</v>
      </c>
      <c r="AE3766">
        <v>11630</v>
      </c>
      <c r="AG3766" t="s">
        <v>22884</v>
      </c>
      <c r="AH3766" t="s">
        <v>5205</v>
      </c>
      <c r="AI3766" t="s">
        <v>22885</v>
      </c>
    </row>
    <row r="3767" spans="2:35" ht="165">
      <c r="B3767" s="1">
        <v>45477</v>
      </c>
      <c r="C3767" s="4">
        <v>45477.515277777777</v>
      </c>
      <c r="D3767" t="s">
        <v>5199</v>
      </c>
      <c r="E3767" t="s">
        <v>5200</v>
      </c>
      <c r="F3767">
        <v>2</v>
      </c>
      <c r="G3767" t="s">
        <v>2723</v>
      </c>
      <c r="H3767" t="s">
        <v>39</v>
      </c>
      <c r="I3767" t="s">
        <v>40</v>
      </c>
      <c r="J3767" s="2" t="s">
        <v>190</v>
      </c>
      <c r="K3767" t="s">
        <v>42</v>
      </c>
      <c r="L3767" t="s">
        <v>63</v>
      </c>
      <c r="N3767" t="s">
        <v>64</v>
      </c>
      <c r="Q3767">
        <v>28778</v>
      </c>
      <c r="R3767" t="s">
        <v>45</v>
      </c>
      <c r="S3767" t="s">
        <v>7116</v>
      </c>
      <c r="T3767">
        <v>25</v>
      </c>
      <c r="U3767" s="2" t="s">
        <v>8601</v>
      </c>
      <c r="W3767" t="s">
        <v>66</v>
      </c>
      <c r="X3767">
        <v>814177</v>
      </c>
      <c r="Y3767" t="s">
        <v>22886</v>
      </c>
      <c r="Z3767" s="2" t="s">
        <v>22887</v>
      </c>
      <c r="AA3767" s="2" t="s">
        <v>20659</v>
      </c>
      <c r="AB3767" t="s">
        <v>70</v>
      </c>
      <c r="AC3767" t="s">
        <v>22888</v>
      </c>
      <c r="AG3767" t="s">
        <v>22889</v>
      </c>
      <c r="AH3767" t="s">
        <v>5205</v>
      </c>
      <c r="AI3767" t="s">
        <v>22890</v>
      </c>
    </row>
    <row r="3768" spans="2:35" ht="409.5">
      <c r="B3768" s="1">
        <v>45477</v>
      </c>
      <c r="C3768" s="4">
        <v>45477.475694444445</v>
      </c>
      <c r="D3768" t="s">
        <v>2834</v>
      </c>
      <c r="E3768" t="s">
        <v>2835</v>
      </c>
      <c r="F3768">
        <v>11</v>
      </c>
      <c r="G3768" t="s">
        <v>2836</v>
      </c>
      <c r="H3768" t="s">
        <v>513</v>
      </c>
      <c r="I3768" t="s">
        <v>40</v>
      </c>
      <c r="J3768" s="2" t="s">
        <v>14104</v>
      </c>
      <c r="K3768" t="s">
        <v>387</v>
      </c>
      <c r="L3768" t="s">
        <v>204</v>
      </c>
      <c r="N3768" t="s">
        <v>205</v>
      </c>
      <c r="O3768" t="s">
        <v>2867</v>
      </c>
      <c r="Q3768">
        <v>28777</v>
      </c>
      <c r="R3768" t="s">
        <v>95</v>
      </c>
      <c r="S3768" t="s">
        <v>13812</v>
      </c>
      <c r="T3768">
        <v>26.5</v>
      </c>
      <c r="W3768" t="s">
        <v>390</v>
      </c>
      <c r="X3768" t="s">
        <v>2869</v>
      </c>
      <c r="Y3768" t="s">
        <v>22891</v>
      </c>
      <c r="Z3768" s="2" t="s">
        <v>22892</v>
      </c>
      <c r="AA3768" t="s">
        <v>22893</v>
      </c>
      <c r="AB3768" s="2" t="s">
        <v>22894</v>
      </c>
      <c r="AG3768" t="s">
        <v>22895</v>
      </c>
      <c r="AH3768" t="s">
        <v>22896</v>
      </c>
      <c r="AI3768" t="s">
        <v>22897</v>
      </c>
    </row>
    <row r="3769" spans="2:35" ht="135">
      <c r="B3769" s="1">
        <v>45477</v>
      </c>
      <c r="C3769" s="4">
        <v>45477.477777777778</v>
      </c>
      <c r="D3769" t="s">
        <v>4471</v>
      </c>
      <c r="E3769" t="s">
        <v>20848</v>
      </c>
      <c r="F3769">
        <v>5</v>
      </c>
      <c r="G3769" t="s">
        <v>827</v>
      </c>
      <c r="H3769" t="s">
        <v>39</v>
      </c>
      <c r="I3769" t="s">
        <v>40</v>
      </c>
      <c r="J3769" t="s">
        <v>109</v>
      </c>
      <c r="K3769" t="s">
        <v>42</v>
      </c>
      <c r="L3769" t="s">
        <v>761</v>
      </c>
      <c r="N3769" t="s">
        <v>762</v>
      </c>
      <c r="Q3769">
        <v>28776</v>
      </c>
      <c r="R3769" t="s">
        <v>45</v>
      </c>
      <c r="S3769" t="s">
        <v>10691</v>
      </c>
      <c r="T3769">
        <v>29</v>
      </c>
      <c r="U3769" s="2" t="s">
        <v>22898</v>
      </c>
      <c r="W3769" t="s">
        <v>817</v>
      </c>
      <c r="X3769">
        <v>808633</v>
      </c>
      <c r="Y3769" t="s">
        <v>818</v>
      </c>
      <c r="Z3769" s="2" t="s">
        <v>22899</v>
      </c>
      <c r="AA3769" t="s">
        <v>820</v>
      </c>
      <c r="AB3769" t="s">
        <v>70</v>
      </c>
      <c r="AG3769" t="s">
        <v>22900</v>
      </c>
      <c r="AH3769" t="s">
        <v>22901</v>
      </c>
      <c r="AI3769" t="s">
        <v>22902</v>
      </c>
    </row>
    <row r="3770" spans="2:35" ht="195">
      <c r="B3770" s="1">
        <v>45477</v>
      </c>
      <c r="C3770" s="4">
        <v>45477.474999999999</v>
      </c>
      <c r="D3770" t="s">
        <v>4471</v>
      </c>
      <c r="E3770" t="s">
        <v>20848</v>
      </c>
      <c r="F3770">
        <v>5</v>
      </c>
      <c r="G3770" t="s">
        <v>827</v>
      </c>
      <c r="H3770" t="s">
        <v>39</v>
      </c>
      <c r="I3770" t="s">
        <v>40</v>
      </c>
      <c r="J3770" t="s">
        <v>321</v>
      </c>
      <c r="K3770" t="s">
        <v>42</v>
      </c>
      <c r="L3770" t="s">
        <v>761</v>
      </c>
      <c r="N3770" t="s">
        <v>762</v>
      </c>
      <c r="Q3770">
        <v>28775</v>
      </c>
      <c r="R3770" t="s">
        <v>967</v>
      </c>
      <c r="S3770" t="s">
        <v>10691</v>
      </c>
      <c r="T3770">
        <v>29</v>
      </c>
      <c r="W3770" t="s">
        <v>817</v>
      </c>
      <c r="X3770">
        <v>110023512</v>
      </c>
      <c r="Y3770" t="s">
        <v>8306</v>
      </c>
      <c r="Z3770" s="2" t="s">
        <v>22903</v>
      </c>
      <c r="AA3770" t="s">
        <v>22904</v>
      </c>
      <c r="AB3770" t="s">
        <v>70</v>
      </c>
      <c r="AG3770" t="s">
        <v>22905</v>
      </c>
      <c r="AH3770" t="s">
        <v>22906</v>
      </c>
      <c r="AI3770" t="s">
        <v>22907</v>
      </c>
    </row>
    <row r="3771" spans="2:35" ht="180">
      <c r="B3771" s="1">
        <v>45477</v>
      </c>
      <c r="C3771" s="4">
        <v>45477.438194444447</v>
      </c>
      <c r="D3771" t="s">
        <v>8529</v>
      </c>
      <c r="E3771" t="s">
        <v>8530</v>
      </c>
      <c r="F3771">
        <v>7</v>
      </c>
      <c r="G3771" t="s">
        <v>432</v>
      </c>
      <c r="H3771" t="s">
        <v>1498</v>
      </c>
      <c r="I3771" t="s">
        <v>40</v>
      </c>
      <c r="J3771" t="s">
        <v>109</v>
      </c>
      <c r="K3771" t="s">
        <v>42</v>
      </c>
      <c r="L3771" t="s">
        <v>343</v>
      </c>
      <c r="N3771" t="s">
        <v>344</v>
      </c>
      <c r="Q3771">
        <v>28774</v>
      </c>
      <c r="R3771" t="s">
        <v>119</v>
      </c>
      <c r="S3771" t="s">
        <v>8531</v>
      </c>
      <c r="T3771">
        <v>26</v>
      </c>
      <c r="U3771" s="2" t="s">
        <v>22908</v>
      </c>
      <c r="W3771" t="s">
        <v>1501</v>
      </c>
      <c r="X3771">
        <v>838279</v>
      </c>
      <c r="Y3771" t="s">
        <v>7415</v>
      </c>
      <c r="Z3771" t="e">
        <f ca="1">-Preventive Maintenance</f>
        <v>#NAME?</v>
      </c>
      <c r="AA3771" s="2" t="s">
        <v>22909</v>
      </c>
      <c r="AB3771" t="s">
        <v>9638</v>
      </c>
      <c r="AC3771" t="s">
        <v>22910</v>
      </c>
      <c r="AG3771" t="s">
        <v>22911</v>
      </c>
      <c r="AH3771" t="s">
        <v>9836</v>
      </c>
      <c r="AI3771" t="s">
        <v>22912</v>
      </c>
    </row>
    <row r="3772" spans="2:35" ht="150">
      <c r="B3772" s="1">
        <v>45477</v>
      </c>
      <c r="C3772" s="4">
        <v>45477.436111111114</v>
      </c>
      <c r="D3772" t="s">
        <v>22913</v>
      </c>
      <c r="E3772" t="s">
        <v>22913</v>
      </c>
      <c r="F3772">
        <v>9</v>
      </c>
      <c r="G3772" t="s">
        <v>2903</v>
      </c>
      <c r="H3772" t="s">
        <v>39</v>
      </c>
      <c r="I3772" t="s">
        <v>40</v>
      </c>
      <c r="J3772" s="2" t="s">
        <v>22914</v>
      </c>
      <c r="K3772" t="s">
        <v>42</v>
      </c>
      <c r="L3772" t="s">
        <v>1257</v>
      </c>
      <c r="N3772" t="s">
        <v>1258</v>
      </c>
      <c r="O3772" t="s">
        <v>2199</v>
      </c>
      <c r="Q3772">
        <v>28773</v>
      </c>
      <c r="R3772" t="s">
        <v>45</v>
      </c>
      <c r="S3772" t="s">
        <v>22915</v>
      </c>
      <c r="T3772">
        <v>23</v>
      </c>
      <c r="V3772" s="1">
        <v>45476</v>
      </c>
      <c r="W3772" t="s">
        <v>22916</v>
      </c>
      <c r="X3772">
        <v>834827</v>
      </c>
      <c r="Y3772" t="s">
        <v>3975</v>
      </c>
      <c r="Z3772" t="s">
        <v>22917</v>
      </c>
      <c r="AA3772" t="s">
        <v>22917</v>
      </c>
      <c r="AB3772" t="s">
        <v>22918</v>
      </c>
      <c r="AC3772" t="s">
        <v>22919</v>
      </c>
      <c r="AD3772" t="s">
        <v>54</v>
      </c>
      <c r="AE3772" t="s">
        <v>54</v>
      </c>
      <c r="AG3772" t="s">
        <v>22920</v>
      </c>
      <c r="AH3772" t="s">
        <v>22921</v>
      </c>
      <c r="AI3772" t="s">
        <v>22922</v>
      </c>
    </row>
    <row r="3773" spans="2:35" ht="255">
      <c r="B3773" s="1">
        <v>45477</v>
      </c>
      <c r="C3773" s="4">
        <v>45477.40902777778</v>
      </c>
      <c r="D3773" t="s">
        <v>22923</v>
      </c>
      <c r="E3773" t="s">
        <v>473</v>
      </c>
      <c r="F3773" t="s">
        <v>148</v>
      </c>
      <c r="G3773" t="s">
        <v>447</v>
      </c>
      <c r="H3773" t="s">
        <v>150</v>
      </c>
      <c r="I3773" t="s">
        <v>40</v>
      </c>
      <c r="J3773" t="s">
        <v>79</v>
      </c>
      <c r="K3773" t="s">
        <v>42</v>
      </c>
      <c r="L3773" t="s">
        <v>448</v>
      </c>
      <c r="N3773" t="s">
        <v>650</v>
      </c>
      <c r="O3773" t="s">
        <v>4646</v>
      </c>
      <c r="Q3773">
        <v>28772</v>
      </c>
      <c r="R3773" t="s">
        <v>45</v>
      </c>
      <c r="S3773" t="s">
        <v>22924</v>
      </c>
      <c r="T3773">
        <v>28</v>
      </c>
      <c r="V3773" s="1">
        <v>45468</v>
      </c>
      <c r="W3773" t="s">
        <v>6121</v>
      </c>
      <c r="X3773">
        <v>807672</v>
      </c>
      <c r="Y3773" t="s">
        <v>22925</v>
      </c>
      <c r="Z3773" s="2" t="s">
        <v>2585</v>
      </c>
      <c r="AA3773" t="s">
        <v>456</v>
      </c>
      <c r="AB3773" t="s">
        <v>4741</v>
      </c>
      <c r="AC3773" t="s">
        <v>22926</v>
      </c>
      <c r="AD3773" t="s">
        <v>13296</v>
      </c>
      <c r="AE3773" t="s">
        <v>54</v>
      </c>
      <c r="AG3773" t="s">
        <v>22927</v>
      </c>
      <c r="AH3773" t="s">
        <v>22928</v>
      </c>
      <c r="AI3773" t="s">
        <v>22929</v>
      </c>
    </row>
    <row r="3774" spans="2:35" ht="225">
      <c r="B3774" s="1">
        <v>45477</v>
      </c>
      <c r="C3774" s="4">
        <v>45477.400694444441</v>
      </c>
      <c r="D3774" t="s">
        <v>461</v>
      </c>
      <c r="E3774" t="s">
        <v>22930</v>
      </c>
      <c r="F3774" t="s">
        <v>148</v>
      </c>
      <c r="G3774" t="s">
        <v>447</v>
      </c>
      <c r="H3774" t="s">
        <v>39</v>
      </c>
      <c r="I3774" t="s">
        <v>40</v>
      </c>
      <c r="J3774" s="2" t="s">
        <v>41</v>
      </c>
      <c r="K3774" t="s">
        <v>42</v>
      </c>
      <c r="L3774" t="s">
        <v>15532</v>
      </c>
      <c r="N3774" t="s">
        <v>15533</v>
      </c>
      <c r="Q3774">
        <v>28771</v>
      </c>
      <c r="R3774" t="s">
        <v>45</v>
      </c>
      <c r="S3774" t="s">
        <v>464</v>
      </c>
      <c r="T3774">
        <v>24</v>
      </c>
      <c r="U3774" s="2" t="s">
        <v>22931</v>
      </c>
      <c r="V3774" s="1">
        <v>45468</v>
      </c>
      <c r="W3774" t="s">
        <v>15535</v>
      </c>
      <c r="X3774">
        <v>814160</v>
      </c>
      <c r="Y3774" t="s">
        <v>8731</v>
      </c>
      <c r="Z3774" s="2" t="s">
        <v>22932</v>
      </c>
      <c r="AA3774" s="2" t="s">
        <v>22933</v>
      </c>
      <c r="AB3774" s="2" t="s">
        <v>17371</v>
      </c>
      <c r="AD3774" t="s">
        <v>16499</v>
      </c>
      <c r="AE3774" t="s">
        <v>22934</v>
      </c>
      <c r="AG3774" t="s">
        <v>22935</v>
      </c>
      <c r="AH3774" t="s">
        <v>470</v>
      </c>
      <c r="AI3774" t="s">
        <v>22936</v>
      </c>
    </row>
    <row r="3775" spans="2:35">
      <c r="B3775" s="1">
        <v>45477</v>
      </c>
      <c r="C3775" s="4">
        <v>45476.54583333333</v>
      </c>
      <c r="D3775" t="s">
        <v>2620</v>
      </c>
      <c r="E3775" t="s">
        <v>22937</v>
      </c>
      <c r="F3775">
        <v>1</v>
      </c>
      <c r="G3775" t="s">
        <v>1046</v>
      </c>
      <c r="H3775" t="s">
        <v>39</v>
      </c>
      <c r="I3775" t="s">
        <v>40</v>
      </c>
      <c r="J3775" t="s">
        <v>321</v>
      </c>
      <c r="K3775" t="s">
        <v>42</v>
      </c>
      <c r="L3775" t="s">
        <v>1048</v>
      </c>
      <c r="N3775" t="s">
        <v>1049</v>
      </c>
      <c r="Q3775">
        <v>28770</v>
      </c>
      <c r="R3775" t="s">
        <v>967</v>
      </c>
      <c r="S3775" t="s">
        <v>2622</v>
      </c>
      <c r="T3775">
        <v>30</v>
      </c>
      <c r="V3775" s="1">
        <v>45463</v>
      </c>
      <c r="W3775" t="s">
        <v>1424</v>
      </c>
      <c r="X3775">
        <v>110023501</v>
      </c>
      <c r="Y3775" t="s">
        <v>3725</v>
      </c>
      <c r="Z3775" t="e">
        <f ca="1">- installed GeneXpert system, installed Assays, Setup Accounts
- generated reports</f>
        <v>#NAME?</v>
      </c>
      <c r="AA3775" t="s">
        <v>3726</v>
      </c>
      <c r="AB3775" t="s">
        <v>1428</v>
      </c>
      <c r="AD3775" t="s">
        <v>3727</v>
      </c>
      <c r="AE3775" t="s">
        <v>22938</v>
      </c>
      <c r="AG3775" t="s">
        <v>22939</v>
      </c>
      <c r="AH3775" t="s">
        <v>2624</v>
      </c>
      <c r="AI3775" t="s">
        <v>22940</v>
      </c>
    </row>
    <row r="3776" spans="2:35" ht="105">
      <c r="B3776" s="1">
        <v>45477</v>
      </c>
      <c r="C3776" s="4">
        <v>45476.370138888888</v>
      </c>
      <c r="D3776" t="s">
        <v>9342</v>
      </c>
      <c r="E3776" t="s">
        <v>20823</v>
      </c>
      <c r="F3776">
        <v>1</v>
      </c>
      <c r="G3776" t="s">
        <v>1046</v>
      </c>
      <c r="H3776" t="s">
        <v>1047</v>
      </c>
      <c r="I3776" t="s">
        <v>40</v>
      </c>
      <c r="J3776" s="2" t="s">
        <v>62</v>
      </c>
      <c r="K3776" t="s">
        <v>42</v>
      </c>
      <c r="L3776" t="s">
        <v>1048</v>
      </c>
      <c r="N3776" t="s">
        <v>1049</v>
      </c>
      <c r="Q3776">
        <v>28769</v>
      </c>
      <c r="R3776" t="s">
        <v>119</v>
      </c>
      <c r="S3776" t="s">
        <v>9344</v>
      </c>
      <c r="T3776">
        <v>27</v>
      </c>
      <c r="U3776" s="2" t="s">
        <v>5469</v>
      </c>
      <c r="V3776" s="1">
        <v>45412</v>
      </c>
      <c r="W3776" t="s">
        <v>1051</v>
      </c>
      <c r="X3776">
        <v>838287</v>
      </c>
      <c r="Y3776" t="s">
        <v>19602</v>
      </c>
      <c r="Z3776" t="e">
        <f ca="1">- cleaned cartridge Bays, plunger Rods _xludf.and I-CORE
- performed XpertCheck
- generated reports</f>
        <v>#NAME?</v>
      </c>
      <c r="AA3776" t="s">
        <v>20523</v>
      </c>
      <c r="AB3776" t="e">
        <f ca="1">- Unit is operational
- ALL modules passed XpertCheck</f>
        <v>#NAME?</v>
      </c>
      <c r="AC3776" t="s">
        <v>11073</v>
      </c>
      <c r="AD3776" t="s">
        <v>1958</v>
      </c>
      <c r="AE3776" t="s">
        <v>22941</v>
      </c>
      <c r="AG3776" t="s">
        <v>22942</v>
      </c>
      <c r="AH3776" t="s">
        <v>9349</v>
      </c>
      <c r="AI3776" t="s">
        <v>22943</v>
      </c>
    </row>
    <row r="3777" spans="2:35">
      <c r="B3777" s="1">
        <v>45477</v>
      </c>
      <c r="C3777" s="4">
        <v>45477.355555555558</v>
      </c>
      <c r="D3777" t="s">
        <v>22944</v>
      </c>
      <c r="E3777" t="s">
        <v>22945</v>
      </c>
      <c r="F3777" t="s">
        <v>148</v>
      </c>
      <c r="G3777" t="s">
        <v>22765</v>
      </c>
      <c r="H3777" t="s">
        <v>39</v>
      </c>
      <c r="I3777" t="s">
        <v>40</v>
      </c>
      <c r="J3777" t="s">
        <v>525</v>
      </c>
      <c r="K3777" t="s">
        <v>42</v>
      </c>
      <c r="L3777" t="s">
        <v>175</v>
      </c>
      <c r="N3777" t="s">
        <v>176</v>
      </c>
      <c r="Q3777">
        <v>28768</v>
      </c>
      <c r="R3777" t="s">
        <v>119</v>
      </c>
      <c r="S3777" t="s">
        <v>22946</v>
      </c>
      <c r="T3777">
        <v>25</v>
      </c>
      <c r="W3777" t="s">
        <v>84</v>
      </c>
      <c r="X3777">
        <v>831903</v>
      </c>
      <c r="Y3777" t="s">
        <v>22947</v>
      </c>
      <c r="Z3777" t="s">
        <v>22948</v>
      </c>
      <c r="AA3777" t="e">
        <f ca="1">- unplugged Unit FROM _xludf.switch
- archived tests FROM PBSP CPU
- uninstalled PBSP CPU FROM DOH GeneXpert
- installed DOH CPU with its DOH counterparts
- retrieved tests FROM PBSP CPU to DOH CPU
- performed self test</f>
        <v>#NAME?</v>
      </c>
      <c r="AB3777" t="s">
        <v>181</v>
      </c>
      <c r="AG3777" t="s">
        <v>22949</v>
      </c>
      <c r="AH3777" t="s">
        <v>22950</v>
      </c>
      <c r="AI3777" t="s">
        <v>22951</v>
      </c>
    </row>
    <row r="3778" spans="2:35" ht="315">
      <c r="B3778" s="1">
        <v>45477</v>
      </c>
      <c r="C3778" s="4">
        <v>45477.364583333336</v>
      </c>
      <c r="D3778" t="s">
        <v>4927</v>
      </c>
      <c r="E3778" t="s">
        <v>22952</v>
      </c>
      <c r="F3778">
        <v>1</v>
      </c>
      <c r="G3778" t="s">
        <v>4685</v>
      </c>
      <c r="H3778" t="s">
        <v>39</v>
      </c>
      <c r="I3778" t="s">
        <v>40</v>
      </c>
      <c r="J3778" t="s">
        <v>321</v>
      </c>
      <c r="K3778" t="s">
        <v>42</v>
      </c>
      <c r="L3778" t="s">
        <v>1943</v>
      </c>
      <c r="N3778" t="s">
        <v>1944</v>
      </c>
      <c r="Q3778">
        <v>28767</v>
      </c>
      <c r="R3778" t="s">
        <v>967</v>
      </c>
      <c r="S3778" t="s">
        <v>4929</v>
      </c>
      <c r="T3778">
        <v>25</v>
      </c>
      <c r="W3778" t="s">
        <v>373</v>
      </c>
      <c r="X3778">
        <v>110023500</v>
      </c>
      <c r="Y3778" t="s">
        <v>20924</v>
      </c>
      <c r="Z3778" t="s">
        <v>3764</v>
      </c>
      <c r="AA3778" s="2" t="s">
        <v>22953</v>
      </c>
      <c r="AB3778" t="s">
        <v>88</v>
      </c>
      <c r="AG3778" t="s">
        <v>22954</v>
      </c>
      <c r="AH3778" t="s">
        <v>4934</v>
      </c>
      <c r="AI3778" t="s">
        <v>22955</v>
      </c>
    </row>
    <row r="3779" spans="2:35" ht="409.5">
      <c r="B3779" s="1">
        <v>45477</v>
      </c>
      <c r="C3779" s="4">
        <v>45476.486111111109</v>
      </c>
      <c r="D3779" t="s">
        <v>22956</v>
      </c>
      <c r="E3779" t="s">
        <v>22957</v>
      </c>
      <c r="F3779" t="s">
        <v>37</v>
      </c>
      <c r="G3779" t="s">
        <v>78</v>
      </c>
      <c r="H3779" t="s">
        <v>386</v>
      </c>
      <c r="I3779" t="s">
        <v>40</v>
      </c>
      <c r="J3779" t="s">
        <v>79</v>
      </c>
      <c r="K3779" t="s">
        <v>387</v>
      </c>
      <c r="L3779" t="s">
        <v>448</v>
      </c>
      <c r="N3779" t="s">
        <v>650</v>
      </c>
      <c r="Q3779">
        <v>28766</v>
      </c>
      <c r="R3779" t="s">
        <v>322</v>
      </c>
      <c r="S3779" t="s">
        <v>5953</v>
      </c>
      <c r="T3779">
        <v>26</v>
      </c>
      <c r="V3779" s="1">
        <v>45475</v>
      </c>
      <c r="W3779" t="s">
        <v>476</v>
      </c>
      <c r="X3779" t="s">
        <v>5954</v>
      </c>
      <c r="Y3779" t="s">
        <v>22958</v>
      </c>
      <c r="Z3779" s="2" t="s">
        <v>22959</v>
      </c>
      <c r="AA3779" t="s">
        <v>914</v>
      </c>
      <c r="AB3779" t="s">
        <v>486</v>
      </c>
      <c r="AC3779" t="s">
        <v>22590</v>
      </c>
      <c r="AD3779" t="s">
        <v>22960</v>
      </c>
      <c r="AE3779">
        <v>11697</v>
      </c>
      <c r="AG3779" t="s">
        <v>22961</v>
      </c>
      <c r="AH3779" t="s">
        <v>22962</v>
      </c>
      <c r="AI3779" t="s">
        <v>22963</v>
      </c>
    </row>
    <row r="3780" spans="2:35" ht="375">
      <c r="B3780" s="1">
        <v>45476</v>
      </c>
      <c r="C3780" s="4">
        <v>45476.583333333336</v>
      </c>
      <c r="D3780" t="s">
        <v>22964</v>
      </c>
      <c r="E3780" t="s">
        <v>22965</v>
      </c>
      <c r="F3780">
        <v>12</v>
      </c>
      <c r="G3780" t="s">
        <v>2137</v>
      </c>
      <c r="H3780" t="s">
        <v>1473</v>
      </c>
      <c r="I3780" t="s">
        <v>94</v>
      </c>
      <c r="J3780" s="2" t="s">
        <v>41</v>
      </c>
      <c r="K3780" t="s">
        <v>42</v>
      </c>
      <c r="L3780" t="s">
        <v>296</v>
      </c>
      <c r="N3780" t="s">
        <v>297</v>
      </c>
      <c r="Q3780">
        <v>28765</v>
      </c>
      <c r="R3780" t="s">
        <v>45</v>
      </c>
      <c r="S3780" t="s">
        <v>22966</v>
      </c>
      <c r="T3780">
        <v>26.3</v>
      </c>
      <c r="U3780" s="2" t="s">
        <v>22967</v>
      </c>
      <c r="V3780" s="1">
        <v>45476</v>
      </c>
      <c r="W3780" t="s">
        <v>22229</v>
      </c>
      <c r="X3780">
        <v>815434</v>
      </c>
      <c r="Y3780" t="s">
        <v>16363</v>
      </c>
      <c r="Z3780" s="2" t="s">
        <v>22968</v>
      </c>
      <c r="AA3780" s="2" t="s">
        <v>22231</v>
      </c>
      <c r="AB3780" t="s">
        <v>972</v>
      </c>
      <c r="AD3780" t="s">
        <v>22232</v>
      </c>
      <c r="AE3780" t="s">
        <v>22969</v>
      </c>
      <c r="AG3780" t="s">
        <v>22970</v>
      </c>
      <c r="AH3780" t="s">
        <v>22971</v>
      </c>
      <c r="AI3780" t="s">
        <v>22972</v>
      </c>
    </row>
    <row r="3781" spans="2:35" ht="285">
      <c r="B3781" s="1">
        <v>45476</v>
      </c>
      <c r="C3781" s="4">
        <v>45476.702777777777</v>
      </c>
      <c r="D3781" t="s">
        <v>2773</v>
      </c>
      <c r="E3781" t="s">
        <v>2774</v>
      </c>
      <c r="F3781">
        <v>2</v>
      </c>
      <c r="G3781" t="s">
        <v>2723</v>
      </c>
      <c r="H3781" t="s">
        <v>61</v>
      </c>
      <c r="I3781" t="s">
        <v>40</v>
      </c>
      <c r="J3781" t="s">
        <v>109</v>
      </c>
      <c r="K3781" t="s">
        <v>42</v>
      </c>
      <c r="L3781" t="s">
        <v>63</v>
      </c>
      <c r="N3781" t="s">
        <v>64</v>
      </c>
      <c r="Q3781">
        <v>28764</v>
      </c>
      <c r="R3781" t="s">
        <v>322</v>
      </c>
      <c r="S3781" t="s">
        <v>22973</v>
      </c>
      <c r="T3781">
        <v>24</v>
      </c>
      <c r="U3781" s="2" t="s">
        <v>22974</v>
      </c>
      <c r="W3781" t="s">
        <v>66</v>
      </c>
      <c r="X3781">
        <v>110008457</v>
      </c>
      <c r="Y3781" t="s">
        <v>2692</v>
      </c>
      <c r="Z3781" s="2" t="s">
        <v>22975</v>
      </c>
      <c r="AA3781" t="s">
        <v>22976</v>
      </c>
      <c r="AB3781" t="s">
        <v>70</v>
      </c>
      <c r="AG3781" t="s">
        <v>22977</v>
      </c>
      <c r="AH3781" t="s">
        <v>22978</v>
      </c>
      <c r="AI3781" t="s">
        <v>22979</v>
      </c>
    </row>
    <row r="3782" spans="2:35" ht="409.5">
      <c r="B3782" s="1">
        <v>45476</v>
      </c>
      <c r="C3782" s="4">
        <v>45476.6875</v>
      </c>
      <c r="D3782" t="s">
        <v>2773</v>
      </c>
      <c r="E3782" t="s">
        <v>2774</v>
      </c>
      <c r="F3782">
        <v>2</v>
      </c>
      <c r="G3782" t="s">
        <v>2723</v>
      </c>
      <c r="H3782" t="s">
        <v>21406</v>
      </c>
      <c r="I3782" t="s">
        <v>40</v>
      </c>
      <c r="J3782" t="s">
        <v>109</v>
      </c>
      <c r="K3782" t="s">
        <v>42</v>
      </c>
      <c r="L3782" t="s">
        <v>63</v>
      </c>
      <c r="N3782" t="s">
        <v>64</v>
      </c>
      <c r="Q3782">
        <v>28763</v>
      </c>
      <c r="R3782" t="s">
        <v>322</v>
      </c>
      <c r="S3782" t="s">
        <v>21408</v>
      </c>
      <c r="T3782">
        <v>25</v>
      </c>
      <c r="U3782" s="2" t="s">
        <v>22980</v>
      </c>
      <c r="W3782" t="s">
        <v>66</v>
      </c>
      <c r="X3782">
        <v>803870</v>
      </c>
      <c r="Y3782" t="s">
        <v>2692</v>
      </c>
      <c r="Z3782" s="2" t="s">
        <v>22981</v>
      </c>
      <c r="AA3782" s="2" t="s">
        <v>7015</v>
      </c>
      <c r="AB3782" t="s">
        <v>70</v>
      </c>
      <c r="AG3782" t="s">
        <v>22982</v>
      </c>
      <c r="AH3782" t="s">
        <v>21413</v>
      </c>
      <c r="AI3782" t="s">
        <v>22983</v>
      </c>
    </row>
    <row r="3783" spans="2:35" ht="240">
      <c r="B3783" s="1">
        <v>45476</v>
      </c>
      <c r="C3783" s="4">
        <v>45471.45416666667</v>
      </c>
      <c r="D3783" t="s">
        <v>3782</v>
      </c>
      <c r="E3783" t="s">
        <v>22984</v>
      </c>
      <c r="F3783" t="s">
        <v>37</v>
      </c>
      <c r="G3783" t="s">
        <v>748</v>
      </c>
      <c r="H3783" t="s">
        <v>39</v>
      </c>
      <c r="I3783" t="s">
        <v>40</v>
      </c>
      <c r="J3783" t="s">
        <v>109</v>
      </c>
      <c r="K3783" t="s">
        <v>42</v>
      </c>
      <c r="L3783" t="s">
        <v>1028</v>
      </c>
      <c r="N3783" t="s">
        <v>1029</v>
      </c>
      <c r="O3783" t="s">
        <v>3784</v>
      </c>
      <c r="Q3783">
        <v>28761</v>
      </c>
      <c r="R3783" t="s">
        <v>119</v>
      </c>
      <c r="S3783" t="s">
        <v>3785</v>
      </c>
      <c r="T3783">
        <v>24</v>
      </c>
      <c r="U3783" s="2" t="s">
        <v>22985</v>
      </c>
      <c r="W3783" t="s">
        <v>1967</v>
      </c>
      <c r="X3783">
        <v>821340</v>
      </c>
      <c r="Y3783" t="s">
        <v>1978</v>
      </c>
      <c r="Z3783" t="s">
        <v>1548</v>
      </c>
      <c r="AA3783" s="2" t="s">
        <v>22986</v>
      </c>
      <c r="AB3783" t="s">
        <v>22987</v>
      </c>
      <c r="AC3783" t="s">
        <v>22988</v>
      </c>
      <c r="AG3783" t="s">
        <v>22989</v>
      </c>
      <c r="AH3783" t="s">
        <v>8229</v>
      </c>
      <c r="AI3783" t="s">
        <v>22990</v>
      </c>
    </row>
    <row r="3784" spans="2:35" ht="285">
      <c r="B3784" s="1">
        <v>45476</v>
      </c>
      <c r="C3784" s="4">
        <v>45475.476388888892</v>
      </c>
      <c r="D3784" t="s">
        <v>1995</v>
      </c>
      <c r="E3784" t="s">
        <v>22991</v>
      </c>
      <c r="F3784" t="s">
        <v>148</v>
      </c>
      <c r="G3784" t="s">
        <v>1964</v>
      </c>
      <c r="H3784" t="s">
        <v>39</v>
      </c>
      <c r="I3784" t="s">
        <v>40</v>
      </c>
      <c r="J3784" s="2" t="s">
        <v>760</v>
      </c>
      <c r="K3784" t="s">
        <v>42</v>
      </c>
      <c r="L3784" t="s">
        <v>1028</v>
      </c>
      <c r="N3784" t="s">
        <v>1029</v>
      </c>
      <c r="Q3784">
        <v>28762</v>
      </c>
      <c r="R3784" t="s">
        <v>45</v>
      </c>
      <c r="S3784" t="s">
        <v>1997</v>
      </c>
      <c r="T3784">
        <v>25</v>
      </c>
      <c r="U3784" s="2" t="s">
        <v>22992</v>
      </c>
      <c r="W3784" t="s">
        <v>1967</v>
      </c>
      <c r="X3784">
        <v>838192</v>
      </c>
      <c r="Y3784" s="2" t="s">
        <v>22993</v>
      </c>
      <c r="Z3784" s="2" t="s">
        <v>22994</v>
      </c>
      <c r="AA3784" s="2" t="s">
        <v>22995</v>
      </c>
      <c r="AB3784" s="2" t="s">
        <v>22996</v>
      </c>
      <c r="AC3784" t="s">
        <v>22997</v>
      </c>
      <c r="AG3784" t="s">
        <v>22998</v>
      </c>
      <c r="AH3784" t="s">
        <v>22999</v>
      </c>
      <c r="AI3784" t="s">
        <v>23000</v>
      </c>
    </row>
    <row r="3785" spans="2:35" ht="240">
      <c r="B3785" s="1">
        <v>45476</v>
      </c>
      <c r="C3785" s="4">
        <v>45471.459027777775</v>
      </c>
      <c r="D3785" t="s">
        <v>3782</v>
      </c>
      <c r="E3785" t="s">
        <v>22984</v>
      </c>
      <c r="F3785" t="s">
        <v>37</v>
      </c>
      <c r="G3785" t="s">
        <v>748</v>
      </c>
      <c r="H3785" t="s">
        <v>39</v>
      </c>
      <c r="I3785" t="s">
        <v>40</v>
      </c>
      <c r="J3785" t="s">
        <v>109</v>
      </c>
      <c r="K3785" t="s">
        <v>42</v>
      </c>
      <c r="L3785" t="s">
        <v>1028</v>
      </c>
      <c r="N3785" t="s">
        <v>1029</v>
      </c>
      <c r="O3785" t="s">
        <v>3784</v>
      </c>
      <c r="Q3785">
        <v>28759</v>
      </c>
      <c r="R3785" t="s">
        <v>45</v>
      </c>
      <c r="S3785" t="s">
        <v>3785</v>
      </c>
      <c r="T3785">
        <v>25</v>
      </c>
      <c r="U3785" s="2" t="s">
        <v>22985</v>
      </c>
      <c r="W3785" t="s">
        <v>1967</v>
      </c>
      <c r="X3785">
        <v>804691</v>
      </c>
      <c r="Y3785" t="s">
        <v>1978</v>
      </c>
      <c r="Z3785" t="s">
        <v>1548</v>
      </c>
      <c r="AA3785" s="2" t="s">
        <v>22986</v>
      </c>
      <c r="AB3785" t="s">
        <v>3300</v>
      </c>
      <c r="AG3785" t="s">
        <v>23001</v>
      </c>
      <c r="AH3785" t="s">
        <v>8229</v>
      </c>
      <c r="AI3785" t="s">
        <v>23002</v>
      </c>
    </row>
    <row r="3786" spans="2:35" ht="195">
      <c r="B3786" s="1">
        <v>45476</v>
      </c>
      <c r="C3786" s="4">
        <v>45476.530555555553</v>
      </c>
      <c r="D3786" t="s">
        <v>4936</v>
      </c>
      <c r="E3786" t="s">
        <v>23003</v>
      </c>
      <c r="F3786" t="s">
        <v>511</v>
      </c>
      <c r="G3786" t="s">
        <v>4938</v>
      </c>
      <c r="H3786" t="s">
        <v>662</v>
      </c>
      <c r="I3786" t="s">
        <v>40</v>
      </c>
      <c r="J3786" t="s">
        <v>321</v>
      </c>
      <c r="K3786" t="s">
        <v>42</v>
      </c>
      <c r="L3786" t="s">
        <v>1028</v>
      </c>
      <c r="N3786" t="s">
        <v>1029</v>
      </c>
      <c r="Q3786">
        <v>28760</v>
      </c>
      <c r="R3786" t="s">
        <v>967</v>
      </c>
      <c r="S3786" t="s">
        <v>4939</v>
      </c>
      <c r="T3786">
        <v>25</v>
      </c>
      <c r="V3786" s="1">
        <v>45463</v>
      </c>
      <c r="W3786" t="s">
        <v>1032</v>
      </c>
      <c r="X3786">
        <v>110023499</v>
      </c>
      <c r="Y3786" t="s">
        <v>3763</v>
      </c>
      <c r="Z3786" t="s">
        <v>3764</v>
      </c>
      <c r="AA3786" s="2" t="s">
        <v>23004</v>
      </c>
      <c r="AB3786" t="s">
        <v>23005</v>
      </c>
      <c r="AD3786" t="s">
        <v>3727</v>
      </c>
      <c r="AE3786" t="s">
        <v>23006</v>
      </c>
      <c r="AG3786" t="s">
        <v>23007</v>
      </c>
      <c r="AH3786" t="s">
        <v>23008</v>
      </c>
      <c r="AI3786" t="s">
        <v>23009</v>
      </c>
    </row>
    <row r="3787" spans="2:35" ht="150">
      <c r="B3787" s="1">
        <v>45476</v>
      </c>
      <c r="C3787" s="4">
        <v>45476.667361111111</v>
      </c>
      <c r="D3787" t="s">
        <v>2773</v>
      </c>
      <c r="E3787" t="s">
        <v>2774</v>
      </c>
      <c r="F3787">
        <v>2</v>
      </c>
      <c r="G3787" t="s">
        <v>2723</v>
      </c>
      <c r="H3787" t="s">
        <v>386</v>
      </c>
      <c r="I3787" t="s">
        <v>40</v>
      </c>
      <c r="J3787" t="s">
        <v>109</v>
      </c>
      <c r="K3787" t="s">
        <v>387</v>
      </c>
      <c r="L3787" t="s">
        <v>63</v>
      </c>
      <c r="N3787" t="s">
        <v>64</v>
      </c>
      <c r="Q3787">
        <v>28758</v>
      </c>
      <c r="R3787" t="s">
        <v>119</v>
      </c>
      <c r="S3787" t="s">
        <v>8420</v>
      </c>
      <c r="T3787">
        <v>25</v>
      </c>
      <c r="W3787" t="s">
        <v>390</v>
      </c>
      <c r="X3787" t="s">
        <v>23010</v>
      </c>
      <c r="Y3787" t="s">
        <v>2692</v>
      </c>
      <c r="Z3787" s="2" t="s">
        <v>23011</v>
      </c>
      <c r="AA3787" s="2" t="s">
        <v>23012</v>
      </c>
      <c r="AB3787" t="s">
        <v>70</v>
      </c>
      <c r="AC3787" t="s">
        <v>23013</v>
      </c>
      <c r="AG3787" t="s">
        <v>23014</v>
      </c>
      <c r="AH3787" t="s">
        <v>8427</v>
      </c>
      <c r="AI3787" t="s">
        <v>23015</v>
      </c>
    </row>
    <row r="3788" spans="2:35" ht="105">
      <c r="B3788" s="1">
        <v>45476</v>
      </c>
      <c r="C3788" s="4">
        <v>45476.509722222225</v>
      </c>
      <c r="D3788" t="s">
        <v>12838</v>
      </c>
      <c r="E3788" t="s">
        <v>12839</v>
      </c>
      <c r="F3788">
        <v>6</v>
      </c>
      <c r="G3788" t="s">
        <v>1234</v>
      </c>
      <c r="H3788" t="s">
        <v>258</v>
      </c>
      <c r="I3788" t="s">
        <v>40</v>
      </c>
      <c r="J3788" s="2" t="s">
        <v>62</v>
      </c>
      <c r="K3788" t="s">
        <v>42</v>
      </c>
      <c r="L3788" t="s">
        <v>270</v>
      </c>
      <c r="N3788" t="s">
        <v>2481</v>
      </c>
      <c r="Q3788">
        <v>28757</v>
      </c>
      <c r="R3788" t="s">
        <v>119</v>
      </c>
      <c r="S3788" t="s">
        <v>23016</v>
      </c>
      <c r="T3788">
        <v>25</v>
      </c>
      <c r="U3788" s="2" t="s">
        <v>23017</v>
      </c>
      <c r="W3788" t="s">
        <v>23018</v>
      </c>
      <c r="X3788">
        <v>838280</v>
      </c>
      <c r="Y3788" t="s">
        <v>23019</v>
      </c>
      <c r="Z3788" t="e">
        <f ca="1">- cleaned optics, _xludf.filter, module bay _xludf.areas, plunger Rods</f>
        <v>#NAME?</v>
      </c>
      <c r="AA3788" t="e">
        <f ca="1">- PERFORM Xpertcheck.
- Preventive Maintenance</f>
        <v>#NAME?</v>
      </c>
      <c r="AB3788" t="s">
        <v>23020</v>
      </c>
      <c r="AG3788" t="s">
        <v>23021</v>
      </c>
      <c r="AH3788" t="s">
        <v>23022</v>
      </c>
      <c r="AI3788" t="s">
        <v>23023</v>
      </c>
    </row>
    <row r="3789" spans="2:35" ht="315">
      <c r="B3789" s="1">
        <v>45476</v>
      </c>
      <c r="C3789" s="4">
        <v>45476.551388888889</v>
      </c>
      <c r="D3789" t="s">
        <v>23024</v>
      </c>
      <c r="E3789" t="s">
        <v>23025</v>
      </c>
      <c r="F3789" t="s">
        <v>148</v>
      </c>
      <c r="G3789" t="s">
        <v>447</v>
      </c>
      <c r="H3789" t="s">
        <v>39</v>
      </c>
      <c r="I3789" t="s">
        <v>40</v>
      </c>
      <c r="J3789" s="2" t="s">
        <v>41</v>
      </c>
      <c r="K3789" t="s">
        <v>42</v>
      </c>
      <c r="L3789" t="s">
        <v>15532</v>
      </c>
      <c r="N3789" t="s">
        <v>15533</v>
      </c>
      <c r="O3789" t="s">
        <v>16082</v>
      </c>
      <c r="Q3789">
        <v>28756</v>
      </c>
      <c r="R3789" t="s">
        <v>45</v>
      </c>
      <c r="S3789" t="s">
        <v>23026</v>
      </c>
      <c r="T3789">
        <v>25</v>
      </c>
      <c r="U3789" s="2" t="s">
        <v>23027</v>
      </c>
      <c r="V3789" s="1">
        <v>45468</v>
      </c>
      <c r="W3789" t="s">
        <v>15535</v>
      </c>
      <c r="X3789">
        <v>815484</v>
      </c>
      <c r="Y3789" t="s">
        <v>424</v>
      </c>
      <c r="Z3789" s="2" t="s">
        <v>23028</v>
      </c>
      <c r="AA3789" s="2" t="s">
        <v>23029</v>
      </c>
      <c r="AB3789" s="2" t="s">
        <v>17482</v>
      </c>
      <c r="AD3789" t="s">
        <v>15847</v>
      </c>
      <c r="AE3789" t="s">
        <v>23030</v>
      </c>
      <c r="AG3789" t="s">
        <v>23031</v>
      </c>
      <c r="AH3789" t="s">
        <v>23032</v>
      </c>
      <c r="AI3789" t="s">
        <v>23033</v>
      </c>
    </row>
    <row r="3790" spans="2:35" ht="409.5">
      <c r="B3790" s="1">
        <v>45476</v>
      </c>
      <c r="C3790" s="4">
        <v>45476.613888888889</v>
      </c>
      <c r="D3790" t="s">
        <v>10183</v>
      </c>
      <c r="E3790" t="s">
        <v>2835</v>
      </c>
      <c r="F3790">
        <v>11</v>
      </c>
      <c r="G3790" t="s">
        <v>2836</v>
      </c>
      <c r="H3790" t="s">
        <v>513</v>
      </c>
      <c r="I3790" t="s">
        <v>40</v>
      </c>
      <c r="J3790" t="s">
        <v>321</v>
      </c>
      <c r="K3790" t="s">
        <v>387</v>
      </c>
      <c r="L3790" t="s">
        <v>204</v>
      </c>
      <c r="N3790" t="s">
        <v>205</v>
      </c>
      <c r="O3790" t="s">
        <v>2867</v>
      </c>
      <c r="Q3790">
        <v>28755</v>
      </c>
      <c r="R3790" t="s">
        <v>95</v>
      </c>
      <c r="S3790" t="s">
        <v>13812</v>
      </c>
      <c r="T3790">
        <v>26.9</v>
      </c>
      <c r="V3790" s="1">
        <v>45457</v>
      </c>
      <c r="W3790" t="s">
        <v>390</v>
      </c>
      <c r="X3790" t="s">
        <v>2869</v>
      </c>
      <c r="Y3790" t="s">
        <v>23034</v>
      </c>
      <c r="Z3790" s="2" t="s">
        <v>23035</v>
      </c>
      <c r="AA3790" t="s">
        <v>22749</v>
      </c>
      <c r="AB3790" s="2" t="s">
        <v>23036</v>
      </c>
      <c r="AE3790" t="s">
        <v>23037</v>
      </c>
      <c r="AG3790" t="s">
        <v>23038</v>
      </c>
      <c r="AH3790" t="s">
        <v>22896</v>
      </c>
      <c r="AI3790" t="s">
        <v>23039</v>
      </c>
    </row>
    <row r="3791" spans="2:35" ht="390">
      <c r="B3791" s="1">
        <v>45476</v>
      </c>
      <c r="C3791" s="4">
        <v>45474.488194444442</v>
      </c>
      <c r="D3791" t="s">
        <v>6844</v>
      </c>
      <c r="E3791" t="s">
        <v>23040</v>
      </c>
      <c r="F3791">
        <v>12</v>
      </c>
      <c r="G3791" t="s">
        <v>294</v>
      </c>
      <c r="H3791" t="s">
        <v>1473</v>
      </c>
      <c r="I3791" t="s">
        <v>40</v>
      </c>
      <c r="J3791" s="2" t="s">
        <v>41</v>
      </c>
      <c r="K3791" t="s">
        <v>42</v>
      </c>
      <c r="L3791" t="s">
        <v>296</v>
      </c>
      <c r="N3791" t="s">
        <v>297</v>
      </c>
      <c r="Q3791">
        <v>28753</v>
      </c>
      <c r="R3791" t="s">
        <v>119</v>
      </c>
      <c r="S3791" t="s">
        <v>6846</v>
      </c>
      <c r="T3791">
        <v>27.3</v>
      </c>
      <c r="U3791" s="2" t="s">
        <v>23041</v>
      </c>
      <c r="W3791" t="s">
        <v>22229</v>
      </c>
      <c r="X3791">
        <v>838261</v>
      </c>
      <c r="Y3791" t="s">
        <v>23042</v>
      </c>
      <c r="Z3791" s="2" t="s">
        <v>23043</v>
      </c>
      <c r="AA3791" s="2" t="s">
        <v>23044</v>
      </c>
      <c r="AB3791" t="s">
        <v>972</v>
      </c>
      <c r="AG3791" t="s">
        <v>23045</v>
      </c>
      <c r="AH3791" t="s">
        <v>19237</v>
      </c>
      <c r="AI3791" t="s">
        <v>23046</v>
      </c>
    </row>
    <row r="3792" spans="2:35" ht="360">
      <c r="B3792" s="1">
        <v>45476</v>
      </c>
      <c r="C3792" s="4">
        <v>45475.672222222223</v>
      </c>
      <c r="D3792" t="s">
        <v>23047</v>
      </c>
      <c r="E3792" t="s">
        <v>10648</v>
      </c>
      <c r="F3792">
        <v>12</v>
      </c>
      <c r="G3792" t="s">
        <v>2137</v>
      </c>
      <c r="H3792" t="s">
        <v>39</v>
      </c>
      <c r="I3792" t="s">
        <v>94</v>
      </c>
      <c r="J3792" s="2" t="s">
        <v>41</v>
      </c>
      <c r="K3792" t="s">
        <v>42</v>
      </c>
      <c r="L3792" t="s">
        <v>296</v>
      </c>
      <c r="N3792" t="s">
        <v>297</v>
      </c>
      <c r="Q3792">
        <v>28754</v>
      </c>
      <c r="R3792" t="s">
        <v>45</v>
      </c>
      <c r="S3792" t="s">
        <v>10649</v>
      </c>
      <c r="T3792">
        <v>27.9</v>
      </c>
      <c r="U3792" s="2" t="s">
        <v>23048</v>
      </c>
      <c r="V3792" s="1">
        <v>45476</v>
      </c>
      <c r="W3792" t="s">
        <v>23049</v>
      </c>
      <c r="X3792">
        <v>807623</v>
      </c>
      <c r="Y3792" t="s">
        <v>16363</v>
      </c>
      <c r="Z3792" s="2" t="s">
        <v>23050</v>
      </c>
      <c r="AA3792" s="2" t="s">
        <v>22231</v>
      </c>
      <c r="AB3792" t="s">
        <v>972</v>
      </c>
      <c r="AD3792" t="s">
        <v>22232</v>
      </c>
      <c r="AE3792" t="s">
        <v>23051</v>
      </c>
      <c r="AG3792" t="s">
        <v>23052</v>
      </c>
      <c r="AH3792" t="s">
        <v>23053</v>
      </c>
      <c r="AI3792" t="s">
        <v>23054</v>
      </c>
    </row>
    <row r="3793" spans="2:35" ht="300">
      <c r="B3793" s="1">
        <v>45476</v>
      </c>
      <c r="C3793" s="4">
        <v>45476.572222222225</v>
      </c>
      <c r="D3793" t="s">
        <v>2706</v>
      </c>
      <c r="E3793" t="s">
        <v>23055</v>
      </c>
      <c r="F3793">
        <v>2</v>
      </c>
      <c r="G3793" t="s">
        <v>2668</v>
      </c>
      <c r="H3793" t="s">
        <v>39</v>
      </c>
      <c r="I3793" t="s">
        <v>40</v>
      </c>
      <c r="J3793" s="2" t="s">
        <v>1808</v>
      </c>
      <c r="K3793" t="s">
        <v>42</v>
      </c>
      <c r="L3793" t="s">
        <v>63</v>
      </c>
      <c r="N3793" t="s">
        <v>64</v>
      </c>
      <c r="Q3793">
        <v>28752</v>
      </c>
      <c r="R3793" t="s">
        <v>45</v>
      </c>
      <c r="S3793" t="s">
        <v>2708</v>
      </c>
      <c r="T3793">
        <v>29</v>
      </c>
      <c r="W3793" t="s">
        <v>66</v>
      </c>
      <c r="X3793">
        <v>805104</v>
      </c>
      <c r="Y3793" t="s">
        <v>22451</v>
      </c>
      <c r="Z3793" t="s">
        <v>23056</v>
      </c>
      <c r="AA3793" s="2" t="s">
        <v>23057</v>
      </c>
      <c r="AB3793" t="s">
        <v>70</v>
      </c>
      <c r="AC3793" t="s">
        <v>23058</v>
      </c>
      <c r="AG3793" t="s">
        <v>23059</v>
      </c>
      <c r="AH3793" t="s">
        <v>23060</v>
      </c>
      <c r="AI3793" t="s">
        <v>23061</v>
      </c>
    </row>
    <row r="3794" spans="2:35" ht="105">
      <c r="B3794" s="1">
        <v>45476</v>
      </c>
      <c r="C3794" s="4">
        <v>45476.51666666667</v>
      </c>
      <c r="D3794" t="s">
        <v>2883</v>
      </c>
      <c r="E3794" t="s">
        <v>23062</v>
      </c>
      <c r="F3794">
        <v>7</v>
      </c>
      <c r="G3794" t="s">
        <v>432</v>
      </c>
      <c r="H3794" t="s">
        <v>1498</v>
      </c>
      <c r="I3794" t="s">
        <v>94</v>
      </c>
      <c r="J3794" s="2" t="s">
        <v>62</v>
      </c>
      <c r="K3794" t="s">
        <v>42</v>
      </c>
      <c r="L3794" t="s">
        <v>343</v>
      </c>
      <c r="N3794" t="s">
        <v>344</v>
      </c>
      <c r="Q3794">
        <v>28751</v>
      </c>
      <c r="R3794" t="s">
        <v>45</v>
      </c>
      <c r="S3794" t="s">
        <v>23063</v>
      </c>
      <c r="T3794">
        <v>26</v>
      </c>
      <c r="U3794" s="2" t="s">
        <v>8070</v>
      </c>
      <c r="W3794" t="s">
        <v>1568</v>
      </c>
      <c r="X3794">
        <v>835058</v>
      </c>
      <c r="Y3794" t="e">
        <f ca="1">-DUE _xludf.For XpertCheck
-module B1 H/W fail</f>
        <v>#NAME?</v>
      </c>
      <c r="Z3794" t="e">
        <f ca="1">-run XpertCheck CALIBRATION on ALL modules</f>
        <v>#NAME?</v>
      </c>
      <c r="AA3794" t="e">
        <f ca="1">-XpertCheck CALIBRATION
-Preventive Maintenance</f>
        <v>#NAME?</v>
      </c>
      <c r="AB3794" t="s">
        <v>23064</v>
      </c>
      <c r="AG3794" t="s">
        <v>23065</v>
      </c>
      <c r="AH3794" t="s">
        <v>23066</v>
      </c>
      <c r="AI3794" t="s">
        <v>23067</v>
      </c>
    </row>
    <row r="3795" spans="2:35" ht="405">
      <c r="B3795" s="1">
        <v>45476</v>
      </c>
      <c r="C3795" s="4">
        <v>45476.447222222225</v>
      </c>
      <c r="D3795" t="s">
        <v>3050</v>
      </c>
      <c r="E3795" t="s">
        <v>3051</v>
      </c>
      <c r="F3795" t="s">
        <v>148</v>
      </c>
      <c r="G3795" t="s">
        <v>371</v>
      </c>
      <c r="H3795" t="s">
        <v>39</v>
      </c>
      <c r="I3795" t="s">
        <v>40</v>
      </c>
      <c r="J3795" s="2" t="s">
        <v>1808</v>
      </c>
      <c r="K3795" t="s">
        <v>42</v>
      </c>
      <c r="L3795" t="s">
        <v>15532</v>
      </c>
      <c r="N3795" t="s">
        <v>15533</v>
      </c>
      <c r="Q3795">
        <v>28750</v>
      </c>
      <c r="R3795" t="s">
        <v>45</v>
      </c>
      <c r="S3795" t="s">
        <v>20530</v>
      </c>
      <c r="T3795">
        <v>25</v>
      </c>
      <c r="U3795" s="2" t="s">
        <v>23068</v>
      </c>
      <c r="W3795" t="s">
        <v>22123</v>
      </c>
      <c r="X3795">
        <v>814154</v>
      </c>
      <c r="Y3795" t="s">
        <v>23069</v>
      </c>
      <c r="Z3795" s="2" t="s">
        <v>23070</v>
      </c>
      <c r="AA3795" s="2" t="s">
        <v>23071</v>
      </c>
      <c r="AB3795" s="2" t="s">
        <v>23072</v>
      </c>
      <c r="AG3795" t="s">
        <v>23073</v>
      </c>
      <c r="AH3795" t="s">
        <v>23074</v>
      </c>
      <c r="AI3795" t="s">
        <v>23075</v>
      </c>
    </row>
    <row r="3796" spans="2:35" ht="315">
      <c r="B3796" s="1">
        <v>45476</v>
      </c>
      <c r="C3796" s="4">
        <v>45476.436111111114</v>
      </c>
      <c r="D3796" t="s">
        <v>3050</v>
      </c>
      <c r="E3796" t="s">
        <v>3051</v>
      </c>
      <c r="F3796" t="s">
        <v>148</v>
      </c>
      <c r="G3796" t="s">
        <v>371</v>
      </c>
      <c r="H3796" t="s">
        <v>39</v>
      </c>
      <c r="I3796" t="s">
        <v>40</v>
      </c>
      <c r="J3796" s="2" t="s">
        <v>41</v>
      </c>
      <c r="K3796" t="s">
        <v>42</v>
      </c>
      <c r="L3796" t="s">
        <v>15532</v>
      </c>
      <c r="N3796" t="s">
        <v>15533</v>
      </c>
      <c r="Q3796">
        <v>28749</v>
      </c>
      <c r="R3796" t="s">
        <v>45</v>
      </c>
      <c r="S3796" t="s">
        <v>20530</v>
      </c>
      <c r="T3796">
        <v>25</v>
      </c>
      <c r="U3796" s="2" t="s">
        <v>23068</v>
      </c>
      <c r="V3796" s="1">
        <v>45468</v>
      </c>
      <c r="W3796" t="s">
        <v>16496</v>
      </c>
      <c r="X3796">
        <v>805271</v>
      </c>
      <c r="Y3796" t="s">
        <v>23076</v>
      </c>
      <c r="Z3796" s="2" t="s">
        <v>23077</v>
      </c>
      <c r="AA3796" s="2" t="s">
        <v>23078</v>
      </c>
      <c r="AB3796" s="2" t="s">
        <v>21738</v>
      </c>
      <c r="AD3796" t="s">
        <v>23079</v>
      </c>
      <c r="AE3796" t="s">
        <v>23080</v>
      </c>
      <c r="AG3796" t="s">
        <v>23081</v>
      </c>
      <c r="AH3796" t="s">
        <v>23074</v>
      </c>
      <c r="AI3796" t="s">
        <v>23082</v>
      </c>
    </row>
    <row r="3797" spans="2:35" ht="300">
      <c r="B3797" s="1">
        <v>45476</v>
      </c>
      <c r="C3797" s="4">
        <v>45475.345138888886</v>
      </c>
      <c r="D3797" t="s">
        <v>23083</v>
      </c>
      <c r="E3797" t="s">
        <v>23084</v>
      </c>
      <c r="F3797" t="s">
        <v>148</v>
      </c>
      <c r="G3797" t="s">
        <v>447</v>
      </c>
      <c r="H3797" t="s">
        <v>39</v>
      </c>
      <c r="I3797" t="s">
        <v>40</v>
      </c>
      <c r="J3797" s="2" t="s">
        <v>190</v>
      </c>
      <c r="K3797" t="s">
        <v>42</v>
      </c>
      <c r="L3797" t="s">
        <v>15532</v>
      </c>
      <c r="N3797" t="s">
        <v>15533</v>
      </c>
      <c r="Q3797">
        <v>28748</v>
      </c>
      <c r="R3797" t="s">
        <v>119</v>
      </c>
      <c r="S3797" t="s">
        <v>23085</v>
      </c>
      <c r="T3797">
        <v>29</v>
      </c>
      <c r="U3797" s="2" t="s">
        <v>23086</v>
      </c>
      <c r="W3797" t="s">
        <v>3244</v>
      </c>
      <c r="X3797">
        <v>831848</v>
      </c>
      <c r="Y3797" s="2" t="s">
        <v>23087</v>
      </c>
      <c r="Z3797" s="2" t="s">
        <v>22608</v>
      </c>
      <c r="AA3797" s="2" t="s">
        <v>23088</v>
      </c>
      <c r="AB3797" s="2" t="s">
        <v>23089</v>
      </c>
      <c r="AG3797" t="s">
        <v>23090</v>
      </c>
      <c r="AH3797" t="s">
        <v>23091</v>
      </c>
      <c r="AI3797" t="s">
        <v>23092</v>
      </c>
    </row>
    <row r="3798" spans="2:35" ht="390">
      <c r="B3798" s="1">
        <v>45475</v>
      </c>
      <c r="C3798" s="4">
        <v>45475.730555555558</v>
      </c>
      <c r="D3798" t="s">
        <v>1203</v>
      </c>
      <c r="E3798" t="s">
        <v>19173</v>
      </c>
      <c r="F3798">
        <v>11</v>
      </c>
      <c r="G3798" t="s">
        <v>1205</v>
      </c>
      <c r="H3798" t="s">
        <v>2548</v>
      </c>
      <c r="I3798" t="s">
        <v>40</v>
      </c>
      <c r="J3798" t="s">
        <v>321</v>
      </c>
      <c r="K3798" t="s">
        <v>42</v>
      </c>
      <c r="L3798" t="s">
        <v>204</v>
      </c>
      <c r="N3798" t="s">
        <v>205</v>
      </c>
      <c r="Q3798">
        <v>28747</v>
      </c>
      <c r="R3798" t="s">
        <v>967</v>
      </c>
      <c r="S3798" t="s">
        <v>1206</v>
      </c>
      <c r="T3798">
        <v>24.7</v>
      </c>
      <c r="V3798" s="1">
        <v>45463</v>
      </c>
      <c r="W3798" t="s">
        <v>9206</v>
      </c>
      <c r="X3798">
        <v>110023505</v>
      </c>
      <c r="Y3798" t="s">
        <v>6010</v>
      </c>
      <c r="Z3798" s="2" t="s">
        <v>23093</v>
      </c>
      <c r="AA3798" t="s">
        <v>22749</v>
      </c>
      <c r="AB3798" t="s">
        <v>23094</v>
      </c>
      <c r="AE3798" t="s">
        <v>23095</v>
      </c>
      <c r="AG3798" t="s">
        <v>23096</v>
      </c>
      <c r="AH3798" t="s">
        <v>23097</v>
      </c>
      <c r="AI3798" t="s">
        <v>23098</v>
      </c>
    </row>
    <row r="3799" spans="2:35" ht="210">
      <c r="B3799" s="1">
        <v>45475</v>
      </c>
      <c r="C3799" s="4">
        <v>45475.614583333336</v>
      </c>
      <c r="D3799" t="s">
        <v>5546</v>
      </c>
      <c r="E3799" t="s">
        <v>1555</v>
      </c>
      <c r="F3799">
        <v>7</v>
      </c>
      <c r="G3799" t="s">
        <v>432</v>
      </c>
      <c r="H3799" t="s">
        <v>39</v>
      </c>
      <c r="I3799" t="s">
        <v>40</v>
      </c>
      <c r="J3799" t="s">
        <v>321</v>
      </c>
      <c r="K3799" t="s">
        <v>42</v>
      </c>
      <c r="L3799" t="s">
        <v>433</v>
      </c>
      <c r="N3799" t="s">
        <v>434</v>
      </c>
      <c r="Q3799">
        <v>28746</v>
      </c>
      <c r="R3799" t="s">
        <v>967</v>
      </c>
      <c r="S3799" t="s">
        <v>23099</v>
      </c>
      <c r="T3799">
        <v>28</v>
      </c>
      <c r="W3799" t="s">
        <v>19433</v>
      </c>
      <c r="X3799">
        <v>110023513</v>
      </c>
      <c r="Y3799" t="s">
        <v>301</v>
      </c>
      <c r="Z3799" s="2" t="s">
        <v>23100</v>
      </c>
      <c r="AA3799" s="2" t="s">
        <v>23100</v>
      </c>
      <c r="AB3799" t="s">
        <v>1011</v>
      </c>
      <c r="AG3799" t="s">
        <v>23101</v>
      </c>
      <c r="AH3799" t="s">
        <v>23102</v>
      </c>
      <c r="AI3799" t="s">
        <v>23103</v>
      </c>
    </row>
    <row r="3800" spans="2:35" ht="360">
      <c r="B3800" s="1">
        <v>45475</v>
      </c>
      <c r="C3800" s="4">
        <v>45475.640972222223</v>
      </c>
      <c r="D3800" t="s">
        <v>5306</v>
      </c>
      <c r="E3800" t="s">
        <v>20809</v>
      </c>
      <c r="F3800">
        <v>2</v>
      </c>
      <c r="G3800" t="s">
        <v>2668</v>
      </c>
      <c r="H3800" t="s">
        <v>39</v>
      </c>
      <c r="I3800" t="s">
        <v>40</v>
      </c>
      <c r="J3800" s="2" t="s">
        <v>1808</v>
      </c>
      <c r="K3800" t="s">
        <v>42</v>
      </c>
      <c r="L3800" t="s">
        <v>63</v>
      </c>
      <c r="N3800" t="s">
        <v>64</v>
      </c>
      <c r="Q3800">
        <v>28745</v>
      </c>
      <c r="R3800" t="s">
        <v>967</v>
      </c>
      <c r="S3800" t="s">
        <v>5308</v>
      </c>
      <c r="T3800">
        <v>25</v>
      </c>
      <c r="V3800" s="1">
        <v>45463</v>
      </c>
      <c r="W3800" t="s">
        <v>373</v>
      </c>
      <c r="X3800">
        <v>110023504</v>
      </c>
      <c r="Y3800" t="s">
        <v>1716</v>
      </c>
      <c r="Z3800" t="s">
        <v>1716</v>
      </c>
      <c r="AA3800" s="2" t="s">
        <v>23104</v>
      </c>
      <c r="AB3800" t="s">
        <v>70</v>
      </c>
      <c r="AD3800" t="s">
        <v>22883</v>
      </c>
      <c r="AE3800">
        <v>11631</v>
      </c>
      <c r="AG3800" t="s">
        <v>23105</v>
      </c>
      <c r="AH3800" t="s">
        <v>10788</v>
      </c>
      <c r="AI3800" t="s">
        <v>23106</v>
      </c>
    </row>
    <row r="3801" spans="2:35" ht="180">
      <c r="B3801" s="1">
        <v>45475</v>
      </c>
      <c r="C3801" s="4">
        <v>45475.601388888892</v>
      </c>
      <c r="D3801" t="s">
        <v>5496</v>
      </c>
      <c r="E3801" t="s">
        <v>23107</v>
      </c>
      <c r="F3801">
        <v>5</v>
      </c>
      <c r="G3801" t="s">
        <v>839</v>
      </c>
      <c r="H3801" t="s">
        <v>39</v>
      </c>
      <c r="I3801" t="s">
        <v>94</v>
      </c>
      <c r="J3801" s="2" t="s">
        <v>190</v>
      </c>
      <c r="K3801" t="s">
        <v>42</v>
      </c>
      <c r="L3801" t="s">
        <v>761</v>
      </c>
      <c r="N3801" t="s">
        <v>762</v>
      </c>
      <c r="Q3801">
        <v>28744</v>
      </c>
      <c r="R3801" t="s">
        <v>119</v>
      </c>
      <c r="S3801" t="s">
        <v>5498</v>
      </c>
      <c r="T3801">
        <v>25</v>
      </c>
      <c r="U3801" s="2" t="s">
        <v>16614</v>
      </c>
      <c r="W3801" t="s">
        <v>765</v>
      </c>
      <c r="X3801">
        <v>838391</v>
      </c>
      <c r="Y3801" t="s">
        <v>23108</v>
      </c>
      <c r="Z3801" s="2" t="s">
        <v>23109</v>
      </c>
      <c r="AA3801" s="2" t="s">
        <v>23110</v>
      </c>
      <c r="AB3801" t="s">
        <v>70</v>
      </c>
      <c r="AG3801" t="s">
        <v>23111</v>
      </c>
      <c r="AH3801" t="s">
        <v>5503</v>
      </c>
      <c r="AI3801" t="s">
        <v>23112</v>
      </c>
    </row>
    <row r="3802" spans="2:35" ht="210">
      <c r="B3802" s="1">
        <v>45475</v>
      </c>
      <c r="C3802" s="4">
        <v>45475.597222222219</v>
      </c>
      <c r="D3802" t="s">
        <v>5496</v>
      </c>
      <c r="E3802" t="s">
        <v>23107</v>
      </c>
      <c r="F3802">
        <v>5</v>
      </c>
      <c r="G3802" t="s">
        <v>839</v>
      </c>
      <c r="H3802" t="s">
        <v>39</v>
      </c>
      <c r="I3802" t="s">
        <v>94</v>
      </c>
      <c r="J3802" t="s">
        <v>321</v>
      </c>
      <c r="K3802" t="s">
        <v>42</v>
      </c>
      <c r="L3802" t="s">
        <v>761</v>
      </c>
      <c r="N3802" t="s">
        <v>762</v>
      </c>
      <c r="Q3802">
        <v>28743</v>
      </c>
      <c r="R3802" t="s">
        <v>967</v>
      </c>
      <c r="S3802" t="s">
        <v>5498</v>
      </c>
      <c r="T3802">
        <v>25</v>
      </c>
      <c r="W3802" t="s">
        <v>817</v>
      </c>
      <c r="X3802">
        <v>110023511</v>
      </c>
      <c r="Y3802" t="s">
        <v>8306</v>
      </c>
      <c r="Z3802" s="2" t="s">
        <v>23113</v>
      </c>
      <c r="AA3802" t="s">
        <v>23114</v>
      </c>
      <c r="AB3802" t="s">
        <v>70</v>
      </c>
      <c r="AG3802" t="s">
        <v>23115</v>
      </c>
      <c r="AH3802" t="s">
        <v>5503</v>
      </c>
      <c r="AI3802" t="s">
        <v>23116</v>
      </c>
    </row>
    <row r="3803" spans="2:35" ht="105">
      <c r="B3803" s="1">
        <v>45475</v>
      </c>
      <c r="C3803" s="4">
        <v>45475.601388888892</v>
      </c>
      <c r="D3803" t="s">
        <v>4344</v>
      </c>
      <c r="E3803" t="s">
        <v>4345</v>
      </c>
      <c r="F3803">
        <v>8</v>
      </c>
      <c r="G3803" t="s">
        <v>342</v>
      </c>
      <c r="H3803" t="s">
        <v>202</v>
      </c>
      <c r="I3803" t="s">
        <v>40</v>
      </c>
      <c r="J3803" t="s">
        <v>109</v>
      </c>
      <c r="K3803" t="s">
        <v>42</v>
      </c>
      <c r="L3803" t="s">
        <v>259</v>
      </c>
      <c r="N3803" t="s">
        <v>260</v>
      </c>
      <c r="Q3803">
        <v>28742</v>
      </c>
      <c r="R3803" t="s">
        <v>45</v>
      </c>
      <c r="S3803" t="s">
        <v>23117</v>
      </c>
      <c r="T3803">
        <v>27</v>
      </c>
      <c r="U3803" s="2" t="s">
        <v>20828</v>
      </c>
      <c r="V3803" s="1">
        <v>45475</v>
      </c>
      <c r="W3803" t="s">
        <v>23118</v>
      </c>
      <c r="X3803">
        <v>834817</v>
      </c>
      <c r="Y3803" t="s">
        <v>263</v>
      </c>
      <c r="Z3803" t="s">
        <v>263</v>
      </c>
      <c r="AA3803" t="e">
        <f ca="1">- Preventive Maintenance (cleaned plunger rod, cartridge bay, icore _xludf.and FAN _xludf.filter)
- performed functionality test
- Generate IQR _xludf.and system _xludf.Log</f>
        <v>#NAME?</v>
      </c>
      <c r="AB3803" t="s">
        <v>181</v>
      </c>
      <c r="AG3803" t="s">
        <v>23119</v>
      </c>
      <c r="AH3803" t="s">
        <v>23120</v>
      </c>
      <c r="AI3803" t="s">
        <v>23121</v>
      </c>
    </row>
    <row r="3804" spans="2:35">
      <c r="B3804" s="1">
        <v>45475</v>
      </c>
      <c r="C3804" s="4">
        <v>45475.572916666664</v>
      </c>
      <c r="D3804" t="s">
        <v>13723</v>
      </c>
      <c r="E3804" t="s">
        <v>12017</v>
      </c>
      <c r="F3804">
        <v>7</v>
      </c>
      <c r="G3804" t="s">
        <v>432</v>
      </c>
      <c r="H3804" t="s">
        <v>12018</v>
      </c>
      <c r="I3804" t="s">
        <v>40</v>
      </c>
      <c r="J3804" t="s">
        <v>79</v>
      </c>
      <c r="K3804" t="s">
        <v>387</v>
      </c>
      <c r="L3804" t="s">
        <v>1288</v>
      </c>
      <c r="N3804" t="s">
        <v>1289</v>
      </c>
      <c r="Q3804">
        <v>28741</v>
      </c>
      <c r="R3804" t="s">
        <v>95</v>
      </c>
      <c r="S3804" t="s">
        <v>9919</v>
      </c>
      <c r="T3804">
        <v>22</v>
      </c>
      <c r="V3804" s="1">
        <v>45474</v>
      </c>
      <c r="W3804" t="s">
        <v>390</v>
      </c>
      <c r="X3804" t="s">
        <v>3425</v>
      </c>
      <c r="Y3804" t="e">
        <f ca="1">-_xludf.For display cable Replacement</f>
        <v>#NAME?</v>
      </c>
      <c r="Z3804" t="e">
        <f ca="1">-PERFORM MCS service _xludf.and PERFORM display test</f>
        <v>#NAME?</v>
      </c>
      <c r="AA3804" t="e">
        <f ca="1">-Install new display cable Replacement _xludf.For APHERESIS EQUIPMENT
-PERFORM functionality test, passed</f>
        <v>#NAME?</v>
      </c>
      <c r="AB3804" t="e">
        <f ca="1">-EQUIPMENT is operational</f>
        <v>#NAME?</v>
      </c>
      <c r="AD3804" t="s">
        <v>23122</v>
      </c>
      <c r="AE3804">
        <v>97529</v>
      </c>
      <c r="AG3804" t="s">
        <v>23123</v>
      </c>
      <c r="AH3804" t="s">
        <v>23124</v>
      </c>
      <c r="AI3804" t="s">
        <v>23125</v>
      </c>
    </row>
    <row r="3805" spans="2:35" ht="165">
      <c r="B3805" s="1">
        <v>45475</v>
      </c>
      <c r="C3805" s="4">
        <v>45475.525000000001</v>
      </c>
      <c r="D3805" t="s">
        <v>23126</v>
      </c>
      <c r="E3805" t="s">
        <v>23127</v>
      </c>
      <c r="F3805">
        <v>2</v>
      </c>
      <c r="G3805" t="s">
        <v>2668</v>
      </c>
      <c r="H3805" t="s">
        <v>39</v>
      </c>
      <c r="I3805" t="s">
        <v>40</v>
      </c>
      <c r="J3805" s="2" t="s">
        <v>4373</v>
      </c>
      <c r="K3805" t="s">
        <v>42</v>
      </c>
      <c r="L3805" t="s">
        <v>63</v>
      </c>
      <c r="N3805" t="s">
        <v>64</v>
      </c>
      <c r="O3805" t="s">
        <v>23128</v>
      </c>
      <c r="Q3805">
        <v>28740</v>
      </c>
      <c r="R3805" t="s">
        <v>119</v>
      </c>
      <c r="S3805" t="s">
        <v>23128</v>
      </c>
      <c r="T3805">
        <v>27</v>
      </c>
      <c r="W3805" t="s">
        <v>66</v>
      </c>
      <c r="X3805">
        <v>807458</v>
      </c>
      <c r="Y3805" t="s">
        <v>23129</v>
      </c>
      <c r="Z3805" t="s">
        <v>23130</v>
      </c>
      <c r="AA3805" s="2" t="s">
        <v>1727</v>
      </c>
      <c r="AB3805" t="s">
        <v>70</v>
      </c>
      <c r="AG3805" t="s">
        <v>23131</v>
      </c>
      <c r="AH3805" t="s">
        <v>23132</v>
      </c>
      <c r="AI3805" t="s">
        <v>23133</v>
      </c>
    </row>
    <row r="3806" spans="2:35" ht="409.5">
      <c r="B3806" s="1">
        <v>45475</v>
      </c>
      <c r="C3806" s="4">
        <v>45475.522222222222</v>
      </c>
      <c r="D3806" t="s">
        <v>23134</v>
      </c>
      <c r="E3806" t="s">
        <v>23135</v>
      </c>
      <c r="F3806" t="s">
        <v>148</v>
      </c>
      <c r="G3806" t="s">
        <v>310</v>
      </c>
      <c r="H3806" t="s">
        <v>295</v>
      </c>
      <c r="I3806" t="s">
        <v>40</v>
      </c>
      <c r="J3806" s="2" t="s">
        <v>609</v>
      </c>
      <c r="K3806" t="s">
        <v>42</v>
      </c>
      <c r="L3806" t="s">
        <v>1943</v>
      </c>
      <c r="N3806" t="s">
        <v>1944</v>
      </c>
      <c r="Q3806">
        <v>28739</v>
      </c>
      <c r="R3806" t="s">
        <v>45</v>
      </c>
      <c r="S3806" t="s">
        <v>23136</v>
      </c>
      <c r="T3806">
        <v>25</v>
      </c>
      <c r="W3806" t="s">
        <v>84</v>
      </c>
      <c r="X3806">
        <v>844121</v>
      </c>
      <c r="Y3806" s="2" t="s">
        <v>23137</v>
      </c>
      <c r="Z3806" t="s">
        <v>4402</v>
      </c>
      <c r="AA3806" s="2" t="s">
        <v>23138</v>
      </c>
      <c r="AB3806" t="s">
        <v>23139</v>
      </c>
      <c r="AG3806" t="s">
        <v>23140</v>
      </c>
      <c r="AH3806" t="s">
        <v>23141</v>
      </c>
      <c r="AI3806" t="s">
        <v>23142</v>
      </c>
    </row>
    <row r="3807" spans="2:35">
      <c r="B3807" s="1">
        <v>45475</v>
      </c>
      <c r="C3807" s="4">
        <v>45475.496527777781</v>
      </c>
      <c r="D3807" t="s">
        <v>23143</v>
      </c>
      <c r="E3807" t="s">
        <v>23144</v>
      </c>
      <c r="F3807">
        <v>13</v>
      </c>
      <c r="G3807" t="s">
        <v>8524</v>
      </c>
      <c r="H3807" t="s">
        <v>2125</v>
      </c>
      <c r="I3807" t="s">
        <v>40</v>
      </c>
      <c r="J3807" t="s">
        <v>79</v>
      </c>
      <c r="K3807" t="s">
        <v>42</v>
      </c>
      <c r="L3807" t="s">
        <v>933</v>
      </c>
      <c r="N3807" t="s">
        <v>934</v>
      </c>
      <c r="Q3807">
        <v>28738</v>
      </c>
      <c r="R3807" t="s">
        <v>45</v>
      </c>
      <c r="S3807" t="s">
        <v>23145</v>
      </c>
      <c r="T3807">
        <v>25</v>
      </c>
      <c r="W3807" t="s">
        <v>23146</v>
      </c>
      <c r="X3807">
        <v>835174</v>
      </c>
      <c r="Y3807" t="s">
        <v>23147</v>
      </c>
      <c r="Z3807" t="s">
        <v>2129</v>
      </c>
      <c r="AA3807" t="s">
        <v>23148</v>
      </c>
      <c r="AB3807" t="s">
        <v>2131</v>
      </c>
      <c r="AG3807" t="s">
        <v>23149</v>
      </c>
      <c r="AH3807" t="s">
        <v>23150</v>
      </c>
      <c r="AI3807" t="s">
        <v>23151</v>
      </c>
    </row>
    <row r="3808" spans="2:35" ht="210">
      <c r="B3808" s="1">
        <v>45475</v>
      </c>
      <c r="C3808" s="4">
        <v>45426.575694444444</v>
      </c>
      <c r="D3808" t="s">
        <v>3615</v>
      </c>
      <c r="E3808" t="s">
        <v>3616</v>
      </c>
      <c r="F3808">
        <v>3</v>
      </c>
      <c r="G3808" t="s">
        <v>174</v>
      </c>
      <c r="H3808" t="s">
        <v>39</v>
      </c>
      <c r="I3808" t="s">
        <v>40</v>
      </c>
      <c r="J3808" t="s">
        <v>109</v>
      </c>
      <c r="K3808" t="s">
        <v>42</v>
      </c>
      <c r="L3808" t="s">
        <v>175</v>
      </c>
      <c r="N3808" t="s">
        <v>176</v>
      </c>
      <c r="Q3808">
        <v>28737</v>
      </c>
      <c r="R3808" t="s">
        <v>119</v>
      </c>
      <c r="S3808" t="s">
        <v>23152</v>
      </c>
      <c r="T3808">
        <v>28</v>
      </c>
      <c r="U3808" s="2" t="s">
        <v>23153</v>
      </c>
      <c r="W3808" t="s">
        <v>84</v>
      </c>
      <c r="X3808">
        <v>831641</v>
      </c>
      <c r="Y3808" t="s">
        <v>374</v>
      </c>
      <c r="Z3808" t="s">
        <v>375</v>
      </c>
      <c r="AA3808" t="e">
        <f ca="1">- checked _xludf.and cleaned cartridge bay, plunger rod, _xludf.filter
- generated reports
- performed self test</f>
        <v>#NAME?</v>
      </c>
      <c r="AB3808" s="2" t="s">
        <v>23154</v>
      </c>
      <c r="AG3808" t="s">
        <v>23155</v>
      </c>
      <c r="AH3808" t="s">
        <v>23156</v>
      </c>
      <c r="AI3808" t="s">
        <v>23157</v>
      </c>
    </row>
    <row r="3809" spans="2:35" ht="45">
      <c r="B3809" s="1">
        <v>45474</v>
      </c>
      <c r="C3809" s="4">
        <v>45474.574999999997</v>
      </c>
      <c r="D3809" t="s">
        <v>23158</v>
      </c>
      <c r="E3809" t="s">
        <v>23159</v>
      </c>
      <c r="F3809">
        <v>6</v>
      </c>
      <c r="G3809" t="s">
        <v>1234</v>
      </c>
      <c r="H3809" t="s">
        <v>258</v>
      </c>
      <c r="I3809" t="s">
        <v>94</v>
      </c>
      <c r="J3809" s="2" t="s">
        <v>41</v>
      </c>
      <c r="K3809" t="s">
        <v>42</v>
      </c>
      <c r="L3809" t="s">
        <v>270</v>
      </c>
      <c r="N3809" t="s">
        <v>2481</v>
      </c>
      <c r="Q3809">
        <v>28736</v>
      </c>
      <c r="R3809" t="s">
        <v>45</v>
      </c>
      <c r="S3809" t="s">
        <v>23160</v>
      </c>
      <c r="T3809">
        <v>25</v>
      </c>
      <c r="W3809" t="s">
        <v>3662</v>
      </c>
      <c r="X3809">
        <v>838141</v>
      </c>
      <c r="Y3809" t="s">
        <v>23161</v>
      </c>
      <c r="Z3809" t="s">
        <v>23162</v>
      </c>
      <c r="AA3809" t="s">
        <v>23163</v>
      </c>
      <c r="AB3809" t="s">
        <v>4668</v>
      </c>
      <c r="AG3809" t="s">
        <v>23164</v>
      </c>
      <c r="AH3809" t="s">
        <v>23165</v>
      </c>
      <c r="AI3809" t="s">
        <v>23166</v>
      </c>
    </row>
    <row r="3810" spans="2:35" ht="409.5">
      <c r="B3810" s="1">
        <v>45474</v>
      </c>
      <c r="C3810" s="4">
        <v>45474.532638888886</v>
      </c>
      <c r="D3810" t="s">
        <v>11265</v>
      </c>
      <c r="E3810" t="s">
        <v>11266</v>
      </c>
      <c r="F3810">
        <v>3</v>
      </c>
      <c r="G3810" t="s">
        <v>1722</v>
      </c>
      <c r="H3810" t="s">
        <v>39</v>
      </c>
      <c r="I3810" t="s">
        <v>40</v>
      </c>
      <c r="J3810" s="2" t="s">
        <v>1157</v>
      </c>
      <c r="K3810" t="s">
        <v>42</v>
      </c>
      <c r="L3810" t="s">
        <v>63</v>
      </c>
      <c r="N3810" t="s">
        <v>64</v>
      </c>
      <c r="Q3810">
        <v>28735</v>
      </c>
      <c r="R3810" t="s">
        <v>322</v>
      </c>
      <c r="S3810" t="s">
        <v>11267</v>
      </c>
      <c r="T3810">
        <v>25</v>
      </c>
      <c r="U3810" s="2" t="s">
        <v>23167</v>
      </c>
      <c r="V3810" s="1">
        <v>45500</v>
      </c>
      <c r="W3810" t="s">
        <v>373</v>
      </c>
      <c r="X3810">
        <v>110013773</v>
      </c>
      <c r="Y3810" t="s">
        <v>23168</v>
      </c>
      <c r="Z3810" s="2" t="s">
        <v>23169</v>
      </c>
      <c r="AA3810" s="2" t="s">
        <v>1727</v>
      </c>
      <c r="AB3810" t="s">
        <v>70</v>
      </c>
      <c r="AD3810" t="s">
        <v>948</v>
      </c>
      <c r="AE3810">
        <v>11691</v>
      </c>
      <c r="AG3810" t="s">
        <v>23170</v>
      </c>
      <c r="AH3810" t="s">
        <v>16828</v>
      </c>
      <c r="AI3810" t="s">
        <v>23171</v>
      </c>
    </row>
    <row r="3811" spans="2:35">
      <c r="B3811" s="1">
        <v>45474</v>
      </c>
      <c r="C3811" s="4">
        <v>45474.507638888892</v>
      </c>
      <c r="D3811" t="s">
        <v>16716</v>
      </c>
      <c r="E3811" t="s">
        <v>1128</v>
      </c>
      <c r="F3811">
        <v>8</v>
      </c>
      <c r="G3811" t="s">
        <v>342</v>
      </c>
      <c r="H3811" t="s">
        <v>202</v>
      </c>
      <c r="I3811" t="s">
        <v>40</v>
      </c>
      <c r="J3811" t="s">
        <v>109</v>
      </c>
      <c r="K3811" t="s">
        <v>42</v>
      </c>
      <c r="L3811" t="s">
        <v>259</v>
      </c>
      <c r="N3811" t="s">
        <v>260</v>
      </c>
      <c r="Q3811">
        <v>28734</v>
      </c>
      <c r="R3811" t="s">
        <v>119</v>
      </c>
      <c r="S3811" t="s">
        <v>23172</v>
      </c>
      <c r="T3811">
        <v>26</v>
      </c>
      <c r="V3811" s="1">
        <v>45474</v>
      </c>
      <c r="W3811" t="s">
        <v>597</v>
      </c>
      <c r="X3811">
        <v>838421</v>
      </c>
      <c r="Y3811" t="s">
        <v>263</v>
      </c>
      <c r="Z3811" t="s">
        <v>263</v>
      </c>
      <c r="AA3811" t="e">
        <f ca="1">- performed Preventive Maintenance</f>
        <v>#NAME?</v>
      </c>
      <c r="AB3811" t="s">
        <v>181</v>
      </c>
      <c r="AG3811" t="s">
        <v>23173</v>
      </c>
      <c r="AH3811" t="s">
        <v>23174</v>
      </c>
      <c r="AI3811" t="s">
        <v>23175</v>
      </c>
    </row>
    <row r="3812" spans="2:35" ht="270">
      <c r="B3812" s="1">
        <v>45474</v>
      </c>
      <c r="C3812" s="4">
        <v>45471.62222222222</v>
      </c>
      <c r="D3812" t="s">
        <v>4197</v>
      </c>
      <c r="E3812" t="s">
        <v>3533</v>
      </c>
      <c r="F3812" t="s">
        <v>37</v>
      </c>
      <c r="G3812" t="s">
        <v>38</v>
      </c>
      <c r="H3812" t="s">
        <v>39</v>
      </c>
      <c r="I3812" t="s">
        <v>40</v>
      </c>
      <c r="J3812" s="2" t="s">
        <v>41</v>
      </c>
      <c r="K3812" t="s">
        <v>42</v>
      </c>
      <c r="L3812" t="s">
        <v>43</v>
      </c>
      <c r="N3812" t="s">
        <v>44</v>
      </c>
      <c r="Q3812">
        <v>28733</v>
      </c>
      <c r="R3812" t="s">
        <v>45</v>
      </c>
      <c r="S3812" t="s">
        <v>23176</v>
      </c>
      <c r="T3812">
        <v>24</v>
      </c>
      <c r="U3812" s="2" t="s">
        <v>23177</v>
      </c>
      <c r="V3812" s="1">
        <v>45471</v>
      </c>
      <c r="W3812" t="s">
        <v>48</v>
      </c>
      <c r="X3812">
        <v>838182</v>
      </c>
      <c r="Y3812" t="s">
        <v>2165</v>
      </c>
      <c r="Z3812" t="s">
        <v>2166</v>
      </c>
      <c r="AA3812" s="2" t="s">
        <v>20231</v>
      </c>
      <c r="AB3812" t="s">
        <v>548</v>
      </c>
      <c r="AD3812" s="2" t="s">
        <v>23178</v>
      </c>
      <c r="AE3812" t="s">
        <v>54</v>
      </c>
      <c r="AG3812" t="s">
        <v>23179</v>
      </c>
      <c r="AH3812" t="s">
        <v>23180</v>
      </c>
      <c r="AI3812" t="s">
        <v>23181</v>
      </c>
    </row>
    <row r="3813" spans="2:35" ht="409.5">
      <c r="B3813" s="1">
        <v>45474</v>
      </c>
      <c r="C3813" s="4">
        <v>45471.46597222222</v>
      </c>
      <c r="D3813" t="s">
        <v>23182</v>
      </c>
      <c r="E3813" t="s">
        <v>23183</v>
      </c>
      <c r="F3813" t="s">
        <v>37</v>
      </c>
      <c r="G3813" t="s">
        <v>78</v>
      </c>
      <c r="H3813" t="s">
        <v>39</v>
      </c>
      <c r="I3813" t="s">
        <v>40</v>
      </c>
      <c r="J3813" s="2" t="s">
        <v>1592</v>
      </c>
      <c r="K3813" t="s">
        <v>42</v>
      </c>
      <c r="L3813" t="s">
        <v>1943</v>
      </c>
      <c r="N3813" t="s">
        <v>1944</v>
      </c>
      <c r="Q3813">
        <v>28731</v>
      </c>
      <c r="R3813" t="s">
        <v>119</v>
      </c>
      <c r="S3813" t="s">
        <v>23184</v>
      </c>
      <c r="T3813">
        <v>25</v>
      </c>
      <c r="V3813" s="1">
        <v>45471</v>
      </c>
      <c r="W3813" t="s">
        <v>84</v>
      </c>
      <c r="X3813">
        <v>821189</v>
      </c>
      <c r="Y3813" s="2" t="s">
        <v>23185</v>
      </c>
      <c r="Z3813" t="s">
        <v>23186</v>
      </c>
      <c r="AA3813" s="2" t="s">
        <v>23187</v>
      </c>
      <c r="AB3813" t="s">
        <v>23188</v>
      </c>
      <c r="AD3813" t="s">
        <v>23189</v>
      </c>
      <c r="AE3813" t="s">
        <v>11329</v>
      </c>
      <c r="AG3813" t="s">
        <v>23190</v>
      </c>
      <c r="AH3813" t="s">
        <v>23191</v>
      </c>
      <c r="AI3813" t="s">
        <v>23192</v>
      </c>
    </row>
    <row r="3814" spans="2:35" ht="409.5">
      <c r="B3814" s="1">
        <v>45474</v>
      </c>
      <c r="C3814" s="4">
        <v>45470.436805555553</v>
      </c>
      <c r="D3814" t="s">
        <v>12198</v>
      </c>
      <c r="E3814" t="s">
        <v>23193</v>
      </c>
      <c r="F3814" t="s">
        <v>148</v>
      </c>
      <c r="G3814" t="s">
        <v>310</v>
      </c>
      <c r="H3814" t="s">
        <v>662</v>
      </c>
      <c r="I3814" t="s">
        <v>40</v>
      </c>
      <c r="J3814" t="s">
        <v>109</v>
      </c>
      <c r="K3814" t="s">
        <v>42</v>
      </c>
      <c r="L3814" t="s">
        <v>1943</v>
      </c>
      <c r="N3814" t="s">
        <v>1944</v>
      </c>
      <c r="Q3814">
        <v>28730</v>
      </c>
      <c r="R3814" t="s">
        <v>45</v>
      </c>
      <c r="S3814" t="s">
        <v>12200</v>
      </c>
      <c r="T3814">
        <v>25</v>
      </c>
      <c r="W3814" t="s">
        <v>84</v>
      </c>
      <c r="X3814">
        <v>834624</v>
      </c>
      <c r="Y3814" s="2" t="s">
        <v>23194</v>
      </c>
      <c r="Z3814" t="s">
        <v>4402</v>
      </c>
      <c r="AA3814" s="2" t="s">
        <v>23195</v>
      </c>
      <c r="AB3814" t="s">
        <v>23196</v>
      </c>
      <c r="AG3814" t="s">
        <v>23197</v>
      </c>
      <c r="AH3814" t="s">
        <v>15152</v>
      </c>
      <c r="AI3814" t="s">
        <v>23198</v>
      </c>
    </row>
    <row r="3815" spans="2:35" ht="409.5">
      <c r="B3815" s="1">
        <v>45474</v>
      </c>
      <c r="C3815" s="4">
        <v>45470.438194444447</v>
      </c>
      <c r="D3815" t="s">
        <v>12198</v>
      </c>
      <c r="E3815" t="s">
        <v>23193</v>
      </c>
      <c r="F3815" t="s">
        <v>148</v>
      </c>
      <c r="G3815" t="s">
        <v>310</v>
      </c>
      <c r="H3815" t="s">
        <v>662</v>
      </c>
      <c r="I3815" t="s">
        <v>40</v>
      </c>
      <c r="J3815" t="s">
        <v>109</v>
      </c>
      <c r="K3815" t="s">
        <v>42</v>
      </c>
      <c r="L3815" t="s">
        <v>1943</v>
      </c>
      <c r="N3815" t="s">
        <v>1944</v>
      </c>
      <c r="Q3815">
        <v>28732</v>
      </c>
      <c r="R3815" t="s">
        <v>95</v>
      </c>
      <c r="S3815" t="s">
        <v>12200</v>
      </c>
      <c r="T3815">
        <v>25</v>
      </c>
      <c r="W3815" t="s">
        <v>895</v>
      </c>
      <c r="X3815">
        <v>844975</v>
      </c>
      <c r="Y3815" t="s">
        <v>2099</v>
      </c>
      <c r="Z3815" t="s">
        <v>2100</v>
      </c>
      <c r="AA3815" s="2" t="s">
        <v>2101</v>
      </c>
      <c r="AB3815" t="s">
        <v>88</v>
      </c>
      <c r="AG3815" t="s">
        <v>23199</v>
      </c>
      <c r="AH3815" t="s">
        <v>15152</v>
      </c>
      <c r="AI3815" t="s">
        <v>23200</v>
      </c>
    </row>
    <row r="3816" spans="2:35" ht="409.5">
      <c r="B3816" s="1">
        <v>45474</v>
      </c>
      <c r="C3816" s="4">
        <v>45471.652083333334</v>
      </c>
      <c r="D3816" t="s">
        <v>2208</v>
      </c>
      <c r="E3816" t="s">
        <v>23201</v>
      </c>
      <c r="F3816" t="s">
        <v>1181</v>
      </c>
      <c r="G3816" t="s">
        <v>1182</v>
      </c>
      <c r="H3816" t="s">
        <v>39</v>
      </c>
      <c r="I3816" t="s">
        <v>40</v>
      </c>
      <c r="J3816" s="2" t="s">
        <v>190</v>
      </c>
      <c r="K3816" t="s">
        <v>42</v>
      </c>
      <c r="L3816" t="s">
        <v>15532</v>
      </c>
      <c r="N3816" t="s">
        <v>15533</v>
      </c>
      <c r="Q3816">
        <v>28729</v>
      </c>
      <c r="R3816" t="s">
        <v>45</v>
      </c>
      <c r="S3816" t="s">
        <v>2211</v>
      </c>
      <c r="T3816">
        <v>29</v>
      </c>
      <c r="W3816" t="s">
        <v>20903</v>
      </c>
      <c r="X3816">
        <v>804272</v>
      </c>
      <c r="Y3816" s="2" t="s">
        <v>23202</v>
      </c>
      <c r="Z3816" s="2" t="s">
        <v>23203</v>
      </c>
      <c r="AA3816" s="2" t="s">
        <v>23204</v>
      </c>
      <c r="AB3816" s="2" t="s">
        <v>23205</v>
      </c>
      <c r="AG3816" t="s">
        <v>23206</v>
      </c>
      <c r="AH3816" t="s">
        <v>4812</v>
      </c>
      <c r="AI3816" t="s">
        <v>23207</v>
      </c>
    </row>
    <row r="3817" spans="2:35" ht="390">
      <c r="B3817" s="1">
        <v>45474</v>
      </c>
      <c r="C3817" s="4">
        <v>45471.419444444444</v>
      </c>
      <c r="D3817" t="s">
        <v>1885</v>
      </c>
      <c r="E3817" t="s">
        <v>2136</v>
      </c>
      <c r="F3817" t="s">
        <v>1255</v>
      </c>
      <c r="G3817" t="s">
        <v>1887</v>
      </c>
      <c r="H3817" t="s">
        <v>1473</v>
      </c>
      <c r="I3817" t="s">
        <v>94</v>
      </c>
      <c r="J3817" s="2" t="s">
        <v>41</v>
      </c>
      <c r="K3817" t="s">
        <v>42</v>
      </c>
      <c r="L3817" t="s">
        <v>296</v>
      </c>
      <c r="N3817" t="s">
        <v>297</v>
      </c>
      <c r="Q3817">
        <v>28728</v>
      </c>
      <c r="R3817" t="s">
        <v>45</v>
      </c>
      <c r="S3817" t="s">
        <v>23208</v>
      </c>
      <c r="T3817">
        <v>21.4</v>
      </c>
      <c r="U3817" s="2" t="s">
        <v>23209</v>
      </c>
      <c r="V3817" s="1">
        <v>45470</v>
      </c>
      <c r="W3817" t="s">
        <v>22229</v>
      </c>
      <c r="X3817">
        <v>807463</v>
      </c>
      <c r="Y3817" t="s">
        <v>2376</v>
      </c>
      <c r="Z3817" s="2" t="s">
        <v>23210</v>
      </c>
      <c r="AA3817" s="2" t="s">
        <v>23044</v>
      </c>
      <c r="AB3817" t="s">
        <v>972</v>
      </c>
      <c r="AD3817" t="s">
        <v>22232</v>
      </c>
      <c r="AE3817" t="s">
        <v>23211</v>
      </c>
      <c r="AG3817" t="s">
        <v>23212</v>
      </c>
      <c r="AH3817" t="s">
        <v>23213</v>
      </c>
      <c r="AI3817" t="s">
        <v>23214</v>
      </c>
    </row>
    <row r="3818" spans="2:35" ht="255">
      <c r="B3818" s="1">
        <v>45473</v>
      </c>
      <c r="C3818" s="4">
        <v>45473.782638888886</v>
      </c>
      <c r="D3818" t="s">
        <v>6037</v>
      </c>
      <c r="E3818" t="s">
        <v>7875</v>
      </c>
      <c r="F3818">
        <v>7</v>
      </c>
      <c r="G3818" t="s">
        <v>432</v>
      </c>
      <c r="H3818" t="s">
        <v>386</v>
      </c>
      <c r="I3818" t="s">
        <v>40</v>
      </c>
      <c r="J3818" s="2" t="s">
        <v>760</v>
      </c>
      <c r="K3818" t="s">
        <v>387</v>
      </c>
      <c r="L3818" t="s">
        <v>610</v>
      </c>
      <c r="N3818" t="s">
        <v>611</v>
      </c>
      <c r="Q3818">
        <v>28727</v>
      </c>
      <c r="R3818" t="s">
        <v>95</v>
      </c>
      <c r="S3818" t="s">
        <v>6039</v>
      </c>
      <c r="T3818">
        <v>24</v>
      </c>
      <c r="W3818" t="s">
        <v>390</v>
      </c>
      <c r="X3818" t="s">
        <v>6040</v>
      </c>
      <c r="Y3818" s="2" t="s">
        <v>23215</v>
      </c>
      <c r="Z3818" t="s">
        <v>23216</v>
      </c>
      <c r="AA3818" t="s">
        <v>23216</v>
      </c>
      <c r="AB3818" t="s">
        <v>23217</v>
      </c>
      <c r="AG3818" t="s">
        <v>23218</v>
      </c>
      <c r="AH3818" t="s">
        <v>10028</v>
      </c>
      <c r="AI3818" t="s">
        <v>23219</v>
      </c>
    </row>
    <row r="3819" spans="2:35" ht="409.5">
      <c r="B3819" s="1">
        <v>45472</v>
      </c>
      <c r="C3819" s="4">
        <v>45471.517361111109</v>
      </c>
      <c r="D3819" t="s">
        <v>23220</v>
      </c>
      <c r="E3819" t="s">
        <v>23221</v>
      </c>
      <c r="F3819" t="s">
        <v>37</v>
      </c>
      <c r="G3819" t="s">
        <v>78</v>
      </c>
      <c r="H3819" t="s">
        <v>386</v>
      </c>
      <c r="I3819" t="s">
        <v>40</v>
      </c>
      <c r="J3819" t="s">
        <v>525</v>
      </c>
      <c r="K3819" t="s">
        <v>387</v>
      </c>
      <c r="L3819" t="s">
        <v>448</v>
      </c>
      <c r="N3819" t="s">
        <v>650</v>
      </c>
      <c r="Q3819">
        <v>28726</v>
      </c>
      <c r="R3819" t="s">
        <v>322</v>
      </c>
      <c r="S3819" t="s">
        <v>23222</v>
      </c>
      <c r="T3819">
        <v>26</v>
      </c>
      <c r="W3819" t="s">
        <v>476</v>
      </c>
      <c r="X3819" t="s">
        <v>5954</v>
      </c>
      <c r="Y3819" t="s">
        <v>23223</v>
      </c>
      <c r="Z3819" s="2" t="s">
        <v>23224</v>
      </c>
      <c r="AA3819" t="s">
        <v>768</v>
      </c>
      <c r="AB3819" s="2" t="s">
        <v>23225</v>
      </c>
      <c r="AC3819" t="s">
        <v>14131</v>
      </c>
      <c r="AG3819" t="s">
        <v>23226</v>
      </c>
      <c r="AH3819" t="s">
        <v>23227</v>
      </c>
      <c r="AI3819" t="s">
        <v>23228</v>
      </c>
    </row>
    <row r="3820" spans="2:35" ht="300">
      <c r="B3820" s="1">
        <v>45472</v>
      </c>
      <c r="C3820" s="4">
        <v>45472.243750000001</v>
      </c>
      <c r="D3820" t="s">
        <v>16538</v>
      </c>
      <c r="E3820" t="s">
        <v>16539</v>
      </c>
      <c r="F3820">
        <v>7</v>
      </c>
      <c r="G3820" t="s">
        <v>432</v>
      </c>
      <c r="H3820" t="s">
        <v>386</v>
      </c>
      <c r="I3820" t="s">
        <v>40</v>
      </c>
      <c r="J3820" t="s">
        <v>109</v>
      </c>
      <c r="K3820" t="s">
        <v>42</v>
      </c>
      <c r="L3820" t="s">
        <v>610</v>
      </c>
      <c r="N3820" t="s">
        <v>611</v>
      </c>
      <c r="Q3820">
        <v>28725</v>
      </c>
      <c r="R3820" t="s">
        <v>119</v>
      </c>
      <c r="S3820" t="s">
        <v>16540</v>
      </c>
      <c r="T3820">
        <v>24</v>
      </c>
      <c r="U3820" s="2" t="s">
        <v>23229</v>
      </c>
      <c r="W3820" t="s">
        <v>360</v>
      </c>
      <c r="X3820">
        <v>838283</v>
      </c>
      <c r="Y3820" s="2" t="s">
        <v>23230</v>
      </c>
      <c r="Z3820" s="2" t="s">
        <v>23231</v>
      </c>
      <c r="AA3820" s="2" t="s">
        <v>23232</v>
      </c>
      <c r="AB3820" s="2" t="s">
        <v>23233</v>
      </c>
      <c r="AG3820" t="s">
        <v>23234</v>
      </c>
      <c r="AH3820" t="s">
        <v>16545</v>
      </c>
      <c r="AI3820" t="s">
        <v>23235</v>
      </c>
    </row>
    <row r="3821" spans="2:35" ht="409.5">
      <c r="B3821" s="1">
        <v>45471</v>
      </c>
      <c r="C3821" s="4">
        <v>45471.539583333331</v>
      </c>
      <c r="D3821" t="s">
        <v>8160</v>
      </c>
      <c r="E3821" t="s">
        <v>15636</v>
      </c>
      <c r="F3821">
        <v>11</v>
      </c>
      <c r="G3821" t="s">
        <v>1205</v>
      </c>
      <c r="H3821" t="s">
        <v>202</v>
      </c>
      <c r="I3821" t="s">
        <v>40</v>
      </c>
      <c r="J3821" s="2" t="s">
        <v>4208</v>
      </c>
      <c r="K3821" t="s">
        <v>42</v>
      </c>
      <c r="L3821" t="s">
        <v>204</v>
      </c>
      <c r="N3821" t="s">
        <v>205</v>
      </c>
      <c r="O3821" t="s">
        <v>22692</v>
      </c>
      <c r="Q3821">
        <v>28724</v>
      </c>
      <c r="R3821" t="s">
        <v>119</v>
      </c>
      <c r="S3821" t="s">
        <v>8163</v>
      </c>
      <c r="T3821">
        <v>25.6</v>
      </c>
      <c r="U3821" s="2" t="s">
        <v>23236</v>
      </c>
      <c r="W3821" t="s">
        <v>23237</v>
      </c>
      <c r="X3821">
        <v>838401</v>
      </c>
      <c r="Y3821" s="2" t="s">
        <v>23238</v>
      </c>
      <c r="Z3821" s="2" t="s">
        <v>23239</v>
      </c>
      <c r="AA3821" t="s">
        <v>23240</v>
      </c>
      <c r="AB3821" s="2" t="s">
        <v>23241</v>
      </c>
      <c r="AC3821" t="s">
        <v>23242</v>
      </c>
      <c r="AG3821" t="s">
        <v>23243</v>
      </c>
      <c r="AH3821" t="s">
        <v>17991</v>
      </c>
      <c r="AI3821" t="s">
        <v>23244</v>
      </c>
    </row>
    <row r="3822" spans="2:35">
      <c r="B3822" s="1">
        <v>45471</v>
      </c>
      <c r="C3822" s="4">
        <v>45471.489583333336</v>
      </c>
      <c r="D3822" t="s">
        <v>509</v>
      </c>
      <c r="E3822" t="s">
        <v>510</v>
      </c>
      <c r="F3822" t="s">
        <v>511</v>
      </c>
      <c r="G3822" t="s">
        <v>512</v>
      </c>
      <c r="H3822" t="s">
        <v>513</v>
      </c>
      <c r="I3822" t="s">
        <v>40</v>
      </c>
      <c r="J3822" t="s">
        <v>109</v>
      </c>
      <c r="K3822" t="s">
        <v>387</v>
      </c>
      <c r="L3822" t="s">
        <v>1048</v>
      </c>
      <c r="N3822" t="s">
        <v>1049</v>
      </c>
      <c r="Q3822">
        <v>28723</v>
      </c>
      <c r="R3822" t="s">
        <v>95</v>
      </c>
      <c r="S3822" t="s">
        <v>23245</v>
      </c>
      <c r="T3822">
        <v>25</v>
      </c>
      <c r="W3822" t="s">
        <v>476</v>
      </c>
      <c r="X3822" t="s">
        <v>515</v>
      </c>
      <c r="Y3822" t="s">
        <v>1052</v>
      </c>
      <c r="Z3822" t="e">
        <f ca="1">- checked parameters
- run test Cycle
- cleaned machine Surfaces</f>
        <v>#NAME?</v>
      </c>
      <c r="AA3822" t="s">
        <v>820</v>
      </c>
      <c r="AB3822" t="s">
        <v>70</v>
      </c>
      <c r="AC3822" t="s">
        <v>23246</v>
      </c>
      <c r="AG3822" t="s">
        <v>23247</v>
      </c>
      <c r="AH3822" t="s">
        <v>23248</v>
      </c>
      <c r="AI3822" t="s">
        <v>23249</v>
      </c>
    </row>
    <row r="3823" spans="2:35" ht="105">
      <c r="B3823" s="1">
        <v>45471</v>
      </c>
      <c r="C3823" s="4">
        <v>45471.393055555556</v>
      </c>
      <c r="D3823" t="s">
        <v>1420</v>
      </c>
      <c r="E3823" t="s">
        <v>1456</v>
      </c>
      <c r="F3823" t="s">
        <v>511</v>
      </c>
      <c r="G3823" t="s">
        <v>512</v>
      </c>
      <c r="H3823" t="s">
        <v>2125</v>
      </c>
      <c r="I3823" t="s">
        <v>40</v>
      </c>
      <c r="J3823" t="s">
        <v>109</v>
      </c>
      <c r="K3823" t="s">
        <v>42</v>
      </c>
      <c r="L3823" t="s">
        <v>1048</v>
      </c>
      <c r="N3823" t="s">
        <v>1049</v>
      </c>
      <c r="Q3823">
        <v>28722</v>
      </c>
      <c r="R3823" t="s">
        <v>45</v>
      </c>
      <c r="S3823" t="s">
        <v>1423</v>
      </c>
      <c r="T3823">
        <v>29</v>
      </c>
      <c r="U3823" s="2" t="s">
        <v>23250</v>
      </c>
      <c r="W3823" t="s">
        <v>1051</v>
      </c>
      <c r="X3823">
        <v>807621</v>
      </c>
      <c r="Y3823" t="s">
        <v>1052</v>
      </c>
      <c r="Z3823" t="e">
        <f ca="1">- cleaned cartridge Bays, plunger Rods _xludf.and I-CORE
- generated reports</f>
        <v>#NAME?</v>
      </c>
      <c r="AA3823" t="s">
        <v>820</v>
      </c>
      <c r="AB3823" t="s">
        <v>1428</v>
      </c>
      <c r="AG3823" t="s">
        <v>23251</v>
      </c>
      <c r="AH3823" t="s">
        <v>11198</v>
      </c>
      <c r="AI3823" t="s">
        <v>23252</v>
      </c>
    </row>
    <row r="3824" spans="2:35">
      <c r="B3824" s="1">
        <v>45471</v>
      </c>
      <c r="C3824" s="4">
        <v>45471.382638888892</v>
      </c>
      <c r="D3824" t="s">
        <v>1420</v>
      </c>
      <c r="E3824" t="s">
        <v>23253</v>
      </c>
      <c r="F3824" t="s">
        <v>511</v>
      </c>
      <c r="G3824" t="s">
        <v>512</v>
      </c>
      <c r="H3824" t="s">
        <v>1047</v>
      </c>
      <c r="I3824" t="s">
        <v>40</v>
      </c>
      <c r="J3824" t="s">
        <v>321</v>
      </c>
      <c r="K3824" t="s">
        <v>42</v>
      </c>
      <c r="L3824" t="s">
        <v>1048</v>
      </c>
      <c r="N3824" t="s">
        <v>1049</v>
      </c>
      <c r="Q3824">
        <v>28721</v>
      </c>
      <c r="R3824" t="s">
        <v>967</v>
      </c>
      <c r="S3824" t="s">
        <v>1423</v>
      </c>
      <c r="T3824">
        <v>29</v>
      </c>
      <c r="V3824" s="1">
        <v>45463</v>
      </c>
      <c r="W3824" t="s">
        <v>1424</v>
      </c>
      <c r="X3824">
        <v>110023498</v>
      </c>
      <c r="Y3824" t="s">
        <v>3725</v>
      </c>
      <c r="Z3824" t="e">
        <f ca="1">- installed GeneXpert system, installed Assays, Setup Accounts
- generated reports</f>
        <v>#NAME?</v>
      </c>
      <c r="AA3824" t="s">
        <v>3726</v>
      </c>
      <c r="AB3824" t="s">
        <v>1428</v>
      </c>
      <c r="AD3824" t="s">
        <v>3727</v>
      </c>
      <c r="AE3824" t="s">
        <v>23254</v>
      </c>
      <c r="AG3824" t="s">
        <v>23255</v>
      </c>
      <c r="AH3824" t="s">
        <v>20477</v>
      </c>
      <c r="AI3824" t="s">
        <v>23256</v>
      </c>
    </row>
    <row r="3825" spans="2:35" ht="105">
      <c r="B3825" s="1">
        <v>45471</v>
      </c>
      <c r="C3825" s="4">
        <v>45470.438888888886</v>
      </c>
      <c r="D3825" t="s">
        <v>6919</v>
      </c>
      <c r="E3825" t="s">
        <v>510</v>
      </c>
      <c r="F3825" t="s">
        <v>511</v>
      </c>
      <c r="G3825" t="s">
        <v>512</v>
      </c>
      <c r="H3825" t="s">
        <v>1047</v>
      </c>
      <c r="I3825" t="s">
        <v>40</v>
      </c>
      <c r="J3825" t="s">
        <v>109</v>
      </c>
      <c r="K3825" t="s">
        <v>42</v>
      </c>
      <c r="L3825" t="s">
        <v>1048</v>
      </c>
      <c r="N3825" t="s">
        <v>1049</v>
      </c>
      <c r="Q3825">
        <v>28720</v>
      </c>
      <c r="R3825" t="s">
        <v>119</v>
      </c>
      <c r="S3825" t="s">
        <v>6920</v>
      </c>
      <c r="T3825">
        <v>23</v>
      </c>
      <c r="U3825" s="2" t="s">
        <v>23257</v>
      </c>
      <c r="W3825" t="s">
        <v>1051</v>
      </c>
      <c r="X3825">
        <v>838281</v>
      </c>
      <c r="Y3825" t="s">
        <v>1052</v>
      </c>
      <c r="Z3825" t="e">
        <f ca="1">- cleaned cartridge Bays, plunger Rods _xludf.and I-CORE
- generated reports</f>
        <v>#NAME?</v>
      </c>
      <c r="AA3825" t="s">
        <v>820</v>
      </c>
      <c r="AB3825" t="s">
        <v>1428</v>
      </c>
      <c r="AG3825" t="s">
        <v>23258</v>
      </c>
      <c r="AH3825" t="s">
        <v>6925</v>
      </c>
      <c r="AI3825" t="s">
        <v>23259</v>
      </c>
    </row>
    <row r="3826" spans="2:35" ht="360">
      <c r="B3826" s="1">
        <v>45471</v>
      </c>
      <c r="C3826" s="4">
        <v>45470.408333333333</v>
      </c>
      <c r="D3826" t="s">
        <v>9805</v>
      </c>
      <c r="E3826" t="s">
        <v>510</v>
      </c>
      <c r="F3826" t="s">
        <v>511</v>
      </c>
      <c r="G3826" t="s">
        <v>512</v>
      </c>
      <c r="H3826" t="s">
        <v>61</v>
      </c>
      <c r="I3826" t="s">
        <v>40</v>
      </c>
      <c r="J3826" t="s">
        <v>109</v>
      </c>
      <c r="K3826" t="s">
        <v>42</v>
      </c>
      <c r="L3826" t="s">
        <v>1048</v>
      </c>
      <c r="N3826" t="s">
        <v>1049</v>
      </c>
      <c r="Q3826">
        <v>28719</v>
      </c>
      <c r="R3826" t="s">
        <v>322</v>
      </c>
      <c r="S3826" t="s">
        <v>9806</v>
      </c>
      <c r="T3826">
        <v>20</v>
      </c>
      <c r="U3826" s="2" t="s">
        <v>23260</v>
      </c>
      <c r="W3826" t="s">
        <v>1424</v>
      </c>
      <c r="X3826">
        <v>110016112</v>
      </c>
      <c r="Y3826" t="s">
        <v>1052</v>
      </c>
      <c r="Z3826" t="e">
        <f ca="1">- cleaned cartridge Bays, plunger Rods _xludf.and I-CORE
- generated reports</f>
        <v>#NAME?</v>
      </c>
      <c r="AA3826" t="s">
        <v>820</v>
      </c>
      <c r="AB3826" t="s">
        <v>1428</v>
      </c>
      <c r="AG3826" t="s">
        <v>23261</v>
      </c>
      <c r="AH3826" t="s">
        <v>23262</v>
      </c>
      <c r="AI3826" t="s">
        <v>23263</v>
      </c>
    </row>
    <row r="3827" spans="2:35" ht="120">
      <c r="B3827" s="1">
        <v>45471</v>
      </c>
      <c r="C3827" s="4">
        <v>45470.39166666667</v>
      </c>
      <c r="D3827" t="s">
        <v>9805</v>
      </c>
      <c r="E3827" t="s">
        <v>510</v>
      </c>
      <c r="F3827" t="s">
        <v>511</v>
      </c>
      <c r="G3827" t="s">
        <v>512</v>
      </c>
      <c r="H3827" t="s">
        <v>18666</v>
      </c>
      <c r="I3827" t="s">
        <v>40</v>
      </c>
      <c r="J3827" t="s">
        <v>109</v>
      </c>
      <c r="K3827" t="s">
        <v>42</v>
      </c>
      <c r="L3827" t="s">
        <v>1048</v>
      </c>
      <c r="N3827" t="s">
        <v>1049</v>
      </c>
      <c r="O3827" t="s">
        <v>18667</v>
      </c>
      <c r="Q3827">
        <v>28718</v>
      </c>
      <c r="R3827" t="s">
        <v>322</v>
      </c>
      <c r="S3827" t="s">
        <v>18668</v>
      </c>
      <c r="T3827">
        <v>25</v>
      </c>
      <c r="U3827" s="2" t="s">
        <v>23264</v>
      </c>
      <c r="W3827" t="s">
        <v>1051</v>
      </c>
      <c r="X3827">
        <v>821632</v>
      </c>
      <c r="Y3827" t="s">
        <v>1052</v>
      </c>
      <c r="Z3827" t="e">
        <f ca="1">- cleaned cartridge Bays, plunger</f>
        <v>#NAME?</v>
      </c>
      <c r="AA3827" t="s">
        <v>820</v>
      </c>
      <c r="AB3827" t="s">
        <v>14475</v>
      </c>
      <c r="AG3827" t="s">
        <v>23265</v>
      </c>
      <c r="AH3827" t="s">
        <v>23266</v>
      </c>
      <c r="AI3827" t="s">
        <v>23267</v>
      </c>
    </row>
    <row r="3828" spans="2:35" ht="180">
      <c r="B3828" s="1">
        <v>45471</v>
      </c>
      <c r="C3828" s="4">
        <v>45470.379861111112</v>
      </c>
      <c r="D3828" t="s">
        <v>9805</v>
      </c>
      <c r="E3828" t="s">
        <v>510</v>
      </c>
      <c r="F3828" t="s">
        <v>511</v>
      </c>
      <c r="G3828" t="s">
        <v>512</v>
      </c>
      <c r="H3828" t="s">
        <v>1047</v>
      </c>
      <c r="I3828" t="s">
        <v>40</v>
      </c>
      <c r="J3828" t="s">
        <v>109</v>
      </c>
      <c r="K3828" t="s">
        <v>42</v>
      </c>
      <c r="L3828" t="s">
        <v>1048</v>
      </c>
      <c r="N3828" t="s">
        <v>1049</v>
      </c>
      <c r="Q3828">
        <v>28717</v>
      </c>
      <c r="R3828" t="s">
        <v>45</v>
      </c>
      <c r="S3828" t="s">
        <v>23268</v>
      </c>
      <c r="T3828">
        <v>30</v>
      </c>
      <c r="U3828" s="2" t="s">
        <v>23269</v>
      </c>
      <c r="W3828" t="s">
        <v>1051</v>
      </c>
      <c r="X3828">
        <v>805212</v>
      </c>
      <c r="Y3828" t="s">
        <v>1052</v>
      </c>
      <c r="Z3828" t="e">
        <f ca="1">- cleaned cartridge Bays, plunger Rods _xludf.and I-CORE
- generated reports</f>
        <v>#NAME?</v>
      </c>
      <c r="AA3828" t="s">
        <v>820</v>
      </c>
      <c r="AB3828" t="s">
        <v>1428</v>
      </c>
      <c r="AG3828" t="s">
        <v>23270</v>
      </c>
      <c r="AH3828" t="s">
        <v>16579</v>
      </c>
      <c r="AI3828" t="s">
        <v>23271</v>
      </c>
    </row>
    <row r="3829" spans="2:35" ht="240">
      <c r="B3829" s="1">
        <v>45471</v>
      </c>
      <c r="C3829" s="4">
        <v>45470.375694444447</v>
      </c>
      <c r="D3829" t="s">
        <v>9805</v>
      </c>
      <c r="E3829" t="s">
        <v>510</v>
      </c>
      <c r="F3829" t="s">
        <v>511</v>
      </c>
      <c r="G3829" t="s">
        <v>512</v>
      </c>
      <c r="H3829" t="s">
        <v>1047</v>
      </c>
      <c r="I3829" t="s">
        <v>40</v>
      </c>
      <c r="J3829" t="s">
        <v>109</v>
      </c>
      <c r="K3829" t="s">
        <v>42</v>
      </c>
      <c r="L3829" t="s">
        <v>1048</v>
      </c>
      <c r="N3829" t="s">
        <v>1049</v>
      </c>
      <c r="Q3829">
        <v>28716</v>
      </c>
      <c r="R3829" t="s">
        <v>45</v>
      </c>
      <c r="S3829" t="s">
        <v>23268</v>
      </c>
      <c r="T3829">
        <v>24</v>
      </c>
      <c r="U3829" s="2" t="s">
        <v>23272</v>
      </c>
      <c r="W3829" t="s">
        <v>1424</v>
      </c>
      <c r="X3829">
        <v>120000171</v>
      </c>
      <c r="Y3829" t="s">
        <v>1052</v>
      </c>
      <c r="Z3829" t="e">
        <f ca="1">- cleaned cartridge Bays, plunger Rods _xludf.and I-CORE
- generated reports</f>
        <v>#NAME?</v>
      </c>
      <c r="AA3829" t="s">
        <v>820</v>
      </c>
      <c r="AB3829" t="s">
        <v>1428</v>
      </c>
      <c r="AG3829" t="s">
        <v>23273</v>
      </c>
      <c r="AH3829" t="s">
        <v>16579</v>
      </c>
      <c r="AI3829" t="s">
        <v>23274</v>
      </c>
    </row>
    <row r="3830" spans="2:35" ht="60">
      <c r="B3830" s="1">
        <v>45471</v>
      </c>
      <c r="C3830" s="4">
        <v>45470.340277777781</v>
      </c>
      <c r="D3830" t="s">
        <v>9805</v>
      </c>
      <c r="E3830" t="s">
        <v>510</v>
      </c>
      <c r="F3830" t="s">
        <v>511</v>
      </c>
      <c r="G3830" t="s">
        <v>512</v>
      </c>
      <c r="H3830" t="s">
        <v>1047</v>
      </c>
      <c r="I3830" t="s">
        <v>40</v>
      </c>
      <c r="J3830" s="2" t="s">
        <v>62</v>
      </c>
      <c r="K3830" t="s">
        <v>42</v>
      </c>
      <c r="L3830" t="s">
        <v>1048</v>
      </c>
      <c r="N3830" t="s">
        <v>1049</v>
      </c>
      <c r="Q3830">
        <v>28715</v>
      </c>
      <c r="R3830" t="s">
        <v>45</v>
      </c>
      <c r="S3830" t="s">
        <v>23268</v>
      </c>
      <c r="T3830">
        <v>23</v>
      </c>
      <c r="V3830" s="1">
        <v>45470</v>
      </c>
      <c r="W3830" t="s">
        <v>1051</v>
      </c>
      <c r="X3830">
        <v>834685</v>
      </c>
      <c r="Y3830" t="s">
        <v>19602</v>
      </c>
      <c r="Z3830" t="e">
        <f ca="1">- cleaned cartridge Bays, plunger Rods _xludf.and I-CORE
- performed XpertCheck
- generated reports</f>
        <v>#NAME?</v>
      </c>
      <c r="AA3830" t="s">
        <v>20523</v>
      </c>
      <c r="AB3830" t="e">
        <f ca="1">- Unit is Partially operational
- did _xludf.not PERFORM XpertCheck on newly replaced module B4(718969)
- module B3(786823) Failed XpertCheck
- modules B1 _xludf.and B2 passed XpertCheck</f>
        <v>#NAME?</v>
      </c>
      <c r="AD3830" t="s">
        <v>1958</v>
      </c>
      <c r="AE3830" t="s">
        <v>103</v>
      </c>
      <c r="AG3830" t="s">
        <v>23275</v>
      </c>
      <c r="AH3830" t="s">
        <v>16579</v>
      </c>
      <c r="AI3830" t="s">
        <v>23276</v>
      </c>
    </row>
    <row r="3831" spans="2:35">
      <c r="B3831" s="1">
        <v>45471</v>
      </c>
      <c r="C3831" s="4">
        <v>45471.580555555556</v>
      </c>
      <c r="D3831" t="s">
        <v>1071</v>
      </c>
      <c r="E3831" t="s">
        <v>1555</v>
      </c>
      <c r="F3831">
        <v>7</v>
      </c>
      <c r="G3831" t="s">
        <v>432</v>
      </c>
      <c r="H3831" t="s">
        <v>150</v>
      </c>
      <c r="I3831" t="s">
        <v>40</v>
      </c>
      <c r="J3831" t="s">
        <v>109</v>
      </c>
      <c r="K3831" t="s">
        <v>42</v>
      </c>
      <c r="L3831" t="s">
        <v>343</v>
      </c>
      <c r="N3831" t="s">
        <v>344</v>
      </c>
      <c r="Q3831">
        <v>28714</v>
      </c>
      <c r="R3831" t="s">
        <v>119</v>
      </c>
      <c r="S3831" t="s">
        <v>8679</v>
      </c>
      <c r="T3831">
        <v>27</v>
      </c>
      <c r="W3831" t="s">
        <v>23277</v>
      </c>
      <c r="X3831">
        <v>820206</v>
      </c>
      <c r="Y3831" t="e">
        <f ca="1">-DUE _xludf.For Monthly PM</f>
        <v>#NAME?</v>
      </c>
      <c r="Z3831" t="e">
        <f ca="1">-Maintenance</f>
        <v>#NAME?</v>
      </c>
      <c r="AA3831" t="e">
        <f ca="1">-Check up machine
-Maintenance</f>
        <v>#NAME?</v>
      </c>
      <c r="AB3831" t="s">
        <v>9638</v>
      </c>
      <c r="AC3831" t="s">
        <v>23278</v>
      </c>
      <c r="AG3831" t="s">
        <v>23279</v>
      </c>
      <c r="AH3831" t="s">
        <v>23280</v>
      </c>
      <c r="AI3831" t="s">
        <v>23281</v>
      </c>
    </row>
    <row r="3832" spans="2:35">
      <c r="B3832" s="1">
        <v>45471</v>
      </c>
      <c r="C3832" s="4">
        <v>45471.583333333336</v>
      </c>
      <c r="D3832" t="s">
        <v>1071</v>
      </c>
      <c r="E3832" t="s">
        <v>1555</v>
      </c>
      <c r="F3832">
        <v>7</v>
      </c>
      <c r="G3832" t="s">
        <v>432</v>
      </c>
      <c r="H3832" t="s">
        <v>150</v>
      </c>
      <c r="I3832" t="s">
        <v>40</v>
      </c>
      <c r="J3832" t="s">
        <v>109</v>
      </c>
      <c r="K3832" t="s">
        <v>42</v>
      </c>
      <c r="L3832" t="s">
        <v>343</v>
      </c>
      <c r="N3832" t="s">
        <v>344</v>
      </c>
      <c r="Q3832">
        <v>28713</v>
      </c>
      <c r="R3832" t="s">
        <v>119</v>
      </c>
      <c r="S3832" t="s">
        <v>8679</v>
      </c>
      <c r="T3832">
        <v>27</v>
      </c>
      <c r="W3832" t="s">
        <v>23277</v>
      </c>
      <c r="X3832">
        <v>838285</v>
      </c>
      <c r="Y3832" t="s">
        <v>8412</v>
      </c>
      <c r="Z3832" t="e">
        <f ca="1">-Maintenance</f>
        <v>#NAME?</v>
      </c>
      <c r="AA3832" t="e">
        <f ca="1">-Check up machine
-Maintenance</f>
        <v>#NAME?</v>
      </c>
      <c r="AB3832" t="s">
        <v>23282</v>
      </c>
      <c r="AC3832" t="s">
        <v>23283</v>
      </c>
      <c r="AG3832" t="s">
        <v>23284</v>
      </c>
      <c r="AH3832" t="s">
        <v>23280</v>
      </c>
      <c r="AI3832" t="s">
        <v>23285</v>
      </c>
    </row>
    <row r="3833" spans="2:35" ht="105">
      <c r="B3833" s="1">
        <v>45471</v>
      </c>
      <c r="C3833" s="4">
        <v>45469.553472222222</v>
      </c>
      <c r="D3833" t="s">
        <v>20586</v>
      </c>
      <c r="E3833" t="s">
        <v>8331</v>
      </c>
      <c r="F3833" t="s">
        <v>148</v>
      </c>
      <c r="G3833" t="s">
        <v>230</v>
      </c>
      <c r="H3833" t="s">
        <v>39</v>
      </c>
      <c r="I3833" t="s">
        <v>40</v>
      </c>
      <c r="J3833" t="s">
        <v>109</v>
      </c>
      <c r="K3833" t="s">
        <v>42</v>
      </c>
      <c r="L3833" t="s">
        <v>175</v>
      </c>
      <c r="N3833" t="s">
        <v>176</v>
      </c>
      <c r="Q3833">
        <v>28711</v>
      </c>
      <c r="R3833" t="s">
        <v>703</v>
      </c>
      <c r="S3833" t="s">
        <v>23286</v>
      </c>
      <c r="T3833">
        <v>27</v>
      </c>
      <c r="U3833" s="2" t="s">
        <v>23287</v>
      </c>
      <c r="W3833" t="s">
        <v>84</v>
      </c>
      <c r="X3833">
        <v>110018312</v>
      </c>
      <c r="Y3833" t="s">
        <v>374</v>
      </c>
      <c r="Z3833" t="s">
        <v>103</v>
      </c>
      <c r="AA3833" t="e">
        <f ca="1">- checked _xludf.and cleaned cartridge bay, plunger rod, _xludf.filter
- generated reports
- performed self test</f>
        <v>#NAME?</v>
      </c>
      <c r="AB3833" s="2" t="s">
        <v>20996</v>
      </c>
      <c r="AG3833" t="s">
        <v>23288</v>
      </c>
      <c r="AH3833" t="s">
        <v>23289</v>
      </c>
      <c r="AI3833" t="s">
        <v>23290</v>
      </c>
    </row>
    <row r="3834" spans="2:35" ht="360">
      <c r="B3834" s="1">
        <v>45471</v>
      </c>
      <c r="C3834" s="4">
        <v>45471.559027777781</v>
      </c>
      <c r="D3834" t="s">
        <v>3139</v>
      </c>
      <c r="E3834" t="s">
        <v>3140</v>
      </c>
      <c r="F3834">
        <v>3</v>
      </c>
      <c r="G3834" t="s">
        <v>174</v>
      </c>
      <c r="H3834" t="s">
        <v>39</v>
      </c>
      <c r="I3834" t="s">
        <v>40</v>
      </c>
      <c r="J3834" t="s">
        <v>321</v>
      </c>
      <c r="K3834" t="s">
        <v>42</v>
      </c>
      <c r="L3834" t="s">
        <v>175</v>
      </c>
      <c r="N3834" t="s">
        <v>176</v>
      </c>
      <c r="Q3834">
        <v>28712</v>
      </c>
      <c r="R3834" t="s">
        <v>967</v>
      </c>
      <c r="S3834" t="s">
        <v>14419</v>
      </c>
      <c r="T3834">
        <v>35</v>
      </c>
      <c r="W3834" t="s">
        <v>423</v>
      </c>
      <c r="X3834">
        <v>110023507</v>
      </c>
      <c r="Y3834" t="s">
        <v>8338</v>
      </c>
      <c r="Z3834" t="s">
        <v>103</v>
      </c>
      <c r="AA3834" t="e">
        <f ca="1">- installed Unit
- performed self test
- generated reports
- Created user Accounts
- installed MTB Rif Assay</f>
        <v>#NAME?</v>
      </c>
      <c r="AB3834" s="2" t="s">
        <v>23291</v>
      </c>
      <c r="AG3834" t="s">
        <v>23292</v>
      </c>
      <c r="AH3834" t="s">
        <v>23293</v>
      </c>
      <c r="AI3834" t="s">
        <v>23294</v>
      </c>
    </row>
    <row r="3835" spans="2:35" ht="210">
      <c r="B3835" s="1">
        <v>45471</v>
      </c>
      <c r="C3835" s="4">
        <v>45468.521527777775</v>
      </c>
      <c r="D3835" t="s">
        <v>23295</v>
      </c>
      <c r="E3835" t="s">
        <v>23296</v>
      </c>
      <c r="F3835">
        <v>3</v>
      </c>
      <c r="G3835" t="s">
        <v>174</v>
      </c>
      <c r="H3835" t="s">
        <v>39</v>
      </c>
      <c r="I3835" t="s">
        <v>40</v>
      </c>
      <c r="J3835" s="2" t="s">
        <v>41</v>
      </c>
      <c r="K3835" t="s">
        <v>42</v>
      </c>
      <c r="L3835" t="s">
        <v>175</v>
      </c>
      <c r="N3835" t="s">
        <v>176</v>
      </c>
      <c r="Q3835">
        <v>28710</v>
      </c>
      <c r="R3835" t="s">
        <v>45</v>
      </c>
      <c r="S3835" t="s">
        <v>23297</v>
      </c>
      <c r="T3835">
        <v>25</v>
      </c>
      <c r="U3835" s="2" t="s">
        <v>23298</v>
      </c>
      <c r="V3835" s="1">
        <v>45468</v>
      </c>
      <c r="W3835" t="s">
        <v>84</v>
      </c>
      <c r="X3835">
        <v>814165</v>
      </c>
      <c r="Y3835" s="2" t="s">
        <v>23299</v>
      </c>
      <c r="Z3835" t="s">
        <v>425</v>
      </c>
      <c r="AA3835" t="e">
        <f ca="1">- checked _xludf.and cleaned cartridge bay, plunger rod, _xludf.filter
- replaced module B3
- generated reports
- performed self test</f>
        <v>#NAME?</v>
      </c>
      <c r="AB3835" t="s">
        <v>23300</v>
      </c>
      <c r="AD3835" s="2" t="s">
        <v>23301</v>
      </c>
      <c r="AE3835" t="s">
        <v>103</v>
      </c>
      <c r="AG3835" t="s">
        <v>23302</v>
      </c>
      <c r="AH3835" t="s">
        <v>23303</v>
      </c>
      <c r="AI3835" t="s">
        <v>23304</v>
      </c>
    </row>
    <row r="3836" spans="2:35" ht="409.5">
      <c r="B3836" s="1">
        <v>45471</v>
      </c>
      <c r="C3836" s="4">
        <v>45470.700694444444</v>
      </c>
      <c r="D3836" t="s">
        <v>23305</v>
      </c>
      <c r="E3836" t="s">
        <v>23306</v>
      </c>
      <c r="F3836" t="s">
        <v>1181</v>
      </c>
      <c r="G3836" t="s">
        <v>1182</v>
      </c>
      <c r="H3836" t="s">
        <v>39</v>
      </c>
      <c r="I3836" t="s">
        <v>40</v>
      </c>
      <c r="J3836" s="2" t="s">
        <v>1592</v>
      </c>
      <c r="K3836" t="s">
        <v>42</v>
      </c>
      <c r="L3836" t="s">
        <v>15532</v>
      </c>
      <c r="N3836" t="s">
        <v>15533</v>
      </c>
      <c r="Q3836">
        <v>28709</v>
      </c>
      <c r="R3836" t="s">
        <v>45</v>
      </c>
      <c r="S3836" t="s">
        <v>23307</v>
      </c>
      <c r="T3836">
        <v>25</v>
      </c>
      <c r="U3836" s="2" t="s">
        <v>23308</v>
      </c>
      <c r="V3836" s="1">
        <v>45411</v>
      </c>
      <c r="W3836" t="s">
        <v>23309</v>
      </c>
      <c r="X3836">
        <v>804271</v>
      </c>
      <c r="Y3836" t="s">
        <v>23310</v>
      </c>
      <c r="Z3836" s="2" t="s">
        <v>23311</v>
      </c>
      <c r="AA3836" s="2" t="s">
        <v>23312</v>
      </c>
      <c r="AB3836" s="2" t="s">
        <v>23313</v>
      </c>
      <c r="AD3836" t="s">
        <v>23314</v>
      </c>
      <c r="AE3836" t="s">
        <v>23315</v>
      </c>
      <c r="AG3836" t="s">
        <v>23316</v>
      </c>
      <c r="AH3836" t="s">
        <v>23317</v>
      </c>
      <c r="AI3836" t="s">
        <v>23318</v>
      </c>
    </row>
    <row r="3837" spans="2:35" ht="360">
      <c r="B3837" s="1">
        <v>45471</v>
      </c>
      <c r="C3837" s="4">
        <v>45470.423611111109</v>
      </c>
      <c r="D3837" t="s">
        <v>1145</v>
      </c>
      <c r="E3837" t="s">
        <v>473</v>
      </c>
      <c r="F3837" t="s">
        <v>148</v>
      </c>
      <c r="G3837" t="s">
        <v>447</v>
      </c>
      <c r="H3837" t="s">
        <v>150</v>
      </c>
      <c r="I3837" t="s">
        <v>40</v>
      </c>
      <c r="J3837" t="s">
        <v>109</v>
      </c>
      <c r="K3837" t="s">
        <v>42</v>
      </c>
      <c r="L3837" t="s">
        <v>448</v>
      </c>
      <c r="N3837" t="s">
        <v>650</v>
      </c>
      <c r="Q3837">
        <v>28708</v>
      </c>
      <c r="R3837" t="s">
        <v>45</v>
      </c>
      <c r="S3837" t="s">
        <v>1147</v>
      </c>
      <c r="T3837">
        <v>40</v>
      </c>
      <c r="U3837" s="2" t="s">
        <v>23319</v>
      </c>
      <c r="W3837" t="s">
        <v>23320</v>
      </c>
      <c r="X3837">
        <v>801080</v>
      </c>
      <c r="Y3837" t="s">
        <v>485</v>
      </c>
      <c r="Z3837" s="2" t="s">
        <v>2011</v>
      </c>
      <c r="AA3837" t="s">
        <v>122</v>
      </c>
      <c r="AB3837" t="s">
        <v>486</v>
      </c>
      <c r="AG3837" t="s">
        <v>23321</v>
      </c>
      <c r="AH3837" t="s">
        <v>1153</v>
      </c>
      <c r="AI3837" t="s">
        <v>23322</v>
      </c>
    </row>
    <row r="3838" spans="2:35" ht="180">
      <c r="B3838" s="1">
        <v>45471</v>
      </c>
      <c r="C3838" s="4">
        <v>45470.411805555559</v>
      </c>
      <c r="D3838" t="s">
        <v>1145</v>
      </c>
      <c r="E3838" t="s">
        <v>473</v>
      </c>
      <c r="F3838" t="s">
        <v>148</v>
      </c>
      <c r="G3838" t="s">
        <v>447</v>
      </c>
      <c r="H3838" t="s">
        <v>150</v>
      </c>
      <c r="I3838" t="s">
        <v>40</v>
      </c>
      <c r="J3838" t="s">
        <v>109</v>
      </c>
      <c r="K3838" t="s">
        <v>42</v>
      </c>
      <c r="L3838" t="s">
        <v>448</v>
      </c>
      <c r="N3838" t="s">
        <v>650</v>
      </c>
      <c r="Q3838">
        <v>28707</v>
      </c>
      <c r="R3838" t="s">
        <v>95</v>
      </c>
      <c r="S3838" t="s">
        <v>1147</v>
      </c>
      <c r="T3838">
        <v>29</v>
      </c>
      <c r="W3838" t="s">
        <v>6128</v>
      </c>
      <c r="X3838">
        <v>804205</v>
      </c>
      <c r="Y3838" s="2" t="s">
        <v>23323</v>
      </c>
      <c r="Z3838" s="2" t="s">
        <v>2011</v>
      </c>
      <c r="AA3838" t="s">
        <v>6997</v>
      </c>
      <c r="AB3838" s="2" t="s">
        <v>23324</v>
      </c>
      <c r="AG3838" t="s">
        <v>23325</v>
      </c>
      <c r="AH3838" t="s">
        <v>1153</v>
      </c>
      <c r="AI3838" t="s">
        <v>23326</v>
      </c>
    </row>
    <row r="3839" spans="2:35" ht="409.5">
      <c r="B3839" s="1">
        <v>45471</v>
      </c>
      <c r="C3839" s="4">
        <v>45470.40902777778</v>
      </c>
      <c r="D3839" t="s">
        <v>1145</v>
      </c>
      <c r="E3839" t="s">
        <v>473</v>
      </c>
      <c r="F3839" t="s">
        <v>148</v>
      </c>
      <c r="G3839" t="s">
        <v>447</v>
      </c>
      <c r="H3839" t="s">
        <v>150</v>
      </c>
      <c r="I3839" t="s">
        <v>40</v>
      </c>
      <c r="J3839" t="s">
        <v>109</v>
      </c>
      <c r="K3839" t="s">
        <v>42</v>
      </c>
      <c r="L3839" t="s">
        <v>448</v>
      </c>
      <c r="N3839" t="s">
        <v>650</v>
      </c>
      <c r="Q3839">
        <v>28706</v>
      </c>
      <c r="R3839" t="s">
        <v>322</v>
      </c>
      <c r="S3839" t="s">
        <v>1147</v>
      </c>
      <c r="T3839">
        <v>27</v>
      </c>
      <c r="U3839" s="2" t="s">
        <v>23327</v>
      </c>
      <c r="W3839" t="s">
        <v>6121</v>
      </c>
      <c r="X3839">
        <v>838837</v>
      </c>
      <c r="Y3839" t="s">
        <v>23328</v>
      </c>
      <c r="Z3839" s="2" t="s">
        <v>2011</v>
      </c>
      <c r="AA3839" t="s">
        <v>122</v>
      </c>
      <c r="AB3839" s="2" t="s">
        <v>23329</v>
      </c>
      <c r="AG3839" t="s">
        <v>23330</v>
      </c>
      <c r="AH3839" t="s">
        <v>1153</v>
      </c>
      <c r="AI3839" t="s">
        <v>23331</v>
      </c>
    </row>
    <row r="3840" spans="2:35" ht="180">
      <c r="B3840" s="1">
        <v>45471</v>
      </c>
      <c r="C3840" s="4">
        <v>45470.370138888888</v>
      </c>
      <c r="D3840" t="s">
        <v>1145</v>
      </c>
      <c r="E3840" t="s">
        <v>473</v>
      </c>
      <c r="F3840" t="s">
        <v>148</v>
      </c>
      <c r="G3840" t="s">
        <v>447</v>
      </c>
      <c r="H3840" t="s">
        <v>23332</v>
      </c>
      <c r="I3840" t="s">
        <v>40</v>
      </c>
      <c r="J3840" t="s">
        <v>109</v>
      </c>
      <c r="K3840" t="s">
        <v>42</v>
      </c>
      <c r="L3840" t="s">
        <v>448</v>
      </c>
      <c r="N3840" t="s">
        <v>650</v>
      </c>
      <c r="Q3840">
        <v>28705</v>
      </c>
      <c r="R3840" t="s">
        <v>45</v>
      </c>
      <c r="S3840" t="s">
        <v>23333</v>
      </c>
      <c r="T3840">
        <v>22</v>
      </c>
      <c r="U3840" s="2" t="s">
        <v>23334</v>
      </c>
      <c r="W3840" t="s">
        <v>6128</v>
      </c>
      <c r="X3840">
        <v>707450</v>
      </c>
      <c r="Y3840" t="s">
        <v>485</v>
      </c>
      <c r="Z3840" s="2" t="s">
        <v>2011</v>
      </c>
      <c r="AA3840" t="s">
        <v>122</v>
      </c>
      <c r="AB3840" t="s">
        <v>486</v>
      </c>
      <c r="AG3840" t="s">
        <v>23335</v>
      </c>
      <c r="AH3840" t="s">
        <v>23336</v>
      </c>
      <c r="AI3840" t="s">
        <v>23337</v>
      </c>
    </row>
    <row r="3841" spans="2:35" ht="240">
      <c r="B3841" s="1">
        <v>45471</v>
      </c>
      <c r="C3841" s="4">
        <v>45470.365277777775</v>
      </c>
      <c r="D3841" t="s">
        <v>1145</v>
      </c>
      <c r="E3841" t="s">
        <v>473</v>
      </c>
      <c r="F3841" t="s">
        <v>148</v>
      </c>
      <c r="G3841" t="s">
        <v>447</v>
      </c>
      <c r="H3841" t="s">
        <v>23332</v>
      </c>
      <c r="I3841" t="s">
        <v>40</v>
      </c>
      <c r="J3841" s="2" t="s">
        <v>190</v>
      </c>
      <c r="K3841" t="s">
        <v>42</v>
      </c>
      <c r="L3841" t="s">
        <v>448</v>
      </c>
      <c r="N3841" t="s">
        <v>650</v>
      </c>
      <c r="Q3841">
        <v>28704</v>
      </c>
      <c r="R3841" t="s">
        <v>45</v>
      </c>
      <c r="S3841" t="s">
        <v>23333</v>
      </c>
      <c r="T3841">
        <v>22</v>
      </c>
      <c r="U3841" s="2" t="s">
        <v>23338</v>
      </c>
      <c r="W3841" t="s">
        <v>6128</v>
      </c>
      <c r="X3841">
        <v>704584</v>
      </c>
      <c r="Y3841" t="s">
        <v>23339</v>
      </c>
      <c r="Z3841" s="2" t="s">
        <v>23340</v>
      </c>
      <c r="AA3841" t="s">
        <v>19984</v>
      </c>
      <c r="AB3841" t="s">
        <v>486</v>
      </c>
      <c r="AC3841" t="s">
        <v>23341</v>
      </c>
      <c r="AG3841" t="s">
        <v>23342</v>
      </c>
      <c r="AH3841" t="s">
        <v>23336</v>
      </c>
      <c r="AI3841" t="s">
        <v>23343</v>
      </c>
    </row>
    <row r="3842" spans="2:35" ht="409.5">
      <c r="B3842" s="1">
        <v>45471</v>
      </c>
      <c r="C3842" s="4">
        <v>45470.530555555553</v>
      </c>
      <c r="D3842" t="s">
        <v>2568</v>
      </c>
      <c r="E3842" t="s">
        <v>23344</v>
      </c>
      <c r="F3842" t="s">
        <v>148</v>
      </c>
      <c r="G3842" t="s">
        <v>447</v>
      </c>
      <c r="H3842" t="s">
        <v>2570</v>
      </c>
      <c r="I3842" t="s">
        <v>40</v>
      </c>
      <c r="J3842" t="s">
        <v>79</v>
      </c>
      <c r="K3842" t="s">
        <v>42</v>
      </c>
      <c r="L3842" t="s">
        <v>448</v>
      </c>
      <c r="N3842" t="s">
        <v>650</v>
      </c>
      <c r="O3842" t="s">
        <v>2808</v>
      </c>
      <c r="Q3842">
        <v>28703</v>
      </c>
      <c r="R3842" t="s">
        <v>95</v>
      </c>
      <c r="S3842" t="s">
        <v>2571</v>
      </c>
      <c r="T3842">
        <v>28</v>
      </c>
      <c r="U3842" s="2" t="s">
        <v>23345</v>
      </c>
      <c r="V3842" s="1">
        <v>45468</v>
      </c>
      <c r="W3842" t="s">
        <v>6128</v>
      </c>
      <c r="X3842">
        <v>807155</v>
      </c>
      <c r="Y3842" t="s">
        <v>23346</v>
      </c>
      <c r="Z3842" s="2" t="s">
        <v>2585</v>
      </c>
      <c r="AA3842" t="s">
        <v>5712</v>
      </c>
      <c r="AB3842" t="s">
        <v>23347</v>
      </c>
      <c r="AD3842" t="s">
        <v>23348</v>
      </c>
      <c r="AE3842">
        <v>11681</v>
      </c>
      <c r="AG3842" t="s">
        <v>23349</v>
      </c>
      <c r="AH3842" t="s">
        <v>2578</v>
      </c>
      <c r="AI3842" t="s">
        <v>23350</v>
      </c>
    </row>
    <row r="3843" spans="2:35" ht="105">
      <c r="B3843" s="1">
        <v>45471</v>
      </c>
      <c r="C3843" s="4">
        <v>45471.525000000001</v>
      </c>
      <c r="D3843" t="s">
        <v>8654</v>
      </c>
      <c r="E3843" t="s">
        <v>8655</v>
      </c>
      <c r="F3843">
        <v>8</v>
      </c>
      <c r="G3843" t="s">
        <v>257</v>
      </c>
      <c r="H3843" t="s">
        <v>202</v>
      </c>
      <c r="I3843" t="s">
        <v>40</v>
      </c>
      <c r="J3843" t="s">
        <v>109</v>
      </c>
      <c r="K3843" t="s">
        <v>42</v>
      </c>
      <c r="L3843" t="s">
        <v>259</v>
      </c>
      <c r="N3843" t="s">
        <v>260</v>
      </c>
      <c r="Q3843">
        <v>28702</v>
      </c>
      <c r="R3843" t="s">
        <v>119</v>
      </c>
      <c r="S3843" t="s">
        <v>23351</v>
      </c>
      <c r="T3843">
        <v>27</v>
      </c>
      <c r="U3843" s="2" t="s">
        <v>19897</v>
      </c>
      <c r="V3843" s="1">
        <v>45471</v>
      </c>
      <c r="W3843" t="s">
        <v>597</v>
      </c>
      <c r="X3843">
        <v>838409</v>
      </c>
      <c r="Y3843" t="s">
        <v>263</v>
      </c>
      <c r="Z3843" t="e">
        <f ca="1">- Preventive Maintenance</f>
        <v>#NAME?</v>
      </c>
      <c r="AA3843" t="e">
        <f ca="1">- performed Preventive Maintenance (cleaned plunger rod, cartridge bay, icore _xludf.and FAN _xludf.filter)
- performed functionality test</f>
        <v>#NAME?</v>
      </c>
      <c r="AB3843" t="s">
        <v>181</v>
      </c>
      <c r="AG3843" t="s">
        <v>23352</v>
      </c>
      <c r="AH3843" t="s">
        <v>23353</v>
      </c>
      <c r="AI3843" t="s">
        <v>23354</v>
      </c>
    </row>
    <row r="3844" spans="2:35" ht="360">
      <c r="B3844" s="1">
        <v>45471</v>
      </c>
      <c r="C3844" s="4">
        <v>45471.513194444444</v>
      </c>
      <c r="D3844" t="s">
        <v>3030</v>
      </c>
      <c r="E3844" t="s">
        <v>18153</v>
      </c>
      <c r="F3844" t="s">
        <v>37</v>
      </c>
      <c r="G3844" t="s">
        <v>38</v>
      </c>
      <c r="H3844" t="s">
        <v>39</v>
      </c>
      <c r="I3844" t="s">
        <v>40</v>
      </c>
      <c r="J3844" t="s">
        <v>321</v>
      </c>
      <c r="K3844" t="s">
        <v>42</v>
      </c>
      <c r="L3844" t="s">
        <v>43</v>
      </c>
      <c r="N3844" t="s">
        <v>44</v>
      </c>
      <c r="Q3844">
        <v>28701</v>
      </c>
      <c r="R3844" t="s">
        <v>119</v>
      </c>
      <c r="S3844" t="s">
        <v>3032</v>
      </c>
      <c r="T3844">
        <v>23</v>
      </c>
      <c r="W3844" t="s">
        <v>153</v>
      </c>
      <c r="X3844">
        <v>110023496</v>
      </c>
      <c r="Y3844" t="s">
        <v>750</v>
      </c>
      <c r="Z3844" t="s">
        <v>2931</v>
      </c>
      <c r="AA3844" s="2" t="s">
        <v>23355</v>
      </c>
      <c r="AB3844" t="s">
        <v>548</v>
      </c>
      <c r="AG3844" t="s">
        <v>23356</v>
      </c>
      <c r="AH3844" t="s">
        <v>3035</v>
      </c>
      <c r="AI3844" t="s">
        <v>23357</v>
      </c>
    </row>
    <row r="3845" spans="2:35" ht="375">
      <c r="B3845" s="1">
        <v>45471</v>
      </c>
      <c r="C3845" s="4">
        <v>45470.427777777775</v>
      </c>
      <c r="D3845" t="s">
        <v>4379</v>
      </c>
      <c r="E3845" t="s">
        <v>23358</v>
      </c>
      <c r="F3845" t="s">
        <v>148</v>
      </c>
      <c r="G3845" t="s">
        <v>785</v>
      </c>
      <c r="H3845" t="s">
        <v>61</v>
      </c>
      <c r="I3845" t="s">
        <v>40</v>
      </c>
      <c r="J3845" t="s">
        <v>79</v>
      </c>
      <c r="K3845" t="s">
        <v>42</v>
      </c>
      <c r="L3845" t="s">
        <v>43</v>
      </c>
      <c r="N3845" t="s">
        <v>44</v>
      </c>
      <c r="Q3845">
        <v>28700</v>
      </c>
      <c r="R3845" t="s">
        <v>45</v>
      </c>
      <c r="S3845" t="s">
        <v>4382</v>
      </c>
      <c r="T3845">
        <v>22</v>
      </c>
      <c r="U3845" s="2" t="s">
        <v>23359</v>
      </c>
      <c r="V3845" s="1">
        <v>45470</v>
      </c>
      <c r="W3845" t="s">
        <v>48</v>
      </c>
      <c r="X3845">
        <v>814374</v>
      </c>
      <c r="Y3845" t="s">
        <v>424</v>
      </c>
      <c r="Z3845" t="s">
        <v>425</v>
      </c>
      <c r="AA3845" s="2" t="s">
        <v>23360</v>
      </c>
      <c r="AB3845" t="s">
        <v>23361</v>
      </c>
      <c r="AC3845" t="s">
        <v>23362</v>
      </c>
      <c r="AD3845" s="2" t="s">
        <v>23363</v>
      </c>
      <c r="AE3845" t="s">
        <v>54</v>
      </c>
      <c r="AG3845" t="s">
        <v>23364</v>
      </c>
      <c r="AH3845" t="s">
        <v>21493</v>
      </c>
      <c r="AI3845" t="s">
        <v>23365</v>
      </c>
    </row>
    <row r="3846" spans="2:35" ht="409.5">
      <c r="B3846" s="1">
        <v>45471</v>
      </c>
      <c r="C3846" s="4">
        <v>45470.431944444441</v>
      </c>
      <c r="D3846" t="s">
        <v>4379</v>
      </c>
      <c r="E3846" t="s">
        <v>23358</v>
      </c>
      <c r="F3846" t="s">
        <v>148</v>
      </c>
      <c r="G3846" t="s">
        <v>785</v>
      </c>
      <c r="H3846" t="s">
        <v>61</v>
      </c>
      <c r="I3846" t="s">
        <v>40</v>
      </c>
      <c r="J3846" t="s">
        <v>109</v>
      </c>
      <c r="K3846" t="s">
        <v>42</v>
      </c>
      <c r="L3846" t="s">
        <v>43</v>
      </c>
      <c r="N3846" t="s">
        <v>44</v>
      </c>
      <c r="Q3846">
        <v>28699</v>
      </c>
      <c r="R3846" t="s">
        <v>322</v>
      </c>
      <c r="S3846" t="s">
        <v>4382</v>
      </c>
      <c r="T3846">
        <v>22</v>
      </c>
      <c r="U3846" s="2" t="s">
        <v>23366</v>
      </c>
      <c r="W3846" t="s">
        <v>3178</v>
      </c>
      <c r="X3846">
        <v>838627</v>
      </c>
      <c r="Y3846" t="s">
        <v>121</v>
      </c>
      <c r="Z3846" t="s">
        <v>122</v>
      </c>
      <c r="AA3846" s="2" t="s">
        <v>23367</v>
      </c>
      <c r="AB3846" t="s">
        <v>23368</v>
      </c>
      <c r="AG3846" t="s">
        <v>23369</v>
      </c>
      <c r="AH3846" t="s">
        <v>21493</v>
      </c>
      <c r="AI3846" t="s">
        <v>23370</v>
      </c>
    </row>
    <row r="3847" spans="2:35" ht="409.5">
      <c r="B3847" s="1">
        <v>45471</v>
      </c>
      <c r="C3847" s="4">
        <v>45471.493750000001</v>
      </c>
      <c r="D3847" t="s">
        <v>23371</v>
      </c>
      <c r="E3847" t="s">
        <v>23372</v>
      </c>
      <c r="F3847">
        <v>10</v>
      </c>
      <c r="G3847" t="s">
        <v>1395</v>
      </c>
      <c r="H3847" t="s">
        <v>10969</v>
      </c>
      <c r="I3847" t="s">
        <v>40</v>
      </c>
      <c r="J3847" s="2" t="s">
        <v>41</v>
      </c>
      <c r="K3847" t="s">
        <v>42</v>
      </c>
      <c r="L3847" t="s">
        <v>1288</v>
      </c>
      <c r="N3847" t="s">
        <v>1289</v>
      </c>
      <c r="Q3847">
        <v>28698</v>
      </c>
      <c r="R3847" t="s">
        <v>45</v>
      </c>
      <c r="S3847" t="s">
        <v>23373</v>
      </c>
      <c r="T3847">
        <v>30</v>
      </c>
      <c r="U3847" s="2" t="s">
        <v>23374</v>
      </c>
      <c r="W3847" t="s">
        <v>16722</v>
      </c>
      <c r="X3847">
        <v>844118</v>
      </c>
      <c r="Y3847" t="e">
        <f ca="1">-_xludf.For module A2,B3,B4,C1,C2,C3,C4,D1, _xludf.and module D2 Replacement
-Preventive Maintenance</f>
        <v>#NAME?</v>
      </c>
      <c r="Z3847" t="e">
        <f ca="1">-COLLECT IQR, system _xludf.Log, _xludf.and ARCHIVE</f>
        <v>#NAME?</v>
      </c>
      <c r="AA3847" s="2" t="s">
        <v>23375</v>
      </c>
      <c r="AB3847" t="s">
        <v>1293</v>
      </c>
      <c r="AG3847" t="s">
        <v>23376</v>
      </c>
      <c r="AH3847" t="s">
        <v>23377</v>
      </c>
      <c r="AI3847" t="s">
        <v>23378</v>
      </c>
    </row>
    <row r="3848" spans="2:35" ht="45">
      <c r="B3848" s="1">
        <v>45471</v>
      </c>
      <c r="C3848" s="4">
        <v>45467.486111111109</v>
      </c>
      <c r="D3848" t="s">
        <v>3241</v>
      </c>
      <c r="E3848" t="s">
        <v>23379</v>
      </c>
      <c r="F3848">
        <v>7</v>
      </c>
      <c r="G3848" t="s">
        <v>432</v>
      </c>
      <c r="H3848" t="s">
        <v>39</v>
      </c>
      <c r="I3848" t="s">
        <v>40</v>
      </c>
      <c r="J3848" s="2" t="s">
        <v>41</v>
      </c>
      <c r="K3848" t="s">
        <v>42</v>
      </c>
      <c r="L3848" t="s">
        <v>594</v>
      </c>
      <c r="N3848" t="s">
        <v>595</v>
      </c>
      <c r="O3848" t="s">
        <v>595</v>
      </c>
      <c r="Q3848">
        <v>28697</v>
      </c>
      <c r="R3848" t="s">
        <v>45</v>
      </c>
      <c r="S3848" t="s">
        <v>23380</v>
      </c>
      <c r="T3848">
        <v>23</v>
      </c>
      <c r="V3848" s="1">
        <v>45467</v>
      </c>
      <c r="W3848" t="s">
        <v>502</v>
      </c>
      <c r="X3848">
        <v>808640</v>
      </c>
      <c r="Y3848" t="s">
        <v>23381</v>
      </c>
      <c r="Z3848" t="s">
        <v>23382</v>
      </c>
      <c r="AA3848" t="s">
        <v>23383</v>
      </c>
      <c r="AB3848" t="s">
        <v>23384</v>
      </c>
      <c r="AG3848" t="s">
        <v>23385</v>
      </c>
      <c r="AH3848" t="s">
        <v>23386</v>
      </c>
      <c r="AI3848" t="s">
        <v>23387</v>
      </c>
    </row>
    <row r="3849" spans="2:35" ht="409.5">
      <c r="B3849" s="1">
        <v>45470</v>
      </c>
      <c r="C3849" s="4">
        <v>45470.904166666667</v>
      </c>
      <c r="D3849" t="s">
        <v>1713</v>
      </c>
      <c r="E3849" t="s">
        <v>1714</v>
      </c>
      <c r="F3849">
        <v>8</v>
      </c>
      <c r="G3849" t="s">
        <v>257</v>
      </c>
      <c r="H3849" t="s">
        <v>202</v>
      </c>
      <c r="I3849" t="s">
        <v>94</v>
      </c>
      <c r="J3849" s="2" t="s">
        <v>41</v>
      </c>
      <c r="K3849" t="s">
        <v>42</v>
      </c>
      <c r="L3849" t="s">
        <v>259</v>
      </c>
      <c r="N3849" t="s">
        <v>260</v>
      </c>
      <c r="Q3849">
        <v>28696</v>
      </c>
      <c r="R3849" t="s">
        <v>45</v>
      </c>
      <c r="S3849" t="s">
        <v>23388</v>
      </c>
      <c r="T3849">
        <v>26</v>
      </c>
      <c r="U3849" s="2" t="s">
        <v>3157</v>
      </c>
      <c r="V3849" s="1">
        <v>45470</v>
      </c>
      <c r="W3849" t="s">
        <v>597</v>
      </c>
      <c r="X3849">
        <v>804265</v>
      </c>
      <c r="Y3849" t="s">
        <v>23389</v>
      </c>
      <c r="Z3849" t="e">
        <f ca="1">- module Replacement
- Preventive Maintenance</f>
        <v>#NAME?</v>
      </c>
      <c r="AA3849" s="2" t="s">
        <v>23390</v>
      </c>
      <c r="AB3849" t="s">
        <v>181</v>
      </c>
      <c r="AD3849" t="s">
        <v>16645</v>
      </c>
      <c r="AE3849" t="s">
        <v>45</v>
      </c>
      <c r="AG3849" t="s">
        <v>23391</v>
      </c>
      <c r="AH3849" t="s">
        <v>23392</v>
      </c>
      <c r="AI3849" t="s">
        <v>23393</v>
      </c>
    </row>
    <row r="3850" spans="2:35" ht="105">
      <c r="B3850" s="1">
        <v>45470</v>
      </c>
      <c r="C3850" s="4">
        <v>45470.894444444442</v>
      </c>
      <c r="D3850" t="s">
        <v>23394</v>
      </c>
      <c r="E3850" t="s">
        <v>6103</v>
      </c>
      <c r="F3850" t="s">
        <v>1255</v>
      </c>
      <c r="G3850" t="s">
        <v>4685</v>
      </c>
      <c r="H3850" t="s">
        <v>10969</v>
      </c>
      <c r="I3850" t="s">
        <v>40</v>
      </c>
      <c r="J3850" s="2" t="s">
        <v>609</v>
      </c>
      <c r="K3850" t="s">
        <v>42</v>
      </c>
      <c r="L3850" t="s">
        <v>1288</v>
      </c>
      <c r="N3850" t="s">
        <v>1289</v>
      </c>
      <c r="Q3850">
        <v>28695</v>
      </c>
      <c r="R3850" t="s">
        <v>45</v>
      </c>
      <c r="S3850" t="s">
        <v>15209</v>
      </c>
      <c r="T3850">
        <v>23</v>
      </c>
      <c r="U3850" s="2" t="s">
        <v>8191</v>
      </c>
      <c r="W3850" t="s">
        <v>1292</v>
      </c>
      <c r="X3850">
        <v>838293</v>
      </c>
      <c r="Y3850" t="e">
        <f ca="1">-_xludf.For Preventive Maintenance
-monitor is defective</f>
        <v>#NAME?</v>
      </c>
      <c r="Z3850" t="e">
        <f ca="1">-COLLECT IQR, system _xludf.Log, _xludf.and ARCHIVE</f>
        <v>#NAME?</v>
      </c>
      <c r="AA3850" t="e">
        <f ca="1">-PERFORM Preventive Maintenance PROCEDURE
-Inspect _xludf.and Troubleshoot monitor issue, CONFIRMED defective</f>
        <v>#NAME?</v>
      </c>
      <c r="AB3850" t="e">
        <f ca="1">-EQUIPMENT operational
-_xludf.For Reporting of defective monitor</f>
        <v>#NAME?</v>
      </c>
      <c r="AG3850" t="s">
        <v>23395</v>
      </c>
      <c r="AH3850" t="s">
        <v>23396</v>
      </c>
      <c r="AI3850" t="s">
        <v>23397</v>
      </c>
    </row>
    <row r="3851" spans="2:35" ht="150">
      <c r="B3851" s="1">
        <v>45470</v>
      </c>
      <c r="C3851" s="4">
        <v>45470.888888888891</v>
      </c>
      <c r="D3851" t="s">
        <v>23394</v>
      </c>
      <c r="E3851" t="s">
        <v>6103</v>
      </c>
      <c r="F3851" t="s">
        <v>1255</v>
      </c>
      <c r="G3851" t="s">
        <v>4685</v>
      </c>
      <c r="H3851" t="s">
        <v>10969</v>
      </c>
      <c r="I3851" t="s">
        <v>40</v>
      </c>
      <c r="J3851" t="s">
        <v>109</v>
      </c>
      <c r="K3851" t="s">
        <v>42</v>
      </c>
      <c r="L3851" t="s">
        <v>1288</v>
      </c>
      <c r="N3851" t="s">
        <v>1289</v>
      </c>
      <c r="Q3851">
        <v>28694</v>
      </c>
      <c r="R3851" t="s">
        <v>119</v>
      </c>
      <c r="S3851" t="s">
        <v>15209</v>
      </c>
      <c r="T3851">
        <v>23</v>
      </c>
      <c r="U3851" s="2" t="s">
        <v>23398</v>
      </c>
      <c r="W3851" t="s">
        <v>1292</v>
      </c>
      <c r="X3851">
        <v>838260</v>
      </c>
      <c r="Y3851" s="2" t="s">
        <v>23399</v>
      </c>
      <c r="Z3851" t="e">
        <f ca="1">-COLLECT IQR, system _xludf.Log, _xludf.and ARCHIVE</f>
        <v>#NAME?</v>
      </c>
      <c r="AA3851" t="e">
        <f ca="1">-PERFORM Cleaning of GeneXpert workstation _xludf.and EQUIPMENT
-PERFORM Maintenance PROCEDURE</f>
        <v>#NAME?</v>
      </c>
      <c r="AB3851" t="s">
        <v>1293</v>
      </c>
      <c r="AG3851" t="s">
        <v>23400</v>
      </c>
      <c r="AH3851" t="s">
        <v>23396</v>
      </c>
      <c r="AI3851" t="s">
        <v>23401</v>
      </c>
    </row>
    <row r="3852" spans="2:35" ht="405">
      <c r="B3852" s="1">
        <v>45470</v>
      </c>
      <c r="C3852" s="4">
        <v>45470.886111111111</v>
      </c>
      <c r="D3852" t="s">
        <v>23402</v>
      </c>
      <c r="E3852" t="s">
        <v>6103</v>
      </c>
      <c r="F3852" t="s">
        <v>1255</v>
      </c>
      <c r="G3852" t="s">
        <v>4685</v>
      </c>
      <c r="H3852" t="s">
        <v>10969</v>
      </c>
      <c r="I3852" t="s">
        <v>40</v>
      </c>
      <c r="J3852" s="2" t="s">
        <v>41</v>
      </c>
      <c r="K3852" t="s">
        <v>42</v>
      </c>
      <c r="L3852" t="s">
        <v>1288</v>
      </c>
      <c r="N3852" t="s">
        <v>1289</v>
      </c>
      <c r="Q3852">
        <v>28693</v>
      </c>
      <c r="R3852" t="s">
        <v>719</v>
      </c>
      <c r="S3852" t="s">
        <v>23403</v>
      </c>
      <c r="T3852">
        <v>28</v>
      </c>
      <c r="U3852" s="2" t="s">
        <v>23404</v>
      </c>
      <c r="W3852" t="s">
        <v>1292</v>
      </c>
      <c r="X3852">
        <v>847303</v>
      </c>
      <c r="Y3852" t="e">
        <f ca="1">-_xludf.For Preventive Maintenance
-_xludf.For module B1 Replacement</f>
        <v>#NAME?</v>
      </c>
      <c r="Z3852" t="e">
        <f ca="1">-COLLECT IQR,system _xludf.Log, _xludf.and ARCHIVE</f>
        <v>#NAME?</v>
      </c>
      <c r="AA3852" s="2" t="s">
        <v>23405</v>
      </c>
      <c r="AB3852" t="s">
        <v>1293</v>
      </c>
      <c r="AG3852" t="s">
        <v>23406</v>
      </c>
      <c r="AH3852" t="s">
        <v>23407</v>
      </c>
      <c r="AI3852" t="s">
        <v>23408</v>
      </c>
    </row>
    <row r="3853" spans="2:35" ht="409.5">
      <c r="B3853" s="1">
        <v>45470</v>
      </c>
      <c r="C3853" s="4">
        <v>45470.881944444445</v>
      </c>
      <c r="D3853" t="s">
        <v>23402</v>
      </c>
      <c r="E3853" t="s">
        <v>6103</v>
      </c>
      <c r="F3853" t="s">
        <v>1255</v>
      </c>
      <c r="G3853" t="s">
        <v>4685</v>
      </c>
      <c r="H3853" t="s">
        <v>10969</v>
      </c>
      <c r="I3853" t="s">
        <v>40</v>
      </c>
      <c r="J3853" s="2" t="s">
        <v>1592</v>
      </c>
      <c r="K3853" t="s">
        <v>42</v>
      </c>
      <c r="L3853" t="s">
        <v>1288</v>
      </c>
      <c r="N3853" t="s">
        <v>1289</v>
      </c>
      <c r="Q3853">
        <v>28692</v>
      </c>
      <c r="R3853" t="s">
        <v>45</v>
      </c>
      <c r="S3853" t="s">
        <v>23403</v>
      </c>
      <c r="T3853">
        <v>29</v>
      </c>
      <c r="U3853" s="2" t="s">
        <v>23409</v>
      </c>
      <c r="W3853" t="s">
        <v>1292</v>
      </c>
      <c r="X3853">
        <v>807457</v>
      </c>
      <c r="Y3853" t="e">
        <f ca="1">-_xludf.For Preventive Maintenance
-_xludf.For Gateway board Replacement
-_xludf.For module C1 Replacement
-printer issue</f>
        <v>#NAME?</v>
      </c>
      <c r="Z3853" t="e">
        <f ca="1">-COLLECT IQR, system _xludf.Log, _xludf.and ARCHIVE</f>
        <v>#NAME?</v>
      </c>
      <c r="AA3853" s="2" t="s">
        <v>23410</v>
      </c>
      <c r="AB3853" t="s">
        <v>1293</v>
      </c>
      <c r="AG3853" t="s">
        <v>23411</v>
      </c>
      <c r="AH3853" t="s">
        <v>23407</v>
      </c>
      <c r="AI3853" t="s">
        <v>23412</v>
      </c>
    </row>
    <row r="3854" spans="2:35" ht="180">
      <c r="B3854" s="1">
        <v>45470</v>
      </c>
      <c r="C3854" s="4">
        <v>45470.538194444445</v>
      </c>
      <c r="D3854" t="s">
        <v>2460</v>
      </c>
      <c r="E3854" t="s">
        <v>23413</v>
      </c>
      <c r="F3854" t="s">
        <v>37</v>
      </c>
      <c r="G3854" t="s">
        <v>189</v>
      </c>
      <c r="H3854" t="s">
        <v>39</v>
      </c>
      <c r="I3854" t="s">
        <v>40</v>
      </c>
      <c r="J3854" t="s">
        <v>79</v>
      </c>
      <c r="K3854" t="s">
        <v>42</v>
      </c>
      <c r="L3854" t="s">
        <v>1028</v>
      </c>
      <c r="N3854" t="s">
        <v>1029</v>
      </c>
      <c r="Q3854">
        <v>28691</v>
      </c>
      <c r="R3854" t="s">
        <v>45</v>
      </c>
      <c r="S3854" t="s">
        <v>23414</v>
      </c>
      <c r="T3854">
        <v>27</v>
      </c>
      <c r="U3854" s="2" t="s">
        <v>23415</v>
      </c>
      <c r="W3854" t="s">
        <v>1967</v>
      </c>
      <c r="X3854">
        <v>805259</v>
      </c>
      <c r="Y3854" t="s">
        <v>23416</v>
      </c>
      <c r="Z3854" t="s">
        <v>2443</v>
      </c>
      <c r="AA3854" s="2" t="s">
        <v>23417</v>
      </c>
      <c r="AB3854" s="2" t="s">
        <v>23418</v>
      </c>
      <c r="AC3854" t="s">
        <v>23419</v>
      </c>
      <c r="AG3854" t="s">
        <v>23420</v>
      </c>
      <c r="AH3854" t="s">
        <v>23421</v>
      </c>
      <c r="AI3854" t="s">
        <v>23422</v>
      </c>
    </row>
    <row r="3855" spans="2:35" ht="135">
      <c r="B3855" s="1">
        <v>45470</v>
      </c>
      <c r="C3855" s="4">
        <v>45470.462500000001</v>
      </c>
      <c r="D3855" t="s">
        <v>23423</v>
      </c>
      <c r="E3855" t="s">
        <v>23424</v>
      </c>
      <c r="F3855" t="s">
        <v>37</v>
      </c>
      <c r="G3855" t="s">
        <v>189</v>
      </c>
      <c r="H3855" t="s">
        <v>39</v>
      </c>
      <c r="I3855" t="s">
        <v>40</v>
      </c>
      <c r="J3855" t="s">
        <v>79</v>
      </c>
      <c r="K3855" t="s">
        <v>42</v>
      </c>
      <c r="L3855" t="s">
        <v>1028</v>
      </c>
      <c r="N3855" t="s">
        <v>1029</v>
      </c>
      <c r="Q3855">
        <v>28690</v>
      </c>
      <c r="R3855" t="s">
        <v>45</v>
      </c>
      <c r="S3855" t="s">
        <v>23425</v>
      </c>
      <c r="T3855">
        <v>27</v>
      </c>
      <c r="U3855" s="2" t="s">
        <v>15755</v>
      </c>
      <c r="W3855" t="s">
        <v>1967</v>
      </c>
      <c r="X3855">
        <v>838131</v>
      </c>
      <c r="Y3855" t="s">
        <v>23426</v>
      </c>
      <c r="Z3855" t="s">
        <v>9749</v>
      </c>
      <c r="AA3855" s="2" t="s">
        <v>23427</v>
      </c>
      <c r="AB3855" t="s">
        <v>23428</v>
      </c>
      <c r="AC3855" t="s">
        <v>23429</v>
      </c>
      <c r="AG3855" t="s">
        <v>23430</v>
      </c>
      <c r="AH3855" t="s">
        <v>23431</v>
      </c>
      <c r="AI3855" t="s">
        <v>23432</v>
      </c>
    </row>
    <row r="3856" spans="2:35" ht="195">
      <c r="B3856" s="1">
        <v>45470</v>
      </c>
      <c r="C3856" s="4">
        <v>45469.660416666666</v>
      </c>
      <c r="D3856" t="s">
        <v>9003</v>
      </c>
      <c r="E3856" t="s">
        <v>23433</v>
      </c>
      <c r="F3856" t="s">
        <v>148</v>
      </c>
      <c r="G3856" t="s">
        <v>774</v>
      </c>
      <c r="H3856" t="s">
        <v>662</v>
      </c>
      <c r="I3856" t="s">
        <v>40</v>
      </c>
      <c r="J3856" t="s">
        <v>321</v>
      </c>
      <c r="K3856" t="s">
        <v>42</v>
      </c>
      <c r="L3856" t="s">
        <v>1028</v>
      </c>
      <c r="N3856" t="s">
        <v>1029</v>
      </c>
      <c r="O3856" t="s">
        <v>5148</v>
      </c>
      <c r="Q3856">
        <v>28689</v>
      </c>
      <c r="R3856" t="s">
        <v>119</v>
      </c>
      <c r="S3856" t="s">
        <v>5147</v>
      </c>
      <c r="T3856">
        <v>26</v>
      </c>
      <c r="V3856" s="1">
        <v>45463</v>
      </c>
      <c r="W3856" t="s">
        <v>1032</v>
      </c>
      <c r="X3856">
        <v>110023494</v>
      </c>
      <c r="Y3856" t="s">
        <v>3763</v>
      </c>
      <c r="Z3856" t="s">
        <v>3764</v>
      </c>
      <c r="AA3856" s="2" t="s">
        <v>23004</v>
      </c>
      <c r="AB3856" t="s">
        <v>23434</v>
      </c>
      <c r="AD3856" t="s">
        <v>3727</v>
      </c>
      <c r="AE3856" t="s">
        <v>23435</v>
      </c>
      <c r="AG3856" t="s">
        <v>23436</v>
      </c>
      <c r="AH3856" t="s">
        <v>23437</v>
      </c>
      <c r="AI3856" t="s">
        <v>23438</v>
      </c>
    </row>
    <row r="3857" spans="2:35" ht="285">
      <c r="B3857" s="1">
        <v>45470</v>
      </c>
      <c r="C3857" s="4">
        <v>45470.609027777777</v>
      </c>
      <c r="D3857" t="s">
        <v>23439</v>
      </c>
      <c r="E3857" t="s">
        <v>23440</v>
      </c>
      <c r="F3857" t="s">
        <v>37</v>
      </c>
      <c r="G3857" t="s">
        <v>189</v>
      </c>
      <c r="H3857" t="s">
        <v>39</v>
      </c>
      <c r="I3857" t="s">
        <v>40</v>
      </c>
      <c r="J3857" s="2" t="s">
        <v>1309</v>
      </c>
      <c r="K3857" t="s">
        <v>42</v>
      </c>
      <c r="L3857" t="s">
        <v>1028</v>
      </c>
      <c r="N3857" t="s">
        <v>1029</v>
      </c>
      <c r="Q3857">
        <v>28688</v>
      </c>
      <c r="R3857" t="s">
        <v>45</v>
      </c>
      <c r="S3857" t="s">
        <v>23441</v>
      </c>
      <c r="T3857">
        <v>25</v>
      </c>
      <c r="W3857" t="s">
        <v>1967</v>
      </c>
      <c r="X3857">
        <v>838451</v>
      </c>
      <c r="Y3857" s="2" t="s">
        <v>23442</v>
      </c>
      <c r="Z3857" s="2" t="s">
        <v>23443</v>
      </c>
      <c r="AA3857" s="2" t="s">
        <v>23444</v>
      </c>
      <c r="AB3857" t="s">
        <v>23445</v>
      </c>
      <c r="AC3857" t="s">
        <v>23446</v>
      </c>
      <c r="AG3857" t="s">
        <v>23447</v>
      </c>
      <c r="AH3857" t="s">
        <v>23448</v>
      </c>
      <c r="AI3857" t="s">
        <v>23449</v>
      </c>
    </row>
    <row r="3858" spans="2:35" ht="360">
      <c r="B3858" s="1">
        <v>45470</v>
      </c>
      <c r="C3858" s="4">
        <v>45470.625694444447</v>
      </c>
      <c r="D3858" t="s">
        <v>23450</v>
      </c>
      <c r="E3858" t="s">
        <v>23451</v>
      </c>
      <c r="F3858" t="s">
        <v>1255</v>
      </c>
      <c r="G3858" t="s">
        <v>1887</v>
      </c>
      <c r="H3858" t="s">
        <v>39</v>
      </c>
      <c r="I3858" t="s">
        <v>94</v>
      </c>
      <c r="J3858" s="2" t="s">
        <v>41</v>
      </c>
      <c r="K3858" t="s">
        <v>42</v>
      </c>
      <c r="L3858" t="s">
        <v>296</v>
      </c>
      <c r="N3858" t="s">
        <v>297</v>
      </c>
      <c r="Q3858">
        <v>28687</v>
      </c>
      <c r="R3858" t="s">
        <v>45</v>
      </c>
      <c r="S3858" t="s">
        <v>23452</v>
      </c>
      <c r="T3858">
        <v>21.3</v>
      </c>
      <c r="U3858" s="2" t="s">
        <v>23453</v>
      </c>
      <c r="V3858" s="1">
        <v>45470</v>
      </c>
      <c r="W3858" t="s">
        <v>22357</v>
      </c>
      <c r="X3858">
        <v>815277</v>
      </c>
      <c r="Y3858" t="s">
        <v>16344</v>
      </c>
      <c r="Z3858" s="2" t="s">
        <v>23454</v>
      </c>
      <c r="AA3858" s="2" t="s">
        <v>23044</v>
      </c>
      <c r="AB3858" t="s">
        <v>972</v>
      </c>
      <c r="AD3858" t="s">
        <v>22232</v>
      </c>
      <c r="AE3858" t="s">
        <v>23455</v>
      </c>
      <c r="AG3858" t="s">
        <v>23456</v>
      </c>
      <c r="AH3858" t="s">
        <v>23457</v>
      </c>
      <c r="AI3858" t="s">
        <v>23458</v>
      </c>
    </row>
    <row r="3859" spans="2:35" ht="180">
      <c r="B3859" s="1">
        <v>45470</v>
      </c>
      <c r="C3859" s="4">
        <v>45470.661805555559</v>
      </c>
      <c r="D3859" t="s">
        <v>23459</v>
      </c>
      <c r="E3859" t="s">
        <v>5090</v>
      </c>
      <c r="F3859">
        <v>3</v>
      </c>
      <c r="G3859" t="s">
        <v>1722</v>
      </c>
      <c r="H3859" t="s">
        <v>39</v>
      </c>
      <c r="I3859" t="s">
        <v>40</v>
      </c>
      <c r="J3859" s="2" t="s">
        <v>1808</v>
      </c>
      <c r="K3859" t="s">
        <v>42</v>
      </c>
      <c r="L3859" t="s">
        <v>63</v>
      </c>
      <c r="N3859" t="s">
        <v>64</v>
      </c>
      <c r="Q3859">
        <v>28686</v>
      </c>
      <c r="R3859" t="s">
        <v>967</v>
      </c>
      <c r="S3859" t="s">
        <v>15318</v>
      </c>
      <c r="T3859">
        <v>25</v>
      </c>
      <c r="V3859" s="1">
        <v>45463</v>
      </c>
      <c r="W3859" t="s">
        <v>373</v>
      </c>
      <c r="X3859">
        <v>110023508</v>
      </c>
      <c r="Y3859" t="s">
        <v>54</v>
      </c>
      <c r="Z3859" t="s">
        <v>1716</v>
      </c>
      <c r="AA3859" s="2" t="s">
        <v>23460</v>
      </c>
      <c r="AB3859" t="s">
        <v>70</v>
      </c>
      <c r="AE3859">
        <v>11633</v>
      </c>
      <c r="AG3859" t="s">
        <v>23461</v>
      </c>
      <c r="AH3859" t="s">
        <v>21706</v>
      </c>
      <c r="AI3859" t="s">
        <v>23462</v>
      </c>
    </row>
    <row r="3860" spans="2:35" ht="105">
      <c r="B3860" s="1">
        <v>45470</v>
      </c>
      <c r="C3860" s="4">
        <v>45470.604166666664</v>
      </c>
      <c r="D3860" t="s">
        <v>23463</v>
      </c>
      <c r="E3860" t="s">
        <v>23464</v>
      </c>
      <c r="F3860">
        <v>6</v>
      </c>
      <c r="G3860" t="s">
        <v>1234</v>
      </c>
      <c r="H3860" t="s">
        <v>258</v>
      </c>
      <c r="I3860" t="s">
        <v>94</v>
      </c>
      <c r="J3860" s="2" t="s">
        <v>41</v>
      </c>
      <c r="K3860" t="s">
        <v>42</v>
      </c>
      <c r="L3860" t="s">
        <v>270</v>
      </c>
      <c r="N3860" t="s">
        <v>2481</v>
      </c>
      <c r="Q3860">
        <v>28685</v>
      </c>
      <c r="R3860" t="s">
        <v>45</v>
      </c>
      <c r="S3860" t="s">
        <v>23465</v>
      </c>
      <c r="T3860">
        <v>23</v>
      </c>
      <c r="U3860" s="2" t="s">
        <v>23466</v>
      </c>
      <c r="W3860" t="s">
        <v>3662</v>
      </c>
      <c r="X3860">
        <v>838138</v>
      </c>
      <c r="Y3860" t="s">
        <v>23467</v>
      </c>
      <c r="Z3860" t="s">
        <v>23468</v>
      </c>
      <c r="AA3860" t="s">
        <v>23469</v>
      </c>
      <c r="AB3860" t="s">
        <v>4668</v>
      </c>
      <c r="AG3860" t="s">
        <v>23470</v>
      </c>
      <c r="AH3860" t="s">
        <v>23471</v>
      </c>
      <c r="AI3860" t="s">
        <v>23472</v>
      </c>
    </row>
    <row r="3861" spans="2:35" ht="409.5">
      <c r="B3861" s="1">
        <v>45470</v>
      </c>
      <c r="C3861" s="4">
        <v>45470.579861111109</v>
      </c>
      <c r="D3861" t="s">
        <v>23473</v>
      </c>
      <c r="E3861" t="s">
        <v>23474</v>
      </c>
      <c r="F3861">
        <v>11</v>
      </c>
      <c r="G3861" t="s">
        <v>2836</v>
      </c>
      <c r="H3861" t="s">
        <v>1047</v>
      </c>
      <c r="I3861" t="s">
        <v>94</v>
      </c>
      <c r="J3861" s="2" t="s">
        <v>1309</v>
      </c>
      <c r="K3861" t="s">
        <v>42</v>
      </c>
      <c r="L3861" t="s">
        <v>204</v>
      </c>
      <c r="N3861" t="s">
        <v>205</v>
      </c>
      <c r="Q3861">
        <v>28684</v>
      </c>
      <c r="R3861" t="s">
        <v>45</v>
      </c>
      <c r="S3861" t="s">
        <v>23475</v>
      </c>
      <c r="T3861">
        <v>24.5</v>
      </c>
      <c r="W3861" t="s">
        <v>23237</v>
      </c>
      <c r="X3861">
        <v>838859</v>
      </c>
      <c r="Y3861" s="2" t="s">
        <v>23476</v>
      </c>
      <c r="Z3861" s="2" t="s">
        <v>23477</v>
      </c>
      <c r="AA3861" s="2" t="s">
        <v>23478</v>
      </c>
      <c r="AB3861" s="2" t="s">
        <v>23479</v>
      </c>
      <c r="AG3861" t="s">
        <v>23480</v>
      </c>
      <c r="AH3861" t="s">
        <v>23481</v>
      </c>
      <c r="AI3861" t="s">
        <v>23482</v>
      </c>
    </row>
    <row r="3862" spans="2:35" ht="120">
      <c r="B3862" s="1">
        <v>45470</v>
      </c>
      <c r="C3862" s="4">
        <v>45470.572916666664</v>
      </c>
      <c r="D3862" t="s">
        <v>4995</v>
      </c>
      <c r="E3862" t="s">
        <v>5531</v>
      </c>
      <c r="F3862">
        <v>5</v>
      </c>
      <c r="G3862" t="s">
        <v>759</v>
      </c>
      <c r="H3862" t="s">
        <v>39</v>
      </c>
      <c r="I3862" t="s">
        <v>40</v>
      </c>
      <c r="J3862" t="s">
        <v>109</v>
      </c>
      <c r="K3862" t="s">
        <v>42</v>
      </c>
      <c r="L3862" t="s">
        <v>761</v>
      </c>
      <c r="N3862" t="s">
        <v>762</v>
      </c>
      <c r="Q3862">
        <v>28683</v>
      </c>
      <c r="R3862" t="s">
        <v>719</v>
      </c>
      <c r="S3862" t="s">
        <v>23483</v>
      </c>
      <c r="T3862">
        <v>26</v>
      </c>
      <c r="U3862" s="2" t="s">
        <v>5647</v>
      </c>
      <c r="W3862" t="s">
        <v>765</v>
      </c>
      <c r="X3862">
        <v>846354</v>
      </c>
      <c r="Y3862" t="s">
        <v>818</v>
      </c>
      <c r="Z3862" s="2" t="s">
        <v>23484</v>
      </c>
      <c r="AA3862" t="s">
        <v>820</v>
      </c>
      <c r="AB3862" t="s">
        <v>181</v>
      </c>
      <c r="AG3862" t="s">
        <v>23485</v>
      </c>
      <c r="AH3862" t="s">
        <v>23486</v>
      </c>
      <c r="AI3862" t="s">
        <v>23487</v>
      </c>
    </row>
    <row r="3863" spans="2:35" ht="375">
      <c r="B3863" s="1">
        <v>45470</v>
      </c>
      <c r="C3863" s="4">
        <v>45464.646527777775</v>
      </c>
      <c r="D3863" t="s">
        <v>23488</v>
      </c>
      <c r="E3863" t="s">
        <v>23489</v>
      </c>
      <c r="F3863">
        <v>5</v>
      </c>
      <c r="G3863" t="s">
        <v>8314</v>
      </c>
      <c r="H3863" t="s">
        <v>39</v>
      </c>
      <c r="I3863" t="s">
        <v>40</v>
      </c>
      <c r="J3863" s="2" t="s">
        <v>41</v>
      </c>
      <c r="K3863" t="s">
        <v>42</v>
      </c>
      <c r="L3863" t="s">
        <v>761</v>
      </c>
      <c r="N3863" t="s">
        <v>762</v>
      </c>
      <c r="Q3863">
        <v>28682</v>
      </c>
      <c r="R3863" t="s">
        <v>45</v>
      </c>
      <c r="S3863" t="s">
        <v>23490</v>
      </c>
      <c r="T3863">
        <v>21</v>
      </c>
      <c r="W3863" t="s">
        <v>817</v>
      </c>
      <c r="X3863">
        <v>110020684</v>
      </c>
      <c r="Y3863" t="s">
        <v>23491</v>
      </c>
      <c r="Z3863" s="2" t="s">
        <v>23492</v>
      </c>
      <c r="AA3863" t="s">
        <v>1935</v>
      </c>
      <c r="AB3863" t="s">
        <v>70</v>
      </c>
      <c r="AG3863" t="s">
        <v>23493</v>
      </c>
      <c r="AH3863" t="s">
        <v>23494</v>
      </c>
      <c r="AI3863" t="s">
        <v>23495</v>
      </c>
    </row>
    <row r="3864" spans="2:35" ht="210">
      <c r="B3864" s="1">
        <v>45470</v>
      </c>
      <c r="C3864" s="4">
        <v>45462.627083333333</v>
      </c>
      <c r="D3864" t="s">
        <v>23496</v>
      </c>
      <c r="E3864" t="s">
        <v>23497</v>
      </c>
      <c r="F3864">
        <v>5</v>
      </c>
      <c r="G3864" t="s">
        <v>839</v>
      </c>
      <c r="H3864" t="s">
        <v>39</v>
      </c>
      <c r="I3864" t="s">
        <v>40</v>
      </c>
      <c r="J3864" t="s">
        <v>79</v>
      </c>
      <c r="K3864" t="s">
        <v>42</v>
      </c>
      <c r="L3864" t="s">
        <v>761</v>
      </c>
      <c r="N3864" t="s">
        <v>762</v>
      </c>
      <c r="Q3864">
        <v>28681</v>
      </c>
      <c r="R3864" t="s">
        <v>45</v>
      </c>
      <c r="S3864" t="s">
        <v>23498</v>
      </c>
      <c r="T3864">
        <v>25</v>
      </c>
      <c r="U3864" s="2" t="s">
        <v>9086</v>
      </c>
      <c r="W3864" t="s">
        <v>765</v>
      </c>
      <c r="X3864">
        <v>805260</v>
      </c>
      <c r="Y3864" t="s">
        <v>9897</v>
      </c>
      <c r="Z3864" s="2" t="s">
        <v>23499</v>
      </c>
      <c r="AA3864" t="s">
        <v>9431</v>
      </c>
      <c r="AB3864" t="s">
        <v>70</v>
      </c>
      <c r="AG3864" t="s">
        <v>23500</v>
      </c>
      <c r="AH3864" t="s">
        <v>23501</v>
      </c>
      <c r="AI3864" t="s">
        <v>23502</v>
      </c>
    </row>
    <row r="3865" spans="2:35" ht="165">
      <c r="B3865" s="1">
        <v>45470</v>
      </c>
      <c r="C3865" s="4">
        <v>45470.435416666667</v>
      </c>
      <c r="D3865" t="s">
        <v>1117</v>
      </c>
      <c r="E3865" t="s">
        <v>23503</v>
      </c>
      <c r="F3865">
        <v>7</v>
      </c>
      <c r="G3865" t="s">
        <v>6529</v>
      </c>
      <c r="H3865" t="s">
        <v>39</v>
      </c>
      <c r="I3865" t="s">
        <v>40</v>
      </c>
      <c r="J3865" s="2" t="s">
        <v>1370</v>
      </c>
      <c r="K3865" t="s">
        <v>42</v>
      </c>
      <c r="L3865" t="s">
        <v>433</v>
      </c>
      <c r="N3865" t="s">
        <v>434</v>
      </c>
      <c r="Q3865">
        <v>28680</v>
      </c>
      <c r="R3865" t="s">
        <v>45</v>
      </c>
      <c r="S3865" t="s">
        <v>23504</v>
      </c>
      <c r="T3865">
        <v>24</v>
      </c>
      <c r="W3865" t="s">
        <v>1008</v>
      </c>
      <c r="X3865">
        <v>807603</v>
      </c>
      <c r="Y3865" t="s">
        <v>23505</v>
      </c>
      <c r="Z3865" s="2" t="s">
        <v>23506</v>
      </c>
      <c r="AA3865" s="2" t="s">
        <v>23506</v>
      </c>
      <c r="AB3865" t="s">
        <v>1011</v>
      </c>
      <c r="AG3865" t="s">
        <v>23507</v>
      </c>
      <c r="AH3865" t="s">
        <v>23508</v>
      </c>
      <c r="AI3865" t="s">
        <v>23509</v>
      </c>
    </row>
    <row r="3866" spans="2:35" ht="165">
      <c r="B3866" s="1">
        <v>45470</v>
      </c>
      <c r="C3866" s="4">
        <v>45470.435416666667</v>
      </c>
      <c r="D3866" t="s">
        <v>1117</v>
      </c>
      <c r="E3866" t="s">
        <v>23503</v>
      </c>
      <c r="F3866">
        <v>7</v>
      </c>
      <c r="G3866" t="s">
        <v>6529</v>
      </c>
      <c r="H3866" t="s">
        <v>39</v>
      </c>
      <c r="I3866" t="s">
        <v>40</v>
      </c>
      <c r="J3866" s="2" t="s">
        <v>1370</v>
      </c>
      <c r="K3866" t="s">
        <v>42</v>
      </c>
      <c r="L3866" t="s">
        <v>433</v>
      </c>
      <c r="N3866" t="s">
        <v>434</v>
      </c>
      <c r="Q3866">
        <v>28679</v>
      </c>
      <c r="R3866" t="s">
        <v>45</v>
      </c>
      <c r="S3866" t="s">
        <v>23504</v>
      </c>
      <c r="T3866">
        <v>24</v>
      </c>
      <c r="W3866" t="s">
        <v>1008</v>
      </c>
      <c r="X3866">
        <v>807603</v>
      </c>
      <c r="Y3866" t="s">
        <v>23505</v>
      </c>
      <c r="Z3866" s="2" t="s">
        <v>23506</v>
      </c>
      <c r="AA3866" s="2" t="s">
        <v>23506</v>
      </c>
      <c r="AB3866" t="s">
        <v>1011</v>
      </c>
      <c r="AG3866" t="s">
        <v>23510</v>
      </c>
      <c r="AH3866" t="s">
        <v>23508</v>
      </c>
      <c r="AI3866" t="s">
        <v>23511</v>
      </c>
    </row>
    <row r="3867" spans="2:35" ht="165">
      <c r="B3867" s="1">
        <v>45470</v>
      </c>
      <c r="C3867" s="4">
        <v>45470.435416666667</v>
      </c>
      <c r="D3867" t="s">
        <v>1117</v>
      </c>
      <c r="E3867" t="s">
        <v>23503</v>
      </c>
      <c r="F3867">
        <v>7</v>
      </c>
      <c r="G3867" t="s">
        <v>6529</v>
      </c>
      <c r="H3867" t="s">
        <v>39</v>
      </c>
      <c r="I3867" t="s">
        <v>40</v>
      </c>
      <c r="J3867" s="2" t="s">
        <v>1370</v>
      </c>
      <c r="K3867" t="s">
        <v>42</v>
      </c>
      <c r="L3867" t="s">
        <v>433</v>
      </c>
      <c r="N3867" t="s">
        <v>434</v>
      </c>
      <c r="Q3867">
        <v>28678</v>
      </c>
      <c r="R3867" t="s">
        <v>45</v>
      </c>
      <c r="S3867" t="s">
        <v>23504</v>
      </c>
      <c r="T3867">
        <v>24</v>
      </c>
      <c r="W3867" t="s">
        <v>1008</v>
      </c>
      <c r="X3867">
        <v>807603</v>
      </c>
      <c r="Y3867" t="s">
        <v>23505</v>
      </c>
      <c r="Z3867" s="2" t="s">
        <v>23506</v>
      </c>
      <c r="AA3867" s="2" t="s">
        <v>23506</v>
      </c>
      <c r="AB3867" t="s">
        <v>1011</v>
      </c>
      <c r="AG3867" t="s">
        <v>23512</v>
      </c>
      <c r="AH3867" t="s">
        <v>23508</v>
      </c>
      <c r="AI3867" t="s">
        <v>23513</v>
      </c>
    </row>
    <row r="3868" spans="2:35" ht="165">
      <c r="B3868" s="1">
        <v>45470</v>
      </c>
      <c r="C3868" s="4">
        <v>45470.435416666667</v>
      </c>
      <c r="D3868" t="s">
        <v>1117</v>
      </c>
      <c r="E3868" t="s">
        <v>23503</v>
      </c>
      <c r="F3868">
        <v>7</v>
      </c>
      <c r="G3868" t="s">
        <v>6529</v>
      </c>
      <c r="H3868" t="s">
        <v>39</v>
      </c>
      <c r="I3868" t="s">
        <v>40</v>
      </c>
      <c r="J3868" s="2" t="s">
        <v>1370</v>
      </c>
      <c r="K3868" t="s">
        <v>42</v>
      </c>
      <c r="L3868" t="s">
        <v>433</v>
      </c>
      <c r="N3868" t="s">
        <v>434</v>
      </c>
      <c r="Q3868">
        <v>28677</v>
      </c>
      <c r="R3868" t="s">
        <v>45</v>
      </c>
      <c r="S3868" t="s">
        <v>23504</v>
      </c>
      <c r="T3868">
        <v>24</v>
      </c>
      <c r="W3868" t="s">
        <v>1008</v>
      </c>
      <c r="X3868">
        <v>807603</v>
      </c>
      <c r="Y3868" t="s">
        <v>23505</v>
      </c>
      <c r="Z3868" s="2" t="s">
        <v>23506</v>
      </c>
      <c r="AA3868" s="2" t="s">
        <v>23506</v>
      </c>
      <c r="AB3868" t="s">
        <v>1011</v>
      </c>
      <c r="AG3868" t="s">
        <v>23514</v>
      </c>
      <c r="AH3868" t="s">
        <v>23508</v>
      </c>
      <c r="AI3868" t="s">
        <v>23515</v>
      </c>
    </row>
    <row r="3869" spans="2:35" ht="409.5">
      <c r="B3869" s="1">
        <v>45470</v>
      </c>
      <c r="C3869" s="4">
        <v>45470.405555555553</v>
      </c>
      <c r="D3869" t="s">
        <v>23516</v>
      </c>
      <c r="E3869" t="s">
        <v>12199</v>
      </c>
      <c r="F3869" t="s">
        <v>148</v>
      </c>
      <c r="G3869" t="s">
        <v>310</v>
      </c>
      <c r="H3869" t="s">
        <v>23517</v>
      </c>
      <c r="I3869" t="s">
        <v>40</v>
      </c>
      <c r="J3869" t="s">
        <v>109</v>
      </c>
      <c r="K3869" t="s">
        <v>42</v>
      </c>
      <c r="L3869" t="s">
        <v>1943</v>
      </c>
      <c r="N3869" t="s">
        <v>1944</v>
      </c>
      <c r="Q3869">
        <v>28676</v>
      </c>
      <c r="R3869" t="s">
        <v>45</v>
      </c>
      <c r="S3869" t="s">
        <v>23518</v>
      </c>
      <c r="T3869">
        <v>25</v>
      </c>
      <c r="W3869" t="s">
        <v>84</v>
      </c>
      <c r="X3869">
        <v>838145</v>
      </c>
      <c r="Y3869" t="s">
        <v>2099</v>
      </c>
      <c r="Z3869" t="s">
        <v>2100</v>
      </c>
      <c r="AA3869" s="2" t="s">
        <v>2101</v>
      </c>
      <c r="AB3869" t="s">
        <v>88</v>
      </c>
      <c r="AG3869" t="s">
        <v>23519</v>
      </c>
      <c r="AH3869" t="s">
        <v>23520</v>
      </c>
      <c r="AI3869" t="s">
        <v>23521</v>
      </c>
    </row>
    <row r="3870" spans="2:35" ht="409.5">
      <c r="B3870" s="1">
        <v>45470</v>
      </c>
      <c r="C3870" s="4">
        <v>45470.40902777778</v>
      </c>
      <c r="D3870" t="s">
        <v>23516</v>
      </c>
      <c r="E3870" t="s">
        <v>23193</v>
      </c>
      <c r="F3870" t="s">
        <v>148</v>
      </c>
      <c r="G3870" t="s">
        <v>310</v>
      </c>
      <c r="H3870" t="s">
        <v>23517</v>
      </c>
      <c r="I3870" t="s">
        <v>40</v>
      </c>
      <c r="J3870" t="s">
        <v>109</v>
      </c>
      <c r="K3870" t="s">
        <v>42</v>
      </c>
      <c r="L3870" t="s">
        <v>1943</v>
      </c>
      <c r="N3870" t="s">
        <v>1944</v>
      </c>
      <c r="Q3870">
        <v>28675</v>
      </c>
      <c r="R3870" t="s">
        <v>45</v>
      </c>
      <c r="S3870" t="s">
        <v>23518</v>
      </c>
      <c r="T3870">
        <v>25</v>
      </c>
      <c r="W3870" t="s">
        <v>84</v>
      </c>
      <c r="X3870">
        <v>802511</v>
      </c>
      <c r="Y3870" t="s">
        <v>2099</v>
      </c>
      <c r="Z3870" t="s">
        <v>2100</v>
      </c>
      <c r="AA3870" s="2" t="s">
        <v>2101</v>
      </c>
      <c r="AB3870" t="s">
        <v>88</v>
      </c>
      <c r="AG3870" t="s">
        <v>23522</v>
      </c>
      <c r="AH3870" t="s">
        <v>23520</v>
      </c>
      <c r="AI3870" t="s">
        <v>23523</v>
      </c>
    </row>
    <row r="3871" spans="2:35">
      <c r="B3871" s="1">
        <v>45470</v>
      </c>
      <c r="C3871" s="4">
        <v>45470.400694444441</v>
      </c>
      <c r="D3871" t="s">
        <v>23524</v>
      </c>
      <c r="E3871" t="s">
        <v>23525</v>
      </c>
      <c r="F3871">
        <v>10</v>
      </c>
      <c r="G3871" t="s">
        <v>8359</v>
      </c>
      <c r="H3871" t="s">
        <v>2125</v>
      </c>
      <c r="I3871" t="s">
        <v>40</v>
      </c>
      <c r="J3871" t="s">
        <v>79</v>
      </c>
      <c r="K3871" t="s">
        <v>42</v>
      </c>
      <c r="L3871" t="s">
        <v>933</v>
      </c>
      <c r="N3871" t="s">
        <v>934</v>
      </c>
      <c r="Q3871">
        <v>28674</v>
      </c>
      <c r="R3871" t="s">
        <v>45</v>
      </c>
      <c r="S3871" t="s">
        <v>23526</v>
      </c>
      <c r="T3871">
        <v>30</v>
      </c>
      <c r="W3871" t="s">
        <v>2127</v>
      </c>
      <c r="X3871">
        <v>807625</v>
      </c>
      <c r="Y3871" t="s">
        <v>23527</v>
      </c>
      <c r="Z3871" t="s">
        <v>301</v>
      </c>
      <c r="AA3871" t="s">
        <v>23528</v>
      </c>
      <c r="AB3871" t="s">
        <v>938</v>
      </c>
      <c r="AG3871" t="s">
        <v>23529</v>
      </c>
      <c r="AH3871" t="s">
        <v>23530</v>
      </c>
      <c r="AI3871" t="s">
        <v>23531</v>
      </c>
    </row>
    <row r="3872" spans="2:35" ht="285">
      <c r="B3872" s="1">
        <v>45470</v>
      </c>
      <c r="C3872" s="4">
        <v>45469.59375</v>
      </c>
      <c r="D3872" t="s">
        <v>23532</v>
      </c>
      <c r="E3872" t="s">
        <v>23533</v>
      </c>
      <c r="F3872" t="s">
        <v>37</v>
      </c>
      <c r="G3872" t="s">
        <v>2499</v>
      </c>
      <c r="H3872" t="s">
        <v>39</v>
      </c>
      <c r="I3872" t="s">
        <v>40</v>
      </c>
      <c r="J3872" t="s">
        <v>79</v>
      </c>
      <c r="K3872" t="s">
        <v>42</v>
      </c>
      <c r="L3872" t="s">
        <v>43</v>
      </c>
      <c r="N3872" t="s">
        <v>44</v>
      </c>
      <c r="Q3872">
        <v>28673</v>
      </c>
      <c r="R3872" t="s">
        <v>322</v>
      </c>
      <c r="S3872" t="s">
        <v>3222</v>
      </c>
      <c r="T3872">
        <v>20</v>
      </c>
      <c r="U3872" s="2" t="s">
        <v>23534</v>
      </c>
      <c r="W3872" t="s">
        <v>153</v>
      </c>
      <c r="X3872">
        <v>110015487</v>
      </c>
      <c r="Y3872" t="s">
        <v>23535</v>
      </c>
      <c r="Z3872" t="s">
        <v>8743</v>
      </c>
      <c r="AA3872" s="2" t="s">
        <v>23536</v>
      </c>
      <c r="AB3872" t="s">
        <v>548</v>
      </c>
      <c r="AG3872" t="s">
        <v>23537</v>
      </c>
      <c r="AH3872" t="s">
        <v>23538</v>
      </c>
      <c r="AI3872" t="s">
        <v>23539</v>
      </c>
    </row>
    <row r="3873" spans="2:35" ht="225">
      <c r="B3873" s="1">
        <v>45470</v>
      </c>
      <c r="C3873" s="4">
        <v>45469.631944444445</v>
      </c>
      <c r="D3873" t="s">
        <v>3220</v>
      </c>
      <c r="E3873" t="s">
        <v>3221</v>
      </c>
      <c r="F3873" t="s">
        <v>37</v>
      </c>
      <c r="G3873" t="s">
        <v>2499</v>
      </c>
      <c r="H3873" t="s">
        <v>39</v>
      </c>
      <c r="I3873" t="s">
        <v>40</v>
      </c>
      <c r="J3873" t="s">
        <v>109</v>
      </c>
      <c r="K3873" t="s">
        <v>42</v>
      </c>
      <c r="L3873" t="s">
        <v>43</v>
      </c>
      <c r="N3873" t="s">
        <v>44</v>
      </c>
      <c r="Q3873">
        <v>28672</v>
      </c>
      <c r="R3873" t="s">
        <v>45</v>
      </c>
      <c r="S3873" t="s">
        <v>3222</v>
      </c>
      <c r="T3873">
        <v>26</v>
      </c>
      <c r="U3873" s="2" t="s">
        <v>7150</v>
      </c>
      <c r="W3873" t="s">
        <v>48</v>
      </c>
      <c r="X3873">
        <v>814375</v>
      </c>
      <c r="Y3873" t="s">
        <v>121</v>
      </c>
      <c r="Z3873" t="s">
        <v>122</v>
      </c>
      <c r="AA3873" s="2" t="s">
        <v>123</v>
      </c>
      <c r="AB3873" t="s">
        <v>23540</v>
      </c>
      <c r="AG3873" t="s">
        <v>23541</v>
      </c>
      <c r="AH3873" t="s">
        <v>23542</v>
      </c>
      <c r="AI3873" t="s">
        <v>23543</v>
      </c>
    </row>
    <row r="3874" spans="2:35" ht="390">
      <c r="B3874" s="1">
        <v>45470</v>
      </c>
      <c r="C3874" s="4">
        <v>45468.520138888889</v>
      </c>
      <c r="D3874" t="s">
        <v>4765</v>
      </c>
      <c r="E3874" t="s">
        <v>18988</v>
      </c>
      <c r="F3874" t="s">
        <v>148</v>
      </c>
      <c r="G3874" t="s">
        <v>785</v>
      </c>
      <c r="H3874" t="s">
        <v>39</v>
      </c>
      <c r="I3874" t="s">
        <v>40</v>
      </c>
      <c r="J3874" s="2" t="s">
        <v>22419</v>
      </c>
      <c r="K3874" t="s">
        <v>42</v>
      </c>
      <c r="L3874" t="s">
        <v>43</v>
      </c>
      <c r="N3874" t="s">
        <v>44</v>
      </c>
      <c r="Q3874">
        <v>28671</v>
      </c>
      <c r="R3874" t="s">
        <v>322</v>
      </c>
      <c r="S3874" t="s">
        <v>4704</v>
      </c>
      <c r="T3874">
        <v>22</v>
      </c>
      <c r="U3874" s="2" t="s">
        <v>2367</v>
      </c>
      <c r="W3874" t="s">
        <v>153</v>
      </c>
      <c r="X3874">
        <v>110024245</v>
      </c>
      <c r="Y3874" t="s">
        <v>1425</v>
      </c>
      <c r="Z3874" t="s">
        <v>2931</v>
      </c>
      <c r="AA3874" s="2" t="s">
        <v>23544</v>
      </c>
      <c r="AB3874" t="s">
        <v>548</v>
      </c>
      <c r="AC3874" t="s">
        <v>23545</v>
      </c>
      <c r="AG3874" t="s">
        <v>23546</v>
      </c>
      <c r="AH3874" t="s">
        <v>6075</v>
      </c>
      <c r="AI3874" t="s">
        <v>23547</v>
      </c>
    </row>
    <row r="3875" spans="2:35" ht="390">
      <c r="B3875" s="1">
        <v>45470</v>
      </c>
      <c r="C3875" s="4">
        <v>45468.520138888889</v>
      </c>
      <c r="D3875" t="s">
        <v>4765</v>
      </c>
      <c r="E3875" t="s">
        <v>18988</v>
      </c>
      <c r="F3875" t="s">
        <v>148</v>
      </c>
      <c r="G3875" t="s">
        <v>785</v>
      </c>
      <c r="H3875" t="s">
        <v>39</v>
      </c>
      <c r="I3875" t="s">
        <v>40</v>
      </c>
      <c r="J3875" s="2" t="s">
        <v>22419</v>
      </c>
      <c r="K3875" t="s">
        <v>42</v>
      </c>
      <c r="L3875" t="s">
        <v>43</v>
      </c>
      <c r="N3875" t="s">
        <v>44</v>
      </c>
      <c r="Q3875">
        <v>28670</v>
      </c>
      <c r="R3875" t="s">
        <v>322</v>
      </c>
      <c r="S3875" t="s">
        <v>4704</v>
      </c>
      <c r="T3875">
        <v>22</v>
      </c>
      <c r="U3875" s="2" t="s">
        <v>2367</v>
      </c>
      <c r="W3875" t="s">
        <v>153</v>
      </c>
      <c r="X3875">
        <v>110024245</v>
      </c>
      <c r="Y3875" t="s">
        <v>1425</v>
      </c>
      <c r="Z3875" t="s">
        <v>2931</v>
      </c>
      <c r="AA3875" s="2" t="s">
        <v>23544</v>
      </c>
      <c r="AB3875" t="s">
        <v>548</v>
      </c>
      <c r="AC3875" t="s">
        <v>23545</v>
      </c>
      <c r="AG3875" t="s">
        <v>23548</v>
      </c>
      <c r="AH3875" t="s">
        <v>6075</v>
      </c>
      <c r="AI3875" t="s">
        <v>23549</v>
      </c>
    </row>
    <row r="3876" spans="2:35" ht="285">
      <c r="B3876" s="1">
        <v>45470</v>
      </c>
      <c r="C3876" s="4">
        <v>45469.59375</v>
      </c>
      <c r="D3876" t="s">
        <v>23532</v>
      </c>
      <c r="E3876" t="s">
        <v>23533</v>
      </c>
      <c r="F3876" t="s">
        <v>37</v>
      </c>
      <c r="G3876" t="s">
        <v>2499</v>
      </c>
      <c r="H3876" t="s">
        <v>39</v>
      </c>
      <c r="I3876" t="s">
        <v>40</v>
      </c>
      <c r="J3876" t="s">
        <v>79</v>
      </c>
      <c r="K3876" t="s">
        <v>42</v>
      </c>
      <c r="L3876" t="s">
        <v>43</v>
      </c>
      <c r="N3876" t="s">
        <v>44</v>
      </c>
      <c r="Q3876">
        <v>28669</v>
      </c>
      <c r="R3876" t="s">
        <v>322</v>
      </c>
      <c r="S3876" t="s">
        <v>3222</v>
      </c>
      <c r="T3876">
        <v>20</v>
      </c>
      <c r="U3876" s="2" t="s">
        <v>23534</v>
      </c>
      <c r="W3876" t="s">
        <v>153</v>
      </c>
      <c r="X3876">
        <v>110015487</v>
      </c>
      <c r="Y3876" t="s">
        <v>23535</v>
      </c>
      <c r="Z3876" t="s">
        <v>8743</v>
      </c>
      <c r="AA3876" s="2" t="s">
        <v>23536</v>
      </c>
      <c r="AB3876" t="s">
        <v>548</v>
      </c>
      <c r="AG3876" t="s">
        <v>23550</v>
      </c>
      <c r="AH3876" t="s">
        <v>23538</v>
      </c>
      <c r="AI3876" t="s">
        <v>23551</v>
      </c>
    </row>
    <row r="3877" spans="2:35" ht="225">
      <c r="B3877" s="1">
        <v>45470</v>
      </c>
      <c r="C3877" s="4">
        <v>45469.631944444445</v>
      </c>
      <c r="D3877" t="s">
        <v>3220</v>
      </c>
      <c r="E3877" t="s">
        <v>3221</v>
      </c>
      <c r="F3877" t="s">
        <v>37</v>
      </c>
      <c r="G3877" t="s">
        <v>2499</v>
      </c>
      <c r="H3877" t="s">
        <v>39</v>
      </c>
      <c r="I3877" t="s">
        <v>40</v>
      </c>
      <c r="J3877" t="s">
        <v>109</v>
      </c>
      <c r="K3877" t="s">
        <v>42</v>
      </c>
      <c r="L3877" t="s">
        <v>43</v>
      </c>
      <c r="N3877" t="s">
        <v>44</v>
      </c>
      <c r="Q3877">
        <v>28668</v>
      </c>
      <c r="R3877" t="s">
        <v>45</v>
      </c>
      <c r="S3877" t="s">
        <v>3222</v>
      </c>
      <c r="T3877">
        <v>26</v>
      </c>
      <c r="U3877" s="2" t="s">
        <v>7150</v>
      </c>
      <c r="W3877" t="s">
        <v>48</v>
      </c>
      <c r="X3877">
        <v>814375</v>
      </c>
      <c r="Y3877" t="s">
        <v>121</v>
      </c>
      <c r="Z3877" t="s">
        <v>122</v>
      </c>
      <c r="AA3877" s="2" t="s">
        <v>123</v>
      </c>
      <c r="AB3877" t="s">
        <v>23540</v>
      </c>
      <c r="AG3877" t="s">
        <v>23552</v>
      </c>
      <c r="AH3877" t="s">
        <v>23542</v>
      </c>
      <c r="AI3877" t="s">
        <v>23553</v>
      </c>
    </row>
    <row r="3878" spans="2:35" ht="180">
      <c r="B3878" s="1">
        <v>45470</v>
      </c>
      <c r="C3878" s="4">
        <v>45469.620138888888</v>
      </c>
      <c r="D3878" t="s">
        <v>1135</v>
      </c>
      <c r="E3878" t="s">
        <v>23554</v>
      </c>
      <c r="F3878" t="s">
        <v>37</v>
      </c>
      <c r="G3878" t="s">
        <v>38</v>
      </c>
      <c r="H3878" t="s">
        <v>39</v>
      </c>
      <c r="I3878" t="s">
        <v>40</v>
      </c>
      <c r="J3878" t="s">
        <v>109</v>
      </c>
      <c r="K3878" t="s">
        <v>42</v>
      </c>
      <c r="L3878" t="s">
        <v>448</v>
      </c>
      <c r="N3878" t="s">
        <v>650</v>
      </c>
      <c r="Q3878">
        <v>28667</v>
      </c>
      <c r="R3878" t="s">
        <v>45</v>
      </c>
      <c r="S3878" t="s">
        <v>23555</v>
      </c>
      <c r="T3878">
        <v>30</v>
      </c>
      <c r="U3878" s="2" t="s">
        <v>19530</v>
      </c>
      <c r="W3878" t="s">
        <v>6121</v>
      </c>
      <c r="X3878">
        <v>838161</v>
      </c>
      <c r="Y3878" t="s">
        <v>485</v>
      </c>
      <c r="Z3878" s="2" t="s">
        <v>2011</v>
      </c>
      <c r="AA3878" t="s">
        <v>122</v>
      </c>
      <c r="AB3878" t="s">
        <v>486</v>
      </c>
      <c r="AG3878" t="s">
        <v>23556</v>
      </c>
      <c r="AH3878" t="s">
        <v>23557</v>
      </c>
      <c r="AI3878" t="s">
        <v>23558</v>
      </c>
    </row>
    <row r="3879" spans="2:35" ht="255">
      <c r="B3879" s="1">
        <v>45470</v>
      </c>
      <c r="C3879" s="4">
        <v>45469.606944444444</v>
      </c>
      <c r="D3879" t="s">
        <v>1135</v>
      </c>
      <c r="E3879" t="s">
        <v>23559</v>
      </c>
      <c r="F3879" t="s">
        <v>37</v>
      </c>
      <c r="G3879" t="s">
        <v>38</v>
      </c>
      <c r="H3879" t="s">
        <v>39</v>
      </c>
      <c r="I3879" t="s">
        <v>40</v>
      </c>
      <c r="J3879" s="2" t="s">
        <v>41</v>
      </c>
      <c r="K3879" t="s">
        <v>42</v>
      </c>
      <c r="L3879" t="s">
        <v>448</v>
      </c>
      <c r="N3879" t="s">
        <v>650</v>
      </c>
      <c r="Q3879">
        <v>28666</v>
      </c>
      <c r="R3879" t="s">
        <v>45</v>
      </c>
      <c r="S3879" t="s">
        <v>23555</v>
      </c>
      <c r="T3879">
        <v>27</v>
      </c>
      <c r="U3879" s="2" t="s">
        <v>1379</v>
      </c>
      <c r="V3879" s="1">
        <v>45464</v>
      </c>
      <c r="W3879" t="s">
        <v>6121</v>
      </c>
      <c r="X3879">
        <v>808616</v>
      </c>
      <c r="Y3879" s="2" t="s">
        <v>23560</v>
      </c>
      <c r="Z3879" s="2" t="s">
        <v>2585</v>
      </c>
      <c r="AA3879" t="s">
        <v>20643</v>
      </c>
      <c r="AB3879" t="s">
        <v>486</v>
      </c>
      <c r="AD3879" t="s">
        <v>13296</v>
      </c>
      <c r="AE3879">
        <v>48859</v>
      </c>
      <c r="AG3879" t="s">
        <v>23561</v>
      </c>
      <c r="AH3879" t="s">
        <v>23557</v>
      </c>
      <c r="AI3879" t="s">
        <v>23562</v>
      </c>
    </row>
    <row r="3880" spans="2:35" ht="409.5">
      <c r="B3880" s="1">
        <v>45470</v>
      </c>
      <c r="C3880" s="4">
        <v>45470.32916666667</v>
      </c>
      <c r="D3880" t="s">
        <v>6037</v>
      </c>
      <c r="E3880" t="s">
        <v>7875</v>
      </c>
      <c r="F3880">
        <v>7</v>
      </c>
      <c r="G3880" t="s">
        <v>432</v>
      </c>
      <c r="H3880" t="s">
        <v>386</v>
      </c>
      <c r="I3880" t="s">
        <v>94</v>
      </c>
      <c r="J3880" t="s">
        <v>79</v>
      </c>
      <c r="K3880" t="s">
        <v>387</v>
      </c>
      <c r="L3880" t="s">
        <v>610</v>
      </c>
      <c r="N3880" t="s">
        <v>611</v>
      </c>
      <c r="Q3880">
        <v>28665</v>
      </c>
      <c r="R3880" t="s">
        <v>95</v>
      </c>
      <c r="S3880" t="s">
        <v>6039</v>
      </c>
      <c r="T3880">
        <v>24</v>
      </c>
      <c r="W3880" t="s">
        <v>390</v>
      </c>
      <c r="X3880" t="s">
        <v>6040</v>
      </c>
      <c r="Y3880" s="2" t="s">
        <v>23215</v>
      </c>
      <c r="Z3880" s="2" t="s">
        <v>23563</v>
      </c>
      <c r="AA3880" t="s">
        <v>23564</v>
      </c>
      <c r="AB3880" s="2" t="s">
        <v>23565</v>
      </c>
      <c r="AG3880" t="s">
        <v>23566</v>
      </c>
      <c r="AH3880" t="s">
        <v>10028</v>
      </c>
      <c r="AI3880" t="s">
        <v>23567</v>
      </c>
    </row>
    <row r="3881" spans="2:35" ht="195">
      <c r="B3881" s="1">
        <v>45470</v>
      </c>
      <c r="C3881" s="4">
        <v>45469.455555555556</v>
      </c>
      <c r="D3881" t="s">
        <v>7200</v>
      </c>
      <c r="E3881" t="s">
        <v>7201</v>
      </c>
      <c r="F3881">
        <v>12</v>
      </c>
      <c r="G3881" t="s">
        <v>978</v>
      </c>
      <c r="H3881" t="s">
        <v>1473</v>
      </c>
      <c r="I3881" t="s">
        <v>40</v>
      </c>
      <c r="J3881" t="s">
        <v>109</v>
      </c>
      <c r="K3881" t="s">
        <v>42</v>
      </c>
      <c r="L3881" t="s">
        <v>296</v>
      </c>
      <c r="N3881" t="s">
        <v>297</v>
      </c>
      <c r="Q3881">
        <v>28664</v>
      </c>
      <c r="R3881" t="s">
        <v>119</v>
      </c>
      <c r="S3881" t="s">
        <v>7202</v>
      </c>
      <c r="T3881">
        <v>25.2</v>
      </c>
      <c r="U3881" s="2" t="s">
        <v>16325</v>
      </c>
      <c r="W3881" t="s">
        <v>22357</v>
      </c>
      <c r="X3881">
        <v>838504</v>
      </c>
      <c r="Y3881" t="s">
        <v>54</v>
      </c>
      <c r="Z3881" s="2" t="s">
        <v>23568</v>
      </c>
      <c r="AA3881" t="s">
        <v>9161</v>
      </c>
      <c r="AB3881" t="s">
        <v>972</v>
      </c>
      <c r="AG3881" t="s">
        <v>23569</v>
      </c>
      <c r="AH3881" t="s">
        <v>23570</v>
      </c>
      <c r="AI3881" t="s">
        <v>23571</v>
      </c>
    </row>
    <row r="3882" spans="2:35" ht="195">
      <c r="B3882" s="1">
        <v>45470</v>
      </c>
      <c r="C3882" s="4">
        <v>45469.455555555556</v>
      </c>
      <c r="D3882" t="s">
        <v>7200</v>
      </c>
      <c r="E3882" t="s">
        <v>7201</v>
      </c>
      <c r="F3882">
        <v>12</v>
      </c>
      <c r="G3882" t="s">
        <v>978</v>
      </c>
      <c r="H3882" t="s">
        <v>1473</v>
      </c>
      <c r="I3882" t="s">
        <v>40</v>
      </c>
      <c r="J3882" t="s">
        <v>109</v>
      </c>
      <c r="K3882" t="s">
        <v>42</v>
      </c>
      <c r="L3882" t="s">
        <v>296</v>
      </c>
      <c r="N3882" t="s">
        <v>297</v>
      </c>
      <c r="Q3882">
        <v>28663</v>
      </c>
      <c r="R3882" t="s">
        <v>119</v>
      </c>
      <c r="S3882" t="s">
        <v>7202</v>
      </c>
      <c r="T3882">
        <v>25.2</v>
      </c>
      <c r="U3882" s="2" t="s">
        <v>16325</v>
      </c>
      <c r="W3882" t="s">
        <v>22357</v>
      </c>
      <c r="X3882">
        <v>838504</v>
      </c>
      <c r="Y3882" t="s">
        <v>54</v>
      </c>
      <c r="Z3882" s="2" t="s">
        <v>23568</v>
      </c>
      <c r="AA3882" t="s">
        <v>9161</v>
      </c>
      <c r="AB3882" t="s">
        <v>972</v>
      </c>
      <c r="AG3882" t="s">
        <v>23572</v>
      </c>
      <c r="AH3882" t="s">
        <v>23570</v>
      </c>
      <c r="AI3882" t="s">
        <v>23573</v>
      </c>
    </row>
    <row r="3883" spans="2:35" ht="409.5">
      <c r="B3883" s="1">
        <v>45469</v>
      </c>
      <c r="C3883" s="4">
        <v>45469.869444444441</v>
      </c>
      <c r="D3883" t="s">
        <v>1127</v>
      </c>
      <c r="E3883" t="s">
        <v>23574</v>
      </c>
      <c r="F3883">
        <v>8</v>
      </c>
      <c r="G3883" t="s">
        <v>342</v>
      </c>
      <c r="H3883" t="s">
        <v>39</v>
      </c>
      <c r="I3883" t="s">
        <v>94</v>
      </c>
      <c r="J3883" s="2" t="s">
        <v>41</v>
      </c>
      <c r="K3883" t="s">
        <v>42</v>
      </c>
      <c r="L3883" t="s">
        <v>259</v>
      </c>
      <c r="N3883" t="s">
        <v>260</v>
      </c>
      <c r="Q3883">
        <v>28662</v>
      </c>
      <c r="R3883" t="s">
        <v>45</v>
      </c>
      <c r="S3883" t="s">
        <v>23575</v>
      </c>
      <c r="T3883">
        <v>25</v>
      </c>
      <c r="V3883" s="1">
        <v>45468</v>
      </c>
      <c r="W3883" t="s">
        <v>66</v>
      </c>
      <c r="X3883">
        <v>808631</v>
      </c>
      <c r="Y3883" t="s">
        <v>23576</v>
      </c>
      <c r="Z3883" t="e">
        <f ca="1">- module Replacement
- Preventive Maintenance</f>
        <v>#NAME?</v>
      </c>
      <c r="AA3883" s="2" t="s">
        <v>23577</v>
      </c>
      <c r="AB3883" t="s">
        <v>181</v>
      </c>
      <c r="AD3883" t="s">
        <v>16645</v>
      </c>
      <c r="AE3883" t="s">
        <v>45</v>
      </c>
      <c r="AG3883" t="s">
        <v>23578</v>
      </c>
      <c r="AH3883" t="s">
        <v>23579</v>
      </c>
      <c r="AI3883" t="s">
        <v>23580</v>
      </c>
    </row>
    <row r="3884" spans="2:35" ht="210">
      <c r="B3884" s="1">
        <v>45469</v>
      </c>
      <c r="C3884" s="4">
        <v>45469.746527777781</v>
      </c>
      <c r="D3884" t="s">
        <v>4795</v>
      </c>
      <c r="E3884" t="s">
        <v>4796</v>
      </c>
      <c r="F3884">
        <v>10</v>
      </c>
      <c r="G3884" t="s">
        <v>2392</v>
      </c>
      <c r="H3884" t="s">
        <v>1047</v>
      </c>
      <c r="I3884" t="s">
        <v>40</v>
      </c>
      <c r="J3884" s="2" t="s">
        <v>190</v>
      </c>
      <c r="K3884" t="s">
        <v>42</v>
      </c>
      <c r="L3884" t="s">
        <v>1288</v>
      </c>
      <c r="N3884" t="s">
        <v>1289</v>
      </c>
      <c r="Q3884">
        <v>28661</v>
      </c>
      <c r="R3884" t="s">
        <v>45</v>
      </c>
      <c r="S3884" t="s">
        <v>4797</v>
      </c>
      <c r="T3884">
        <v>25</v>
      </c>
      <c r="U3884" s="2" t="s">
        <v>23581</v>
      </c>
      <c r="W3884" t="s">
        <v>1292</v>
      </c>
      <c r="X3884">
        <v>707842</v>
      </c>
      <c r="Y3884" t="e">
        <f ca="1">-_xludf.For Data Collection
-_xludf.For Preventive Maintenance</f>
        <v>#NAME?</v>
      </c>
      <c r="Z3884" t="e">
        <f ca="1">-COLLECT IQR, system _xludf.Log, _xludf.and ARCHIVE</f>
        <v>#NAME?</v>
      </c>
      <c r="AA3884" t="e">
        <f ca="1">-PERFORM Cleaning of GeneXpert EQUIPMENT _xludf.and WORK STATION
-PERFORM Preventive Maintenance PROCEDURE</f>
        <v>#NAME?</v>
      </c>
      <c r="AB3884" t="s">
        <v>1293</v>
      </c>
      <c r="AG3884" t="s">
        <v>23582</v>
      </c>
      <c r="AH3884" t="s">
        <v>4802</v>
      </c>
      <c r="AI3884" t="s">
        <v>23583</v>
      </c>
    </row>
    <row r="3885" spans="2:35" ht="210">
      <c r="B3885" s="1">
        <v>45469</v>
      </c>
      <c r="C3885" s="4">
        <v>45469.740972222222</v>
      </c>
      <c r="D3885" t="s">
        <v>4795</v>
      </c>
      <c r="E3885" t="s">
        <v>4796</v>
      </c>
      <c r="F3885">
        <v>10</v>
      </c>
      <c r="G3885" t="s">
        <v>2392</v>
      </c>
      <c r="H3885" t="s">
        <v>1047</v>
      </c>
      <c r="I3885" t="s">
        <v>40</v>
      </c>
      <c r="J3885" s="2" t="s">
        <v>190</v>
      </c>
      <c r="K3885" t="s">
        <v>42</v>
      </c>
      <c r="L3885" t="s">
        <v>1288</v>
      </c>
      <c r="N3885" t="s">
        <v>1289</v>
      </c>
      <c r="Q3885">
        <v>28660</v>
      </c>
      <c r="R3885" t="s">
        <v>45</v>
      </c>
      <c r="S3885" t="s">
        <v>4797</v>
      </c>
      <c r="T3885">
        <v>28</v>
      </c>
      <c r="U3885" s="2" t="s">
        <v>23581</v>
      </c>
      <c r="W3885" t="s">
        <v>1292</v>
      </c>
      <c r="X3885">
        <v>805090</v>
      </c>
      <c r="Y3885" t="e">
        <f ca="1">-system Unit boot problem
-_xludf.For Preventive Maintenance</f>
        <v>#NAME?</v>
      </c>
      <c r="Z3885" t="e">
        <f ca="1">-COLLECT IQR, system _xludf.Log, _xludf.and ARCHIVE</f>
        <v>#NAME?</v>
      </c>
      <c r="AA3885" t="e">
        <f ca="1">-PERFORM system Unit battery Replacement
-PERFORM Cleaning of GeneXpert EQUIPMENT
-PERFORM Preventive Maintenance PROCEDURE</f>
        <v>#NAME?</v>
      </c>
      <c r="AB3885" t="s">
        <v>17671</v>
      </c>
      <c r="AG3885" t="s">
        <v>23584</v>
      </c>
      <c r="AH3885" t="s">
        <v>4802</v>
      </c>
      <c r="AI3885" t="s">
        <v>23585</v>
      </c>
    </row>
    <row r="3886" spans="2:35" ht="409.5">
      <c r="B3886" s="1">
        <v>45469</v>
      </c>
      <c r="C3886" s="4">
        <v>45338.538888888892</v>
      </c>
      <c r="D3886" t="s">
        <v>23586</v>
      </c>
      <c r="E3886" t="s">
        <v>23587</v>
      </c>
      <c r="F3886">
        <v>5</v>
      </c>
      <c r="G3886" t="s">
        <v>5795</v>
      </c>
      <c r="H3886" t="s">
        <v>39</v>
      </c>
      <c r="I3886" t="s">
        <v>40</v>
      </c>
      <c r="J3886" s="2" t="s">
        <v>190</v>
      </c>
      <c r="K3886" t="s">
        <v>42</v>
      </c>
      <c r="L3886" t="s">
        <v>761</v>
      </c>
      <c r="N3886" t="s">
        <v>762</v>
      </c>
      <c r="Q3886">
        <v>28659</v>
      </c>
      <c r="R3886" t="s">
        <v>45</v>
      </c>
      <c r="S3886" t="s">
        <v>22523</v>
      </c>
      <c r="T3886">
        <v>28</v>
      </c>
      <c r="U3886" s="2" t="s">
        <v>23588</v>
      </c>
      <c r="W3886" t="s">
        <v>765</v>
      </c>
      <c r="X3886">
        <v>807601</v>
      </c>
      <c r="Y3886" s="2" t="s">
        <v>23589</v>
      </c>
      <c r="Z3886" s="2" t="s">
        <v>23590</v>
      </c>
      <c r="AA3886" s="2" t="s">
        <v>3517</v>
      </c>
      <c r="AB3886" s="2" t="s">
        <v>23591</v>
      </c>
      <c r="AC3886" t="s">
        <v>12168</v>
      </c>
      <c r="AG3886" t="s">
        <v>23592</v>
      </c>
      <c r="AH3886" t="s">
        <v>23593</v>
      </c>
      <c r="AI3886" t="s">
        <v>23594</v>
      </c>
    </row>
    <row r="3887" spans="2:35" ht="105">
      <c r="B3887" s="1">
        <v>45469</v>
      </c>
      <c r="C3887" s="4">
        <v>45469.622916666667</v>
      </c>
      <c r="D3887" t="s">
        <v>8074</v>
      </c>
      <c r="E3887" t="s">
        <v>8075</v>
      </c>
      <c r="F3887">
        <v>6</v>
      </c>
      <c r="G3887" t="s">
        <v>4457</v>
      </c>
      <c r="H3887" t="s">
        <v>23595</v>
      </c>
      <c r="I3887" t="s">
        <v>40</v>
      </c>
      <c r="J3887" t="s">
        <v>525</v>
      </c>
      <c r="K3887" t="s">
        <v>42</v>
      </c>
      <c r="L3887" t="s">
        <v>343</v>
      </c>
      <c r="N3887" t="s">
        <v>344</v>
      </c>
      <c r="Q3887">
        <v>28658</v>
      </c>
      <c r="R3887" t="s">
        <v>119</v>
      </c>
      <c r="S3887" t="s">
        <v>8076</v>
      </c>
      <c r="T3887">
        <v>26</v>
      </c>
      <c r="U3887" s="2" t="s">
        <v>23596</v>
      </c>
      <c r="W3887" t="s">
        <v>23277</v>
      </c>
      <c r="X3887">
        <v>838457</v>
      </c>
      <c r="Y3887" t="s">
        <v>23597</v>
      </c>
      <c r="Z3887" t="s">
        <v>301</v>
      </c>
      <c r="AA3887" t="e">
        <f ca="1">-Maintenance
-run XpertCheck on module B2 _xludf.For _xludf.error verification</f>
        <v>#NAME?</v>
      </c>
      <c r="AB3887" t="s">
        <v>23598</v>
      </c>
      <c r="AG3887" t="s">
        <v>23599</v>
      </c>
      <c r="AH3887" t="s">
        <v>8079</v>
      </c>
      <c r="AI3887" t="s">
        <v>23600</v>
      </c>
    </row>
    <row r="3888" spans="2:35" ht="165">
      <c r="B3888" s="1">
        <v>45469</v>
      </c>
      <c r="C3888" s="4">
        <v>45469.619444444441</v>
      </c>
      <c r="D3888" t="s">
        <v>23601</v>
      </c>
      <c r="E3888" t="s">
        <v>23602</v>
      </c>
      <c r="F3888">
        <v>3</v>
      </c>
      <c r="G3888" t="s">
        <v>134</v>
      </c>
      <c r="H3888" t="s">
        <v>39</v>
      </c>
      <c r="I3888" t="s">
        <v>40</v>
      </c>
      <c r="J3888" s="2" t="s">
        <v>190</v>
      </c>
      <c r="K3888" t="s">
        <v>42</v>
      </c>
      <c r="L3888" t="s">
        <v>63</v>
      </c>
      <c r="N3888" t="s">
        <v>64</v>
      </c>
      <c r="Q3888">
        <v>28657</v>
      </c>
      <c r="R3888" t="s">
        <v>119</v>
      </c>
      <c r="S3888" t="s">
        <v>23603</v>
      </c>
      <c r="T3888">
        <v>25</v>
      </c>
      <c r="W3888" t="s">
        <v>66</v>
      </c>
      <c r="X3888">
        <v>831902</v>
      </c>
      <c r="Y3888" s="2" t="s">
        <v>10390</v>
      </c>
      <c r="Z3888" s="2" t="s">
        <v>23604</v>
      </c>
      <c r="AA3888" s="2" t="s">
        <v>1727</v>
      </c>
      <c r="AB3888" t="s">
        <v>23605</v>
      </c>
      <c r="AC3888" t="s">
        <v>23606</v>
      </c>
      <c r="AG3888" t="s">
        <v>23607</v>
      </c>
      <c r="AH3888" t="s">
        <v>23608</v>
      </c>
      <c r="AI3888" t="s">
        <v>23609</v>
      </c>
    </row>
    <row r="3889" spans="2:35" ht="165">
      <c r="B3889" s="1">
        <v>45469</v>
      </c>
      <c r="C3889" s="4">
        <v>45469.570833333331</v>
      </c>
      <c r="D3889" t="s">
        <v>23610</v>
      </c>
      <c r="E3889" t="s">
        <v>23611</v>
      </c>
      <c r="F3889">
        <v>3</v>
      </c>
      <c r="G3889" t="s">
        <v>134</v>
      </c>
      <c r="H3889" t="s">
        <v>39</v>
      </c>
      <c r="I3889" t="s">
        <v>40</v>
      </c>
      <c r="J3889" s="2" t="s">
        <v>190</v>
      </c>
      <c r="K3889" t="s">
        <v>42</v>
      </c>
      <c r="L3889" t="s">
        <v>63</v>
      </c>
      <c r="N3889" t="s">
        <v>64</v>
      </c>
      <c r="Q3889">
        <v>28656</v>
      </c>
      <c r="R3889" t="s">
        <v>45</v>
      </c>
      <c r="S3889" t="s">
        <v>23612</v>
      </c>
      <c r="T3889">
        <v>22</v>
      </c>
      <c r="W3889" t="s">
        <v>66</v>
      </c>
      <c r="X3889">
        <v>812790</v>
      </c>
      <c r="Y3889" t="s">
        <v>23613</v>
      </c>
      <c r="Z3889" t="s">
        <v>23614</v>
      </c>
      <c r="AA3889" s="2" t="s">
        <v>1727</v>
      </c>
      <c r="AB3889" t="s">
        <v>70</v>
      </c>
      <c r="AC3889" t="s">
        <v>23615</v>
      </c>
      <c r="AG3889" t="s">
        <v>23616</v>
      </c>
      <c r="AH3889" t="s">
        <v>23617</v>
      </c>
      <c r="AI3889" t="s">
        <v>23618</v>
      </c>
    </row>
    <row r="3890" spans="2:35" ht="150">
      <c r="B3890" s="1">
        <v>45469</v>
      </c>
      <c r="C3890" s="4">
        <v>45469.414583333331</v>
      </c>
      <c r="D3890" t="s">
        <v>23619</v>
      </c>
      <c r="E3890" t="s">
        <v>23620</v>
      </c>
      <c r="F3890" t="s">
        <v>148</v>
      </c>
      <c r="G3890" t="s">
        <v>23621</v>
      </c>
      <c r="H3890" t="s">
        <v>39</v>
      </c>
      <c r="I3890" t="s">
        <v>40</v>
      </c>
      <c r="J3890" t="s">
        <v>321</v>
      </c>
      <c r="K3890" t="s">
        <v>42</v>
      </c>
      <c r="L3890" t="s">
        <v>1943</v>
      </c>
      <c r="N3890" t="s">
        <v>1944</v>
      </c>
      <c r="Q3890">
        <v>28655</v>
      </c>
      <c r="R3890" t="s">
        <v>45</v>
      </c>
      <c r="S3890" t="s">
        <v>23622</v>
      </c>
      <c r="T3890">
        <v>25</v>
      </c>
      <c r="W3890" t="s">
        <v>373</v>
      </c>
      <c r="X3890">
        <v>110020388</v>
      </c>
      <c r="Y3890" t="s">
        <v>23623</v>
      </c>
      <c r="Z3890" t="s">
        <v>3764</v>
      </c>
      <c r="AA3890" s="2" t="s">
        <v>23624</v>
      </c>
      <c r="AB3890" t="s">
        <v>88</v>
      </c>
      <c r="AG3890" t="s">
        <v>23625</v>
      </c>
      <c r="AH3890" t="s">
        <v>23626</v>
      </c>
      <c r="AI3890" t="s">
        <v>23627</v>
      </c>
    </row>
    <row r="3891" spans="2:35" ht="210">
      <c r="B3891" s="1">
        <v>45469</v>
      </c>
      <c r="C3891" s="4">
        <v>45469.390277777777</v>
      </c>
      <c r="D3891" t="s">
        <v>8907</v>
      </c>
      <c r="E3891" t="s">
        <v>9399</v>
      </c>
      <c r="F3891">
        <v>6</v>
      </c>
      <c r="G3891" t="s">
        <v>9400</v>
      </c>
      <c r="H3891" t="s">
        <v>23595</v>
      </c>
      <c r="I3891" t="s">
        <v>40</v>
      </c>
      <c r="J3891" t="s">
        <v>109</v>
      </c>
      <c r="K3891" t="s">
        <v>42</v>
      </c>
      <c r="L3891" t="s">
        <v>343</v>
      </c>
      <c r="N3891" t="s">
        <v>344</v>
      </c>
      <c r="Q3891">
        <v>28654</v>
      </c>
      <c r="R3891" t="s">
        <v>119</v>
      </c>
      <c r="S3891" t="s">
        <v>9401</v>
      </c>
      <c r="T3891">
        <v>27</v>
      </c>
      <c r="U3891" s="2" t="s">
        <v>23628</v>
      </c>
      <c r="W3891" t="s">
        <v>23277</v>
      </c>
      <c r="X3891">
        <v>838412</v>
      </c>
      <c r="Y3891" t="s">
        <v>7415</v>
      </c>
      <c r="Z3891" t="e">
        <f ca="1">-Preventive Maintenance</f>
        <v>#NAME?</v>
      </c>
      <c r="AA3891" t="e">
        <f ca="1">-Preventive Maintenance
-Backup database
-ARCHIVE tests</f>
        <v>#NAME?</v>
      </c>
      <c r="AB3891" t="s">
        <v>9638</v>
      </c>
      <c r="AG3891" t="s">
        <v>23629</v>
      </c>
      <c r="AH3891" t="s">
        <v>15647</v>
      </c>
      <c r="AI3891" t="s">
        <v>23630</v>
      </c>
    </row>
    <row r="3892" spans="2:35" ht="210">
      <c r="B3892" s="1">
        <v>45469</v>
      </c>
      <c r="C3892" s="4">
        <v>45469.395833333336</v>
      </c>
      <c r="D3892" t="s">
        <v>8907</v>
      </c>
      <c r="E3892" t="s">
        <v>9399</v>
      </c>
      <c r="F3892">
        <v>6</v>
      </c>
      <c r="G3892" t="s">
        <v>9400</v>
      </c>
      <c r="H3892" t="s">
        <v>23595</v>
      </c>
      <c r="I3892" t="s">
        <v>94</v>
      </c>
      <c r="J3892" s="2" t="s">
        <v>41</v>
      </c>
      <c r="K3892" t="s">
        <v>42</v>
      </c>
      <c r="L3892" t="s">
        <v>343</v>
      </c>
      <c r="N3892" t="s">
        <v>344</v>
      </c>
      <c r="Q3892">
        <v>28653</v>
      </c>
      <c r="R3892" t="s">
        <v>45</v>
      </c>
      <c r="S3892" t="s">
        <v>9401</v>
      </c>
      <c r="T3892">
        <v>25</v>
      </c>
      <c r="U3892" s="2" t="s">
        <v>23628</v>
      </c>
      <c r="V3892" s="1">
        <v>45450</v>
      </c>
      <c r="W3892" t="s">
        <v>23631</v>
      </c>
      <c r="X3892">
        <v>120000591</v>
      </c>
      <c r="Y3892" t="s">
        <v>17821</v>
      </c>
      <c r="Z3892" t="s">
        <v>23632</v>
      </c>
      <c r="AA3892" t="e">
        <f ca="1">-module Replacement
-Preventive Maintenance
-Install XpertCheck v1.5b</f>
        <v>#NAME?</v>
      </c>
      <c r="AB3892" t="s">
        <v>9638</v>
      </c>
      <c r="AD3892" t="s">
        <v>10783</v>
      </c>
      <c r="AE3892">
        <v>48687</v>
      </c>
      <c r="AG3892" t="s">
        <v>23633</v>
      </c>
      <c r="AH3892" t="s">
        <v>15647</v>
      </c>
      <c r="AI3892" t="s">
        <v>23634</v>
      </c>
    </row>
    <row r="3893" spans="2:35" ht="409.5">
      <c r="B3893" s="1">
        <v>45469</v>
      </c>
      <c r="C3893" s="4">
        <v>45468.329861111109</v>
      </c>
      <c r="D3893" t="s">
        <v>23635</v>
      </c>
      <c r="E3893" t="s">
        <v>23636</v>
      </c>
      <c r="F3893" t="s">
        <v>148</v>
      </c>
      <c r="G3893" t="s">
        <v>310</v>
      </c>
      <c r="H3893" t="s">
        <v>39</v>
      </c>
      <c r="I3893" t="s">
        <v>40</v>
      </c>
      <c r="J3893" t="s">
        <v>109</v>
      </c>
      <c r="K3893" t="s">
        <v>42</v>
      </c>
      <c r="L3893" t="s">
        <v>1943</v>
      </c>
      <c r="N3893" t="s">
        <v>1944</v>
      </c>
      <c r="Q3893">
        <v>28652</v>
      </c>
      <c r="R3893" t="s">
        <v>119</v>
      </c>
      <c r="S3893" t="s">
        <v>23637</v>
      </c>
      <c r="T3893">
        <v>25</v>
      </c>
      <c r="U3893" s="2" t="s">
        <v>23638</v>
      </c>
      <c r="W3893" t="s">
        <v>84</v>
      </c>
      <c r="X3893">
        <v>831620</v>
      </c>
      <c r="Y3893" t="s">
        <v>2099</v>
      </c>
      <c r="Z3893" t="s">
        <v>2100</v>
      </c>
      <c r="AA3893" s="2" t="s">
        <v>2101</v>
      </c>
      <c r="AB3893" t="s">
        <v>88</v>
      </c>
      <c r="AG3893" t="s">
        <v>23639</v>
      </c>
      <c r="AH3893" t="s">
        <v>23640</v>
      </c>
      <c r="AI3893" t="s">
        <v>23641</v>
      </c>
    </row>
    <row r="3894" spans="2:35" ht="409.5">
      <c r="B3894" s="1">
        <v>45469</v>
      </c>
      <c r="C3894" s="4">
        <v>45468.343055555553</v>
      </c>
      <c r="D3894" t="s">
        <v>1941</v>
      </c>
      <c r="E3894" t="s">
        <v>23642</v>
      </c>
      <c r="F3894" t="s">
        <v>148</v>
      </c>
      <c r="G3894" t="s">
        <v>310</v>
      </c>
      <c r="H3894" t="s">
        <v>39</v>
      </c>
      <c r="I3894" t="s">
        <v>40</v>
      </c>
      <c r="J3894" t="s">
        <v>109</v>
      </c>
      <c r="K3894" t="s">
        <v>42</v>
      </c>
      <c r="L3894" t="s">
        <v>1943</v>
      </c>
      <c r="N3894" t="s">
        <v>1944</v>
      </c>
      <c r="Q3894">
        <v>28651</v>
      </c>
      <c r="R3894" t="s">
        <v>45</v>
      </c>
      <c r="S3894" t="s">
        <v>23643</v>
      </c>
      <c r="T3894">
        <v>25</v>
      </c>
      <c r="U3894" s="2" t="s">
        <v>12149</v>
      </c>
      <c r="W3894" t="s">
        <v>84</v>
      </c>
      <c r="X3894">
        <v>805060</v>
      </c>
      <c r="Y3894" s="2" t="s">
        <v>23644</v>
      </c>
      <c r="Z3894" t="s">
        <v>4402</v>
      </c>
      <c r="AA3894" s="2" t="s">
        <v>23645</v>
      </c>
      <c r="AB3894" t="s">
        <v>23646</v>
      </c>
      <c r="AC3894" t="s">
        <v>23647</v>
      </c>
      <c r="AG3894" t="s">
        <v>23648</v>
      </c>
      <c r="AH3894" t="s">
        <v>1951</v>
      </c>
      <c r="AI3894" t="s">
        <v>23649</v>
      </c>
    </row>
    <row r="3895" spans="2:35" ht="225">
      <c r="B3895" s="1">
        <v>45469</v>
      </c>
      <c r="C3895" s="4">
        <v>45463.48333333333</v>
      </c>
      <c r="D3895" t="s">
        <v>8349</v>
      </c>
      <c r="E3895" t="s">
        <v>11572</v>
      </c>
      <c r="F3895" t="s">
        <v>37</v>
      </c>
      <c r="G3895" t="s">
        <v>78</v>
      </c>
      <c r="H3895" t="s">
        <v>295</v>
      </c>
      <c r="I3895" t="s">
        <v>40</v>
      </c>
      <c r="J3895" t="s">
        <v>1422</v>
      </c>
      <c r="K3895" t="s">
        <v>42</v>
      </c>
      <c r="L3895" t="s">
        <v>1943</v>
      </c>
      <c r="N3895" t="s">
        <v>1944</v>
      </c>
      <c r="Q3895">
        <v>28650</v>
      </c>
      <c r="R3895" t="s">
        <v>703</v>
      </c>
      <c r="S3895" t="s">
        <v>8350</v>
      </c>
      <c r="T3895">
        <v>25</v>
      </c>
      <c r="W3895" t="s">
        <v>373</v>
      </c>
      <c r="X3895">
        <v>110024552</v>
      </c>
      <c r="Y3895" t="s">
        <v>23650</v>
      </c>
      <c r="Z3895" t="s">
        <v>23651</v>
      </c>
      <c r="AA3895" s="2" t="s">
        <v>23652</v>
      </c>
      <c r="AB3895" t="s">
        <v>88</v>
      </c>
      <c r="AG3895" t="s">
        <v>23653</v>
      </c>
      <c r="AH3895" t="s">
        <v>23654</v>
      </c>
      <c r="AI3895" t="s">
        <v>23655</v>
      </c>
    </row>
    <row r="3896" spans="2:35" ht="409.5">
      <c r="B3896" s="1">
        <v>45469</v>
      </c>
      <c r="C3896" s="4">
        <v>45463.421527777777</v>
      </c>
      <c r="D3896" t="s">
        <v>23656</v>
      </c>
      <c r="E3896" t="s">
        <v>23657</v>
      </c>
      <c r="F3896" t="s">
        <v>37</v>
      </c>
      <c r="G3896" t="s">
        <v>78</v>
      </c>
      <c r="H3896" t="s">
        <v>39</v>
      </c>
      <c r="I3896" t="s">
        <v>40</v>
      </c>
      <c r="J3896" s="2" t="s">
        <v>62</v>
      </c>
      <c r="K3896" t="s">
        <v>42</v>
      </c>
      <c r="L3896" t="s">
        <v>1943</v>
      </c>
      <c r="N3896" t="s">
        <v>1944</v>
      </c>
      <c r="Q3896">
        <v>28649</v>
      </c>
      <c r="R3896" t="s">
        <v>45</v>
      </c>
      <c r="S3896" t="s">
        <v>23658</v>
      </c>
      <c r="T3896">
        <v>25</v>
      </c>
      <c r="V3896" s="1">
        <v>45463</v>
      </c>
      <c r="W3896" t="s">
        <v>84</v>
      </c>
      <c r="X3896">
        <v>838447</v>
      </c>
      <c r="Y3896" s="2" t="s">
        <v>23659</v>
      </c>
      <c r="Z3896" t="s">
        <v>23660</v>
      </c>
      <c r="AA3896" s="2" t="s">
        <v>3046</v>
      </c>
      <c r="AB3896" t="s">
        <v>8352</v>
      </c>
      <c r="AD3896" t="s">
        <v>948</v>
      </c>
      <c r="AE3896" t="s">
        <v>11329</v>
      </c>
      <c r="AG3896" t="s">
        <v>23661</v>
      </c>
      <c r="AH3896" t="s">
        <v>23662</v>
      </c>
      <c r="AI3896" t="s">
        <v>23663</v>
      </c>
    </row>
    <row r="3897" spans="2:35" ht="409.5">
      <c r="B3897" s="1">
        <v>45469</v>
      </c>
      <c r="C3897" s="4">
        <v>45468.329861111109</v>
      </c>
      <c r="D3897" t="s">
        <v>23635</v>
      </c>
      <c r="E3897" t="s">
        <v>23636</v>
      </c>
      <c r="F3897" t="s">
        <v>148</v>
      </c>
      <c r="G3897" t="s">
        <v>310</v>
      </c>
      <c r="H3897" t="s">
        <v>39</v>
      </c>
      <c r="I3897" t="s">
        <v>40</v>
      </c>
      <c r="J3897" t="s">
        <v>109</v>
      </c>
      <c r="K3897" t="s">
        <v>42</v>
      </c>
      <c r="L3897" t="s">
        <v>1943</v>
      </c>
      <c r="N3897" t="s">
        <v>1944</v>
      </c>
      <c r="Q3897">
        <v>28648</v>
      </c>
      <c r="R3897" t="s">
        <v>119</v>
      </c>
      <c r="S3897" t="s">
        <v>23637</v>
      </c>
      <c r="T3897">
        <v>25</v>
      </c>
      <c r="U3897" s="2" t="s">
        <v>23638</v>
      </c>
      <c r="W3897" t="s">
        <v>84</v>
      </c>
      <c r="X3897">
        <v>831620</v>
      </c>
      <c r="Y3897" t="s">
        <v>2099</v>
      </c>
      <c r="Z3897" t="s">
        <v>2100</v>
      </c>
      <c r="AA3897" s="2" t="s">
        <v>2101</v>
      </c>
      <c r="AB3897" t="s">
        <v>88</v>
      </c>
      <c r="AG3897" t="s">
        <v>23664</v>
      </c>
      <c r="AH3897" t="s">
        <v>23640</v>
      </c>
      <c r="AI3897" t="s">
        <v>23665</v>
      </c>
    </row>
    <row r="3898" spans="2:35" ht="225">
      <c r="B3898" s="1">
        <v>45469</v>
      </c>
      <c r="C3898" s="4">
        <v>45463.48333333333</v>
      </c>
      <c r="D3898" t="s">
        <v>8349</v>
      </c>
      <c r="E3898" t="s">
        <v>11572</v>
      </c>
      <c r="F3898" t="s">
        <v>37</v>
      </c>
      <c r="G3898" t="s">
        <v>78</v>
      </c>
      <c r="H3898" t="s">
        <v>295</v>
      </c>
      <c r="I3898" t="s">
        <v>40</v>
      </c>
      <c r="J3898" t="s">
        <v>1422</v>
      </c>
      <c r="K3898" t="s">
        <v>42</v>
      </c>
      <c r="L3898" t="s">
        <v>1943</v>
      </c>
      <c r="N3898" t="s">
        <v>1944</v>
      </c>
      <c r="Q3898">
        <v>28647</v>
      </c>
      <c r="R3898" t="s">
        <v>703</v>
      </c>
      <c r="S3898" t="s">
        <v>8350</v>
      </c>
      <c r="T3898">
        <v>25</v>
      </c>
      <c r="W3898" t="s">
        <v>373</v>
      </c>
      <c r="X3898">
        <v>110024552</v>
      </c>
      <c r="Y3898" t="s">
        <v>23650</v>
      </c>
      <c r="Z3898" t="s">
        <v>23651</v>
      </c>
      <c r="AA3898" s="2" t="s">
        <v>23652</v>
      </c>
      <c r="AB3898" t="s">
        <v>88</v>
      </c>
      <c r="AG3898" t="s">
        <v>23666</v>
      </c>
      <c r="AH3898" t="s">
        <v>23654</v>
      </c>
      <c r="AI3898" t="s">
        <v>23667</v>
      </c>
    </row>
    <row r="3899" spans="2:35" ht="409.5">
      <c r="B3899" s="1">
        <v>45469</v>
      </c>
      <c r="C3899" s="4">
        <v>45468.343055555553</v>
      </c>
      <c r="D3899" t="s">
        <v>1941</v>
      </c>
      <c r="E3899" t="s">
        <v>23642</v>
      </c>
      <c r="F3899" t="s">
        <v>148</v>
      </c>
      <c r="G3899" t="s">
        <v>310</v>
      </c>
      <c r="H3899" t="s">
        <v>39</v>
      </c>
      <c r="I3899" t="s">
        <v>40</v>
      </c>
      <c r="J3899" t="s">
        <v>109</v>
      </c>
      <c r="K3899" t="s">
        <v>42</v>
      </c>
      <c r="L3899" t="s">
        <v>1943</v>
      </c>
      <c r="N3899" t="s">
        <v>1944</v>
      </c>
      <c r="Q3899">
        <v>28646</v>
      </c>
      <c r="R3899" t="s">
        <v>45</v>
      </c>
      <c r="S3899" t="s">
        <v>23643</v>
      </c>
      <c r="T3899">
        <v>25</v>
      </c>
      <c r="U3899" s="2" t="s">
        <v>12149</v>
      </c>
      <c r="W3899" t="s">
        <v>84</v>
      </c>
      <c r="X3899">
        <v>805060</v>
      </c>
      <c r="Y3899" s="2" t="s">
        <v>23644</v>
      </c>
      <c r="Z3899" t="s">
        <v>4402</v>
      </c>
      <c r="AA3899" s="2" t="s">
        <v>23645</v>
      </c>
      <c r="AB3899" t="s">
        <v>23646</v>
      </c>
      <c r="AC3899" t="s">
        <v>23647</v>
      </c>
      <c r="AG3899" t="s">
        <v>23668</v>
      </c>
      <c r="AH3899" t="s">
        <v>1951</v>
      </c>
      <c r="AI3899" t="s">
        <v>23669</v>
      </c>
    </row>
    <row r="3900" spans="2:35" ht="240">
      <c r="B3900" s="1">
        <v>45469</v>
      </c>
      <c r="C3900" s="4">
        <v>45468.609027777777</v>
      </c>
      <c r="D3900" t="s">
        <v>3067</v>
      </c>
      <c r="E3900" t="s">
        <v>23670</v>
      </c>
      <c r="F3900" t="s">
        <v>148</v>
      </c>
      <c r="G3900" t="s">
        <v>447</v>
      </c>
      <c r="H3900" t="s">
        <v>39</v>
      </c>
      <c r="I3900" t="s">
        <v>40</v>
      </c>
      <c r="J3900" s="2" t="s">
        <v>1808</v>
      </c>
      <c r="K3900" t="s">
        <v>42</v>
      </c>
      <c r="L3900" t="s">
        <v>448</v>
      </c>
      <c r="N3900" t="s">
        <v>650</v>
      </c>
      <c r="Q3900">
        <v>28645</v>
      </c>
      <c r="R3900" t="s">
        <v>45</v>
      </c>
      <c r="S3900" t="s">
        <v>3069</v>
      </c>
      <c r="T3900">
        <v>25</v>
      </c>
      <c r="U3900" s="2" t="s">
        <v>2420</v>
      </c>
      <c r="W3900" t="s">
        <v>6121</v>
      </c>
      <c r="X3900">
        <v>803089</v>
      </c>
      <c r="Y3900" t="s">
        <v>23671</v>
      </c>
      <c r="Z3900" s="2" t="s">
        <v>23672</v>
      </c>
      <c r="AA3900" s="2" t="s">
        <v>23673</v>
      </c>
      <c r="AB3900" t="s">
        <v>486</v>
      </c>
      <c r="AG3900" t="s">
        <v>23674</v>
      </c>
      <c r="AH3900" t="s">
        <v>23675</v>
      </c>
      <c r="AI3900" t="s">
        <v>23676</v>
      </c>
    </row>
    <row r="3901" spans="2:35" ht="405">
      <c r="B3901" s="1">
        <v>45468</v>
      </c>
      <c r="C3901" s="4">
        <v>45468.585416666669</v>
      </c>
      <c r="D3901" t="s">
        <v>23677</v>
      </c>
      <c r="E3901" t="s">
        <v>23678</v>
      </c>
      <c r="F3901">
        <v>12</v>
      </c>
      <c r="G3901" t="s">
        <v>5785</v>
      </c>
      <c r="H3901" t="s">
        <v>39</v>
      </c>
      <c r="I3901" t="s">
        <v>94</v>
      </c>
      <c r="J3901" t="s">
        <v>321</v>
      </c>
      <c r="K3901" t="s">
        <v>42</v>
      </c>
      <c r="L3901" t="s">
        <v>296</v>
      </c>
      <c r="N3901" t="s">
        <v>297</v>
      </c>
      <c r="O3901" t="s">
        <v>23679</v>
      </c>
      <c r="Q3901">
        <v>28644</v>
      </c>
      <c r="R3901" t="s">
        <v>45</v>
      </c>
      <c r="S3901" t="s">
        <v>23680</v>
      </c>
      <c r="T3901">
        <v>29.1</v>
      </c>
      <c r="W3901" t="s">
        <v>22426</v>
      </c>
      <c r="X3901">
        <v>120000498</v>
      </c>
      <c r="Y3901" t="s">
        <v>23681</v>
      </c>
      <c r="Z3901" s="2" t="s">
        <v>23682</v>
      </c>
      <c r="AA3901" t="s">
        <v>10619</v>
      </c>
      <c r="AB3901" t="s">
        <v>23683</v>
      </c>
      <c r="AG3901" t="s">
        <v>23684</v>
      </c>
      <c r="AH3901" t="s">
        <v>23685</v>
      </c>
      <c r="AI3901" t="s">
        <v>23686</v>
      </c>
    </row>
    <row r="3902" spans="2:35" ht="120">
      <c r="B3902" s="1">
        <v>45468</v>
      </c>
      <c r="C3902" s="4">
        <v>45468.657638888886</v>
      </c>
      <c r="D3902" t="s">
        <v>23687</v>
      </c>
      <c r="E3902" t="s">
        <v>23688</v>
      </c>
      <c r="F3902">
        <v>3</v>
      </c>
      <c r="G3902" t="s">
        <v>1722</v>
      </c>
      <c r="H3902" t="s">
        <v>39</v>
      </c>
      <c r="I3902" t="s">
        <v>40</v>
      </c>
      <c r="J3902" s="2" t="s">
        <v>190</v>
      </c>
      <c r="K3902" t="s">
        <v>42</v>
      </c>
      <c r="L3902" t="s">
        <v>63</v>
      </c>
      <c r="N3902" t="s">
        <v>64</v>
      </c>
      <c r="Q3902">
        <v>28643</v>
      </c>
      <c r="R3902" t="s">
        <v>119</v>
      </c>
      <c r="S3902" t="s">
        <v>23689</v>
      </c>
      <c r="T3902">
        <v>29</v>
      </c>
      <c r="U3902" s="2" t="s">
        <v>23690</v>
      </c>
      <c r="W3902" t="s">
        <v>66</v>
      </c>
      <c r="X3902">
        <v>831592</v>
      </c>
      <c r="Y3902" t="s">
        <v>23691</v>
      </c>
      <c r="Z3902" t="s">
        <v>23692</v>
      </c>
      <c r="AA3902" s="2" t="s">
        <v>10824</v>
      </c>
      <c r="AB3902" t="s">
        <v>70</v>
      </c>
      <c r="AG3902" t="s">
        <v>23693</v>
      </c>
      <c r="AH3902" t="s">
        <v>23694</v>
      </c>
      <c r="AI3902" t="s">
        <v>23695</v>
      </c>
    </row>
    <row r="3903" spans="2:35" ht="255">
      <c r="B3903" s="1">
        <v>45468</v>
      </c>
      <c r="C3903" s="4">
        <v>45468.540277777778</v>
      </c>
      <c r="D3903" t="s">
        <v>5228</v>
      </c>
      <c r="E3903" t="s">
        <v>23696</v>
      </c>
      <c r="F3903" t="s">
        <v>148</v>
      </c>
      <c r="G3903" t="s">
        <v>447</v>
      </c>
      <c r="H3903" t="s">
        <v>39</v>
      </c>
      <c r="I3903" t="s">
        <v>40</v>
      </c>
      <c r="J3903" t="s">
        <v>321</v>
      </c>
      <c r="K3903" t="s">
        <v>42</v>
      </c>
      <c r="L3903" t="s">
        <v>15532</v>
      </c>
      <c r="N3903" t="s">
        <v>15533</v>
      </c>
      <c r="Q3903">
        <v>28642</v>
      </c>
      <c r="R3903" t="s">
        <v>967</v>
      </c>
      <c r="S3903" t="s">
        <v>5229</v>
      </c>
      <c r="T3903">
        <v>27</v>
      </c>
      <c r="V3903" s="1">
        <v>45463</v>
      </c>
      <c r="W3903" t="s">
        <v>17480</v>
      </c>
      <c r="X3903">
        <v>110023495</v>
      </c>
      <c r="Y3903" t="s">
        <v>15977</v>
      </c>
      <c r="Z3903" s="2" t="s">
        <v>23697</v>
      </c>
      <c r="AA3903" s="2" t="s">
        <v>23698</v>
      </c>
      <c r="AB3903" s="2" t="s">
        <v>15539</v>
      </c>
      <c r="AD3903" t="s">
        <v>23699</v>
      </c>
      <c r="AE3903" t="s">
        <v>23700</v>
      </c>
      <c r="AG3903" t="s">
        <v>23701</v>
      </c>
      <c r="AH3903" t="s">
        <v>15572</v>
      </c>
      <c r="AI3903" t="s">
        <v>23702</v>
      </c>
    </row>
    <row r="3904" spans="2:35" ht="210">
      <c r="B3904" s="1">
        <v>45468</v>
      </c>
      <c r="C3904" s="4">
        <v>45468.580555555556</v>
      </c>
      <c r="D3904" t="s">
        <v>5228</v>
      </c>
      <c r="E3904" t="s">
        <v>15618</v>
      </c>
      <c r="F3904" t="s">
        <v>148</v>
      </c>
      <c r="G3904" t="s">
        <v>447</v>
      </c>
      <c r="H3904" t="s">
        <v>39</v>
      </c>
      <c r="I3904" t="s">
        <v>40</v>
      </c>
      <c r="J3904" s="2" t="s">
        <v>62</v>
      </c>
      <c r="K3904" t="s">
        <v>42</v>
      </c>
      <c r="L3904" t="s">
        <v>15532</v>
      </c>
      <c r="N3904" t="s">
        <v>15533</v>
      </c>
      <c r="Q3904">
        <v>28641</v>
      </c>
      <c r="R3904" t="s">
        <v>322</v>
      </c>
      <c r="S3904" t="s">
        <v>8157</v>
      </c>
      <c r="T3904">
        <v>25</v>
      </c>
      <c r="U3904" s="2" t="s">
        <v>23703</v>
      </c>
      <c r="V3904" s="1">
        <v>45456</v>
      </c>
      <c r="W3904" t="s">
        <v>23704</v>
      </c>
      <c r="X3904">
        <v>110012766</v>
      </c>
      <c r="Y3904" t="s">
        <v>21420</v>
      </c>
      <c r="Z3904" s="2" t="s">
        <v>23705</v>
      </c>
      <c r="AA3904" s="2" t="s">
        <v>23706</v>
      </c>
      <c r="AB3904" s="2" t="s">
        <v>21738</v>
      </c>
      <c r="AD3904" t="s">
        <v>23707</v>
      </c>
      <c r="AE3904" t="s">
        <v>23707</v>
      </c>
      <c r="AG3904" t="s">
        <v>23708</v>
      </c>
      <c r="AH3904" t="s">
        <v>23709</v>
      </c>
      <c r="AI3904" t="s">
        <v>23710</v>
      </c>
    </row>
    <row r="3905" spans="2:35" ht="409.5">
      <c r="B3905" s="1">
        <v>45468</v>
      </c>
      <c r="C3905" s="4">
        <v>45468.568055555559</v>
      </c>
      <c r="D3905" t="s">
        <v>23711</v>
      </c>
      <c r="E3905" t="s">
        <v>2835</v>
      </c>
      <c r="F3905">
        <v>11</v>
      </c>
      <c r="G3905" t="s">
        <v>2836</v>
      </c>
      <c r="H3905" t="s">
        <v>2548</v>
      </c>
      <c r="I3905" t="s">
        <v>40</v>
      </c>
      <c r="J3905" s="2" t="s">
        <v>41</v>
      </c>
      <c r="K3905" t="s">
        <v>42</v>
      </c>
      <c r="L3905" t="s">
        <v>204</v>
      </c>
      <c r="N3905" t="s">
        <v>205</v>
      </c>
      <c r="Q3905">
        <v>28640</v>
      </c>
      <c r="R3905" t="s">
        <v>3058</v>
      </c>
      <c r="S3905" t="s">
        <v>3059</v>
      </c>
      <c r="T3905">
        <v>23.8</v>
      </c>
      <c r="U3905" s="2" t="s">
        <v>23712</v>
      </c>
      <c r="W3905" t="s">
        <v>23713</v>
      </c>
      <c r="X3905">
        <v>120000127</v>
      </c>
      <c r="Y3905" s="2" t="s">
        <v>13750</v>
      </c>
      <c r="Z3905" s="2" t="s">
        <v>23714</v>
      </c>
      <c r="AA3905" t="s">
        <v>2560</v>
      </c>
      <c r="AB3905" t="s">
        <v>1211</v>
      </c>
      <c r="AG3905" t="s">
        <v>23715</v>
      </c>
      <c r="AH3905" t="s">
        <v>23716</v>
      </c>
      <c r="AI3905" t="s">
        <v>23717</v>
      </c>
    </row>
    <row r="3906" spans="2:35" ht="390">
      <c r="B3906" s="1">
        <v>45468</v>
      </c>
      <c r="C3906" s="4">
        <v>45468.495138888888</v>
      </c>
      <c r="D3906" t="s">
        <v>23718</v>
      </c>
      <c r="E3906" t="s">
        <v>23719</v>
      </c>
      <c r="F3906">
        <v>3</v>
      </c>
      <c r="G3906" t="s">
        <v>730</v>
      </c>
      <c r="H3906" t="s">
        <v>39</v>
      </c>
      <c r="I3906" t="s">
        <v>40</v>
      </c>
      <c r="J3906" s="2" t="s">
        <v>41</v>
      </c>
      <c r="K3906" t="s">
        <v>42</v>
      </c>
      <c r="L3906" t="s">
        <v>135</v>
      </c>
      <c r="N3906" t="s">
        <v>136</v>
      </c>
      <c r="Q3906">
        <v>28639</v>
      </c>
      <c r="R3906" t="s">
        <v>45</v>
      </c>
      <c r="S3906" t="s">
        <v>23720</v>
      </c>
      <c r="T3906">
        <v>30</v>
      </c>
      <c r="U3906" s="2" t="s">
        <v>19663</v>
      </c>
      <c r="W3906" t="s">
        <v>2680</v>
      </c>
      <c r="X3906">
        <v>812838</v>
      </c>
      <c r="Y3906" t="s">
        <v>23721</v>
      </c>
      <c r="Z3906" t="s">
        <v>5712</v>
      </c>
      <c r="AA3906" s="2" t="s">
        <v>5713</v>
      </c>
      <c r="AB3906" s="2" t="s">
        <v>23722</v>
      </c>
      <c r="AG3906" t="s">
        <v>23723</v>
      </c>
      <c r="AH3906" t="s">
        <v>23724</v>
      </c>
      <c r="AI3906" t="s">
        <v>23725</v>
      </c>
    </row>
    <row r="3907" spans="2:35" ht="409.5">
      <c r="B3907" s="1">
        <v>45468</v>
      </c>
      <c r="C3907" s="4">
        <v>45468.464583333334</v>
      </c>
      <c r="D3907" t="s">
        <v>23726</v>
      </c>
      <c r="E3907" t="s">
        <v>7946</v>
      </c>
      <c r="F3907">
        <v>5</v>
      </c>
      <c r="G3907" t="s">
        <v>759</v>
      </c>
      <c r="H3907" t="s">
        <v>39</v>
      </c>
      <c r="I3907" t="s">
        <v>94</v>
      </c>
      <c r="J3907" s="2" t="s">
        <v>190</v>
      </c>
      <c r="K3907" t="s">
        <v>42</v>
      </c>
      <c r="L3907" t="s">
        <v>761</v>
      </c>
      <c r="N3907" t="s">
        <v>762</v>
      </c>
      <c r="Q3907">
        <v>28638</v>
      </c>
      <c r="R3907" t="s">
        <v>95</v>
      </c>
      <c r="S3907" t="s">
        <v>6291</v>
      </c>
      <c r="T3907">
        <v>27</v>
      </c>
      <c r="U3907" s="2" t="s">
        <v>23727</v>
      </c>
      <c r="W3907" t="s">
        <v>817</v>
      </c>
      <c r="X3907">
        <v>110017942</v>
      </c>
      <c r="Y3907" s="2" t="s">
        <v>23728</v>
      </c>
      <c r="Z3907" s="2" t="s">
        <v>23729</v>
      </c>
      <c r="AA3907" s="2" t="s">
        <v>10392</v>
      </c>
      <c r="AB3907" s="2" t="s">
        <v>23730</v>
      </c>
      <c r="AC3907" t="s">
        <v>23731</v>
      </c>
      <c r="AG3907" t="s">
        <v>23732</v>
      </c>
      <c r="AH3907" t="s">
        <v>23733</v>
      </c>
      <c r="AI3907" t="s">
        <v>23734</v>
      </c>
    </row>
    <row r="3908" spans="2:35" ht="255">
      <c r="B3908" s="1">
        <v>45468</v>
      </c>
      <c r="C3908" s="4">
        <v>45463.589583333334</v>
      </c>
      <c r="D3908" t="s">
        <v>23735</v>
      </c>
      <c r="E3908" t="s">
        <v>23736</v>
      </c>
      <c r="F3908" t="s">
        <v>37</v>
      </c>
      <c r="G3908" t="s">
        <v>78</v>
      </c>
      <c r="H3908" t="s">
        <v>39</v>
      </c>
      <c r="I3908" t="s">
        <v>40</v>
      </c>
      <c r="J3908" t="s">
        <v>321</v>
      </c>
      <c r="K3908" t="s">
        <v>387</v>
      </c>
      <c r="L3908" t="s">
        <v>43</v>
      </c>
      <c r="N3908" t="s">
        <v>44</v>
      </c>
      <c r="Q3908">
        <v>28637</v>
      </c>
      <c r="R3908" t="s">
        <v>95</v>
      </c>
      <c r="S3908" t="s">
        <v>23737</v>
      </c>
      <c r="T3908">
        <v>24</v>
      </c>
      <c r="W3908" t="s">
        <v>390</v>
      </c>
      <c r="X3908" t="s">
        <v>5954</v>
      </c>
      <c r="Y3908" t="s">
        <v>4709</v>
      </c>
      <c r="Z3908" t="s">
        <v>23738</v>
      </c>
      <c r="AA3908" s="2" t="s">
        <v>23739</v>
      </c>
      <c r="AB3908" t="s">
        <v>88</v>
      </c>
      <c r="AC3908" t="s">
        <v>23740</v>
      </c>
      <c r="AG3908" t="s">
        <v>23741</v>
      </c>
      <c r="AH3908" t="s">
        <v>23742</v>
      </c>
      <c r="AI3908" t="s">
        <v>23743</v>
      </c>
    </row>
    <row r="3909" spans="2:35" ht="165">
      <c r="B3909" s="1">
        <v>45468</v>
      </c>
      <c r="C3909" s="4">
        <v>45468.349305555559</v>
      </c>
      <c r="D3909" t="s">
        <v>4218</v>
      </c>
      <c r="E3909" t="s">
        <v>4219</v>
      </c>
      <c r="F3909">
        <v>3</v>
      </c>
      <c r="G3909" t="s">
        <v>1722</v>
      </c>
      <c r="H3909" t="s">
        <v>39</v>
      </c>
      <c r="I3909" t="s">
        <v>40</v>
      </c>
      <c r="J3909" t="s">
        <v>109</v>
      </c>
      <c r="K3909" t="s">
        <v>42</v>
      </c>
      <c r="L3909" t="s">
        <v>63</v>
      </c>
      <c r="N3909" t="s">
        <v>64</v>
      </c>
      <c r="Q3909">
        <v>28636</v>
      </c>
      <c r="R3909" t="s">
        <v>119</v>
      </c>
      <c r="S3909" t="s">
        <v>4220</v>
      </c>
      <c r="T3909">
        <v>28</v>
      </c>
      <c r="U3909" s="2" t="s">
        <v>22864</v>
      </c>
      <c r="W3909" t="s">
        <v>66</v>
      </c>
      <c r="X3909">
        <v>831637</v>
      </c>
      <c r="Y3909" s="2" t="s">
        <v>23744</v>
      </c>
      <c r="Z3909" t="s">
        <v>23745</v>
      </c>
      <c r="AA3909" s="2" t="s">
        <v>1727</v>
      </c>
      <c r="AB3909" t="s">
        <v>70</v>
      </c>
      <c r="AG3909" t="s">
        <v>23746</v>
      </c>
      <c r="AH3909" t="s">
        <v>23747</v>
      </c>
      <c r="AI3909" t="s">
        <v>23748</v>
      </c>
    </row>
    <row r="3910" spans="2:35" ht="165">
      <c r="B3910" s="1">
        <v>45468</v>
      </c>
      <c r="C3910" s="4">
        <v>45468.349305555559</v>
      </c>
      <c r="D3910" t="s">
        <v>4218</v>
      </c>
      <c r="E3910" t="s">
        <v>4219</v>
      </c>
      <c r="F3910">
        <v>3</v>
      </c>
      <c r="G3910" t="s">
        <v>1722</v>
      </c>
      <c r="H3910" t="s">
        <v>39</v>
      </c>
      <c r="I3910" t="s">
        <v>40</v>
      </c>
      <c r="J3910" t="s">
        <v>109</v>
      </c>
      <c r="K3910" t="s">
        <v>42</v>
      </c>
      <c r="L3910" t="s">
        <v>63</v>
      </c>
      <c r="N3910" t="s">
        <v>64</v>
      </c>
      <c r="Q3910">
        <v>28635</v>
      </c>
      <c r="R3910" t="s">
        <v>119</v>
      </c>
      <c r="S3910" t="s">
        <v>4220</v>
      </c>
      <c r="T3910">
        <v>28</v>
      </c>
      <c r="U3910" s="2" t="s">
        <v>22864</v>
      </c>
      <c r="W3910" t="s">
        <v>66</v>
      </c>
      <c r="X3910">
        <v>831637</v>
      </c>
      <c r="Y3910" s="2" t="s">
        <v>23744</v>
      </c>
      <c r="Z3910" t="s">
        <v>23745</v>
      </c>
      <c r="AA3910" s="2" t="s">
        <v>1727</v>
      </c>
      <c r="AB3910" t="s">
        <v>70</v>
      </c>
      <c r="AG3910" t="s">
        <v>23749</v>
      </c>
      <c r="AH3910" t="s">
        <v>23747</v>
      </c>
      <c r="AI3910" t="s">
        <v>23750</v>
      </c>
    </row>
    <row r="3911" spans="2:35">
      <c r="B3911" s="1">
        <v>45467</v>
      </c>
      <c r="C3911" s="4">
        <v>45467.879166666666</v>
      </c>
      <c r="D3911" t="s">
        <v>22782</v>
      </c>
      <c r="E3911" t="s">
        <v>23751</v>
      </c>
      <c r="F3911">
        <v>7</v>
      </c>
      <c r="G3911" t="s">
        <v>269</v>
      </c>
      <c r="H3911" t="s">
        <v>10969</v>
      </c>
      <c r="I3911" t="s">
        <v>40</v>
      </c>
      <c r="J3911" t="s">
        <v>321</v>
      </c>
      <c r="K3911" t="s">
        <v>42</v>
      </c>
      <c r="L3911" t="s">
        <v>1288</v>
      </c>
      <c r="N3911" t="s">
        <v>1289</v>
      </c>
      <c r="Q3911">
        <v>28634</v>
      </c>
      <c r="R3911" t="s">
        <v>45</v>
      </c>
      <c r="S3911" t="s">
        <v>22784</v>
      </c>
      <c r="T3911">
        <v>28</v>
      </c>
      <c r="W3911" t="s">
        <v>1292</v>
      </c>
      <c r="X3911">
        <v>805275</v>
      </c>
      <c r="Y3911" t="e">
        <f ca="1">-_xludf.For Installation</f>
        <v>#NAME?</v>
      </c>
      <c r="Z3911" t="e">
        <f ca="1">-COLLECT Installation QUALIFICATION report</f>
        <v>#NAME?</v>
      </c>
      <c r="AA3911" t="e">
        <f ca="1">-PERFORM Setup of GeneXpert WORK STATION _xludf.and Installation of GeneXpert EQUIPMENT
-PERFORM functionality tests</f>
        <v>#NAME?</v>
      </c>
      <c r="AB3911" t="s">
        <v>1293</v>
      </c>
      <c r="AG3911" t="s">
        <v>23752</v>
      </c>
      <c r="AH3911" t="s">
        <v>22786</v>
      </c>
      <c r="AI3911" t="s">
        <v>23753</v>
      </c>
    </row>
    <row r="3912" spans="2:35" ht="409.5">
      <c r="B3912" s="1">
        <v>45467</v>
      </c>
      <c r="C3912" s="4">
        <v>45467.623611111114</v>
      </c>
      <c r="D3912" t="s">
        <v>1203</v>
      </c>
      <c r="E3912" t="s">
        <v>13962</v>
      </c>
      <c r="F3912">
        <v>11</v>
      </c>
      <c r="G3912" t="s">
        <v>1205</v>
      </c>
      <c r="H3912" t="s">
        <v>1317</v>
      </c>
      <c r="I3912" t="s">
        <v>94</v>
      </c>
      <c r="J3912" s="2" t="s">
        <v>41</v>
      </c>
      <c r="K3912" t="s">
        <v>42</v>
      </c>
      <c r="L3912" t="s">
        <v>204</v>
      </c>
      <c r="N3912" t="s">
        <v>205</v>
      </c>
      <c r="Q3912">
        <v>28633</v>
      </c>
      <c r="R3912" t="s">
        <v>45</v>
      </c>
      <c r="S3912" t="s">
        <v>1206</v>
      </c>
      <c r="T3912">
        <v>26.8</v>
      </c>
      <c r="U3912" s="2" t="s">
        <v>23754</v>
      </c>
      <c r="W3912" t="s">
        <v>23237</v>
      </c>
      <c r="X3912">
        <v>808298</v>
      </c>
      <c r="Y3912" s="2" t="s">
        <v>23755</v>
      </c>
      <c r="Z3912" s="2" t="s">
        <v>23756</v>
      </c>
      <c r="AA3912" t="s">
        <v>2560</v>
      </c>
      <c r="AB3912" t="s">
        <v>1211</v>
      </c>
      <c r="AG3912" t="s">
        <v>23757</v>
      </c>
      <c r="AH3912" t="s">
        <v>23758</v>
      </c>
      <c r="AI3912" t="s">
        <v>23759</v>
      </c>
    </row>
    <row r="3913" spans="2:35" ht="45">
      <c r="B3913" s="1">
        <v>45467</v>
      </c>
      <c r="C3913" s="4">
        <v>45467.486111111109</v>
      </c>
      <c r="D3913" t="s">
        <v>3241</v>
      </c>
      <c r="E3913" t="s">
        <v>23379</v>
      </c>
      <c r="F3913">
        <v>7</v>
      </c>
      <c r="G3913" t="s">
        <v>432</v>
      </c>
      <c r="H3913" t="s">
        <v>39</v>
      </c>
      <c r="I3913" t="s">
        <v>40</v>
      </c>
      <c r="J3913" s="2" t="s">
        <v>41</v>
      </c>
      <c r="K3913" t="s">
        <v>42</v>
      </c>
      <c r="L3913" t="s">
        <v>594</v>
      </c>
      <c r="N3913" t="s">
        <v>595</v>
      </c>
      <c r="O3913" t="s">
        <v>595</v>
      </c>
      <c r="Q3913">
        <v>28632</v>
      </c>
      <c r="R3913" t="s">
        <v>45</v>
      </c>
      <c r="S3913" t="s">
        <v>23380</v>
      </c>
      <c r="T3913">
        <v>23</v>
      </c>
      <c r="V3913" s="1">
        <v>45467</v>
      </c>
      <c r="W3913" t="s">
        <v>502</v>
      </c>
      <c r="X3913">
        <v>808640</v>
      </c>
      <c r="Y3913" t="s">
        <v>23381</v>
      </c>
      <c r="Z3913" t="s">
        <v>23382</v>
      </c>
      <c r="AA3913" t="s">
        <v>23383</v>
      </c>
      <c r="AB3913" t="s">
        <v>23384</v>
      </c>
      <c r="AG3913" t="s">
        <v>23760</v>
      </c>
      <c r="AH3913" t="s">
        <v>23386</v>
      </c>
      <c r="AI3913" t="s">
        <v>23761</v>
      </c>
    </row>
    <row r="3914" spans="2:35" ht="255">
      <c r="B3914" s="1">
        <v>45467</v>
      </c>
      <c r="C3914" s="4">
        <v>45465.395138888889</v>
      </c>
      <c r="D3914" t="s">
        <v>159</v>
      </c>
      <c r="E3914" t="s">
        <v>23762</v>
      </c>
      <c r="F3914" t="s">
        <v>37</v>
      </c>
      <c r="G3914" t="s">
        <v>78</v>
      </c>
      <c r="H3914" t="s">
        <v>39</v>
      </c>
      <c r="I3914" t="s">
        <v>40</v>
      </c>
      <c r="J3914" t="s">
        <v>1422</v>
      </c>
      <c r="K3914" t="s">
        <v>42</v>
      </c>
      <c r="L3914" t="s">
        <v>1028</v>
      </c>
      <c r="N3914" t="s">
        <v>1029</v>
      </c>
      <c r="Q3914">
        <v>28630</v>
      </c>
      <c r="R3914" t="s">
        <v>95</v>
      </c>
      <c r="S3914" t="s">
        <v>23763</v>
      </c>
      <c r="T3914">
        <v>20</v>
      </c>
      <c r="U3914" s="2" t="s">
        <v>23764</v>
      </c>
      <c r="W3914" t="s">
        <v>23765</v>
      </c>
      <c r="X3914">
        <v>812916</v>
      </c>
      <c r="Y3914" t="s">
        <v>23766</v>
      </c>
      <c r="Z3914" t="s">
        <v>14638</v>
      </c>
      <c r="AA3914" s="2" t="s">
        <v>23767</v>
      </c>
      <c r="AB3914" t="s">
        <v>23768</v>
      </c>
      <c r="AG3914" t="s">
        <v>23769</v>
      </c>
      <c r="AH3914" t="s">
        <v>23770</v>
      </c>
      <c r="AI3914" t="s">
        <v>23771</v>
      </c>
    </row>
    <row r="3915" spans="2:35" ht="240">
      <c r="B3915" s="1">
        <v>45467</v>
      </c>
      <c r="C3915" s="4">
        <v>45464.519444444442</v>
      </c>
      <c r="D3915" t="s">
        <v>23772</v>
      </c>
      <c r="E3915" t="s">
        <v>23773</v>
      </c>
      <c r="F3915" t="s">
        <v>37</v>
      </c>
      <c r="G3915" t="s">
        <v>748</v>
      </c>
      <c r="H3915" t="s">
        <v>39</v>
      </c>
      <c r="I3915" t="s">
        <v>40</v>
      </c>
      <c r="J3915" t="s">
        <v>109</v>
      </c>
      <c r="K3915" t="s">
        <v>42</v>
      </c>
      <c r="L3915" t="s">
        <v>1028</v>
      </c>
      <c r="N3915" t="s">
        <v>1029</v>
      </c>
      <c r="Q3915">
        <v>28631</v>
      </c>
      <c r="R3915" t="s">
        <v>119</v>
      </c>
      <c r="S3915" t="s">
        <v>23774</v>
      </c>
      <c r="T3915">
        <v>22</v>
      </c>
      <c r="U3915" s="2" t="s">
        <v>3289</v>
      </c>
      <c r="W3915" t="s">
        <v>1967</v>
      </c>
      <c r="X3915">
        <v>821279</v>
      </c>
      <c r="Y3915" t="s">
        <v>3127</v>
      </c>
      <c r="Z3915" t="s">
        <v>1548</v>
      </c>
      <c r="AA3915" s="2" t="s">
        <v>1979</v>
      </c>
      <c r="AB3915" t="s">
        <v>23775</v>
      </c>
      <c r="AG3915" t="s">
        <v>23776</v>
      </c>
      <c r="AH3915" t="s">
        <v>23777</v>
      </c>
      <c r="AI3915" t="s">
        <v>23778</v>
      </c>
    </row>
    <row r="3916" spans="2:35" ht="240">
      <c r="B3916" s="1">
        <v>45467</v>
      </c>
      <c r="C3916" s="4">
        <v>45463.616666666669</v>
      </c>
      <c r="D3916" t="s">
        <v>7019</v>
      </c>
      <c r="E3916" t="s">
        <v>7220</v>
      </c>
      <c r="F3916" t="s">
        <v>148</v>
      </c>
      <c r="G3916" t="s">
        <v>310</v>
      </c>
      <c r="H3916" t="s">
        <v>39</v>
      </c>
      <c r="I3916" t="s">
        <v>40</v>
      </c>
      <c r="J3916" t="s">
        <v>109</v>
      </c>
      <c r="K3916" t="s">
        <v>42</v>
      </c>
      <c r="L3916" t="s">
        <v>1028</v>
      </c>
      <c r="N3916" t="s">
        <v>1029</v>
      </c>
      <c r="Q3916">
        <v>28629</v>
      </c>
      <c r="R3916" t="s">
        <v>322</v>
      </c>
      <c r="S3916" t="s">
        <v>19990</v>
      </c>
      <c r="T3916">
        <v>28</v>
      </c>
      <c r="U3916" s="2" t="s">
        <v>23779</v>
      </c>
      <c r="W3916" t="s">
        <v>1967</v>
      </c>
      <c r="X3916">
        <v>839147</v>
      </c>
      <c r="Y3916" t="s">
        <v>3127</v>
      </c>
      <c r="Z3916" t="s">
        <v>1548</v>
      </c>
      <c r="AA3916" s="2" t="s">
        <v>1979</v>
      </c>
      <c r="AB3916" t="s">
        <v>3300</v>
      </c>
      <c r="AG3916" t="s">
        <v>23780</v>
      </c>
      <c r="AH3916" t="s">
        <v>12282</v>
      </c>
      <c r="AI3916" t="s">
        <v>23781</v>
      </c>
    </row>
    <row r="3917" spans="2:35" ht="135">
      <c r="B3917" s="1">
        <v>45467</v>
      </c>
      <c r="C3917" s="4">
        <v>45457.506944444445</v>
      </c>
      <c r="D3917" t="s">
        <v>3295</v>
      </c>
      <c r="E3917" t="s">
        <v>13938</v>
      </c>
      <c r="F3917" t="s">
        <v>37</v>
      </c>
      <c r="G3917" t="s">
        <v>748</v>
      </c>
      <c r="H3917" t="s">
        <v>39</v>
      </c>
      <c r="I3917" t="s">
        <v>40</v>
      </c>
      <c r="J3917" t="s">
        <v>321</v>
      </c>
      <c r="K3917" t="s">
        <v>42</v>
      </c>
      <c r="L3917" t="s">
        <v>1028</v>
      </c>
      <c r="N3917" t="s">
        <v>1029</v>
      </c>
      <c r="O3917" t="s">
        <v>23782</v>
      </c>
      <c r="Q3917">
        <v>28628</v>
      </c>
      <c r="R3917" t="s">
        <v>322</v>
      </c>
      <c r="S3917" t="s">
        <v>18636</v>
      </c>
      <c r="T3917">
        <v>28</v>
      </c>
      <c r="W3917" t="s">
        <v>14014</v>
      </c>
      <c r="X3917">
        <v>110023457</v>
      </c>
      <c r="Y3917" t="s">
        <v>3763</v>
      </c>
      <c r="Z3917" t="s">
        <v>3764</v>
      </c>
      <c r="AA3917" s="2" t="s">
        <v>23783</v>
      </c>
      <c r="AB3917" s="2" t="s">
        <v>23784</v>
      </c>
      <c r="AC3917" t="s">
        <v>23785</v>
      </c>
      <c r="AG3917" t="s">
        <v>23786</v>
      </c>
      <c r="AH3917" t="s">
        <v>23787</v>
      </c>
      <c r="AI3917" t="s">
        <v>23788</v>
      </c>
    </row>
    <row r="3918" spans="2:35" ht="409.5">
      <c r="B3918" s="1">
        <v>45467</v>
      </c>
      <c r="C3918" s="4">
        <v>45467.399305555555</v>
      </c>
      <c r="D3918" t="s">
        <v>23789</v>
      </c>
      <c r="E3918" t="s">
        <v>23790</v>
      </c>
      <c r="F3918">
        <v>7</v>
      </c>
      <c r="G3918" t="s">
        <v>432</v>
      </c>
      <c r="H3918" t="s">
        <v>608</v>
      </c>
      <c r="I3918" t="s">
        <v>94</v>
      </c>
      <c r="J3918" t="s">
        <v>79</v>
      </c>
      <c r="K3918" t="s">
        <v>42</v>
      </c>
      <c r="L3918" t="s">
        <v>610</v>
      </c>
      <c r="N3918" t="s">
        <v>611</v>
      </c>
      <c r="Q3918">
        <v>28627</v>
      </c>
      <c r="R3918" t="s">
        <v>45</v>
      </c>
      <c r="S3918" t="s">
        <v>23791</v>
      </c>
      <c r="T3918">
        <v>27</v>
      </c>
      <c r="U3918" s="2" t="s">
        <v>23792</v>
      </c>
      <c r="W3918" t="s">
        <v>23277</v>
      </c>
      <c r="X3918">
        <v>834693</v>
      </c>
      <c r="Y3918" t="s">
        <v>23793</v>
      </c>
      <c r="Z3918" s="2" t="s">
        <v>23794</v>
      </c>
      <c r="AA3918" s="2" t="s">
        <v>23795</v>
      </c>
      <c r="AB3918" t="s">
        <v>9638</v>
      </c>
      <c r="AG3918" t="s">
        <v>23796</v>
      </c>
      <c r="AH3918" t="s">
        <v>23797</v>
      </c>
      <c r="AI3918" t="s">
        <v>23798</v>
      </c>
    </row>
    <row r="3919" spans="2:35" ht="195">
      <c r="B3919" s="1">
        <v>45467</v>
      </c>
      <c r="C3919" s="4">
        <v>45464.606249999997</v>
      </c>
      <c r="D3919" t="s">
        <v>23799</v>
      </c>
      <c r="E3919" t="s">
        <v>23800</v>
      </c>
      <c r="F3919" t="s">
        <v>37</v>
      </c>
      <c r="G3919" t="s">
        <v>2499</v>
      </c>
      <c r="H3919" t="s">
        <v>39</v>
      </c>
      <c r="I3919" t="s">
        <v>40</v>
      </c>
      <c r="J3919" t="s">
        <v>109</v>
      </c>
      <c r="K3919" t="s">
        <v>42</v>
      </c>
      <c r="L3919" t="s">
        <v>15532</v>
      </c>
      <c r="N3919" t="s">
        <v>15533</v>
      </c>
      <c r="Q3919">
        <v>28626</v>
      </c>
      <c r="R3919" t="s">
        <v>45</v>
      </c>
      <c r="S3919" t="s">
        <v>23801</v>
      </c>
      <c r="T3919">
        <v>25</v>
      </c>
      <c r="U3919" s="2" t="s">
        <v>23802</v>
      </c>
      <c r="W3919" t="s">
        <v>15535</v>
      </c>
      <c r="X3919">
        <v>808268</v>
      </c>
      <c r="Y3919" t="s">
        <v>15536</v>
      </c>
      <c r="Z3919" t="s">
        <v>23803</v>
      </c>
      <c r="AA3919" s="2" t="s">
        <v>23804</v>
      </c>
      <c r="AB3919" s="2" t="s">
        <v>17482</v>
      </c>
      <c r="AG3919" t="s">
        <v>23805</v>
      </c>
      <c r="AH3919" t="s">
        <v>23806</v>
      </c>
      <c r="AI3919" t="s">
        <v>23807</v>
      </c>
    </row>
    <row r="3920" spans="2:35" ht="195">
      <c r="B3920" s="1">
        <v>45467</v>
      </c>
      <c r="C3920" s="4">
        <v>45464.475694444445</v>
      </c>
      <c r="D3920" t="s">
        <v>2176</v>
      </c>
      <c r="E3920" t="s">
        <v>2177</v>
      </c>
      <c r="F3920" t="s">
        <v>148</v>
      </c>
      <c r="G3920" t="s">
        <v>447</v>
      </c>
      <c r="H3920" t="s">
        <v>17343</v>
      </c>
      <c r="I3920" t="s">
        <v>40</v>
      </c>
      <c r="J3920" t="s">
        <v>109</v>
      </c>
      <c r="K3920" t="s">
        <v>42</v>
      </c>
      <c r="L3920" t="s">
        <v>448</v>
      </c>
      <c r="N3920" t="s">
        <v>650</v>
      </c>
      <c r="O3920" t="s">
        <v>4140</v>
      </c>
      <c r="Q3920">
        <v>28625</v>
      </c>
      <c r="R3920" t="s">
        <v>45</v>
      </c>
      <c r="S3920" t="s">
        <v>2582</v>
      </c>
      <c r="T3920">
        <v>25</v>
      </c>
      <c r="U3920" s="2" t="s">
        <v>23808</v>
      </c>
      <c r="W3920" t="s">
        <v>6121</v>
      </c>
      <c r="X3920">
        <v>803087</v>
      </c>
      <c r="Y3920" t="s">
        <v>485</v>
      </c>
      <c r="Z3920" s="2" t="s">
        <v>2011</v>
      </c>
      <c r="AA3920" t="s">
        <v>122</v>
      </c>
      <c r="AB3920" t="s">
        <v>486</v>
      </c>
      <c r="AG3920" t="s">
        <v>23809</v>
      </c>
      <c r="AH3920" t="s">
        <v>23810</v>
      </c>
      <c r="AI3920" t="s">
        <v>23811</v>
      </c>
    </row>
    <row r="3921" spans="2:35" ht="195">
      <c r="B3921" s="1">
        <v>45467</v>
      </c>
      <c r="C3921" s="4">
        <v>45464.470833333333</v>
      </c>
      <c r="D3921" t="s">
        <v>2176</v>
      </c>
      <c r="E3921" t="s">
        <v>2580</v>
      </c>
      <c r="F3921" t="s">
        <v>148</v>
      </c>
      <c r="G3921" t="s">
        <v>447</v>
      </c>
      <c r="H3921" t="s">
        <v>2581</v>
      </c>
      <c r="I3921" t="s">
        <v>40</v>
      </c>
      <c r="J3921" t="s">
        <v>109</v>
      </c>
      <c r="K3921" t="s">
        <v>42</v>
      </c>
      <c r="L3921" t="s">
        <v>448</v>
      </c>
      <c r="N3921" t="s">
        <v>650</v>
      </c>
      <c r="O3921" t="s">
        <v>4140</v>
      </c>
      <c r="Q3921">
        <v>28624</v>
      </c>
      <c r="R3921" t="s">
        <v>322</v>
      </c>
      <c r="S3921" t="s">
        <v>2582</v>
      </c>
      <c r="T3921">
        <v>25</v>
      </c>
      <c r="U3921" s="2" t="s">
        <v>23808</v>
      </c>
      <c r="W3921" t="s">
        <v>18179</v>
      </c>
      <c r="X3921">
        <v>110014085</v>
      </c>
      <c r="Y3921" t="s">
        <v>485</v>
      </c>
      <c r="Z3921" s="2" t="s">
        <v>2011</v>
      </c>
      <c r="AA3921" t="s">
        <v>122</v>
      </c>
      <c r="AB3921" t="s">
        <v>486</v>
      </c>
      <c r="AG3921" t="s">
        <v>23812</v>
      </c>
      <c r="AH3921" t="s">
        <v>15742</v>
      </c>
      <c r="AI3921" t="s">
        <v>23813</v>
      </c>
    </row>
    <row r="3922" spans="2:35" ht="255">
      <c r="B3922" s="1">
        <v>45467</v>
      </c>
      <c r="C3922" s="4">
        <v>45464.42083333333</v>
      </c>
      <c r="D3922" t="s">
        <v>2176</v>
      </c>
      <c r="E3922" t="s">
        <v>2177</v>
      </c>
      <c r="F3922" t="s">
        <v>148</v>
      </c>
      <c r="G3922" t="s">
        <v>447</v>
      </c>
      <c r="H3922" t="s">
        <v>662</v>
      </c>
      <c r="I3922" t="s">
        <v>40</v>
      </c>
      <c r="J3922" t="s">
        <v>109</v>
      </c>
      <c r="K3922" t="s">
        <v>42</v>
      </c>
      <c r="L3922" t="s">
        <v>448</v>
      </c>
      <c r="N3922" t="s">
        <v>650</v>
      </c>
      <c r="O3922" t="s">
        <v>4140</v>
      </c>
      <c r="Q3922">
        <v>28623</v>
      </c>
      <c r="R3922" t="s">
        <v>322</v>
      </c>
      <c r="S3922" t="s">
        <v>3086</v>
      </c>
      <c r="T3922">
        <v>28</v>
      </c>
      <c r="U3922" s="2" t="s">
        <v>23814</v>
      </c>
      <c r="W3922" t="s">
        <v>18179</v>
      </c>
      <c r="X3922">
        <v>110016781</v>
      </c>
      <c r="Y3922" t="s">
        <v>485</v>
      </c>
      <c r="Z3922" s="2" t="s">
        <v>2011</v>
      </c>
      <c r="AA3922" t="s">
        <v>122</v>
      </c>
      <c r="AB3922" t="s">
        <v>486</v>
      </c>
      <c r="AG3922" t="s">
        <v>23815</v>
      </c>
      <c r="AH3922" t="s">
        <v>2176</v>
      </c>
      <c r="AI3922" t="s">
        <v>23816</v>
      </c>
    </row>
    <row r="3923" spans="2:35" ht="390">
      <c r="B3923" s="1">
        <v>45467</v>
      </c>
      <c r="C3923" s="4">
        <v>45464.386805555558</v>
      </c>
      <c r="D3923" t="s">
        <v>2176</v>
      </c>
      <c r="E3923" t="s">
        <v>2177</v>
      </c>
      <c r="F3923" t="s">
        <v>148</v>
      </c>
      <c r="G3923" t="s">
        <v>447</v>
      </c>
      <c r="H3923" t="s">
        <v>386</v>
      </c>
      <c r="I3923" t="s">
        <v>40</v>
      </c>
      <c r="J3923" t="s">
        <v>109</v>
      </c>
      <c r="K3923" t="s">
        <v>387</v>
      </c>
      <c r="L3923" t="s">
        <v>448</v>
      </c>
      <c r="N3923" t="s">
        <v>650</v>
      </c>
      <c r="O3923" t="s">
        <v>4140</v>
      </c>
      <c r="Q3923">
        <v>28622</v>
      </c>
      <c r="R3923" t="s">
        <v>322</v>
      </c>
      <c r="S3923" t="s">
        <v>9569</v>
      </c>
      <c r="T3923">
        <v>28</v>
      </c>
      <c r="W3923" t="s">
        <v>476</v>
      </c>
      <c r="X3923" t="s">
        <v>2180</v>
      </c>
      <c r="Y3923" t="s">
        <v>485</v>
      </c>
      <c r="Z3923" s="2" t="s">
        <v>23817</v>
      </c>
      <c r="AA3923" t="s">
        <v>122</v>
      </c>
      <c r="AB3923" t="s">
        <v>486</v>
      </c>
      <c r="AG3923" t="s">
        <v>23818</v>
      </c>
      <c r="AH3923" t="s">
        <v>23819</v>
      </c>
      <c r="AI3923" t="s">
        <v>23820</v>
      </c>
    </row>
    <row r="3924" spans="2:35" ht="345">
      <c r="B3924" s="1">
        <v>45467</v>
      </c>
      <c r="C3924" s="4">
        <v>45463.62777777778</v>
      </c>
      <c r="D3924" t="s">
        <v>5903</v>
      </c>
      <c r="E3924" t="s">
        <v>2569</v>
      </c>
      <c r="F3924" t="s">
        <v>148</v>
      </c>
      <c r="G3924" t="s">
        <v>447</v>
      </c>
      <c r="H3924" t="s">
        <v>662</v>
      </c>
      <c r="I3924" t="s">
        <v>40</v>
      </c>
      <c r="J3924" t="s">
        <v>109</v>
      </c>
      <c r="K3924" t="s">
        <v>42</v>
      </c>
      <c r="L3924" t="s">
        <v>448</v>
      </c>
      <c r="N3924" t="s">
        <v>650</v>
      </c>
      <c r="O3924" t="s">
        <v>663</v>
      </c>
      <c r="Q3924">
        <v>28621</v>
      </c>
      <c r="R3924" t="s">
        <v>322</v>
      </c>
      <c r="S3924" t="s">
        <v>3987</v>
      </c>
      <c r="T3924">
        <v>26</v>
      </c>
      <c r="U3924" s="2" t="s">
        <v>23821</v>
      </c>
      <c r="W3924" t="s">
        <v>23822</v>
      </c>
      <c r="X3924">
        <v>110014171</v>
      </c>
      <c r="Y3924" t="s">
        <v>485</v>
      </c>
      <c r="Z3924" s="2" t="s">
        <v>2011</v>
      </c>
      <c r="AA3924" t="s">
        <v>122</v>
      </c>
      <c r="AB3924" t="s">
        <v>486</v>
      </c>
      <c r="AG3924" t="s">
        <v>23823</v>
      </c>
      <c r="AH3924" t="s">
        <v>3991</v>
      </c>
      <c r="AI3924" t="s">
        <v>23824</v>
      </c>
    </row>
    <row r="3925" spans="2:35" ht="195">
      <c r="B3925" s="1">
        <v>45467</v>
      </c>
      <c r="C3925" s="4">
        <v>45463.620833333334</v>
      </c>
      <c r="D3925" t="s">
        <v>5903</v>
      </c>
      <c r="E3925" t="s">
        <v>2569</v>
      </c>
      <c r="F3925" t="s">
        <v>148</v>
      </c>
      <c r="G3925" t="s">
        <v>447</v>
      </c>
      <c r="H3925" t="s">
        <v>662</v>
      </c>
      <c r="I3925" t="s">
        <v>40</v>
      </c>
      <c r="J3925" t="s">
        <v>109</v>
      </c>
      <c r="K3925" t="s">
        <v>42</v>
      </c>
      <c r="L3925" t="s">
        <v>448</v>
      </c>
      <c r="N3925" t="s">
        <v>650</v>
      </c>
      <c r="O3925" t="s">
        <v>663</v>
      </c>
      <c r="Q3925">
        <v>28620</v>
      </c>
      <c r="R3925" t="s">
        <v>45</v>
      </c>
      <c r="S3925" t="s">
        <v>3987</v>
      </c>
      <c r="T3925">
        <v>26</v>
      </c>
      <c r="U3925" s="2" t="s">
        <v>23825</v>
      </c>
      <c r="W3925" t="s">
        <v>6121</v>
      </c>
      <c r="X3925">
        <v>803109</v>
      </c>
      <c r="Y3925" t="s">
        <v>485</v>
      </c>
      <c r="Z3925" s="2" t="s">
        <v>2011</v>
      </c>
      <c r="AA3925" t="s">
        <v>122</v>
      </c>
      <c r="AB3925" t="s">
        <v>486</v>
      </c>
      <c r="AG3925" t="s">
        <v>23826</v>
      </c>
      <c r="AH3925" t="s">
        <v>3991</v>
      </c>
      <c r="AI3925" t="s">
        <v>23827</v>
      </c>
    </row>
    <row r="3926" spans="2:35" ht="409.5">
      <c r="B3926" s="1">
        <v>45466</v>
      </c>
      <c r="C3926" s="4">
        <v>45456.615972222222</v>
      </c>
      <c r="D3926" t="s">
        <v>23828</v>
      </c>
      <c r="E3926" t="s">
        <v>23829</v>
      </c>
      <c r="F3926">
        <v>3</v>
      </c>
      <c r="G3926" t="s">
        <v>730</v>
      </c>
      <c r="H3926" t="s">
        <v>39</v>
      </c>
      <c r="I3926" t="s">
        <v>40</v>
      </c>
      <c r="J3926" s="2" t="s">
        <v>190</v>
      </c>
      <c r="K3926" t="s">
        <v>42</v>
      </c>
      <c r="L3926" t="s">
        <v>135</v>
      </c>
      <c r="N3926" t="s">
        <v>136</v>
      </c>
      <c r="Q3926">
        <v>28619</v>
      </c>
      <c r="R3926" t="s">
        <v>119</v>
      </c>
      <c r="S3926" t="s">
        <v>23830</v>
      </c>
      <c r="T3926">
        <v>28</v>
      </c>
      <c r="U3926" s="2" t="s">
        <v>3524</v>
      </c>
      <c r="W3926" t="s">
        <v>2680</v>
      </c>
      <c r="X3926">
        <v>831697</v>
      </c>
      <c r="Y3926" s="2" t="s">
        <v>23831</v>
      </c>
      <c r="Z3926" s="2" t="s">
        <v>23832</v>
      </c>
      <c r="AA3926" s="2" t="s">
        <v>23833</v>
      </c>
      <c r="AB3926" s="2" t="s">
        <v>23834</v>
      </c>
      <c r="AG3926" t="s">
        <v>23835</v>
      </c>
      <c r="AH3926" t="s">
        <v>23836</v>
      </c>
      <c r="AI3926" t="s">
        <v>23837</v>
      </c>
    </row>
    <row r="3927" spans="2:35" ht="360">
      <c r="B3927" s="1">
        <v>45466</v>
      </c>
      <c r="C3927" s="4">
        <v>45456.557638888888</v>
      </c>
      <c r="D3927" t="s">
        <v>728</v>
      </c>
      <c r="E3927" t="s">
        <v>729</v>
      </c>
      <c r="F3927">
        <v>3</v>
      </c>
      <c r="G3927" t="s">
        <v>730</v>
      </c>
      <c r="H3927" t="s">
        <v>39</v>
      </c>
      <c r="I3927" t="s">
        <v>40</v>
      </c>
      <c r="J3927" t="s">
        <v>109</v>
      </c>
      <c r="K3927" t="s">
        <v>42</v>
      </c>
      <c r="L3927" t="s">
        <v>135</v>
      </c>
      <c r="N3927" t="s">
        <v>136</v>
      </c>
      <c r="Q3927">
        <v>28618</v>
      </c>
      <c r="R3927" t="s">
        <v>119</v>
      </c>
      <c r="S3927" t="s">
        <v>731</v>
      </c>
      <c r="T3927">
        <v>29</v>
      </c>
      <c r="U3927" s="2" t="s">
        <v>23838</v>
      </c>
      <c r="W3927" t="s">
        <v>2680</v>
      </c>
      <c r="X3927">
        <v>831721</v>
      </c>
      <c r="Y3927" s="2" t="s">
        <v>23839</v>
      </c>
      <c r="Z3927" t="s">
        <v>4315</v>
      </c>
      <c r="AA3927" s="2" t="s">
        <v>4316</v>
      </c>
      <c r="AB3927" s="2" t="s">
        <v>23840</v>
      </c>
      <c r="AG3927" t="s">
        <v>23841</v>
      </c>
      <c r="AH3927" t="s">
        <v>735</v>
      </c>
      <c r="AI3927" t="s">
        <v>23842</v>
      </c>
    </row>
    <row r="3928" spans="2:35" ht="105">
      <c r="B3928" s="1">
        <v>45465</v>
      </c>
      <c r="C3928" s="4">
        <v>45464.481944444444</v>
      </c>
      <c r="D3928" t="s">
        <v>7038</v>
      </c>
      <c r="E3928" t="s">
        <v>23843</v>
      </c>
      <c r="F3928">
        <v>1</v>
      </c>
      <c r="G3928" t="s">
        <v>1046</v>
      </c>
      <c r="H3928" t="s">
        <v>1047</v>
      </c>
      <c r="I3928" t="s">
        <v>40</v>
      </c>
      <c r="J3928" s="2" t="s">
        <v>62</v>
      </c>
      <c r="K3928" t="s">
        <v>42</v>
      </c>
      <c r="L3928" t="s">
        <v>1048</v>
      </c>
      <c r="N3928" t="s">
        <v>1049</v>
      </c>
      <c r="Q3928">
        <v>28617</v>
      </c>
      <c r="R3928" t="s">
        <v>119</v>
      </c>
      <c r="S3928" t="s">
        <v>15047</v>
      </c>
      <c r="T3928">
        <v>24</v>
      </c>
      <c r="U3928" s="2" t="s">
        <v>4094</v>
      </c>
      <c r="V3928" s="1">
        <v>45412</v>
      </c>
      <c r="W3928" t="s">
        <v>1051</v>
      </c>
      <c r="X3928">
        <v>838278</v>
      </c>
      <c r="Y3928" t="e">
        <f ca="1">- _xludf.For CALIBRATION _xludf.and Preventive Maintenance</f>
        <v>#NAME?</v>
      </c>
      <c r="Z3928" t="e">
        <f ca="1">- cleaned cartridge Bays, plunger Rods _xludf.and I-CORE
- performed XpertCheck
- generated reports</f>
        <v>#NAME?</v>
      </c>
      <c r="AA3928" t="e">
        <f ca="1">- performed CALIBRATION _xludf.and Preventive Maintenance</f>
        <v>#NAME?</v>
      </c>
      <c r="AB3928" t="e">
        <f ca="1">- Unit is Fully operational
- ALL modules passed</f>
        <v>#NAME?</v>
      </c>
      <c r="AD3928" t="s">
        <v>1958</v>
      </c>
      <c r="AE3928" t="s">
        <v>23844</v>
      </c>
      <c r="AG3928" t="s">
        <v>23845</v>
      </c>
      <c r="AH3928" t="s">
        <v>23846</v>
      </c>
      <c r="AI3928" t="s">
        <v>23847</v>
      </c>
    </row>
    <row r="3929" spans="2:35" ht="105">
      <c r="B3929" s="1">
        <v>45465</v>
      </c>
      <c r="C3929" s="4">
        <v>45463.447222222225</v>
      </c>
      <c r="D3929" t="s">
        <v>1057</v>
      </c>
      <c r="E3929" t="s">
        <v>16764</v>
      </c>
      <c r="F3929">
        <v>1</v>
      </c>
      <c r="G3929" t="s">
        <v>1046</v>
      </c>
      <c r="H3929" t="s">
        <v>39</v>
      </c>
      <c r="I3929" t="s">
        <v>40</v>
      </c>
      <c r="J3929" t="s">
        <v>109</v>
      </c>
      <c r="K3929" t="s">
        <v>42</v>
      </c>
      <c r="L3929" t="s">
        <v>1048</v>
      </c>
      <c r="N3929" t="s">
        <v>1049</v>
      </c>
      <c r="Q3929">
        <v>28616</v>
      </c>
      <c r="R3929" t="s">
        <v>95</v>
      </c>
      <c r="S3929" t="s">
        <v>1059</v>
      </c>
      <c r="T3929">
        <v>27</v>
      </c>
      <c r="U3929" s="2" t="s">
        <v>9304</v>
      </c>
      <c r="W3929" t="s">
        <v>23848</v>
      </c>
      <c r="X3929">
        <v>820303</v>
      </c>
      <c r="Y3929" t="e">
        <f ca="1">- _xludf.For Preventive Maintenance</f>
        <v>#NAME?</v>
      </c>
      <c r="Z3929" t="e">
        <f ca="1">- cleaned cartridge Bays, plunger Rods _xludf.and I-CORE
- generated reports</f>
        <v>#NAME?</v>
      </c>
      <c r="AA3929" t="e">
        <f ca="1">- performed Preventive Maintenance</f>
        <v>#NAME?</v>
      </c>
      <c r="AB3929" t="e">
        <f ca="1">- Unit is Partially operational</f>
        <v>#NAME?</v>
      </c>
      <c r="AG3929" t="s">
        <v>23849</v>
      </c>
      <c r="AH3929" t="s">
        <v>3393</v>
      </c>
      <c r="AI3929" t="s">
        <v>23850</v>
      </c>
    </row>
    <row r="3930" spans="2:35" ht="270">
      <c r="B3930" s="1">
        <v>45465</v>
      </c>
      <c r="C3930" s="4">
        <v>45463.38958333333</v>
      </c>
      <c r="D3930" t="s">
        <v>4503</v>
      </c>
      <c r="E3930" t="s">
        <v>4504</v>
      </c>
      <c r="F3930">
        <v>1</v>
      </c>
      <c r="G3930" t="s">
        <v>1046</v>
      </c>
      <c r="H3930" t="s">
        <v>1047</v>
      </c>
      <c r="I3930" t="s">
        <v>40</v>
      </c>
      <c r="J3930" s="2" t="s">
        <v>62</v>
      </c>
      <c r="K3930" t="s">
        <v>42</v>
      </c>
      <c r="L3930" t="s">
        <v>1048</v>
      </c>
      <c r="N3930" t="s">
        <v>1049</v>
      </c>
      <c r="Q3930">
        <v>28615</v>
      </c>
      <c r="R3930" t="s">
        <v>119</v>
      </c>
      <c r="S3930" t="s">
        <v>4505</v>
      </c>
      <c r="T3930">
        <v>29</v>
      </c>
      <c r="U3930" s="2" t="s">
        <v>23792</v>
      </c>
      <c r="V3930" s="1">
        <v>45414</v>
      </c>
      <c r="W3930" t="s">
        <v>1051</v>
      </c>
      <c r="X3930">
        <v>838516</v>
      </c>
      <c r="Y3930" t="s">
        <v>19602</v>
      </c>
      <c r="Z3930" t="e">
        <f ca="1">- cleaned cartridge Bays, plunger Rods _xludf.and I-CORE
- performed XpertCheck
- generated reports</f>
        <v>#NAME?</v>
      </c>
      <c r="AA3930" t="s">
        <v>20523</v>
      </c>
      <c r="AB3930" s="2" t="s">
        <v>23851</v>
      </c>
      <c r="AD3930" t="s">
        <v>1958</v>
      </c>
      <c r="AE3930" t="s">
        <v>23852</v>
      </c>
      <c r="AG3930" t="s">
        <v>23853</v>
      </c>
      <c r="AH3930" t="s">
        <v>4507</v>
      </c>
      <c r="AI3930" t="s">
        <v>23854</v>
      </c>
    </row>
    <row r="3931" spans="2:35" ht="165">
      <c r="B3931" s="1">
        <v>45465</v>
      </c>
      <c r="C3931" s="4">
        <v>45465.65347222222</v>
      </c>
      <c r="D3931" t="s">
        <v>22658</v>
      </c>
      <c r="E3931" t="s">
        <v>23855</v>
      </c>
      <c r="F3931">
        <v>2</v>
      </c>
      <c r="G3931" t="s">
        <v>60</v>
      </c>
      <c r="H3931" t="s">
        <v>39</v>
      </c>
      <c r="I3931" t="s">
        <v>40</v>
      </c>
      <c r="J3931" s="2" t="s">
        <v>190</v>
      </c>
      <c r="K3931" t="s">
        <v>42</v>
      </c>
      <c r="L3931" t="s">
        <v>63</v>
      </c>
      <c r="N3931" t="s">
        <v>64</v>
      </c>
      <c r="Q3931">
        <v>28614</v>
      </c>
      <c r="R3931" t="s">
        <v>45</v>
      </c>
      <c r="S3931" t="s">
        <v>23856</v>
      </c>
      <c r="T3931">
        <v>29</v>
      </c>
      <c r="U3931" s="2" t="s">
        <v>23857</v>
      </c>
      <c r="W3931" t="s">
        <v>23858</v>
      </c>
      <c r="X3931">
        <v>834802</v>
      </c>
      <c r="Y3931" t="s">
        <v>23859</v>
      </c>
      <c r="Z3931" t="s">
        <v>23860</v>
      </c>
      <c r="AA3931" s="2" t="s">
        <v>1727</v>
      </c>
      <c r="AB3931" t="s">
        <v>70</v>
      </c>
      <c r="AG3931" t="s">
        <v>23861</v>
      </c>
      <c r="AH3931" t="s">
        <v>23862</v>
      </c>
      <c r="AI3931" t="s">
        <v>23863</v>
      </c>
    </row>
    <row r="3932" spans="2:35" ht="345">
      <c r="B3932" s="1">
        <v>45465</v>
      </c>
      <c r="C3932" s="4">
        <v>45464.604166666664</v>
      </c>
      <c r="D3932" t="s">
        <v>23864</v>
      </c>
      <c r="E3932" t="s">
        <v>23800</v>
      </c>
      <c r="F3932" t="s">
        <v>37</v>
      </c>
      <c r="G3932" t="s">
        <v>2499</v>
      </c>
      <c r="H3932" t="s">
        <v>39</v>
      </c>
      <c r="I3932" t="s">
        <v>40</v>
      </c>
      <c r="J3932" s="2" t="s">
        <v>62</v>
      </c>
      <c r="K3932" t="s">
        <v>42</v>
      </c>
      <c r="L3932" t="s">
        <v>15532</v>
      </c>
      <c r="N3932" t="s">
        <v>15533</v>
      </c>
      <c r="Q3932">
        <v>28613</v>
      </c>
      <c r="R3932" t="s">
        <v>45</v>
      </c>
      <c r="S3932" t="s">
        <v>23801</v>
      </c>
      <c r="T3932">
        <v>25</v>
      </c>
      <c r="U3932" s="2" t="s">
        <v>23865</v>
      </c>
      <c r="V3932" s="1">
        <v>45411</v>
      </c>
      <c r="W3932" t="s">
        <v>16496</v>
      </c>
      <c r="X3932">
        <v>834625</v>
      </c>
      <c r="Y3932" t="s">
        <v>21420</v>
      </c>
      <c r="Z3932" s="2" t="s">
        <v>20894</v>
      </c>
      <c r="AA3932" s="2" t="s">
        <v>23866</v>
      </c>
      <c r="AB3932" s="2" t="s">
        <v>22158</v>
      </c>
      <c r="AD3932" t="s">
        <v>948</v>
      </c>
      <c r="AE3932" t="s">
        <v>23867</v>
      </c>
      <c r="AG3932" t="s">
        <v>23868</v>
      </c>
      <c r="AH3932" t="s">
        <v>23806</v>
      </c>
      <c r="AI3932" t="s">
        <v>23869</v>
      </c>
    </row>
    <row r="3933" spans="2:35" ht="180">
      <c r="B3933" s="1">
        <v>45464</v>
      </c>
      <c r="C3933" s="4">
        <v>45462.710416666669</v>
      </c>
      <c r="D3933" t="s">
        <v>1825</v>
      </c>
      <c r="E3933" t="s">
        <v>13071</v>
      </c>
      <c r="F3933">
        <v>7</v>
      </c>
      <c r="G3933" t="s">
        <v>432</v>
      </c>
      <c r="H3933" t="s">
        <v>39</v>
      </c>
      <c r="I3933" t="s">
        <v>40</v>
      </c>
      <c r="J3933" s="2" t="s">
        <v>1370</v>
      </c>
      <c r="K3933" t="s">
        <v>42</v>
      </c>
      <c r="L3933" t="s">
        <v>433</v>
      </c>
      <c r="N3933" t="s">
        <v>434</v>
      </c>
      <c r="Q3933">
        <v>28612</v>
      </c>
      <c r="R3933" t="s">
        <v>45</v>
      </c>
      <c r="S3933" t="s">
        <v>1818</v>
      </c>
      <c r="T3933">
        <v>22</v>
      </c>
      <c r="W3933" t="s">
        <v>502</v>
      </c>
      <c r="X3933">
        <v>120000180</v>
      </c>
      <c r="Y3933" t="s">
        <v>23870</v>
      </c>
      <c r="Z3933" s="2" t="s">
        <v>23871</v>
      </c>
      <c r="AA3933" s="2" t="s">
        <v>23871</v>
      </c>
      <c r="AB3933" t="s">
        <v>1011</v>
      </c>
      <c r="AG3933" t="s">
        <v>23872</v>
      </c>
      <c r="AH3933" t="s">
        <v>1823</v>
      </c>
      <c r="AI3933" t="s">
        <v>23873</v>
      </c>
    </row>
    <row r="3934" spans="2:35" ht="300">
      <c r="B3934" s="1">
        <v>45464</v>
      </c>
      <c r="C3934" s="4">
        <v>45464.60833333333</v>
      </c>
      <c r="D3934" t="s">
        <v>5546</v>
      </c>
      <c r="E3934" t="s">
        <v>1555</v>
      </c>
      <c r="F3934">
        <v>7</v>
      </c>
      <c r="G3934" t="s">
        <v>432</v>
      </c>
      <c r="H3934" t="s">
        <v>39</v>
      </c>
      <c r="I3934" t="s">
        <v>40</v>
      </c>
      <c r="J3934" s="2" t="s">
        <v>1899</v>
      </c>
      <c r="K3934" t="s">
        <v>42</v>
      </c>
      <c r="L3934" t="s">
        <v>433</v>
      </c>
      <c r="N3934" t="s">
        <v>434</v>
      </c>
      <c r="Q3934">
        <v>28611</v>
      </c>
      <c r="R3934" t="s">
        <v>45</v>
      </c>
      <c r="S3934" t="s">
        <v>5548</v>
      </c>
      <c r="T3934">
        <v>24</v>
      </c>
      <c r="W3934" t="s">
        <v>502</v>
      </c>
      <c r="X3934">
        <v>804840</v>
      </c>
      <c r="Y3934" t="s">
        <v>23874</v>
      </c>
      <c r="Z3934" s="2" t="s">
        <v>23875</v>
      </c>
      <c r="AA3934" s="2" t="s">
        <v>23876</v>
      </c>
      <c r="AB3934" t="s">
        <v>1011</v>
      </c>
      <c r="AG3934" t="s">
        <v>23877</v>
      </c>
      <c r="AH3934" t="s">
        <v>7130</v>
      </c>
      <c r="AI3934" t="s">
        <v>23878</v>
      </c>
    </row>
    <row r="3935" spans="2:35" ht="165">
      <c r="B3935" s="1">
        <v>45464</v>
      </c>
      <c r="C3935" s="4">
        <v>45464.67291666667</v>
      </c>
      <c r="D3935" t="s">
        <v>9427</v>
      </c>
      <c r="E3935" t="s">
        <v>11438</v>
      </c>
      <c r="F3935">
        <v>2</v>
      </c>
      <c r="G3935" t="s">
        <v>2723</v>
      </c>
      <c r="H3935" t="s">
        <v>39</v>
      </c>
      <c r="I3935" t="s">
        <v>40</v>
      </c>
      <c r="J3935" s="2" t="s">
        <v>1157</v>
      </c>
      <c r="K3935" t="s">
        <v>42</v>
      </c>
      <c r="L3935" t="s">
        <v>63</v>
      </c>
      <c r="N3935" t="s">
        <v>64</v>
      </c>
      <c r="O3935" t="s">
        <v>23879</v>
      </c>
      <c r="Q3935">
        <v>28610</v>
      </c>
      <c r="R3935" t="s">
        <v>119</v>
      </c>
      <c r="S3935" t="s">
        <v>9429</v>
      </c>
      <c r="T3935">
        <v>28</v>
      </c>
      <c r="U3935" s="2" t="s">
        <v>23880</v>
      </c>
      <c r="V3935" s="1">
        <v>45464</v>
      </c>
      <c r="W3935" t="s">
        <v>23881</v>
      </c>
      <c r="X3935">
        <v>838530</v>
      </c>
      <c r="Y3935" s="2" t="s">
        <v>23882</v>
      </c>
      <c r="Z3935" s="2" t="s">
        <v>23883</v>
      </c>
      <c r="AA3935" s="2" t="s">
        <v>1727</v>
      </c>
      <c r="AB3935" t="s">
        <v>70</v>
      </c>
      <c r="AG3935" t="s">
        <v>23884</v>
      </c>
      <c r="AH3935" t="s">
        <v>23885</v>
      </c>
      <c r="AI3935" t="s">
        <v>23886</v>
      </c>
    </row>
    <row r="3936" spans="2:35" ht="105">
      <c r="B3936" s="1">
        <v>45464</v>
      </c>
      <c r="C3936" s="4">
        <v>45464.65</v>
      </c>
      <c r="D3936" t="s">
        <v>23488</v>
      </c>
      <c r="E3936" t="s">
        <v>23489</v>
      </c>
      <c r="F3936">
        <v>5</v>
      </c>
      <c r="G3936" t="s">
        <v>8314</v>
      </c>
      <c r="H3936" t="s">
        <v>39</v>
      </c>
      <c r="I3936" t="s">
        <v>40</v>
      </c>
      <c r="J3936" s="2" t="s">
        <v>190</v>
      </c>
      <c r="K3936" t="s">
        <v>42</v>
      </c>
      <c r="L3936" t="s">
        <v>761</v>
      </c>
      <c r="N3936" t="s">
        <v>762</v>
      </c>
      <c r="Q3936">
        <v>28609</v>
      </c>
      <c r="R3936" t="s">
        <v>45</v>
      </c>
      <c r="S3936" t="s">
        <v>23490</v>
      </c>
      <c r="T3936">
        <v>27</v>
      </c>
      <c r="U3936" s="2" t="s">
        <v>23887</v>
      </c>
      <c r="W3936" t="s">
        <v>765</v>
      </c>
      <c r="X3936">
        <v>835215</v>
      </c>
      <c r="Y3936" t="s">
        <v>23888</v>
      </c>
      <c r="Z3936" s="2" t="s">
        <v>23889</v>
      </c>
      <c r="AA3936" t="s">
        <v>820</v>
      </c>
      <c r="AB3936" t="s">
        <v>70</v>
      </c>
      <c r="AC3936" t="s">
        <v>23890</v>
      </c>
      <c r="AG3936" t="s">
        <v>23891</v>
      </c>
      <c r="AH3936" t="s">
        <v>23892</v>
      </c>
      <c r="AI3936" t="s">
        <v>23893</v>
      </c>
    </row>
    <row r="3937" spans="2:35" ht="409.5">
      <c r="B3937" s="1">
        <v>45464</v>
      </c>
      <c r="C3937" s="4">
        <v>45464.622916666667</v>
      </c>
      <c r="D3937" t="s">
        <v>23894</v>
      </c>
      <c r="E3937" t="s">
        <v>23895</v>
      </c>
      <c r="F3937">
        <v>11</v>
      </c>
      <c r="G3937" t="s">
        <v>1205</v>
      </c>
      <c r="H3937" t="s">
        <v>202</v>
      </c>
      <c r="I3937" t="s">
        <v>94</v>
      </c>
      <c r="J3937" s="2" t="s">
        <v>1309</v>
      </c>
      <c r="K3937" t="s">
        <v>42</v>
      </c>
      <c r="L3937" t="s">
        <v>204</v>
      </c>
      <c r="N3937" t="s">
        <v>205</v>
      </c>
      <c r="Q3937">
        <v>28608</v>
      </c>
      <c r="R3937" t="s">
        <v>719</v>
      </c>
      <c r="S3937" t="s">
        <v>22411</v>
      </c>
      <c r="T3937">
        <v>22.9</v>
      </c>
      <c r="W3937" t="s">
        <v>23237</v>
      </c>
      <c r="X3937">
        <v>804835</v>
      </c>
      <c r="Y3937" s="2" t="s">
        <v>23896</v>
      </c>
      <c r="Z3937" s="2" t="s">
        <v>23897</v>
      </c>
      <c r="AA3937" s="2" t="s">
        <v>23898</v>
      </c>
      <c r="AB3937" s="2" t="s">
        <v>23899</v>
      </c>
      <c r="AC3937" t="s">
        <v>23900</v>
      </c>
      <c r="AG3937" t="s">
        <v>23901</v>
      </c>
      <c r="AH3937" t="s">
        <v>23902</v>
      </c>
      <c r="AI3937" t="s">
        <v>23903</v>
      </c>
    </row>
    <row r="3938" spans="2:35" ht="409.5">
      <c r="B3938" s="1">
        <v>45464</v>
      </c>
      <c r="C3938" s="4">
        <v>45464.580555555556</v>
      </c>
      <c r="D3938" t="s">
        <v>23904</v>
      </c>
      <c r="E3938" t="s">
        <v>23905</v>
      </c>
      <c r="F3938" t="s">
        <v>37</v>
      </c>
      <c r="G3938" t="s">
        <v>2499</v>
      </c>
      <c r="H3938" t="s">
        <v>61</v>
      </c>
      <c r="I3938" t="s">
        <v>40</v>
      </c>
      <c r="J3938" s="2" t="s">
        <v>1309</v>
      </c>
      <c r="K3938" t="s">
        <v>42</v>
      </c>
      <c r="L3938" t="s">
        <v>15532</v>
      </c>
      <c r="N3938" t="s">
        <v>15533</v>
      </c>
      <c r="Q3938">
        <v>28607</v>
      </c>
      <c r="R3938" t="s">
        <v>45</v>
      </c>
      <c r="S3938" t="s">
        <v>23801</v>
      </c>
      <c r="T3938">
        <v>22</v>
      </c>
      <c r="U3938" s="2" t="s">
        <v>23906</v>
      </c>
      <c r="V3938" s="1">
        <v>45411</v>
      </c>
      <c r="W3938" t="s">
        <v>16496</v>
      </c>
      <c r="X3938">
        <v>838871</v>
      </c>
      <c r="Y3938" s="2" t="s">
        <v>23907</v>
      </c>
      <c r="Z3938" s="2" t="s">
        <v>23908</v>
      </c>
      <c r="AA3938" s="2" t="s">
        <v>23909</v>
      </c>
      <c r="AB3938" s="2" t="s">
        <v>23910</v>
      </c>
      <c r="AD3938" s="2" t="s">
        <v>23911</v>
      </c>
      <c r="AE3938" t="s">
        <v>23912</v>
      </c>
      <c r="AG3938" t="s">
        <v>23913</v>
      </c>
      <c r="AH3938" t="s">
        <v>23806</v>
      </c>
      <c r="AI3938" t="s">
        <v>23914</v>
      </c>
    </row>
    <row r="3939" spans="2:35" ht="360">
      <c r="B3939" s="1">
        <v>45464</v>
      </c>
      <c r="C3939" s="4">
        <v>45464.553472222222</v>
      </c>
      <c r="D3939" t="s">
        <v>3897</v>
      </c>
      <c r="E3939" t="s">
        <v>3140</v>
      </c>
      <c r="F3939">
        <v>3</v>
      </c>
      <c r="G3939" t="s">
        <v>174</v>
      </c>
      <c r="H3939" t="s">
        <v>39</v>
      </c>
      <c r="I3939" t="s">
        <v>40</v>
      </c>
      <c r="J3939" t="s">
        <v>109</v>
      </c>
      <c r="K3939" t="s">
        <v>42</v>
      </c>
      <c r="L3939" t="s">
        <v>175</v>
      </c>
      <c r="N3939" t="s">
        <v>176</v>
      </c>
      <c r="Q3939">
        <v>28606</v>
      </c>
      <c r="R3939" t="s">
        <v>95</v>
      </c>
      <c r="S3939" t="s">
        <v>3898</v>
      </c>
      <c r="T3939">
        <v>25</v>
      </c>
      <c r="U3939" s="2" t="s">
        <v>23915</v>
      </c>
      <c r="W3939" t="s">
        <v>84</v>
      </c>
      <c r="X3939">
        <v>110008530</v>
      </c>
      <c r="Y3939" t="s">
        <v>374</v>
      </c>
      <c r="Z3939" t="s">
        <v>103</v>
      </c>
      <c r="AA3939" t="e">
        <f ca="1">- checked _xludf.and cleaned cartridge bay, plunger rod, _xludf.filter
- generated reports
- performed self test</f>
        <v>#NAME?</v>
      </c>
      <c r="AB3939" s="2" t="s">
        <v>18603</v>
      </c>
      <c r="AG3939" t="s">
        <v>23916</v>
      </c>
      <c r="AH3939" t="s">
        <v>8100</v>
      </c>
      <c r="AI3939" t="s">
        <v>23917</v>
      </c>
    </row>
    <row r="3940" spans="2:35" ht="240">
      <c r="B3940" s="1">
        <v>45464</v>
      </c>
      <c r="C3940" s="4">
        <v>45464.509027777778</v>
      </c>
      <c r="D3940" t="s">
        <v>23918</v>
      </c>
      <c r="E3940" t="s">
        <v>23919</v>
      </c>
      <c r="F3940">
        <v>2</v>
      </c>
      <c r="G3940" t="s">
        <v>2723</v>
      </c>
      <c r="H3940" t="s">
        <v>39</v>
      </c>
      <c r="I3940" t="s">
        <v>40</v>
      </c>
      <c r="J3940" s="2" t="s">
        <v>1808</v>
      </c>
      <c r="K3940" t="s">
        <v>42</v>
      </c>
      <c r="L3940" t="s">
        <v>63</v>
      </c>
      <c r="N3940" t="s">
        <v>64</v>
      </c>
      <c r="Q3940">
        <v>28605</v>
      </c>
      <c r="R3940" t="s">
        <v>45</v>
      </c>
      <c r="S3940" t="s">
        <v>23920</v>
      </c>
      <c r="T3940">
        <v>29</v>
      </c>
      <c r="W3940" t="s">
        <v>23858</v>
      </c>
      <c r="X3940">
        <v>834839</v>
      </c>
      <c r="Y3940" t="s">
        <v>1716</v>
      </c>
      <c r="Z3940" t="s">
        <v>1716</v>
      </c>
      <c r="AA3940" s="2" t="s">
        <v>23921</v>
      </c>
      <c r="AB3940" t="s">
        <v>70</v>
      </c>
      <c r="AG3940" t="s">
        <v>23922</v>
      </c>
      <c r="AH3940" t="s">
        <v>23923</v>
      </c>
      <c r="AI3940" t="s">
        <v>23924</v>
      </c>
    </row>
    <row r="3941" spans="2:35" ht="255">
      <c r="B3941" s="1">
        <v>45464</v>
      </c>
      <c r="C3941" s="4">
        <v>45464.424305555556</v>
      </c>
      <c r="D3941" t="s">
        <v>10344</v>
      </c>
      <c r="E3941" t="s">
        <v>10345</v>
      </c>
      <c r="F3941">
        <v>2</v>
      </c>
      <c r="G3941" t="s">
        <v>2723</v>
      </c>
      <c r="H3941" t="s">
        <v>39</v>
      </c>
      <c r="I3941" t="s">
        <v>40</v>
      </c>
      <c r="J3941" s="2" t="s">
        <v>1309</v>
      </c>
      <c r="K3941" t="s">
        <v>42</v>
      </c>
      <c r="L3941" t="s">
        <v>63</v>
      </c>
      <c r="N3941" t="s">
        <v>64</v>
      </c>
      <c r="Q3941">
        <v>28604</v>
      </c>
      <c r="R3941" t="s">
        <v>119</v>
      </c>
      <c r="S3941" t="s">
        <v>10346</v>
      </c>
      <c r="T3941">
        <v>2</v>
      </c>
      <c r="U3941" s="2" t="s">
        <v>23925</v>
      </c>
      <c r="V3941" s="1">
        <v>45405</v>
      </c>
      <c r="W3941" t="s">
        <v>66</v>
      </c>
      <c r="X3941">
        <v>838474</v>
      </c>
      <c r="Y3941" s="2" t="s">
        <v>23926</v>
      </c>
      <c r="Z3941" s="2" t="s">
        <v>23927</v>
      </c>
      <c r="AA3941" s="2" t="s">
        <v>1727</v>
      </c>
      <c r="AB3941" t="s">
        <v>70</v>
      </c>
      <c r="AD3941" t="s">
        <v>23928</v>
      </c>
      <c r="AE3941">
        <v>11434</v>
      </c>
      <c r="AG3941" t="s">
        <v>23929</v>
      </c>
      <c r="AH3941" t="s">
        <v>10350</v>
      </c>
      <c r="AI3941" t="s">
        <v>23930</v>
      </c>
    </row>
    <row r="3942" spans="2:35" ht="345">
      <c r="B3942" s="1">
        <v>45463</v>
      </c>
      <c r="C3942" s="4">
        <v>45463.677777777775</v>
      </c>
      <c r="D3942" t="s">
        <v>8393</v>
      </c>
      <c r="E3942" t="s">
        <v>2774</v>
      </c>
      <c r="F3942">
        <v>2</v>
      </c>
      <c r="G3942" t="s">
        <v>2723</v>
      </c>
      <c r="H3942" t="s">
        <v>386</v>
      </c>
      <c r="I3942" t="s">
        <v>40</v>
      </c>
      <c r="J3942" s="2" t="s">
        <v>62</v>
      </c>
      <c r="K3942" t="s">
        <v>387</v>
      </c>
      <c r="L3942" t="s">
        <v>63</v>
      </c>
      <c r="N3942" t="s">
        <v>64</v>
      </c>
      <c r="O3942" t="s">
        <v>23931</v>
      </c>
      <c r="Q3942">
        <v>28603</v>
      </c>
      <c r="R3942" t="s">
        <v>119</v>
      </c>
      <c r="S3942" t="s">
        <v>8395</v>
      </c>
      <c r="T3942">
        <v>28</v>
      </c>
      <c r="W3942" t="s">
        <v>390</v>
      </c>
      <c r="X3942" t="s">
        <v>8396</v>
      </c>
      <c r="Y3942" t="s">
        <v>67</v>
      </c>
      <c r="Z3942" s="2" t="s">
        <v>23932</v>
      </c>
      <c r="AA3942" s="2" t="s">
        <v>23933</v>
      </c>
      <c r="AB3942" t="s">
        <v>70</v>
      </c>
      <c r="AG3942" t="s">
        <v>23934</v>
      </c>
      <c r="AH3942" t="s">
        <v>8402</v>
      </c>
      <c r="AI3942" t="s">
        <v>23935</v>
      </c>
    </row>
    <row r="3943" spans="2:35" ht="195">
      <c r="B3943" s="1">
        <v>45463</v>
      </c>
      <c r="C3943" s="4">
        <v>45463.662499999999</v>
      </c>
      <c r="D3943" t="s">
        <v>855</v>
      </c>
      <c r="E3943" t="s">
        <v>23936</v>
      </c>
      <c r="F3943" t="s">
        <v>148</v>
      </c>
      <c r="G3943" t="s">
        <v>310</v>
      </c>
      <c r="H3943" t="s">
        <v>39</v>
      </c>
      <c r="I3943" t="s">
        <v>40</v>
      </c>
      <c r="J3943" t="s">
        <v>79</v>
      </c>
      <c r="K3943" t="s">
        <v>42</v>
      </c>
      <c r="L3943" t="s">
        <v>857</v>
      </c>
      <c r="N3943" t="s">
        <v>858</v>
      </c>
      <c r="Q3943">
        <v>28602</v>
      </c>
      <c r="R3943" t="s">
        <v>322</v>
      </c>
      <c r="S3943" t="s">
        <v>859</v>
      </c>
      <c r="T3943">
        <v>22</v>
      </c>
      <c r="U3943" s="2" t="s">
        <v>23937</v>
      </c>
      <c r="V3943" s="1">
        <v>45457</v>
      </c>
      <c r="W3943" t="s">
        <v>23938</v>
      </c>
      <c r="X3943">
        <v>809643</v>
      </c>
      <c r="Y3943" t="s">
        <v>23939</v>
      </c>
      <c r="Z3943" s="2" t="s">
        <v>23940</v>
      </c>
      <c r="AA3943" t="s">
        <v>23941</v>
      </c>
      <c r="AB3943" t="s">
        <v>181</v>
      </c>
      <c r="AD3943" t="s">
        <v>23942</v>
      </c>
      <c r="AE3943" t="s">
        <v>23943</v>
      </c>
      <c r="AG3943" t="s">
        <v>23944</v>
      </c>
      <c r="AH3943" t="s">
        <v>6762</v>
      </c>
      <c r="AI3943" t="s">
        <v>23945</v>
      </c>
    </row>
    <row r="3944" spans="2:35" ht="300">
      <c r="B3944" s="1">
        <v>45463</v>
      </c>
      <c r="C3944" s="4">
        <v>45463.640972222223</v>
      </c>
      <c r="D3944" t="s">
        <v>23946</v>
      </c>
      <c r="E3944" t="s">
        <v>23947</v>
      </c>
      <c r="F3944" t="s">
        <v>148</v>
      </c>
      <c r="G3944" t="s">
        <v>421</v>
      </c>
      <c r="H3944" t="s">
        <v>39</v>
      </c>
      <c r="I3944" t="s">
        <v>40</v>
      </c>
      <c r="J3944" t="s">
        <v>525</v>
      </c>
      <c r="K3944" t="s">
        <v>42</v>
      </c>
      <c r="L3944" t="s">
        <v>175</v>
      </c>
      <c r="N3944" t="s">
        <v>176</v>
      </c>
      <c r="Q3944">
        <v>28601</v>
      </c>
      <c r="R3944" t="s">
        <v>119</v>
      </c>
      <c r="S3944" t="s">
        <v>3747</v>
      </c>
      <c r="T3944">
        <v>25</v>
      </c>
      <c r="U3944" s="2" t="s">
        <v>23948</v>
      </c>
      <c r="W3944" t="s">
        <v>84</v>
      </c>
      <c r="X3944">
        <v>831696</v>
      </c>
      <c r="Y3944" t="s">
        <v>23949</v>
      </c>
      <c r="Z3944" t="s">
        <v>23950</v>
      </c>
      <c r="AA3944" s="2" t="s">
        <v>23951</v>
      </c>
      <c r="AB3944" s="2" t="s">
        <v>23952</v>
      </c>
      <c r="AG3944" t="s">
        <v>23953</v>
      </c>
      <c r="AH3944" t="s">
        <v>23954</v>
      </c>
      <c r="AI3944" t="s">
        <v>23955</v>
      </c>
    </row>
    <row r="3945" spans="2:35" ht="105">
      <c r="B3945" s="1">
        <v>45463</v>
      </c>
      <c r="C3945" s="4">
        <v>45463.640972222223</v>
      </c>
      <c r="D3945" t="s">
        <v>23956</v>
      </c>
      <c r="E3945" t="s">
        <v>23957</v>
      </c>
      <c r="F3945">
        <v>7</v>
      </c>
      <c r="G3945" t="s">
        <v>269</v>
      </c>
      <c r="H3945" t="s">
        <v>1047</v>
      </c>
      <c r="I3945" t="s">
        <v>94</v>
      </c>
      <c r="J3945" t="s">
        <v>321</v>
      </c>
      <c r="K3945" t="s">
        <v>42</v>
      </c>
      <c r="L3945" t="s">
        <v>23958</v>
      </c>
      <c r="N3945" t="s">
        <v>23959</v>
      </c>
      <c r="O3945" t="s">
        <v>23959</v>
      </c>
      <c r="Q3945">
        <v>28600</v>
      </c>
      <c r="R3945" t="s">
        <v>45</v>
      </c>
      <c r="S3945" t="s">
        <v>23960</v>
      </c>
      <c r="T3945">
        <v>4</v>
      </c>
      <c r="U3945" s="2" t="s">
        <v>23961</v>
      </c>
      <c r="W3945" t="s">
        <v>360</v>
      </c>
      <c r="X3945">
        <v>808282</v>
      </c>
      <c r="Y3945" t="s">
        <v>54</v>
      </c>
      <c r="Z3945" t="s">
        <v>23962</v>
      </c>
      <c r="AA3945" t="s">
        <v>23963</v>
      </c>
      <c r="AB3945" t="s">
        <v>23964</v>
      </c>
      <c r="AG3945" t="s">
        <v>23965</v>
      </c>
      <c r="AH3945" t="s">
        <v>23966</v>
      </c>
      <c r="AI3945" t="s">
        <v>23967</v>
      </c>
    </row>
    <row r="3946" spans="2:35">
      <c r="B3946" s="1">
        <v>45463</v>
      </c>
      <c r="C3946" s="4">
        <v>45463.581250000003</v>
      </c>
      <c r="D3946" t="s">
        <v>22944</v>
      </c>
      <c r="E3946" t="s">
        <v>22945</v>
      </c>
      <c r="F3946" t="s">
        <v>148</v>
      </c>
      <c r="G3946" t="s">
        <v>22765</v>
      </c>
      <c r="H3946" t="s">
        <v>39</v>
      </c>
      <c r="I3946" t="s">
        <v>40</v>
      </c>
      <c r="J3946" t="s">
        <v>321</v>
      </c>
      <c r="K3946" t="s">
        <v>42</v>
      </c>
      <c r="L3946" t="s">
        <v>175</v>
      </c>
      <c r="N3946" t="s">
        <v>176</v>
      </c>
      <c r="Q3946">
        <v>28599</v>
      </c>
      <c r="R3946" t="s">
        <v>45</v>
      </c>
      <c r="S3946" t="s">
        <v>22946</v>
      </c>
      <c r="T3946">
        <v>26</v>
      </c>
      <c r="W3946" t="s">
        <v>373</v>
      </c>
      <c r="X3946">
        <v>110020392</v>
      </c>
      <c r="Y3946" t="s">
        <v>8338</v>
      </c>
      <c r="Z3946" t="s">
        <v>103</v>
      </c>
      <c r="AA3946" t="e">
        <f ca="1">- installed Unit
- generated reports
- installed MTB ultra Assay
- performed functionality test</f>
        <v>#NAME?</v>
      </c>
      <c r="AB3946" t="s">
        <v>23968</v>
      </c>
      <c r="AG3946" t="s">
        <v>23969</v>
      </c>
      <c r="AH3946" t="s">
        <v>22950</v>
      </c>
      <c r="AI3946" t="s">
        <v>23970</v>
      </c>
    </row>
    <row r="3947" spans="2:35" ht="300">
      <c r="B3947" s="1">
        <v>45463</v>
      </c>
      <c r="C3947" s="4">
        <v>45463.558333333334</v>
      </c>
      <c r="D3947" t="s">
        <v>2883</v>
      </c>
      <c r="E3947" t="s">
        <v>23971</v>
      </c>
      <c r="F3947" t="s">
        <v>37</v>
      </c>
      <c r="G3947" t="s">
        <v>2499</v>
      </c>
      <c r="H3947" t="s">
        <v>39</v>
      </c>
      <c r="I3947" t="s">
        <v>40</v>
      </c>
      <c r="J3947" s="2" t="s">
        <v>41</v>
      </c>
      <c r="K3947" t="s">
        <v>42</v>
      </c>
      <c r="L3947" t="s">
        <v>15532</v>
      </c>
      <c r="N3947" t="s">
        <v>15533</v>
      </c>
      <c r="Q3947">
        <v>28598</v>
      </c>
      <c r="R3947" t="s">
        <v>119</v>
      </c>
      <c r="S3947" t="s">
        <v>23972</v>
      </c>
      <c r="T3947">
        <v>25</v>
      </c>
      <c r="U3947" s="2" t="s">
        <v>23973</v>
      </c>
      <c r="V3947" s="1">
        <v>45407</v>
      </c>
      <c r="W3947" t="s">
        <v>23974</v>
      </c>
      <c r="X3947">
        <v>831698</v>
      </c>
      <c r="Y3947" t="s">
        <v>570</v>
      </c>
      <c r="Z3947" s="2" t="s">
        <v>23975</v>
      </c>
      <c r="AA3947" s="2" t="s">
        <v>23976</v>
      </c>
      <c r="AB3947" s="2" t="s">
        <v>17371</v>
      </c>
      <c r="AD3947" t="s">
        <v>15847</v>
      </c>
      <c r="AE3947" t="s">
        <v>23977</v>
      </c>
      <c r="AG3947" t="s">
        <v>23978</v>
      </c>
      <c r="AH3947" t="s">
        <v>23979</v>
      </c>
      <c r="AI3947" t="s">
        <v>23980</v>
      </c>
    </row>
    <row r="3948" spans="2:35" ht="409.5">
      <c r="B3948" s="1">
        <v>45463</v>
      </c>
      <c r="C3948" s="4">
        <v>45463.570833333331</v>
      </c>
      <c r="D3948" t="s">
        <v>628</v>
      </c>
      <c r="E3948" t="s">
        <v>629</v>
      </c>
      <c r="F3948">
        <v>8</v>
      </c>
      <c r="G3948" t="s">
        <v>630</v>
      </c>
      <c r="H3948" t="s">
        <v>202</v>
      </c>
      <c r="I3948" t="s">
        <v>94</v>
      </c>
      <c r="J3948" s="2" t="s">
        <v>1370</v>
      </c>
      <c r="K3948" t="s">
        <v>42</v>
      </c>
      <c r="L3948" t="s">
        <v>259</v>
      </c>
      <c r="N3948" t="s">
        <v>260</v>
      </c>
      <c r="O3948" t="s">
        <v>260</v>
      </c>
      <c r="Q3948">
        <v>28597</v>
      </c>
      <c r="R3948" t="s">
        <v>45</v>
      </c>
      <c r="S3948" t="s">
        <v>633</v>
      </c>
      <c r="T3948">
        <v>28</v>
      </c>
      <c r="V3948" s="1">
        <v>45463</v>
      </c>
      <c r="W3948" t="s">
        <v>23118</v>
      </c>
      <c r="X3948">
        <v>835061</v>
      </c>
      <c r="Y3948" s="2" t="s">
        <v>23981</v>
      </c>
      <c r="Z3948" t="e">
        <f ca="1">- module Replacement
- Installation</f>
        <v>#NAME?</v>
      </c>
      <c r="AA3948" s="2" t="s">
        <v>23982</v>
      </c>
      <c r="AB3948" t="s">
        <v>181</v>
      </c>
      <c r="AD3948" s="2" t="s">
        <v>23983</v>
      </c>
      <c r="AE3948" t="s">
        <v>45</v>
      </c>
      <c r="AG3948" t="s">
        <v>23984</v>
      </c>
      <c r="AH3948" t="s">
        <v>636</v>
      </c>
      <c r="AI3948" t="s">
        <v>23985</v>
      </c>
    </row>
    <row r="3949" spans="2:35" ht="210">
      <c r="B3949" s="1">
        <v>45463</v>
      </c>
      <c r="C3949" s="4">
        <v>45462.636805555558</v>
      </c>
      <c r="D3949" t="s">
        <v>228</v>
      </c>
      <c r="E3949" t="s">
        <v>229</v>
      </c>
      <c r="F3949" t="s">
        <v>148</v>
      </c>
      <c r="G3949" t="s">
        <v>230</v>
      </c>
      <c r="H3949" t="s">
        <v>39</v>
      </c>
      <c r="I3949" t="s">
        <v>40</v>
      </c>
      <c r="J3949" s="2" t="s">
        <v>62</v>
      </c>
      <c r="K3949" t="s">
        <v>42</v>
      </c>
      <c r="L3949" t="s">
        <v>175</v>
      </c>
      <c r="N3949" t="s">
        <v>176</v>
      </c>
      <c r="Q3949">
        <v>28595</v>
      </c>
      <c r="R3949" t="s">
        <v>119</v>
      </c>
      <c r="S3949" t="s">
        <v>23986</v>
      </c>
      <c r="T3949">
        <v>25</v>
      </c>
      <c r="W3949" t="s">
        <v>84</v>
      </c>
      <c r="X3949">
        <v>831956</v>
      </c>
      <c r="Y3949" t="s">
        <v>23987</v>
      </c>
      <c r="Z3949" t="e">
        <f ca="1">- reconnected LAN cable of C1 (removed by Cepheid Engineer)
- performed XpertCheck to mitigate errors on modules C1, C3</f>
        <v>#NAME?</v>
      </c>
      <c r="AA3949" t="e">
        <f ca="1">- reconnected module C1 LAN cable to Gateway board
- checked _xludf.and cleaned cartridge bay, plunger rod, _xludf.filter, icore slot
- performed XpertCheck
- generated reports</f>
        <v>#NAME?</v>
      </c>
      <c r="AB3949" s="2" t="s">
        <v>23988</v>
      </c>
      <c r="AG3949" t="s">
        <v>23989</v>
      </c>
      <c r="AH3949" t="s">
        <v>23990</v>
      </c>
      <c r="AI3949" t="s">
        <v>23991</v>
      </c>
    </row>
    <row r="3950" spans="2:35">
      <c r="B3950" s="1">
        <v>45463</v>
      </c>
      <c r="C3950" s="4">
        <v>45462.638888888891</v>
      </c>
      <c r="D3950" t="s">
        <v>228</v>
      </c>
      <c r="E3950" t="s">
        <v>229</v>
      </c>
      <c r="F3950" t="s">
        <v>148</v>
      </c>
      <c r="G3950" t="s">
        <v>230</v>
      </c>
      <c r="H3950" t="s">
        <v>39</v>
      </c>
      <c r="I3950" t="s">
        <v>40</v>
      </c>
      <c r="J3950" t="s">
        <v>109</v>
      </c>
      <c r="K3950" t="s">
        <v>42</v>
      </c>
      <c r="L3950" t="s">
        <v>175</v>
      </c>
      <c r="N3950" t="s">
        <v>176</v>
      </c>
      <c r="Q3950">
        <v>28596</v>
      </c>
      <c r="R3950" t="s">
        <v>45</v>
      </c>
      <c r="S3950" t="s">
        <v>23986</v>
      </c>
      <c r="T3950">
        <v>25</v>
      </c>
      <c r="W3950" t="s">
        <v>84</v>
      </c>
      <c r="X3950">
        <v>805062</v>
      </c>
      <c r="Y3950" t="s">
        <v>374</v>
      </c>
      <c r="Z3950" t="s">
        <v>103</v>
      </c>
      <c r="AA3950" t="e">
        <f ca="1">- checked _xludf.and cleaned cartridge bay, plunger rod, _xludf.filter
- generated reports
- performed self test</f>
        <v>#NAME?</v>
      </c>
      <c r="AB3950" t="s">
        <v>181</v>
      </c>
      <c r="AG3950" t="s">
        <v>23992</v>
      </c>
      <c r="AH3950" t="s">
        <v>23990</v>
      </c>
      <c r="AI3950" t="s">
        <v>23993</v>
      </c>
    </row>
    <row r="3951" spans="2:35" ht="165">
      <c r="B3951" s="1">
        <v>45463</v>
      </c>
      <c r="C3951" s="4">
        <v>45463.539583333331</v>
      </c>
      <c r="D3951" t="s">
        <v>23994</v>
      </c>
      <c r="E3951" t="s">
        <v>23995</v>
      </c>
      <c r="F3951">
        <v>2</v>
      </c>
      <c r="G3951" t="s">
        <v>2723</v>
      </c>
      <c r="H3951" t="s">
        <v>39</v>
      </c>
      <c r="I3951" t="s">
        <v>40</v>
      </c>
      <c r="J3951" s="2" t="s">
        <v>190</v>
      </c>
      <c r="K3951" t="s">
        <v>42</v>
      </c>
      <c r="L3951" t="s">
        <v>63</v>
      </c>
      <c r="N3951" t="s">
        <v>64</v>
      </c>
      <c r="Q3951">
        <v>28594</v>
      </c>
      <c r="R3951" t="s">
        <v>45</v>
      </c>
      <c r="S3951" t="s">
        <v>23996</v>
      </c>
      <c r="T3951">
        <v>19</v>
      </c>
      <c r="U3951" s="2" t="s">
        <v>18804</v>
      </c>
      <c r="W3951" t="s">
        <v>23858</v>
      </c>
      <c r="X3951">
        <v>835090</v>
      </c>
      <c r="Y3951" s="2" t="s">
        <v>23997</v>
      </c>
      <c r="Z3951" t="s">
        <v>1935</v>
      </c>
      <c r="AA3951" s="2" t="s">
        <v>1727</v>
      </c>
      <c r="AB3951" t="s">
        <v>70</v>
      </c>
      <c r="AC3951" t="s">
        <v>70</v>
      </c>
      <c r="AG3951" t="s">
        <v>23998</v>
      </c>
      <c r="AH3951" t="s">
        <v>23999</v>
      </c>
      <c r="AI3951" t="s">
        <v>24000</v>
      </c>
    </row>
    <row r="3952" spans="2:35" ht="165">
      <c r="B3952" s="1">
        <v>45463</v>
      </c>
      <c r="C3952" s="4">
        <v>45463.477083333331</v>
      </c>
      <c r="D3952" t="s">
        <v>20767</v>
      </c>
      <c r="E3952" t="s">
        <v>20768</v>
      </c>
      <c r="F3952">
        <v>2</v>
      </c>
      <c r="G3952" t="s">
        <v>2723</v>
      </c>
      <c r="H3952" t="s">
        <v>39</v>
      </c>
      <c r="I3952" t="s">
        <v>40</v>
      </c>
      <c r="J3952" s="2" t="s">
        <v>62</v>
      </c>
      <c r="K3952" t="s">
        <v>42</v>
      </c>
      <c r="L3952" t="s">
        <v>63</v>
      </c>
      <c r="N3952" t="s">
        <v>64</v>
      </c>
      <c r="O3952" t="s">
        <v>10822</v>
      </c>
      <c r="Q3952">
        <v>28593</v>
      </c>
      <c r="R3952" t="s">
        <v>119</v>
      </c>
      <c r="S3952" t="s">
        <v>20769</v>
      </c>
      <c r="T3952">
        <v>27</v>
      </c>
      <c r="U3952" s="2" t="s">
        <v>24001</v>
      </c>
      <c r="V3952" s="1">
        <v>45370</v>
      </c>
      <c r="W3952" t="s">
        <v>66</v>
      </c>
      <c r="X3952">
        <v>838532</v>
      </c>
      <c r="Y3952" t="s">
        <v>67</v>
      </c>
      <c r="Z3952" s="2" t="s">
        <v>4222</v>
      </c>
      <c r="AA3952" s="2" t="s">
        <v>1727</v>
      </c>
      <c r="AB3952" t="s">
        <v>70</v>
      </c>
      <c r="AD3952" t="s">
        <v>948</v>
      </c>
      <c r="AE3952">
        <v>11314</v>
      </c>
      <c r="AG3952" t="s">
        <v>24002</v>
      </c>
      <c r="AH3952" t="s">
        <v>20772</v>
      </c>
      <c r="AI3952" t="s">
        <v>24003</v>
      </c>
    </row>
    <row r="3953" spans="2:35" ht="345">
      <c r="B3953" s="1">
        <v>45463</v>
      </c>
      <c r="C3953" s="4">
        <v>45463.451388888891</v>
      </c>
      <c r="D3953" t="s">
        <v>24004</v>
      </c>
      <c r="E3953" t="s">
        <v>24005</v>
      </c>
      <c r="F3953">
        <v>11</v>
      </c>
      <c r="G3953" t="s">
        <v>4297</v>
      </c>
      <c r="H3953" t="s">
        <v>202</v>
      </c>
      <c r="I3953" t="s">
        <v>94</v>
      </c>
      <c r="J3953" s="2" t="s">
        <v>609</v>
      </c>
      <c r="K3953" t="s">
        <v>42</v>
      </c>
      <c r="L3953" t="s">
        <v>204</v>
      </c>
      <c r="N3953" t="s">
        <v>205</v>
      </c>
      <c r="Q3953">
        <v>28592</v>
      </c>
      <c r="R3953" t="s">
        <v>45</v>
      </c>
      <c r="S3953" t="s">
        <v>24006</v>
      </c>
      <c r="T3953">
        <v>26.5</v>
      </c>
      <c r="U3953" s="2" t="s">
        <v>24007</v>
      </c>
      <c r="W3953" t="s">
        <v>22002</v>
      </c>
      <c r="X3953">
        <v>110020262</v>
      </c>
      <c r="Y3953" t="s">
        <v>1052</v>
      </c>
      <c r="Z3953" s="2" t="s">
        <v>24008</v>
      </c>
      <c r="AA3953" t="s">
        <v>2551</v>
      </c>
      <c r="AB3953" t="s">
        <v>1211</v>
      </c>
      <c r="AG3953" t="s">
        <v>24009</v>
      </c>
      <c r="AH3953" t="s">
        <v>24010</v>
      </c>
      <c r="AI3953" t="s">
        <v>24011</v>
      </c>
    </row>
    <row r="3954" spans="2:35" ht="409.5">
      <c r="B3954" s="1">
        <v>45463</v>
      </c>
      <c r="C3954" s="4">
        <v>45463.421527777777</v>
      </c>
      <c r="D3954" t="s">
        <v>23656</v>
      </c>
      <c r="E3954" t="s">
        <v>23657</v>
      </c>
      <c r="F3954" t="s">
        <v>37</v>
      </c>
      <c r="G3954" t="s">
        <v>78</v>
      </c>
      <c r="H3954" t="s">
        <v>39</v>
      </c>
      <c r="I3954" t="s">
        <v>40</v>
      </c>
      <c r="J3954" s="2" t="s">
        <v>62</v>
      </c>
      <c r="K3954" t="s">
        <v>42</v>
      </c>
      <c r="L3954" t="s">
        <v>1943</v>
      </c>
      <c r="N3954" t="s">
        <v>1944</v>
      </c>
      <c r="Q3954">
        <v>28591</v>
      </c>
      <c r="R3954" t="s">
        <v>45</v>
      </c>
      <c r="S3954" t="s">
        <v>23658</v>
      </c>
      <c r="T3954">
        <v>25</v>
      </c>
      <c r="V3954" s="1">
        <v>45463</v>
      </c>
      <c r="W3954" t="s">
        <v>84</v>
      </c>
      <c r="X3954">
        <v>838447</v>
      </c>
      <c r="Y3954" s="2" t="s">
        <v>23659</v>
      </c>
      <c r="Z3954" t="s">
        <v>23660</v>
      </c>
      <c r="AA3954" s="2" t="s">
        <v>3046</v>
      </c>
      <c r="AB3954" t="s">
        <v>8352</v>
      </c>
      <c r="AD3954" t="s">
        <v>948</v>
      </c>
      <c r="AE3954" t="s">
        <v>11329</v>
      </c>
      <c r="AG3954" t="s">
        <v>24012</v>
      </c>
      <c r="AH3954" t="s">
        <v>23662</v>
      </c>
      <c r="AI3954" t="s">
        <v>24013</v>
      </c>
    </row>
    <row r="3955" spans="2:35" ht="165">
      <c r="B3955" s="1">
        <v>45463</v>
      </c>
      <c r="C3955" s="4">
        <v>45463.431944444441</v>
      </c>
      <c r="D3955" t="s">
        <v>7067</v>
      </c>
      <c r="E3955" t="s">
        <v>7068</v>
      </c>
      <c r="F3955">
        <v>2</v>
      </c>
      <c r="G3955" t="s">
        <v>2723</v>
      </c>
      <c r="H3955" t="s">
        <v>39</v>
      </c>
      <c r="I3955" t="s">
        <v>40</v>
      </c>
      <c r="J3955" s="2" t="s">
        <v>62</v>
      </c>
      <c r="K3955" t="s">
        <v>42</v>
      </c>
      <c r="L3955" t="s">
        <v>63</v>
      </c>
      <c r="N3955" t="s">
        <v>64</v>
      </c>
      <c r="Q3955">
        <v>28590</v>
      </c>
      <c r="R3955" t="s">
        <v>119</v>
      </c>
      <c r="S3955" t="s">
        <v>7069</v>
      </c>
      <c r="T3955">
        <v>27</v>
      </c>
      <c r="U3955" s="2" t="s">
        <v>24014</v>
      </c>
      <c r="V3955" s="1">
        <v>45370</v>
      </c>
      <c r="W3955" t="s">
        <v>66</v>
      </c>
      <c r="X3955">
        <v>838465</v>
      </c>
      <c r="Y3955" t="s">
        <v>67</v>
      </c>
      <c r="Z3955" s="2" t="s">
        <v>4222</v>
      </c>
      <c r="AA3955" s="2" t="s">
        <v>1727</v>
      </c>
      <c r="AB3955" t="s">
        <v>70</v>
      </c>
      <c r="AD3955" t="s">
        <v>948</v>
      </c>
      <c r="AE3955">
        <v>11313</v>
      </c>
      <c r="AG3955" t="s">
        <v>24015</v>
      </c>
      <c r="AH3955" t="s">
        <v>10833</v>
      </c>
      <c r="AI3955" t="s">
        <v>24016</v>
      </c>
    </row>
    <row r="3956" spans="2:35" ht="390">
      <c r="B3956" s="1">
        <v>45463</v>
      </c>
      <c r="C3956" s="4">
        <v>45463.345833333333</v>
      </c>
      <c r="D3956" t="s">
        <v>4295</v>
      </c>
      <c r="E3956" t="s">
        <v>24017</v>
      </c>
      <c r="F3956">
        <v>11</v>
      </c>
      <c r="G3956" t="s">
        <v>4297</v>
      </c>
      <c r="H3956" t="s">
        <v>202</v>
      </c>
      <c r="I3956" t="s">
        <v>94</v>
      </c>
      <c r="J3956" s="2" t="s">
        <v>190</v>
      </c>
      <c r="K3956" t="s">
        <v>42</v>
      </c>
      <c r="L3956" t="s">
        <v>204</v>
      </c>
      <c r="N3956" t="s">
        <v>205</v>
      </c>
      <c r="O3956" t="s">
        <v>24018</v>
      </c>
      <c r="Q3956">
        <v>28589</v>
      </c>
      <c r="R3956" t="s">
        <v>45</v>
      </c>
      <c r="S3956" t="s">
        <v>4299</v>
      </c>
      <c r="T3956">
        <v>24.5</v>
      </c>
      <c r="U3956" s="2" t="s">
        <v>13619</v>
      </c>
      <c r="W3956" t="s">
        <v>23237</v>
      </c>
      <c r="X3956">
        <v>805258</v>
      </c>
      <c r="Y3956" s="2" t="s">
        <v>24019</v>
      </c>
      <c r="Z3956" s="2" t="s">
        <v>24020</v>
      </c>
      <c r="AA3956" t="s">
        <v>2924</v>
      </c>
      <c r="AB3956" s="2" t="s">
        <v>24021</v>
      </c>
      <c r="AG3956" t="s">
        <v>24022</v>
      </c>
      <c r="AH3956" t="s">
        <v>4304</v>
      </c>
      <c r="AI3956" t="s">
        <v>24023</v>
      </c>
    </row>
    <row r="3957" spans="2:35" ht="405">
      <c r="B3957" s="1">
        <v>45463</v>
      </c>
      <c r="C3957" s="4">
        <v>45462.604861111111</v>
      </c>
      <c r="D3957" t="s">
        <v>2806</v>
      </c>
      <c r="E3957" t="s">
        <v>2569</v>
      </c>
      <c r="F3957" t="s">
        <v>148</v>
      </c>
      <c r="G3957" t="s">
        <v>447</v>
      </c>
      <c r="H3957" t="s">
        <v>150</v>
      </c>
      <c r="I3957" t="s">
        <v>40</v>
      </c>
      <c r="J3957" t="s">
        <v>109</v>
      </c>
      <c r="K3957" t="s">
        <v>42</v>
      </c>
      <c r="L3957" t="s">
        <v>448</v>
      </c>
      <c r="N3957" t="s">
        <v>650</v>
      </c>
      <c r="O3957" t="s">
        <v>2808</v>
      </c>
      <c r="Q3957">
        <v>28588</v>
      </c>
      <c r="R3957" t="s">
        <v>95</v>
      </c>
      <c r="S3957" t="s">
        <v>2809</v>
      </c>
      <c r="T3957">
        <v>24</v>
      </c>
      <c r="U3957" s="2" t="s">
        <v>24024</v>
      </c>
      <c r="W3957" t="s">
        <v>6121</v>
      </c>
      <c r="X3957">
        <v>839234</v>
      </c>
      <c r="Y3957" t="s">
        <v>485</v>
      </c>
      <c r="Z3957" s="2" t="s">
        <v>2011</v>
      </c>
      <c r="AA3957" t="s">
        <v>122</v>
      </c>
      <c r="AB3957" s="2" t="s">
        <v>24025</v>
      </c>
      <c r="AG3957" t="s">
        <v>24026</v>
      </c>
      <c r="AH3957" t="s">
        <v>11567</v>
      </c>
      <c r="AI3957" t="s">
        <v>24027</v>
      </c>
    </row>
    <row r="3958" spans="2:35" ht="409.5">
      <c r="B3958" s="1">
        <v>45463</v>
      </c>
      <c r="C3958" s="4">
        <v>45462.545138888891</v>
      </c>
      <c r="D3958" t="s">
        <v>2806</v>
      </c>
      <c r="E3958" t="s">
        <v>2569</v>
      </c>
      <c r="F3958" t="s">
        <v>148</v>
      </c>
      <c r="G3958" t="s">
        <v>447</v>
      </c>
      <c r="H3958" t="s">
        <v>2570</v>
      </c>
      <c r="I3958" t="s">
        <v>40</v>
      </c>
      <c r="J3958" s="2" t="s">
        <v>62</v>
      </c>
      <c r="K3958" t="s">
        <v>42</v>
      </c>
      <c r="L3958" t="s">
        <v>448</v>
      </c>
      <c r="N3958" t="s">
        <v>650</v>
      </c>
      <c r="O3958" t="s">
        <v>2808</v>
      </c>
      <c r="Q3958">
        <v>28587</v>
      </c>
      <c r="R3958" t="s">
        <v>95</v>
      </c>
      <c r="S3958" t="s">
        <v>2571</v>
      </c>
      <c r="T3958">
        <v>30</v>
      </c>
      <c r="U3958" s="2" t="s">
        <v>24028</v>
      </c>
      <c r="V3958" s="1">
        <v>45462</v>
      </c>
      <c r="W3958" t="s">
        <v>6128</v>
      </c>
      <c r="X3958">
        <v>807155</v>
      </c>
      <c r="Y3958" t="s">
        <v>24029</v>
      </c>
      <c r="Z3958" s="2" t="s">
        <v>3071</v>
      </c>
      <c r="AA3958" t="s">
        <v>24030</v>
      </c>
      <c r="AB3958" s="2" t="s">
        <v>24031</v>
      </c>
      <c r="AD3958" t="s">
        <v>8449</v>
      </c>
      <c r="AE3958" t="s">
        <v>449</v>
      </c>
      <c r="AG3958" t="s">
        <v>24032</v>
      </c>
      <c r="AH3958" t="s">
        <v>24033</v>
      </c>
      <c r="AI3958" t="s">
        <v>24034</v>
      </c>
    </row>
    <row r="3959" spans="2:35" ht="409.5">
      <c r="B3959" s="1">
        <v>45463</v>
      </c>
      <c r="C3959" s="4">
        <v>45462.457638888889</v>
      </c>
      <c r="D3959" t="s">
        <v>2529</v>
      </c>
      <c r="E3959" t="s">
        <v>24035</v>
      </c>
      <c r="F3959" t="s">
        <v>37</v>
      </c>
      <c r="G3959" t="s">
        <v>2499</v>
      </c>
      <c r="H3959" t="s">
        <v>39</v>
      </c>
      <c r="I3959" t="s">
        <v>40</v>
      </c>
      <c r="J3959" s="2" t="s">
        <v>62</v>
      </c>
      <c r="K3959" t="s">
        <v>42</v>
      </c>
      <c r="L3959" t="s">
        <v>15532</v>
      </c>
      <c r="N3959" t="s">
        <v>15533</v>
      </c>
      <c r="Q3959">
        <v>28586</v>
      </c>
      <c r="R3959" t="s">
        <v>45</v>
      </c>
      <c r="S3959" t="s">
        <v>24036</v>
      </c>
      <c r="T3959">
        <v>28</v>
      </c>
      <c r="U3959" s="2" t="s">
        <v>24037</v>
      </c>
      <c r="V3959" s="1">
        <v>45411</v>
      </c>
      <c r="W3959" t="s">
        <v>16496</v>
      </c>
      <c r="X3959">
        <v>807462</v>
      </c>
      <c r="Y3959" t="s">
        <v>21420</v>
      </c>
      <c r="Z3959" s="2" t="s">
        <v>24038</v>
      </c>
      <c r="AA3959" s="2" t="s">
        <v>24039</v>
      </c>
      <c r="AB3959" s="2" t="s">
        <v>24040</v>
      </c>
      <c r="AD3959" t="s">
        <v>948</v>
      </c>
      <c r="AE3959" t="s">
        <v>24041</v>
      </c>
      <c r="AG3959" t="s">
        <v>24042</v>
      </c>
      <c r="AH3959" t="s">
        <v>24043</v>
      </c>
      <c r="AI3959" t="s">
        <v>24044</v>
      </c>
    </row>
    <row r="3960" spans="2:35" ht="225">
      <c r="B3960" s="1">
        <v>45462</v>
      </c>
      <c r="C3960" s="4">
        <v>45462.632638888892</v>
      </c>
      <c r="D3960" t="s">
        <v>24045</v>
      </c>
      <c r="E3960" t="s">
        <v>24046</v>
      </c>
      <c r="F3960" t="s">
        <v>148</v>
      </c>
      <c r="G3960" t="s">
        <v>406</v>
      </c>
      <c r="H3960" t="s">
        <v>39</v>
      </c>
      <c r="I3960" t="s">
        <v>40</v>
      </c>
      <c r="J3960" s="2" t="s">
        <v>190</v>
      </c>
      <c r="K3960" t="s">
        <v>42</v>
      </c>
      <c r="L3960" t="s">
        <v>43</v>
      </c>
      <c r="N3960" t="s">
        <v>44</v>
      </c>
      <c r="Q3960">
        <v>28585</v>
      </c>
      <c r="R3960" t="s">
        <v>45</v>
      </c>
      <c r="S3960" t="s">
        <v>22391</v>
      </c>
      <c r="T3960">
        <v>25</v>
      </c>
      <c r="U3960" s="2" t="s">
        <v>24047</v>
      </c>
      <c r="W3960" t="s">
        <v>48</v>
      </c>
      <c r="X3960">
        <v>838858</v>
      </c>
      <c r="Y3960" t="s">
        <v>24048</v>
      </c>
      <c r="Z3960" t="s">
        <v>122</v>
      </c>
      <c r="AA3960" s="2" t="s">
        <v>9740</v>
      </c>
      <c r="AB3960" t="s">
        <v>24049</v>
      </c>
      <c r="AG3960" t="s">
        <v>24050</v>
      </c>
      <c r="AH3960" t="s">
        <v>22398</v>
      </c>
      <c r="AI3960" t="s">
        <v>24051</v>
      </c>
    </row>
    <row r="3961" spans="2:35" ht="165">
      <c r="B3961" s="1">
        <v>45462</v>
      </c>
      <c r="C3961" s="4">
        <v>45462.657638888886</v>
      </c>
      <c r="D3961" t="s">
        <v>24052</v>
      </c>
      <c r="E3961" t="s">
        <v>24053</v>
      </c>
      <c r="F3961">
        <v>2</v>
      </c>
      <c r="G3961" t="s">
        <v>2668</v>
      </c>
      <c r="H3961" t="s">
        <v>39</v>
      </c>
      <c r="I3961" t="s">
        <v>40</v>
      </c>
      <c r="J3961" s="2" t="s">
        <v>41</v>
      </c>
      <c r="K3961" t="s">
        <v>42</v>
      </c>
      <c r="L3961" t="s">
        <v>63</v>
      </c>
      <c r="N3961" t="s">
        <v>64</v>
      </c>
      <c r="Q3961">
        <v>28584</v>
      </c>
      <c r="R3961" t="s">
        <v>45</v>
      </c>
      <c r="S3961" t="s">
        <v>24054</v>
      </c>
      <c r="T3961">
        <v>26</v>
      </c>
      <c r="U3961" s="2" t="s">
        <v>24055</v>
      </c>
      <c r="W3961" t="s">
        <v>66</v>
      </c>
      <c r="X3961">
        <v>834686</v>
      </c>
      <c r="Y3961" t="s">
        <v>24056</v>
      </c>
      <c r="Z3961" s="2" t="s">
        <v>24057</v>
      </c>
      <c r="AA3961" s="2" t="s">
        <v>1727</v>
      </c>
      <c r="AB3961" t="s">
        <v>70</v>
      </c>
      <c r="AG3961" t="s">
        <v>24058</v>
      </c>
      <c r="AH3961" t="s">
        <v>24059</v>
      </c>
      <c r="AI3961" t="s">
        <v>24060</v>
      </c>
    </row>
    <row r="3962" spans="2:35" ht="409.5">
      <c r="B3962" s="1">
        <v>45462</v>
      </c>
      <c r="C3962" s="4">
        <v>45462.655555555553</v>
      </c>
      <c r="D3962" t="s">
        <v>24061</v>
      </c>
      <c r="E3962" t="s">
        <v>24062</v>
      </c>
      <c r="F3962">
        <v>6</v>
      </c>
      <c r="G3962" t="s">
        <v>1286</v>
      </c>
      <c r="H3962" t="s">
        <v>10969</v>
      </c>
      <c r="I3962" t="s">
        <v>40</v>
      </c>
      <c r="J3962" s="2" t="s">
        <v>41</v>
      </c>
      <c r="K3962" t="s">
        <v>42</v>
      </c>
      <c r="L3962" t="s">
        <v>1288</v>
      </c>
      <c r="N3962" t="s">
        <v>1289</v>
      </c>
      <c r="Q3962">
        <v>28583</v>
      </c>
      <c r="R3962" t="s">
        <v>45</v>
      </c>
      <c r="S3962" t="s">
        <v>24063</v>
      </c>
      <c r="T3962">
        <v>29</v>
      </c>
      <c r="U3962" s="2" t="s">
        <v>24064</v>
      </c>
      <c r="W3962" t="s">
        <v>1292</v>
      </c>
      <c r="X3962">
        <v>815279</v>
      </c>
      <c r="Y3962" t="e">
        <f ca="1">-_xludf.For module B1 Replacement</f>
        <v>#NAME?</v>
      </c>
      <c r="Z3962" t="e">
        <f ca="1">-COLLECT IQR,system _xludf.Log, _xludf.and ARCHIVE</f>
        <v>#NAME?</v>
      </c>
      <c r="AA3962" s="2" t="s">
        <v>24065</v>
      </c>
      <c r="AB3962" t="s">
        <v>1293</v>
      </c>
      <c r="AG3962" t="s">
        <v>24066</v>
      </c>
      <c r="AH3962" t="s">
        <v>24067</v>
      </c>
      <c r="AI3962" t="s">
        <v>24068</v>
      </c>
    </row>
    <row r="3963" spans="2:35" ht="165">
      <c r="B3963" s="1">
        <v>45462</v>
      </c>
      <c r="C3963" s="4">
        <v>45462.572222222225</v>
      </c>
      <c r="D3963" t="s">
        <v>24069</v>
      </c>
      <c r="E3963" t="s">
        <v>24070</v>
      </c>
      <c r="F3963">
        <v>2</v>
      </c>
      <c r="G3963" t="s">
        <v>2668</v>
      </c>
      <c r="H3963" t="s">
        <v>39</v>
      </c>
      <c r="I3963" t="s">
        <v>40</v>
      </c>
      <c r="J3963" s="2" t="s">
        <v>62</v>
      </c>
      <c r="K3963" t="s">
        <v>42</v>
      </c>
      <c r="L3963" t="s">
        <v>63</v>
      </c>
      <c r="N3963" t="s">
        <v>64</v>
      </c>
      <c r="Q3963">
        <v>28582</v>
      </c>
      <c r="R3963" t="s">
        <v>322</v>
      </c>
      <c r="S3963" t="s">
        <v>11397</v>
      </c>
      <c r="T3963">
        <v>28</v>
      </c>
      <c r="V3963" s="1">
        <v>45456</v>
      </c>
      <c r="W3963" t="s">
        <v>373</v>
      </c>
      <c r="X3963">
        <v>110013709</v>
      </c>
      <c r="Y3963" t="s">
        <v>67</v>
      </c>
      <c r="Z3963" s="2" t="s">
        <v>4222</v>
      </c>
      <c r="AA3963" s="2" t="s">
        <v>1727</v>
      </c>
      <c r="AB3963" t="s">
        <v>70</v>
      </c>
      <c r="AE3963">
        <v>11602</v>
      </c>
      <c r="AG3963" t="s">
        <v>24071</v>
      </c>
      <c r="AH3963" t="s">
        <v>11400</v>
      </c>
      <c r="AI3963" t="s">
        <v>24072</v>
      </c>
    </row>
    <row r="3964" spans="2:35" ht="180">
      <c r="B3964" s="1">
        <v>45462</v>
      </c>
      <c r="C3964" s="4">
        <v>45462.563194444447</v>
      </c>
      <c r="D3964" t="s">
        <v>24073</v>
      </c>
      <c r="E3964" t="s">
        <v>24074</v>
      </c>
      <c r="F3964">
        <v>7</v>
      </c>
      <c r="G3964" t="s">
        <v>432</v>
      </c>
      <c r="H3964" t="s">
        <v>39</v>
      </c>
      <c r="I3964" t="s">
        <v>40</v>
      </c>
      <c r="J3964" s="2" t="s">
        <v>1370</v>
      </c>
      <c r="K3964" t="s">
        <v>42</v>
      </c>
      <c r="L3964" t="s">
        <v>433</v>
      </c>
      <c r="N3964" t="s">
        <v>434</v>
      </c>
      <c r="Q3964">
        <v>28581</v>
      </c>
      <c r="R3964" t="s">
        <v>45</v>
      </c>
      <c r="S3964" t="s">
        <v>1818</v>
      </c>
      <c r="T3964">
        <v>20</v>
      </c>
      <c r="W3964" t="s">
        <v>1008</v>
      </c>
      <c r="X3964">
        <v>808620</v>
      </c>
      <c r="Y3964" s="2" t="s">
        <v>24075</v>
      </c>
      <c r="Z3964" s="2" t="s">
        <v>24076</v>
      </c>
      <c r="AA3964" s="2" t="s">
        <v>24076</v>
      </c>
      <c r="AB3964" s="2" t="s">
        <v>24077</v>
      </c>
      <c r="AG3964" t="s">
        <v>24078</v>
      </c>
      <c r="AH3964" t="s">
        <v>4234</v>
      </c>
      <c r="AI3964" t="s">
        <v>24079</v>
      </c>
    </row>
    <row r="3965" spans="2:35" ht="180">
      <c r="B3965" s="1">
        <v>45462</v>
      </c>
      <c r="C3965" s="4">
        <v>45462.543055555558</v>
      </c>
      <c r="D3965" t="s">
        <v>24080</v>
      </c>
      <c r="E3965" t="s">
        <v>20796</v>
      </c>
      <c r="F3965">
        <v>2</v>
      </c>
      <c r="G3965" t="s">
        <v>2668</v>
      </c>
      <c r="H3965" t="s">
        <v>39</v>
      </c>
      <c r="I3965" t="s">
        <v>40</v>
      </c>
      <c r="J3965" s="2" t="s">
        <v>62</v>
      </c>
      <c r="K3965" t="s">
        <v>42</v>
      </c>
      <c r="L3965" t="s">
        <v>63</v>
      </c>
      <c r="N3965" t="s">
        <v>64</v>
      </c>
      <c r="Q3965">
        <v>28580</v>
      </c>
      <c r="R3965" t="s">
        <v>119</v>
      </c>
      <c r="S3965" t="s">
        <v>24081</v>
      </c>
      <c r="T3965">
        <v>27</v>
      </c>
      <c r="U3965" s="2" t="s">
        <v>24082</v>
      </c>
      <c r="W3965" t="s">
        <v>66</v>
      </c>
      <c r="X3965">
        <v>838208</v>
      </c>
      <c r="Y3965" t="s">
        <v>1751</v>
      </c>
      <c r="Z3965" s="2" t="s">
        <v>24083</v>
      </c>
      <c r="AA3965" s="2" t="s">
        <v>1727</v>
      </c>
      <c r="AB3965" t="s">
        <v>70</v>
      </c>
      <c r="AG3965" t="s">
        <v>24084</v>
      </c>
      <c r="AH3965" t="s">
        <v>24085</v>
      </c>
      <c r="AI3965" t="s">
        <v>24086</v>
      </c>
    </row>
    <row r="3966" spans="2:35" ht="105">
      <c r="B3966" s="1">
        <v>45462</v>
      </c>
      <c r="C3966" s="4">
        <v>45462.535416666666</v>
      </c>
      <c r="D3966" t="s">
        <v>24087</v>
      </c>
      <c r="E3966" t="s">
        <v>24088</v>
      </c>
      <c r="F3966">
        <v>8</v>
      </c>
      <c r="G3966" t="s">
        <v>342</v>
      </c>
      <c r="H3966" t="s">
        <v>202</v>
      </c>
      <c r="I3966" t="s">
        <v>94</v>
      </c>
      <c r="J3966" s="2" t="s">
        <v>62</v>
      </c>
      <c r="K3966" t="s">
        <v>42</v>
      </c>
      <c r="L3966" t="s">
        <v>259</v>
      </c>
      <c r="N3966" t="s">
        <v>260</v>
      </c>
      <c r="Q3966">
        <v>28579</v>
      </c>
      <c r="R3966" t="s">
        <v>45</v>
      </c>
      <c r="S3966" t="s">
        <v>24089</v>
      </c>
      <c r="T3966">
        <v>29</v>
      </c>
      <c r="U3966" s="2" t="s">
        <v>24090</v>
      </c>
      <c r="V3966" s="1">
        <v>45462</v>
      </c>
      <c r="W3966" t="s">
        <v>84</v>
      </c>
      <c r="X3966">
        <v>815274</v>
      </c>
      <c r="Y3966" t="s">
        <v>263</v>
      </c>
      <c r="Z3966" t="e">
        <f ca="1">- PM
- CALIBRATION</f>
        <v>#NAME?</v>
      </c>
      <c r="AA3966" t="e">
        <f ca="1">- Preventive Maintenance
- XpertCheck CALIBRATION</f>
        <v>#NAME?</v>
      </c>
      <c r="AB3966" t="s">
        <v>181</v>
      </c>
      <c r="AC3966" t="s">
        <v>5470</v>
      </c>
      <c r="AG3966" t="s">
        <v>24091</v>
      </c>
      <c r="AH3966" t="s">
        <v>24092</v>
      </c>
      <c r="AI3966" t="s">
        <v>24093</v>
      </c>
    </row>
    <row r="3967" spans="2:35" ht="225">
      <c r="B3967" s="1">
        <v>45462</v>
      </c>
      <c r="C3967" s="4">
        <v>45462.402777777781</v>
      </c>
      <c r="D3967" t="s">
        <v>4197</v>
      </c>
      <c r="E3967" t="s">
        <v>24094</v>
      </c>
      <c r="F3967" t="s">
        <v>37</v>
      </c>
      <c r="G3967" t="s">
        <v>38</v>
      </c>
      <c r="H3967" t="s">
        <v>39</v>
      </c>
      <c r="I3967" t="s">
        <v>40</v>
      </c>
      <c r="J3967" t="s">
        <v>109</v>
      </c>
      <c r="K3967" t="s">
        <v>42</v>
      </c>
      <c r="L3967" t="s">
        <v>43</v>
      </c>
      <c r="N3967" t="s">
        <v>44</v>
      </c>
      <c r="Q3967">
        <v>28578</v>
      </c>
      <c r="R3967" t="s">
        <v>45</v>
      </c>
      <c r="S3967" t="s">
        <v>111</v>
      </c>
      <c r="T3967">
        <v>22</v>
      </c>
      <c r="U3967" s="2" t="s">
        <v>24095</v>
      </c>
      <c r="W3967" t="s">
        <v>48</v>
      </c>
      <c r="X3967">
        <v>838182</v>
      </c>
      <c r="Y3967" t="s">
        <v>121</v>
      </c>
      <c r="Z3967" t="s">
        <v>122</v>
      </c>
      <c r="AA3967" s="2" t="s">
        <v>9744</v>
      </c>
      <c r="AB3967" t="s">
        <v>24096</v>
      </c>
      <c r="AG3967" t="s">
        <v>24097</v>
      </c>
      <c r="AH3967" t="s">
        <v>117</v>
      </c>
      <c r="AI3967" t="s">
        <v>24098</v>
      </c>
    </row>
    <row r="3968" spans="2:35" ht="270">
      <c r="B3968" s="1">
        <v>45462</v>
      </c>
      <c r="C3968" s="4">
        <v>45462.399305555555</v>
      </c>
      <c r="D3968" t="s">
        <v>4197</v>
      </c>
      <c r="E3968" t="s">
        <v>3533</v>
      </c>
      <c r="F3968" t="s">
        <v>37</v>
      </c>
      <c r="G3968" t="s">
        <v>38</v>
      </c>
      <c r="H3968" t="s">
        <v>39</v>
      </c>
      <c r="I3968" t="s">
        <v>40</v>
      </c>
      <c r="J3968" s="2" t="s">
        <v>41</v>
      </c>
      <c r="K3968" t="s">
        <v>42</v>
      </c>
      <c r="L3968" t="s">
        <v>43</v>
      </c>
      <c r="N3968" t="s">
        <v>44</v>
      </c>
      <c r="Q3968">
        <v>28577</v>
      </c>
      <c r="R3968" t="s">
        <v>119</v>
      </c>
      <c r="S3968" t="s">
        <v>111</v>
      </c>
      <c r="T3968">
        <v>23</v>
      </c>
      <c r="U3968" s="2" t="s">
        <v>24099</v>
      </c>
      <c r="V3968" s="1">
        <v>45462</v>
      </c>
      <c r="W3968" t="s">
        <v>48</v>
      </c>
      <c r="X3968">
        <v>831623</v>
      </c>
      <c r="Y3968" t="s">
        <v>2514</v>
      </c>
      <c r="Z3968" t="s">
        <v>233</v>
      </c>
      <c r="AA3968" s="2" t="s">
        <v>24100</v>
      </c>
      <c r="AB3968" t="s">
        <v>548</v>
      </c>
      <c r="AD3968" s="2" t="s">
        <v>24101</v>
      </c>
      <c r="AE3968" t="s">
        <v>54</v>
      </c>
      <c r="AG3968" t="s">
        <v>24102</v>
      </c>
      <c r="AH3968" t="s">
        <v>117</v>
      </c>
      <c r="AI3968" t="s">
        <v>24103</v>
      </c>
    </row>
    <row r="3969" spans="2:35" ht="225">
      <c r="B3969" s="1">
        <v>45462</v>
      </c>
      <c r="C3969" s="4">
        <v>45462.401388888888</v>
      </c>
      <c r="D3969" t="s">
        <v>4197</v>
      </c>
      <c r="E3969" t="s">
        <v>24094</v>
      </c>
      <c r="F3969" t="s">
        <v>37</v>
      </c>
      <c r="G3969" t="s">
        <v>38</v>
      </c>
      <c r="H3969" t="s">
        <v>39</v>
      </c>
      <c r="I3969" t="s">
        <v>40</v>
      </c>
      <c r="J3969" t="s">
        <v>109</v>
      </c>
      <c r="K3969" t="s">
        <v>42</v>
      </c>
      <c r="L3969" t="s">
        <v>43</v>
      </c>
      <c r="N3969" t="s">
        <v>44</v>
      </c>
      <c r="Q3969">
        <v>28576</v>
      </c>
      <c r="R3969" t="s">
        <v>45</v>
      </c>
      <c r="S3969" t="s">
        <v>111</v>
      </c>
      <c r="T3969">
        <v>22</v>
      </c>
      <c r="U3969" s="2" t="s">
        <v>24104</v>
      </c>
      <c r="W3969" t="s">
        <v>48</v>
      </c>
      <c r="X3969">
        <v>804687</v>
      </c>
      <c r="Y3969" t="s">
        <v>121</v>
      </c>
      <c r="Z3969" t="s">
        <v>122</v>
      </c>
      <c r="AA3969" s="2" t="s">
        <v>9744</v>
      </c>
      <c r="AB3969" t="s">
        <v>548</v>
      </c>
      <c r="AG3969" t="s">
        <v>24105</v>
      </c>
      <c r="AH3969" t="s">
        <v>117</v>
      </c>
      <c r="AI3969" t="s">
        <v>24106</v>
      </c>
    </row>
    <row r="3970" spans="2:35" ht="135">
      <c r="B3970" s="1">
        <v>45462</v>
      </c>
      <c r="C3970" s="4">
        <v>45462.477083333331</v>
      </c>
      <c r="D3970" t="s">
        <v>1081</v>
      </c>
      <c r="E3970" t="s">
        <v>17305</v>
      </c>
      <c r="F3970" t="s">
        <v>148</v>
      </c>
      <c r="G3970" t="s">
        <v>785</v>
      </c>
      <c r="H3970" t="s">
        <v>39</v>
      </c>
      <c r="I3970" t="s">
        <v>40</v>
      </c>
      <c r="J3970" t="s">
        <v>1422</v>
      </c>
      <c r="K3970" t="s">
        <v>42</v>
      </c>
      <c r="L3970" t="s">
        <v>175</v>
      </c>
      <c r="N3970" t="s">
        <v>176</v>
      </c>
      <c r="Q3970">
        <v>28575</v>
      </c>
      <c r="R3970" t="s">
        <v>322</v>
      </c>
      <c r="S3970" t="s">
        <v>2016</v>
      </c>
      <c r="T3970">
        <v>25</v>
      </c>
      <c r="U3970" s="2" t="s">
        <v>24107</v>
      </c>
      <c r="W3970" t="s">
        <v>84</v>
      </c>
      <c r="X3970">
        <v>802630</v>
      </c>
      <c r="Y3970" t="s">
        <v>8255</v>
      </c>
      <c r="Z3970" t="s">
        <v>103</v>
      </c>
      <c r="AA3970" t="e">
        <f ca="1">- Relocated Unit
- checked _xludf.and cleaned cartridge bay, plunger rod, _xludf.filter
- generated reports
- performed self test</f>
        <v>#NAME?</v>
      </c>
      <c r="AB3970" s="2" t="s">
        <v>24108</v>
      </c>
      <c r="AG3970" t="s">
        <v>24109</v>
      </c>
      <c r="AH3970" t="s">
        <v>24110</v>
      </c>
      <c r="AI3970" t="s">
        <v>24111</v>
      </c>
    </row>
    <row r="3971" spans="2:35" ht="330">
      <c r="B3971" s="1">
        <v>45462</v>
      </c>
      <c r="C3971" s="4">
        <v>45462.469444444447</v>
      </c>
      <c r="D3971" t="s">
        <v>24112</v>
      </c>
      <c r="E3971" t="s">
        <v>11413</v>
      </c>
      <c r="F3971">
        <v>2</v>
      </c>
      <c r="G3971" t="s">
        <v>2668</v>
      </c>
      <c r="H3971" t="s">
        <v>39</v>
      </c>
      <c r="I3971" t="s">
        <v>40</v>
      </c>
      <c r="J3971" s="2" t="s">
        <v>1808</v>
      </c>
      <c r="K3971" t="s">
        <v>42</v>
      </c>
      <c r="L3971" t="s">
        <v>63</v>
      </c>
      <c r="N3971" t="s">
        <v>64</v>
      </c>
      <c r="Q3971">
        <v>28574</v>
      </c>
      <c r="R3971" t="s">
        <v>322</v>
      </c>
      <c r="S3971" t="s">
        <v>12794</v>
      </c>
      <c r="T3971">
        <v>28</v>
      </c>
      <c r="W3971" t="s">
        <v>12775</v>
      </c>
      <c r="X3971">
        <v>110024248</v>
      </c>
      <c r="Y3971" t="s">
        <v>1716</v>
      </c>
      <c r="Z3971" t="s">
        <v>1716</v>
      </c>
      <c r="AA3971" s="2" t="s">
        <v>24113</v>
      </c>
      <c r="AB3971" t="s">
        <v>70</v>
      </c>
      <c r="AG3971" t="s">
        <v>24114</v>
      </c>
      <c r="AH3971" t="s">
        <v>11418</v>
      </c>
      <c r="AI3971" t="s">
        <v>24115</v>
      </c>
    </row>
    <row r="3972" spans="2:35" ht="409.5">
      <c r="B3972" s="1">
        <v>45462</v>
      </c>
      <c r="C3972" s="4">
        <v>45462.383333333331</v>
      </c>
      <c r="D3972" t="s">
        <v>24116</v>
      </c>
      <c r="E3972" t="s">
        <v>24117</v>
      </c>
      <c r="F3972" t="s">
        <v>148</v>
      </c>
      <c r="G3972" t="s">
        <v>310</v>
      </c>
      <c r="H3972" t="s">
        <v>39</v>
      </c>
      <c r="I3972" t="s">
        <v>40</v>
      </c>
      <c r="J3972" t="s">
        <v>109</v>
      </c>
      <c r="K3972" t="s">
        <v>42</v>
      </c>
      <c r="L3972" t="s">
        <v>1943</v>
      </c>
      <c r="N3972" t="s">
        <v>1944</v>
      </c>
      <c r="O3972" t="s">
        <v>24118</v>
      </c>
      <c r="Q3972">
        <v>28573</v>
      </c>
      <c r="R3972" t="s">
        <v>703</v>
      </c>
      <c r="S3972" t="s">
        <v>24119</v>
      </c>
      <c r="T3972">
        <v>25</v>
      </c>
      <c r="U3972" s="2" t="s">
        <v>24120</v>
      </c>
      <c r="W3972" t="s">
        <v>84</v>
      </c>
      <c r="X3972">
        <v>804702</v>
      </c>
      <c r="Y3972" t="s">
        <v>2099</v>
      </c>
      <c r="Z3972" t="s">
        <v>2100</v>
      </c>
      <c r="AA3972" s="2" t="s">
        <v>2101</v>
      </c>
      <c r="AB3972" t="s">
        <v>88</v>
      </c>
      <c r="AG3972" t="s">
        <v>24121</v>
      </c>
      <c r="AH3972" t="s">
        <v>24122</v>
      </c>
      <c r="AI3972" t="s">
        <v>24123</v>
      </c>
    </row>
    <row r="3973" spans="2:35" ht="270">
      <c r="B3973" s="1">
        <v>45461</v>
      </c>
      <c r="C3973" s="4">
        <v>45461.73333333333</v>
      </c>
      <c r="D3973" t="s">
        <v>24124</v>
      </c>
      <c r="E3973" t="s">
        <v>3432</v>
      </c>
      <c r="F3973">
        <v>7</v>
      </c>
      <c r="G3973" t="s">
        <v>432</v>
      </c>
      <c r="H3973" t="s">
        <v>608</v>
      </c>
      <c r="I3973" t="s">
        <v>94</v>
      </c>
      <c r="J3973" t="s">
        <v>79</v>
      </c>
      <c r="K3973" t="s">
        <v>42</v>
      </c>
      <c r="L3973" t="s">
        <v>610</v>
      </c>
      <c r="N3973" t="s">
        <v>611</v>
      </c>
      <c r="Q3973">
        <v>28572</v>
      </c>
      <c r="R3973" t="s">
        <v>45</v>
      </c>
      <c r="S3973" t="s">
        <v>3433</v>
      </c>
      <c r="T3973">
        <v>27</v>
      </c>
      <c r="U3973" s="2" t="s">
        <v>24125</v>
      </c>
      <c r="W3973" t="s">
        <v>360</v>
      </c>
      <c r="X3973">
        <v>807588</v>
      </c>
      <c r="Y3973" s="2" t="s">
        <v>24126</v>
      </c>
      <c r="Z3973" s="2" t="s">
        <v>24127</v>
      </c>
      <c r="AA3973" s="2" t="s">
        <v>24127</v>
      </c>
      <c r="AB3973" t="s">
        <v>7886</v>
      </c>
      <c r="AG3973" t="s">
        <v>24128</v>
      </c>
      <c r="AH3973" t="s">
        <v>24129</v>
      </c>
      <c r="AI3973" t="s">
        <v>24130</v>
      </c>
    </row>
    <row r="3974" spans="2:35" ht="409.5">
      <c r="B3974" s="1">
        <v>45461</v>
      </c>
      <c r="C3974" s="4">
        <v>45461.628472222219</v>
      </c>
      <c r="D3974" t="s">
        <v>6555</v>
      </c>
      <c r="E3974" t="s">
        <v>24131</v>
      </c>
      <c r="F3974">
        <v>5</v>
      </c>
      <c r="G3974" t="s">
        <v>839</v>
      </c>
      <c r="H3974" t="s">
        <v>39</v>
      </c>
      <c r="I3974" t="s">
        <v>94</v>
      </c>
      <c r="J3974" s="2" t="s">
        <v>62</v>
      </c>
      <c r="K3974" t="s">
        <v>42</v>
      </c>
      <c r="L3974" t="s">
        <v>761</v>
      </c>
      <c r="N3974" t="s">
        <v>762</v>
      </c>
      <c r="Q3974">
        <v>28571</v>
      </c>
      <c r="R3974" t="s">
        <v>119</v>
      </c>
      <c r="S3974" t="s">
        <v>6557</v>
      </c>
      <c r="T3974">
        <v>24</v>
      </c>
      <c r="U3974" s="2" t="s">
        <v>24132</v>
      </c>
      <c r="W3974" t="s">
        <v>765</v>
      </c>
      <c r="X3974">
        <v>838398</v>
      </c>
      <c r="Y3974" t="s">
        <v>21277</v>
      </c>
      <c r="Z3974" s="2" t="s">
        <v>24133</v>
      </c>
      <c r="AA3974" s="2" t="s">
        <v>4477</v>
      </c>
      <c r="AB3974" t="s">
        <v>181</v>
      </c>
      <c r="AG3974" t="s">
        <v>24134</v>
      </c>
      <c r="AH3974" t="s">
        <v>6562</v>
      </c>
      <c r="AI3974" t="s">
        <v>24135</v>
      </c>
    </row>
    <row r="3975" spans="2:35" ht="105">
      <c r="B3975" s="1">
        <v>45461</v>
      </c>
      <c r="C3975" s="4">
        <v>45461.525694444441</v>
      </c>
      <c r="D3975" t="s">
        <v>7465</v>
      </c>
      <c r="E3975" t="s">
        <v>7466</v>
      </c>
      <c r="F3975">
        <v>8</v>
      </c>
      <c r="G3975" t="s">
        <v>342</v>
      </c>
      <c r="H3975" t="s">
        <v>202</v>
      </c>
      <c r="I3975" t="s">
        <v>40</v>
      </c>
      <c r="J3975" t="s">
        <v>109</v>
      </c>
      <c r="K3975" t="s">
        <v>42</v>
      </c>
      <c r="L3975" t="s">
        <v>259</v>
      </c>
      <c r="N3975" t="s">
        <v>260</v>
      </c>
      <c r="Q3975">
        <v>28570</v>
      </c>
      <c r="R3975" t="s">
        <v>119</v>
      </c>
      <c r="S3975" t="s">
        <v>16053</v>
      </c>
      <c r="T3975">
        <v>27</v>
      </c>
      <c r="U3975" s="2" t="s">
        <v>13749</v>
      </c>
      <c r="V3975" s="1">
        <v>45461</v>
      </c>
      <c r="W3975" t="s">
        <v>84</v>
      </c>
      <c r="X3975">
        <v>838551</v>
      </c>
      <c r="Y3975" t="s">
        <v>263</v>
      </c>
      <c r="Z3975" t="e">
        <f ca="1">- Preventive Maintenance</f>
        <v>#NAME?</v>
      </c>
      <c r="AA3975" t="e">
        <f ca="1">- Preventive Maintenance (cleaned plunger rod, cartridge bay, icore _xludf.and FAN _xludf.filter)
- performed functionality test</f>
        <v>#NAME?</v>
      </c>
      <c r="AB3975" t="s">
        <v>7675</v>
      </c>
      <c r="AG3975" t="s">
        <v>24136</v>
      </c>
      <c r="AH3975" t="s">
        <v>7469</v>
      </c>
      <c r="AI3975" t="s">
        <v>24137</v>
      </c>
    </row>
    <row r="3976" spans="2:35" ht="225">
      <c r="B3976" s="1">
        <v>45461</v>
      </c>
      <c r="C3976" s="4">
        <v>45461.48541666667</v>
      </c>
      <c r="D3976" t="s">
        <v>837</v>
      </c>
      <c r="E3976" t="s">
        <v>22287</v>
      </c>
      <c r="F3976">
        <v>5</v>
      </c>
      <c r="G3976" t="s">
        <v>839</v>
      </c>
      <c r="H3976" t="s">
        <v>513</v>
      </c>
      <c r="I3976" t="s">
        <v>40</v>
      </c>
      <c r="J3976" t="s">
        <v>109</v>
      </c>
      <c r="K3976" t="s">
        <v>387</v>
      </c>
      <c r="L3976" t="s">
        <v>761</v>
      </c>
      <c r="N3976" t="s">
        <v>762</v>
      </c>
      <c r="Q3976">
        <v>28569</v>
      </c>
      <c r="R3976" t="s">
        <v>322</v>
      </c>
      <c r="S3976" t="s">
        <v>9363</v>
      </c>
      <c r="T3976">
        <v>25</v>
      </c>
      <c r="W3976" t="s">
        <v>390</v>
      </c>
      <c r="X3976" t="s">
        <v>841</v>
      </c>
      <c r="Y3976" t="s">
        <v>24138</v>
      </c>
      <c r="Z3976" s="2" t="s">
        <v>24139</v>
      </c>
      <c r="AA3976" t="s">
        <v>820</v>
      </c>
      <c r="AB3976" t="s">
        <v>70</v>
      </c>
      <c r="AG3976" t="s">
        <v>24140</v>
      </c>
      <c r="AH3976" t="s">
        <v>24141</v>
      </c>
      <c r="AI3976" t="s">
        <v>24142</v>
      </c>
    </row>
    <row r="3977" spans="2:35" ht="225">
      <c r="B3977" s="1">
        <v>45461</v>
      </c>
      <c r="C3977" s="4">
        <v>45461.481249999997</v>
      </c>
      <c r="D3977" t="s">
        <v>837</v>
      </c>
      <c r="E3977" t="s">
        <v>22287</v>
      </c>
      <c r="F3977">
        <v>5</v>
      </c>
      <c r="G3977" t="s">
        <v>839</v>
      </c>
      <c r="H3977" t="s">
        <v>513</v>
      </c>
      <c r="I3977" t="s">
        <v>40</v>
      </c>
      <c r="J3977" t="s">
        <v>109</v>
      </c>
      <c r="K3977" t="s">
        <v>387</v>
      </c>
      <c r="L3977" t="s">
        <v>761</v>
      </c>
      <c r="N3977" t="s">
        <v>762</v>
      </c>
      <c r="Q3977">
        <v>28568</v>
      </c>
      <c r="R3977" t="s">
        <v>322</v>
      </c>
      <c r="S3977" t="s">
        <v>9363</v>
      </c>
      <c r="T3977">
        <v>25</v>
      </c>
      <c r="W3977" t="s">
        <v>390</v>
      </c>
      <c r="X3977" t="s">
        <v>847</v>
      </c>
      <c r="Y3977" t="s">
        <v>24138</v>
      </c>
      <c r="Z3977" s="2" t="s">
        <v>24139</v>
      </c>
      <c r="AA3977" t="s">
        <v>820</v>
      </c>
      <c r="AB3977" t="s">
        <v>70</v>
      </c>
      <c r="AG3977" t="s">
        <v>24143</v>
      </c>
      <c r="AH3977" t="s">
        <v>24141</v>
      </c>
      <c r="AI3977" t="s">
        <v>24144</v>
      </c>
    </row>
    <row r="3978" spans="2:35" ht="180">
      <c r="B3978" s="1">
        <v>45461</v>
      </c>
      <c r="C3978" s="4">
        <v>45461.492361111108</v>
      </c>
      <c r="D3978" t="s">
        <v>2666</v>
      </c>
      <c r="E3978" t="s">
        <v>2667</v>
      </c>
      <c r="F3978">
        <v>2</v>
      </c>
      <c r="G3978" t="s">
        <v>2668</v>
      </c>
      <c r="H3978" t="s">
        <v>39</v>
      </c>
      <c r="I3978" t="s">
        <v>40</v>
      </c>
      <c r="J3978" s="2" t="s">
        <v>1592</v>
      </c>
      <c r="K3978" t="s">
        <v>42</v>
      </c>
      <c r="L3978" t="s">
        <v>63</v>
      </c>
      <c r="N3978" t="s">
        <v>64</v>
      </c>
      <c r="Q3978">
        <v>28567</v>
      </c>
      <c r="R3978" t="s">
        <v>45</v>
      </c>
      <c r="S3978" t="s">
        <v>2669</v>
      </c>
      <c r="T3978">
        <v>29</v>
      </c>
      <c r="U3978" s="2" t="s">
        <v>24145</v>
      </c>
      <c r="W3978" t="s">
        <v>66</v>
      </c>
      <c r="X3978">
        <v>808635</v>
      </c>
      <c r="Y3978" s="2" t="s">
        <v>24146</v>
      </c>
      <c r="Z3978" s="2" t="s">
        <v>24147</v>
      </c>
      <c r="AA3978" s="2" t="s">
        <v>69</v>
      </c>
      <c r="AB3978" t="s">
        <v>70</v>
      </c>
      <c r="AC3978" t="s">
        <v>2165</v>
      </c>
      <c r="AG3978" t="s">
        <v>24148</v>
      </c>
      <c r="AH3978" t="s">
        <v>24149</v>
      </c>
      <c r="AI3978" t="s">
        <v>24150</v>
      </c>
    </row>
    <row r="3979" spans="2:35" ht="409.5">
      <c r="B3979" s="1">
        <v>45461</v>
      </c>
      <c r="C3979" s="4">
        <v>45461.445138888892</v>
      </c>
      <c r="D3979" t="s">
        <v>24151</v>
      </c>
      <c r="E3979" t="s">
        <v>24152</v>
      </c>
      <c r="F3979">
        <v>11</v>
      </c>
      <c r="G3979" t="s">
        <v>4297</v>
      </c>
      <c r="H3979" t="s">
        <v>1047</v>
      </c>
      <c r="I3979" t="s">
        <v>40</v>
      </c>
      <c r="J3979" s="2" t="s">
        <v>4208</v>
      </c>
      <c r="K3979" t="s">
        <v>42</v>
      </c>
      <c r="L3979" t="s">
        <v>204</v>
      </c>
      <c r="N3979" t="s">
        <v>205</v>
      </c>
      <c r="Q3979">
        <v>28566</v>
      </c>
      <c r="R3979" t="s">
        <v>119</v>
      </c>
      <c r="S3979" t="s">
        <v>4970</v>
      </c>
      <c r="T3979">
        <v>30.5</v>
      </c>
      <c r="U3979" s="2" t="s">
        <v>24153</v>
      </c>
      <c r="W3979" t="s">
        <v>24154</v>
      </c>
      <c r="X3979">
        <v>837614</v>
      </c>
      <c r="Y3979" s="2" t="s">
        <v>24155</v>
      </c>
      <c r="Z3979" s="2" t="s">
        <v>24156</v>
      </c>
      <c r="AA3979" t="s">
        <v>2924</v>
      </c>
      <c r="AB3979" t="s">
        <v>1211</v>
      </c>
      <c r="AC3979" t="s">
        <v>24157</v>
      </c>
      <c r="AG3979" t="s">
        <v>24158</v>
      </c>
      <c r="AH3979" t="s">
        <v>24159</v>
      </c>
      <c r="AI3979" t="s">
        <v>24160</v>
      </c>
    </row>
    <row r="3980" spans="2:35" ht="180">
      <c r="B3980" s="1">
        <v>45461</v>
      </c>
      <c r="C3980" s="4">
        <v>45456.632638888892</v>
      </c>
      <c r="D3980" t="s">
        <v>2901</v>
      </c>
      <c r="E3980" t="s">
        <v>24161</v>
      </c>
      <c r="F3980">
        <v>9</v>
      </c>
      <c r="G3980" t="s">
        <v>2903</v>
      </c>
      <c r="H3980" t="s">
        <v>39</v>
      </c>
      <c r="I3980" t="s">
        <v>40</v>
      </c>
      <c r="J3980" s="2" t="s">
        <v>1370</v>
      </c>
      <c r="K3980" t="s">
        <v>42</v>
      </c>
      <c r="L3980" t="s">
        <v>433</v>
      </c>
      <c r="N3980" t="s">
        <v>434</v>
      </c>
      <c r="Q3980">
        <v>28565</v>
      </c>
      <c r="R3980" t="s">
        <v>45</v>
      </c>
      <c r="S3980" t="s">
        <v>24162</v>
      </c>
      <c r="T3980">
        <v>23</v>
      </c>
      <c r="W3980" t="s">
        <v>1008</v>
      </c>
      <c r="X3980">
        <v>804698</v>
      </c>
      <c r="Y3980" t="s">
        <v>24163</v>
      </c>
      <c r="Z3980" s="2" t="s">
        <v>24164</v>
      </c>
      <c r="AA3980" s="2" t="s">
        <v>24164</v>
      </c>
      <c r="AB3980" t="s">
        <v>5438</v>
      </c>
      <c r="AF3980" t="s">
        <v>433</v>
      </c>
      <c r="AG3980" t="s">
        <v>24165</v>
      </c>
      <c r="AH3980" t="s">
        <v>24166</v>
      </c>
      <c r="AI3980" t="s">
        <v>24167</v>
      </c>
    </row>
    <row r="3981" spans="2:35" ht="409.5">
      <c r="B3981" s="1">
        <v>45461</v>
      </c>
      <c r="C3981" s="4">
        <v>45461.369444444441</v>
      </c>
      <c r="D3981" t="s">
        <v>24168</v>
      </c>
      <c r="E3981" t="s">
        <v>24169</v>
      </c>
      <c r="F3981">
        <v>6</v>
      </c>
      <c r="G3981" t="s">
        <v>1286</v>
      </c>
      <c r="H3981" t="s">
        <v>10969</v>
      </c>
      <c r="I3981" t="s">
        <v>40</v>
      </c>
      <c r="J3981" s="2" t="s">
        <v>41</v>
      </c>
      <c r="K3981" t="s">
        <v>42</v>
      </c>
      <c r="L3981" t="s">
        <v>1288</v>
      </c>
      <c r="N3981" t="s">
        <v>1289</v>
      </c>
      <c r="Q3981">
        <v>28564</v>
      </c>
      <c r="R3981" t="s">
        <v>45</v>
      </c>
      <c r="S3981" t="s">
        <v>24170</v>
      </c>
      <c r="T3981">
        <v>22</v>
      </c>
      <c r="U3981" s="2" t="s">
        <v>16657</v>
      </c>
      <c r="W3981" t="s">
        <v>4775</v>
      </c>
      <c r="X3981">
        <v>834841</v>
      </c>
      <c r="Y3981" t="s">
        <v>24171</v>
      </c>
      <c r="Z3981" t="e">
        <f ca="1">-COLLECT IQR, system _xludf.Log, _xludf.and ARCHIVE</f>
        <v>#NAME?</v>
      </c>
      <c r="AA3981" s="2" t="s">
        <v>24172</v>
      </c>
      <c r="AB3981" t="s">
        <v>1293</v>
      </c>
      <c r="AG3981" t="s">
        <v>24173</v>
      </c>
      <c r="AH3981" t="s">
        <v>24174</v>
      </c>
      <c r="AI3981" t="s">
        <v>24175</v>
      </c>
    </row>
    <row r="3982" spans="2:35" ht="75">
      <c r="B3982" s="1">
        <v>45461</v>
      </c>
      <c r="C3982" s="4">
        <v>45449.520833333336</v>
      </c>
      <c r="D3982" t="s">
        <v>6471</v>
      </c>
      <c r="E3982" t="s">
        <v>582</v>
      </c>
      <c r="F3982" t="s">
        <v>148</v>
      </c>
      <c r="G3982" t="s">
        <v>447</v>
      </c>
      <c r="H3982" t="s">
        <v>513</v>
      </c>
      <c r="I3982" t="s">
        <v>40</v>
      </c>
      <c r="J3982" s="2" t="s">
        <v>190</v>
      </c>
      <c r="K3982" t="s">
        <v>387</v>
      </c>
      <c r="L3982" t="s">
        <v>175</v>
      </c>
      <c r="N3982" t="s">
        <v>176</v>
      </c>
      <c r="Q3982">
        <v>28563</v>
      </c>
      <c r="R3982" t="s">
        <v>322</v>
      </c>
      <c r="S3982" t="s">
        <v>18864</v>
      </c>
      <c r="T3982">
        <v>25</v>
      </c>
      <c r="V3982" s="1">
        <v>45449</v>
      </c>
      <c r="W3982" t="s">
        <v>390</v>
      </c>
      <c r="X3982" t="s">
        <v>4307</v>
      </c>
      <c r="Y3982" t="s">
        <v>24176</v>
      </c>
      <c r="Z3982" t="s">
        <v>24177</v>
      </c>
      <c r="AA3982" t="e">
        <f ca="1">- replaced Fuse
- checked CALIBRATION parameters
- checked rotor roller pumps
- performed self test</f>
        <v>#NAME?</v>
      </c>
      <c r="AB3982" t="s">
        <v>181</v>
      </c>
      <c r="AD3982" t="s">
        <v>24178</v>
      </c>
      <c r="AE3982" t="s">
        <v>103</v>
      </c>
      <c r="AG3982" t="s">
        <v>24179</v>
      </c>
      <c r="AH3982" t="s">
        <v>24180</v>
      </c>
      <c r="AI3982" t="s">
        <v>24181</v>
      </c>
    </row>
    <row r="3983" spans="2:35" ht="409.5">
      <c r="B3983" s="1">
        <v>45461</v>
      </c>
      <c r="C3983" s="4">
        <v>45449.545138888891</v>
      </c>
      <c r="D3983" t="s">
        <v>6471</v>
      </c>
      <c r="E3983" t="s">
        <v>582</v>
      </c>
      <c r="F3983" t="s">
        <v>148</v>
      </c>
      <c r="G3983" t="s">
        <v>447</v>
      </c>
      <c r="H3983" t="s">
        <v>39</v>
      </c>
      <c r="I3983" t="s">
        <v>40</v>
      </c>
      <c r="J3983" t="s">
        <v>109</v>
      </c>
      <c r="K3983" t="s">
        <v>42</v>
      </c>
      <c r="L3983" t="s">
        <v>175</v>
      </c>
      <c r="N3983" t="s">
        <v>176</v>
      </c>
      <c r="Q3983">
        <v>28562</v>
      </c>
      <c r="R3983" t="s">
        <v>703</v>
      </c>
      <c r="S3983" t="s">
        <v>24182</v>
      </c>
      <c r="T3983">
        <v>23</v>
      </c>
      <c r="U3983" s="2" t="s">
        <v>24183</v>
      </c>
      <c r="W3983" t="s">
        <v>84</v>
      </c>
      <c r="X3983">
        <v>847578</v>
      </c>
      <c r="Y3983" t="s">
        <v>374</v>
      </c>
      <c r="Z3983" t="s">
        <v>375</v>
      </c>
      <c r="AA3983" t="e">
        <f ca="1">- checked _xludf.and cleaned cartridge bay, plunger rod, _xludf.filter
- generated reports
- scanned system _xludf.Log _xludf.For errors (found temp. errors on B1, B4)
- performed self test</f>
        <v>#NAME?</v>
      </c>
      <c r="AB3983" s="2" t="s">
        <v>24184</v>
      </c>
      <c r="AG3983" t="s">
        <v>24185</v>
      </c>
      <c r="AH3983" t="s">
        <v>24186</v>
      </c>
      <c r="AI3983" t="s">
        <v>24187</v>
      </c>
    </row>
    <row r="3984" spans="2:35" ht="105">
      <c r="B3984" s="1">
        <v>45461</v>
      </c>
      <c r="C3984" s="4">
        <v>45454.556250000001</v>
      </c>
      <c r="D3984" t="s">
        <v>24188</v>
      </c>
      <c r="E3984" t="s">
        <v>3140</v>
      </c>
      <c r="F3984">
        <v>3</v>
      </c>
      <c r="G3984" t="s">
        <v>174</v>
      </c>
      <c r="H3984" t="s">
        <v>39</v>
      </c>
      <c r="I3984" t="s">
        <v>40</v>
      </c>
      <c r="J3984" s="2" t="s">
        <v>190</v>
      </c>
      <c r="K3984" t="s">
        <v>42</v>
      </c>
      <c r="L3984" t="s">
        <v>175</v>
      </c>
      <c r="N3984" t="s">
        <v>176</v>
      </c>
      <c r="Q3984">
        <v>28561</v>
      </c>
      <c r="R3984" t="s">
        <v>45</v>
      </c>
      <c r="S3984" t="s">
        <v>24189</v>
      </c>
      <c r="T3984">
        <v>27</v>
      </c>
      <c r="U3984" s="2" t="s">
        <v>24190</v>
      </c>
      <c r="W3984" t="s">
        <v>84</v>
      </c>
      <c r="X3984">
        <v>838862</v>
      </c>
      <c r="Y3984" s="2" t="s">
        <v>24191</v>
      </c>
      <c r="Z3984" t="s">
        <v>375</v>
      </c>
      <c r="AA3984" t="e">
        <f ca="1">- checked _xludf.and cleaned cartridge bay, plunger rod, _xludf.filter
- generated reports
- performed multiple self tests on module B2</f>
        <v>#NAME?</v>
      </c>
      <c r="AB3984" s="2" t="s">
        <v>24192</v>
      </c>
      <c r="AG3984" t="s">
        <v>24193</v>
      </c>
      <c r="AH3984" t="s">
        <v>24194</v>
      </c>
      <c r="AI3984" t="s">
        <v>24195</v>
      </c>
    </row>
    <row r="3985" spans="2:35">
      <c r="B3985" s="1">
        <v>45460</v>
      </c>
      <c r="C3985" s="4">
        <v>45460.588194444441</v>
      </c>
      <c r="D3985" t="s">
        <v>16716</v>
      </c>
      <c r="E3985" t="s">
        <v>1128</v>
      </c>
      <c r="F3985">
        <v>8</v>
      </c>
      <c r="G3985" t="s">
        <v>342</v>
      </c>
      <c r="H3985" t="s">
        <v>202</v>
      </c>
      <c r="I3985" t="s">
        <v>40</v>
      </c>
      <c r="J3985" t="s">
        <v>109</v>
      </c>
      <c r="K3985" t="s">
        <v>42</v>
      </c>
      <c r="L3985" t="s">
        <v>259</v>
      </c>
      <c r="N3985" t="s">
        <v>260</v>
      </c>
      <c r="Q3985">
        <v>28560</v>
      </c>
      <c r="R3985" t="s">
        <v>119</v>
      </c>
      <c r="S3985" t="s">
        <v>23172</v>
      </c>
      <c r="T3985">
        <v>23</v>
      </c>
      <c r="V3985" s="1">
        <v>45454</v>
      </c>
      <c r="W3985" t="s">
        <v>84</v>
      </c>
      <c r="X3985">
        <v>838421</v>
      </c>
      <c r="Y3985" t="s">
        <v>263</v>
      </c>
      <c r="Z3985" t="s">
        <v>263</v>
      </c>
      <c r="AA3985" t="e">
        <f ca="1">- Monthly Preventive Maintenance</f>
        <v>#NAME?</v>
      </c>
      <c r="AB3985" t="s">
        <v>181</v>
      </c>
      <c r="AG3985" t="s">
        <v>24196</v>
      </c>
      <c r="AH3985" t="s">
        <v>23174</v>
      </c>
      <c r="AI3985" t="s">
        <v>24197</v>
      </c>
    </row>
    <row r="3986" spans="2:35" ht="270">
      <c r="B3986" s="1">
        <v>45459</v>
      </c>
      <c r="C3986" s="4">
        <v>45459.81527777778</v>
      </c>
      <c r="D3986" t="s">
        <v>6037</v>
      </c>
      <c r="E3986" t="s">
        <v>24198</v>
      </c>
      <c r="F3986">
        <v>7</v>
      </c>
      <c r="G3986" t="s">
        <v>432</v>
      </c>
      <c r="H3986" t="s">
        <v>386</v>
      </c>
      <c r="I3986" t="s">
        <v>94</v>
      </c>
      <c r="J3986" s="2" t="s">
        <v>760</v>
      </c>
      <c r="K3986" t="s">
        <v>387</v>
      </c>
      <c r="L3986" t="s">
        <v>610</v>
      </c>
      <c r="N3986" t="s">
        <v>611</v>
      </c>
      <c r="Q3986">
        <v>28559</v>
      </c>
      <c r="R3986" t="s">
        <v>95</v>
      </c>
      <c r="S3986" t="s">
        <v>6039</v>
      </c>
      <c r="T3986">
        <v>24</v>
      </c>
      <c r="W3986" t="s">
        <v>390</v>
      </c>
      <c r="X3986" t="s">
        <v>6040</v>
      </c>
      <c r="Y3986" t="s">
        <v>24199</v>
      </c>
      <c r="Z3986" s="2" t="s">
        <v>24200</v>
      </c>
      <c r="AA3986" t="s">
        <v>24201</v>
      </c>
      <c r="AB3986" s="2" t="s">
        <v>24202</v>
      </c>
      <c r="AG3986" t="s">
        <v>24203</v>
      </c>
      <c r="AH3986" t="s">
        <v>10028</v>
      </c>
      <c r="AI3986" t="s">
        <v>24204</v>
      </c>
    </row>
    <row r="3987" spans="2:35" ht="285">
      <c r="B3987" s="1">
        <v>45458</v>
      </c>
      <c r="C3987" s="4">
        <v>45458.987500000003</v>
      </c>
      <c r="D3987" t="s">
        <v>24205</v>
      </c>
      <c r="E3987" t="s">
        <v>5041</v>
      </c>
      <c r="F3987">
        <v>12</v>
      </c>
      <c r="G3987" t="s">
        <v>978</v>
      </c>
      <c r="H3987" t="s">
        <v>1473</v>
      </c>
      <c r="I3987" t="s">
        <v>94</v>
      </c>
      <c r="J3987" t="s">
        <v>109</v>
      </c>
      <c r="K3987" t="s">
        <v>42</v>
      </c>
      <c r="L3987" t="s">
        <v>296</v>
      </c>
      <c r="N3987" t="s">
        <v>297</v>
      </c>
      <c r="Q3987">
        <v>28558</v>
      </c>
      <c r="R3987" t="s">
        <v>45</v>
      </c>
      <c r="S3987" t="s">
        <v>2798</v>
      </c>
      <c r="T3987">
        <v>30.8</v>
      </c>
      <c r="U3987" s="2" t="s">
        <v>24206</v>
      </c>
      <c r="W3987" t="s">
        <v>22426</v>
      </c>
      <c r="X3987">
        <v>110020386</v>
      </c>
      <c r="Y3987" t="s">
        <v>54</v>
      </c>
      <c r="Z3987" s="2" t="s">
        <v>24207</v>
      </c>
      <c r="AA3987" t="s">
        <v>9161</v>
      </c>
      <c r="AB3987" t="s">
        <v>972</v>
      </c>
      <c r="AG3987" t="s">
        <v>24208</v>
      </c>
      <c r="AH3987" t="s">
        <v>24209</v>
      </c>
      <c r="AI3987" t="s">
        <v>24210</v>
      </c>
    </row>
    <row r="3988" spans="2:35" ht="210">
      <c r="B3988" s="1">
        <v>45458</v>
      </c>
      <c r="C3988" s="4">
        <v>45454.577777777777</v>
      </c>
      <c r="D3988" t="s">
        <v>24211</v>
      </c>
      <c r="E3988" t="s">
        <v>5041</v>
      </c>
      <c r="F3988">
        <v>12</v>
      </c>
      <c r="G3988" t="s">
        <v>978</v>
      </c>
      <c r="H3988" t="s">
        <v>1473</v>
      </c>
      <c r="I3988" t="s">
        <v>94</v>
      </c>
      <c r="J3988" t="s">
        <v>109</v>
      </c>
      <c r="K3988" t="s">
        <v>42</v>
      </c>
      <c r="L3988" t="s">
        <v>296</v>
      </c>
      <c r="N3988" t="s">
        <v>297</v>
      </c>
      <c r="Q3988">
        <v>28557</v>
      </c>
      <c r="R3988" t="s">
        <v>45</v>
      </c>
      <c r="S3988" t="s">
        <v>2798</v>
      </c>
      <c r="T3988">
        <v>28.6</v>
      </c>
      <c r="U3988" s="2" t="s">
        <v>24212</v>
      </c>
      <c r="W3988" t="s">
        <v>22357</v>
      </c>
      <c r="X3988">
        <v>838130</v>
      </c>
      <c r="Y3988" t="s">
        <v>54</v>
      </c>
      <c r="Z3988" s="2" t="s">
        <v>24213</v>
      </c>
      <c r="AA3988" t="s">
        <v>9161</v>
      </c>
      <c r="AB3988" t="s">
        <v>972</v>
      </c>
      <c r="AG3988" t="s">
        <v>24214</v>
      </c>
      <c r="AH3988" t="s">
        <v>24209</v>
      </c>
      <c r="AI3988" t="s">
        <v>24215</v>
      </c>
    </row>
    <row r="3989" spans="2:35" ht="255">
      <c r="B3989" s="1">
        <v>45458</v>
      </c>
      <c r="C3989" s="4">
        <v>45457.43472222222</v>
      </c>
      <c r="D3989" t="s">
        <v>3679</v>
      </c>
      <c r="E3989" t="s">
        <v>2580</v>
      </c>
      <c r="F3989" t="s">
        <v>148</v>
      </c>
      <c r="G3989" t="s">
        <v>447</v>
      </c>
      <c r="H3989" t="s">
        <v>662</v>
      </c>
      <c r="I3989" t="s">
        <v>40</v>
      </c>
      <c r="J3989" t="s">
        <v>109</v>
      </c>
      <c r="K3989" t="s">
        <v>42</v>
      </c>
      <c r="L3989" t="s">
        <v>448</v>
      </c>
      <c r="N3989" t="s">
        <v>650</v>
      </c>
      <c r="O3989" t="s">
        <v>3680</v>
      </c>
      <c r="Q3989">
        <v>28556</v>
      </c>
      <c r="R3989" t="s">
        <v>45</v>
      </c>
      <c r="S3989" t="s">
        <v>6492</v>
      </c>
      <c r="T3989">
        <v>26</v>
      </c>
      <c r="U3989" s="2" t="s">
        <v>24216</v>
      </c>
      <c r="W3989" t="s">
        <v>6121</v>
      </c>
      <c r="X3989">
        <v>834443</v>
      </c>
      <c r="Y3989" t="s">
        <v>485</v>
      </c>
      <c r="Z3989" s="2" t="s">
        <v>2011</v>
      </c>
      <c r="AA3989" t="s">
        <v>122</v>
      </c>
      <c r="AB3989" t="s">
        <v>486</v>
      </c>
      <c r="AG3989" t="s">
        <v>24217</v>
      </c>
      <c r="AH3989" t="s">
        <v>24218</v>
      </c>
      <c r="AI3989" t="s">
        <v>24219</v>
      </c>
    </row>
    <row r="3990" spans="2:35" ht="195">
      <c r="B3990" s="1">
        <v>45458</v>
      </c>
      <c r="C3990" s="4">
        <v>45457.421527777777</v>
      </c>
      <c r="D3990" t="s">
        <v>3679</v>
      </c>
      <c r="E3990" t="s">
        <v>2580</v>
      </c>
      <c r="F3990" t="s">
        <v>148</v>
      </c>
      <c r="G3990" t="s">
        <v>447</v>
      </c>
      <c r="H3990" t="s">
        <v>662</v>
      </c>
      <c r="I3990" t="s">
        <v>40</v>
      </c>
      <c r="J3990" t="s">
        <v>109</v>
      </c>
      <c r="K3990" t="s">
        <v>42</v>
      </c>
      <c r="L3990" t="s">
        <v>448</v>
      </c>
      <c r="N3990" t="s">
        <v>650</v>
      </c>
      <c r="O3990" t="s">
        <v>3680</v>
      </c>
      <c r="Q3990">
        <v>28555</v>
      </c>
      <c r="R3990" t="s">
        <v>322</v>
      </c>
      <c r="S3990" t="s">
        <v>6492</v>
      </c>
      <c r="T3990">
        <v>26</v>
      </c>
      <c r="U3990" s="2" t="s">
        <v>24220</v>
      </c>
      <c r="W3990" t="s">
        <v>6785</v>
      </c>
      <c r="X3990">
        <v>838655</v>
      </c>
      <c r="Y3990" t="s">
        <v>485</v>
      </c>
      <c r="Z3990" s="2" t="s">
        <v>2011</v>
      </c>
      <c r="AA3990" t="s">
        <v>122</v>
      </c>
      <c r="AB3990" t="s">
        <v>486</v>
      </c>
      <c r="AG3990" t="s">
        <v>24221</v>
      </c>
      <c r="AH3990" t="s">
        <v>24218</v>
      </c>
      <c r="AI3990" t="s">
        <v>24222</v>
      </c>
    </row>
    <row r="3991" spans="2:35" ht="409.5">
      <c r="B3991" s="1">
        <v>45458</v>
      </c>
      <c r="C3991" s="4">
        <v>45457.378472222219</v>
      </c>
      <c r="D3991" t="s">
        <v>4501</v>
      </c>
      <c r="E3991" t="s">
        <v>24223</v>
      </c>
      <c r="F3991" t="s">
        <v>148</v>
      </c>
      <c r="G3991" t="s">
        <v>447</v>
      </c>
      <c r="H3991" t="s">
        <v>39</v>
      </c>
      <c r="I3991" t="s">
        <v>40</v>
      </c>
      <c r="J3991" t="s">
        <v>109</v>
      </c>
      <c r="K3991" t="s">
        <v>42</v>
      </c>
      <c r="L3991" t="s">
        <v>448</v>
      </c>
      <c r="N3991" t="s">
        <v>650</v>
      </c>
      <c r="Q3991">
        <v>28554</v>
      </c>
      <c r="R3991" t="s">
        <v>95</v>
      </c>
      <c r="S3991" t="s">
        <v>14144</v>
      </c>
      <c r="T3991">
        <v>30</v>
      </c>
      <c r="U3991" s="2" t="s">
        <v>24224</v>
      </c>
      <c r="W3991" t="s">
        <v>6121</v>
      </c>
      <c r="X3991">
        <v>110008529</v>
      </c>
      <c r="Y3991" t="s">
        <v>485</v>
      </c>
      <c r="Z3991" s="2" t="s">
        <v>2011</v>
      </c>
      <c r="AA3991" t="s">
        <v>122</v>
      </c>
      <c r="AB3991" t="s">
        <v>486</v>
      </c>
      <c r="AG3991" t="s">
        <v>24225</v>
      </c>
      <c r="AH3991" t="s">
        <v>4492</v>
      </c>
      <c r="AI3991" t="s">
        <v>24226</v>
      </c>
    </row>
    <row r="3992" spans="2:35" ht="255">
      <c r="B3992" s="1">
        <v>45458</v>
      </c>
      <c r="C3992" s="4">
        <v>45456.614583333336</v>
      </c>
      <c r="D3992" t="s">
        <v>6783</v>
      </c>
      <c r="E3992" t="s">
        <v>2569</v>
      </c>
      <c r="F3992" t="s">
        <v>148</v>
      </c>
      <c r="G3992" t="s">
        <v>447</v>
      </c>
      <c r="H3992" t="s">
        <v>2210</v>
      </c>
      <c r="I3992" t="s">
        <v>40</v>
      </c>
      <c r="J3992" t="s">
        <v>109</v>
      </c>
      <c r="K3992" t="s">
        <v>42</v>
      </c>
      <c r="L3992" t="s">
        <v>448</v>
      </c>
      <c r="N3992" t="s">
        <v>650</v>
      </c>
      <c r="Q3992">
        <v>28553</v>
      </c>
      <c r="R3992" t="s">
        <v>95</v>
      </c>
      <c r="S3992" t="s">
        <v>16934</v>
      </c>
      <c r="T3992">
        <v>29</v>
      </c>
      <c r="U3992" s="2" t="s">
        <v>24227</v>
      </c>
      <c r="W3992" t="s">
        <v>895</v>
      </c>
      <c r="X3992">
        <v>839306</v>
      </c>
      <c r="Y3992" t="s">
        <v>485</v>
      </c>
      <c r="Z3992" s="2" t="s">
        <v>2011</v>
      </c>
      <c r="AA3992" t="s">
        <v>122</v>
      </c>
      <c r="AB3992" s="2" t="s">
        <v>24228</v>
      </c>
      <c r="AG3992" t="s">
        <v>24229</v>
      </c>
      <c r="AH3992" t="s">
        <v>24230</v>
      </c>
      <c r="AI3992" t="s">
        <v>24231</v>
      </c>
    </row>
    <row r="3993" spans="2:35" ht="409.5">
      <c r="B3993" s="1">
        <v>45458</v>
      </c>
      <c r="C3993" s="4">
        <v>45456.488194444442</v>
      </c>
      <c r="D3993" t="s">
        <v>24232</v>
      </c>
      <c r="E3993" t="s">
        <v>24233</v>
      </c>
      <c r="F3993" t="s">
        <v>148</v>
      </c>
      <c r="G3993" t="s">
        <v>230</v>
      </c>
      <c r="H3993" t="s">
        <v>386</v>
      </c>
      <c r="I3993" t="s">
        <v>40</v>
      </c>
      <c r="J3993" s="2" t="s">
        <v>2170</v>
      </c>
      <c r="K3993" t="s">
        <v>387</v>
      </c>
      <c r="L3993" t="s">
        <v>448</v>
      </c>
      <c r="N3993" t="s">
        <v>650</v>
      </c>
      <c r="Q3993">
        <v>28552</v>
      </c>
      <c r="R3993" t="s">
        <v>322</v>
      </c>
      <c r="S3993" t="s">
        <v>2471</v>
      </c>
      <c r="T3993">
        <v>26</v>
      </c>
      <c r="W3993" t="s">
        <v>476</v>
      </c>
      <c r="X3993" t="s">
        <v>5622</v>
      </c>
      <c r="Y3993" t="s">
        <v>24234</v>
      </c>
      <c r="Z3993" s="2" t="s">
        <v>24235</v>
      </c>
      <c r="AA3993" t="s">
        <v>14834</v>
      </c>
      <c r="AB3993" s="2" t="s">
        <v>24236</v>
      </c>
      <c r="AC3993" t="s">
        <v>24237</v>
      </c>
      <c r="AG3993" t="s">
        <v>24238</v>
      </c>
      <c r="AH3993" t="s">
        <v>17319</v>
      </c>
      <c r="AI3993" t="s">
        <v>24239</v>
      </c>
    </row>
    <row r="3994" spans="2:35">
      <c r="B3994" s="1">
        <v>45457</v>
      </c>
      <c r="C3994" s="4">
        <v>45457.660416666666</v>
      </c>
      <c r="D3994" t="s">
        <v>24240</v>
      </c>
      <c r="E3994" t="s">
        <v>24241</v>
      </c>
      <c r="F3994" t="s">
        <v>148</v>
      </c>
      <c r="G3994" t="s">
        <v>447</v>
      </c>
      <c r="H3994" t="s">
        <v>39</v>
      </c>
      <c r="I3994" t="s">
        <v>40</v>
      </c>
      <c r="J3994" t="s">
        <v>321</v>
      </c>
      <c r="K3994" t="s">
        <v>42</v>
      </c>
      <c r="L3994" t="s">
        <v>80</v>
      </c>
      <c r="N3994" t="s">
        <v>81</v>
      </c>
      <c r="O3994" t="s">
        <v>18441</v>
      </c>
      <c r="Q3994">
        <v>28551</v>
      </c>
      <c r="R3994" t="s">
        <v>322</v>
      </c>
      <c r="S3994" t="s">
        <v>9476</v>
      </c>
      <c r="T3994">
        <v>28</v>
      </c>
      <c r="V3994" s="1">
        <v>45457</v>
      </c>
      <c r="W3994" t="s">
        <v>423</v>
      </c>
      <c r="X3994">
        <v>110020698</v>
      </c>
      <c r="Y3994" t="s">
        <v>24242</v>
      </c>
      <c r="Z3994" t="s">
        <v>24243</v>
      </c>
      <c r="AA3994" t="s">
        <v>24244</v>
      </c>
      <c r="AB3994" t="s">
        <v>88</v>
      </c>
      <c r="AC3994" t="s">
        <v>24245</v>
      </c>
      <c r="AD3994" t="s">
        <v>103</v>
      </c>
      <c r="AE3994" t="s">
        <v>103</v>
      </c>
      <c r="AG3994" t="s">
        <v>24246</v>
      </c>
      <c r="AH3994" t="s">
        <v>11779</v>
      </c>
      <c r="AI3994" t="s">
        <v>24247</v>
      </c>
    </row>
    <row r="3995" spans="2:35" ht="135">
      <c r="B3995" s="1">
        <v>45457</v>
      </c>
      <c r="C3995" s="4">
        <v>45457.645138888889</v>
      </c>
      <c r="D3995" t="s">
        <v>24248</v>
      </c>
      <c r="E3995" t="s">
        <v>24249</v>
      </c>
      <c r="F3995">
        <v>5</v>
      </c>
      <c r="G3995" t="s">
        <v>759</v>
      </c>
      <c r="H3995" t="s">
        <v>39</v>
      </c>
      <c r="I3995" t="s">
        <v>40</v>
      </c>
      <c r="J3995" t="s">
        <v>79</v>
      </c>
      <c r="K3995" t="s">
        <v>42</v>
      </c>
      <c r="L3995" t="s">
        <v>761</v>
      </c>
      <c r="N3995" t="s">
        <v>762</v>
      </c>
      <c r="Q3995">
        <v>28550</v>
      </c>
      <c r="R3995" t="s">
        <v>45</v>
      </c>
      <c r="S3995" t="s">
        <v>24250</v>
      </c>
      <c r="T3995">
        <v>26</v>
      </c>
      <c r="U3995" s="2" t="s">
        <v>24251</v>
      </c>
      <c r="W3995" t="s">
        <v>765</v>
      </c>
      <c r="X3995">
        <v>814371</v>
      </c>
      <c r="Y3995" t="s">
        <v>9897</v>
      </c>
      <c r="Z3995" s="2" t="s">
        <v>24252</v>
      </c>
      <c r="AA3995" s="2" t="s">
        <v>24253</v>
      </c>
      <c r="AB3995" t="s">
        <v>70</v>
      </c>
      <c r="AG3995" t="s">
        <v>24254</v>
      </c>
      <c r="AH3995" t="s">
        <v>7535</v>
      </c>
      <c r="AI3995" t="s">
        <v>24255</v>
      </c>
    </row>
    <row r="3996" spans="2:35" ht="405">
      <c r="B3996" s="1">
        <v>45457</v>
      </c>
      <c r="C3996" s="4">
        <v>45457.463194444441</v>
      </c>
      <c r="D3996" t="s">
        <v>8684</v>
      </c>
      <c r="E3996" t="s">
        <v>24256</v>
      </c>
      <c r="F3996">
        <v>5</v>
      </c>
      <c r="G3996" t="s">
        <v>814</v>
      </c>
      <c r="H3996" t="s">
        <v>39</v>
      </c>
      <c r="I3996" t="s">
        <v>94</v>
      </c>
      <c r="J3996" t="s">
        <v>525</v>
      </c>
      <c r="K3996" t="s">
        <v>42</v>
      </c>
      <c r="L3996" t="s">
        <v>761</v>
      </c>
      <c r="N3996" t="s">
        <v>762</v>
      </c>
      <c r="Q3996">
        <v>28549</v>
      </c>
      <c r="R3996" t="s">
        <v>119</v>
      </c>
      <c r="S3996" t="s">
        <v>14253</v>
      </c>
      <c r="T3996">
        <v>27</v>
      </c>
      <c r="U3996" s="2" t="s">
        <v>578</v>
      </c>
      <c r="W3996" t="s">
        <v>765</v>
      </c>
      <c r="X3996">
        <v>838266</v>
      </c>
      <c r="Y3996" s="2" t="s">
        <v>24257</v>
      </c>
      <c r="Z3996" s="2" t="s">
        <v>24258</v>
      </c>
      <c r="AA3996" t="s">
        <v>24259</v>
      </c>
      <c r="AB3996" s="2" t="s">
        <v>24260</v>
      </c>
      <c r="AC3996" t="s">
        <v>24261</v>
      </c>
      <c r="AG3996" t="s">
        <v>24262</v>
      </c>
      <c r="AH3996" t="s">
        <v>8693</v>
      </c>
      <c r="AI3996" t="s">
        <v>24263</v>
      </c>
    </row>
    <row r="3997" spans="2:35" ht="409.5">
      <c r="B3997" s="1">
        <v>45457</v>
      </c>
      <c r="C3997" s="4">
        <v>45457.62222222222</v>
      </c>
      <c r="D3997" t="s">
        <v>23619</v>
      </c>
      <c r="E3997" t="s">
        <v>23620</v>
      </c>
      <c r="F3997" t="s">
        <v>148</v>
      </c>
      <c r="G3997" t="s">
        <v>23621</v>
      </c>
      <c r="H3997" t="s">
        <v>24264</v>
      </c>
      <c r="I3997" t="s">
        <v>40</v>
      </c>
      <c r="J3997" s="2" t="s">
        <v>62</v>
      </c>
      <c r="K3997" t="s">
        <v>42</v>
      </c>
      <c r="L3997" t="s">
        <v>1943</v>
      </c>
      <c r="N3997" t="s">
        <v>1944</v>
      </c>
      <c r="O3997" t="s">
        <v>23622</v>
      </c>
      <c r="Q3997">
        <v>28548</v>
      </c>
      <c r="R3997" t="s">
        <v>119</v>
      </c>
      <c r="S3997" t="s">
        <v>24265</v>
      </c>
      <c r="T3997">
        <v>25</v>
      </c>
      <c r="U3997" s="2" t="s">
        <v>24266</v>
      </c>
      <c r="V3997" s="1">
        <v>45457</v>
      </c>
      <c r="W3997" t="s">
        <v>84</v>
      </c>
      <c r="X3997">
        <v>831626</v>
      </c>
      <c r="Y3997" s="2" t="s">
        <v>23659</v>
      </c>
      <c r="Z3997" t="s">
        <v>23660</v>
      </c>
      <c r="AA3997" s="2" t="s">
        <v>3046</v>
      </c>
      <c r="AB3997" t="s">
        <v>24267</v>
      </c>
      <c r="AD3997" t="s">
        <v>948</v>
      </c>
      <c r="AE3997" t="s">
        <v>11329</v>
      </c>
      <c r="AG3997" t="s">
        <v>24268</v>
      </c>
      <c r="AH3997" t="s">
        <v>24269</v>
      </c>
      <c r="AI3997" t="s">
        <v>24270</v>
      </c>
    </row>
    <row r="3998" spans="2:35" ht="285">
      <c r="B3998" s="1">
        <v>45457</v>
      </c>
      <c r="C3998" s="4">
        <v>45457.605555555558</v>
      </c>
      <c r="D3998" t="s">
        <v>1484</v>
      </c>
      <c r="E3998" t="s">
        <v>1485</v>
      </c>
      <c r="F3998">
        <v>12</v>
      </c>
      <c r="G3998" t="s">
        <v>978</v>
      </c>
      <c r="H3998" t="s">
        <v>1473</v>
      </c>
      <c r="I3998" t="s">
        <v>94</v>
      </c>
      <c r="J3998" s="2" t="s">
        <v>62</v>
      </c>
      <c r="K3998" t="s">
        <v>42</v>
      </c>
      <c r="L3998" t="s">
        <v>296</v>
      </c>
      <c r="N3998" t="s">
        <v>297</v>
      </c>
      <c r="Q3998">
        <v>28547</v>
      </c>
      <c r="R3998" t="s">
        <v>45</v>
      </c>
      <c r="S3998" t="s">
        <v>1486</v>
      </c>
      <c r="T3998">
        <v>27.9</v>
      </c>
      <c r="U3998" s="2" t="s">
        <v>24271</v>
      </c>
      <c r="V3998" s="1">
        <v>45457</v>
      </c>
      <c r="W3998" t="s">
        <v>22357</v>
      </c>
      <c r="X3998">
        <v>815432</v>
      </c>
      <c r="Y3998" t="s">
        <v>54</v>
      </c>
      <c r="Z3998" s="2" t="s">
        <v>24272</v>
      </c>
      <c r="AA3998" s="2" t="s">
        <v>24273</v>
      </c>
      <c r="AB3998" t="s">
        <v>972</v>
      </c>
      <c r="AC3998" t="s">
        <v>24274</v>
      </c>
      <c r="AD3998" t="s">
        <v>3203</v>
      </c>
      <c r="AE3998">
        <v>1001075092</v>
      </c>
      <c r="AG3998" t="s">
        <v>24275</v>
      </c>
      <c r="AH3998" t="s">
        <v>24276</v>
      </c>
      <c r="AI3998" t="s">
        <v>24277</v>
      </c>
    </row>
    <row r="3999" spans="2:35" ht="210">
      <c r="B3999" s="1">
        <v>45457</v>
      </c>
      <c r="C3999" s="4">
        <v>45457.613888888889</v>
      </c>
      <c r="D3999" t="s">
        <v>1484</v>
      </c>
      <c r="E3999" t="s">
        <v>1485</v>
      </c>
      <c r="F3999">
        <v>12</v>
      </c>
      <c r="G3999" t="s">
        <v>978</v>
      </c>
      <c r="H3999" t="s">
        <v>1473</v>
      </c>
      <c r="I3999" t="s">
        <v>94</v>
      </c>
      <c r="J3999" t="s">
        <v>109</v>
      </c>
      <c r="K3999" t="s">
        <v>42</v>
      </c>
      <c r="L3999" t="s">
        <v>296</v>
      </c>
      <c r="N3999" t="s">
        <v>297</v>
      </c>
      <c r="Q3999">
        <v>28546</v>
      </c>
      <c r="R3999" t="s">
        <v>45</v>
      </c>
      <c r="S3999" t="s">
        <v>1486</v>
      </c>
      <c r="T3999">
        <v>26.2</v>
      </c>
      <c r="U3999" s="2" t="s">
        <v>24278</v>
      </c>
      <c r="W3999" t="s">
        <v>22426</v>
      </c>
      <c r="X3999">
        <v>120000172</v>
      </c>
      <c r="Y3999" t="s">
        <v>54</v>
      </c>
      <c r="Z3999" s="2" t="s">
        <v>24213</v>
      </c>
      <c r="AA3999" t="s">
        <v>9161</v>
      </c>
      <c r="AB3999" t="s">
        <v>972</v>
      </c>
      <c r="AG3999" t="s">
        <v>24279</v>
      </c>
      <c r="AH3999" t="s">
        <v>24280</v>
      </c>
      <c r="AI3999" t="s">
        <v>24281</v>
      </c>
    </row>
    <row r="4000" spans="2:35" ht="285">
      <c r="B4000" s="1">
        <v>45457</v>
      </c>
      <c r="C4000" s="4">
        <v>45456.501388888886</v>
      </c>
      <c r="D4000" t="s">
        <v>22227</v>
      </c>
      <c r="E4000" t="s">
        <v>293</v>
      </c>
      <c r="F4000">
        <v>12</v>
      </c>
      <c r="G4000" t="s">
        <v>294</v>
      </c>
      <c r="H4000" t="s">
        <v>39</v>
      </c>
      <c r="I4000" t="s">
        <v>94</v>
      </c>
      <c r="J4000" s="2" t="s">
        <v>62</v>
      </c>
      <c r="K4000" t="s">
        <v>42</v>
      </c>
      <c r="L4000" t="s">
        <v>296</v>
      </c>
      <c r="N4000" t="s">
        <v>297</v>
      </c>
      <c r="Q4000">
        <v>28545</v>
      </c>
      <c r="R4000" t="s">
        <v>45</v>
      </c>
      <c r="S4000" t="s">
        <v>24282</v>
      </c>
      <c r="T4000">
        <v>28.2</v>
      </c>
      <c r="U4000" s="2" t="s">
        <v>17728</v>
      </c>
      <c r="V4000" s="1">
        <v>45456</v>
      </c>
      <c r="W4000" t="s">
        <v>23049</v>
      </c>
      <c r="X4000">
        <v>815393</v>
      </c>
      <c r="Y4000" t="s">
        <v>15200</v>
      </c>
      <c r="Z4000" s="2" t="s">
        <v>24283</v>
      </c>
      <c r="AA4000" s="2" t="s">
        <v>24284</v>
      </c>
      <c r="AB4000" t="s">
        <v>1480</v>
      </c>
      <c r="AC4000" t="s">
        <v>24285</v>
      </c>
      <c r="AD4000" t="s">
        <v>3203</v>
      </c>
      <c r="AE4000" t="s">
        <v>24286</v>
      </c>
      <c r="AG4000" t="s">
        <v>24287</v>
      </c>
      <c r="AH4000" t="s">
        <v>24288</v>
      </c>
      <c r="AI4000" t="s">
        <v>24289</v>
      </c>
    </row>
    <row r="4001" spans="2:35" ht="165">
      <c r="B4001" s="1">
        <v>45457</v>
      </c>
      <c r="C4001" s="4">
        <v>45457.586805555555</v>
      </c>
      <c r="D4001" t="s">
        <v>24290</v>
      </c>
      <c r="E4001" t="s">
        <v>23611</v>
      </c>
      <c r="F4001">
        <v>3</v>
      </c>
      <c r="G4001" t="s">
        <v>134</v>
      </c>
      <c r="H4001" t="s">
        <v>39</v>
      </c>
      <c r="I4001" t="s">
        <v>40</v>
      </c>
      <c r="J4001" s="2" t="s">
        <v>1157</v>
      </c>
      <c r="K4001" t="s">
        <v>42</v>
      </c>
      <c r="L4001" t="s">
        <v>63</v>
      </c>
      <c r="N4001" t="s">
        <v>64</v>
      </c>
      <c r="O4001" t="s">
        <v>24291</v>
      </c>
      <c r="Q4001">
        <v>28544</v>
      </c>
      <c r="R4001" t="s">
        <v>45</v>
      </c>
      <c r="S4001" t="s">
        <v>23612</v>
      </c>
      <c r="T4001">
        <v>28</v>
      </c>
      <c r="U4001" s="2" t="s">
        <v>24292</v>
      </c>
      <c r="W4001" t="s">
        <v>66</v>
      </c>
      <c r="X4001">
        <v>812790</v>
      </c>
      <c r="Y4001" s="2" t="s">
        <v>24293</v>
      </c>
      <c r="Z4001" s="2" t="s">
        <v>24294</v>
      </c>
      <c r="AA4001" s="2" t="s">
        <v>1727</v>
      </c>
      <c r="AB4001" t="s">
        <v>70</v>
      </c>
      <c r="AC4001" t="s">
        <v>11378</v>
      </c>
      <c r="AG4001" t="s">
        <v>24295</v>
      </c>
      <c r="AH4001" t="s">
        <v>23617</v>
      </c>
      <c r="AI4001" t="s">
        <v>24296</v>
      </c>
    </row>
    <row r="4002" spans="2:35" ht="105">
      <c r="B4002" s="1">
        <v>45457</v>
      </c>
      <c r="C4002" s="4">
        <v>45457.536111111112</v>
      </c>
      <c r="D4002" t="s">
        <v>4353</v>
      </c>
      <c r="E4002" t="s">
        <v>24297</v>
      </c>
      <c r="F4002" t="s">
        <v>1255</v>
      </c>
      <c r="G4002" t="s">
        <v>3346</v>
      </c>
      <c r="H4002" t="s">
        <v>39</v>
      </c>
      <c r="I4002" t="s">
        <v>94</v>
      </c>
      <c r="J4002" t="s">
        <v>109</v>
      </c>
      <c r="K4002" t="s">
        <v>42</v>
      </c>
      <c r="L4002" t="s">
        <v>1257</v>
      </c>
      <c r="N4002" t="s">
        <v>2199</v>
      </c>
      <c r="O4002" t="s">
        <v>1258</v>
      </c>
      <c r="Q4002">
        <v>28543</v>
      </c>
      <c r="R4002" t="s">
        <v>45</v>
      </c>
      <c r="S4002" t="s">
        <v>24298</v>
      </c>
      <c r="T4002">
        <v>24</v>
      </c>
      <c r="U4002" s="2" t="s">
        <v>10098</v>
      </c>
      <c r="V4002" s="1">
        <v>45457</v>
      </c>
      <c r="W4002" t="s">
        <v>2384</v>
      </c>
      <c r="X4002">
        <v>707515</v>
      </c>
      <c r="Y4002" t="s">
        <v>24299</v>
      </c>
      <c r="Z4002" t="s">
        <v>24300</v>
      </c>
      <c r="AA4002" t="s">
        <v>22443</v>
      </c>
      <c r="AB4002" t="s">
        <v>7411</v>
      </c>
      <c r="AC4002" t="s">
        <v>301</v>
      </c>
      <c r="AD4002" t="s">
        <v>54</v>
      </c>
      <c r="AE4002" t="s">
        <v>54</v>
      </c>
      <c r="AG4002" t="s">
        <v>24301</v>
      </c>
      <c r="AH4002" t="s">
        <v>24302</v>
      </c>
      <c r="AI4002" t="s">
        <v>24303</v>
      </c>
    </row>
    <row r="4003" spans="2:35" ht="409.5">
      <c r="B4003" s="1">
        <v>45457</v>
      </c>
      <c r="C4003" s="4">
        <v>45454.459722222222</v>
      </c>
      <c r="D4003" t="s">
        <v>12261</v>
      </c>
      <c r="E4003" t="s">
        <v>24304</v>
      </c>
      <c r="F4003" t="s">
        <v>148</v>
      </c>
      <c r="G4003" t="s">
        <v>774</v>
      </c>
      <c r="H4003" t="s">
        <v>662</v>
      </c>
      <c r="I4003" t="s">
        <v>40</v>
      </c>
      <c r="J4003" s="2" t="s">
        <v>62</v>
      </c>
      <c r="K4003" t="s">
        <v>42</v>
      </c>
      <c r="L4003" t="s">
        <v>1028</v>
      </c>
      <c r="N4003" t="s">
        <v>1029</v>
      </c>
      <c r="O4003" t="s">
        <v>12290</v>
      </c>
      <c r="Q4003">
        <v>28542</v>
      </c>
      <c r="R4003" t="s">
        <v>95</v>
      </c>
      <c r="S4003" t="s">
        <v>24305</v>
      </c>
      <c r="T4003">
        <v>22</v>
      </c>
      <c r="U4003" s="2" t="s">
        <v>24306</v>
      </c>
      <c r="V4003" s="1">
        <v>45453</v>
      </c>
      <c r="W4003" t="s">
        <v>1032</v>
      </c>
      <c r="X4003">
        <v>110014996</v>
      </c>
      <c r="Y4003" t="s">
        <v>18140</v>
      </c>
      <c r="Z4003" s="2" t="s">
        <v>7701</v>
      </c>
      <c r="AA4003" s="2" t="s">
        <v>24307</v>
      </c>
      <c r="AB4003" t="s">
        <v>20488</v>
      </c>
      <c r="AD4003" t="s">
        <v>5153</v>
      </c>
      <c r="AE4003">
        <v>11593</v>
      </c>
      <c r="AG4003" t="s">
        <v>24308</v>
      </c>
      <c r="AH4003" t="s">
        <v>24309</v>
      </c>
      <c r="AI4003" t="s">
        <v>24310</v>
      </c>
    </row>
    <row r="4004" spans="2:35" ht="285">
      <c r="B4004" s="1">
        <v>45457</v>
      </c>
      <c r="C4004" s="4">
        <v>45454.580555555556</v>
      </c>
      <c r="D4004" t="s">
        <v>14269</v>
      </c>
      <c r="E4004" t="s">
        <v>12284</v>
      </c>
      <c r="F4004" t="s">
        <v>148</v>
      </c>
      <c r="G4004" t="s">
        <v>4786</v>
      </c>
      <c r="H4004" t="s">
        <v>513</v>
      </c>
      <c r="I4004" t="s">
        <v>40</v>
      </c>
      <c r="J4004" t="s">
        <v>996</v>
      </c>
      <c r="K4004" t="s">
        <v>387</v>
      </c>
      <c r="L4004" t="s">
        <v>1028</v>
      </c>
      <c r="N4004" t="s">
        <v>1029</v>
      </c>
      <c r="O4004" t="s">
        <v>10335</v>
      </c>
      <c r="Q4004">
        <v>28541</v>
      </c>
      <c r="R4004" t="s">
        <v>95</v>
      </c>
      <c r="S4004" t="s">
        <v>24311</v>
      </c>
      <c r="T4004">
        <v>24</v>
      </c>
      <c r="W4004" t="s">
        <v>390</v>
      </c>
      <c r="X4004" t="s">
        <v>10336</v>
      </c>
      <c r="Y4004" t="s">
        <v>8988</v>
      </c>
      <c r="Z4004" t="s">
        <v>8446</v>
      </c>
      <c r="AA4004" s="2" t="s">
        <v>24312</v>
      </c>
      <c r="AB4004" t="s">
        <v>24313</v>
      </c>
      <c r="AG4004" t="s">
        <v>24314</v>
      </c>
      <c r="AH4004" t="s">
        <v>24315</v>
      </c>
      <c r="AI4004" t="s">
        <v>24316</v>
      </c>
    </row>
    <row r="4005" spans="2:35" ht="75">
      <c r="B4005" s="1">
        <v>45457</v>
      </c>
      <c r="C4005" s="4">
        <v>45449.520833333336</v>
      </c>
      <c r="D4005" t="s">
        <v>6471</v>
      </c>
      <c r="E4005" t="s">
        <v>582</v>
      </c>
      <c r="F4005" t="s">
        <v>148</v>
      </c>
      <c r="G4005" t="s">
        <v>447</v>
      </c>
      <c r="H4005" t="s">
        <v>513</v>
      </c>
      <c r="I4005" t="s">
        <v>40</v>
      </c>
      <c r="J4005" s="2" t="s">
        <v>190</v>
      </c>
      <c r="K4005" t="s">
        <v>387</v>
      </c>
      <c r="L4005" t="s">
        <v>175</v>
      </c>
      <c r="N4005" t="s">
        <v>176</v>
      </c>
      <c r="Q4005">
        <v>28540</v>
      </c>
      <c r="R4005" t="s">
        <v>322</v>
      </c>
      <c r="S4005" t="s">
        <v>18864</v>
      </c>
      <c r="T4005">
        <v>25</v>
      </c>
      <c r="V4005" s="1">
        <v>45449</v>
      </c>
      <c r="W4005" t="s">
        <v>390</v>
      </c>
      <c r="X4005" t="s">
        <v>4307</v>
      </c>
      <c r="Y4005" t="s">
        <v>24176</v>
      </c>
      <c r="Z4005" t="s">
        <v>24177</v>
      </c>
      <c r="AA4005" t="e">
        <f ca="1">- replaced Fuse
- checked CALIBRATION parameters
- checked rotor roller pumps
- performed self test</f>
        <v>#NAME?</v>
      </c>
      <c r="AB4005" t="s">
        <v>181</v>
      </c>
      <c r="AD4005" t="s">
        <v>24178</v>
      </c>
      <c r="AE4005" t="s">
        <v>103</v>
      </c>
      <c r="AG4005" t="s">
        <v>24317</v>
      </c>
      <c r="AH4005" t="s">
        <v>24180</v>
      </c>
      <c r="AI4005" t="s">
        <v>24318</v>
      </c>
    </row>
    <row r="4006" spans="2:35" ht="345">
      <c r="B4006" s="1">
        <v>45457</v>
      </c>
      <c r="C4006" s="4">
        <v>45448.602083333331</v>
      </c>
      <c r="D4006" t="s">
        <v>3639</v>
      </c>
      <c r="E4006" t="s">
        <v>24319</v>
      </c>
      <c r="F4006" t="s">
        <v>148</v>
      </c>
      <c r="G4006" t="s">
        <v>310</v>
      </c>
      <c r="H4006" t="s">
        <v>39</v>
      </c>
      <c r="I4006" t="s">
        <v>40</v>
      </c>
      <c r="J4006" s="2" t="s">
        <v>190</v>
      </c>
      <c r="K4006" t="s">
        <v>42</v>
      </c>
      <c r="L4006" t="s">
        <v>175</v>
      </c>
      <c r="N4006" t="s">
        <v>176</v>
      </c>
      <c r="Q4006">
        <v>28539</v>
      </c>
      <c r="R4006" t="s">
        <v>322</v>
      </c>
      <c r="S4006" t="s">
        <v>24320</v>
      </c>
      <c r="T4006">
        <v>33</v>
      </c>
      <c r="U4006" s="2" t="s">
        <v>24321</v>
      </c>
      <c r="W4006" t="s">
        <v>84</v>
      </c>
      <c r="X4006">
        <v>847728</v>
      </c>
      <c r="Y4006" t="s">
        <v>374</v>
      </c>
      <c r="Z4006" t="s">
        <v>103</v>
      </c>
      <c r="AA4006" t="e">
        <f ca="1">- checked _xludf.and cleaned cartridge bay, plunger rod, _xludf.filter
- generated reports
- performed self test</f>
        <v>#NAME?</v>
      </c>
      <c r="AB4006" s="2" t="s">
        <v>24322</v>
      </c>
      <c r="AG4006" t="s">
        <v>24323</v>
      </c>
      <c r="AH4006" t="s">
        <v>24324</v>
      </c>
      <c r="AI4006" t="s">
        <v>24325</v>
      </c>
    </row>
    <row r="4007" spans="2:35" ht="120">
      <c r="B4007" s="1">
        <v>45457</v>
      </c>
      <c r="C4007" s="4">
        <v>45448.60833333333</v>
      </c>
      <c r="D4007" t="s">
        <v>3639</v>
      </c>
      <c r="E4007" t="s">
        <v>24319</v>
      </c>
      <c r="F4007" t="s">
        <v>148</v>
      </c>
      <c r="G4007" t="s">
        <v>310</v>
      </c>
      <c r="H4007" t="s">
        <v>39</v>
      </c>
      <c r="I4007" t="s">
        <v>40</v>
      </c>
      <c r="J4007" t="s">
        <v>109</v>
      </c>
      <c r="K4007" t="s">
        <v>42</v>
      </c>
      <c r="L4007" t="s">
        <v>175</v>
      </c>
      <c r="N4007" t="s">
        <v>176</v>
      </c>
      <c r="Q4007">
        <v>28538</v>
      </c>
      <c r="R4007" t="s">
        <v>322</v>
      </c>
      <c r="S4007" t="s">
        <v>24326</v>
      </c>
      <c r="T4007">
        <v>24</v>
      </c>
      <c r="U4007" s="2" t="s">
        <v>24327</v>
      </c>
      <c r="W4007" t="s">
        <v>84</v>
      </c>
      <c r="X4007">
        <v>847728</v>
      </c>
      <c r="Y4007" t="s">
        <v>374</v>
      </c>
      <c r="Z4007" t="s">
        <v>103</v>
      </c>
      <c r="AA4007" t="e">
        <f ca="1">- checked _xludf.and cleaned cartridge bay, plunger rod, _xludf.filter
- generated reports
- performed self test</f>
        <v>#NAME?</v>
      </c>
      <c r="AB4007" t="s">
        <v>181</v>
      </c>
      <c r="AG4007" t="s">
        <v>24328</v>
      </c>
      <c r="AH4007" t="s">
        <v>3644</v>
      </c>
      <c r="AI4007" t="s">
        <v>24329</v>
      </c>
    </row>
    <row r="4008" spans="2:35" ht="75">
      <c r="B4008" s="1">
        <v>45457</v>
      </c>
      <c r="C4008" s="4">
        <v>45449.520833333336</v>
      </c>
      <c r="D4008" t="s">
        <v>6471</v>
      </c>
      <c r="E4008" t="s">
        <v>582</v>
      </c>
      <c r="F4008" t="s">
        <v>148</v>
      </c>
      <c r="G4008" t="s">
        <v>447</v>
      </c>
      <c r="H4008" t="s">
        <v>513</v>
      </c>
      <c r="I4008" t="s">
        <v>40</v>
      </c>
      <c r="J4008" s="2" t="s">
        <v>190</v>
      </c>
      <c r="K4008" t="s">
        <v>387</v>
      </c>
      <c r="L4008" t="s">
        <v>175</v>
      </c>
      <c r="N4008" t="s">
        <v>176</v>
      </c>
      <c r="Q4008">
        <v>28537</v>
      </c>
      <c r="R4008" t="s">
        <v>322</v>
      </c>
      <c r="S4008" t="s">
        <v>18864</v>
      </c>
      <c r="T4008">
        <v>25</v>
      </c>
      <c r="V4008" s="1">
        <v>45449</v>
      </c>
      <c r="W4008" t="s">
        <v>390</v>
      </c>
      <c r="X4008" t="s">
        <v>4307</v>
      </c>
      <c r="Y4008" t="s">
        <v>24176</v>
      </c>
      <c r="Z4008" t="s">
        <v>24177</v>
      </c>
      <c r="AA4008" t="e">
        <f ca="1">- replaced Fuse
- checked CALIBRATION parameters
- checked rotor roller pumps
- performed self test</f>
        <v>#NAME?</v>
      </c>
      <c r="AB4008" t="s">
        <v>181</v>
      </c>
      <c r="AD4008" t="s">
        <v>24178</v>
      </c>
      <c r="AE4008" t="s">
        <v>103</v>
      </c>
      <c r="AG4008" t="s">
        <v>24330</v>
      </c>
      <c r="AH4008" t="s">
        <v>24180</v>
      </c>
      <c r="AI4008" t="s">
        <v>24331</v>
      </c>
    </row>
    <row r="4009" spans="2:35" ht="409.5">
      <c r="B4009" s="1">
        <v>45457</v>
      </c>
      <c r="C4009" s="4">
        <v>45449.545138888891</v>
      </c>
      <c r="D4009" t="s">
        <v>6471</v>
      </c>
      <c r="E4009" t="s">
        <v>582</v>
      </c>
      <c r="F4009" t="s">
        <v>148</v>
      </c>
      <c r="G4009" t="s">
        <v>447</v>
      </c>
      <c r="H4009" t="s">
        <v>39</v>
      </c>
      <c r="I4009" t="s">
        <v>40</v>
      </c>
      <c r="J4009" t="s">
        <v>109</v>
      </c>
      <c r="K4009" t="s">
        <v>42</v>
      </c>
      <c r="L4009" t="s">
        <v>175</v>
      </c>
      <c r="N4009" t="s">
        <v>176</v>
      </c>
      <c r="Q4009">
        <v>28536</v>
      </c>
      <c r="R4009" t="s">
        <v>703</v>
      </c>
      <c r="S4009" t="s">
        <v>24182</v>
      </c>
      <c r="T4009">
        <v>23</v>
      </c>
      <c r="U4009" s="2" t="s">
        <v>24183</v>
      </c>
      <c r="W4009" t="s">
        <v>84</v>
      </c>
      <c r="X4009">
        <v>847578</v>
      </c>
      <c r="Y4009" t="s">
        <v>374</v>
      </c>
      <c r="Z4009" t="s">
        <v>375</v>
      </c>
      <c r="AA4009" t="e">
        <f ca="1">- checked _xludf.and cleaned cartridge bay, plunger rod, _xludf.filter
- generated reports
- scanned system _xludf.Log _xludf.For errors (found temp. errors on B1, B4)
- performed self test</f>
        <v>#NAME?</v>
      </c>
      <c r="AB4009" s="2" t="s">
        <v>24184</v>
      </c>
      <c r="AG4009" t="s">
        <v>24332</v>
      </c>
      <c r="AH4009" t="s">
        <v>24186</v>
      </c>
      <c r="AI4009" t="s">
        <v>24333</v>
      </c>
    </row>
    <row r="4010" spans="2:35" ht="105">
      <c r="B4010" s="1">
        <v>45457</v>
      </c>
      <c r="C4010" s="4">
        <v>45454.556250000001</v>
      </c>
      <c r="D4010" t="s">
        <v>24188</v>
      </c>
      <c r="E4010" t="s">
        <v>3140</v>
      </c>
      <c r="F4010">
        <v>3</v>
      </c>
      <c r="G4010" t="s">
        <v>174</v>
      </c>
      <c r="H4010" t="s">
        <v>39</v>
      </c>
      <c r="I4010" t="s">
        <v>40</v>
      </c>
      <c r="J4010" s="2" t="s">
        <v>190</v>
      </c>
      <c r="K4010" t="s">
        <v>42</v>
      </c>
      <c r="L4010" t="s">
        <v>175</v>
      </c>
      <c r="N4010" t="s">
        <v>176</v>
      </c>
      <c r="Q4010">
        <v>28535</v>
      </c>
      <c r="R4010" t="s">
        <v>45</v>
      </c>
      <c r="S4010" t="s">
        <v>24189</v>
      </c>
      <c r="T4010">
        <v>27</v>
      </c>
      <c r="U4010" s="2" t="s">
        <v>24190</v>
      </c>
      <c r="W4010" t="s">
        <v>84</v>
      </c>
      <c r="X4010">
        <v>838862</v>
      </c>
      <c r="Y4010" s="2" t="s">
        <v>24191</v>
      </c>
      <c r="Z4010" t="s">
        <v>375</v>
      </c>
      <c r="AA4010" t="e">
        <f ca="1">- checked _xludf.and cleaned cartridge bay, plunger rod, _xludf.filter
- generated reports
- performed multiple self tests on module B2</f>
        <v>#NAME?</v>
      </c>
      <c r="AB4010" s="2" t="s">
        <v>24192</v>
      </c>
      <c r="AG4010" t="s">
        <v>24334</v>
      </c>
      <c r="AH4010" t="s">
        <v>24194</v>
      </c>
      <c r="AI4010" t="s">
        <v>24335</v>
      </c>
    </row>
    <row r="4011" spans="2:35" ht="180">
      <c r="B4011" s="1">
        <v>45457</v>
      </c>
      <c r="C4011" s="4">
        <v>45371.504166666666</v>
      </c>
      <c r="D4011" t="s">
        <v>13660</v>
      </c>
      <c r="E4011" t="s">
        <v>18685</v>
      </c>
      <c r="F4011" t="s">
        <v>148</v>
      </c>
      <c r="G4011" t="s">
        <v>310</v>
      </c>
      <c r="H4011" t="s">
        <v>39</v>
      </c>
      <c r="I4011" t="s">
        <v>40</v>
      </c>
      <c r="J4011" s="2" t="s">
        <v>62</v>
      </c>
      <c r="K4011" t="s">
        <v>42</v>
      </c>
      <c r="L4011" t="s">
        <v>175</v>
      </c>
      <c r="N4011" t="s">
        <v>176</v>
      </c>
      <c r="O4011" t="s">
        <v>18927</v>
      </c>
      <c r="Q4011">
        <v>28534</v>
      </c>
      <c r="R4011" t="s">
        <v>703</v>
      </c>
      <c r="S4011" t="s">
        <v>24336</v>
      </c>
      <c r="T4011">
        <v>25</v>
      </c>
      <c r="U4011" s="2" t="s">
        <v>24337</v>
      </c>
      <c r="V4011" s="1">
        <v>45358</v>
      </c>
      <c r="W4011" t="s">
        <v>84</v>
      </c>
      <c r="X4011">
        <v>840974</v>
      </c>
      <c r="Y4011" t="s">
        <v>24338</v>
      </c>
      <c r="Z4011" t="s">
        <v>999</v>
      </c>
      <c r="AA4011" t="e">
        <f ca="1">- Checkecd _xludf.and cleaned cartridge bay, plunger rod, _xludf.filter, icore slot
- performed XpertCheck
- generated reports
- performed self test</f>
        <v>#NAME?</v>
      </c>
      <c r="AB4011" s="2" t="s">
        <v>3237</v>
      </c>
      <c r="AD4011" s="2" t="s">
        <v>24339</v>
      </c>
      <c r="AE4011">
        <v>11272</v>
      </c>
      <c r="AG4011" t="s">
        <v>24340</v>
      </c>
      <c r="AH4011" t="s">
        <v>24341</v>
      </c>
      <c r="AI4011" t="s">
        <v>24342</v>
      </c>
    </row>
    <row r="4012" spans="2:35" ht="120">
      <c r="B4012" s="1">
        <v>45457</v>
      </c>
      <c r="C4012" s="4">
        <v>45457.49722222222</v>
      </c>
      <c r="D4012" t="s">
        <v>13660</v>
      </c>
      <c r="E4012" t="s">
        <v>18685</v>
      </c>
      <c r="F4012" t="s">
        <v>148</v>
      </c>
      <c r="G4012" t="s">
        <v>310</v>
      </c>
      <c r="H4012" t="s">
        <v>39</v>
      </c>
      <c r="I4012" t="s">
        <v>40</v>
      </c>
      <c r="J4012" t="s">
        <v>109</v>
      </c>
      <c r="K4012" t="s">
        <v>42</v>
      </c>
      <c r="L4012" t="s">
        <v>175</v>
      </c>
      <c r="N4012" t="s">
        <v>176</v>
      </c>
      <c r="O4012" t="s">
        <v>18927</v>
      </c>
      <c r="Q4012">
        <v>28533</v>
      </c>
      <c r="R4012" t="s">
        <v>703</v>
      </c>
      <c r="S4012" t="s">
        <v>18928</v>
      </c>
      <c r="T4012">
        <v>25</v>
      </c>
      <c r="U4012" s="2" t="s">
        <v>24343</v>
      </c>
      <c r="W4012" t="s">
        <v>84</v>
      </c>
      <c r="X4012">
        <v>840974</v>
      </c>
      <c r="Y4012" t="s">
        <v>374</v>
      </c>
      <c r="Z4012" t="s">
        <v>103</v>
      </c>
      <c r="AA4012" t="e">
        <f ca="1">- checked _xludf.and cleaned cartridge bay, plunger rod, _xludf.filter
- generated reports
- performed self test</f>
        <v>#NAME?</v>
      </c>
      <c r="AB4012" s="2" t="s">
        <v>24344</v>
      </c>
      <c r="AG4012" t="s">
        <v>24345</v>
      </c>
      <c r="AH4012" t="s">
        <v>24346</v>
      </c>
      <c r="AI4012" t="s">
        <v>24347</v>
      </c>
    </row>
    <row r="4013" spans="2:35" ht="375">
      <c r="B4013" s="1">
        <v>45457</v>
      </c>
      <c r="C4013" s="4">
        <v>45457.409722222219</v>
      </c>
      <c r="D4013" t="s">
        <v>24348</v>
      </c>
      <c r="E4013" t="s">
        <v>24349</v>
      </c>
      <c r="F4013" t="s">
        <v>1181</v>
      </c>
      <c r="G4013" t="s">
        <v>1182</v>
      </c>
      <c r="H4013" t="s">
        <v>39</v>
      </c>
      <c r="I4013" t="s">
        <v>40</v>
      </c>
      <c r="J4013" s="2" t="s">
        <v>62</v>
      </c>
      <c r="K4013" t="s">
        <v>42</v>
      </c>
      <c r="L4013" t="s">
        <v>15532</v>
      </c>
      <c r="N4013" t="s">
        <v>15533</v>
      </c>
      <c r="Q4013">
        <v>28532</v>
      </c>
      <c r="R4013" t="s">
        <v>45</v>
      </c>
      <c r="S4013" t="s">
        <v>24350</v>
      </c>
      <c r="T4013">
        <v>29</v>
      </c>
      <c r="U4013" s="2" t="s">
        <v>10635</v>
      </c>
      <c r="V4013" s="1">
        <v>45412</v>
      </c>
      <c r="W4013" t="s">
        <v>15535</v>
      </c>
      <c r="X4013">
        <v>807612</v>
      </c>
      <c r="Y4013" t="s">
        <v>21420</v>
      </c>
      <c r="Z4013" s="2" t="s">
        <v>23705</v>
      </c>
      <c r="AA4013" s="2" t="s">
        <v>24351</v>
      </c>
      <c r="AB4013" s="2" t="s">
        <v>24352</v>
      </c>
      <c r="AD4013" t="s">
        <v>20036</v>
      </c>
      <c r="AE4013" t="s">
        <v>24353</v>
      </c>
      <c r="AG4013" t="s">
        <v>24354</v>
      </c>
      <c r="AH4013" t="s">
        <v>24355</v>
      </c>
      <c r="AI4013" t="s">
        <v>24356</v>
      </c>
    </row>
    <row r="4014" spans="2:35" ht="409.5">
      <c r="B4014" s="1">
        <v>45457</v>
      </c>
      <c r="C4014" s="4">
        <v>45456.451388888891</v>
      </c>
      <c r="D4014" t="s">
        <v>24357</v>
      </c>
      <c r="E4014" t="s">
        <v>24358</v>
      </c>
      <c r="F4014" t="s">
        <v>1181</v>
      </c>
      <c r="G4014" t="s">
        <v>1182</v>
      </c>
      <c r="H4014" t="s">
        <v>39</v>
      </c>
      <c r="I4014" t="s">
        <v>40</v>
      </c>
      <c r="J4014" s="2" t="s">
        <v>62</v>
      </c>
      <c r="K4014" t="s">
        <v>42</v>
      </c>
      <c r="L4014" t="s">
        <v>15532</v>
      </c>
      <c r="N4014" t="s">
        <v>15533</v>
      </c>
      <c r="Q4014">
        <v>28531</v>
      </c>
      <c r="R4014" t="s">
        <v>45</v>
      </c>
      <c r="S4014" t="s">
        <v>24359</v>
      </c>
      <c r="T4014">
        <v>25</v>
      </c>
      <c r="U4014" s="2" t="s">
        <v>24360</v>
      </c>
      <c r="V4014" s="1">
        <v>45223</v>
      </c>
      <c r="W4014" t="s">
        <v>24361</v>
      </c>
      <c r="X4014">
        <v>835101</v>
      </c>
      <c r="Y4014" t="s">
        <v>21527</v>
      </c>
      <c r="Z4014" s="2" t="s">
        <v>24362</v>
      </c>
      <c r="AA4014" s="2" t="s">
        <v>24363</v>
      </c>
      <c r="AB4014" s="2" t="s">
        <v>24364</v>
      </c>
      <c r="AD4014" t="s">
        <v>7189</v>
      </c>
      <c r="AE4014" t="s">
        <v>24365</v>
      </c>
      <c r="AG4014" t="s">
        <v>24366</v>
      </c>
      <c r="AH4014" t="s">
        <v>24367</v>
      </c>
      <c r="AI4014" t="s">
        <v>24368</v>
      </c>
    </row>
    <row r="4015" spans="2:35" ht="270">
      <c r="B4015" s="1">
        <v>45457</v>
      </c>
      <c r="C4015" s="4">
        <v>45457.364583333336</v>
      </c>
      <c r="D4015" t="s">
        <v>8074</v>
      </c>
      <c r="E4015" t="s">
        <v>24369</v>
      </c>
      <c r="F4015">
        <v>6</v>
      </c>
      <c r="G4015" t="s">
        <v>4457</v>
      </c>
      <c r="H4015" t="s">
        <v>6955</v>
      </c>
      <c r="I4015" t="s">
        <v>40</v>
      </c>
      <c r="J4015" s="2" t="s">
        <v>14104</v>
      </c>
      <c r="K4015" t="s">
        <v>42</v>
      </c>
      <c r="L4015" t="s">
        <v>343</v>
      </c>
      <c r="N4015" t="s">
        <v>344</v>
      </c>
      <c r="Q4015">
        <v>28530</v>
      </c>
      <c r="R4015" t="s">
        <v>119</v>
      </c>
      <c r="S4015" t="s">
        <v>8076</v>
      </c>
      <c r="T4015">
        <v>29</v>
      </c>
      <c r="U4015" s="2" t="s">
        <v>24370</v>
      </c>
      <c r="W4015" t="s">
        <v>6105</v>
      </c>
      <c r="X4015">
        <v>838457</v>
      </c>
      <c r="Y4015" t="e">
        <f ca="1">-_xludf.For Reinstallation (Unit transferred to another location)</f>
        <v>#NAME?</v>
      </c>
      <c r="Z4015" t="e">
        <f ca="1">-REINSTALL transferred GeneXpert Unit
-Setup GeneXpert workstation</f>
        <v>#NAME?</v>
      </c>
      <c r="AA4015" s="2" t="s">
        <v>24371</v>
      </c>
      <c r="AB4015" t="s">
        <v>24372</v>
      </c>
      <c r="AG4015" t="s">
        <v>24373</v>
      </c>
      <c r="AH4015" t="s">
        <v>8079</v>
      </c>
      <c r="AI4015" t="s">
        <v>24374</v>
      </c>
    </row>
    <row r="4016" spans="2:35" ht="300">
      <c r="B4016" s="1">
        <v>45456</v>
      </c>
      <c r="C4016" s="4">
        <v>45456.523611111108</v>
      </c>
      <c r="D4016" t="s">
        <v>24375</v>
      </c>
      <c r="E4016" t="s">
        <v>24376</v>
      </c>
      <c r="F4016" t="s">
        <v>1181</v>
      </c>
      <c r="G4016" t="s">
        <v>7148</v>
      </c>
      <c r="H4016" t="s">
        <v>39</v>
      </c>
      <c r="I4016" t="s">
        <v>40</v>
      </c>
      <c r="J4016" s="2" t="s">
        <v>41</v>
      </c>
      <c r="K4016" t="s">
        <v>42</v>
      </c>
      <c r="L4016" t="s">
        <v>43</v>
      </c>
      <c r="N4016" t="s">
        <v>44</v>
      </c>
      <c r="Q4016">
        <v>28528</v>
      </c>
      <c r="R4016" t="s">
        <v>322</v>
      </c>
      <c r="S4016" t="s">
        <v>24377</v>
      </c>
      <c r="T4016">
        <v>20</v>
      </c>
      <c r="U4016" s="2" t="s">
        <v>24378</v>
      </c>
      <c r="V4016" s="1">
        <v>45456</v>
      </c>
      <c r="W4016" t="s">
        <v>3178</v>
      </c>
      <c r="X4016">
        <v>845005</v>
      </c>
      <c r="Y4016" t="s">
        <v>2034</v>
      </c>
      <c r="Z4016" t="s">
        <v>712</v>
      </c>
      <c r="AA4016" s="2" t="s">
        <v>24379</v>
      </c>
      <c r="AB4016" t="s">
        <v>24380</v>
      </c>
      <c r="AD4016" s="2" t="s">
        <v>24381</v>
      </c>
      <c r="AE4016" t="s">
        <v>54</v>
      </c>
      <c r="AG4016" t="s">
        <v>24382</v>
      </c>
      <c r="AH4016" t="s">
        <v>24383</v>
      </c>
      <c r="AI4016" t="s">
        <v>24384</v>
      </c>
    </row>
    <row r="4017" spans="2:35" ht="225">
      <c r="B4017" s="1">
        <v>45456</v>
      </c>
      <c r="C4017" s="4">
        <v>45456.52847222222</v>
      </c>
      <c r="D4017" t="s">
        <v>24375</v>
      </c>
      <c r="E4017" t="s">
        <v>24376</v>
      </c>
      <c r="F4017" t="s">
        <v>1181</v>
      </c>
      <c r="G4017" t="s">
        <v>7148</v>
      </c>
      <c r="H4017" t="s">
        <v>39</v>
      </c>
      <c r="I4017" t="s">
        <v>40</v>
      </c>
      <c r="J4017" t="s">
        <v>109</v>
      </c>
      <c r="K4017" t="s">
        <v>42</v>
      </c>
      <c r="L4017" t="s">
        <v>43</v>
      </c>
      <c r="N4017" t="s">
        <v>44</v>
      </c>
      <c r="Q4017">
        <v>28529</v>
      </c>
      <c r="R4017" t="s">
        <v>45</v>
      </c>
      <c r="S4017" t="s">
        <v>24377</v>
      </c>
      <c r="T4017">
        <v>20</v>
      </c>
      <c r="U4017" s="2" t="s">
        <v>24385</v>
      </c>
      <c r="W4017" t="s">
        <v>153</v>
      </c>
      <c r="X4017">
        <v>110019620</v>
      </c>
      <c r="Y4017" t="s">
        <v>121</v>
      </c>
      <c r="Z4017" t="s">
        <v>122</v>
      </c>
      <c r="AA4017" s="2" t="s">
        <v>9740</v>
      </c>
      <c r="AB4017" t="s">
        <v>548</v>
      </c>
      <c r="AG4017" t="s">
        <v>24386</v>
      </c>
      <c r="AH4017" t="s">
        <v>24383</v>
      </c>
      <c r="AI4017" t="s">
        <v>24387</v>
      </c>
    </row>
    <row r="4018" spans="2:35" ht="210">
      <c r="B4018" s="1">
        <v>45456</v>
      </c>
      <c r="C4018" s="4">
        <v>45456.606249999997</v>
      </c>
      <c r="D4018" t="s">
        <v>3103</v>
      </c>
      <c r="E4018" t="s">
        <v>3104</v>
      </c>
      <c r="F4018">
        <v>6</v>
      </c>
      <c r="G4018" t="s">
        <v>1507</v>
      </c>
      <c r="H4018" t="s">
        <v>1498</v>
      </c>
      <c r="I4018" t="s">
        <v>94</v>
      </c>
      <c r="J4018" s="2" t="s">
        <v>41</v>
      </c>
      <c r="K4018" t="s">
        <v>42</v>
      </c>
      <c r="L4018" t="s">
        <v>343</v>
      </c>
      <c r="N4018" t="s">
        <v>344</v>
      </c>
      <c r="Q4018">
        <v>28527</v>
      </c>
      <c r="R4018" t="s">
        <v>45</v>
      </c>
      <c r="S4018" t="s">
        <v>3105</v>
      </c>
      <c r="T4018">
        <v>21</v>
      </c>
      <c r="U4018" s="2" t="s">
        <v>24388</v>
      </c>
      <c r="V4018" s="1">
        <v>45456</v>
      </c>
      <c r="W4018" t="s">
        <v>6105</v>
      </c>
      <c r="X4018">
        <v>805333</v>
      </c>
      <c r="Y4018" t="s">
        <v>16385</v>
      </c>
      <c r="Z4018" t="s">
        <v>24389</v>
      </c>
      <c r="AA4018" t="e">
        <f ca="1">-module Replacement
-Preventive Maintenance</f>
        <v>#NAME?</v>
      </c>
      <c r="AB4018" t="s">
        <v>9638</v>
      </c>
      <c r="AD4018" t="s">
        <v>24390</v>
      </c>
      <c r="AE4018" t="s">
        <v>45</v>
      </c>
      <c r="AG4018" t="s">
        <v>24391</v>
      </c>
      <c r="AH4018" t="s">
        <v>24392</v>
      </c>
      <c r="AI4018" t="s">
        <v>24393</v>
      </c>
    </row>
    <row r="4019" spans="2:35" ht="270">
      <c r="B4019" s="1">
        <v>45456</v>
      </c>
      <c r="C4019" s="4">
        <v>45447.561805555553</v>
      </c>
      <c r="D4019" t="s">
        <v>24394</v>
      </c>
      <c r="E4019" t="s">
        <v>24395</v>
      </c>
      <c r="F4019">
        <v>3</v>
      </c>
      <c r="G4019" t="s">
        <v>174</v>
      </c>
      <c r="H4019" t="s">
        <v>39</v>
      </c>
      <c r="I4019" t="s">
        <v>40</v>
      </c>
      <c r="J4019" s="2" t="s">
        <v>190</v>
      </c>
      <c r="K4019" t="s">
        <v>42</v>
      </c>
      <c r="L4019" t="s">
        <v>175</v>
      </c>
      <c r="N4019" t="s">
        <v>176</v>
      </c>
      <c r="Q4019">
        <v>28526</v>
      </c>
      <c r="R4019" t="s">
        <v>45</v>
      </c>
      <c r="S4019" t="s">
        <v>24396</v>
      </c>
      <c r="T4019">
        <v>25</v>
      </c>
      <c r="W4019" t="s">
        <v>84</v>
      </c>
      <c r="X4019">
        <v>805252</v>
      </c>
      <c r="Y4019" s="2" t="s">
        <v>15671</v>
      </c>
      <c r="Z4019" t="s">
        <v>375</v>
      </c>
      <c r="AA4019" t="e">
        <f ca="1">- checked _xludf.and cleaned cartridge bay, plunger rod, _xludf.filter
- generated reports
- performed self yest</f>
        <v>#NAME?</v>
      </c>
      <c r="AB4019" s="2" t="s">
        <v>24397</v>
      </c>
      <c r="AG4019" t="s">
        <v>24398</v>
      </c>
      <c r="AH4019" t="s">
        <v>24399</v>
      </c>
      <c r="AI4019" t="s">
        <v>24400</v>
      </c>
    </row>
    <row r="4020" spans="2:35" ht="210">
      <c r="B4020" s="1">
        <v>45456</v>
      </c>
      <c r="C4020" s="4">
        <v>45456.578472222223</v>
      </c>
      <c r="D4020" t="s">
        <v>3233</v>
      </c>
      <c r="E4020" t="s">
        <v>3234</v>
      </c>
      <c r="F4020">
        <v>3</v>
      </c>
      <c r="G4020" t="s">
        <v>174</v>
      </c>
      <c r="H4020" t="s">
        <v>39</v>
      </c>
      <c r="I4020" t="s">
        <v>40</v>
      </c>
      <c r="J4020" s="2" t="s">
        <v>760</v>
      </c>
      <c r="K4020" t="s">
        <v>42</v>
      </c>
      <c r="L4020" t="s">
        <v>175</v>
      </c>
      <c r="N4020" t="s">
        <v>176</v>
      </c>
      <c r="Q4020">
        <v>28524</v>
      </c>
      <c r="R4020" t="s">
        <v>119</v>
      </c>
      <c r="S4020" t="s">
        <v>3235</v>
      </c>
      <c r="T4020">
        <v>28</v>
      </c>
      <c r="U4020" s="2" t="s">
        <v>24401</v>
      </c>
      <c r="V4020" s="1">
        <v>45456</v>
      </c>
      <c r="W4020" t="s">
        <v>84</v>
      </c>
      <c r="X4020">
        <v>831904</v>
      </c>
      <c r="Y4020" s="2" t="s">
        <v>24402</v>
      </c>
      <c r="Z4020" t="s">
        <v>24403</v>
      </c>
      <c r="AA4020" t="e">
        <f ca="1">- checked _xludf.and cleaned cartridge bay, plunger rod
- replaced module A2
- generated reports
- performed self test
- performed Back up test on UPS (Failed)</f>
        <v>#NAME?</v>
      </c>
      <c r="AB4020" s="2" t="s">
        <v>24404</v>
      </c>
      <c r="AD4020" s="2" t="s">
        <v>24405</v>
      </c>
      <c r="AE4020" t="s">
        <v>103</v>
      </c>
      <c r="AG4020" t="s">
        <v>24406</v>
      </c>
      <c r="AH4020" t="s">
        <v>22677</v>
      </c>
      <c r="AI4020" t="s">
        <v>24407</v>
      </c>
    </row>
    <row r="4021" spans="2:35" ht="210">
      <c r="B4021" s="1">
        <v>45456</v>
      </c>
      <c r="C4021" s="4">
        <v>45456.489583333336</v>
      </c>
      <c r="D4021" t="s">
        <v>2816</v>
      </c>
      <c r="E4021" t="s">
        <v>24408</v>
      </c>
      <c r="F4021" t="s">
        <v>148</v>
      </c>
      <c r="G4021" t="s">
        <v>371</v>
      </c>
      <c r="H4021" t="s">
        <v>39</v>
      </c>
      <c r="I4021" t="s">
        <v>40</v>
      </c>
      <c r="J4021" t="s">
        <v>525</v>
      </c>
      <c r="K4021" t="s">
        <v>42</v>
      </c>
      <c r="L4021" t="s">
        <v>175</v>
      </c>
      <c r="N4021" t="s">
        <v>176</v>
      </c>
      <c r="Q4021">
        <v>28525</v>
      </c>
      <c r="R4021" t="s">
        <v>119</v>
      </c>
      <c r="S4021" t="s">
        <v>2818</v>
      </c>
      <c r="T4021">
        <v>30</v>
      </c>
      <c r="U4021" s="2" t="s">
        <v>24409</v>
      </c>
      <c r="W4021" t="s">
        <v>84</v>
      </c>
      <c r="X4021">
        <v>831907</v>
      </c>
      <c r="Y4021" t="s">
        <v>24410</v>
      </c>
      <c r="Z4021" t="s">
        <v>103</v>
      </c>
      <c r="AA4021" t="e">
        <f ca="1">- performed Back up test (_xludf.not working)
- generated reports
- performed self test</f>
        <v>#NAME?</v>
      </c>
      <c r="AB4021" s="2" t="s">
        <v>24411</v>
      </c>
      <c r="AG4021" t="s">
        <v>24412</v>
      </c>
      <c r="AH4021" t="s">
        <v>24413</v>
      </c>
      <c r="AI4021" t="s">
        <v>24414</v>
      </c>
    </row>
    <row r="4022" spans="2:35" ht="409.5">
      <c r="B4022" s="1">
        <v>45456</v>
      </c>
      <c r="C4022" s="4">
        <v>45456.533333333333</v>
      </c>
      <c r="D4022" t="s">
        <v>24415</v>
      </c>
      <c r="E4022" t="s">
        <v>24416</v>
      </c>
      <c r="F4022">
        <v>11</v>
      </c>
      <c r="G4022" t="s">
        <v>2836</v>
      </c>
      <c r="H4022" t="s">
        <v>202</v>
      </c>
      <c r="I4022" t="s">
        <v>94</v>
      </c>
      <c r="J4022" s="2" t="s">
        <v>41</v>
      </c>
      <c r="K4022" t="s">
        <v>42</v>
      </c>
      <c r="L4022" t="s">
        <v>204</v>
      </c>
      <c r="N4022" t="s">
        <v>205</v>
      </c>
      <c r="Q4022">
        <v>28523</v>
      </c>
      <c r="R4022" t="s">
        <v>45</v>
      </c>
      <c r="S4022" t="s">
        <v>24417</v>
      </c>
      <c r="T4022">
        <v>25.8</v>
      </c>
      <c r="U4022" s="2" t="s">
        <v>2367</v>
      </c>
      <c r="W4022" t="s">
        <v>23237</v>
      </c>
      <c r="X4022">
        <v>815383</v>
      </c>
      <c r="Y4022" t="s">
        <v>24418</v>
      </c>
      <c r="Z4022" s="2" t="s">
        <v>24419</v>
      </c>
      <c r="AA4022" t="s">
        <v>10252</v>
      </c>
      <c r="AB4022" t="s">
        <v>3300</v>
      </c>
      <c r="AG4022" t="s">
        <v>24420</v>
      </c>
      <c r="AH4022" t="s">
        <v>24421</v>
      </c>
      <c r="AI4022" t="s">
        <v>24422</v>
      </c>
    </row>
    <row r="4023" spans="2:35" ht="409.5">
      <c r="B4023" s="1">
        <v>45456</v>
      </c>
      <c r="C4023" s="4">
        <v>45456.527777777781</v>
      </c>
      <c r="D4023" t="s">
        <v>22275</v>
      </c>
      <c r="E4023" t="s">
        <v>24423</v>
      </c>
      <c r="F4023">
        <v>5</v>
      </c>
      <c r="G4023" t="s">
        <v>759</v>
      </c>
      <c r="H4023" t="s">
        <v>39</v>
      </c>
      <c r="I4023" t="s">
        <v>40</v>
      </c>
      <c r="J4023" s="2" t="s">
        <v>62</v>
      </c>
      <c r="K4023" t="s">
        <v>42</v>
      </c>
      <c r="L4023" t="s">
        <v>761</v>
      </c>
      <c r="N4023" t="s">
        <v>762</v>
      </c>
      <c r="Q4023">
        <v>28522</v>
      </c>
      <c r="R4023" t="s">
        <v>45</v>
      </c>
      <c r="S4023" t="s">
        <v>24424</v>
      </c>
      <c r="T4023">
        <v>32</v>
      </c>
      <c r="U4023" s="2" t="s">
        <v>24425</v>
      </c>
      <c r="W4023" t="s">
        <v>765</v>
      </c>
      <c r="X4023">
        <v>804257</v>
      </c>
      <c r="Y4023" t="s">
        <v>5500</v>
      </c>
      <c r="Z4023" s="2" t="s">
        <v>24426</v>
      </c>
      <c r="AA4023" s="2" t="s">
        <v>4477</v>
      </c>
      <c r="AB4023" t="s">
        <v>24427</v>
      </c>
      <c r="AC4023" t="s">
        <v>24428</v>
      </c>
      <c r="AG4023" t="s">
        <v>24429</v>
      </c>
      <c r="AH4023" t="s">
        <v>24430</v>
      </c>
      <c r="AI4023" t="s">
        <v>24431</v>
      </c>
    </row>
    <row r="4024" spans="2:35" ht="180">
      <c r="B4024" s="1">
        <v>45456</v>
      </c>
      <c r="C4024" s="4">
        <v>45456.520833333336</v>
      </c>
      <c r="D4024" t="s">
        <v>24432</v>
      </c>
      <c r="E4024" t="s">
        <v>24433</v>
      </c>
      <c r="F4024" t="s">
        <v>37</v>
      </c>
      <c r="G4024" t="s">
        <v>78</v>
      </c>
      <c r="H4024" t="s">
        <v>39</v>
      </c>
      <c r="I4024" t="s">
        <v>40</v>
      </c>
      <c r="J4024" t="s">
        <v>321</v>
      </c>
      <c r="K4024" t="s">
        <v>42</v>
      </c>
      <c r="L4024" t="s">
        <v>1943</v>
      </c>
      <c r="N4024" t="s">
        <v>1944</v>
      </c>
      <c r="Q4024">
        <v>28521</v>
      </c>
      <c r="R4024" t="s">
        <v>45</v>
      </c>
      <c r="S4024" t="s">
        <v>24434</v>
      </c>
      <c r="T4024">
        <v>25</v>
      </c>
      <c r="W4024" t="s">
        <v>84</v>
      </c>
      <c r="X4024">
        <v>807568</v>
      </c>
      <c r="Y4024" t="s">
        <v>23623</v>
      </c>
      <c r="Z4024" t="s">
        <v>24435</v>
      </c>
      <c r="AA4024" s="2" t="s">
        <v>24436</v>
      </c>
      <c r="AB4024" t="s">
        <v>88</v>
      </c>
      <c r="AG4024" t="s">
        <v>24437</v>
      </c>
      <c r="AH4024" t="s">
        <v>24438</v>
      </c>
      <c r="AI4024" t="s">
        <v>24439</v>
      </c>
    </row>
    <row r="4025" spans="2:35" ht="409.5">
      <c r="B4025" s="1">
        <v>45456</v>
      </c>
      <c r="C4025" s="4">
        <v>45454.50277777778</v>
      </c>
      <c r="D4025" t="s">
        <v>1686</v>
      </c>
      <c r="E4025" t="s">
        <v>24440</v>
      </c>
      <c r="F4025" t="s">
        <v>148</v>
      </c>
      <c r="G4025" t="s">
        <v>785</v>
      </c>
      <c r="H4025" t="s">
        <v>39</v>
      </c>
      <c r="I4025" t="s">
        <v>40</v>
      </c>
      <c r="J4025" t="s">
        <v>24441</v>
      </c>
      <c r="K4025" t="s">
        <v>42</v>
      </c>
      <c r="L4025" t="s">
        <v>43</v>
      </c>
      <c r="N4025" t="s">
        <v>44</v>
      </c>
      <c r="Q4025">
        <v>28518</v>
      </c>
      <c r="R4025" t="s">
        <v>322</v>
      </c>
      <c r="S4025" t="s">
        <v>1688</v>
      </c>
      <c r="T4025">
        <v>20</v>
      </c>
      <c r="U4025" s="2" t="s">
        <v>24442</v>
      </c>
      <c r="W4025" t="s">
        <v>153</v>
      </c>
      <c r="X4025">
        <v>110024245</v>
      </c>
      <c r="Y4025" t="s">
        <v>24443</v>
      </c>
      <c r="Z4025" t="s">
        <v>24444</v>
      </c>
      <c r="AA4025" s="2" t="s">
        <v>24445</v>
      </c>
      <c r="AB4025" t="s">
        <v>24446</v>
      </c>
      <c r="AG4025" t="s">
        <v>24447</v>
      </c>
      <c r="AH4025" t="s">
        <v>8273</v>
      </c>
      <c r="AI4025" t="s">
        <v>24448</v>
      </c>
    </row>
    <row r="4026" spans="2:35" ht="225">
      <c r="B4026" s="1">
        <v>45456</v>
      </c>
      <c r="C4026" s="4">
        <v>45454.513194444444</v>
      </c>
      <c r="D4026" t="s">
        <v>1686</v>
      </c>
      <c r="E4026" t="s">
        <v>24440</v>
      </c>
      <c r="F4026" t="s">
        <v>148</v>
      </c>
      <c r="G4026" t="s">
        <v>785</v>
      </c>
      <c r="H4026" t="s">
        <v>39</v>
      </c>
      <c r="I4026" t="s">
        <v>40</v>
      </c>
      <c r="J4026" t="s">
        <v>109</v>
      </c>
      <c r="K4026" t="s">
        <v>42</v>
      </c>
      <c r="L4026" t="s">
        <v>43</v>
      </c>
      <c r="N4026" t="s">
        <v>44</v>
      </c>
      <c r="Q4026">
        <v>28519</v>
      </c>
      <c r="R4026" t="s">
        <v>45</v>
      </c>
      <c r="S4026" t="s">
        <v>1688</v>
      </c>
      <c r="T4026">
        <v>20</v>
      </c>
      <c r="U4026" s="2" t="s">
        <v>24449</v>
      </c>
      <c r="W4026" t="s">
        <v>48</v>
      </c>
      <c r="X4026">
        <v>838898</v>
      </c>
      <c r="Y4026" t="s">
        <v>121</v>
      </c>
      <c r="Z4026" t="s">
        <v>122</v>
      </c>
      <c r="AA4026" s="2" t="s">
        <v>15442</v>
      </c>
      <c r="AB4026" t="s">
        <v>2887</v>
      </c>
      <c r="AG4026" t="s">
        <v>24450</v>
      </c>
      <c r="AH4026" t="s">
        <v>8273</v>
      </c>
      <c r="AI4026" t="s">
        <v>24451</v>
      </c>
    </row>
    <row r="4027" spans="2:35" ht="225">
      <c r="B4027" s="1">
        <v>45456</v>
      </c>
      <c r="C4027" s="4">
        <v>45454.505555555559</v>
      </c>
      <c r="D4027" t="s">
        <v>1686</v>
      </c>
      <c r="E4027" t="s">
        <v>24440</v>
      </c>
      <c r="F4027" t="s">
        <v>148</v>
      </c>
      <c r="G4027" t="s">
        <v>785</v>
      </c>
      <c r="H4027" t="s">
        <v>39</v>
      </c>
      <c r="I4027" t="s">
        <v>40</v>
      </c>
      <c r="J4027" t="s">
        <v>109</v>
      </c>
      <c r="K4027" t="s">
        <v>42</v>
      </c>
      <c r="L4027" t="s">
        <v>43</v>
      </c>
      <c r="N4027" t="s">
        <v>44</v>
      </c>
      <c r="Q4027">
        <v>28520</v>
      </c>
      <c r="R4027" t="s">
        <v>322</v>
      </c>
      <c r="S4027" t="s">
        <v>1688</v>
      </c>
      <c r="T4027">
        <v>20</v>
      </c>
      <c r="U4027" s="2" t="s">
        <v>24452</v>
      </c>
      <c r="W4027" t="s">
        <v>153</v>
      </c>
      <c r="X4027">
        <v>110024247</v>
      </c>
      <c r="Y4027" t="s">
        <v>121</v>
      </c>
      <c r="Z4027" t="s">
        <v>122</v>
      </c>
      <c r="AA4027" s="2" t="s">
        <v>9740</v>
      </c>
      <c r="AB4027" t="s">
        <v>548</v>
      </c>
      <c r="AG4027" t="s">
        <v>24453</v>
      </c>
      <c r="AH4027" t="s">
        <v>8273</v>
      </c>
      <c r="AI4027" t="s">
        <v>24454</v>
      </c>
    </row>
    <row r="4028" spans="2:35" ht="210">
      <c r="B4028" s="1">
        <v>45456</v>
      </c>
      <c r="C4028" s="4">
        <v>45456.443749999999</v>
      </c>
      <c r="D4028" t="s">
        <v>24455</v>
      </c>
      <c r="E4028" t="s">
        <v>21016</v>
      </c>
      <c r="F4028">
        <v>10</v>
      </c>
      <c r="G4028" t="s">
        <v>5571</v>
      </c>
      <c r="H4028" t="s">
        <v>39</v>
      </c>
      <c r="I4028" t="s">
        <v>94</v>
      </c>
      <c r="J4028" s="2" t="s">
        <v>41</v>
      </c>
      <c r="K4028" t="s">
        <v>42</v>
      </c>
      <c r="L4028" t="s">
        <v>594</v>
      </c>
      <c r="N4028" t="s">
        <v>595</v>
      </c>
      <c r="Q4028">
        <v>28517</v>
      </c>
      <c r="R4028" t="s">
        <v>45</v>
      </c>
      <c r="S4028" t="s">
        <v>24456</v>
      </c>
      <c r="T4028">
        <v>24</v>
      </c>
      <c r="V4028" s="1">
        <v>45456</v>
      </c>
      <c r="W4028" t="s">
        <v>24457</v>
      </c>
      <c r="X4028">
        <v>807618</v>
      </c>
      <c r="Y4028" t="s">
        <v>24458</v>
      </c>
      <c r="Z4028" t="s">
        <v>20217</v>
      </c>
      <c r="AA4028" s="2" t="s">
        <v>24459</v>
      </c>
      <c r="AB4028" t="s">
        <v>24460</v>
      </c>
      <c r="AG4028" t="s">
        <v>24461</v>
      </c>
      <c r="AH4028" t="s">
        <v>24462</v>
      </c>
      <c r="AI4028" t="s">
        <v>24463</v>
      </c>
    </row>
    <row r="4029" spans="2:35" ht="409.5">
      <c r="B4029" s="1">
        <v>45456</v>
      </c>
      <c r="C4029" s="4">
        <v>45456.42083333333</v>
      </c>
      <c r="D4029" t="s">
        <v>24464</v>
      </c>
      <c r="E4029" t="s">
        <v>24465</v>
      </c>
      <c r="F4029" t="s">
        <v>1181</v>
      </c>
      <c r="G4029" t="s">
        <v>1182</v>
      </c>
      <c r="H4029" t="s">
        <v>39</v>
      </c>
      <c r="I4029" t="s">
        <v>40</v>
      </c>
      <c r="J4029" s="2" t="s">
        <v>190</v>
      </c>
      <c r="K4029" t="s">
        <v>42</v>
      </c>
      <c r="L4029" t="s">
        <v>15532</v>
      </c>
      <c r="N4029" t="s">
        <v>15533</v>
      </c>
      <c r="Q4029">
        <v>28516</v>
      </c>
      <c r="R4029" t="s">
        <v>45</v>
      </c>
      <c r="S4029" t="s">
        <v>24359</v>
      </c>
      <c r="T4029">
        <v>25</v>
      </c>
      <c r="U4029" s="2" t="s">
        <v>24466</v>
      </c>
      <c r="W4029" t="s">
        <v>24467</v>
      </c>
      <c r="X4029">
        <v>110013925</v>
      </c>
      <c r="Y4029" t="s">
        <v>24410</v>
      </c>
      <c r="Z4029" s="2" t="s">
        <v>24468</v>
      </c>
      <c r="AA4029" s="2" t="s">
        <v>24469</v>
      </c>
      <c r="AB4029" s="2" t="s">
        <v>24470</v>
      </c>
      <c r="AG4029" t="s">
        <v>24471</v>
      </c>
      <c r="AH4029" t="s">
        <v>24367</v>
      </c>
      <c r="AI4029" t="s">
        <v>24472</v>
      </c>
    </row>
    <row r="4030" spans="2:35" ht="409.5">
      <c r="B4030" s="1">
        <v>45456</v>
      </c>
      <c r="C4030" s="4">
        <v>45456.415277777778</v>
      </c>
      <c r="D4030" t="s">
        <v>24357</v>
      </c>
      <c r="E4030" t="s">
        <v>24358</v>
      </c>
      <c r="F4030" t="s">
        <v>1181</v>
      </c>
      <c r="G4030" t="s">
        <v>1182</v>
      </c>
      <c r="H4030" t="s">
        <v>39</v>
      </c>
      <c r="I4030" t="s">
        <v>40</v>
      </c>
      <c r="J4030" s="2" t="s">
        <v>1309</v>
      </c>
      <c r="K4030" t="s">
        <v>42</v>
      </c>
      <c r="L4030" t="s">
        <v>15532</v>
      </c>
      <c r="N4030" t="s">
        <v>15533</v>
      </c>
      <c r="Q4030">
        <v>28515</v>
      </c>
      <c r="R4030" t="s">
        <v>322</v>
      </c>
      <c r="S4030" t="s">
        <v>24359</v>
      </c>
      <c r="T4030">
        <v>25</v>
      </c>
      <c r="U4030" s="2" t="s">
        <v>24473</v>
      </c>
      <c r="V4030" s="1">
        <v>45413</v>
      </c>
      <c r="W4030" t="s">
        <v>15535</v>
      </c>
      <c r="X4030">
        <v>847725</v>
      </c>
      <c r="Y4030" s="2" t="s">
        <v>24474</v>
      </c>
      <c r="Z4030" s="2" t="s">
        <v>24475</v>
      </c>
      <c r="AA4030" s="2" t="s">
        <v>24476</v>
      </c>
      <c r="AB4030" s="2" t="s">
        <v>20896</v>
      </c>
      <c r="AD4030" s="2" t="s">
        <v>24477</v>
      </c>
      <c r="AE4030" t="s">
        <v>24478</v>
      </c>
      <c r="AG4030" t="s">
        <v>24479</v>
      </c>
      <c r="AH4030" t="s">
        <v>24367</v>
      </c>
      <c r="AI4030" t="s">
        <v>24480</v>
      </c>
    </row>
    <row r="4031" spans="2:35" ht="409.5">
      <c r="B4031" s="1">
        <v>45456</v>
      </c>
      <c r="C4031" s="4">
        <v>45454.588194444441</v>
      </c>
      <c r="D4031" t="s">
        <v>9780</v>
      </c>
      <c r="E4031" t="s">
        <v>13575</v>
      </c>
      <c r="F4031" t="s">
        <v>148</v>
      </c>
      <c r="G4031" t="s">
        <v>2007</v>
      </c>
      <c r="H4031" t="s">
        <v>662</v>
      </c>
      <c r="I4031" t="s">
        <v>40</v>
      </c>
      <c r="J4031" t="s">
        <v>525</v>
      </c>
      <c r="K4031" t="s">
        <v>42</v>
      </c>
      <c r="L4031" t="s">
        <v>448</v>
      </c>
      <c r="N4031" t="s">
        <v>650</v>
      </c>
      <c r="Q4031">
        <v>28514</v>
      </c>
      <c r="R4031" t="s">
        <v>95</v>
      </c>
      <c r="S4031" t="s">
        <v>4273</v>
      </c>
      <c r="T4031">
        <v>27</v>
      </c>
      <c r="U4031" s="2" t="s">
        <v>24481</v>
      </c>
      <c r="W4031" t="s">
        <v>21820</v>
      </c>
      <c r="X4031">
        <v>110001647</v>
      </c>
      <c r="Y4031" t="s">
        <v>24482</v>
      </c>
      <c r="Z4031" s="2" t="s">
        <v>2011</v>
      </c>
      <c r="AA4031" t="s">
        <v>4487</v>
      </c>
      <c r="AB4031" t="s">
        <v>24483</v>
      </c>
      <c r="AG4031" t="s">
        <v>24484</v>
      </c>
      <c r="AH4031" t="s">
        <v>10537</v>
      </c>
      <c r="AI4031" t="s">
        <v>24485</v>
      </c>
    </row>
    <row r="4032" spans="2:35" ht="210">
      <c r="B4032" s="1">
        <v>45456</v>
      </c>
      <c r="C4032" s="4">
        <v>45456.390972222223</v>
      </c>
      <c r="D4032" t="s">
        <v>24486</v>
      </c>
      <c r="E4032" t="s">
        <v>718</v>
      </c>
      <c r="F4032">
        <v>10</v>
      </c>
      <c r="G4032" t="s">
        <v>5571</v>
      </c>
      <c r="H4032" t="s">
        <v>39</v>
      </c>
      <c r="I4032" t="s">
        <v>94</v>
      </c>
      <c r="J4032" s="2" t="s">
        <v>41</v>
      </c>
      <c r="K4032" t="s">
        <v>42</v>
      </c>
      <c r="L4032" t="s">
        <v>594</v>
      </c>
      <c r="N4032" t="s">
        <v>595</v>
      </c>
      <c r="O4032" t="s">
        <v>595</v>
      </c>
      <c r="Q4032">
        <v>28513</v>
      </c>
      <c r="R4032" t="s">
        <v>45</v>
      </c>
      <c r="S4032" t="s">
        <v>24487</v>
      </c>
      <c r="T4032">
        <v>24</v>
      </c>
      <c r="V4032" s="1">
        <v>45456</v>
      </c>
      <c r="W4032" t="s">
        <v>24488</v>
      </c>
      <c r="X4032">
        <v>834438</v>
      </c>
      <c r="Y4032" t="s">
        <v>24489</v>
      </c>
      <c r="Z4032" s="2" t="s">
        <v>24490</v>
      </c>
      <c r="AA4032" s="2" t="s">
        <v>24491</v>
      </c>
      <c r="AB4032" t="s">
        <v>24492</v>
      </c>
      <c r="AG4032" t="s">
        <v>24493</v>
      </c>
      <c r="AH4032" t="s">
        <v>24494</v>
      </c>
      <c r="AI4032" t="s">
        <v>24495</v>
      </c>
    </row>
    <row r="4033" spans="2:35">
      <c r="B4033" s="1">
        <v>45455</v>
      </c>
      <c r="C4033" s="4">
        <v>45455.689583333333</v>
      </c>
      <c r="D4033" t="s">
        <v>6037</v>
      </c>
      <c r="E4033" t="s">
        <v>24198</v>
      </c>
      <c r="F4033">
        <v>7</v>
      </c>
      <c r="G4033" t="s">
        <v>432</v>
      </c>
      <c r="H4033" t="s">
        <v>386</v>
      </c>
      <c r="I4033" t="s">
        <v>40</v>
      </c>
      <c r="J4033" t="s">
        <v>79</v>
      </c>
      <c r="K4033" t="s">
        <v>387</v>
      </c>
      <c r="L4033" t="s">
        <v>610</v>
      </c>
      <c r="N4033" t="s">
        <v>611</v>
      </c>
      <c r="Q4033">
        <v>28512</v>
      </c>
      <c r="R4033" t="s">
        <v>95</v>
      </c>
      <c r="S4033" t="s">
        <v>6039</v>
      </c>
      <c r="T4033">
        <v>24</v>
      </c>
      <c r="W4033" t="s">
        <v>390</v>
      </c>
      <c r="X4033" t="s">
        <v>11975</v>
      </c>
      <c r="Y4033" t="s">
        <v>24496</v>
      </c>
      <c r="Z4033" t="s">
        <v>24497</v>
      </c>
      <c r="AA4033" t="s">
        <v>24498</v>
      </c>
      <c r="AB4033" t="s">
        <v>24499</v>
      </c>
      <c r="AG4033" t="s">
        <v>24500</v>
      </c>
      <c r="AH4033" t="s">
        <v>10028</v>
      </c>
      <c r="AI4033" t="s">
        <v>24501</v>
      </c>
    </row>
    <row r="4034" spans="2:35">
      <c r="B4034" s="1">
        <v>45454</v>
      </c>
      <c r="C4034" s="4">
        <v>45454.65347222222</v>
      </c>
      <c r="D4034" t="s">
        <v>24502</v>
      </c>
      <c r="E4034" t="s">
        <v>24503</v>
      </c>
      <c r="F4034" t="s">
        <v>1255</v>
      </c>
      <c r="G4034" t="s">
        <v>3346</v>
      </c>
      <c r="H4034" t="s">
        <v>39</v>
      </c>
      <c r="I4034" t="s">
        <v>40</v>
      </c>
      <c r="J4034" t="s">
        <v>321</v>
      </c>
      <c r="K4034" t="s">
        <v>42</v>
      </c>
      <c r="L4034" t="s">
        <v>1257</v>
      </c>
      <c r="N4034" t="s">
        <v>1258</v>
      </c>
      <c r="O4034" t="s">
        <v>2199</v>
      </c>
      <c r="Q4034">
        <v>28511</v>
      </c>
      <c r="R4034" t="s">
        <v>45</v>
      </c>
      <c r="S4034" t="s">
        <v>24504</v>
      </c>
      <c r="T4034">
        <v>25</v>
      </c>
      <c r="V4034" s="1">
        <v>45454</v>
      </c>
      <c r="W4034" t="s">
        <v>24505</v>
      </c>
      <c r="X4034">
        <v>807460</v>
      </c>
      <c r="Y4034" t="s">
        <v>24506</v>
      </c>
      <c r="Z4034" t="s">
        <v>24507</v>
      </c>
      <c r="AA4034" t="s">
        <v>24507</v>
      </c>
      <c r="AB4034" t="s">
        <v>24508</v>
      </c>
      <c r="AC4034" t="s">
        <v>24508</v>
      </c>
      <c r="AD4034" t="s">
        <v>54</v>
      </c>
      <c r="AE4034" t="s">
        <v>54</v>
      </c>
      <c r="AG4034" t="s">
        <v>24509</v>
      </c>
      <c r="AH4034" t="s">
        <v>24510</v>
      </c>
      <c r="AI4034" t="s">
        <v>24511</v>
      </c>
    </row>
    <row r="4035" spans="2:35" ht="105">
      <c r="B4035" s="1">
        <v>45454</v>
      </c>
      <c r="C4035" s="4">
        <v>45454.615972222222</v>
      </c>
      <c r="D4035" t="s">
        <v>24502</v>
      </c>
      <c r="E4035" t="s">
        <v>24503</v>
      </c>
      <c r="F4035" t="s">
        <v>1255</v>
      </c>
      <c r="G4035" t="s">
        <v>3346</v>
      </c>
      <c r="H4035" t="s">
        <v>39</v>
      </c>
      <c r="I4035" t="s">
        <v>40</v>
      </c>
      <c r="J4035" s="2" t="s">
        <v>41</v>
      </c>
      <c r="K4035" t="s">
        <v>42</v>
      </c>
      <c r="L4035" t="s">
        <v>1257</v>
      </c>
      <c r="N4035" t="s">
        <v>1258</v>
      </c>
      <c r="O4035" t="s">
        <v>2199</v>
      </c>
      <c r="Q4035">
        <v>28510</v>
      </c>
      <c r="R4035" t="s">
        <v>45</v>
      </c>
      <c r="S4035" t="s">
        <v>24504</v>
      </c>
      <c r="T4035">
        <v>24</v>
      </c>
      <c r="U4035" s="2" t="s">
        <v>24512</v>
      </c>
      <c r="V4035" s="1">
        <v>45454</v>
      </c>
      <c r="W4035" t="s">
        <v>5617</v>
      </c>
      <c r="X4035">
        <v>110020679</v>
      </c>
      <c r="Y4035" t="s">
        <v>24513</v>
      </c>
      <c r="Z4035" t="s">
        <v>24514</v>
      </c>
      <c r="AA4035" t="s">
        <v>24514</v>
      </c>
      <c r="AB4035" t="s">
        <v>7411</v>
      </c>
      <c r="AC4035" t="s">
        <v>301</v>
      </c>
      <c r="AD4035" t="s">
        <v>54</v>
      </c>
      <c r="AE4035" t="s">
        <v>54</v>
      </c>
      <c r="AG4035" t="s">
        <v>24515</v>
      </c>
      <c r="AH4035" t="s">
        <v>24510</v>
      </c>
      <c r="AI4035" t="s">
        <v>24516</v>
      </c>
    </row>
    <row r="4036" spans="2:35" ht="270">
      <c r="B4036" s="1">
        <v>45454</v>
      </c>
      <c r="C4036" s="4">
        <v>45454.643750000003</v>
      </c>
      <c r="D4036" t="s">
        <v>24517</v>
      </c>
      <c r="E4036" t="s">
        <v>24518</v>
      </c>
      <c r="F4036">
        <v>3</v>
      </c>
      <c r="G4036" t="s">
        <v>134</v>
      </c>
      <c r="H4036" t="s">
        <v>24519</v>
      </c>
      <c r="I4036" t="s">
        <v>40</v>
      </c>
      <c r="J4036" s="2" t="s">
        <v>62</v>
      </c>
      <c r="K4036" t="s">
        <v>42</v>
      </c>
      <c r="L4036" t="s">
        <v>63</v>
      </c>
      <c r="N4036" t="s">
        <v>64</v>
      </c>
      <c r="Q4036">
        <v>28509</v>
      </c>
      <c r="R4036" t="s">
        <v>322</v>
      </c>
      <c r="S4036" t="s">
        <v>9328</v>
      </c>
      <c r="T4036">
        <v>28</v>
      </c>
      <c r="U4036" s="2" t="s">
        <v>24520</v>
      </c>
      <c r="W4036" t="s">
        <v>12775</v>
      </c>
      <c r="X4036">
        <v>110013748</v>
      </c>
      <c r="Y4036" t="s">
        <v>67</v>
      </c>
      <c r="Z4036" s="2" t="s">
        <v>24521</v>
      </c>
      <c r="AA4036" s="2" t="s">
        <v>1727</v>
      </c>
      <c r="AB4036" t="s">
        <v>70</v>
      </c>
      <c r="AG4036" t="s">
        <v>24522</v>
      </c>
      <c r="AH4036" t="s">
        <v>24523</v>
      </c>
      <c r="AI4036" t="s">
        <v>24524</v>
      </c>
    </row>
    <row r="4037" spans="2:35" ht="330">
      <c r="B4037" s="1">
        <v>45454</v>
      </c>
      <c r="C4037" s="4">
        <v>45449.688888888886</v>
      </c>
      <c r="D4037" t="s">
        <v>24517</v>
      </c>
      <c r="E4037" t="s">
        <v>24518</v>
      </c>
      <c r="F4037">
        <v>3</v>
      </c>
      <c r="G4037" t="s">
        <v>134</v>
      </c>
      <c r="H4037" t="s">
        <v>61</v>
      </c>
      <c r="I4037" t="s">
        <v>40</v>
      </c>
      <c r="J4037" s="2" t="s">
        <v>41</v>
      </c>
      <c r="K4037" t="s">
        <v>42</v>
      </c>
      <c r="L4037" t="s">
        <v>63</v>
      </c>
      <c r="N4037" t="s">
        <v>64</v>
      </c>
      <c r="Q4037">
        <v>28508</v>
      </c>
      <c r="R4037" t="s">
        <v>322</v>
      </c>
      <c r="S4037" t="s">
        <v>24525</v>
      </c>
      <c r="T4037">
        <v>25</v>
      </c>
      <c r="U4037" s="2" t="s">
        <v>24526</v>
      </c>
      <c r="W4037" t="s">
        <v>12775</v>
      </c>
      <c r="X4037">
        <v>110012825</v>
      </c>
      <c r="Y4037" t="s">
        <v>2692</v>
      </c>
      <c r="Z4037" t="s">
        <v>10275</v>
      </c>
      <c r="AA4037" s="2" t="s">
        <v>7015</v>
      </c>
      <c r="AB4037" t="s">
        <v>70</v>
      </c>
      <c r="AG4037" t="s">
        <v>24527</v>
      </c>
      <c r="AH4037" t="s">
        <v>11502</v>
      </c>
      <c r="AI4037" t="s">
        <v>24528</v>
      </c>
    </row>
    <row r="4038" spans="2:35" ht="165">
      <c r="B4038" s="1">
        <v>45454</v>
      </c>
      <c r="C4038" s="4">
        <v>45441.595833333333</v>
      </c>
      <c r="D4038" t="s">
        <v>58</v>
      </c>
      <c r="E4038" t="s">
        <v>24529</v>
      </c>
      <c r="F4038">
        <v>2</v>
      </c>
      <c r="G4038" t="s">
        <v>60</v>
      </c>
      <c r="H4038" t="s">
        <v>5042</v>
      </c>
      <c r="I4038" t="s">
        <v>40</v>
      </c>
      <c r="J4038" s="2" t="s">
        <v>24530</v>
      </c>
      <c r="K4038" t="s">
        <v>42</v>
      </c>
      <c r="L4038" t="s">
        <v>63</v>
      </c>
      <c r="N4038" t="s">
        <v>64</v>
      </c>
      <c r="Q4038">
        <v>28507</v>
      </c>
      <c r="R4038" t="s">
        <v>45</v>
      </c>
      <c r="S4038" t="s">
        <v>24531</v>
      </c>
      <c r="T4038">
        <v>27</v>
      </c>
      <c r="W4038" t="s">
        <v>23881</v>
      </c>
      <c r="X4038">
        <v>807458</v>
      </c>
      <c r="Y4038" t="s">
        <v>21409</v>
      </c>
      <c r="Z4038" s="2" t="s">
        <v>24532</v>
      </c>
      <c r="AA4038" s="2" t="s">
        <v>24533</v>
      </c>
      <c r="AB4038" t="s">
        <v>70</v>
      </c>
      <c r="AG4038" t="s">
        <v>24534</v>
      </c>
      <c r="AH4038" t="s">
        <v>24535</v>
      </c>
      <c r="AI4038" t="s">
        <v>24536</v>
      </c>
    </row>
    <row r="4039" spans="2:35" ht="330">
      <c r="B4039" s="1">
        <v>45454</v>
      </c>
      <c r="C4039" s="4">
        <v>45454.623611111114</v>
      </c>
      <c r="D4039" t="s">
        <v>24517</v>
      </c>
      <c r="E4039" t="s">
        <v>24518</v>
      </c>
      <c r="F4039">
        <v>3</v>
      </c>
      <c r="G4039" t="s">
        <v>134</v>
      </c>
      <c r="H4039" t="s">
        <v>61</v>
      </c>
      <c r="I4039" t="s">
        <v>40</v>
      </c>
      <c r="J4039" s="2" t="s">
        <v>62</v>
      </c>
      <c r="K4039" t="s">
        <v>42</v>
      </c>
      <c r="L4039" t="s">
        <v>63</v>
      </c>
      <c r="N4039" t="s">
        <v>64</v>
      </c>
      <c r="Q4039">
        <v>28506</v>
      </c>
      <c r="R4039" t="s">
        <v>322</v>
      </c>
      <c r="S4039" t="s">
        <v>24537</v>
      </c>
      <c r="T4039">
        <v>27</v>
      </c>
      <c r="U4039" s="2" t="s">
        <v>24538</v>
      </c>
      <c r="W4039" t="s">
        <v>12775</v>
      </c>
      <c r="X4039">
        <v>110012825</v>
      </c>
      <c r="Y4039" t="s">
        <v>67</v>
      </c>
      <c r="Z4039" s="2" t="s">
        <v>4222</v>
      </c>
      <c r="AA4039" s="2" t="s">
        <v>1727</v>
      </c>
      <c r="AB4039" t="s">
        <v>70</v>
      </c>
      <c r="AG4039" t="s">
        <v>24539</v>
      </c>
      <c r="AH4039" t="s">
        <v>24540</v>
      </c>
      <c r="AI4039" t="s">
        <v>24541</v>
      </c>
    </row>
    <row r="4040" spans="2:35" ht="409.5">
      <c r="B4040" s="1">
        <v>45454</v>
      </c>
      <c r="C4040" s="4">
        <v>45454.611111111109</v>
      </c>
      <c r="D4040" t="s">
        <v>24542</v>
      </c>
      <c r="E4040" t="s">
        <v>12017</v>
      </c>
      <c r="F4040">
        <v>7</v>
      </c>
      <c r="G4040" t="s">
        <v>432</v>
      </c>
      <c r="H4040" t="s">
        <v>10969</v>
      </c>
      <c r="I4040" t="s">
        <v>40</v>
      </c>
      <c r="J4040" s="2" t="s">
        <v>609</v>
      </c>
      <c r="K4040" t="s">
        <v>42</v>
      </c>
      <c r="L4040" t="s">
        <v>1288</v>
      </c>
      <c r="N4040" t="s">
        <v>1289</v>
      </c>
      <c r="Q4040">
        <v>28505</v>
      </c>
      <c r="R4040" t="s">
        <v>95</v>
      </c>
      <c r="S4040" t="s">
        <v>8762</v>
      </c>
      <c r="T4040">
        <v>23</v>
      </c>
      <c r="U4040" s="2" t="s">
        <v>24543</v>
      </c>
      <c r="W4040" t="s">
        <v>1292</v>
      </c>
      <c r="X4040">
        <v>110020777</v>
      </c>
      <c r="Y4040" t="e">
        <f ca="1">-_xludf.For Data Collection
-Preventive Maintenance</f>
        <v>#NAME?</v>
      </c>
      <c r="Z4040" t="e">
        <f ca="1">-COLLECT IQR, system _xludf.Log, _xludf.and ARCHIVE</f>
        <v>#NAME?</v>
      </c>
      <c r="AA4040" t="e">
        <f ca="1">-PERFORM Cleaning of GeneXpert workstation
-PERFORM Preventive Maintenance PROCEDURE</f>
        <v>#NAME?</v>
      </c>
      <c r="AB4040" t="s">
        <v>1293</v>
      </c>
      <c r="AG4040" t="s">
        <v>24544</v>
      </c>
      <c r="AH4040" t="s">
        <v>24545</v>
      </c>
      <c r="AI4040" t="s">
        <v>24546</v>
      </c>
    </row>
    <row r="4041" spans="2:35" ht="409.5">
      <c r="B4041" s="1">
        <v>45454</v>
      </c>
      <c r="C4041" s="4">
        <v>45454.597916666666</v>
      </c>
      <c r="D4041" t="s">
        <v>4883</v>
      </c>
      <c r="E4041" t="s">
        <v>12017</v>
      </c>
      <c r="F4041">
        <v>7</v>
      </c>
      <c r="G4041" t="s">
        <v>432</v>
      </c>
      <c r="H4041" t="s">
        <v>10969</v>
      </c>
      <c r="I4041" t="s">
        <v>40</v>
      </c>
      <c r="J4041" t="s">
        <v>109</v>
      </c>
      <c r="K4041" t="s">
        <v>42</v>
      </c>
      <c r="L4041" t="s">
        <v>1288</v>
      </c>
      <c r="N4041" t="s">
        <v>1289</v>
      </c>
      <c r="Q4041">
        <v>28504</v>
      </c>
      <c r="R4041" t="s">
        <v>95</v>
      </c>
      <c r="S4041" t="s">
        <v>11987</v>
      </c>
      <c r="T4041">
        <v>18</v>
      </c>
      <c r="U4041" s="2" t="s">
        <v>24547</v>
      </c>
      <c r="W4041" t="s">
        <v>1292</v>
      </c>
      <c r="X4041">
        <v>110008524</v>
      </c>
      <c r="Y4041" t="e">
        <f ca="1">-Monthly Preventive Maintenance</f>
        <v>#NAME?</v>
      </c>
      <c r="Z4041" t="e">
        <f ca="1">-COLLECT IQR, system _xludf.Log, _xludf.and ARCHIVE</f>
        <v>#NAME?</v>
      </c>
      <c r="AA4041" t="e">
        <f ca="1">-PERFORM Cleaning of GeneXpert workstation
-PERFORM Preventive Maintenance PROCEDURE</f>
        <v>#NAME?</v>
      </c>
      <c r="AB4041" t="s">
        <v>1293</v>
      </c>
      <c r="AG4041" t="s">
        <v>24548</v>
      </c>
      <c r="AH4041" t="s">
        <v>18416</v>
      </c>
      <c r="AI4041" t="s">
        <v>24549</v>
      </c>
    </row>
    <row r="4042" spans="2:35" ht="135">
      <c r="B4042" s="1">
        <v>45454</v>
      </c>
      <c r="C4042" s="4">
        <v>45454.589583333334</v>
      </c>
      <c r="D4042" t="s">
        <v>24550</v>
      </c>
      <c r="E4042" t="s">
        <v>24551</v>
      </c>
      <c r="F4042">
        <v>13</v>
      </c>
      <c r="G4042" t="s">
        <v>4484</v>
      </c>
      <c r="H4042" t="s">
        <v>2125</v>
      </c>
      <c r="I4042" t="s">
        <v>40</v>
      </c>
      <c r="J4042" s="2" t="s">
        <v>41</v>
      </c>
      <c r="K4042" t="s">
        <v>42</v>
      </c>
      <c r="L4042" t="s">
        <v>933</v>
      </c>
      <c r="N4042" t="s">
        <v>934</v>
      </c>
      <c r="Q4042">
        <v>28503</v>
      </c>
      <c r="R4042" t="s">
        <v>719</v>
      </c>
      <c r="S4042" t="s">
        <v>24552</v>
      </c>
      <c r="T4042">
        <v>28</v>
      </c>
      <c r="U4042" s="2" t="s">
        <v>24553</v>
      </c>
      <c r="W4042" t="s">
        <v>2127</v>
      </c>
      <c r="X4042">
        <v>847338</v>
      </c>
      <c r="Y4042" t="s">
        <v>16555</v>
      </c>
      <c r="Z4042" t="s">
        <v>301</v>
      </c>
      <c r="AA4042" s="2" t="s">
        <v>24554</v>
      </c>
      <c r="AB4042" s="2" t="s">
        <v>24555</v>
      </c>
      <c r="AG4042" t="s">
        <v>24556</v>
      </c>
      <c r="AH4042" t="s">
        <v>24557</v>
      </c>
      <c r="AI4042" t="s">
        <v>24558</v>
      </c>
    </row>
    <row r="4043" spans="2:35" ht="409.5">
      <c r="B4043" s="1">
        <v>45454</v>
      </c>
      <c r="C4043" s="4">
        <v>45454.568749999999</v>
      </c>
      <c r="D4043" t="s">
        <v>22594</v>
      </c>
      <c r="E4043" t="s">
        <v>24559</v>
      </c>
      <c r="F4043" t="s">
        <v>148</v>
      </c>
      <c r="G4043" t="s">
        <v>447</v>
      </c>
      <c r="H4043" t="s">
        <v>39</v>
      </c>
      <c r="I4043" t="s">
        <v>40</v>
      </c>
      <c r="J4043" s="2" t="s">
        <v>190</v>
      </c>
      <c r="K4043" t="s">
        <v>42</v>
      </c>
      <c r="L4043" t="s">
        <v>15532</v>
      </c>
      <c r="N4043" t="s">
        <v>15533</v>
      </c>
      <c r="Q4043">
        <v>28502</v>
      </c>
      <c r="R4043" t="s">
        <v>119</v>
      </c>
      <c r="S4043" t="s">
        <v>22596</v>
      </c>
      <c r="T4043">
        <v>25</v>
      </c>
      <c r="U4043" s="2" t="s">
        <v>2367</v>
      </c>
      <c r="W4043" t="s">
        <v>15535</v>
      </c>
      <c r="X4043">
        <v>831901</v>
      </c>
      <c r="Y4043" t="s">
        <v>24410</v>
      </c>
      <c r="Z4043" s="2" t="s">
        <v>24560</v>
      </c>
      <c r="AA4043" s="2" t="s">
        <v>24561</v>
      </c>
      <c r="AB4043" s="2" t="s">
        <v>24562</v>
      </c>
      <c r="AG4043" t="s">
        <v>24563</v>
      </c>
      <c r="AH4043" t="s">
        <v>22602</v>
      </c>
      <c r="AI4043" t="s">
        <v>24564</v>
      </c>
    </row>
    <row r="4044" spans="2:35" ht="375">
      <c r="B4044" s="1">
        <v>45454</v>
      </c>
      <c r="C4044" s="4">
        <v>45454.561111111114</v>
      </c>
      <c r="D4044" t="s">
        <v>24565</v>
      </c>
      <c r="E4044" t="s">
        <v>24566</v>
      </c>
      <c r="F4044">
        <v>11</v>
      </c>
      <c r="G4044" t="s">
        <v>1205</v>
      </c>
      <c r="H4044" t="s">
        <v>202</v>
      </c>
      <c r="I4044" t="s">
        <v>94</v>
      </c>
      <c r="J4044" s="2" t="s">
        <v>62</v>
      </c>
      <c r="K4044" t="s">
        <v>42</v>
      </c>
      <c r="L4044" t="s">
        <v>204</v>
      </c>
      <c r="N4044" t="s">
        <v>205</v>
      </c>
      <c r="Q4044">
        <v>28501</v>
      </c>
      <c r="R4044" t="s">
        <v>45</v>
      </c>
      <c r="S4044" t="s">
        <v>24567</v>
      </c>
      <c r="T4044">
        <v>25.9</v>
      </c>
      <c r="U4044" s="2" t="s">
        <v>7540</v>
      </c>
      <c r="W4044" t="s">
        <v>23237</v>
      </c>
      <c r="X4044">
        <v>835219</v>
      </c>
      <c r="Y4044" t="s">
        <v>2839</v>
      </c>
      <c r="Z4044" s="2" t="s">
        <v>24568</v>
      </c>
      <c r="AA4044" t="s">
        <v>1620</v>
      </c>
      <c r="AB4044" t="s">
        <v>1211</v>
      </c>
      <c r="AG4044" t="s">
        <v>24569</v>
      </c>
      <c r="AH4044" t="s">
        <v>24570</v>
      </c>
      <c r="AI4044" t="s">
        <v>24571</v>
      </c>
    </row>
    <row r="4045" spans="2:35" ht="165">
      <c r="B4045" s="1">
        <v>45454</v>
      </c>
      <c r="C4045" s="4">
        <v>45454.561111111114</v>
      </c>
      <c r="D4045" t="s">
        <v>24517</v>
      </c>
      <c r="E4045" t="s">
        <v>24518</v>
      </c>
      <c r="F4045">
        <v>3</v>
      </c>
      <c r="G4045" t="s">
        <v>134</v>
      </c>
      <c r="H4045" t="s">
        <v>24519</v>
      </c>
      <c r="I4045" t="s">
        <v>40</v>
      </c>
      <c r="J4045" s="2" t="s">
        <v>24530</v>
      </c>
      <c r="K4045" t="s">
        <v>42</v>
      </c>
      <c r="L4045" t="s">
        <v>63</v>
      </c>
      <c r="N4045" t="s">
        <v>64</v>
      </c>
      <c r="Q4045">
        <v>28500</v>
      </c>
      <c r="R4045" t="s">
        <v>322</v>
      </c>
      <c r="S4045" t="s">
        <v>9328</v>
      </c>
      <c r="T4045">
        <v>28</v>
      </c>
      <c r="W4045" t="s">
        <v>23881</v>
      </c>
      <c r="X4045">
        <v>812571</v>
      </c>
      <c r="Y4045" t="s">
        <v>24572</v>
      </c>
      <c r="Z4045" s="2" t="s">
        <v>24573</v>
      </c>
      <c r="AA4045" s="2" t="s">
        <v>1727</v>
      </c>
      <c r="AB4045" t="s">
        <v>70</v>
      </c>
      <c r="AG4045" t="s">
        <v>24574</v>
      </c>
      <c r="AH4045" t="s">
        <v>14739</v>
      </c>
      <c r="AI4045" t="s">
        <v>24575</v>
      </c>
    </row>
    <row r="4046" spans="2:35" ht="105">
      <c r="B4046" s="1">
        <v>45454</v>
      </c>
      <c r="C4046" s="4">
        <v>45454.544444444444</v>
      </c>
      <c r="D4046" t="s">
        <v>5563</v>
      </c>
      <c r="E4046" t="s">
        <v>1555</v>
      </c>
      <c r="F4046">
        <v>7</v>
      </c>
      <c r="G4046" t="s">
        <v>432</v>
      </c>
      <c r="H4046" t="s">
        <v>150</v>
      </c>
      <c r="I4046" t="s">
        <v>40</v>
      </c>
      <c r="J4046" t="s">
        <v>109</v>
      </c>
      <c r="K4046" t="s">
        <v>42</v>
      </c>
      <c r="L4046" t="s">
        <v>343</v>
      </c>
      <c r="N4046" t="s">
        <v>344</v>
      </c>
      <c r="Q4046">
        <v>28499</v>
      </c>
      <c r="R4046" t="s">
        <v>119</v>
      </c>
      <c r="S4046" t="s">
        <v>5564</v>
      </c>
      <c r="T4046">
        <v>27</v>
      </c>
      <c r="U4046" s="2" t="s">
        <v>24576</v>
      </c>
      <c r="W4046" t="s">
        <v>6105</v>
      </c>
      <c r="X4046">
        <v>838561</v>
      </c>
      <c r="Y4046" t="s">
        <v>8412</v>
      </c>
      <c r="Z4046" t="e">
        <f ca="1">-Preventive Maintenance</f>
        <v>#NAME?</v>
      </c>
      <c r="AA4046" t="e">
        <f ca="1">-Preventive Maintenance</f>
        <v>#NAME?</v>
      </c>
      <c r="AB4046" t="s">
        <v>9638</v>
      </c>
      <c r="AG4046" t="s">
        <v>24577</v>
      </c>
      <c r="AH4046" t="s">
        <v>14800</v>
      </c>
      <c r="AI4046" t="s">
        <v>24578</v>
      </c>
    </row>
    <row r="4047" spans="2:35" ht="210">
      <c r="B4047" s="1">
        <v>45454</v>
      </c>
      <c r="C4047" s="4">
        <v>45454.511111111111</v>
      </c>
      <c r="D4047" t="s">
        <v>1412</v>
      </c>
      <c r="E4047" t="s">
        <v>24579</v>
      </c>
      <c r="F4047">
        <v>5</v>
      </c>
      <c r="G4047" t="s">
        <v>814</v>
      </c>
      <c r="H4047" t="s">
        <v>39</v>
      </c>
      <c r="I4047" t="s">
        <v>40</v>
      </c>
      <c r="J4047" s="2" t="s">
        <v>41</v>
      </c>
      <c r="K4047" t="s">
        <v>42</v>
      </c>
      <c r="L4047" t="s">
        <v>761</v>
      </c>
      <c r="N4047" t="s">
        <v>762</v>
      </c>
      <c r="Q4047">
        <v>28498</v>
      </c>
      <c r="R4047" t="s">
        <v>45</v>
      </c>
      <c r="S4047" t="s">
        <v>1414</v>
      </c>
      <c r="T4047">
        <v>24</v>
      </c>
      <c r="U4047" s="2" t="s">
        <v>24580</v>
      </c>
      <c r="W4047" t="s">
        <v>765</v>
      </c>
      <c r="X4047">
        <v>807983</v>
      </c>
      <c r="Y4047" t="s">
        <v>24581</v>
      </c>
      <c r="Z4047" s="2" t="s">
        <v>24582</v>
      </c>
      <c r="AA4047" s="2" t="s">
        <v>24583</v>
      </c>
      <c r="AB4047" t="s">
        <v>181</v>
      </c>
      <c r="AG4047" t="s">
        <v>24584</v>
      </c>
      <c r="AH4047" t="s">
        <v>24585</v>
      </c>
      <c r="AI4047" t="s">
        <v>24586</v>
      </c>
    </row>
    <row r="4048" spans="2:35" ht="315">
      <c r="B4048" s="1">
        <v>45454</v>
      </c>
      <c r="C4048" s="4">
        <v>45449.637499999997</v>
      </c>
      <c r="D4048" t="s">
        <v>24587</v>
      </c>
      <c r="E4048" t="s">
        <v>24588</v>
      </c>
      <c r="F4048">
        <v>1</v>
      </c>
      <c r="G4048" t="s">
        <v>1922</v>
      </c>
      <c r="H4048" t="s">
        <v>1047</v>
      </c>
      <c r="I4048" t="s">
        <v>40</v>
      </c>
      <c r="J4048" s="2" t="s">
        <v>41</v>
      </c>
      <c r="K4048" t="s">
        <v>42</v>
      </c>
      <c r="L4048" t="s">
        <v>1048</v>
      </c>
      <c r="N4048" t="s">
        <v>1049</v>
      </c>
      <c r="Q4048">
        <v>28497</v>
      </c>
      <c r="R4048" t="s">
        <v>45</v>
      </c>
      <c r="S4048" t="s">
        <v>24589</v>
      </c>
      <c r="T4048">
        <v>27</v>
      </c>
      <c r="U4048" s="2" t="s">
        <v>24590</v>
      </c>
      <c r="V4048" s="1">
        <v>45449</v>
      </c>
      <c r="W4048" t="s">
        <v>1051</v>
      </c>
      <c r="X4048">
        <v>808622</v>
      </c>
      <c r="Y4048" t="e">
        <f ca="1">- _xludf.For module Replacement _xludf.and Preventive Maintenance</f>
        <v>#NAME?</v>
      </c>
      <c r="Z4048" s="2" t="s">
        <v>24591</v>
      </c>
      <c r="AA4048" t="e">
        <f ca="1">- performed module Replacement _xludf.and Preventive Maintenance</f>
        <v>#NAME?</v>
      </c>
      <c r="AB4048" t="e">
        <f ca="1">- Unit is Fully operational</f>
        <v>#NAME?</v>
      </c>
      <c r="AD4048" t="s">
        <v>24592</v>
      </c>
      <c r="AE4048" t="s">
        <v>103</v>
      </c>
      <c r="AG4048" t="s">
        <v>24593</v>
      </c>
      <c r="AH4048" t="s">
        <v>24594</v>
      </c>
      <c r="AI4048" t="s">
        <v>24595</v>
      </c>
    </row>
    <row r="4049" spans="2:35" ht="390">
      <c r="B4049" s="1">
        <v>45454</v>
      </c>
      <c r="C4049" s="4">
        <v>45448.493750000001</v>
      </c>
      <c r="D4049" t="s">
        <v>24596</v>
      </c>
      <c r="E4049" t="s">
        <v>24597</v>
      </c>
      <c r="F4049">
        <v>1</v>
      </c>
      <c r="G4049" t="s">
        <v>1046</v>
      </c>
      <c r="H4049" t="s">
        <v>1047</v>
      </c>
      <c r="I4049" t="s">
        <v>40</v>
      </c>
      <c r="J4049" s="2" t="s">
        <v>1309</v>
      </c>
      <c r="K4049" t="s">
        <v>42</v>
      </c>
      <c r="L4049" t="s">
        <v>1048</v>
      </c>
      <c r="N4049" t="s">
        <v>1049</v>
      </c>
      <c r="Q4049">
        <v>28496</v>
      </c>
      <c r="R4049" t="s">
        <v>45</v>
      </c>
      <c r="S4049" t="s">
        <v>24598</v>
      </c>
      <c r="T4049">
        <v>28</v>
      </c>
      <c r="U4049" s="2" t="s">
        <v>24599</v>
      </c>
      <c r="V4049" s="1">
        <v>45448</v>
      </c>
      <c r="W4049" t="s">
        <v>24600</v>
      </c>
      <c r="X4049">
        <v>834837</v>
      </c>
      <c r="Y4049" t="e">
        <f ca="1">- _xludf.For module Replacement
- _xludf.For CALIBRATION _xludf.and Preventive Maintenance</f>
        <v>#NAME?</v>
      </c>
      <c r="Z4049" s="2" t="s">
        <v>24601</v>
      </c>
      <c r="AA4049" t="e">
        <f ca="1">- performed module Replacement
- performed CALIBRATION andPreventive Maintenance</f>
        <v>#NAME?</v>
      </c>
      <c r="AB4049" s="2" t="s">
        <v>24602</v>
      </c>
      <c r="AD4049" s="2" t="s">
        <v>24603</v>
      </c>
      <c r="AE4049" t="s">
        <v>103</v>
      </c>
      <c r="AG4049" t="s">
        <v>24604</v>
      </c>
      <c r="AH4049" t="s">
        <v>24605</v>
      </c>
      <c r="AI4049" t="s">
        <v>24606</v>
      </c>
    </row>
    <row r="4050" spans="2:35" ht="165">
      <c r="B4050" s="1">
        <v>45454</v>
      </c>
      <c r="C4050" s="4">
        <v>45447.584722222222</v>
      </c>
      <c r="D4050" t="s">
        <v>4534</v>
      </c>
      <c r="E4050" t="s">
        <v>24607</v>
      </c>
      <c r="F4050">
        <v>1</v>
      </c>
      <c r="G4050" t="s">
        <v>1046</v>
      </c>
      <c r="H4050" t="s">
        <v>1047</v>
      </c>
      <c r="I4050" t="s">
        <v>40</v>
      </c>
      <c r="J4050" t="s">
        <v>109</v>
      </c>
      <c r="K4050" t="s">
        <v>42</v>
      </c>
      <c r="L4050" t="s">
        <v>1048</v>
      </c>
      <c r="N4050" t="s">
        <v>1049</v>
      </c>
      <c r="Q4050">
        <v>28495</v>
      </c>
      <c r="R4050" t="s">
        <v>45</v>
      </c>
      <c r="S4050" t="s">
        <v>4536</v>
      </c>
      <c r="T4050">
        <v>30</v>
      </c>
      <c r="U4050" s="2" t="s">
        <v>24608</v>
      </c>
      <c r="W4050" t="s">
        <v>1424</v>
      </c>
      <c r="X4050">
        <v>120000484</v>
      </c>
      <c r="Y4050" t="s">
        <v>1052</v>
      </c>
      <c r="Z4050" t="e">
        <f ca="1">- cleaned cartridge Bays, plunger Rods _xludf.and I-CORE
- generated reports</f>
        <v>#NAME?</v>
      </c>
      <c r="AA4050" t="s">
        <v>820</v>
      </c>
      <c r="AB4050" t="s">
        <v>1428</v>
      </c>
      <c r="AG4050" t="s">
        <v>24609</v>
      </c>
      <c r="AH4050" t="s">
        <v>4538</v>
      </c>
      <c r="AI4050" t="s">
        <v>24610</v>
      </c>
    </row>
    <row r="4051" spans="2:35" ht="409.5">
      <c r="B4051" s="1">
        <v>45454</v>
      </c>
      <c r="C4051" s="4">
        <v>45454.467361111114</v>
      </c>
      <c r="D4051" t="s">
        <v>24611</v>
      </c>
      <c r="E4051" t="s">
        <v>24612</v>
      </c>
      <c r="F4051" t="s">
        <v>37</v>
      </c>
      <c r="G4051" t="s">
        <v>189</v>
      </c>
      <c r="H4051" t="s">
        <v>39</v>
      </c>
      <c r="I4051" t="s">
        <v>40</v>
      </c>
      <c r="J4051" s="2" t="s">
        <v>41</v>
      </c>
      <c r="K4051" t="s">
        <v>42</v>
      </c>
      <c r="L4051" t="s">
        <v>1943</v>
      </c>
      <c r="N4051" t="s">
        <v>1944</v>
      </c>
      <c r="Q4051">
        <v>28494</v>
      </c>
      <c r="R4051" t="s">
        <v>45</v>
      </c>
      <c r="S4051" t="s">
        <v>24613</v>
      </c>
      <c r="T4051">
        <v>25</v>
      </c>
      <c r="V4051" s="1">
        <v>45454</v>
      </c>
      <c r="W4051" t="s">
        <v>84</v>
      </c>
      <c r="X4051">
        <v>805329</v>
      </c>
      <c r="Y4051" s="2" t="s">
        <v>24614</v>
      </c>
      <c r="Z4051" t="s">
        <v>22330</v>
      </c>
      <c r="AA4051" s="2" t="s">
        <v>1948</v>
      </c>
      <c r="AB4051" t="s">
        <v>88</v>
      </c>
      <c r="AD4051" t="s">
        <v>24615</v>
      </c>
      <c r="AE4051" t="s">
        <v>11329</v>
      </c>
      <c r="AG4051" t="s">
        <v>24616</v>
      </c>
      <c r="AH4051" t="s">
        <v>24617</v>
      </c>
      <c r="AI4051" t="s">
        <v>24618</v>
      </c>
    </row>
    <row r="4052" spans="2:35" ht="409.5">
      <c r="B4052" s="1">
        <v>45454</v>
      </c>
      <c r="C4052" s="4">
        <v>45454.470833333333</v>
      </c>
      <c r="D4052" t="s">
        <v>24611</v>
      </c>
      <c r="E4052" t="s">
        <v>24612</v>
      </c>
      <c r="F4052" t="s">
        <v>37</v>
      </c>
      <c r="G4052" t="s">
        <v>189</v>
      </c>
      <c r="H4052" t="s">
        <v>39</v>
      </c>
      <c r="I4052" t="s">
        <v>40</v>
      </c>
      <c r="J4052" s="2" t="s">
        <v>41</v>
      </c>
      <c r="K4052" t="s">
        <v>42</v>
      </c>
      <c r="L4052" t="s">
        <v>1943</v>
      </c>
      <c r="N4052" t="s">
        <v>1944</v>
      </c>
      <c r="Q4052">
        <v>28493</v>
      </c>
      <c r="R4052" t="s">
        <v>45</v>
      </c>
      <c r="S4052" t="s">
        <v>24613</v>
      </c>
      <c r="T4052">
        <v>25</v>
      </c>
      <c r="V4052" s="1">
        <v>45454</v>
      </c>
      <c r="W4052" t="s">
        <v>84</v>
      </c>
      <c r="X4052">
        <v>808642</v>
      </c>
      <c r="Y4052" s="2" t="s">
        <v>24619</v>
      </c>
      <c r="Z4052" t="s">
        <v>22330</v>
      </c>
      <c r="AA4052" s="2" t="s">
        <v>1948</v>
      </c>
      <c r="AB4052" t="s">
        <v>88</v>
      </c>
      <c r="AD4052" t="s">
        <v>24620</v>
      </c>
      <c r="AE4052" t="s">
        <v>11329</v>
      </c>
      <c r="AG4052" t="s">
        <v>24621</v>
      </c>
      <c r="AH4052" t="s">
        <v>24617</v>
      </c>
      <c r="AI4052" t="s">
        <v>24622</v>
      </c>
    </row>
    <row r="4053" spans="2:35" ht="285">
      <c r="B4053" s="1">
        <v>45454</v>
      </c>
      <c r="C4053" s="4">
        <v>45454.42291666667</v>
      </c>
      <c r="D4053" t="s">
        <v>24623</v>
      </c>
      <c r="E4053" t="s">
        <v>24624</v>
      </c>
      <c r="F4053" t="s">
        <v>148</v>
      </c>
      <c r="G4053" t="s">
        <v>447</v>
      </c>
      <c r="H4053" t="s">
        <v>39</v>
      </c>
      <c r="I4053" t="s">
        <v>40</v>
      </c>
      <c r="J4053" s="2" t="s">
        <v>1808</v>
      </c>
      <c r="K4053" t="s">
        <v>42</v>
      </c>
      <c r="L4053" t="s">
        <v>15532</v>
      </c>
      <c r="N4053" t="s">
        <v>15533</v>
      </c>
      <c r="Q4053">
        <v>28492</v>
      </c>
      <c r="R4053" t="s">
        <v>119</v>
      </c>
      <c r="S4053" t="s">
        <v>24625</v>
      </c>
      <c r="T4053">
        <v>25</v>
      </c>
      <c r="V4053" s="1">
        <v>45440</v>
      </c>
      <c r="W4053" t="s">
        <v>20940</v>
      </c>
      <c r="X4053">
        <v>110020279</v>
      </c>
      <c r="Y4053" t="s">
        <v>24626</v>
      </c>
      <c r="Z4053" t="s">
        <v>24627</v>
      </c>
      <c r="AA4053" s="2" t="s">
        <v>24628</v>
      </c>
      <c r="AB4053" s="2" t="s">
        <v>24629</v>
      </c>
      <c r="AD4053" s="2" t="s">
        <v>24630</v>
      </c>
      <c r="AE4053">
        <v>48598</v>
      </c>
      <c r="AG4053" t="s">
        <v>24631</v>
      </c>
      <c r="AH4053" t="s">
        <v>24632</v>
      </c>
      <c r="AI4053" t="s">
        <v>24633</v>
      </c>
    </row>
    <row r="4054" spans="2:35" ht="270">
      <c r="B4054" s="1">
        <v>45453</v>
      </c>
      <c r="C4054" s="4">
        <v>45450.542361111111</v>
      </c>
      <c r="D4054" t="s">
        <v>24634</v>
      </c>
      <c r="E4054" t="s">
        <v>24635</v>
      </c>
      <c r="F4054" t="s">
        <v>37</v>
      </c>
      <c r="G4054" t="s">
        <v>2499</v>
      </c>
      <c r="H4054" t="s">
        <v>39</v>
      </c>
      <c r="I4054" t="s">
        <v>40</v>
      </c>
      <c r="J4054" s="2" t="s">
        <v>62</v>
      </c>
      <c r="K4054" t="s">
        <v>42</v>
      </c>
      <c r="L4054" t="s">
        <v>43</v>
      </c>
      <c r="N4054" t="s">
        <v>44</v>
      </c>
      <c r="Q4054">
        <v>28491</v>
      </c>
      <c r="R4054" t="s">
        <v>45</v>
      </c>
      <c r="S4054" t="s">
        <v>24636</v>
      </c>
      <c r="T4054">
        <v>23</v>
      </c>
      <c r="U4054" s="2" t="s">
        <v>12428</v>
      </c>
      <c r="W4054" t="s">
        <v>48</v>
      </c>
      <c r="X4054">
        <v>838147</v>
      </c>
      <c r="Y4054" t="s">
        <v>1111</v>
      </c>
      <c r="Z4054" t="s">
        <v>1519</v>
      </c>
      <c r="AA4054" s="2" t="s">
        <v>21243</v>
      </c>
      <c r="AB4054" t="s">
        <v>24637</v>
      </c>
      <c r="AG4054" t="s">
        <v>24638</v>
      </c>
      <c r="AH4054" t="s">
        <v>24639</v>
      </c>
      <c r="AI4054" t="s">
        <v>24640</v>
      </c>
    </row>
    <row r="4055" spans="2:35" ht="255">
      <c r="B4055" s="1">
        <v>45453</v>
      </c>
      <c r="C4055" s="4">
        <v>45453.575694444444</v>
      </c>
      <c r="D4055" t="s">
        <v>24641</v>
      </c>
      <c r="E4055" t="s">
        <v>24642</v>
      </c>
      <c r="F4055">
        <v>7</v>
      </c>
      <c r="G4055" t="s">
        <v>432</v>
      </c>
      <c r="H4055" t="s">
        <v>608</v>
      </c>
      <c r="I4055" t="s">
        <v>94</v>
      </c>
      <c r="J4055" s="2" t="s">
        <v>62</v>
      </c>
      <c r="K4055" t="s">
        <v>42</v>
      </c>
      <c r="L4055" t="s">
        <v>610</v>
      </c>
      <c r="N4055" t="s">
        <v>611</v>
      </c>
      <c r="Q4055">
        <v>28490</v>
      </c>
      <c r="R4055" t="s">
        <v>45</v>
      </c>
      <c r="S4055" t="s">
        <v>24643</v>
      </c>
      <c r="T4055">
        <v>24</v>
      </c>
      <c r="U4055" s="2" t="s">
        <v>24644</v>
      </c>
      <c r="W4055" t="s">
        <v>360</v>
      </c>
      <c r="X4055">
        <v>815384</v>
      </c>
      <c r="Y4055" s="2" t="s">
        <v>24645</v>
      </c>
      <c r="Z4055" s="2" t="s">
        <v>24646</v>
      </c>
      <c r="AA4055" s="2" t="s">
        <v>24646</v>
      </c>
      <c r="AB4055" t="s">
        <v>24647</v>
      </c>
      <c r="AG4055" t="s">
        <v>24648</v>
      </c>
      <c r="AH4055" t="s">
        <v>24649</v>
      </c>
      <c r="AI4055" t="s">
        <v>24650</v>
      </c>
    </row>
    <row r="4056" spans="2:35" ht="375">
      <c r="B4056" s="1">
        <v>45453</v>
      </c>
      <c r="C4056" s="4">
        <v>45450.49722222222</v>
      </c>
      <c r="D4056" t="s">
        <v>22353</v>
      </c>
      <c r="E4056" t="s">
        <v>22354</v>
      </c>
      <c r="F4056" t="s">
        <v>1255</v>
      </c>
      <c r="G4056" t="s">
        <v>1887</v>
      </c>
      <c r="H4056" t="s">
        <v>1473</v>
      </c>
      <c r="I4056" t="s">
        <v>94</v>
      </c>
      <c r="J4056" s="2" t="s">
        <v>62</v>
      </c>
      <c r="K4056" t="s">
        <v>42</v>
      </c>
      <c r="L4056" t="s">
        <v>296</v>
      </c>
      <c r="N4056" t="s">
        <v>297</v>
      </c>
      <c r="Q4056">
        <v>28489</v>
      </c>
      <c r="R4056" t="s">
        <v>45</v>
      </c>
      <c r="S4056" t="s">
        <v>22355</v>
      </c>
      <c r="T4056">
        <v>28.4</v>
      </c>
      <c r="U4056" s="2" t="s">
        <v>24651</v>
      </c>
      <c r="W4056" t="s">
        <v>23049</v>
      </c>
      <c r="X4056">
        <v>815490</v>
      </c>
      <c r="Y4056" t="s">
        <v>19365</v>
      </c>
      <c r="Z4056" s="2" t="s">
        <v>24652</v>
      </c>
      <c r="AA4056" s="2" t="s">
        <v>24653</v>
      </c>
      <c r="AB4056" t="s">
        <v>972</v>
      </c>
      <c r="AC4056" t="s">
        <v>24654</v>
      </c>
      <c r="AG4056" t="s">
        <v>24655</v>
      </c>
      <c r="AH4056" t="s">
        <v>24656</v>
      </c>
      <c r="AI4056" t="s">
        <v>24657</v>
      </c>
    </row>
    <row r="4057" spans="2:35" ht="270">
      <c r="B4057" s="1">
        <v>45453</v>
      </c>
      <c r="C4057" s="4">
        <v>45453.505555555559</v>
      </c>
      <c r="D4057" t="s">
        <v>737</v>
      </c>
      <c r="E4057" t="s">
        <v>738</v>
      </c>
      <c r="F4057">
        <v>8</v>
      </c>
      <c r="G4057" t="s">
        <v>630</v>
      </c>
      <c r="H4057" t="s">
        <v>202</v>
      </c>
      <c r="I4057" t="s">
        <v>94</v>
      </c>
      <c r="J4057" s="2" t="s">
        <v>41</v>
      </c>
      <c r="K4057" t="s">
        <v>42</v>
      </c>
      <c r="L4057" t="s">
        <v>259</v>
      </c>
      <c r="N4057" t="s">
        <v>260</v>
      </c>
      <c r="Q4057">
        <v>28488</v>
      </c>
      <c r="R4057" t="s">
        <v>45</v>
      </c>
      <c r="S4057" t="s">
        <v>24658</v>
      </c>
      <c r="T4057">
        <v>26</v>
      </c>
      <c r="U4057" s="2" t="s">
        <v>24659</v>
      </c>
      <c r="V4057" s="1">
        <v>45453</v>
      </c>
      <c r="W4057" t="s">
        <v>24660</v>
      </c>
      <c r="X4057">
        <v>835060</v>
      </c>
      <c r="Y4057" t="s">
        <v>24661</v>
      </c>
      <c r="Z4057" t="e">
        <f ca="1">- module Replacement
- Preventive Maintenance</f>
        <v>#NAME?</v>
      </c>
      <c r="AA4057" s="2" t="s">
        <v>24662</v>
      </c>
      <c r="AB4057" t="s">
        <v>181</v>
      </c>
      <c r="AD4057" t="s">
        <v>24663</v>
      </c>
      <c r="AE4057" t="s">
        <v>45</v>
      </c>
      <c r="AG4057" t="s">
        <v>24664</v>
      </c>
      <c r="AH4057" t="s">
        <v>24665</v>
      </c>
      <c r="AI4057" t="s">
        <v>24666</v>
      </c>
    </row>
    <row r="4058" spans="2:35" ht="409.5">
      <c r="B4058" s="1">
        <v>45453</v>
      </c>
      <c r="C4058" s="4">
        <v>45447.579861111109</v>
      </c>
      <c r="D4058" t="s">
        <v>4534</v>
      </c>
      <c r="E4058" t="s">
        <v>24607</v>
      </c>
      <c r="F4058">
        <v>1</v>
      </c>
      <c r="G4058" t="s">
        <v>1046</v>
      </c>
      <c r="H4058" t="s">
        <v>1047</v>
      </c>
      <c r="I4058" t="s">
        <v>40</v>
      </c>
      <c r="J4058" s="2" t="s">
        <v>1309</v>
      </c>
      <c r="K4058" t="s">
        <v>42</v>
      </c>
      <c r="L4058" t="s">
        <v>1048</v>
      </c>
      <c r="N4058" t="s">
        <v>1049</v>
      </c>
      <c r="Q4058">
        <v>28487</v>
      </c>
      <c r="R4058" t="s">
        <v>45</v>
      </c>
      <c r="S4058" t="s">
        <v>4536</v>
      </c>
      <c r="T4058">
        <v>30</v>
      </c>
      <c r="U4058" s="2" t="s">
        <v>24667</v>
      </c>
      <c r="V4058" s="1">
        <v>45447</v>
      </c>
      <c r="W4058" t="s">
        <v>1051</v>
      </c>
      <c r="X4058">
        <v>808283</v>
      </c>
      <c r="Y4058" t="e">
        <f ca="1">- _xludf.For module Replacement, CALIBRATION _xludf.and Preventive Maintenance</f>
        <v>#NAME?</v>
      </c>
      <c r="Z4058" s="2" t="s">
        <v>24668</v>
      </c>
      <c r="AA4058" t="e">
        <f ca="1">- Performerd module Replacement
- performed CALIBRATION _xludf.and Preventive Maintenance</f>
        <v>#NAME?</v>
      </c>
      <c r="AB4058" s="2" t="s">
        <v>24669</v>
      </c>
      <c r="AD4058" s="2" t="s">
        <v>24670</v>
      </c>
      <c r="AE4058" t="s">
        <v>103</v>
      </c>
      <c r="AG4058" t="s">
        <v>24671</v>
      </c>
      <c r="AH4058" t="s">
        <v>24672</v>
      </c>
      <c r="AI4058" t="s">
        <v>24673</v>
      </c>
    </row>
    <row r="4059" spans="2:35" ht="105">
      <c r="B4059" s="1">
        <v>45453</v>
      </c>
      <c r="C4059" s="4">
        <v>45447.365277777775</v>
      </c>
      <c r="D4059" t="s">
        <v>1432</v>
      </c>
      <c r="E4059" t="s">
        <v>10452</v>
      </c>
      <c r="F4059">
        <v>1</v>
      </c>
      <c r="G4059" t="s">
        <v>1046</v>
      </c>
      <c r="H4059" t="s">
        <v>1047</v>
      </c>
      <c r="I4059" t="s">
        <v>40</v>
      </c>
      <c r="J4059" s="2" t="s">
        <v>62</v>
      </c>
      <c r="K4059" t="s">
        <v>42</v>
      </c>
      <c r="L4059" t="s">
        <v>1048</v>
      </c>
      <c r="N4059" t="s">
        <v>1049</v>
      </c>
      <c r="Q4059">
        <v>28486</v>
      </c>
      <c r="R4059" t="s">
        <v>119</v>
      </c>
      <c r="S4059" t="s">
        <v>10453</v>
      </c>
      <c r="T4059">
        <v>30</v>
      </c>
      <c r="U4059" s="2" t="s">
        <v>21477</v>
      </c>
      <c r="V4059" s="1">
        <v>45414</v>
      </c>
      <c r="W4059" t="s">
        <v>1051</v>
      </c>
      <c r="X4059">
        <v>838518</v>
      </c>
      <c r="Y4059" t="e">
        <f ca="1">- _xludf.For CALIBRATION _xludf.and Preventive Maintenance</f>
        <v>#NAME?</v>
      </c>
      <c r="Z4059" t="e">
        <f ca="1">- cleaned cartridge Bays, plunger Rods _xludf.and I-CORE
- performed XpertCheck
- generated reports</f>
        <v>#NAME?</v>
      </c>
      <c r="AA4059" t="e">
        <f ca="1">- performed CALIBRATION _xludf.and Preventive Maintenance</f>
        <v>#NAME?</v>
      </c>
      <c r="AB4059" t="e">
        <f ca="1">- Unit is Fully operational
- ALL modules passed</f>
        <v>#NAME?</v>
      </c>
      <c r="AD4059" t="s">
        <v>1958</v>
      </c>
      <c r="AE4059" t="s">
        <v>24674</v>
      </c>
      <c r="AG4059" t="s">
        <v>24675</v>
      </c>
      <c r="AH4059" t="s">
        <v>10455</v>
      </c>
      <c r="AI4059" t="s">
        <v>24676</v>
      </c>
    </row>
    <row r="4060" spans="2:35" ht="150">
      <c r="B4060" s="1">
        <v>45453</v>
      </c>
      <c r="C4060" s="4">
        <v>45453.363194444442</v>
      </c>
      <c r="D4060" t="s">
        <v>4149</v>
      </c>
      <c r="E4060" t="s">
        <v>4150</v>
      </c>
      <c r="F4060">
        <v>7</v>
      </c>
      <c r="G4060" t="s">
        <v>432</v>
      </c>
      <c r="H4060" t="s">
        <v>39</v>
      </c>
      <c r="I4060" t="s">
        <v>40</v>
      </c>
      <c r="J4060" s="2" t="s">
        <v>609</v>
      </c>
      <c r="K4060" t="s">
        <v>42</v>
      </c>
      <c r="L4060" t="s">
        <v>433</v>
      </c>
      <c r="N4060" t="s">
        <v>434</v>
      </c>
      <c r="Q4060">
        <v>28485</v>
      </c>
      <c r="R4060" t="s">
        <v>45</v>
      </c>
      <c r="S4060" t="s">
        <v>4152</v>
      </c>
      <c r="T4060">
        <v>29</v>
      </c>
      <c r="W4060" t="s">
        <v>12212</v>
      </c>
      <c r="X4060">
        <v>808286</v>
      </c>
      <c r="Y4060" t="s">
        <v>24677</v>
      </c>
      <c r="Z4060" s="2" t="s">
        <v>24678</v>
      </c>
      <c r="AA4060" s="2" t="s">
        <v>24678</v>
      </c>
      <c r="AB4060" t="s">
        <v>1011</v>
      </c>
      <c r="AG4060" t="s">
        <v>24679</v>
      </c>
      <c r="AH4060" t="s">
        <v>24680</v>
      </c>
      <c r="AI4060" t="s">
        <v>24681</v>
      </c>
    </row>
    <row r="4061" spans="2:35" ht="180">
      <c r="B4061" s="1">
        <v>45451</v>
      </c>
      <c r="C4061" s="4">
        <v>45450.57916666667</v>
      </c>
      <c r="D4061" t="s">
        <v>3076</v>
      </c>
      <c r="E4061" t="s">
        <v>24682</v>
      </c>
      <c r="F4061" t="s">
        <v>148</v>
      </c>
      <c r="G4061" t="s">
        <v>447</v>
      </c>
      <c r="H4061" t="s">
        <v>39</v>
      </c>
      <c r="I4061" t="s">
        <v>40</v>
      </c>
      <c r="J4061" t="s">
        <v>109</v>
      </c>
      <c r="K4061" t="s">
        <v>42</v>
      </c>
      <c r="L4061" t="s">
        <v>448</v>
      </c>
      <c r="N4061" t="s">
        <v>650</v>
      </c>
      <c r="Q4061">
        <v>28484</v>
      </c>
      <c r="R4061" t="s">
        <v>119</v>
      </c>
      <c r="S4061" t="s">
        <v>3078</v>
      </c>
      <c r="T4061">
        <v>37</v>
      </c>
      <c r="U4061" s="2" t="s">
        <v>24683</v>
      </c>
      <c r="W4061" t="s">
        <v>360</v>
      </c>
      <c r="X4061">
        <v>831899</v>
      </c>
      <c r="Y4061" t="s">
        <v>2692</v>
      </c>
      <c r="Z4061" s="2" t="s">
        <v>2011</v>
      </c>
      <c r="AA4061" t="s">
        <v>122</v>
      </c>
      <c r="AB4061" t="s">
        <v>486</v>
      </c>
      <c r="AG4061" t="s">
        <v>24684</v>
      </c>
      <c r="AH4061" t="s">
        <v>24685</v>
      </c>
      <c r="AI4061" t="s">
        <v>24686</v>
      </c>
    </row>
    <row r="4062" spans="2:35" ht="240">
      <c r="B4062" s="1">
        <v>45451</v>
      </c>
      <c r="C4062" s="4">
        <v>45450.430555555555</v>
      </c>
      <c r="D4062" t="s">
        <v>22923</v>
      </c>
      <c r="E4062" t="s">
        <v>473</v>
      </c>
      <c r="F4062" t="s">
        <v>148</v>
      </c>
      <c r="G4062" t="s">
        <v>447</v>
      </c>
      <c r="H4062" t="s">
        <v>150</v>
      </c>
      <c r="I4062" t="s">
        <v>40</v>
      </c>
      <c r="J4062" s="2" t="s">
        <v>62</v>
      </c>
      <c r="K4062" t="s">
        <v>42</v>
      </c>
      <c r="L4062" t="s">
        <v>448</v>
      </c>
      <c r="N4062" t="s">
        <v>650</v>
      </c>
      <c r="O4062" t="s">
        <v>24687</v>
      </c>
      <c r="Q4062">
        <v>28483</v>
      </c>
      <c r="R4062" t="s">
        <v>45</v>
      </c>
      <c r="S4062" t="s">
        <v>22924</v>
      </c>
      <c r="T4062">
        <v>26</v>
      </c>
      <c r="U4062" s="2" t="s">
        <v>24688</v>
      </c>
      <c r="V4062" s="1">
        <v>45450</v>
      </c>
      <c r="W4062" t="s">
        <v>20866</v>
      </c>
      <c r="X4062">
        <v>807672</v>
      </c>
      <c r="Y4062" t="s">
        <v>6494</v>
      </c>
      <c r="Z4062" s="2" t="s">
        <v>3071</v>
      </c>
      <c r="AA4062" t="s">
        <v>24689</v>
      </c>
      <c r="AB4062" s="2" t="s">
        <v>24690</v>
      </c>
      <c r="AD4062" t="s">
        <v>3628</v>
      </c>
      <c r="AE4062" t="s">
        <v>449</v>
      </c>
      <c r="AG4062" t="s">
        <v>24691</v>
      </c>
      <c r="AH4062" t="s">
        <v>22928</v>
      </c>
      <c r="AI4062" t="s">
        <v>24692</v>
      </c>
    </row>
    <row r="4063" spans="2:35" ht="195">
      <c r="B4063" s="1">
        <v>45450</v>
      </c>
      <c r="C4063" s="4">
        <v>45450.623611111114</v>
      </c>
      <c r="D4063" t="s">
        <v>2427</v>
      </c>
      <c r="E4063" t="s">
        <v>24693</v>
      </c>
      <c r="F4063" t="s">
        <v>148</v>
      </c>
      <c r="G4063" t="s">
        <v>447</v>
      </c>
      <c r="H4063" t="s">
        <v>39</v>
      </c>
      <c r="I4063" t="s">
        <v>40</v>
      </c>
      <c r="J4063" t="s">
        <v>321</v>
      </c>
      <c r="K4063" t="s">
        <v>42</v>
      </c>
      <c r="L4063" t="s">
        <v>1028</v>
      </c>
      <c r="N4063" t="s">
        <v>1029</v>
      </c>
      <c r="Q4063">
        <v>28482</v>
      </c>
      <c r="R4063" t="s">
        <v>703</v>
      </c>
      <c r="S4063" t="s">
        <v>5878</v>
      </c>
      <c r="T4063">
        <v>24</v>
      </c>
      <c r="W4063" t="s">
        <v>1032</v>
      </c>
      <c r="X4063">
        <v>110024553</v>
      </c>
      <c r="Y4063" t="s">
        <v>3763</v>
      </c>
      <c r="Z4063" t="s">
        <v>3764</v>
      </c>
      <c r="AA4063" s="2" t="s">
        <v>24694</v>
      </c>
      <c r="AB4063" t="s">
        <v>3300</v>
      </c>
      <c r="AG4063" t="s">
        <v>24695</v>
      </c>
      <c r="AH4063" t="s">
        <v>5865</v>
      </c>
      <c r="AI4063" t="s">
        <v>24696</v>
      </c>
    </row>
    <row r="4064" spans="2:35" ht="255">
      <c r="B4064" s="1">
        <v>45450</v>
      </c>
      <c r="C4064" s="4">
        <v>45450.618055555555</v>
      </c>
      <c r="D4064" t="s">
        <v>2883</v>
      </c>
      <c r="E4064" t="s">
        <v>24697</v>
      </c>
      <c r="F4064">
        <v>13</v>
      </c>
      <c r="G4064" t="s">
        <v>7763</v>
      </c>
      <c r="H4064" t="s">
        <v>2125</v>
      </c>
      <c r="I4064" t="s">
        <v>40</v>
      </c>
      <c r="J4064" s="2" t="s">
        <v>1309</v>
      </c>
      <c r="K4064" t="s">
        <v>42</v>
      </c>
      <c r="L4064" t="s">
        <v>933</v>
      </c>
      <c r="N4064" t="s">
        <v>934</v>
      </c>
      <c r="Q4064">
        <v>28481</v>
      </c>
      <c r="R4064" t="s">
        <v>45</v>
      </c>
      <c r="S4064" t="s">
        <v>24698</v>
      </c>
      <c r="T4064">
        <v>26</v>
      </c>
      <c r="U4064" s="2" t="s">
        <v>24699</v>
      </c>
      <c r="W4064" t="s">
        <v>24700</v>
      </c>
      <c r="X4064">
        <v>835078</v>
      </c>
      <c r="Y4064" t="s">
        <v>24701</v>
      </c>
      <c r="Z4064" s="2" t="s">
        <v>24702</v>
      </c>
      <c r="AA4064" s="2" t="s">
        <v>24703</v>
      </c>
      <c r="AB4064" s="2" t="s">
        <v>24704</v>
      </c>
      <c r="AG4064" t="s">
        <v>24705</v>
      </c>
      <c r="AH4064" t="s">
        <v>24706</v>
      </c>
      <c r="AI4064" t="s">
        <v>24707</v>
      </c>
    </row>
    <row r="4065" spans="2:35" ht="409.5">
      <c r="B4065" s="1">
        <v>45450</v>
      </c>
      <c r="C4065" s="4">
        <v>45450.6</v>
      </c>
      <c r="D4065" t="s">
        <v>24708</v>
      </c>
      <c r="E4065" t="s">
        <v>24709</v>
      </c>
      <c r="F4065" t="s">
        <v>148</v>
      </c>
      <c r="G4065" t="s">
        <v>447</v>
      </c>
      <c r="H4065" t="s">
        <v>39</v>
      </c>
      <c r="I4065" t="s">
        <v>40</v>
      </c>
      <c r="J4065" t="s">
        <v>109</v>
      </c>
      <c r="K4065" t="s">
        <v>42</v>
      </c>
      <c r="L4065" t="s">
        <v>15532</v>
      </c>
      <c r="N4065" t="s">
        <v>15533</v>
      </c>
      <c r="Q4065">
        <v>28480</v>
      </c>
      <c r="R4065" t="s">
        <v>45</v>
      </c>
      <c r="S4065" t="s">
        <v>24710</v>
      </c>
      <c r="T4065">
        <v>25</v>
      </c>
      <c r="U4065" s="2" t="s">
        <v>24711</v>
      </c>
      <c r="W4065" t="s">
        <v>15535</v>
      </c>
      <c r="X4065">
        <v>814162</v>
      </c>
      <c r="Y4065" t="s">
        <v>15536</v>
      </c>
      <c r="Z4065" s="2" t="s">
        <v>24712</v>
      </c>
      <c r="AA4065" s="2" t="s">
        <v>24713</v>
      </c>
      <c r="AB4065" s="2" t="s">
        <v>24714</v>
      </c>
      <c r="AG4065" t="s">
        <v>24715</v>
      </c>
      <c r="AH4065" t="s">
        <v>24716</v>
      </c>
      <c r="AI4065" t="s">
        <v>24717</v>
      </c>
    </row>
    <row r="4066" spans="2:35" ht="300">
      <c r="B4066" s="1">
        <v>45450</v>
      </c>
      <c r="C4066" s="4">
        <v>45449.544444444444</v>
      </c>
      <c r="D4066" t="s">
        <v>24718</v>
      </c>
      <c r="E4066" t="s">
        <v>24719</v>
      </c>
      <c r="F4066" t="s">
        <v>37</v>
      </c>
      <c r="G4066" t="s">
        <v>189</v>
      </c>
      <c r="H4066" t="s">
        <v>39</v>
      </c>
      <c r="I4066" t="s">
        <v>40</v>
      </c>
      <c r="J4066" s="2" t="s">
        <v>41</v>
      </c>
      <c r="K4066" t="s">
        <v>42</v>
      </c>
      <c r="L4066" t="s">
        <v>1028</v>
      </c>
      <c r="N4066" t="s">
        <v>1029</v>
      </c>
      <c r="Q4066">
        <v>28479</v>
      </c>
      <c r="R4066" t="s">
        <v>119</v>
      </c>
      <c r="S4066" t="s">
        <v>24720</v>
      </c>
      <c r="T4066">
        <v>24</v>
      </c>
      <c r="U4066" s="2" t="s">
        <v>24721</v>
      </c>
      <c r="W4066" t="s">
        <v>1967</v>
      </c>
      <c r="X4066">
        <v>821300</v>
      </c>
      <c r="Y4066" t="s">
        <v>24722</v>
      </c>
      <c r="Z4066" s="2" t="s">
        <v>2454</v>
      </c>
      <c r="AA4066" s="2" t="s">
        <v>24723</v>
      </c>
      <c r="AB4066" t="s">
        <v>3300</v>
      </c>
      <c r="AC4066" t="s">
        <v>24724</v>
      </c>
      <c r="AG4066" t="s">
        <v>24725</v>
      </c>
      <c r="AH4066" t="s">
        <v>24726</v>
      </c>
      <c r="AI4066" t="s">
        <v>24727</v>
      </c>
    </row>
    <row r="4067" spans="2:35" ht="345">
      <c r="B4067" s="1">
        <v>45450</v>
      </c>
      <c r="C4067" s="4">
        <v>45441.525694444441</v>
      </c>
      <c r="D4067" t="s">
        <v>1962</v>
      </c>
      <c r="E4067" t="s">
        <v>24728</v>
      </c>
      <c r="F4067" t="s">
        <v>148</v>
      </c>
      <c r="G4067" t="s">
        <v>1964</v>
      </c>
      <c r="H4067" t="s">
        <v>39</v>
      </c>
      <c r="I4067" t="s">
        <v>40</v>
      </c>
      <c r="J4067" s="2" t="s">
        <v>1157</v>
      </c>
      <c r="K4067" t="s">
        <v>42</v>
      </c>
      <c r="L4067" t="s">
        <v>1028</v>
      </c>
      <c r="N4067" t="s">
        <v>1029</v>
      </c>
      <c r="Q4067">
        <v>28478</v>
      </c>
      <c r="R4067" t="s">
        <v>45</v>
      </c>
      <c r="S4067" t="s">
        <v>24729</v>
      </c>
      <c r="T4067">
        <v>28</v>
      </c>
      <c r="U4067" s="2" t="s">
        <v>24730</v>
      </c>
      <c r="W4067" t="s">
        <v>1967</v>
      </c>
      <c r="X4067">
        <v>805113</v>
      </c>
      <c r="Y4067" s="2" t="s">
        <v>24731</v>
      </c>
      <c r="Z4067" s="2" t="s">
        <v>24732</v>
      </c>
      <c r="AA4067" s="2" t="s">
        <v>24733</v>
      </c>
      <c r="AB4067" t="s">
        <v>24734</v>
      </c>
      <c r="AG4067" t="s">
        <v>24735</v>
      </c>
      <c r="AH4067" t="s">
        <v>24736</v>
      </c>
      <c r="AI4067" t="s">
        <v>24737</v>
      </c>
    </row>
    <row r="4068" spans="2:35" ht="285">
      <c r="B4068" s="1">
        <v>45450</v>
      </c>
      <c r="C4068" s="4">
        <v>45447.405555555553</v>
      </c>
      <c r="D4068" t="s">
        <v>24738</v>
      </c>
      <c r="E4068" t="s">
        <v>24739</v>
      </c>
      <c r="F4068" t="s">
        <v>37</v>
      </c>
      <c r="G4068" t="s">
        <v>748</v>
      </c>
      <c r="H4068" t="s">
        <v>39</v>
      </c>
      <c r="I4068" t="s">
        <v>40</v>
      </c>
      <c r="J4068" s="2" t="s">
        <v>41</v>
      </c>
      <c r="K4068" t="s">
        <v>42</v>
      </c>
      <c r="L4068" t="s">
        <v>1028</v>
      </c>
      <c r="N4068" t="s">
        <v>1029</v>
      </c>
      <c r="Q4068">
        <v>28477</v>
      </c>
      <c r="R4068" t="s">
        <v>119</v>
      </c>
      <c r="S4068" t="s">
        <v>24740</v>
      </c>
      <c r="T4068">
        <v>27</v>
      </c>
      <c r="U4068" s="2" t="s">
        <v>22147</v>
      </c>
      <c r="W4068" t="s">
        <v>1967</v>
      </c>
      <c r="X4068">
        <v>821227</v>
      </c>
      <c r="Y4068" t="s">
        <v>24741</v>
      </c>
      <c r="Z4068" t="s">
        <v>1034</v>
      </c>
      <c r="AA4068" s="2" t="s">
        <v>24742</v>
      </c>
      <c r="AB4068" t="s">
        <v>3300</v>
      </c>
      <c r="AC4068" t="s">
        <v>24743</v>
      </c>
      <c r="AG4068" t="s">
        <v>24744</v>
      </c>
      <c r="AH4068" t="s">
        <v>24745</v>
      </c>
      <c r="AI4068" t="s">
        <v>24746</v>
      </c>
    </row>
    <row r="4069" spans="2:35" ht="240">
      <c r="B4069" s="1">
        <v>45450</v>
      </c>
      <c r="C4069" s="4">
        <v>45448.631249999999</v>
      </c>
      <c r="D4069" t="s">
        <v>5097</v>
      </c>
      <c r="E4069" t="s">
        <v>24747</v>
      </c>
      <c r="F4069" t="s">
        <v>37</v>
      </c>
      <c r="G4069" t="s">
        <v>748</v>
      </c>
      <c r="H4069" t="s">
        <v>39</v>
      </c>
      <c r="I4069" t="s">
        <v>40</v>
      </c>
      <c r="J4069" t="s">
        <v>109</v>
      </c>
      <c r="K4069" t="s">
        <v>42</v>
      </c>
      <c r="L4069" t="s">
        <v>1028</v>
      </c>
      <c r="N4069" t="s">
        <v>1029</v>
      </c>
      <c r="Q4069">
        <v>28476</v>
      </c>
      <c r="R4069" t="s">
        <v>119</v>
      </c>
      <c r="S4069" t="s">
        <v>5099</v>
      </c>
      <c r="T4069">
        <v>24</v>
      </c>
      <c r="U4069" s="2" t="s">
        <v>2513</v>
      </c>
      <c r="W4069" t="s">
        <v>1967</v>
      </c>
      <c r="X4069">
        <v>820708</v>
      </c>
      <c r="Y4069" t="s">
        <v>3127</v>
      </c>
      <c r="Z4069" t="s">
        <v>3128</v>
      </c>
      <c r="AA4069" s="2" t="s">
        <v>9006</v>
      </c>
      <c r="AB4069" t="s">
        <v>24748</v>
      </c>
      <c r="AG4069" t="s">
        <v>24749</v>
      </c>
      <c r="AH4069" t="s">
        <v>24750</v>
      </c>
      <c r="AI4069" t="s">
        <v>24751</v>
      </c>
    </row>
    <row r="4070" spans="2:35" ht="315">
      <c r="B4070" s="1">
        <v>45450</v>
      </c>
      <c r="C4070" s="4">
        <v>45441.395138888889</v>
      </c>
      <c r="D4070" t="s">
        <v>1995</v>
      </c>
      <c r="E4070" t="s">
        <v>24752</v>
      </c>
      <c r="F4070" t="s">
        <v>148</v>
      </c>
      <c r="G4070" t="s">
        <v>1964</v>
      </c>
      <c r="H4070" t="s">
        <v>39</v>
      </c>
      <c r="I4070" t="s">
        <v>40</v>
      </c>
      <c r="J4070" s="2" t="s">
        <v>62</v>
      </c>
      <c r="K4070" t="s">
        <v>42</v>
      </c>
      <c r="L4070" t="s">
        <v>1028</v>
      </c>
      <c r="N4070" t="s">
        <v>1029</v>
      </c>
      <c r="Q4070">
        <v>28475</v>
      </c>
      <c r="R4070" t="s">
        <v>45</v>
      </c>
      <c r="S4070" t="s">
        <v>1997</v>
      </c>
      <c r="T4070">
        <v>26</v>
      </c>
      <c r="U4070" s="2" t="s">
        <v>24753</v>
      </c>
      <c r="W4070" t="s">
        <v>1967</v>
      </c>
      <c r="X4070">
        <v>838192</v>
      </c>
      <c r="Y4070" t="s">
        <v>18140</v>
      </c>
      <c r="Z4070" s="2" t="s">
        <v>7701</v>
      </c>
      <c r="AA4070" s="2" t="s">
        <v>24754</v>
      </c>
      <c r="AB4070" t="s">
        <v>24755</v>
      </c>
      <c r="AC4070" t="s">
        <v>24756</v>
      </c>
      <c r="AG4070" t="s">
        <v>24757</v>
      </c>
      <c r="AH4070" t="s">
        <v>22999</v>
      </c>
      <c r="AI4070" t="s">
        <v>24758</v>
      </c>
    </row>
    <row r="4071" spans="2:35" ht="105">
      <c r="B4071" s="1">
        <v>45450</v>
      </c>
      <c r="C4071" s="4">
        <v>45450.592361111114</v>
      </c>
      <c r="D4071" t="s">
        <v>24759</v>
      </c>
      <c r="E4071" t="s">
        <v>16605</v>
      </c>
      <c r="F4071">
        <v>6</v>
      </c>
      <c r="G4071" t="s">
        <v>1234</v>
      </c>
      <c r="H4071" t="s">
        <v>1047</v>
      </c>
      <c r="I4071" t="s">
        <v>94</v>
      </c>
      <c r="J4071" t="s">
        <v>996</v>
      </c>
      <c r="K4071" t="s">
        <v>42</v>
      </c>
      <c r="L4071" t="s">
        <v>23958</v>
      </c>
      <c r="N4071" t="s">
        <v>23959</v>
      </c>
      <c r="Q4071">
        <v>28474</v>
      </c>
      <c r="R4071" t="s">
        <v>45</v>
      </c>
      <c r="S4071" t="s">
        <v>24760</v>
      </c>
      <c r="T4071">
        <v>29</v>
      </c>
      <c r="U4071" s="2" t="s">
        <v>24761</v>
      </c>
      <c r="W4071" t="s">
        <v>24762</v>
      </c>
      <c r="X4071">
        <v>805093</v>
      </c>
      <c r="Y4071" t="s">
        <v>24763</v>
      </c>
      <c r="Z4071" t="s">
        <v>24764</v>
      </c>
      <c r="AA4071" t="s">
        <v>24765</v>
      </c>
      <c r="AB4071" t="s">
        <v>24766</v>
      </c>
      <c r="AG4071" t="s">
        <v>24767</v>
      </c>
      <c r="AH4071" t="s">
        <v>24768</v>
      </c>
      <c r="AI4071" t="s">
        <v>24769</v>
      </c>
    </row>
    <row r="4072" spans="2:35" ht="409.5">
      <c r="B4072" s="1">
        <v>45450</v>
      </c>
      <c r="C4072" s="4">
        <v>45450.563888888886</v>
      </c>
      <c r="D4072" t="s">
        <v>24770</v>
      </c>
      <c r="E4072" t="s">
        <v>24771</v>
      </c>
      <c r="F4072">
        <v>7</v>
      </c>
      <c r="G4072" t="s">
        <v>269</v>
      </c>
      <c r="H4072" t="s">
        <v>11359</v>
      </c>
      <c r="I4072" t="s">
        <v>94</v>
      </c>
      <c r="J4072" s="2" t="s">
        <v>41</v>
      </c>
      <c r="K4072" t="s">
        <v>42</v>
      </c>
      <c r="L4072" t="s">
        <v>1288</v>
      </c>
      <c r="N4072" t="s">
        <v>1289</v>
      </c>
      <c r="O4072" t="s">
        <v>24772</v>
      </c>
      <c r="Q4072">
        <v>28473</v>
      </c>
      <c r="R4072" t="s">
        <v>95</v>
      </c>
      <c r="S4072" t="s">
        <v>24773</v>
      </c>
      <c r="T4072">
        <v>20</v>
      </c>
      <c r="U4072" s="2" t="s">
        <v>24774</v>
      </c>
      <c r="V4072" s="1">
        <v>45442</v>
      </c>
      <c r="W4072" t="s">
        <v>6776</v>
      </c>
      <c r="X4072">
        <v>821471</v>
      </c>
      <c r="Y4072" t="e">
        <f ca="1">-_xludf.For module A1 _xludf.and module A4 Replacement
-Preventive Maintenance</f>
        <v>#NAME?</v>
      </c>
      <c r="Z4072" t="e">
        <f ca="1">-COLLECT IQR, system _xludf.Log, _xludf.and ARCHIVE</f>
        <v>#NAME?</v>
      </c>
      <c r="AA4072" s="2" t="s">
        <v>24775</v>
      </c>
      <c r="AB4072" t="s">
        <v>1293</v>
      </c>
      <c r="AD4072" t="s">
        <v>24776</v>
      </c>
      <c r="AE4072" t="s">
        <v>24777</v>
      </c>
      <c r="AG4072" t="s">
        <v>24778</v>
      </c>
      <c r="AH4072" t="s">
        <v>24779</v>
      </c>
      <c r="AI4072" t="s">
        <v>24780</v>
      </c>
    </row>
    <row r="4073" spans="2:35" ht="255">
      <c r="B4073" s="1">
        <v>45450</v>
      </c>
      <c r="C4073" s="4">
        <v>45450.561805555553</v>
      </c>
      <c r="D4073" t="s">
        <v>24781</v>
      </c>
      <c r="E4073" t="s">
        <v>24781</v>
      </c>
      <c r="F4073">
        <v>8</v>
      </c>
      <c r="G4073" t="s">
        <v>257</v>
      </c>
      <c r="H4073" t="s">
        <v>202</v>
      </c>
      <c r="I4073" t="s">
        <v>40</v>
      </c>
      <c r="J4073" s="2" t="s">
        <v>41</v>
      </c>
      <c r="K4073" t="s">
        <v>42</v>
      </c>
      <c r="L4073" t="s">
        <v>259</v>
      </c>
      <c r="N4073" t="s">
        <v>260</v>
      </c>
      <c r="Q4073">
        <v>28472</v>
      </c>
      <c r="R4073" t="s">
        <v>45</v>
      </c>
      <c r="S4073" t="s">
        <v>24782</v>
      </c>
      <c r="T4073">
        <v>26</v>
      </c>
      <c r="V4073" s="1">
        <v>45450</v>
      </c>
      <c r="W4073" t="s">
        <v>597</v>
      </c>
      <c r="X4073">
        <v>838868</v>
      </c>
      <c r="Y4073" t="s">
        <v>24783</v>
      </c>
      <c r="Z4073" t="e">
        <f ca="1">- module Replacement
- Preventive Maintenance</f>
        <v>#NAME?</v>
      </c>
      <c r="AA4073" s="2" t="s">
        <v>24784</v>
      </c>
      <c r="AB4073" t="s">
        <v>181</v>
      </c>
      <c r="AD4073" t="s">
        <v>24663</v>
      </c>
      <c r="AE4073" t="s">
        <v>45</v>
      </c>
      <c r="AG4073" t="s">
        <v>24785</v>
      </c>
      <c r="AH4073" t="s">
        <v>24786</v>
      </c>
      <c r="AI4073" t="s">
        <v>24787</v>
      </c>
    </row>
    <row r="4074" spans="2:35" ht="315">
      <c r="B4074" s="1">
        <v>45450</v>
      </c>
      <c r="C4074" s="4">
        <v>45450.542361111111</v>
      </c>
      <c r="D4074" t="s">
        <v>1316</v>
      </c>
      <c r="E4074" t="s">
        <v>24788</v>
      </c>
      <c r="F4074">
        <v>11</v>
      </c>
      <c r="G4074" t="s">
        <v>1205</v>
      </c>
      <c r="H4074" t="s">
        <v>1317</v>
      </c>
      <c r="I4074" t="s">
        <v>40</v>
      </c>
      <c r="J4074" t="s">
        <v>109</v>
      </c>
      <c r="K4074" t="s">
        <v>42</v>
      </c>
      <c r="L4074" t="s">
        <v>204</v>
      </c>
      <c r="N4074" t="s">
        <v>205</v>
      </c>
      <c r="Q4074">
        <v>28471</v>
      </c>
      <c r="R4074" t="s">
        <v>322</v>
      </c>
      <c r="S4074" t="s">
        <v>1318</v>
      </c>
      <c r="T4074">
        <v>25.5</v>
      </c>
      <c r="U4074" s="2" t="s">
        <v>24789</v>
      </c>
      <c r="W4074" t="s">
        <v>23237</v>
      </c>
      <c r="X4074">
        <v>839236</v>
      </c>
      <c r="Y4074" t="s">
        <v>1052</v>
      </c>
      <c r="Z4074" s="2" t="s">
        <v>8775</v>
      </c>
      <c r="AA4074" t="s">
        <v>2551</v>
      </c>
      <c r="AB4074" s="2" t="s">
        <v>24790</v>
      </c>
      <c r="AG4074" t="s">
        <v>24791</v>
      </c>
      <c r="AH4074" t="s">
        <v>20952</v>
      </c>
      <c r="AI4074" t="s">
        <v>24792</v>
      </c>
    </row>
    <row r="4075" spans="2:35" ht="315">
      <c r="B4075" s="1">
        <v>45450</v>
      </c>
      <c r="C4075" s="4">
        <v>45450.544444444444</v>
      </c>
      <c r="D4075" t="s">
        <v>1316</v>
      </c>
      <c r="E4075" t="s">
        <v>24788</v>
      </c>
      <c r="F4075">
        <v>11</v>
      </c>
      <c r="G4075" t="s">
        <v>1205</v>
      </c>
      <c r="H4075" t="s">
        <v>1317</v>
      </c>
      <c r="I4075" t="s">
        <v>40</v>
      </c>
      <c r="J4075" t="s">
        <v>109</v>
      </c>
      <c r="K4075" t="s">
        <v>42</v>
      </c>
      <c r="L4075" t="s">
        <v>204</v>
      </c>
      <c r="N4075" t="s">
        <v>205</v>
      </c>
      <c r="Q4075">
        <v>28470</v>
      </c>
      <c r="R4075" t="s">
        <v>119</v>
      </c>
      <c r="S4075" t="s">
        <v>1318</v>
      </c>
      <c r="T4075">
        <v>25.6</v>
      </c>
      <c r="U4075" s="2" t="s">
        <v>24789</v>
      </c>
      <c r="W4075" t="s">
        <v>23237</v>
      </c>
      <c r="X4075">
        <v>838262</v>
      </c>
      <c r="Y4075" t="s">
        <v>1052</v>
      </c>
      <c r="Z4075" s="2" t="s">
        <v>1321</v>
      </c>
      <c r="AA4075" t="s">
        <v>2551</v>
      </c>
      <c r="AB4075" s="2" t="s">
        <v>24793</v>
      </c>
      <c r="AG4075" t="s">
        <v>24794</v>
      </c>
      <c r="AH4075" t="s">
        <v>20952</v>
      </c>
      <c r="AI4075" t="s">
        <v>24795</v>
      </c>
    </row>
    <row r="4076" spans="2:35" ht="360">
      <c r="B4076" s="1">
        <v>45450</v>
      </c>
      <c r="C4076" s="4">
        <v>45450.506249999999</v>
      </c>
      <c r="D4076" t="s">
        <v>9302</v>
      </c>
      <c r="E4076" t="s">
        <v>24796</v>
      </c>
      <c r="F4076">
        <v>3</v>
      </c>
      <c r="G4076" t="s">
        <v>730</v>
      </c>
      <c r="H4076" t="s">
        <v>39</v>
      </c>
      <c r="I4076" t="s">
        <v>40</v>
      </c>
      <c r="J4076" t="s">
        <v>109</v>
      </c>
      <c r="K4076" t="s">
        <v>42</v>
      </c>
      <c r="L4076" t="s">
        <v>135</v>
      </c>
      <c r="N4076" t="s">
        <v>136</v>
      </c>
      <c r="O4076" t="s">
        <v>24797</v>
      </c>
      <c r="Q4076">
        <v>28469</v>
      </c>
      <c r="R4076" t="s">
        <v>95</v>
      </c>
      <c r="S4076" t="s">
        <v>9308</v>
      </c>
      <c r="T4076">
        <v>22</v>
      </c>
      <c r="U4076" s="2" t="s">
        <v>24798</v>
      </c>
      <c r="W4076" t="s">
        <v>2680</v>
      </c>
      <c r="X4076">
        <v>830841</v>
      </c>
      <c r="Y4076" t="s">
        <v>7229</v>
      </c>
      <c r="Z4076" t="s">
        <v>4315</v>
      </c>
      <c r="AA4076" s="2" t="s">
        <v>4316</v>
      </c>
      <c r="AB4076" t="s">
        <v>181</v>
      </c>
      <c r="AG4076" t="s">
        <v>24799</v>
      </c>
      <c r="AH4076" t="s">
        <v>18462</v>
      </c>
      <c r="AI4076" t="s">
        <v>24800</v>
      </c>
    </row>
    <row r="4077" spans="2:35" ht="360">
      <c r="B4077" s="1">
        <v>45450</v>
      </c>
      <c r="C4077" s="4">
        <v>45450.503472222219</v>
      </c>
      <c r="D4077" t="s">
        <v>9302</v>
      </c>
      <c r="E4077" t="s">
        <v>4320</v>
      </c>
      <c r="F4077">
        <v>3</v>
      </c>
      <c r="G4077" t="s">
        <v>730</v>
      </c>
      <c r="H4077" t="s">
        <v>39</v>
      </c>
      <c r="I4077" t="s">
        <v>40</v>
      </c>
      <c r="J4077" t="s">
        <v>109</v>
      </c>
      <c r="K4077" t="s">
        <v>42</v>
      </c>
      <c r="L4077" t="s">
        <v>135</v>
      </c>
      <c r="N4077" t="s">
        <v>136</v>
      </c>
      <c r="O4077" t="s">
        <v>24797</v>
      </c>
      <c r="Q4077">
        <v>28468</v>
      </c>
      <c r="R4077" t="s">
        <v>95</v>
      </c>
      <c r="S4077" t="s">
        <v>9308</v>
      </c>
      <c r="T4077">
        <v>22</v>
      </c>
      <c r="U4077" s="2" t="s">
        <v>24801</v>
      </c>
      <c r="W4077" t="s">
        <v>2680</v>
      </c>
      <c r="X4077">
        <v>839232</v>
      </c>
      <c r="Y4077" t="s">
        <v>7229</v>
      </c>
      <c r="Z4077" t="s">
        <v>4315</v>
      </c>
      <c r="AA4077" s="2" t="s">
        <v>4316</v>
      </c>
      <c r="AB4077" t="s">
        <v>24802</v>
      </c>
      <c r="AG4077" t="s">
        <v>24803</v>
      </c>
      <c r="AH4077" t="s">
        <v>18462</v>
      </c>
      <c r="AI4077" t="s">
        <v>24804</v>
      </c>
    </row>
    <row r="4078" spans="2:35" ht="270">
      <c r="B4078" s="1">
        <v>45450</v>
      </c>
      <c r="C4078" s="4">
        <v>45448.474305555559</v>
      </c>
      <c r="D4078" t="s">
        <v>24805</v>
      </c>
      <c r="E4078" t="s">
        <v>24806</v>
      </c>
      <c r="F4078" t="s">
        <v>37</v>
      </c>
      <c r="G4078" t="s">
        <v>38</v>
      </c>
      <c r="H4078" t="s">
        <v>39</v>
      </c>
      <c r="I4078" t="s">
        <v>40</v>
      </c>
      <c r="J4078" s="2" t="s">
        <v>62</v>
      </c>
      <c r="K4078" t="s">
        <v>42</v>
      </c>
      <c r="L4078" t="s">
        <v>43</v>
      </c>
      <c r="N4078" t="s">
        <v>44</v>
      </c>
      <c r="Q4078">
        <v>28466</v>
      </c>
      <c r="R4078" t="s">
        <v>45</v>
      </c>
      <c r="S4078" t="s">
        <v>1701</v>
      </c>
      <c r="T4078">
        <v>25</v>
      </c>
      <c r="U4078" s="2" t="s">
        <v>24807</v>
      </c>
      <c r="W4078" t="s">
        <v>48</v>
      </c>
      <c r="X4078">
        <v>838136</v>
      </c>
      <c r="Y4078" t="s">
        <v>1111</v>
      </c>
      <c r="Z4078" t="s">
        <v>1519</v>
      </c>
      <c r="AA4078" s="2" t="s">
        <v>12740</v>
      </c>
      <c r="AB4078" t="s">
        <v>24808</v>
      </c>
      <c r="AG4078" t="s">
        <v>24809</v>
      </c>
      <c r="AH4078" t="s">
        <v>22380</v>
      </c>
      <c r="AI4078" t="s">
        <v>24810</v>
      </c>
    </row>
    <row r="4079" spans="2:35" ht="270">
      <c r="B4079" s="1">
        <v>45450</v>
      </c>
      <c r="C4079" s="4">
        <v>45448.572916666664</v>
      </c>
      <c r="D4079" t="s">
        <v>985</v>
      </c>
      <c r="E4079" t="s">
        <v>24811</v>
      </c>
      <c r="F4079" t="s">
        <v>148</v>
      </c>
      <c r="G4079" t="s">
        <v>785</v>
      </c>
      <c r="H4079" t="s">
        <v>39</v>
      </c>
      <c r="I4079" t="s">
        <v>40</v>
      </c>
      <c r="J4079" s="2" t="s">
        <v>62</v>
      </c>
      <c r="K4079" t="s">
        <v>42</v>
      </c>
      <c r="L4079" t="s">
        <v>43</v>
      </c>
      <c r="N4079" t="s">
        <v>44</v>
      </c>
      <c r="Q4079">
        <v>28465</v>
      </c>
      <c r="R4079" t="s">
        <v>45</v>
      </c>
      <c r="S4079" t="s">
        <v>3562</v>
      </c>
      <c r="T4079">
        <v>24</v>
      </c>
      <c r="U4079" s="2" t="s">
        <v>24812</v>
      </c>
      <c r="W4079" t="s">
        <v>48</v>
      </c>
      <c r="X4079">
        <v>805010</v>
      </c>
      <c r="Y4079" t="s">
        <v>1111</v>
      </c>
      <c r="Z4079" t="s">
        <v>1519</v>
      </c>
      <c r="AA4079" s="2" t="s">
        <v>12740</v>
      </c>
      <c r="AB4079" t="s">
        <v>24813</v>
      </c>
      <c r="AG4079" t="s">
        <v>24814</v>
      </c>
      <c r="AH4079" t="s">
        <v>24815</v>
      </c>
      <c r="AI4079" t="s">
        <v>24816</v>
      </c>
    </row>
    <row r="4080" spans="2:35" ht="270">
      <c r="B4080" s="1">
        <v>45450</v>
      </c>
      <c r="C4080" s="4">
        <v>45449.509027777778</v>
      </c>
      <c r="D4080" t="s">
        <v>24817</v>
      </c>
      <c r="E4080" t="s">
        <v>24818</v>
      </c>
      <c r="F4080" t="s">
        <v>37</v>
      </c>
      <c r="G4080" t="s">
        <v>2499</v>
      </c>
      <c r="H4080" t="s">
        <v>39</v>
      </c>
      <c r="I4080" t="s">
        <v>40</v>
      </c>
      <c r="J4080" s="2" t="s">
        <v>62</v>
      </c>
      <c r="K4080" t="s">
        <v>42</v>
      </c>
      <c r="L4080" t="s">
        <v>43</v>
      </c>
      <c r="N4080" t="s">
        <v>44</v>
      </c>
      <c r="Q4080">
        <v>28467</v>
      </c>
      <c r="R4080" t="s">
        <v>45</v>
      </c>
      <c r="S4080" t="s">
        <v>24819</v>
      </c>
      <c r="T4080">
        <v>24</v>
      </c>
      <c r="U4080" s="2" t="s">
        <v>24820</v>
      </c>
      <c r="W4080" t="s">
        <v>48</v>
      </c>
      <c r="X4080">
        <v>838180</v>
      </c>
      <c r="Y4080" t="s">
        <v>1111</v>
      </c>
      <c r="Z4080" t="s">
        <v>1519</v>
      </c>
      <c r="AA4080" s="2" t="s">
        <v>21243</v>
      </c>
      <c r="AB4080" t="s">
        <v>24821</v>
      </c>
      <c r="AG4080" t="s">
        <v>24822</v>
      </c>
      <c r="AH4080" t="s">
        <v>24823</v>
      </c>
      <c r="AI4080" t="s">
        <v>24824</v>
      </c>
    </row>
    <row r="4081" spans="2:35" ht="210">
      <c r="B4081" s="1">
        <v>45450</v>
      </c>
      <c r="C4081" s="4">
        <v>45450.509722222225</v>
      </c>
      <c r="D4081" t="s">
        <v>1626</v>
      </c>
      <c r="E4081" t="s">
        <v>1627</v>
      </c>
      <c r="F4081">
        <v>9</v>
      </c>
      <c r="G4081" t="s">
        <v>1628</v>
      </c>
      <c r="H4081" t="s">
        <v>39</v>
      </c>
      <c r="I4081" t="s">
        <v>40</v>
      </c>
      <c r="J4081" t="s">
        <v>109</v>
      </c>
      <c r="K4081" t="s">
        <v>42</v>
      </c>
      <c r="L4081" t="s">
        <v>1257</v>
      </c>
      <c r="N4081" t="s">
        <v>1258</v>
      </c>
      <c r="O4081" t="s">
        <v>2199</v>
      </c>
      <c r="Q4081">
        <v>28464</v>
      </c>
      <c r="R4081" t="s">
        <v>45</v>
      </c>
      <c r="S4081" t="s">
        <v>1629</v>
      </c>
      <c r="T4081">
        <v>28</v>
      </c>
      <c r="U4081" s="2" t="s">
        <v>24825</v>
      </c>
      <c r="V4081" s="1">
        <v>45450</v>
      </c>
      <c r="W4081" t="s">
        <v>17323</v>
      </c>
      <c r="X4081">
        <v>808615</v>
      </c>
      <c r="Y4081" t="s">
        <v>301</v>
      </c>
      <c r="Z4081" t="s">
        <v>24826</v>
      </c>
      <c r="AA4081" t="s">
        <v>12559</v>
      </c>
      <c r="AB4081" t="s">
        <v>7411</v>
      </c>
      <c r="AC4081" t="s">
        <v>301</v>
      </c>
      <c r="AD4081" t="s">
        <v>54</v>
      </c>
      <c r="AE4081" t="s">
        <v>54</v>
      </c>
      <c r="AG4081" t="s">
        <v>24827</v>
      </c>
      <c r="AH4081" t="s">
        <v>24828</v>
      </c>
      <c r="AI4081" t="s">
        <v>24829</v>
      </c>
    </row>
    <row r="4082" spans="2:35" ht="409.5">
      <c r="B4082" s="1">
        <v>45450</v>
      </c>
      <c r="C4082" s="4">
        <v>45450.493750000001</v>
      </c>
      <c r="D4082" t="s">
        <v>24830</v>
      </c>
      <c r="E4082" t="s">
        <v>24831</v>
      </c>
      <c r="F4082" t="s">
        <v>37</v>
      </c>
      <c r="G4082" t="s">
        <v>78</v>
      </c>
      <c r="H4082" t="s">
        <v>39</v>
      </c>
      <c r="I4082" t="s">
        <v>40</v>
      </c>
      <c r="J4082" s="2" t="s">
        <v>41</v>
      </c>
      <c r="K4082" t="s">
        <v>42</v>
      </c>
      <c r="L4082" t="s">
        <v>1943</v>
      </c>
      <c r="N4082" t="s">
        <v>1944</v>
      </c>
      <c r="Q4082">
        <v>28463</v>
      </c>
      <c r="R4082" t="s">
        <v>45</v>
      </c>
      <c r="S4082" t="s">
        <v>24832</v>
      </c>
      <c r="T4082">
        <v>25</v>
      </c>
      <c r="U4082" s="2" t="s">
        <v>24833</v>
      </c>
      <c r="V4082" s="1">
        <v>45450</v>
      </c>
      <c r="W4082" t="s">
        <v>84</v>
      </c>
      <c r="X4082">
        <v>812780</v>
      </c>
      <c r="Y4082" s="2" t="s">
        <v>22466</v>
      </c>
      <c r="Z4082" t="s">
        <v>22330</v>
      </c>
      <c r="AA4082" s="2" t="s">
        <v>1948</v>
      </c>
      <c r="AB4082" t="s">
        <v>88</v>
      </c>
      <c r="AD4082" t="s">
        <v>24834</v>
      </c>
      <c r="AE4082" t="s">
        <v>11329</v>
      </c>
      <c r="AG4082" t="s">
        <v>24835</v>
      </c>
      <c r="AH4082" t="s">
        <v>24836</v>
      </c>
      <c r="AI4082" t="s">
        <v>24837</v>
      </c>
    </row>
    <row r="4083" spans="2:35" ht="360">
      <c r="B4083" s="1">
        <v>45450</v>
      </c>
      <c r="C4083" s="4">
        <v>45450.479861111111</v>
      </c>
      <c r="D4083" t="s">
        <v>1015</v>
      </c>
      <c r="E4083" t="s">
        <v>24838</v>
      </c>
      <c r="F4083">
        <v>3</v>
      </c>
      <c r="G4083" t="s">
        <v>730</v>
      </c>
      <c r="H4083" t="s">
        <v>39</v>
      </c>
      <c r="I4083" t="s">
        <v>40</v>
      </c>
      <c r="J4083" t="s">
        <v>109</v>
      </c>
      <c r="K4083" t="s">
        <v>42</v>
      </c>
      <c r="L4083" t="s">
        <v>135</v>
      </c>
      <c r="N4083" t="s">
        <v>136</v>
      </c>
      <c r="Q4083">
        <v>28462</v>
      </c>
      <c r="R4083" t="s">
        <v>119</v>
      </c>
      <c r="S4083" t="s">
        <v>1018</v>
      </c>
      <c r="T4083">
        <v>23</v>
      </c>
      <c r="U4083" s="2" t="s">
        <v>24839</v>
      </c>
      <c r="W4083" t="s">
        <v>2680</v>
      </c>
      <c r="X4083">
        <v>831587</v>
      </c>
      <c r="Y4083" t="s">
        <v>7229</v>
      </c>
      <c r="Z4083" t="s">
        <v>4315</v>
      </c>
      <c r="AA4083" s="2" t="s">
        <v>4316</v>
      </c>
      <c r="AB4083" t="s">
        <v>9323</v>
      </c>
      <c r="AG4083" t="s">
        <v>24840</v>
      </c>
      <c r="AH4083" t="s">
        <v>1024</v>
      </c>
      <c r="AI4083" t="s">
        <v>24841</v>
      </c>
    </row>
    <row r="4084" spans="2:35" ht="120">
      <c r="B4084" s="1">
        <v>45450</v>
      </c>
      <c r="C4084" s="4">
        <v>45450.478472222225</v>
      </c>
      <c r="D4084" t="s">
        <v>24842</v>
      </c>
      <c r="E4084" t="s">
        <v>24843</v>
      </c>
      <c r="F4084">
        <v>9</v>
      </c>
      <c r="G4084" t="s">
        <v>1628</v>
      </c>
      <c r="H4084" t="s">
        <v>39</v>
      </c>
      <c r="I4084" t="s">
        <v>40</v>
      </c>
      <c r="J4084" s="2" t="s">
        <v>24844</v>
      </c>
      <c r="K4084" t="s">
        <v>42</v>
      </c>
      <c r="L4084" t="s">
        <v>1257</v>
      </c>
      <c r="N4084" t="s">
        <v>1258</v>
      </c>
      <c r="O4084" t="s">
        <v>1258</v>
      </c>
      <c r="Q4084">
        <v>28461</v>
      </c>
      <c r="R4084" t="s">
        <v>45</v>
      </c>
      <c r="S4084" t="s">
        <v>24845</v>
      </c>
      <c r="T4084">
        <v>26</v>
      </c>
      <c r="U4084" s="2" t="s">
        <v>20063</v>
      </c>
      <c r="V4084" s="1">
        <v>45449</v>
      </c>
      <c r="W4084" t="s">
        <v>22916</v>
      </c>
      <c r="X4084">
        <v>834831</v>
      </c>
      <c r="Y4084" t="s">
        <v>301</v>
      </c>
      <c r="Z4084" t="s">
        <v>24846</v>
      </c>
      <c r="AA4084" t="s">
        <v>24846</v>
      </c>
      <c r="AB4084" t="s">
        <v>24847</v>
      </c>
      <c r="AC4084" t="s">
        <v>301</v>
      </c>
      <c r="AD4084" t="s">
        <v>54</v>
      </c>
      <c r="AE4084" t="s">
        <v>54</v>
      </c>
      <c r="AG4084" t="s">
        <v>24848</v>
      </c>
      <c r="AH4084" t="s">
        <v>24849</v>
      </c>
      <c r="AI4084" t="s">
        <v>24850</v>
      </c>
    </row>
    <row r="4085" spans="2:35" ht="165">
      <c r="B4085" s="1">
        <v>45450</v>
      </c>
      <c r="C4085" s="4">
        <v>45450.477777777778</v>
      </c>
      <c r="D4085" t="s">
        <v>5089</v>
      </c>
      <c r="E4085" t="s">
        <v>5090</v>
      </c>
      <c r="F4085">
        <v>3</v>
      </c>
      <c r="G4085" t="s">
        <v>1722</v>
      </c>
      <c r="H4085" t="s">
        <v>61</v>
      </c>
      <c r="I4085" t="s">
        <v>40</v>
      </c>
      <c r="J4085" s="2" t="s">
        <v>190</v>
      </c>
      <c r="K4085" t="s">
        <v>42</v>
      </c>
      <c r="L4085" t="s">
        <v>63</v>
      </c>
      <c r="N4085" t="s">
        <v>64</v>
      </c>
      <c r="Q4085">
        <v>28460</v>
      </c>
      <c r="R4085" t="s">
        <v>45</v>
      </c>
      <c r="S4085" t="s">
        <v>15318</v>
      </c>
      <c r="T4085">
        <v>21</v>
      </c>
      <c r="U4085" s="2" t="s">
        <v>24851</v>
      </c>
      <c r="W4085" t="s">
        <v>12775</v>
      </c>
      <c r="X4085">
        <v>110020311</v>
      </c>
      <c r="Y4085" t="s">
        <v>6973</v>
      </c>
      <c r="Z4085" s="2" t="s">
        <v>24852</v>
      </c>
      <c r="AA4085" s="2" t="s">
        <v>1727</v>
      </c>
      <c r="AB4085" t="s">
        <v>70</v>
      </c>
      <c r="AC4085" t="s">
        <v>15866</v>
      </c>
      <c r="AG4085" t="s">
        <v>24853</v>
      </c>
      <c r="AH4085" t="s">
        <v>21706</v>
      </c>
      <c r="AI4085" t="s">
        <v>24854</v>
      </c>
    </row>
    <row r="4086" spans="2:35" ht="165">
      <c r="B4086" s="1">
        <v>45450</v>
      </c>
      <c r="C4086" s="4">
        <v>45450.462500000001</v>
      </c>
      <c r="D4086" t="s">
        <v>5089</v>
      </c>
      <c r="E4086" t="s">
        <v>5090</v>
      </c>
      <c r="F4086">
        <v>3</v>
      </c>
      <c r="G4086" t="s">
        <v>1722</v>
      </c>
      <c r="H4086" t="s">
        <v>5042</v>
      </c>
      <c r="I4086" t="s">
        <v>40</v>
      </c>
      <c r="J4086" s="2" t="s">
        <v>1444</v>
      </c>
      <c r="K4086" t="s">
        <v>42</v>
      </c>
      <c r="L4086" t="s">
        <v>63</v>
      </c>
      <c r="N4086" t="s">
        <v>64</v>
      </c>
      <c r="Q4086">
        <v>28459</v>
      </c>
      <c r="R4086" t="s">
        <v>45</v>
      </c>
      <c r="S4086" t="s">
        <v>15318</v>
      </c>
      <c r="T4086">
        <v>29</v>
      </c>
      <c r="W4086" t="s">
        <v>24855</v>
      </c>
      <c r="X4086">
        <v>844111</v>
      </c>
      <c r="Y4086" s="2" t="s">
        <v>24856</v>
      </c>
      <c r="Z4086" s="2" t="s">
        <v>24857</v>
      </c>
      <c r="AA4086" s="2" t="s">
        <v>1727</v>
      </c>
      <c r="AB4086" t="s">
        <v>70</v>
      </c>
      <c r="AC4086" t="s">
        <v>15866</v>
      </c>
      <c r="AG4086" t="s">
        <v>24858</v>
      </c>
      <c r="AH4086" t="s">
        <v>21706</v>
      </c>
      <c r="AI4086" t="s">
        <v>24859</v>
      </c>
    </row>
    <row r="4087" spans="2:35" ht="120">
      <c r="B4087" s="1">
        <v>45450</v>
      </c>
      <c r="C4087" s="4">
        <v>45450.436805555553</v>
      </c>
      <c r="D4087" t="s">
        <v>24860</v>
      </c>
      <c r="E4087" t="s">
        <v>9773</v>
      </c>
      <c r="F4087">
        <v>6</v>
      </c>
      <c r="G4087" t="s">
        <v>1234</v>
      </c>
      <c r="H4087" t="s">
        <v>61</v>
      </c>
      <c r="I4087" t="s">
        <v>40</v>
      </c>
      <c r="J4087" t="s">
        <v>24861</v>
      </c>
      <c r="K4087" t="s">
        <v>42</v>
      </c>
      <c r="L4087" t="s">
        <v>23958</v>
      </c>
      <c r="N4087" t="s">
        <v>23959</v>
      </c>
      <c r="Q4087">
        <v>28458</v>
      </c>
      <c r="R4087" t="s">
        <v>322</v>
      </c>
      <c r="S4087" t="s">
        <v>7773</v>
      </c>
      <c r="T4087">
        <v>25</v>
      </c>
      <c r="U4087" s="2" t="s">
        <v>24862</v>
      </c>
      <c r="W4087" t="s">
        <v>24863</v>
      </c>
      <c r="X4087">
        <v>110020743</v>
      </c>
      <c r="Y4087" t="s">
        <v>24864</v>
      </c>
      <c r="Z4087" t="s">
        <v>24865</v>
      </c>
      <c r="AA4087" t="s">
        <v>24866</v>
      </c>
      <c r="AB4087" t="s">
        <v>24867</v>
      </c>
      <c r="AG4087" t="s">
        <v>24868</v>
      </c>
      <c r="AH4087" t="s">
        <v>21650</v>
      </c>
      <c r="AI4087" t="s">
        <v>24869</v>
      </c>
    </row>
    <row r="4088" spans="2:35" ht="360">
      <c r="B4088" s="1">
        <v>45450</v>
      </c>
      <c r="C4088" s="4">
        <v>45450.430555555555</v>
      </c>
      <c r="D4088" t="s">
        <v>22431</v>
      </c>
      <c r="E4088" t="s">
        <v>24870</v>
      </c>
      <c r="F4088">
        <v>3</v>
      </c>
      <c r="G4088" t="s">
        <v>730</v>
      </c>
      <c r="H4088" t="s">
        <v>39</v>
      </c>
      <c r="I4088" t="s">
        <v>40</v>
      </c>
      <c r="J4088" t="s">
        <v>109</v>
      </c>
      <c r="K4088" t="s">
        <v>42</v>
      </c>
      <c r="L4088" t="s">
        <v>135</v>
      </c>
      <c r="N4088" t="s">
        <v>136</v>
      </c>
      <c r="Q4088">
        <v>28457</v>
      </c>
      <c r="R4088" t="s">
        <v>119</v>
      </c>
      <c r="S4088" t="s">
        <v>22433</v>
      </c>
      <c r="T4088">
        <v>25</v>
      </c>
      <c r="U4088" s="2" t="s">
        <v>24871</v>
      </c>
      <c r="W4088" t="s">
        <v>2680</v>
      </c>
      <c r="X4088">
        <v>831917</v>
      </c>
      <c r="Y4088" t="s">
        <v>7229</v>
      </c>
      <c r="Z4088" t="s">
        <v>4315</v>
      </c>
      <c r="AA4088" s="2" t="s">
        <v>4316</v>
      </c>
      <c r="AB4088" t="s">
        <v>181</v>
      </c>
      <c r="AG4088" t="s">
        <v>24872</v>
      </c>
      <c r="AH4088" t="s">
        <v>24873</v>
      </c>
      <c r="AI4088" t="s">
        <v>24874</v>
      </c>
    </row>
    <row r="4089" spans="2:35" ht="360">
      <c r="B4089" s="1">
        <v>45450</v>
      </c>
      <c r="C4089" s="4">
        <v>45449.462500000001</v>
      </c>
      <c r="D4089" t="s">
        <v>24875</v>
      </c>
      <c r="E4089" t="s">
        <v>24876</v>
      </c>
      <c r="F4089">
        <v>3</v>
      </c>
      <c r="G4089" t="s">
        <v>730</v>
      </c>
      <c r="H4089" t="s">
        <v>39</v>
      </c>
      <c r="I4089" t="s">
        <v>40</v>
      </c>
      <c r="J4089" t="s">
        <v>109</v>
      </c>
      <c r="K4089" t="s">
        <v>42</v>
      </c>
      <c r="L4089" t="s">
        <v>135</v>
      </c>
      <c r="N4089" t="s">
        <v>136</v>
      </c>
      <c r="Q4089">
        <v>28456</v>
      </c>
      <c r="R4089" t="s">
        <v>119</v>
      </c>
      <c r="S4089" t="s">
        <v>24877</v>
      </c>
      <c r="T4089">
        <v>27</v>
      </c>
      <c r="U4089" s="2" t="s">
        <v>24878</v>
      </c>
      <c r="W4089" t="s">
        <v>2680</v>
      </c>
      <c r="X4089">
        <v>831909</v>
      </c>
      <c r="Y4089" t="s">
        <v>7229</v>
      </c>
      <c r="Z4089" t="s">
        <v>4315</v>
      </c>
      <c r="AA4089" s="2" t="s">
        <v>4316</v>
      </c>
      <c r="AB4089" t="s">
        <v>181</v>
      </c>
      <c r="AG4089" t="s">
        <v>24879</v>
      </c>
      <c r="AH4089" t="s">
        <v>24880</v>
      </c>
      <c r="AI4089" t="s">
        <v>24881</v>
      </c>
    </row>
    <row r="4090" spans="2:35" ht="360">
      <c r="B4090" s="1">
        <v>45450</v>
      </c>
      <c r="C4090" s="4">
        <v>45449.427777777775</v>
      </c>
      <c r="D4090" t="s">
        <v>24882</v>
      </c>
      <c r="E4090" t="s">
        <v>24883</v>
      </c>
      <c r="F4090">
        <v>3</v>
      </c>
      <c r="G4090" t="s">
        <v>730</v>
      </c>
      <c r="H4090" t="s">
        <v>39</v>
      </c>
      <c r="I4090" t="s">
        <v>40</v>
      </c>
      <c r="J4090" t="s">
        <v>109</v>
      </c>
      <c r="K4090" t="s">
        <v>42</v>
      </c>
      <c r="L4090" t="s">
        <v>135</v>
      </c>
      <c r="N4090" t="s">
        <v>136</v>
      </c>
      <c r="Q4090">
        <v>28455</v>
      </c>
      <c r="R4090" t="s">
        <v>119</v>
      </c>
      <c r="S4090" t="s">
        <v>24884</v>
      </c>
      <c r="T4090">
        <v>28</v>
      </c>
      <c r="U4090" s="2" t="s">
        <v>8344</v>
      </c>
      <c r="W4090" t="s">
        <v>2680</v>
      </c>
      <c r="X4090">
        <v>831693</v>
      </c>
      <c r="Y4090" t="s">
        <v>7229</v>
      </c>
      <c r="Z4090" t="s">
        <v>4315</v>
      </c>
      <c r="AA4090" s="2" t="s">
        <v>4316</v>
      </c>
      <c r="AB4090" t="s">
        <v>9323</v>
      </c>
      <c r="AG4090" t="s">
        <v>24885</v>
      </c>
      <c r="AH4090" t="s">
        <v>24886</v>
      </c>
      <c r="AI4090" t="s">
        <v>24887</v>
      </c>
    </row>
    <row r="4091" spans="2:35" ht="360">
      <c r="B4091" s="1">
        <v>45450</v>
      </c>
      <c r="C4091" s="4">
        <v>45449.379861111112</v>
      </c>
      <c r="D4091" t="s">
        <v>24888</v>
      </c>
      <c r="E4091" t="s">
        <v>24889</v>
      </c>
      <c r="F4091">
        <v>3</v>
      </c>
      <c r="G4091" t="s">
        <v>730</v>
      </c>
      <c r="H4091" t="s">
        <v>39</v>
      </c>
      <c r="I4091" t="s">
        <v>40</v>
      </c>
      <c r="J4091" t="s">
        <v>109</v>
      </c>
      <c r="K4091" t="s">
        <v>42</v>
      </c>
      <c r="L4091" t="s">
        <v>135</v>
      </c>
      <c r="N4091" t="s">
        <v>136</v>
      </c>
      <c r="Q4091">
        <v>28454</v>
      </c>
      <c r="R4091" t="s">
        <v>119</v>
      </c>
      <c r="S4091" t="s">
        <v>24890</v>
      </c>
      <c r="T4091">
        <v>29</v>
      </c>
      <c r="U4091" s="2" t="s">
        <v>24891</v>
      </c>
      <c r="W4091" t="s">
        <v>2680</v>
      </c>
      <c r="X4091">
        <v>831669</v>
      </c>
      <c r="Y4091" t="s">
        <v>7229</v>
      </c>
      <c r="Z4091" t="s">
        <v>4315</v>
      </c>
      <c r="AA4091" s="2" t="s">
        <v>4316</v>
      </c>
      <c r="AB4091" t="s">
        <v>181</v>
      </c>
      <c r="AG4091" t="s">
        <v>24892</v>
      </c>
      <c r="AH4091" t="s">
        <v>24893</v>
      </c>
      <c r="AI4091" t="s">
        <v>24894</v>
      </c>
    </row>
    <row r="4092" spans="2:35" ht="345">
      <c r="B4092" s="1">
        <v>45450</v>
      </c>
      <c r="C4092" s="4">
        <v>45450.404166666667</v>
      </c>
      <c r="D4092" t="s">
        <v>620</v>
      </c>
      <c r="E4092" t="s">
        <v>24895</v>
      </c>
      <c r="F4092" t="s">
        <v>148</v>
      </c>
      <c r="G4092" t="s">
        <v>447</v>
      </c>
      <c r="H4092" t="s">
        <v>39</v>
      </c>
      <c r="I4092" t="s">
        <v>40</v>
      </c>
      <c r="J4092" t="s">
        <v>109</v>
      </c>
      <c r="K4092" t="s">
        <v>42</v>
      </c>
      <c r="L4092" t="s">
        <v>15532</v>
      </c>
      <c r="N4092" t="s">
        <v>15533</v>
      </c>
      <c r="Q4092">
        <v>28453</v>
      </c>
      <c r="R4092" t="s">
        <v>119</v>
      </c>
      <c r="S4092" t="s">
        <v>24896</v>
      </c>
      <c r="T4092">
        <v>29</v>
      </c>
      <c r="U4092" s="2" t="s">
        <v>24897</v>
      </c>
      <c r="W4092" t="s">
        <v>15535</v>
      </c>
      <c r="X4092">
        <v>831876</v>
      </c>
      <c r="Y4092" t="s">
        <v>15536</v>
      </c>
      <c r="Z4092" s="2" t="s">
        <v>24898</v>
      </c>
      <c r="AA4092" s="2" t="s">
        <v>24899</v>
      </c>
      <c r="AB4092" s="2" t="s">
        <v>24900</v>
      </c>
      <c r="AG4092" t="s">
        <v>24901</v>
      </c>
      <c r="AH4092" t="s">
        <v>24902</v>
      </c>
      <c r="AI4092" t="s">
        <v>24903</v>
      </c>
    </row>
    <row r="4093" spans="2:35" ht="285">
      <c r="B4093" s="1">
        <v>45449</v>
      </c>
      <c r="C4093" s="4">
        <v>45448.49722222222</v>
      </c>
      <c r="D4093" t="s">
        <v>21170</v>
      </c>
      <c r="E4093" t="s">
        <v>24904</v>
      </c>
      <c r="F4093">
        <v>12</v>
      </c>
      <c r="G4093" t="s">
        <v>978</v>
      </c>
      <c r="H4093" t="s">
        <v>295</v>
      </c>
      <c r="I4093" t="s">
        <v>40</v>
      </c>
      <c r="J4093" t="s">
        <v>109</v>
      </c>
      <c r="K4093" t="s">
        <v>42</v>
      </c>
      <c r="L4093" t="s">
        <v>296</v>
      </c>
      <c r="N4093" t="s">
        <v>297</v>
      </c>
      <c r="Q4093">
        <v>28452</v>
      </c>
      <c r="R4093" t="s">
        <v>95</v>
      </c>
      <c r="S4093" t="s">
        <v>21171</v>
      </c>
      <c r="T4093">
        <v>20.8</v>
      </c>
      <c r="U4093" s="2" t="s">
        <v>24905</v>
      </c>
      <c r="W4093" t="s">
        <v>22426</v>
      </c>
      <c r="X4093">
        <v>110003713</v>
      </c>
      <c r="Y4093" t="s">
        <v>24906</v>
      </c>
      <c r="Z4093" s="2" t="s">
        <v>24907</v>
      </c>
      <c r="AA4093" t="s">
        <v>9161</v>
      </c>
      <c r="AB4093" t="s">
        <v>17179</v>
      </c>
      <c r="AG4093" t="s">
        <v>24908</v>
      </c>
      <c r="AH4093" t="s">
        <v>24909</v>
      </c>
      <c r="AI4093" t="s">
        <v>24910</v>
      </c>
    </row>
    <row r="4094" spans="2:35" ht="285">
      <c r="B4094" s="1">
        <v>45449</v>
      </c>
      <c r="C4094" s="4">
        <v>45448.482638888891</v>
      </c>
      <c r="D4094" t="s">
        <v>24911</v>
      </c>
      <c r="E4094" t="s">
        <v>2797</v>
      </c>
      <c r="F4094">
        <v>12</v>
      </c>
      <c r="G4094" t="s">
        <v>978</v>
      </c>
      <c r="H4094" t="s">
        <v>21475</v>
      </c>
      <c r="I4094" t="s">
        <v>40</v>
      </c>
      <c r="J4094" t="s">
        <v>109</v>
      </c>
      <c r="K4094" t="s">
        <v>42</v>
      </c>
      <c r="L4094" t="s">
        <v>296</v>
      </c>
      <c r="N4094" t="s">
        <v>297</v>
      </c>
      <c r="Q4094">
        <v>28451</v>
      </c>
      <c r="R4094" t="s">
        <v>95</v>
      </c>
      <c r="S4094" t="s">
        <v>7505</v>
      </c>
      <c r="T4094">
        <v>25.3</v>
      </c>
      <c r="U4094" s="2" t="s">
        <v>22775</v>
      </c>
      <c r="W4094" t="s">
        <v>23049</v>
      </c>
      <c r="X4094">
        <v>831313</v>
      </c>
      <c r="Y4094" s="2" t="s">
        <v>24912</v>
      </c>
      <c r="Z4094" s="2" t="s">
        <v>24913</v>
      </c>
      <c r="AA4094" t="s">
        <v>9161</v>
      </c>
      <c r="AB4094" t="s">
        <v>24914</v>
      </c>
      <c r="AG4094" t="s">
        <v>24915</v>
      </c>
      <c r="AH4094" t="s">
        <v>10868</v>
      </c>
      <c r="AI4094" t="s">
        <v>24916</v>
      </c>
    </row>
    <row r="4095" spans="2:35" ht="285">
      <c r="B4095" s="1">
        <v>45449</v>
      </c>
      <c r="C4095" s="4">
        <v>45449.453472222223</v>
      </c>
      <c r="D4095" t="s">
        <v>5017</v>
      </c>
      <c r="E4095" t="s">
        <v>24917</v>
      </c>
      <c r="F4095">
        <v>12</v>
      </c>
      <c r="G4095" t="s">
        <v>978</v>
      </c>
      <c r="H4095" t="s">
        <v>1473</v>
      </c>
      <c r="I4095" t="s">
        <v>40</v>
      </c>
      <c r="J4095" s="2" t="s">
        <v>41</v>
      </c>
      <c r="K4095" t="s">
        <v>42</v>
      </c>
      <c r="L4095" t="s">
        <v>296</v>
      </c>
      <c r="N4095" t="s">
        <v>297</v>
      </c>
      <c r="Q4095">
        <v>28450</v>
      </c>
      <c r="R4095" t="s">
        <v>119</v>
      </c>
      <c r="S4095" t="s">
        <v>5019</v>
      </c>
      <c r="T4095">
        <v>26.4</v>
      </c>
      <c r="U4095" s="2" t="s">
        <v>829</v>
      </c>
      <c r="W4095" t="s">
        <v>23049</v>
      </c>
      <c r="X4095">
        <v>838569</v>
      </c>
      <c r="Y4095" t="s">
        <v>24918</v>
      </c>
      <c r="Z4095" s="2" t="s">
        <v>24919</v>
      </c>
      <c r="AA4095" s="2" t="s">
        <v>24920</v>
      </c>
      <c r="AB4095" t="s">
        <v>972</v>
      </c>
      <c r="AG4095" t="s">
        <v>24921</v>
      </c>
      <c r="AH4095" t="s">
        <v>7713</v>
      </c>
      <c r="AI4095" t="s">
        <v>24922</v>
      </c>
    </row>
    <row r="4096" spans="2:35" ht="330">
      <c r="B4096" s="1">
        <v>45449</v>
      </c>
      <c r="C4096" s="4">
        <v>45449.688888888886</v>
      </c>
      <c r="D4096" t="s">
        <v>24517</v>
      </c>
      <c r="E4096" t="s">
        <v>24518</v>
      </c>
      <c r="F4096">
        <v>3</v>
      </c>
      <c r="G4096" t="s">
        <v>134</v>
      </c>
      <c r="H4096" t="s">
        <v>61</v>
      </c>
      <c r="I4096" t="s">
        <v>40</v>
      </c>
      <c r="J4096" s="2" t="s">
        <v>41</v>
      </c>
      <c r="K4096" t="s">
        <v>42</v>
      </c>
      <c r="L4096" t="s">
        <v>63</v>
      </c>
      <c r="N4096" t="s">
        <v>64</v>
      </c>
      <c r="Q4096">
        <v>28449</v>
      </c>
      <c r="R4096" t="s">
        <v>322</v>
      </c>
      <c r="S4096" t="s">
        <v>24525</v>
      </c>
      <c r="T4096">
        <v>25</v>
      </c>
      <c r="U4096" s="2" t="s">
        <v>24526</v>
      </c>
      <c r="W4096" t="s">
        <v>12775</v>
      </c>
      <c r="X4096">
        <v>110012825</v>
      </c>
      <c r="Y4096" t="s">
        <v>2692</v>
      </c>
      <c r="Z4096" t="s">
        <v>10275</v>
      </c>
      <c r="AA4096" s="2" t="s">
        <v>7015</v>
      </c>
      <c r="AB4096" t="s">
        <v>70</v>
      </c>
      <c r="AG4096" t="s">
        <v>24923</v>
      </c>
      <c r="AH4096" t="s">
        <v>11502</v>
      </c>
      <c r="AI4096" t="s">
        <v>24924</v>
      </c>
    </row>
    <row r="4097" spans="2:35" ht="165">
      <c r="B4097" s="1">
        <v>45449</v>
      </c>
      <c r="C4097" s="4">
        <v>45449.706944444442</v>
      </c>
      <c r="D4097" t="s">
        <v>24517</v>
      </c>
      <c r="E4097" t="s">
        <v>24518</v>
      </c>
      <c r="F4097">
        <v>3</v>
      </c>
      <c r="G4097" t="s">
        <v>134</v>
      </c>
      <c r="H4097" t="s">
        <v>61</v>
      </c>
      <c r="I4097" t="s">
        <v>40</v>
      </c>
      <c r="J4097" s="2" t="s">
        <v>609</v>
      </c>
      <c r="K4097" t="s">
        <v>42</v>
      </c>
      <c r="L4097" t="s">
        <v>63</v>
      </c>
      <c r="N4097" t="s">
        <v>64</v>
      </c>
      <c r="Q4097">
        <v>28448</v>
      </c>
      <c r="R4097" t="s">
        <v>45</v>
      </c>
      <c r="S4097" t="s">
        <v>24525</v>
      </c>
      <c r="T4097">
        <v>25</v>
      </c>
      <c r="W4097" t="s">
        <v>23881</v>
      </c>
      <c r="X4097">
        <v>804763</v>
      </c>
      <c r="Y4097" t="s">
        <v>2692</v>
      </c>
      <c r="Z4097" s="2" t="s">
        <v>1727</v>
      </c>
      <c r="AA4097" t="s">
        <v>24925</v>
      </c>
      <c r="AB4097" t="s">
        <v>70</v>
      </c>
      <c r="AG4097" t="s">
        <v>24926</v>
      </c>
      <c r="AH4097" t="s">
        <v>11502</v>
      </c>
      <c r="AI4097" t="s">
        <v>24927</v>
      </c>
    </row>
    <row r="4098" spans="2:35" ht="165">
      <c r="B4098" s="1">
        <v>45449</v>
      </c>
      <c r="C4098" s="4">
        <v>45449.703472222223</v>
      </c>
      <c r="D4098" t="s">
        <v>24517</v>
      </c>
      <c r="E4098" t="s">
        <v>24518</v>
      </c>
      <c r="F4098">
        <v>3</v>
      </c>
      <c r="G4098" t="s">
        <v>134</v>
      </c>
      <c r="H4098" t="s">
        <v>61</v>
      </c>
      <c r="I4098" t="s">
        <v>40</v>
      </c>
      <c r="J4098" s="2" t="s">
        <v>190</v>
      </c>
      <c r="K4098" t="s">
        <v>42</v>
      </c>
      <c r="L4098" t="s">
        <v>63</v>
      </c>
      <c r="N4098" t="s">
        <v>64</v>
      </c>
      <c r="Q4098">
        <v>28447</v>
      </c>
      <c r="R4098" t="s">
        <v>45</v>
      </c>
      <c r="S4098" t="s">
        <v>24525</v>
      </c>
      <c r="T4098">
        <v>25</v>
      </c>
      <c r="W4098" t="s">
        <v>23881</v>
      </c>
      <c r="X4098">
        <v>834445</v>
      </c>
      <c r="Y4098" t="s">
        <v>24928</v>
      </c>
      <c r="Z4098" t="s">
        <v>23614</v>
      </c>
      <c r="AA4098" s="2" t="s">
        <v>1727</v>
      </c>
      <c r="AB4098" t="s">
        <v>70</v>
      </c>
      <c r="AC4098" t="s">
        <v>656</v>
      </c>
      <c r="AG4098" t="s">
        <v>24929</v>
      </c>
      <c r="AH4098" t="s">
        <v>11502</v>
      </c>
      <c r="AI4098" t="s">
        <v>24930</v>
      </c>
    </row>
    <row r="4099" spans="2:35" ht="105">
      <c r="B4099" s="1">
        <v>45449</v>
      </c>
      <c r="C4099" s="4">
        <v>45449.7</v>
      </c>
      <c r="D4099" t="s">
        <v>24842</v>
      </c>
      <c r="E4099" t="s">
        <v>24931</v>
      </c>
      <c r="F4099">
        <v>9</v>
      </c>
      <c r="G4099" t="s">
        <v>1628</v>
      </c>
      <c r="H4099" t="s">
        <v>39</v>
      </c>
      <c r="I4099" t="s">
        <v>40</v>
      </c>
      <c r="J4099" s="2" t="s">
        <v>24932</v>
      </c>
      <c r="K4099" t="s">
        <v>42</v>
      </c>
      <c r="L4099" t="s">
        <v>1257</v>
      </c>
      <c r="N4099" t="s">
        <v>1258</v>
      </c>
      <c r="O4099" t="s">
        <v>2199</v>
      </c>
      <c r="Q4099">
        <v>28446</v>
      </c>
      <c r="R4099" t="s">
        <v>45</v>
      </c>
      <c r="S4099" t="s">
        <v>24845</v>
      </c>
      <c r="T4099">
        <v>24</v>
      </c>
      <c r="U4099" s="2" t="s">
        <v>1509</v>
      </c>
      <c r="V4099" s="1">
        <v>45449</v>
      </c>
      <c r="W4099" t="s">
        <v>24933</v>
      </c>
      <c r="X4099">
        <v>110020394</v>
      </c>
      <c r="Y4099" t="s">
        <v>301</v>
      </c>
      <c r="Z4099" t="s">
        <v>24934</v>
      </c>
      <c r="AA4099" t="s">
        <v>24934</v>
      </c>
      <c r="AB4099" t="s">
        <v>24935</v>
      </c>
      <c r="AC4099" t="s">
        <v>24936</v>
      </c>
      <c r="AD4099" t="s">
        <v>54</v>
      </c>
      <c r="AE4099" t="s">
        <v>54</v>
      </c>
      <c r="AG4099" t="s">
        <v>24937</v>
      </c>
      <c r="AH4099" t="s">
        <v>24849</v>
      </c>
      <c r="AI4099" t="s">
        <v>24938</v>
      </c>
    </row>
    <row r="4100" spans="2:35" ht="345">
      <c r="B4100" s="1">
        <v>45449</v>
      </c>
      <c r="C4100" s="4">
        <v>45449.686111111114</v>
      </c>
      <c r="D4100" t="s">
        <v>24517</v>
      </c>
      <c r="E4100" t="s">
        <v>24518</v>
      </c>
      <c r="F4100">
        <v>3</v>
      </c>
      <c r="G4100" t="s">
        <v>134</v>
      </c>
      <c r="H4100" t="s">
        <v>61</v>
      </c>
      <c r="I4100" t="s">
        <v>40</v>
      </c>
      <c r="J4100" s="2" t="s">
        <v>41</v>
      </c>
      <c r="K4100" t="s">
        <v>42</v>
      </c>
      <c r="L4100" t="s">
        <v>63</v>
      </c>
      <c r="N4100" t="s">
        <v>64</v>
      </c>
      <c r="Q4100">
        <v>28445</v>
      </c>
      <c r="R4100" t="s">
        <v>45</v>
      </c>
      <c r="S4100" t="s">
        <v>24525</v>
      </c>
      <c r="T4100">
        <v>25</v>
      </c>
      <c r="U4100" s="2" t="s">
        <v>24939</v>
      </c>
      <c r="W4100" t="s">
        <v>12775</v>
      </c>
      <c r="X4100">
        <v>110016957</v>
      </c>
      <c r="Y4100" t="s">
        <v>24940</v>
      </c>
      <c r="Z4100" s="2" t="s">
        <v>24941</v>
      </c>
      <c r="AA4100" s="2" t="s">
        <v>1727</v>
      </c>
      <c r="AB4100" t="s">
        <v>70</v>
      </c>
      <c r="AG4100" t="s">
        <v>24942</v>
      </c>
      <c r="AH4100" t="s">
        <v>11502</v>
      </c>
      <c r="AI4100" t="s">
        <v>24943</v>
      </c>
    </row>
    <row r="4101" spans="2:35" ht="255">
      <c r="B4101" s="1">
        <v>45449</v>
      </c>
      <c r="C4101" s="4">
        <v>45449.617361111108</v>
      </c>
      <c r="D4101" t="s">
        <v>24944</v>
      </c>
      <c r="E4101" t="s">
        <v>24945</v>
      </c>
      <c r="F4101" t="s">
        <v>37</v>
      </c>
      <c r="G4101" t="s">
        <v>78</v>
      </c>
      <c r="H4101" t="s">
        <v>295</v>
      </c>
      <c r="I4101" t="s">
        <v>40</v>
      </c>
      <c r="J4101" t="s">
        <v>321</v>
      </c>
      <c r="K4101" t="s">
        <v>42</v>
      </c>
      <c r="L4101" t="s">
        <v>1943</v>
      </c>
      <c r="N4101" t="s">
        <v>1944</v>
      </c>
      <c r="Q4101">
        <v>28444</v>
      </c>
      <c r="R4101" t="s">
        <v>703</v>
      </c>
      <c r="S4101" t="s">
        <v>24946</v>
      </c>
      <c r="T4101">
        <v>25</v>
      </c>
      <c r="W4101" t="s">
        <v>373</v>
      </c>
      <c r="X4101">
        <v>110024552</v>
      </c>
      <c r="Y4101" t="s">
        <v>23623</v>
      </c>
      <c r="Z4101" t="s">
        <v>3764</v>
      </c>
      <c r="AA4101" s="2" t="s">
        <v>24947</v>
      </c>
      <c r="AB4101" t="s">
        <v>88</v>
      </c>
      <c r="AG4101" t="s">
        <v>24948</v>
      </c>
      <c r="AH4101" t="s">
        <v>24949</v>
      </c>
      <c r="AI4101" t="s">
        <v>24950</v>
      </c>
    </row>
    <row r="4102" spans="2:35" ht="300">
      <c r="B4102" s="1">
        <v>45449</v>
      </c>
      <c r="C4102" s="4">
        <v>45449.607638888891</v>
      </c>
      <c r="D4102" t="s">
        <v>24951</v>
      </c>
      <c r="E4102" t="s">
        <v>24952</v>
      </c>
      <c r="F4102" t="s">
        <v>148</v>
      </c>
      <c r="G4102" t="s">
        <v>20126</v>
      </c>
      <c r="H4102" t="s">
        <v>39</v>
      </c>
      <c r="I4102" t="s">
        <v>40</v>
      </c>
      <c r="J4102" t="s">
        <v>109</v>
      </c>
      <c r="K4102" t="s">
        <v>42</v>
      </c>
      <c r="L4102" t="s">
        <v>15532</v>
      </c>
      <c r="N4102" t="s">
        <v>15533</v>
      </c>
      <c r="Q4102">
        <v>28443</v>
      </c>
      <c r="R4102" t="s">
        <v>45</v>
      </c>
      <c r="S4102" t="s">
        <v>22146</v>
      </c>
      <c r="T4102">
        <v>29</v>
      </c>
      <c r="U4102" s="2" t="s">
        <v>24953</v>
      </c>
      <c r="W4102" t="s">
        <v>15535</v>
      </c>
      <c r="X4102">
        <v>805106</v>
      </c>
      <c r="Y4102" t="s">
        <v>24954</v>
      </c>
      <c r="Z4102" s="2" t="s">
        <v>24712</v>
      </c>
      <c r="AA4102" s="2" t="s">
        <v>24955</v>
      </c>
      <c r="AB4102" s="2" t="s">
        <v>24956</v>
      </c>
      <c r="AG4102" t="s">
        <v>24957</v>
      </c>
      <c r="AH4102" t="s">
        <v>24958</v>
      </c>
      <c r="AI4102" t="s">
        <v>24959</v>
      </c>
    </row>
    <row r="4103" spans="2:35" ht="405">
      <c r="B4103" s="1">
        <v>45449</v>
      </c>
      <c r="C4103" s="4">
        <v>45449.606249999997</v>
      </c>
      <c r="D4103" t="s">
        <v>24960</v>
      </c>
      <c r="E4103" t="s">
        <v>24961</v>
      </c>
      <c r="F4103">
        <v>5</v>
      </c>
      <c r="G4103" t="s">
        <v>839</v>
      </c>
      <c r="H4103" t="s">
        <v>39</v>
      </c>
      <c r="I4103" t="s">
        <v>40</v>
      </c>
      <c r="J4103" s="2" t="s">
        <v>62</v>
      </c>
      <c r="K4103" t="s">
        <v>42</v>
      </c>
      <c r="L4103" t="s">
        <v>761</v>
      </c>
      <c r="N4103" t="s">
        <v>762</v>
      </c>
      <c r="Q4103">
        <v>28442</v>
      </c>
      <c r="R4103" t="s">
        <v>45</v>
      </c>
      <c r="S4103" t="s">
        <v>24962</v>
      </c>
      <c r="T4103">
        <v>29</v>
      </c>
      <c r="U4103" s="2" t="s">
        <v>8581</v>
      </c>
      <c r="W4103" t="s">
        <v>765</v>
      </c>
      <c r="X4103">
        <v>808639</v>
      </c>
      <c r="Y4103" t="s">
        <v>24963</v>
      </c>
      <c r="Z4103" s="2" t="s">
        <v>24964</v>
      </c>
      <c r="AA4103" s="2" t="s">
        <v>4477</v>
      </c>
      <c r="AB4103" t="s">
        <v>181</v>
      </c>
      <c r="AG4103" t="s">
        <v>24965</v>
      </c>
      <c r="AH4103" t="s">
        <v>24966</v>
      </c>
      <c r="AI4103" t="s">
        <v>24967</v>
      </c>
    </row>
    <row r="4104" spans="2:35" ht="255">
      <c r="B4104" s="1">
        <v>45449</v>
      </c>
      <c r="C4104" s="4">
        <v>45449.588194444441</v>
      </c>
      <c r="D4104" t="s">
        <v>24968</v>
      </c>
      <c r="E4104" t="s">
        <v>24969</v>
      </c>
      <c r="F4104" t="s">
        <v>148</v>
      </c>
      <c r="G4104" t="s">
        <v>230</v>
      </c>
      <c r="H4104" t="s">
        <v>386</v>
      </c>
      <c r="I4104" t="s">
        <v>40</v>
      </c>
      <c r="J4104" t="s">
        <v>525</v>
      </c>
      <c r="K4104" t="s">
        <v>387</v>
      </c>
      <c r="L4104" t="s">
        <v>448</v>
      </c>
      <c r="N4104" t="s">
        <v>650</v>
      </c>
      <c r="Q4104">
        <v>28441</v>
      </c>
      <c r="R4104" t="s">
        <v>322</v>
      </c>
      <c r="S4104" t="s">
        <v>4894</v>
      </c>
      <c r="T4104">
        <v>27</v>
      </c>
      <c r="W4104" t="s">
        <v>476</v>
      </c>
      <c r="X4104" t="s">
        <v>5622</v>
      </c>
      <c r="Y4104" t="s">
        <v>24970</v>
      </c>
      <c r="Z4104" s="2" t="s">
        <v>24971</v>
      </c>
      <c r="AA4104" t="s">
        <v>768</v>
      </c>
      <c r="AB4104" s="2" t="s">
        <v>24972</v>
      </c>
      <c r="AG4104" t="s">
        <v>24973</v>
      </c>
      <c r="AH4104" t="s">
        <v>20564</v>
      </c>
      <c r="AI4104" t="s">
        <v>24974</v>
      </c>
    </row>
    <row r="4105" spans="2:35" ht="375">
      <c r="B4105" s="1">
        <v>45449</v>
      </c>
      <c r="C4105" s="4">
        <v>45449.553472222222</v>
      </c>
      <c r="D4105" t="s">
        <v>1614</v>
      </c>
      <c r="E4105" t="s">
        <v>1615</v>
      </c>
      <c r="F4105">
        <v>11</v>
      </c>
      <c r="G4105" t="s">
        <v>1205</v>
      </c>
      <c r="H4105" t="s">
        <v>202</v>
      </c>
      <c r="I4105" t="s">
        <v>94</v>
      </c>
      <c r="J4105" s="2" t="s">
        <v>62</v>
      </c>
      <c r="K4105" t="s">
        <v>42</v>
      </c>
      <c r="L4105" t="s">
        <v>204</v>
      </c>
      <c r="N4105" t="s">
        <v>205</v>
      </c>
      <c r="Q4105">
        <v>28440</v>
      </c>
      <c r="R4105" t="s">
        <v>719</v>
      </c>
      <c r="S4105" t="s">
        <v>24975</v>
      </c>
      <c r="T4105">
        <v>28.5</v>
      </c>
      <c r="U4105" s="2" t="s">
        <v>24976</v>
      </c>
      <c r="W4105" t="s">
        <v>23237</v>
      </c>
      <c r="X4105">
        <v>847256</v>
      </c>
      <c r="Y4105" t="s">
        <v>2839</v>
      </c>
      <c r="Z4105" s="2" t="s">
        <v>24977</v>
      </c>
      <c r="AA4105" s="2" t="s">
        <v>24978</v>
      </c>
      <c r="AB4105" s="2" t="s">
        <v>24979</v>
      </c>
      <c r="AG4105" t="s">
        <v>24980</v>
      </c>
      <c r="AH4105" t="s">
        <v>24981</v>
      </c>
      <c r="AI4105" t="s">
        <v>24982</v>
      </c>
    </row>
    <row r="4106" spans="2:35">
      <c r="B4106" s="1">
        <v>45449</v>
      </c>
      <c r="C4106" s="4">
        <v>45449.496527777781</v>
      </c>
      <c r="D4106" t="s">
        <v>24983</v>
      </c>
      <c r="E4106" t="s">
        <v>24984</v>
      </c>
      <c r="F4106">
        <v>8</v>
      </c>
      <c r="G4106" t="s">
        <v>257</v>
      </c>
      <c r="H4106" t="s">
        <v>202</v>
      </c>
      <c r="I4106" t="s">
        <v>94</v>
      </c>
      <c r="J4106" t="s">
        <v>109</v>
      </c>
      <c r="K4106" t="s">
        <v>42</v>
      </c>
      <c r="L4106" t="s">
        <v>259</v>
      </c>
      <c r="N4106" t="s">
        <v>260</v>
      </c>
      <c r="Q4106">
        <v>28439</v>
      </c>
      <c r="R4106" t="s">
        <v>45</v>
      </c>
      <c r="S4106" t="s">
        <v>24985</v>
      </c>
      <c r="T4106">
        <v>26</v>
      </c>
      <c r="V4106" s="1">
        <v>45449</v>
      </c>
      <c r="W4106" t="s">
        <v>423</v>
      </c>
      <c r="X4106">
        <v>120000737</v>
      </c>
      <c r="Y4106" t="s">
        <v>263</v>
      </c>
      <c r="Z4106" t="e">
        <f ca="1">- Preventive Maintenance</f>
        <v>#NAME?</v>
      </c>
      <c r="AA4106" t="e">
        <f ca="1">- Preventive Maintenance (cleaned plunger rod, cartridge bay, icore _xludf.and _xludf.filter)</f>
        <v>#NAME?</v>
      </c>
      <c r="AB4106" t="s">
        <v>181</v>
      </c>
      <c r="AG4106" t="s">
        <v>24986</v>
      </c>
      <c r="AH4106" t="s">
        <v>24987</v>
      </c>
      <c r="AI4106" t="s">
        <v>24988</v>
      </c>
    </row>
    <row r="4107" spans="2:35" ht="409.5">
      <c r="B4107" s="1">
        <v>45449</v>
      </c>
      <c r="C4107" s="4">
        <v>45449.399305555555</v>
      </c>
      <c r="D4107" t="s">
        <v>24989</v>
      </c>
      <c r="E4107" t="s">
        <v>24990</v>
      </c>
      <c r="F4107" t="s">
        <v>148</v>
      </c>
      <c r="G4107" t="s">
        <v>447</v>
      </c>
      <c r="H4107" t="s">
        <v>5523</v>
      </c>
      <c r="I4107" t="s">
        <v>40</v>
      </c>
      <c r="J4107" s="2" t="s">
        <v>609</v>
      </c>
      <c r="K4107" t="s">
        <v>42</v>
      </c>
      <c r="L4107" t="s">
        <v>15532</v>
      </c>
      <c r="N4107" t="s">
        <v>15533</v>
      </c>
      <c r="Q4107">
        <v>28438</v>
      </c>
      <c r="R4107" t="s">
        <v>45</v>
      </c>
      <c r="S4107" t="s">
        <v>1336</v>
      </c>
      <c r="T4107">
        <v>25</v>
      </c>
      <c r="U4107" s="2" t="s">
        <v>24991</v>
      </c>
      <c r="W4107" t="s">
        <v>15535</v>
      </c>
      <c r="X4107">
        <v>808618</v>
      </c>
      <c r="Y4107" t="s">
        <v>24992</v>
      </c>
      <c r="Z4107" s="2" t="s">
        <v>24993</v>
      </c>
      <c r="AA4107" s="2" t="s">
        <v>24994</v>
      </c>
      <c r="AB4107" s="2" t="s">
        <v>24995</v>
      </c>
      <c r="AG4107" t="s">
        <v>24996</v>
      </c>
      <c r="AH4107" t="s">
        <v>24997</v>
      </c>
      <c r="AI4107" t="s">
        <v>24998</v>
      </c>
    </row>
    <row r="4108" spans="2:35" ht="180">
      <c r="B4108" s="1">
        <v>45449</v>
      </c>
      <c r="C4108" s="4">
        <v>45449.368055555555</v>
      </c>
      <c r="D4108" t="s">
        <v>24999</v>
      </c>
      <c r="E4108" t="s">
        <v>25000</v>
      </c>
      <c r="F4108">
        <v>13</v>
      </c>
      <c r="G4108" t="s">
        <v>8524</v>
      </c>
      <c r="H4108" t="s">
        <v>2125</v>
      </c>
      <c r="I4108" t="s">
        <v>40</v>
      </c>
      <c r="J4108" s="2" t="s">
        <v>41</v>
      </c>
      <c r="K4108" t="s">
        <v>42</v>
      </c>
      <c r="L4108" t="s">
        <v>933</v>
      </c>
      <c r="N4108" t="s">
        <v>934</v>
      </c>
      <c r="Q4108">
        <v>28437</v>
      </c>
      <c r="R4108" t="s">
        <v>45</v>
      </c>
      <c r="S4108" t="s">
        <v>25001</v>
      </c>
      <c r="T4108">
        <v>30</v>
      </c>
      <c r="U4108" s="2" t="s">
        <v>4845</v>
      </c>
      <c r="W4108" t="s">
        <v>24700</v>
      </c>
      <c r="X4108">
        <v>835098</v>
      </c>
      <c r="Y4108" t="s">
        <v>25002</v>
      </c>
      <c r="Z4108" s="2" t="s">
        <v>25003</v>
      </c>
      <c r="AA4108" s="2" t="s">
        <v>25004</v>
      </c>
      <c r="AB4108" t="s">
        <v>2131</v>
      </c>
      <c r="AG4108" t="s">
        <v>25005</v>
      </c>
      <c r="AH4108" t="s">
        <v>25006</v>
      </c>
      <c r="AI4108" t="s">
        <v>25007</v>
      </c>
    </row>
    <row r="4109" spans="2:35">
      <c r="B4109" s="1">
        <v>45449</v>
      </c>
      <c r="C4109" s="4">
        <v>45449.357638888891</v>
      </c>
      <c r="D4109" t="s">
        <v>1343</v>
      </c>
      <c r="E4109" t="s">
        <v>25008</v>
      </c>
      <c r="F4109">
        <v>8</v>
      </c>
      <c r="G4109" t="s">
        <v>342</v>
      </c>
      <c r="H4109" t="s">
        <v>39</v>
      </c>
      <c r="I4109" t="s">
        <v>94</v>
      </c>
      <c r="J4109" t="s">
        <v>109</v>
      </c>
      <c r="K4109" t="s">
        <v>42</v>
      </c>
      <c r="L4109" t="s">
        <v>259</v>
      </c>
      <c r="N4109" t="s">
        <v>260</v>
      </c>
      <c r="Q4109">
        <v>28436</v>
      </c>
      <c r="R4109" t="s">
        <v>45</v>
      </c>
      <c r="S4109" t="s">
        <v>1345</v>
      </c>
      <c r="T4109">
        <v>27</v>
      </c>
      <c r="V4109" s="1">
        <v>45446</v>
      </c>
      <c r="W4109" t="s">
        <v>423</v>
      </c>
      <c r="X4109">
        <v>110018056</v>
      </c>
      <c r="Y4109" t="s">
        <v>263</v>
      </c>
      <c r="Z4109" t="e">
        <f ca="1">- Preventive Maintenance</f>
        <v>#NAME?</v>
      </c>
      <c r="AA4109" t="e">
        <f ca="1">- performed Preventive Maintenance (cleaned plunger rod, cartridge bay, icore _xludf.and _xludf.filter)
- Generate IQR _xludf.and system _xludf.Log</f>
        <v>#NAME?</v>
      </c>
      <c r="AB4109" t="s">
        <v>181</v>
      </c>
      <c r="AG4109" t="s">
        <v>25009</v>
      </c>
      <c r="AH4109" t="s">
        <v>25010</v>
      </c>
      <c r="AI4109" t="s">
        <v>25011</v>
      </c>
    </row>
    <row r="4110" spans="2:35" ht="225">
      <c r="B4110" s="1">
        <v>45448</v>
      </c>
      <c r="C4110" s="4">
        <v>45448.62222222222</v>
      </c>
      <c r="D4110" t="s">
        <v>3067</v>
      </c>
      <c r="E4110" t="s">
        <v>23670</v>
      </c>
      <c r="F4110" t="s">
        <v>148</v>
      </c>
      <c r="G4110" t="s">
        <v>447</v>
      </c>
      <c r="H4110" t="s">
        <v>39</v>
      </c>
      <c r="I4110" t="s">
        <v>40</v>
      </c>
      <c r="J4110" t="s">
        <v>525</v>
      </c>
      <c r="K4110" t="s">
        <v>42</v>
      </c>
      <c r="L4110" t="s">
        <v>448</v>
      </c>
      <c r="N4110" t="s">
        <v>650</v>
      </c>
      <c r="Q4110">
        <v>28435</v>
      </c>
      <c r="R4110" t="s">
        <v>45</v>
      </c>
      <c r="S4110" t="s">
        <v>3069</v>
      </c>
      <c r="T4110">
        <v>29</v>
      </c>
      <c r="U4110" s="2" t="s">
        <v>2420</v>
      </c>
      <c r="W4110" t="s">
        <v>7319</v>
      </c>
      <c r="X4110">
        <v>803089</v>
      </c>
      <c r="Y4110" t="s">
        <v>25012</v>
      </c>
      <c r="Z4110" s="2" t="s">
        <v>25013</v>
      </c>
      <c r="AA4110" t="s">
        <v>25014</v>
      </c>
      <c r="AB4110" s="2" t="s">
        <v>25015</v>
      </c>
      <c r="AC4110" t="s">
        <v>25016</v>
      </c>
      <c r="AG4110" t="s">
        <v>25017</v>
      </c>
      <c r="AH4110" t="s">
        <v>3074</v>
      </c>
      <c r="AI4110" t="s">
        <v>25018</v>
      </c>
    </row>
    <row r="4111" spans="2:35" ht="135">
      <c r="B4111" s="1">
        <v>45448</v>
      </c>
      <c r="C4111" s="4">
        <v>45448.665277777778</v>
      </c>
      <c r="D4111" t="s">
        <v>5793</v>
      </c>
      <c r="E4111" t="s">
        <v>12358</v>
      </c>
      <c r="F4111">
        <v>5</v>
      </c>
      <c r="G4111" t="s">
        <v>5795</v>
      </c>
      <c r="H4111" t="s">
        <v>39</v>
      </c>
      <c r="I4111" t="s">
        <v>40</v>
      </c>
      <c r="J4111" t="s">
        <v>525</v>
      </c>
      <c r="K4111" t="s">
        <v>42</v>
      </c>
      <c r="L4111" t="s">
        <v>761</v>
      </c>
      <c r="N4111" t="s">
        <v>762</v>
      </c>
      <c r="Q4111">
        <v>28434</v>
      </c>
      <c r="R4111" t="s">
        <v>119</v>
      </c>
      <c r="S4111" t="s">
        <v>5796</v>
      </c>
      <c r="T4111">
        <v>27</v>
      </c>
      <c r="U4111" s="2" t="s">
        <v>25019</v>
      </c>
      <c r="W4111" t="s">
        <v>765</v>
      </c>
      <c r="X4111">
        <v>838576</v>
      </c>
      <c r="Y4111" t="s">
        <v>25020</v>
      </c>
      <c r="Z4111" s="2" t="s">
        <v>25021</v>
      </c>
      <c r="AA4111" t="s">
        <v>1935</v>
      </c>
      <c r="AB4111" t="s">
        <v>70</v>
      </c>
      <c r="AG4111" t="s">
        <v>25022</v>
      </c>
      <c r="AH4111" t="s">
        <v>5805</v>
      </c>
      <c r="AI4111" t="s">
        <v>25023</v>
      </c>
    </row>
    <row r="4112" spans="2:35" ht="375">
      <c r="B4112" s="1">
        <v>45448</v>
      </c>
      <c r="C4112" s="4">
        <v>45448.649305555555</v>
      </c>
      <c r="D4112" t="s">
        <v>22836</v>
      </c>
      <c r="E4112" t="s">
        <v>22837</v>
      </c>
      <c r="F4112" t="s">
        <v>148</v>
      </c>
      <c r="G4112" t="s">
        <v>447</v>
      </c>
      <c r="H4112" t="s">
        <v>39</v>
      </c>
      <c r="I4112" t="s">
        <v>40</v>
      </c>
      <c r="J4112" s="2" t="s">
        <v>62</v>
      </c>
      <c r="K4112" t="s">
        <v>42</v>
      </c>
      <c r="L4112" t="s">
        <v>15532</v>
      </c>
      <c r="N4112" t="s">
        <v>15533</v>
      </c>
      <c r="Q4112">
        <v>28433</v>
      </c>
      <c r="R4112" t="s">
        <v>45</v>
      </c>
      <c r="S4112" t="s">
        <v>22838</v>
      </c>
      <c r="T4112">
        <v>25</v>
      </c>
      <c r="U4112" s="2" t="s">
        <v>25024</v>
      </c>
      <c r="V4112" s="1">
        <v>45412</v>
      </c>
      <c r="W4112" t="s">
        <v>15535</v>
      </c>
      <c r="X4112">
        <v>803088</v>
      </c>
      <c r="Y4112" t="s">
        <v>15536</v>
      </c>
      <c r="Z4112" s="2" t="s">
        <v>23705</v>
      </c>
      <c r="AA4112" s="2" t="s">
        <v>25025</v>
      </c>
      <c r="AB4112" s="2" t="s">
        <v>25026</v>
      </c>
      <c r="AD4112" t="s">
        <v>21244</v>
      </c>
      <c r="AE4112" t="s">
        <v>25027</v>
      </c>
      <c r="AG4112" t="s">
        <v>25028</v>
      </c>
      <c r="AH4112" t="s">
        <v>22844</v>
      </c>
      <c r="AI4112" t="s">
        <v>25029</v>
      </c>
    </row>
    <row r="4113" spans="2:35" ht="300">
      <c r="B4113" s="1">
        <v>45448</v>
      </c>
      <c r="C4113" s="4">
        <v>45447.571527777778</v>
      </c>
      <c r="D4113" t="s">
        <v>25030</v>
      </c>
      <c r="E4113" t="s">
        <v>22336</v>
      </c>
      <c r="F4113" t="s">
        <v>148</v>
      </c>
      <c r="G4113" t="s">
        <v>20126</v>
      </c>
      <c r="H4113" t="s">
        <v>39</v>
      </c>
      <c r="I4113" t="s">
        <v>40</v>
      </c>
      <c r="J4113" t="s">
        <v>996</v>
      </c>
      <c r="K4113" t="s">
        <v>42</v>
      </c>
      <c r="L4113" t="s">
        <v>15532</v>
      </c>
      <c r="N4113" t="s">
        <v>15533</v>
      </c>
      <c r="Q4113">
        <v>28432</v>
      </c>
      <c r="R4113" t="s">
        <v>119</v>
      </c>
      <c r="S4113" t="s">
        <v>25031</v>
      </c>
      <c r="T4113">
        <v>25</v>
      </c>
      <c r="U4113" s="2" t="s">
        <v>25032</v>
      </c>
      <c r="V4113" s="1">
        <v>45436</v>
      </c>
      <c r="W4113" t="s">
        <v>15535</v>
      </c>
      <c r="X4113">
        <v>831700</v>
      </c>
      <c r="Y4113" t="s">
        <v>21420</v>
      </c>
      <c r="Z4113" s="2" t="s">
        <v>23705</v>
      </c>
      <c r="AA4113" s="2" t="s">
        <v>25033</v>
      </c>
      <c r="AB4113" s="2" t="s">
        <v>21738</v>
      </c>
      <c r="AD4113" t="s">
        <v>948</v>
      </c>
      <c r="AE4113" t="s">
        <v>25034</v>
      </c>
      <c r="AG4113" t="s">
        <v>25035</v>
      </c>
      <c r="AH4113" t="s">
        <v>25036</v>
      </c>
      <c r="AI4113" t="s">
        <v>25037</v>
      </c>
    </row>
    <row r="4114" spans="2:35" ht="105">
      <c r="B4114" s="1">
        <v>45448</v>
      </c>
      <c r="C4114" s="4">
        <v>45448.607638888891</v>
      </c>
      <c r="D4114" t="s">
        <v>8522</v>
      </c>
      <c r="E4114" t="s">
        <v>8523</v>
      </c>
      <c r="F4114">
        <v>13</v>
      </c>
      <c r="G4114" t="s">
        <v>8524</v>
      </c>
      <c r="H4114" t="s">
        <v>2125</v>
      </c>
      <c r="I4114" t="s">
        <v>40</v>
      </c>
      <c r="J4114" t="s">
        <v>109</v>
      </c>
      <c r="K4114" t="s">
        <v>42</v>
      </c>
      <c r="L4114" t="s">
        <v>933</v>
      </c>
      <c r="N4114" t="s">
        <v>934</v>
      </c>
      <c r="Q4114">
        <v>28431</v>
      </c>
      <c r="R4114" t="s">
        <v>119</v>
      </c>
      <c r="S4114" t="s">
        <v>25038</v>
      </c>
      <c r="T4114">
        <v>30</v>
      </c>
      <c r="U4114" s="2" t="s">
        <v>17386</v>
      </c>
      <c r="W4114" t="s">
        <v>10610</v>
      </c>
      <c r="X4114">
        <v>838439</v>
      </c>
      <c r="Y4114" t="s">
        <v>301</v>
      </c>
      <c r="Z4114" t="s">
        <v>301</v>
      </c>
      <c r="AA4114" t="s">
        <v>3128</v>
      </c>
      <c r="AB4114" t="s">
        <v>2131</v>
      </c>
      <c r="AG4114" t="s">
        <v>25039</v>
      </c>
      <c r="AH4114" t="s">
        <v>20593</v>
      </c>
      <c r="AI4114" t="s">
        <v>25040</v>
      </c>
    </row>
    <row r="4115" spans="2:35" ht="409.5">
      <c r="B4115" s="1">
        <v>45448</v>
      </c>
      <c r="C4115" s="4">
        <v>45448.59375</v>
      </c>
      <c r="D4115" t="s">
        <v>25041</v>
      </c>
      <c r="E4115" t="s">
        <v>25042</v>
      </c>
      <c r="F4115">
        <v>5</v>
      </c>
      <c r="G4115" t="s">
        <v>5795</v>
      </c>
      <c r="H4115" t="s">
        <v>6955</v>
      </c>
      <c r="I4115" t="s">
        <v>40</v>
      </c>
      <c r="J4115" s="2" t="s">
        <v>17874</v>
      </c>
      <c r="K4115" t="s">
        <v>42</v>
      </c>
      <c r="L4115" t="s">
        <v>761</v>
      </c>
      <c r="N4115" t="s">
        <v>762</v>
      </c>
      <c r="Q4115">
        <v>28430</v>
      </c>
      <c r="R4115" t="s">
        <v>45</v>
      </c>
      <c r="S4115" t="s">
        <v>25043</v>
      </c>
      <c r="T4115">
        <v>28</v>
      </c>
      <c r="W4115" t="s">
        <v>765</v>
      </c>
      <c r="X4115">
        <v>807600</v>
      </c>
      <c r="Y4115" s="2" t="s">
        <v>25044</v>
      </c>
      <c r="Z4115" s="2" t="s">
        <v>25045</v>
      </c>
      <c r="AA4115" s="2" t="s">
        <v>25046</v>
      </c>
      <c r="AB4115" t="s">
        <v>181</v>
      </c>
      <c r="AC4115" t="s">
        <v>25047</v>
      </c>
      <c r="AG4115" t="s">
        <v>25048</v>
      </c>
      <c r="AH4115" t="s">
        <v>25049</v>
      </c>
      <c r="AI4115" t="s">
        <v>25050</v>
      </c>
    </row>
    <row r="4116" spans="2:35" ht="105">
      <c r="B4116" s="1">
        <v>45448</v>
      </c>
      <c r="C4116" s="4">
        <v>45448.543749999997</v>
      </c>
      <c r="D4116" t="s">
        <v>25051</v>
      </c>
      <c r="E4116" t="s">
        <v>25052</v>
      </c>
      <c r="F4116">
        <v>8</v>
      </c>
      <c r="G4116" t="s">
        <v>342</v>
      </c>
      <c r="H4116" t="s">
        <v>39</v>
      </c>
      <c r="I4116" t="s">
        <v>40</v>
      </c>
      <c r="J4116" s="2" t="s">
        <v>14104</v>
      </c>
      <c r="K4116" t="s">
        <v>42</v>
      </c>
      <c r="L4116" t="s">
        <v>343</v>
      </c>
      <c r="N4116" t="s">
        <v>344</v>
      </c>
      <c r="Q4116">
        <v>28429</v>
      </c>
      <c r="R4116" t="s">
        <v>45</v>
      </c>
      <c r="S4116" t="s">
        <v>25053</v>
      </c>
      <c r="T4116">
        <v>15</v>
      </c>
      <c r="U4116" s="2" t="s">
        <v>25054</v>
      </c>
      <c r="W4116" t="s">
        <v>6105</v>
      </c>
      <c r="X4116">
        <v>815267</v>
      </c>
      <c r="Y4116" t="s">
        <v>301</v>
      </c>
      <c r="Z4116" t="s">
        <v>301</v>
      </c>
      <c r="AA4116" t="e">
        <f ca="1">-Check up GeneXpert workstation Setup
-Change system Configuration
-Check GeneXpert Connections</f>
        <v>#NAME?</v>
      </c>
      <c r="AB4116" t="s">
        <v>9638</v>
      </c>
      <c r="AC4116" t="s">
        <v>25055</v>
      </c>
      <c r="AG4116" t="s">
        <v>25056</v>
      </c>
      <c r="AH4116" t="s">
        <v>25057</v>
      </c>
      <c r="AI4116" t="s">
        <v>25058</v>
      </c>
    </row>
    <row r="4117" spans="2:35" ht="390">
      <c r="B4117" s="1">
        <v>45448</v>
      </c>
      <c r="C4117" s="4">
        <v>45448.512499999997</v>
      </c>
      <c r="D4117" t="s">
        <v>25059</v>
      </c>
      <c r="E4117" t="s">
        <v>25060</v>
      </c>
      <c r="F4117">
        <v>11</v>
      </c>
      <c r="G4117" t="s">
        <v>1205</v>
      </c>
      <c r="H4117" t="s">
        <v>202</v>
      </c>
      <c r="I4117" t="s">
        <v>94</v>
      </c>
      <c r="J4117" s="2" t="s">
        <v>62</v>
      </c>
      <c r="K4117" t="s">
        <v>42</v>
      </c>
      <c r="L4117" t="s">
        <v>204</v>
      </c>
      <c r="N4117" t="s">
        <v>205</v>
      </c>
      <c r="Q4117">
        <v>28428</v>
      </c>
      <c r="R4117" t="s">
        <v>45</v>
      </c>
      <c r="S4117" t="s">
        <v>25061</v>
      </c>
      <c r="T4117">
        <v>26.4</v>
      </c>
      <c r="U4117" s="2" t="s">
        <v>25062</v>
      </c>
      <c r="W4117" t="s">
        <v>23237</v>
      </c>
      <c r="X4117">
        <v>838538</v>
      </c>
      <c r="Y4117" t="s">
        <v>1618</v>
      </c>
      <c r="Z4117" s="2" t="s">
        <v>25063</v>
      </c>
      <c r="AA4117" t="s">
        <v>1620</v>
      </c>
      <c r="AB4117" s="2" t="s">
        <v>25064</v>
      </c>
      <c r="AG4117" t="s">
        <v>25065</v>
      </c>
      <c r="AH4117" t="s">
        <v>25066</v>
      </c>
      <c r="AI4117" t="s">
        <v>25067</v>
      </c>
    </row>
    <row r="4118" spans="2:35" ht="360">
      <c r="B4118" s="1">
        <v>45448</v>
      </c>
      <c r="C4118" s="4">
        <v>45448.475694444445</v>
      </c>
      <c r="D4118" t="s">
        <v>25068</v>
      </c>
      <c r="E4118" t="s">
        <v>25069</v>
      </c>
      <c r="F4118">
        <v>3</v>
      </c>
      <c r="G4118" t="s">
        <v>730</v>
      </c>
      <c r="H4118" t="s">
        <v>39</v>
      </c>
      <c r="I4118" t="s">
        <v>40</v>
      </c>
      <c r="J4118" t="s">
        <v>109</v>
      </c>
      <c r="K4118" t="s">
        <v>42</v>
      </c>
      <c r="L4118" t="s">
        <v>135</v>
      </c>
      <c r="N4118" t="s">
        <v>136</v>
      </c>
      <c r="Q4118">
        <v>28427</v>
      </c>
      <c r="R4118" t="s">
        <v>119</v>
      </c>
      <c r="S4118" t="s">
        <v>25070</v>
      </c>
      <c r="T4118">
        <v>34</v>
      </c>
      <c r="U4118" s="2" t="s">
        <v>25071</v>
      </c>
      <c r="W4118" t="s">
        <v>2680</v>
      </c>
      <c r="X4118">
        <v>831591</v>
      </c>
      <c r="Y4118" t="s">
        <v>7229</v>
      </c>
      <c r="Z4118" t="s">
        <v>4315</v>
      </c>
      <c r="AA4118" s="2" t="s">
        <v>4316</v>
      </c>
      <c r="AB4118" t="s">
        <v>181</v>
      </c>
      <c r="AG4118" t="s">
        <v>25072</v>
      </c>
      <c r="AH4118" t="s">
        <v>25073</v>
      </c>
      <c r="AI4118" t="s">
        <v>25074</v>
      </c>
    </row>
    <row r="4119" spans="2:35" ht="330">
      <c r="B4119" s="1">
        <v>45448</v>
      </c>
      <c r="C4119" s="4">
        <v>45448.46597222222</v>
      </c>
      <c r="D4119" t="s">
        <v>11484</v>
      </c>
      <c r="E4119" t="s">
        <v>19693</v>
      </c>
      <c r="F4119">
        <v>9</v>
      </c>
      <c r="G4119" t="s">
        <v>2197</v>
      </c>
      <c r="H4119" t="s">
        <v>39</v>
      </c>
      <c r="I4119" t="s">
        <v>94</v>
      </c>
      <c r="J4119" s="2" t="s">
        <v>17375</v>
      </c>
      <c r="K4119" t="s">
        <v>42</v>
      </c>
      <c r="L4119" t="s">
        <v>1257</v>
      </c>
      <c r="N4119" t="s">
        <v>1258</v>
      </c>
      <c r="O4119" t="s">
        <v>4902</v>
      </c>
      <c r="Q4119">
        <v>28426</v>
      </c>
      <c r="R4119" t="s">
        <v>95</v>
      </c>
      <c r="S4119" t="s">
        <v>25075</v>
      </c>
      <c r="T4119">
        <v>24</v>
      </c>
      <c r="U4119" s="2" t="s">
        <v>25076</v>
      </c>
      <c r="V4119" s="1">
        <v>45435</v>
      </c>
      <c r="W4119" t="s">
        <v>17323</v>
      </c>
      <c r="X4119">
        <v>834128</v>
      </c>
      <c r="Y4119" t="s">
        <v>25077</v>
      </c>
      <c r="Z4119" t="s">
        <v>25078</v>
      </c>
      <c r="AA4119" t="s">
        <v>25079</v>
      </c>
      <c r="AB4119" t="s">
        <v>25080</v>
      </c>
      <c r="AC4119" t="s">
        <v>301</v>
      </c>
      <c r="AD4119" t="s">
        <v>19700</v>
      </c>
      <c r="AE4119">
        <v>98076</v>
      </c>
      <c r="AG4119" t="s">
        <v>25081</v>
      </c>
      <c r="AH4119" t="s">
        <v>25082</v>
      </c>
      <c r="AI4119" t="s">
        <v>25083</v>
      </c>
    </row>
    <row r="4120" spans="2:35">
      <c r="B4120" s="1">
        <v>45448</v>
      </c>
      <c r="C4120" s="4">
        <v>45448.456250000003</v>
      </c>
      <c r="D4120" t="s">
        <v>4632</v>
      </c>
      <c r="E4120" t="s">
        <v>25084</v>
      </c>
      <c r="F4120" t="s">
        <v>148</v>
      </c>
      <c r="G4120" t="s">
        <v>406</v>
      </c>
      <c r="H4120" t="s">
        <v>513</v>
      </c>
      <c r="I4120" t="s">
        <v>40</v>
      </c>
      <c r="J4120" t="s">
        <v>321</v>
      </c>
      <c r="K4120" t="s">
        <v>387</v>
      </c>
      <c r="L4120" t="s">
        <v>80</v>
      </c>
      <c r="N4120" t="s">
        <v>81</v>
      </c>
      <c r="Q4120">
        <v>28425</v>
      </c>
      <c r="R4120" t="s">
        <v>95</v>
      </c>
      <c r="S4120" t="s">
        <v>8217</v>
      </c>
      <c r="T4120">
        <v>28</v>
      </c>
      <c r="V4120" s="1">
        <v>45435</v>
      </c>
      <c r="W4120" t="s">
        <v>390</v>
      </c>
      <c r="X4120" t="s">
        <v>5702</v>
      </c>
      <c r="Y4120" t="s">
        <v>25085</v>
      </c>
      <c r="Z4120" t="s">
        <v>25086</v>
      </c>
      <c r="AA4120" t="s">
        <v>24244</v>
      </c>
      <c r="AB4120" t="s">
        <v>2102</v>
      </c>
      <c r="AC4120" t="s">
        <v>54</v>
      </c>
      <c r="AD4120" t="s">
        <v>301</v>
      </c>
      <c r="AE4120" t="s">
        <v>25087</v>
      </c>
      <c r="AG4120" t="s">
        <v>25088</v>
      </c>
      <c r="AH4120" t="s">
        <v>8220</v>
      </c>
      <c r="AI4120" t="s">
        <v>25089</v>
      </c>
    </row>
    <row r="4121" spans="2:35" ht="360">
      <c r="B4121" s="1">
        <v>45448</v>
      </c>
      <c r="C4121" s="4">
        <v>45448.43472222222</v>
      </c>
      <c r="D4121" t="s">
        <v>23828</v>
      </c>
      <c r="E4121" t="s">
        <v>25090</v>
      </c>
      <c r="F4121">
        <v>3</v>
      </c>
      <c r="G4121" t="s">
        <v>730</v>
      </c>
      <c r="H4121" t="s">
        <v>39</v>
      </c>
      <c r="I4121" t="s">
        <v>40</v>
      </c>
      <c r="J4121" t="s">
        <v>109</v>
      </c>
      <c r="K4121" t="s">
        <v>42</v>
      </c>
      <c r="L4121" t="s">
        <v>135</v>
      </c>
      <c r="N4121" t="s">
        <v>136</v>
      </c>
      <c r="Q4121">
        <v>28424</v>
      </c>
      <c r="R4121" t="s">
        <v>119</v>
      </c>
      <c r="S4121" t="s">
        <v>23830</v>
      </c>
      <c r="T4121">
        <v>29</v>
      </c>
      <c r="U4121" s="2" t="s">
        <v>19629</v>
      </c>
      <c r="W4121" t="s">
        <v>2680</v>
      </c>
      <c r="X4121">
        <v>831697</v>
      </c>
      <c r="Y4121" t="s">
        <v>7229</v>
      </c>
      <c r="Z4121" t="s">
        <v>4315</v>
      </c>
      <c r="AA4121" s="2" t="s">
        <v>4316</v>
      </c>
      <c r="AB4121" t="s">
        <v>181</v>
      </c>
      <c r="AG4121" t="s">
        <v>25091</v>
      </c>
      <c r="AH4121" t="s">
        <v>25092</v>
      </c>
      <c r="AI4121" t="s">
        <v>25093</v>
      </c>
    </row>
    <row r="4122" spans="2:35" ht="105">
      <c r="B4122" s="1">
        <v>45448</v>
      </c>
      <c r="C4122" s="4">
        <v>45440.481944444444</v>
      </c>
      <c r="D4122" t="s">
        <v>22725</v>
      </c>
      <c r="E4122" t="s">
        <v>25094</v>
      </c>
      <c r="F4122">
        <v>1</v>
      </c>
      <c r="G4122" t="s">
        <v>1046</v>
      </c>
      <c r="H4122" t="s">
        <v>1047</v>
      </c>
      <c r="I4122" t="s">
        <v>40</v>
      </c>
      <c r="J4122" s="2" t="s">
        <v>62</v>
      </c>
      <c r="K4122" t="s">
        <v>42</v>
      </c>
      <c r="L4122" t="s">
        <v>1048</v>
      </c>
      <c r="N4122" t="s">
        <v>1049</v>
      </c>
      <c r="Q4122">
        <v>28423</v>
      </c>
      <c r="R4122" t="s">
        <v>45</v>
      </c>
      <c r="S4122" t="s">
        <v>25095</v>
      </c>
      <c r="T4122">
        <v>28</v>
      </c>
      <c r="U4122" s="2" t="s">
        <v>2160</v>
      </c>
      <c r="V4122" s="1">
        <v>45440</v>
      </c>
      <c r="W4122" t="s">
        <v>1051</v>
      </c>
      <c r="X4122">
        <v>815394</v>
      </c>
      <c r="Y4122" t="s">
        <v>19602</v>
      </c>
      <c r="Z4122" t="e">
        <f ca="1">- cleaned cartridge Bays, plunger Rods _xludf.and I-CORE
- performed XpertCheck
- generated reports</f>
        <v>#NAME?</v>
      </c>
      <c r="AA4122" t="s">
        <v>20523</v>
      </c>
      <c r="AB4122" t="e">
        <f ca="1">- Unit is Partially operational
- module B4(696024) Failed XpertCheck
- modules B1,B2 _xludf.and B3 passed XpertCheck</f>
        <v>#NAME?</v>
      </c>
      <c r="AD4122" t="s">
        <v>1958</v>
      </c>
      <c r="AE4122" t="s">
        <v>103</v>
      </c>
      <c r="AG4122" t="s">
        <v>25096</v>
      </c>
      <c r="AH4122" t="s">
        <v>22732</v>
      </c>
      <c r="AI4122" t="s">
        <v>25097</v>
      </c>
    </row>
    <row r="4123" spans="2:35" ht="345">
      <c r="B4123" s="1">
        <v>45448</v>
      </c>
      <c r="C4123" s="4">
        <v>45440.663194444445</v>
      </c>
      <c r="D4123" t="s">
        <v>25098</v>
      </c>
      <c r="E4123" t="s">
        <v>25099</v>
      </c>
      <c r="F4123">
        <v>8</v>
      </c>
      <c r="G4123" t="s">
        <v>1663</v>
      </c>
      <c r="H4123" t="s">
        <v>202</v>
      </c>
      <c r="I4123" t="s">
        <v>94</v>
      </c>
      <c r="J4123" s="2" t="s">
        <v>41</v>
      </c>
      <c r="K4123" t="s">
        <v>42</v>
      </c>
      <c r="L4123" t="s">
        <v>259</v>
      </c>
      <c r="N4123" t="s">
        <v>260</v>
      </c>
      <c r="Q4123">
        <v>28422</v>
      </c>
      <c r="R4123" t="s">
        <v>45</v>
      </c>
      <c r="S4123" t="s">
        <v>25100</v>
      </c>
      <c r="T4123">
        <v>29</v>
      </c>
      <c r="V4123" s="1">
        <v>45440</v>
      </c>
      <c r="W4123" t="s">
        <v>23118</v>
      </c>
      <c r="X4123">
        <v>834822</v>
      </c>
      <c r="Y4123" t="s">
        <v>25101</v>
      </c>
      <c r="Z4123" t="e">
        <f ca="1">- module Replacement
- Preventive Maintenance</f>
        <v>#NAME?</v>
      </c>
      <c r="AA4123" s="2" t="s">
        <v>25102</v>
      </c>
      <c r="AB4123" t="s">
        <v>181</v>
      </c>
      <c r="AD4123" t="s">
        <v>25103</v>
      </c>
      <c r="AE4123" t="s">
        <v>45</v>
      </c>
      <c r="AG4123" t="s">
        <v>25104</v>
      </c>
      <c r="AH4123" t="s">
        <v>25105</v>
      </c>
      <c r="AI4123" t="s">
        <v>25106</v>
      </c>
    </row>
    <row r="4124" spans="2:35" ht="285">
      <c r="B4124" s="1">
        <v>45447</v>
      </c>
      <c r="C4124" s="4">
        <v>45447.491666666669</v>
      </c>
      <c r="D4124" t="s">
        <v>3165</v>
      </c>
      <c r="E4124" t="s">
        <v>966</v>
      </c>
      <c r="F4124">
        <v>12</v>
      </c>
      <c r="G4124" t="s">
        <v>294</v>
      </c>
      <c r="H4124" t="s">
        <v>1473</v>
      </c>
      <c r="I4124" t="s">
        <v>94</v>
      </c>
      <c r="J4124" s="2" t="s">
        <v>62</v>
      </c>
      <c r="K4124" t="s">
        <v>42</v>
      </c>
      <c r="L4124" t="s">
        <v>296</v>
      </c>
      <c r="N4124" t="s">
        <v>297</v>
      </c>
      <c r="Q4124">
        <v>28421</v>
      </c>
      <c r="R4124" t="s">
        <v>45</v>
      </c>
      <c r="S4124" t="s">
        <v>3168</v>
      </c>
      <c r="T4124">
        <v>28.3</v>
      </c>
      <c r="U4124" s="2" t="s">
        <v>25107</v>
      </c>
      <c r="V4124" s="1">
        <v>45447</v>
      </c>
      <c r="W4124" t="s">
        <v>23049</v>
      </c>
      <c r="X4124">
        <v>807405</v>
      </c>
      <c r="Y4124" t="s">
        <v>25108</v>
      </c>
      <c r="Z4124" s="2" t="s">
        <v>25109</v>
      </c>
      <c r="AA4124" s="2" t="s">
        <v>24653</v>
      </c>
      <c r="AB4124" t="s">
        <v>972</v>
      </c>
      <c r="AC4124" t="s">
        <v>25110</v>
      </c>
      <c r="AD4124" t="s">
        <v>18451</v>
      </c>
      <c r="AE4124" t="s">
        <v>25111</v>
      </c>
      <c r="AG4124" t="s">
        <v>25112</v>
      </c>
      <c r="AH4124" t="s">
        <v>25113</v>
      </c>
      <c r="AI4124" t="s">
        <v>25114</v>
      </c>
    </row>
    <row r="4125" spans="2:35" ht="270">
      <c r="B4125" s="1">
        <v>45447</v>
      </c>
      <c r="C4125" s="4">
        <v>45447.502083333333</v>
      </c>
      <c r="D4125" t="s">
        <v>3165</v>
      </c>
      <c r="E4125" t="s">
        <v>966</v>
      </c>
      <c r="F4125">
        <v>12</v>
      </c>
      <c r="G4125" t="s">
        <v>294</v>
      </c>
      <c r="H4125" t="s">
        <v>39</v>
      </c>
      <c r="I4125" t="s">
        <v>94</v>
      </c>
      <c r="J4125" s="2" t="s">
        <v>25115</v>
      </c>
      <c r="K4125" t="s">
        <v>42</v>
      </c>
      <c r="L4125" t="s">
        <v>296</v>
      </c>
      <c r="N4125" t="s">
        <v>297</v>
      </c>
      <c r="Q4125">
        <v>28420</v>
      </c>
      <c r="R4125" t="s">
        <v>45</v>
      </c>
      <c r="S4125" t="s">
        <v>3168</v>
      </c>
      <c r="T4125">
        <v>28.1</v>
      </c>
      <c r="U4125" s="2" t="s">
        <v>25116</v>
      </c>
      <c r="W4125" t="s">
        <v>23049</v>
      </c>
      <c r="X4125">
        <v>110013958</v>
      </c>
      <c r="Y4125" s="2" t="s">
        <v>25117</v>
      </c>
      <c r="Z4125" s="2" t="s">
        <v>25118</v>
      </c>
      <c r="AA4125" t="s">
        <v>9161</v>
      </c>
      <c r="AB4125" t="s">
        <v>1480</v>
      </c>
      <c r="AG4125" t="s">
        <v>25119</v>
      </c>
      <c r="AH4125" t="s">
        <v>25113</v>
      </c>
      <c r="AI4125" t="s">
        <v>25120</v>
      </c>
    </row>
    <row r="4126" spans="2:35" ht="345">
      <c r="B4126" s="1">
        <v>45447</v>
      </c>
      <c r="C4126" s="4">
        <v>45447.525694444441</v>
      </c>
      <c r="D4126" t="s">
        <v>1462</v>
      </c>
      <c r="E4126" t="s">
        <v>1463</v>
      </c>
      <c r="F4126">
        <v>8</v>
      </c>
      <c r="G4126" t="s">
        <v>342</v>
      </c>
      <c r="H4126" t="s">
        <v>150</v>
      </c>
      <c r="I4126" t="s">
        <v>40</v>
      </c>
      <c r="J4126" t="s">
        <v>109</v>
      </c>
      <c r="K4126" t="s">
        <v>42</v>
      </c>
      <c r="L4126" t="s">
        <v>343</v>
      </c>
      <c r="N4126" t="s">
        <v>344</v>
      </c>
      <c r="Q4126">
        <v>28419</v>
      </c>
      <c r="R4126" t="s">
        <v>45</v>
      </c>
      <c r="S4126" t="s">
        <v>25121</v>
      </c>
      <c r="T4126">
        <v>23</v>
      </c>
      <c r="U4126" s="2" t="s">
        <v>25122</v>
      </c>
      <c r="W4126" t="s">
        <v>5771</v>
      </c>
      <c r="X4126">
        <v>834816</v>
      </c>
      <c r="Y4126" t="e">
        <f ca="1">-DUE _xludf.For annual PM
-Temp _xludf.error on module B2</f>
        <v>#NAME?</v>
      </c>
      <c r="Z4126" s="2" t="s">
        <v>25123</v>
      </c>
      <c r="AA4126" t="e">
        <f ca="1">-Preventive Maintenance
-Check-up machine</f>
        <v>#NAME?</v>
      </c>
      <c r="AB4126" t="s">
        <v>9638</v>
      </c>
      <c r="AG4126" t="s">
        <v>25124</v>
      </c>
      <c r="AH4126" t="s">
        <v>25125</v>
      </c>
      <c r="AI4126" t="s">
        <v>25126</v>
      </c>
    </row>
    <row r="4127" spans="2:35" ht="409.5">
      <c r="B4127" s="1">
        <v>45447</v>
      </c>
      <c r="C4127" s="4">
        <v>45447.74722222222</v>
      </c>
      <c r="D4127" t="s">
        <v>837</v>
      </c>
      <c r="E4127" t="s">
        <v>25127</v>
      </c>
      <c r="F4127">
        <v>5</v>
      </c>
      <c r="G4127" t="s">
        <v>839</v>
      </c>
      <c r="H4127" t="s">
        <v>22288</v>
      </c>
      <c r="I4127" t="s">
        <v>40</v>
      </c>
      <c r="J4127" s="2" t="s">
        <v>62</v>
      </c>
      <c r="K4127" t="s">
        <v>42</v>
      </c>
      <c r="L4127" t="s">
        <v>761</v>
      </c>
      <c r="N4127" t="s">
        <v>762</v>
      </c>
      <c r="Q4127">
        <v>28418</v>
      </c>
      <c r="R4127" t="s">
        <v>45</v>
      </c>
      <c r="S4127" t="s">
        <v>21302</v>
      </c>
      <c r="T4127">
        <v>27</v>
      </c>
      <c r="U4127" s="2" t="s">
        <v>25128</v>
      </c>
      <c r="W4127" t="s">
        <v>25129</v>
      </c>
      <c r="X4127">
        <v>842225</v>
      </c>
      <c r="Y4127" t="s">
        <v>25130</v>
      </c>
      <c r="Z4127" s="2" t="s">
        <v>25131</v>
      </c>
      <c r="AA4127" s="2" t="s">
        <v>4477</v>
      </c>
      <c r="AB4127" t="s">
        <v>70</v>
      </c>
      <c r="AG4127" t="s">
        <v>25132</v>
      </c>
      <c r="AH4127" t="s">
        <v>25133</v>
      </c>
      <c r="AI4127" t="s">
        <v>25134</v>
      </c>
    </row>
    <row r="4128" spans="2:35" ht="375">
      <c r="B4128" s="1">
        <v>45447</v>
      </c>
      <c r="C4128" s="4">
        <v>45447.600694444445</v>
      </c>
      <c r="D4128" t="s">
        <v>25135</v>
      </c>
      <c r="E4128" t="s">
        <v>25136</v>
      </c>
      <c r="F4128">
        <v>5</v>
      </c>
      <c r="G4128" t="s">
        <v>759</v>
      </c>
      <c r="H4128" t="s">
        <v>39</v>
      </c>
      <c r="I4128" t="s">
        <v>40</v>
      </c>
      <c r="J4128" s="2" t="s">
        <v>62</v>
      </c>
      <c r="K4128" t="s">
        <v>42</v>
      </c>
      <c r="L4128" t="s">
        <v>761</v>
      </c>
      <c r="N4128" t="s">
        <v>762</v>
      </c>
      <c r="Q4128">
        <v>28417</v>
      </c>
      <c r="R4128" t="s">
        <v>45</v>
      </c>
      <c r="S4128" t="s">
        <v>23498</v>
      </c>
      <c r="T4128">
        <v>22</v>
      </c>
      <c r="U4128" s="2" t="s">
        <v>19521</v>
      </c>
      <c r="W4128" t="s">
        <v>765</v>
      </c>
      <c r="X4128">
        <v>805260</v>
      </c>
      <c r="Y4128" t="s">
        <v>24963</v>
      </c>
      <c r="Z4128" s="2" t="s">
        <v>25137</v>
      </c>
      <c r="AA4128" s="2" t="s">
        <v>4477</v>
      </c>
      <c r="AB4128" t="s">
        <v>70</v>
      </c>
      <c r="AG4128" t="s">
        <v>25138</v>
      </c>
      <c r="AH4128" t="s">
        <v>23501</v>
      </c>
      <c r="AI4128" t="s">
        <v>25139</v>
      </c>
    </row>
    <row r="4129" spans="2:35" ht="285">
      <c r="B4129" s="1">
        <v>45447</v>
      </c>
      <c r="C4129" s="4">
        <v>45447.722222222219</v>
      </c>
      <c r="D4129" t="s">
        <v>25140</v>
      </c>
      <c r="E4129" t="s">
        <v>25141</v>
      </c>
      <c r="F4129">
        <v>8</v>
      </c>
      <c r="G4129" t="s">
        <v>1663</v>
      </c>
      <c r="H4129" t="s">
        <v>39</v>
      </c>
      <c r="I4129" t="s">
        <v>40</v>
      </c>
      <c r="J4129" s="2" t="s">
        <v>6210</v>
      </c>
      <c r="K4129" t="s">
        <v>42</v>
      </c>
      <c r="L4129" t="s">
        <v>259</v>
      </c>
      <c r="N4129" t="s">
        <v>25142</v>
      </c>
      <c r="Q4129">
        <v>28416</v>
      </c>
      <c r="R4129" t="s">
        <v>45</v>
      </c>
      <c r="S4129" t="s">
        <v>25143</v>
      </c>
      <c r="T4129">
        <v>28</v>
      </c>
      <c r="V4129" s="1">
        <v>45447</v>
      </c>
      <c r="W4129" t="s">
        <v>84</v>
      </c>
      <c r="X4129">
        <v>807566</v>
      </c>
      <c r="Y4129" t="s">
        <v>25144</v>
      </c>
      <c r="Z4129" t="e">
        <f ca="1">- Installation
- CALIBRATION</f>
        <v>#NAME?</v>
      </c>
      <c r="AA4129" s="2" t="s">
        <v>25145</v>
      </c>
      <c r="AB4129" s="2" t="s">
        <v>25146</v>
      </c>
      <c r="AG4129" t="s">
        <v>25147</v>
      </c>
      <c r="AH4129" t="s">
        <v>25148</v>
      </c>
      <c r="AI4129" t="s">
        <v>25149</v>
      </c>
    </row>
    <row r="4130" spans="2:35" ht="390">
      <c r="B4130" s="1">
        <v>45447</v>
      </c>
      <c r="C4130" s="4">
        <v>45447.626388888886</v>
      </c>
      <c r="D4130" t="s">
        <v>25150</v>
      </c>
      <c r="E4130" t="s">
        <v>25151</v>
      </c>
      <c r="F4130" t="s">
        <v>148</v>
      </c>
      <c r="G4130" t="s">
        <v>406</v>
      </c>
      <c r="H4130" t="s">
        <v>386</v>
      </c>
      <c r="I4130" t="s">
        <v>40</v>
      </c>
      <c r="J4130" s="2" t="s">
        <v>62</v>
      </c>
      <c r="K4130" t="s">
        <v>387</v>
      </c>
      <c r="L4130" t="s">
        <v>448</v>
      </c>
      <c r="N4130" t="s">
        <v>650</v>
      </c>
      <c r="O4130" t="s">
        <v>650</v>
      </c>
      <c r="Q4130">
        <v>28415</v>
      </c>
      <c r="R4130" t="s">
        <v>95</v>
      </c>
      <c r="S4130" t="s">
        <v>650</v>
      </c>
      <c r="T4130">
        <v>28</v>
      </c>
      <c r="W4130" t="s">
        <v>476</v>
      </c>
      <c r="X4130" t="s">
        <v>5702</v>
      </c>
      <c r="Y4130" t="s">
        <v>25152</v>
      </c>
      <c r="Z4130" s="2" t="s">
        <v>23817</v>
      </c>
      <c r="AA4130" t="s">
        <v>6279</v>
      </c>
      <c r="AB4130" t="s">
        <v>486</v>
      </c>
      <c r="AG4130" t="s">
        <v>25153</v>
      </c>
      <c r="AH4130" t="s">
        <v>448</v>
      </c>
      <c r="AI4130" t="s">
        <v>25154</v>
      </c>
    </row>
    <row r="4131" spans="2:35" ht="300">
      <c r="B4131" s="1">
        <v>45447</v>
      </c>
      <c r="C4131" s="4">
        <v>45442.520833333336</v>
      </c>
      <c r="D4131" t="s">
        <v>25155</v>
      </c>
      <c r="E4131" t="s">
        <v>25156</v>
      </c>
      <c r="F4131" t="s">
        <v>37</v>
      </c>
      <c r="G4131" t="s">
        <v>748</v>
      </c>
      <c r="H4131" t="s">
        <v>39</v>
      </c>
      <c r="I4131" t="s">
        <v>40</v>
      </c>
      <c r="J4131" s="2" t="s">
        <v>41</v>
      </c>
      <c r="K4131" t="s">
        <v>42</v>
      </c>
      <c r="L4131" t="s">
        <v>1028</v>
      </c>
      <c r="N4131" t="s">
        <v>1029</v>
      </c>
      <c r="Q4131">
        <v>28414</v>
      </c>
      <c r="R4131" t="s">
        <v>119</v>
      </c>
      <c r="S4131" t="s">
        <v>25157</v>
      </c>
      <c r="T4131">
        <v>22</v>
      </c>
      <c r="U4131" s="2" t="s">
        <v>25158</v>
      </c>
      <c r="W4131" t="s">
        <v>1967</v>
      </c>
      <c r="X4131">
        <v>821221</v>
      </c>
      <c r="Y4131" t="s">
        <v>25159</v>
      </c>
      <c r="Z4131" s="2" t="s">
        <v>2454</v>
      </c>
      <c r="AA4131" s="2" t="s">
        <v>25160</v>
      </c>
      <c r="AB4131" t="s">
        <v>3300</v>
      </c>
      <c r="AG4131" t="s">
        <v>25161</v>
      </c>
      <c r="AH4131" t="s">
        <v>25162</v>
      </c>
      <c r="AI4131" t="s">
        <v>25163</v>
      </c>
    </row>
    <row r="4132" spans="2:35" ht="409.5">
      <c r="B4132" s="1">
        <v>45447</v>
      </c>
      <c r="C4132" s="4">
        <v>45446.601388888892</v>
      </c>
      <c r="D4132" t="s">
        <v>25164</v>
      </c>
      <c r="E4132" t="s">
        <v>23025</v>
      </c>
      <c r="F4132" t="s">
        <v>148</v>
      </c>
      <c r="G4132" t="s">
        <v>447</v>
      </c>
      <c r="H4132" t="s">
        <v>39</v>
      </c>
      <c r="I4132" t="s">
        <v>40</v>
      </c>
      <c r="J4132" t="s">
        <v>109</v>
      </c>
      <c r="K4132" t="s">
        <v>42</v>
      </c>
      <c r="L4132" t="s">
        <v>15532</v>
      </c>
      <c r="N4132" t="s">
        <v>15533</v>
      </c>
      <c r="Q4132">
        <v>28413</v>
      </c>
      <c r="R4132" t="s">
        <v>45</v>
      </c>
      <c r="S4132" t="s">
        <v>23026</v>
      </c>
      <c r="T4132">
        <v>29</v>
      </c>
      <c r="U4132" s="2" t="s">
        <v>25165</v>
      </c>
      <c r="W4132" t="s">
        <v>15535</v>
      </c>
      <c r="X4132">
        <v>815484</v>
      </c>
      <c r="Y4132" t="s">
        <v>25166</v>
      </c>
      <c r="Z4132" s="2" t="s">
        <v>25167</v>
      </c>
      <c r="AA4132" t="s">
        <v>25168</v>
      </c>
      <c r="AB4132" s="2" t="s">
        <v>21738</v>
      </c>
      <c r="AG4132" t="s">
        <v>25169</v>
      </c>
      <c r="AH4132" t="s">
        <v>25170</v>
      </c>
      <c r="AI4132" t="s">
        <v>25171</v>
      </c>
    </row>
    <row r="4133" spans="2:35" ht="165">
      <c r="B4133" s="1">
        <v>45447</v>
      </c>
      <c r="C4133" s="4">
        <v>45447.535416666666</v>
      </c>
      <c r="D4133" t="s">
        <v>7810</v>
      </c>
      <c r="E4133" t="s">
        <v>7811</v>
      </c>
      <c r="F4133">
        <v>11</v>
      </c>
      <c r="G4133" t="s">
        <v>1205</v>
      </c>
      <c r="H4133" t="s">
        <v>202</v>
      </c>
      <c r="I4133" t="s">
        <v>40</v>
      </c>
      <c r="J4133" s="2" t="s">
        <v>190</v>
      </c>
      <c r="K4133" t="s">
        <v>42</v>
      </c>
      <c r="L4133" t="s">
        <v>204</v>
      </c>
      <c r="N4133" t="s">
        <v>205</v>
      </c>
      <c r="Q4133">
        <v>28412</v>
      </c>
      <c r="R4133" t="s">
        <v>119</v>
      </c>
      <c r="S4133" t="s">
        <v>7812</v>
      </c>
      <c r="T4133">
        <v>25.5</v>
      </c>
      <c r="U4133" s="2" t="s">
        <v>16657</v>
      </c>
      <c r="W4133" t="s">
        <v>23237</v>
      </c>
      <c r="X4133">
        <v>838232</v>
      </c>
      <c r="Y4133" t="s">
        <v>25172</v>
      </c>
      <c r="Z4133" t="s">
        <v>25173</v>
      </c>
      <c r="AA4133" t="s">
        <v>25174</v>
      </c>
      <c r="AB4133" s="2" t="s">
        <v>25175</v>
      </c>
      <c r="AG4133" t="s">
        <v>25176</v>
      </c>
      <c r="AH4133" t="s">
        <v>21404</v>
      </c>
      <c r="AI4133" t="s">
        <v>25177</v>
      </c>
    </row>
    <row r="4134" spans="2:35" ht="285">
      <c r="B4134" s="1">
        <v>45447</v>
      </c>
      <c r="C4134" s="4">
        <v>45447.54583333333</v>
      </c>
      <c r="D4134" t="s">
        <v>23143</v>
      </c>
      <c r="E4134" t="s">
        <v>25178</v>
      </c>
      <c r="F4134">
        <v>13</v>
      </c>
      <c r="G4134" t="s">
        <v>8524</v>
      </c>
      <c r="H4134" t="s">
        <v>2125</v>
      </c>
      <c r="I4134" t="s">
        <v>40</v>
      </c>
      <c r="J4134" s="2" t="s">
        <v>1309</v>
      </c>
      <c r="K4134" t="s">
        <v>42</v>
      </c>
      <c r="L4134" t="s">
        <v>933</v>
      </c>
      <c r="N4134" t="s">
        <v>934</v>
      </c>
      <c r="Q4134">
        <v>28411</v>
      </c>
      <c r="R4134" t="s">
        <v>45</v>
      </c>
      <c r="S4134" t="s">
        <v>23145</v>
      </c>
      <c r="T4134">
        <v>26</v>
      </c>
      <c r="U4134" s="2" t="s">
        <v>2341</v>
      </c>
      <c r="W4134" t="s">
        <v>25179</v>
      </c>
      <c r="X4134">
        <v>835174</v>
      </c>
      <c r="Y4134" t="s">
        <v>15392</v>
      </c>
      <c r="Z4134" t="s">
        <v>25180</v>
      </c>
      <c r="AA4134" s="2" t="s">
        <v>25181</v>
      </c>
      <c r="AB4134" s="2" t="s">
        <v>24555</v>
      </c>
      <c r="AG4134" t="s">
        <v>25182</v>
      </c>
      <c r="AH4134" t="s">
        <v>23150</v>
      </c>
      <c r="AI4134" t="s">
        <v>25183</v>
      </c>
    </row>
    <row r="4135" spans="2:35" ht="360">
      <c r="B4135" s="1">
        <v>45447</v>
      </c>
      <c r="C4135" s="4">
        <v>45447.445833333331</v>
      </c>
      <c r="D4135" t="s">
        <v>25184</v>
      </c>
      <c r="E4135" t="s">
        <v>25185</v>
      </c>
      <c r="F4135">
        <v>11</v>
      </c>
      <c r="G4135" t="s">
        <v>1205</v>
      </c>
      <c r="H4135" t="s">
        <v>202</v>
      </c>
      <c r="I4135" t="s">
        <v>94</v>
      </c>
      <c r="J4135" s="2" t="s">
        <v>190</v>
      </c>
      <c r="K4135" t="s">
        <v>42</v>
      </c>
      <c r="L4135" t="s">
        <v>204</v>
      </c>
      <c r="N4135" t="s">
        <v>205</v>
      </c>
      <c r="Q4135">
        <v>28410</v>
      </c>
      <c r="R4135" t="s">
        <v>45</v>
      </c>
      <c r="S4135" t="s">
        <v>25186</v>
      </c>
      <c r="T4135">
        <v>24.5</v>
      </c>
      <c r="U4135" s="2" t="s">
        <v>25187</v>
      </c>
      <c r="W4135" t="s">
        <v>24154</v>
      </c>
      <c r="X4135">
        <v>838865</v>
      </c>
      <c r="Y4135" t="s">
        <v>25188</v>
      </c>
      <c r="Z4135" s="2" t="s">
        <v>25189</v>
      </c>
      <c r="AA4135" t="s">
        <v>1893</v>
      </c>
      <c r="AB4135" s="2" t="s">
        <v>25190</v>
      </c>
      <c r="AG4135" t="s">
        <v>25191</v>
      </c>
      <c r="AH4135" t="s">
        <v>25192</v>
      </c>
      <c r="AI4135" t="s">
        <v>25193</v>
      </c>
    </row>
    <row r="4136" spans="2:35" ht="270">
      <c r="B4136" s="1">
        <v>45447</v>
      </c>
      <c r="C4136" s="4">
        <v>45447.48333333333</v>
      </c>
      <c r="D4136" t="s">
        <v>25194</v>
      </c>
      <c r="E4136" t="s">
        <v>25195</v>
      </c>
      <c r="F4136" t="s">
        <v>148</v>
      </c>
      <c r="G4136" t="s">
        <v>406</v>
      </c>
      <c r="H4136" t="s">
        <v>39</v>
      </c>
      <c r="I4136" t="s">
        <v>40</v>
      </c>
      <c r="J4136" s="2" t="s">
        <v>41</v>
      </c>
      <c r="K4136" t="s">
        <v>42</v>
      </c>
      <c r="L4136" t="s">
        <v>43</v>
      </c>
      <c r="N4136" t="s">
        <v>44</v>
      </c>
      <c r="Q4136">
        <v>28409</v>
      </c>
      <c r="R4136" t="s">
        <v>119</v>
      </c>
      <c r="S4136" t="s">
        <v>25196</v>
      </c>
      <c r="T4136">
        <v>24</v>
      </c>
      <c r="U4136" s="2" t="s">
        <v>25197</v>
      </c>
      <c r="V4136" s="1">
        <v>45447</v>
      </c>
      <c r="W4136" t="s">
        <v>48</v>
      </c>
      <c r="X4136">
        <v>831638</v>
      </c>
      <c r="Y4136" t="s">
        <v>25198</v>
      </c>
      <c r="Z4136" t="s">
        <v>571</v>
      </c>
      <c r="AA4136" s="2" t="s">
        <v>25199</v>
      </c>
      <c r="AB4136" t="s">
        <v>548</v>
      </c>
      <c r="AD4136" s="2" t="s">
        <v>25200</v>
      </c>
      <c r="AE4136" t="s">
        <v>54</v>
      </c>
      <c r="AG4136" t="s">
        <v>25201</v>
      </c>
      <c r="AH4136" t="s">
        <v>25202</v>
      </c>
      <c r="AI4136" t="s">
        <v>25203</v>
      </c>
    </row>
    <row r="4137" spans="2:35" ht="105">
      <c r="B4137" s="1">
        <v>45447</v>
      </c>
      <c r="C4137" s="4">
        <v>45447.475694444445</v>
      </c>
      <c r="D4137" t="s">
        <v>5240</v>
      </c>
      <c r="E4137" t="s">
        <v>25204</v>
      </c>
      <c r="F4137">
        <v>6</v>
      </c>
      <c r="G4137" t="s">
        <v>5216</v>
      </c>
      <c r="H4137" t="s">
        <v>1047</v>
      </c>
      <c r="I4137" t="s">
        <v>94</v>
      </c>
      <c r="J4137" t="s">
        <v>321</v>
      </c>
      <c r="K4137" t="s">
        <v>42</v>
      </c>
      <c r="L4137" t="s">
        <v>23958</v>
      </c>
      <c r="N4137" t="s">
        <v>23959</v>
      </c>
      <c r="Q4137">
        <v>28408</v>
      </c>
      <c r="R4137" t="s">
        <v>45</v>
      </c>
      <c r="S4137" t="s">
        <v>10807</v>
      </c>
      <c r="T4137">
        <v>26</v>
      </c>
      <c r="U4137" s="2" t="s">
        <v>1509</v>
      </c>
      <c r="W4137" t="s">
        <v>8459</v>
      </c>
      <c r="X4137">
        <v>120000501</v>
      </c>
      <c r="Y4137" t="s">
        <v>54</v>
      </c>
      <c r="Z4137" t="s">
        <v>25205</v>
      </c>
      <c r="AA4137" t="s">
        <v>25206</v>
      </c>
      <c r="AB4137" t="s">
        <v>25207</v>
      </c>
      <c r="AG4137" t="s">
        <v>25208</v>
      </c>
      <c r="AH4137" t="s">
        <v>25209</v>
      </c>
      <c r="AI4137" t="s">
        <v>25210</v>
      </c>
    </row>
    <row r="4138" spans="2:35" ht="409.5">
      <c r="B4138" s="1">
        <v>45447</v>
      </c>
      <c r="C4138" s="4">
        <v>45447.420138888891</v>
      </c>
      <c r="D4138" t="s">
        <v>25211</v>
      </c>
      <c r="E4138" t="s">
        <v>25212</v>
      </c>
      <c r="F4138" t="s">
        <v>148</v>
      </c>
      <c r="G4138" t="s">
        <v>310</v>
      </c>
      <c r="H4138" t="s">
        <v>39</v>
      </c>
      <c r="I4138" t="s">
        <v>40</v>
      </c>
      <c r="J4138" s="2" t="s">
        <v>62</v>
      </c>
      <c r="K4138" t="s">
        <v>42</v>
      </c>
      <c r="L4138" t="s">
        <v>1943</v>
      </c>
      <c r="N4138" t="s">
        <v>1944</v>
      </c>
      <c r="Q4138">
        <v>28407</v>
      </c>
      <c r="R4138" t="s">
        <v>45</v>
      </c>
      <c r="S4138" t="s">
        <v>25213</v>
      </c>
      <c r="T4138">
        <v>25</v>
      </c>
      <c r="W4138" t="s">
        <v>84</v>
      </c>
      <c r="X4138">
        <v>805103</v>
      </c>
      <c r="Y4138" s="2" t="s">
        <v>23659</v>
      </c>
      <c r="Z4138" t="s">
        <v>3045</v>
      </c>
      <c r="AA4138" s="2" t="s">
        <v>3046</v>
      </c>
      <c r="AB4138" t="s">
        <v>88</v>
      </c>
      <c r="AG4138" t="s">
        <v>25214</v>
      </c>
      <c r="AH4138" t="s">
        <v>25215</v>
      </c>
      <c r="AI4138" t="s">
        <v>25216</v>
      </c>
    </row>
    <row r="4139" spans="2:35" ht="210">
      <c r="B4139" s="1">
        <v>45447</v>
      </c>
      <c r="C4139" s="4">
        <v>45441.566666666666</v>
      </c>
      <c r="D4139" t="s">
        <v>4259</v>
      </c>
      <c r="E4139" t="s">
        <v>13575</v>
      </c>
      <c r="F4139" t="s">
        <v>148</v>
      </c>
      <c r="G4139" t="s">
        <v>2007</v>
      </c>
      <c r="H4139" t="s">
        <v>39</v>
      </c>
      <c r="I4139" t="s">
        <v>40</v>
      </c>
      <c r="J4139" t="s">
        <v>109</v>
      </c>
      <c r="K4139" t="s">
        <v>42</v>
      </c>
      <c r="L4139" t="s">
        <v>448</v>
      </c>
      <c r="N4139" t="s">
        <v>650</v>
      </c>
      <c r="Q4139">
        <v>28406</v>
      </c>
      <c r="R4139" t="s">
        <v>45</v>
      </c>
      <c r="S4139" t="s">
        <v>6185</v>
      </c>
      <c r="T4139">
        <v>28</v>
      </c>
      <c r="U4139" s="2" t="s">
        <v>25217</v>
      </c>
      <c r="W4139" t="s">
        <v>360</v>
      </c>
      <c r="X4139">
        <v>838134</v>
      </c>
      <c r="Y4139" t="s">
        <v>485</v>
      </c>
      <c r="Z4139" s="2" t="s">
        <v>2011</v>
      </c>
      <c r="AA4139" t="s">
        <v>6997</v>
      </c>
      <c r="AB4139" t="s">
        <v>486</v>
      </c>
      <c r="AG4139" t="s">
        <v>25218</v>
      </c>
      <c r="AH4139" t="s">
        <v>25219</v>
      </c>
      <c r="AI4139" t="s">
        <v>25220</v>
      </c>
    </row>
    <row r="4140" spans="2:35" ht="240">
      <c r="B4140" s="1">
        <v>45447</v>
      </c>
      <c r="C4140" s="4">
        <v>45441.563194444447</v>
      </c>
      <c r="D4140" t="s">
        <v>4259</v>
      </c>
      <c r="E4140" t="s">
        <v>5475</v>
      </c>
      <c r="F4140" t="s">
        <v>148</v>
      </c>
      <c r="G4140" t="s">
        <v>2007</v>
      </c>
      <c r="H4140" t="s">
        <v>39</v>
      </c>
      <c r="I4140" t="s">
        <v>40</v>
      </c>
      <c r="J4140" s="2" t="s">
        <v>62</v>
      </c>
      <c r="K4140" t="s">
        <v>42</v>
      </c>
      <c r="L4140" t="s">
        <v>448</v>
      </c>
      <c r="N4140" t="s">
        <v>650</v>
      </c>
      <c r="Q4140">
        <v>28405</v>
      </c>
      <c r="R4140" t="s">
        <v>703</v>
      </c>
      <c r="S4140" t="s">
        <v>6185</v>
      </c>
      <c r="T4140">
        <v>29</v>
      </c>
      <c r="U4140" s="2" t="s">
        <v>25221</v>
      </c>
      <c r="V4140" s="1">
        <v>45439</v>
      </c>
      <c r="W4140" t="s">
        <v>6121</v>
      </c>
      <c r="X4140">
        <v>812560</v>
      </c>
      <c r="Y4140" t="s">
        <v>873</v>
      </c>
      <c r="Z4140" s="2" t="s">
        <v>3071</v>
      </c>
      <c r="AA4140" t="s">
        <v>881</v>
      </c>
      <c r="AB4140" s="2" t="s">
        <v>25222</v>
      </c>
      <c r="AD4140" t="s">
        <v>11518</v>
      </c>
      <c r="AE4140">
        <v>11564</v>
      </c>
      <c r="AG4140" t="s">
        <v>25223</v>
      </c>
      <c r="AH4140" t="s">
        <v>25219</v>
      </c>
      <c r="AI4140" t="s">
        <v>25224</v>
      </c>
    </row>
    <row r="4141" spans="2:35" ht="360">
      <c r="B4141" s="1">
        <v>45447</v>
      </c>
      <c r="C4141" s="4">
        <v>45441.395833333336</v>
      </c>
      <c r="D4141" t="s">
        <v>1145</v>
      </c>
      <c r="E4141" t="s">
        <v>473</v>
      </c>
      <c r="F4141" t="s">
        <v>148</v>
      </c>
      <c r="G4141" t="s">
        <v>447</v>
      </c>
      <c r="H4141" t="s">
        <v>150</v>
      </c>
      <c r="I4141" t="s">
        <v>40</v>
      </c>
      <c r="J4141" t="s">
        <v>109</v>
      </c>
      <c r="K4141" t="s">
        <v>42</v>
      </c>
      <c r="L4141" t="s">
        <v>448</v>
      </c>
      <c r="N4141" t="s">
        <v>650</v>
      </c>
      <c r="Q4141">
        <v>28404</v>
      </c>
      <c r="R4141" t="s">
        <v>45</v>
      </c>
      <c r="S4141" t="s">
        <v>1147</v>
      </c>
      <c r="T4141">
        <v>38</v>
      </c>
      <c r="U4141" s="2" t="s">
        <v>25225</v>
      </c>
      <c r="W4141" t="s">
        <v>25226</v>
      </c>
      <c r="X4141">
        <v>801080</v>
      </c>
      <c r="Y4141" t="s">
        <v>485</v>
      </c>
      <c r="Z4141" s="2" t="s">
        <v>2011</v>
      </c>
      <c r="AA4141" t="s">
        <v>122</v>
      </c>
      <c r="AB4141" t="s">
        <v>486</v>
      </c>
      <c r="AG4141" t="s">
        <v>25227</v>
      </c>
      <c r="AH4141" t="s">
        <v>1153</v>
      </c>
      <c r="AI4141" t="s">
        <v>25228</v>
      </c>
    </row>
    <row r="4142" spans="2:35" ht="195">
      <c r="B4142" s="1">
        <v>45447</v>
      </c>
      <c r="C4142" s="4">
        <v>45441.373611111114</v>
      </c>
      <c r="D4142" t="s">
        <v>1145</v>
      </c>
      <c r="E4142" t="s">
        <v>473</v>
      </c>
      <c r="F4142" t="s">
        <v>148</v>
      </c>
      <c r="G4142" t="s">
        <v>447</v>
      </c>
      <c r="H4142" t="s">
        <v>150</v>
      </c>
      <c r="I4142" t="s">
        <v>40</v>
      </c>
      <c r="J4142" t="s">
        <v>109</v>
      </c>
      <c r="K4142" t="s">
        <v>42</v>
      </c>
      <c r="L4142" t="s">
        <v>448</v>
      </c>
      <c r="N4142" t="s">
        <v>650</v>
      </c>
      <c r="Q4142">
        <v>28403</v>
      </c>
      <c r="R4142" t="s">
        <v>95</v>
      </c>
      <c r="S4142" t="s">
        <v>1147</v>
      </c>
      <c r="T4142">
        <v>30</v>
      </c>
      <c r="U4142" s="2" t="s">
        <v>25229</v>
      </c>
      <c r="W4142" t="s">
        <v>6128</v>
      </c>
      <c r="X4142">
        <v>804205</v>
      </c>
      <c r="Y4142" s="2" t="s">
        <v>25230</v>
      </c>
      <c r="Z4142" s="2" t="s">
        <v>2011</v>
      </c>
      <c r="AA4142" t="s">
        <v>6997</v>
      </c>
      <c r="AB4142" t="s">
        <v>21876</v>
      </c>
      <c r="AG4142" t="s">
        <v>25231</v>
      </c>
      <c r="AH4142" t="s">
        <v>1153</v>
      </c>
      <c r="AI4142" t="s">
        <v>25232</v>
      </c>
    </row>
    <row r="4143" spans="2:35" ht="409.5">
      <c r="B4143" s="1">
        <v>45447</v>
      </c>
      <c r="C4143" s="4">
        <v>45441.356249999997</v>
      </c>
      <c r="D4143" t="s">
        <v>1145</v>
      </c>
      <c r="E4143" t="s">
        <v>473</v>
      </c>
      <c r="F4143" t="s">
        <v>148</v>
      </c>
      <c r="G4143" t="s">
        <v>447</v>
      </c>
      <c r="H4143" t="s">
        <v>150</v>
      </c>
      <c r="I4143" t="s">
        <v>40</v>
      </c>
      <c r="J4143" t="s">
        <v>109</v>
      </c>
      <c r="K4143" t="s">
        <v>42</v>
      </c>
      <c r="L4143" t="s">
        <v>448</v>
      </c>
      <c r="N4143" t="s">
        <v>650</v>
      </c>
      <c r="Q4143">
        <v>28402</v>
      </c>
      <c r="R4143" t="s">
        <v>322</v>
      </c>
      <c r="S4143" t="s">
        <v>1147</v>
      </c>
      <c r="T4143">
        <v>30</v>
      </c>
      <c r="U4143" s="2" t="s">
        <v>25233</v>
      </c>
      <c r="W4143" t="s">
        <v>1139</v>
      </c>
      <c r="X4143">
        <v>838837</v>
      </c>
      <c r="Y4143" t="s">
        <v>25234</v>
      </c>
      <c r="Z4143" s="2" t="s">
        <v>2011</v>
      </c>
      <c r="AA4143" t="s">
        <v>122</v>
      </c>
      <c r="AB4143" t="s">
        <v>25235</v>
      </c>
      <c r="AG4143" t="s">
        <v>25236</v>
      </c>
      <c r="AH4143" t="s">
        <v>1153</v>
      </c>
      <c r="AI4143" t="s">
        <v>25237</v>
      </c>
    </row>
    <row r="4144" spans="2:35" ht="409.5">
      <c r="B4144" s="1">
        <v>45446</v>
      </c>
      <c r="C4144" s="4">
        <v>45446.772916666669</v>
      </c>
      <c r="D4144" t="s">
        <v>25238</v>
      </c>
      <c r="E4144" t="s">
        <v>25239</v>
      </c>
      <c r="F4144">
        <v>7</v>
      </c>
      <c r="G4144" t="s">
        <v>432</v>
      </c>
      <c r="H4144" t="s">
        <v>608</v>
      </c>
      <c r="I4144" t="s">
        <v>94</v>
      </c>
      <c r="J4144" t="s">
        <v>996</v>
      </c>
      <c r="K4144" t="s">
        <v>42</v>
      </c>
      <c r="L4144" t="s">
        <v>610</v>
      </c>
      <c r="N4144" t="s">
        <v>611</v>
      </c>
      <c r="Q4144">
        <v>28401</v>
      </c>
      <c r="R4144" t="s">
        <v>45</v>
      </c>
      <c r="S4144" t="s">
        <v>25240</v>
      </c>
      <c r="T4144">
        <v>24</v>
      </c>
      <c r="U4144" s="2" t="s">
        <v>25241</v>
      </c>
      <c r="W4144" t="s">
        <v>360</v>
      </c>
      <c r="X4144">
        <v>815464</v>
      </c>
      <c r="Y4144" t="s">
        <v>25242</v>
      </c>
      <c r="Z4144" s="2" t="s">
        <v>25243</v>
      </c>
      <c r="AA4144" s="2" t="s">
        <v>25244</v>
      </c>
      <c r="AB4144" t="s">
        <v>25245</v>
      </c>
      <c r="AG4144" t="s">
        <v>25246</v>
      </c>
      <c r="AH4144" t="s">
        <v>25247</v>
      </c>
      <c r="AI4144" t="s">
        <v>25248</v>
      </c>
    </row>
    <row r="4145" spans="2:35" ht="285">
      <c r="B4145" s="1">
        <v>45446</v>
      </c>
      <c r="C4145" s="4">
        <v>45446.769444444442</v>
      </c>
      <c r="D4145" t="s">
        <v>9642</v>
      </c>
      <c r="E4145" t="s">
        <v>19000</v>
      </c>
      <c r="F4145">
        <v>10</v>
      </c>
      <c r="G4145" t="s">
        <v>432</v>
      </c>
      <c r="H4145" t="s">
        <v>608</v>
      </c>
      <c r="I4145" t="s">
        <v>40</v>
      </c>
      <c r="J4145" t="s">
        <v>996</v>
      </c>
      <c r="K4145" t="s">
        <v>42</v>
      </c>
      <c r="L4145" t="s">
        <v>610</v>
      </c>
      <c r="N4145" t="s">
        <v>611</v>
      </c>
      <c r="Q4145">
        <v>28400</v>
      </c>
      <c r="R4145" t="s">
        <v>119</v>
      </c>
      <c r="S4145" t="s">
        <v>25249</v>
      </c>
      <c r="T4145">
        <v>22</v>
      </c>
      <c r="U4145" s="2" t="s">
        <v>9065</v>
      </c>
      <c r="W4145" t="s">
        <v>360</v>
      </c>
      <c r="X4145">
        <v>838224</v>
      </c>
      <c r="Y4145" t="s">
        <v>25250</v>
      </c>
      <c r="Z4145" s="2" t="s">
        <v>25251</v>
      </c>
      <c r="AA4145" s="2" t="s">
        <v>25251</v>
      </c>
      <c r="AB4145" t="s">
        <v>25252</v>
      </c>
      <c r="AG4145" t="s">
        <v>25253</v>
      </c>
      <c r="AH4145" t="s">
        <v>25254</v>
      </c>
      <c r="AI4145" t="s">
        <v>25255</v>
      </c>
    </row>
    <row r="4146" spans="2:35" ht="240">
      <c r="B4146" s="1">
        <v>45446</v>
      </c>
      <c r="C4146" s="4">
        <v>45446.76458333333</v>
      </c>
      <c r="D4146" t="s">
        <v>25256</v>
      </c>
      <c r="E4146" t="s">
        <v>25257</v>
      </c>
      <c r="F4146">
        <v>7</v>
      </c>
      <c r="G4146" t="s">
        <v>432</v>
      </c>
      <c r="H4146" t="s">
        <v>608</v>
      </c>
      <c r="I4146" t="s">
        <v>94</v>
      </c>
      <c r="J4146" t="s">
        <v>996</v>
      </c>
      <c r="K4146" t="s">
        <v>42</v>
      </c>
      <c r="L4146" t="s">
        <v>610</v>
      </c>
      <c r="N4146" t="s">
        <v>611</v>
      </c>
      <c r="Q4146">
        <v>28399</v>
      </c>
      <c r="R4146" t="s">
        <v>45</v>
      </c>
      <c r="S4146" t="s">
        <v>25258</v>
      </c>
      <c r="T4146">
        <v>28</v>
      </c>
      <c r="U4146" s="2" t="s">
        <v>25259</v>
      </c>
      <c r="W4146" t="s">
        <v>502</v>
      </c>
      <c r="X4146">
        <v>804765</v>
      </c>
      <c r="Y4146" t="s">
        <v>25260</v>
      </c>
      <c r="Z4146" s="2" t="s">
        <v>25261</v>
      </c>
      <c r="AA4146" s="2" t="s">
        <v>25262</v>
      </c>
      <c r="AB4146" t="s">
        <v>25263</v>
      </c>
      <c r="AG4146" t="s">
        <v>25264</v>
      </c>
      <c r="AH4146" t="s">
        <v>25265</v>
      </c>
      <c r="AI4146" t="s">
        <v>25266</v>
      </c>
    </row>
    <row r="4147" spans="2:35" ht="405">
      <c r="B4147" s="1">
        <v>45446</v>
      </c>
      <c r="C4147" s="4">
        <v>45446.754861111112</v>
      </c>
      <c r="D4147" t="s">
        <v>25267</v>
      </c>
      <c r="E4147" t="s">
        <v>25268</v>
      </c>
      <c r="F4147">
        <v>7</v>
      </c>
      <c r="G4147" t="s">
        <v>432</v>
      </c>
      <c r="H4147" t="s">
        <v>608</v>
      </c>
      <c r="I4147" t="s">
        <v>94</v>
      </c>
      <c r="J4147" t="s">
        <v>79</v>
      </c>
      <c r="K4147" t="s">
        <v>42</v>
      </c>
      <c r="L4147" t="s">
        <v>610</v>
      </c>
      <c r="N4147" t="s">
        <v>611</v>
      </c>
      <c r="Q4147">
        <v>28398</v>
      </c>
      <c r="R4147" t="s">
        <v>45</v>
      </c>
      <c r="S4147" t="s">
        <v>25269</v>
      </c>
      <c r="T4147">
        <v>28</v>
      </c>
      <c r="U4147" s="2" t="s">
        <v>20416</v>
      </c>
      <c r="W4147" t="s">
        <v>360</v>
      </c>
      <c r="X4147">
        <v>815268</v>
      </c>
      <c r="Y4147" t="s">
        <v>25270</v>
      </c>
      <c r="Z4147" s="2" t="s">
        <v>25271</v>
      </c>
      <c r="AA4147" s="2" t="s">
        <v>25271</v>
      </c>
      <c r="AB4147" s="2" t="s">
        <v>25272</v>
      </c>
      <c r="AG4147" t="s">
        <v>25273</v>
      </c>
      <c r="AH4147" t="s">
        <v>25274</v>
      </c>
      <c r="AI4147" t="s">
        <v>25275</v>
      </c>
    </row>
    <row r="4148" spans="2:35" ht="255">
      <c r="B4148" s="1">
        <v>45446</v>
      </c>
      <c r="C4148" s="4">
        <v>45446.616666666669</v>
      </c>
      <c r="D4148" t="s">
        <v>2233</v>
      </c>
      <c r="E4148" t="s">
        <v>718</v>
      </c>
      <c r="F4148">
        <v>7</v>
      </c>
      <c r="G4148" t="s">
        <v>432</v>
      </c>
      <c r="H4148" t="s">
        <v>39</v>
      </c>
      <c r="I4148" t="s">
        <v>94</v>
      </c>
      <c r="J4148" s="2" t="s">
        <v>62</v>
      </c>
      <c r="K4148" t="s">
        <v>42</v>
      </c>
      <c r="L4148" t="s">
        <v>594</v>
      </c>
      <c r="N4148" t="s">
        <v>595</v>
      </c>
      <c r="O4148" t="s">
        <v>595</v>
      </c>
      <c r="Q4148">
        <v>28397</v>
      </c>
      <c r="R4148" t="s">
        <v>119</v>
      </c>
      <c r="S4148" t="s">
        <v>25276</v>
      </c>
      <c r="T4148">
        <v>23</v>
      </c>
      <c r="V4148" s="1">
        <v>45446</v>
      </c>
      <c r="W4148" t="s">
        <v>502</v>
      </c>
      <c r="X4148">
        <v>83</v>
      </c>
      <c r="Y4148" s="2" t="s">
        <v>25277</v>
      </c>
      <c r="Z4148" t="s">
        <v>25278</v>
      </c>
      <c r="AA4148" t="s">
        <v>25279</v>
      </c>
      <c r="AB4148" s="2" t="s">
        <v>25280</v>
      </c>
      <c r="AC4148" t="s">
        <v>25281</v>
      </c>
      <c r="AG4148" t="s">
        <v>25282</v>
      </c>
      <c r="AH4148" t="s">
        <v>2241</v>
      </c>
      <c r="AI4148" t="s">
        <v>25283</v>
      </c>
    </row>
    <row r="4149" spans="2:35" ht="180">
      <c r="B4149" s="1">
        <v>45446</v>
      </c>
      <c r="C4149" s="4">
        <v>45441.45416666667</v>
      </c>
      <c r="D4149" t="s">
        <v>6347</v>
      </c>
      <c r="E4149" t="s">
        <v>229</v>
      </c>
      <c r="F4149" t="s">
        <v>148</v>
      </c>
      <c r="G4149" t="s">
        <v>230</v>
      </c>
      <c r="H4149" t="s">
        <v>39</v>
      </c>
      <c r="I4149" t="s">
        <v>40</v>
      </c>
      <c r="J4149" t="s">
        <v>109</v>
      </c>
      <c r="K4149" t="s">
        <v>42</v>
      </c>
      <c r="L4149" t="s">
        <v>175</v>
      </c>
      <c r="N4149" t="s">
        <v>176</v>
      </c>
      <c r="Q4149">
        <v>28396</v>
      </c>
      <c r="R4149" t="s">
        <v>703</v>
      </c>
      <c r="S4149" t="s">
        <v>14741</v>
      </c>
      <c r="T4149">
        <v>28</v>
      </c>
      <c r="U4149" s="2" t="s">
        <v>25284</v>
      </c>
      <c r="W4149" t="s">
        <v>84</v>
      </c>
      <c r="X4149">
        <v>835600</v>
      </c>
      <c r="Y4149" t="s">
        <v>374</v>
      </c>
      <c r="Z4149" t="s">
        <v>103</v>
      </c>
      <c r="AA4149" t="e">
        <f ca="1">- checked _xludf.and cleaned cartridge bay, plunger rod, _xludf.filter
- generated reports
- scanned system _xludf.Log _xludf.For errors (None)
- performed self test</f>
        <v>#NAME?</v>
      </c>
      <c r="AB4149" t="s">
        <v>25285</v>
      </c>
      <c r="AG4149" t="s">
        <v>25286</v>
      </c>
      <c r="AH4149" t="s">
        <v>25287</v>
      </c>
      <c r="AI4149" t="s">
        <v>25288</v>
      </c>
    </row>
    <row r="4150" spans="2:35" ht="225">
      <c r="B4150" s="1">
        <v>45446</v>
      </c>
      <c r="C4150" s="4">
        <v>45440.597222222219</v>
      </c>
      <c r="D4150" t="s">
        <v>22455</v>
      </c>
      <c r="E4150" t="s">
        <v>22456</v>
      </c>
      <c r="F4150">
        <v>3</v>
      </c>
      <c r="G4150" t="s">
        <v>174</v>
      </c>
      <c r="H4150" t="s">
        <v>39</v>
      </c>
      <c r="I4150" t="s">
        <v>40</v>
      </c>
      <c r="J4150" s="2" t="s">
        <v>62</v>
      </c>
      <c r="K4150" t="s">
        <v>42</v>
      </c>
      <c r="L4150" t="s">
        <v>175</v>
      </c>
      <c r="N4150" t="s">
        <v>176</v>
      </c>
      <c r="Q4150">
        <v>28395</v>
      </c>
      <c r="R4150" t="s">
        <v>45</v>
      </c>
      <c r="S4150" t="s">
        <v>22457</v>
      </c>
      <c r="T4150">
        <v>28</v>
      </c>
      <c r="U4150" s="2" t="s">
        <v>17288</v>
      </c>
      <c r="W4150" t="s">
        <v>84</v>
      </c>
      <c r="X4150">
        <v>807604</v>
      </c>
      <c r="Y4150" t="s">
        <v>998</v>
      </c>
      <c r="Z4150" t="s">
        <v>103</v>
      </c>
      <c r="AA4150" t="e">
        <f ca="1">- checked _xludf.and cleaned cartridge bay, plunger, _xludf.filter, icore slot
- performed XpertCheck
- generated reports</f>
        <v>#NAME?</v>
      </c>
      <c r="AB4150" s="2" t="s">
        <v>25289</v>
      </c>
      <c r="AG4150" t="s">
        <v>25290</v>
      </c>
      <c r="AH4150" t="s">
        <v>22461</v>
      </c>
      <c r="AI4150" t="s">
        <v>25291</v>
      </c>
    </row>
    <row r="4151" spans="2:35" ht="390">
      <c r="B4151" s="1">
        <v>45446</v>
      </c>
      <c r="C4151" s="4">
        <v>45442.511805555558</v>
      </c>
      <c r="D4151" t="s">
        <v>3139</v>
      </c>
      <c r="E4151" t="s">
        <v>3140</v>
      </c>
      <c r="F4151">
        <v>3</v>
      </c>
      <c r="G4151" t="s">
        <v>174</v>
      </c>
      <c r="H4151" t="s">
        <v>39</v>
      </c>
      <c r="I4151" t="s">
        <v>40</v>
      </c>
      <c r="J4151" s="2" t="s">
        <v>41</v>
      </c>
      <c r="K4151" t="s">
        <v>42</v>
      </c>
      <c r="L4151" t="s">
        <v>175</v>
      </c>
      <c r="N4151" t="s">
        <v>176</v>
      </c>
      <c r="Q4151">
        <v>28394</v>
      </c>
      <c r="R4151" t="s">
        <v>45</v>
      </c>
      <c r="S4151" t="s">
        <v>14419</v>
      </c>
      <c r="T4151">
        <v>35</v>
      </c>
      <c r="U4151" s="2" t="s">
        <v>25292</v>
      </c>
      <c r="V4151" s="1">
        <v>45442</v>
      </c>
      <c r="W4151" t="s">
        <v>84</v>
      </c>
      <c r="X4151">
        <v>805112</v>
      </c>
      <c r="Y4151" t="s">
        <v>25293</v>
      </c>
      <c r="Z4151" t="s">
        <v>25294</v>
      </c>
      <c r="AA4151" s="2" t="s">
        <v>25295</v>
      </c>
      <c r="AB4151" s="2" t="s">
        <v>25296</v>
      </c>
      <c r="AD4151" s="2" t="s">
        <v>25297</v>
      </c>
      <c r="AE4151" t="s">
        <v>103</v>
      </c>
      <c r="AG4151" t="s">
        <v>25298</v>
      </c>
      <c r="AH4151" t="s">
        <v>18609</v>
      </c>
      <c r="AI4151" t="s">
        <v>25299</v>
      </c>
    </row>
    <row r="4152" spans="2:35" ht="105">
      <c r="B4152" s="1">
        <v>45446</v>
      </c>
      <c r="C4152" s="4">
        <v>45441.585416666669</v>
      </c>
      <c r="D4152" t="s">
        <v>14487</v>
      </c>
      <c r="E4152" t="s">
        <v>229</v>
      </c>
      <c r="F4152" t="s">
        <v>148</v>
      </c>
      <c r="G4152" t="s">
        <v>230</v>
      </c>
      <c r="H4152" t="s">
        <v>39</v>
      </c>
      <c r="I4152" t="s">
        <v>40</v>
      </c>
      <c r="J4152" t="s">
        <v>109</v>
      </c>
      <c r="K4152" t="s">
        <v>42</v>
      </c>
      <c r="L4152" t="s">
        <v>175</v>
      </c>
      <c r="N4152" t="s">
        <v>176</v>
      </c>
      <c r="Q4152">
        <v>28392</v>
      </c>
      <c r="R4152" t="s">
        <v>703</v>
      </c>
      <c r="S4152" t="s">
        <v>14488</v>
      </c>
      <c r="T4152">
        <v>27</v>
      </c>
      <c r="U4152" s="2" t="s">
        <v>25300</v>
      </c>
      <c r="W4152" t="s">
        <v>84</v>
      </c>
      <c r="X4152">
        <v>110008420</v>
      </c>
      <c r="Y4152" t="s">
        <v>374</v>
      </c>
      <c r="Z4152" t="s">
        <v>375</v>
      </c>
      <c r="AA4152" t="e">
        <f ca="1">- checked _xludf.and cleaned cartridge bay, plunger rod, _xludf.filter
- generated reports
- performed self test</f>
        <v>#NAME?</v>
      </c>
      <c r="AB4152" t="s">
        <v>181</v>
      </c>
      <c r="AG4152" t="s">
        <v>25301</v>
      </c>
      <c r="AH4152" t="s">
        <v>21204</v>
      </c>
      <c r="AI4152" t="s">
        <v>25302</v>
      </c>
    </row>
    <row r="4153" spans="2:35" ht="105">
      <c r="B4153" s="1">
        <v>45446</v>
      </c>
      <c r="C4153" s="4">
        <v>45441.588888888888</v>
      </c>
      <c r="D4153" t="s">
        <v>14487</v>
      </c>
      <c r="E4153" t="s">
        <v>229</v>
      </c>
      <c r="F4153" t="s">
        <v>148</v>
      </c>
      <c r="G4153" t="s">
        <v>230</v>
      </c>
      <c r="H4153" t="s">
        <v>39</v>
      </c>
      <c r="I4153" t="s">
        <v>40</v>
      </c>
      <c r="J4153" t="s">
        <v>109</v>
      </c>
      <c r="K4153" t="s">
        <v>42</v>
      </c>
      <c r="L4153" t="s">
        <v>175</v>
      </c>
      <c r="N4153" t="s">
        <v>176</v>
      </c>
      <c r="Q4153">
        <v>28393</v>
      </c>
      <c r="R4153" t="s">
        <v>703</v>
      </c>
      <c r="S4153" t="s">
        <v>14488</v>
      </c>
      <c r="T4153">
        <v>28</v>
      </c>
      <c r="U4153" s="2" t="s">
        <v>25303</v>
      </c>
      <c r="W4153" t="s">
        <v>84</v>
      </c>
      <c r="X4153">
        <v>110008415</v>
      </c>
      <c r="Y4153" t="s">
        <v>374</v>
      </c>
      <c r="Z4153" t="s">
        <v>375</v>
      </c>
      <c r="AA4153" t="e">
        <f ca="1">- checked _xludf.and cleaned cartridge bay, plunger rod, _xludf.filter
- generated reports
- performed self test</f>
        <v>#NAME?</v>
      </c>
      <c r="AB4153" t="s">
        <v>181</v>
      </c>
      <c r="AG4153" t="s">
        <v>25304</v>
      </c>
      <c r="AH4153" t="s">
        <v>21204</v>
      </c>
      <c r="AI4153" t="s">
        <v>25305</v>
      </c>
    </row>
    <row r="4154" spans="2:35" ht="409.5">
      <c r="B4154" s="1">
        <v>45446</v>
      </c>
      <c r="C4154" s="4">
        <v>45446.578472222223</v>
      </c>
      <c r="D4154" t="s">
        <v>25306</v>
      </c>
      <c r="E4154" t="s">
        <v>25307</v>
      </c>
      <c r="F4154">
        <v>11</v>
      </c>
      <c r="G4154" t="s">
        <v>2836</v>
      </c>
      <c r="H4154" t="s">
        <v>202</v>
      </c>
      <c r="I4154" t="s">
        <v>94</v>
      </c>
      <c r="J4154" s="2" t="s">
        <v>1309</v>
      </c>
      <c r="K4154" t="s">
        <v>42</v>
      </c>
      <c r="L4154" t="s">
        <v>204</v>
      </c>
      <c r="N4154" t="s">
        <v>205</v>
      </c>
      <c r="Q4154">
        <v>28391</v>
      </c>
      <c r="R4154" t="s">
        <v>45</v>
      </c>
      <c r="S4154" t="s">
        <v>25308</v>
      </c>
      <c r="T4154">
        <v>22.5</v>
      </c>
      <c r="U4154" s="2" t="s">
        <v>25309</v>
      </c>
      <c r="W4154" t="s">
        <v>23237</v>
      </c>
      <c r="X4154">
        <v>815270</v>
      </c>
      <c r="Y4154" s="2" t="s">
        <v>25310</v>
      </c>
      <c r="Z4154" s="2" t="s">
        <v>25311</v>
      </c>
      <c r="AA4154" s="2" t="s">
        <v>25312</v>
      </c>
      <c r="AB4154" s="2" t="s">
        <v>25313</v>
      </c>
      <c r="AG4154" t="s">
        <v>25314</v>
      </c>
      <c r="AH4154" t="s">
        <v>25315</v>
      </c>
      <c r="AI4154" t="s">
        <v>25316</v>
      </c>
    </row>
    <row r="4155" spans="2:35" ht="409.5">
      <c r="B4155" s="1">
        <v>45446</v>
      </c>
      <c r="C4155" s="4">
        <v>45446.525694444441</v>
      </c>
      <c r="D4155" t="s">
        <v>25317</v>
      </c>
      <c r="E4155" t="s">
        <v>3805</v>
      </c>
      <c r="F4155">
        <v>6</v>
      </c>
      <c r="G4155" t="s">
        <v>1234</v>
      </c>
      <c r="H4155" t="s">
        <v>258</v>
      </c>
      <c r="I4155" t="s">
        <v>94</v>
      </c>
      <c r="J4155" s="2" t="s">
        <v>1808</v>
      </c>
      <c r="K4155" t="s">
        <v>42</v>
      </c>
      <c r="L4155" t="s">
        <v>270</v>
      </c>
      <c r="N4155" t="s">
        <v>2481</v>
      </c>
      <c r="Q4155">
        <v>28390</v>
      </c>
      <c r="R4155" t="s">
        <v>45</v>
      </c>
      <c r="S4155" t="s">
        <v>3806</v>
      </c>
      <c r="T4155">
        <v>27</v>
      </c>
      <c r="U4155" s="2" t="s">
        <v>25318</v>
      </c>
      <c r="W4155" t="s">
        <v>3662</v>
      </c>
      <c r="X4155">
        <v>807455</v>
      </c>
      <c r="Y4155" s="2" t="s">
        <v>25319</v>
      </c>
      <c r="Z4155" t="e">
        <f ca="1">- cleaned module Bays, _xludf.filter, plunger Rods, optic slots.</f>
        <v>#NAME?</v>
      </c>
      <c r="AA4155" s="2" t="s">
        <v>25320</v>
      </c>
      <c r="AB4155" s="2" t="s">
        <v>25321</v>
      </c>
      <c r="AG4155" t="s">
        <v>25322</v>
      </c>
      <c r="AH4155" t="s">
        <v>3813</v>
      </c>
      <c r="AI4155" t="s">
        <v>25323</v>
      </c>
    </row>
    <row r="4156" spans="2:35" ht="285">
      <c r="B4156" s="1">
        <v>45446</v>
      </c>
      <c r="C4156" s="4">
        <v>45442.477777777778</v>
      </c>
      <c r="D4156" t="s">
        <v>25324</v>
      </c>
      <c r="E4156" t="s">
        <v>25325</v>
      </c>
      <c r="F4156" t="s">
        <v>37</v>
      </c>
      <c r="G4156" t="s">
        <v>78</v>
      </c>
      <c r="H4156" t="s">
        <v>39</v>
      </c>
      <c r="I4156" t="s">
        <v>40</v>
      </c>
      <c r="J4156" s="2" t="s">
        <v>41</v>
      </c>
      <c r="K4156" t="s">
        <v>42</v>
      </c>
      <c r="L4156" t="s">
        <v>43</v>
      </c>
      <c r="N4156" t="s">
        <v>44</v>
      </c>
      <c r="Q4156">
        <v>28388</v>
      </c>
      <c r="R4156" t="s">
        <v>119</v>
      </c>
      <c r="S4156" t="s">
        <v>25326</v>
      </c>
      <c r="T4156">
        <v>24</v>
      </c>
      <c r="U4156" s="2" t="s">
        <v>24553</v>
      </c>
      <c r="W4156" t="s">
        <v>48</v>
      </c>
      <c r="X4156">
        <v>821292</v>
      </c>
      <c r="Y4156" t="s">
        <v>25327</v>
      </c>
      <c r="Z4156" t="s">
        <v>25328</v>
      </c>
      <c r="AA4156" s="2" t="s">
        <v>25329</v>
      </c>
      <c r="AB4156" t="s">
        <v>548</v>
      </c>
      <c r="AG4156" t="s">
        <v>25330</v>
      </c>
      <c r="AH4156" t="s">
        <v>25331</v>
      </c>
      <c r="AI4156" t="s">
        <v>25332</v>
      </c>
    </row>
    <row r="4157" spans="2:35" ht="270">
      <c r="B4157" s="1">
        <v>45446</v>
      </c>
      <c r="C4157" s="4">
        <v>45442.594444444447</v>
      </c>
      <c r="D4157" t="s">
        <v>2157</v>
      </c>
      <c r="E4157" t="s">
        <v>25333</v>
      </c>
      <c r="F4157" t="s">
        <v>37</v>
      </c>
      <c r="G4157" t="s">
        <v>38</v>
      </c>
      <c r="H4157" t="s">
        <v>39</v>
      </c>
      <c r="I4157" t="s">
        <v>40</v>
      </c>
      <c r="J4157" s="2" t="s">
        <v>62</v>
      </c>
      <c r="K4157" t="s">
        <v>42</v>
      </c>
      <c r="L4157" t="s">
        <v>43</v>
      </c>
      <c r="N4157" t="s">
        <v>44</v>
      </c>
      <c r="Q4157">
        <v>28389</v>
      </c>
      <c r="R4157" t="s">
        <v>45</v>
      </c>
      <c r="S4157" t="s">
        <v>25334</v>
      </c>
      <c r="T4157">
        <v>24</v>
      </c>
      <c r="U4157" s="2" t="s">
        <v>10214</v>
      </c>
      <c r="W4157" t="s">
        <v>48</v>
      </c>
      <c r="X4157">
        <v>815389</v>
      </c>
      <c r="Y4157" t="s">
        <v>1111</v>
      </c>
      <c r="Z4157" t="s">
        <v>1519</v>
      </c>
      <c r="AA4157" s="2" t="s">
        <v>25335</v>
      </c>
      <c r="AB4157" t="s">
        <v>25336</v>
      </c>
      <c r="AG4157" t="s">
        <v>25337</v>
      </c>
      <c r="AH4157" t="s">
        <v>25338</v>
      </c>
      <c r="AI4157" t="s">
        <v>25339</v>
      </c>
    </row>
    <row r="4158" spans="2:35" ht="165">
      <c r="B4158" s="1">
        <v>45445</v>
      </c>
      <c r="C4158" s="4">
        <v>45442.46597222222</v>
      </c>
      <c r="D4158" t="s">
        <v>4511</v>
      </c>
      <c r="E4158" t="s">
        <v>4512</v>
      </c>
      <c r="F4158">
        <v>1</v>
      </c>
      <c r="G4158" t="s">
        <v>1046</v>
      </c>
      <c r="H4158" t="s">
        <v>1047</v>
      </c>
      <c r="I4158" t="s">
        <v>40</v>
      </c>
      <c r="J4158" t="s">
        <v>109</v>
      </c>
      <c r="K4158" t="s">
        <v>42</v>
      </c>
      <c r="L4158" t="s">
        <v>1048</v>
      </c>
      <c r="N4158" t="s">
        <v>1049</v>
      </c>
      <c r="Q4158">
        <v>28387</v>
      </c>
      <c r="R4158" t="s">
        <v>119</v>
      </c>
      <c r="S4158" t="s">
        <v>4513</v>
      </c>
      <c r="T4158">
        <v>29</v>
      </c>
      <c r="U4158" s="2" t="s">
        <v>25340</v>
      </c>
      <c r="W4158" t="s">
        <v>1051</v>
      </c>
      <c r="X4158">
        <v>838288</v>
      </c>
      <c r="Y4158" t="s">
        <v>1052</v>
      </c>
      <c r="Z4158" t="s">
        <v>820</v>
      </c>
      <c r="AA4158" t="s">
        <v>1052</v>
      </c>
      <c r="AB4158" s="2" t="s">
        <v>25341</v>
      </c>
      <c r="AG4158" t="s">
        <v>25342</v>
      </c>
      <c r="AH4158" t="s">
        <v>4515</v>
      </c>
      <c r="AI4158" t="s">
        <v>25343</v>
      </c>
    </row>
    <row r="4159" spans="2:35" ht="330">
      <c r="B4159" s="1">
        <v>45445</v>
      </c>
      <c r="C4159" s="4">
        <v>45441.379166666666</v>
      </c>
      <c r="D4159" t="s">
        <v>25344</v>
      </c>
      <c r="E4159" t="s">
        <v>25345</v>
      </c>
      <c r="F4159">
        <v>1</v>
      </c>
      <c r="G4159" t="s">
        <v>1046</v>
      </c>
      <c r="H4159" t="s">
        <v>1047</v>
      </c>
      <c r="I4159" t="s">
        <v>40</v>
      </c>
      <c r="J4159" s="2" t="s">
        <v>62</v>
      </c>
      <c r="K4159" t="s">
        <v>42</v>
      </c>
      <c r="L4159" t="s">
        <v>1048</v>
      </c>
      <c r="N4159" t="s">
        <v>1049</v>
      </c>
      <c r="Q4159">
        <v>28386</v>
      </c>
      <c r="R4159" t="s">
        <v>45</v>
      </c>
      <c r="S4159" t="s">
        <v>22243</v>
      </c>
      <c r="T4159">
        <v>29</v>
      </c>
      <c r="U4159" s="2" t="s">
        <v>24125</v>
      </c>
      <c r="V4159" s="1">
        <v>45441</v>
      </c>
      <c r="W4159" t="s">
        <v>1051</v>
      </c>
      <c r="X4159">
        <v>834629</v>
      </c>
      <c r="Y4159" t="s">
        <v>19602</v>
      </c>
      <c r="Z4159" t="e">
        <f ca="1">- cleaned cartridge Bays, plunger Rods _xludf.and I-CORE
- performed XpertCheck
- generated reports</f>
        <v>#NAME?</v>
      </c>
      <c r="AA4159" t="s">
        <v>20523</v>
      </c>
      <c r="AB4159" s="2" t="s">
        <v>25346</v>
      </c>
      <c r="AD4159" t="s">
        <v>1958</v>
      </c>
      <c r="AE4159" t="s">
        <v>103</v>
      </c>
      <c r="AG4159" t="s">
        <v>25347</v>
      </c>
      <c r="AH4159" t="s">
        <v>22248</v>
      </c>
      <c r="AI4159" t="s">
        <v>25348</v>
      </c>
    </row>
    <row r="4160" spans="2:35" ht="105">
      <c r="B4160" s="1">
        <v>45445</v>
      </c>
      <c r="C4160" s="4">
        <v>45440.481944444444</v>
      </c>
      <c r="D4160" t="s">
        <v>22725</v>
      </c>
      <c r="E4160" t="s">
        <v>25094</v>
      </c>
      <c r="F4160">
        <v>1</v>
      </c>
      <c r="G4160" t="s">
        <v>1046</v>
      </c>
      <c r="H4160" t="s">
        <v>1047</v>
      </c>
      <c r="I4160" t="s">
        <v>40</v>
      </c>
      <c r="J4160" s="2" t="s">
        <v>62</v>
      </c>
      <c r="K4160" t="s">
        <v>42</v>
      </c>
      <c r="L4160" t="s">
        <v>1048</v>
      </c>
      <c r="N4160" t="s">
        <v>1049</v>
      </c>
      <c r="Q4160">
        <v>28385</v>
      </c>
      <c r="R4160" t="s">
        <v>45</v>
      </c>
      <c r="S4160" t="s">
        <v>25095</v>
      </c>
      <c r="T4160">
        <v>28</v>
      </c>
      <c r="U4160" s="2" t="s">
        <v>2160</v>
      </c>
      <c r="V4160" s="1">
        <v>45440</v>
      </c>
      <c r="W4160" t="s">
        <v>1051</v>
      </c>
      <c r="X4160">
        <v>815384</v>
      </c>
      <c r="Y4160" t="s">
        <v>19602</v>
      </c>
      <c r="Z4160" t="e">
        <f ca="1">- cleaned cartridge Bays, plunger Rods _xludf.and I-CORE
- performed XpertCheck
- generated reports</f>
        <v>#NAME?</v>
      </c>
      <c r="AA4160" t="s">
        <v>20523</v>
      </c>
      <c r="AB4160" t="e">
        <f ca="1">- Unit is Partially operational
- module B4(696024) Failed XpertCheck
- modules B1,B2 _xludf.and B3 passed XpertCheck</f>
        <v>#NAME?</v>
      </c>
      <c r="AD4160" t="s">
        <v>1958</v>
      </c>
      <c r="AE4160" t="s">
        <v>103</v>
      </c>
      <c r="AG4160" t="s">
        <v>25096</v>
      </c>
      <c r="AH4160" t="s">
        <v>22732</v>
      </c>
      <c r="AI4160" t="s">
        <v>25097</v>
      </c>
    </row>
    <row r="4161" spans="2:35" ht="105">
      <c r="B4161" s="1">
        <v>45445</v>
      </c>
      <c r="C4161" s="4">
        <v>45440.356249999997</v>
      </c>
      <c r="D4161" t="s">
        <v>1044</v>
      </c>
      <c r="E4161" t="s">
        <v>25349</v>
      </c>
      <c r="F4161">
        <v>1</v>
      </c>
      <c r="G4161" t="s">
        <v>1046</v>
      </c>
      <c r="H4161" t="s">
        <v>1047</v>
      </c>
      <c r="I4161" t="s">
        <v>40</v>
      </c>
      <c r="J4161" t="s">
        <v>109</v>
      </c>
      <c r="K4161" t="s">
        <v>42</v>
      </c>
      <c r="L4161" t="s">
        <v>1048</v>
      </c>
      <c r="N4161" t="s">
        <v>1049</v>
      </c>
      <c r="Q4161">
        <v>28384</v>
      </c>
      <c r="R4161" t="s">
        <v>45</v>
      </c>
      <c r="S4161" t="s">
        <v>1050</v>
      </c>
      <c r="T4161">
        <v>27</v>
      </c>
      <c r="U4161" s="2" t="s">
        <v>25350</v>
      </c>
      <c r="W4161" t="s">
        <v>1051</v>
      </c>
      <c r="X4161">
        <v>812830</v>
      </c>
      <c r="Y4161" t="s">
        <v>1052</v>
      </c>
      <c r="Z4161" t="e">
        <f ca="1">- cleaned cartridge Bays, plunger Rods _xludf.and I-CORE
- generated reports</f>
        <v>#NAME?</v>
      </c>
      <c r="AA4161" t="s">
        <v>820</v>
      </c>
      <c r="AB4161" t="s">
        <v>1428</v>
      </c>
      <c r="AG4161" t="s">
        <v>25351</v>
      </c>
      <c r="AH4161" t="s">
        <v>25352</v>
      </c>
      <c r="AI4161" t="s">
        <v>25353</v>
      </c>
    </row>
    <row r="4162" spans="2:35" ht="345">
      <c r="B4162" s="1">
        <v>45445</v>
      </c>
      <c r="C4162" s="4">
        <v>45440.663194444445</v>
      </c>
      <c r="D4162" t="s">
        <v>25098</v>
      </c>
      <c r="E4162" t="s">
        <v>25099</v>
      </c>
      <c r="F4162">
        <v>8</v>
      </c>
      <c r="G4162" t="s">
        <v>1663</v>
      </c>
      <c r="H4162" t="s">
        <v>202</v>
      </c>
      <c r="I4162" t="s">
        <v>94</v>
      </c>
      <c r="J4162" s="2" t="s">
        <v>41</v>
      </c>
      <c r="K4162" t="s">
        <v>42</v>
      </c>
      <c r="L4162" t="s">
        <v>259</v>
      </c>
      <c r="N4162" t="s">
        <v>260</v>
      </c>
      <c r="Q4162">
        <v>28383</v>
      </c>
      <c r="R4162" t="s">
        <v>45</v>
      </c>
      <c r="S4162" t="s">
        <v>25100</v>
      </c>
      <c r="T4162">
        <v>29</v>
      </c>
      <c r="V4162" s="1">
        <v>45440</v>
      </c>
      <c r="W4162" t="s">
        <v>23118</v>
      </c>
      <c r="X4162">
        <v>834822</v>
      </c>
      <c r="Y4162" t="s">
        <v>25101</v>
      </c>
      <c r="Z4162" t="e">
        <f ca="1">- module Replacement
- Preventive Maintenance</f>
        <v>#NAME?</v>
      </c>
      <c r="AA4162" s="2" t="s">
        <v>25102</v>
      </c>
      <c r="AB4162" t="s">
        <v>181</v>
      </c>
      <c r="AD4162" t="s">
        <v>25103</v>
      </c>
      <c r="AE4162" t="s">
        <v>45</v>
      </c>
      <c r="AG4162" t="s">
        <v>25354</v>
      </c>
      <c r="AH4162" t="s">
        <v>25105</v>
      </c>
      <c r="AI4162" t="s">
        <v>25355</v>
      </c>
    </row>
    <row r="4163" spans="2:35" ht="105">
      <c r="B4163" s="1">
        <v>45444</v>
      </c>
      <c r="C4163" s="4">
        <v>45444.710416666669</v>
      </c>
      <c r="D4163" t="s">
        <v>25356</v>
      </c>
      <c r="E4163" t="s">
        <v>25357</v>
      </c>
      <c r="F4163">
        <v>11</v>
      </c>
      <c r="G4163" t="s">
        <v>201</v>
      </c>
      <c r="H4163" t="s">
        <v>150</v>
      </c>
      <c r="I4163" t="s">
        <v>40</v>
      </c>
      <c r="J4163" s="2" t="s">
        <v>609</v>
      </c>
      <c r="K4163" t="s">
        <v>42</v>
      </c>
      <c r="L4163" t="s">
        <v>1288</v>
      </c>
      <c r="N4163" t="s">
        <v>1289</v>
      </c>
      <c r="Q4163">
        <v>28382</v>
      </c>
      <c r="R4163" t="s">
        <v>45</v>
      </c>
      <c r="S4163" t="s">
        <v>25358</v>
      </c>
      <c r="T4163">
        <v>29</v>
      </c>
      <c r="U4163" s="2" t="s">
        <v>25359</v>
      </c>
      <c r="W4163" t="s">
        <v>9206</v>
      </c>
      <c r="X4163">
        <v>110020275</v>
      </c>
      <c r="Y4163" t="e">
        <f ca="1">-Preventive Maintenance</f>
        <v>#NAME?</v>
      </c>
      <c r="Z4163" t="e">
        <f ca="1">-COLLECT IQR, system _xludf.Log, _xludf.and ARCHIVE</f>
        <v>#NAME?</v>
      </c>
      <c r="AA4163" t="e">
        <f ca="1">-PERFORM Preventive Maintenance
-ASSIST in Data Back up / ARCHIVE</f>
        <v>#NAME?</v>
      </c>
      <c r="AB4163" t="s">
        <v>1293</v>
      </c>
      <c r="AG4163" t="s">
        <v>25360</v>
      </c>
      <c r="AH4163" t="s">
        <v>25361</v>
      </c>
      <c r="AI4163" t="s">
        <v>25362</v>
      </c>
    </row>
    <row r="4164" spans="2:35" ht="195">
      <c r="B4164" s="1">
        <v>45443</v>
      </c>
      <c r="C4164" s="4">
        <v>45443.574305555558</v>
      </c>
      <c r="D4164" t="s">
        <v>4413</v>
      </c>
      <c r="E4164" t="s">
        <v>25363</v>
      </c>
      <c r="F4164">
        <v>12</v>
      </c>
      <c r="G4164" t="s">
        <v>978</v>
      </c>
      <c r="H4164" t="s">
        <v>1473</v>
      </c>
      <c r="I4164" t="s">
        <v>40</v>
      </c>
      <c r="J4164" t="s">
        <v>109</v>
      </c>
      <c r="K4164" t="s">
        <v>42</v>
      </c>
      <c r="L4164" t="s">
        <v>296</v>
      </c>
      <c r="N4164" t="s">
        <v>297</v>
      </c>
      <c r="Q4164">
        <v>28381</v>
      </c>
      <c r="R4164" t="s">
        <v>119</v>
      </c>
      <c r="S4164" t="s">
        <v>7498</v>
      </c>
      <c r="T4164">
        <v>27.6</v>
      </c>
      <c r="U4164" s="2" t="s">
        <v>25364</v>
      </c>
      <c r="W4164" t="s">
        <v>23049</v>
      </c>
      <c r="X4164">
        <v>838544</v>
      </c>
      <c r="Y4164" t="s">
        <v>25365</v>
      </c>
      <c r="Z4164" s="2" t="s">
        <v>25366</v>
      </c>
      <c r="AA4164" t="s">
        <v>9161</v>
      </c>
      <c r="AB4164" t="s">
        <v>1480</v>
      </c>
      <c r="AG4164" t="s">
        <v>25367</v>
      </c>
      <c r="AH4164" t="s">
        <v>7502</v>
      </c>
      <c r="AI4164" t="s">
        <v>25368</v>
      </c>
    </row>
    <row r="4165" spans="2:35" ht="165">
      <c r="B4165" s="1">
        <v>45443</v>
      </c>
      <c r="C4165" s="4">
        <v>45443.527777777781</v>
      </c>
      <c r="D4165" t="s">
        <v>25369</v>
      </c>
      <c r="E4165" t="s">
        <v>25370</v>
      </c>
      <c r="F4165">
        <v>6</v>
      </c>
      <c r="G4165" t="s">
        <v>1234</v>
      </c>
      <c r="H4165" t="s">
        <v>39</v>
      </c>
      <c r="I4165" t="s">
        <v>40</v>
      </c>
      <c r="J4165" s="2" t="s">
        <v>62</v>
      </c>
      <c r="K4165" t="s">
        <v>42</v>
      </c>
      <c r="L4165" t="s">
        <v>433</v>
      </c>
      <c r="N4165" t="s">
        <v>25371</v>
      </c>
      <c r="Q4165">
        <v>28380</v>
      </c>
      <c r="R4165" t="s">
        <v>45</v>
      </c>
      <c r="S4165" t="s">
        <v>25372</v>
      </c>
      <c r="T4165">
        <v>29</v>
      </c>
      <c r="W4165" t="s">
        <v>1008</v>
      </c>
      <c r="X4165">
        <v>838141</v>
      </c>
      <c r="Y4165" t="s">
        <v>7168</v>
      </c>
      <c r="Z4165" s="2" t="s">
        <v>25373</v>
      </c>
      <c r="AA4165" s="2" t="s">
        <v>25374</v>
      </c>
      <c r="AB4165" t="s">
        <v>25375</v>
      </c>
      <c r="AG4165" t="s">
        <v>25376</v>
      </c>
      <c r="AH4165" t="s">
        <v>25377</v>
      </c>
      <c r="AI4165" t="s">
        <v>25378</v>
      </c>
    </row>
    <row r="4166" spans="2:35" ht="409.5">
      <c r="B4166" s="1">
        <v>45443</v>
      </c>
      <c r="C4166" s="4">
        <v>45443.497916666667</v>
      </c>
      <c r="D4166" t="s">
        <v>25379</v>
      </c>
      <c r="E4166" t="s">
        <v>25380</v>
      </c>
      <c r="F4166">
        <v>11</v>
      </c>
      <c r="G4166" t="s">
        <v>201</v>
      </c>
      <c r="H4166" t="s">
        <v>10969</v>
      </c>
      <c r="I4166" t="s">
        <v>40</v>
      </c>
      <c r="J4166" s="2" t="s">
        <v>1309</v>
      </c>
      <c r="K4166" t="s">
        <v>42</v>
      </c>
      <c r="L4166" t="s">
        <v>1288</v>
      </c>
      <c r="N4166" t="s">
        <v>1289</v>
      </c>
      <c r="Q4166">
        <v>28379</v>
      </c>
      <c r="R4166" t="s">
        <v>45</v>
      </c>
      <c r="S4166" t="s">
        <v>25381</v>
      </c>
      <c r="T4166">
        <v>25</v>
      </c>
      <c r="U4166" s="2" t="s">
        <v>25382</v>
      </c>
      <c r="W4166" t="s">
        <v>4775</v>
      </c>
      <c r="X4166">
        <v>835221</v>
      </c>
      <c r="Y4166" t="s">
        <v>25383</v>
      </c>
      <c r="Z4166" t="e">
        <f ca="1">-COLLECT IQR, system _xludf.Log, ARCHIVE, _xludf.and CALIBRATION Data</f>
        <v>#NAME?</v>
      </c>
      <c r="AA4166" s="2" t="s">
        <v>25384</v>
      </c>
      <c r="AB4166" t="s">
        <v>1293</v>
      </c>
      <c r="AG4166" t="s">
        <v>25385</v>
      </c>
      <c r="AH4166" t="s">
        <v>25386</v>
      </c>
      <c r="AI4166" t="s">
        <v>25387</v>
      </c>
    </row>
    <row r="4167" spans="2:35" ht="135">
      <c r="B4167" s="1">
        <v>45443</v>
      </c>
      <c r="C4167" s="4">
        <v>45443.480555555558</v>
      </c>
      <c r="D4167" t="s">
        <v>25388</v>
      </c>
      <c r="E4167" t="s">
        <v>25389</v>
      </c>
      <c r="F4167">
        <v>13</v>
      </c>
      <c r="G4167" t="s">
        <v>931</v>
      </c>
      <c r="H4167" t="s">
        <v>2125</v>
      </c>
      <c r="I4167" t="s">
        <v>40</v>
      </c>
      <c r="J4167" s="2" t="s">
        <v>190</v>
      </c>
      <c r="K4167" t="s">
        <v>42</v>
      </c>
      <c r="L4167" t="s">
        <v>933</v>
      </c>
      <c r="N4167" t="s">
        <v>934</v>
      </c>
      <c r="Q4167">
        <v>28378</v>
      </c>
      <c r="R4167" t="s">
        <v>45</v>
      </c>
      <c r="S4167" t="s">
        <v>25390</v>
      </c>
      <c r="T4167">
        <v>29</v>
      </c>
      <c r="W4167" t="s">
        <v>10610</v>
      </c>
      <c r="X4167">
        <v>815435</v>
      </c>
      <c r="Y4167" t="s">
        <v>25002</v>
      </c>
      <c r="Z4167" t="s">
        <v>13654</v>
      </c>
      <c r="AA4167" s="2" t="s">
        <v>25391</v>
      </c>
      <c r="AB4167" t="s">
        <v>25392</v>
      </c>
      <c r="AG4167" t="s">
        <v>25393</v>
      </c>
      <c r="AH4167" t="s">
        <v>25394</v>
      </c>
      <c r="AI4167" t="s">
        <v>25395</v>
      </c>
    </row>
    <row r="4168" spans="2:35" ht="390">
      <c r="B4168" s="1">
        <v>45443</v>
      </c>
      <c r="C4168" s="4">
        <v>45443.465277777781</v>
      </c>
      <c r="D4168" t="s">
        <v>25396</v>
      </c>
      <c r="E4168" t="s">
        <v>25397</v>
      </c>
      <c r="F4168">
        <v>3</v>
      </c>
      <c r="G4168" t="s">
        <v>284</v>
      </c>
      <c r="H4168" t="s">
        <v>39</v>
      </c>
      <c r="I4168" t="s">
        <v>40</v>
      </c>
      <c r="J4168" s="2" t="s">
        <v>41</v>
      </c>
      <c r="K4168" t="s">
        <v>42</v>
      </c>
      <c r="L4168" t="s">
        <v>135</v>
      </c>
      <c r="N4168" t="s">
        <v>136</v>
      </c>
      <c r="Q4168">
        <v>28377</v>
      </c>
      <c r="R4168" t="s">
        <v>119</v>
      </c>
      <c r="S4168" t="s">
        <v>25398</v>
      </c>
      <c r="T4168">
        <v>26</v>
      </c>
      <c r="U4168" s="2" t="s">
        <v>2367</v>
      </c>
      <c r="W4168" t="s">
        <v>2680</v>
      </c>
      <c r="X4168">
        <v>831668</v>
      </c>
      <c r="Y4168" t="s">
        <v>25399</v>
      </c>
      <c r="Z4168" s="2" t="s">
        <v>20701</v>
      </c>
      <c r="AA4168" s="2" t="s">
        <v>5713</v>
      </c>
      <c r="AB4168" s="2" t="s">
        <v>25400</v>
      </c>
      <c r="AG4168" t="s">
        <v>25401</v>
      </c>
      <c r="AH4168" t="s">
        <v>25402</v>
      </c>
      <c r="AI4168" t="s">
        <v>25403</v>
      </c>
    </row>
    <row r="4169" spans="2:35" ht="240">
      <c r="B4169" s="1">
        <v>45443</v>
      </c>
      <c r="C4169" s="4">
        <v>45443.372916666667</v>
      </c>
      <c r="D4169" t="s">
        <v>717</v>
      </c>
      <c r="E4169" t="s">
        <v>718</v>
      </c>
      <c r="F4169">
        <v>7</v>
      </c>
      <c r="G4169" t="s">
        <v>432</v>
      </c>
      <c r="H4169" t="s">
        <v>39</v>
      </c>
      <c r="I4169" t="s">
        <v>40</v>
      </c>
      <c r="J4169" t="s">
        <v>109</v>
      </c>
      <c r="K4169" t="s">
        <v>42</v>
      </c>
      <c r="L4169" t="s">
        <v>594</v>
      </c>
      <c r="N4169" t="s">
        <v>595</v>
      </c>
      <c r="O4169" t="s">
        <v>595</v>
      </c>
      <c r="Q4169">
        <v>28376</v>
      </c>
      <c r="R4169" t="s">
        <v>719</v>
      </c>
      <c r="S4169" t="s">
        <v>720</v>
      </c>
      <c r="T4169">
        <v>23</v>
      </c>
      <c r="V4169" s="1">
        <v>45443</v>
      </c>
      <c r="W4169" t="s">
        <v>502</v>
      </c>
      <c r="X4169">
        <v>847333</v>
      </c>
      <c r="Y4169" s="2" t="s">
        <v>25404</v>
      </c>
      <c r="Z4169" t="s">
        <v>4252</v>
      </c>
      <c r="AA4169" s="2" t="s">
        <v>25405</v>
      </c>
      <c r="AB4169" s="2" t="s">
        <v>25406</v>
      </c>
      <c r="AG4169" t="s">
        <v>25407</v>
      </c>
      <c r="AH4169" t="s">
        <v>726</v>
      </c>
      <c r="AI4169" t="s">
        <v>25408</v>
      </c>
    </row>
    <row r="4170" spans="2:35" ht="409.5">
      <c r="B4170" s="1">
        <v>45442</v>
      </c>
      <c r="C4170" s="4">
        <v>45442.790277777778</v>
      </c>
      <c r="D4170" t="s">
        <v>23134</v>
      </c>
      <c r="E4170" t="s">
        <v>25409</v>
      </c>
      <c r="F4170" t="s">
        <v>148</v>
      </c>
      <c r="G4170" t="s">
        <v>310</v>
      </c>
      <c r="H4170" t="s">
        <v>61</v>
      </c>
      <c r="I4170" t="s">
        <v>40</v>
      </c>
      <c r="J4170" s="2" t="s">
        <v>190</v>
      </c>
      <c r="K4170" t="s">
        <v>42</v>
      </c>
      <c r="L4170" t="s">
        <v>15532</v>
      </c>
      <c r="N4170" t="s">
        <v>15533</v>
      </c>
      <c r="Q4170">
        <v>28375</v>
      </c>
      <c r="R4170" t="s">
        <v>45</v>
      </c>
      <c r="S4170" t="s">
        <v>23136</v>
      </c>
      <c r="T4170">
        <v>25</v>
      </c>
      <c r="U4170" s="2" t="s">
        <v>25410</v>
      </c>
      <c r="W4170" t="s">
        <v>25411</v>
      </c>
      <c r="X4170">
        <v>844121</v>
      </c>
      <c r="Y4170" t="s">
        <v>9728</v>
      </c>
      <c r="Z4170" s="2" t="s">
        <v>25412</v>
      </c>
      <c r="AA4170" s="2" t="s">
        <v>25413</v>
      </c>
      <c r="AB4170" t="s">
        <v>25414</v>
      </c>
      <c r="AG4170" t="s">
        <v>25415</v>
      </c>
      <c r="AH4170" t="s">
        <v>25416</v>
      </c>
      <c r="AI4170" t="s">
        <v>25417</v>
      </c>
    </row>
    <row r="4171" spans="2:35" ht="300">
      <c r="B4171" s="1">
        <v>45442</v>
      </c>
      <c r="C4171" s="4">
        <v>45442.656944444447</v>
      </c>
      <c r="D4171" t="s">
        <v>25418</v>
      </c>
      <c r="E4171" t="s">
        <v>25419</v>
      </c>
      <c r="F4171" t="s">
        <v>148</v>
      </c>
      <c r="G4171" t="s">
        <v>310</v>
      </c>
      <c r="H4171" t="s">
        <v>5523</v>
      </c>
      <c r="I4171" t="s">
        <v>40</v>
      </c>
      <c r="J4171" t="s">
        <v>109</v>
      </c>
      <c r="K4171" t="s">
        <v>42</v>
      </c>
      <c r="L4171" t="s">
        <v>15532</v>
      </c>
      <c r="N4171" t="s">
        <v>15533</v>
      </c>
      <c r="Q4171">
        <v>28374</v>
      </c>
      <c r="R4171" t="s">
        <v>119</v>
      </c>
      <c r="S4171" t="s">
        <v>25420</v>
      </c>
      <c r="T4171">
        <v>25</v>
      </c>
      <c r="W4171" t="s">
        <v>15535</v>
      </c>
      <c r="X4171">
        <v>831684</v>
      </c>
      <c r="Y4171" t="s">
        <v>15536</v>
      </c>
      <c r="Z4171" s="2" t="s">
        <v>24712</v>
      </c>
      <c r="AA4171" s="2" t="s">
        <v>25421</v>
      </c>
      <c r="AB4171" s="2" t="s">
        <v>17371</v>
      </c>
      <c r="AG4171" t="s">
        <v>25422</v>
      </c>
      <c r="AH4171" t="s">
        <v>25423</v>
      </c>
      <c r="AI4171" t="s">
        <v>25424</v>
      </c>
    </row>
    <row r="4172" spans="2:35" ht="165">
      <c r="B4172" s="1">
        <v>45442</v>
      </c>
      <c r="C4172" s="4">
        <v>45442.668055555558</v>
      </c>
      <c r="D4172" t="s">
        <v>1203</v>
      </c>
      <c r="E4172" t="s">
        <v>25425</v>
      </c>
      <c r="F4172">
        <v>11</v>
      </c>
      <c r="G4172" t="s">
        <v>1205</v>
      </c>
      <c r="H4172" t="s">
        <v>25426</v>
      </c>
      <c r="I4172" t="s">
        <v>40</v>
      </c>
      <c r="J4172" t="s">
        <v>525</v>
      </c>
      <c r="K4172" t="s">
        <v>387</v>
      </c>
      <c r="L4172" t="s">
        <v>204</v>
      </c>
      <c r="N4172" t="s">
        <v>205</v>
      </c>
      <c r="O4172" t="s">
        <v>2867</v>
      </c>
      <c r="Q4172">
        <v>28373</v>
      </c>
      <c r="R4172" t="s">
        <v>95</v>
      </c>
      <c r="S4172" t="s">
        <v>6315</v>
      </c>
      <c r="T4172">
        <v>25.8</v>
      </c>
      <c r="W4172" t="s">
        <v>390</v>
      </c>
      <c r="X4172" t="s">
        <v>6867</v>
      </c>
      <c r="Y4172" t="s">
        <v>25427</v>
      </c>
      <c r="Z4172" s="2" t="s">
        <v>25428</v>
      </c>
      <c r="AA4172" s="2" t="s">
        <v>25429</v>
      </c>
      <c r="AB4172" t="s">
        <v>25430</v>
      </c>
      <c r="AG4172" t="s">
        <v>25431</v>
      </c>
      <c r="AH4172" t="s">
        <v>25432</v>
      </c>
      <c r="AI4172" t="s">
        <v>25433</v>
      </c>
    </row>
    <row r="4173" spans="2:35" ht="360">
      <c r="B4173" s="1">
        <v>45442</v>
      </c>
      <c r="C4173" s="4">
        <v>45442.629861111112</v>
      </c>
      <c r="D4173" t="s">
        <v>1670</v>
      </c>
      <c r="E4173" t="s">
        <v>25419</v>
      </c>
      <c r="F4173" t="s">
        <v>148</v>
      </c>
      <c r="G4173" t="s">
        <v>310</v>
      </c>
      <c r="H4173" t="s">
        <v>39</v>
      </c>
      <c r="I4173" t="s">
        <v>40</v>
      </c>
      <c r="J4173" s="2" t="s">
        <v>1309</v>
      </c>
      <c r="K4173" t="s">
        <v>42</v>
      </c>
      <c r="L4173" t="s">
        <v>15532</v>
      </c>
      <c r="N4173" t="s">
        <v>15533</v>
      </c>
      <c r="Q4173">
        <v>28372</v>
      </c>
      <c r="R4173" t="s">
        <v>45</v>
      </c>
      <c r="S4173" t="s">
        <v>25420</v>
      </c>
      <c r="T4173">
        <v>25</v>
      </c>
      <c r="U4173" s="2" t="s">
        <v>25434</v>
      </c>
      <c r="V4173" s="1">
        <v>45436</v>
      </c>
      <c r="W4173" t="s">
        <v>15535</v>
      </c>
      <c r="X4173">
        <v>812829</v>
      </c>
      <c r="Y4173" s="2" t="s">
        <v>25435</v>
      </c>
      <c r="Z4173" s="2" t="s">
        <v>25436</v>
      </c>
      <c r="AA4173" s="2" t="s">
        <v>25437</v>
      </c>
      <c r="AB4173" s="2" t="s">
        <v>25438</v>
      </c>
      <c r="AD4173" s="2" t="s">
        <v>25439</v>
      </c>
      <c r="AE4173" t="s">
        <v>25440</v>
      </c>
      <c r="AG4173" t="s">
        <v>25441</v>
      </c>
      <c r="AH4173" t="s">
        <v>25423</v>
      </c>
      <c r="AI4173" t="s">
        <v>25442</v>
      </c>
    </row>
    <row r="4174" spans="2:35" ht="105">
      <c r="B4174" s="1">
        <v>45442</v>
      </c>
      <c r="C4174" s="4">
        <v>45442.574305555558</v>
      </c>
      <c r="D4174" t="s">
        <v>1564</v>
      </c>
      <c r="E4174" t="s">
        <v>1565</v>
      </c>
      <c r="F4174">
        <v>8</v>
      </c>
      <c r="G4174" t="s">
        <v>342</v>
      </c>
      <c r="H4174" t="s">
        <v>22505</v>
      </c>
      <c r="I4174" t="s">
        <v>94</v>
      </c>
      <c r="J4174" s="2" t="s">
        <v>62</v>
      </c>
      <c r="K4174" t="s">
        <v>42</v>
      </c>
      <c r="L4174" t="s">
        <v>343</v>
      </c>
      <c r="N4174" t="s">
        <v>344</v>
      </c>
      <c r="Q4174">
        <v>28371</v>
      </c>
      <c r="R4174" t="s">
        <v>45</v>
      </c>
      <c r="S4174" t="s">
        <v>1566</v>
      </c>
      <c r="T4174">
        <v>25</v>
      </c>
      <c r="U4174" s="2" t="s">
        <v>25443</v>
      </c>
      <c r="W4174" t="s">
        <v>5771</v>
      </c>
      <c r="X4174">
        <v>834818</v>
      </c>
      <c r="Y4174" t="s">
        <v>25444</v>
      </c>
      <c r="Z4174" t="e">
        <f ca="1">-run XpertCheck CALIBRATION on ALL two modules</f>
        <v>#NAME?</v>
      </c>
      <c r="AA4174" t="e">
        <f ca="1">-Preventive Maintenance
-XpertCheck CALIBRATION</f>
        <v>#NAME?</v>
      </c>
      <c r="AB4174" t="s">
        <v>25445</v>
      </c>
      <c r="AG4174" t="s">
        <v>25446</v>
      </c>
      <c r="AH4174" t="s">
        <v>1570</v>
      </c>
      <c r="AI4174" t="s">
        <v>25447</v>
      </c>
    </row>
    <row r="4175" spans="2:35" ht="300">
      <c r="B4175" s="1">
        <v>45442</v>
      </c>
      <c r="C4175" s="4">
        <v>45442.613888888889</v>
      </c>
      <c r="D4175" t="s">
        <v>4013</v>
      </c>
      <c r="E4175" t="s">
        <v>25448</v>
      </c>
      <c r="F4175">
        <v>13</v>
      </c>
      <c r="G4175" t="s">
        <v>4015</v>
      </c>
      <c r="H4175" t="s">
        <v>2125</v>
      </c>
      <c r="I4175" t="s">
        <v>40</v>
      </c>
      <c r="J4175" t="s">
        <v>321</v>
      </c>
      <c r="K4175" t="s">
        <v>42</v>
      </c>
      <c r="L4175" t="s">
        <v>933</v>
      </c>
      <c r="N4175" t="s">
        <v>934</v>
      </c>
      <c r="Q4175">
        <v>28370</v>
      </c>
      <c r="R4175" t="s">
        <v>45</v>
      </c>
      <c r="S4175" t="s">
        <v>4016</v>
      </c>
      <c r="T4175">
        <v>25</v>
      </c>
      <c r="W4175" t="s">
        <v>3662</v>
      </c>
      <c r="X4175">
        <v>110013918</v>
      </c>
      <c r="Y4175" t="s">
        <v>301</v>
      </c>
      <c r="Z4175" t="s">
        <v>301</v>
      </c>
      <c r="AA4175" s="2" t="s">
        <v>25449</v>
      </c>
      <c r="AB4175" s="2" t="s">
        <v>25450</v>
      </c>
      <c r="AG4175" t="s">
        <v>25451</v>
      </c>
      <c r="AH4175" t="s">
        <v>25452</v>
      </c>
      <c r="AI4175" t="s">
        <v>25453</v>
      </c>
    </row>
    <row r="4176" spans="2:35" ht="345">
      <c r="B4176" s="1">
        <v>45442</v>
      </c>
      <c r="C4176" s="4">
        <v>45442.599305555559</v>
      </c>
      <c r="D4176" t="s">
        <v>24759</v>
      </c>
      <c r="E4176" t="s">
        <v>10984</v>
      </c>
      <c r="F4176">
        <v>6</v>
      </c>
      <c r="G4176" t="s">
        <v>1234</v>
      </c>
      <c r="H4176" t="s">
        <v>39</v>
      </c>
      <c r="I4176" t="s">
        <v>40</v>
      </c>
      <c r="J4176" s="2" t="s">
        <v>1370</v>
      </c>
      <c r="K4176" t="s">
        <v>42</v>
      </c>
      <c r="L4176" t="s">
        <v>433</v>
      </c>
      <c r="N4176" t="s">
        <v>434</v>
      </c>
      <c r="Q4176">
        <v>28369</v>
      </c>
      <c r="R4176" t="s">
        <v>45</v>
      </c>
      <c r="S4176" t="s">
        <v>24760</v>
      </c>
      <c r="T4176">
        <v>29</v>
      </c>
      <c r="W4176" t="s">
        <v>1008</v>
      </c>
      <c r="X4176">
        <v>805093</v>
      </c>
      <c r="Y4176" t="s">
        <v>25454</v>
      </c>
      <c r="Z4176" s="2" t="s">
        <v>25455</v>
      </c>
      <c r="AA4176" s="2" t="s">
        <v>25455</v>
      </c>
      <c r="AB4176" t="s">
        <v>1011</v>
      </c>
      <c r="AG4176" t="s">
        <v>25456</v>
      </c>
      <c r="AH4176" t="s">
        <v>25457</v>
      </c>
      <c r="AI4176" t="s">
        <v>25458</v>
      </c>
    </row>
    <row r="4177" spans="2:35" ht="405">
      <c r="B4177" s="1">
        <v>45442</v>
      </c>
      <c r="C4177" s="4">
        <v>45442.535416666666</v>
      </c>
      <c r="D4177" t="s">
        <v>3050</v>
      </c>
      <c r="E4177" t="s">
        <v>25459</v>
      </c>
      <c r="F4177" t="s">
        <v>148</v>
      </c>
      <c r="G4177" t="s">
        <v>371</v>
      </c>
      <c r="H4177" t="s">
        <v>39</v>
      </c>
      <c r="I4177" t="s">
        <v>40</v>
      </c>
      <c r="J4177" s="2" t="s">
        <v>62</v>
      </c>
      <c r="K4177" t="s">
        <v>42</v>
      </c>
      <c r="L4177" t="s">
        <v>15532</v>
      </c>
      <c r="N4177" t="s">
        <v>15533</v>
      </c>
      <c r="Q4177">
        <v>28368</v>
      </c>
      <c r="R4177" t="s">
        <v>45</v>
      </c>
      <c r="S4177" t="s">
        <v>3052</v>
      </c>
      <c r="T4177">
        <v>25</v>
      </c>
      <c r="U4177" s="2" t="s">
        <v>25460</v>
      </c>
      <c r="V4177" s="1">
        <v>45436</v>
      </c>
      <c r="W4177" t="s">
        <v>15535</v>
      </c>
      <c r="X4177" t="s">
        <v>25461</v>
      </c>
      <c r="Y4177" t="s">
        <v>25462</v>
      </c>
      <c r="Z4177" s="2" t="s">
        <v>25463</v>
      </c>
      <c r="AA4177" s="2" t="s">
        <v>25464</v>
      </c>
      <c r="AB4177" s="2" t="s">
        <v>25465</v>
      </c>
      <c r="AD4177" t="s">
        <v>20036</v>
      </c>
      <c r="AE4177" t="s">
        <v>25466</v>
      </c>
      <c r="AG4177" t="s">
        <v>25467</v>
      </c>
      <c r="AH4177" t="s">
        <v>25468</v>
      </c>
      <c r="AI4177" t="s">
        <v>25469</v>
      </c>
    </row>
    <row r="4178" spans="2:35" ht="300">
      <c r="B4178" s="1">
        <v>45442</v>
      </c>
      <c r="C4178" s="4">
        <v>45442.509027777778</v>
      </c>
      <c r="D4178" t="s">
        <v>25470</v>
      </c>
      <c r="E4178" t="s">
        <v>25459</v>
      </c>
      <c r="F4178" t="s">
        <v>148</v>
      </c>
      <c r="G4178" t="s">
        <v>371</v>
      </c>
      <c r="H4178" t="s">
        <v>39</v>
      </c>
      <c r="I4178" t="s">
        <v>40</v>
      </c>
      <c r="J4178" s="2" t="s">
        <v>1808</v>
      </c>
      <c r="K4178" t="s">
        <v>42</v>
      </c>
      <c r="L4178" t="s">
        <v>15532</v>
      </c>
      <c r="N4178" t="s">
        <v>15533</v>
      </c>
      <c r="Q4178">
        <v>28367</v>
      </c>
      <c r="R4178" t="s">
        <v>45</v>
      </c>
      <c r="S4178" t="s">
        <v>3052</v>
      </c>
      <c r="T4178">
        <v>25</v>
      </c>
      <c r="U4178" s="2" t="s">
        <v>2367</v>
      </c>
      <c r="V4178" s="1">
        <v>45436</v>
      </c>
      <c r="W4178" t="s">
        <v>20940</v>
      </c>
      <c r="X4178">
        <v>120000489</v>
      </c>
      <c r="Y4178" s="2" t="s">
        <v>25471</v>
      </c>
      <c r="Z4178" s="2" t="s">
        <v>25472</v>
      </c>
      <c r="AA4178" s="2" t="s">
        <v>25473</v>
      </c>
      <c r="AB4178" s="2" t="s">
        <v>17371</v>
      </c>
      <c r="AD4178" s="2" t="s">
        <v>25474</v>
      </c>
      <c r="AE4178" t="s">
        <v>25475</v>
      </c>
      <c r="AG4178" t="s">
        <v>25476</v>
      </c>
      <c r="AH4178" t="s">
        <v>25468</v>
      </c>
      <c r="AI4178" t="s">
        <v>25477</v>
      </c>
    </row>
    <row r="4179" spans="2:35" ht="210">
      <c r="B4179" s="1">
        <v>45442</v>
      </c>
      <c r="C4179" s="4">
        <v>45442.418749999997</v>
      </c>
      <c r="D4179" t="s">
        <v>24860</v>
      </c>
      <c r="E4179" t="s">
        <v>9773</v>
      </c>
      <c r="F4179">
        <v>6</v>
      </c>
      <c r="G4179" t="s">
        <v>1234</v>
      </c>
      <c r="H4179" t="s">
        <v>1047</v>
      </c>
      <c r="I4179" t="s">
        <v>94</v>
      </c>
      <c r="J4179" t="s">
        <v>525</v>
      </c>
      <c r="K4179" t="s">
        <v>42</v>
      </c>
      <c r="L4179" t="s">
        <v>23958</v>
      </c>
      <c r="N4179" t="s">
        <v>23959</v>
      </c>
      <c r="Q4179">
        <v>28366</v>
      </c>
      <c r="R4179" t="s">
        <v>119</v>
      </c>
      <c r="S4179" t="s">
        <v>25478</v>
      </c>
      <c r="T4179">
        <v>24</v>
      </c>
      <c r="U4179" s="2" t="s">
        <v>25479</v>
      </c>
      <c r="W4179" t="s">
        <v>360</v>
      </c>
      <c r="X4179">
        <v>821219</v>
      </c>
      <c r="Y4179" t="s">
        <v>25480</v>
      </c>
      <c r="Z4179" t="s">
        <v>25481</v>
      </c>
      <c r="AA4179" t="s">
        <v>25482</v>
      </c>
      <c r="AB4179" t="s">
        <v>25483</v>
      </c>
      <c r="AG4179" t="s">
        <v>25484</v>
      </c>
      <c r="AH4179" t="s">
        <v>25485</v>
      </c>
      <c r="AI4179" t="s">
        <v>25486</v>
      </c>
    </row>
    <row r="4180" spans="2:35" ht="300">
      <c r="B4180" s="1">
        <v>45442</v>
      </c>
      <c r="C4180" s="4">
        <v>45442.423611111109</v>
      </c>
      <c r="D4180" t="s">
        <v>7019</v>
      </c>
      <c r="E4180" t="s">
        <v>353</v>
      </c>
      <c r="F4180" t="s">
        <v>148</v>
      </c>
      <c r="G4180" t="s">
        <v>310</v>
      </c>
      <c r="H4180" t="s">
        <v>39</v>
      </c>
      <c r="I4180" t="s">
        <v>40</v>
      </c>
      <c r="J4180" t="s">
        <v>109</v>
      </c>
      <c r="K4180" t="s">
        <v>42</v>
      </c>
      <c r="L4180" t="s">
        <v>1028</v>
      </c>
      <c r="N4180" t="s">
        <v>1029</v>
      </c>
      <c r="O4180" t="s">
        <v>16275</v>
      </c>
      <c r="Q4180">
        <v>28365</v>
      </c>
      <c r="R4180" t="s">
        <v>322</v>
      </c>
      <c r="S4180" t="s">
        <v>14278</v>
      </c>
      <c r="T4180">
        <v>28</v>
      </c>
      <c r="W4180" t="s">
        <v>2441</v>
      </c>
      <c r="X4180">
        <v>821257</v>
      </c>
      <c r="Y4180" t="s">
        <v>25487</v>
      </c>
      <c r="Z4180" t="s">
        <v>3128</v>
      </c>
      <c r="AA4180" s="2" t="s">
        <v>25488</v>
      </c>
      <c r="AB4180" t="s">
        <v>3300</v>
      </c>
      <c r="AG4180" t="s">
        <v>25489</v>
      </c>
      <c r="AH4180" t="s">
        <v>14283</v>
      </c>
      <c r="AI4180" t="s">
        <v>25490</v>
      </c>
    </row>
    <row r="4181" spans="2:35" ht="195">
      <c r="B4181" s="1">
        <v>45441</v>
      </c>
      <c r="C4181" s="4">
        <v>45439.56527777778</v>
      </c>
      <c r="D4181" t="s">
        <v>3098</v>
      </c>
      <c r="E4181" t="s">
        <v>25491</v>
      </c>
      <c r="F4181">
        <v>7</v>
      </c>
      <c r="G4181" t="s">
        <v>432</v>
      </c>
      <c r="H4181" t="s">
        <v>39</v>
      </c>
      <c r="I4181" t="s">
        <v>40</v>
      </c>
      <c r="J4181" s="2" t="s">
        <v>355</v>
      </c>
      <c r="K4181" t="s">
        <v>42</v>
      </c>
      <c r="L4181" t="s">
        <v>433</v>
      </c>
      <c r="N4181" t="s">
        <v>434</v>
      </c>
      <c r="Q4181">
        <v>28364</v>
      </c>
      <c r="R4181" t="s">
        <v>45</v>
      </c>
      <c r="S4181" t="s">
        <v>2189</v>
      </c>
      <c r="T4181">
        <v>35</v>
      </c>
      <c r="W4181" t="s">
        <v>502</v>
      </c>
      <c r="X4181">
        <v>835189</v>
      </c>
      <c r="Y4181" s="2" t="s">
        <v>25492</v>
      </c>
      <c r="Z4181" s="2" t="s">
        <v>25493</v>
      </c>
      <c r="AA4181" s="2" t="s">
        <v>25493</v>
      </c>
      <c r="AB4181" t="s">
        <v>25494</v>
      </c>
      <c r="AG4181" t="s">
        <v>25495</v>
      </c>
      <c r="AH4181" t="s">
        <v>25496</v>
      </c>
      <c r="AI4181" t="s">
        <v>25497</v>
      </c>
    </row>
    <row r="4182" spans="2:35" ht="390">
      <c r="B4182" s="1">
        <v>45441</v>
      </c>
      <c r="C4182" s="4">
        <v>45441.69027777778</v>
      </c>
      <c r="D4182" t="s">
        <v>25498</v>
      </c>
      <c r="E4182" t="s">
        <v>25499</v>
      </c>
      <c r="F4182">
        <v>3</v>
      </c>
      <c r="G4182" t="s">
        <v>134</v>
      </c>
      <c r="H4182" t="s">
        <v>39</v>
      </c>
      <c r="I4182" t="s">
        <v>40</v>
      </c>
      <c r="J4182" s="2" t="s">
        <v>41</v>
      </c>
      <c r="K4182" t="s">
        <v>42</v>
      </c>
      <c r="L4182" t="s">
        <v>135</v>
      </c>
      <c r="N4182" t="s">
        <v>136</v>
      </c>
      <c r="Q4182">
        <v>28363</v>
      </c>
      <c r="R4182" t="s">
        <v>45</v>
      </c>
      <c r="S4182" t="s">
        <v>25500</v>
      </c>
      <c r="T4182">
        <v>27</v>
      </c>
      <c r="U4182" s="2" t="s">
        <v>25501</v>
      </c>
      <c r="W4182" t="s">
        <v>3418</v>
      </c>
      <c r="X4182">
        <v>835104</v>
      </c>
      <c r="Y4182" t="s">
        <v>25502</v>
      </c>
      <c r="Z4182" s="2" t="s">
        <v>140</v>
      </c>
      <c r="AA4182" s="2" t="s">
        <v>5713</v>
      </c>
      <c r="AB4182" s="2" t="s">
        <v>25503</v>
      </c>
      <c r="AG4182" t="s">
        <v>25504</v>
      </c>
      <c r="AH4182" t="s">
        <v>25505</v>
      </c>
      <c r="AI4182" t="s">
        <v>25506</v>
      </c>
    </row>
    <row r="4183" spans="2:35" ht="180">
      <c r="B4183" s="1">
        <v>45441</v>
      </c>
      <c r="C4183" s="4">
        <v>45441.670138888891</v>
      </c>
      <c r="D4183" t="s">
        <v>8131</v>
      </c>
      <c r="E4183" t="s">
        <v>25507</v>
      </c>
      <c r="F4183">
        <v>10</v>
      </c>
      <c r="G4183" t="s">
        <v>4457</v>
      </c>
      <c r="H4183" t="s">
        <v>39</v>
      </c>
      <c r="I4183" t="s">
        <v>94</v>
      </c>
      <c r="J4183" t="s">
        <v>321</v>
      </c>
      <c r="K4183" t="s">
        <v>42</v>
      </c>
      <c r="L4183" t="s">
        <v>594</v>
      </c>
      <c r="N4183" t="s">
        <v>595</v>
      </c>
      <c r="Q4183">
        <v>28362</v>
      </c>
      <c r="R4183" t="s">
        <v>45</v>
      </c>
      <c r="S4183" t="s">
        <v>25508</v>
      </c>
      <c r="T4183">
        <v>23</v>
      </c>
      <c r="V4183" s="1">
        <v>45441</v>
      </c>
      <c r="W4183" t="s">
        <v>2591</v>
      </c>
      <c r="X4183">
        <v>110020390</v>
      </c>
      <c r="Y4183" t="s">
        <v>25509</v>
      </c>
      <c r="Z4183" t="s">
        <v>25510</v>
      </c>
      <c r="AA4183" s="2" t="s">
        <v>25511</v>
      </c>
      <c r="AB4183" t="s">
        <v>4890</v>
      </c>
      <c r="AC4183" t="s">
        <v>25512</v>
      </c>
      <c r="AG4183" t="s">
        <v>25513</v>
      </c>
      <c r="AH4183" t="s">
        <v>25514</v>
      </c>
      <c r="AI4183" t="s">
        <v>25515</v>
      </c>
    </row>
    <row r="4184" spans="2:35" ht="195">
      <c r="B4184" s="1">
        <v>45441</v>
      </c>
      <c r="C4184" s="4">
        <v>45441.670138888891</v>
      </c>
      <c r="D4184" t="s">
        <v>25516</v>
      </c>
      <c r="E4184" t="s">
        <v>25517</v>
      </c>
      <c r="F4184">
        <v>13</v>
      </c>
      <c r="G4184" t="s">
        <v>931</v>
      </c>
      <c r="H4184" t="s">
        <v>2125</v>
      </c>
      <c r="I4184" t="s">
        <v>40</v>
      </c>
      <c r="J4184" s="2" t="s">
        <v>62</v>
      </c>
      <c r="K4184" t="s">
        <v>42</v>
      </c>
      <c r="L4184" t="s">
        <v>933</v>
      </c>
      <c r="N4184" t="s">
        <v>934</v>
      </c>
      <c r="Q4184">
        <v>28361</v>
      </c>
      <c r="R4184" t="s">
        <v>45</v>
      </c>
      <c r="S4184" t="s">
        <v>25518</v>
      </c>
      <c r="T4184">
        <v>27</v>
      </c>
      <c r="W4184" t="s">
        <v>10115</v>
      </c>
      <c r="X4184">
        <v>110016959</v>
      </c>
      <c r="Y4184" t="s">
        <v>301</v>
      </c>
      <c r="Z4184" t="s">
        <v>301</v>
      </c>
      <c r="AA4184" s="2" t="s">
        <v>25519</v>
      </c>
      <c r="AB4184" s="2" t="s">
        <v>25520</v>
      </c>
      <c r="AG4184" t="s">
        <v>25521</v>
      </c>
      <c r="AH4184" t="s">
        <v>25522</v>
      </c>
      <c r="AI4184" t="s">
        <v>25523</v>
      </c>
    </row>
    <row r="4185" spans="2:35" ht="409.5">
      <c r="B4185" s="1">
        <v>45441</v>
      </c>
      <c r="C4185" s="4">
        <v>45441.605555555558</v>
      </c>
      <c r="D4185" t="s">
        <v>25524</v>
      </c>
      <c r="E4185" t="s">
        <v>25525</v>
      </c>
      <c r="F4185" t="s">
        <v>37</v>
      </c>
      <c r="G4185" t="s">
        <v>78</v>
      </c>
      <c r="H4185" t="s">
        <v>39</v>
      </c>
      <c r="I4185" t="s">
        <v>40</v>
      </c>
      <c r="J4185" t="s">
        <v>24441</v>
      </c>
      <c r="K4185" t="s">
        <v>42</v>
      </c>
      <c r="L4185" t="s">
        <v>43</v>
      </c>
      <c r="N4185" t="s">
        <v>44</v>
      </c>
      <c r="Q4185">
        <v>28360</v>
      </c>
      <c r="R4185" t="s">
        <v>45</v>
      </c>
      <c r="S4185" t="s">
        <v>25526</v>
      </c>
      <c r="T4185">
        <v>24</v>
      </c>
      <c r="U4185" s="2" t="s">
        <v>25527</v>
      </c>
      <c r="W4185" t="s">
        <v>48</v>
      </c>
      <c r="X4185">
        <v>807568</v>
      </c>
      <c r="Y4185" t="s">
        <v>25528</v>
      </c>
      <c r="Z4185" t="s">
        <v>24444</v>
      </c>
      <c r="AA4185" s="2" t="s">
        <v>25529</v>
      </c>
      <c r="AB4185" t="s">
        <v>25530</v>
      </c>
      <c r="AG4185" t="s">
        <v>25531</v>
      </c>
      <c r="AH4185" t="s">
        <v>25532</v>
      </c>
      <c r="AI4185" t="s">
        <v>25533</v>
      </c>
    </row>
    <row r="4186" spans="2:35" ht="225">
      <c r="B4186" s="1">
        <v>45441</v>
      </c>
      <c r="C4186" s="4">
        <v>45441.609027777777</v>
      </c>
      <c r="D4186" t="s">
        <v>25524</v>
      </c>
      <c r="E4186" t="s">
        <v>25525</v>
      </c>
      <c r="F4186" t="s">
        <v>37</v>
      </c>
      <c r="G4186" t="s">
        <v>78</v>
      </c>
      <c r="H4186" t="s">
        <v>39</v>
      </c>
      <c r="I4186" t="s">
        <v>40</v>
      </c>
      <c r="J4186" t="s">
        <v>109</v>
      </c>
      <c r="K4186" t="s">
        <v>42</v>
      </c>
      <c r="L4186" t="s">
        <v>43</v>
      </c>
      <c r="N4186" t="s">
        <v>44</v>
      </c>
      <c r="Q4186">
        <v>28359</v>
      </c>
      <c r="R4186" t="s">
        <v>45</v>
      </c>
      <c r="S4186" t="s">
        <v>25534</v>
      </c>
      <c r="T4186">
        <v>24</v>
      </c>
      <c r="U4186" s="2" t="s">
        <v>25535</v>
      </c>
      <c r="W4186" t="s">
        <v>153</v>
      </c>
      <c r="X4186">
        <v>110013962</v>
      </c>
      <c r="Y4186" t="s">
        <v>121</v>
      </c>
      <c r="Z4186" t="s">
        <v>122</v>
      </c>
      <c r="AA4186" s="2" t="s">
        <v>9744</v>
      </c>
      <c r="AB4186" t="s">
        <v>548</v>
      </c>
      <c r="AG4186" t="s">
        <v>25536</v>
      </c>
      <c r="AH4186" t="s">
        <v>25532</v>
      </c>
      <c r="AI4186" t="s">
        <v>25537</v>
      </c>
    </row>
    <row r="4187" spans="2:35" ht="165">
      <c r="B4187" s="1">
        <v>45441</v>
      </c>
      <c r="C4187" s="4">
        <v>45441.595833333333</v>
      </c>
      <c r="D4187" t="s">
        <v>58</v>
      </c>
      <c r="E4187" t="s">
        <v>24529</v>
      </c>
      <c r="F4187">
        <v>2</v>
      </c>
      <c r="G4187" t="s">
        <v>60</v>
      </c>
      <c r="H4187" t="s">
        <v>5042</v>
      </c>
      <c r="I4187" t="s">
        <v>40</v>
      </c>
      <c r="J4187" s="2" t="s">
        <v>24530</v>
      </c>
      <c r="K4187" t="s">
        <v>42</v>
      </c>
      <c r="L4187" t="s">
        <v>63</v>
      </c>
      <c r="N4187" t="s">
        <v>64</v>
      </c>
      <c r="Q4187">
        <v>28358</v>
      </c>
      <c r="R4187" t="s">
        <v>45</v>
      </c>
      <c r="S4187" t="s">
        <v>24531</v>
      </c>
      <c r="T4187">
        <v>27</v>
      </c>
      <c r="W4187" t="s">
        <v>23881</v>
      </c>
      <c r="X4187">
        <v>807458</v>
      </c>
      <c r="Y4187" t="s">
        <v>21409</v>
      </c>
      <c r="Z4187" s="2" t="s">
        <v>24532</v>
      </c>
      <c r="AA4187" s="2" t="s">
        <v>24533</v>
      </c>
      <c r="AB4187" t="s">
        <v>70</v>
      </c>
      <c r="AG4187" t="s">
        <v>25538</v>
      </c>
      <c r="AH4187" t="s">
        <v>24535</v>
      </c>
      <c r="AI4187" t="s">
        <v>25539</v>
      </c>
    </row>
    <row r="4188" spans="2:35" ht="195">
      <c r="B4188" s="1">
        <v>45441</v>
      </c>
      <c r="C4188" s="4">
        <v>45441.618055555555</v>
      </c>
      <c r="D4188" t="s">
        <v>58</v>
      </c>
      <c r="E4188" t="s">
        <v>24529</v>
      </c>
      <c r="F4188">
        <v>2</v>
      </c>
      <c r="G4188" t="s">
        <v>60</v>
      </c>
      <c r="H4188" t="s">
        <v>39</v>
      </c>
      <c r="I4188" t="s">
        <v>40</v>
      </c>
      <c r="J4188" t="s">
        <v>109</v>
      </c>
      <c r="K4188" t="s">
        <v>42</v>
      </c>
      <c r="L4188" t="s">
        <v>63</v>
      </c>
      <c r="N4188" t="s">
        <v>64</v>
      </c>
      <c r="Q4188">
        <v>28357</v>
      </c>
      <c r="R4188" t="s">
        <v>45</v>
      </c>
      <c r="S4188" t="s">
        <v>24531</v>
      </c>
      <c r="T4188">
        <v>29</v>
      </c>
      <c r="U4188" s="2" t="s">
        <v>25540</v>
      </c>
      <c r="W4188" t="s">
        <v>12775</v>
      </c>
      <c r="X4188">
        <v>120000537</v>
      </c>
      <c r="Y4188" t="s">
        <v>2692</v>
      </c>
      <c r="Z4188" t="s">
        <v>10275</v>
      </c>
      <c r="AA4188" s="2" t="s">
        <v>7015</v>
      </c>
      <c r="AB4188" t="s">
        <v>70</v>
      </c>
      <c r="AG4188" t="s">
        <v>25541</v>
      </c>
      <c r="AH4188" t="s">
        <v>24535</v>
      </c>
      <c r="AI4188" t="s">
        <v>25542</v>
      </c>
    </row>
    <row r="4189" spans="2:35" ht="105">
      <c r="B4189" s="1">
        <v>45441</v>
      </c>
      <c r="C4189" s="4">
        <v>45441.609027777777</v>
      </c>
      <c r="D4189" t="s">
        <v>58</v>
      </c>
      <c r="E4189" t="s">
        <v>24529</v>
      </c>
      <c r="F4189">
        <v>2</v>
      </c>
      <c r="G4189" t="s">
        <v>60</v>
      </c>
      <c r="H4189" t="s">
        <v>39</v>
      </c>
      <c r="I4189" t="s">
        <v>40</v>
      </c>
      <c r="J4189" t="s">
        <v>109</v>
      </c>
      <c r="K4189" t="s">
        <v>42</v>
      </c>
      <c r="L4189" t="s">
        <v>63</v>
      </c>
      <c r="N4189" t="s">
        <v>64</v>
      </c>
      <c r="Q4189">
        <v>28356</v>
      </c>
      <c r="R4189" t="s">
        <v>45</v>
      </c>
      <c r="S4189" t="s">
        <v>24531</v>
      </c>
      <c r="T4189">
        <v>27</v>
      </c>
      <c r="W4189" t="s">
        <v>23881</v>
      </c>
      <c r="X4189">
        <v>834621</v>
      </c>
      <c r="Y4189" t="s">
        <v>2692</v>
      </c>
      <c r="Z4189" t="s">
        <v>10275</v>
      </c>
      <c r="AA4189" s="2" t="s">
        <v>7015</v>
      </c>
      <c r="AB4189" t="s">
        <v>70</v>
      </c>
      <c r="AG4189" t="s">
        <v>25543</v>
      </c>
      <c r="AH4189" t="s">
        <v>24535</v>
      </c>
      <c r="AI4189" t="s">
        <v>25544</v>
      </c>
    </row>
    <row r="4190" spans="2:35" ht="270">
      <c r="B4190" s="1">
        <v>45441</v>
      </c>
      <c r="C4190" s="4">
        <v>45441.492361111108</v>
      </c>
      <c r="D4190" t="s">
        <v>7600</v>
      </c>
      <c r="E4190" t="s">
        <v>25545</v>
      </c>
      <c r="F4190" t="s">
        <v>37</v>
      </c>
      <c r="G4190" t="s">
        <v>78</v>
      </c>
      <c r="H4190" t="s">
        <v>39</v>
      </c>
      <c r="I4190" t="s">
        <v>40</v>
      </c>
      <c r="J4190" s="2" t="s">
        <v>41</v>
      </c>
      <c r="K4190" t="s">
        <v>42</v>
      </c>
      <c r="L4190" t="s">
        <v>43</v>
      </c>
      <c r="N4190" t="s">
        <v>44</v>
      </c>
      <c r="Q4190">
        <v>28355</v>
      </c>
      <c r="R4190" t="s">
        <v>119</v>
      </c>
      <c r="S4190" t="s">
        <v>25546</v>
      </c>
      <c r="T4190">
        <v>20</v>
      </c>
      <c r="U4190" s="2" t="s">
        <v>25547</v>
      </c>
      <c r="V4190" s="1">
        <v>45441</v>
      </c>
      <c r="W4190" t="s">
        <v>48</v>
      </c>
      <c r="X4190">
        <v>820229</v>
      </c>
      <c r="Y4190" t="s">
        <v>25548</v>
      </c>
      <c r="Z4190" t="s">
        <v>25549</v>
      </c>
      <c r="AA4190" s="2" t="s">
        <v>25550</v>
      </c>
      <c r="AB4190" t="s">
        <v>548</v>
      </c>
      <c r="AD4190" s="2" t="s">
        <v>25551</v>
      </c>
      <c r="AE4190" t="s">
        <v>54</v>
      </c>
      <c r="AG4190" t="s">
        <v>25552</v>
      </c>
      <c r="AH4190" t="s">
        <v>25553</v>
      </c>
      <c r="AI4190" t="s">
        <v>25554</v>
      </c>
    </row>
    <row r="4191" spans="2:35" ht="409.5">
      <c r="B4191" s="1">
        <v>45441</v>
      </c>
      <c r="C4191" s="4">
        <v>45441.519444444442</v>
      </c>
      <c r="D4191" t="s">
        <v>25555</v>
      </c>
      <c r="E4191" t="s">
        <v>24319</v>
      </c>
      <c r="F4191" t="s">
        <v>148</v>
      </c>
      <c r="G4191" t="s">
        <v>310</v>
      </c>
      <c r="H4191" t="s">
        <v>39</v>
      </c>
      <c r="I4191" t="s">
        <v>40</v>
      </c>
      <c r="J4191" s="2" t="s">
        <v>62</v>
      </c>
      <c r="K4191" t="s">
        <v>42</v>
      </c>
      <c r="L4191" t="s">
        <v>175</v>
      </c>
      <c r="N4191" t="s">
        <v>176</v>
      </c>
      <c r="Q4191">
        <v>28354</v>
      </c>
      <c r="R4191" t="s">
        <v>45</v>
      </c>
      <c r="S4191" t="s">
        <v>25556</v>
      </c>
      <c r="T4191">
        <v>28</v>
      </c>
      <c r="U4191" s="2" t="s">
        <v>25557</v>
      </c>
      <c r="W4191" t="s">
        <v>536</v>
      </c>
      <c r="X4191">
        <v>839292</v>
      </c>
      <c r="Y4191" t="s">
        <v>998</v>
      </c>
      <c r="Z4191" t="s">
        <v>103</v>
      </c>
      <c r="AA4191" t="e">
        <f ca="1">- checked _xludf.and cleaned cartridge bay, plunger rod, _xludf.filter, icore slot
- performed XpertCheck
- generated reports</f>
        <v>#NAME?</v>
      </c>
      <c r="AB4191" s="2" t="s">
        <v>25558</v>
      </c>
      <c r="AG4191" t="s">
        <v>25559</v>
      </c>
      <c r="AH4191" t="s">
        <v>25560</v>
      </c>
      <c r="AI4191" t="s">
        <v>25561</v>
      </c>
    </row>
    <row r="4192" spans="2:35" ht="180">
      <c r="B4192" s="1">
        <v>45441</v>
      </c>
      <c r="C4192" s="4">
        <v>45441.522222222222</v>
      </c>
      <c r="D4192" t="s">
        <v>25555</v>
      </c>
      <c r="E4192" t="s">
        <v>24319</v>
      </c>
      <c r="F4192" t="s">
        <v>148</v>
      </c>
      <c r="G4192" t="s">
        <v>310</v>
      </c>
      <c r="H4192" t="s">
        <v>39</v>
      </c>
      <c r="I4192" t="s">
        <v>40</v>
      </c>
      <c r="J4192" s="2" t="s">
        <v>62</v>
      </c>
      <c r="K4192" t="s">
        <v>42</v>
      </c>
      <c r="L4192" t="s">
        <v>175</v>
      </c>
      <c r="N4192" t="s">
        <v>176</v>
      </c>
      <c r="Q4192">
        <v>28353</v>
      </c>
      <c r="R4192" t="s">
        <v>45</v>
      </c>
      <c r="S4192" t="s">
        <v>25556</v>
      </c>
      <c r="T4192">
        <v>28</v>
      </c>
      <c r="U4192" s="2" t="s">
        <v>7746</v>
      </c>
      <c r="W4192" t="s">
        <v>84</v>
      </c>
      <c r="X4192">
        <v>805067</v>
      </c>
      <c r="Y4192" t="s">
        <v>998</v>
      </c>
      <c r="Z4192" t="s">
        <v>103</v>
      </c>
      <c r="AA4192" t="e">
        <f ca="1">- checked _xludf.and cleaned cartridge bay, plunger rod, _xludf.filter, icore slot
- performed XpertCheck
- generated reports</f>
        <v>#NAME?</v>
      </c>
      <c r="AB4192" s="2" t="s">
        <v>25562</v>
      </c>
      <c r="AG4192" t="s">
        <v>25563</v>
      </c>
      <c r="AH4192" t="s">
        <v>25560</v>
      </c>
      <c r="AI4192" t="s">
        <v>25564</v>
      </c>
    </row>
    <row r="4193" spans="2:35" ht="409.5">
      <c r="B4193" s="1">
        <v>45441</v>
      </c>
      <c r="C4193" s="4">
        <v>45441.507638888892</v>
      </c>
      <c r="D4193" t="s">
        <v>2257</v>
      </c>
      <c r="E4193" t="s">
        <v>25565</v>
      </c>
      <c r="F4193" t="s">
        <v>37</v>
      </c>
      <c r="G4193" t="s">
        <v>189</v>
      </c>
      <c r="H4193" t="s">
        <v>24264</v>
      </c>
      <c r="I4193" t="s">
        <v>40</v>
      </c>
      <c r="J4193" s="2" t="s">
        <v>41</v>
      </c>
      <c r="K4193" t="s">
        <v>42</v>
      </c>
      <c r="L4193" t="s">
        <v>1943</v>
      </c>
      <c r="N4193" t="s">
        <v>1944</v>
      </c>
      <c r="Q4193">
        <v>28352</v>
      </c>
      <c r="R4193" t="s">
        <v>119</v>
      </c>
      <c r="S4193" t="s">
        <v>2259</v>
      </c>
      <c r="T4193">
        <v>25</v>
      </c>
      <c r="V4193" s="1">
        <v>45441</v>
      </c>
      <c r="W4193" t="s">
        <v>84</v>
      </c>
      <c r="X4193">
        <v>821421</v>
      </c>
      <c r="Y4193" s="2" t="s">
        <v>25566</v>
      </c>
      <c r="Z4193" t="s">
        <v>22330</v>
      </c>
      <c r="AA4193" s="2" t="s">
        <v>1948</v>
      </c>
      <c r="AB4193" t="s">
        <v>88</v>
      </c>
      <c r="AD4193" t="s">
        <v>25567</v>
      </c>
      <c r="AE4193" t="s">
        <v>11329</v>
      </c>
      <c r="AG4193" t="s">
        <v>25568</v>
      </c>
      <c r="AH4193" t="s">
        <v>25569</v>
      </c>
      <c r="AI4193" t="s">
        <v>25570</v>
      </c>
    </row>
    <row r="4194" spans="2:35" ht="409.5">
      <c r="B4194" s="1">
        <v>45441</v>
      </c>
      <c r="C4194" s="4">
        <v>45441.507638888892</v>
      </c>
      <c r="D4194" t="s">
        <v>2257</v>
      </c>
      <c r="E4194" t="s">
        <v>25565</v>
      </c>
      <c r="F4194" t="s">
        <v>37</v>
      </c>
      <c r="G4194" t="s">
        <v>189</v>
      </c>
      <c r="H4194" t="s">
        <v>24264</v>
      </c>
      <c r="I4194" t="s">
        <v>40</v>
      </c>
      <c r="J4194" s="2" t="s">
        <v>41</v>
      </c>
      <c r="K4194" t="s">
        <v>42</v>
      </c>
      <c r="L4194" t="s">
        <v>1943</v>
      </c>
      <c r="N4194" t="s">
        <v>1944</v>
      </c>
      <c r="Q4194">
        <v>28351</v>
      </c>
      <c r="R4194" t="s">
        <v>119</v>
      </c>
      <c r="S4194" t="s">
        <v>2259</v>
      </c>
      <c r="T4194">
        <v>25</v>
      </c>
      <c r="V4194" s="1">
        <v>45441</v>
      </c>
      <c r="W4194" t="s">
        <v>84</v>
      </c>
      <c r="X4194">
        <v>821421</v>
      </c>
      <c r="Y4194" s="2" t="s">
        <v>25566</v>
      </c>
      <c r="Z4194" t="s">
        <v>22330</v>
      </c>
      <c r="AA4194" s="2" t="s">
        <v>1948</v>
      </c>
      <c r="AB4194" t="s">
        <v>88</v>
      </c>
      <c r="AD4194" t="s">
        <v>25567</v>
      </c>
      <c r="AE4194" t="s">
        <v>11329</v>
      </c>
      <c r="AG4194" t="s">
        <v>25571</v>
      </c>
      <c r="AH4194" t="s">
        <v>25569</v>
      </c>
      <c r="AI4194" t="s">
        <v>25572</v>
      </c>
    </row>
    <row r="4195" spans="2:35" ht="255">
      <c r="B4195" s="1">
        <v>45441</v>
      </c>
      <c r="C4195" s="4">
        <v>45441.505555555559</v>
      </c>
      <c r="D4195" t="s">
        <v>25573</v>
      </c>
      <c r="E4195" t="s">
        <v>25574</v>
      </c>
      <c r="F4195">
        <v>8</v>
      </c>
      <c r="G4195" t="s">
        <v>342</v>
      </c>
      <c r="H4195" t="s">
        <v>22505</v>
      </c>
      <c r="I4195" t="s">
        <v>94</v>
      </c>
      <c r="J4195" s="2" t="s">
        <v>1309</v>
      </c>
      <c r="K4195" t="s">
        <v>42</v>
      </c>
      <c r="L4195" t="s">
        <v>343</v>
      </c>
      <c r="N4195" t="s">
        <v>344</v>
      </c>
      <c r="Q4195">
        <v>28350</v>
      </c>
      <c r="R4195" t="s">
        <v>45</v>
      </c>
      <c r="S4195" t="s">
        <v>25575</v>
      </c>
      <c r="T4195">
        <v>23</v>
      </c>
      <c r="U4195" s="2" t="s">
        <v>25576</v>
      </c>
      <c r="V4195" s="1">
        <v>45408</v>
      </c>
      <c r="W4195" t="s">
        <v>25577</v>
      </c>
      <c r="X4195">
        <v>707521</v>
      </c>
      <c r="Y4195" t="e">
        <f ca="1">-module B4 defective
-DUE _xludf.For XpertCheck</f>
        <v>#NAME?</v>
      </c>
      <c r="Z4195" s="2" t="s">
        <v>25578</v>
      </c>
      <c r="AA4195" t="e">
        <f ca="1">-module Replacement
-XpertCheck CALIBRATION
-Preventive Maintenance</f>
        <v>#NAME?</v>
      </c>
      <c r="AB4195" t="s">
        <v>25579</v>
      </c>
      <c r="AD4195" t="s">
        <v>25580</v>
      </c>
      <c r="AE4195">
        <v>47670</v>
      </c>
      <c r="AG4195" t="s">
        <v>25581</v>
      </c>
      <c r="AH4195" t="s">
        <v>25582</v>
      </c>
      <c r="AI4195" t="s">
        <v>25583</v>
      </c>
    </row>
    <row r="4196" spans="2:35" ht="409.5">
      <c r="B4196" s="1">
        <v>45441</v>
      </c>
      <c r="C4196" s="4">
        <v>45441.487500000003</v>
      </c>
      <c r="D4196" t="s">
        <v>25164</v>
      </c>
      <c r="E4196" t="s">
        <v>23025</v>
      </c>
      <c r="F4196" t="s">
        <v>148</v>
      </c>
      <c r="G4196" t="s">
        <v>2499</v>
      </c>
      <c r="H4196" t="s">
        <v>39</v>
      </c>
      <c r="I4196" t="s">
        <v>40</v>
      </c>
      <c r="J4196" t="s">
        <v>109</v>
      </c>
      <c r="K4196" t="s">
        <v>42</v>
      </c>
      <c r="L4196" t="s">
        <v>15532</v>
      </c>
      <c r="N4196" t="s">
        <v>15533</v>
      </c>
      <c r="Q4196">
        <v>28349</v>
      </c>
      <c r="R4196" t="s">
        <v>45</v>
      </c>
      <c r="S4196" t="s">
        <v>23026</v>
      </c>
      <c r="T4196">
        <v>29</v>
      </c>
      <c r="U4196" s="2" t="s">
        <v>25584</v>
      </c>
      <c r="W4196" t="s">
        <v>15535</v>
      </c>
      <c r="X4196">
        <v>815484</v>
      </c>
      <c r="Y4196" t="s">
        <v>15536</v>
      </c>
      <c r="Z4196" s="2" t="s">
        <v>25585</v>
      </c>
      <c r="AA4196" s="2" t="s">
        <v>25586</v>
      </c>
      <c r="AB4196" s="2" t="s">
        <v>25587</v>
      </c>
      <c r="AG4196" t="s">
        <v>25588</v>
      </c>
      <c r="AH4196" t="s">
        <v>25589</v>
      </c>
      <c r="AI4196" t="s">
        <v>25590</v>
      </c>
    </row>
    <row r="4197" spans="2:35" ht="330">
      <c r="B4197" s="1">
        <v>45441</v>
      </c>
      <c r="C4197" s="4">
        <v>45441.488194444442</v>
      </c>
      <c r="D4197" t="s">
        <v>25591</v>
      </c>
      <c r="E4197" t="s">
        <v>25592</v>
      </c>
      <c r="F4197">
        <v>8</v>
      </c>
      <c r="G4197" t="s">
        <v>630</v>
      </c>
      <c r="H4197" t="s">
        <v>202</v>
      </c>
      <c r="I4197" t="s">
        <v>94</v>
      </c>
      <c r="J4197" t="s">
        <v>25593</v>
      </c>
      <c r="K4197" t="s">
        <v>42</v>
      </c>
      <c r="L4197" t="s">
        <v>259</v>
      </c>
      <c r="N4197" t="s">
        <v>260</v>
      </c>
      <c r="Q4197">
        <v>28348</v>
      </c>
      <c r="R4197" t="s">
        <v>45</v>
      </c>
      <c r="S4197" t="s">
        <v>25594</v>
      </c>
      <c r="T4197">
        <v>28</v>
      </c>
      <c r="V4197" s="1">
        <v>45441</v>
      </c>
      <c r="W4197" t="s">
        <v>23118</v>
      </c>
      <c r="X4197">
        <v>835081</v>
      </c>
      <c r="Y4197" t="s">
        <v>25595</v>
      </c>
      <c r="Z4197" t="e">
        <f ca="1">-Disassembled</f>
        <v>#NAME?</v>
      </c>
      <c r="AA4197" s="2" t="s">
        <v>25596</v>
      </c>
      <c r="AB4197" t="s">
        <v>25597</v>
      </c>
      <c r="AC4197" t="s">
        <v>25598</v>
      </c>
      <c r="AG4197" t="s">
        <v>25599</v>
      </c>
      <c r="AH4197" t="s">
        <v>25600</v>
      </c>
      <c r="AI4197" t="s">
        <v>25601</v>
      </c>
    </row>
    <row r="4198" spans="2:35" ht="330">
      <c r="B4198" s="1">
        <v>45441</v>
      </c>
      <c r="C4198" s="4">
        <v>45441.481944444444</v>
      </c>
      <c r="D4198" t="s">
        <v>25591</v>
      </c>
      <c r="E4198" t="s">
        <v>25592</v>
      </c>
      <c r="F4198">
        <v>8</v>
      </c>
      <c r="G4198" t="s">
        <v>630</v>
      </c>
      <c r="H4198" t="s">
        <v>202</v>
      </c>
      <c r="I4198" t="s">
        <v>94</v>
      </c>
      <c r="J4198" t="s">
        <v>321</v>
      </c>
      <c r="K4198" t="s">
        <v>42</v>
      </c>
      <c r="L4198" t="s">
        <v>259</v>
      </c>
      <c r="N4198" t="s">
        <v>260</v>
      </c>
      <c r="Q4198">
        <v>28347</v>
      </c>
      <c r="R4198" t="s">
        <v>45</v>
      </c>
      <c r="S4198" t="s">
        <v>25594</v>
      </c>
      <c r="T4198">
        <v>27</v>
      </c>
      <c r="V4198" s="1">
        <v>45441</v>
      </c>
      <c r="W4198" t="s">
        <v>84</v>
      </c>
      <c r="X4198">
        <v>804256</v>
      </c>
      <c r="Y4198" t="s">
        <v>25602</v>
      </c>
      <c r="Z4198" t="s">
        <v>13110</v>
      </c>
      <c r="AA4198" s="2" t="s">
        <v>25603</v>
      </c>
      <c r="AB4198" t="s">
        <v>181</v>
      </c>
      <c r="AD4198" s="2" t="s">
        <v>25604</v>
      </c>
      <c r="AE4198" t="s">
        <v>45</v>
      </c>
      <c r="AG4198" t="s">
        <v>25605</v>
      </c>
      <c r="AH4198" t="s">
        <v>25600</v>
      </c>
      <c r="AI4198" t="s">
        <v>25606</v>
      </c>
    </row>
    <row r="4199" spans="2:35" ht="409.5">
      <c r="B4199" s="1">
        <v>45441</v>
      </c>
      <c r="C4199" s="4">
        <v>45441.479166666664</v>
      </c>
      <c r="D4199" t="s">
        <v>25607</v>
      </c>
      <c r="E4199" t="s">
        <v>25608</v>
      </c>
      <c r="F4199">
        <v>3</v>
      </c>
      <c r="G4199" t="s">
        <v>134</v>
      </c>
      <c r="H4199" t="s">
        <v>39</v>
      </c>
      <c r="I4199" t="s">
        <v>40</v>
      </c>
      <c r="J4199" s="2" t="s">
        <v>190</v>
      </c>
      <c r="K4199" t="s">
        <v>42</v>
      </c>
      <c r="L4199" t="s">
        <v>135</v>
      </c>
      <c r="N4199" t="s">
        <v>136</v>
      </c>
      <c r="Q4199">
        <v>28346</v>
      </c>
      <c r="R4199" t="s">
        <v>45</v>
      </c>
      <c r="S4199" t="s">
        <v>25609</v>
      </c>
      <c r="T4199">
        <v>29</v>
      </c>
      <c r="U4199" s="2" t="s">
        <v>24976</v>
      </c>
      <c r="W4199" t="s">
        <v>2680</v>
      </c>
      <c r="X4199">
        <v>834688</v>
      </c>
      <c r="Y4199" s="2" t="s">
        <v>25610</v>
      </c>
      <c r="Z4199" s="2" t="s">
        <v>25611</v>
      </c>
      <c r="AA4199" s="2" t="s">
        <v>25612</v>
      </c>
      <c r="AB4199" s="2" t="s">
        <v>25613</v>
      </c>
      <c r="AG4199" t="s">
        <v>25614</v>
      </c>
      <c r="AH4199" t="s">
        <v>25615</v>
      </c>
      <c r="AI4199" t="s">
        <v>25616</v>
      </c>
    </row>
    <row r="4200" spans="2:35" ht="409.5">
      <c r="B4200" s="1">
        <v>45441</v>
      </c>
      <c r="C4200" s="4">
        <v>45440.464583333334</v>
      </c>
      <c r="D4200" t="s">
        <v>308</v>
      </c>
      <c r="E4200" t="s">
        <v>3829</v>
      </c>
      <c r="F4200" t="s">
        <v>148</v>
      </c>
      <c r="G4200" t="s">
        <v>310</v>
      </c>
      <c r="H4200" t="s">
        <v>39</v>
      </c>
      <c r="I4200" t="s">
        <v>40</v>
      </c>
      <c r="J4200" s="2" t="s">
        <v>41</v>
      </c>
      <c r="K4200" t="s">
        <v>42</v>
      </c>
      <c r="L4200" t="s">
        <v>1943</v>
      </c>
      <c r="N4200" t="s">
        <v>1944</v>
      </c>
      <c r="Q4200">
        <v>28345</v>
      </c>
      <c r="R4200" t="s">
        <v>119</v>
      </c>
      <c r="S4200" t="s">
        <v>311</v>
      </c>
      <c r="T4200">
        <v>25</v>
      </c>
      <c r="U4200" s="2" t="s">
        <v>11465</v>
      </c>
      <c r="V4200" s="1">
        <v>45440</v>
      </c>
      <c r="W4200" t="s">
        <v>84</v>
      </c>
      <c r="X4200">
        <v>831534</v>
      </c>
      <c r="Y4200" s="2" t="s">
        <v>25617</v>
      </c>
      <c r="Z4200" t="s">
        <v>1947</v>
      </c>
      <c r="AA4200" s="2" t="s">
        <v>1948</v>
      </c>
      <c r="AB4200" t="s">
        <v>88</v>
      </c>
      <c r="AD4200" t="s">
        <v>25618</v>
      </c>
      <c r="AE4200" t="s">
        <v>11329</v>
      </c>
      <c r="AG4200" t="s">
        <v>25619</v>
      </c>
      <c r="AH4200" t="s">
        <v>317</v>
      </c>
      <c r="AI4200" t="s">
        <v>25620</v>
      </c>
    </row>
    <row r="4201" spans="2:35" ht="409.5">
      <c r="B4201" s="1">
        <v>45441</v>
      </c>
      <c r="C4201" s="4">
        <v>45441.448611111111</v>
      </c>
      <c r="D4201" t="s">
        <v>25621</v>
      </c>
      <c r="E4201" t="s">
        <v>25622</v>
      </c>
      <c r="F4201" t="s">
        <v>37</v>
      </c>
      <c r="G4201" t="s">
        <v>189</v>
      </c>
      <c r="H4201" t="s">
        <v>39</v>
      </c>
      <c r="I4201" t="s">
        <v>40</v>
      </c>
      <c r="J4201" s="2" t="s">
        <v>1808</v>
      </c>
      <c r="K4201" t="s">
        <v>42</v>
      </c>
      <c r="L4201" t="s">
        <v>1943</v>
      </c>
      <c r="N4201" t="s">
        <v>1944</v>
      </c>
      <c r="Q4201">
        <v>28344</v>
      </c>
      <c r="R4201" t="s">
        <v>45</v>
      </c>
      <c r="S4201" t="s">
        <v>25623</v>
      </c>
      <c r="T4201">
        <v>25</v>
      </c>
      <c r="V4201" s="1">
        <v>45441</v>
      </c>
      <c r="W4201" t="s">
        <v>84</v>
      </c>
      <c r="X4201">
        <v>814153</v>
      </c>
      <c r="Y4201" s="2" t="s">
        <v>25624</v>
      </c>
      <c r="Z4201" t="s">
        <v>25625</v>
      </c>
      <c r="AA4201" s="2" t="s">
        <v>25626</v>
      </c>
      <c r="AB4201" t="s">
        <v>88</v>
      </c>
      <c r="AD4201" t="s">
        <v>25627</v>
      </c>
      <c r="AE4201" t="s">
        <v>11329</v>
      </c>
      <c r="AG4201" t="s">
        <v>25628</v>
      </c>
      <c r="AH4201" t="s">
        <v>25629</v>
      </c>
      <c r="AI4201" t="s">
        <v>25630</v>
      </c>
    </row>
    <row r="4202" spans="2:35" ht="409.5">
      <c r="B4202" s="1">
        <v>45441</v>
      </c>
      <c r="C4202" s="4">
        <v>45441.442361111112</v>
      </c>
      <c r="D4202" t="s">
        <v>25621</v>
      </c>
      <c r="E4202" t="s">
        <v>25622</v>
      </c>
      <c r="F4202" t="s">
        <v>37</v>
      </c>
      <c r="G4202" t="s">
        <v>189</v>
      </c>
      <c r="H4202" t="s">
        <v>39</v>
      </c>
      <c r="I4202" t="s">
        <v>40</v>
      </c>
      <c r="J4202" s="2" t="s">
        <v>41</v>
      </c>
      <c r="K4202" t="s">
        <v>42</v>
      </c>
      <c r="L4202" t="s">
        <v>1943</v>
      </c>
      <c r="N4202" t="s">
        <v>1944</v>
      </c>
      <c r="Q4202">
        <v>28343</v>
      </c>
      <c r="R4202" t="s">
        <v>45</v>
      </c>
      <c r="S4202" t="s">
        <v>25623</v>
      </c>
      <c r="T4202">
        <v>25</v>
      </c>
      <c r="V4202" s="1">
        <v>45441</v>
      </c>
      <c r="W4202" t="s">
        <v>895</v>
      </c>
      <c r="X4202">
        <v>844120</v>
      </c>
      <c r="Y4202" s="2" t="s">
        <v>25631</v>
      </c>
      <c r="Z4202" t="s">
        <v>22330</v>
      </c>
      <c r="AA4202" s="2" t="s">
        <v>1948</v>
      </c>
      <c r="AB4202" t="s">
        <v>25632</v>
      </c>
      <c r="AD4202" t="s">
        <v>25633</v>
      </c>
      <c r="AE4202" t="s">
        <v>11329</v>
      </c>
      <c r="AG4202" t="s">
        <v>25634</v>
      </c>
      <c r="AH4202" t="s">
        <v>25629</v>
      </c>
      <c r="AI4202" t="s">
        <v>25635</v>
      </c>
    </row>
    <row r="4203" spans="2:35" ht="165">
      <c r="B4203" s="1">
        <v>45441</v>
      </c>
      <c r="C4203" s="4">
        <v>45441.456250000003</v>
      </c>
      <c r="D4203" t="s">
        <v>25636</v>
      </c>
      <c r="E4203" t="s">
        <v>25637</v>
      </c>
      <c r="F4203">
        <v>2</v>
      </c>
      <c r="G4203" t="s">
        <v>2668</v>
      </c>
      <c r="H4203" t="s">
        <v>39</v>
      </c>
      <c r="I4203" t="s">
        <v>40</v>
      </c>
      <c r="J4203" s="2" t="s">
        <v>25638</v>
      </c>
      <c r="K4203" t="s">
        <v>42</v>
      </c>
      <c r="L4203" t="s">
        <v>63</v>
      </c>
      <c r="N4203" t="s">
        <v>64</v>
      </c>
      <c r="Q4203">
        <v>28342</v>
      </c>
      <c r="R4203" t="s">
        <v>45</v>
      </c>
      <c r="S4203" t="s">
        <v>25639</v>
      </c>
      <c r="T4203">
        <v>28</v>
      </c>
      <c r="W4203" t="s">
        <v>23881</v>
      </c>
      <c r="X4203">
        <v>805104</v>
      </c>
      <c r="Y4203" t="s">
        <v>25640</v>
      </c>
      <c r="Z4203" s="2" t="s">
        <v>25641</v>
      </c>
      <c r="AA4203" s="2" t="s">
        <v>1727</v>
      </c>
      <c r="AB4203" t="s">
        <v>70</v>
      </c>
      <c r="AC4203" t="s">
        <v>25642</v>
      </c>
      <c r="AG4203" t="s">
        <v>25643</v>
      </c>
      <c r="AH4203" t="s">
        <v>25644</v>
      </c>
      <c r="AI4203" t="s">
        <v>25645</v>
      </c>
    </row>
    <row r="4204" spans="2:35" ht="105">
      <c r="B4204" s="1">
        <v>45441</v>
      </c>
      <c r="C4204" s="4">
        <v>45441.45416666667</v>
      </c>
      <c r="D4204" t="s">
        <v>25636</v>
      </c>
      <c r="E4204" t="s">
        <v>25637</v>
      </c>
      <c r="F4204">
        <v>2</v>
      </c>
      <c r="G4204" t="s">
        <v>2668</v>
      </c>
      <c r="H4204" t="s">
        <v>39</v>
      </c>
      <c r="I4204" t="s">
        <v>40</v>
      </c>
      <c r="J4204" t="s">
        <v>109</v>
      </c>
      <c r="K4204" t="s">
        <v>42</v>
      </c>
      <c r="L4204" t="s">
        <v>63</v>
      </c>
      <c r="N4204" t="s">
        <v>64</v>
      </c>
      <c r="Q4204">
        <v>28341</v>
      </c>
      <c r="R4204" t="s">
        <v>45</v>
      </c>
      <c r="S4204" t="s">
        <v>25639</v>
      </c>
      <c r="T4204">
        <v>27</v>
      </c>
      <c r="U4204" s="2" t="s">
        <v>25646</v>
      </c>
      <c r="W4204" t="s">
        <v>12775</v>
      </c>
      <c r="X4204">
        <v>120000738</v>
      </c>
      <c r="Y4204" t="s">
        <v>2692</v>
      </c>
      <c r="Z4204" t="s">
        <v>10275</v>
      </c>
      <c r="AA4204" s="2" t="s">
        <v>7015</v>
      </c>
      <c r="AB4204" t="s">
        <v>70</v>
      </c>
      <c r="AG4204" t="s">
        <v>25647</v>
      </c>
      <c r="AH4204" t="s">
        <v>25644</v>
      </c>
      <c r="AI4204" t="s">
        <v>25648</v>
      </c>
    </row>
    <row r="4205" spans="2:35" ht="345">
      <c r="B4205" s="1">
        <v>45441</v>
      </c>
      <c r="C4205" s="4">
        <v>45441.425694444442</v>
      </c>
      <c r="D4205" t="s">
        <v>1885</v>
      </c>
      <c r="E4205" t="s">
        <v>25649</v>
      </c>
      <c r="F4205" t="s">
        <v>1255</v>
      </c>
      <c r="G4205" t="s">
        <v>1887</v>
      </c>
      <c r="H4205" t="s">
        <v>202</v>
      </c>
      <c r="I4205" t="s">
        <v>94</v>
      </c>
      <c r="J4205" s="2" t="s">
        <v>62</v>
      </c>
      <c r="K4205" t="s">
        <v>42</v>
      </c>
      <c r="L4205" t="s">
        <v>204</v>
      </c>
      <c r="N4205" t="s">
        <v>205</v>
      </c>
      <c r="Q4205">
        <v>28340</v>
      </c>
      <c r="R4205" t="s">
        <v>45</v>
      </c>
      <c r="S4205" t="s">
        <v>23208</v>
      </c>
      <c r="T4205">
        <v>25.8</v>
      </c>
      <c r="W4205" t="s">
        <v>23237</v>
      </c>
      <c r="X4205">
        <v>807607</v>
      </c>
      <c r="Y4205" t="s">
        <v>1618</v>
      </c>
      <c r="Z4205" s="2" t="s">
        <v>25650</v>
      </c>
      <c r="AA4205" t="s">
        <v>1620</v>
      </c>
      <c r="AB4205" s="2" t="s">
        <v>25651</v>
      </c>
      <c r="AG4205" t="s">
        <v>25652</v>
      </c>
      <c r="AH4205" t="s">
        <v>25653</v>
      </c>
      <c r="AI4205" t="s">
        <v>25654</v>
      </c>
    </row>
    <row r="4206" spans="2:35" ht="409.5">
      <c r="B4206" s="1">
        <v>45441</v>
      </c>
      <c r="C4206" s="4">
        <v>45440.758333333331</v>
      </c>
      <c r="D4206" t="s">
        <v>1885</v>
      </c>
      <c r="E4206" t="s">
        <v>2136</v>
      </c>
      <c r="F4206" t="s">
        <v>1255</v>
      </c>
      <c r="G4206" t="s">
        <v>1887</v>
      </c>
      <c r="H4206" t="s">
        <v>1473</v>
      </c>
      <c r="I4206" t="s">
        <v>94</v>
      </c>
      <c r="J4206" s="2" t="s">
        <v>41</v>
      </c>
      <c r="K4206" t="s">
        <v>42</v>
      </c>
      <c r="L4206" t="s">
        <v>296</v>
      </c>
      <c r="N4206" t="s">
        <v>297</v>
      </c>
      <c r="O4206" t="s">
        <v>23208</v>
      </c>
      <c r="Q4206">
        <v>28339</v>
      </c>
      <c r="R4206" t="s">
        <v>45</v>
      </c>
      <c r="S4206" t="s">
        <v>25655</v>
      </c>
      <c r="T4206">
        <v>24.6</v>
      </c>
      <c r="U4206" s="2" t="s">
        <v>25656</v>
      </c>
      <c r="V4206" s="1">
        <v>45440</v>
      </c>
      <c r="W4206" t="s">
        <v>12540</v>
      </c>
      <c r="X4206">
        <v>839307</v>
      </c>
      <c r="Y4206" t="s">
        <v>25657</v>
      </c>
      <c r="Z4206" s="2" t="s">
        <v>25658</v>
      </c>
      <c r="AA4206" s="2" t="s">
        <v>25659</v>
      </c>
      <c r="AB4206" t="s">
        <v>25660</v>
      </c>
      <c r="AD4206" t="s">
        <v>25661</v>
      </c>
      <c r="AE4206" t="s">
        <v>25662</v>
      </c>
      <c r="AG4206" t="s">
        <v>25663</v>
      </c>
      <c r="AH4206" t="s">
        <v>23213</v>
      </c>
      <c r="AI4206" t="s">
        <v>25664</v>
      </c>
    </row>
    <row r="4207" spans="2:35" ht="375">
      <c r="B4207" s="1">
        <v>45441</v>
      </c>
      <c r="C4207" s="4">
        <v>45440.708333333336</v>
      </c>
      <c r="D4207" t="s">
        <v>1885</v>
      </c>
      <c r="E4207" t="s">
        <v>25649</v>
      </c>
      <c r="F4207" t="s">
        <v>1255</v>
      </c>
      <c r="G4207" t="s">
        <v>1887</v>
      </c>
      <c r="H4207" t="s">
        <v>202</v>
      </c>
      <c r="I4207" t="s">
        <v>94</v>
      </c>
      <c r="J4207" s="2" t="s">
        <v>62</v>
      </c>
      <c r="K4207" t="s">
        <v>42</v>
      </c>
      <c r="L4207" t="s">
        <v>204</v>
      </c>
      <c r="N4207" t="s">
        <v>205</v>
      </c>
      <c r="Q4207">
        <v>28338</v>
      </c>
      <c r="R4207" t="s">
        <v>45</v>
      </c>
      <c r="S4207" t="s">
        <v>23208</v>
      </c>
      <c r="T4207">
        <v>25.8</v>
      </c>
      <c r="U4207" s="2" t="s">
        <v>25665</v>
      </c>
      <c r="W4207" t="s">
        <v>23237</v>
      </c>
      <c r="X4207">
        <v>807463</v>
      </c>
      <c r="Y4207" s="2" t="s">
        <v>25666</v>
      </c>
      <c r="Z4207" s="2" t="s">
        <v>25667</v>
      </c>
      <c r="AA4207" s="2" t="s">
        <v>25668</v>
      </c>
      <c r="AB4207" s="2" t="s">
        <v>25669</v>
      </c>
      <c r="AG4207" t="s">
        <v>25670</v>
      </c>
      <c r="AH4207" t="s">
        <v>25653</v>
      </c>
      <c r="AI4207" t="s">
        <v>25671</v>
      </c>
    </row>
    <row r="4208" spans="2:35" ht="390">
      <c r="B4208" s="1">
        <v>45441</v>
      </c>
      <c r="C4208" s="4">
        <v>45440.706250000003</v>
      </c>
      <c r="D4208" t="s">
        <v>1885</v>
      </c>
      <c r="E4208" t="s">
        <v>25649</v>
      </c>
      <c r="F4208" t="s">
        <v>1255</v>
      </c>
      <c r="G4208" t="s">
        <v>1887</v>
      </c>
      <c r="H4208" t="s">
        <v>202</v>
      </c>
      <c r="I4208" t="s">
        <v>94</v>
      </c>
      <c r="J4208" s="2" t="s">
        <v>62</v>
      </c>
      <c r="K4208" t="s">
        <v>42</v>
      </c>
      <c r="L4208" t="s">
        <v>204</v>
      </c>
      <c r="N4208" t="s">
        <v>205</v>
      </c>
      <c r="Q4208">
        <v>28337</v>
      </c>
      <c r="R4208" t="s">
        <v>45</v>
      </c>
      <c r="S4208" t="s">
        <v>23208</v>
      </c>
      <c r="T4208">
        <v>25.6</v>
      </c>
      <c r="U4208" s="2" t="s">
        <v>25672</v>
      </c>
      <c r="W4208" t="s">
        <v>25673</v>
      </c>
      <c r="X4208">
        <v>110016958</v>
      </c>
      <c r="Y4208" t="s">
        <v>2839</v>
      </c>
      <c r="Z4208" s="2" t="s">
        <v>25674</v>
      </c>
      <c r="AA4208" t="s">
        <v>25675</v>
      </c>
      <c r="AB4208" s="2" t="s">
        <v>25676</v>
      </c>
      <c r="AG4208" t="s">
        <v>25677</v>
      </c>
      <c r="AH4208" t="s">
        <v>23213</v>
      </c>
      <c r="AI4208" t="s">
        <v>25678</v>
      </c>
    </row>
    <row r="4209" spans="2:35" ht="390">
      <c r="B4209" s="1">
        <v>45440</v>
      </c>
      <c r="C4209" s="4">
        <v>45436.682638888888</v>
      </c>
      <c r="D4209" t="s">
        <v>2529</v>
      </c>
      <c r="E4209" t="s">
        <v>25679</v>
      </c>
      <c r="F4209" t="s">
        <v>37</v>
      </c>
      <c r="G4209" t="s">
        <v>2499</v>
      </c>
      <c r="H4209" t="s">
        <v>39</v>
      </c>
      <c r="I4209" t="s">
        <v>40</v>
      </c>
      <c r="J4209" s="2" t="s">
        <v>62</v>
      </c>
      <c r="K4209" t="s">
        <v>42</v>
      </c>
      <c r="L4209" t="s">
        <v>15532</v>
      </c>
      <c r="N4209" t="s">
        <v>15533</v>
      </c>
      <c r="Q4209">
        <v>28336</v>
      </c>
      <c r="R4209" t="s">
        <v>45</v>
      </c>
      <c r="S4209" t="s">
        <v>24036</v>
      </c>
      <c r="T4209">
        <v>25</v>
      </c>
      <c r="U4209" s="2" t="s">
        <v>25680</v>
      </c>
      <c r="V4209" s="1">
        <v>45411</v>
      </c>
      <c r="W4209" t="s">
        <v>17396</v>
      </c>
      <c r="X4209">
        <v>110019627</v>
      </c>
      <c r="Y4209" t="s">
        <v>21420</v>
      </c>
      <c r="Z4209" s="2" t="s">
        <v>23705</v>
      </c>
      <c r="AA4209" s="2" t="s">
        <v>25681</v>
      </c>
      <c r="AB4209" s="2" t="s">
        <v>24995</v>
      </c>
      <c r="AD4209" t="s">
        <v>20036</v>
      </c>
      <c r="AE4209" t="s">
        <v>25682</v>
      </c>
      <c r="AG4209" t="s">
        <v>25683</v>
      </c>
      <c r="AH4209" t="s">
        <v>25684</v>
      </c>
      <c r="AI4209" t="s">
        <v>25685</v>
      </c>
    </row>
    <row r="4210" spans="2:35" ht="285">
      <c r="B4210" s="1">
        <v>45440</v>
      </c>
      <c r="C4210" s="4">
        <v>45436.680555555555</v>
      </c>
      <c r="D4210" t="s">
        <v>25686</v>
      </c>
      <c r="E4210" t="s">
        <v>25679</v>
      </c>
      <c r="F4210" t="s">
        <v>37</v>
      </c>
      <c r="G4210" t="s">
        <v>2499</v>
      </c>
      <c r="H4210" t="s">
        <v>39</v>
      </c>
      <c r="I4210" t="s">
        <v>40</v>
      </c>
      <c r="J4210" s="2" t="s">
        <v>41</v>
      </c>
      <c r="K4210" t="s">
        <v>42</v>
      </c>
      <c r="L4210" t="s">
        <v>15532</v>
      </c>
      <c r="N4210" t="s">
        <v>15533</v>
      </c>
      <c r="Q4210">
        <v>28335</v>
      </c>
      <c r="R4210" t="s">
        <v>45</v>
      </c>
      <c r="S4210" t="s">
        <v>24036</v>
      </c>
      <c r="T4210">
        <v>25</v>
      </c>
      <c r="U4210" s="2" t="s">
        <v>25687</v>
      </c>
      <c r="W4210">
        <v>804692</v>
      </c>
      <c r="X4210">
        <v>804692</v>
      </c>
      <c r="Y4210" t="s">
        <v>25688</v>
      </c>
      <c r="Z4210" s="2" t="s">
        <v>25689</v>
      </c>
      <c r="AA4210" s="2" t="s">
        <v>25690</v>
      </c>
      <c r="AB4210" s="2" t="s">
        <v>21738</v>
      </c>
      <c r="AG4210" t="s">
        <v>25691</v>
      </c>
      <c r="AH4210" t="s">
        <v>25684</v>
      </c>
      <c r="AI4210" t="s">
        <v>25692</v>
      </c>
    </row>
    <row r="4211" spans="2:35" ht="375">
      <c r="B4211" s="1">
        <v>45440</v>
      </c>
      <c r="C4211" s="4">
        <v>45440.737500000003</v>
      </c>
      <c r="D4211" t="s">
        <v>1885</v>
      </c>
      <c r="E4211" t="s">
        <v>2136</v>
      </c>
      <c r="F4211" t="s">
        <v>1255</v>
      </c>
      <c r="G4211" t="s">
        <v>1887</v>
      </c>
      <c r="H4211" t="s">
        <v>295</v>
      </c>
      <c r="I4211" t="s">
        <v>94</v>
      </c>
      <c r="J4211" s="2" t="s">
        <v>41</v>
      </c>
      <c r="K4211" t="s">
        <v>42</v>
      </c>
      <c r="L4211" t="s">
        <v>296</v>
      </c>
      <c r="N4211" t="s">
        <v>297</v>
      </c>
      <c r="Q4211">
        <v>28334</v>
      </c>
      <c r="R4211" t="s">
        <v>45</v>
      </c>
      <c r="S4211" t="s">
        <v>1888</v>
      </c>
      <c r="T4211">
        <v>23.4</v>
      </c>
      <c r="U4211" s="2" t="s">
        <v>25693</v>
      </c>
      <c r="V4211" s="1">
        <v>45440</v>
      </c>
      <c r="W4211" t="s">
        <v>23049</v>
      </c>
      <c r="X4211">
        <v>834441</v>
      </c>
      <c r="Y4211" t="s">
        <v>16363</v>
      </c>
      <c r="Z4211" s="2" t="s">
        <v>25694</v>
      </c>
      <c r="AA4211" s="2" t="s">
        <v>25659</v>
      </c>
      <c r="AB4211" t="s">
        <v>972</v>
      </c>
      <c r="AD4211" t="s">
        <v>25695</v>
      </c>
      <c r="AE4211" t="s">
        <v>25696</v>
      </c>
      <c r="AG4211" t="s">
        <v>25697</v>
      </c>
      <c r="AH4211" t="s">
        <v>8496</v>
      </c>
      <c r="AI4211" t="s">
        <v>25698</v>
      </c>
    </row>
    <row r="4212" spans="2:35" ht="375">
      <c r="B4212" s="1">
        <v>45440</v>
      </c>
      <c r="C4212" s="4">
        <v>45440.743750000001</v>
      </c>
      <c r="D4212" t="s">
        <v>1885</v>
      </c>
      <c r="E4212" t="s">
        <v>2136</v>
      </c>
      <c r="F4212" t="s">
        <v>1255</v>
      </c>
      <c r="G4212" t="s">
        <v>1887</v>
      </c>
      <c r="H4212" t="s">
        <v>295</v>
      </c>
      <c r="I4212" t="s">
        <v>94</v>
      </c>
      <c r="J4212" s="2" t="s">
        <v>41</v>
      </c>
      <c r="K4212" t="s">
        <v>42</v>
      </c>
      <c r="L4212" t="s">
        <v>296</v>
      </c>
      <c r="N4212" t="s">
        <v>297</v>
      </c>
      <c r="Q4212">
        <v>28333</v>
      </c>
      <c r="R4212" t="s">
        <v>45</v>
      </c>
      <c r="S4212" t="s">
        <v>1888</v>
      </c>
      <c r="T4212">
        <v>23.1</v>
      </c>
      <c r="U4212" s="2" t="s">
        <v>25699</v>
      </c>
      <c r="V4212" s="1">
        <v>45440</v>
      </c>
      <c r="W4212" t="s">
        <v>23049</v>
      </c>
      <c r="X4212">
        <v>834442</v>
      </c>
      <c r="Y4212" t="s">
        <v>25700</v>
      </c>
      <c r="Z4212" s="2" t="s">
        <v>25701</v>
      </c>
      <c r="AA4212" s="2" t="s">
        <v>25659</v>
      </c>
      <c r="AB4212" t="s">
        <v>972</v>
      </c>
      <c r="AD4212" t="s">
        <v>25702</v>
      </c>
      <c r="AE4212" t="s">
        <v>25703</v>
      </c>
      <c r="AG4212" t="s">
        <v>25704</v>
      </c>
      <c r="AH4212" t="s">
        <v>8496</v>
      </c>
      <c r="AI4212" t="s">
        <v>25705</v>
      </c>
    </row>
    <row r="4213" spans="2:35" ht="195">
      <c r="B4213" s="1">
        <v>45440</v>
      </c>
      <c r="C4213" s="4">
        <v>45440.746527777781</v>
      </c>
      <c r="D4213" t="s">
        <v>1885</v>
      </c>
      <c r="E4213" t="s">
        <v>2136</v>
      </c>
      <c r="F4213" t="s">
        <v>1255</v>
      </c>
      <c r="G4213" t="s">
        <v>1887</v>
      </c>
      <c r="H4213" t="s">
        <v>295</v>
      </c>
      <c r="I4213" t="s">
        <v>40</v>
      </c>
      <c r="J4213" t="s">
        <v>109</v>
      </c>
      <c r="K4213" t="s">
        <v>42</v>
      </c>
      <c r="L4213" t="s">
        <v>296</v>
      </c>
      <c r="N4213" t="s">
        <v>297</v>
      </c>
      <c r="Q4213">
        <v>28332</v>
      </c>
      <c r="R4213" t="s">
        <v>119</v>
      </c>
      <c r="S4213" t="s">
        <v>1888</v>
      </c>
      <c r="T4213">
        <v>22.8</v>
      </c>
      <c r="U4213" s="2" t="s">
        <v>25699</v>
      </c>
      <c r="W4213" t="s">
        <v>23049</v>
      </c>
      <c r="X4213">
        <v>837662</v>
      </c>
      <c r="Y4213" t="s">
        <v>25706</v>
      </c>
      <c r="Z4213" s="2" t="s">
        <v>25366</v>
      </c>
      <c r="AA4213" t="s">
        <v>9161</v>
      </c>
      <c r="AB4213" t="s">
        <v>16070</v>
      </c>
      <c r="AG4213" t="s">
        <v>25707</v>
      </c>
      <c r="AH4213" t="s">
        <v>8496</v>
      </c>
      <c r="AI4213" t="s">
        <v>25708</v>
      </c>
    </row>
    <row r="4214" spans="2:35" ht="195">
      <c r="B4214" s="1">
        <v>45440</v>
      </c>
      <c r="C4214" s="4">
        <v>45440.746527777781</v>
      </c>
      <c r="D4214" t="s">
        <v>1885</v>
      </c>
      <c r="E4214" t="s">
        <v>2136</v>
      </c>
      <c r="F4214" t="s">
        <v>1255</v>
      </c>
      <c r="G4214" t="s">
        <v>1887</v>
      </c>
      <c r="H4214" t="s">
        <v>295</v>
      </c>
      <c r="I4214" t="s">
        <v>40</v>
      </c>
      <c r="J4214" t="s">
        <v>109</v>
      </c>
      <c r="K4214" t="s">
        <v>42</v>
      </c>
      <c r="L4214" t="s">
        <v>296</v>
      </c>
      <c r="N4214" t="s">
        <v>297</v>
      </c>
      <c r="Q4214">
        <v>28331</v>
      </c>
      <c r="R4214" t="s">
        <v>119</v>
      </c>
      <c r="S4214" t="s">
        <v>1888</v>
      </c>
      <c r="T4214">
        <v>22.8</v>
      </c>
      <c r="U4214" s="2" t="s">
        <v>25699</v>
      </c>
      <c r="W4214" t="s">
        <v>23049</v>
      </c>
      <c r="X4214">
        <v>837662</v>
      </c>
      <c r="Y4214" t="s">
        <v>25706</v>
      </c>
      <c r="Z4214" s="2" t="s">
        <v>25366</v>
      </c>
      <c r="AA4214" t="s">
        <v>9161</v>
      </c>
      <c r="AB4214" t="s">
        <v>16070</v>
      </c>
      <c r="AG4214" t="s">
        <v>25709</v>
      </c>
      <c r="AH4214" t="s">
        <v>8496</v>
      </c>
      <c r="AI4214" t="s">
        <v>25710</v>
      </c>
    </row>
    <row r="4215" spans="2:35" ht="409.5">
      <c r="B4215" s="1">
        <v>45440</v>
      </c>
      <c r="C4215" s="4">
        <v>45440.65625</v>
      </c>
      <c r="D4215" t="s">
        <v>25711</v>
      </c>
      <c r="E4215" t="s">
        <v>25712</v>
      </c>
      <c r="F4215" t="s">
        <v>148</v>
      </c>
      <c r="G4215" t="s">
        <v>447</v>
      </c>
      <c r="H4215" t="s">
        <v>386</v>
      </c>
      <c r="I4215" t="s">
        <v>40</v>
      </c>
      <c r="J4215" t="s">
        <v>79</v>
      </c>
      <c r="K4215" t="s">
        <v>387</v>
      </c>
      <c r="L4215" t="s">
        <v>448</v>
      </c>
      <c r="N4215" t="s">
        <v>650</v>
      </c>
      <c r="Q4215">
        <v>28330</v>
      </c>
      <c r="R4215" t="s">
        <v>322</v>
      </c>
      <c r="S4215" t="s">
        <v>4134</v>
      </c>
      <c r="T4215">
        <v>26</v>
      </c>
      <c r="V4215" s="1">
        <v>45440</v>
      </c>
      <c r="W4215" t="s">
        <v>476</v>
      </c>
      <c r="X4215" t="s">
        <v>4135</v>
      </c>
      <c r="Y4215" t="s">
        <v>20134</v>
      </c>
      <c r="Z4215" s="2" t="s">
        <v>25713</v>
      </c>
      <c r="AA4215" t="s">
        <v>9749</v>
      </c>
      <c r="AB4215" t="s">
        <v>486</v>
      </c>
      <c r="AD4215" t="s">
        <v>6251</v>
      </c>
      <c r="AE4215">
        <v>11566</v>
      </c>
      <c r="AG4215" t="s">
        <v>25714</v>
      </c>
      <c r="AH4215" t="s">
        <v>25715</v>
      </c>
      <c r="AI4215" t="s">
        <v>25716</v>
      </c>
    </row>
    <row r="4216" spans="2:35" ht="225">
      <c r="B4216" s="1">
        <v>45440</v>
      </c>
      <c r="C4216" s="4">
        <v>45440.429861111108</v>
      </c>
      <c r="D4216" t="s">
        <v>3067</v>
      </c>
      <c r="E4216" t="s">
        <v>23670</v>
      </c>
      <c r="F4216" t="s">
        <v>148</v>
      </c>
      <c r="G4216" t="s">
        <v>447</v>
      </c>
      <c r="H4216" t="s">
        <v>39</v>
      </c>
      <c r="I4216" t="s">
        <v>40</v>
      </c>
      <c r="J4216" t="s">
        <v>525</v>
      </c>
      <c r="K4216" t="s">
        <v>42</v>
      </c>
      <c r="L4216" t="s">
        <v>448</v>
      </c>
      <c r="N4216" t="s">
        <v>650</v>
      </c>
      <c r="Q4216">
        <v>28329</v>
      </c>
      <c r="R4216" t="s">
        <v>45</v>
      </c>
      <c r="S4216" t="s">
        <v>3069</v>
      </c>
      <c r="T4216">
        <v>29</v>
      </c>
      <c r="U4216" s="2" t="s">
        <v>17985</v>
      </c>
      <c r="W4216" t="s">
        <v>1139</v>
      </c>
      <c r="X4216">
        <v>803089</v>
      </c>
      <c r="Y4216" t="s">
        <v>25717</v>
      </c>
      <c r="Z4216" s="2" t="s">
        <v>25718</v>
      </c>
      <c r="AA4216" t="s">
        <v>19984</v>
      </c>
      <c r="AB4216" t="s">
        <v>4741</v>
      </c>
      <c r="AG4216" t="s">
        <v>25719</v>
      </c>
      <c r="AH4216" t="s">
        <v>23675</v>
      </c>
      <c r="AI4216" t="s">
        <v>25720</v>
      </c>
    </row>
    <row r="4217" spans="2:35" ht="285">
      <c r="B4217" s="1">
        <v>45440</v>
      </c>
      <c r="C4217" s="4">
        <v>45439.661111111112</v>
      </c>
      <c r="D4217" t="s">
        <v>3679</v>
      </c>
      <c r="E4217" t="s">
        <v>2580</v>
      </c>
      <c r="F4217" t="s">
        <v>148</v>
      </c>
      <c r="G4217" t="s">
        <v>447</v>
      </c>
      <c r="H4217" t="s">
        <v>386</v>
      </c>
      <c r="I4217" t="s">
        <v>40</v>
      </c>
      <c r="J4217" t="s">
        <v>525</v>
      </c>
      <c r="K4217" t="s">
        <v>387</v>
      </c>
      <c r="L4217" t="s">
        <v>448</v>
      </c>
      <c r="N4217" t="s">
        <v>650</v>
      </c>
      <c r="Q4217">
        <v>28328</v>
      </c>
      <c r="R4217" t="s">
        <v>322</v>
      </c>
      <c r="S4217" t="s">
        <v>25721</v>
      </c>
      <c r="T4217">
        <v>28</v>
      </c>
      <c r="W4217" t="s">
        <v>476</v>
      </c>
      <c r="X4217">
        <v>20168</v>
      </c>
      <c r="Y4217" t="s">
        <v>25722</v>
      </c>
      <c r="Z4217" s="2" t="s">
        <v>25723</v>
      </c>
      <c r="AA4217" t="s">
        <v>4487</v>
      </c>
      <c r="AB4217" s="2" t="s">
        <v>25724</v>
      </c>
      <c r="AG4217" t="s">
        <v>25725</v>
      </c>
      <c r="AH4217" t="s">
        <v>25726</v>
      </c>
      <c r="AI4217" t="s">
        <v>25727</v>
      </c>
    </row>
    <row r="4218" spans="2:35" ht="285">
      <c r="B4218" s="1">
        <v>45440</v>
      </c>
      <c r="C4218" s="4">
        <v>45439.638888888891</v>
      </c>
      <c r="D4218" t="s">
        <v>3679</v>
      </c>
      <c r="E4218" t="s">
        <v>25728</v>
      </c>
      <c r="F4218" t="s">
        <v>148</v>
      </c>
      <c r="G4218" t="s">
        <v>447</v>
      </c>
      <c r="H4218" t="s">
        <v>386</v>
      </c>
      <c r="I4218" t="s">
        <v>40</v>
      </c>
      <c r="J4218" t="s">
        <v>525</v>
      </c>
      <c r="K4218" t="s">
        <v>387</v>
      </c>
      <c r="L4218" t="s">
        <v>448</v>
      </c>
      <c r="N4218" t="s">
        <v>650</v>
      </c>
      <c r="Q4218">
        <v>28327</v>
      </c>
      <c r="R4218" t="s">
        <v>322</v>
      </c>
      <c r="S4218" t="s">
        <v>25721</v>
      </c>
      <c r="T4218">
        <v>26</v>
      </c>
      <c r="W4218" t="s">
        <v>390</v>
      </c>
      <c r="X4218" t="s">
        <v>3690</v>
      </c>
      <c r="Y4218" t="s">
        <v>25729</v>
      </c>
      <c r="Z4218" s="2" t="s">
        <v>25723</v>
      </c>
      <c r="AA4218" t="s">
        <v>4487</v>
      </c>
      <c r="AB4218" s="2" t="s">
        <v>25730</v>
      </c>
      <c r="AG4218" t="s">
        <v>25731</v>
      </c>
      <c r="AH4218" t="s">
        <v>25726</v>
      </c>
      <c r="AI4218" t="s">
        <v>25732</v>
      </c>
    </row>
    <row r="4219" spans="2:35" ht="330">
      <c r="B4219" s="1">
        <v>45440</v>
      </c>
      <c r="C4219" s="4">
        <v>45440.679166666669</v>
      </c>
      <c r="D4219" t="s">
        <v>16407</v>
      </c>
      <c r="E4219" t="s">
        <v>19358</v>
      </c>
      <c r="F4219">
        <v>7</v>
      </c>
      <c r="G4219" t="s">
        <v>432</v>
      </c>
      <c r="H4219" t="s">
        <v>608</v>
      </c>
      <c r="I4219" t="s">
        <v>40</v>
      </c>
      <c r="J4219" t="s">
        <v>109</v>
      </c>
      <c r="K4219" t="s">
        <v>42</v>
      </c>
      <c r="L4219" t="s">
        <v>610</v>
      </c>
      <c r="N4219" t="s">
        <v>611</v>
      </c>
      <c r="Q4219">
        <v>28326</v>
      </c>
      <c r="R4219" t="s">
        <v>119</v>
      </c>
      <c r="S4219" t="s">
        <v>16409</v>
      </c>
      <c r="T4219">
        <v>27</v>
      </c>
      <c r="U4219" s="2" t="s">
        <v>13749</v>
      </c>
      <c r="W4219" t="s">
        <v>360</v>
      </c>
      <c r="X4219">
        <v>838513</v>
      </c>
      <c r="Y4219" t="s">
        <v>2851</v>
      </c>
      <c r="Z4219" s="2" t="s">
        <v>25733</v>
      </c>
      <c r="AA4219" s="2" t="s">
        <v>25733</v>
      </c>
      <c r="AB4219" t="s">
        <v>1263</v>
      </c>
      <c r="AG4219" t="s">
        <v>25734</v>
      </c>
      <c r="AH4219" t="s">
        <v>16414</v>
      </c>
      <c r="AI4219" t="s">
        <v>25735</v>
      </c>
    </row>
    <row r="4220" spans="2:35" ht="105">
      <c r="B4220" s="1">
        <v>45440</v>
      </c>
      <c r="C4220" s="4">
        <v>45440.649305555555</v>
      </c>
      <c r="D4220" t="s">
        <v>25736</v>
      </c>
      <c r="E4220" t="s">
        <v>25737</v>
      </c>
      <c r="F4220">
        <v>2</v>
      </c>
      <c r="G4220" t="s">
        <v>2668</v>
      </c>
      <c r="H4220" t="s">
        <v>39</v>
      </c>
      <c r="I4220" t="s">
        <v>40</v>
      </c>
      <c r="J4220" t="s">
        <v>109</v>
      </c>
      <c r="K4220" t="s">
        <v>42</v>
      </c>
      <c r="L4220" t="s">
        <v>63</v>
      </c>
      <c r="N4220" t="s">
        <v>64</v>
      </c>
      <c r="Q4220">
        <v>28325</v>
      </c>
      <c r="R4220" t="s">
        <v>119</v>
      </c>
      <c r="S4220" t="s">
        <v>25738</v>
      </c>
      <c r="T4220">
        <v>28</v>
      </c>
      <c r="U4220" s="2" t="s">
        <v>25739</v>
      </c>
      <c r="W4220" t="s">
        <v>23881</v>
      </c>
      <c r="X4220">
        <v>831718</v>
      </c>
      <c r="Y4220" t="s">
        <v>2692</v>
      </c>
      <c r="Z4220" t="s">
        <v>10275</v>
      </c>
      <c r="AA4220" s="2" t="s">
        <v>7015</v>
      </c>
      <c r="AB4220" t="s">
        <v>70</v>
      </c>
      <c r="AG4220" t="s">
        <v>25740</v>
      </c>
      <c r="AH4220" t="s">
        <v>25741</v>
      </c>
      <c r="AI4220" t="s">
        <v>25742</v>
      </c>
    </row>
    <row r="4221" spans="2:35" ht="240">
      <c r="B4221" s="1">
        <v>45440</v>
      </c>
      <c r="C4221" s="4">
        <v>45440.595138888886</v>
      </c>
      <c r="D4221" t="s">
        <v>1081</v>
      </c>
      <c r="E4221" t="s">
        <v>25743</v>
      </c>
      <c r="F4221" t="s">
        <v>148</v>
      </c>
      <c r="G4221" t="s">
        <v>785</v>
      </c>
      <c r="H4221" t="s">
        <v>1083</v>
      </c>
      <c r="I4221" t="s">
        <v>40</v>
      </c>
      <c r="J4221" t="s">
        <v>109</v>
      </c>
      <c r="K4221" t="s">
        <v>387</v>
      </c>
      <c r="L4221" t="s">
        <v>43</v>
      </c>
      <c r="N4221" t="s">
        <v>44</v>
      </c>
      <c r="Q4221">
        <v>28324</v>
      </c>
      <c r="R4221" t="s">
        <v>95</v>
      </c>
      <c r="S4221" t="s">
        <v>1084</v>
      </c>
      <c r="T4221">
        <v>21</v>
      </c>
      <c r="W4221" t="s">
        <v>390</v>
      </c>
      <c r="X4221" t="s">
        <v>5969</v>
      </c>
      <c r="Y4221" t="s">
        <v>121</v>
      </c>
      <c r="Z4221" t="s">
        <v>122</v>
      </c>
      <c r="AA4221" s="2" t="s">
        <v>8964</v>
      </c>
      <c r="AB4221" t="s">
        <v>88</v>
      </c>
      <c r="AG4221" t="s">
        <v>25744</v>
      </c>
      <c r="AH4221" t="s">
        <v>25745</v>
      </c>
      <c r="AI4221" t="s">
        <v>25746</v>
      </c>
    </row>
    <row r="4222" spans="2:35" ht="240">
      <c r="B4222" s="1">
        <v>45440</v>
      </c>
      <c r="C4222" s="4">
        <v>45440.565972222219</v>
      </c>
      <c r="D4222" t="s">
        <v>1081</v>
      </c>
      <c r="E4222" t="s">
        <v>25743</v>
      </c>
      <c r="F4222" t="s">
        <v>148</v>
      </c>
      <c r="G4222" t="s">
        <v>785</v>
      </c>
      <c r="H4222" t="s">
        <v>39</v>
      </c>
      <c r="I4222" t="s">
        <v>40</v>
      </c>
      <c r="J4222" t="s">
        <v>109</v>
      </c>
      <c r="K4222" t="s">
        <v>387</v>
      </c>
      <c r="L4222" t="s">
        <v>43</v>
      </c>
      <c r="N4222" t="s">
        <v>44</v>
      </c>
      <c r="Q4222">
        <v>28323</v>
      </c>
      <c r="R4222" t="s">
        <v>95</v>
      </c>
      <c r="S4222" t="s">
        <v>8281</v>
      </c>
      <c r="T4222">
        <v>24</v>
      </c>
      <c r="W4222" t="s">
        <v>390</v>
      </c>
      <c r="X4222" t="s">
        <v>2075</v>
      </c>
      <c r="Y4222" t="s">
        <v>121</v>
      </c>
      <c r="Z4222" t="s">
        <v>122</v>
      </c>
      <c r="AA4222" s="2" t="s">
        <v>25747</v>
      </c>
      <c r="AB4222" t="s">
        <v>88</v>
      </c>
      <c r="AG4222" t="s">
        <v>25748</v>
      </c>
      <c r="AH4222" t="s">
        <v>8286</v>
      </c>
      <c r="AI4222" t="s">
        <v>25749</v>
      </c>
    </row>
    <row r="4223" spans="2:35" ht="165">
      <c r="B4223" s="1">
        <v>45440</v>
      </c>
      <c r="C4223" s="4">
        <v>45440.561111111114</v>
      </c>
      <c r="D4223" t="s">
        <v>25750</v>
      </c>
      <c r="E4223" t="s">
        <v>25751</v>
      </c>
      <c r="F4223">
        <v>2</v>
      </c>
      <c r="G4223" t="s">
        <v>10878</v>
      </c>
      <c r="H4223" t="s">
        <v>39</v>
      </c>
      <c r="I4223" t="s">
        <v>40</v>
      </c>
      <c r="J4223" s="2" t="s">
        <v>25752</v>
      </c>
      <c r="K4223" t="s">
        <v>42</v>
      </c>
      <c r="L4223" t="s">
        <v>63</v>
      </c>
      <c r="N4223" t="s">
        <v>64</v>
      </c>
      <c r="Q4223">
        <v>28322</v>
      </c>
      <c r="R4223" t="s">
        <v>45</v>
      </c>
      <c r="S4223" t="s">
        <v>25753</v>
      </c>
      <c r="T4223">
        <v>28</v>
      </c>
      <c r="W4223" t="s">
        <v>23881</v>
      </c>
      <c r="X4223">
        <v>814166</v>
      </c>
      <c r="Y4223" t="s">
        <v>25754</v>
      </c>
      <c r="Z4223" s="2" t="s">
        <v>25755</v>
      </c>
      <c r="AA4223" s="2" t="s">
        <v>1727</v>
      </c>
      <c r="AB4223" t="s">
        <v>25756</v>
      </c>
      <c r="AC4223" t="s">
        <v>25757</v>
      </c>
      <c r="AG4223" t="s">
        <v>25758</v>
      </c>
      <c r="AH4223" t="s">
        <v>25759</v>
      </c>
      <c r="AI4223" t="s">
        <v>25760</v>
      </c>
    </row>
    <row r="4224" spans="2:35" ht="105">
      <c r="B4224" s="1">
        <v>45440</v>
      </c>
      <c r="C4224" s="4">
        <v>45440.564583333333</v>
      </c>
      <c r="D4224" t="s">
        <v>25750</v>
      </c>
      <c r="E4224" t="s">
        <v>25751</v>
      </c>
      <c r="F4224">
        <v>2</v>
      </c>
      <c r="G4224" t="s">
        <v>10878</v>
      </c>
      <c r="H4224" t="s">
        <v>39</v>
      </c>
      <c r="I4224" t="s">
        <v>40</v>
      </c>
      <c r="J4224" t="s">
        <v>109</v>
      </c>
      <c r="K4224" t="s">
        <v>42</v>
      </c>
      <c r="L4224" t="s">
        <v>63</v>
      </c>
      <c r="N4224" t="s">
        <v>64</v>
      </c>
      <c r="Q4224">
        <v>28321</v>
      </c>
      <c r="R4224" t="s">
        <v>45</v>
      </c>
      <c r="S4224" t="s">
        <v>25753</v>
      </c>
      <c r="T4224">
        <v>27</v>
      </c>
      <c r="U4224" s="2" t="s">
        <v>25761</v>
      </c>
      <c r="W4224" t="s">
        <v>12775</v>
      </c>
      <c r="X4224">
        <v>120000609</v>
      </c>
      <c r="Y4224" t="s">
        <v>2692</v>
      </c>
      <c r="Z4224" t="s">
        <v>10275</v>
      </c>
      <c r="AA4224" s="2" t="s">
        <v>7015</v>
      </c>
      <c r="AB4224" t="s">
        <v>70</v>
      </c>
      <c r="AG4224" t="s">
        <v>25762</v>
      </c>
      <c r="AH4224" t="s">
        <v>25759</v>
      </c>
      <c r="AI4224" t="s">
        <v>25763</v>
      </c>
    </row>
    <row r="4225" spans="2:35" ht="300">
      <c r="B4225" s="1">
        <v>45440</v>
      </c>
      <c r="C4225" s="4">
        <v>45440.524305555555</v>
      </c>
      <c r="D4225" t="s">
        <v>25764</v>
      </c>
      <c r="E4225" t="s">
        <v>22556</v>
      </c>
      <c r="F4225">
        <v>3</v>
      </c>
      <c r="G4225" t="s">
        <v>219</v>
      </c>
      <c r="H4225" t="s">
        <v>39</v>
      </c>
      <c r="I4225" t="s">
        <v>40</v>
      </c>
      <c r="J4225" t="s">
        <v>25765</v>
      </c>
      <c r="K4225" t="s">
        <v>42</v>
      </c>
      <c r="L4225" t="s">
        <v>135</v>
      </c>
      <c r="N4225" t="s">
        <v>136</v>
      </c>
      <c r="Q4225">
        <v>28320</v>
      </c>
      <c r="R4225" t="s">
        <v>45</v>
      </c>
      <c r="S4225" t="s">
        <v>25766</v>
      </c>
      <c r="T4225">
        <v>34</v>
      </c>
      <c r="U4225" s="2" t="s">
        <v>25767</v>
      </c>
      <c r="W4225" t="s">
        <v>2680</v>
      </c>
      <c r="X4225">
        <v>805070</v>
      </c>
      <c r="Y4225" t="s">
        <v>25768</v>
      </c>
      <c r="Z4225" s="2" t="s">
        <v>25769</v>
      </c>
      <c r="AA4225" s="2" t="s">
        <v>25770</v>
      </c>
      <c r="AB4225" t="s">
        <v>181</v>
      </c>
      <c r="AG4225" t="s">
        <v>25771</v>
      </c>
      <c r="AH4225" t="s">
        <v>25772</v>
      </c>
      <c r="AI4225" t="s">
        <v>25773</v>
      </c>
    </row>
    <row r="4226" spans="2:35" ht="409.5">
      <c r="B4226" s="1">
        <v>45440</v>
      </c>
      <c r="C4226" s="4">
        <v>45440.510416666664</v>
      </c>
      <c r="D4226" t="s">
        <v>1081</v>
      </c>
      <c r="E4226" t="s">
        <v>25774</v>
      </c>
      <c r="F4226" t="s">
        <v>148</v>
      </c>
      <c r="G4226" t="s">
        <v>785</v>
      </c>
      <c r="H4226" t="s">
        <v>39</v>
      </c>
      <c r="I4226" t="s">
        <v>40</v>
      </c>
      <c r="J4226" t="s">
        <v>109</v>
      </c>
      <c r="K4226" t="s">
        <v>42</v>
      </c>
      <c r="L4226" t="s">
        <v>43</v>
      </c>
      <c r="N4226" t="s">
        <v>44</v>
      </c>
      <c r="Q4226">
        <v>28319</v>
      </c>
      <c r="R4226" t="s">
        <v>95</v>
      </c>
      <c r="S4226" t="s">
        <v>2016</v>
      </c>
      <c r="T4226">
        <v>22</v>
      </c>
      <c r="U4226" s="2" t="s">
        <v>25775</v>
      </c>
      <c r="W4226" t="s">
        <v>25776</v>
      </c>
      <c r="X4226">
        <v>110015767</v>
      </c>
      <c r="Y4226" t="s">
        <v>121</v>
      </c>
      <c r="Z4226" t="s">
        <v>122</v>
      </c>
      <c r="AA4226" s="2" t="s">
        <v>10915</v>
      </c>
      <c r="AB4226" t="s">
        <v>548</v>
      </c>
      <c r="AG4226" t="s">
        <v>25777</v>
      </c>
      <c r="AH4226" t="s">
        <v>24110</v>
      </c>
      <c r="AI4226" t="s">
        <v>25778</v>
      </c>
    </row>
    <row r="4227" spans="2:35" ht="409.5">
      <c r="B4227" s="1">
        <v>45440</v>
      </c>
      <c r="C4227" s="4">
        <v>45440.521527777775</v>
      </c>
      <c r="D4227" t="s">
        <v>1081</v>
      </c>
      <c r="E4227" t="s">
        <v>25774</v>
      </c>
      <c r="F4227" t="s">
        <v>148</v>
      </c>
      <c r="G4227" t="s">
        <v>785</v>
      </c>
      <c r="H4227" t="s">
        <v>39</v>
      </c>
      <c r="I4227" t="s">
        <v>40</v>
      </c>
      <c r="J4227" t="s">
        <v>109</v>
      </c>
      <c r="K4227" t="s">
        <v>42</v>
      </c>
      <c r="L4227" t="s">
        <v>43</v>
      </c>
      <c r="N4227" t="s">
        <v>44</v>
      </c>
      <c r="Q4227">
        <v>28318</v>
      </c>
      <c r="R4227" t="s">
        <v>95</v>
      </c>
      <c r="S4227" t="s">
        <v>2016</v>
      </c>
      <c r="T4227">
        <v>24</v>
      </c>
      <c r="U4227" s="2" t="s">
        <v>25779</v>
      </c>
      <c r="W4227" t="s">
        <v>11663</v>
      </c>
      <c r="X4227">
        <v>802630</v>
      </c>
      <c r="Y4227" t="s">
        <v>121</v>
      </c>
      <c r="Z4227" t="s">
        <v>122</v>
      </c>
      <c r="AA4227" s="2" t="s">
        <v>9740</v>
      </c>
      <c r="AB4227" t="s">
        <v>25780</v>
      </c>
      <c r="AG4227" t="s">
        <v>25781</v>
      </c>
      <c r="AH4227" t="s">
        <v>24110</v>
      </c>
      <c r="AI4227" t="s">
        <v>25782</v>
      </c>
    </row>
    <row r="4228" spans="2:35" ht="225">
      <c r="B4228" s="1">
        <v>45440</v>
      </c>
      <c r="C4228" s="4">
        <v>45440.506249999999</v>
      </c>
      <c r="D4228" t="s">
        <v>25783</v>
      </c>
      <c r="E4228" t="s">
        <v>25784</v>
      </c>
      <c r="F4228">
        <v>3</v>
      </c>
      <c r="G4228" t="s">
        <v>174</v>
      </c>
      <c r="H4228" t="s">
        <v>39</v>
      </c>
      <c r="I4228" t="s">
        <v>40</v>
      </c>
      <c r="J4228" s="2" t="s">
        <v>62</v>
      </c>
      <c r="K4228" t="s">
        <v>42</v>
      </c>
      <c r="L4228" t="s">
        <v>175</v>
      </c>
      <c r="N4228" t="s">
        <v>176</v>
      </c>
      <c r="Q4228">
        <v>28317</v>
      </c>
      <c r="R4228" t="s">
        <v>45</v>
      </c>
      <c r="S4228" t="s">
        <v>25785</v>
      </c>
      <c r="T4228">
        <v>25</v>
      </c>
      <c r="U4228" s="2" t="s">
        <v>2367</v>
      </c>
      <c r="W4228" t="s">
        <v>84</v>
      </c>
      <c r="X4228">
        <v>838891</v>
      </c>
      <c r="Y4228" t="s">
        <v>998</v>
      </c>
      <c r="Z4228" t="s">
        <v>103</v>
      </c>
      <c r="AA4228" t="e">
        <f ca="1">- checked _xludf.and cleaned cartridge bay, plunger rod, _xludf.filter, icore slot
- performed XpertCheck
- generated reports</f>
        <v>#NAME?</v>
      </c>
      <c r="AB4228" s="2" t="s">
        <v>25786</v>
      </c>
      <c r="AG4228" t="s">
        <v>25787</v>
      </c>
      <c r="AH4228" t="s">
        <v>25788</v>
      </c>
      <c r="AI4228" t="s">
        <v>25789</v>
      </c>
    </row>
    <row r="4229" spans="2:35" ht="409.5">
      <c r="B4229" s="1">
        <v>45440</v>
      </c>
      <c r="C4229" s="4">
        <v>45440.520833333336</v>
      </c>
      <c r="D4229" t="s">
        <v>524</v>
      </c>
      <c r="E4229" t="s">
        <v>25790</v>
      </c>
      <c r="F4229" t="s">
        <v>148</v>
      </c>
      <c r="G4229" t="s">
        <v>371</v>
      </c>
      <c r="H4229" t="s">
        <v>39</v>
      </c>
      <c r="I4229" t="s">
        <v>40</v>
      </c>
      <c r="J4229" s="2" t="s">
        <v>41</v>
      </c>
      <c r="K4229" t="s">
        <v>42</v>
      </c>
      <c r="L4229" t="s">
        <v>1943</v>
      </c>
      <c r="N4229" t="s">
        <v>1944</v>
      </c>
      <c r="Q4229">
        <v>28316</v>
      </c>
      <c r="R4229" t="s">
        <v>119</v>
      </c>
      <c r="S4229" t="s">
        <v>25791</v>
      </c>
      <c r="T4229">
        <v>25</v>
      </c>
      <c r="V4229" s="1">
        <v>45440</v>
      </c>
      <c r="W4229" t="s">
        <v>84</v>
      </c>
      <c r="X4229">
        <v>831892</v>
      </c>
      <c r="Y4229" s="2" t="s">
        <v>25792</v>
      </c>
      <c r="Z4229" t="s">
        <v>22330</v>
      </c>
      <c r="AA4229" s="2" t="s">
        <v>1948</v>
      </c>
      <c r="AB4229" t="s">
        <v>88</v>
      </c>
      <c r="AD4229" t="s">
        <v>25793</v>
      </c>
      <c r="AE4229" t="s">
        <v>11329</v>
      </c>
      <c r="AG4229" t="s">
        <v>25794</v>
      </c>
      <c r="AH4229" t="s">
        <v>4061</v>
      </c>
      <c r="AI4229" t="s">
        <v>25795</v>
      </c>
    </row>
    <row r="4230" spans="2:35" ht="210">
      <c r="B4230" s="1">
        <v>45440</v>
      </c>
      <c r="C4230" s="4">
        <v>45440.477083333331</v>
      </c>
      <c r="D4230" t="s">
        <v>25796</v>
      </c>
      <c r="E4230" t="s">
        <v>25797</v>
      </c>
      <c r="F4230">
        <v>3</v>
      </c>
      <c r="G4230" t="s">
        <v>219</v>
      </c>
      <c r="H4230" t="s">
        <v>39</v>
      </c>
      <c r="I4230" t="s">
        <v>40</v>
      </c>
      <c r="J4230" t="s">
        <v>321</v>
      </c>
      <c r="K4230" t="s">
        <v>42</v>
      </c>
      <c r="L4230" t="s">
        <v>135</v>
      </c>
      <c r="N4230" t="s">
        <v>136</v>
      </c>
      <c r="Q4230">
        <v>28315</v>
      </c>
      <c r="R4230" t="s">
        <v>45</v>
      </c>
      <c r="S4230" t="s">
        <v>25766</v>
      </c>
      <c r="T4230">
        <v>30</v>
      </c>
      <c r="U4230" s="2" t="s">
        <v>25798</v>
      </c>
      <c r="W4230" t="s">
        <v>3335</v>
      </c>
      <c r="X4230">
        <v>110020681</v>
      </c>
      <c r="Y4230" t="s">
        <v>25799</v>
      </c>
      <c r="Z4230" t="s">
        <v>25800</v>
      </c>
      <c r="AA4230" s="2" t="s">
        <v>25801</v>
      </c>
      <c r="AB4230" t="s">
        <v>181</v>
      </c>
      <c r="AG4230" t="s">
        <v>25802</v>
      </c>
      <c r="AH4230" t="s">
        <v>25803</v>
      </c>
      <c r="AI4230" t="s">
        <v>25804</v>
      </c>
    </row>
    <row r="4231" spans="2:35" ht="409.5">
      <c r="B4231" s="1">
        <v>45440</v>
      </c>
      <c r="C4231" s="4">
        <v>45440.4375</v>
      </c>
      <c r="D4231" t="s">
        <v>25805</v>
      </c>
      <c r="E4231" t="s">
        <v>14011</v>
      </c>
      <c r="F4231" t="s">
        <v>148</v>
      </c>
      <c r="G4231" t="s">
        <v>774</v>
      </c>
      <c r="H4231" t="s">
        <v>39</v>
      </c>
      <c r="I4231" t="s">
        <v>40</v>
      </c>
      <c r="J4231" s="2" t="s">
        <v>190</v>
      </c>
      <c r="K4231" t="s">
        <v>42</v>
      </c>
      <c r="L4231" t="s">
        <v>1028</v>
      </c>
      <c r="N4231" t="s">
        <v>1029</v>
      </c>
      <c r="O4231" t="s">
        <v>25806</v>
      </c>
      <c r="Q4231">
        <v>28314</v>
      </c>
      <c r="R4231" t="s">
        <v>45</v>
      </c>
      <c r="S4231" t="s">
        <v>25807</v>
      </c>
      <c r="T4231">
        <v>28</v>
      </c>
      <c r="U4231" s="2" t="s">
        <v>18003</v>
      </c>
      <c r="W4231" t="s">
        <v>1967</v>
      </c>
      <c r="X4231">
        <v>807606</v>
      </c>
      <c r="Y4231" t="s">
        <v>25808</v>
      </c>
      <c r="Z4231" s="2" t="s">
        <v>25809</v>
      </c>
      <c r="AA4231" s="2" t="s">
        <v>25810</v>
      </c>
      <c r="AB4231" s="2" t="s">
        <v>25811</v>
      </c>
      <c r="AG4231" t="s">
        <v>25812</v>
      </c>
      <c r="AH4231" t="s">
        <v>25813</v>
      </c>
      <c r="AI4231" t="s">
        <v>25814</v>
      </c>
    </row>
    <row r="4232" spans="2:35" ht="240">
      <c r="B4232" s="1">
        <v>45440</v>
      </c>
      <c r="C4232" s="4">
        <v>45440.45416666667</v>
      </c>
      <c r="D4232" t="s">
        <v>25805</v>
      </c>
      <c r="E4232" t="s">
        <v>14011</v>
      </c>
      <c r="F4232" t="s">
        <v>148</v>
      </c>
      <c r="G4232" t="s">
        <v>774</v>
      </c>
      <c r="H4232" t="s">
        <v>39</v>
      </c>
      <c r="I4232" t="s">
        <v>40</v>
      </c>
      <c r="J4232" t="s">
        <v>109</v>
      </c>
      <c r="K4232" t="s">
        <v>42</v>
      </c>
      <c r="L4232" t="s">
        <v>1028</v>
      </c>
      <c r="N4232" t="s">
        <v>1029</v>
      </c>
      <c r="O4232" t="s">
        <v>25806</v>
      </c>
      <c r="Q4232">
        <v>28313</v>
      </c>
      <c r="R4232" t="s">
        <v>45</v>
      </c>
      <c r="S4232" t="s">
        <v>25807</v>
      </c>
      <c r="T4232">
        <v>32</v>
      </c>
      <c r="U4232" s="2" t="s">
        <v>25815</v>
      </c>
      <c r="W4232" t="s">
        <v>1032</v>
      </c>
      <c r="X4232">
        <v>848244</v>
      </c>
      <c r="Y4232" t="s">
        <v>25816</v>
      </c>
      <c r="Z4232" t="s">
        <v>1548</v>
      </c>
      <c r="AA4232" s="2" t="s">
        <v>9006</v>
      </c>
      <c r="AB4232" t="s">
        <v>3300</v>
      </c>
      <c r="AC4232" t="s">
        <v>25817</v>
      </c>
      <c r="AG4232" t="s">
        <v>25818</v>
      </c>
      <c r="AH4232" t="s">
        <v>25819</v>
      </c>
      <c r="AI4232" t="s">
        <v>25820</v>
      </c>
    </row>
    <row r="4233" spans="2:35" ht="240">
      <c r="B4233" s="1">
        <v>45440</v>
      </c>
      <c r="C4233" s="4">
        <v>45440.443055555559</v>
      </c>
      <c r="D4233" t="s">
        <v>25805</v>
      </c>
      <c r="E4233" t="s">
        <v>14011</v>
      </c>
      <c r="F4233" t="s">
        <v>148</v>
      </c>
      <c r="G4233" t="s">
        <v>774</v>
      </c>
      <c r="H4233" t="s">
        <v>39</v>
      </c>
      <c r="I4233" t="s">
        <v>40</v>
      </c>
      <c r="J4233" s="2" t="s">
        <v>190</v>
      </c>
      <c r="K4233" t="s">
        <v>42</v>
      </c>
      <c r="L4233" t="s">
        <v>1028</v>
      </c>
      <c r="N4233" t="s">
        <v>1029</v>
      </c>
      <c r="O4233" t="s">
        <v>25806</v>
      </c>
      <c r="Q4233">
        <v>28312</v>
      </c>
      <c r="R4233" t="s">
        <v>45</v>
      </c>
      <c r="S4233" t="s">
        <v>25807</v>
      </c>
      <c r="T4233">
        <v>28</v>
      </c>
      <c r="U4233" s="2" t="s">
        <v>18003</v>
      </c>
      <c r="W4233" t="s">
        <v>1967</v>
      </c>
      <c r="X4233">
        <v>707512</v>
      </c>
      <c r="Y4233" t="s">
        <v>25821</v>
      </c>
      <c r="Z4233" s="2" t="s">
        <v>21592</v>
      </c>
      <c r="AA4233" s="2" t="s">
        <v>25822</v>
      </c>
      <c r="AB4233" s="2" t="s">
        <v>25823</v>
      </c>
      <c r="AG4233" t="s">
        <v>25824</v>
      </c>
      <c r="AH4233" t="s">
        <v>25819</v>
      </c>
      <c r="AI4233" t="s">
        <v>25825</v>
      </c>
    </row>
    <row r="4234" spans="2:35" ht="409.5">
      <c r="B4234" s="1">
        <v>45440</v>
      </c>
      <c r="C4234" s="4">
        <v>45440.4375</v>
      </c>
      <c r="D4234" t="s">
        <v>23371</v>
      </c>
      <c r="E4234" t="s">
        <v>23372</v>
      </c>
      <c r="F4234">
        <v>10</v>
      </c>
      <c r="G4234" t="s">
        <v>1395</v>
      </c>
      <c r="H4234" t="s">
        <v>10969</v>
      </c>
      <c r="I4234" t="s">
        <v>40</v>
      </c>
      <c r="J4234" s="2" t="s">
        <v>41</v>
      </c>
      <c r="K4234" t="s">
        <v>42</v>
      </c>
      <c r="L4234" t="s">
        <v>1288</v>
      </c>
      <c r="N4234" t="s">
        <v>1289</v>
      </c>
      <c r="Q4234">
        <v>28311</v>
      </c>
      <c r="R4234" t="s">
        <v>45</v>
      </c>
      <c r="S4234" t="s">
        <v>23373</v>
      </c>
      <c r="T4234">
        <v>28</v>
      </c>
      <c r="U4234" s="2" t="s">
        <v>25826</v>
      </c>
      <c r="W4234" t="s">
        <v>16722</v>
      </c>
      <c r="X4234">
        <v>844118</v>
      </c>
      <c r="Y4234" t="e">
        <f ca="1">-_xludf.For module A4 _xludf.and module D4 Replacement
-_xludf.For Preventive Maintenance</f>
        <v>#NAME?</v>
      </c>
      <c r="Z4234" t="e">
        <f ca="1">-COLLECT IQR, system _xludf.Log, _xludf.and ARCHIVE</f>
        <v>#NAME?</v>
      </c>
      <c r="AA4234" s="2" t="s">
        <v>25827</v>
      </c>
      <c r="AB4234" t="s">
        <v>1293</v>
      </c>
      <c r="AG4234" t="s">
        <v>25828</v>
      </c>
      <c r="AH4234" t="s">
        <v>23377</v>
      </c>
      <c r="AI4234" t="s">
        <v>25829</v>
      </c>
    </row>
    <row r="4235" spans="2:35" ht="360">
      <c r="B4235" s="1">
        <v>45440</v>
      </c>
      <c r="C4235" s="4">
        <v>45440.405555555553</v>
      </c>
      <c r="D4235" t="s">
        <v>3669</v>
      </c>
      <c r="E4235" t="s">
        <v>25830</v>
      </c>
      <c r="F4235" t="s">
        <v>37</v>
      </c>
      <c r="G4235" t="s">
        <v>38</v>
      </c>
      <c r="H4235" t="s">
        <v>39</v>
      </c>
      <c r="I4235" t="s">
        <v>40</v>
      </c>
      <c r="J4235" t="s">
        <v>109</v>
      </c>
      <c r="K4235" t="s">
        <v>42</v>
      </c>
      <c r="L4235" t="s">
        <v>43</v>
      </c>
      <c r="N4235" t="s">
        <v>44</v>
      </c>
      <c r="Q4235">
        <v>28310</v>
      </c>
      <c r="R4235" t="s">
        <v>95</v>
      </c>
      <c r="S4235" t="s">
        <v>5945</v>
      </c>
      <c r="T4235">
        <v>200</v>
      </c>
      <c r="U4235" s="2" t="s">
        <v>25831</v>
      </c>
      <c r="W4235" t="s">
        <v>48</v>
      </c>
      <c r="X4235">
        <v>110005265</v>
      </c>
      <c r="Y4235" t="s">
        <v>121</v>
      </c>
      <c r="Z4235" t="s">
        <v>122</v>
      </c>
      <c r="AA4235" s="2" t="s">
        <v>10915</v>
      </c>
      <c r="AB4235" t="s">
        <v>548</v>
      </c>
      <c r="AG4235" t="s">
        <v>25832</v>
      </c>
      <c r="AH4235" t="s">
        <v>15897</v>
      </c>
      <c r="AI4235" t="s">
        <v>25833</v>
      </c>
    </row>
    <row r="4236" spans="2:35" ht="240">
      <c r="B4236" s="1">
        <v>45440</v>
      </c>
      <c r="C4236" s="4">
        <v>45440.378472222219</v>
      </c>
      <c r="D4236" t="s">
        <v>25834</v>
      </c>
      <c r="E4236" t="s">
        <v>3242</v>
      </c>
      <c r="F4236">
        <v>7</v>
      </c>
      <c r="G4236" t="s">
        <v>432</v>
      </c>
      <c r="H4236" t="s">
        <v>39</v>
      </c>
      <c r="I4236" t="s">
        <v>40</v>
      </c>
      <c r="J4236" s="2" t="s">
        <v>190</v>
      </c>
      <c r="K4236" t="s">
        <v>42</v>
      </c>
      <c r="L4236" t="s">
        <v>594</v>
      </c>
      <c r="N4236" t="s">
        <v>595</v>
      </c>
      <c r="O4236" t="s">
        <v>595</v>
      </c>
      <c r="Q4236">
        <v>28309</v>
      </c>
      <c r="R4236" t="s">
        <v>45</v>
      </c>
      <c r="S4236" t="s">
        <v>3243</v>
      </c>
      <c r="T4236">
        <v>23</v>
      </c>
      <c r="V4236" s="1">
        <v>45440</v>
      </c>
      <c r="W4236" t="s">
        <v>360</v>
      </c>
      <c r="X4236">
        <v>808640</v>
      </c>
      <c r="Y4236" t="s">
        <v>25835</v>
      </c>
      <c r="Z4236" t="s">
        <v>25836</v>
      </c>
      <c r="AA4236" s="2" t="s">
        <v>25837</v>
      </c>
      <c r="AB4236" s="2" t="s">
        <v>25838</v>
      </c>
      <c r="AG4236" t="s">
        <v>25839</v>
      </c>
      <c r="AH4236" t="s">
        <v>25840</v>
      </c>
      <c r="AI4236" t="s">
        <v>25841</v>
      </c>
    </row>
    <row r="4237" spans="2:35" ht="120">
      <c r="B4237" s="1">
        <v>45439</v>
      </c>
      <c r="C4237" s="4">
        <v>45435.556250000001</v>
      </c>
      <c r="D4237" t="s">
        <v>6844</v>
      </c>
      <c r="E4237" t="s">
        <v>25842</v>
      </c>
      <c r="F4237">
        <v>12</v>
      </c>
      <c r="G4237" t="s">
        <v>294</v>
      </c>
      <c r="H4237" t="s">
        <v>1473</v>
      </c>
      <c r="I4237" t="s">
        <v>40</v>
      </c>
      <c r="J4237" s="2" t="s">
        <v>41</v>
      </c>
      <c r="K4237" t="s">
        <v>42</v>
      </c>
      <c r="L4237" t="s">
        <v>296</v>
      </c>
      <c r="N4237" t="s">
        <v>297</v>
      </c>
      <c r="Q4237">
        <v>28308</v>
      </c>
      <c r="R4237" t="s">
        <v>119</v>
      </c>
      <c r="S4237" t="s">
        <v>6846</v>
      </c>
      <c r="T4237">
        <v>27.1</v>
      </c>
      <c r="U4237" s="2" t="s">
        <v>25843</v>
      </c>
      <c r="W4237" t="s">
        <v>23049</v>
      </c>
      <c r="X4237">
        <v>838261</v>
      </c>
      <c r="Y4237" t="s">
        <v>25844</v>
      </c>
      <c r="Z4237" s="2" t="s">
        <v>25845</v>
      </c>
      <c r="AA4237" t="s">
        <v>25846</v>
      </c>
      <c r="AB4237" t="s">
        <v>972</v>
      </c>
      <c r="AG4237" t="s">
        <v>25847</v>
      </c>
      <c r="AH4237" t="s">
        <v>9125</v>
      </c>
      <c r="AI4237" t="s">
        <v>25848</v>
      </c>
    </row>
    <row r="4238" spans="2:35" ht="225">
      <c r="B4238" s="1">
        <v>45439</v>
      </c>
      <c r="C4238" s="4">
        <v>45439.6875</v>
      </c>
      <c r="D4238" t="s">
        <v>1071</v>
      </c>
      <c r="E4238" t="s">
        <v>1072</v>
      </c>
      <c r="F4238">
        <v>7</v>
      </c>
      <c r="G4238" t="s">
        <v>432</v>
      </c>
      <c r="H4238" t="s">
        <v>608</v>
      </c>
      <c r="I4238" t="s">
        <v>40</v>
      </c>
      <c r="J4238" s="2" t="s">
        <v>62</v>
      </c>
      <c r="K4238" t="s">
        <v>387</v>
      </c>
      <c r="L4238" t="s">
        <v>610</v>
      </c>
      <c r="N4238" t="s">
        <v>611</v>
      </c>
      <c r="Q4238">
        <v>28307</v>
      </c>
      <c r="R4238" t="s">
        <v>95</v>
      </c>
      <c r="S4238" t="s">
        <v>1073</v>
      </c>
      <c r="T4238">
        <v>24</v>
      </c>
      <c r="W4238" t="s">
        <v>390</v>
      </c>
      <c r="X4238" t="s">
        <v>1074</v>
      </c>
      <c r="Y4238" t="s">
        <v>25849</v>
      </c>
      <c r="Z4238" s="2" t="s">
        <v>25850</v>
      </c>
      <c r="AA4238" s="2" t="s">
        <v>25850</v>
      </c>
      <c r="AB4238" t="s">
        <v>25851</v>
      </c>
      <c r="AG4238" t="s">
        <v>25852</v>
      </c>
      <c r="AH4238" t="s">
        <v>1079</v>
      </c>
      <c r="AI4238" t="s">
        <v>25853</v>
      </c>
    </row>
    <row r="4239" spans="2:35" ht="105">
      <c r="B4239" s="1">
        <v>45439</v>
      </c>
      <c r="C4239" s="4">
        <v>45439.679861111108</v>
      </c>
      <c r="D4239" t="s">
        <v>25854</v>
      </c>
      <c r="E4239" t="s">
        <v>25855</v>
      </c>
      <c r="F4239">
        <v>9</v>
      </c>
      <c r="G4239" t="s">
        <v>2903</v>
      </c>
      <c r="H4239" t="s">
        <v>39</v>
      </c>
      <c r="I4239" t="s">
        <v>40</v>
      </c>
      <c r="J4239" s="2" t="s">
        <v>25856</v>
      </c>
      <c r="K4239" t="s">
        <v>42</v>
      </c>
      <c r="L4239" t="s">
        <v>1257</v>
      </c>
      <c r="N4239" t="s">
        <v>1258</v>
      </c>
      <c r="O4239" t="s">
        <v>2199</v>
      </c>
      <c r="Q4239">
        <v>28306</v>
      </c>
      <c r="R4239" t="s">
        <v>45</v>
      </c>
      <c r="S4239" t="s">
        <v>25857</v>
      </c>
      <c r="T4239">
        <v>25</v>
      </c>
      <c r="U4239" s="2" t="s">
        <v>9122</v>
      </c>
      <c r="V4239" s="1">
        <v>45439</v>
      </c>
      <c r="W4239" t="s">
        <v>25858</v>
      </c>
      <c r="X4239">
        <v>804698</v>
      </c>
      <c r="Y4239" t="s">
        <v>25859</v>
      </c>
      <c r="Z4239" t="s">
        <v>25860</v>
      </c>
      <c r="AA4239" t="s">
        <v>25860</v>
      </c>
      <c r="AB4239" t="s">
        <v>25861</v>
      </c>
      <c r="AC4239" t="s">
        <v>25862</v>
      </c>
      <c r="AD4239" t="s">
        <v>54</v>
      </c>
      <c r="AE4239" t="s">
        <v>54</v>
      </c>
      <c r="AG4239" t="s">
        <v>25863</v>
      </c>
      <c r="AH4239" t="s">
        <v>24166</v>
      </c>
      <c r="AI4239" t="s">
        <v>25864</v>
      </c>
    </row>
    <row r="4240" spans="2:35" ht="75">
      <c r="B4240" s="1">
        <v>45439</v>
      </c>
      <c r="C4240" s="4">
        <v>45439.668749999997</v>
      </c>
      <c r="D4240" t="s">
        <v>25865</v>
      </c>
      <c r="E4240" t="s">
        <v>25855</v>
      </c>
      <c r="F4240">
        <v>9</v>
      </c>
      <c r="G4240" t="s">
        <v>2903</v>
      </c>
      <c r="H4240" t="s">
        <v>39</v>
      </c>
      <c r="I4240" t="s">
        <v>40</v>
      </c>
      <c r="J4240" s="2" t="s">
        <v>24932</v>
      </c>
      <c r="K4240" t="s">
        <v>42</v>
      </c>
      <c r="L4240" t="s">
        <v>1257</v>
      </c>
      <c r="N4240" t="s">
        <v>1258</v>
      </c>
      <c r="O4240" t="s">
        <v>2199</v>
      </c>
      <c r="Q4240">
        <v>28305</v>
      </c>
      <c r="R4240" t="s">
        <v>45</v>
      </c>
      <c r="S4240" t="s">
        <v>25857</v>
      </c>
      <c r="T4240">
        <v>23</v>
      </c>
      <c r="V4240" s="1">
        <v>45439</v>
      </c>
      <c r="W4240" t="s">
        <v>5617</v>
      </c>
      <c r="X4240">
        <v>110020389</v>
      </c>
      <c r="Y4240" t="s">
        <v>301</v>
      </c>
      <c r="Z4240" t="s">
        <v>25866</v>
      </c>
      <c r="AA4240" t="s">
        <v>25866</v>
      </c>
      <c r="AB4240" t="s">
        <v>25867</v>
      </c>
      <c r="AC4240" t="s">
        <v>25868</v>
      </c>
      <c r="AD4240" t="s">
        <v>54</v>
      </c>
      <c r="AE4240" t="s">
        <v>54</v>
      </c>
      <c r="AG4240" t="s">
        <v>25869</v>
      </c>
      <c r="AH4240" t="s">
        <v>24166</v>
      </c>
      <c r="AI4240" t="s">
        <v>25870</v>
      </c>
    </row>
    <row r="4241" spans="2:35" ht="165">
      <c r="B4241" s="1">
        <v>45439</v>
      </c>
      <c r="C4241" s="4">
        <v>45439.611111111109</v>
      </c>
      <c r="D4241" t="s">
        <v>25871</v>
      </c>
      <c r="E4241" t="s">
        <v>25872</v>
      </c>
      <c r="F4241" t="s">
        <v>511</v>
      </c>
      <c r="G4241" t="s">
        <v>25873</v>
      </c>
      <c r="H4241" t="s">
        <v>39</v>
      </c>
      <c r="I4241" t="s">
        <v>40</v>
      </c>
      <c r="J4241" s="2" t="s">
        <v>41</v>
      </c>
      <c r="K4241" t="s">
        <v>42</v>
      </c>
      <c r="L4241" t="s">
        <v>63</v>
      </c>
      <c r="N4241" t="s">
        <v>64</v>
      </c>
      <c r="Q4241">
        <v>28304</v>
      </c>
      <c r="R4241" t="s">
        <v>45</v>
      </c>
      <c r="S4241" t="s">
        <v>25874</v>
      </c>
      <c r="T4241">
        <v>27</v>
      </c>
      <c r="U4241" s="2" t="s">
        <v>20416</v>
      </c>
      <c r="W4241" t="s">
        <v>23881</v>
      </c>
      <c r="X4241">
        <v>807617</v>
      </c>
      <c r="Y4241" t="s">
        <v>25875</v>
      </c>
      <c r="Z4241" s="2" t="s">
        <v>25876</v>
      </c>
      <c r="AA4241" s="2" t="s">
        <v>1727</v>
      </c>
      <c r="AB4241" t="s">
        <v>70</v>
      </c>
      <c r="AG4241" t="s">
        <v>25877</v>
      </c>
      <c r="AH4241" t="s">
        <v>25878</v>
      </c>
      <c r="AI4241" t="s">
        <v>25879</v>
      </c>
    </row>
    <row r="4242" spans="2:35" ht="360">
      <c r="B4242" s="1">
        <v>45439</v>
      </c>
      <c r="C4242" s="4">
        <v>45439.59375</v>
      </c>
      <c r="D4242" t="s">
        <v>25880</v>
      </c>
      <c r="E4242" t="s">
        <v>25881</v>
      </c>
      <c r="F4242">
        <v>8</v>
      </c>
      <c r="G4242" t="s">
        <v>257</v>
      </c>
      <c r="H4242" t="s">
        <v>25882</v>
      </c>
      <c r="I4242" t="s">
        <v>94</v>
      </c>
      <c r="J4242" t="s">
        <v>321</v>
      </c>
      <c r="K4242" t="s">
        <v>42</v>
      </c>
      <c r="L4242" t="s">
        <v>259</v>
      </c>
      <c r="N4242" t="s">
        <v>260</v>
      </c>
      <c r="Q4242">
        <v>28303</v>
      </c>
      <c r="R4242" t="s">
        <v>45</v>
      </c>
      <c r="S4242" t="s">
        <v>25883</v>
      </c>
      <c r="T4242">
        <v>35</v>
      </c>
      <c r="V4242" s="1">
        <v>45439</v>
      </c>
      <c r="W4242" t="s">
        <v>84</v>
      </c>
      <c r="X4242">
        <v>808291</v>
      </c>
      <c r="Y4242" t="s">
        <v>263</v>
      </c>
      <c r="Z4242" t="s">
        <v>13110</v>
      </c>
      <c r="AA4242" s="2" t="s">
        <v>25884</v>
      </c>
      <c r="AB4242" t="s">
        <v>181</v>
      </c>
      <c r="AC4242" t="s">
        <v>25885</v>
      </c>
      <c r="AD4242" s="2" t="s">
        <v>25886</v>
      </c>
      <c r="AE4242" t="s">
        <v>45</v>
      </c>
      <c r="AG4242" t="s">
        <v>25887</v>
      </c>
      <c r="AH4242" t="s">
        <v>25888</v>
      </c>
      <c r="AI4242" t="s">
        <v>25889</v>
      </c>
    </row>
    <row r="4243" spans="2:35" ht="105">
      <c r="B4243" s="1">
        <v>45439</v>
      </c>
      <c r="C4243" s="4">
        <v>45439.561111111114</v>
      </c>
      <c r="D4243" t="s">
        <v>1385</v>
      </c>
      <c r="E4243" t="s">
        <v>1386</v>
      </c>
      <c r="F4243">
        <v>8</v>
      </c>
      <c r="G4243" t="s">
        <v>342</v>
      </c>
      <c r="H4243" t="s">
        <v>22505</v>
      </c>
      <c r="I4243" t="s">
        <v>94</v>
      </c>
      <c r="J4243" s="2" t="s">
        <v>4373</v>
      </c>
      <c r="K4243" t="s">
        <v>42</v>
      </c>
      <c r="L4243" t="s">
        <v>343</v>
      </c>
      <c r="N4243" t="s">
        <v>344</v>
      </c>
      <c r="Q4243">
        <v>28302</v>
      </c>
      <c r="R4243" t="s">
        <v>45</v>
      </c>
      <c r="S4243" t="s">
        <v>1387</v>
      </c>
      <c r="T4243">
        <v>28</v>
      </c>
      <c r="U4243" s="2" t="s">
        <v>17376</v>
      </c>
      <c r="V4243" s="1">
        <v>45439</v>
      </c>
      <c r="W4243" t="s">
        <v>5771</v>
      </c>
      <c r="X4243">
        <v>835085</v>
      </c>
      <c r="Y4243" t="e">
        <f ca="1">-LCD Replacement
-module B1 experiencing H/W failure</f>
        <v>#NAME?</v>
      </c>
      <c r="Z4243" t="e">
        <f ca="1">-Install LCD Replacement with SN: CN0WMYC5FCC0034RCACXA05</f>
        <v>#NAME?</v>
      </c>
      <c r="AA4243" t="e">
        <f ca="1">-Preventive Maintenance
-run XpertCheck verification on module B1</f>
        <v>#NAME?</v>
      </c>
      <c r="AB4243" t="s">
        <v>9638</v>
      </c>
      <c r="AD4243" t="s">
        <v>25890</v>
      </c>
      <c r="AE4243" t="s">
        <v>45</v>
      </c>
      <c r="AG4243" t="s">
        <v>25891</v>
      </c>
      <c r="AH4243" t="s">
        <v>25892</v>
      </c>
      <c r="AI4243" t="s">
        <v>25893</v>
      </c>
    </row>
    <row r="4244" spans="2:35" ht="409.5">
      <c r="B4244" s="1">
        <v>45439</v>
      </c>
      <c r="C4244" s="4">
        <v>45436.402777777781</v>
      </c>
      <c r="D4244" t="s">
        <v>1953</v>
      </c>
      <c r="E4244" t="s">
        <v>25894</v>
      </c>
      <c r="F4244">
        <v>1</v>
      </c>
      <c r="G4244" t="s">
        <v>1922</v>
      </c>
      <c r="H4244" t="s">
        <v>1047</v>
      </c>
      <c r="I4244" t="s">
        <v>40</v>
      </c>
      <c r="J4244" s="2" t="s">
        <v>17874</v>
      </c>
      <c r="K4244" t="s">
        <v>42</v>
      </c>
      <c r="L4244" t="s">
        <v>1048</v>
      </c>
      <c r="N4244" t="s">
        <v>1049</v>
      </c>
      <c r="Q4244">
        <v>28301</v>
      </c>
      <c r="R4244" t="s">
        <v>45</v>
      </c>
      <c r="S4244" t="s">
        <v>1955</v>
      </c>
      <c r="T4244">
        <v>28</v>
      </c>
      <c r="U4244" s="2" t="s">
        <v>25895</v>
      </c>
      <c r="V4244" s="1">
        <v>45436</v>
      </c>
      <c r="W4244" t="s">
        <v>1051</v>
      </c>
      <c r="X4244">
        <v>807578</v>
      </c>
      <c r="Y4244" t="s">
        <v>25896</v>
      </c>
      <c r="Z4244" t="e">
        <f ca="1">- installed GeneXpert
- Setup user Accounts
- Changed settings
- cleaned cartridge Bays, plunger Rods _xludf.and I-CORE
- performed XpertCheck
- generated reports</f>
        <v>#NAME?</v>
      </c>
      <c r="AA4244" s="2" t="s">
        <v>25897</v>
      </c>
      <c r="AB4244" s="2" t="s">
        <v>25898</v>
      </c>
      <c r="AC4244" t="s">
        <v>25899</v>
      </c>
      <c r="AD4244" t="e">
        <f ca="1">- GeneXpert system
- XpertCheck Kits</f>
        <v>#NAME?</v>
      </c>
      <c r="AE4244" t="s">
        <v>103</v>
      </c>
      <c r="AG4244" t="s">
        <v>25900</v>
      </c>
      <c r="AH4244" t="s">
        <v>1960</v>
      </c>
      <c r="AI4244" t="s">
        <v>25901</v>
      </c>
    </row>
    <row r="4245" spans="2:35" ht="345">
      <c r="B4245" s="1">
        <v>45439</v>
      </c>
      <c r="C4245" s="4">
        <v>45435.334027777775</v>
      </c>
      <c r="D4245" t="s">
        <v>25902</v>
      </c>
      <c r="E4245" t="s">
        <v>25903</v>
      </c>
      <c r="F4245">
        <v>1</v>
      </c>
      <c r="G4245" t="s">
        <v>2599</v>
      </c>
      <c r="H4245" t="s">
        <v>39</v>
      </c>
      <c r="I4245" t="s">
        <v>40</v>
      </c>
      <c r="J4245" s="2" t="s">
        <v>41</v>
      </c>
      <c r="K4245" t="s">
        <v>42</v>
      </c>
      <c r="L4245" t="s">
        <v>1048</v>
      </c>
      <c r="N4245" t="s">
        <v>1049</v>
      </c>
      <c r="Q4245">
        <v>28300</v>
      </c>
      <c r="R4245" t="s">
        <v>45</v>
      </c>
      <c r="S4245" t="s">
        <v>25904</v>
      </c>
      <c r="T4245">
        <v>27</v>
      </c>
      <c r="U4245" s="2" t="s">
        <v>24891</v>
      </c>
      <c r="V4245" s="1">
        <v>45435</v>
      </c>
      <c r="W4245" t="s">
        <v>1051</v>
      </c>
      <c r="X4245">
        <v>807597</v>
      </c>
      <c r="Y4245" t="s">
        <v>1924</v>
      </c>
      <c r="Z4245" s="2" t="s">
        <v>25905</v>
      </c>
      <c r="AA4245" t="s">
        <v>1926</v>
      </c>
      <c r="AB4245" t="e">
        <f ca="1">- Unit is operational</f>
        <v>#NAME?</v>
      </c>
      <c r="AD4245" t="s">
        <v>25906</v>
      </c>
      <c r="AE4245" t="s">
        <v>103</v>
      </c>
      <c r="AG4245" t="s">
        <v>25907</v>
      </c>
      <c r="AH4245" t="s">
        <v>25908</v>
      </c>
      <c r="AI4245" t="s">
        <v>25909</v>
      </c>
    </row>
    <row r="4246" spans="2:35" ht="409.5">
      <c r="B4246" s="1">
        <v>45439</v>
      </c>
      <c r="C4246" s="4">
        <v>45433.515972222223</v>
      </c>
      <c r="D4246" t="s">
        <v>1907</v>
      </c>
      <c r="E4246" t="s">
        <v>25910</v>
      </c>
      <c r="F4246">
        <v>1</v>
      </c>
      <c r="G4246" t="s">
        <v>1909</v>
      </c>
      <c r="H4246" t="s">
        <v>39</v>
      </c>
      <c r="I4246" t="s">
        <v>40</v>
      </c>
      <c r="J4246" t="s">
        <v>109</v>
      </c>
      <c r="K4246" t="s">
        <v>42</v>
      </c>
      <c r="L4246" t="s">
        <v>1048</v>
      </c>
      <c r="N4246" t="s">
        <v>1049</v>
      </c>
      <c r="Q4246">
        <v>28299</v>
      </c>
      <c r="R4246" t="s">
        <v>45</v>
      </c>
      <c r="S4246" t="s">
        <v>6928</v>
      </c>
      <c r="T4246">
        <v>27</v>
      </c>
      <c r="U4246" s="2" t="s">
        <v>25911</v>
      </c>
      <c r="W4246" t="s">
        <v>1051</v>
      </c>
      <c r="X4246">
        <v>707524</v>
      </c>
      <c r="Y4246" t="s">
        <v>1052</v>
      </c>
      <c r="Z4246" t="e">
        <f ca="1">- cleaned cartridge Bays, plunger Rods _xludf.and I-CORE
- generated reports</f>
        <v>#NAME?</v>
      </c>
      <c r="AA4246" t="s">
        <v>820</v>
      </c>
      <c r="AB4246" t="s">
        <v>181</v>
      </c>
      <c r="AG4246" t="s">
        <v>25912</v>
      </c>
      <c r="AH4246" t="s">
        <v>25913</v>
      </c>
      <c r="AI4246" t="s">
        <v>25914</v>
      </c>
    </row>
    <row r="4247" spans="2:35" ht="300">
      <c r="B4247" s="1">
        <v>45439</v>
      </c>
      <c r="C4247" s="4">
        <v>45433.491666666669</v>
      </c>
      <c r="D4247" t="s">
        <v>1907</v>
      </c>
      <c r="E4247" t="s">
        <v>25910</v>
      </c>
      <c r="F4247">
        <v>1</v>
      </c>
      <c r="G4247" t="s">
        <v>1909</v>
      </c>
      <c r="H4247" t="s">
        <v>39</v>
      </c>
      <c r="I4247" t="s">
        <v>40</v>
      </c>
      <c r="J4247" s="2" t="s">
        <v>1309</v>
      </c>
      <c r="K4247" t="s">
        <v>42</v>
      </c>
      <c r="L4247" t="s">
        <v>1048</v>
      </c>
      <c r="N4247" t="s">
        <v>1049</v>
      </c>
      <c r="Q4247">
        <v>28298</v>
      </c>
      <c r="R4247" t="s">
        <v>45</v>
      </c>
      <c r="S4247" t="s">
        <v>6928</v>
      </c>
      <c r="T4247">
        <v>27</v>
      </c>
      <c r="V4247" s="1">
        <v>45433</v>
      </c>
      <c r="W4247" t="s">
        <v>1424</v>
      </c>
      <c r="X4247">
        <v>848249</v>
      </c>
      <c r="Y4247" t="e">
        <f ca="1">- _xludf.For CPU Replacement, Preventive Maintenance _xludf.and CALIBRATION</f>
        <v>#NAME?</v>
      </c>
      <c r="Z4247" t="e">
        <f ca="1">- replaced defective CPU CPH0321F20340 with new CPU CPH0923F44834
- cleaned cartridge Bays, plunger Rods _xludf.and I-CORE
- performed XpertCheck
- generated reports</f>
        <v>#NAME?</v>
      </c>
      <c r="AA4247" t="e">
        <f ca="1">- performed CPU Replacement, Preventive Maintenance _xludf.and CALIBRATION</f>
        <v>#NAME?</v>
      </c>
      <c r="AB4247" s="2" t="s">
        <v>25915</v>
      </c>
      <c r="AD4247" s="2" t="s">
        <v>25916</v>
      </c>
      <c r="AE4247" t="s">
        <v>103</v>
      </c>
      <c r="AG4247" t="s">
        <v>25917</v>
      </c>
      <c r="AH4247" t="s">
        <v>25913</v>
      </c>
      <c r="AI4247" t="s">
        <v>25918</v>
      </c>
    </row>
    <row r="4248" spans="2:35" ht="315">
      <c r="B4248" s="1">
        <v>45439</v>
      </c>
      <c r="C4248" s="4">
        <v>45439.529861111114</v>
      </c>
      <c r="D4248" t="s">
        <v>18493</v>
      </c>
      <c r="E4248" t="s">
        <v>25919</v>
      </c>
      <c r="F4248">
        <v>11</v>
      </c>
      <c r="G4248" t="s">
        <v>1205</v>
      </c>
      <c r="H4248" t="s">
        <v>202</v>
      </c>
      <c r="I4248" t="s">
        <v>40</v>
      </c>
      <c r="J4248" t="s">
        <v>109</v>
      </c>
      <c r="K4248" t="s">
        <v>42</v>
      </c>
      <c r="L4248" t="s">
        <v>204</v>
      </c>
      <c r="N4248" t="s">
        <v>205</v>
      </c>
      <c r="Q4248">
        <v>28297</v>
      </c>
      <c r="R4248" t="s">
        <v>119</v>
      </c>
      <c r="S4248" t="s">
        <v>6520</v>
      </c>
      <c r="T4248">
        <v>24.7</v>
      </c>
      <c r="U4248" s="2" t="s">
        <v>2523</v>
      </c>
      <c r="W4248" t="s">
        <v>23237</v>
      </c>
      <c r="X4248">
        <v>838505</v>
      </c>
      <c r="Y4248" t="s">
        <v>2851</v>
      </c>
      <c r="Z4248" s="2" t="s">
        <v>1321</v>
      </c>
      <c r="AA4248" t="s">
        <v>2551</v>
      </c>
      <c r="AB4248" t="s">
        <v>1211</v>
      </c>
      <c r="AC4248" t="s">
        <v>25920</v>
      </c>
      <c r="AG4248" t="s">
        <v>25921</v>
      </c>
      <c r="AH4248" t="s">
        <v>20789</v>
      </c>
      <c r="AI4248" t="s">
        <v>25922</v>
      </c>
    </row>
    <row r="4249" spans="2:35" ht="240">
      <c r="B4249" s="1">
        <v>45439</v>
      </c>
      <c r="C4249" s="4">
        <v>45436.379861111112</v>
      </c>
      <c r="D4249" t="s">
        <v>25923</v>
      </c>
      <c r="E4249" t="s">
        <v>25924</v>
      </c>
      <c r="F4249" t="s">
        <v>37</v>
      </c>
      <c r="G4249" t="s">
        <v>748</v>
      </c>
      <c r="H4249" t="s">
        <v>39</v>
      </c>
      <c r="I4249" t="s">
        <v>40</v>
      </c>
      <c r="J4249" t="s">
        <v>109</v>
      </c>
      <c r="K4249" t="s">
        <v>42</v>
      </c>
      <c r="L4249" t="s">
        <v>1028</v>
      </c>
      <c r="N4249" t="s">
        <v>1029</v>
      </c>
      <c r="Q4249">
        <v>28294</v>
      </c>
      <c r="R4249" t="s">
        <v>119</v>
      </c>
      <c r="S4249" t="s">
        <v>25925</v>
      </c>
      <c r="T4249">
        <v>26</v>
      </c>
      <c r="U4249" s="2" t="s">
        <v>25926</v>
      </c>
      <c r="W4249" t="s">
        <v>1967</v>
      </c>
      <c r="X4249">
        <v>821284</v>
      </c>
      <c r="Y4249" t="s">
        <v>3127</v>
      </c>
      <c r="Z4249" t="s">
        <v>1548</v>
      </c>
      <c r="AA4249" s="2" t="s">
        <v>9006</v>
      </c>
      <c r="AB4249" t="s">
        <v>3300</v>
      </c>
      <c r="AG4249" t="s">
        <v>25927</v>
      </c>
      <c r="AH4249" t="s">
        <v>25928</v>
      </c>
      <c r="AI4249" t="s">
        <v>25929</v>
      </c>
    </row>
    <row r="4250" spans="2:35" ht="345">
      <c r="B4250" s="1">
        <v>45439</v>
      </c>
      <c r="C4250" s="4">
        <v>45435.55</v>
      </c>
      <c r="D4250" t="s">
        <v>2460</v>
      </c>
      <c r="E4250" t="s">
        <v>23413</v>
      </c>
      <c r="F4250" t="s">
        <v>37</v>
      </c>
      <c r="G4250" t="s">
        <v>189</v>
      </c>
      <c r="H4250" t="s">
        <v>5523</v>
      </c>
      <c r="I4250" t="s">
        <v>40</v>
      </c>
      <c r="J4250" s="2" t="s">
        <v>1157</v>
      </c>
      <c r="K4250" t="s">
        <v>42</v>
      </c>
      <c r="L4250" t="s">
        <v>1028</v>
      </c>
      <c r="N4250" t="s">
        <v>1029</v>
      </c>
      <c r="Q4250">
        <v>28295</v>
      </c>
      <c r="R4250" t="s">
        <v>45</v>
      </c>
      <c r="S4250" t="s">
        <v>23414</v>
      </c>
      <c r="T4250">
        <v>28</v>
      </c>
      <c r="U4250" s="2" t="s">
        <v>25930</v>
      </c>
      <c r="W4250" t="s">
        <v>1967</v>
      </c>
      <c r="X4250">
        <v>805259</v>
      </c>
      <c r="Y4250" s="2" t="s">
        <v>25931</v>
      </c>
      <c r="Z4250" s="2" t="s">
        <v>25932</v>
      </c>
      <c r="AA4250" s="2" t="s">
        <v>25933</v>
      </c>
      <c r="AB4250" s="2" t="s">
        <v>25934</v>
      </c>
      <c r="AC4250" t="s">
        <v>25935</v>
      </c>
      <c r="AG4250" t="s">
        <v>25936</v>
      </c>
      <c r="AH4250" t="s">
        <v>23421</v>
      </c>
      <c r="AI4250" t="s">
        <v>25937</v>
      </c>
    </row>
    <row r="4251" spans="2:35" ht="390">
      <c r="B4251" s="1">
        <v>45439</v>
      </c>
      <c r="C4251" s="4">
        <v>45435.452777777777</v>
      </c>
      <c r="D4251" t="s">
        <v>23423</v>
      </c>
      <c r="E4251" t="s">
        <v>23424</v>
      </c>
      <c r="F4251" t="s">
        <v>37</v>
      </c>
      <c r="G4251" t="s">
        <v>189</v>
      </c>
      <c r="H4251" t="s">
        <v>39</v>
      </c>
      <c r="I4251" t="s">
        <v>40</v>
      </c>
      <c r="J4251" s="2" t="s">
        <v>1309</v>
      </c>
      <c r="K4251" t="s">
        <v>42</v>
      </c>
      <c r="L4251" t="s">
        <v>1028</v>
      </c>
      <c r="N4251" t="s">
        <v>1029</v>
      </c>
      <c r="Q4251">
        <v>28296</v>
      </c>
      <c r="R4251" t="s">
        <v>45</v>
      </c>
      <c r="S4251" t="s">
        <v>25938</v>
      </c>
      <c r="T4251">
        <v>25</v>
      </c>
      <c r="W4251" t="s">
        <v>1967</v>
      </c>
      <c r="X4251">
        <v>838131</v>
      </c>
      <c r="Y4251" s="2" t="s">
        <v>25939</v>
      </c>
      <c r="Z4251" s="2" t="s">
        <v>25940</v>
      </c>
      <c r="AA4251" s="2" t="s">
        <v>25941</v>
      </c>
      <c r="AB4251" t="s">
        <v>25942</v>
      </c>
      <c r="AC4251" t="s">
        <v>25943</v>
      </c>
      <c r="AG4251" t="s">
        <v>25944</v>
      </c>
      <c r="AH4251" t="s">
        <v>25945</v>
      </c>
      <c r="AI4251" t="s">
        <v>25946</v>
      </c>
    </row>
    <row r="4252" spans="2:35" ht="120">
      <c r="B4252" s="1">
        <v>45439</v>
      </c>
      <c r="C4252" s="4">
        <v>45436.688194444447</v>
      </c>
      <c r="D4252" t="s">
        <v>4982</v>
      </c>
      <c r="E4252" t="s">
        <v>25947</v>
      </c>
      <c r="F4252">
        <v>5</v>
      </c>
      <c r="G4252" t="s">
        <v>759</v>
      </c>
      <c r="H4252" t="s">
        <v>39</v>
      </c>
      <c r="I4252" t="s">
        <v>40</v>
      </c>
      <c r="J4252" s="2" t="s">
        <v>41</v>
      </c>
      <c r="K4252" t="s">
        <v>42</v>
      </c>
      <c r="L4252" t="s">
        <v>761</v>
      </c>
      <c r="N4252" t="s">
        <v>762</v>
      </c>
      <c r="Q4252">
        <v>28293</v>
      </c>
      <c r="R4252" t="s">
        <v>45</v>
      </c>
      <c r="S4252" t="s">
        <v>4983</v>
      </c>
      <c r="T4252">
        <v>20</v>
      </c>
      <c r="W4252" t="s">
        <v>765</v>
      </c>
      <c r="X4252">
        <v>808636</v>
      </c>
      <c r="Y4252" s="2" t="s">
        <v>25948</v>
      </c>
      <c r="Z4252" s="2" t="s">
        <v>25949</v>
      </c>
      <c r="AA4252" t="s">
        <v>1935</v>
      </c>
      <c r="AB4252" t="s">
        <v>70</v>
      </c>
      <c r="AG4252" t="s">
        <v>25950</v>
      </c>
      <c r="AH4252" t="s">
        <v>4986</v>
      </c>
      <c r="AI4252" t="s">
        <v>25951</v>
      </c>
    </row>
    <row r="4253" spans="2:35" ht="180">
      <c r="B4253" s="1">
        <v>45439</v>
      </c>
      <c r="C4253" s="4">
        <v>45427.542361111111</v>
      </c>
      <c r="D4253" t="s">
        <v>25952</v>
      </c>
      <c r="E4253" t="s">
        <v>25953</v>
      </c>
      <c r="F4253" t="s">
        <v>148</v>
      </c>
      <c r="G4253" t="s">
        <v>447</v>
      </c>
      <c r="H4253" t="s">
        <v>39</v>
      </c>
      <c r="I4253" t="s">
        <v>40</v>
      </c>
      <c r="J4253" t="s">
        <v>109</v>
      </c>
      <c r="K4253" t="s">
        <v>42</v>
      </c>
      <c r="L4253" t="s">
        <v>175</v>
      </c>
      <c r="N4253" t="s">
        <v>176</v>
      </c>
      <c r="Q4253">
        <v>28292</v>
      </c>
      <c r="R4253" t="s">
        <v>119</v>
      </c>
      <c r="S4253" t="s">
        <v>25954</v>
      </c>
      <c r="T4253">
        <v>27</v>
      </c>
      <c r="U4253" s="2" t="s">
        <v>25955</v>
      </c>
      <c r="W4253" t="s">
        <v>84</v>
      </c>
      <c r="X4253">
        <v>831612</v>
      </c>
      <c r="Y4253" t="s">
        <v>374</v>
      </c>
      <c r="Z4253" t="s">
        <v>103</v>
      </c>
      <c r="AA4253" t="e">
        <f ca="1">- checked _xludf.and cleaned cartridge bay, plunger rod, _xludf.filter
- generated reports
- performed self test</f>
        <v>#NAME?</v>
      </c>
      <c r="AB4253" t="s">
        <v>181</v>
      </c>
      <c r="AG4253" t="s">
        <v>25956</v>
      </c>
      <c r="AH4253" t="s">
        <v>25957</v>
      </c>
      <c r="AI4253" t="s">
        <v>25958</v>
      </c>
    </row>
    <row r="4254" spans="2:35" ht="105">
      <c r="B4254" s="1">
        <v>45439</v>
      </c>
      <c r="C4254" s="4">
        <v>45415.588194444441</v>
      </c>
      <c r="D4254" t="s">
        <v>25959</v>
      </c>
      <c r="E4254" t="s">
        <v>25960</v>
      </c>
      <c r="F4254">
        <v>3</v>
      </c>
      <c r="G4254" t="s">
        <v>174</v>
      </c>
      <c r="H4254" t="s">
        <v>39</v>
      </c>
      <c r="I4254" t="s">
        <v>40</v>
      </c>
      <c r="J4254" s="2" t="s">
        <v>41</v>
      </c>
      <c r="K4254" t="s">
        <v>42</v>
      </c>
      <c r="L4254" t="s">
        <v>175</v>
      </c>
      <c r="N4254" t="s">
        <v>176</v>
      </c>
      <c r="Q4254">
        <v>28291</v>
      </c>
      <c r="R4254" t="s">
        <v>119</v>
      </c>
      <c r="S4254" t="s">
        <v>25961</v>
      </c>
      <c r="T4254">
        <v>25</v>
      </c>
      <c r="U4254" s="2" t="s">
        <v>1509</v>
      </c>
      <c r="V4254" s="1">
        <v>45415</v>
      </c>
      <c r="W4254" t="s">
        <v>84</v>
      </c>
      <c r="X4254">
        <v>831711</v>
      </c>
      <c r="Y4254" t="s">
        <v>570</v>
      </c>
      <c r="Z4254" t="s">
        <v>25962</v>
      </c>
      <c r="AA4254" t="e">
        <f ca="1">- replaced module A2
- checked _xludf.and cleaned cartridge bay,plunger rod, _xludf.filter
- generated reports
- performed self test</f>
        <v>#NAME?</v>
      </c>
      <c r="AB4254" t="s">
        <v>181</v>
      </c>
      <c r="AD4254" s="2" t="s">
        <v>25963</v>
      </c>
      <c r="AE4254" t="s">
        <v>4448</v>
      </c>
      <c r="AG4254" t="s">
        <v>25964</v>
      </c>
      <c r="AH4254" t="s">
        <v>25965</v>
      </c>
      <c r="AI4254" t="s">
        <v>25966</v>
      </c>
    </row>
    <row r="4255" spans="2:35" ht="105">
      <c r="B4255" s="1">
        <v>45439</v>
      </c>
      <c r="C4255" s="4">
        <v>45419.486111111109</v>
      </c>
      <c r="D4255" t="s">
        <v>25967</v>
      </c>
      <c r="E4255" t="s">
        <v>25968</v>
      </c>
      <c r="F4255">
        <v>3</v>
      </c>
      <c r="G4255" t="s">
        <v>174</v>
      </c>
      <c r="H4255" t="s">
        <v>39</v>
      </c>
      <c r="I4255" t="s">
        <v>40</v>
      </c>
      <c r="J4255" t="s">
        <v>109</v>
      </c>
      <c r="K4255" t="s">
        <v>42</v>
      </c>
      <c r="L4255" t="s">
        <v>175</v>
      </c>
      <c r="N4255" t="s">
        <v>176</v>
      </c>
      <c r="Q4255">
        <v>28290</v>
      </c>
      <c r="R4255" t="s">
        <v>119</v>
      </c>
      <c r="S4255" t="s">
        <v>25969</v>
      </c>
      <c r="T4255">
        <v>25</v>
      </c>
      <c r="U4255" s="2" t="s">
        <v>25300</v>
      </c>
      <c r="W4255" t="s">
        <v>84</v>
      </c>
      <c r="X4255">
        <v>831691</v>
      </c>
      <c r="Y4255" t="s">
        <v>374</v>
      </c>
      <c r="Z4255" t="s">
        <v>103</v>
      </c>
      <c r="AA4255" t="e">
        <f ca="1">- checked _xludf.and cleaned cartridge bay, plunger rod, _xludf.filter
- generated reports
- performed self test</f>
        <v>#NAME?</v>
      </c>
      <c r="AB4255" t="s">
        <v>181</v>
      </c>
      <c r="AG4255" t="s">
        <v>25970</v>
      </c>
      <c r="AH4255" t="s">
        <v>25971</v>
      </c>
      <c r="AI4255" t="s">
        <v>25972</v>
      </c>
    </row>
    <row r="4256" spans="2:35" ht="210">
      <c r="B4256" s="1">
        <v>45439</v>
      </c>
      <c r="C4256" s="4">
        <v>45426.575694444444</v>
      </c>
      <c r="D4256" t="s">
        <v>3615</v>
      </c>
      <c r="E4256" t="s">
        <v>3616</v>
      </c>
      <c r="F4256">
        <v>3</v>
      </c>
      <c r="G4256" t="s">
        <v>174</v>
      </c>
      <c r="H4256" t="s">
        <v>39</v>
      </c>
      <c r="I4256" t="s">
        <v>40</v>
      </c>
      <c r="J4256" t="s">
        <v>109</v>
      </c>
      <c r="K4256" t="s">
        <v>42</v>
      </c>
      <c r="L4256" t="s">
        <v>175</v>
      </c>
      <c r="N4256" t="s">
        <v>176</v>
      </c>
      <c r="Q4256">
        <v>28289</v>
      </c>
      <c r="R4256" t="s">
        <v>119</v>
      </c>
      <c r="S4256" t="s">
        <v>23152</v>
      </c>
      <c r="T4256">
        <v>28</v>
      </c>
      <c r="U4256" s="2" t="s">
        <v>23153</v>
      </c>
      <c r="W4256" t="s">
        <v>84</v>
      </c>
      <c r="X4256">
        <v>831641</v>
      </c>
      <c r="Y4256" t="s">
        <v>374</v>
      </c>
      <c r="Z4256" t="s">
        <v>375</v>
      </c>
      <c r="AA4256" t="e">
        <f ca="1">- checked _xludf.and cleaned cartridge bay, plunger rod, _xludf.filter
- generated reports
- performed self test</f>
        <v>#NAME?</v>
      </c>
      <c r="AB4256" s="2" t="s">
        <v>23154</v>
      </c>
      <c r="AG4256" t="s">
        <v>25973</v>
      </c>
      <c r="AH4256" t="s">
        <v>23156</v>
      </c>
      <c r="AI4256" t="s">
        <v>25974</v>
      </c>
    </row>
    <row r="4257" spans="2:35" ht="180">
      <c r="B4257" s="1">
        <v>45439</v>
      </c>
      <c r="C4257" s="4">
        <v>45427.542361111111</v>
      </c>
      <c r="D4257" t="s">
        <v>25952</v>
      </c>
      <c r="E4257" t="s">
        <v>25953</v>
      </c>
      <c r="F4257" t="s">
        <v>148</v>
      </c>
      <c r="G4257" t="s">
        <v>447</v>
      </c>
      <c r="H4257" t="s">
        <v>39</v>
      </c>
      <c r="I4257" t="s">
        <v>40</v>
      </c>
      <c r="J4257" t="s">
        <v>109</v>
      </c>
      <c r="K4257" t="s">
        <v>42</v>
      </c>
      <c r="L4257" t="s">
        <v>175</v>
      </c>
      <c r="N4257" t="s">
        <v>176</v>
      </c>
      <c r="Q4257">
        <v>28288</v>
      </c>
      <c r="R4257" t="s">
        <v>119</v>
      </c>
      <c r="S4257" t="s">
        <v>25954</v>
      </c>
      <c r="T4257">
        <v>27</v>
      </c>
      <c r="U4257" s="2" t="s">
        <v>25955</v>
      </c>
      <c r="W4257" t="s">
        <v>84</v>
      </c>
      <c r="X4257">
        <v>831612</v>
      </c>
      <c r="Y4257" t="s">
        <v>374</v>
      </c>
      <c r="Z4257" t="s">
        <v>103</v>
      </c>
      <c r="AA4257" t="e">
        <f ca="1">- checked _xludf.and cleaned cartridge bay, plunger rod, _xludf.filter
- generated reports
- performed self test</f>
        <v>#NAME?</v>
      </c>
      <c r="AB4257" t="s">
        <v>181</v>
      </c>
      <c r="AG4257" t="s">
        <v>25975</v>
      </c>
      <c r="AH4257" t="s">
        <v>25957</v>
      </c>
      <c r="AI4257" t="s">
        <v>25976</v>
      </c>
    </row>
    <row r="4258" spans="2:35" ht="105">
      <c r="B4258" s="1">
        <v>45439</v>
      </c>
      <c r="C4258" s="4">
        <v>45428.55</v>
      </c>
      <c r="D4258" t="s">
        <v>172</v>
      </c>
      <c r="E4258" t="s">
        <v>1308</v>
      </c>
      <c r="F4258">
        <v>3</v>
      </c>
      <c r="G4258" t="s">
        <v>174</v>
      </c>
      <c r="H4258" t="s">
        <v>39</v>
      </c>
      <c r="I4258" t="s">
        <v>40</v>
      </c>
      <c r="J4258" t="s">
        <v>109</v>
      </c>
      <c r="K4258" t="s">
        <v>42</v>
      </c>
      <c r="L4258" t="s">
        <v>175</v>
      </c>
      <c r="N4258" t="s">
        <v>176</v>
      </c>
      <c r="Q4258">
        <v>28287</v>
      </c>
      <c r="R4258" t="s">
        <v>119</v>
      </c>
      <c r="S4258" t="s">
        <v>177</v>
      </c>
      <c r="T4258">
        <v>30</v>
      </c>
      <c r="U4258" s="2" t="s">
        <v>25977</v>
      </c>
      <c r="W4258" t="s">
        <v>84</v>
      </c>
      <c r="X4258">
        <v>831692</v>
      </c>
      <c r="Y4258" t="s">
        <v>374</v>
      </c>
      <c r="Z4258" t="s">
        <v>103</v>
      </c>
      <c r="AA4258" t="e">
        <f ca="1">- checked _xludf.and cleaned cartridge bay, plunger rod, _xludf.filter
- generated reports
- performed self test</f>
        <v>#NAME?</v>
      </c>
      <c r="AB4258" t="s">
        <v>181</v>
      </c>
      <c r="AG4258" t="s">
        <v>25978</v>
      </c>
      <c r="AH4258" t="s">
        <v>3211</v>
      </c>
      <c r="AI4258" t="s">
        <v>25979</v>
      </c>
    </row>
    <row r="4259" spans="2:35" ht="210">
      <c r="B4259" s="1">
        <v>45439</v>
      </c>
      <c r="C4259" s="4">
        <v>45429.522222222222</v>
      </c>
      <c r="D4259" t="s">
        <v>25980</v>
      </c>
      <c r="E4259" t="s">
        <v>3234</v>
      </c>
      <c r="F4259">
        <v>3</v>
      </c>
      <c r="G4259" t="s">
        <v>174</v>
      </c>
      <c r="H4259" t="s">
        <v>39</v>
      </c>
      <c r="I4259" t="s">
        <v>40</v>
      </c>
      <c r="J4259" t="s">
        <v>525</v>
      </c>
      <c r="K4259" t="s">
        <v>42</v>
      </c>
      <c r="L4259" t="s">
        <v>175</v>
      </c>
      <c r="N4259" t="s">
        <v>176</v>
      </c>
      <c r="Q4259">
        <v>28286</v>
      </c>
      <c r="R4259" t="s">
        <v>119</v>
      </c>
      <c r="S4259" t="s">
        <v>3235</v>
      </c>
      <c r="T4259">
        <v>27</v>
      </c>
      <c r="U4259" s="2" t="s">
        <v>25981</v>
      </c>
      <c r="W4259" t="s">
        <v>84</v>
      </c>
      <c r="X4259">
        <v>831904</v>
      </c>
      <c r="Y4259" t="s">
        <v>25982</v>
      </c>
      <c r="Z4259" t="s">
        <v>103</v>
      </c>
      <c r="AA4259" t="e">
        <f ca="1">- checked _xludf.and cleaned _xludf.filter
- generated reports
- performed self test</f>
        <v>#NAME?</v>
      </c>
      <c r="AB4259" s="2" t="s">
        <v>25983</v>
      </c>
      <c r="AG4259" t="s">
        <v>25984</v>
      </c>
      <c r="AH4259" t="s">
        <v>22677</v>
      </c>
      <c r="AI4259" t="s">
        <v>25985</v>
      </c>
    </row>
    <row r="4260" spans="2:35" ht="210">
      <c r="B4260" s="1">
        <v>45439</v>
      </c>
      <c r="C4260" s="4">
        <v>45426.651388888888</v>
      </c>
      <c r="D4260" t="s">
        <v>3705</v>
      </c>
      <c r="E4260" t="s">
        <v>3706</v>
      </c>
      <c r="F4260">
        <v>3</v>
      </c>
      <c r="G4260" t="s">
        <v>174</v>
      </c>
      <c r="H4260" t="s">
        <v>39</v>
      </c>
      <c r="I4260" t="s">
        <v>40</v>
      </c>
      <c r="J4260" t="s">
        <v>109</v>
      </c>
      <c r="K4260" t="s">
        <v>42</v>
      </c>
      <c r="L4260" t="s">
        <v>175</v>
      </c>
      <c r="N4260" t="s">
        <v>176</v>
      </c>
      <c r="Q4260">
        <v>28285</v>
      </c>
      <c r="R4260" t="s">
        <v>119</v>
      </c>
      <c r="S4260" t="s">
        <v>3707</v>
      </c>
      <c r="T4260">
        <v>28</v>
      </c>
      <c r="U4260" s="2" t="s">
        <v>25986</v>
      </c>
      <c r="W4260" t="s">
        <v>84</v>
      </c>
      <c r="X4260">
        <v>831897</v>
      </c>
      <c r="Y4260" t="s">
        <v>374</v>
      </c>
      <c r="Z4260" t="s">
        <v>103</v>
      </c>
      <c r="AA4260" t="e">
        <f ca="1">- checked _xludf.and cleaned cartridge bay, plunger rod, _xludf.filter
- generated reports
- performed self test</f>
        <v>#NAME?</v>
      </c>
      <c r="AB4260" t="s">
        <v>181</v>
      </c>
      <c r="AG4260" t="s">
        <v>25987</v>
      </c>
      <c r="AH4260" t="s">
        <v>25988</v>
      </c>
      <c r="AI4260" t="s">
        <v>25989</v>
      </c>
    </row>
    <row r="4261" spans="2:35" ht="300">
      <c r="B4261" s="1">
        <v>45436</v>
      </c>
      <c r="C4261" s="4">
        <v>45436.930555555555</v>
      </c>
      <c r="D4261" t="s">
        <v>952</v>
      </c>
      <c r="E4261" t="s">
        <v>25990</v>
      </c>
      <c r="F4261">
        <v>7</v>
      </c>
      <c r="G4261" t="s">
        <v>432</v>
      </c>
      <c r="H4261" t="s">
        <v>608</v>
      </c>
      <c r="I4261" t="s">
        <v>94</v>
      </c>
      <c r="J4261" t="s">
        <v>996</v>
      </c>
      <c r="K4261" t="s">
        <v>42</v>
      </c>
      <c r="L4261" t="s">
        <v>610</v>
      </c>
      <c r="N4261" t="s">
        <v>611</v>
      </c>
      <c r="Q4261">
        <v>28284</v>
      </c>
      <c r="R4261" t="s">
        <v>45</v>
      </c>
      <c r="S4261" t="s">
        <v>25991</v>
      </c>
      <c r="T4261">
        <v>29</v>
      </c>
      <c r="U4261" s="2" t="s">
        <v>13974</v>
      </c>
      <c r="W4261" t="s">
        <v>25992</v>
      </c>
      <c r="X4261">
        <v>834812</v>
      </c>
      <c r="Y4261" t="s">
        <v>25993</v>
      </c>
      <c r="Z4261" s="2" t="s">
        <v>25994</v>
      </c>
      <c r="AA4261" s="2" t="s">
        <v>25994</v>
      </c>
      <c r="AB4261" t="s">
        <v>3966</v>
      </c>
      <c r="AG4261" t="s">
        <v>25995</v>
      </c>
      <c r="AH4261" t="s">
        <v>25996</v>
      </c>
      <c r="AI4261" t="s">
        <v>25997</v>
      </c>
    </row>
    <row r="4262" spans="2:35" ht="345">
      <c r="B4262" s="1">
        <v>45436</v>
      </c>
      <c r="C4262" s="4">
        <v>45436.92291666667</v>
      </c>
      <c r="D4262" t="s">
        <v>23789</v>
      </c>
      <c r="E4262" t="s">
        <v>23790</v>
      </c>
      <c r="F4262">
        <v>7</v>
      </c>
      <c r="G4262" t="s">
        <v>432</v>
      </c>
      <c r="H4262" t="s">
        <v>608</v>
      </c>
      <c r="I4262" t="s">
        <v>94</v>
      </c>
      <c r="J4262" t="s">
        <v>996</v>
      </c>
      <c r="K4262" t="s">
        <v>42</v>
      </c>
      <c r="L4262" t="s">
        <v>610</v>
      </c>
      <c r="N4262" t="s">
        <v>611</v>
      </c>
      <c r="Q4262">
        <v>28283</v>
      </c>
      <c r="R4262" t="s">
        <v>45</v>
      </c>
      <c r="S4262" t="s">
        <v>23791</v>
      </c>
      <c r="T4262">
        <v>27</v>
      </c>
      <c r="U4262" s="2" t="s">
        <v>3298</v>
      </c>
      <c r="W4262" t="s">
        <v>502</v>
      </c>
      <c r="X4262">
        <v>834693</v>
      </c>
      <c r="Y4262" t="s">
        <v>25998</v>
      </c>
      <c r="Z4262" s="2" t="s">
        <v>25999</v>
      </c>
      <c r="AA4262" s="2" t="s">
        <v>25994</v>
      </c>
      <c r="AB4262" t="s">
        <v>26000</v>
      </c>
      <c r="AG4262" t="s">
        <v>26001</v>
      </c>
      <c r="AH4262" t="s">
        <v>23797</v>
      </c>
      <c r="AI4262" t="s">
        <v>26002</v>
      </c>
    </row>
    <row r="4263" spans="2:35" ht="390">
      <c r="B4263" s="1">
        <v>45436</v>
      </c>
      <c r="C4263" s="4">
        <v>45436.594444444447</v>
      </c>
      <c r="D4263" t="s">
        <v>472</v>
      </c>
      <c r="E4263" t="s">
        <v>473</v>
      </c>
      <c r="F4263" t="s">
        <v>148</v>
      </c>
      <c r="G4263" t="s">
        <v>447</v>
      </c>
      <c r="H4263" t="s">
        <v>2274</v>
      </c>
      <c r="I4263" t="s">
        <v>40</v>
      </c>
      <c r="J4263" s="2" t="s">
        <v>62</v>
      </c>
      <c r="K4263" t="s">
        <v>387</v>
      </c>
      <c r="L4263" t="s">
        <v>448</v>
      </c>
      <c r="N4263" t="s">
        <v>650</v>
      </c>
      <c r="Q4263">
        <v>28282</v>
      </c>
      <c r="R4263" t="s">
        <v>322</v>
      </c>
      <c r="S4263" t="s">
        <v>6331</v>
      </c>
      <c r="T4263">
        <v>28</v>
      </c>
      <c r="W4263" t="s">
        <v>476</v>
      </c>
      <c r="X4263" t="s">
        <v>492</v>
      </c>
      <c r="Y4263" t="s">
        <v>4143</v>
      </c>
      <c r="Z4263" s="2" t="s">
        <v>23817</v>
      </c>
      <c r="AA4263" t="s">
        <v>6279</v>
      </c>
      <c r="AB4263" t="s">
        <v>486</v>
      </c>
      <c r="AG4263" t="s">
        <v>26003</v>
      </c>
      <c r="AH4263" t="s">
        <v>26004</v>
      </c>
      <c r="AI4263" t="s">
        <v>26005</v>
      </c>
    </row>
    <row r="4264" spans="2:35" ht="390">
      <c r="B4264" s="1">
        <v>45436</v>
      </c>
      <c r="C4264" s="4">
        <v>45436.642361111109</v>
      </c>
      <c r="D4264" t="s">
        <v>472</v>
      </c>
      <c r="E4264" t="s">
        <v>473</v>
      </c>
      <c r="F4264" t="s">
        <v>148</v>
      </c>
      <c r="G4264" t="s">
        <v>447</v>
      </c>
      <c r="H4264" t="s">
        <v>386</v>
      </c>
      <c r="I4264" t="s">
        <v>40</v>
      </c>
      <c r="J4264" s="2" t="s">
        <v>62</v>
      </c>
      <c r="K4264" t="s">
        <v>387</v>
      </c>
      <c r="L4264" t="s">
        <v>448</v>
      </c>
      <c r="N4264" t="s">
        <v>650</v>
      </c>
      <c r="Q4264">
        <v>28281</v>
      </c>
      <c r="R4264" t="s">
        <v>322</v>
      </c>
      <c r="S4264" t="s">
        <v>6331</v>
      </c>
      <c r="T4264">
        <v>26</v>
      </c>
      <c r="W4264" t="s">
        <v>390</v>
      </c>
      <c r="X4264" t="s">
        <v>20799</v>
      </c>
      <c r="Y4264" t="s">
        <v>4143</v>
      </c>
      <c r="Z4264" s="2" t="s">
        <v>23817</v>
      </c>
      <c r="AA4264" t="s">
        <v>6279</v>
      </c>
      <c r="AB4264" t="s">
        <v>486</v>
      </c>
      <c r="AG4264" t="s">
        <v>26006</v>
      </c>
      <c r="AH4264" t="s">
        <v>26004</v>
      </c>
      <c r="AI4264" t="s">
        <v>26007</v>
      </c>
    </row>
    <row r="4265" spans="2:35" ht="270">
      <c r="B4265" s="1">
        <v>45436</v>
      </c>
      <c r="C4265" s="4">
        <v>45436.630555555559</v>
      </c>
      <c r="D4265" t="s">
        <v>22535</v>
      </c>
      <c r="E4265" t="s">
        <v>26008</v>
      </c>
      <c r="F4265" t="s">
        <v>37</v>
      </c>
      <c r="G4265" t="s">
        <v>38</v>
      </c>
      <c r="H4265" t="s">
        <v>39</v>
      </c>
      <c r="I4265" t="s">
        <v>40</v>
      </c>
      <c r="J4265" s="2" t="s">
        <v>62</v>
      </c>
      <c r="K4265" t="s">
        <v>42</v>
      </c>
      <c r="L4265" t="s">
        <v>43</v>
      </c>
      <c r="N4265" t="s">
        <v>44</v>
      </c>
      <c r="Q4265">
        <v>28280</v>
      </c>
      <c r="R4265" t="s">
        <v>45</v>
      </c>
      <c r="S4265" t="s">
        <v>22530</v>
      </c>
      <c r="T4265">
        <v>24</v>
      </c>
      <c r="U4265" s="2" t="s">
        <v>12130</v>
      </c>
      <c r="W4265" t="s">
        <v>48</v>
      </c>
      <c r="X4265">
        <v>846045</v>
      </c>
      <c r="Y4265" t="s">
        <v>1111</v>
      </c>
      <c r="Z4265" t="s">
        <v>1519</v>
      </c>
      <c r="AA4265" s="2" t="s">
        <v>21243</v>
      </c>
      <c r="AB4265" t="s">
        <v>26009</v>
      </c>
      <c r="AG4265" t="s">
        <v>26010</v>
      </c>
      <c r="AH4265" t="s">
        <v>26011</v>
      </c>
      <c r="AI4265" t="s">
        <v>26012</v>
      </c>
    </row>
    <row r="4266" spans="2:35">
      <c r="B4266" s="1">
        <v>45436</v>
      </c>
      <c r="C4266" s="4">
        <v>45436.700694444444</v>
      </c>
      <c r="D4266" t="s">
        <v>26013</v>
      </c>
      <c r="E4266" t="s">
        <v>8124</v>
      </c>
      <c r="F4266">
        <v>13</v>
      </c>
      <c r="G4266" t="s">
        <v>4484</v>
      </c>
      <c r="H4266" t="s">
        <v>2125</v>
      </c>
      <c r="I4266" t="s">
        <v>40</v>
      </c>
      <c r="J4266" t="s">
        <v>321</v>
      </c>
      <c r="K4266" t="s">
        <v>42</v>
      </c>
      <c r="L4266" t="s">
        <v>933</v>
      </c>
      <c r="N4266" t="s">
        <v>934</v>
      </c>
      <c r="Q4266">
        <v>28279</v>
      </c>
      <c r="R4266" t="s">
        <v>45</v>
      </c>
      <c r="S4266" t="s">
        <v>26014</v>
      </c>
      <c r="T4266">
        <v>27</v>
      </c>
      <c r="W4266" t="s">
        <v>3662</v>
      </c>
      <c r="X4266">
        <v>807461</v>
      </c>
      <c r="Y4266" t="s">
        <v>301</v>
      </c>
      <c r="Z4266" t="s">
        <v>301</v>
      </c>
      <c r="AA4266" t="s">
        <v>26015</v>
      </c>
      <c r="AB4266" t="s">
        <v>2131</v>
      </c>
      <c r="AG4266" t="s">
        <v>26016</v>
      </c>
      <c r="AH4266" t="s">
        <v>26017</v>
      </c>
      <c r="AI4266" t="s">
        <v>26018</v>
      </c>
    </row>
    <row r="4267" spans="2:35">
      <c r="B4267" s="1">
        <v>45436</v>
      </c>
      <c r="C4267" s="4">
        <v>45436.665972222225</v>
      </c>
      <c r="D4267" t="s">
        <v>2854</v>
      </c>
      <c r="E4267" t="s">
        <v>26019</v>
      </c>
      <c r="F4267">
        <v>9</v>
      </c>
      <c r="G4267" t="s">
        <v>2197</v>
      </c>
      <c r="H4267" t="s">
        <v>39</v>
      </c>
      <c r="I4267" t="s">
        <v>94</v>
      </c>
      <c r="J4267" t="s">
        <v>321</v>
      </c>
      <c r="K4267" t="s">
        <v>42</v>
      </c>
      <c r="L4267" t="s">
        <v>1257</v>
      </c>
      <c r="N4267" t="s">
        <v>1258</v>
      </c>
      <c r="O4267" t="s">
        <v>2199</v>
      </c>
      <c r="Q4267">
        <v>28278</v>
      </c>
      <c r="R4267" t="s">
        <v>45</v>
      </c>
      <c r="S4267" t="s">
        <v>26020</v>
      </c>
      <c r="T4267">
        <v>27</v>
      </c>
      <c r="V4267" s="1">
        <v>45436</v>
      </c>
      <c r="W4267" t="s">
        <v>26021</v>
      </c>
      <c r="X4267">
        <v>110019600</v>
      </c>
      <c r="Y4267" t="s">
        <v>301</v>
      </c>
      <c r="Z4267" t="s">
        <v>26022</v>
      </c>
      <c r="AA4267" t="s">
        <v>26022</v>
      </c>
      <c r="AB4267" t="s">
        <v>7411</v>
      </c>
      <c r="AC4267" t="s">
        <v>301</v>
      </c>
      <c r="AD4267" t="s">
        <v>54</v>
      </c>
      <c r="AE4267" t="s">
        <v>54</v>
      </c>
      <c r="AG4267" t="s">
        <v>26023</v>
      </c>
      <c r="AH4267" t="s">
        <v>26024</v>
      </c>
      <c r="AI4267" t="s">
        <v>26025</v>
      </c>
    </row>
    <row r="4268" spans="2:35" ht="409.5">
      <c r="B4268" s="1">
        <v>45436</v>
      </c>
      <c r="C4268" s="4">
        <v>45436.405555555553</v>
      </c>
      <c r="D4268" t="s">
        <v>3679</v>
      </c>
      <c r="E4268" t="s">
        <v>2580</v>
      </c>
      <c r="F4268" t="s">
        <v>148</v>
      </c>
      <c r="G4268" t="s">
        <v>447</v>
      </c>
      <c r="H4268" t="s">
        <v>386</v>
      </c>
      <c r="I4268" t="s">
        <v>40</v>
      </c>
      <c r="J4268" s="2" t="s">
        <v>62</v>
      </c>
      <c r="K4268" t="s">
        <v>387</v>
      </c>
      <c r="L4268" t="s">
        <v>448</v>
      </c>
      <c r="N4268" t="s">
        <v>650</v>
      </c>
      <c r="Q4268">
        <v>28277</v>
      </c>
      <c r="R4268" t="s">
        <v>322</v>
      </c>
      <c r="S4268" t="s">
        <v>3689</v>
      </c>
      <c r="T4268">
        <v>26</v>
      </c>
      <c r="W4268" t="s">
        <v>476</v>
      </c>
      <c r="X4268" t="s">
        <v>3690</v>
      </c>
      <c r="Y4268" t="s">
        <v>4143</v>
      </c>
      <c r="Z4268" s="2" t="s">
        <v>26026</v>
      </c>
      <c r="AA4268" t="s">
        <v>4145</v>
      </c>
      <c r="AB4268" t="s">
        <v>486</v>
      </c>
      <c r="AG4268" t="s">
        <v>26027</v>
      </c>
      <c r="AH4268" t="s">
        <v>3679</v>
      </c>
      <c r="AI4268" t="s">
        <v>26028</v>
      </c>
    </row>
    <row r="4269" spans="2:35" ht="390">
      <c r="B4269" s="1">
        <v>45436</v>
      </c>
      <c r="C4269" s="4">
        <v>45436.431250000001</v>
      </c>
      <c r="D4269" t="s">
        <v>3679</v>
      </c>
      <c r="E4269" t="s">
        <v>2580</v>
      </c>
      <c r="F4269" t="s">
        <v>148</v>
      </c>
      <c r="G4269" t="s">
        <v>447</v>
      </c>
      <c r="H4269" t="s">
        <v>386</v>
      </c>
      <c r="I4269" t="s">
        <v>40</v>
      </c>
      <c r="J4269" s="2" t="s">
        <v>62</v>
      </c>
      <c r="K4269" t="s">
        <v>387</v>
      </c>
      <c r="L4269" t="s">
        <v>448</v>
      </c>
      <c r="N4269" t="s">
        <v>650</v>
      </c>
      <c r="Q4269">
        <v>28276</v>
      </c>
      <c r="R4269" t="s">
        <v>322</v>
      </c>
      <c r="S4269" t="s">
        <v>3689</v>
      </c>
      <c r="T4269">
        <v>26</v>
      </c>
      <c r="W4269" t="s">
        <v>476</v>
      </c>
      <c r="X4269">
        <v>20168</v>
      </c>
      <c r="Y4269" t="s">
        <v>4143</v>
      </c>
      <c r="Z4269" s="2" t="s">
        <v>23817</v>
      </c>
      <c r="AA4269" t="s">
        <v>6279</v>
      </c>
      <c r="AB4269" t="s">
        <v>486</v>
      </c>
      <c r="AG4269" t="s">
        <v>26029</v>
      </c>
      <c r="AH4269" t="s">
        <v>3679</v>
      </c>
      <c r="AI4269" t="s">
        <v>26030</v>
      </c>
    </row>
    <row r="4270" spans="2:35" ht="270">
      <c r="B4270" s="1">
        <v>45436</v>
      </c>
      <c r="C4270" s="4">
        <v>45436.580555555556</v>
      </c>
      <c r="D4270" t="s">
        <v>22528</v>
      </c>
      <c r="E4270" t="s">
        <v>26031</v>
      </c>
      <c r="F4270" t="s">
        <v>37</v>
      </c>
      <c r="G4270" t="s">
        <v>38</v>
      </c>
      <c r="H4270" t="s">
        <v>39</v>
      </c>
      <c r="I4270" t="s">
        <v>40</v>
      </c>
      <c r="J4270" s="2" t="s">
        <v>62</v>
      </c>
      <c r="K4270" t="s">
        <v>42</v>
      </c>
      <c r="L4270" t="s">
        <v>43</v>
      </c>
      <c r="N4270" t="s">
        <v>44</v>
      </c>
      <c r="Q4270">
        <v>28275</v>
      </c>
      <c r="R4270" t="s">
        <v>45</v>
      </c>
      <c r="S4270" t="s">
        <v>26032</v>
      </c>
      <c r="T4270">
        <v>24</v>
      </c>
      <c r="W4270" t="s">
        <v>48</v>
      </c>
      <c r="X4270">
        <v>807605</v>
      </c>
      <c r="Y4270" t="s">
        <v>1111</v>
      </c>
      <c r="Z4270" t="s">
        <v>1519</v>
      </c>
      <c r="AA4270" s="2" t="s">
        <v>11632</v>
      </c>
      <c r="AB4270" t="s">
        <v>24821</v>
      </c>
      <c r="AG4270" t="s">
        <v>26033</v>
      </c>
      <c r="AH4270" t="s">
        <v>26034</v>
      </c>
      <c r="AI4270" t="s">
        <v>26035</v>
      </c>
    </row>
    <row r="4271" spans="2:35" ht="270">
      <c r="B4271" s="1">
        <v>45436</v>
      </c>
      <c r="C4271" s="4">
        <v>45436.577777777777</v>
      </c>
      <c r="D4271" t="s">
        <v>22528</v>
      </c>
      <c r="E4271" t="s">
        <v>26031</v>
      </c>
      <c r="F4271" t="s">
        <v>37</v>
      </c>
      <c r="G4271" t="s">
        <v>38</v>
      </c>
      <c r="H4271" t="s">
        <v>39</v>
      </c>
      <c r="I4271" t="s">
        <v>40</v>
      </c>
      <c r="J4271" s="2" t="s">
        <v>62</v>
      </c>
      <c r="K4271" t="s">
        <v>42</v>
      </c>
      <c r="L4271" t="s">
        <v>43</v>
      </c>
      <c r="N4271" t="s">
        <v>44</v>
      </c>
      <c r="Q4271">
        <v>28274</v>
      </c>
      <c r="R4271" t="s">
        <v>45</v>
      </c>
      <c r="S4271" t="s">
        <v>26032</v>
      </c>
      <c r="T4271">
        <v>24</v>
      </c>
      <c r="U4271" s="2" t="s">
        <v>26036</v>
      </c>
      <c r="W4271" t="s">
        <v>48</v>
      </c>
      <c r="X4271">
        <v>838199</v>
      </c>
      <c r="Y4271" t="s">
        <v>1111</v>
      </c>
      <c r="Z4271" t="s">
        <v>1519</v>
      </c>
      <c r="AA4271" s="2" t="s">
        <v>11632</v>
      </c>
      <c r="AB4271" t="s">
        <v>26037</v>
      </c>
      <c r="AG4271" t="s">
        <v>26038</v>
      </c>
      <c r="AH4271" t="s">
        <v>26034</v>
      </c>
      <c r="AI4271" t="s">
        <v>26039</v>
      </c>
    </row>
    <row r="4272" spans="2:35" ht="285">
      <c r="B4272" s="1">
        <v>45436</v>
      </c>
      <c r="C4272" s="4">
        <v>45436.40347222222</v>
      </c>
      <c r="D4272" t="s">
        <v>542</v>
      </c>
      <c r="E4272" t="s">
        <v>577</v>
      </c>
      <c r="F4272" t="s">
        <v>148</v>
      </c>
      <c r="G4272" t="s">
        <v>785</v>
      </c>
      <c r="H4272" t="s">
        <v>39</v>
      </c>
      <c r="I4272" t="s">
        <v>40</v>
      </c>
      <c r="J4272" s="2" t="s">
        <v>190</v>
      </c>
      <c r="K4272" t="s">
        <v>42</v>
      </c>
      <c r="L4272" t="s">
        <v>43</v>
      </c>
      <c r="N4272" t="s">
        <v>44</v>
      </c>
      <c r="Q4272">
        <v>28273</v>
      </c>
      <c r="R4272" t="s">
        <v>45</v>
      </c>
      <c r="S4272" t="s">
        <v>545</v>
      </c>
      <c r="T4272">
        <v>24</v>
      </c>
      <c r="U4272" s="2" t="s">
        <v>26040</v>
      </c>
      <c r="W4272" t="s">
        <v>48</v>
      </c>
      <c r="X4272">
        <v>805211</v>
      </c>
      <c r="Y4272" t="s">
        <v>121</v>
      </c>
      <c r="Z4272" t="s">
        <v>122</v>
      </c>
      <c r="AA4272" s="2" t="s">
        <v>26041</v>
      </c>
      <c r="AB4272" t="s">
        <v>26042</v>
      </c>
      <c r="AG4272" t="s">
        <v>26043</v>
      </c>
      <c r="AH4272" t="s">
        <v>26044</v>
      </c>
      <c r="AI4272" t="s">
        <v>26045</v>
      </c>
    </row>
    <row r="4273" spans="2:35" ht="240">
      <c r="B4273" s="1">
        <v>45436</v>
      </c>
      <c r="C4273" s="4">
        <v>45436.400694444441</v>
      </c>
      <c r="D4273" t="s">
        <v>542</v>
      </c>
      <c r="E4273" t="s">
        <v>26046</v>
      </c>
      <c r="F4273" t="s">
        <v>148</v>
      </c>
      <c r="G4273" t="s">
        <v>544</v>
      </c>
      <c r="H4273" t="s">
        <v>39</v>
      </c>
      <c r="I4273" t="s">
        <v>40</v>
      </c>
      <c r="J4273" t="s">
        <v>109</v>
      </c>
      <c r="K4273" t="s">
        <v>42</v>
      </c>
      <c r="L4273" t="s">
        <v>43</v>
      </c>
      <c r="N4273" t="s">
        <v>44</v>
      </c>
      <c r="Q4273">
        <v>28271</v>
      </c>
      <c r="R4273" t="s">
        <v>322</v>
      </c>
      <c r="S4273" t="s">
        <v>545</v>
      </c>
      <c r="T4273">
        <v>25</v>
      </c>
      <c r="U4273" s="2" t="s">
        <v>26047</v>
      </c>
      <c r="W4273" t="s">
        <v>153</v>
      </c>
      <c r="X4273">
        <v>120000613</v>
      </c>
      <c r="Y4273" t="s">
        <v>121</v>
      </c>
      <c r="Z4273" t="s">
        <v>122</v>
      </c>
      <c r="AA4273" s="2" t="s">
        <v>23367</v>
      </c>
      <c r="AB4273" t="s">
        <v>16412</v>
      </c>
      <c r="AG4273" t="s">
        <v>26048</v>
      </c>
      <c r="AH4273" t="s">
        <v>26044</v>
      </c>
      <c r="AI4273" t="s">
        <v>26049</v>
      </c>
    </row>
    <row r="4274" spans="2:35" ht="240">
      <c r="B4274" s="1">
        <v>45436</v>
      </c>
      <c r="C4274" s="4">
        <v>45436.409722222219</v>
      </c>
      <c r="D4274" t="s">
        <v>542</v>
      </c>
      <c r="E4274" t="s">
        <v>577</v>
      </c>
      <c r="F4274" t="s">
        <v>148</v>
      </c>
      <c r="G4274" t="s">
        <v>544</v>
      </c>
      <c r="H4274" t="s">
        <v>39</v>
      </c>
      <c r="I4274" t="s">
        <v>40</v>
      </c>
      <c r="J4274" t="s">
        <v>109</v>
      </c>
      <c r="K4274" t="s">
        <v>42</v>
      </c>
      <c r="L4274" t="s">
        <v>43</v>
      </c>
      <c r="N4274" t="s">
        <v>44</v>
      </c>
      <c r="Q4274">
        <v>28272</v>
      </c>
      <c r="R4274" t="s">
        <v>322</v>
      </c>
      <c r="S4274" t="s">
        <v>545</v>
      </c>
      <c r="T4274">
        <v>24</v>
      </c>
      <c r="U4274" s="2" t="s">
        <v>26050</v>
      </c>
      <c r="W4274" t="s">
        <v>153</v>
      </c>
      <c r="X4274">
        <v>110020361</v>
      </c>
      <c r="Y4274" t="s">
        <v>121</v>
      </c>
      <c r="Z4274" t="s">
        <v>122</v>
      </c>
      <c r="AA4274" s="2" t="s">
        <v>23367</v>
      </c>
      <c r="AB4274" t="s">
        <v>16412</v>
      </c>
      <c r="AG4274" t="s">
        <v>26051</v>
      </c>
      <c r="AH4274" t="s">
        <v>26044</v>
      </c>
      <c r="AI4274" t="s">
        <v>26052</v>
      </c>
    </row>
    <row r="4275" spans="2:35" ht="240">
      <c r="B4275" s="1">
        <v>45436</v>
      </c>
      <c r="C4275" s="4">
        <v>45436.408333333333</v>
      </c>
      <c r="D4275" t="s">
        <v>542</v>
      </c>
      <c r="E4275" t="s">
        <v>577</v>
      </c>
      <c r="F4275" t="s">
        <v>148</v>
      </c>
      <c r="G4275" t="s">
        <v>544</v>
      </c>
      <c r="H4275" t="s">
        <v>39</v>
      </c>
      <c r="I4275" t="s">
        <v>40</v>
      </c>
      <c r="J4275" t="s">
        <v>109</v>
      </c>
      <c r="K4275" t="s">
        <v>42</v>
      </c>
      <c r="L4275" t="s">
        <v>43</v>
      </c>
      <c r="N4275" t="s">
        <v>44</v>
      </c>
      <c r="Q4275">
        <v>28269</v>
      </c>
      <c r="R4275" t="s">
        <v>322</v>
      </c>
      <c r="S4275" t="s">
        <v>545</v>
      </c>
      <c r="T4275">
        <v>24</v>
      </c>
      <c r="U4275" s="2" t="s">
        <v>26053</v>
      </c>
      <c r="W4275" t="s">
        <v>153</v>
      </c>
      <c r="X4275">
        <v>110016107</v>
      </c>
      <c r="Y4275" t="s">
        <v>121</v>
      </c>
      <c r="Z4275" t="s">
        <v>122</v>
      </c>
      <c r="AA4275" s="2" t="s">
        <v>23367</v>
      </c>
      <c r="AB4275" t="s">
        <v>16412</v>
      </c>
      <c r="AG4275" t="s">
        <v>26054</v>
      </c>
      <c r="AH4275" t="s">
        <v>26044</v>
      </c>
      <c r="AI4275" t="s">
        <v>26055</v>
      </c>
    </row>
    <row r="4276" spans="2:35" ht="240">
      <c r="B4276" s="1">
        <v>45436</v>
      </c>
      <c r="C4276" s="4">
        <v>45436.405555555553</v>
      </c>
      <c r="D4276" t="s">
        <v>542</v>
      </c>
      <c r="E4276" t="s">
        <v>577</v>
      </c>
      <c r="F4276" t="s">
        <v>148</v>
      </c>
      <c r="G4276" t="s">
        <v>544</v>
      </c>
      <c r="H4276" t="s">
        <v>39</v>
      </c>
      <c r="I4276" t="s">
        <v>40</v>
      </c>
      <c r="J4276" t="s">
        <v>109</v>
      </c>
      <c r="K4276" t="s">
        <v>42</v>
      </c>
      <c r="L4276" t="s">
        <v>43</v>
      </c>
      <c r="N4276" t="s">
        <v>44</v>
      </c>
      <c r="Q4276">
        <v>28270</v>
      </c>
      <c r="R4276" t="s">
        <v>119</v>
      </c>
      <c r="S4276" t="s">
        <v>545</v>
      </c>
      <c r="T4276">
        <v>24</v>
      </c>
      <c r="W4276" t="s">
        <v>48</v>
      </c>
      <c r="X4276">
        <v>831588</v>
      </c>
      <c r="Y4276" t="s">
        <v>121</v>
      </c>
      <c r="Z4276" t="s">
        <v>122</v>
      </c>
      <c r="AA4276" s="2" t="s">
        <v>23367</v>
      </c>
      <c r="AB4276" t="s">
        <v>16412</v>
      </c>
      <c r="AG4276" t="s">
        <v>26056</v>
      </c>
      <c r="AH4276" t="s">
        <v>26044</v>
      </c>
      <c r="AI4276" t="s">
        <v>26057</v>
      </c>
    </row>
    <row r="4277" spans="2:35" ht="195">
      <c r="B4277" s="1">
        <v>45436</v>
      </c>
      <c r="C4277" s="4">
        <v>45436.588888888888</v>
      </c>
      <c r="D4277" t="s">
        <v>26058</v>
      </c>
      <c r="E4277" t="s">
        <v>26059</v>
      </c>
      <c r="F4277" t="s">
        <v>148</v>
      </c>
      <c r="G4277" t="s">
        <v>371</v>
      </c>
      <c r="H4277" t="s">
        <v>39</v>
      </c>
      <c r="I4277" t="s">
        <v>40</v>
      </c>
      <c r="J4277" s="2" t="s">
        <v>62</v>
      </c>
      <c r="K4277" t="s">
        <v>42</v>
      </c>
      <c r="L4277" t="s">
        <v>175</v>
      </c>
      <c r="N4277" t="s">
        <v>176</v>
      </c>
      <c r="Q4277">
        <v>28268</v>
      </c>
      <c r="R4277" t="s">
        <v>45</v>
      </c>
      <c r="S4277" t="s">
        <v>26060</v>
      </c>
      <c r="T4277">
        <v>24</v>
      </c>
      <c r="U4277" s="2" t="s">
        <v>26061</v>
      </c>
      <c r="W4277" t="s">
        <v>84</v>
      </c>
      <c r="X4277">
        <v>838856</v>
      </c>
      <c r="Y4277" t="s">
        <v>998</v>
      </c>
      <c r="Z4277" t="s">
        <v>999</v>
      </c>
      <c r="AA4277" t="e">
        <f ca="1">- checked _xludf.and cleaned cartridge bay, plunger rod, _xludf.filter, icore slot
- performed XpertCheck
- generated reports
- performed self test</f>
        <v>#NAME?</v>
      </c>
      <c r="AB4277" s="2" t="s">
        <v>26062</v>
      </c>
      <c r="AG4277" t="s">
        <v>26063</v>
      </c>
      <c r="AH4277" t="s">
        <v>26064</v>
      </c>
      <c r="AI4277" t="s">
        <v>26065</v>
      </c>
    </row>
    <row r="4278" spans="2:35" ht="210">
      <c r="B4278" s="1">
        <v>45436</v>
      </c>
      <c r="C4278" s="4">
        <v>45435.53402777778</v>
      </c>
      <c r="D4278" t="s">
        <v>1155</v>
      </c>
      <c r="E4278" t="s">
        <v>8331</v>
      </c>
      <c r="F4278" t="s">
        <v>148</v>
      </c>
      <c r="G4278" t="s">
        <v>230</v>
      </c>
      <c r="H4278" t="s">
        <v>39</v>
      </c>
      <c r="I4278" t="s">
        <v>40</v>
      </c>
      <c r="J4278" s="2" t="s">
        <v>41</v>
      </c>
      <c r="K4278" t="s">
        <v>42</v>
      </c>
      <c r="L4278" t="s">
        <v>175</v>
      </c>
      <c r="N4278" t="s">
        <v>176</v>
      </c>
      <c r="Q4278">
        <v>28266</v>
      </c>
      <c r="R4278" t="s">
        <v>119</v>
      </c>
      <c r="S4278" t="s">
        <v>8332</v>
      </c>
      <c r="T4278">
        <v>27</v>
      </c>
      <c r="U4278" s="2" t="s">
        <v>26066</v>
      </c>
      <c r="V4278" s="1">
        <v>45435</v>
      </c>
      <c r="W4278" t="s">
        <v>84</v>
      </c>
      <c r="X4278">
        <v>831895</v>
      </c>
      <c r="Y4278" t="s">
        <v>570</v>
      </c>
      <c r="Z4278" t="s">
        <v>26067</v>
      </c>
      <c r="AA4278" t="e">
        <f ca="1">- checked _xludf.and cleaned cartridge bay, plunger rod, _xludf.filter
- replaced module A2
- generated reports
- performed self test</f>
        <v>#NAME?</v>
      </c>
      <c r="AB4278" t="s">
        <v>181</v>
      </c>
      <c r="AD4278" s="2" t="s">
        <v>26068</v>
      </c>
      <c r="AE4278" t="s">
        <v>103</v>
      </c>
      <c r="AG4278" t="s">
        <v>26069</v>
      </c>
      <c r="AH4278" t="s">
        <v>1166</v>
      </c>
      <c r="AI4278" t="s">
        <v>26070</v>
      </c>
    </row>
    <row r="4279" spans="2:35" ht="255">
      <c r="B4279" s="1">
        <v>45436</v>
      </c>
      <c r="C4279" s="4">
        <v>45435.630555555559</v>
      </c>
      <c r="D4279" t="s">
        <v>26071</v>
      </c>
      <c r="E4279" t="s">
        <v>26072</v>
      </c>
      <c r="F4279" t="s">
        <v>148</v>
      </c>
      <c r="G4279" t="s">
        <v>421</v>
      </c>
      <c r="H4279" t="s">
        <v>39</v>
      </c>
      <c r="I4279" t="s">
        <v>40</v>
      </c>
      <c r="J4279" t="s">
        <v>525</v>
      </c>
      <c r="K4279" t="s">
        <v>42</v>
      </c>
      <c r="L4279" t="s">
        <v>175</v>
      </c>
      <c r="N4279" t="s">
        <v>176</v>
      </c>
      <c r="Q4279">
        <v>28267</v>
      </c>
      <c r="R4279" t="s">
        <v>45</v>
      </c>
      <c r="S4279" t="s">
        <v>422</v>
      </c>
      <c r="T4279">
        <v>25</v>
      </c>
      <c r="W4279" t="s">
        <v>84</v>
      </c>
      <c r="X4279">
        <v>815381</v>
      </c>
      <c r="Y4279" t="s">
        <v>26073</v>
      </c>
      <c r="Z4279" s="2" t="s">
        <v>26074</v>
      </c>
      <c r="AA4279" t="e">
        <f ca="1">- replaced BIOS battery
- cleaned RAM
- Reset HDD connectors
- performed _xludf.Power on self test</f>
        <v>#NAME?</v>
      </c>
      <c r="AB4279" s="2" t="s">
        <v>26075</v>
      </c>
      <c r="AG4279" t="s">
        <v>26076</v>
      </c>
      <c r="AH4279" t="s">
        <v>428</v>
      </c>
      <c r="AI4279" t="s">
        <v>26077</v>
      </c>
    </row>
    <row r="4280" spans="2:35">
      <c r="B4280" s="1">
        <v>45436</v>
      </c>
      <c r="C4280" s="4">
        <v>45436.597916666666</v>
      </c>
      <c r="D4280" t="s">
        <v>7751</v>
      </c>
      <c r="E4280" t="s">
        <v>7752</v>
      </c>
      <c r="F4280">
        <v>13</v>
      </c>
      <c r="G4280" t="s">
        <v>4484</v>
      </c>
      <c r="H4280" t="s">
        <v>2125</v>
      </c>
      <c r="I4280" t="s">
        <v>40</v>
      </c>
      <c r="J4280" t="s">
        <v>109</v>
      </c>
      <c r="K4280" t="s">
        <v>42</v>
      </c>
      <c r="L4280" t="s">
        <v>933</v>
      </c>
      <c r="N4280" t="s">
        <v>934</v>
      </c>
      <c r="Q4280">
        <v>28265</v>
      </c>
      <c r="R4280" t="s">
        <v>119</v>
      </c>
      <c r="S4280" t="s">
        <v>7753</v>
      </c>
      <c r="T4280">
        <v>27</v>
      </c>
      <c r="W4280" t="s">
        <v>10610</v>
      </c>
      <c r="X4280">
        <v>838403</v>
      </c>
      <c r="Y4280" t="s">
        <v>301</v>
      </c>
      <c r="Z4280" t="s">
        <v>301</v>
      </c>
      <c r="AA4280" t="s">
        <v>3128</v>
      </c>
      <c r="AB4280" t="s">
        <v>2131</v>
      </c>
      <c r="AG4280" t="s">
        <v>26078</v>
      </c>
      <c r="AH4280" t="s">
        <v>20668</v>
      </c>
      <c r="AI4280" t="s">
        <v>26079</v>
      </c>
    </row>
    <row r="4281" spans="2:35" ht="195">
      <c r="B4281" s="1">
        <v>45436</v>
      </c>
      <c r="C4281" s="4">
        <v>45436.59375</v>
      </c>
      <c r="D4281" t="s">
        <v>26080</v>
      </c>
      <c r="E4281" t="s">
        <v>26081</v>
      </c>
      <c r="F4281">
        <v>13</v>
      </c>
      <c r="G4281" t="s">
        <v>4484</v>
      </c>
      <c r="H4281" t="s">
        <v>2125</v>
      </c>
      <c r="I4281" t="s">
        <v>40</v>
      </c>
      <c r="J4281" s="2" t="s">
        <v>1157</v>
      </c>
      <c r="K4281" t="s">
        <v>42</v>
      </c>
      <c r="L4281" t="s">
        <v>933</v>
      </c>
      <c r="N4281" t="s">
        <v>934</v>
      </c>
      <c r="Q4281">
        <v>28264</v>
      </c>
      <c r="R4281" t="s">
        <v>45</v>
      </c>
      <c r="S4281" t="s">
        <v>7753</v>
      </c>
      <c r="T4281">
        <v>28</v>
      </c>
      <c r="W4281" t="s">
        <v>10610</v>
      </c>
      <c r="X4281">
        <v>805099</v>
      </c>
      <c r="Y4281" t="s">
        <v>26082</v>
      </c>
      <c r="Z4281" t="s">
        <v>13654</v>
      </c>
      <c r="AA4281" s="2" t="s">
        <v>26083</v>
      </c>
      <c r="AB4281" t="s">
        <v>26084</v>
      </c>
      <c r="AG4281" t="s">
        <v>26085</v>
      </c>
      <c r="AH4281" t="s">
        <v>20668</v>
      </c>
      <c r="AI4281" t="s">
        <v>26086</v>
      </c>
    </row>
    <row r="4282" spans="2:35" ht="409.5">
      <c r="B4282" s="1">
        <v>45436</v>
      </c>
      <c r="C4282" s="4">
        <v>45435.64166666667</v>
      </c>
      <c r="D4282" t="s">
        <v>5602</v>
      </c>
      <c r="E4282" t="s">
        <v>2580</v>
      </c>
      <c r="F4282" t="s">
        <v>148</v>
      </c>
      <c r="G4282" t="s">
        <v>447</v>
      </c>
      <c r="H4282" t="s">
        <v>662</v>
      </c>
      <c r="I4282" t="s">
        <v>94</v>
      </c>
      <c r="J4282" t="s">
        <v>109</v>
      </c>
      <c r="K4282" t="s">
        <v>42</v>
      </c>
      <c r="L4282" t="s">
        <v>448</v>
      </c>
      <c r="N4282" t="s">
        <v>650</v>
      </c>
      <c r="Q4282">
        <v>28263</v>
      </c>
      <c r="R4282" t="s">
        <v>322</v>
      </c>
      <c r="S4282" t="s">
        <v>5604</v>
      </c>
      <c r="T4282">
        <v>26</v>
      </c>
      <c r="U4282" s="2" t="s">
        <v>26087</v>
      </c>
      <c r="W4282" t="s">
        <v>6121</v>
      </c>
      <c r="X4282">
        <v>838524</v>
      </c>
      <c r="Y4282" s="2" t="s">
        <v>22654</v>
      </c>
      <c r="Z4282" s="2" t="s">
        <v>2011</v>
      </c>
      <c r="AA4282" t="s">
        <v>6997</v>
      </c>
      <c r="AB4282" s="2" t="s">
        <v>26088</v>
      </c>
      <c r="AG4282" t="s">
        <v>26089</v>
      </c>
      <c r="AH4282" t="s">
        <v>7424</v>
      </c>
      <c r="AI4282" t="s">
        <v>26090</v>
      </c>
    </row>
    <row r="4283" spans="2:35" ht="390">
      <c r="B4283" s="1">
        <v>45436</v>
      </c>
      <c r="C4283" s="4">
        <v>45435.620833333334</v>
      </c>
      <c r="D4283" t="s">
        <v>5602</v>
      </c>
      <c r="E4283" t="s">
        <v>2580</v>
      </c>
      <c r="F4283" t="s">
        <v>148</v>
      </c>
      <c r="G4283" t="s">
        <v>447</v>
      </c>
      <c r="H4283" t="s">
        <v>662</v>
      </c>
      <c r="I4283" t="s">
        <v>40</v>
      </c>
      <c r="J4283" t="s">
        <v>109</v>
      </c>
      <c r="K4283" t="s">
        <v>42</v>
      </c>
      <c r="L4283" t="s">
        <v>448</v>
      </c>
      <c r="N4283" t="s">
        <v>650</v>
      </c>
      <c r="Q4283">
        <v>28262</v>
      </c>
      <c r="R4283" t="s">
        <v>95</v>
      </c>
      <c r="S4283" t="s">
        <v>5604</v>
      </c>
      <c r="T4283">
        <v>28</v>
      </c>
      <c r="U4283" s="2" t="s">
        <v>26091</v>
      </c>
      <c r="W4283" t="s">
        <v>6785</v>
      </c>
      <c r="X4283">
        <v>804476</v>
      </c>
      <c r="Y4283" s="2" t="s">
        <v>26092</v>
      </c>
      <c r="Z4283" s="2" t="s">
        <v>2011</v>
      </c>
      <c r="AA4283" t="s">
        <v>6997</v>
      </c>
      <c r="AB4283" t="s">
        <v>26093</v>
      </c>
      <c r="AG4283" t="s">
        <v>26094</v>
      </c>
      <c r="AH4283" t="s">
        <v>7424</v>
      </c>
      <c r="AI4283" t="s">
        <v>26095</v>
      </c>
    </row>
    <row r="4284" spans="2:35" ht="409.5">
      <c r="B4284" s="1">
        <v>45436</v>
      </c>
      <c r="C4284" s="4">
        <v>45435.57916666667</v>
      </c>
      <c r="D4284" t="s">
        <v>5602</v>
      </c>
      <c r="E4284" t="s">
        <v>2580</v>
      </c>
      <c r="F4284" t="s">
        <v>148</v>
      </c>
      <c r="G4284" t="s">
        <v>447</v>
      </c>
      <c r="H4284" t="s">
        <v>662</v>
      </c>
      <c r="I4284" t="s">
        <v>40</v>
      </c>
      <c r="J4284" t="s">
        <v>109</v>
      </c>
      <c r="K4284" t="s">
        <v>42</v>
      </c>
      <c r="L4284" t="s">
        <v>448</v>
      </c>
      <c r="N4284" t="s">
        <v>650</v>
      </c>
      <c r="Q4284">
        <v>28261</v>
      </c>
      <c r="R4284" t="s">
        <v>322</v>
      </c>
      <c r="S4284" t="s">
        <v>5604</v>
      </c>
      <c r="T4284">
        <v>27</v>
      </c>
      <c r="U4284" s="2" t="s">
        <v>26096</v>
      </c>
      <c r="W4284" t="s">
        <v>6785</v>
      </c>
      <c r="X4284">
        <v>110005587</v>
      </c>
      <c r="Y4284" s="2" t="s">
        <v>26097</v>
      </c>
      <c r="Z4284" s="2" t="s">
        <v>2011</v>
      </c>
      <c r="AA4284" t="s">
        <v>6997</v>
      </c>
      <c r="AB4284" s="2" t="s">
        <v>26098</v>
      </c>
      <c r="AC4284" t="s">
        <v>26099</v>
      </c>
      <c r="AG4284" t="s">
        <v>26100</v>
      </c>
      <c r="AH4284" t="s">
        <v>16382</v>
      </c>
      <c r="AI4284" t="s">
        <v>26101</v>
      </c>
    </row>
    <row r="4285" spans="2:35" ht="409.5">
      <c r="B4285" s="1">
        <v>45436</v>
      </c>
      <c r="C4285" s="4">
        <v>45436.410416666666</v>
      </c>
      <c r="D4285" t="s">
        <v>26102</v>
      </c>
      <c r="E4285" t="s">
        <v>24831</v>
      </c>
      <c r="F4285" t="s">
        <v>37</v>
      </c>
      <c r="G4285" t="s">
        <v>78</v>
      </c>
      <c r="H4285" t="s">
        <v>39</v>
      </c>
      <c r="I4285" t="s">
        <v>40</v>
      </c>
      <c r="J4285" s="2" t="s">
        <v>41</v>
      </c>
      <c r="K4285" t="s">
        <v>42</v>
      </c>
      <c r="L4285" t="s">
        <v>1943</v>
      </c>
      <c r="N4285" t="s">
        <v>1944</v>
      </c>
      <c r="Q4285">
        <v>28260</v>
      </c>
      <c r="R4285" t="s">
        <v>119</v>
      </c>
      <c r="S4285" t="s">
        <v>26103</v>
      </c>
      <c r="T4285">
        <v>25</v>
      </c>
      <c r="V4285" s="1">
        <v>45436</v>
      </c>
      <c r="W4285" t="s">
        <v>84</v>
      </c>
      <c r="X4285">
        <v>821278</v>
      </c>
      <c r="Y4285" s="2" t="s">
        <v>26104</v>
      </c>
      <c r="Z4285" t="s">
        <v>1947</v>
      </c>
      <c r="AA4285" s="2" t="s">
        <v>1948</v>
      </c>
      <c r="AB4285" t="s">
        <v>88</v>
      </c>
      <c r="AD4285" t="s">
        <v>26105</v>
      </c>
      <c r="AE4285" t="s">
        <v>11329</v>
      </c>
      <c r="AG4285" t="s">
        <v>26106</v>
      </c>
      <c r="AH4285" t="s">
        <v>26107</v>
      </c>
      <c r="AI4285" t="s">
        <v>26108</v>
      </c>
    </row>
    <row r="4286" spans="2:35" ht="409.5">
      <c r="B4286" s="1">
        <v>45436</v>
      </c>
      <c r="C4286" s="4">
        <v>45436.40902777778</v>
      </c>
      <c r="D4286" t="s">
        <v>26109</v>
      </c>
      <c r="E4286" t="s">
        <v>23183</v>
      </c>
      <c r="F4286" t="s">
        <v>37</v>
      </c>
      <c r="G4286" t="s">
        <v>78</v>
      </c>
      <c r="H4286" t="s">
        <v>39</v>
      </c>
      <c r="I4286" t="s">
        <v>40</v>
      </c>
      <c r="J4286" s="2" t="s">
        <v>41</v>
      </c>
      <c r="K4286" t="s">
        <v>42</v>
      </c>
      <c r="L4286" t="s">
        <v>1943</v>
      </c>
      <c r="N4286" t="s">
        <v>1944</v>
      </c>
      <c r="Q4286">
        <v>28259</v>
      </c>
      <c r="R4286" t="s">
        <v>119</v>
      </c>
      <c r="S4286" t="s">
        <v>26110</v>
      </c>
      <c r="T4286">
        <v>25</v>
      </c>
      <c r="V4286" s="1">
        <v>45436</v>
      </c>
      <c r="W4286" t="s">
        <v>84</v>
      </c>
      <c r="X4286">
        <v>821189</v>
      </c>
      <c r="Y4286" s="2" t="s">
        <v>26111</v>
      </c>
      <c r="Z4286" t="s">
        <v>1947</v>
      </c>
      <c r="AA4286" s="2" t="s">
        <v>1948</v>
      </c>
      <c r="AB4286" t="s">
        <v>88</v>
      </c>
      <c r="AD4286" t="s">
        <v>26112</v>
      </c>
      <c r="AE4286" t="s">
        <v>11329</v>
      </c>
      <c r="AG4286" t="s">
        <v>26113</v>
      </c>
      <c r="AH4286" t="s">
        <v>26114</v>
      </c>
      <c r="AI4286" t="s">
        <v>26115</v>
      </c>
    </row>
    <row r="4287" spans="2:35" ht="105">
      <c r="B4287" s="1">
        <v>45436</v>
      </c>
      <c r="C4287" s="4">
        <v>45436.554861111108</v>
      </c>
      <c r="D4287" t="s">
        <v>26116</v>
      </c>
      <c r="E4287" t="s">
        <v>26117</v>
      </c>
      <c r="F4287">
        <v>3</v>
      </c>
      <c r="G4287" t="s">
        <v>1640</v>
      </c>
      <c r="H4287" t="s">
        <v>39</v>
      </c>
      <c r="I4287" t="s">
        <v>40</v>
      </c>
      <c r="J4287" t="s">
        <v>109</v>
      </c>
      <c r="K4287" t="s">
        <v>42</v>
      </c>
      <c r="L4287" t="s">
        <v>63</v>
      </c>
      <c r="N4287" t="s">
        <v>64</v>
      </c>
      <c r="Q4287">
        <v>28258</v>
      </c>
      <c r="R4287" t="s">
        <v>119</v>
      </c>
      <c r="S4287" t="s">
        <v>26118</v>
      </c>
      <c r="T4287">
        <v>27</v>
      </c>
      <c r="U4287" s="2" t="s">
        <v>22728</v>
      </c>
      <c r="W4287" t="s">
        <v>23881</v>
      </c>
      <c r="X4287">
        <v>831621</v>
      </c>
      <c r="Y4287" t="s">
        <v>7291</v>
      </c>
      <c r="Z4287" t="s">
        <v>10275</v>
      </c>
      <c r="AA4287" s="2" t="s">
        <v>7015</v>
      </c>
      <c r="AB4287" t="s">
        <v>70</v>
      </c>
      <c r="AG4287" t="s">
        <v>26119</v>
      </c>
      <c r="AH4287" t="s">
        <v>26120</v>
      </c>
      <c r="AI4287" t="s">
        <v>26121</v>
      </c>
    </row>
    <row r="4288" spans="2:35" ht="210">
      <c r="B4288" s="1">
        <v>45436</v>
      </c>
      <c r="C4288" s="4">
        <v>45436.509722222225</v>
      </c>
      <c r="D4288" t="s">
        <v>2854</v>
      </c>
      <c r="E4288" t="s">
        <v>26019</v>
      </c>
      <c r="F4288">
        <v>9</v>
      </c>
      <c r="G4288" t="s">
        <v>2197</v>
      </c>
      <c r="H4288" t="s">
        <v>39</v>
      </c>
      <c r="I4288" t="s">
        <v>94</v>
      </c>
      <c r="J4288" s="2" t="s">
        <v>17375</v>
      </c>
      <c r="K4288" t="s">
        <v>42</v>
      </c>
      <c r="L4288" t="s">
        <v>1257</v>
      </c>
      <c r="N4288" t="s">
        <v>1258</v>
      </c>
      <c r="O4288" t="s">
        <v>2199</v>
      </c>
      <c r="Q4288">
        <v>28257</v>
      </c>
      <c r="R4288" t="s">
        <v>45</v>
      </c>
      <c r="S4288" t="s">
        <v>26020</v>
      </c>
      <c r="T4288">
        <v>28</v>
      </c>
      <c r="U4288" s="2" t="s">
        <v>26122</v>
      </c>
      <c r="V4288" s="1">
        <v>45436</v>
      </c>
      <c r="W4288" t="s">
        <v>2384</v>
      </c>
      <c r="X4288">
        <v>805121</v>
      </c>
      <c r="Y4288" t="s">
        <v>26123</v>
      </c>
      <c r="Z4288" t="s">
        <v>26124</v>
      </c>
      <c r="AA4288" t="s">
        <v>26124</v>
      </c>
      <c r="AB4288" t="s">
        <v>7411</v>
      </c>
      <c r="AC4288" t="s">
        <v>301</v>
      </c>
      <c r="AD4288" t="s">
        <v>54</v>
      </c>
      <c r="AE4288" t="s">
        <v>54</v>
      </c>
      <c r="AG4288" t="s">
        <v>26125</v>
      </c>
      <c r="AH4288" t="s">
        <v>26024</v>
      </c>
      <c r="AI4288" t="s">
        <v>26126</v>
      </c>
    </row>
    <row r="4289" spans="2:35" ht="330">
      <c r="B4289" s="1">
        <v>45436</v>
      </c>
      <c r="C4289" s="4">
        <v>45436.501388888886</v>
      </c>
      <c r="D4289" t="s">
        <v>1661</v>
      </c>
      <c r="E4289" t="s">
        <v>1662</v>
      </c>
      <c r="F4289">
        <v>8</v>
      </c>
      <c r="G4289" t="s">
        <v>1663</v>
      </c>
      <c r="H4289" t="s">
        <v>39</v>
      </c>
      <c r="I4289" t="s">
        <v>94</v>
      </c>
      <c r="J4289" s="2" t="s">
        <v>21407</v>
      </c>
      <c r="K4289" t="s">
        <v>42</v>
      </c>
      <c r="L4289" t="s">
        <v>259</v>
      </c>
      <c r="N4289" t="s">
        <v>260</v>
      </c>
      <c r="Q4289">
        <v>28256</v>
      </c>
      <c r="R4289" t="s">
        <v>45</v>
      </c>
      <c r="S4289" t="s">
        <v>26127</v>
      </c>
      <c r="T4289">
        <v>27</v>
      </c>
      <c r="V4289" s="1">
        <v>45436</v>
      </c>
      <c r="W4289" t="s">
        <v>597</v>
      </c>
      <c r="X4289">
        <v>807566</v>
      </c>
      <c r="Y4289" t="s">
        <v>263</v>
      </c>
      <c r="Z4289" t="e">
        <f ca="1">- Preventive Maintenance</f>
        <v>#NAME?</v>
      </c>
      <c r="AA4289" s="2" t="s">
        <v>26128</v>
      </c>
      <c r="AB4289" t="s">
        <v>181</v>
      </c>
      <c r="AG4289" t="s">
        <v>26129</v>
      </c>
      <c r="AH4289" t="s">
        <v>26130</v>
      </c>
      <c r="AI4289" t="s">
        <v>26131</v>
      </c>
    </row>
    <row r="4290" spans="2:35" ht="409.5">
      <c r="B4290" s="1">
        <v>45436</v>
      </c>
      <c r="C4290" s="4">
        <v>45436.468055555553</v>
      </c>
      <c r="D4290" t="s">
        <v>1203</v>
      </c>
      <c r="E4290" t="s">
        <v>25425</v>
      </c>
      <c r="F4290">
        <v>11</v>
      </c>
      <c r="G4290" t="s">
        <v>1205</v>
      </c>
      <c r="H4290" t="s">
        <v>1317</v>
      </c>
      <c r="I4290" t="s">
        <v>94</v>
      </c>
      <c r="J4290" s="2" t="s">
        <v>1592</v>
      </c>
      <c r="K4290" t="s">
        <v>42</v>
      </c>
      <c r="L4290" t="s">
        <v>204</v>
      </c>
      <c r="N4290" t="s">
        <v>205</v>
      </c>
      <c r="Q4290">
        <v>28255</v>
      </c>
      <c r="R4290" t="s">
        <v>45</v>
      </c>
      <c r="S4290" t="s">
        <v>1206</v>
      </c>
      <c r="T4290">
        <v>28.5</v>
      </c>
      <c r="U4290" s="2" t="s">
        <v>26132</v>
      </c>
      <c r="W4290" t="s">
        <v>23237</v>
      </c>
      <c r="X4290">
        <v>808298</v>
      </c>
      <c r="Y4290" s="2" t="s">
        <v>26133</v>
      </c>
      <c r="Z4290" s="2" t="s">
        <v>26134</v>
      </c>
      <c r="AA4290" s="2" t="s">
        <v>26135</v>
      </c>
      <c r="AB4290" s="2" t="s">
        <v>26136</v>
      </c>
      <c r="AG4290" t="s">
        <v>26137</v>
      </c>
      <c r="AH4290" t="s">
        <v>26138</v>
      </c>
      <c r="AI4290" t="s">
        <v>26139</v>
      </c>
    </row>
    <row r="4291" spans="2:35" ht="330">
      <c r="B4291" s="1">
        <v>45436</v>
      </c>
      <c r="C4291" s="4">
        <v>45436.531944444447</v>
      </c>
      <c r="D4291" t="s">
        <v>1661</v>
      </c>
      <c r="E4291" t="s">
        <v>1662</v>
      </c>
      <c r="F4291">
        <v>8</v>
      </c>
      <c r="G4291" t="s">
        <v>1663</v>
      </c>
      <c r="H4291" t="s">
        <v>39</v>
      </c>
      <c r="I4291" t="s">
        <v>94</v>
      </c>
      <c r="J4291" t="s">
        <v>321</v>
      </c>
      <c r="K4291" t="s">
        <v>42</v>
      </c>
      <c r="L4291" t="s">
        <v>259</v>
      </c>
      <c r="N4291" t="s">
        <v>260</v>
      </c>
      <c r="Q4291">
        <v>28254</v>
      </c>
      <c r="R4291" t="s">
        <v>45</v>
      </c>
      <c r="S4291" t="s">
        <v>26127</v>
      </c>
      <c r="T4291">
        <v>25</v>
      </c>
      <c r="V4291" s="1">
        <v>45436</v>
      </c>
      <c r="W4291" t="s">
        <v>423</v>
      </c>
      <c r="X4291">
        <v>12000480</v>
      </c>
      <c r="Y4291" t="s">
        <v>263</v>
      </c>
      <c r="Z4291" t="s">
        <v>13110</v>
      </c>
      <c r="AA4291" s="2" t="s">
        <v>26140</v>
      </c>
      <c r="AB4291" t="s">
        <v>70</v>
      </c>
      <c r="AD4291" s="2" t="s">
        <v>26141</v>
      </c>
      <c r="AE4291" t="s">
        <v>45</v>
      </c>
      <c r="AG4291" t="s">
        <v>26142</v>
      </c>
      <c r="AH4291" t="s">
        <v>26143</v>
      </c>
      <c r="AI4291" t="s">
        <v>26144</v>
      </c>
    </row>
    <row r="4292" spans="2:35" ht="105">
      <c r="B4292" s="1">
        <v>45436</v>
      </c>
      <c r="C4292" s="4">
        <v>45435.453472222223</v>
      </c>
      <c r="D4292" t="s">
        <v>26145</v>
      </c>
      <c r="E4292" t="s">
        <v>26146</v>
      </c>
      <c r="F4292">
        <v>9</v>
      </c>
      <c r="G4292" t="s">
        <v>2197</v>
      </c>
      <c r="H4292" t="s">
        <v>39</v>
      </c>
      <c r="I4292" t="s">
        <v>40</v>
      </c>
      <c r="J4292" s="2" t="s">
        <v>17375</v>
      </c>
      <c r="K4292" t="s">
        <v>42</v>
      </c>
      <c r="L4292" t="s">
        <v>1257</v>
      </c>
      <c r="N4292" t="s">
        <v>2199</v>
      </c>
      <c r="O4292" t="s">
        <v>1258</v>
      </c>
      <c r="Q4292">
        <v>28253</v>
      </c>
      <c r="R4292" t="s">
        <v>719</v>
      </c>
      <c r="S4292" t="s">
        <v>26147</v>
      </c>
      <c r="T4292">
        <v>28</v>
      </c>
      <c r="U4292" s="2" t="s">
        <v>26148</v>
      </c>
      <c r="V4292" s="1">
        <v>45435</v>
      </c>
      <c r="W4292" t="s">
        <v>2384</v>
      </c>
      <c r="X4292">
        <v>847250</v>
      </c>
      <c r="Y4292" t="s">
        <v>26149</v>
      </c>
      <c r="Z4292" t="s">
        <v>26150</v>
      </c>
      <c r="AA4292" t="s">
        <v>25079</v>
      </c>
      <c r="AB4292" t="s">
        <v>7411</v>
      </c>
      <c r="AC4292" t="s">
        <v>301</v>
      </c>
      <c r="AD4292" t="s">
        <v>54</v>
      </c>
      <c r="AE4292" t="s">
        <v>54</v>
      </c>
      <c r="AG4292" t="s">
        <v>26151</v>
      </c>
      <c r="AH4292" t="s">
        <v>26152</v>
      </c>
      <c r="AI4292" t="s">
        <v>26153</v>
      </c>
    </row>
    <row r="4293" spans="2:35" ht="165">
      <c r="B4293" s="1">
        <v>45436</v>
      </c>
      <c r="C4293" s="4">
        <v>45436.489583333336</v>
      </c>
      <c r="D4293" t="s">
        <v>26154</v>
      </c>
      <c r="E4293" t="s">
        <v>26155</v>
      </c>
      <c r="F4293">
        <v>3</v>
      </c>
      <c r="G4293" t="s">
        <v>1722</v>
      </c>
      <c r="H4293" t="s">
        <v>39</v>
      </c>
      <c r="I4293" t="s">
        <v>40</v>
      </c>
      <c r="J4293" s="2" t="s">
        <v>41</v>
      </c>
      <c r="K4293" t="s">
        <v>42</v>
      </c>
      <c r="L4293" t="s">
        <v>63</v>
      </c>
      <c r="N4293" t="s">
        <v>64</v>
      </c>
      <c r="Q4293">
        <v>28252</v>
      </c>
      <c r="R4293" t="s">
        <v>45</v>
      </c>
      <c r="S4293" t="s">
        <v>26156</v>
      </c>
      <c r="T4293">
        <v>27</v>
      </c>
      <c r="U4293" s="2" t="s">
        <v>10823</v>
      </c>
      <c r="W4293" t="s">
        <v>23858</v>
      </c>
      <c r="X4293">
        <v>834804</v>
      </c>
      <c r="Y4293" t="s">
        <v>26157</v>
      </c>
      <c r="Z4293" s="2" t="s">
        <v>26158</v>
      </c>
      <c r="AA4293" s="2" t="s">
        <v>1727</v>
      </c>
      <c r="AB4293" t="s">
        <v>70</v>
      </c>
      <c r="AG4293" t="s">
        <v>26159</v>
      </c>
      <c r="AH4293" t="s">
        <v>26160</v>
      </c>
      <c r="AI4293" t="s">
        <v>26161</v>
      </c>
    </row>
    <row r="4294" spans="2:35" ht="285">
      <c r="B4294" s="1">
        <v>45436</v>
      </c>
      <c r="C4294" s="4">
        <v>45436.459027777775</v>
      </c>
      <c r="D4294" t="s">
        <v>1071</v>
      </c>
      <c r="E4294" t="s">
        <v>1555</v>
      </c>
      <c r="F4294">
        <v>7</v>
      </c>
      <c r="G4294" t="s">
        <v>432</v>
      </c>
      <c r="H4294" t="s">
        <v>150</v>
      </c>
      <c r="I4294" t="s">
        <v>40</v>
      </c>
      <c r="J4294" t="s">
        <v>109</v>
      </c>
      <c r="K4294" t="s">
        <v>42</v>
      </c>
      <c r="L4294" t="s">
        <v>343</v>
      </c>
      <c r="N4294" t="s">
        <v>344</v>
      </c>
      <c r="Q4294">
        <v>28251</v>
      </c>
      <c r="R4294" t="s">
        <v>119</v>
      </c>
      <c r="S4294" t="s">
        <v>8679</v>
      </c>
      <c r="T4294">
        <v>26</v>
      </c>
      <c r="U4294" s="2" t="s">
        <v>26162</v>
      </c>
      <c r="W4294" t="s">
        <v>6105</v>
      </c>
      <c r="X4294">
        <v>838285</v>
      </c>
      <c r="Y4294" t="s">
        <v>7415</v>
      </c>
      <c r="Z4294" t="e">
        <f ca="1">-Preventive Maintenance</f>
        <v>#NAME?</v>
      </c>
      <c r="AA4294" t="e">
        <f ca="1">-Preventive Maintenance</f>
        <v>#NAME?</v>
      </c>
      <c r="AB4294" t="s">
        <v>26163</v>
      </c>
      <c r="AG4294" t="s">
        <v>26164</v>
      </c>
      <c r="AH4294" t="s">
        <v>26165</v>
      </c>
      <c r="AI4294" t="s">
        <v>26166</v>
      </c>
    </row>
    <row r="4295" spans="2:35" ht="285">
      <c r="B4295" s="1">
        <v>45436</v>
      </c>
      <c r="C4295" s="4">
        <v>45436.464583333334</v>
      </c>
      <c r="D4295" t="s">
        <v>1071</v>
      </c>
      <c r="E4295" t="s">
        <v>1555</v>
      </c>
      <c r="F4295">
        <v>7</v>
      </c>
      <c r="G4295" t="s">
        <v>432</v>
      </c>
      <c r="H4295" t="s">
        <v>150</v>
      </c>
      <c r="I4295" t="s">
        <v>40</v>
      </c>
      <c r="J4295" t="s">
        <v>109</v>
      </c>
      <c r="K4295" t="s">
        <v>42</v>
      </c>
      <c r="L4295" t="s">
        <v>343</v>
      </c>
      <c r="N4295" t="s">
        <v>344</v>
      </c>
      <c r="Q4295">
        <v>28250</v>
      </c>
      <c r="R4295" t="s">
        <v>119</v>
      </c>
      <c r="S4295" t="s">
        <v>26167</v>
      </c>
      <c r="T4295">
        <v>23</v>
      </c>
      <c r="U4295" s="2" t="s">
        <v>26168</v>
      </c>
      <c r="W4295" t="s">
        <v>6105</v>
      </c>
      <c r="X4295">
        <v>820206</v>
      </c>
      <c r="Y4295" t="s">
        <v>7415</v>
      </c>
      <c r="Z4295" t="e">
        <f ca="1">-Preventive Maintenance</f>
        <v>#NAME?</v>
      </c>
      <c r="AA4295" t="e">
        <f ca="1">-Preventive Maintenance</f>
        <v>#NAME?</v>
      </c>
      <c r="AB4295" t="s">
        <v>9638</v>
      </c>
      <c r="AG4295" t="s">
        <v>26169</v>
      </c>
      <c r="AH4295" t="s">
        <v>26165</v>
      </c>
      <c r="AI4295" t="s">
        <v>26170</v>
      </c>
    </row>
    <row r="4296" spans="2:35" ht="409.5">
      <c r="B4296" s="1">
        <v>45436</v>
      </c>
      <c r="C4296" s="4">
        <v>45436.406944444447</v>
      </c>
      <c r="D4296" t="s">
        <v>6682</v>
      </c>
      <c r="E4296" t="s">
        <v>26171</v>
      </c>
      <c r="F4296" t="s">
        <v>37</v>
      </c>
      <c r="G4296" t="s">
        <v>78</v>
      </c>
      <c r="H4296" t="s">
        <v>39</v>
      </c>
      <c r="I4296" t="s">
        <v>40</v>
      </c>
      <c r="J4296" s="2" t="s">
        <v>62</v>
      </c>
      <c r="K4296" t="s">
        <v>42</v>
      </c>
      <c r="L4296" t="s">
        <v>1943</v>
      </c>
      <c r="N4296" t="s">
        <v>1944</v>
      </c>
      <c r="Q4296">
        <v>28249</v>
      </c>
      <c r="R4296" t="s">
        <v>119</v>
      </c>
      <c r="S4296" t="s">
        <v>8239</v>
      </c>
      <c r="T4296">
        <v>25</v>
      </c>
      <c r="W4296" t="s">
        <v>84</v>
      </c>
      <c r="X4296">
        <v>838225</v>
      </c>
      <c r="Y4296" s="2" t="s">
        <v>3044</v>
      </c>
      <c r="Z4296" t="s">
        <v>3045</v>
      </c>
      <c r="AA4296" s="2" t="s">
        <v>3046</v>
      </c>
      <c r="AB4296" t="s">
        <v>88</v>
      </c>
      <c r="AG4296" t="s">
        <v>26172</v>
      </c>
      <c r="AH4296" t="s">
        <v>8645</v>
      </c>
      <c r="AI4296" t="s">
        <v>26173</v>
      </c>
    </row>
    <row r="4297" spans="2:35" ht="409.5">
      <c r="B4297" s="1">
        <v>45436</v>
      </c>
      <c r="C4297" s="4">
        <v>45436.404166666667</v>
      </c>
      <c r="D4297" t="s">
        <v>6682</v>
      </c>
      <c r="E4297" t="s">
        <v>26171</v>
      </c>
      <c r="F4297" t="s">
        <v>37</v>
      </c>
      <c r="G4297" t="s">
        <v>78</v>
      </c>
      <c r="H4297" t="s">
        <v>39</v>
      </c>
      <c r="I4297" t="s">
        <v>40</v>
      </c>
      <c r="J4297" s="2" t="s">
        <v>62</v>
      </c>
      <c r="K4297" t="s">
        <v>42</v>
      </c>
      <c r="L4297" t="s">
        <v>1943</v>
      </c>
      <c r="N4297" t="s">
        <v>1944</v>
      </c>
      <c r="Q4297">
        <v>28248</v>
      </c>
      <c r="R4297" t="s">
        <v>45</v>
      </c>
      <c r="S4297" t="s">
        <v>8639</v>
      </c>
      <c r="T4297">
        <v>25</v>
      </c>
      <c r="W4297" t="s">
        <v>84</v>
      </c>
      <c r="X4297">
        <v>807570</v>
      </c>
      <c r="Y4297" s="2" t="s">
        <v>3044</v>
      </c>
      <c r="Z4297" t="s">
        <v>3045</v>
      </c>
      <c r="AA4297" s="2" t="s">
        <v>3046</v>
      </c>
      <c r="AB4297" t="s">
        <v>88</v>
      </c>
      <c r="AG4297" t="s">
        <v>26174</v>
      </c>
      <c r="AH4297" t="s">
        <v>8645</v>
      </c>
      <c r="AI4297" t="s">
        <v>26175</v>
      </c>
    </row>
    <row r="4298" spans="2:35" ht="360">
      <c r="B4298" s="1">
        <v>45436</v>
      </c>
      <c r="C4298" s="4">
        <v>45436.415972222225</v>
      </c>
      <c r="D4298" t="s">
        <v>12505</v>
      </c>
      <c r="E4298" t="s">
        <v>22556</v>
      </c>
      <c r="F4298">
        <v>3</v>
      </c>
      <c r="G4298" t="s">
        <v>219</v>
      </c>
      <c r="H4298" t="s">
        <v>61</v>
      </c>
      <c r="I4298" t="s">
        <v>40</v>
      </c>
      <c r="J4298" t="s">
        <v>109</v>
      </c>
      <c r="K4298" t="s">
        <v>42</v>
      </c>
      <c r="L4298" t="s">
        <v>135</v>
      </c>
      <c r="N4298" t="s">
        <v>136</v>
      </c>
      <c r="Q4298">
        <v>28247</v>
      </c>
      <c r="R4298" t="s">
        <v>322</v>
      </c>
      <c r="S4298" t="s">
        <v>12507</v>
      </c>
      <c r="T4298">
        <v>29</v>
      </c>
      <c r="U4298" s="2" t="s">
        <v>26176</v>
      </c>
      <c r="W4298" t="s">
        <v>2680</v>
      </c>
      <c r="X4298">
        <v>838520</v>
      </c>
      <c r="Y4298" s="2" t="s">
        <v>26177</v>
      </c>
      <c r="Z4298" t="s">
        <v>4315</v>
      </c>
      <c r="AA4298" s="2" t="s">
        <v>4316</v>
      </c>
      <c r="AB4298" t="s">
        <v>26178</v>
      </c>
      <c r="AG4298" t="s">
        <v>26179</v>
      </c>
      <c r="AH4298" t="s">
        <v>14753</v>
      </c>
      <c r="AI4298" t="s">
        <v>26180</v>
      </c>
    </row>
    <row r="4299" spans="2:35" ht="180">
      <c r="B4299" s="1">
        <v>45435</v>
      </c>
      <c r="C4299" s="4">
        <v>45435.876388888886</v>
      </c>
      <c r="D4299" t="s">
        <v>7881</v>
      </c>
      <c r="E4299" t="s">
        <v>7882</v>
      </c>
      <c r="F4299">
        <v>7</v>
      </c>
      <c r="G4299" t="s">
        <v>432</v>
      </c>
      <c r="H4299" t="s">
        <v>608</v>
      </c>
      <c r="I4299" t="s">
        <v>40</v>
      </c>
      <c r="J4299" s="2" t="s">
        <v>760</v>
      </c>
      <c r="K4299" t="s">
        <v>42</v>
      </c>
      <c r="L4299" t="s">
        <v>610</v>
      </c>
      <c r="N4299" t="s">
        <v>611</v>
      </c>
      <c r="Q4299">
        <v>28246</v>
      </c>
      <c r="R4299" t="s">
        <v>119</v>
      </c>
      <c r="S4299" t="s">
        <v>13419</v>
      </c>
      <c r="T4299">
        <v>28</v>
      </c>
      <c r="U4299" s="2" t="s">
        <v>26181</v>
      </c>
      <c r="W4299" t="s">
        <v>360</v>
      </c>
      <c r="X4299">
        <v>838512</v>
      </c>
      <c r="Y4299" t="s">
        <v>26182</v>
      </c>
      <c r="Z4299" s="2" t="s">
        <v>26183</v>
      </c>
      <c r="AA4299" s="2" t="s">
        <v>26183</v>
      </c>
      <c r="AB4299" t="s">
        <v>26184</v>
      </c>
      <c r="AG4299" t="s">
        <v>26185</v>
      </c>
      <c r="AH4299" t="s">
        <v>14337</v>
      </c>
      <c r="AI4299" t="s">
        <v>26186</v>
      </c>
    </row>
    <row r="4300" spans="2:35" ht="360">
      <c r="B4300" s="1">
        <v>45435</v>
      </c>
      <c r="C4300" s="4">
        <v>45435.658333333333</v>
      </c>
      <c r="D4300" t="s">
        <v>21845</v>
      </c>
      <c r="E4300" t="s">
        <v>21846</v>
      </c>
      <c r="F4300">
        <v>3</v>
      </c>
      <c r="G4300" t="s">
        <v>219</v>
      </c>
      <c r="H4300" t="s">
        <v>39</v>
      </c>
      <c r="I4300" t="s">
        <v>40</v>
      </c>
      <c r="J4300" s="2" t="s">
        <v>190</v>
      </c>
      <c r="K4300" t="s">
        <v>42</v>
      </c>
      <c r="L4300" t="s">
        <v>135</v>
      </c>
      <c r="N4300" t="s">
        <v>136</v>
      </c>
      <c r="Q4300">
        <v>28245</v>
      </c>
      <c r="R4300" t="s">
        <v>119</v>
      </c>
      <c r="S4300" t="s">
        <v>21847</v>
      </c>
      <c r="T4300">
        <v>30</v>
      </c>
      <c r="U4300" s="2" t="s">
        <v>26187</v>
      </c>
      <c r="W4300" t="s">
        <v>2680</v>
      </c>
      <c r="X4300">
        <v>831608</v>
      </c>
      <c r="Y4300" s="2" t="s">
        <v>26188</v>
      </c>
      <c r="Z4300" t="s">
        <v>4315</v>
      </c>
      <c r="AA4300" s="2" t="s">
        <v>4316</v>
      </c>
      <c r="AB4300" s="2" t="s">
        <v>26189</v>
      </c>
      <c r="AG4300" t="s">
        <v>26190</v>
      </c>
      <c r="AH4300" t="s">
        <v>26191</v>
      </c>
      <c r="AI4300" t="s">
        <v>26192</v>
      </c>
    </row>
    <row r="4301" spans="2:35" ht="409.5">
      <c r="B4301" s="1">
        <v>45435</v>
      </c>
      <c r="C4301" s="4">
        <v>45434.581250000003</v>
      </c>
      <c r="D4301" t="s">
        <v>26193</v>
      </c>
      <c r="E4301" t="s">
        <v>26194</v>
      </c>
      <c r="F4301">
        <v>3</v>
      </c>
      <c r="G4301" t="s">
        <v>284</v>
      </c>
      <c r="H4301" t="s">
        <v>39</v>
      </c>
      <c r="I4301" t="s">
        <v>40</v>
      </c>
      <c r="J4301" s="2" t="s">
        <v>1309</v>
      </c>
      <c r="K4301" t="s">
        <v>42</v>
      </c>
      <c r="L4301" t="s">
        <v>135</v>
      </c>
      <c r="N4301" t="s">
        <v>136</v>
      </c>
      <c r="Q4301">
        <v>28244</v>
      </c>
      <c r="R4301" t="s">
        <v>45</v>
      </c>
      <c r="S4301" t="s">
        <v>26195</v>
      </c>
      <c r="T4301">
        <v>26</v>
      </c>
      <c r="U4301" s="2" t="s">
        <v>26196</v>
      </c>
      <c r="V4301" s="1">
        <v>45411</v>
      </c>
      <c r="W4301" t="s">
        <v>3418</v>
      </c>
      <c r="X4301">
        <v>835102</v>
      </c>
      <c r="Y4301" s="2" t="s">
        <v>26197</v>
      </c>
      <c r="Z4301" s="2" t="s">
        <v>26198</v>
      </c>
      <c r="AA4301" s="2" t="s">
        <v>26199</v>
      </c>
      <c r="AB4301" s="2" t="s">
        <v>26200</v>
      </c>
      <c r="AD4301" t="s">
        <v>26201</v>
      </c>
      <c r="AE4301">
        <v>47695</v>
      </c>
      <c r="AG4301" t="s">
        <v>26202</v>
      </c>
      <c r="AH4301" t="s">
        <v>26203</v>
      </c>
      <c r="AI4301" t="s">
        <v>26204</v>
      </c>
    </row>
    <row r="4302" spans="2:35" ht="270">
      <c r="B4302" s="1">
        <v>45435</v>
      </c>
      <c r="C4302" s="4">
        <v>45435.630555555559</v>
      </c>
      <c r="D4302" t="s">
        <v>22275</v>
      </c>
      <c r="E4302" t="s">
        <v>24423</v>
      </c>
      <c r="F4302">
        <v>5</v>
      </c>
      <c r="G4302" t="s">
        <v>759</v>
      </c>
      <c r="H4302" t="s">
        <v>39</v>
      </c>
      <c r="I4302" t="s">
        <v>40</v>
      </c>
      <c r="J4302" s="2" t="s">
        <v>1808</v>
      </c>
      <c r="K4302" t="s">
        <v>42</v>
      </c>
      <c r="L4302" t="s">
        <v>761</v>
      </c>
      <c r="N4302" t="s">
        <v>762</v>
      </c>
      <c r="O4302" t="s">
        <v>22277</v>
      </c>
      <c r="Q4302">
        <v>28243</v>
      </c>
      <c r="R4302" t="s">
        <v>45</v>
      </c>
      <c r="S4302" t="s">
        <v>26205</v>
      </c>
      <c r="T4302">
        <v>30</v>
      </c>
      <c r="W4302" t="s">
        <v>765</v>
      </c>
      <c r="X4302">
        <v>804257</v>
      </c>
      <c r="Y4302" t="s">
        <v>26206</v>
      </c>
      <c r="Z4302" s="2" t="s">
        <v>26207</v>
      </c>
      <c r="AA4302" t="s">
        <v>26208</v>
      </c>
      <c r="AB4302" t="s">
        <v>181</v>
      </c>
      <c r="AG4302" t="s">
        <v>26209</v>
      </c>
      <c r="AH4302" t="s">
        <v>22285</v>
      </c>
      <c r="AI4302" t="s">
        <v>26210</v>
      </c>
    </row>
    <row r="4303" spans="2:35" ht="120">
      <c r="B4303" s="1">
        <v>45435</v>
      </c>
      <c r="C4303" s="4">
        <v>45435.438194444447</v>
      </c>
      <c r="D4303" t="s">
        <v>23635</v>
      </c>
      <c r="E4303" t="s">
        <v>26211</v>
      </c>
      <c r="F4303" t="s">
        <v>148</v>
      </c>
      <c r="G4303" t="s">
        <v>310</v>
      </c>
      <c r="H4303" t="s">
        <v>39</v>
      </c>
      <c r="I4303" t="s">
        <v>40</v>
      </c>
      <c r="J4303" s="2" t="s">
        <v>190</v>
      </c>
      <c r="K4303" t="s">
        <v>42</v>
      </c>
      <c r="L4303" t="s">
        <v>1943</v>
      </c>
      <c r="N4303" t="s">
        <v>1944</v>
      </c>
      <c r="Q4303">
        <v>28242</v>
      </c>
      <c r="R4303" t="s">
        <v>119</v>
      </c>
      <c r="S4303" t="s">
        <v>23637</v>
      </c>
      <c r="T4303">
        <v>25</v>
      </c>
      <c r="W4303" t="s">
        <v>84</v>
      </c>
      <c r="X4303">
        <v>831620</v>
      </c>
      <c r="Y4303" t="s">
        <v>26212</v>
      </c>
      <c r="Z4303" t="s">
        <v>3775</v>
      </c>
      <c r="AA4303" s="2" t="s">
        <v>26213</v>
      </c>
      <c r="AB4303" t="s">
        <v>26214</v>
      </c>
      <c r="AG4303" t="s">
        <v>26215</v>
      </c>
      <c r="AH4303" t="s">
        <v>26216</v>
      </c>
      <c r="AI4303" t="s">
        <v>26217</v>
      </c>
    </row>
    <row r="4304" spans="2:35" ht="375">
      <c r="B4304" s="1">
        <v>45435</v>
      </c>
      <c r="C4304" s="4">
        <v>45434.67083333333</v>
      </c>
      <c r="D4304" t="s">
        <v>4379</v>
      </c>
      <c r="E4304" t="s">
        <v>18288</v>
      </c>
      <c r="F4304" t="s">
        <v>148</v>
      </c>
      <c r="G4304" t="s">
        <v>785</v>
      </c>
      <c r="H4304" t="s">
        <v>39</v>
      </c>
      <c r="I4304" t="s">
        <v>40</v>
      </c>
      <c r="J4304" s="2" t="s">
        <v>190</v>
      </c>
      <c r="K4304" t="s">
        <v>42</v>
      </c>
      <c r="L4304" t="s">
        <v>43</v>
      </c>
      <c r="N4304" t="s">
        <v>44</v>
      </c>
      <c r="O4304" t="s">
        <v>7369</v>
      </c>
      <c r="Q4304">
        <v>28241</v>
      </c>
      <c r="R4304" t="s">
        <v>322</v>
      </c>
      <c r="S4304" t="s">
        <v>4382</v>
      </c>
      <c r="T4304">
        <v>24</v>
      </c>
      <c r="U4304" s="2" t="s">
        <v>26218</v>
      </c>
      <c r="W4304" t="s">
        <v>3178</v>
      </c>
      <c r="X4304">
        <v>838627</v>
      </c>
      <c r="Y4304" t="s">
        <v>121</v>
      </c>
      <c r="Z4304" t="s">
        <v>122</v>
      </c>
      <c r="AA4304" s="2" t="s">
        <v>26219</v>
      </c>
      <c r="AB4304" t="s">
        <v>26220</v>
      </c>
      <c r="AG4304" t="s">
        <v>26221</v>
      </c>
      <c r="AH4304" t="s">
        <v>7010</v>
      </c>
      <c r="AI4304" t="s">
        <v>26222</v>
      </c>
    </row>
    <row r="4305" spans="2:35" ht="60">
      <c r="B4305" s="1">
        <v>45435</v>
      </c>
      <c r="C4305" s="4">
        <v>45435.620138888888</v>
      </c>
      <c r="D4305" t="s">
        <v>26223</v>
      </c>
      <c r="E4305" t="s">
        <v>26224</v>
      </c>
      <c r="F4305">
        <v>7</v>
      </c>
      <c r="G4305" t="s">
        <v>269</v>
      </c>
      <c r="H4305" t="s">
        <v>39</v>
      </c>
      <c r="I4305" t="s">
        <v>40</v>
      </c>
      <c r="J4305" s="2" t="s">
        <v>1808</v>
      </c>
      <c r="K4305" t="s">
        <v>42</v>
      </c>
      <c r="L4305" t="s">
        <v>594</v>
      </c>
      <c r="N4305" t="s">
        <v>595</v>
      </c>
      <c r="O4305" t="s">
        <v>595</v>
      </c>
      <c r="Q4305">
        <v>28240</v>
      </c>
      <c r="R4305" t="s">
        <v>45</v>
      </c>
      <c r="S4305" t="s">
        <v>22707</v>
      </c>
      <c r="T4305">
        <v>23</v>
      </c>
      <c r="W4305" t="s">
        <v>502</v>
      </c>
      <c r="X4305">
        <v>838857</v>
      </c>
      <c r="Y4305" t="s">
        <v>26225</v>
      </c>
      <c r="Z4305" t="s">
        <v>26226</v>
      </c>
      <c r="AA4305" t="s">
        <v>26227</v>
      </c>
      <c r="AB4305" t="s">
        <v>26228</v>
      </c>
      <c r="AG4305" t="s">
        <v>26229</v>
      </c>
      <c r="AH4305" t="s">
        <v>22709</v>
      </c>
      <c r="AI4305" t="s">
        <v>26230</v>
      </c>
    </row>
    <row r="4306" spans="2:35" ht="165">
      <c r="B4306" s="1">
        <v>45435</v>
      </c>
      <c r="C4306" s="4">
        <v>45435.604861111111</v>
      </c>
      <c r="D4306" t="s">
        <v>1713</v>
      </c>
      <c r="E4306" t="s">
        <v>1714</v>
      </c>
      <c r="F4306">
        <v>8</v>
      </c>
      <c r="G4306" t="s">
        <v>257</v>
      </c>
      <c r="H4306" t="s">
        <v>202</v>
      </c>
      <c r="I4306" t="s">
        <v>94</v>
      </c>
      <c r="J4306" s="2" t="s">
        <v>62</v>
      </c>
      <c r="K4306" t="s">
        <v>42</v>
      </c>
      <c r="L4306" t="s">
        <v>259</v>
      </c>
      <c r="N4306" t="s">
        <v>260</v>
      </c>
      <c r="Q4306">
        <v>28239</v>
      </c>
      <c r="R4306" t="s">
        <v>45</v>
      </c>
      <c r="S4306" t="s">
        <v>23388</v>
      </c>
      <c r="T4306">
        <v>33</v>
      </c>
      <c r="U4306" s="2" t="s">
        <v>26231</v>
      </c>
      <c r="V4306" s="1">
        <v>45435</v>
      </c>
      <c r="W4306" t="s">
        <v>84</v>
      </c>
      <c r="X4306">
        <v>804265</v>
      </c>
      <c r="Y4306" t="s">
        <v>67</v>
      </c>
      <c r="Z4306" t="e">
        <f ca="1">- CALIBRATION
- Preventive Maintenance</f>
        <v>#NAME?</v>
      </c>
      <c r="AA4306" t="e">
        <f ca="1">- performed XpertCheck
- performed Preventive Maintenance
- Generate reports</f>
        <v>#NAME?</v>
      </c>
      <c r="AB4306" s="2" t="s">
        <v>26232</v>
      </c>
      <c r="AG4306" t="s">
        <v>26233</v>
      </c>
      <c r="AH4306" t="s">
        <v>23392</v>
      </c>
      <c r="AI4306" t="s">
        <v>26234</v>
      </c>
    </row>
    <row r="4307" spans="2:35" ht="345">
      <c r="B4307" s="1">
        <v>45435</v>
      </c>
      <c r="C4307" s="4">
        <v>45435.586111111108</v>
      </c>
      <c r="D4307" t="s">
        <v>461</v>
      </c>
      <c r="E4307" t="s">
        <v>26235</v>
      </c>
      <c r="F4307" t="s">
        <v>148</v>
      </c>
      <c r="G4307" t="s">
        <v>447</v>
      </c>
      <c r="H4307" t="s">
        <v>39</v>
      </c>
      <c r="I4307" t="s">
        <v>40</v>
      </c>
      <c r="J4307" s="2" t="s">
        <v>62</v>
      </c>
      <c r="K4307" t="s">
        <v>42</v>
      </c>
      <c r="L4307" t="s">
        <v>15532</v>
      </c>
      <c r="N4307" t="s">
        <v>15533</v>
      </c>
      <c r="Q4307">
        <v>28238</v>
      </c>
      <c r="R4307" t="s">
        <v>45</v>
      </c>
      <c r="S4307" t="s">
        <v>26236</v>
      </c>
      <c r="T4307">
        <v>29</v>
      </c>
      <c r="U4307" s="2" t="s">
        <v>26237</v>
      </c>
      <c r="V4307" s="1">
        <v>45412</v>
      </c>
      <c r="W4307" t="s">
        <v>15535</v>
      </c>
      <c r="X4307">
        <v>814160</v>
      </c>
      <c r="Y4307" t="s">
        <v>21527</v>
      </c>
      <c r="Z4307" s="2" t="s">
        <v>26238</v>
      </c>
      <c r="AA4307" s="2" t="s">
        <v>26239</v>
      </c>
      <c r="AB4307" s="2" t="s">
        <v>26240</v>
      </c>
      <c r="AD4307" t="s">
        <v>7189</v>
      </c>
      <c r="AE4307" t="s">
        <v>26241</v>
      </c>
      <c r="AG4307" t="s">
        <v>26242</v>
      </c>
      <c r="AH4307" t="s">
        <v>470</v>
      </c>
      <c r="AI4307" t="s">
        <v>26243</v>
      </c>
    </row>
    <row r="4308" spans="2:35" ht="409.5">
      <c r="B4308" s="1">
        <v>45435</v>
      </c>
      <c r="C4308" s="4">
        <v>45435.513194444444</v>
      </c>
      <c r="D4308" t="s">
        <v>26244</v>
      </c>
      <c r="E4308" t="s">
        <v>26245</v>
      </c>
      <c r="F4308">
        <v>1</v>
      </c>
      <c r="G4308" t="s">
        <v>1046</v>
      </c>
      <c r="H4308" t="s">
        <v>39</v>
      </c>
      <c r="I4308" t="s">
        <v>40</v>
      </c>
      <c r="J4308" s="2" t="s">
        <v>26246</v>
      </c>
      <c r="K4308" t="s">
        <v>42</v>
      </c>
      <c r="L4308" t="s">
        <v>135</v>
      </c>
      <c r="N4308" t="s">
        <v>136</v>
      </c>
      <c r="Q4308">
        <v>28237</v>
      </c>
      <c r="R4308" t="s">
        <v>45</v>
      </c>
      <c r="S4308" t="s">
        <v>26247</v>
      </c>
      <c r="T4308">
        <v>30</v>
      </c>
      <c r="U4308" s="2" t="s">
        <v>26248</v>
      </c>
      <c r="W4308" t="s">
        <v>2680</v>
      </c>
      <c r="X4308">
        <v>87598</v>
      </c>
      <c r="Y4308" s="2" t="s">
        <v>26249</v>
      </c>
      <c r="Z4308" s="2" t="s">
        <v>26250</v>
      </c>
      <c r="AA4308" s="2" t="s">
        <v>26251</v>
      </c>
      <c r="AB4308" s="2" t="s">
        <v>26252</v>
      </c>
      <c r="AC4308" t="s">
        <v>26253</v>
      </c>
      <c r="AG4308" t="s">
        <v>26254</v>
      </c>
      <c r="AH4308" t="s">
        <v>26255</v>
      </c>
      <c r="AI4308" t="s">
        <v>26256</v>
      </c>
    </row>
    <row r="4309" spans="2:35" ht="315">
      <c r="B4309" s="1">
        <v>45435</v>
      </c>
      <c r="C4309" s="4">
        <v>45434.453472222223</v>
      </c>
      <c r="D4309" t="s">
        <v>26257</v>
      </c>
      <c r="E4309" t="s">
        <v>26258</v>
      </c>
      <c r="F4309">
        <v>12</v>
      </c>
      <c r="G4309" t="s">
        <v>2137</v>
      </c>
      <c r="H4309" t="s">
        <v>26259</v>
      </c>
      <c r="I4309" t="s">
        <v>94</v>
      </c>
      <c r="J4309" s="2" t="s">
        <v>41</v>
      </c>
      <c r="K4309" t="s">
        <v>42</v>
      </c>
      <c r="L4309" t="s">
        <v>296</v>
      </c>
      <c r="N4309" t="s">
        <v>297</v>
      </c>
      <c r="Q4309">
        <v>28236</v>
      </c>
      <c r="R4309" t="s">
        <v>45</v>
      </c>
      <c r="S4309" t="s">
        <v>26260</v>
      </c>
      <c r="T4309">
        <v>28.1</v>
      </c>
      <c r="U4309" s="2" t="s">
        <v>9356</v>
      </c>
      <c r="V4309" s="1">
        <v>45434</v>
      </c>
      <c r="W4309" t="s">
        <v>26261</v>
      </c>
      <c r="X4309">
        <v>835182</v>
      </c>
      <c r="Y4309" t="s">
        <v>16363</v>
      </c>
      <c r="Z4309" s="2" t="s">
        <v>26262</v>
      </c>
      <c r="AA4309" s="2" t="s">
        <v>22231</v>
      </c>
      <c r="AB4309" t="s">
        <v>16070</v>
      </c>
      <c r="AD4309" t="s">
        <v>26263</v>
      </c>
      <c r="AE4309" t="s">
        <v>26264</v>
      </c>
      <c r="AG4309" t="s">
        <v>26265</v>
      </c>
      <c r="AH4309" t="s">
        <v>26266</v>
      </c>
      <c r="AI4309" t="s">
        <v>26267</v>
      </c>
    </row>
    <row r="4310" spans="2:35" ht="195">
      <c r="B4310" s="1">
        <v>45435</v>
      </c>
      <c r="C4310" s="4">
        <v>45435.524305555555</v>
      </c>
      <c r="D4310" t="s">
        <v>26268</v>
      </c>
      <c r="E4310" t="s">
        <v>26269</v>
      </c>
      <c r="F4310">
        <v>13</v>
      </c>
      <c r="G4310" t="s">
        <v>7763</v>
      </c>
      <c r="H4310" t="s">
        <v>2125</v>
      </c>
      <c r="I4310" t="s">
        <v>40</v>
      </c>
      <c r="J4310" s="2" t="s">
        <v>41</v>
      </c>
      <c r="K4310" t="s">
        <v>42</v>
      </c>
      <c r="L4310" t="s">
        <v>933</v>
      </c>
      <c r="N4310" t="s">
        <v>934</v>
      </c>
      <c r="Q4310">
        <v>28235</v>
      </c>
      <c r="R4310" t="s">
        <v>45</v>
      </c>
      <c r="S4310" t="s">
        <v>26270</v>
      </c>
      <c r="T4310">
        <v>23.35</v>
      </c>
      <c r="U4310" s="2" t="s">
        <v>26271</v>
      </c>
      <c r="W4310" t="s">
        <v>10610</v>
      </c>
      <c r="X4310">
        <v>815436</v>
      </c>
      <c r="Y4310" s="2" t="s">
        <v>26272</v>
      </c>
      <c r="Z4310" t="s">
        <v>2129</v>
      </c>
      <c r="AA4310" s="2" t="s">
        <v>26273</v>
      </c>
      <c r="AB4310" t="s">
        <v>2131</v>
      </c>
      <c r="AC4310" t="s">
        <v>26274</v>
      </c>
      <c r="AG4310" t="s">
        <v>26275</v>
      </c>
      <c r="AH4310" t="s">
        <v>26276</v>
      </c>
      <c r="AI4310" t="s">
        <v>26277</v>
      </c>
    </row>
    <row r="4311" spans="2:35" ht="409.5">
      <c r="B4311" s="1">
        <v>45435</v>
      </c>
      <c r="C4311" s="4">
        <v>45435.527083333334</v>
      </c>
      <c r="D4311" t="s">
        <v>1462</v>
      </c>
      <c r="E4311" t="s">
        <v>26278</v>
      </c>
      <c r="F4311">
        <v>11</v>
      </c>
      <c r="G4311" t="s">
        <v>201</v>
      </c>
      <c r="H4311" t="s">
        <v>202</v>
      </c>
      <c r="I4311" t="s">
        <v>94</v>
      </c>
      <c r="J4311" s="2" t="s">
        <v>1309</v>
      </c>
      <c r="K4311" t="s">
        <v>42</v>
      </c>
      <c r="L4311" t="s">
        <v>204</v>
      </c>
      <c r="N4311" t="s">
        <v>205</v>
      </c>
      <c r="Q4311">
        <v>28234</v>
      </c>
      <c r="R4311" t="s">
        <v>45</v>
      </c>
      <c r="S4311" t="s">
        <v>26279</v>
      </c>
      <c r="T4311">
        <v>27.6</v>
      </c>
      <c r="U4311" s="2" t="s">
        <v>26280</v>
      </c>
      <c r="W4311" t="s">
        <v>26281</v>
      </c>
      <c r="X4311">
        <v>835222</v>
      </c>
      <c r="Y4311" s="2" t="s">
        <v>26282</v>
      </c>
      <c r="Z4311" s="2" t="s">
        <v>26283</v>
      </c>
      <c r="AA4311" s="2" t="s">
        <v>26284</v>
      </c>
      <c r="AB4311" t="s">
        <v>1211</v>
      </c>
      <c r="AG4311" t="s">
        <v>26285</v>
      </c>
      <c r="AH4311" t="s">
        <v>26286</v>
      </c>
      <c r="AI4311" t="s">
        <v>26287</v>
      </c>
    </row>
    <row r="4312" spans="2:35" ht="375">
      <c r="B4312" s="1">
        <v>45435</v>
      </c>
      <c r="C4312" s="4">
        <v>45435.493750000001</v>
      </c>
      <c r="D4312" t="s">
        <v>255</v>
      </c>
      <c r="E4312" t="s">
        <v>26288</v>
      </c>
      <c r="F4312">
        <v>8</v>
      </c>
      <c r="G4312" t="s">
        <v>257</v>
      </c>
      <c r="H4312" t="s">
        <v>202</v>
      </c>
      <c r="I4312" t="s">
        <v>94</v>
      </c>
      <c r="J4312" s="2" t="s">
        <v>41</v>
      </c>
      <c r="K4312" t="s">
        <v>42</v>
      </c>
      <c r="L4312" t="s">
        <v>259</v>
      </c>
      <c r="N4312" t="s">
        <v>260</v>
      </c>
      <c r="Q4312">
        <v>28233</v>
      </c>
      <c r="R4312" t="s">
        <v>45</v>
      </c>
      <c r="S4312" t="s">
        <v>261</v>
      </c>
      <c r="T4312">
        <v>29</v>
      </c>
      <c r="U4312" s="2" t="s">
        <v>26289</v>
      </c>
      <c r="V4312" s="1">
        <v>45435</v>
      </c>
      <c r="W4312" t="s">
        <v>84</v>
      </c>
      <c r="X4312">
        <v>834824</v>
      </c>
      <c r="Y4312" t="s">
        <v>26290</v>
      </c>
      <c r="Z4312" t="e">
        <f ca="1">- module Replacement
- Preventive Maintenance</f>
        <v>#NAME?</v>
      </c>
      <c r="AA4312" s="2" t="s">
        <v>26291</v>
      </c>
      <c r="AB4312" t="s">
        <v>181</v>
      </c>
      <c r="AD4312" t="s">
        <v>26292</v>
      </c>
      <c r="AE4312" t="s">
        <v>45</v>
      </c>
      <c r="AG4312" t="s">
        <v>26293</v>
      </c>
      <c r="AH4312" t="s">
        <v>26294</v>
      </c>
      <c r="AI4312" t="s">
        <v>26295</v>
      </c>
    </row>
    <row r="4313" spans="2:35" ht="60">
      <c r="B4313" s="1">
        <v>45435</v>
      </c>
      <c r="C4313" s="4">
        <v>45435.495138888888</v>
      </c>
      <c r="D4313" t="s">
        <v>26296</v>
      </c>
      <c r="E4313" t="s">
        <v>26297</v>
      </c>
      <c r="F4313">
        <v>7</v>
      </c>
      <c r="G4313" t="s">
        <v>269</v>
      </c>
      <c r="H4313" t="s">
        <v>39</v>
      </c>
      <c r="I4313" t="s">
        <v>40</v>
      </c>
      <c r="J4313" s="2" t="s">
        <v>1808</v>
      </c>
      <c r="K4313" t="s">
        <v>42</v>
      </c>
      <c r="L4313" t="s">
        <v>594</v>
      </c>
      <c r="N4313" t="s">
        <v>595</v>
      </c>
      <c r="O4313" t="s">
        <v>595</v>
      </c>
      <c r="Q4313">
        <v>28232</v>
      </c>
      <c r="R4313" t="s">
        <v>45</v>
      </c>
      <c r="S4313" t="s">
        <v>26298</v>
      </c>
      <c r="T4313">
        <v>23</v>
      </c>
      <c r="V4313" s="1">
        <v>45435</v>
      </c>
      <c r="W4313" t="s">
        <v>502</v>
      </c>
      <c r="X4313">
        <v>815463</v>
      </c>
      <c r="Y4313" t="s">
        <v>26299</v>
      </c>
      <c r="Z4313" t="s">
        <v>26300</v>
      </c>
      <c r="AA4313" t="s">
        <v>26301</v>
      </c>
      <c r="AB4313" t="s">
        <v>26302</v>
      </c>
      <c r="AG4313" t="s">
        <v>26303</v>
      </c>
      <c r="AH4313" t="s">
        <v>26304</v>
      </c>
      <c r="AI4313" t="s">
        <v>26305</v>
      </c>
    </row>
    <row r="4314" spans="2:35" ht="105">
      <c r="B4314" s="1">
        <v>45435</v>
      </c>
      <c r="C4314" s="4">
        <v>45435.479861111111</v>
      </c>
      <c r="D4314" t="s">
        <v>26306</v>
      </c>
      <c r="E4314" t="s">
        <v>23957</v>
      </c>
      <c r="F4314">
        <v>7</v>
      </c>
      <c r="G4314" t="s">
        <v>269</v>
      </c>
      <c r="H4314" t="s">
        <v>1047</v>
      </c>
      <c r="I4314" t="s">
        <v>94</v>
      </c>
      <c r="J4314" t="s">
        <v>996</v>
      </c>
      <c r="K4314" t="s">
        <v>42</v>
      </c>
      <c r="L4314" t="s">
        <v>23958</v>
      </c>
      <c r="N4314" t="s">
        <v>23959</v>
      </c>
      <c r="Q4314">
        <v>28231</v>
      </c>
      <c r="R4314" t="s">
        <v>45</v>
      </c>
      <c r="S4314" t="s">
        <v>23960</v>
      </c>
      <c r="T4314">
        <v>26</v>
      </c>
      <c r="U4314" s="2" t="s">
        <v>21570</v>
      </c>
      <c r="W4314" t="s">
        <v>360</v>
      </c>
      <c r="X4314">
        <v>808282</v>
      </c>
      <c r="Y4314" t="s">
        <v>26307</v>
      </c>
      <c r="Z4314" t="s">
        <v>26308</v>
      </c>
      <c r="AA4314" t="s">
        <v>26309</v>
      </c>
      <c r="AB4314" t="s">
        <v>26310</v>
      </c>
      <c r="AG4314" t="s">
        <v>26311</v>
      </c>
      <c r="AH4314" t="s">
        <v>26312</v>
      </c>
      <c r="AI4314" t="s">
        <v>26313</v>
      </c>
    </row>
    <row r="4315" spans="2:35" ht="105">
      <c r="B4315" s="1">
        <v>45435</v>
      </c>
      <c r="C4315" s="4">
        <v>45435.453472222223</v>
      </c>
      <c r="D4315" t="s">
        <v>26145</v>
      </c>
      <c r="E4315" t="s">
        <v>26146</v>
      </c>
      <c r="F4315">
        <v>9</v>
      </c>
      <c r="G4315" t="s">
        <v>2197</v>
      </c>
      <c r="H4315" t="s">
        <v>39</v>
      </c>
      <c r="I4315" t="s">
        <v>40</v>
      </c>
      <c r="J4315" s="2" t="s">
        <v>17375</v>
      </c>
      <c r="K4315" t="s">
        <v>42</v>
      </c>
      <c r="L4315" t="s">
        <v>1257</v>
      </c>
      <c r="N4315" t="s">
        <v>2199</v>
      </c>
      <c r="O4315" t="s">
        <v>1258</v>
      </c>
      <c r="Q4315">
        <v>28230</v>
      </c>
      <c r="R4315" t="s">
        <v>719</v>
      </c>
      <c r="S4315" t="s">
        <v>26147</v>
      </c>
      <c r="T4315">
        <v>28</v>
      </c>
      <c r="U4315" s="2" t="s">
        <v>26148</v>
      </c>
      <c r="V4315" s="1">
        <v>45435</v>
      </c>
      <c r="W4315" t="s">
        <v>2384</v>
      </c>
      <c r="X4315">
        <v>847250</v>
      </c>
      <c r="Y4315" t="s">
        <v>26149</v>
      </c>
      <c r="Z4315" t="s">
        <v>26150</v>
      </c>
      <c r="AA4315" t="s">
        <v>25079</v>
      </c>
      <c r="AB4315" t="s">
        <v>7411</v>
      </c>
      <c r="AC4315" t="s">
        <v>301</v>
      </c>
      <c r="AD4315" t="s">
        <v>54</v>
      </c>
      <c r="AE4315" t="s">
        <v>54</v>
      </c>
      <c r="AG4315" t="s">
        <v>26314</v>
      </c>
      <c r="AH4315" t="s">
        <v>26152</v>
      </c>
      <c r="AI4315" t="s">
        <v>26315</v>
      </c>
    </row>
    <row r="4316" spans="2:35" ht="105">
      <c r="B4316" s="1">
        <v>45435</v>
      </c>
      <c r="C4316" s="4">
        <v>45435.453472222223</v>
      </c>
      <c r="D4316" t="s">
        <v>26145</v>
      </c>
      <c r="E4316" t="s">
        <v>26146</v>
      </c>
      <c r="F4316">
        <v>9</v>
      </c>
      <c r="G4316" t="s">
        <v>2197</v>
      </c>
      <c r="H4316" t="s">
        <v>39</v>
      </c>
      <c r="I4316" t="s">
        <v>40</v>
      </c>
      <c r="J4316" s="2" t="s">
        <v>17375</v>
      </c>
      <c r="K4316" t="s">
        <v>42</v>
      </c>
      <c r="L4316" t="s">
        <v>1257</v>
      </c>
      <c r="N4316" t="s">
        <v>2199</v>
      </c>
      <c r="O4316" t="s">
        <v>1258</v>
      </c>
      <c r="Q4316">
        <v>28229</v>
      </c>
      <c r="R4316" t="s">
        <v>719</v>
      </c>
      <c r="S4316" t="s">
        <v>26147</v>
      </c>
      <c r="T4316">
        <v>28</v>
      </c>
      <c r="U4316" s="2" t="s">
        <v>26148</v>
      </c>
      <c r="V4316" s="1">
        <v>45435</v>
      </c>
      <c r="W4316" t="s">
        <v>2384</v>
      </c>
      <c r="X4316">
        <v>847250</v>
      </c>
      <c r="Y4316" t="s">
        <v>26149</v>
      </c>
      <c r="Z4316" t="s">
        <v>26150</v>
      </c>
      <c r="AA4316" t="s">
        <v>25079</v>
      </c>
      <c r="AB4316" t="s">
        <v>7411</v>
      </c>
      <c r="AC4316" t="s">
        <v>301</v>
      </c>
      <c r="AD4316" t="s">
        <v>54</v>
      </c>
      <c r="AE4316" t="s">
        <v>54</v>
      </c>
      <c r="AG4316" t="s">
        <v>26316</v>
      </c>
      <c r="AH4316" t="s">
        <v>26152</v>
      </c>
      <c r="AI4316" t="s">
        <v>26317</v>
      </c>
    </row>
    <row r="4317" spans="2:35" ht="210">
      <c r="B4317" s="1">
        <v>45435</v>
      </c>
      <c r="C4317" s="4">
        <v>45435.454861111109</v>
      </c>
      <c r="D4317" t="s">
        <v>1004</v>
      </c>
      <c r="E4317" t="s">
        <v>1005</v>
      </c>
      <c r="F4317">
        <v>7</v>
      </c>
      <c r="G4317" t="s">
        <v>432</v>
      </c>
      <c r="H4317" t="s">
        <v>39</v>
      </c>
      <c r="I4317" t="s">
        <v>40</v>
      </c>
      <c r="J4317" s="2" t="s">
        <v>14104</v>
      </c>
      <c r="K4317" t="s">
        <v>42</v>
      </c>
      <c r="L4317" t="s">
        <v>433</v>
      </c>
      <c r="N4317" t="s">
        <v>434</v>
      </c>
      <c r="Q4317">
        <v>28228</v>
      </c>
      <c r="R4317" t="s">
        <v>45</v>
      </c>
      <c r="S4317" t="s">
        <v>1007</v>
      </c>
      <c r="T4317">
        <v>26</v>
      </c>
      <c r="W4317" t="s">
        <v>1008</v>
      </c>
      <c r="X4317">
        <v>120000494</v>
      </c>
      <c r="Y4317" s="2" t="s">
        <v>26318</v>
      </c>
      <c r="Z4317" s="2" t="s">
        <v>26319</v>
      </c>
      <c r="AA4317" t="s">
        <v>26320</v>
      </c>
      <c r="AB4317" t="s">
        <v>1011</v>
      </c>
      <c r="AG4317" t="s">
        <v>26321</v>
      </c>
      <c r="AH4317" t="s">
        <v>1013</v>
      </c>
      <c r="AI4317" t="s">
        <v>26322</v>
      </c>
    </row>
    <row r="4318" spans="2:35" ht="409.5">
      <c r="B4318" s="1">
        <v>45435</v>
      </c>
      <c r="C4318" s="4">
        <v>45435.418749999997</v>
      </c>
      <c r="D4318" t="s">
        <v>26323</v>
      </c>
      <c r="E4318" t="s">
        <v>26324</v>
      </c>
      <c r="F4318" t="s">
        <v>148</v>
      </c>
      <c r="G4318" t="s">
        <v>447</v>
      </c>
      <c r="H4318" t="s">
        <v>26325</v>
      </c>
      <c r="I4318" t="s">
        <v>40</v>
      </c>
      <c r="J4318" s="2" t="s">
        <v>190</v>
      </c>
      <c r="K4318" t="s">
        <v>42</v>
      </c>
      <c r="L4318" t="s">
        <v>15532</v>
      </c>
      <c r="N4318" t="s">
        <v>15533</v>
      </c>
      <c r="Q4318">
        <v>28227</v>
      </c>
      <c r="R4318" t="s">
        <v>119</v>
      </c>
      <c r="S4318" t="s">
        <v>21928</v>
      </c>
      <c r="T4318">
        <v>25</v>
      </c>
      <c r="U4318" s="2" t="s">
        <v>24292</v>
      </c>
      <c r="W4318" t="s">
        <v>15535</v>
      </c>
      <c r="X4318">
        <v>831597</v>
      </c>
      <c r="Y4318" s="2" t="s">
        <v>26326</v>
      </c>
      <c r="Z4318" s="2" t="s">
        <v>26327</v>
      </c>
      <c r="AA4318" s="2" t="s">
        <v>26328</v>
      </c>
      <c r="AB4318" s="2" t="s">
        <v>26329</v>
      </c>
      <c r="AG4318" t="s">
        <v>26330</v>
      </c>
      <c r="AH4318" t="s">
        <v>26331</v>
      </c>
      <c r="AI4318" t="s">
        <v>26332</v>
      </c>
    </row>
    <row r="4319" spans="2:35" ht="409.5">
      <c r="B4319" s="1">
        <v>45435</v>
      </c>
      <c r="C4319" s="4">
        <v>45435.415277777778</v>
      </c>
      <c r="D4319" t="s">
        <v>26333</v>
      </c>
      <c r="E4319" t="s">
        <v>26334</v>
      </c>
      <c r="F4319" t="s">
        <v>148</v>
      </c>
      <c r="G4319" t="s">
        <v>310</v>
      </c>
      <c r="H4319" t="s">
        <v>26335</v>
      </c>
      <c r="I4319" t="s">
        <v>40</v>
      </c>
      <c r="J4319" s="2" t="s">
        <v>41</v>
      </c>
      <c r="K4319" t="s">
        <v>42</v>
      </c>
      <c r="L4319" t="s">
        <v>1943</v>
      </c>
      <c r="N4319" t="s">
        <v>1944</v>
      </c>
      <c r="Q4319">
        <v>28226</v>
      </c>
      <c r="R4319" t="s">
        <v>119</v>
      </c>
      <c r="S4319" t="s">
        <v>26336</v>
      </c>
      <c r="T4319">
        <v>25</v>
      </c>
      <c r="V4319" s="1">
        <v>45435</v>
      </c>
      <c r="W4319" t="s">
        <v>84</v>
      </c>
      <c r="X4319">
        <v>831871</v>
      </c>
      <c r="Y4319" s="2" t="s">
        <v>13309</v>
      </c>
      <c r="Z4319" t="s">
        <v>1947</v>
      </c>
      <c r="AA4319" s="2" t="s">
        <v>1948</v>
      </c>
      <c r="AB4319" t="s">
        <v>88</v>
      </c>
      <c r="AD4319" t="s">
        <v>26337</v>
      </c>
      <c r="AE4319" t="s">
        <v>11329</v>
      </c>
      <c r="AG4319" t="s">
        <v>26338</v>
      </c>
      <c r="AH4319" t="s">
        <v>26339</v>
      </c>
      <c r="AI4319" t="s">
        <v>26340</v>
      </c>
    </row>
    <row r="4320" spans="2:35" ht="105">
      <c r="B4320" s="1">
        <v>45434</v>
      </c>
      <c r="C4320" s="4">
        <v>45434.894444444442</v>
      </c>
      <c r="D4320" t="s">
        <v>16538</v>
      </c>
      <c r="E4320" t="s">
        <v>16539</v>
      </c>
      <c r="F4320">
        <v>7</v>
      </c>
      <c r="G4320" t="s">
        <v>432</v>
      </c>
      <c r="H4320" t="s">
        <v>608</v>
      </c>
      <c r="I4320" t="s">
        <v>94</v>
      </c>
      <c r="J4320" t="s">
        <v>525</v>
      </c>
      <c r="K4320" t="s">
        <v>42</v>
      </c>
      <c r="L4320" t="s">
        <v>610</v>
      </c>
      <c r="N4320" t="s">
        <v>611</v>
      </c>
      <c r="Q4320">
        <v>28225</v>
      </c>
      <c r="R4320" t="s">
        <v>45</v>
      </c>
      <c r="S4320" t="s">
        <v>16540</v>
      </c>
      <c r="T4320">
        <v>35</v>
      </c>
      <c r="U4320" s="2" t="s">
        <v>1509</v>
      </c>
      <c r="W4320" t="s">
        <v>360</v>
      </c>
      <c r="X4320">
        <v>110020263</v>
      </c>
      <c r="Y4320" t="s">
        <v>26341</v>
      </c>
      <c r="Z4320" t="s">
        <v>26342</v>
      </c>
      <c r="AA4320" t="s">
        <v>26342</v>
      </c>
      <c r="AB4320" t="s">
        <v>26343</v>
      </c>
      <c r="AG4320" t="s">
        <v>26344</v>
      </c>
      <c r="AH4320" t="s">
        <v>26345</v>
      </c>
      <c r="AI4320" t="s">
        <v>26346</v>
      </c>
    </row>
    <row r="4321" spans="2:35" ht="300">
      <c r="B4321" s="1">
        <v>45434</v>
      </c>
      <c r="C4321" s="4">
        <v>45434.875</v>
      </c>
      <c r="D4321" t="s">
        <v>16538</v>
      </c>
      <c r="E4321" t="s">
        <v>16539</v>
      </c>
      <c r="F4321">
        <v>7</v>
      </c>
      <c r="G4321" t="s">
        <v>432</v>
      </c>
      <c r="H4321" t="s">
        <v>608</v>
      </c>
      <c r="I4321" t="s">
        <v>40</v>
      </c>
      <c r="J4321" t="s">
        <v>109</v>
      </c>
      <c r="K4321" t="s">
        <v>42</v>
      </c>
      <c r="L4321" t="s">
        <v>610</v>
      </c>
      <c r="N4321" t="s">
        <v>611</v>
      </c>
      <c r="Q4321">
        <v>28224</v>
      </c>
      <c r="R4321" t="s">
        <v>119</v>
      </c>
      <c r="S4321" t="s">
        <v>16540</v>
      </c>
      <c r="T4321">
        <v>25</v>
      </c>
      <c r="U4321" s="2" t="s">
        <v>3070</v>
      </c>
      <c r="W4321" t="s">
        <v>360</v>
      </c>
      <c r="X4321">
        <v>838283</v>
      </c>
      <c r="Y4321" s="2" t="s">
        <v>26347</v>
      </c>
      <c r="Z4321" s="2" t="s">
        <v>26347</v>
      </c>
      <c r="AA4321" s="2" t="s">
        <v>23232</v>
      </c>
      <c r="AB4321" t="s">
        <v>26348</v>
      </c>
      <c r="AG4321" t="s">
        <v>26349</v>
      </c>
      <c r="AH4321" t="s">
        <v>26345</v>
      </c>
      <c r="AI4321" t="s">
        <v>26350</v>
      </c>
    </row>
    <row r="4322" spans="2:35" ht="409.5">
      <c r="B4322" s="1">
        <v>45434</v>
      </c>
      <c r="C4322" s="4">
        <v>45434.864583333336</v>
      </c>
      <c r="D4322" t="s">
        <v>24124</v>
      </c>
      <c r="E4322" t="s">
        <v>3432</v>
      </c>
      <c r="F4322">
        <v>7</v>
      </c>
      <c r="G4322" t="s">
        <v>432</v>
      </c>
      <c r="H4322" t="s">
        <v>608</v>
      </c>
      <c r="I4322" t="s">
        <v>94</v>
      </c>
      <c r="J4322" t="s">
        <v>79</v>
      </c>
      <c r="K4322" t="s">
        <v>42</v>
      </c>
      <c r="L4322" t="s">
        <v>610</v>
      </c>
      <c r="N4322" t="s">
        <v>611</v>
      </c>
      <c r="Q4322">
        <v>28223</v>
      </c>
      <c r="R4322" t="s">
        <v>45</v>
      </c>
      <c r="S4322" t="s">
        <v>3433</v>
      </c>
      <c r="T4322">
        <v>30</v>
      </c>
      <c r="U4322" s="2" t="s">
        <v>26351</v>
      </c>
      <c r="W4322">
        <v>807588</v>
      </c>
      <c r="X4322">
        <v>210093378</v>
      </c>
      <c r="Y4322" t="s">
        <v>26352</v>
      </c>
      <c r="Z4322" s="2" t="s">
        <v>26353</v>
      </c>
      <c r="AA4322" s="2" t="s">
        <v>26354</v>
      </c>
      <c r="AB4322" s="2" t="s">
        <v>26355</v>
      </c>
      <c r="AG4322" t="s">
        <v>26356</v>
      </c>
      <c r="AH4322" t="s">
        <v>24129</v>
      </c>
      <c r="AI4322" t="s">
        <v>26357</v>
      </c>
    </row>
    <row r="4323" spans="2:35" ht="255">
      <c r="B4323" s="1">
        <v>45434</v>
      </c>
      <c r="C4323" s="4">
        <v>45434.629861111112</v>
      </c>
      <c r="D4323" t="s">
        <v>2176</v>
      </c>
      <c r="E4323" t="s">
        <v>2177</v>
      </c>
      <c r="F4323" t="s">
        <v>148</v>
      </c>
      <c r="G4323" t="s">
        <v>447</v>
      </c>
      <c r="H4323" t="s">
        <v>2581</v>
      </c>
      <c r="I4323" t="s">
        <v>40</v>
      </c>
      <c r="J4323" t="s">
        <v>79</v>
      </c>
      <c r="K4323" t="s">
        <v>42</v>
      </c>
      <c r="L4323" t="s">
        <v>448</v>
      </c>
      <c r="N4323" t="s">
        <v>650</v>
      </c>
      <c r="Q4323">
        <v>28222</v>
      </c>
      <c r="R4323" t="s">
        <v>322</v>
      </c>
      <c r="S4323" t="s">
        <v>2582</v>
      </c>
      <c r="T4323">
        <v>26</v>
      </c>
      <c r="U4323" s="2" t="s">
        <v>26358</v>
      </c>
      <c r="V4323" s="1">
        <v>45433</v>
      </c>
      <c r="W4323" t="s">
        <v>4268</v>
      </c>
      <c r="X4323">
        <v>110014085</v>
      </c>
      <c r="Y4323" t="s">
        <v>26359</v>
      </c>
      <c r="Z4323" s="2" t="s">
        <v>2585</v>
      </c>
      <c r="AA4323" t="s">
        <v>5712</v>
      </c>
      <c r="AB4323" t="s">
        <v>4741</v>
      </c>
      <c r="AD4323" t="s">
        <v>26360</v>
      </c>
      <c r="AE4323">
        <v>11541</v>
      </c>
      <c r="AG4323" t="s">
        <v>26361</v>
      </c>
      <c r="AH4323" t="s">
        <v>2588</v>
      </c>
      <c r="AI4323" t="s">
        <v>26362</v>
      </c>
    </row>
    <row r="4324" spans="2:35" ht="409.5">
      <c r="B4324" s="1">
        <v>45434</v>
      </c>
      <c r="C4324" s="4">
        <v>45434.693055555559</v>
      </c>
      <c r="D4324" t="s">
        <v>2697</v>
      </c>
      <c r="E4324" t="s">
        <v>26363</v>
      </c>
      <c r="F4324">
        <v>3</v>
      </c>
      <c r="G4324" t="s">
        <v>284</v>
      </c>
      <c r="H4324" t="s">
        <v>39</v>
      </c>
      <c r="I4324" t="s">
        <v>40</v>
      </c>
      <c r="J4324" s="2" t="s">
        <v>1157</v>
      </c>
      <c r="K4324" t="s">
        <v>42</v>
      </c>
      <c r="L4324" t="s">
        <v>135</v>
      </c>
      <c r="N4324" t="s">
        <v>136</v>
      </c>
      <c r="Q4324">
        <v>28221</v>
      </c>
      <c r="R4324" t="s">
        <v>45</v>
      </c>
      <c r="S4324" t="s">
        <v>26364</v>
      </c>
      <c r="T4324">
        <v>30</v>
      </c>
      <c r="U4324" s="2" t="s">
        <v>26365</v>
      </c>
      <c r="V4324" s="1">
        <v>45411</v>
      </c>
      <c r="W4324" t="s">
        <v>2680</v>
      </c>
      <c r="X4324">
        <v>807561</v>
      </c>
      <c r="Y4324" s="2" t="s">
        <v>26366</v>
      </c>
      <c r="Z4324" s="2" t="s">
        <v>26367</v>
      </c>
      <c r="AA4324" s="2" t="s">
        <v>9290</v>
      </c>
      <c r="AB4324" s="2" t="s">
        <v>26368</v>
      </c>
      <c r="AD4324" t="s">
        <v>26369</v>
      </c>
      <c r="AE4324">
        <v>47697</v>
      </c>
      <c r="AG4324" t="s">
        <v>26370</v>
      </c>
      <c r="AH4324" t="s">
        <v>26371</v>
      </c>
      <c r="AI4324" t="s">
        <v>26372</v>
      </c>
    </row>
    <row r="4325" spans="2:35">
      <c r="B4325" s="1">
        <v>45434</v>
      </c>
      <c r="C4325" s="4">
        <v>45434.646527777775</v>
      </c>
      <c r="D4325" t="s">
        <v>26373</v>
      </c>
      <c r="E4325" t="s">
        <v>26374</v>
      </c>
      <c r="F4325">
        <v>13</v>
      </c>
      <c r="G4325" t="s">
        <v>8524</v>
      </c>
      <c r="H4325" t="s">
        <v>39</v>
      </c>
      <c r="I4325" t="s">
        <v>40</v>
      </c>
      <c r="J4325" t="s">
        <v>321</v>
      </c>
      <c r="K4325" t="s">
        <v>42</v>
      </c>
      <c r="L4325" t="s">
        <v>933</v>
      </c>
      <c r="N4325" t="s">
        <v>934</v>
      </c>
      <c r="Q4325">
        <v>28220</v>
      </c>
      <c r="R4325" t="s">
        <v>45</v>
      </c>
      <c r="S4325" t="s">
        <v>26375</v>
      </c>
      <c r="T4325">
        <v>30</v>
      </c>
      <c r="W4325" t="s">
        <v>3662</v>
      </c>
      <c r="X4325">
        <v>804255</v>
      </c>
      <c r="Y4325" t="s">
        <v>301</v>
      </c>
      <c r="Z4325" t="s">
        <v>301</v>
      </c>
      <c r="AA4325" t="s">
        <v>26376</v>
      </c>
      <c r="AB4325" t="s">
        <v>2131</v>
      </c>
      <c r="AG4325" t="s">
        <v>26377</v>
      </c>
      <c r="AH4325" t="s">
        <v>26378</v>
      </c>
      <c r="AI4325" t="s">
        <v>26379</v>
      </c>
    </row>
    <row r="4326" spans="2:35" ht="375">
      <c r="B4326" s="1">
        <v>45434</v>
      </c>
      <c r="C4326" s="4">
        <v>45434.656944444447</v>
      </c>
      <c r="D4326" t="s">
        <v>25030</v>
      </c>
      <c r="E4326" t="s">
        <v>26380</v>
      </c>
      <c r="F4326" t="s">
        <v>148</v>
      </c>
      <c r="G4326" t="s">
        <v>20126</v>
      </c>
      <c r="H4326" t="s">
        <v>39</v>
      </c>
      <c r="I4326" t="s">
        <v>40</v>
      </c>
      <c r="J4326" t="s">
        <v>109</v>
      </c>
      <c r="K4326" t="s">
        <v>42</v>
      </c>
      <c r="L4326" t="s">
        <v>15532</v>
      </c>
      <c r="N4326" t="s">
        <v>15533</v>
      </c>
      <c r="Q4326">
        <v>28219</v>
      </c>
      <c r="R4326" t="s">
        <v>119</v>
      </c>
      <c r="S4326" t="s">
        <v>22337</v>
      </c>
      <c r="T4326">
        <v>25</v>
      </c>
      <c r="U4326" s="2" t="s">
        <v>11002</v>
      </c>
      <c r="W4326" t="s">
        <v>15535</v>
      </c>
      <c r="X4326">
        <v>831700</v>
      </c>
      <c r="Y4326" t="s">
        <v>15536</v>
      </c>
      <c r="Z4326" s="2" t="s">
        <v>26381</v>
      </c>
      <c r="AA4326" s="2" t="s">
        <v>26382</v>
      </c>
      <c r="AB4326" s="2" t="s">
        <v>26383</v>
      </c>
      <c r="AG4326" t="s">
        <v>26384</v>
      </c>
      <c r="AH4326" t="s">
        <v>22342</v>
      </c>
      <c r="AI4326" t="s">
        <v>26385</v>
      </c>
    </row>
    <row r="4327" spans="2:35" ht="330">
      <c r="B4327" s="1">
        <v>45434</v>
      </c>
      <c r="C4327" s="4">
        <v>45434.65902777778</v>
      </c>
      <c r="D4327" t="s">
        <v>26386</v>
      </c>
      <c r="E4327" t="s">
        <v>26387</v>
      </c>
      <c r="F4327">
        <v>7</v>
      </c>
      <c r="G4327" t="s">
        <v>6529</v>
      </c>
      <c r="H4327" t="s">
        <v>10969</v>
      </c>
      <c r="I4327" t="s">
        <v>40</v>
      </c>
      <c r="J4327" t="s">
        <v>79</v>
      </c>
      <c r="K4327" t="s">
        <v>42</v>
      </c>
      <c r="L4327" t="s">
        <v>1288</v>
      </c>
      <c r="N4327" t="s">
        <v>1289</v>
      </c>
      <c r="Q4327">
        <v>28218</v>
      </c>
      <c r="R4327" t="s">
        <v>119</v>
      </c>
      <c r="S4327" t="s">
        <v>26388</v>
      </c>
      <c r="T4327">
        <v>26</v>
      </c>
      <c r="U4327" s="2" t="s">
        <v>26389</v>
      </c>
      <c r="W4327" t="s">
        <v>1292</v>
      </c>
      <c r="X4327">
        <v>820228</v>
      </c>
      <c r="Y4327" t="e">
        <f ca="1">-_xludf.For module B1 Replacement</f>
        <v>#NAME?</v>
      </c>
      <c r="Z4327" t="s">
        <v>9107</v>
      </c>
      <c r="AA4327" s="2" t="s">
        <v>26390</v>
      </c>
      <c r="AB4327" t="s">
        <v>1293</v>
      </c>
      <c r="AG4327" t="s">
        <v>26391</v>
      </c>
      <c r="AH4327" t="s">
        <v>26392</v>
      </c>
      <c r="AI4327" t="s">
        <v>26393</v>
      </c>
    </row>
    <row r="4328" spans="2:35" ht="270">
      <c r="B4328" s="1">
        <v>45434</v>
      </c>
      <c r="C4328" s="4">
        <v>45434.619444444441</v>
      </c>
      <c r="D4328" t="s">
        <v>22809</v>
      </c>
      <c r="E4328" t="s">
        <v>26394</v>
      </c>
      <c r="F4328" t="s">
        <v>148</v>
      </c>
      <c r="G4328" t="s">
        <v>544</v>
      </c>
      <c r="H4328" t="s">
        <v>39</v>
      </c>
      <c r="I4328" t="s">
        <v>40</v>
      </c>
      <c r="J4328" s="2" t="s">
        <v>62</v>
      </c>
      <c r="K4328" t="s">
        <v>42</v>
      </c>
      <c r="L4328" t="s">
        <v>43</v>
      </c>
      <c r="N4328" t="s">
        <v>44</v>
      </c>
      <c r="Q4328">
        <v>28217</v>
      </c>
      <c r="R4328" t="s">
        <v>45</v>
      </c>
      <c r="S4328" t="s">
        <v>26395</v>
      </c>
      <c r="T4328">
        <v>25</v>
      </c>
      <c r="U4328" s="2" t="s">
        <v>26396</v>
      </c>
      <c r="W4328" t="s">
        <v>48</v>
      </c>
      <c r="X4328">
        <v>807982</v>
      </c>
      <c r="Y4328" t="s">
        <v>1111</v>
      </c>
      <c r="Z4328" t="s">
        <v>1519</v>
      </c>
      <c r="AA4328" s="2" t="s">
        <v>21243</v>
      </c>
      <c r="AB4328" t="s">
        <v>26397</v>
      </c>
      <c r="AG4328" t="s">
        <v>26398</v>
      </c>
      <c r="AH4328" t="s">
        <v>26399</v>
      </c>
      <c r="AI4328" t="s">
        <v>26400</v>
      </c>
    </row>
    <row r="4329" spans="2:35" ht="225">
      <c r="B4329" s="1">
        <v>45434</v>
      </c>
      <c r="C4329" s="4">
        <v>45434.652777777781</v>
      </c>
      <c r="D4329" t="s">
        <v>22809</v>
      </c>
      <c r="E4329" t="s">
        <v>26394</v>
      </c>
      <c r="F4329" t="s">
        <v>148</v>
      </c>
      <c r="G4329" t="s">
        <v>544</v>
      </c>
      <c r="H4329" t="s">
        <v>39</v>
      </c>
      <c r="I4329" t="s">
        <v>40</v>
      </c>
      <c r="J4329" t="s">
        <v>109</v>
      </c>
      <c r="K4329" t="s">
        <v>42</v>
      </c>
      <c r="L4329" t="s">
        <v>43</v>
      </c>
      <c r="N4329" t="s">
        <v>44</v>
      </c>
      <c r="Q4329">
        <v>28216</v>
      </c>
      <c r="R4329" t="s">
        <v>45</v>
      </c>
      <c r="S4329" t="s">
        <v>22810</v>
      </c>
      <c r="T4329">
        <v>20</v>
      </c>
      <c r="U4329" s="2" t="s">
        <v>26401</v>
      </c>
      <c r="W4329" t="s">
        <v>3178</v>
      </c>
      <c r="X4329">
        <v>844113</v>
      </c>
      <c r="Y4329" t="s">
        <v>121</v>
      </c>
      <c r="Z4329" t="s">
        <v>122</v>
      </c>
      <c r="AA4329" s="2" t="s">
        <v>123</v>
      </c>
      <c r="AB4329" t="s">
        <v>26402</v>
      </c>
      <c r="AG4329" t="s">
        <v>26403</v>
      </c>
      <c r="AH4329" t="s">
        <v>22815</v>
      </c>
      <c r="AI4329" t="s">
        <v>26404</v>
      </c>
    </row>
    <row r="4330" spans="2:35" ht="210">
      <c r="B4330" s="1">
        <v>45434</v>
      </c>
      <c r="C4330" s="4">
        <v>45434.634027777778</v>
      </c>
      <c r="D4330" t="s">
        <v>26405</v>
      </c>
      <c r="E4330" t="s">
        <v>26406</v>
      </c>
      <c r="F4330">
        <v>5</v>
      </c>
      <c r="G4330" t="s">
        <v>814</v>
      </c>
      <c r="H4330" t="s">
        <v>39</v>
      </c>
      <c r="I4330" t="s">
        <v>40</v>
      </c>
      <c r="J4330" s="2" t="s">
        <v>41</v>
      </c>
      <c r="K4330" t="s">
        <v>42</v>
      </c>
      <c r="L4330" t="s">
        <v>761</v>
      </c>
      <c r="N4330" t="s">
        <v>762</v>
      </c>
      <c r="Q4330">
        <v>28215</v>
      </c>
      <c r="R4330" t="s">
        <v>45</v>
      </c>
      <c r="S4330" t="s">
        <v>26407</v>
      </c>
      <c r="T4330">
        <v>26</v>
      </c>
      <c r="W4330" t="s">
        <v>26408</v>
      </c>
      <c r="X4330">
        <v>835200</v>
      </c>
      <c r="Y4330" t="s">
        <v>962</v>
      </c>
      <c r="Z4330" s="2" t="s">
        <v>26409</v>
      </c>
      <c r="AA4330" s="2" t="s">
        <v>21579</v>
      </c>
      <c r="AB4330" t="s">
        <v>70</v>
      </c>
      <c r="AG4330" t="s">
        <v>26410</v>
      </c>
      <c r="AH4330" t="s">
        <v>26411</v>
      </c>
      <c r="AI4330" t="s">
        <v>26412</v>
      </c>
    </row>
    <row r="4331" spans="2:35" ht="409.5">
      <c r="B4331" s="1">
        <v>45434</v>
      </c>
      <c r="C4331" s="4">
        <v>45434.615277777775</v>
      </c>
      <c r="D4331" t="s">
        <v>26413</v>
      </c>
      <c r="E4331" t="s">
        <v>26414</v>
      </c>
      <c r="F4331">
        <v>11</v>
      </c>
      <c r="G4331" t="s">
        <v>1759</v>
      </c>
      <c r="H4331" t="s">
        <v>202</v>
      </c>
      <c r="I4331" t="s">
        <v>94</v>
      </c>
      <c r="J4331" s="2" t="s">
        <v>1592</v>
      </c>
      <c r="K4331" t="s">
        <v>42</v>
      </c>
      <c r="L4331" t="s">
        <v>204</v>
      </c>
      <c r="N4331" t="s">
        <v>205</v>
      </c>
      <c r="Q4331">
        <v>28214</v>
      </c>
      <c r="R4331" t="s">
        <v>719</v>
      </c>
      <c r="S4331" t="s">
        <v>26415</v>
      </c>
      <c r="T4331">
        <v>24.6</v>
      </c>
      <c r="U4331" s="2" t="s">
        <v>26416</v>
      </c>
      <c r="W4331" t="s">
        <v>23237</v>
      </c>
      <c r="X4331">
        <v>847253</v>
      </c>
      <c r="Y4331" s="2" t="s">
        <v>26417</v>
      </c>
      <c r="Z4331" s="2" t="s">
        <v>26418</v>
      </c>
      <c r="AA4331" s="2" t="s">
        <v>26419</v>
      </c>
      <c r="AB4331" s="2" t="s">
        <v>26420</v>
      </c>
      <c r="AC4331" t="s">
        <v>26421</v>
      </c>
      <c r="AG4331" t="s">
        <v>26422</v>
      </c>
      <c r="AH4331" t="s">
        <v>26423</v>
      </c>
      <c r="AI4331" t="s">
        <v>26424</v>
      </c>
    </row>
    <row r="4332" spans="2:35" ht="255">
      <c r="B4332" s="1">
        <v>45434</v>
      </c>
      <c r="C4332" s="4">
        <v>45434.618055555555</v>
      </c>
      <c r="D4332" t="s">
        <v>26425</v>
      </c>
      <c r="E4332" t="s">
        <v>26426</v>
      </c>
      <c r="F4332" t="s">
        <v>148</v>
      </c>
      <c r="G4332" t="s">
        <v>4786</v>
      </c>
      <c r="H4332" t="s">
        <v>39</v>
      </c>
      <c r="I4332" t="s">
        <v>40</v>
      </c>
      <c r="J4332" t="s">
        <v>321</v>
      </c>
      <c r="K4332" t="s">
        <v>42</v>
      </c>
      <c r="L4332" t="s">
        <v>1028</v>
      </c>
      <c r="N4332" t="s">
        <v>1029</v>
      </c>
      <c r="Q4332">
        <v>28213</v>
      </c>
      <c r="R4332" t="s">
        <v>45</v>
      </c>
      <c r="S4332" t="s">
        <v>26427</v>
      </c>
      <c r="T4332">
        <v>24</v>
      </c>
      <c r="W4332" t="s">
        <v>1032</v>
      </c>
      <c r="X4332">
        <v>120000486</v>
      </c>
      <c r="Y4332" t="s">
        <v>3763</v>
      </c>
      <c r="Z4332" t="s">
        <v>3764</v>
      </c>
      <c r="AA4332" s="2" t="s">
        <v>26428</v>
      </c>
      <c r="AB4332" t="s">
        <v>3300</v>
      </c>
      <c r="AG4332" t="s">
        <v>26429</v>
      </c>
      <c r="AH4332" t="s">
        <v>26430</v>
      </c>
      <c r="AI4332" t="s">
        <v>26431</v>
      </c>
    </row>
    <row r="4333" spans="2:35" ht="210">
      <c r="B4333" s="1">
        <v>45434</v>
      </c>
      <c r="C4333" s="4">
        <v>45434.445138888892</v>
      </c>
      <c r="D4333" t="s">
        <v>2449</v>
      </c>
      <c r="E4333" t="s">
        <v>26432</v>
      </c>
      <c r="F4333" t="s">
        <v>148</v>
      </c>
      <c r="G4333" t="s">
        <v>1964</v>
      </c>
      <c r="H4333" t="s">
        <v>39</v>
      </c>
      <c r="I4333" t="s">
        <v>40</v>
      </c>
      <c r="J4333" t="s">
        <v>79</v>
      </c>
      <c r="K4333" t="s">
        <v>42</v>
      </c>
      <c r="L4333" t="s">
        <v>1028</v>
      </c>
      <c r="N4333" t="s">
        <v>1029</v>
      </c>
      <c r="Q4333">
        <v>28212</v>
      </c>
      <c r="R4333" t="s">
        <v>119</v>
      </c>
      <c r="S4333" t="s">
        <v>2451</v>
      </c>
      <c r="T4333">
        <v>27</v>
      </c>
      <c r="U4333" s="2" t="s">
        <v>26433</v>
      </c>
      <c r="W4333" t="s">
        <v>1967</v>
      </c>
      <c r="X4333">
        <v>831898</v>
      </c>
      <c r="Y4333" t="s">
        <v>26434</v>
      </c>
      <c r="Z4333" t="s">
        <v>1034</v>
      </c>
      <c r="AA4333" s="2" t="s">
        <v>26435</v>
      </c>
      <c r="AB4333" t="s">
        <v>3300</v>
      </c>
      <c r="AC4333" t="s">
        <v>26436</v>
      </c>
      <c r="AG4333" t="s">
        <v>26437</v>
      </c>
      <c r="AH4333" t="s">
        <v>2458</v>
      </c>
      <c r="AI4333" t="s">
        <v>26438</v>
      </c>
    </row>
    <row r="4334" spans="2:35" ht="180">
      <c r="B4334" s="1">
        <v>45434</v>
      </c>
      <c r="C4334" s="4">
        <v>45434.558333333334</v>
      </c>
      <c r="D4334" t="s">
        <v>6667</v>
      </c>
      <c r="E4334" t="s">
        <v>370</v>
      </c>
      <c r="F4334" t="s">
        <v>148</v>
      </c>
      <c r="G4334" t="s">
        <v>371</v>
      </c>
      <c r="H4334" t="s">
        <v>39</v>
      </c>
      <c r="I4334" t="s">
        <v>40</v>
      </c>
      <c r="J4334" t="s">
        <v>109</v>
      </c>
      <c r="K4334" t="s">
        <v>42</v>
      </c>
      <c r="L4334" t="s">
        <v>175</v>
      </c>
      <c r="N4334" t="s">
        <v>176</v>
      </c>
      <c r="O4334" t="s">
        <v>5518</v>
      </c>
      <c r="Q4334">
        <v>28211</v>
      </c>
      <c r="R4334" t="s">
        <v>703</v>
      </c>
      <c r="S4334" t="s">
        <v>5519</v>
      </c>
      <c r="T4334">
        <v>22</v>
      </c>
      <c r="U4334" s="2" t="s">
        <v>26439</v>
      </c>
      <c r="W4334" t="s">
        <v>84</v>
      </c>
      <c r="X4334">
        <v>110018008</v>
      </c>
      <c r="Y4334" t="s">
        <v>374</v>
      </c>
      <c r="Z4334" t="s">
        <v>103</v>
      </c>
      <c r="AA4334" t="e">
        <f ca="1">- checked cartridge bay, plunger rod, _xludf.filter
- scanned system _xludf.Log _xludf.For hardware errors (None)
- generated reports
- performed self test on available modules</f>
        <v>#NAME?</v>
      </c>
      <c r="AB4334" s="2" t="s">
        <v>17317</v>
      </c>
      <c r="AG4334" t="s">
        <v>26440</v>
      </c>
      <c r="AH4334" t="s">
        <v>5521</v>
      </c>
      <c r="AI4334" t="s">
        <v>26441</v>
      </c>
    </row>
    <row r="4335" spans="2:35" ht="390">
      <c r="B4335" s="1">
        <v>45434</v>
      </c>
      <c r="C4335" s="4">
        <v>45434.518750000003</v>
      </c>
      <c r="D4335" t="s">
        <v>26442</v>
      </c>
      <c r="E4335" t="s">
        <v>15186</v>
      </c>
      <c r="F4335">
        <v>3</v>
      </c>
      <c r="G4335" t="s">
        <v>284</v>
      </c>
      <c r="H4335" t="s">
        <v>8015</v>
      </c>
      <c r="I4335" t="s">
        <v>40</v>
      </c>
      <c r="J4335" s="2" t="s">
        <v>41</v>
      </c>
      <c r="K4335" t="s">
        <v>42</v>
      </c>
      <c r="L4335" t="s">
        <v>135</v>
      </c>
      <c r="N4335" t="s">
        <v>136</v>
      </c>
      <c r="O4335" t="s">
        <v>136</v>
      </c>
      <c r="Q4335">
        <v>28210</v>
      </c>
      <c r="R4335" t="s">
        <v>45</v>
      </c>
      <c r="S4335" t="s">
        <v>136</v>
      </c>
      <c r="T4335">
        <v>26</v>
      </c>
      <c r="U4335" s="2" t="s">
        <v>26443</v>
      </c>
      <c r="W4335" t="s">
        <v>2680</v>
      </c>
      <c r="X4335">
        <v>834433</v>
      </c>
      <c r="Y4335" s="2" t="s">
        <v>26444</v>
      </c>
      <c r="Z4335" s="2" t="s">
        <v>20701</v>
      </c>
      <c r="AA4335" s="2" t="s">
        <v>5713</v>
      </c>
      <c r="AB4335" s="2" t="s">
        <v>26445</v>
      </c>
      <c r="AG4335" t="s">
        <v>26446</v>
      </c>
      <c r="AH4335" t="s">
        <v>15193</v>
      </c>
      <c r="AI4335" t="s">
        <v>26447</v>
      </c>
    </row>
    <row r="4336" spans="2:35" ht="315">
      <c r="B4336" s="1">
        <v>45434</v>
      </c>
      <c r="C4336" s="4">
        <v>45434.496527777781</v>
      </c>
      <c r="D4336" t="s">
        <v>4814</v>
      </c>
      <c r="E4336" t="s">
        <v>26448</v>
      </c>
      <c r="F4336" t="s">
        <v>148</v>
      </c>
      <c r="G4336" t="s">
        <v>785</v>
      </c>
      <c r="H4336" t="s">
        <v>39</v>
      </c>
      <c r="I4336" t="s">
        <v>40</v>
      </c>
      <c r="J4336" t="s">
        <v>321</v>
      </c>
      <c r="K4336" t="s">
        <v>42</v>
      </c>
      <c r="L4336" t="s">
        <v>43</v>
      </c>
      <c r="N4336" t="s">
        <v>44</v>
      </c>
      <c r="Q4336">
        <v>28209</v>
      </c>
      <c r="R4336" t="s">
        <v>45</v>
      </c>
      <c r="S4336" t="s">
        <v>26449</v>
      </c>
      <c r="T4336">
        <v>20</v>
      </c>
      <c r="W4336" t="s">
        <v>153</v>
      </c>
      <c r="X4336">
        <v>120000495</v>
      </c>
      <c r="Y4336" t="s">
        <v>750</v>
      </c>
      <c r="Z4336" t="s">
        <v>2931</v>
      </c>
      <c r="AA4336" s="2" t="s">
        <v>26450</v>
      </c>
      <c r="AB4336" t="s">
        <v>26451</v>
      </c>
      <c r="AC4336" t="s">
        <v>26452</v>
      </c>
      <c r="AG4336" t="s">
        <v>26453</v>
      </c>
      <c r="AH4336" t="s">
        <v>4820</v>
      </c>
      <c r="AI4336" t="s">
        <v>26454</v>
      </c>
    </row>
    <row r="4337" spans="2:35" ht="210">
      <c r="B4337" s="1">
        <v>45434</v>
      </c>
      <c r="C4337" s="4">
        <v>45434.48333333333</v>
      </c>
      <c r="D4337" t="s">
        <v>22763</v>
      </c>
      <c r="E4337" t="s">
        <v>22764</v>
      </c>
      <c r="F4337" t="s">
        <v>148</v>
      </c>
      <c r="G4337" t="s">
        <v>22765</v>
      </c>
      <c r="H4337" t="s">
        <v>39</v>
      </c>
      <c r="I4337" t="s">
        <v>40</v>
      </c>
      <c r="J4337" s="2" t="s">
        <v>190</v>
      </c>
      <c r="K4337" t="s">
        <v>42</v>
      </c>
      <c r="L4337" t="s">
        <v>175</v>
      </c>
      <c r="N4337" t="s">
        <v>176</v>
      </c>
      <c r="Q4337">
        <v>28206</v>
      </c>
      <c r="R4337" t="s">
        <v>45</v>
      </c>
      <c r="S4337" t="s">
        <v>22766</v>
      </c>
      <c r="T4337">
        <v>28</v>
      </c>
      <c r="U4337" s="2" t="s">
        <v>26455</v>
      </c>
      <c r="W4337" t="s">
        <v>84</v>
      </c>
      <c r="X4337">
        <v>804715</v>
      </c>
      <c r="Y4337" t="e">
        <f ca="1">- Unit _xludf.For Maintenance
- temperature errors on B2, B4</f>
        <v>#NAME?</v>
      </c>
      <c r="Z4337" t="s">
        <v>103</v>
      </c>
      <c r="AA4337" t="e">
        <f ca="1">- checked cartridge bay, plunger rod, _xludf.filter
- perfromed self tests on B2, B4
- generated reports
- performed functionality test</f>
        <v>#NAME?</v>
      </c>
      <c r="AB4337" s="2" t="s">
        <v>26456</v>
      </c>
      <c r="AG4337" t="s">
        <v>26457</v>
      </c>
      <c r="AH4337" t="s">
        <v>22771</v>
      </c>
      <c r="AI4337" t="s">
        <v>26458</v>
      </c>
    </row>
    <row r="4338" spans="2:35" ht="210">
      <c r="B4338" s="1">
        <v>45434</v>
      </c>
      <c r="C4338" s="4">
        <v>45433.472222222219</v>
      </c>
      <c r="D4338" t="s">
        <v>26459</v>
      </c>
      <c r="E4338" t="s">
        <v>3570</v>
      </c>
      <c r="F4338">
        <v>3</v>
      </c>
      <c r="G4338" t="s">
        <v>174</v>
      </c>
      <c r="H4338" t="s">
        <v>39</v>
      </c>
      <c r="I4338" t="s">
        <v>40</v>
      </c>
      <c r="J4338" s="2" t="s">
        <v>62</v>
      </c>
      <c r="K4338" t="s">
        <v>42</v>
      </c>
      <c r="L4338" t="s">
        <v>175</v>
      </c>
      <c r="N4338" t="s">
        <v>176</v>
      </c>
      <c r="Q4338">
        <v>28208</v>
      </c>
      <c r="R4338" t="s">
        <v>45</v>
      </c>
      <c r="S4338" t="s">
        <v>26460</v>
      </c>
      <c r="T4338">
        <v>25</v>
      </c>
      <c r="U4338" s="2" t="s">
        <v>26461</v>
      </c>
      <c r="W4338" t="s">
        <v>84</v>
      </c>
      <c r="X4338">
        <v>807620</v>
      </c>
      <c r="Y4338" s="2" t="s">
        <v>26462</v>
      </c>
      <c r="Z4338" t="e">
        <f ca="1">- CPU already Repaired by Cepheid Engineer
- cleaned _xludf.filter
- performed XpertCheck</f>
        <v>#NAME?</v>
      </c>
      <c r="AA4338" t="e">
        <f ca="1">- checked _xludf.and cleaned cartridge bay, plunger rod, _xludf.filter, icore slot
- performed XpertCheck
- generated reports</f>
        <v>#NAME?</v>
      </c>
      <c r="AB4338" s="2" t="s">
        <v>26463</v>
      </c>
      <c r="AG4338" t="s">
        <v>26464</v>
      </c>
      <c r="AH4338" t="s">
        <v>26465</v>
      </c>
      <c r="AI4338" t="s">
        <v>26466</v>
      </c>
    </row>
    <row r="4339" spans="2:35" ht="210">
      <c r="B4339" s="1">
        <v>45434</v>
      </c>
      <c r="C4339" s="4">
        <v>45433.476388888892</v>
      </c>
      <c r="D4339" t="s">
        <v>26467</v>
      </c>
      <c r="E4339" t="s">
        <v>3570</v>
      </c>
      <c r="F4339">
        <v>3</v>
      </c>
      <c r="G4339" t="s">
        <v>174</v>
      </c>
      <c r="H4339" t="s">
        <v>39</v>
      </c>
      <c r="I4339" t="s">
        <v>40</v>
      </c>
      <c r="J4339" s="2" t="s">
        <v>62</v>
      </c>
      <c r="K4339" t="s">
        <v>42</v>
      </c>
      <c r="L4339" t="s">
        <v>175</v>
      </c>
      <c r="N4339" t="s">
        <v>176</v>
      </c>
      <c r="Q4339">
        <v>28207</v>
      </c>
      <c r="R4339" t="s">
        <v>45</v>
      </c>
      <c r="S4339" t="s">
        <v>26460</v>
      </c>
      <c r="T4339">
        <v>25</v>
      </c>
      <c r="U4339" s="2" t="s">
        <v>26468</v>
      </c>
      <c r="W4339" t="s">
        <v>84</v>
      </c>
      <c r="X4339">
        <v>814161</v>
      </c>
      <c r="Y4339" s="2" t="s">
        <v>26469</v>
      </c>
      <c r="Z4339" t="s">
        <v>375</v>
      </c>
      <c r="AA4339" t="e">
        <f ca="1">- checked _xludf.and cleaned cartridge bay, plunger rod, _xludf.filter, icore slot
- performed XpertCheck
- generated reports</f>
        <v>#NAME?</v>
      </c>
      <c r="AB4339" s="2" t="s">
        <v>26470</v>
      </c>
      <c r="AG4339" t="s">
        <v>26471</v>
      </c>
      <c r="AH4339" t="s">
        <v>26465</v>
      </c>
      <c r="AI4339" t="s">
        <v>26472</v>
      </c>
    </row>
    <row r="4340" spans="2:35" ht="409.5">
      <c r="B4340" s="1">
        <v>45434</v>
      </c>
      <c r="C4340" s="4">
        <v>45434.481944444444</v>
      </c>
      <c r="D4340" t="s">
        <v>22463</v>
      </c>
      <c r="E4340" t="s">
        <v>26473</v>
      </c>
      <c r="F4340" t="s">
        <v>148</v>
      </c>
      <c r="G4340" t="s">
        <v>310</v>
      </c>
      <c r="H4340" t="s">
        <v>39</v>
      </c>
      <c r="I4340" t="s">
        <v>40</v>
      </c>
      <c r="J4340" s="2" t="s">
        <v>41</v>
      </c>
      <c r="K4340" t="s">
        <v>42</v>
      </c>
      <c r="L4340" t="s">
        <v>1943</v>
      </c>
      <c r="N4340" t="s">
        <v>1944</v>
      </c>
      <c r="Q4340">
        <v>28204</v>
      </c>
      <c r="R4340" t="s">
        <v>45</v>
      </c>
      <c r="S4340" t="s">
        <v>22465</v>
      </c>
      <c r="T4340">
        <v>25</v>
      </c>
      <c r="V4340" s="1">
        <v>45434</v>
      </c>
      <c r="W4340" t="s">
        <v>84</v>
      </c>
      <c r="X4340">
        <v>808619</v>
      </c>
      <c r="Y4340" s="2" t="s">
        <v>26474</v>
      </c>
      <c r="Z4340" t="s">
        <v>26475</v>
      </c>
      <c r="AA4340" s="2" t="s">
        <v>26476</v>
      </c>
      <c r="AB4340" t="s">
        <v>88</v>
      </c>
      <c r="AD4340" t="s">
        <v>26477</v>
      </c>
      <c r="AE4340" t="s">
        <v>11329</v>
      </c>
      <c r="AG4340" t="s">
        <v>26478</v>
      </c>
      <c r="AH4340" t="s">
        <v>22469</v>
      </c>
      <c r="AI4340" t="s">
        <v>26479</v>
      </c>
    </row>
    <row r="4341" spans="2:35" ht="409.5">
      <c r="B4341" s="1">
        <v>45434</v>
      </c>
      <c r="C4341" s="4">
        <v>45434.487500000003</v>
      </c>
      <c r="D4341" t="s">
        <v>22463</v>
      </c>
      <c r="E4341" t="s">
        <v>26473</v>
      </c>
      <c r="F4341" t="s">
        <v>148</v>
      </c>
      <c r="G4341" t="s">
        <v>310</v>
      </c>
      <c r="H4341" t="s">
        <v>39</v>
      </c>
      <c r="I4341" t="s">
        <v>40</v>
      </c>
      <c r="J4341" t="s">
        <v>109</v>
      </c>
      <c r="K4341" t="s">
        <v>42</v>
      </c>
      <c r="L4341" t="s">
        <v>1943</v>
      </c>
      <c r="N4341" t="s">
        <v>1944</v>
      </c>
      <c r="Q4341">
        <v>28205</v>
      </c>
      <c r="R4341" t="s">
        <v>45</v>
      </c>
      <c r="S4341" t="s">
        <v>22465</v>
      </c>
      <c r="T4341">
        <v>25</v>
      </c>
      <c r="W4341" t="s">
        <v>84</v>
      </c>
      <c r="X4341">
        <v>814376</v>
      </c>
      <c r="Y4341" t="s">
        <v>2099</v>
      </c>
      <c r="Z4341" t="s">
        <v>2100</v>
      </c>
      <c r="AA4341" s="2" t="s">
        <v>2101</v>
      </c>
      <c r="AB4341" t="s">
        <v>88</v>
      </c>
      <c r="AG4341" t="s">
        <v>26480</v>
      </c>
      <c r="AH4341" t="s">
        <v>22469</v>
      </c>
      <c r="AI4341" t="s">
        <v>26481</v>
      </c>
    </row>
    <row r="4342" spans="2:35" ht="165">
      <c r="B4342" s="1">
        <v>45434</v>
      </c>
      <c r="C4342" s="4">
        <v>45434.447916666664</v>
      </c>
      <c r="D4342" t="s">
        <v>26482</v>
      </c>
      <c r="E4342" t="s">
        <v>9865</v>
      </c>
      <c r="F4342">
        <v>7</v>
      </c>
      <c r="G4342" t="s">
        <v>432</v>
      </c>
      <c r="H4342" t="s">
        <v>39</v>
      </c>
      <c r="I4342" t="s">
        <v>40</v>
      </c>
      <c r="J4342" s="2" t="s">
        <v>62</v>
      </c>
      <c r="K4342" t="s">
        <v>42</v>
      </c>
      <c r="L4342" t="s">
        <v>433</v>
      </c>
      <c r="N4342" t="s">
        <v>434</v>
      </c>
      <c r="Q4342">
        <v>28203</v>
      </c>
      <c r="R4342" t="s">
        <v>45</v>
      </c>
      <c r="S4342" t="s">
        <v>1818</v>
      </c>
      <c r="T4342">
        <v>28</v>
      </c>
      <c r="W4342" t="s">
        <v>502</v>
      </c>
      <c r="X4342">
        <v>838882</v>
      </c>
      <c r="Y4342" t="s">
        <v>26483</v>
      </c>
      <c r="Z4342" s="2" t="s">
        <v>26484</v>
      </c>
      <c r="AA4342" s="2" t="s">
        <v>26484</v>
      </c>
      <c r="AB4342" t="s">
        <v>8019</v>
      </c>
      <c r="AG4342" t="s">
        <v>26485</v>
      </c>
      <c r="AH4342" t="s">
        <v>1823</v>
      </c>
      <c r="AI4342" t="s">
        <v>26486</v>
      </c>
    </row>
    <row r="4343" spans="2:35" ht="210">
      <c r="B4343" s="1">
        <v>45434</v>
      </c>
      <c r="C4343" s="4">
        <v>45434.452777777777</v>
      </c>
      <c r="D4343" t="s">
        <v>26487</v>
      </c>
      <c r="E4343" t="s">
        <v>8060</v>
      </c>
      <c r="F4343">
        <v>7</v>
      </c>
      <c r="G4343" t="s">
        <v>432</v>
      </c>
      <c r="H4343" t="s">
        <v>39</v>
      </c>
      <c r="I4343" t="s">
        <v>40</v>
      </c>
      <c r="J4343" s="2" t="s">
        <v>62</v>
      </c>
      <c r="K4343" t="s">
        <v>42</v>
      </c>
      <c r="L4343" t="s">
        <v>433</v>
      </c>
      <c r="N4343" t="s">
        <v>434</v>
      </c>
      <c r="Q4343">
        <v>28202</v>
      </c>
      <c r="R4343" t="s">
        <v>45</v>
      </c>
      <c r="S4343" t="s">
        <v>1818</v>
      </c>
      <c r="T4343">
        <v>28</v>
      </c>
      <c r="W4343" t="s">
        <v>502</v>
      </c>
      <c r="X4343">
        <v>808620</v>
      </c>
      <c r="Y4343" t="s">
        <v>26488</v>
      </c>
      <c r="Z4343" s="2" t="s">
        <v>26489</v>
      </c>
      <c r="AA4343" s="2" t="s">
        <v>26489</v>
      </c>
      <c r="AB4343" t="s">
        <v>26490</v>
      </c>
      <c r="AG4343" t="s">
        <v>26491</v>
      </c>
      <c r="AH4343" t="s">
        <v>1823</v>
      </c>
      <c r="AI4343" t="s">
        <v>26492</v>
      </c>
    </row>
    <row r="4344" spans="2:35" ht="409.5">
      <c r="B4344" s="1">
        <v>45434</v>
      </c>
      <c r="C4344" s="4">
        <v>45434.398611111108</v>
      </c>
      <c r="D4344" t="s">
        <v>23134</v>
      </c>
      <c r="E4344" t="s">
        <v>26493</v>
      </c>
      <c r="F4344" t="s">
        <v>148</v>
      </c>
      <c r="G4344" t="s">
        <v>310</v>
      </c>
      <c r="H4344" t="s">
        <v>295</v>
      </c>
      <c r="I4344" t="s">
        <v>40</v>
      </c>
      <c r="J4344" t="s">
        <v>109</v>
      </c>
      <c r="K4344" t="s">
        <v>42</v>
      </c>
      <c r="L4344" t="s">
        <v>1943</v>
      </c>
      <c r="N4344" t="s">
        <v>1944</v>
      </c>
      <c r="Q4344">
        <v>28201</v>
      </c>
      <c r="R4344" t="s">
        <v>45</v>
      </c>
      <c r="S4344" t="s">
        <v>23136</v>
      </c>
      <c r="T4344">
        <v>25</v>
      </c>
      <c r="W4344" t="s">
        <v>895</v>
      </c>
      <c r="X4344">
        <v>844121</v>
      </c>
      <c r="Y4344" t="s">
        <v>2099</v>
      </c>
      <c r="Z4344" t="s">
        <v>1548</v>
      </c>
      <c r="AA4344" s="2" t="s">
        <v>2101</v>
      </c>
      <c r="AB4344" t="s">
        <v>88</v>
      </c>
      <c r="AG4344" t="s">
        <v>26494</v>
      </c>
      <c r="AH4344" t="s">
        <v>23141</v>
      </c>
      <c r="AI4344" t="s">
        <v>26495</v>
      </c>
    </row>
    <row r="4345" spans="2:35" ht="409.5">
      <c r="B4345" s="1">
        <v>45434</v>
      </c>
      <c r="C4345" s="4">
        <v>45434.400000000001</v>
      </c>
      <c r="D4345" t="s">
        <v>23134</v>
      </c>
      <c r="E4345" t="s">
        <v>26493</v>
      </c>
      <c r="F4345" t="s">
        <v>148</v>
      </c>
      <c r="G4345" t="s">
        <v>310</v>
      </c>
      <c r="H4345" t="s">
        <v>295</v>
      </c>
      <c r="I4345" t="s">
        <v>40</v>
      </c>
      <c r="J4345" t="s">
        <v>109</v>
      </c>
      <c r="K4345" t="s">
        <v>42</v>
      </c>
      <c r="L4345" t="s">
        <v>1943</v>
      </c>
      <c r="N4345" t="s">
        <v>1944</v>
      </c>
      <c r="Q4345">
        <v>28199</v>
      </c>
      <c r="R4345" t="s">
        <v>45</v>
      </c>
      <c r="S4345" t="s">
        <v>23136</v>
      </c>
      <c r="T4345">
        <v>25</v>
      </c>
      <c r="W4345" t="s">
        <v>84</v>
      </c>
      <c r="X4345">
        <v>834430</v>
      </c>
      <c r="Y4345" t="s">
        <v>2099</v>
      </c>
      <c r="Z4345" t="s">
        <v>2100</v>
      </c>
      <c r="AA4345" s="2" t="s">
        <v>2101</v>
      </c>
      <c r="AB4345" t="s">
        <v>88</v>
      </c>
      <c r="AG4345" t="s">
        <v>26496</v>
      </c>
      <c r="AH4345" t="s">
        <v>23141</v>
      </c>
      <c r="AI4345" t="s">
        <v>26497</v>
      </c>
    </row>
    <row r="4346" spans="2:35" ht="409.5">
      <c r="B4346" s="1">
        <v>45434</v>
      </c>
      <c r="C4346" s="4">
        <v>45434.386111111111</v>
      </c>
      <c r="D4346" t="s">
        <v>23134</v>
      </c>
      <c r="E4346" t="s">
        <v>26493</v>
      </c>
      <c r="F4346" t="s">
        <v>148</v>
      </c>
      <c r="G4346" t="s">
        <v>310</v>
      </c>
      <c r="H4346" t="s">
        <v>295</v>
      </c>
      <c r="I4346" t="s">
        <v>40</v>
      </c>
      <c r="J4346" s="2" t="s">
        <v>41</v>
      </c>
      <c r="K4346" t="s">
        <v>42</v>
      </c>
      <c r="L4346" t="s">
        <v>1943</v>
      </c>
      <c r="N4346" t="s">
        <v>1944</v>
      </c>
      <c r="Q4346">
        <v>28200</v>
      </c>
      <c r="R4346" t="s">
        <v>119</v>
      </c>
      <c r="S4346" t="s">
        <v>23136</v>
      </c>
      <c r="T4346">
        <v>25</v>
      </c>
      <c r="V4346" s="1">
        <v>45413</v>
      </c>
      <c r="W4346" t="s">
        <v>84</v>
      </c>
      <c r="X4346">
        <v>831872</v>
      </c>
      <c r="Y4346" s="2" t="s">
        <v>26498</v>
      </c>
      <c r="Z4346" t="s">
        <v>26499</v>
      </c>
      <c r="AA4346" s="2" t="s">
        <v>1948</v>
      </c>
      <c r="AB4346" t="s">
        <v>88</v>
      </c>
      <c r="AD4346" t="s">
        <v>26500</v>
      </c>
      <c r="AE4346" t="s">
        <v>11329</v>
      </c>
      <c r="AG4346" t="s">
        <v>26501</v>
      </c>
      <c r="AH4346" t="s">
        <v>23141</v>
      </c>
      <c r="AI4346" t="s">
        <v>26502</v>
      </c>
    </row>
    <row r="4347" spans="2:35" ht="300">
      <c r="B4347" s="1">
        <v>45434</v>
      </c>
      <c r="C4347" s="4">
        <v>45434.357638888891</v>
      </c>
      <c r="D4347" t="s">
        <v>18752</v>
      </c>
      <c r="E4347" t="s">
        <v>26503</v>
      </c>
      <c r="F4347">
        <v>7</v>
      </c>
      <c r="G4347" t="s">
        <v>432</v>
      </c>
      <c r="H4347" t="s">
        <v>39</v>
      </c>
      <c r="I4347" t="s">
        <v>40</v>
      </c>
      <c r="J4347" s="2" t="s">
        <v>609</v>
      </c>
      <c r="K4347" t="s">
        <v>42</v>
      </c>
      <c r="L4347" t="s">
        <v>594</v>
      </c>
      <c r="N4347" t="s">
        <v>595</v>
      </c>
      <c r="Q4347">
        <v>28198</v>
      </c>
      <c r="R4347" t="s">
        <v>45</v>
      </c>
      <c r="S4347" t="s">
        <v>26504</v>
      </c>
      <c r="T4347">
        <v>23</v>
      </c>
      <c r="V4347" s="1">
        <v>45434</v>
      </c>
      <c r="W4347" t="s">
        <v>502</v>
      </c>
      <c r="X4347">
        <v>815485</v>
      </c>
      <c r="Y4347" s="2" t="s">
        <v>26505</v>
      </c>
      <c r="Z4347" t="s">
        <v>26506</v>
      </c>
      <c r="AA4347" s="2" t="s">
        <v>26507</v>
      </c>
      <c r="AB4347" s="2" t="s">
        <v>26508</v>
      </c>
      <c r="AG4347" t="s">
        <v>26509</v>
      </c>
      <c r="AH4347" t="s">
        <v>26510</v>
      </c>
      <c r="AI4347" t="s">
        <v>26511</v>
      </c>
    </row>
    <row r="4348" spans="2:35" ht="255">
      <c r="B4348" s="1">
        <v>45434</v>
      </c>
      <c r="C4348" s="4">
        <v>45433.584027777775</v>
      </c>
      <c r="D4348" t="s">
        <v>14138</v>
      </c>
      <c r="E4348" t="s">
        <v>2569</v>
      </c>
      <c r="F4348" t="s">
        <v>148</v>
      </c>
      <c r="G4348" t="s">
        <v>447</v>
      </c>
      <c r="H4348" t="s">
        <v>662</v>
      </c>
      <c r="I4348" t="s">
        <v>40</v>
      </c>
      <c r="J4348" t="s">
        <v>109</v>
      </c>
      <c r="K4348" t="s">
        <v>42</v>
      </c>
      <c r="L4348" t="s">
        <v>448</v>
      </c>
      <c r="N4348" t="s">
        <v>650</v>
      </c>
      <c r="Q4348">
        <v>28197</v>
      </c>
      <c r="R4348" t="s">
        <v>703</v>
      </c>
      <c r="S4348" t="s">
        <v>21381</v>
      </c>
      <c r="T4348">
        <v>30</v>
      </c>
      <c r="U4348" s="2" t="s">
        <v>26512</v>
      </c>
      <c r="W4348" t="s">
        <v>7167</v>
      </c>
      <c r="X4348">
        <v>110020700</v>
      </c>
      <c r="Y4348" t="s">
        <v>26513</v>
      </c>
      <c r="Z4348" s="2" t="s">
        <v>26514</v>
      </c>
      <c r="AA4348" t="s">
        <v>26515</v>
      </c>
      <c r="AB4348" t="s">
        <v>486</v>
      </c>
      <c r="AG4348" t="s">
        <v>26516</v>
      </c>
      <c r="AH4348" t="s">
        <v>26517</v>
      </c>
      <c r="AI4348" t="s">
        <v>26518</v>
      </c>
    </row>
    <row r="4349" spans="2:35" ht="390">
      <c r="B4349" s="1">
        <v>45434</v>
      </c>
      <c r="C4349" s="4">
        <v>45433.673611111109</v>
      </c>
      <c r="D4349" t="s">
        <v>10647</v>
      </c>
      <c r="E4349" t="s">
        <v>10648</v>
      </c>
      <c r="F4349">
        <v>12</v>
      </c>
      <c r="G4349" t="s">
        <v>2137</v>
      </c>
      <c r="H4349" t="s">
        <v>39</v>
      </c>
      <c r="I4349" t="s">
        <v>94</v>
      </c>
      <c r="J4349" s="2" t="s">
        <v>1309</v>
      </c>
      <c r="K4349" t="s">
        <v>42</v>
      </c>
      <c r="L4349" t="s">
        <v>296</v>
      </c>
      <c r="N4349" t="s">
        <v>297</v>
      </c>
      <c r="Q4349">
        <v>28196</v>
      </c>
      <c r="R4349" t="s">
        <v>45</v>
      </c>
      <c r="S4349" t="s">
        <v>26519</v>
      </c>
      <c r="T4349">
        <v>34.1</v>
      </c>
      <c r="U4349" s="2" t="s">
        <v>26520</v>
      </c>
      <c r="V4349" s="1">
        <v>45433</v>
      </c>
      <c r="W4349" t="s">
        <v>23049</v>
      </c>
      <c r="X4349">
        <v>807623</v>
      </c>
      <c r="Y4349" s="2" t="s">
        <v>26521</v>
      </c>
      <c r="Z4349" s="2" t="s">
        <v>26522</v>
      </c>
      <c r="AA4349" s="2" t="s">
        <v>26523</v>
      </c>
      <c r="AB4349" t="s">
        <v>972</v>
      </c>
      <c r="AD4349" t="s">
        <v>26524</v>
      </c>
      <c r="AE4349" t="s">
        <v>26525</v>
      </c>
      <c r="AG4349" t="s">
        <v>26526</v>
      </c>
      <c r="AH4349" t="s">
        <v>26527</v>
      </c>
      <c r="AI4349" t="s">
        <v>26528</v>
      </c>
    </row>
    <row r="4350" spans="2:35" ht="180">
      <c r="B4350" s="1">
        <v>45433</v>
      </c>
      <c r="C4350" s="4">
        <v>45428.373611111114</v>
      </c>
      <c r="D4350" t="s">
        <v>4517</v>
      </c>
      <c r="E4350" t="s">
        <v>4518</v>
      </c>
      <c r="F4350">
        <v>1</v>
      </c>
      <c r="G4350" t="s">
        <v>1046</v>
      </c>
      <c r="H4350" t="s">
        <v>39</v>
      </c>
      <c r="I4350" t="s">
        <v>40</v>
      </c>
      <c r="J4350" t="s">
        <v>109</v>
      </c>
      <c r="K4350" t="s">
        <v>42</v>
      </c>
      <c r="L4350" t="s">
        <v>1048</v>
      </c>
      <c r="N4350" t="s">
        <v>1049</v>
      </c>
      <c r="Q4350">
        <v>28195</v>
      </c>
      <c r="R4350" t="s">
        <v>119</v>
      </c>
      <c r="S4350" t="s">
        <v>7992</v>
      </c>
      <c r="T4350">
        <v>30</v>
      </c>
      <c r="U4350" s="2" t="s">
        <v>20717</v>
      </c>
      <c r="W4350" t="s">
        <v>1051</v>
      </c>
      <c r="X4350">
        <v>838467</v>
      </c>
      <c r="Y4350" t="s">
        <v>1052</v>
      </c>
      <c r="Z4350" t="e">
        <f ca="1">- cleaned cartridge Bays, plunger Rods _xludf.and I-CORE
- generated reports</f>
        <v>#NAME?</v>
      </c>
      <c r="AA4350" t="s">
        <v>820</v>
      </c>
      <c r="AB4350" s="2" t="s">
        <v>26529</v>
      </c>
      <c r="AG4350" t="s">
        <v>26530</v>
      </c>
      <c r="AH4350" t="s">
        <v>13014</v>
      </c>
      <c r="AI4350" t="s">
        <v>26531</v>
      </c>
    </row>
    <row r="4351" spans="2:35" ht="105">
      <c r="B4351" s="1">
        <v>45433</v>
      </c>
      <c r="C4351" s="4">
        <v>45427.46597222222</v>
      </c>
      <c r="D4351" t="s">
        <v>4528</v>
      </c>
      <c r="E4351" t="s">
        <v>26532</v>
      </c>
      <c r="F4351">
        <v>1</v>
      </c>
      <c r="G4351" t="s">
        <v>1046</v>
      </c>
      <c r="H4351" t="s">
        <v>1047</v>
      </c>
      <c r="I4351" t="s">
        <v>40</v>
      </c>
      <c r="J4351" t="s">
        <v>109</v>
      </c>
      <c r="K4351" t="s">
        <v>42</v>
      </c>
      <c r="L4351" t="s">
        <v>1048</v>
      </c>
      <c r="N4351" t="s">
        <v>1049</v>
      </c>
      <c r="Q4351">
        <v>28194</v>
      </c>
      <c r="R4351" t="s">
        <v>119</v>
      </c>
      <c r="S4351" t="s">
        <v>4530</v>
      </c>
      <c r="T4351">
        <v>30</v>
      </c>
      <c r="U4351" s="2" t="s">
        <v>26533</v>
      </c>
      <c r="W4351" t="s">
        <v>1051</v>
      </c>
      <c r="X4351">
        <v>838472</v>
      </c>
      <c r="Y4351" t="s">
        <v>1052</v>
      </c>
      <c r="Z4351" t="e">
        <f ca="1">- cleaned cartridge Bays, plunger Rods _xludf.and I-CORE
- generated reports</f>
        <v>#NAME?</v>
      </c>
      <c r="AA4351" t="s">
        <v>820</v>
      </c>
      <c r="AB4351" t="e">
        <f ca="1">-Unit is Partially operational
- module B1 HAS been Reported</f>
        <v>#NAME?</v>
      </c>
      <c r="AG4351" t="s">
        <v>26534</v>
      </c>
      <c r="AH4351" t="s">
        <v>4532</v>
      </c>
      <c r="AI4351" t="s">
        <v>26535</v>
      </c>
    </row>
    <row r="4352" spans="2:35" ht="105">
      <c r="B4352" s="1">
        <v>45433</v>
      </c>
      <c r="C4352" s="4">
        <v>45427.421527777777</v>
      </c>
      <c r="D4352" t="s">
        <v>3732</v>
      </c>
      <c r="E4352" t="s">
        <v>26536</v>
      </c>
      <c r="F4352">
        <v>1</v>
      </c>
      <c r="G4352" t="s">
        <v>1046</v>
      </c>
      <c r="H4352" t="s">
        <v>1047</v>
      </c>
      <c r="I4352" t="s">
        <v>40</v>
      </c>
      <c r="J4352" t="s">
        <v>109</v>
      </c>
      <c r="K4352" t="s">
        <v>42</v>
      </c>
      <c r="L4352" t="s">
        <v>1048</v>
      </c>
      <c r="N4352" t="s">
        <v>1049</v>
      </c>
      <c r="Q4352">
        <v>28193</v>
      </c>
      <c r="R4352" t="s">
        <v>119</v>
      </c>
      <c r="S4352" t="s">
        <v>19601</v>
      </c>
      <c r="T4352">
        <v>24</v>
      </c>
      <c r="U4352" s="2" t="s">
        <v>26537</v>
      </c>
      <c r="W4352" t="s">
        <v>1051</v>
      </c>
      <c r="X4352">
        <v>838473</v>
      </c>
      <c r="Y4352" t="s">
        <v>1052</v>
      </c>
      <c r="Z4352" t="e">
        <f ca="1">- cleaned cartridge Bays, plunger Rods _xludf.and I-CORE
- generated reports</f>
        <v>#NAME?</v>
      </c>
      <c r="AA4352" t="s">
        <v>820</v>
      </c>
      <c r="AB4352" t="e">
        <f ca="1">- Unit is Partially operational
- module B2 HAS already been Reported</f>
        <v>#NAME?</v>
      </c>
      <c r="AG4352" t="s">
        <v>26538</v>
      </c>
      <c r="AH4352" t="s">
        <v>26539</v>
      </c>
      <c r="AI4352" t="s">
        <v>26540</v>
      </c>
    </row>
    <row r="4353" spans="2:35" ht="105">
      <c r="B4353" s="1">
        <v>45433</v>
      </c>
      <c r="C4353" s="4">
        <v>45426.439583333333</v>
      </c>
      <c r="D4353" t="s">
        <v>4503</v>
      </c>
      <c r="E4353" t="s">
        <v>26541</v>
      </c>
      <c r="F4353">
        <v>1</v>
      </c>
      <c r="G4353" t="s">
        <v>1046</v>
      </c>
      <c r="H4353" t="s">
        <v>1047</v>
      </c>
      <c r="I4353" t="s">
        <v>40</v>
      </c>
      <c r="J4353" t="s">
        <v>109</v>
      </c>
      <c r="K4353" t="s">
        <v>42</v>
      </c>
      <c r="L4353" t="s">
        <v>1048</v>
      </c>
      <c r="N4353" t="s">
        <v>1049</v>
      </c>
      <c r="Q4353">
        <v>28192</v>
      </c>
      <c r="R4353" t="s">
        <v>119</v>
      </c>
      <c r="S4353" t="s">
        <v>4505</v>
      </c>
      <c r="T4353">
        <v>30</v>
      </c>
      <c r="U4353" s="2" t="s">
        <v>26542</v>
      </c>
      <c r="W4353" t="s">
        <v>1051</v>
      </c>
      <c r="X4353">
        <v>838516</v>
      </c>
      <c r="Y4353" t="s">
        <v>1052</v>
      </c>
      <c r="Z4353" t="e">
        <f ca="1">- cleaned cartridge Bays, plunger Rods _xludf.and I-CORE
- generated reports</f>
        <v>#NAME?</v>
      </c>
      <c r="AA4353" t="s">
        <v>820</v>
      </c>
      <c r="AB4353" t="e">
        <f ca="1">- Unit is Fully operational</f>
        <v>#NAME?</v>
      </c>
      <c r="AG4353" t="s">
        <v>26543</v>
      </c>
      <c r="AH4353" t="s">
        <v>4507</v>
      </c>
      <c r="AI4353" t="s">
        <v>26544</v>
      </c>
    </row>
    <row r="4354" spans="2:35" ht="240">
      <c r="B4354" s="1">
        <v>45433</v>
      </c>
      <c r="C4354" s="4">
        <v>45433.62777777778</v>
      </c>
      <c r="D4354" t="s">
        <v>26545</v>
      </c>
      <c r="E4354" t="s">
        <v>26546</v>
      </c>
      <c r="F4354">
        <v>13</v>
      </c>
      <c r="G4354" t="s">
        <v>7763</v>
      </c>
      <c r="H4354" t="s">
        <v>2125</v>
      </c>
      <c r="I4354" t="s">
        <v>40</v>
      </c>
      <c r="J4354" s="2" t="s">
        <v>41</v>
      </c>
      <c r="K4354" t="s">
        <v>42</v>
      </c>
      <c r="L4354" t="s">
        <v>933</v>
      </c>
      <c r="N4354" t="s">
        <v>934</v>
      </c>
      <c r="Q4354">
        <v>28191</v>
      </c>
      <c r="R4354" t="s">
        <v>45</v>
      </c>
      <c r="S4354" t="s">
        <v>26547</v>
      </c>
      <c r="T4354">
        <v>21.26</v>
      </c>
      <c r="U4354" s="2" t="s">
        <v>26548</v>
      </c>
      <c r="W4354" t="s">
        <v>10610</v>
      </c>
      <c r="X4354">
        <v>815391</v>
      </c>
      <c r="Y4354" t="s">
        <v>26549</v>
      </c>
      <c r="Z4354" t="s">
        <v>26550</v>
      </c>
      <c r="AA4354" s="2" t="s">
        <v>26551</v>
      </c>
      <c r="AB4354" t="s">
        <v>2131</v>
      </c>
      <c r="AG4354" t="s">
        <v>26552</v>
      </c>
      <c r="AH4354" t="s">
        <v>26553</v>
      </c>
      <c r="AI4354" t="s">
        <v>26554</v>
      </c>
    </row>
    <row r="4355" spans="2:35" ht="180">
      <c r="B4355" s="1">
        <v>45433</v>
      </c>
      <c r="C4355" s="4">
        <v>45433.679861111108</v>
      </c>
      <c r="D4355" t="s">
        <v>13817</v>
      </c>
      <c r="E4355" t="s">
        <v>22018</v>
      </c>
      <c r="F4355" t="s">
        <v>148</v>
      </c>
      <c r="G4355" t="s">
        <v>406</v>
      </c>
      <c r="H4355" t="s">
        <v>39</v>
      </c>
      <c r="I4355" t="s">
        <v>94</v>
      </c>
      <c r="J4355" t="s">
        <v>79</v>
      </c>
      <c r="K4355" t="s">
        <v>42</v>
      </c>
      <c r="L4355" t="s">
        <v>43</v>
      </c>
      <c r="N4355" t="s">
        <v>44</v>
      </c>
      <c r="O4355" t="s">
        <v>1091</v>
      </c>
      <c r="Q4355">
        <v>28190</v>
      </c>
      <c r="R4355" t="s">
        <v>95</v>
      </c>
      <c r="S4355" t="s">
        <v>26555</v>
      </c>
      <c r="T4355">
        <v>24</v>
      </c>
      <c r="V4355" s="1">
        <v>45428</v>
      </c>
      <c r="W4355" t="s">
        <v>48</v>
      </c>
      <c r="X4355">
        <v>839231</v>
      </c>
      <c r="Y4355" t="s">
        <v>26556</v>
      </c>
      <c r="Z4355" t="s">
        <v>26557</v>
      </c>
      <c r="AA4355" s="2" t="s">
        <v>26558</v>
      </c>
      <c r="AB4355" t="s">
        <v>548</v>
      </c>
      <c r="AD4355" s="2" t="s">
        <v>26559</v>
      </c>
      <c r="AE4355" t="s">
        <v>26560</v>
      </c>
      <c r="AG4355" t="s">
        <v>26561</v>
      </c>
      <c r="AH4355" t="s">
        <v>26562</v>
      </c>
      <c r="AI4355" t="s">
        <v>26563</v>
      </c>
    </row>
    <row r="4356" spans="2:35" ht="409.5">
      <c r="B4356" s="1">
        <v>45433</v>
      </c>
      <c r="C4356" s="4">
        <v>45433.658333333333</v>
      </c>
      <c r="D4356" t="s">
        <v>13817</v>
      </c>
      <c r="E4356" t="s">
        <v>22018</v>
      </c>
      <c r="F4356" t="s">
        <v>148</v>
      </c>
      <c r="G4356" t="s">
        <v>406</v>
      </c>
      <c r="H4356" t="s">
        <v>39</v>
      </c>
      <c r="I4356" t="s">
        <v>40</v>
      </c>
      <c r="J4356" t="s">
        <v>109</v>
      </c>
      <c r="K4356" t="s">
        <v>42</v>
      </c>
      <c r="L4356" t="s">
        <v>43</v>
      </c>
      <c r="N4356" t="s">
        <v>44</v>
      </c>
      <c r="O4356" t="s">
        <v>1091</v>
      </c>
      <c r="Q4356">
        <v>28189</v>
      </c>
      <c r="R4356" t="s">
        <v>95</v>
      </c>
      <c r="S4356" t="s">
        <v>26555</v>
      </c>
      <c r="T4356">
        <v>24</v>
      </c>
      <c r="U4356" s="2" t="s">
        <v>26564</v>
      </c>
      <c r="W4356" t="s">
        <v>11663</v>
      </c>
      <c r="X4356">
        <v>808411</v>
      </c>
      <c r="Y4356" t="s">
        <v>121</v>
      </c>
      <c r="Z4356" t="s">
        <v>122</v>
      </c>
      <c r="AA4356" s="2" t="s">
        <v>14557</v>
      </c>
      <c r="AB4356" t="s">
        <v>26565</v>
      </c>
      <c r="AG4356" t="s">
        <v>26566</v>
      </c>
      <c r="AH4356" t="s">
        <v>26567</v>
      </c>
      <c r="AI4356" t="s">
        <v>26568</v>
      </c>
    </row>
    <row r="4357" spans="2:35" ht="409.5">
      <c r="B4357" s="1">
        <v>45433</v>
      </c>
      <c r="C4357" s="4">
        <v>45433.664583333331</v>
      </c>
      <c r="D4357" t="s">
        <v>25711</v>
      </c>
      <c r="E4357" t="s">
        <v>26569</v>
      </c>
      <c r="F4357" t="s">
        <v>148</v>
      </c>
      <c r="G4357" t="s">
        <v>447</v>
      </c>
      <c r="H4357" t="s">
        <v>386</v>
      </c>
      <c r="I4357" t="s">
        <v>40</v>
      </c>
      <c r="J4357" t="s">
        <v>525</v>
      </c>
      <c r="K4357" t="s">
        <v>387</v>
      </c>
      <c r="L4357" t="s">
        <v>448</v>
      </c>
      <c r="N4357" t="s">
        <v>650</v>
      </c>
      <c r="Q4357">
        <v>28188</v>
      </c>
      <c r="R4357" t="s">
        <v>95</v>
      </c>
      <c r="S4357" t="s">
        <v>4134</v>
      </c>
      <c r="T4357">
        <v>26</v>
      </c>
      <c r="W4357" t="s">
        <v>476</v>
      </c>
      <c r="X4357" t="s">
        <v>4135</v>
      </c>
      <c r="Y4357" t="s">
        <v>20134</v>
      </c>
      <c r="Z4357" s="2" t="s">
        <v>26570</v>
      </c>
      <c r="AA4357" t="s">
        <v>4487</v>
      </c>
      <c r="AB4357" s="2" t="s">
        <v>26571</v>
      </c>
      <c r="AG4357" t="s">
        <v>26572</v>
      </c>
      <c r="AH4357" t="s">
        <v>4138</v>
      </c>
      <c r="AI4357" t="s">
        <v>26573</v>
      </c>
    </row>
    <row r="4358" spans="2:35" ht="409.5">
      <c r="B4358" s="1">
        <v>45433</v>
      </c>
      <c r="C4358" s="4">
        <v>45433.618055555555</v>
      </c>
      <c r="D4358" t="s">
        <v>26574</v>
      </c>
      <c r="E4358" t="s">
        <v>26575</v>
      </c>
      <c r="F4358" t="s">
        <v>148</v>
      </c>
      <c r="G4358" t="s">
        <v>310</v>
      </c>
      <c r="H4358" t="s">
        <v>39</v>
      </c>
      <c r="I4358" t="s">
        <v>40</v>
      </c>
      <c r="J4358" s="2" t="s">
        <v>41</v>
      </c>
      <c r="K4358" t="s">
        <v>42</v>
      </c>
      <c r="L4358" t="s">
        <v>1943</v>
      </c>
      <c r="N4358" t="s">
        <v>1944</v>
      </c>
      <c r="Q4358">
        <v>28187</v>
      </c>
      <c r="R4358" t="s">
        <v>45</v>
      </c>
      <c r="S4358" t="s">
        <v>26576</v>
      </c>
      <c r="T4358">
        <v>25</v>
      </c>
      <c r="V4358" s="1">
        <v>45433</v>
      </c>
      <c r="W4358" t="s">
        <v>84</v>
      </c>
      <c r="X4358">
        <v>805111</v>
      </c>
      <c r="Y4358" s="2" t="s">
        <v>3038</v>
      </c>
      <c r="Z4358" t="s">
        <v>1947</v>
      </c>
      <c r="AA4358" s="2" t="s">
        <v>1948</v>
      </c>
      <c r="AB4358" t="s">
        <v>88</v>
      </c>
      <c r="AD4358" t="s">
        <v>26577</v>
      </c>
      <c r="AE4358" t="s">
        <v>11329</v>
      </c>
      <c r="AG4358" t="s">
        <v>26578</v>
      </c>
      <c r="AH4358" t="s">
        <v>26579</v>
      </c>
      <c r="AI4358" t="s">
        <v>26580</v>
      </c>
    </row>
    <row r="4359" spans="2:35" ht="409.5">
      <c r="B4359" s="1">
        <v>45433</v>
      </c>
      <c r="C4359" s="4">
        <v>45433.615277777775</v>
      </c>
      <c r="D4359" t="s">
        <v>26581</v>
      </c>
      <c r="E4359" t="s">
        <v>26575</v>
      </c>
      <c r="F4359" t="s">
        <v>148</v>
      </c>
      <c r="G4359" t="s">
        <v>310</v>
      </c>
      <c r="H4359" t="s">
        <v>39</v>
      </c>
      <c r="I4359" t="s">
        <v>40</v>
      </c>
      <c r="J4359" s="2" t="s">
        <v>41</v>
      </c>
      <c r="K4359" t="s">
        <v>42</v>
      </c>
      <c r="L4359" t="s">
        <v>1943</v>
      </c>
      <c r="N4359" t="s">
        <v>1944</v>
      </c>
      <c r="Q4359">
        <v>28186</v>
      </c>
      <c r="R4359" t="s">
        <v>45</v>
      </c>
      <c r="S4359" t="s">
        <v>26576</v>
      </c>
      <c r="T4359">
        <v>25</v>
      </c>
      <c r="V4359" s="1">
        <v>45433</v>
      </c>
      <c r="W4359" t="s">
        <v>84</v>
      </c>
      <c r="X4359">
        <v>707072</v>
      </c>
      <c r="Y4359" s="2" t="s">
        <v>26582</v>
      </c>
      <c r="Z4359" t="s">
        <v>1947</v>
      </c>
      <c r="AA4359" s="2" t="s">
        <v>1948</v>
      </c>
      <c r="AB4359" t="s">
        <v>88</v>
      </c>
      <c r="AD4359" t="s">
        <v>26583</v>
      </c>
      <c r="AE4359" t="s">
        <v>11329</v>
      </c>
      <c r="AG4359" t="s">
        <v>26584</v>
      </c>
      <c r="AH4359" t="s">
        <v>26585</v>
      </c>
      <c r="AI4359" t="s">
        <v>26586</v>
      </c>
    </row>
    <row r="4360" spans="2:35" ht="105">
      <c r="B4360" s="1">
        <v>45433</v>
      </c>
      <c r="C4360" s="4">
        <v>45433.612500000003</v>
      </c>
      <c r="D4360" t="s">
        <v>26587</v>
      </c>
      <c r="E4360" t="s">
        <v>26588</v>
      </c>
      <c r="F4360">
        <v>3</v>
      </c>
      <c r="G4360" t="s">
        <v>134</v>
      </c>
      <c r="H4360" t="s">
        <v>39</v>
      </c>
      <c r="I4360" t="s">
        <v>40</v>
      </c>
      <c r="J4360" t="s">
        <v>109</v>
      </c>
      <c r="K4360" t="s">
        <v>42</v>
      </c>
      <c r="L4360" t="s">
        <v>63</v>
      </c>
      <c r="N4360" t="s">
        <v>64</v>
      </c>
      <c r="Q4360">
        <v>28185</v>
      </c>
      <c r="R4360" t="s">
        <v>119</v>
      </c>
      <c r="S4360" t="s">
        <v>26589</v>
      </c>
      <c r="T4360">
        <v>25</v>
      </c>
      <c r="U4360" s="2" t="s">
        <v>8650</v>
      </c>
      <c r="W4360" t="s">
        <v>66</v>
      </c>
      <c r="X4360">
        <v>831877</v>
      </c>
      <c r="Y4360" t="s">
        <v>7291</v>
      </c>
      <c r="Z4360" t="s">
        <v>10275</v>
      </c>
      <c r="AA4360" s="2" t="s">
        <v>7015</v>
      </c>
      <c r="AB4360" t="s">
        <v>70</v>
      </c>
      <c r="AG4360" t="s">
        <v>26590</v>
      </c>
      <c r="AH4360" t="s">
        <v>26591</v>
      </c>
      <c r="AI4360" t="s">
        <v>26592</v>
      </c>
    </row>
    <row r="4361" spans="2:35" ht="105">
      <c r="B4361" s="1">
        <v>45433</v>
      </c>
      <c r="C4361" s="4">
        <v>45433.607638888891</v>
      </c>
      <c r="D4361" t="s">
        <v>7465</v>
      </c>
      <c r="E4361" t="s">
        <v>7466</v>
      </c>
      <c r="F4361">
        <v>8</v>
      </c>
      <c r="G4361" t="s">
        <v>342</v>
      </c>
      <c r="H4361" t="s">
        <v>202</v>
      </c>
      <c r="I4361" t="s">
        <v>40</v>
      </c>
      <c r="J4361" t="s">
        <v>109</v>
      </c>
      <c r="K4361" t="s">
        <v>42</v>
      </c>
      <c r="L4361" t="s">
        <v>259</v>
      </c>
      <c r="N4361" t="s">
        <v>260</v>
      </c>
      <c r="Q4361">
        <v>28184</v>
      </c>
      <c r="R4361" t="s">
        <v>119</v>
      </c>
      <c r="S4361" t="s">
        <v>16053</v>
      </c>
      <c r="T4361">
        <v>29</v>
      </c>
      <c r="U4361" s="2" t="s">
        <v>26593</v>
      </c>
      <c r="V4361" s="1">
        <v>45433</v>
      </c>
      <c r="W4361" t="s">
        <v>84</v>
      </c>
      <c r="X4361">
        <v>838551</v>
      </c>
      <c r="Y4361" t="s">
        <v>26594</v>
      </c>
      <c r="Z4361" t="e">
        <f ca="1">-PM</f>
        <v>#NAME?</v>
      </c>
      <c r="AA4361" t="e">
        <f ca="1">- performed Preventive Maintenance
- Changed _xludf.filter</f>
        <v>#NAME?</v>
      </c>
      <c r="AB4361" t="s">
        <v>181</v>
      </c>
      <c r="AG4361" t="s">
        <v>26595</v>
      </c>
      <c r="AH4361" t="s">
        <v>7469</v>
      </c>
      <c r="AI4361" t="s">
        <v>26596</v>
      </c>
    </row>
    <row r="4362" spans="2:35" ht="225">
      <c r="B4362" s="1">
        <v>45433</v>
      </c>
      <c r="C4362" s="4">
        <v>45433.587500000001</v>
      </c>
      <c r="D4362" t="s">
        <v>24248</v>
      </c>
      <c r="E4362" t="s">
        <v>26597</v>
      </c>
      <c r="F4362">
        <v>5</v>
      </c>
      <c r="G4362" t="s">
        <v>759</v>
      </c>
      <c r="H4362" t="s">
        <v>39</v>
      </c>
      <c r="I4362" t="s">
        <v>40</v>
      </c>
      <c r="J4362" s="2" t="s">
        <v>41</v>
      </c>
      <c r="K4362" t="s">
        <v>42</v>
      </c>
      <c r="L4362" t="s">
        <v>761</v>
      </c>
      <c r="N4362" t="s">
        <v>762</v>
      </c>
      <c r="O4362" t="s">
        <v>26598</v>
      </c>
      <c r="Q4362">
        <v>28183</v>
      </c>
      <c r="R4362" t="s">
        <v>45</v>
      </c>
      <c r="S4362" t="s">
        <v>26598</v>
      </c>
      <c r="T4362">
        <v>25</v>
      </c>
      <c r="U4362" s="2" t="s">
        <v>9896</v>
      </c>
      <c r="W4362" t="s">
        <v>765</v>
      </c>
      <c r="X4362">
        <v>814371</v>
      </c>
      <c r="Y4362" t="s">
        <v>26599</v>
      </c>
      <c r="Z4362" s="2" t="s">
        <v>26600</v>
      </c>
      <c r="AA4362" s="2" t="s">
        <v>26601</v>
      </c>
      <c r="AB4362" t="s">
        <v>181</v>
      </c>
      <c r="AG4362" t="s">
        <v>26602</v>
      </c>
      <c r="AH4362" t="s">
        <v>26603</v>
      </c>
      <c r="AI4362" t="s">
        <v>26604</v>
      </c>
    </row>
    <row r="4363" spans="2:35" ht="60">
      <c r="B4363" s="1">
        <v>45433</v>
      </c>
      <c r="C4363" s="4">
        <v>45433.599305555559</v>
      </c>
      <c r="D4363" t="s">
        <v>7050</v>
      </c>
      <c r="E4363" t="s">
        <v>16018</v>
      </c>
      <c r="F4363">
        <v>9</v>
      </c>
      <c r="G4363" t="s">
        <v>2197</v>
      </c>
      <c r="H4363" t="s">
        <v>39</v>
      </c>
      <c r="I4363" t="s">
        <v>40</v>
      </c>
      <c r="J4363" s="2" t="s">
        <v>760</v>
      </c>
      <c r="K4363" t="s">
        <v>387</v>
      </c>
      <c r="L4363" t="s">
        <v>1257</v>
      </c>
      <c r="N4363" t="s">
        <v>1258</v>
      </c>
      <c r="O4363" t="s">
        <v>1258</v>
      </c>
      <c r="Q4363">
        <v>28182</v>
      </c>
      <c r="R4363" t="s">
        <v>95</v>
      </c>
      <c r="S4363" t="s">
        <v>26605</v>
      </c>
      <c r="T4363">
        <v>0</v>
      </c>
      <c r="V4363" s="1">
        <v>45433</v>
      </c>
      <c r="W4363" t="s">
        <v>476</v>
      </c>
      <c r="X4363" t="s">
        <v>7053</v>
      </c>
      <c r="Y4363" t="s">
        <v>26606</v>
      </c>
      <c r="Z4363" t="s">
        <v>26607</v>
      </c>
      <c r="AA4363" t="s">
        <v>26608</v>
      </c>
      <c r="AB4363" t="s">
        <v>26609</v>
      </c>
      <c r="AC4363" t="s">
        <v>301</v>
      </c>
      <c r="AD4363" t="s">
        <v>54</v>
      </c>
      <c r="AE4363" t="s">
        <v>54</v>
      </c>
      <c r="AG4363" t="s">
        <v>26610</v>
      </c>
      <c r="AH4363" t="s">
        <v>26611</v>
      </c>
      <c r="AI4363" t="s">
        <v>26612</v>
      </c>
    </row>
    <row r="4364" spans="2:35" ht="390">
      <c r="B4364" s="1">
        <v>45433</v>
      </c>
      <c r="C4364" s="4">
        <v>45433.599305555559</v>
      </c>
      <c r="D4364" t="s">
        <v>26613</v>
      </c>
      <c r="E4364" t="s">
        <v>26614</v>
      </c>
      <c r="F4364">
        <v>1</v>
      </c>
      <c r="G4364" t="s">
        <v>1046</v>
      </c>
      <c r="H4364" t="s">
        <v>39</v>
      </c>
      <c r="I4364" t="s">
        <v>40</v>
      </c>
      <c r="J4364" s="2" t="s">
        <v>41</v>
      </c>
      <c r="K4364" t="s">
        <v>42</v>
      </c>
      <c r="L4364" t="s">
        <v>135</v>
      </c>
      <c r="N4364" t="s">
        <v>136</v>
      </c>
      <c r="Q4364">
        <v>28181</v>
      </c>
      <c r="R4364" t="s">
        <v>45</v>
      </c>
      <c r="S4364" t="s">
        <v>26615</v>
      </c>
      <c r="T4364">
        <v>28</v>
      </c>
      <c r="U4364" s="2" t="s">
        <v>17628</v>
      </c>
      <c r="V4364" s="1">
        <v>45408</v>
      </c>
      <c r="W4364" t="s">
        <v>2680</v>
      </c>
      <c r="X4364">
        <v>834684</v>
      </c>
      <c r="Y4364" t="s">
        <v>26616</v>
      </c>
      <c r="Z4364" s="2" t="s">
        <v>140</v>
      </c>
      <c r="AA4364" s="2" t="s">
        <v>5713</v>
      </c>
      <c r="AB4364" s="2" t="s">
        <v>26617</v>
      </c>
      <c r="AD4364" t="s">
        <v>22730</v>
      </c>
      <c r="AE4364">
        <v>47661</v>
      </c>
      <c r="AG4364" t="s">
        <v>26618</v>
      </c>
      <c r="AH4364" t="s">
        <v>26619</v>
      </c>
      <c r="AI4364" t="s">
        <v>26620</v>
      </c>
    </row>
    <row r="4365" spans="2:35" ht="255">
      <c r="B4365" s="1">
        <v>45433</v>
      </c>
      <c r="C4365" s="4">
        <v>45433.520833333336</v>
      </c>
      <c r="D4365" t="s">
        <v>146</v>
      </c>
      <c r="E4365" t="s">
        <v>5992</v>
      </c>
      <c r="F4365" t="s">
        <v>148</v>
      </c>
      <c r="G4365" t="s">
        <v>149</v>
      </c>
      <c r="H4365" t="s">
        <v>39</v>
      </c>
      <c r="I4365" t="s">
        <v>94</v>
      </c>
      <c r="J4365" t="s">
        <v>79</v>
      </c>
      <c r="K4365" t="s">
        <v>42</v>
      </c>
      <c r="L4365" t="s">
        <v>43</v>
      </c>
      <c r="N4365" t="s">
        <v>44</v>
      </c>
      <c r="O4365" t="s">
        <v>388</v>
      </c>
      <c r="Q4365">
        <v>28180</v>
      </c>
      <c r="R4365" t="s">
        <v>95</v>
      </c>
      <c r="S4365" t="s">
        <v>11968</v>
      </c>
      <c r="T4365">
        <v>24</v>
      </c>
      <c r="U4365" s="2" t="s">
        <v>26621</v>
      </c>
      <c r="V4365" s="1">
        <v>45428</v>
      </c>
      <c r="W4365" t="s">
        <v>153</v>
      </c>
      <c r="X4365">
        <v>110003714</v>
      </c>
      <c r="Y4365" t="s">
        <v>26622</v>
      </c>
      <c r="Z4365" t="s">
        <v>26623</v>
      </c>
      <c r="AA4365" s="2" t="s">
        <v>26624</v>
      </c>
      <c r="AB4365" t="s">
        <v>548</v>
      </c>
      <c r="AD4365" s="2" t="s">
        <v>26625</v>
      </c>
      <c r="AE4365" t="s">
        <v>26626</v>
      </c>
      <c r="AG4365" t="s">
        <v>26627</v>
      </c>
      <c r="AH4365" t="s">
        <v>6444</v>
      </c>
      <c r="AI4365" t="s">
        <v>26628</v>
      </c>
    </row>
    <row r="4366" spans="2:35" ht="105">
      <c r="B4366" s="1">
        <v>45433</v>
      </c>
      <c r="C4366" s="4">
        <v>45433.496527777781</v>
      </c>
      <c r="D4366" t="s">
        <v>3912</v>
      </c>
      <c r="E4366" t="s">
        <v>26629</v>
      </c>
      <c r="F4366">
        <v>6</v>
      </c>
      <c r="G4366" t="s">
        <v>1234</v>
      </c>
      <c r="H4366" t="s">
        <v>1047</v>
      </c>
      <c r="I4366" t="s">
        <v>94</v>
      </c>
      <c r="J4366" t="s">
        <v>321</v>
      </c>
      <c r="K4366" t="s">
        <v>42</v>
      </c>
      <c r="L4366" t="s">
        <v>23958</v>
      </c>
      <c r="N4366" t="s">
        <v>23959</v>
      </c>
      <c r="Q4366">
        <v>28179</v>
      </c>
      <c r="R4366" t="s">
        <v>45</v>
      </c>
      <c r="S4366" t="s">
        <v>3914</v>
      </c>
      <c r="T4366">
        <v>4</v>
      </c>
      <c r="U4366" s="2" t="s">
        <v>26630</v>
      </c>
      <c r="W4366" t="s">
        <v>360</v>
      </c>
      <c r="X4366">
        <v>807614</v>
      </c>
      <c r="Y4366" t="s">
        <v>26631</v>
      </c>
      <c r="Z4366" t="s">
        <v>26632</v>
      </c>
      <c r="AA4366" t="s">
        <v>26633</v>
      </c>
      <c r="AB4366" t="s">
        <v>26634</v>
      </c>
      <c r="AG4366" t="s">
        <v>26635</v>
      </c>
      <c r="AH4366" t="s">
        <v>3920</v>
      </c>
      <c r="AI4366" t="s">
        <v>26636</v>
      </c>
    </row>
    <row r="4367" spans="2:35" ht="360">
      <c r="B4367" s="1">
        <v>45433</v>
      </c>
      <c r="C4367" s="4">
        <v>45433.500694444447</v>
      </c>
      <c r="D4367" t="s">
        <v>26637</v>
      </c>
      <c r="E4367" t="s">
        <v>26638</v>
      </c>
      <c r="F4367">
        <v>3</v>
      </c>
      <c r="G4367" t="s">
        <v>1722</v>
      </c>
      <c r="H4367" t="s">
        <v>39</v>
      </c>
      <c r="I4367" t="s">
        <v>40</v>
      </c>
      <c r="J4367" t="s">
        <v>109</v>
      </c>
      <c r="K4367" t="s">
        <v>42</v>
      </c>
      <c r="L4367" t="s">
        <v>135</v>
      </c>
      <c r="N4367" t="s">
        <v>136</v>
      </c>
      <c r="Q4367">
        <v>28178</v>
      </c>
      <c r="R4367" t="s">
        <v>119</v>
      </c>
      <c r="S4367" t="s">
        <v>26639</v>
      </c>
      <c r="T4367">
        <v>27</v>
      </c>
      <c r="U4367" s="2" t="s">
        <v>2367</v>
      </c>
      <c r="W4367" t="s">
        <v>2680</v>
      </c>
      <c r="X4367">
        <v>831672</v>
      </c>
      <c r="Y4367" s="2" t="s">
        <v>26640</v>
      </c>
      <c r="Z4367" s="2" t="s">
        <v>26641</v>
      </c>
      <c r="AA4367" s="2" t="s">
        <v>4316</v>
      </c>
      <c r="AB4367" s="2" t="s">
        <v>26642</v>
      </c>
      <c r="AC4367" t="s">
        <v>26643</v>
      </c>
      <c r="AG4367" t="s">
        <v>26644</v>
      </c>
      <c r="AH4367" t="s">
        <v>26645</v>
      </c>
      <c r="AI4367" t="s">
        <v>26646</v>
      </c>
    </row>
    <row r="4368" spans="2:35" ht="210">
      <c r="B4368" s="1">
        <v>45433</v>
      </c>
      <c r="C4368" s="4">
        <v>45433.504861111112</v>
      </c>
      <c r="D4368" t="s">
        <v>26647</v>
      </c>
      <c r="E4368" t="s">
        <v>26648</v>
      </c>
      <c r="F4368">
        <v>5</v>
      </c>
      <c r="G4368" t="s">
        <v>759</v>
      </c>
      <c r="H4368" t="s">
        <v>39</v>
      </c>
      <c r="I4368" t="s">
        <v>40</v>
      </c>
      <c r="J4368" s="2" t="s">
        <v>41</v>
      </c>
      <c r="K4368" t="s">
        <v>42</v>
      </c>
      <c r="L4368" t="s">
        <v>761</v>
      </c>
      <c r="N4368" t="s">
        <v>762</v>
      </c>
      <c r="Q4368">
        <v>28177</v>
      </c>
      <c r="R4368" t="s">
        <v>45</v>
      </c>
      <c r="S4368" t="s">
        <v>26649</v>
      </c>
      <c r="T4368">
        <v>28</v>
      </c>
      <c r="U4368" s="2" t="s">
        <v>26650</v>
      </c>
      <c r="W4368" t="s">
        <v>26651</v>
      </c>
      <c r="X4368">
        <v>835187</v>
      </c>
      <c r="Y4368" t="s">
        <v>26652</v>
      </c>
      <c r="Z4368" s="2" t="s">
        <v>26653</v>
      </c>
      <c r="AA4368" s="2" t="s">
        <v>10392</v>
      </c>
      <c r="AB4368" t="s">
        <v>70</v>
      </c>
      <c r="AG4368" t="s">
        <v>26654</v>
      </c>
      <c r="AH4368" t="s">
        <v>26655</v>
      </c>
      <c r="AI4368" t="s">
        <v>26656</v>
      </c>
    </row>
    <row r="4369" spans="2:35" ht="409.5">
      <c r="B4369" s="1">
        <v>45433</v>
      </c>
      <c r="C4369" s="4">
        <v>45433.477777777778</v>
      </c>
      <c r="D4369" t="s">
        <v>2272</v>
      </c>
      <c r="E4369" t="s">
        <v>15790</v>
      </c>
      <c r="F4369" t="s">
        <v>148</v>
      </c>
      <c r="G4369" t="s">
        <v>310</v>
      </c>
      <c r="H4369" t="s">
        <v>295</v>
      </c>
      <c r="I4369" t="s">
        <v>40</v>
      </c>
      <c r="J4369" s="2" t="s">
        <v>1808</v>
      </c>
      <c r="K4369" t="s">
        <v>42</v>
      </c>
      <c r="L4369" t="s">
        <v>1943</v>
      </c>
      <c r="N4369" t="s">
        <v>1944</v>
      </c>
      <c r="Q4369">
        <v>28176</v>
      </c>
      <c r="R4369" t="s">
        <v>703</v>
      </c>
      <c r="S4369" t="s">
        <v>26657</v>
      </c>
      <c r="T4369">
        <v>25</v>
      </c>
      <c r="U4369" s="2" t="s">
        <v>26658</v>
      </c>
      <c r="W4369" t="s">
        <v>84</v>
      </c>
      <c r="X4369">
        <v>835604</v>
      </c>
      <c r="Y4369" s="2" t="s">
        <v>26659</v>
      </c>
      <c r="Z4369" t="s">
        <v>26660</v>
      </c>
      <c r="AA4369" s="2" t="s">
        <v>26661</v>
      </c>
      <c r="AB4369" t="s">
        <v>88</v>
      </c>
      <c r="AG4369" t="s">
        <v>26662</v>
      </c>
      <c r="AH4369" t="s">
        <v>26663</v>
      </c>
      <c r="AI4369" t="s">
        <v>26664</v>
      </c>
    </row>
    <row r="4370" spans="2:35" ht="255">
      <c r="B4370" s="1">
        <v>45433</v>
      </c>
      <c r="C4370" s="4">
        <v>45433.457638888889</v>
      </c>
      <c r="D4370" t="s">
        <v>26665</v>
      </c>
      <c r="E4370" t="s">
        <v>26666</v>
      </c>
      <c r="F4370">
        <v>11</v>
      </c>
      <c r="G4370" t="s">
        <v>1205</v>
      </c>
      <c r="H4370" t="s">
        <v>202</v>
      </c>
      <c r="I4370" t="s">
        <v>94</v>
      </c>
      <c r="J4370" t="s">
        <v>109</v>
      </c>
      <c r="K4370" t="s">
        <v>42</v>
      </c>
      <c r="L4370" t="s">
        <v>204</v>
      </c>
      <c r="N4370" t="s">
        <v>205</v>
      </c>
      <c r="Q4370">
        <v>28175</v>
      </c>
      <c r="R4370" t="s">
        <v>719</v>
      </c>
      <c r="S4370" t="s">
        <v>26667</v>
      </c>
      <c r="T4370">
        <v>29.5</v>
      </c>
      <c r="U4370" s="2" t="s">
        <v>26668</v>
      </c>
      <c r="W4370" t="s">
        <v>22002</v>
      </c>
      <c r="X4370">
        <v>848248</v>
      </c>
      <c r="Y4370" t="s">
        <v>1052</v>
      </c>
      <c r="Z4370" s="2" t="s">
        <v>7814</v>
      </c>
      <c r="AA4370" t="s">
        <v>2551</v>
      </c>
      <c r="AB4370" t="s">
        <v>1211</v>
      </c>
      <c r="AC4370" t="s">
        <v>26669</v>
      </c>
      <c r="AG4370" t="s">
        <v>26670</v>
      </c>
      <c r="AH4370" t="s">
        <v>26671</v>
      </c>
      <c r="AI4370" t="s">
        <v>26672</v>
      </c>
    </row>
    <row r="4371" spans="2:35" ht="409.5">
      <c r="B4371" s="1">
        <v>45433</v>
      </c>
      <c r="C4371" s="4">
        <v>45433.447222222225</v>
      </c>
      <c r="D4371" t="s">
        <v>26665</v>
      </c>
      <c r="E4371" t="s">
        <v>26666</v>
      </c>
      <c r="F4371">
        <v>11</v>
      </c>
      <c r="G4371" t="s">
        <v>1205</v>
      </c>
      <c r="H4371" t="s">
        <v>202</v>
      </c>
      <c r="I4371" t="s">
        <v>94</v>
      </c>
      <c r="J4371" s="2" t="s">
        <v>41</v>
      </c>
      <c r="K4371" t="s">
        <v>42</v>
      </c>
      <c r="L4371" t="s">
        <v>204</v>
      </c>
      <c r="N4371" t="s">
        <v>205</v>
      </c>
      <c r="Q4371">
        <v>28174</v>
      </c>
      <c r="R4371" t="s">
        <v>45</v>
      </c>
      <c r="S4371" t="s">
        <v>26667</v>
      </c>
      <c r="T4371">
        <v>29.5</v>
      </c>
      <c r="U4371" s="2" t="s">
        <v>26673</v>
      </c>
      <c r="W4371" t="s">
        <v>26674</v>
      </c>
      <c r="X4371">
        <v>707513</v>
      </c>
      <c r="Y4371" t="s">
        <v>26675</v>
      </c>
      <c r="Z4371" s="2" t="s">
        <v>26676</v>
      </c>
      <c r="AA4371" t="s">
        <v>26677</v>
      </c>
      <c r="AB4371" s="2" t="s">
        <v>26678</v>
      </c>
      <c r="AC4371" t="s">
        <v>26679</v>
      </c>
      <c r="AG4371" t="s">
        <v>26680</v>
      </c>
      <c r="AH4371" t="s">
        <v>26671</v>
      </c>
      <c r="AI4371" t="s">
        <v>26681</v>
      </c>
    </row>
    <row r="4372" spans="2:35" ht="195">
      <c r="B4372" s="1">
        <v>45433</v>
      </c>
      <c r="C4372" s="4">
        <v>45433.435416666667</v>
      </c>
      <c r="D4372" t="s">
        <v>26682</v>
      </c>
      <c r="E4372" t="s">
        <v>26683</v>
      </c>
      <c r="F4372">
        <v>7</v>
      </c>
      <c r="G4372" t="s">
        <v>432</v>
      </c>
      <c r="H4372" t="s">
        <v>39</v>
      </c>
      <c r="I4372" t="s">
        <v>40</v>
      </c>
      <c r="J4372" s="2" t="s">
        <v>1370</v>
      </c>
      <c r="K4372" t="s">
        <v>42</v>
      </c>
      <c r="L4372" t="s">
        <v>433</v>
      </c>
      <c r="N4372" t="s">
        <v>434</v>
      </c>
      <c r="Q4372">
        <v>28173</v>
      </c>
      <c r="R4372" t="s">
        <v>45</v>
      </c>
      <c r="S4372" t="s">
        <v>3872</v>
      </c>
      <c r="T4372">
        <v>28</v>
      </c>
      <c r="W4372" t="s">
        <v>1008</v>
      </c>
      <c r="X4372">
        <v>805270</v>
      </c>
      <c r="Y4372" t="s">
        <v>26684</v>
      </c>
      <c r="Z4372" s="2" t="s">
        <v>26685</v>
      </c>
      <c r="AA4372" s="2" t="s">
        <v>26685</v>
      </c>
      <c r="AB4372" t="s">
        <v>1011</v>
      </c>
      <c r="AG4372" t="s">
        <v>26686</v>
      </c>
      <c r="AH4372" t="s">
        <v>26687</v>
      </c>
      <c r="AI4372" t="s">
        <v>26688</v>
      </c>
    </row>
    <row r="4373" spans="2:35" ht="409.5">
      <c r="B4373" s="1">
        <v>45432</v>
      </c>
      <c r="C4373" s="4">
        <v>45432.673611111109</v>
      </c>
      <c r="D4373" t="s">
        <v>3656</v>
      </c>
      <c r="E4373" t="s">
        <v>26689</v>
      </c>
      <c r="F4373" t="s">
        <v>148</v>
      </c>
      <c r="G4373" t="s">
        <v>447</v>
      </c>
      <c r="H4373" t="s">
        <v>26690</v>
      </c>
      <c r="I4373" t="s">
        <v>40</v>
      </c>
      <c r="J4373" t="s">
        <v>525</v>
      </c>
      <c r="K4373" t="s">
        <v>42</v>
      </c>
      <c r="L4373" t="s">
        <v>15532</v>
      </c>
      <c r="N4373" t="s">
        <v>15533</v>
      </c>
      <c r="Q4373">
        <v>28172</v>
      </c>
      <c r="R4373" t="s">
        <v>322</v>
      </c>
      <c r="S4373" t="s">
        <v>3661</v>
      </c>
      <c r="T4373">
        <v>25</v>
      </c>
      <c r="U4373" s="2" t="s">
        <v>26691</v>
      </c>
      <c r="W4373" t="s">
        <v>15535</v>
      </c>
      <c r="X4373">
        <v>839150</v>
      </c>
      <c r="Y4373" t="s">
        <v>26692</v>
      </c>
      <c r="Z4373" s="2" t="s">
        <v>26693</v>
      </c>
      <c r="AA4373" s="2" t="s">
        <v>26694</v>
      </c>
      <c r="AB4373" s="2" t="s">
        <v>26695</v>
      </c>
      <c r="AC4373" t="s">
        <v>26696</v>
      </c>
      <c r="AG4373" t="s">
        <v>26697</v>
      </c>
      <c r="AH4373" t="s">
        <v>21951</v>
      </c>
      <c r="AI4373" t="s">
        <v>26698</v>
      </c>
    </row>
    <row r="4374" spans="2:35" ht="409.5">
      <c r="B4374" s="1">
        <v>45432</v>
      </c>
      <c r="C4374" s="4">
        <v>45432.61041666667</v>
      </c>
      <c r="D4374" t="s">
        <v>9514</v>
      </c>
      <c r="E4374" t="s">
        <v>13575</v>
      </c>
      <c r="F4374" t="s">
        <v>148</v>
      </c>
      <c r="G4374" t="s">
        <v>2007</v>
      </c>
      <c r="H4374" t="s">
        <v>662</v>
      </c>
      <c r="I4374" t="s">
        <v>40</v>
      </c>
      <c r="J4374" t="s">
        <v>525</v>
      </c>
      <c r="K4374" t="s">
        <v>42</v>
      </c>
      <c r="L4374" t="s">
        <v>448</v>
      </c>
      <c r="N4374" t="s">
        <v>650</v>
      </c>
      <c r="Q4374">
        <v>28171</v>
      </c>
      <c r="R4374" t="s">
        <v>95</v>
      </c>
      <c r="S4374" t="s">
        <v>2008</v>
      </c>
      <c r="T4374">
        <v>29</v>
      </c>
      <c r="U4374" s="2" t="s">
        <v>26699</v>
      </c>
      <c r="W4374" t="s">
        <v>4268</v>
      </c>
      <c r="X4374">
        <v>110001647</v>
      </c>
      <c r="Y4374" t="s">
        <v>26700</v>
      </c>
      <c r="Z4374" s="2" t="s">
        <v>26701</v>
      </c>
      <c r="AA4374" t="s">
        <v>4487</v>
      </c>
      <c r="AB4374" t="s">
        <v>24483</v>
      </c>
      <c r="AG4374" t="s">
        <v>26702</v>
      </c>
      <c r="AH4374" t="s">
        <v>2013</v>
      </c>
      <c r="AI4374" t="s">
        <v>26703</v>
      </c>
    </row>
    <row r="4375" spans="2:35" ht="180">
      <c r="B4375" s="1">
        <v>45432</v>
      </c>
      <c r="C4375" s="4">
        <v>45432.67291666667</v>
      </c>
      <c r="D4375" t="s">
        <v>4118</v>
      </c>
      <c r="E4375" t="s">
        <v>26704</v>
      </c>
      <c r="F4375">
        <v>5</v>
      </c>
      <c r="G4375" t="s">
        <v>759</v>
      </c>
      <c r="H4375" t="s">
        <v>39</v>
      </c>
      <c r="I4375" t="s">
        <v>94</v>
      </c>
      <c r="J4375" t="s">
        <v>109</v>
      </c>
      <c r="K4375" t="s">
        <v>42</v>
      </c>
      <c r="L4375" t="s">
        <v>761</v>
      </c>
      <c r="N4375" t="s">
        <v>762</v>
      </c>
      <c r="Q4375">
        <v>28170</v>
      </c>
      <c r="R4375" t="s">
        <v>95</v>
      </c>
      <c r="S4375" t="s">
        <v>12176</v>
      </c>
      <c r="T4375">
        <v>29</v>
      </c>
      <c r="U4375" s="2" t="s">
        <v>26705</v>
      </c>
      <c r="W4375" t="s">
        <v>1827</v>
      </c>
      <c r="X4375">
        <v>110017942</v>
      </c>
      <c r="Y4375" t="s">
        <v>818</v>
      </c>
      <c r="Z4375" s="2" t="s">
        <v>22309</v>
      </c>
      <c r="AA4375" t="s">
        <v>820</v>
      </c>
      <c r="AB4375" t="s">
        <v>70</v>
      </c>
      <c r="AG4375" t="s">
        <v>26706</v>
      </c>
      <c r="AH4375" t="s">
        <v>26707</v>
      </c>
      <c r="AI4375" t="s">
        <v>26708</v>
      </c>
    </row>
    <row r="4376" spans="2:35" ht="150">
      <c r="B4376" s="1">
        <v>45432</v>
      </c>
      <c r="C4376" s="4">
        <v>45427.626388888886</v>
      </c>
      <c r="D4376" t="s">
        <v>660</v>
      </c>
      <c r="E4376" t="s">
        <v>2569</v>
      </c>
      <c r="F4376" t="s">
        <v>148</v>
      </c>
      <c r="G4376" t="s">
        <v>447</v>
      </c>
      <c r="H4376" t="s">
        <v>386</v>
      </c>
      <c r="I4376" t="s">
        <v>40</v>
      </c>
      <c r="J4376" t="s">
        <v>525</v>
      </c>
      <c r="K4376" t="s">
        <v>387</v>
      </c>
      <c r="L4376" t="s">
        <v>448</v>
      </c>
      <c r="N4376" t="s">
        <v>650</v>
      </c>
      <c r="O4376" t="s">
        <v>663</v>
      </c>
      <c r="Q4376">
        <v>28169</v>
      </c>
      <c r="R4376" t="s">
        <v>322</v>
      </c>
      <c r="S4376" t="s">
        <v>26709</v>
      </c>
      <c r="T4376">
        <v>28</v>
      </c>
      <c r="W4376" t="s">
        <v>390</v>
      </c>
      <c r="X4376" t="s">
        <v>5906</v>
      </c>
      <c r="Y4376" t="s">
        <v>26710</v>
      </c>
      <c r="Z4376" s="2" t="s">
        <v>26711</v>
      </c>
      <c r="AA4376" t="s">
        <v>4487</v>
      </c>
      <c r="AB4376" t="s">
        <v>26712</v>
      </c>
      <c r="AG4376" t="s">
        <v>26713</v>
      </c>
      <c r="AH4376" t="s">
        <v>21723</v>
      </c>
      <c r="AI4376" t="s">
        <v>26714</v>
      </c>
    </row>
    <row r="4377" spans="2:35" ht="345">
      <c r="B4377" s="1">
        <v>45432</v>
      </c>
      <c r="C4377" s="4">
        <v>45427.589583333334</v>
      </c>
      <c r="D4377" t="s">
        <v>660</v>
      </c>
      <c r="E4377" t="s">
        <v>2569</v>
      </c>
      <c r="F4377" t="s">
        <v>148</v>
      </c>
      <c r="G4377" t="s">
        <v>447</v>
      </c>
      <c r="H4377" t="s">
        <v>662</v>
      </c>
      <c r="I4377" t="s">
        <v>40</v>
      </c>
      <c r="J4377" t="s">
        <v>109</v>
      </c>
      <c r="K4377" t="s">
        <v>42</v>
      </c>
      <c r="L4377" t="s">
        <v>448</v>
      </c>
      <c r="N4377" t="s">
        <v>650</v>
      </c>
      <c r="O4377" t="s">
        <v>663</v>
      </c>
      <c r="Q4377">
        <v>28168</v>
      </c>
      <c r="R4377" t="s">
        <v>322</v>
      </c>
      <c r="S4377" t="s">
        <v>3987</v>
      </c>
      <c r="T4377">
        <v>25</v>
      </c>
      <c r="U4377" s="2" t="s">
        <v>26715</v>
      </c>
      <c r="W4377" t="s">
        <v>26716</v>
      </c>
      <c r="X4377">
        <v>110014171</v>
      </c>
      <c r="Y4377" t="s">
        <v>485</v>
      </c>
      <c r="Z4377" s="2" t="s">
        <v>2011</v>
      </c>
      <c r="AA4377" t="s">
        <v>122</v>
      </c>
      <c r="AB4377" t="s">
        <v>486</v>
      </c>
      <c r="AG4377" t="s">
        <v>26717</v>
      </c>
      <c r="AH4377" t="s">
        <v>12852</v>
      </c>
      <c r="AI4377" t="s">
        <v>26718</v>
      </c>
    </row>
    <row r="4378" spans="2:35" ht="180">
      <c r="B4378" s="1">
        <v>45432</v>
      </c>
      <c r="C4378" s="4">
        <v>45427.4</v>
      </c>
      <c r="D4378" t="s">
        <v>2176</v>
      </c>
      <c r="E4378" t="s">
        <v>2580</v>
      </c>
      <c r="F4378" t="s">
        <v>148</v>
      </c>
      <c r="G4378" t="s">
        <v>447</v>
      </c>
      <c r="H4378" t="s">
        <v>2581</v>
      </c>
      <c r="I4378" t="s">
        <v>40</v>
      </c>
      <c r="J4378" t="s">
        <v>109</v>
      </c>
      <c r="K4378" t="s">
        <v>42</v>
      </c>
      <c r="L4378" t="s">
        <v>448</v>
      </c>
      <c r="N4378" t="s">
        <v>650</v>
      </c>
      <c r="Q4378">
        <v>28167</v>
      </c>
      <c r="R4378" t="s">
        <v>322</v>
      </c>
      <c r="S4378" t="s">
        <v>2582</v>
      </c>
      <c r="T4378">
        <v>28</v>
      </c>
      <c r="U4378" s="2" t="s">
        <v>26719</v>
      </c>
      <c r="W4378" t="s">
        <v>18179</v>
      </c>
      <c r="X4378">
        <v>110014085</v>
      </c>
      <c r="Y4378" t="s">
        <v>26720</v>
      </c>
      <c r="Z4378" s="2" t="s">
        <v>2011</v>
      </c>
      <c r="AA4378" t="s">
        <v>122</v>
      </c>
      <c r="AB4378" t="s">
        <v>26721</v>
      </c>
      <c r="AG4378" t="s">
        <v>26722</v>
      </c>
      <c r="AH4378" t="s">
        <v>2588</v>
      </c>
      <c r="AI4378" t="s">
        <v>26723</v>
      </c>
    </row>
    <row r="4379" spans="2:35" ht="255">
      <c r="B4379" s="1">
        <v>45432</v>
      </c>
      <c r="C4379" s="4">
        <v>45427.368055555555</v>
      </c>
      <c r="D4379" t="s">
        <v>2176</v>
      </c>
      <c r="E4379" t="s">
        <v>26724</v>
      </c>
      <c r="F4379" t="s">
        <v>148</v>
      </c>
      <c r="G4379" t="s">
        <v>447</v>
      </c>
      <c r="H4379" t="s">
        <v>662</v>
      </c>
      <c r="I4379" t="s">
        <v>40</v>
      </c>
      <c r="J4379" t="s">
        <v>109</v>
      </c>
      <c r="K4379" t="s">
        <v>42</v>
      </c>
      <c r="L4379" t="s">
        <v>448</v>
      </c>
      <c r="N4379" t="s">
        <v>650</v>
      </c>
      <c r="O4379" t="s">
        <v>4140</v>
      </c>
      <c r="Q4379">
        <v>28166</v>
      </c>
      <c r="R4379" t="s">
        <v>322</v>
      </c>
      <c r="S4379" t="s">
        <v>26725</v>
      </c>
      <c r="T4379">
        <v>22</v>
      </c>
      <c r="U4379" s="2" t="s">
        <v>26726</v>
      </c>
      <c r="W4379" t="s">
        <v>4268</v>
      </c>
      <c r="X4379">
        <v>110016781</v>
      </c>
      <c r="Y4379" t="s">
        <v>485</v>
      </c>
      <c r="Z4379" s="2" t="s">
        <v>2011</v>
      </c>
      <c r="AA4379" t="s">
        <v>122</v>
      </c>
      <c r="AB4379" t="s">
        <v>486</v>
      </c>
      <c r="AG4379" t="s">
        <v>26727</v>
      </c>
      <c r="AH4379" t="s">
        <v>2176</v>
      </c>
      <c r="AI4379" t="s">
        <v>26728</v>
      </c>
    </row>
    <row r="4380" spans="2:35" ht="409.5">
      <c r="B4380" s="1">
        <v>45432</v>
      </c>
      <c r="C4380" s="4">
        <v>45429.527083333334</v>
      </c>
      <c r="D4380" t="s">
        <v>2250</v>
      </c>
      <c r="E4380" t="s">
        <v>26729</v>
      </c>
      <c r="F4380" t="s">
        <v>37</v>
      </c>
      <c r="G4380" t="s">
        <v>189</v>
      </c>
      <c r="H4380" t="s">
        <v>39</v>
      </c>
      <c r="I4380" t="s">
        <v>40</v>
      </c>
      <c r="J4380" t="s">
        <v>109</v>
      </c>
      <c r="K4380" t="s">
        <v>42</v>
      </c>
      <c r="L4380" t="s">
        <v>1943</v>
      </c>
      <c r="N4380" t="s">
        <v>1944</v>
      </c>
      <c r="Q4380">
        <v>28165</v>
      </c>
      <c r="R4380" t="s">
        <v>119</v>
      </c>
      <c r="S4380" t="s">
        <v>2252</v>
      </c>
      <c r="T4380">
        <v>25</v>
      </c>
      <c r="U4380" s="2" t="s">
        <v>26730</v>
      </c>
      <c r="W4380" t="s">
        <v>84</v>
      </c>
      <c r="X4380">
        <v>820201</v>
      </c>
      <c r="Y4380" t="s">
        <v>2099</v>
      </c>
      <c r="Z4380" t="s">
        <v>2100</v>
      </c>
      <c r="AA4380" s="2" t="s">
        <v>2101</v>
      </c>
      <c r="AB4380" t="s">
        <v>88</v>
      </c>
      <c r="AG4380" t="s">
        <v>26731</v>
      </c>
      <c r="AH4380" t="s">
        <v>26732</v>
      </c>
      <c r="AI4380" t="s">
        <v>26733</v>
      </c>
    </row>
    <row r="4381" spans="2:35" ht="135">
      <c r="B4381" s="1">
        <v>45432</v>
      </c>
      <c r="C4381" s="4">
        <v>45401.572222222225</v>
      </c>
      <c r="D4381" t="s">
        <v>1614</v>
      </c>
      <c r="E4381" t="s">
        <v>26734</v>
      </c>
      <c r="F4381">
        <v>3</v>
      </c>
      <c r="G4381" t="s">
        <v>174</v>
      </c>
      <c r="H4381" t="s">
        <v>39</v>
      </c>
      <c r="I4381" t="s">
        <v>40</v>
      </c>
      <c r="J4381" t="s">
        <v>525</v>
      </c>
      <c r="K4381" t="s">
        <v>42</v>
      </c>
      <c r="L4381" t="s">
        <v>175</v>
      </c>
      <c r="N4381" t="s">
        <v>176</v>
      </c>
      <c r="Q4381">
        <v>28164</v>
      </c>
      <c r="R4381" t="s">
        <v>45</v>
      </c>
      <c r="S4381" t="s">
        <v>2067</v>
      </c>
      <c r="T4381">
        <v>27</v>
      </c>
      <c r="W4381" t="s">
        <v>84</v>
      </c>
      <c r="X4381">
        <v>814158</v>
      </c>
      <c r="Y4381" t="s">
        <v>22947</v>
      </c>
      <c r="Z4381" t="s">
        <v>2313</v>
      </c>
      <c r="AA4381" t="e">
        <f ca="1">- replaced BIOS battery
- Reset RAM
- checked start up menu boot settings (primary storage _xludf.not found)
- performed _xludf.Power on test</f>
        <v>#NAME?</v>
      </c>
      <c r="AB4381" s="2" t="s">
        <v>26735</v>
      </c>
      <c r="AG4381" t="s">
        <v>26736</v>
      </c>
      <c r="AH4381" t="s">
        <v>26737</v>
      </c>
      <c r="AI4381" t="s">
        <v>26738</v>
      </c>
    </row>
    <row r="4382" spans="2:35" ht="105">
      <c r="B4382" s="1">
        <v>45432</v>
      </c>
      <c r="C4382" s="4">
        <v>45415.588194444441</v>
      </c>
      <c r="D4382" t="s">
        <v>25959</v>
      </c>
      <c r="E4382" t="s">
        <v>25960</v>
      </c>
      <c r="F4382">
        <v>3</v>
      </c>
      <c r="G4382" t="s">
        <v>174</v>
      </c>
      <c r="H4382" t="s">
        <v>39</v>
      </c>
      <c r="I4382" t="s">
        <v>40</v>
      </c>
      <c r="J4382" s="2" t="s">
        <v>41</v>
      </c>
      <c r="K4382" t="s">
        <v>42</v>
      </c>
      <c r="L4382" t="s">
        <v>175</v>
      </c>
      <c r="N4382" t="s">
        <v>176</v>
      </c>
      <c r="Q4382">
        <v>28163</v>
      </c>
      <c r="R4382" t="s">
        <v>119</v>
      </c>
      <c r="S4382" t="s">
        <v>25961</v>
      </c>
      <c r="T4382">
        <v>25</v>
      </c>
      <c r="U4382" s="2" t="s">
        <v>1509</v>
      </c>
      <c r="V4382" s="1">
        <v>45415</v>
      </c>
      <c r="W4382" t="s">
        <v>84</v>
      </c>
      <c r="X4382">
        <v>831711</v>
      </c>
      <c r="Y4382" t="s">
        <v>570</v>
      </c>
      <c r="Z4382" t="s">
        <v>25962</v>
      </c>
      <c r="AA4382" t="e">
        <f ca="1">- replaced module A2
- checked _xludf.and cleaned cartridge bay,plunger rod, _xludf.filter
- generated reports
- performed self test</f>
        <v>#NAME?</v>
      </c>
      <c r="AB4382" t="s">
        <v>181</v>
      </c>
      <c r="AD4382" s="2" t="s">
        <v>25963</v>
      </c>
      <c r="AE4382" t="s">
        <v>4448</v>
      </c>
      <c r="AG4382" t="s">
        <v>26739</v>
      </c>
      <c r="AH4382" t="s">
        <v>25965</v>
      </c>
      <c r="AI4382" t="s">
        <v>26740</v>
      </c>
    </row>
    <row r="4383" spans="2:35" ht="105">
      <c r="B4383" s="1">
        <v>45432</v>
      </c>
      <c r="C4383" s="4">
        <v>45419.486111111109</v>
      </c>
      <c r="D4383" t="s">
        <v>25967</v>
      </c>
      <c r="E4383" t="s">
        <v>25968</v>
      </c>
      <c r="F4383">
        <v>3</v>
      </c>
      <c r="G4383" t="s">
        <v>174</v>
      </c>
      <c r="H4383" t="s">
        <v>39</v>
      </c>
      <c r="I4383" t="s">
        <v>40</v>
      </c>
      <c r="J4383" t="s">
        <v>109</v>
      </c>
      <c r="K4383" t="s">
        <v>42</v>
      </c>
      <c r="L4383" t="s">
        <v>175</v>
      </c>
      <c r="N4383" t="s">
        <v>176</v>
      </c>
      <c r="Q4383">
        <v>28162</v>
      </c>
      <c r="R4383" t="s">
        <v>119</v>
      </c>
      <c r="S4383" t="s">
        <v>25969</v>
      </c>
      <c r="T4383">
        <v>25</v>
      </c>
      <c r="U4383" s="2" t="s">
        <v>25300</v>
      </c>
      <c r="W4383" t="s">
        <v>84</v>
      </c>
      <c r="X4383">
        <v>831691</v>
      </c>
      <c r="Y4383" t="s">
        <v>374</v>
      </c>
      <c r="Z4383" t="s">
        <v>103</v>
      </c>
      <c r="AA4383" t="e">
        <f ca="1">- checked _xludf.and cleaned cartridge bay, plunger rod, _xludf.filter
- generated reports
- performed self test</f>
        <v>#NAME?</v>
      </c>
      <c r="AB4383" t="s">
        <v>181</v>
      </c>
      <c r="AG4383" t="s">
        <v>26741</v>
      </c>
      <c r="AH4383" t="s">
        <v>25971</v>
      </c>
      <c r="AI4383" t="s">
        <v>26742</v>
      </c>
    </row>
    <row r="4384" spans="2:35" ht="210">
      <c r="B4384" s="1">
        <v>45432</v>
      </c>
      <c r="C4384" s="4">
        <v>45426.575694444444</v>
      </c>
      <c r="D4384" t="s">
        <v>3615</v>
      </c>
      <c r="E4384" t="s">
        <v>3616</v>
      </c>
      <c r="F4384">
        <v>3</v>
      </c>
      <c r="G4384" t="s">
        <v>174</v>
      </c>
      <c r="H4384" t="s">
        <v>39</v>
      </c>
      <c r="I4384" t="s">
        <v>40</v>
      </c>
      <c r="J4384" t="s">
        <v>109</v>
      </c>
      <c r="K4384" t="s">
        <v>42</v>
      </c>
      <c r="L4384" t="s">
        <v>175</v>
      </c>
      <c r="N4384" t="s">
        <v>176</v>
      </c>
      <c r="Q4384">
        <v>28161</v>
      </c>
      <c r="R4384" t="s">
        <v>119</v>
      </c>
      <c r="S4384" t="s">
        <v>23152</v>
      </c>
      <c r="T4384">
        <v>28</v>
      </c>
      <c r="U4384" s="2" t="s">
        <v>23153</v>
      </c>
      <c r="W4384" t="s">
        <v>84</v>
      </c>
      <c r="X4384">
        <v>831641</v>
      </c>
      <c r="Y4384" t="s">
        <v>374</v>
      </c>
      <c r="Z4384" t="s">
        <v>375</v>
      </c>
      <c r="AA4384" t="e">
        <f ca="1">- checked _xludf.and cleaned cartridge bay, plunger rod, _xludf.filter
- generated reports
- performed self test</f>
        <v>#NAME?</v>
      </c>
      <c r="AB4384" s="2" t="s">
        <v>23154</v>
      </c>
      <c r="AG4384" t="s">
        <v>26743</v>
      </c>
      <c r="AH4384" t="s">
        <v>23156</v>
      </c>
      <c r="AI4384" t="s">
        <v>26744</v>
      </c>
    </row>
    <row r="4385" spans="2:35" ht="210">
      <c r="B4385" s="1">
        <v>45432</v>
      </c>
      <c r="C4385" s="4">
        <v>45426.651388888888</v>
      </c>
      <c r="D4385" t="s">
        <v>3705</v>
      </c>
      <c r="E4385" t="s">
        <v>3706</v>
      </c>
      <c r="F4385">
        <v>3</v>
      </c>
      <c r="G4385" t="s">
        <v>174</v>
      </c>
      <c r="H4385" t="s">
        <v>39</v>
      </c>
      <c r="I4385" t="s">
        <v>40</v>
      </c>
      <c r="J4385" t="s">
        <v>109</v>
      </c>
      <c r="K4385" t="s">
        <v>42</v>
      </c>
      <c r="L4385" t="s">
        <v>175</v>
      </c>
      <c r="N4385" t="s">
        <v>176</v>
      </c>
      <c r="Q4385">
        <v>28160</v>
      </c>
      <c r="R4385" t="s">
        <v>119</v>
      </c>
      <c r="S4385" t="s">
        <v>3707</v>
      </c>
      <c r="T4385">
        <v>28</v>
      </c>
      <c r="U4385" s="2" t="s">
        <v>25986</v>
      </c>
      <c r="W4385" t="s">
        <v>84</v>
      </c>
      <c r="X4385">
        <v>831897</v>
      </c>
      <c r="Y4385" t="s">
        <v>374</v>
      </c>
      <c r="Z4385" t="s">
        <v>103</v>
      </c>
      <c r="AA4385" t="e">
        <f ca="1">- checked _xludf.and cleaned cartridge bay, plunger rod, _xludf.filter
- generated reports
- performed self test</f>
        <v>#NAME?</v>
      </c>
      <c r="AB4385" t="s">
        <v>181</v>
      </c>
      <c r="AG4385" t="s">
        <v>26745</v>
      </c>
      <c r="AH4385" t="s">
        <v>25988</v>
      </c>
      <c r="AI4385" t="s">
        <v>26746</v>
      </c>
    </row>
    <row r="4386" spans="2:35" ht="180">
      <c r="B4386" s="1">
        <v>45432</v>
      </c>
      <c r="C4386" s="4">
        <v>45427.542361111111</v>
      </c>
      <c r="D4386" t="s">
        <v>25952</v>
      </c>
      <c r="E4386" t="s">
        <v>25953</v>
      </c>
      <c r="F4386" t="s">
        <v>148</v>
      </c>
      <c r="G4386" t="s">
        <v>447</v>
      </c>
      <c r="H4386" t="s">
        <v>39</v>
      </c>
      <c r="I4386" t="s">
        <v>40</v>
      </c>
      <c r="J4386" t="s">
        <v>109</v>
      </c>
      <c r="K4386" t="s">
        <v>42</v>
      </c>
      <c r="L4386" t="s">
        <v>175</v>
      </c>
      <c r="N4386" t="s">
        <v>176</v>
      </c>
      <c r="Q4386">
        <v>28159</v>
      </c>
      <c r="R4386" t="s">
        <v>119</v>
      </c>
      <c r="S4386" t="s">
        <v>25954</v>
      </c>
      <c r="T4386">
        <v>27</v>
      </c>
      <c r="U4386" s="2" t="s">
        <v>25955</v>
      </c>
      <c r="W4386" t="s">
        <v>84</v>
      </c>
      <c r="X4386">
        <v>831612</v>
      </c>
      <c r="Y4386" t="s">
        <v>374</v>
      </c>
      <c r="Z4386" t="s">
        <v>103</v>
      </c>
      <c r="AA4386" t="e">
        <f ca="1">- checked _xludf.and cleaned cartridge bay, plunger rod, _xludf.filter
- generated reports
- performed self test</f>
        <v>#NAME?</v>
      </c>
      <c r="AB4386" t="s">
        <v>181</v>
      </c>
      <c r="AG4386" t="s">
        <v>26747</v>
      </c>
      <c r="AH4386" t="s">
        <v>25957</v>
      </c>
      <c r="AI4386" t="s">
        <v>26748</v>
      </c>
    </row>
    <row r="4387" spans="2:35" ht="105">
      <c r="B4387" s="1">
        <v>45432</v>
      </c>
      <c r="C4387" s="4">
        <v>45428.55</v>
      </c>
      <c r="D4387" t="s">
        <v>172</v>
      </c>
      <c r="E4387" t="s">
        <v>1308</v>
      </c>
      <c r="F4387">
        <v>3</v>
      </c>
      <c r="G4387" t="s">
        <v>174</v>
      </c>
      <c r="H4387" t="s">
        <v>39</v>
      </c>
      <c r="I4387" t="s">
        <v>40</v>
      </c>
      <c r="J4387" t="s">
        <v>109</v>
      </c>
      <c r="K4387" t="s">
        <v>42</v>
      </c>
      <c r="L4387" t="s">
        <v>175</v>
      </c>
      <c r="N4387" t="s">
        <v>176</v>
      </c>
      <c r="Q4387">
        <v>28158</v>
      </c>
      <c r="R4387" t="s">
        <v>119</v>
      </c>
      <c r="S4387" t="s">
        <v>177</v>
      </c>
      <c r="T4387">
        <v>30</v>
      </c>
      <c r="U4387" s="2" t="s">
        <v>25977</v>
      </c>
      <c r="W4387" t="s">
        <v>84</v>
      </c>
      <c r="X4387">
        <v>831692</v>
      </c>
      <c r="Y4387" t="s">
        <v>374</v>
      </c>
      <c r="Z4387" t="s">
        <v>103</v>
      </c>
      <c r="AA4387" t="e">
        <f ca="1">- checked _xludf.and cleaned cartridge bay, plunger rod, _xludf.filter
- generated reports
- performed self test</f>
        <v>#NAME?</v>
      </c>
      <c r="AB4387" t="s">
        <v>181</v>
      </c>
      <c r="AG4387" t="s">
        <v>26749</v>
      </c>
      <c r="AH4387" t="s">
        <v>3211</v>
      </c>
      <c r="AI4387" t="s">
        <v>26750</v>
      </c>
    </row>
    <row r="4388" spans="2:35" ht="315">
      <c r="B4388" s="1">
        <v>45432</v>
      </c>
      <c r="C4388" s="4">
        <v>45426.37777777778</v>
      </c>
      <c r="D4388" t="s">
        <v>1057</v>
      </c>
      <c r="E4388" t="s">
        <v>26751</v>
      </c>
      <c r="F4388">
        <v>1</v>
      </c>
      <c r="G4388" t="s">
        <v>1046</v>
      </c>
      <c r="H4388" t="s">
        <v>39</v>
      </c>
      <c r="I4388" t="s">
        <v>40</v>
      </c>
      <c r="J4388" s="2" t="s">
        <v>62</v>
      </c>
      <c r="K4388" t="s">
        <v>42</v>
      </c>
      <c r="L4388" t="s">
        <v>1048</v>
      </c>
      <c r="N4388" t="s">
        <v>1049</v>
      </c>
      <c r="Q4388">
        <v>28157</v>
      </c>
      <c r="R4388" t="s">
        <v>95</v>
      </c>
      <c r="S4388" t="s">
        <v>1059</v>
      </c>
      <c r="T4388">
        <v>28</v>
      </c>
      <c r="U4388" s="2" t="s">
        <v>26752</v>
      </c>
      <c r="W4388" t="s">
        <v>1060</v>
      </c>
      <c r="X4388">
        <v>820303</v>
      </c>
      <c r="Y4388" t="s">
        <v>19602</v>
      </c>
      <c r="Z4388" t="e">
        <f ca="1">- cleaned cartridge Bays, plunger Rods _xludf.and I-CORE
- performed XpertCheck
- generated reports</f>
        <v>#NAME?</v>
      </c>
      <c r="AA4388" t="s">
        <v>20523</v>
      </c>
      <c r="AB4388" s="2" t="s">
        <v>26753</v>
      </c>
      <c r="AC4388" t="s">
        <v>26754</v>
      </c>
      <c r="AG4388" t="s">
        <v>26755</v>
      </c>
      <c r="AH4388" t="s">
        <v>3393</v>
      </c>
      <c r="AI4388" t="s">
        <v>26756</v>
      </c>
    </row>
    <row r="4389" spans="2:35" ht="210">
      <c r="B4389" s="1">
        <v>45432</v>
      </c>
      <c r="C4389" s="4">
        <v>45429.522222222222</v>
      </c>
      <c r="D4389" t="s">
        <v>25980</v>
      </c>
      <c r="E4389" t="s">
        <v>3234</v>
      </c>
      <c r="F4389">
        <v>3</v>
      </c>
      <c r="G4389" t="s">
        <v>174</v>
      </c>
      <c r="H4389" t="s">
        <v>39</v>
      </c>
      <c r="I4389" t="s">
        <v>40</v>
      </c>
      <c r="J4389" t="s">
        <v>525</v>
      </c>
      <c r="K4389" t="s">
        <v>42</v>
      </c>
      <c r="L4389" t="s">
        <v>175</v>
      </c>
      <c r="N4389" t="s">
        <v>176</v>
      </c>
      <c r="Q4389">
        <v>28156</v>
      </c>
      <c r="R4389" t="s">
        <v>119</v>
      </c>
      <c r="S4389" t="s">
        <v>3235</v>
      </c>
      <c r="T4389">
        <v>27</v>
      </c>
      <c r="U4389" s="2" t="s">
        <v>25981</v>
      </c>
      <c r="W4389" t="s">
        <v>84</v>
      </c>
      <c r="X4389">
        <v>831904</v>
      </c>
      <c r="Y4389" t="s">
        <v>25982</v>
      </c>
      <c r="Z4389" t="s">
        <v>103</v>
      </c>
      <c r="AA4389" t="e">
        <f ca="1">- checked _xludf.and cleaned _xludf.filter
- generated reports
- performed self test</f>
        <v>#NAME?</v>
      </c>
      <c r="AB4389" s="2" t="s">
        <v>25983</v>
      </c>
      <c r="AG4389" t="s">
        <v>26757</v>
      </c>
      <c r="AH4389" t="s">
        <v>22677</v>
      </c>
      <c r="AI4389" t="s">
        <v>26758</v>
      </c>
    </row>
    <row r="4390" spans="2:35" ht="360">
      <c r="B4390" s="1">
        <v>45432</v>
      </c>
      <c r="C4390" s="4">
        <v>45429.501388888886</v>
      </c>
      <c r="D4390" t="s">
        <v>5174</v>
      </c>
      <c r="E4390" t="s">
        <v>26759</v>
      </c>
      <c r="F4390" t="s">
        <v>37</v>
      </c>
      <c r="G4390" t="s">
        <v>748</v>
      </c>
      <c r="H4390" t="s">
        <v>39</v>
      </c>
      <c r="I4390" t="s">
        <v>40</v>
      </c>
      <c r="J4390" s="2" t="s">
        <v>62</v>
      </c>
      <c r="K4390" t="s">
        <v>42</v>
      </c>
      <c r="L4390" t="s">
        <v>1028</v>
      </c>
      <c r="N4390" t="s">
        <v>1029</v>
      </c>
      <c r="Q4390">
        <v>28155</v>
      </c>
      <c r="R4390" t="s">
        <v>119</v>
      </c>
      <c r="S4390" t="s">
        <v>5176</v>
      </c>
      <c r="T4390">
        <v>27</v>
      </c>
      <c r="U4390" s="2" t="s">
        <v>26760</v>
      </c>
      <c r="V4390" s="1">
        <v>45414</v>
      </c>
      <c r="W4390" t="s">
        <v>1967</v>
      </c>
      <c r="X4390">
        <v>838535</v>
      </c>
      <c r="Y4390" t="s">
        <v>18140</v>
      </c>
      <c r="Z4390" s="2" t="s">
        <v>26761</v>
      </c>
      <c r="AA4390" s="2" t="s">
        <v>26762</v>
      </c>
      <c r="AB4390" t="s">
        <v>3300</v>
      </c>
      <c r="AC4390" t="s">
        <v>26763</v>
      </c>
      <c r="AD4390" t="s">
        <v>7189</v>
      </c>
      <c r="AE4390" t="s">
        <v>26764</v>
      </c>
      <c r="AG4390" t="s">
        <v>26765</v>
      </c>
      <c r="AH4390" t="s">
        <v>26766</v>
      </c>
      <c r="AI4390" t="s">
        <v>26767</v>
      </c>
    </row>
    <row r="4391" spans="2:35" ht="225">
      <c r="B4391" s="1">
        <v>45432</v>
      </c>
      <c r="C4391" s="4">
        <v>45429.604861111111</v>
      </c>
      <c r="D4391" t="s">
        <v>1107</v>
      </c>
      <c r="E4391" t="s">
        <v>1108</v>
      </c>
      <c r="F4391" t="s">
        <v>37</v>
      </c>
      <c r="G4391" t="s">
        <v>38</v>
      </c>
      <c r="H4391" t="s">
        <v>39</v>
      </c>
      <c r="I4391" t="s">
        <v>40</v>
      </c>
      <c r="J4391" t="s">
        <v>109</v>
      </c>
      <c r="K4391" t="s">
        <v>42</v>
      </c>
      <c r="L4391" t="s">
        <v>43</v>
      </c>
      <c r="N4391" t="s">
        <v>44</v>
      </c>
      <c r="Q4391">
        <v>28154</v>
      </c>
      <c r="R4391" t="s">
        <v>119</v>
      </c>
      <c r="S4391" t="s">
        <v>26768</v>
      </c>
      <c r="T4391">
        <v>24</v>
      </c>
      <c r="U4391" s="2" t="s">
        <v>22967</v>
      </c>
      <c r="W4391" t="s">
        <v>48</v>
      </c>
      <c r="X4391">
        <v>819864</v>
      </c>
      <c r="Y4391" t="s">
        <v>121</v>
      </c>
      <c r="Z4391" t="s">
        <v>122</v>
      </c>
      <c r="AA4391" s="2" t="s">
        <v>10915</v>
      </c>
      <c r="AB4391" t="s">
        <v>16412</v>
      </c>
      <c r="AG4391" t="s">
        <v>26769</v>
      </c>
      <c r="AH4391" t="s">
        <v>26770</v>
      </c>
      <c r="AI4391" t="s">
        <v>26771</v>
      </c>
    </row>
    <row r="4392" spans="2:35" ht="225">
      <c r="B4392" s="1">
        <v>45432</v>
      </c>
      <c r="C4392" s="4">
        <v>45429.45</v>
      </c>
      <c r="D4392" t="s">
        <v>4197</v>
      </c>
      <c r="E4392" t="s">
        <v>3533</v>
      </c>
      <c r="F4392" t="s">
        <v>37</v>
      </c>
      <c r="G4392" t="s">
        <v>38</v>
      </c>
      <c r="H4392" t="s">
        <v>39</v>
      </c>
      <c r="I4392" t="s">
        <v>40</v>
      </c>
      <c r="J4392" t="s">
        <v>109</v>
      </c>
      <c r="K4392" t="s">
        <v>42</v>
      </c>
      <c r="L4392" t="s">
        <v>43</v>
      </c>
      <c r="N4392" t="s">
        <v>44</v>
      </c>
      <c r="Q4392">
        <v>28153</v>
      </c>
      <c r="R4392" t="s">
        <v>119</v>
      </c>
      <c r="S4392" t="s">
        <v>111</v>
      </c>
      <c r="T4392">
        <v>25</v>
      </c>
      <c r="U4392" s="2" t="s">
        <v>26772</v>
      </c>
      <c r="W4392" t="s">
        <v>48</v>
      </c>
      <c r="X4392">
        <v>831623</v>
      </c>
      <c r="Y4392" t="s">
        <v>121</v>
      </c>
      <c r="Z4392" t="s">
        <v>122</v>
      </c>
      <c r="AA4392" s="2" t="s">
        <v>123</v>
      </c>
      <c r="AB4392" t="s">
        <v>26773</v>
      </c>
      <c r="AG4392" t="s">
        <v>26774</v>
      </c>
      <c r="AH4392" t="s">
        <v>117</v>
      </c>
      <c r="AI4392" t="s">
        <v>26775</v>
      </c>
    </row>
    <row r="4393" spans="2:35" ht="345">
      <c r="B4393" s="1">
        <v>45429</v>
      </c>
      <c r="C4393" s="4">
        <v>45429.657638888886</v>
      </c>
      <c r="D4393" t="s">
        <v>26776</v>
      </c>
      <c r="E4393" t="s">
        <v>26777</v>
      </c>
      <c r="F4393" t="s">
        <v>148</v>
      </c>
      <c r="G4393" t="s">
        <v>447</v>
      </c>
      <c r="H4393" t="s">
        <v>39</v>
      </c>
      <c r="I4393" t="s">
        <v>40</v>
      </c>
      <c r="J4393" t="s">
        <v>79</v>
      </c>
      <c r="K4393" t="s">
        <v>26778</v>
      </c>
      <c r="L4393" t="s">
        <v>857</v>
      </c>
      <c r="N4393" t="s">
        <v>858</v>
      </c>
      <c r="Q4393">
        <v>28152</v>
      </c>
      <c r="R4393" t="s">
        <v>703</v>
      </c>
      <c r="S4393" t="s">
        <v>26779</v>
      </c>
      <c r="T4393">
        <v>25</v>
      </c>
      <c r="W4393" t="s">
        <v>26780</v>
      </c>
      <c r="X4393">
        <v>5131.3195999999998</v>
      </c>
      <c r="Y4393" t="s">
        <v>26781</v>
      </c>
      <c r="Z4393" s="2" t="s">
        <v>26782</v>
      </c>
      <c r="AA4393" t="s">
        <v>26783</v>
      </c>
      <c r="AB4393" t="s">
        <v>181</v>
      </c>
      <c r="AG4393" t="s">
        <v>26784</v>
      </c>
      <c r="AH4393" t="s">
        <v>26785</v>
      </c>
      <c r="AI4393" t="s">
        <v>26786</v>
      </c>
    </row>
    <row r="4394" spans="2:35" ht="300">
      <c r="B4394" s="1">
        <v>45429</v>
      </c>
      <c r="C4394" s="4">
        <v>45429.568749999999</v>
      </c>
      <c r="D4394" t="s">
        <v>2510</v>
      </c>
      <c r="E4394" t="s">
        <v>26787</v>
      </c>
      <c r="F4394" t="s">
        <v>37</v>
      </c>
      <c r="G4394" t="s">
        <v>2499</v>
      </c>
      <c r="H4394" t="s">
        <v>39</v>
      </c>
      <c r="I4394" t="s">
        <v>40</v>
      </c>
      <c r="J4394" s="2" t="s">
        <v>41</v>
      </c>
      <c r="K4394" t="s">
        <v>42</v>
      </c>
      <c r="L4394" t="s">
        <v>15532</v>
      </c>
      <c r="N4394" t="s">
        <v>15533</v>
      </c>
      <c r="Q4394">
        <v>28151</v>
      </c>
      <c r="R4394" t="s">
        <v>119</v>
      </c>
      <c r="S4394" t="s">
        <v>2512</v>
      </c>
      <c r="T4394">
        <v>20</v>
      </c>
      <c r="U4394" s="2" t="s">
        <v>26788</v>
      </c>
      <c r="V4394" s="1">
        <v>45407</v>
      </c>
      <c r="W4394" t="s">
        <v>15535</v>
      </c>
      <c r="X4394">
        <v>831890</v>
      </c>
      <c r="Y4394" t="s">
        <v>49</v>
      </c>
      <c r="Z4394" s="2" t="s">
        <v>26789</v>
      </c>
      <c r="AA4394" s="2" t="s">
        <v>26790</v>
      </c>
      <c r="AB4394" s="2" t="s">
        <v>17371</v>
      </c>
      <c r="AD4394" t="s">
        <v>15847</v>
      </c>
      <c r="AE4394" t="s">
        <v>26791</v>
      </c>
      <c r="AG4394" t="s">
        <v>26792</v>
      </c>
      <c r="AH4394" t="s">
        <v>26793</v>
      </c>
      <c r="AI4394" t="s">
        <v>26794</v>
      </c>
    </row>
    <row r="4395" spans="2:35" ht="240">
      <c r="B4395" s="1">
        <v>45429</v>
      </c>
      <c r="C4395" s="4">
        <v>45429.52847222222</v>
      </c>
      <c r="D4395" t="s">
        <v>1203</v>
      </c>
      <c r="E4395" t="s">
        <v>25425</v>
      </c>
      <c r="F4395">
        <v>11</v>
      </c>
      <c r="G4395" t="s">
        <v>1205</v>
      </c>
      <c r="H4395" t="s">
        <v>25426</v>
      </c>
      <c r="I4395" t="s">
        <v>40</v>
      </c>
      <c r="J4395" s="2" t="s">
        <v>355</v>
      </c>
      <c r="K4395" t="s">
        <v>387</v>
      </c>
      <c r="L4395" t="s">
        <v>204</v>
      </c>
      <c r="N4395" t="s">
        <v>205</v>
      </c>
      <c r="O4395" t="s">
        <v>2867</v>
      </c>
      <c r="Q4395">
        <v>28150</v>
      </c>
      <c r="R4395" t="s">
        <v>95</v>
      </c>
      <c r="S4395" t="s">
        <v>6315</v>
      </c>
      <c r="T4395">
        <v>24.6</v>
      </c>
      <c r="W4395" t="s">
        <v>390</v>
      </c>
      <c r="X4395" t="s">
        <v>6867</v>
      </c>
      <c r="Y4395" t="s">
        <v>26795</v>
      </c>
      <c r="Z4395" s="2" t="s">
        <v>26796</v>
      </c>
      <c r="AA4395" t="s">
        <v>17160</v>
      </c>
      <c r="AB4395" s="2" t="s">
        <v>26797</v>
      </c>
      <c r="AC4395" t="s">
        <v>26798</v>
      </c>
      <c r="AG4395" t="s">
        <v>26799</v>
      </c>
      <c r="AH4395" t="s">
        <v>26800</v>
      </c>
      <c r="AI4395" t="s">
        <v>26801</v>
      </c>
    </row>
    <row r="4396" spans="2:35" ht="409.5">
      <c r="B4396" s="1">
        <v>45429</v>
      </c>
      <c r="C4396" s="4">
        <v>45429.459722222222</v>
      </c>
      <c r="D4396" t="s">
        <v>26802</v>
      </c>
      <c r="E4396" t="s">
        <v>26803</v>
      </c>
      <c r="F4396" t="s">
        <v>37</v>
      </c>
      <c r="G4396" t="s">
        <v>189</v>
      </c>
      <c r="H4396" t="s">
        <v>39</v>
      </c>
      <c r="I4396" t="s">
        <v>40</v>
      </c>
      <c r="J4396" t="s">
        <v>109</v>
      </c>
      <c r="K4396" t="s">
        <v>42</v>
      </c>
      <c r="L4396" t="s">
        <v>1943</v>
      </c>
      <c r="N4396" t="s">
        <v>1944</v>
      </c>
      <c r="Q4396">
        <v>28149</v>
      </c>
      <c r="R4396" t="s">
        <v>119</v>
      </c>
      <c r="S4396" t="s">
        <v>26804</v>
      </c>
      <c r="T4396">
        <v>25</v>
      </c>
      <c r="U4396" s="2" t="s">
        <v>19946</v>
      </c>
      <c r="W4396" t="s">
        <v>84</v>
      </c>
      <c r="X4396">
        <v>821297</v>
      </c>
      <c r="Y4396" t="s">
        <v>2099</v>
      </c>
      <c r="Z4396" t="s">
        <v>2100</v>
      </c>
      <c r="AA4396" s="2" t="s">
        <v>2101</v>
      </c>
      <c r="AB4396" t="s">
        <v>88</v>
      </c>
      <c r="AG4396" t="s">
        <v>26805</v>
      </c>
      <c r="AH4396" t="s">
        <v>26806</v>
      </c>
      <c r="AI4396" t="s">
        <v>26807</v>
      </c>
    </row>
    <row r="4397" spans="2:35" ht="360">
      <c r="B4397" s="1">
        <v>45429</v>
      </c>
      <c r="C4397" s="4">
        <v>45427.386111111111</v>
      </c>
      <c r="D4397" t="s">
        <v>26808</v>
      </c>
      <c r="E4397" t="s">
        <v>26809</v>
      </c>
      <c r="F4397" t="s">
        <v>37</v>
      </c>
      <c r="G4397" t="s">
        <v>748</v>
      </c>
      <c r="H4397" t="s">
        <v>39</v>
      </c>
      <c r="I4397" t="s">
        <v>40</v>
      </c>
      <c r="J4397" s="2" t="s">
        <v>190</v>
      </c>
      <c r="K4397" t="s">
        <v>42</v>
      </c>
      <c r="L4397" t="s">
        <v>1028</v>
      </c>
      <c r="N4397" t="s">
        <v>1029</v>
      </c>
      <c r="Q4397">
        <v>28147</v>
      </c>
      <c r="R4397" t="s">
        <v>119</v>
      </c>
      <c r="S4397" t="s">
        <v>26810</v>
      </c>
      <c r="T4397">
        <v>27</v>
      </c>
      <c r="U4397" s="2" t="s">
        <v>20841</v>
      </c>
      <c r="W4397" t="s">
        <v>1967</v>
      </c>
      <c r="X4397">
        <v>820705</v>
      </c>
      <c r="Y4397" t="s">
        <v>26811</v>
      </c>
      <c r="Z4397" t="s">
        <v>10920</v>
      </c>
      <c r="AA4397" s="2" t="s">
        <v>26812</v>
      </c>
      <c r="AB4397" t="s">
        <v>26813</v>
      </c>
      <c r="AG4397" t="s">
        <v>26814</v>
      </c>
      <c r="AH4397" t="s">
        <v>26815</v>
      </c>
      <c r="AI4397" t="s">
        <v>26816</v>
      </c>
    </row>
    <row r="4398" spans="2:35" ht="300">
      <c r="B4398" s="1">
        <v>45429</v>
      </c>
      <c r="C4398" s="4">
        <v>45427.478472222225</v>
      </c>
      <c r="D4398" t="s">
        <v>2257</v>
      </c>
      <c r="E4398" t="s">
        <v>19295</v>
      </c>
      <c r="F4398" t="s">
        <v>37</v>
      </c>
      <c r="G4398" t="s">
        <v>748</v>
      </c>
      <c r="H4398" t="s">
        <v>39</v>
      </c>
      <c r="I4398" t="s">
        <v>40</v>
      </c>
      <c r="J4398" s="2" t="s">
        <v>62</v>
      </c>
      <c r="K4398" t="s">
        <v>42</v>
      </c>
      <c r="L4398" t="s">
        <v>1028</v>
      </c>
      <c r="N4398" t="s">
        <v>1029</v>
      </c>
      <c r="Q4398">
        <v>28148</v>
      </c>
      <c r="R4398" t="s">
        <v>119</v>
      </c>
      <c r="S4398" t="s">
        <v>8974</v>
      </c>
      <c r="T4398">
        <v>27</v>
      </c>
      <c r="U4398" s="2" t="s">
        <v>26817</v>
      </c>
      <c r="V4398" s="1">
        <v>45414</v>
      </c>
      <c r="W4398" t="s">
        <v>1967</v>
      </c>
      <c r="X4398">
        <v>838537</v>
      </c>
      <c r="Y4398" t="s">
        <v>1547</v>
      </c>
      <c r="Z4398" t="s">
        <v>21244</v>
      </c>
      <c r="AA4398" s="2" t="s">
        <v>26818</v>
      </c>
      <c r="AB4398" t="s">
        <v>26819</v>
      </c>
      <c r="AC4398" t="s">
        <v>26820</v>
      </c>
      <c r="AD4398" t="s">
        <v>7189</v>
      </c>
      <c r="AE4398" t="s">
        <v>26821</v>
      </c>
      <c r="AG4398" t="s">
        <v>26822</v>
      </c>
      <c r="AH4398" t="s">
        <v>8978</v>
      </c>
      <c r="AI4398" t="s">
        <v>26823</v>
      </c>
    </row>
    <row r="4399" spans="2:35" ht="405">
      <c r="B4399" s="1">
        <v>45428</v>
      </c>
      <c r="C4399" s="4">
        <v>45428.618750000001</v>
      </c>
      <c r="D4399" t="s">
        <v>22594</v>
      </c>
      <c r="E4399" t="s">
        <v>22595</v>
      </c>
      <c r="F4399" t="s">
        <v>148</v>
      </c>
      <c r="G4399" t="s">
        <v>447</v>
      </c>
      <c r="H4399" t="s">
        <v>39</v>
      </c>
      <c r="I4399" t="s">
        <v>40</v>
      </c>
      <c r="J4399" s="2" t="s">
        <v>62</v>
      </c>
      <c r="K4399" t="s">
        <v>42</v>
      </c>
      <c r="L4399" t="s">
        <v>15532</v>
      </c>
      <c r="N4399" t="s">
        <v>15533</v>
      </c>
      <c r="Q4399">
        <v>28146</v>
      </c>
      <c r="R4399" t="s">
        <v>119</v>
      </c>
      <c r="S4399" t="s">
        <v>22596</v>
      </c>
      <c r="T4399">
        <v>27</v>
      </c>
      <c r="U4399" s="2" t="s">
        <v>26824</v>
      </c>
      <c r="V4399" s="1">
        <v>45425</v>
      </c>
      <c r="W4399" t="s">
        <v>15535</v>
      </c>
      <c r="X4399">
        <v>831901</v>
      </c>
      <c r="Y4399" t="s">
        <v>26825</v>
      </c>
      <c r="Z4399" s="2" t="s">
        <v>26826</v>
      </c>
      <c r="AA4399" s="2" t="s">
        <v>26827</v>
      </c>
      <c r="AB4399" s="2" t="s">
        <v>17371</v>
      </c>
      <c r="AD4399" t="s">
        <v>7189</v>
      </c>
      <c r="AE4399" t="s">
        <v>26828</v>
      </c>
      <c r="AG4399" t="s">
        <v>26829</v>
      </c>
      <c r="AH4399" t="s">
        <v>26830</v>
      </c>
      <c r="AI4399" t="s">
        <v>26831</v>
      </c>
    </row>
    <row r="4400" spans="2:35" ht="315">
      <c r="B4400" s="1">
        <v>45428</v>
      </c>
      <c r="C4400" s="4">
        <v>45428.553472222222</v>
      </c>
      <c r="D4400" t="s">
        <v>7810</v>
      </c>
      <c r="E4400" t="s">
        <v>7811</v>
      </c>
      <c r="F4400">
        <v>11</v>
      </c>
      <c r="G4400" t="s">
        <v>1205</v>
      </c>
      <c r="H4400" t="s">
        <v>202</v>
      </c>
      <c r="I4400" t="s">
        <v>40</v>
      </c>
      <c r="J4400" t="s">
        <v>525</v>
      </c>
      <c r="K4400" t="s">
        <v>42</v>
      </c>
      <c r="L4400" t="s">
        <v>204</v>
      </c>
      <c r="N4400" t="s">
        <v>205</v>
      </c>
      <c r="Q4400">
        <v>28145</v>
      </c>
      <c r="R4400" t="s">
        <v>119</v>
      </c>
      <c r="S4400" t="s">
        <v>7812</v>
      </c>
      <c r="T4400">
        <v>27.5</v>
      </c>
      <c r="U4400" s="2" t="s">
        <v>24082</v>
      </c>
      <c r="W4400" t="s">
        <v>23237</v>
      </c>
      <c r="X4400">
        <v>838232</v>
      </c>
      <c r="Y4400" t="s">
        <v>2851</v>
      </c>
      <c r="Z4400" s="2" t="s">
        <v>1321</v>
      </c>
      <c r="AA4400" t="s">
        <v>2551</v>
      </c>
      <c r="AB4400" t="s">
        <v>26832</v>
      </c>
      <c r="AG4400" t="s">
        <v>26833</v>
      </c>
      <c r="AH4400" t="s">
        <v>21404</v>
      </c>
      <c r="AI4400" t="s">
        <v>26834</v>
      </c>
    </row>
    <row r="4401" spans="2:35" ht="135">
      <c r="B4401" s="1">
        <v>45428</v>
      </c>
      <c r="C4401" s="4">
        <v>45428.489583333336</v>
      </c>
      <c r="D4401" t="s">
        <v>7634</v>
      </c>
      <c r="E4401" t="s">
        <v>26835</v>
      </c>
      <c r="F4401">
        <v>13</v>
      </c>
      <c r="G4401" t="s">
        <v>4484</v>
      </c>
      <c r="H4401" t="s">
        <v>2125</v>
      </c>
      <c r="I4401" t="s">
        <v>40</v>
      </c>
      <c r="J4401" t="s">
        <v>109</v>
      </c>
      <c r="K4401" t="s">
        <v>42</v>
      </c>
      <c r="L4401" t="s">
        <v>933</v>
      </c>
      <c r="N4401" t="s">
        <v>934</v>
      </c>
      <c r="Q4401">
        <v>28144</v>
      </c>
      <c r="R4401" t="s">
        <v>119</v>
      </c>
      <c r="S4401" t="s">
        <v>12142</v>
      </c>
      <c r="T4401">
        <v>28.274999999999999</v>
      </c>
      <c r="U4401" s="2" t="s">
        <v>25547</v>
      </c>
      <c r="W4401" t="s">
        <v>10610</v>
      </c>
      <c r="X4401">
        <v>837611</v>
      </c>
      <c r="Y4401" t="s">
        <v>26836</v>
      </c>
      <c r="Z4401" t="s">
        <v>26837</v>
      </c>
      <c r="AA4401" t="s">
        <v>3128</v>
      </c>
      <c r="AB4401" s="2" t="s">
        <v>24555</v>
      </c>
      <c r="AG4401" t="s">
        <v>26838</v>
      </c>
      <c r="AH4401" t="s">
        <v>12147</v>
      </c>
      <c r="AI4401" t="s">
        <v>26839</v>
      </c>
    </row>
    <row r="4402" spans="2:35" ht="105">
      <c r="B4402" s="1">
        <v>45428</v>
      </c>
      <c r="C4402" s="4">
        <v>45428.492361111108</v>
      </c>
      <c r="D4402" t="s">
        <v>8654</v>
      </c>
      <c r="E4402" t="s">
        <v>8655</v>
      </c>
      <c r="F4402">
        <v>8</v>
      </c>
      <c r="G4402" t="s">
        <v>257</v>
      </c>
      <c r="H4402" t="s">
        <v>202</v>
      </c>
      <c r="I4402" t="s">
        <v>40</v>
      </c>
      <c r="J4402" t="s">
        <v>109</v>
      </c>
      <c r="K4402" t="s">
        <v>42</v>
      </c>
      <c r="L4402" t="s">
        <v>259</v>
      </c>
      <c r="N4402" t="s">
        <v>260</v>
      </c>
      <c r="O4402" t="s">
        <v>260</v>
      </c>
      <c r="Q4402">
        <v>28143</v>
      </c>
      <c r="R4402" t="s">
        <v>119</v>
      </c>
      <c r="S4402" t="s">
        <v>23351</v>
      </c>
      <c r="T4402">
        <v>28</v>
      </c>
      <c r="U4402" s="2" t="s">
        <v>17735</v>
      </c>
      <c r="V4402" s="1">
        <v>45428</v>
      </c>
      <c r="W4402" t="s">
        <v>84</v>
      </c>
      <c r="X4402">
        <v>838409</v>
      </c>
      <c r="Y4402" t="s">
        <v>263</v>
      </c>
      <c r="Z4402" t="e">
        <f ca="1">- Preventive Maintenance</f>
        <v>#NAME?</v>
      </c>
      <c r="AA4402" t="e">
        <f ca="1">- Preventive Maintenance (cleaned cartridge bay, plunger rod, icore _xludf.and FAN _xludf.filter)</f>
        <v>#NAME?</v>
      </c>
      <c r="AB4402" t="s">
        <v>181</v>
      </c>
      <c r="AG4402" t="s">
        <v>26840</v>
      </c>
      <c r="AH4402" t="s">
        <v>26841</v>
      </c>
      <c r="AI4402" t="s">
        <v>26842</v>
      </c>
    </row>
    <row r="4403" spans="2:35" ht="315">
      <c r="B4403" s="1">
        <v>45428</v>
      </c>
      <c r="C4403" s="4">
        <v>45428.464583333334</v>
      </c>
      <c r="D4403" t="s">
        <v>2272</v>
      </c>
      <c r="E4403" t="s">
        <v>26843</v>
      </c>
      <c r="F4403" t="s">
        <v>148</v>
      </c>
      <c r="G4403" t="s">
        <v>310</v>
      </c>
      <c r="H4403" t="s">
        <v>386</v>
      </c>
      <c r="I4403" t="s">
        <v>40</v>
      </c>
      <c r="J4403" t="s">
        <v>109</v>
      </c>
      <c r="K4403" t="s">
        <v>387</v>
      </c>
      <c r="L4403" t="s">
        <v>1943</v>
      </c>
      <c r="N4403" t="s">
        <v>1944</v>
      </c>
      <c r="Q4403">
        <v>28142</v>
      </c>
      <c r="R4403" t="s">
        <v>95</v>
      </c>
      <c r="S4403" t="s">
        <v>2276</v>
      </c>
      <c r="T4403">
        <v>25</v>
      </c>
      <c r="W4403" t="s">
        <v>390</v>
      </c>
      <c r="X4403" t="s">
        <v>2277</v>
      </c>
      <c r="Y4403" t="s">
        <v>2099</v>
      </c>
      <c r="Z4403" t="s">
        <v>2100</v>
      </c>
      <c r="AA4403" s="2" t="s">
        <v>2278</v>
      </c>
      <c r="AB4403" t="s">
        <v>88</v>
      </c>
      <c r="AG4403" t="s">
        <v>26844</v>
      </c>
      <c r="AH4403" t="s">
        <v>8409</v>
      </c>
      <c r="AI4403" t="s">
        <v>26845</v>
      </c>
    </row>
    <row r="4404" spans="2:35" ht="240">
      <c r="B4404" s="1">
        <v>45428</v>
      </c>
      <c r="C4404" s="4">
        <v>45428.463888888888</v>
      </c>
      <c r="D4404" t="s">
        <v>1686</v>
      </c>
      <c r="E4404" t="s">
        <v>26846</v>
      </c>
      <c r="F4404" t="s">
        <v>148</v>
      </c>
      <c r="G4404" t="s">
        <v>785</v>
      </c>
      <c r="H4404" t="s">
        <v>39</v>
      </c>
      <c r="I4404" t="s">
        <v>40</v>
      </c>
      <c r="J4404" t="s">
        <v>26847</v>
      </c>
      <c r="K4404" t="s">
        <v>42</v>
      </c>
      <c r="L4404" t="s">
        <v>43</v>
      </c>
      <c r="N4404" t="s">
        <v>44</v>
      </c>
      <c r="Q4404">
        <v>28141</v>
      </c>
      <c r="R4404" t="s">
        <v>322</v>
      </c>
      <c r="S4404" t="s">
        <v>1688</v>
      </c>
      <c r="T4404">
        <v>23</v>
      </c>
      <c r="U4404" s="2" t="s">
        <v>10854</v>
      </c>
      <c r="V4404" s="1">
        <v>45427</v>
      </c>
      <c r="W4404" t="s">
        <v>153</v>
      </c>
      <c r="X4404">
        <v>110024245</v>
      </c>
      <c r="Y4404" t="s">
        <v>15866</v>
      </c>
      <c r="Z4404" t="s">
        <v>11027</v>
      </c>
      <c r="AA4404" s="2" t="s">
        <v>26848</v>
      </c>
      <c r="AB4404" t="s">
        <v>88</v>
      </c>
      <c r="AD4404" s="2" t="s">
        <v>26849</v>
      </c>
      <c r="AE4404" t="s">
        <v>26850</v>
      </c>
      <c r="AG4404" t="s">
        <v>26851</v>
      </c>
      <c r="AH4404" t="s">
        <v>8273</v>
      </c>
      <c r="AI4404" t="s">
        <v>26852</v>
      </c>
    </row>
    <row r="4405" spans="2:35" ht="165">
      <c r="B4405" s="1">
        <v>45428</v>
      </c>
      <c r="C4405" s="4">
        <v>45428.412499999999</v>
      </c>
      <c r="D4405" t="s">
        <v>4218</v>
      </c>
      <c r="E4405" t="s">
        <v>4219</v>
      </c>
      <c r="F4405">
        <v>3</v>
      </c>
      <c r="G4405" t="s">
        <v>1722</v>
      </c>
      <c r="H4405" t="s">
        <v>39</v>
      </c>
      <c r="I4405" t="s">
        <v>40</v>
      </c>
      <c r="J4405" s="2" t="s">
        <v>41</v>
      </c>
      <c r="K4405" t="s">
        <v>42</v>
      </c>
      <c r="L4405" t="s">
        <v>63</v>
      </c>
      <c r="N4405" t="s">
        <v>64</v>
      </c>
      <c r="Q4405">
        <v>28140</v>
      </c>
      <c r="R4405" t="s">
        <v>119</v>
      </c>
      <c r="S4405" t="s">
        <v>4220</v>
      </c>
      <c r="T4405">
        <v>27</v>
      </c>
      <c r="U4405" s="2" t="s">
        <v>24590</v>
      </c>
      <c r="W4405" t="s">
        <v>66</v>
      </c>
      <c r="X4405">
        <v>831637</v>
      </c>
      <c r="Y4405" t="s">
        <v>26853</v>
      </c>
      <c r="Z4405" s="2" t="s">
        <v>26854</v>
      </c>
      <c r="AA4405" s="2" t="s">
        <v>1727</v>
      </c>
      <c r="AB4405" t="s">
        <v>70</v>
      </c>
      <c r="AG4405" t="s">
        <v>26855</v>
      </c>
      <c r="AH4405" t="s">
        <v>26856</v>
      </c>
      <c r="AI4405" t="s">
        <v>26857</v>
      </c>
    </row>
    <row r="4406" spans="2:35" ht="165">
      <c r="B4406" s="1">
        <v>45428</v>
      </c>
      <c r="C4406" s="4">
        <v>45428.412499999999</v>
      </c>
      <c r="D4406" t="s">
        <v>4218</v>
      </c>
      <c r="E4406" t="s">
        <v>4219</v>
      </c>
      <c r="F4406">
        <v>3</v>
      </c>
      <c r="G4406" t="s">
        <v>1722</v>
      </c>
      <c r="H4406" t="s">
        <v>39</v>
      </c>
      <c r="I4406" t="s">
        <v>40</v>
      </c>
      <c r="J4406" s="2" t="s">
        <v>41</v>
      </c>
      <c r="K4406" t="s">
        <v>42</v>
      </c>
      <c r="L4406" t="s">
        <v>63</v>
      </c>
      <c r="N4406" t="s">
        <v>64</v>
      </c>
      <c r="Q4406">
        <v>28139</v>
      </c>
      <c r="R4406" t="s">
        <v>119</v>
      </c>
      <c r="S4406" t="s">
        <v>4220</v>
      </c>
      <c r="T4406">
        <v>27</v>
      </c>
      <c r="U4406" s="2" t="s">
        <v>24590</v>
      </c>
      <c r="W4406" t="s">
        <v>66</v>
      </c>
      <c r="X4406">
        <v>831637</v>
      </c>
      <c r="Y4406" t="s">
        <v>26853</v>
      </c>
      <c r="Z4406" s="2" t="s">
        <v>26854</v>
      </c>
      <c r="AA4406" s="2" t="s">
        <v>1727</v>
      </c>
      <c r="AB4406" t="s">
        <v>70</v>
      </c>
      <c r="AG4406" t="s">
        <v>26858</v>
      </c>
      <c r="AH4406" t="s">
        <v>26856</v>
      </c>
      <c r="AI4406" t="s">
        <v>26859</v>
      </c>
    </row>
    <row r="4407" spans="2:35" ht="300">
      <c r="B4407" s="1">
        <v>45428</v>
      </c>
      <c r="C4407" s="4">
        <v>45428.401388888888</v>
      </c>
      <c r="D4407" t="s">
        <v>15557</v>
      </c>
      <c r="E4407" t="s">
        <v>15558</v>
      </c>
      <c r="F4407" t="s">
        <v>148</v>
      </c>
      <c r="G4407" t="s">
        <v>447</v>
      </c>
      <c r="H4407" t="s">
        <v>39</v>
      </c>
      <c r="I4407" t="s">
        <v>40</v>
      </c>
      <c r="J4407" t="s">
        <v>109</v>
      </c>
      <c r="K4407" t="s">
        <v>42</v>
      </c>
      <c r="L4407" t="s">
        <v>15532</v>
      </c>
      <c r="N4407" t="s">
        <v>15533</v>
      </c>
      <c r="Q4407">
        <v>28138</v>
      </c>
      <c r="R4407" t="s">
        <v>703</v>
      </c>
      <c r="S4407" t="s">
        <v>7787</v>
      </c>
      <c r="T4407">
        <v>26</v>
      </c>
      <c r="U4407" s="2" t="s">
        <v>26860</v>
      </c>
      <c r="W4407" t="s">
        <v>15535</v>
      </c>
      <c r="X4407">
        <v>840975</v>
      </c>
      <c r="Y4407" t="s">
        <v>15536</v>
      </c>
      <c r="Z4407" s="2" t="s">
        <v>26861</v>
      </c>
      <c r="AA4407" s="2" t="s">
        <v>26381</v>
      </c>
      <c r="AB4407" s="2" t="s">
        <v>17371</v>
      </c>
      <c r="AG4407" t="s">
        <v>26862</v>
      </c>
      <c r="AH4407" t="s">
        <v>26863</v>
      </c>
      <c r="AI4407" t="s">
        <v>26864</v>
      </c>
    </row>
    <row r="4408" spans="2:35" ht="105">
      <c r="B4408" s="1">
        <v>45428</v>
      </c>
      <c r="C4408" s="4">
        <v>45428.356249999997</v>
      </c>
      <c r="D4408" t="s">
        <v>26865</v>
      </c>
      <c r="E4408" t="s">
        <v>26866</v>
      </c>
      <c r="F4408">
        <v>3</v>
      </c>
      <c r="G4408" t="s">
        <v>1722</v>
      </c>
      <c r="H4408" t="s">
        <v>39</v>
      </c>
      <c r="I4408" t="s">
        <v>40</v>
      </c>
      <c r="J4408" t="s">
        <v>109</v>
      </c>
      <c r="K4408" t="s">
        <v>42</v>
      </c>
      <c r="L4408" t="s">
        <v>63</v>
      </c>
      <c r="N4408" t="s">
        <v>64</v>
      </c>
      <c r="Q4408">
        <v>28137</v>
      </c>
      <c r="R4408" t="s">
        <v>119</v>
      </c>
      <c r="S4408" t="s">
        <v>26867</v>
      </c>
      <c r="T4408">
        <v>28</v>
      </c>
      <c r="U4408" s="2" t="s">
        <v>26868</v>
      </c>
      <c r="W4408" t="s">
        <v>66</v>
      </c>
      <c r="X4408">
        <v>831562</v>
      </c>
      <c r="Y4408" t="s">
        <v>2692</v>
      </c>
      <c r="Z4408" t="s">
        <v>10275</v>
      </c>
      <c r="AA4408" s="2" t="s">
        <v>7015</v>
      </c>
      <c r="AB4408" t="s">
        <v>70</v>
      </c>
      <c r="AG4408" t="s">
        <v>26869</v>
      </c>
      <c r="AH4408" t="s">
        <v>26870</v>
      </c>
      <c r="AI4408" t="s">
        <v>26871</v>
      </c>
    </row>
    <row r="4409" spans="2:35" ht="255">
      <c r="B4409" s="1">
        <v>45427</v>
      </c>
      <c r="C4409" s="4">
        <v>45427.527777777781</v>
      </c>
      <c r="D4409" t="s">
        <v>6844</v>
      </c>
      <c r="E4409" t="s">
        <v>23040</v>
      </c>
      <c r="F4409">
        <v>12</v>
      </c>
      <c r="G4409" t="s">
        <v>294</v>
      </c>
      <c r="H4409" t="s">
        <v>39</v>
      </c>
      <c r="I4409" t="s">
        <v>40</v>
      </c>
      <c r="J4409" s="2" t="s">
        <v>190</v>
      </c>
      <c r="K4409" t="s">
        <v>42</v>
      </c>
      <c r="L4409" t="s">
        <v>296</v>
      </c>
      <c r="N4409" t="s">
        <v>297</v>
      </c>
      <c r="Q4409">
        <v>28136</v>
      </c>
      <c r="R4409" t="s">
        <v>119</v>
      </c>
      <c r="S4409" t="s">
        <v>16342</v>
      </c>
      <c r="T4409">
        <v>27.6</v>
      </c>
      <c r="U4409" s="2" t="s">
        <v>25977</v>
      </c>
      <c r="W4409" t="s">
        <v>23049</v>
      </c>
      <c r="X4409">
        <v>838261</v>
      </c>
      <c r="Y4409" s="2" t="s">
        <v>26872</v>
      </c>
      <c r="Z4409" s="2" t="s">
        <v>26873</v>
      </c>
      <c r="AA4409" s="2" t="s">
        <v>26874</v>
      </c>
      <c r="AB4409" t="s">
        <v>972</v>
      </c>
      <c r="AC4409" t="s">
        <v>26875</v>
      </c>
      <c r="AG4409" t="s">
        <v>26876</v>
      </c>
      <c r="AH4409" t="s">
        <v>26877</v>
      </c>
      <c r="AI4409" t="s">
        <v>26878</v>
      </c>
    </row>
    <row r="4410" spans="2:35" ht="409.5">
      <c r="B4410" s="1">
        <v>45427</v>
      </c>
      <c r="C4410" s="4">
        <v>45427.520833333336</v>
      </c>
      <c r="D4410" t="s">
        <v>3712</v>
      </c>
      <c r="E4410" t="s">
        <v>3713</v>
      </c>
      <c r="F4410" t="s">
        <v>148</v>
      </c>
      <c r="G4410" t="s">
        <v>310</v>
      </c>
      <c r="H4410" t="s">
        <v>2274</v>
      </c>
      <c r="I4410" t="s">
        <v>40</v>
      </c>
      <c r="J4410" s="2" t="s">
        <v>62</v>
      </c>
      <c r="K4410" t="s">
        <v>387</v>
      </c>
      <c r="L4410" t="s">
        <v>1943</v>
      </c>
      <c r="N4410" t="s">
        <v>1944</v>
      </c>
      <c r="Q4410">
        <v>28135</v>
      </c>
      <c r="R4410" t="s">
        <v>322</v>
      </c>
      <c r="S4410" t="s">
        <v>9747</v>
      </c>
      <c r="T4410">
        <v>25</v>
      </c>
      <c r="W4410" t="s">
        <v>390</v>
      </c>
      <c r="X4410" t="s">
        <v>16210</v>
      </c>
      <c r="Y4410" s="2" t="s">
        <v>6820</v>
      </c>
      <c r="Z4410" t="s">
        <v>6821</v>
      </c>
      <c r="AA4410" s="2" t="s">
        <v>26879</v>
      </c>
      <c r="AB4410" t="s">
        <v>88</v>
      </c>
      <c r="AG4410" t="s">
        <v>26880</v>
      </c>
      <c r="AH4410" t="s">
        <v>26881</v>
      </c>
      <c r="AI4410" t="s">
        <v>26882</v>
      </c>
    </row>
    <row r="4411" spans="2:35" ht="409.5">
      <c r="B4411" s="1">
        <v>45427</v>
      </c>
      <c r="C4411" s="4">
        <v>45427.518055555556</v>
      </c>
      <c r="D4411" t="s">
        <v>3712</v>
      </c>
      <c r="E4411" t="s">
        <v>3713</v>
      </c>
      <c r="F4411" t="s">
        <v>148</v>
      </c>
      <c r="G4411" t="s">
        <v>310</v>
      </c>
      <c r="H4411" t="s">
        <v>2274</v>
      </c>
      <c r="I4411" t="s">
        <v>40</v>
      </c>
      <c r="J4411" s="2" t="s">
        <v>62</v>
      </c>
      <c r="K4411" t="s">
        <v>387</v>
      </c>
      <c r="L4411" t="s">
        <v>1943</v>
      </c>
      <c r="N4411" t="s">
        <v>1944</v>
      </c>
      <c r="Q4411">
        <v>28134</v>
      </c>
      <c r="R4411" t="s">
        <v>322</v>
      </c>
      <c r="S4411" t="s">
        <v>9747</v>
      </c>
      <c r="T4411">
        <v>25</v>
      </c>
      <c r="W4411" t="s">
        <v>390</v>
      </c>
      <c r="X4411" t="s">
        <v>4180</v>
      </c>
      <c r="Y4411" s="2" t="s">
        <v>6820</v>
      </c>
      <c r="Z4411" t="s">
        <v>6821</v>
      </c>
      <c r="AA4411" s="2" t="s">
        <v>26879</v>
      </c>
      <c r="AB4411" t="s">
        <v>88</v>
      </c>
      <c r="AG4411" t="s">
        <v>26883</v>
      </c>
      <c r="AH4411" t="s">
        <v>10576</v>
      </c>
      <c r="AI4411" t="s">
        <v>26884</v>
      </c>
    </row>
    <row r="4412" spans="2:35" ht="285">
      <c r="B4412" s="1">
        <v>45427</v>
      </c>
      <c r="C4412" s="4">
        <v>45427.544444444444</v>
      </c>
      <c r="D4412" t="s">
        <v>15531</v>
      </c>
      <c r="E4412" t="s">
        <v>26885</v>
      </c>
      <c r="F4412" t="s">
        <v>148</v>
      </c>
      <c r="G4412" t="s">
        <v>310</v>
      </c>
      <c r="H4412" t="s">
        <v>39</v>
      </c>
      <c r="I4412" t="s">
        <v>40</v>
      </c>
      <c r="J4412" t="s">
        <v>109</v>
      </c>
      <c r="K4412" t="s">
        <v>42</v>
      </c>
      <c r="L4412" t="s">
        <v>15532</v>
      </c>
      <c r="N4412" t="s">
        <v>15533</v>
      </c>
      <c r="Q4412">
        <v>28133</v>
      </c>
      <c r="R4412" t="s">
        <v>703</v>
      </c>
      <c r="S4412" t="s">
        <v>2912</v>
      </c>
      <c r="T4412">
        <v>29</v>
      </c>
      <c r="U4412" s="2" t="s">
        <v>26886</v>
      </c>
      <c r="W4412" t="s">
        <v>15535</v>
      </c>
      <c r="X4412">
        <v>835540</v>
      </c>
      <c r="Y4412" t="s">
        <v>15536</v>
      </c>
      <c r="Z4412" s="2" t="s">
        <v>26887</v>
      </c>
      <c r="AA4412" s="2" t="s">
        <v>26381</v>
      </c>
      <c r="AB4412" s="2" t="s">
        <v>17371</v>
      </c>
      <c r="AG4412" t="s">
        <v>26888</v>
      </c>
      <c r="AH4412" t="s">
        <v>26889</v>
      </c>
      <c r="AI4412" t="s">
        <v>26890</v>
      </c>
    </row>
    <row r="4413" spans="2:35" ht="105">
      <c r="B4413" s="1">
        <v>45427</v>
      </c>
      <c r="C4413" s="4">
        <v>45427.548611111109</v>
      </c>
      <c r="D4413" t="s">
        <v>16716</v>
      </c>
      <c r="E4413" t="s">
        <v>1128</v>
      </c>
      <c r="F4413">
        <v>8</v>
      </c>
      <c r="G4413" t="s">
        <v>342</v>
      </c>
      <c r="H4413" t="s">
        <v>202</v>
      </c>
      <c r="I4413" t="s">
        <v>40</v>
      </c>
      <c r="J4413" t="s">
        <v>109</v>
      </c>
      <c r="K4413" t="s">
        <v>42</v>
      </c>
      <c r="L4413" t="s">
        <v>259</v>
      </c>
      <c r="N4413" t="s">
        <v>260</v>
      </c>
      <c r="Q4413">
        <v>28132</v>
      </c>
      <c r="R4413" t="s">
        <v>119</v>
      </c>
      <c r="S4413" t="s">
        <v>23172</v>
      </c>
      <c r="T4413">
        <v>22</v>
      </c>
      <c r="U4413" s="2" t="s">
        <v>22967</v>
      </c>
      <c r="V4413" s="1">
        <v>45427</v>
      </c>
      <c r="W4413" t="s">
        <v>84</v>
      </c>
      <c r="X4413">
        <v>838421</v>
      </c>
      <c r="Y4413" t="s">
        <v>26594</v>
      </c>
      <c r="Z4413" t="s">
        <v>263</v>
      </c>
      <c r="AA4413" t="e">
        <f ca="1">- Preventive Maintenance
- Changed FAN _xludf.filter</f>
        <v>#NAME?</v>
      </c>
      <c r="AB4413" t="s">
        <v>181</v>
      </c>
      <c r="AG4413" t="s">
        <v>26891</v>
      </c>
      <c r="AH4413" t="s">
        <v>23174</v>
      </c>
      <c r="AI4413" t="s">
        <v>26892</v>
      </c>
    </row>
    <row r="4414" spans="2:35" ht="225">
      <c r="B4414" s="1">
        <v>45427</v>
      </c>
      <c r="C4414" s="4">
        <v>45427.46597222222</v>
      </c>
      <c r="D4414" t="s">
        <v>13380</v>
      </c>
      <c r="E4414" t="s">
        <v>26893</v>
      </c>
      <c r="F4414" t="s">
        <v>148</v>
      </c>
      <c r="G4414" t="s">
        <v>544</v>
      </c>
      <c r="H4414" t="s">
        <v>39</v>
      </c>
      <c r="I4414" t="s">
        <v>40</v>
      </c>
      <c r="J4414" t="s">
        <v>109</v>
      </c>
      <c r="K4414" t="s">
        <v>42</v>
      </c>
      <c r="L4414" t="s">
        <v>43</v>
      </c>
      <c r="N4414" t="s">
        <v>44</v>
      </c>
      <c r="Q4414">
        <v>28131</v>
      </c>
      <c r="R4414" t="s">
        <v>703</v>
      </c>
      <c r="S4414" t="s">
        <v>26894</v>
      </c>
      <c r="T4414">
        <v>26</v>
      </c>
      <c r="U4414" s="2" t="s">
        <v>16004</v>
      </c>
      <c r="W4414" t="s">
        <v>48</v>
      </c>
      <c r="X4414">
        <v>110008418</v>
      </c>
      <c r="Y4414" t="s">
        <v>121</v>
      </c>
      <c r="Z4414" t="s">
        <v>122</v>
      </c>
      <c r="AA4414" s="2" t="s">
        <v>123</v>
      </c>
      <c r="AB4414" t="s">
        <v>16412</v>
      </c>
      <c r="AG4414" t="s">
        <v>26895</v>
      </c>
      <c r="AH4414" t="s">
        <v>26896</v>
      </c>
      <c r="AI4414" t="s">
        <v>26897</v>
      </c>
    </row>
    <row r="4415" spans="2:35" ht="409.5">
      <c r="B4415" s="1">
        <v>45427</v>
      </c>
      <c r="C4415" s="4">
        <v>45427.435416666667</v>
      </c>
      <c r="D4415" t="s">
        <v>3119</v>
      </c>
      <c r="E4415" t="s">
        <v>11858</v>
      </c>
      <c r="F4415" t="s">
        <v>148</v>
      </c>
      <c r="G4415" t="s">
        <v>310</v>
      </c>
      <c r="H4415" t="s">
        <v>39</v>
      </c>
      <c r="I4415" t="s">
        <v>40</v>
      </c>
      <c r="J4415" t="s">
        <v>109</v>
      </c>
      <c r="K4415" t="s">
        <v>42</v>
      </c>
      <c r="L4415" t="s">
        <v>15532</v>
      </c>
      <c r="N4415" t="s">
        <v>15533</v>
      </c>
      <c r="Q4415">
        <v>28130</v>
      </c>
      <c r="R4415" t="s">
        <v>95</v>
      </c>
      <c r="S4415" t="s">
        <v>22500</v>
      </c>
      <c r="T4415">
        <v>20</v>
      </c>
      <c r="U4415" s="2" t="s">
        <v>26898</v>
      </c>
      <c r="W4415" t="s">
        <v>20940</v>
      </c>
      <c r="X4415">
        <v>110001648</v>
      </c>
      <c r="Y4415" t="s">
        <v>15536</v>
      </c>
      <c r="Z4415" s="2" t="s">
        <v>26899</v>
      </c>
      <c r="AA4415" s="2" t="s">
        <v>26900</v>
      </c>
      <c r="AB4415" s="2" t="s">
        <v>24995</v>
      </c>
      <c r="AG4415" t="s">
        <v>26901</v>
      </c>
      <c r="AH4415" t="s">
        <v>26902</v>
      </c>
      <c r="AI4415" t="s">
        <v>26903</v>
      </c>
    </row>
    <row r="4416" spans="2:35" ht="240">
      <c r="B4416" s="1">
        <v>45427</v>
      </c>
      <c r="C4416" s="4">
        <v>45426.419444444444</v>
      </c>
      <c r="D4416" t="s">
        <v>5546</v>
      </c>
      <c r="E4416" t="s">
        <v>1555</v>
      </c>
      <c r="F4416">
        <v>7</v>
      </c>
      <c r="G4416" t="s">
        <v>432</v>
      </c>
      <c r="H4416" t="s">
        <v>39</v>
      </c>
      <c r="I4416" t="s">
        <v>40</v>
      </c>
      <c r="J4416" s="2" t="s">
        <v>609</v>
      </c>
      <c r="K4416" t="s">
        <v>42</v>
      </c>
      <c r="L4416" t="s">
        <v>433</v>
      </c>
      <c r="N4416" t="s">
        <v>434</v>
      </c>
      <c r="Q4416">
        <v>28129</v>
      </c>
      <c r="R4416" t="s">
        <v>119</v>
      </c>
      <c r="S4416" t="s">
        <v>5548</v>
      </c>
      <c r="T4416">
        <v>28</v>
      </c>
      <c r="W4416" t="s">
        <v>12212</v>
      </c>
      <c r="X4416">
        <v>838527</v>
      </c>
      <c r="Y4416" t="s">
        <v>26904</v>
      </c>
      <c r="Z4416" s="2" t="s">
        <v>26905</v>
      </c>
      <c r="AA4416" s="2" t="s">
        <v>26905</v>
      </c>
      <c r="AB4416" s="2" t="s">
        <v>26906</v>
      </c>
      <c r="AG4416" t="s">
        <v>26907</v>
      </c>
      <c r="AH4416" t="s">
        <v>26908</v>
      </c>
      <c r="AI4416" t="s">
        <v>26909</v>
      </c>
    </row>
    <row r="4417" spans="2:35" ht="225">
      <c r="B4417" s="1">
        <v>45426</v>
      </c>
      <c r="C4417" s="4">
        <v>45426.461111111108</v>
      </c>
      <c r="D4417" t="s">
        <v>976</v>
      </c>
      <c r="E4417" t="s">
        <v>14526</v>
      </c>
      <c r="F4417">
        <v>12</v>
      </c>
      <c r="G4417" t="s">
        <v>978</v>
      </c>
      <c r="H4417" t="s">
        <v>1473</v>
      </c>
      <c r="I4417" t="s">
        <v>40</v>
      </c>
      <c r="J4417" t="s">
        <v>109</v>
      </c>
      <c r="K4417" t="s">
        <v>42</v>
      </c>
      <c r="L4417" t="s">
        <v>296</v>
      </c>
      <c r="N4417" t="s">
        <v>297</v>
      </c>
      <c r="Q4417">
        <v>28128</v>
      </c>
      <c r="R4417" t="s">
        <v>119</v>
      </c>
      <c r="S4417" t="s">
        <v>26910</v>
      </c>
      <c r="T4417">
        <v>23.6</v>
      </c>
      <c r="U4417" s="2" t="s">
        <v>26911</v>
      </c>
      <c r="W4417" t="s">
        <v>23049</v>
      </c>
      <c r="X4417">
        <v>838543</v>
      </c>
      <c r="Y4417" t="s">
        <v>54</v>
      </c>
      <c r="Z4417" s="2" t="s">
        <v>26912</v>
      </c>
      <c r="AA4417" t="s">
        <v>9161</v>
      </c>
      <c r="AB4417" t="s">
        <v>972</v>
      </c>
      <c r="AG4417" t="s">
        <v>26913</v>
      </c>
      <c r="AH4417" t="s">
        <v>14529</v>
      </c>
      <c r="AI4417" t="s">
        <v>26914</v>
      </c>
    </row>
    <row r="4418" spans="2:35" ht="165">
      <c r="B4418" s="1">
        <v>45426</v>
      </c>
      <c r="C4418" s="4">
        <v>45426.609722222223</v>
      </c>
      <c r="D4418" t="s">
        <v>23687</v>
      </c>
      <c r="E4418" t="s">
        <v>23688</v>
      </c>
      <c r="F4418">
        <v>3</v>
      </c>
      <c r="G4418" t="s">
        <v>1722</v>
      </c>
      <c r="H4418" t="s">
        <v>39</v>
      </c>
      <c r="I4418" t="s">
        <v>40</v>
      </c>
      <c r="J4418" s="2" t="s">
        <v>62</v>
      </c>
      <c r="K4418" t="s">
        <v>42</v>
      </c>
      <c r="L4418" t="s">
        <v>63</v>
      </c>
      <c r="N4418" t="s">
        <v>64</v>
      </c>
      <c r="Q4418">
        <v>28127</v>
      </c>
      <c r="R4418" t="s">
        <v>119</v>
      </c>
      <c r="S4418" t="s">
        <v>23689</v>
      </c>
      <c r="T4418">
        <v>28</v>
      </c>
      <c r="U4418" s="2" t="s">
        <v>23690</v>
      </c>
      <c r="W4418" t="s">
        <v>26915</v>
      </c>
      <c r="X4418">
        <v>831592</v>
      </c>
      <c r="Y4418" t="s">
        <v>67</v>
      </c>
      <c r="Z4418" s="2" t="s">
        <v>26916</v>
      </c>
      <c r="AA4418" s="2" t="s">
        <v>1727</v>
      </c>
      <c r="AB4418" t="s">
        <v>70</v>
      </c>
      <c r="AG4418" t="s">
        <v>26917</v>
      </c>
      <c r="AH4418" t="s">
        <v>23694</v>
      </c>
      <c r="AI4418" t="s">
        <v>26918</v>
      </c>
    </row>
    <row r="4419" spans="2:35" ht="105">
      <c r="B4419" s="1">
        <v>45426</v>
      </c>
      <c r="C4419" s="4">
        <v>45426.6</v>
      </c>
      <c r="D4419" t="s">
        <v>18001</v>
      </c>
      <c r="E4419" t="s">
        <v>18002</v>
      </c>
      <c r="F4419">
        <v>7</v>
      </c>
      <c r="G4419" t="s">
        <v>432</v>
      </c>
      <c r="H4419" t="s">
        <v>10969</v>
      </c>
      <c r="I4419" t="s">
        <v>40</v>
      </c>
      <c r="J4419" t="s">
        <v>109</v>
      </c>
      <c r="K4419" t="s">
        <v>42</v>
      </c>
      <c r="L4419" t="s">
        <v>1288</v>
      </c>
      <c r="N4419" t="s">
        <v>1289</v>
      </c>
      <c r="Q4419">
        <v>28126</v>
      </c>
      <c r="R4419" t="s">
        <v>119</v>
      </c>
      <c r="S4419" t="s">
        <v>16307</v>
      </c>
      <c r="T4419">
        <v>25</v>
      </c>
      <c r="U4419" s="2" t="s">
        <v>26919</v>
      </c>
      <c r="W4419" t="s">
        <v>1292</v>
      </c>
      <c r="X4419">
        <v>837661</v>
      </c>
      <c r="Y4419" t="e">
        <f ca="1">-_xludf.For Preventive Maintenance</f>
        <v>#NAME?</v>
      </c>
      <c r="Z4419" t="e">
        <f ca="1">-COLLECT IQR, system _xludf.Log, _xludf.and ARCHIVE</f>
        <v>#NAME?</v>
      </c>
      <c r="AA4419" t="e">
        <f ca="1">-PERFORM Cleaning of GeneXpert EQUIPMENT
-PERFORM Preventive Maintenance PROCEDURE</f>
        <v>#NAME?</v>
      </c>
      <c r="AB4419" t="s">
        <v>1293</v>
      </c>
      <c r="AG4419" t="s">
        <v>26920</v>
      </c>
      <c r="AH4419" t="s">
        <v>14408</v>
      </c>
      <c r="AI4419" t="s">
        <v>26921</v>
      </c>
    </row>
    <row r="4420" spans="2:35" ht="409.5">
      <c r="B4420" s="1">
        <v>45426</v>
      </c>
      <c r="C4420" s="4">
        <v>45426.56527777778</v>
      </c>
      <c r="D4420" t="s">
        <v>308</v>
      </c>
      <c r="E4420" t="s">
        <v>3829</v>
      </c>
      <c r="F4420" t="s">
        <v>148</v>
      </c>
      <c r="G4420" t="s">
        <v>310</v>
      </c>
      <c r="H4420" t="s">
        <v>26922</v>
      </c>
      <c r="I4420" t="s">
        <v>40</v>
      </c>
      <c r="J4420" s="2" t="s">
        <v>190</v>
      </c>
      <c r="K4420" t="s">
        <v>42</v>
      </c>
      <c r="L4420" t="s">
        <v>1943</v>
      </c>
      <c r="N4420" t="s">
        <v>1944</v>
      </c>
      <c r="Q4420">
        <v>28125</v>
      </c>
      <c r="R4420" t="s">
        <v>119</v>
      </c>
      <c r="S4420" t="s">
        <v>311</v>
      </c>
      <c r="T4420">
        <v>25</v>
      </c>
      <c r="W4420" t="s">
        <v>84</v>
      </c>
      <c r="X4420">
        <v>831534</v>
      </c>
      <c r="Y4420" s="2" t="s">
        <v>26923</v>
      </c>
      <c r="Z4420" t="s">
        <v>4402</v>
      </c>
      <c r="AA4420" s="2" t="s">
        <v>26924</v>
      </c>
      <c r="AB4420" t="s">
        <v>26925</v>
      </c>
      <c r="AG4420" t="s">
        <v>26926</v>
      </c>
      <c r="AH4420" t="s">
        <v>317</v>
      </c>
      <c r="AI4420" t="s">
        <v>26927</v>
      </c>
    </row>
    <row r="4421" spans="2:35" ht="105">
      <c r="B4421" s="1">
        <v>45426</v>
      </c>
      <c r="C4421" s="4">
        <v>45426.555555555555</v>
      </c>
      <c r="D4421" t="s">
        <v>5563</v>
      </c>
      <c r="E4421" t="s">
        <v>1555</v>
      </c>
      <c r="F4421">
        <v>7</v>
      </c>
      <c r="G4421" t="s">
        <v>432</v>
      </c>
      <c r="H4421" t="s">
        <v>150</v>
      </c>
      <c r="I4421" t="s">
        <v>40</v>
      </c>
      <c r="J4421" t="s">
        <v>109</v>
      </c>
      <c r="K4421" t="s">
        <v>42</v>
      </c>
      <c r="L4421" t="s">
        <v>343</v>
      </c>
      <c r="N4421" t="s">
        <v>344</v>
      </c>
      <c r="Q4421">
        <v>28124</v>
      </c>
      <c r="R4421" t="s">
        <v>119</v>
      </c>
      <c r="S4421" t="s">
        <v>5564</v>
      </c>
      <c r="T4421">
        <v>26</v>
      </c>
      <c r="U4421" s="2" t="s">
        <v>8938</v>
      </c>
      <c r="W4421" t="s">
        <v>6105</v>
      </c>
      <c r="X4421">
        <v>838561</v>
      </c>
      <c r="Y4421" t="s">
        <v>26928</v>
      </c>
      <c r="Z4421" t="e">
        <f ca="1">-Preventive Maintenance</f>
        <v>#NAME?</v>
      </c>
      <c r="AA4421" t="e">
        <f ca="1">-Preventive Maintenance
-ARCHIVE test</f>
        <v>#NAME?</v>
      </c>
      <c r="AB4421" t="s">
        <v>9638</v>
      </c>
      <c r="AG4421" t="s">
        <v>26929</v>
      </c>
      <c r="AH4421" t="s">
        <v>14800</v>
      </c>
      <c r="AI4421" t="s">
        <v>26930</v>
      </c>
    </row>
    <row r="4422" spans="2:35" ht="409.5">
      <c r="B4422" s="1">
        <v>45426</v>
      </c>
      <c r="C4422" s="4">
        <v>45426.498611111114</v>
      </c>
      <c r="D4422" t="s">
        <v>7826</v>
      </c>
      <c r="E4422" t="s">
        <v>10016</v>
      </c>
      <c r="F4422">
        <v>11</v>
      </c>
      <c r="G4422" t="s">
        <v>1759</v>
      </c>
      <c r="H4422" t="s">
        <v>202</v>
      </c>
      <c r="I4422" t="s">
        <v>40</v>
      </c>
      <c r="J4422" t="s">
        <v>109</v>
      </c>
      <c r="K4422" t="s">
        <v>42</v>
      </c>
      <c r="L4422" t="s">
        <v>204</v>
      </c>
      <c r="N4422" t="s">
        <v>205</v>
      </c>
      <c r="Q4422">
        <v>28123</v>
      </c>
      <c r="R4422" t="s">
        <v>119</v>
      </c>
      <c r="S4422" t="s">
        <v>7828</v>
      </c>
      <c r="T4422">
        <v>28.5</v>
      </c>
      <c r="U4422" s="2" t="s">
        <v>26931</v>
      </c>
      <c r="W4422" t="s">
        <v>23237</v>
      </c>
      <c r="X4422">
        <v>838487</v>
      </c>
      <c r="Y4422" s="2" t="s">
        <v>26932</v>
      </c>
      <c r="Z4422" s="2" t="s">
        <v>26933</v>
      </c>
      <c r="AA4422" s="2" t="s">
        <v>26934</v>
      </c>
      <c r="AB4422" s="2" t="s">
        <v>26935</v>
      </c>
      <c r="AC4422" t="s">
        <v>26936</v>
      </c>
      <c r="AG4422" t="s">
        <v>26937</v>
      </c>
      <c r="AH4422" t="s">
        <v>13935</v>
      </c>
      <c r="AI4422" t="s">
        <v>26938</v>
      </c>
    </row>
    <row r="4423" spans="2:35" ht="135">
      <c r="B4423" s="1">
        <v>45426</v>
      </c>
      <c r="C4423" s="4">
        <v>45426.456250000003</v>
      </c>
      <c r="D4423" t="s">
        <v>7761</v>
      </c>
      <c r="E4423" t="s">
        <v>10602</v>
      </c>
      <c r="F4423">
        <v>13</v>
      </c>
      <c r="G4423" t="s">
        <v>7763</v>
      </c>
      <c r="H4423" t="s">
        <v>202</v>
      </c>
      <c r="I4423" t="s">
        <v>40</v>
      </c>
      <c r="J4423" t="s">
        <v>109</v>
      </c>
      <c r="K4423" t="s">
        <v>42</v>
      </c>
      <c r="L4423" t="s">
        <v>933</v>
      </c>
      <c r="N4423" t="s">
        <v>934</v>
      </c>
      <c r="Q4423">
        <v>28122</v>
      </c>
      <c r="R4423" t="s">
        <v>119</v>
      </c>
      <c r="S4423" t="s">
        <v>26939</v>
      </c>
      <c r="T4423">
        <v>30</v>
      </c>
      <c r="U4423" s="2" t="s">
        <v>26940</v>
      </c>
      <c r="W4423" t="s">
        <v>3662</v>
      </c>
      <c r="X4423">
        <v>838275</v>
      </c>
      <c r="Y4423" t="s">
        <v>26941</v>
      </c>
      <c r="Z4423" t="s">
        <v>26942</v>
      </c>
      <c r="AA4423" t="s">
        <v>3128</v>
      </c>
      <c r="AB4423" s="2" t="s">
        <v>24555</v>
      </c>
      <c r="AG4423" t="s">
        <v>26943</v>
      </c>
      <c r="AH4423" t="s">
        <v>26944</v>
      </c>
      <c r="AI4423" t="s">
        <v>26945</v>
      </c>
    </row>
    <row r="4424" spans="2:35" ht="409.5">
      <c r="B4424" s="1">
        <v>45426</v>
      </c>
      <c r="C4424" s="4">
        <v>45426.459722222222</v>
      </c>
      <c r="D4424" t="s">
        <v>524</v>
      </c>
      <c r="E4424" t="s">
        <v>25790</v>
      </c>
      <c r="F4424" t="s">
        <v>148</v>
      </c>
      <c r="G4424" t="s">
        <v>310</v>
      </c>
      <c r="H4424" t="s">
        <v>39</v>
      </c>
      <c r="I4424" t="s">
        <v>40</v>
      </c>
      <c r="J4424" s="2" t="s">
        <v>190</v>
      </c>
      <c r="K4424" t="s">
        <v>42</v>
      </c>
      <c r="L4424" t="s">
        <v>1943</v>
      </c>
      <c r="N4424" t="s">
        <v>1944</v>
      </c>
      <c r="Q4424">
        <v>28121</v>
      </c>
      <c r="R4424" t="s">
        <v>119</v>
      </c>
      <c r="S4424" t="s">
        <v>526</v>
      </c>
      <c r="T4424">
        <v>25</v>
      </c>
      <c r="W4424" t="s">
        <v>84</v>
      </c>
      <c r="X4424">
        <v>831892</v>
      </c>
      <c r="Y4424" s="2" t="s">
        <v>26946</v>
      </c>
      <c r="Z4424" t="s">
        <v>4402</v>
      </c>
      <c r="AA4424" s="2" t="s">
        <v>26947</v>
      </c>
      <c r="AB4424" t="s">
        <v>26948</v>
      </c>
      <c r="AG4424" t="s">
        <v>26949</v>
      </c>
      <c r="AH4424" t="s">
        <v>4061</v>
      </c>
      <c r="AI4424" t="s">
        <v>26950</v>
      </c>
    </row>
    <row r="4425" spans="2:35" ht="405">
      <c r="B4425" s="1">
        <v>45425</v>
      </c>
      <c r="C4425" s="4">
        <v>45421.663194444445</v>
      </c>
      <c r="D4425" t="s">
        <v>5496</v>
      </c>
      <c r="E4425" t="s">
        <v>26951</v>
      </c>
      <c r="F4425">
        <v>5</v>
      </c>
      <c r="G4425" t="s">
        <v>839</v>
      </c>
      <c r="H4425" t="s">
        <v>39</v>
      </c>
      <c r="I4425" t="s">
        <v>94</v>
      </c>
      <c r="J4425" s="2" t="s">
        <v>190</v>
      </c>
      <c r="K4425" t="s">
        <v>42</v>
      </c>
      <c r="L4425" t="s">
        <v>761</v>
      </c>
      <c r="N4425" t="s">
        <v>762</v>
      </c>
      <c r="Q4425">
        <v>28120</v>
      </c>
      <c r="R4425" t="s">
        <v>119</v>
      </c>
      <c r="S4425" t="s">
        <v>26952</v>
      </c>
      <c r="T4425">
        <v>20</v>
      </c>
      <c r="U4425" s="2" t="s">
        <v>26953</v>
      </c>
      <c r="W4425" t="s">
        <v>765</v>
      </c>
      <c r="X4425">
        <v>838391</v>
      </c>
      <c r="Y4425" s="2" t="s">
        <v>26954</v>
      </c>
      <c r="Z4425" s="2" t="s">
        <v>26955</v>
      </c>
      <c r="AA4425" s="2" t="s">
        <v>26956</v>
      </c>
      <c r="AB4425" t="s">
        <v>181</v>
      </c>
      <c r="AC4425" t="s">
        <v>26957</v>
      </c>
      <c r="AG4425" t="s">
        <v>26958</v>
      </c>
      <c r="AH4425" t="s">
        <v>5503</v>
      </c>
      <c r="AI4425" t="s">
        <v>26959</v>
      </c>
    </row>
    <row r="4426" spans="2:35" ht="195">
      <c r="B4426" s="1">
        <v>45425</v>
      </c>
      <c r="C4426" s="4">
        <v>45422.577777777777</v>
      </c>
      <c r="D4426" t="s">
        <v>3738</v>
      </c>
      <c r="E4426" t="s">
        <v>3739</v>
      </c>
      <c r="F4426">
        <v>1</v>
      </c>
      <c r="G4426" t="s">
        <v>1046</v>
      </c>
      <c r="H4426" t="s">
        <v>39</v>
      </c>
      <c r="I4426" t="s">
        <v>40</v>
      </c>
      <c r="J4426" t="s">
        <v>109</v>
      </c>
      <c r="K4426" t="s">
        <v>42</v>
      </c>
      <c r="L4426" t="s">
        <v>1048</v>
      </c>
      <c r="N4426" t="s">
        <v>1049</v>
      </c>
      <c r="Q4426">
        <v>28119</v>
      </c>
      <c r="R4426" t="s">
        <v>119</v>
      </c>
      <c r="S4426" t="s">
        <v>3740</v>
      </c>
      <c r="T4426">
        <v>29</v>
      </c>
      <c r="U4426" s="2" t="s">
        <v>12558</v>
      </c>
      <c r="W4426" t="s">
        <v>1051</v>
      </c>
      <c r="X4426">
        <v>838438</v>
      </c>
      <c r="Y4426" t="e">
        <f ca="1">- _xludf.For Preventive Maintenance</f>
        <v>#NAME?</v>
      </c>
      <c r="Z4426" t="e">
        <f ca="1">- cleaned cartridge Bays, plunger Rods, _xludf.filter _xludf.and I-CORE
- generated reports</f>
        <v>#NAME?</v>
      </c>
      <c r="AA4426" t="e">
        <f ca="1">- performed Preventive Maintenance</f>
        <v>#NAME?</v>
      </c>
      <c r="AB4426" s="2" t="s">
        <v>26960</v>
      </c>
      <c r="AG4426" t="s">
        <v>26961</v>
      </c>
      <c r="AH4426" t="s">
        <v>3742</v>
      </c>
      <c r="AI4426" t="s">
        <v>26962</v>
      </c>
    </row>
    <row r="4427" spans="2:35" ht="315">
      <c r="B4427" s="1">
        <v>45425</v>
      </c>
      <c r="C4427" s="4">
        <v>45422.48333333333</v>
      </c>
      <c r="D4427" t="s">
        <v>1057</v>
      </c>
      <c r="E4427" t="s">
        <v>1058</v>
      </c>
      <c r="F4427">
        <v>1</v>
      </c>
      <c r="G4427" t="s">
        <v>1046</v>
      </c>
      <c r="H4427" t="s">
        <v>39</v>
      </c>
      <c r="I4427" t="s">
        <v>40</v>
      </c>
      <c r="J4427" s="2" t="s">
        <v>62</v>
      </c>
      <c r="K4427" t="s">
        <v>42</v>
      </c>
      <c r="L4427" t="s">
        <v>1048</v>
      </c>
      <c r="N4427" t="s">
        <v>1049</v>
      </c>
      <c r="Q4427">
        <v>28118</v>
      </c>
      <c r="R4427" t="s">
        <v>95</v>
      </c>
      <c r="S4427" t="s">
        <v>1059</v>
      </c>
      <c r="T4427">
        <v>29</v>
      </c>
      <c r="U4427" s="2" t="s">
        <v>8573</v>
      </c>
      <c r="W4427" t="s">
        <v>1060</v>
      </c>
      <c r="X4427">
        <v>820303</v>
      </c>
      <c r="Y4427" t="e">
        <f ca="1">- _xludf.For CALIBRATION</f>
        <v>#NAME?</v>
      </c>
      <c r="Z4427" t="e">
        <f ca="1">- cleaned cartridge Bays, plunger Rods, _xludf.filter _xludf.and I-CORE
- performed XpertCheck
- generated reports</f>
        <v>#NAME?</v>
      </c>
      <c r="AA4427" t="e">
        <f ca="1">- performed CALIBRATION _xludf.and Preventive Maintenance</f>
        <v>#NAME?</v>
      </c>
      <c r="AB4427" s="2" t="s">
        <v>26963</v>
      </c>
      <c r="AG4427" t="s">
        <v>26964</v>
      </c>
      <c r="AH4427" t="s">
        <v>3393</v>
      </c>
      <c r="AI4427" t="s">
        <v>26965</v>
      </c>
    </row>
    <row r="4428" spans="2:35" ht="105">
      <c r="B4428" s="1">
        <v>45425</v>
      </c>
      <c r="C4428" s="4">
        <v>45420.477083333331</v>
      </c>
      <c r="D4428" t="s">
        <v>7593</v>
      </c>
      <c r="E4428" t="s">
        <v>7594</v>
      </c>
      <c r="F4428">
        <v>1</v>
      </c>
      <c r="G4428" t="s">
        <v>1046</v>
      </c>
      <c r="H4428" t="s">
        <v>39</v>
      </c>
      <c r="I4428" t="s">
        <v>40</v>
      </c>
      <c r="J4428" t="s">
        <v>109</v>
      </c>
      <c r="K4428" t="s">
        <v>42</v>
      </c>
      <c r="L4428" t="s">
        <v>1048</v>
      </c>
      <c r="N4428" t="s">
        <v>1049</v>
      </c>
      <c r="Q4428">
        <v>28117</v>
      </c>
      <c r="R4428" t="s">
        <v>119</v>
      </c>
      <c r="S4428" t="s">
        <v>7595</v>
      </c>
      <c r="T4428">
        <v>27</v>
      </c>
      <c r="U4428" s="2" t="s">
        <v>3473</v>
      </c>
      <c r="W4428" t="s">
        <v>1051</v>
      </c>
      <c r="X4428">
        <v>838426</v>
      </c>
      <c r="Y4428" t="s">
        <v>1052</v>
      </c>
      <c r="Z4428" t="e">
        <f ca="1">- cleaned cartridge Bays, plunger Rods _xludf.and I-CORE
- generated reports</f>
        <v>#NAME?</v>
      </c>
      <c r="AA4428" t="s">
        <v>820</v>
      </c>
      <c r="AB4428" t="s">
        <v>1428</v>
      </c>
      <c r="AG4428" t="s">
        <v>26966</v>
      </c>
      <c r="AH4428" t="s">
        <v>26967</v>
      </c>
      <c r="AI4428" t="s">
        <v>26968</v>
      </c>
    </row>
    <row r="4429" spans="2:35" ht="105">
      <c r="B4429" s="1">
        <v>45425</v>
      </c>
      <c r="C4429" s="4">
        <v>45419.410416666666</v>
      </c>
      <c r="D4429" t="s">
        <v>4953</v>
      </c>
      <c r="E4429" t="s">
        <v>4954</v>
      </c>
      <c r="F4429">
        <v>1</v>
      </c>
      <c r="G4429" t="s">
        <v>1046</v>
      </c>
      <c r="H4429" t="s">
        <v>1047</v>
      </c>
      <c r="I4429" t="s">
        <v>40</v>
      </c>
      <c r="J4429" t="s">
        <v>109</v>
      </c>
      <c r="K4429" t="s">
        <v>42</v>
      </c>
      <c r="L4429" t="s">
        <v>1048</v>
      </c>
      <c r="N4429" t="s">
        <v>1049</v>
      </c>
      <c r="Q4429">
        <v>28116</v>
      </c>
      <c r="R4429" t="s">
        <v>119</v>
      </c>
      <c r="S4429" t="s">
        <v>4955</v>
      </c>
      <c r="T4429">
        <v>28</v>
      </c>
      <c r="U4429" s="2" t="s">
        <v>6614</v>
      </c>
      <c r="W4429" t="s">
        <v>1051</v>
      </c>
      <c r="X4429">
        <v>838437</v>
      </c>
      <c r="Y4429" t="s">
        <v>1052</v>
      </c>
      <c r="Z4429" t="e">
        <f ca="1">- cleaned cartridge Bays, plunger Rods _xludf.and I-CORE
- generated reports</f>
        <v>#NAME?</v>
      </c>
      <c r="AA4429" t="s">
        <v>820</v>
      </c>
      <c r="AB4429" t="s">
        <v>9590</v>
      </c>
      <c r="AG4429" t="s">
        <v>26969</v>
      </c>
      <c r="AH4429" t="s">
        <v>4958</v>
      </c>
      <c r="AI4429" t="s">
        <v>26970</v>
      </c>
    </row>
    <row r="4430" spans="2:35" ht="105">
      <c r="B4430" s="1">
        <v>45425</v>
      </c>
      <c r="C4430" s="4">
        <v>45419.34097222222</v>
      </c>
      <c r="D4430" t="s">
        <v>4523</v>
      </c>
      <c r="E4430" t="s">
        <v>3011</v>
      </c>
      <c r="F4430">
        <v>1</v>
      </c>
      <c r="G4430" t="s">
        <v>1046</v>
      </c>
      <c r="H4430" t="s">
        <v>1047</v>
      </c>
      <c r="I4430" t="s">
        <v>40</v>
      </c>
      <c r="J4430" t="s">
        <v>109</v>
      </c>
      <c r="K4430" t="s">
        <v>42</v>
      </c>
      <c r="L4430" t="s">
        <v>1048</v>
      </c>
      <c r="N4430" t="s">
        <v>1049</v>
      </c>
      <c r="Q4430">
        <v>28115</v>
      </c>
      <c r="R4430" t="s">
        <v>119</v>
      </c>
      <c r="S4430" t="s">
        <v>7964</v>
      </c>
      <c r="T4430">
        <v>30</v>
      </c>
      <c r="U4430" s="2" t="s">
        <v>26971</v>
      </c>
      <c r="W4430" t="s">
        <v>1051</v>
      </c>
      <c r="X4430">
        <v>838286</v>
      </c>
      <c r="Y4430" t="s">
        <v>1052</v>
      </c>
      <c r="Z4430" t="e">
        <f ca="1">- cleaned cartridge Bays, plunger Rods _xludf.and I-CORE
- generated reports</f>
        <v>#NAME?</v>
      </c>
      <c r="AA4430" t="e">
        <f ca="1">- performed Preventive Maintenance</f>
        <v>#NAME?</v>
      </c>
      <c r="AB4430" t="s">
        <v>181</v>
      </c>
      <c r="AG4430" t="s">
        <v>26972</v>
      </c>
      <c r="AH4430" t="s">
        <v>8788</v>
      </c>
      <c r="AI4430" t="s">
        <v>26973</v>
      </c>
    </row>
    <row r="4431" spans="2:35" ht="180">
      <c r="B4431" s="1">
        <v>45425</v>
      </c>
      <c r="C4431" s="4">
        <v>45425.505555555559</v>
      </c>
      <c r="D4431" t="s">
        <v>1203</v>
      </c>
      <c r="E4431" t="s">
        <v>25425</v>
      </c>
      <c r="F4431">
        <v>11</v>
      </c>
      <c r="G4431" t="s">
        <v>1205</v>
      </c>
      <c r="H4431" t="s">
        <v>19174</v>
      </c>
      <c r="I4431" t="s">
        <v>40</v>
      </c>
      <c r="J4431" s="2" t="s">
        <v>355</v>
      </c>
      <c r="K4431" t="s">
        <v>387</v>
      </c>
      <c r="L4431" t="s">
        <v>204</v>
      </c>
      <c r="N4431" t="s">
        <v>205</v>
      </c>
      <c r="O4431" t="s">
        <v>2867</v>
      </c>
      <c r="Q4431">
        <v>28114</v>
      </c>
      <c r="R4431" t="s">
        <v>95</v>
      </c>
      <c r="S4431" t="s">
        <v>6315</v>
      </c>
      <c r="T4431">
        <v>23.7</v>
      </c>
      <c r="W4431" t="s">
        <v>390</v>
      </c>
      <c r="X4431" t="s">
        <v>6867</v>
      </c>
      <c r="Y4431" t="s">
        <v>26974</v>
      </c>
      <c r="Z4431" s="2" t="s">
        <v>26975</v>
      </c>
      <c r="AA4431" t="s">
        <v>26976</v>
      </c>
      <c r="AB4431" s="2" t="s">
        <v>26977</v>
      </c>
      <c r="AG4431" t="s">
        <v>26978</v>
      </c>
      <c r="AH4431" t="s">
        <v>25432</v>
      </c>
      <c r="AI4431" t="s">
        <v>26979</v>
      </c>
    </row>
    <row r="4432" spans="2:35" ht="105">
      <c r="B4432" s="1">
        <v>45425</v>
      </c>
      <c r="C4432" s="4">
        <v>45419.486111111109</v>
      </c>
      <c r="D4432" t="s">
        <v>25967</v>
      </c>
      <c r="E4432" t="s">
        <v>25968</v>
      </c>
      <c r="F4432">
        <v>3</v>
      </c>
      <c r="G4432" t="s">
        <v>174</v>
      </c>
      <c r="H4432" t="s">
        <v>39</v>
      </c>
      <c r="I4432" t="s">
        <v>40</v>
      </c>
      <c r="J4432" t="s">
        <v>109</v>
      </c>
      <c r="K4432" t="s">
        <v>42</v>
      </c>
      <c r="L4432" t="s">
        <v>175</v>
      </c>
      <c r="N4432" t="s">
        <v>176</v>
      </c>
      <c r="Q4432">
        <v>28113</v>
      </c>
      <c r="R4432" t="s">
        <v>119</v>
      </c>
      <c r="S4432" t="s">
        <v>25969</v>
      </c>
      <c r="T4432">
        <v>25</v>
      </c>
      <c r="U4432" s="2" t="s">
        <v>25300</v>
      </c>
      <c r="W4432" t="s">
        <v>84</v>
      </c>
      <c r="X4432">
        <v>831691</v>
      </c>
      <c r="Y4432" t="s">
        <v>374</v>
      </c>
      <c r="Z4432" t="s">
        <v>103</v>
      </c>
      <c r="AA4432" t="e">
        <f ca="1">- checked _xludf.and cleaned cartridge bay, plunger rod, _xludf.filter
- generated reports
- performed self test</f>
        <v>#NAME?</v>
      </c>
      <c r="AB4432" t="s">
        <v>181</v>
      </c>
      <c r="AG4432" t="s">
        <v>26980</v>
      </c>
      <c r="AH4432" t="s">
        <v>25971</v>
      </c>
      <c r="AI4432" t="s">
        <v>26981</v>
      </c>
    </row>
    <row r="4433" spans="2:35" ht="105">
      <c r="B4433" s="1">
        <v>45425</v>
      </c>
      <c r="C4433" s="4">
        <v>45415.588194444441</v>
      </c>
      <c r="D4433" t="s">
        <v>25959</v>
      </c>
      <c r="E4433" t="s">
        <v>25960</v>
      </c>
      <c r="F4433">
        <v>3</v>
      </c>
      <c r="G4433" t="s">
        <v>174</v>
      </c>
      <c r="H4433" t="s">
        <v>39</v>
      </c>
      <c r="I4433" t="s">
        <v>40</v>
      </c>
      <c r="J4433" s="2" t="s">
        <v>41</v>
      </c>
      <c r="K4433" t="s">
        <v>42</v>
      </c>
      <c r="L4433" t="s">
        <v>175</v>
      </c>
      <c r="N4433" t="s">
        <v>176</v>
      </c>
      <c r="Q4433">
        <v>28112</v>
      </c>
      <c r="R4433" t="s">
        <v>119</v>
      </c>
      <c r="S4433" t="s">
        <v>25961</v>
      </c>
      <c r="T4433">
        <v>25</v>
      </c>
      <c r="U4433" s="2" t="s">
        <v>1509</v>
      </c>
      <c r="V4433" s="1">
        <v>45415</v>
      </c>
      <c r="W4433" t="s">
        <v>84</v>
      </c>
      <c r="X4433">
        <v>831711</v>
      </c>
      <c r="Y4433" t="s">
        <v>570</v>
      </c>
      <c r="Z4433" t="s">
        <v>25962</v>
      </c>
      <c r="AA4433" t="e">
        <f ca="1">- replaced module A2
- checked _xludf.and cleaned cartridge bay,plunger rod, _xludf.filter
- generated reports
- performed self test</f>
        <v>#NAME?</v>
      </c>
      <c r="AB4433" t="s">
        <v>181</v>
      </c>
      <c r="AD4433" s="2" t="s">
        <v>25963</v>
      </c>
      <c r="AE4433" t="s">
        <v>4448</v>
      </c>
      <c r="AG4433" t="s">
        <v>26982</v>
      </c>
      <c r="AH4433" t="s">
        <v>25965</v>
      </c>
      <c r="AI4433" t="s">
        <v>26983</v>
      </c>
    </row>
    <row r="4434" spans="2:35" ht="105">
      <c r="B4434" s="1">
        <v>45425</v>
      </c>
      <c r="C4434" s="4">
        <v>45419.486111111109</v>
      </c>
      <c r="D4434" t="s">
        <v>25967</v>
      </c>
      <c r="E4434" t="s">
        <v>25968</v>
      </c>
      <c r="F4434">
        <v>3</v>
      </c>
      <c r="G4434" t="s">
        <v>174</v>
      </c>
      <c r="H4434" t="s">
        <v>39</v>
      </c>
      <c r="I4434" t="s">
        <v>40</v>
      </c>
      <c r="J4434" t="s">
        <v>109</v>
      </c>
      <c r="K4434" t="s">
        <v>42</v>
      </c>
      <c r="L4434" t="s">
        <v>175</v>
      </c>
      <c r="N4434" t="s">
        <v>176</v>
      </c>
      <c r="Q4434">
        <v>28111</v>
      </c>
      <c r="R4434" t="s">
        <v>119</v>
      </c>
      <c r="S4434" t="s">
        <v>25969</v>
      </c>
      <c r="T4434">
        <v>25</v>
      </c>
      <c r="U4434" s="2" t="s">
        <v>25300</v>
      </c>
      <c r="W4434" t="s">
        <v>84</v>
      </c>
      <c r="X4434">
        <v>831691</v>
      </c>
      <c r="Y4434" t="s">
        <v>374</v>
      </c>
      <c r="Z4434" t="s">
        <v>103</v>
      </c>
      <c r="AA4434" t="e">
        <f ca="1">- checked _xludf.and cleaned cartridge bay, plunger rod, _xludf.filter
- generated reports
- performed self test</f>
        <v>#NAME?</v>
      </c>
      <c r="AB4434" t="s">
        <v>181</v>
      </c>
      <c r="AG4434" t="s">
        <v>26984</v>
      </c>
      <c r="AH4434" t="s">
        <v>25971</v>
      </c>
      <c r="AI4434" t="s">
        <v>26985</v>
      </c>
    </row>
    <row r="4435" spans="2:35" ht="105">
      <c r="B4435" s="1">
        <v>45425</v>
      </c>
      <c r="C4435" s="4">
        <v>45421.567361111112</v>
      </c>
      <c r="D4435" t="s">
        <v>1216</v>
      </c>
      <c r="E4435" t="s">
        <v>26986</v>
      </c>
      <c r="F4435">
        <v>3</v>
      </c>
      <c r="G4435" t="s">
        <v>174</v>
      </c>
      <c r="H4435" t="s">
        <v>39</v>
      </c>
      <c r="I4435" t="s">
        <v>40</v>
      </c>
      <c r="J4435" t="s">
        <v>109</v>
      </c>
      <c r="K4435" t="s">
        <v>42</v>
      </c>
      <c r="L4435" t="s">
        <v>175</v>
      </c>
      <c r="N4435" t="s">
        <v>176</v>
      </c>
      <c r="Q4435">
        <v>28110</v>
      </c>
      <c r="R4435" t="s">
        <v>119</v>
      </c>
      <c r="S4435" t="s">
        <v>1218</v>
      </c>
      <c r="T4435">
        <v>31</v>
      </c>
      <c r="U4435" s="2" t="s">
        <v>9005</v>
      </c>
      <c r="W4435" t="s">
        <v>84</v>
      </c>
      <c r="X4435">
        <v>831874</v>
      </c>
      <c r="Y4435" t="s">
        <v>374</v>
      </c>
      <c r="Z4435" t="s">
        <v>103</v>
      </c>
      <c r="AA4435" t="e">
        <f ca="1">- checked _xludf.and cleaned cartridge bay, plunger rod, _xludf.filter
- generated reports
- performed self test</f>
        <v>#NAME?</v>
      </c>
      <c r="AB4435" t="s">
        <v>181</v>
      </c>
      <c r="AG4435" t="s">
        <v>26987</v>
      </c>
      <c r="AH4435" t="s">
        <v>1220</v>
      </c>
      <c r="AI4435" t="s">
        <v>26988</v>
      </c>
    </row>
    <row r="4436" spans="2:35" ht="105">
      <c r="B4436" s="1">
        <v>45425</v>
      </c>
      <c r="C4436" s="4">
        <v>45421.567361111112</v>
      </c>
      <c r="D4436" t="s">
        <v>1216</v>
      </c>
      <c r="E4436" t="s">
        <v>26986</v>
      </c>
      <c r="F4436">
        <v>3</v>
      </c>
      <c r="G4436" t="s">
        <v>174</v>
      </c>
      <c r="H4436" t="s">
        <v>39</v>
      </c>
      <c r="I4436" t="s">
        <v>40</v>
      </c>
      <c r="J4436" t="s">
        <v>109</v>
      </c>
      <c r="K4436" t="s">
        <v>42</v>
      </c>
      <c r="L4436" t="s">
        <v>175</v>
      </c>
      <c r="N4436" t="s">
        <v>176</v>
      </c>
      <c r="Q4436">
        <v>28109</v>
      </c>
      <c r="R4436" t="s">
        <v>119</v>
      </c>
      <c r="S4436" t="s">
        <v>1218</v>
      </c>
      <c r="T4436">
        <v>31</v>
      </c>
      <c r="U4436" s="2" t="s">
        <v>9005</v>
      </c>
      <c r="W4436" t="s">
        <v>84</v>
      </c>
      <c r="X4436">
        <v>831874</v>
      </c>
      <c r="Y4436" t="s">
        <v>374</v>
      </c>
      <c r="Z4436" t="s">
        <v>103</v>
      </c>
      <c r="AA4436" t="e">
        <f ca="1">- checked _xludf.and cleaned cartridge bay, plunger rod, _xludf.filter
- generated reports
- performed self test</f>
        <v>#NAME?</v>
      </c>
      <c r="AB4436" t="s">
        <v>181</v>
      </c>
      <c r="AG4436" t="s">
        <v>26989</v>
      </c>
      <c r="AH4436" t="s">
        <v>1220</v>
      </c>
      <c r="AI4436" t="s">
        <v>26990</v>
      </c>
    </row>
    <row r="4437" spans="2:35" ht="225">
      <c r="B4437" s="1">
        <v>45425</v>
      </c>
      <c r="C4437" s="4">
        <v>45421.647222222222</v>
      </c>
      <c r="D4437" t="s">
        <v>660</v>
      </c>
      <c r="E4437" t="s">
        <v>2569</v>
      </c>
      <c r="F4437" t="s">
        <v>148</v>
      </c>
      <c r="G4437" t="s">
        <v>447</v>
      </c>
      <c r="H4437" t="s">
        <v>386</v>
      </c>
      <c r="I4437" t="s">
        <v>40</v>
      </c>
      <c r="J4437" t="s">
        <v>525</v>
      </c>
      <c r="K4437" t="s">
        <v>387</v>
      </c>
      <c r="L4437" t="s">
        <v>448</v>
      </c>
      <c r="N4437" t="s">
        <v>650</v>
      </c>
      <c r="O4437" t="s">
        <v>663</v>
      </c>
      <c r="Q4437">
        <v>28108</v>
      </c>
      <c r="R4437" t="s">
        <v>322</v>
      </c>
      <c r="S4437" t="s">
        <v>9676</v>
      </c>
      <c r="T4437">
        <v>26</v>
      </c>
      <c r="W4437" t="s">
        <v>476</v>
      </c>
      <c r="X4437" t="s">
        <v>5906</v>
      </c>
      <c r="Y4437" t="s">
        <v>26991</v>
      </c>
      <c r="Z4437" s="2" t="s">
        <v>26992</v>
      </c>
      <c r="AA4437" t="s">
        <v>4487</v>
      </c>
      <c r="AB4437" t="s">
        <v>26993</v>
      </c>
      <c r="AG4437" t="s">
        <v>26994</v>
      </c>
      <c r="AH4437" t="s">
        <v>26995</v>
      </c>
      <c r="AI4437" t="s">
        <v>26996</v>
      </c>
    </row>
    <row r="4438" spans="2:35" ht="150">
      <c r="B4438" s="1">
        <v>45424</v>
      </c>
      <c r="C4438" s="4">
        <v>45420.416666666664</v>
      </c>
      <c r="D4438" t="s">
        <v>26997</v>
      </c>
      <c r="E4438" t="s">
        <v>5041</v>
      </c>
      <c r="F4438">
        <v>12</v>
      </c>
      <c r="G4438" t="s">
        <v>978</v>
      </c>
      <c r="H4438" t="s">
        <v>26998</v>
      </c>
      <c r="I4438" t="s">
        <v>40</v>
      </c>
      <c r="J4438" t="s">
        <v>109</v>
      </c>
      <c r="K4438" t="s">
        <v>42</v>
      </c>
      <c r="L4438" t="s">
        <v>296</v>
      </c>
      <c r="N4438" t="s">
        <v>297</v>
      </c>
      <c r="Q4438">
        <v>28107</v>
      </c>
      <c r="R4438" t="s">
        <v>3058</v>
      </c>
      <c r="S4438" t="s">
        <v>26999</v>
      </c>
      <c r="T4438">
        <v>26.3</v>
      </c>
      <c r="U4438" s="2" t="s">
        <v>27000</v>
      </c>
      <c r="W4438" t="s">
        <v>27001</v>
      </c>
      <c r="X4438">
        <v>120000147</v>
      </c>
      <c r="Y4438" t="s">
        <v>54</v>
      </c>
      <c r="Z4438" s="2" t="s">
        <v>27002</v>
      </c>
      <c r="AA4438" t="s">
        <v>9161</v>
      </c>
      <c r="AB4438" t="s">
        <v>972</v>
      </c>
      <c r="AG4438" t="s">
        <v>27003</v>
      </c>
      <c r="AH4438" t="s">
        <v>27004</v>
      </c>
      <c r="AI4438" t="s">
        <v>27005</v>
      </c>
    </row>
    <row r="4439" spans="2:35" ht="225">
      <c r="B4439" s="1">
        <v>45422</v>
      </c>
      <c r="C4439" s="4">
        <v>45422.726388888892</v>
      </c>
      <c r="D4439" t="s">
        <v>1203</v>
      </c>
      <c r="E4439" t="s">
        <v>27006</v>
      </c>
      <c r="F4439">
        <v>11</v>
      </c>
      <c r="G4439" t="s">
        <v>1205</v>
      </c>
      <c r="H4439" t="s">
        <v>25426</v>
      </c>
      <c r="I4439" t="s">
        <v>40</v>
      </c>
      <c r="J4439" t="s">
        <v>525</v>
      </c>
      <c r="K4439" t="s">
        <v>387</v>
      </c>
      <c r="L4439" t="s">
        <v>204</v>
      </c>
      <c r="N4439" t="s">
        <v>205</v>
      </c>
      <c r="O4439" t="s">
        <v>2867</v>
      </c>
      <c r="Q4439">
        <v>28106</v>
      </c>
      <c r="R4439" t="s">
        <v>95</v>
      </c>
      <c r="S4439" t="s">
        <v>6315</v>
      </c>
      <c r="T4439">
        <v>22.6</v>
      </c>
      <c r="W4439" t="s">
        <v>390</v>
      </c>
      <c r="X4439" t="s">
        <v>6867</v>
      </c>
      <c r="Y4439" t="s">
        <v>27007</v>
      </c>
      <c r="Z4439" s="2" t="s">
        <v>27008</v>
      </c>
      <c r="AA4439" t="s">
        <v>27009</v>
      </c>
      <c r="AB4439" s="2" t="s">
        <v>27010</v>
      </c>
      <c r="AC4439" t="s">
        <v>27011</v>
      </c>
      <c r="AG4439" t="s">
        <v>27012</v>
      </c>
      <c r="AH4439" t="s">
        <v>27013</v>
      </c>
      <c r="AI4439" t="s">
        <v>27014</v>
      </c>
    </row>
    <row r="4440" spans="2:35" ht="300">
      <c r="B4440" s="1">
        <v>45422</v>
      </c>
      <c r="C4440" s="4">
        <v>45422.707638888889</v>
      </c>
      <c r="D4440" t="s">
        <v>1686</v>
      </c>
      <c r="E4440" t="s">
        <v>27015</v>
      </c>
      <c r="F4440" t="s">
        <v>148</v>
      </c>
      <c r="G4440" t="s">
        <v>785</v>
      </c>
      <c r="H4440" t="s">
        <v>39</v>
      </c>
      <c r="I4440" t="s">
        <v>40</v>
      </c>
      <c r="J4440" t="s">
        <v>321</v>
      </c>
      <c r="K4440" t="s">
        <v>42</v>
      </c>
      <c r="L4440" t="s">
        <v>43</v>
      </c>
      <c r="N4440" t="s">
        <v>44</v>
      </c>
      <c r="Q4440">
        <v>28105</v>
      </c>
      <c r="R4440" t="s">
        <v>322</v>
      </c>
      <c r="S4440" t="s">
        <v>1688</v>
      </c>
      <c r="T4440">
        <v>23</v>
      </c>
      <c r="W4440" t="s">
        <v>153</v>
      </c>
      <c r="X4440">
        <v>110024245</v>
      </c>
      <c r="Y4440" t="s">
        <v>750</v>
      </c>
      <c r="Z4440" t="s">
        <v>2931</v>
      </c>
      <c r="AA4440" s="2" t="s">
        <v>27016</v>
      </c>
      <c r="AB4440" t="s">
        <v>26451</v>
      </c>
      <c r="AC4440" t="s">
        <v>27017</v>
      </c>
      <c r="AG4440" t="s">
        <v>27018</v>
      </c>
      <c r="AH4440" t="s">
        <v>8273</v>
      </c>
      <c r="AI4440" t="s">
        <v>27019</v>
      </c>
    </row>
    <row r="4441" spans="2:35" ht="300">
      <c r="B4441" s="1">
        <v>45422</v>
      </c>
      <c r="C4441" s="4">
        <v>45422.581944444442</v>
      </c>
      <c r="D4441" t="s">
        <v>1686</v>
      </c>
      <c r="E4441" t="s">
        <v>27020</v>
      </c>
      <c r="F4441" t="s">
        <v>148</v>
      </c>
      <c r="G4441" t="s">
        <v>785</v>
      </c>
      <c r="H4441" t="s">
        <v>39</v>
      </c>
      <c r="I4441" t="s">
        <v>40</v>
      </c>
      <c r="J4441" t="s">
        <v>321</v>
      </c>
      <c r="K4441" t="s">
        <v>42</v>
      </c>
      <c r="L4441" t="s">
        <v>43</v>
      </c>
      <c r="N4441" t="s">
        <v>44</v>
      </c>
      <c r="Q4441">
        <v>28104</v>
      </c>
      <c r="R4441" t="s">
        <v>322</v>
      </c>
      <c r="S4441" t="s">
        <v>1688</v>
      </c>
      <c r="T4441">
        <v>23</v>
      </c>
      <c r="W4441" t="s">
        <v>153</v>
      </c>
      <c r="X4441">
        <v>110024247</v>
      </c>
      <c r="Y4441" t="s">
        <v>750</v>
      </c>
      <c r="Z4441" t="s">
        <v>2931</v>
      </c>
      <c r="AA4441" s="2" t="s">
        <v>27021</v>
      </c>
      <c r="AB4441" t="s">
        <v>181</v>
      </c>
      <c r="AG4441" t="s">
        <v>27022</v>
      </c>
      <c r="AH4441" t="s">
        <v>8273</v>
      </c>
      <c r="AI4441" t="s">
        <v>27023</v>
      </c>
    </row>
    <row r="4442" spans="2:35" ht="345">
      <c r="B4442" s="1">
        <v>45422</v>
      </c>
      <c r="C4442" s="4">
        <v>45422.652083333334</v>
      </c>
      <c r="D4442" t="s">
        <v>3656</v>
      </c>
      <c r="E4442" t="s">
        <v>21943</v>
      </c>
      <c r="F4442" t="s">
        <v>148</v>
      </c>
      <c r="G4442" t="s">
        <v>447</v>
      </c>
      <c r="H4442" t="s">
        <v>61</v>
      </c>
      <c r="I4442" t="s">
        <v>40</v>
      </c>
      <c r="J4442" t="s">
        <v>109</v>
      </c>
      <c r="K4442" t="s">
        <v>42</v>
      </c>
      <c r="L4442" t="s">
        <v>15532</v>
      </c>
      <c r="N4442" t="s">
        <v>15533</v>
      </c>
      <c r="O4442" t="s">
        <v>27024</v>
      </c>
      <c r="Q4442">
        <v>28103</v>
      </c>
      <c r="R4442" t="s">
        <v>703</v>
      </c>
      <c r="S4442" t="s">
        <v>3661</v>
      </c>
      <c r="T4442">
        <v>25</v>
      </c>
      <c r="U4442" s="2" t="s">
        <v>27025</v>
      </c>
      <c r="W4442" t="s">
        <v>15535</v>
      </c>
      <c r="X4442">
        <v>839150</v>
      </c>
      <c r="Y4442" t="s">
        <v>27026</v>
      </c>
      <c r="Z4442" s="2" t="s">
        <v>27027</v>
      </c>
      <c r="AA4442" s="2" t="s">
        <v>26381</v>
      </c>
      <c r="AB4442" s="2" t="s">
        <v>17371</v>
      </c>
      <c r="AC4442" t="s">
        <v>27028</v>
      </c>
      <c r="AG4442" t="s">
        <v>27029</v>
      </c>
      <c r="AH4442" t="s">
        <v>27030</v>
      </c>
      <c r="AI4442" t="s">
        <v>27031</v>
      </c>
    </row>
    <row r="4443" spans="2:35">
      <c r="B4443" s="1">
        <v>45422</v>
      </c>
      <c r="C4443" s="4">
        <v>45422.65347222222</v>
      </c>
      <c r="D4443" t="s">
        <v>26776</v>
      </c>
      <c r="E4443" t="s">
        <v>27032</v>
      </c>
      <c r="F4443" t="s">
        <v>148</v>
      </c>
      <c r="G4443" t="s">
        <v>447</v>
      </c>
      <c r="H4443" t="s">
        <v>39</v>
      </c>
      <c r="I4443" t="s">
        <v>40</v>
      </c>
      <c r="J4443" t="s">
        <v>79</v>
      </c>
      <c r="K4443" t="s">
        <v>26778</v>
      </c>
      <c r="L4443" t="s">
        <v>857</v>
      </c>
      <c r="N4443" t="s">
        <v>858</v>
      </c>
      <c r="Q4443">
        <v>28102</v>
      </c>
      <c r="R4443" t="s">
        <v>95</v>
      </c>
      <c r="S4443" t="s">
        <v>27033</v>
      </c>
      <c r="T4443">
        <v>25</v>
      </c>
      <c r="W4443" t="s">
        <v>27034</v>
      </c>
      <c r="X4443">
        <v>5131.3195999999998</v>
      </c>
      <c r="Y4443" t="s">
        <v>27035</v>
      </c>
      <c r="Z4443" t="s">
        <v>27036</v>
      </c>
      <c r="AA4443" t="s">
        <v>27036</v>
      </c>
      <c r="AB4443" t="s">
        <v>27037</v>
      </c>
      <c r="AG4443" t="s">
        <v>27038</v>
      </c>
      <c r="AH4443" t="s">
        <v>27039</v>
      </c>
      <c r="AI4443" t="s">
        <v>27040</v>
      </c>
    </row>
    <row r="4444" spans="2:35">
      <c r="B4444" s="1">
        <v>45422</v>
      </c>
      <c r="C4444" s="4">
        <v>45422.647222222222</v>
      </c>
      <c r="D4444" t="s">
        <v>3423</v>
      </c>
      <c r="E4444" t="s">
        <v>3116</v>
      </c>
      <c r="F4444">
        <v>7</v>
      </c>
      <c r="G4444" t="s">
        <v>432</v>
      </c>
      <c r="H4444" t="s">
        <v>386</v>
      </c>
      <c r="I4444" t="s">
        <v>40</v>
      </c>
      <c r="J4444" t="s">
        <v>109</v>
      </c>
      <c r="K4444" t="s">
        <v>387</v>
      </c>
      <c r="L4444" t="s">
        <v>610</v>
      </c>
      <c r="N4444" t="s">
        <v>611</v>
      </c>
      <c r="Q4444">
        <v>28101</v>
      </c>
      <c r="R4444" t="s">
        <v>95</v>
      </c>
      <c r="S4444" t="s">
        <v>9919</v>
      </c>
      <c r="T4444">
        <v>25</v>
      </c>
      <c r="W4444" t="s">
        <v>390</v>
      </c>
      <c r="X4444" t="s">
        <v>3425</v>
      </c>
      <c r="Y4444" t="s">
        <v>27041</v>
      </c>
      <c r="Z4444" t="s">
        <v>27041</v>
      </c>
      <c r="AA4444" t="s">
        <v>27041</v>
      </c>
      <c r="AB4444" t="s">
        <v>13167</v>
      </c>
      <c r="AG4444" t="s">
        <v>27042</v>
      </c>
      <c r="AH4444" t="s">
        <v>27043</v>
      </c>
      <c r="AI4444" t="s">
        <v>27044</v>
      </c>
    </row>
    <row r="4445" spans="2:35" ht="270">
      <c r="B4445" s="1">
        <v>45422</v>
      </c>
      <c r="C4445" s="4">
        <v>45422.559027777781</v>
      </c>
      <c r="D4445" t="s">
        <v>9540</v>
      </c>
      <c r="E4445" t="s">
        <v>27045</v>
      </c>
      <c r="F4445" t="s">
        <v>148</v>
      </c>
      <c r="G4445" t="s">
        <v>4786</v>
      </c>
      <c r="H4445" t="s">
        <v>513</v>
      </c>
      <c r="I4445" t="s">
        <v>94</v>
      </c>
      <c r="J4445" t="s">
        <v>79</v>
      </c>
      <c r="K4445" t="s">
        <v>387</v>
      </c>
      <c r="L4445" t="s">
        <v>1028</v>
      </c>
      <c r="N4445" t="s">
        <v>1029</v>
      </c>
      <c r="O4445" t="s">
        <v>10334</v>
      </c>
      <c r="Q4445">
        <v>28100</v>
      </c>
      <c r="R4445" t="s">
        <v>322</v>
      </c>
      <c r="S4445" t="s">
        <v>24311</v>
      </c>
      <c r="T4445">
        <v>25</v>
      </c>
      <c r="V4445" s="1">
        <v>45420</v>
      </c>
      <c r="W4445" t="s">
        <v>390</v>
      </c>
      <c r="X4445" t="s">
        <v>10336</v>
      </c>
      <c r="Y4445" t="s">
        <v>27046</v>
      </c>
      <c r="Z4445" t="s">
        <v>27047</v>
      </c>
      <c r="AA4445" s="2" t="s">
        <v>27048</v>
      </c>
      <c r="AB4445" t="s">
        <v>3777</v>
      </c>
      <c r="AC4445" t="s">
        <v>27049</v>
      </c>
      <c r="AD4445" t="s">
        <v>27050</v>
      </c>
      <c r="AE4445" t="s">
        <v>27051</v>
      </c>
      <c r="AG4445" t="s">
        <v>27052</v>
      </c>
      <c r="AH4445" t="s">
        <v>24315</v>
      </c>
      <c r="AI4445" t="s">
        <v>27053</v>
      </c>
    </row>
    <row r="4446" spans="2:35" ht="120">
      <c r="B4446" s="1">
        <v>45422</v>
      </c>
      <c r="C4446" s="4">
        <v>45422.638194444444</v>
      </c>
      <c r="D4446" t="s">
        <v>6943</v>
      </c>
      <c r="E4446" t="s">
        <v>27054</v>
      </c>
      <c r="F4446">
        <v>5</v>
      </c>
      <c r="G4446" t="s">
        <v>5795</v>
      </c>
      <c r="H4446" t="s">
        <v>39</v>
      </c>
      <c r="I4446" t="s">
        <v>94</v>
      </c>
      <c r="J4446" t="s">
        <v>525</v>
      </c>
      <c r="K4446" t="s">
        <v>42</v>
      </c>
      <c r="L4446" t="s">
        <v>761</v>
      </c>
      <c r="N4446" t="s">
        <v>27055</v>
      </c>
      <c r="Q4446">
        <v>28099</v>
      </c>
      <c r="R4446" t="s">
        <v>119</v>
      </c>
      <c r="S4446" t="s">
        <v>6945</v>
      </c>
      <c r="T4446">
        <v>28</v>
      </c>
      <c r="U4446" s="2" t="s">
        <v>27056</v>
      </c>
      <c r="W4446" t="s">
        <v>765</v>
      </c>
      <c r="X4446">
        <v>838576</v>
      </c>
      <c r="Y4446" t="s">
        <v>27057</v>
      </c>
      <c r="Z4446" s="2" t="s">
        <v>27058</v>
      </c>
      <c r="AA4446" t="s">
        <v>1935</v>
      </c>
      <c r="AB4446" t="s">
        <v>181</v>
      </c>
      <c r="AG4446" t="s">
        <v>27059</v>
      </c>
      <c r="AH4446" t="s">
        <v>6951</v>
      </c>
      <c r="AI4446" t="s">
        <v>27060</v>
      </c>
    </row>
    <row r="4447" spans="2:35">
      <c r="B4447" s="1">
        <v>45422</v>
      </c>
      <c r="C4447" s="4">
        <v>45422.629861111112</v>
      </c>
      <c r="D4447" t="s">
        <v>1071</v>
      </c>
      <c r="E4447" t="s">
        <v>1072</v>
      </c>
      <c r="F4447">
        <v>7</v>
      </c>
      <c r="G4447" t="s">
        <v>432</v>
      </c>
      <c r="H4447" t="s">
        <v>27061</v>
      </c>
      <c r="I4447" t="s">
        <v>40</v>
      </c>
      <c r="J4447" t="s">
        <v>109</v>
      </c>
      <c r="K4447" t="s">
        <v>387</v>
      </c>
      <c r="L4447" t="s">
        <v>610</v>
      </c>
      <c r="N4447" t="s">
        <v>611</v>
      </c>
      <c r="Q4447">
        <v>28098</v>
      </c>
      <c r="R4447" t="s">
        <v>95</v>
      </c>
      <c r="S4447" t="s">
        <v>1073</v>
      </c>
      <c r="T4447">
        <v>25</v>
      </c>
      <c r="W4447" t="s">
        <v>390</v>
      </c>
      <c r="X4447" t="s">
        <v>1074</v>
      </c>
      <c r="Y4447" t="s">
        <v>27041</v>
      </c>
      <c r="Z4447" t="s">
        <v>27041</v>
      </c>
      <c r="AA4447" t="s">
        <v>27041</v>
      </c>
      <c r="AB4447" t="s">
        <v>13167</v>
      </c>
      <c r="AG4447" t="s">
        <v>27062</v>
      </c>
      <c r="AH4447" t="s">
        <v>1079</v>
      </c>
      <c r="AI4447" t="s">
        <v>27063</v>
      </c>
    </row>
    <row r="4448" spans="2:35">
      <c r="B4448" s="1">
        <v>45422</v>
      </c>
      <c r="C4448" s="4">
        <v>45422.615972222222</v>
      </c>
      <c r="D4448" t="s">
        <v>6037</v>
      </c>
      <c r="E4448" t="s">
        <v>7875</v>
      </c>
      <c r="F4448">
        <v>7</v>
      </c>
      <c r="G4448" t="s">
        <v>432</v>
      </c>
      <c r="H4448" t="s">
        <v>386</v>
      </c>
      <c r="I4448" t="s">
        <v>40</v>
      </c>
      <c r="J4448" t="s">
        <v>109</v>
      </c>
      <c r="K4448" t="s">
        <v>387</v>
      </c>
      <c r="L4448" t="s">
        <v>610</v>
      </c>
      <c r="N4448" t="s">
        <v>611</v>
      </c>
      <c r="Q4448">
        <v>28097</v>
      </c>
      <c r="R4448" t="s">
        <v>95</v>
      </c>
      <c r="S4448" t="s">
        <v>6039</v>
      </c>
      <c r="T4448">
        <v>23</v>
      </c>
      <c r="W4448" t="s">
        <v>390</v>
      </c>
      <c r="X4448" t="s">
        <v>11975</v>
      </c>
      <c r="Y4448" t="s">
        <v>27041</v>
      </c>
      <c r="Z4448" t="s">
        <v>27041</v>
      </c>
      <c r="AA4448" t="s">
        <v>27041</v>
      </c>
      <c r="AB4448" t="s">
        <v>27064</v>
      </c>
      <c r="AG4448" t="s">
        <v>27065</v>
      </c>
      <c r="AH4448" t="s">
        <v>27066</v>
      </c>
      <c r="AI4448" t="s">
        <v>27067</v>
      </c>
    </row>
    <row r="4449" spans="2:35">
      <c r="B4449" s="1">
        <v>45422</v>
      </c>
      <c r="C4449" s="4">
        <v>45422.606249999997</v>
      </c>
      <c r="D4449" t="s">
        <v>6037</v>
      </c>
      <c r="E4449" t="s">
        <v>7875</v>
      </c>
      <c r="F4449">
        <v>7</v>
      </c>
      <c r="G4449" t="s">
        <v>432</v>
      </c>
      <c r="H4449" t="s">
        <v>386</v>
      </c>
      <c r="I4449" t="s">
        <v>40</v>
      </c>
      <c r="J4449" t="s">
        <v>109</v>
      </c>
      <c r="K4449" t="s">
        <v>387</v>
      </c>
      <c r="L4449" t="s">
        <v>610</v>
      </c>
      <c r="N4449" t="s">
        <v>611</v>
      </c>
      <c r="Q4449">
        <v>28096</v>
      </c>
      <c r="R4449" t="s">
        <v>95</v>
      </c>
      <c r="S4449" t="s">
        <v>6039</v>
      </c>
      <c r="T4449">
        <v>23</v>
      </c>
      <c r="W4449" t="s">
        <v>8665</v>
      </c>
      <c r="X4449" t="s">
        <v>6040</v>
      </c>
      <c r="Y4449" t="s">
        <v>27068</v>
      </c>
      <c r="Z4449" t="s">
        <v>27068</v>
      </c>
      <c r="AA4449" t="s">
        <v>27068</v>
      </c>
      <c r="AB4449" t="s">
        <v>27064</v>
      </c>
      <c r="AG4449" t="s">
        <v>27069</v>
      </c>
      <c r="AH4449" t="s">
        <v>27066</v>
      </c>
      <c r="AI4449" t="s">
        <v>27070</v>
      </c>
    </row>
    <row r="4450" spans="2:35" ht="409.5">
      <c r="B4450" s="1">
        <v>45422</v>
      </c>
      <c r="C4450" s="4">
        <v>45422.565972222219</v>
      </c>
      <c r="D4450" t="s">
        <v>92</v>
      </c>
      <c r="E4450" t="s">
        <v>14462</v>
      </c>
      <c r="F4450" t="s">
        <v>37</v>
      </c>
      <c r="G4450" t="s">
        <v>78</v>
      </c>
      <c r="H4450" t="s">
        <v>61</v>
      </c>
      <c r="I4450" t="s">
        <v>40</v>
      </c>
      <c r="J4450" s="2" t="s">
        <v>62</v>
      </c>
      <c r="K4450" t="s">
        <v>42</v>
      </c>
      <c r="L4450" t="s">
        <v>1943</v>
      </c>
      <c r="N4450" t="s">
        <v>1944</v>
      </c>
      <c r="Q4450">
        <v>28095</v>
      </c>
      <c r="R4450" t="s">
        <v>95</v>
      </c>
      <c r="S4450" t="s">
        <v>27071</v>
      </c>
      <c r="T4450">
        <v>25</v>
      </c>
      <c r="V4450" s="1">
        <v>45422</v>
      </c>
      <c r="W4450" t="s">
        <v>84</v>
      </c>
      <c r="X4450">
        <v>839233</v>
      </c>
      <c r="Y4450" s="2" t="s">
        <v>27072</v>
      </c>
      <c r="Z4450" t="s">
        <v>3045</v>
      </c>
      <c r="AA4450" s="2" t="s">
        <v>3046</v>
      </c>
      <c r="AB4450" s="2" t="s">
        <v>27073</v>
      </c>
      <c r="AD4450" t="s">
        <v>948</v>
      </c>
      <c r="AE4450" t="s">
        <v>11329</v>
      </c>
      <c r="AG4450" t="s">
        <v>27074</v>
      </c>
      <c r="AH4450" t="s">
        <v>27075</v>
      </c>
      <c r="AI4450" t="s">
        <v>27076</v>
      </c>
    </row>
    <row r="4451" spans="2:35" ht="285">
      <c r="B4451" s="1">
        <v>45422</v>
      </c>
      <c r="C4451" s="4">
        <v>45422.552083333336</v>
      </c>
      <c r="D4451" t="s">
        <v>10967</v>
      </c>
      <c r="E4451" t="s">
        <v>10968</v>
      </c>
      <c r="F4451">
        <v>7</v>
      </c>
      <c r="G4451" t="s">
        <v>432</v>
      </c>
      <c r="H4451" t="s">
        <v>10969</v>
      </c>
      <c r="I4451" t="s">
        <v>40</v>
      </c>
      <c r="J4451" t="s">
        <v>109</v>
      </c>
      <c r="K4451" t="s">
        <v>42</v>
      </c>
      <c r="L4451" t="s">
        <v>1288</v>
      </c>
      <c r="N4451" t="s">
        <v>1289</v>
      </c>
      <c r="Q4451">
        <v>28094</v>
      </c>
      <c r="R4451" t="s">
        <v>119</v>
      </c>
      <c r="S4451" t="s">
        <v>15836</v>
      </c>
      <c r="T4451">
        <v>25</v>
      </c>
      <c r="U4451" s="2" t="s">
        <v>27077</v>
      </c>
      <c r="W4451" t="s">
        <v>1292</v>
      </c>
      <c r="X4451">
        <v>838510</v>
      </c>
      <c r="Y4451" t="s">
        <v>9143</v>
      </c>
      <c r="Z4451" t="e">
        <f ca="1">-COLLECT IQR, system _xludf.Log, _xludf.and ARCHIVE</f>
        <v>#NAME?</v>
      </c>
      <c r="AA4451" t="e">
        <f ca="1">-PERFORM Cleaning of GeneXpert workstation _xludf.and EQUIPMENT
-PERFORM Preventive Maintenance PROCEDURE</f>
        <v>#NAME?</v>
      </c>
      <c r="AB4451" t="s">
        <v>1293</v>
      </c>
      <c r="AG4451" t="s">
        <v>27078</v>
      </c>
      <c r="AH4451" t="s">
        <v>17035</v>
      </c>
      <c r="AI4451" t="s">
        <v>27079</v>
      </c>
    </row>
    <row r="4452" spans="2:35" ht="285">
      <c r="B4452" s="1">
        <v>45422</v>
      </c>
      <c r="C4452" s="4">
        <v>45422.54791666667</v>
      </c>
      <c r="D4452" t="s">
        <v>10967</v>
      </c>
      <c r="E4452" t="s">
        <v>10968</v>
      </c>
      <c r="F4452">
        <v>7</v>
      </c>
      <c r="G4452" t="s">
        <v>432</v>
      </c>
      <c r="H4452" t="s">
        <v>10969</v>
      </c>
      <c r="I4452" t="s">
        <v>40</v>
      </c>
      <c r="J4452" t="s">
        <v>109</v>
      </c>
      <c r="K4452" t="s">
        <v>42</v>
      </c>
      <c r="L4452" t="s">
        <v>1288</v>
      </c>
      <c r="N4452" t="s">
        <v>1289</v>
      </c>
      <c r="Q4452">
        <v>28093</v>
      </c>
      <c r="R4452" t="s">
        <v>119</v>
      </c>
      <c r="S4452" t="s">
        <v>15836</v>
      </c>
      <c r="T4452">
        <v>22</v>
      </c>
      <c r="U4452" s="2" t="s">
        <v>27077</v>
      </c>
      <c r="W4452" t="s">
        <v>1292</v>
      </c>
      <c r="X4452">
        <v>838508</v>
      </c>
      <c r="Y4452" t="s">
        <v>9143</v>
      </c>
      <c r="Z4452" t="e">
        <f ca="1">-COLLECT IQR, system _xludf.Log, _xludf.and ARCHIVE</f>
        <v>#NAME?</v>
      </c>
      <c r="AA4452" t="e">
        <f ca="1">-PERFORM Cleaning of GeneXpert workstation _xludf.and EQUIPMENT
-PERFORM Preventive Maintenance PROCEDURE</f>
        <v>#NAME?</v>
      </c>
      <c r="AB4452" t="s">
        <v>1293</v>
      </c>
      <c r="AG4452" t="s">
        <v>27080</v>
      </c>
      <c r="AH4452" t="s">
        <v>17035</v>
      </c>
      <c r="AI4452" t="s">
        <v>27081</v>
      </c>
    </row>
    <row r="4453" spans="2:35" ht="300">
      <c r="B4453" s="1">
        <v>45422</v>
      </c>
      <c r="C4453" s="4">
        <v>45422.525694444441</v>
      </c>
      <c r="D4453" t="s">
        <v>5474</v>
      </c>
      <c r="E4453" t="s">
        <v>13575</v>
      </c>
      <c r="F4453" t="s">
        <v>148</v>
      </c>
      <c r="G4453" t="s">
        <v>2007</v>
      </c>
      <c r="H4453" t="s">
        <v>5476</v>
      </c>
      <c r="I4453" t="s">
        <v>94</v>
      </c>
      <c r="J4453" t="s">
        <v>109</v>
      </c>
      <c r="K4453" t="s">
        <v>408</v>
      </c>
      <c r="L4453" t="s">
        <v>448</v>
      </c>
      <c r="N4453" t="s">
        <v>650</v>
      </c>
      <c r="O4453" t="s">
        <v>27082</v>
      </c>
      <c r="P4453" t="s">
        <v>10094</v>
      </c>
      <c r="Q4453">
        <v>28092</v>
      </c>
      <c r="R4453" t="s">
        <v>95</v>
      </c>
      <c r="S4453" t="s">
        <v>5479</v>
      </c>
      <c r="T4453">
        <v>28</v>
      </c>
      <c r="V4453" s="1">
        <v>45421</v>
      </c>
      <c r="W4453" t="s">
        <v>27083</v>
      </c>
      <c r="X4453">
        <v>1261</v>
      </c>
      <c r="Y4453" t="s">
        <v>2692</v>
      </c>
      <c r="Z4453" s="2" t="s">
        <v>27084</v>
      </c>
      <c r="AA4453" t="s">
        <v>122</v>
      </c>
      <c r="AB4453" t="s">
        <v>486</v>
      </c>
      <c r="AE4453">
        <v>2987</v>
      </c>
      <c r="AG4453" t="s">
        <v>27085</v>
      </c>
      <c r="AH4453" t="s">
        <v>5483</v>
      </c>
      <c r="AI4453" t="s">
        <v>27086</v>
      </c>
    </row>
    <row r="4454" spans="2:35" ht="409.5">
      <c r="B4454" s="1">
        <v>45422</v>
      </c>
      <c r="C4454" s="4">
        <v>45422.525694444441</v>
      </c>
      <c r="D4454" t="s">
        <v>159</v>
      </c>
      <c r="E4454" t="s">
        <v>5764</v>
      </c>
      <c r="F4454" t="s">
        <v>37</v>
      </c>
      <c r="G4454" t="s">
        <v>78</v>
      </c>
      <c r="H4454" t="s">
        <v>295</v>
      </c>
      <c r="I4454" t="s">
        <v>40</v>
      </c>
      <c r="J4454" t="s">
        <v>109</v>
      </c>
      <c r="K4454" t="s">
        <v>42</v>
      </c>
      <c r="L4454" t="s">
        <v>1943</v>
      </c>
      <c r="N4454" t="s">
        <v>1944</v>
      </c>
      <c r="Q4454">
        <v>28091</v>
      </c>
      <c r="R4454" t="s">
        <v>95</v>
      </c>
      <c r="S4454" t="s">
        <v>23763</v>
      </c>
      <c r="T4454">
        <v>25</v>
      </c>
      <c r="W4454" t="s">
        <v>5771</v>
      </c>
      <c r="X4454">
        <v>812916</v>
      </c>
      <c r="Y4454" t="s">
        <v>2099</v>
      </c>
      <c r="Z4454" t="s">
        <v>2100</v>
      </c>
      <c r="AA4454" s="2" t="s">
        <v>2101</v>
      </c>
      <c r="AB4454" t="s">
        <v>88</v>
      </c>
      <c r="AG4454" t="s">
        <v>27087</v>
      </c>
      <c r="AH4454" t="s">
        <v>23770</v>
      </c>
      <c r="AI4454" t="s">
        <v>27088</v>
      </c>
    </row>
    <row r="4455" spans="2:35" ht="409.5">
      <c r="B4455" s="1">
        <v>45422</v>
      </c>
      <c r="C4455" s="4">
        <v>45419.521527777775</v>
      </c>
      <c r="D4455" t="s">
        <v>10656</v>
      </c>
      <c r="E4455" t="s">
        <v>27089</v>
      </c>
      <c r="F4455">
        <v>5</v>
      </c>
      <c r="G4455" t="s">
        <v>8314</v>
      </c>
      <c r="H4455" t="s">
        <v>39</v>
      </c>
      <c r="I4455" t="s">
        <v>94</v>
      </c>
      <c r="J4455" s="2" t="s">
        <v>1157</v>
      </c>
      <c r="K4455" t="s">
        <v>42</v>
      </c>
      <c r="L4455" t="s">
        <v>761</v>
      </c>
      <c r="N4455" t="s">
        <v>762</v>
      </c>
      <c r="Q4455">
        <v>28090</v>
      </c>
      <c r="R4455" t="s">
        <v>119</v>
      </c>
      <c r="S4455" t="s">
        <v>10657</v>
      </c>
      <c r="T4455">
        <v>24</v>
      </c>
      <c r="U4455" s="2" t="s">
        <v>27090</v>
      </c>
      <c r="W4455" t="s">
        <v>765</v>
      </c>
      <c r="X4455">
        <v>838563</v>
      </c>
      <c r="Y4455" s="2" t="s">
        <v>27091</v>
      </c>
      <c r="Z4455" s="2" t="s">
        <v>27092</v>
      </c>
      <c r="AA4455" s="2" t="s">
        <v>27093</v>
      </c>
      <c r="AB4455" s="2" t="s">
        <v>27094</v>
      </c>
      <c r="AC4455" t="s">
        <v>27095</v>
      </c>
      <c r="AG4455" t="s">
        <v>27096</v>
      </c>
      <c r="AH4455" t="s">
        <v>8318</v>
      </c>
      <c r="AI4455" t="s">
        <v>27097</v>
      </c>
    </row>
    <row r="4456" spans="2:35" ht="210">
      <c r="B4456" s="1">
        <v>45422</v>
      </c>
      <c r="C4456" s="4">
        <v>45422.470833333333</v>
      </c>
      <c r="D4456" t="s">
        <v>837</v>
      </c>
      <c r="E4456" t="s">
        <v>27098</v>
      </c>
      <c r="F4456">
        <v>5</v>
      </c>
      <c r="G4456" t="s">
        <v>839</v>
      </c>
      <c r="H4456" t="s">
        <v>513</v>
      </c>
      <c r="I4456" t="s">
        <v>94</v>
      </c>
      <c r="J4456" s="2" t="s">
        <v>190</v>
      </c>
      <c r="K4456" t="s">
        <v>387</v>
      </c>
      <c r="L4456" t="s">
        <v>761</v>
      </c>
      <c r="N4456" t="s">
        <v>762</v>
      </c>
      <c r="Q4456">
        <v>28089</v>
      </c>
      <c r="R4456" t="s">
        <v>322</v>
      </c>
      <c r="S4456" t="s">
        <v>8249</v>
      </c>
      <c r="T4456">
        <v>22</v>
      </c>
      <c r="W4456" t="s">
        <v>390</v>
      </c>
      <c r="X4456" t="s">
        <v>27099</v>
      </c>
      <c r="Y4456" s="2" t="s">
        <v>27100</v>
      </c>
      <c r="Z4456" s="2" t="s">
        <v>27101</v>
      </c>
      <c r="AA4456" t="s">
        <v>27102</v>
      </c>
      <c r="AB4456" t="s">
        <v>13135</v>
      </c>
      <c r="AG4456" t="s">
        <v>27103</v>
      </c>
      <c r="AH4456" t="s">
        <v>27104</v>
      </c>
      <c r="AI4456" t="s">
        <v>27105</v>
      </c>
    </row>
    <row r="4457" spans="2:35" ht="180">
      <c r="B4457" s="1">
        <v>45422</v>
      </c>
      <c r="C4457" s="4">
        <v>45422.474305555559</v>
      </c>
      <c r="D4457" t="s">
        <v>837</v>
      </c>
      <c r="E4457" t="s">
        <v>27098</v>
      </c>
      <c r="F4457">
        <v>5</v>
      </c>
      <c r="G4457" t="s">
        <v>839</v>
      </c>
      <c r="H4457" t="s">
        <v>513</v>
      </c>
      <c r="I4457" t="s">
        <v>94</v>
      </c>
      <c r="J4457" t="s">
        <v>109</v>
      </c>
      <c r="K4457" t="s">
        <v>387</v>
      </c>
      <c r="L4457" t="s">
        <v>761</v>
      </c>
      <c r="N4457" t="s">
        <v>762</v>
      </c>
      <c r="Q4457">
        <v>28088</v>
      </c>
      <c r="R4457" t="s">
        <v>322</v>
      </c>
      <c r="S4457" t="s">
        <v>8249</v>
      </c>
      <c r="T4457">
        <v>22</v>
      </c>
      <c r="W4457" t="s">
        <v>390</v>
      </c>
      <c r="X4457" t="s">
        <v>847</v>
      </c>
      <c r="Y4457" t="s">
        <v>9364</v>
      </c>
      <c r="Z4457" s="2" t="s">
        <v>27106</v>
      </c>
      <c r="AA4457" t="s">
        <v>820</v>
      </c>
      <c r="AB4457" t="s">
        <v>181</v>
      </c>
      <c r="AG4457" t="s">
        <v>27107</v>
      </c>
      <c r="AH4457" t="s">
        <v>27104</v>
      </c>
      <c r="AI4457" t="s">
        <v>27108</v>
      </c>
    </row>
    <row r="4458" spans="2:35" ht="180">
      <c r="B4458" s="1">
        <v>45422</v>
      </c>
      <c r="C4458" s="4">
        <v>45422.476388888892</v>
      </c>
      <c r="D4458" t="s">
        <v>837</v>
      </c>
      <c r="E4458" t="s">
        <v>27098</v>
      </c>
      <c r="F4458">
        <v>5</v>
      </c>
      <c r="G4458" t="s">
        <v>839</v>
      </c>
      <c r="H4458" t="s">
        <v>513</v>
      </c>
      <c r="I4458" t="s">
        <v>94</v>
      </c>
      <c r="J4458" t="s">
        <v>109</v>
      </c>
      <c r="K4458" t="s">
        <v>387</v>
      </c>
      <c r="L4458" t="s">
        <v>761</v>
      </c>
      <c r="N4458" t="s">
        <v>762</v>
      </c>
      <c r="Q4458">
        <v>28087</v>
      </c>
      <c r="R4458" t="s">
        <v>322</v>
      </c>
      <c r="S4458" t="s">
        <v>8249</v>
      </c>
      <c r="T4458">
        <v>22</v>
      </c>
      <c r="W4458" t="s">
        <v>390</v>
      </c>
      <c r="X4458" t="s">
        <v>841</v>
      </c>
      <c r="Y4458" t="s">
        <v>9364</v>
      </c>
      <c r="Z4458" s="2" t="s">
        <v>27109</v>
      </c>
      <c r="AA4458" t="s">
        <v>820</v>
      </c>
      <c r="AB4458" t="s">
        <v>181</v>
      </c>
      <c r="AG4458" t="s">
        <v>27110</v>
      </c>
      <c r="AH4458" t="s">
        <v>27104</v>
      </c>
      <c r="AI4458" t="s">
        <v>27111</v>
      </c>
    </row>
    <row r="4459" spans="2:35" ht="409.5">
      <c r="B4459" s="1">
        <v>45422</v>
      </c>
      <c r="C4459" s="4">
        <v>45422.460416666669</v>
      </c>
      <c r="D4459" t="s">
        <v>159</v>
      </c>
      <c r="E4459" t="s">
        <v>5764</v>
      </c>
      <c r="F4459" t="s">
        <v>37</v>
      </c>
      <c r="G4459" t="s">
        <v>78</v>
      </c>
      <c r="H4459" t="s">
        <v>27112</v>
      </c>
      <c r="I4459" t="s">
        <v>40</v>
      </c>
      <c r="J4459" s="2" t="s">
        <v>190</v>
      </c>
      <c r="K4459" t="s">
        <v>8838</v>
      </c>
      <c r="L4459" t="s">
        <v>1943</v>
      </c>
      <c r="N4459" t="s">
        <v>1944</v>
      </c>
      <c r="O4459" t="s">
        <v>5749</v>
      </c>
      <c r="Q4459">
        <v>28086</v>
      </c>
      <c r="R4459" t="s">
        <v>95</v>
      </c>
      <c r="S4459" t="s">
        <v>27113</v>
      </c>
      <c r="T4459">
        <v>25</v>
      </c>
      <c r="W4459" t="s">
        <v>27114</v>
      </c>
      <c r="X4459" t="s">
        <v>27115</v>
      </c>
      <c r="Y4459" s="2" t="s">
        <v>27116</v>
      </c>
      <c r="Z4459" t="s">
        <v>4402</v>
      </c>
      <c r="AA4459" s="2" t="s">
        <v>27117</v>
      </c>
      <c r="AB4459" t="s">
        <v>27118</v>
      </c>
      <c r="AG4459" t="s">
        <v>27119</v>
      </c>
      <c r="AH4459" t="s">
        <v>27120</v>
      </c>
      <c r="AI4459" t="s">
        <v>27121</v>
      </c>
    </row>
    <row r="4460" spans="2:35" ht="210">
      <c r="B4460" s="1">
        <v>45421</v>
      </c>
      <c r="C4460" s="4">
        <v>45421.652777777781</v>
      </c>
      <c r="D4460" t="s">
        <v>7019</v>
      </c>
      <c r="E4460" t="s">
        <v>16273</v>
      </c>
      <c r="F4460" t="s">
        <v>148</v>
      </c>
      <c r="G4460" t="s">
        <v>310</v>
      </c>
      <c r="H4460" t="s">
        <v>39</v>
      </c>
      <c r="I4460" t="s">
        <v>40</v>
      </c>
      <c r="J4460" t="s">
        <v>1422</v>
      </c>
      <c r="K4460" t="s">
        <v>42</v>
      </c>
      <c r="L4460" t="s">
        <v>1028</v>
      </c>
      <c r="N4460" t="s">
        <v>1029</v>
      </c>
      <c r="Q4460">
        <v>28085</v>
      </c>
      <c r="R4460" t="s">
        <v>322</v>
      </c>
      <c r="S4460" t="s">
        <v>27122</v>
      </c>
      <c r="T4460">
        <v>28</v>
      </c>
      <c r="V4460" s="1">
        <v>45420</v>
      </c>
      <c r="W4460" t="s">
        <v>1967</v>
      </c>
      <c r="X4460">
        <v>839147</v>
      </c>
      <c r="Y4460" t="s">
        <v>27123</v>
      </c>
      <c r="Z4460" t="s">
        <v>1422</v>
      </c>
      <c r="AA4460" s="2" t="s">
        <v>27124</v>
      </c>
      <c r="AB4460" t="s">
        <v>3300</v>
      </c>
      <c r="AD4460" t="s">
        <v>27125</v>
      </c>
      <c r="AE4460" t="s">
        <v>27126</v>
      </c>
      <c r="AG4460" t="s">
        <v>27127</v>
      </c>
      <c r="AH4460" t="s">
        <v>27128</v>
      </c>
      <c r="AI4460" t="s">
        <v>27129</v>
      </c>
    </row>
    <row r="4461" spans="2:35" ht="255">
      <c r="B4461" s="1">
        <v>45421</v>
      </c>
      <c r="C4461" s="4">
        <v>45421.643055555556</v>
      </c>
      <c r="D4461" t="s">
        <v>1678</v>
      </c>
      <c r="E4461" t="s">
        <v>27130</v>
      </c>
      <c r="F4461" t="s">
        <v>148</v>
      </c>
      <c r="G4461" t="s">
        <v>785</v>
      </c>
      <c r="H4461" t="s">
        <v>39</v>
      </c>
      <c r="I4461" t="s">
        <v>40</v>
      </c>
      <c r="J4461" t="s">
        <v>321</v>
      </c>
      <c r="K4461" t="s">
        <v>42</v>
      </c>
      <c r="L4461" t="s">
        <v>43</v>
      </c>
      <c r="N4461" t="s">
        <v>44</v>
      </c>
      <c r="Q4461">
        <v>28084</v>
      </c>
      <c r="R4461" t="s">
        <v>322</v>
      </c>
      <c r="S4461" t="s">
        <v>18437</v>
      </c>
      <c r="T4461">
        <v>25</v>
      </c>
      <c r="W4461" t="s">
        <v>153</v>
      </c>
      <c r="X4461">
        <v>110024246</v>
      </c>
      <c r="Y4461" t="s">
        <v>750</v>
      </c>
      <c r="Z4461" t="s">
        <v>2931</v>
      </c>
      <c r="AA4461" s="2" t="s">
        <v>27131</v>
      </c>
      <c r="AB4461" t="s">
        <v>88</v>
      </c>
      <c r="AG4461" t="s">
        <v>27132</v>
      </c>
      <c r="AH4461" t="s">
        <v>1684</v>
      </c>
      <c r="AI4461" t="s">
        <v>27133</v>
      </c>
    </row>
    <row r="4462" spans="2:35" ht="409.5">
      <c r="B4462" s="1">
        <v>45421</v>
      </c>
      <c r="C4462" s="4">
        <v>45421.504861111112</v>
      </c>
      <c r="D4462" t="s">
        <v>12198</v>
      </c>
      <c r="E4462" t="s">
        <v>27134</v>
      </c>
      <c r="F4462" t="s">
        <v>148</v>
      </c>
      <c r="G4462" t="s">
        <v>310</v>
      </c>
      <c r="H4462" t="s">
        <v>295</v>
      </c>
      <c r="I4462" t="s">
        <v>40</v>
      </c>
      <c r="J4462" t="s">
        <v>109</v>
      </c>
      <c r="K4462" t="s">
        <v>42</v>
      </c>
      <c r="L4462" t="s">
        <v>1943</v>
      </c>
      <c r="N4462" t="s">
        <v>1944</v>
      </c>
      <c r="Q4462">
        <v>28083</v>
      </c>
      <c r="R4462" t="s">
        <v>322</v>
      </c>
      <c r="S4462" t="s">
        <v>12200</v>
      </c>
      <c r="T4462">
        <v>25</v>
      </c>
      <c r="W4462" t="s">
        <v>895</v>
      </c>
      <c r="X4462">
        <v>844975</v>
      </c>
      <c r="Y4462" t="s">
        <v>2099</v>
      </c>
      <c r="Z4462" t="s">
        <v>2100</v>
      </c>
      <c r="AA4462" s="2" t="s">
        <v>2101</v>
      </c>
      <c r="AB4462" t="s">
        <v>88</v>
      </c>
      <c r="AG4462" t="s">
        <v>27135</v>
      </c>
      <c r="AH4462" t="s">
        <v>27136</v>
      </c>
      <c r="AI4462" t="s">
        <v>27137</v>
      </c>
    </row>
    <row r="4463" spans="2:35" ht="255">
      <c r="B4463" s="1">
        <v>45421</v>
      </c>
      <c r="C4463" s="4">
        <v>45421.606944444444</v>
      </c>
      <c r="D4463" t="s">
        <v>6783</v>
      </c>
      <c r="E4463" t="s">
        <v>2569</v>
      </c>
      <c r="F4463" t="s">
        <v>148</v>
      </c>
      <c r="G4463" t="s">
        <v>447</v>
      </c>
      <c r="H4463" t="s">
        <v>39</v>
      </c>
      <c r="I4463" t="s">
        <v>40</v>
      </c>
      <c r="J4463" t="s">
        <v>109</v>
      </c>
      <c r="K4463" t="s">
        <v>42</v>
      </c>
      <c r="L4463" t="s">
        <v>448</v>
      </c>
      <c r="N4463" t="s">
        <v>650</v>
      </c>
      <c r="Q4463">
        <v>28082</v>
      </c>
      <c r="R4463" t="s">
        <v>95</v>
      </c>
      <c r="S4463" t="s">
        <v>16934</v>
      </c>
      <c r="T4463">
        <v>29</v>
      </c>
      <c r="U4463" s="2" t="s">
        <v>27138</v>
      </c>
      <c r="W4463" t="s">
        <v>6785</v>
      </c>
      <c r="X4463">
        <v>839306</v>
      </c>
      <c r="Y4463" t="s">
        <v>27139</v>
      </c>
      <c r="Z4463" s="2" t="s">
        <v>2011</v>
      </c>
      <c r="AA4463" t="s">
        <v>122</v>
      </c>
      <c r="AB4463" t="s">
        <v>27140</v>
      </c>
      <c r="AG4463" t="s">
        <v>27141</v>
      </c>
      <c r="AH4463" t="s">
        <v>24230</v>
      </c>
      <c r="AI4463" t="s">
        <v>27142</v>
      </c>
    </row>
    <row r="4464" spans="2:35" ht="409.5">
      <c r="B4464" s="1">
        <v>45421</v>
      </c>
      <c r="C4464" s="4">
        <v>45421.612500000003</v>
      </c>
      <c r="D4464" t="s">
        <v>22405</v>
      </c>
      <c r="E4464" t="s">
        <v>12017</v>
      </c>
      <c r="F4464">
        <v>7</v>
      </c>
      <c r="G4464" t="s">
        <v>432</v>
      </c>
      <c r="H4464" t="s">
        <v>9774</v>
      </c>
      <c r="I4464" t="s">
        <v>40</v>
      </c>
      <c r="J4464" t="s">
        <v>109</v>
      </c>
      <c r="K4464" t="s">
        <v>42</v>
      </c>
      <c r="L4464" t="s">
        <v>1288</v>
      </c>
      <c r="N4464" t="s">
        <v>1289</v>
      </c>
      <c r="Q4464">
        <v>28081</v>
      </c>
      <c r="R4464" t="s">
        <v>95</v>
      </c>
      <c r="S4464" t="s">
        <v>11987</v>
      </c>
      <c r="T4464">
        <v>18</v>
      </c>
      <c r="U4464" s="2" t="s">
        <v>27143</v>
      </c>
      <c r="W4464" t="s">
        <v>1292</v>
      </c>
      <c r="X4464">
        <v>110008524</v>
      </c>
      <c r="Y4464" t="s">
        <v>9143</v>
      </c>
      <c r="Z4464" t="e">
        <f ca="1">-COLLECT IQR, system _xludf.Log, _xludf.and ARCHIVE</f>
        <v>#NAME?</v>
      </c>
      <c r="AA4464" t="e">
        <f ca="1">-PERFORM Cleaning _xludf.and Preventive Maintenance PROCEDURE</f>
        <v>#NAME?</v>
      </c>
      <c r="AB4464" t="s">
        <v>1293</v>
      </c>
      <c r="AG4464" t="s">
        <v>27144</v>
      </c>
      <c r="AH4464" t="s">
        <v>21336</v>
      </c>
      <c r="AI4464" t="s">
        <v>27145</v>
      </c>
    </row>
    <row r="4465" spans="2:35" ht="360">
      <c r="B4465" s="1">
        <v>45421</v>
      </c>
      <c r="C4465" s="4">
        <v>45421.554861111108</v>
      </c>
      <c r="D4465" t="s">
        <v>25068</v>
      </c>
      <c r="E4465" t="s">
        <v>27146</v>
      </c>
      <c r="F4465">
        <v>3</v>
      </c>
      <c r="G4465" t="s">
        <v>730</v>
      </c>
      <c r="H4465" t="s">
        <v>39</v>
      </c>
      <c r="I4465" t="s">
        <v>40</v>
      </c>
      <c r="J4465" t="s">
        <v>109</v>
      </c>
      <c r="K4465" t="s">
        <v>42</v>
      </c>
      <c r="L4465" t="s">
        <v>135</v>
      </c>
      <c r="N4465" t="s">
        <v>136</v>
      </c>
      <c r="Q4465">
        <v>28080</v>
      </c>
      <c r="R4465" t="s">
        <v>119</v>
      </c>
      <c r="S4465" t="s">
        <v>25070</v>
      </c>
      <c r="T4465">
        <v>30</v>
      </c>
      <c r="U4465" s="2" t="s">
        <v>27147</v>
      </c>
      <c r="W4465" t="s">
        <v>2680</v>
      </c>
      <c r="X4465">
        <v>831591</v>
      </c>
      <c r="Y4465" t="s">
        <v>7229</v>
      </c>
      <c r="Z4465" t="s">
        <v>4315</v>
      </c>
      <c r="AA4465" s="2" t="s">
        <v>4316</v>
      </c>
      <c r="AB4465" t="s">
        <v>181</v>
      </c>
      <c r="AG4465" t="s">
        <v>27148</v>
      </c>
      <c r="AH4465" t="s">
        <v>25073</v>
      </c>
      <c r="AI4465" t="s">
        <v>27149</v>
      </c>
    </row>
    <row r="4466" spans="2:35" ht="210">
      <c r="B4466" s="1">
        <v>45421</v>
      </c>
      <c r="C4466" s="4">
        <v>45421.50277777778</v>
      </c>
      <c r="D4466" t="s">
        <v>27150</v>
      </c>
      <c r="E4466" t="s">
        <v>27151</v>
      </c>
      <c r="F4466">
        <v>3</v>
      </c>
      <c r="G4466" t="s">
        <v>174</v>
      </c>
      <c r="H4466" t="s">
        <v>39</v>
      </c>
      <c r="I4466" t="s">
        <v>40</v>
      </c>
      <c r="J4466" t="s">
        <v>109</v>
      </c>
      <c r="K4466" t="s">
        <v>42</v>
      </c>
      <c r="L4466" t="s">
        <v>175</v>
      </c>
      <c r="N4466" t="s">
        <v>176</v>
      </c>
      <c r="Q4466">
        <v>28079</v>
      </c>
      <c r="R4466" t="s">
        <v>119</v>
      </c>
      <c r="S4466" t="s">
        <v>27152</v>
      </c>
      <c r="T4466">
        <v>29</v>
      </c>
      <c r="U4466" s="2" t="s">
        <v>26886</v>
      </c>
      <c r="W4466" t="s">
        <v>84</v>
      </c>
      <c r="X4466">
        <v>831915</v>
      </c>
      <c r="Y4466" t="s">
        <v>374</v>
      </c>
      <c r="Z4466" s="2" t="s">
        <v>27153</v>
      </c>
      <c r="AA4466" t="e">
        <f ca="1">- checked _xludf.and cleaned cartridge bay, plunger rod, _xludf.filter
- generated reports
- performed self test</f>
        <v>#NAME?</v>
      </c>
      <c r="AB4466" s="2" t="s">
        <v>27154</v>
      </c>
      <c r="AG4466" t="s">
        <v>27155</v>
      </c>
      <c r="AH4466" t="s">
        <v>27156</v>
      </c>
      <c r="AI4466" t="s">
        <v>27157</v>
      </c>
    </row>
    <row r="4467" spans="2:35" ht="409.5">
      <c r="B4467" s="1">
        <v>45421</v>
      </c>
      <c r="C4467" s="4">
        <v>45421.48541666667</v>
      </c>
      <c r="D4467" t="s">
        <v>27158</v>
      </c>
      <c r="E4467" t="s">
        <v>27159</v>
      </c>
      <c r="F4467" t="s">
        <v>148</v>
      </c>
      <c r="G4467" t="s">
        <v>310</v>
      </c>
      <c r="H4467" t="s">
        <v>39</v>
      </c>
      <c r="I4467" t="s">
        <v>40</v>
      </c>
      <c r="J4467" s="2" t="s">
        <v>190</v>
      </c>
      <c r="K4467" t="s">
        <v>42</v>
      </c>
      <c r="L4467" t="s">
        <v>1943</v>
      </c>
      <c r="N4467" t="s">
        <v>1944</v>
      </c>
      <c r="Q4467">
        <v>28078</v>
      </c>
      <c r="R4467" t="s">
        <v>322</v>
      </c>
      <c r="S4467" t="s">
        <v>11890</v>
      </c>
      <c r="T4467">
        <v>28</v>
      </c>
      <c r="W4467" t="s">
        <v>84</v>
      </c>
      <c r="X4467">
        <v>808015</v>
      </c>
      <c r="Y4467" s="2" t="s">
        <v>27160</v>
      </c>
      <c r="Z4467" t="s">
        <v>4402</v>
      </c>
      <c r="AA4467" s="2" t="s">
        <v>2101</v>
      </c>
      <c r="AB4467" t="s">
        <v>88</v>
      </c>
      <c r="AG4467" t="s">
        <v>27161</v>
      </c>
      <c r="AH4467" t="s">
        <v>18218</v>
      </c>
      <c r="AI4467" t="s">
        <v>27162</v>
      </c>
    </row>
    <row r="4468" spans="2:35" ht="105">
      <c r="B4468" s="1">
        <v>45421</v>
      </c>
      <c r="C4468" s="4">
        <v>45421.491666666669</v>
      </c>
      <c r="D4468" t="s">
        <v>27150</v>
      </c>
      <c r="E4468" t="s">
        <v>27151</v>
      </c>
      <c r="F4468">
        <v>3</v>
      </c>
      <c r="G4468" t="s">
        <v>174</v>
      </c>
      <c r="H4468" t="s">
        <v>39</v>
      </c>
      <c r="I4468" t="s">
        <v>40</v>
      </c>
      <c r="J4468" t="s">
        <v>109</v>
      </c>
      <c r="K4468" t="s">
        <v>42</v>
      </c>
      <c r="L4468" t="s">
        <v>175</v>
      </c>
      <c r="N4468" t="s">
        <v>176</v>
      </c>
      <c r="Q4468">
        <v>28077</v>
      </c>
      <c r="R4468" t="s">
        <v>119</v>
      </c>
      <c r="S4468" t="s">
        <v>27152</v>
      </c>
      <c r="T4468">
        <v>30</v>
      </c>
      <c r="U4468" s="2" t="s">
        <v>26886</v>
      </c>
      <c r="W4468" t="s">
        <v>84</v>
      </c>
      <c r="X4468">
        <v>831915</v>
      </c>
      <c r="Y4468" t="s">
        <v>374</v>
      </c>
      <c r="Z4468" t="s">
        <v>27163</v>
      </c>
      <c r="AA4468" t="e">
        <f ca="1">- checked _xludf.and cleaned cartridge bay, plunger rod, _xludf.filter
- generated reports
- performed self test</f>
        <v>#NAME?</v>
      </c>
      <c r="AB4468" s="2" t="s">
        <v>27164</v>
      </c>
      <c r="AG4468" t="s">
        <v>27165</v>
      </c>
      <c r="AH4468" t="s">
        <v>27156</v>
      </c>
      <c r="AI4468" t="s">
        <v>27166</v>
      </c>
    </row>
    <row r="4469" spans="2:35" ht="409.5">
      <c r="B4469" s="1">
        <v>45421</v>
      </c>
      <c r="C4469" s="4">
        <v>45421.467361111114</v>
      </c>
      <c r="D4469" t="s">
        <v>23828</v>
      </c>
      <c r="E4469" t="s">
        <v>27167</v>
      </c>
      <c r="F4469">
        <v>3</v>
      </c>
      <c r="G4469" t="s">
        <v>730</v>
      </c>
      <c r="H4469" t="s">
        <v>39</v>
      </c>
      <c r="I4469" t="s">
        <v>40</v>
      </c>
      <c r="J4469" s="2" t="s">
        <v>62</v>
      </c>
      <c r="K4469" t="s">
        <v>42</v>
      </c>
      <c r="L4469" t="s">
        <v>135</v>
      </c>
      <c r="N4469" t="s">
        <v>136</v>
      </c>
      <c r="Q4469">
        <v>28076</v>
      </c>
      <c r="R4469" t="s">
        <v>119</v>
      </c>
      <c r="S4469" t="s">
        <v>23830</v>
      </c>
      <c r="T4469">
        <v>29</v>
      </c>
      <c r="U4469" s="2" t="s">
        <v>27168</v>
      </c>
      <c r="W4469" t="s">
        <v>2680</v>
      </c>
      <c r="X4469">
        <v>831697</v>
      </c>
      <c r="Y4469" t="s">
        <v>27169</v>
      </c>
      <c r="Z4469" s="2" t="s">
        <v>12500</v>
      </c>
      <c r="AA4469" s="2" t="s">
        <v>27170</v>
      </c>
      <c r="AB4469" s="2" t="s">
        <v>27171</v>
      </c>
      <c r="AC4469" t="s">
        <v>27172</v>
      </c>
      <c r="AG4469" t="s">
        <v>27173</v>
      </c>
      <c r="AH4469" t="s">
        <v>27174</v>
      </c>
      <c r="AI4469" t="s">
        <v>27175</v>
      </c>
    </row>
    <row r="4470" spans="2:35" ht="210">
      <c r="B4470" s="1">
        <v>45421</v>
      </c>
      <c r="C4470" s="4">
        <v>45421.472222222219</v>
      </c>
      <c r="D4470" t="s">
        <v>8067</v>
      </c>
      <c r="E4470" t="s">
        <v>8068</v>
      </c>
      <c r="F4470">
        <v>8</v>
      </c>
      <c r="G4470" t="s">
        <v>257</v>
      </c>
      <c r="H4470" t="s">
        <v>202</v>
      </c>
      <c r="I4470" t="s">
        <v>40</v>
      </c>
      <c r="J4470" t="s">
        <v>109</v>
      </c>
      <c r="K4470" t="s">
        <v>42</v>
      </c>
      <c r="L4470" t="s">
        <v>259</v>
      </c>
      <c r="N4470" t="s">
        <v>260</v>
      </c>
      <c r="Q4470">
        <v>28075</v>
      </c>
      <c r="R4470" t="s">
        <v>119</v>
      </c>
      <c r="S4470" t="s">
        <v>8069</v>
      </c>
      <c r="T4470">
        <v>24</v>
      </c>
      <c r="U4470" s="2" t="s">
        <v>27176</v>
      </c>
      <c r="V4470" s="1">
        <v>45421</v>
      </c>
      <c r="W4470" t="s">
        <v>84</v>
      </c>
      <c r="X4470">
        <v>838406</v>
      </c>
      <c r="Y4470" t="s">
        <v>263</v>
      </c>
      <c r="Z4470" t="s">
        <v>17928</v>
      </c>
      <c r="AA4470" s="2" t="s">
        <v>27177</v>
      </c>
      <c r="AB4470" t="s">
        <v>7445</v>
      </c>
      <c r="AG4470" t="s">
        <v>27178</v>
      </c>
      <c r="AH4470" t="s">
        <v>27179</v>
      </c>
      <c r="AI4470" t="s">
        <v>27180</v>
      </c>
    </row>
    <row r="4471" spans="2:35">
      <c r="B4471" s="1">
        <v>45421</v>
      </c>
      <c r="C4471" s="4">
        <v>45421.462500000001</v>
      </c>
      <c r="D4471" t="s">
        <v>10122</v>
      </c>
      <c r="E4471" t="s">
        <v>27181</v>
      </c>
      <c r="F4471">
        <v>13</v>
      </c>
      <c r="G4471" t="s">
        <v>931</v>
      </c>
      <c r="H4471" t="s">
        <v>2125</v>
      </c>
      <c r="I4471" t="s">
        <v>40</v>
      </c>
      <c r="J4471" t="s">
        <v>109</v>
      </c>
      <c r="K4471" t="s">
        <v>42</v>
      </c>
      <c r="L4471" t="s">
        <v>933</v>
      </c>
      <c r="N4471" t="s">
        <v>934</v>
      </c>
      <c r="Q4471">
        <v>28074</v>
      </c>
      <c r="R4471" t="s">
        <v>119</v>
      </c>
      <c r="S4471" t="s">
        <v>27182</v>
      </c>
      <c r="T4471">
        <v>25</v>
      </c>
      <c r="W4471" t="s">
        <v>3662</v>
      </c>
      <c r="X4471">
        <v>838514</v>
      </c>
      <c r="Y4471" t="s">
        <v>27183</v>
      </c>
      <c r="Z4471" t="s">
        <v>27184</v>
      </c>
      <c r="AA4471" t="s">
        <v>3128</v>
      </c>
      <c r="AB4471" t="s">
        <v>13650</v>
      </c>
      <c r="AG4471" t="s">
        <v>27185</v>
      </c>
      <c r="AH4471" t="s">
        <v>10130</v>
      </c>
      <c r="AI4471" t="s">
        <v>27186</v>
      </c>
    </row>
    <row r="4472" spans="2:35" ht="240">
      <c r="B4472" s="1">
        <v>45421</v>
      </c>
      <c r="C4472" s="4">
        <v>45421.418055555558</v>
      </c>
      <c r="D4472" t="s">
        <v>5546</v>
      </c>
      <c r="E4472" t="s">
        <v>1555</v>
      </c>
      <c r="F4472">
        <v>7</v>
      </c>
      <c r="G4472" t="s">
        <v>432</v>
      </c>
      <c r="H4472" t="s">
        <v>39</v>
      </c>
      <c r="I4472" t="s">
        <v>40</v>
      </c>
      <c r="J4472" s="2" t="s">
        <v>4778</v>
      </c>
      <c r="K4472" t="s">
        <v>42</v>
      </c>
      <c r="L4472" t="s">
        <v>433</v>
      </c>
      <c r="N4472" t="s">
        <v>434</v>
      </c>
      <c r="Q4472">
        <v>28073</v>
      </c>
      <c r="R4472" t="s">
        <v>95</v>
      </c>
      <c r="S4472" t="s">
        <v>7121</v>
      </c>
      <c r="T4472">
        <v>22</v>
      </c>
      <c r="W4472" t="s">
        <v>1008</v>
      </c>
      <c r="X4472">
        <v>829419</v>
      </c>
      <c r="Y4472" t="s">
        <v>21695</v>
      </c>
      <c r="Z4472" s="2" t="s">
        <v>27187</v>
      </c>
      <c r="AA4472" s="2" t="s">
        <v>27187</v>
      </c>
      <c r="AB4472" t="s">
        <v>1011</v>
      </c>
      <c r="AG4472" t="s">
        <v>27188</v>
      </c>
      <c r="AH4472" t="s">
        <v>27189</v>
      </c>
      <c r="AI4472" t="s">
        <v>27190</v>
      </c>
    </row>
    <row r="4473" spans="2:35" ht="409.5">
      <c r="B4473" s="1">
        <v>45420</v>
      </c>
      <c r="C4473" s="4">
        <v>45420.46597222222</v>
      </c>
      <c r="D4473" t="s">
        <v>5207</v>
      </c>
      <c r="E4473" t="s">
        <v>5208</v>
      </c>
      <c r="F4473" t="s">
        <v>148</v>
      </c>
      <c r="G4473" t="s">
        <v>310</v>
      </c>
      <c r="H4473" t="s">
        <v>39</v>
      </c>
      <c r="I4473" t="s">
        <v>40</v>
      </c>
      <c r="J4473" s="2" t="s">
        <v>62</v>
      </c>
      <c r="K4473" t="s">
        <v>42</v>
      </c>
      <c r="L4473" t="s">
        <v>1943</v>
      </c>
      <c r="N4473" t="s">
        <v>1944</v>
      </c>
      <c r="Q4473">
        <v>28072</v>
      </c>
      <c r="R4473" t="s">
        <v>322</v>
      </c>
      <c r="S4473" t="s">
        <v>27191</v>
      </c>
      <c r="T4473">
        <v>25</v>
      </c>
      <c r="V4473" s="1">
        <v>45415</v>
      </c>
      <c r="W4473" t="s">
        <v>373</v>
      </c>
      <c r="X4473">
        <v>110001650</v>
      </c>
      <c r="Y4473" s="2" t="s">
        <v>3044</v>
      </c>
      <c r="Z4473" t="s">
        <v>3045</v>
      </c>
      <c r="AA4473" s="2" t="s">
        <v>3046</v>
      </c>
      <c r="AB4473" t="s">
        <v>27192</v>
      </c>
      <c r="AD4473" t="s">
        <v>27193</v>
      </c>
      <c r="AE4473" t="s">
        <v>27194</v>
      </c>
      <c r="AG4473" t="s">
        <v>27195</v>
      </c>
      <c r="AH4473" t="s">
        <v>27196</v>
      </c>
      <c r="AI4473" t="s">
        <v>27197</v>
      </c>
    </row>
    <row r="4474" spans="2:35" ht="360">
      <c r="B4474" s="1">
        <v>45420</v>
      </c>
      <c r="C4474" s="4">
        <v>45420.572222222225</v>
      </c>
      <c r="D4474" t="s">
        <v>27198</v>
      </c>
      <c r="E4474" t="s">
        <v>27199</v>
      </c>
      <c r="F4474">
        <v>3</v>
      </c>
      <c r="G4474" t="s">
        <v>284</v>
      </c>
      <c r="H4474" t="s">
        <v>39</v>
      </c>
      <c r="I4474" t="s">
        <v>40</v>
      </c>
      <c r="J4474" t="s">
        <v>109</v>
      </c>
      <c r="K4474" t="s">
        <v>42</v>
      </c>
      <c r="L4474" t="s">
        <v>135</v>
      </c>
      <c r="N4474" t="s">
        <v>136</v>
      </c>
      <c r="Q4474">
        <v>28071</v>
      </c>
      <c r="R4474" t="s">
        <v>119</v>
      </c>
      <c r="S4474" t="s">
        <v>27200</v>
      </c>
      <c r="T4474">
        <v>26</v>
      </c>
      <c r="U4474" s="2" t="s">
        <v>27201</v>
      </c>
      <c r="W4474" t="s">
        <v>2680</v>
      </c>
      <c r="X4474">
        <v>831644</v>
      </c>
      <c r="Y4474" t="s">
        <v>485</v>
      </c>
      <c r="Z4474" t="s">
        <v>4315</v>
      </c>
      <c r="AA4474" s="2" t="s">
        <v>4316</v>
      </c>
      <c r="AB4474" t="s">
        <v>181</v>
      </c>
      <c r="AG4474" t="s">
        <v>27202</v>
      </c>
      <c r="AH4474" t="s">
        <v>27203</v>
      </c>
      <c r="AI4474" t="s">
        <v>27204</v>
      </c>
    </row>
    <row r="4475" spans="2:35" ht="315">
      <c r="B4475" s="1">
        <v>45420</v>
      </c>
      <c r="C4475" s="4">
        <v>45420.405555555553</v>
      </c>
      <c r="D4475" t="s">
        <v>12864</v>
      </c>
      <c r="E4475" t="s">
        <v>27205</v>
      </c>
      <c r="F4475" t="s">
        <v>1181</v>
      </c>
      <c r="G4475" t="s">
        <v>1182</v>
      </c>
      <c r="H4475" t="s">
        <v>39</v>
      </c>
      <c r="I4475" t="s">
        <v>40</v>
      </c>
      <c r="J4475" s="2" t="s">
        <v>1808</v>
      </c>
      <c r="K4475" t="s">
        <v>42</v>
      </c>
      <c r="L4475" t="s">
        <v>15532</v>
      </c>
      <c r="N4475" t="s">
        <v>15533</v>
      </c>
      <c r="Q4475">
        <v>28070</v>
      </c>
      <c r="R4475" t="s">
        <v>322</v>
      </c>
      <c r="S4475" t="s">
        <v>12866</v>
      </c>
      <c r="T4475">
        <v>29</v>
      </c>
      <c r="U4475" s="2" t="s">
        <v>2367</v>
      </c>
      <c r="W4475" t="s">
        <v>27206</v>
      </c>
      <c r="X4475">
        <v>120002441</v>
      </c>
      <c r="Y4475" t="s">
        <v>27207</v>
      </c>
      <c r="Z4475" s="2" t="s">
        <v>27208</v>
      </c>
      <c r="AA4475" t="s">
        <v>27209</v>
      </c>
      <c r="AB4475" s="2" t="s">
        <v>27210</v>
      </c>
      <c r="AG4475" t="s">
        <v>27211</v>
      </c>
      <c r="AH4475" t="s">
        <v>12870</v>
      </c>
      <c r="AI4475" t="s">
        <v>27212</v>
      </c>
    </row>
    <row r="4476" spans="2:35" ht="105">
      <c r="B4476" s="1">
        <v>45420</v>
      </c>
      <c r="C4476" s="4">
        <v>45420.51666666667</v>
      </c>
      <c r="D4476" t="s">
        <v>9062</v>
      </c>
      <c r="E4476" t="s">
        <v>9063</v>
      </c>
      <c r="F4476">
        <v>8</v>
      </c>
      <c r="G4476" t="s">
        <v>342</v>
      </c>
      <c r="H4476" t="s">
        <v>1498</v>
      </c>
      <c r="I4476" t="s">
        <v>40</v>
      </c>
      <c r="J4476" t="s">
        <v>109</v>
      </c>
      <c r="K4476" t="s">
        <v>42</v>
      </c>
      <c r="L4476" t="s">
        <v>343</v>
      </c>
      <c r="N4476" t="s">
        <v>344</v>
      </c>
      <c r="Q4476">
        <v>28069</v>
      </c>
      <c r="R4476" t="s">
        <v>119</v>
      </c>
      <c r="S4476" t="s">
        <v>11350</v>
      </c>
      <c r="T4476">
        <v>28</v>
      </c>
      <c r="U4476" s="2" t="s">
        <v>5573</v>
      </c>
      <c r="W4476" t="s">
        <v>6105</v>
      </c>
      <c r="X4476">
        <v>838399</v>
      </c>
      <c r="Y4476" t="s">
        <v>7415</v>
      </c>
      <c r="Z4476" t="e">
        <f ca="1">-Preventive Maintenance
-Change FAN _xludf.filter
-Archives tests
-Backup Data</f>
        <v>#NAME?</v>
      </c>
      <c r="AA4476" t="e">
        <f ca="1">-Preventive Maintenance</f>
        <v>#NAME?</v>
      </c>
      <c r="AB4476" t="s">
        <v>9638</v>
      </c>
      <c r="AG4476" t="s">
        <v>27213</v>
      </c>
      <c r="AH4476" t="s">
        <v>18557</v>
      </c>
      <c r="AI4476" t="s">
        <v>27214</v>
      </c>
    </row>
    <row r="4477" spans="2:35" ht="409.5">
      <c r="B4477" s="1">
        <v>45420</v>
      </c>
      <c r="C4477" s="4">
        <v>45420.497916666667</v>
      </c>
      <c r="D4477" t="s">
        <v>27215</v>
      </c>
      <c r="E4477" t="s">
        <v>27216</v>
      </c>
      <c r="F4477">
        <v>3</v>
      </c>
      <c r="G4477" t="s">
        <v>134</v>
      </c>
      <c r="H4477" t="s">
        <v>39</v>
      </c>
      <c r="I4477" t="s">
        <v>40</v>
      </c>
      <c r="J4477" s="2" t="s">
        <v>190</v>
      </c>
      <c r="K4477" t="s">
        <v>42</v>
      </c>
      <c r="L4477" t="s">
        <v>135</v>
      </c>
      <c r="N4477" t="s">
        <v>136</v>
      </c>
      <c r="Q4477">
        <v>28068</v>
      </c>
      <c r="R4477" t="s">
        <v>119</v>
      </c>
      <c r="S4477" t="s">
        <v>27217</v>
      </c>
      <c r="T4477">
        <v>29</v>
      </c>
      <c r="U4477" s="2" t="s">
        <v>25364</v>
      </c>
      <c r="W4477" t="s">
        <v>2680</v>
      </c>
      <c r="X4477">
        <v>831911</v>
      </c>
      <c r="Y4477" s="2" t="s">
        <v>27218</v>
      </c>
      <c r="Z4477" s="2" t="s">
        <v>15166</v>
      </c>
      <c r="AA4477" s="2" t="s">
        <v>27219</v>
      </c>
      <c r="AB4477" s="2" t="s">
        <v>27220</v>
      </c>
      <c r="AG4477" t="s">
        <v>27221</v>
      </c>
      <c r="AH4477" t="s">
        <v>27222</v>
      </c>
      <c r="AI4477" t="s">
        <v>27223</v>
      </c>
    </row>
    <row r="4478" spans="2:35" ht="360">
      <c r="B4478" s="1">
        <v>45420</v>
      </c>
      <c r="C4478" s="4">
        <v>45420.443749999999</v>
      </c>
      <c r="D4478" t="s">
        <v>3357</v>
      </c>
      <c r="E4478" t="s">
        <v>27224</v>
      </c>
      <c r="F4478">
        <v>3</v>
      </c>
      <c r="G4478" t="s">
        <v>134</v>
      </c>
      <c r="H4478" t="s">
        <v>39</v>
      </c>
      <c r="I4478" t="s">
        <v>40</v>
      </c>
      <c r="J4478" t="s">
        <v>109</v>
      </c>
      <c r="K4478" t="s">
        <v>42</v>
      </c>
      <c r="L4478" t="s">
        <v>135</v>
      </c>
      <c r="N4478" t="s">
        <v>136</v>
      </c>
      <c r="Q4478">
        <v>28067</v>
      </c>
      <c r="R4478" t="s">
        <v>119</v>
      </c>
      <c r="S4478" t="s">
        <v>3359</v>
      </c>
      <c r="T4478">
        <v>29</v>
      </c>
      <c r="U4478" s="2" t="s">
        <v>27225</v>
      </c>
      <c r="W4478" t="s">
        <v>2680</v>
      </c>
      <c r="X4478">
        <v>831912</v>
      </c>
      <c r="Y4478" t="s">
        <v>485</v>
      </c>
      <c r="Z4478" t="s">
        <v>4315</v>
      </c>
      <c r="AA4478" s="2" t="s">
        <v>4316</v>
      </c>
      <c r="AB4478" t="s">
        <v>181</v>
      </c>
      <c r="AG4478" t="s">
        <v>27226</v>
      </c>
      <c r="AH4478" t="s">
        <v>3362</v>
      </c>
      <c r="AI4478" t="s">
        <v>27227</v>
      </c>
    </row>
    <row r="4479" spans="2:35" ht="105">
      <c r="B4479" s="1">
        <v>45420</v>
      </c>
      <c r="C4479" s="4">
        <v>45420.429861111108</v>
      </c>
      <c r="D4479" t="s">
        <v>27228</v>
      </c>
      <c r="E4479" t="s">
        <v>26059</v>
      </c>
      <c r="F4479" t="s">
        <v>148</v>
      </c>
      <c r="G4479" t="s">
        <v>371</v>
      </c>
      <c r="H4479" t="s">
        <v>39</v>
      </c>
      <c r="I4479" t="s">
        <v>40</v>
      </c>
      <c r="J4479" t="s">
        <v>109</v>
      </c>
      <c r="K4479" t="s">
        <v>42</v>
      </c>
      <c r="L4479" t="s">
        <v>175</v>
      </c>
      <c r="N4479" t="s">
        <v>176</v>
      </c>
      <c r="Q4479">
        <v>28066</v>
      </c>
      <c r="R4479" t="s">
        <v>119</v>
      </c>
      <c r="S4479" t="s">
        <v>27229</v>
      </c>
      <c r="T4479">
        <v>27</v>
      </c>
      <c r="U4479" s="2" t="s">
        <v>17593</v>
      </c>
      <c r="W4479" t="s">
        <v>84</v>
      </c>
      <c r="X4479">
        <v>831845</v>
      </c>
      <c r="Y4479" t="s">
        <v>374</v>
      </c>
      <c r="Z4479" t="s">
        <v>103</v>
      </c>
      <c r="AA4479" t="e">
        <f ca="1">- checked _xludf.and cleaned cartridge bay, plunger rod, _xludf.filter
- generated reports
- performed self test</f>
        <v>#NAME?</v>
      </c>
      <c r="AB4479" t="s">
        <v>181</v>
      </c>
      <c r="AG4479" t="s">
        <v>27230</v>
      </c>
      <c r="AH4479" t="s">
        <v>27231</v>
      </c>
      <c r="AI4479" t="s">
        <v>27232</v>
      </c>
    </row>
    <row r="4480" spans="2:35" ht="135">
      <c r="B4480" s="1">
        <v>45420</v>
      </c>
      <c r="C4480" s="4">
        <v>45420.425000000003</v>
      </c>
      <c r="D4480" t="s">
        <v>27228</v>
      </c>
      <c r="E4480" t="s">
        <v>26059</v>
      </c>
      <c r="F4480" t="s">
        <v>148</v>
      </c>
      <c r="G4480" t="s">
        <v>371</v>
      </c>
      <c r="H4480" t="s">
        <v>39</v>
      </c>
      <c r="I4480" t="s">
        <v>40</v>
      </c>
      <c r="J4480" t="s">
        <v>109</v>
      </c>
      <c r="K4480" t="s">
        <v>42</v>
      </c>
      <c r="L4480" t="s">
        <v>175</v>
      </c>
      <c r="N4480" t="s">
        <v>176</v>
      </c>
      <c r="Q4480">
        <v>28065</v>
      </c>
      <c r="R4480" t="s">
        <v>119</v>
      </c>
      <c r="S4480" t="s">
        <v>27229</v>
      </c>
      <c r="T4480">
        <v>29</v>
      </c>
      <c r="U4480" s="2" t="s">
        <v>17593</v>
      </c>
      <c r="W4480" t="s">
        <v>84</v>
      </c>
      <c r="X4480">
        <v>831677</v>
      </c>
      <c r="Y4480" s="2" t="s">
        <v>27233</v>
      </c>
      <c r="Z4480" t="s">
        <v>27234</v>
      </c>
      <c r="AA4480" t="e">
        <f ca="1">- checked _xludf.and cleaned cartridge bay, plunger rod, _xludf.filter
- generated reports
- performed self test</f>
        <v>#NAME?</v>
      </c>
      <c r="AB4480" s="2" t="s">
        <v>27235</v>
      </c>
      <c r="AG4480" t="s">
        <v>27236</v>
      </c>
      <c r="AH4480" t="s">
        <v>27231</v>
      </c>
      <c r="AI4480" t="s">
        <v>27237</v>
      </c>
    </row>
    <row r="4481" spans="2:35" ht="225">
      <c r="B4481" s="1">
        <v>45420</v>
      </c>
      <c r="C4481" s="4">
        <v>45419.451388888891</v>
      </c>
      <c r="D4481" t="s">
        <v>2264</v>
      </c>
      <c r="E4481" t="s">
        <v>27238</v>
      </c>
      <c r="F4481" t="s">
        <v>148</v>
      </c>
      <c r="G4481" t="s">
        <v>2007</v>
      </c>
      <c r="H4481" t="s">
        <v>39</v>
      </c>
      <c r="I4481" t="s">
        <v>40</v>
      </c>
      <c r="J4481" t="s">
        <v>109</v>
      </c>
      <c r="K4481" t="s">
        <v>42</v>
      </c>
      <c r="L4481" t="s">
        <v>43</v>
      </c>
      <c r="N4481" t="s">
        <v>44</v>
      </c>
      <c r="O4481" t="s">
        <v>2266</v>
      </c>
      <c r="Q4481">
        <v>28064</v>
      </c>
      <c r="R4481" t="s">
        <v>322</v>
      </c>
      <c r="S4481" t="s">
        <v>21234</v>
      </c>
      <c r="T4481">
        <v>20</v>
      </c>
      <c r="U4481" s="2" t="s">
        <v>11398</v>
      </c>
      <c r="W4481" t="s">
        <v>153</v>
      </c>
      <c r="X4481">
        <v>110023460</v>
      </c>
      <c r="Y4481" t="s">
        <v>121</v>
      </c>
      <c r="Z4481" t="s">
        <v>122</v>
      </c>
      <c r="AA4481" s="2" t="s">
        <v>9740</v>
      </c>
      <c r="AB4481" t="s">
        <v>16412</v>
      </c>
      <c r="AG4481" t="s">
        <v>27239</v>
      </c>
      <c r="AH4481" t="s">
        <v>27240</v>
      </c>
      <c r="AI4481" t="s">
        <v>27241</v>
      </c>
    </row>
    <row r="4482" spans="2:35" ht="150">
      <c r="B4482" s="1">
        <v>45420</v>
      </c>
      <c r="C4482" s="4">
        <v>45420.42083333333</v>
      </c>
      <c r="D4482" t="s">
        <v>23134</v>
      </c>
      <c r="E4482" t="s">
        <v>26493</v>
      </c>
      <c r="F4482" t="s">
        <v>148</v>
      </c>
      <c r="G4482" t="s">
        <v>310</v>
      </c>
      <c r="H4482" t="s">
        <v>295</v>
      </c>
      <c r="I4482" t="s">
        <v>40</v>
      </c>
      <c r="J4482" t="s">
        <v>321</v>
      </c>
      <c r="K4482" t="s">
        <v>42</v>
      </c>
      <c r="L4482" t="s">
        <v>1943</v>
      </c>
      <c r="N4482" t="s">
        <v>1944</v>
      </c>
      <c r="Q4482">
        <v>28063</v>
      </c>
      <c r="R4482" t="s">
        <v>119</v>
      </c>
      <c r="S4482" t="s">
        <v>23136</v>
      </c>
      <c r="T4482">
        <v>25</v>
      </c>
      <c r="W4482" t="s">
        <v>84</v>
      </c>
      <c r="X4482">
        <v>831872</v>
      </c>
      <c r="Y4482" t="s">
        <v>27242</v>
      </c>
      <c r="Z4482" t="s">
        <v>3764</v>
      </c>
      <c r="AA4482" s="2" t="s">
        <v>27243</v>
      </c>
      <c r="AB4482" t="s">
        <v>88</v>
      </c>
      <c r="AG4482" t="s">
        <v>27244</v>
      </c>
      <c r="AH4482" t="s">
        <v>25416</v>
      </c>
      <c r="AI4482" t="s">
        <v>27245</v>
      </c>
    </row>
    <row r="4483" spans="2:35" ht="195">
      <c r="B4483" s="1">
        <v>45420</v>
      </c>
      <c r="C4483" s="4">
        <v>45419.583333333336</v>
      </c>
      <c r="D4483" t="s">
        <v>5783</v>
      </c>
      <c r="E4483" t="s">
        <v>10870</v>
      </c>
      <c r="F4483">
        <v>12</v>
      </c>
      <c r="G4483" t="s">
        <v>5785</v>
      </c>
      <c r="H4483" t="s">
        <v>1473</v>
      </c>
      <c r="I4483" t="s">
        <v>40</v>
      </c>
      <c r="J4483" t="s">
        <v>109</v>
      </c>
      <c r="K4483" t="s">
        <v>42</v>
      </c>
      <c r="L4483" t="s">
        <v>296</v>
      </c>
      <c r="N4483" t="s">
        <v>297</v>
      </c>
      <c r="Q4483">
        <v>28062</v>
      </c>
      <c r="R4483" t="s">
        <v>119</v>
      </c>
      <c r="S4483" t="s">
        <v>20624</v>
      </c>
      <c r="T4483">
        <v>26.4</v>
      </c>
      <c r="U4483" s="2" t="s">
        <v>3223</v>
      </c>
      <c r="W4483" t="s">
        <v>23049</v>
      </c>
      <c r="X4483">
        <v>838546</v>
      </c>
      <c r="Y4483" t="s">
        <v>27246</v>
      </c>
      <c r="Z4483" s="2" t="s">
        <v>25366</v>
      </c>
      <c r="AA4483" t="s">
        <v>9161</v>
      </c>
      <c r="AB4483" t="s">
        <v>972</v>
      </c>
      <c r="AC4483" t="s">
        <v>27247</v>
      </c>
      <c r="AG4483" t="s">
        <v>27248</v>
      </c>
      <c r="AH4483" t="s">
        <v>5791</v>
      </c>
      <c r="AI4483" t="s">
        <v>27249</v>
      </c>
    </row>
    <row r="4484" spans="2:35" ht="409.5">
      <c r="B4484" s="1">
        <v>45420</v>
      </c>
      <c r="C4484" s="4">
        <v>45420.365277777775</v>
      </c>
      <c r="D4484" t="s">
        <v>27250</v>
      </c>
      <c r="E4484" t="s">
        <v>27251</v>
      </c>
      <c r="F4484">
        <v>3</v>
      </c>
      <c r="G4484" t="s">
        <v>134</v>
      </c>
      <c r="H4484" t="s">
        <v>39</v>
      </c>
      <c r="I4484" t="s">
        <v>40</v>
      </c>
      <c r="J4484" s="2" t="s">
        <v>190</v>
      </c>
      <c r="K4484" t="s">
        <v>42</v>
      </c>
      <c r="L4484" t="s">
        <v>135</v>
      </c>
      <c r="N4484" t="s">
        <v>136</v>
      </c>
      <c r="Q4484">
        <v>28061</v>
      </c>
      <c r="R4484" t="s">
        <v>119</v>
      </c>
      <c r="S4484" t="s">
        <v>27252</v>
      </c>
      <c r="T4484">
        <v>29</v>
      </c>
      <c r="U4484" s="2" t="s">
        <v>26911</v>
      </c>
      <c r="W4484" t="s">
        <v>2680</v>
      </c>
      <c r="X4484">
        <v>831893</v>
      </c>
      <c r="Y4484" s="2" t="s">
        <v>27253</v>
      </c>
      <c r="Z4484" s="2" t="s">
        <v>15166</v>
      </c>
      <c r="AA4484" s="2" t="s">
        <v>27254</v>
      </c>
      <c r="AB4484" s="2" t="s">
        <v>27255</v>
      </c>
      <c r="AG4484" t="s">
        <v>27256</v>
      </c>
      <c r="AH4484" t="s">
        <v>27257</v>
      </c>
      <c r="AI4484" t="s">
        <v>27258</v>
      </c>
    </row>
    <row r="4485" spans="2:35" ht="405">
      <c r="B4485" s="1">
        <v>45420</v>
      </c>
      <c r="C4485" s="4">
        <v>45420.311805555553</v>
      </c>
      <c r="D4485" t="s">
        <v>132</v>
      </c>
      <c r="E4485" t="s">
        <v>27259</v>
      </c>
      <c r="F4485">
        <v>3</v>
      </c>
      <c r="G4485" t="s">
        <v>134</v>
      </c>
      <c r="H4485" t="s">
        <v>39</v>
      </c>
      <c r="I4485" t="s">
        <v>40</v>
      </c>
      <c r="J4485" t="s">
        <v>109</v>
      </c>
      <c r="K4485" t="s">
        <v>42</v>
      </c>
      <c r="L4485" t="s">
        <v>135</v>
      </c>
      <c r="N4485" t="s">
        <v>136</v>
      </c>
      <c r="Q4485">
        <v>28060</v>
      </c>
      <c r="R4485" t="s">
        <v>119</v>
      </c>
      <c r="S4485" t="s">
        <v>137</v>
      </c>
      <c r="T4485">
        <v>30</v>
      </c>
      <c r="U4485" s="2" t="s">
        <v>27260</v>
      </c>
      <c r="W4485" t="s">
        <v>2680</v>
      </c>
      <c r="X4485">
        <v>831900</v>
      </c>
      <c r="Y4485" s="2" t="s">
        <v>27261</v>
      </c>
      <c r="Z4485" s="2" t="s">
        <v>15166</v>
      </c>
      <c r="AA4485" s="2" t="s">
        <v>27262</v>
      </c>
      <c r="AB4485" s="2" t="s">
        <v>27263</v>
      </c>
      <c r="AG4485" t="s">
        <v>27264</v>
      </c>
      <c r="AH4485" t="s">
        <v>27265</v>
      </c>
      <c r="AI4485" t="s">
        <v>27266</v>
      </c>
    </row>
    <row r="4486" spans="2:35" ht="409.5">
      <c r="B4486" s="1">
        <v>45419</v>
      </c>
      <c r="C4486" s="4">
        <v>45419.607638888891</v>
      </c>
      <c r="D4486" t="s">
        <v>9823</v>
      </c>
      <c r="E4486" t="s">
        <v>7477</v>
      </c>
      <c r="F4486">
        <v>11</v>
      </c>
      <c r="G4486" t="s">
        <v>1205</v>
      </c>
      <c r="H4486" t="s">
        <v>202</v>
      </c>
      <c r="I4486" t="s">
        <v>40</v>
      </c>
      <c r="J4486" s="2" t="s">
        <v>609</v>
      </c>
      <c r="K4486" t="s">
        <v>42</v>
      </c>
      <c r="L4486" t="s">
        <v>204</v>
      </c>
      <c r="N4486" t="s">
        <v>205</v>
      </c>
      <c r="Q4486">
        <v>28059</v>
      </c>
      <c r="R4486" t="s">
        <v>119</v>
      </c>
      <c r="S4486" t="s">
        <v>7478</v>
      </c>
      <c r="T4486">
        <v>25.8</v>
      </c>
      <c r="W4486" t="s">
        <v>23237</v>
      </c>
      <c r="X4486">
        <v>838507</v>
      </c>
      <c r="Y4486" s="2" t="s">
        <v>27267</v>
      </c>
      <c r="Z4486" s="2" t="s">
        <v>27268</v>
      </c>
      <c r="AA4486" s="2" t="s">
        <v>27269</v>
      </c>
      <c r="AB4486" t="s">
        <v>27270</v>
      </c>
      <c r="AG4486" t="s">
        <v>27271</v>
      </c>
      <c r="AH4486" t="s">
        <v>27272</v>
      </c>
      <c r="AI4486" t="s">
        <v>27273</v>
      </c>
    </row>
    <row r="4487" spans="2:35" ht="195">
      <c r="B4487" s="1">
        <v>45419</v>
      </c>
      <c r="C4487" s="4">
        <v>45419.604861111111</v>
      </c>
      <c r="D4487" t="s">
        <v>7019</v>
      </c>
      <c r="E4487" t="s">
        <v>7220</v>
      </c>
      <c r="F4487" t="s">
        <v>148</v>
      </c>
      <c r="G4487" t="s">
        <v>310</v>
      </c>
      <c r="H4487" t="s">
        <v>39</v>
      </c>
      <c r="I4487" t="s">
        <v>40</v>
      </c>
      <c r="J4487" t="s">
        <v>321</v>
      </c>
      <c r="K4487" t="s">
        <v>42</v>
      </c>
      <c r="L4487" t="s">
        <v>1028</v>
      </c>
      <c r="N4487" t="s">
        <v>1029</v>
      </c>
      <c r="Q4487">
        <v>28058</v>
      </c>
      <c r="R4487" t="s">
        <v>322</v>
      </c>
      <c r="S4487" t="s">
        <v>12277</v>
      </c>
      <c r="T4487">
        <v>28</v>
      </c>
      <c r="W4487" t="s">
        <v>1967</v>
      </c>
      <c r="X4487">
        <v>839147</v>
      </c>
      <c r="Y4487" t="s">
        <v>3763</v>
      </c>
      <c r="Z4487" t="s">
        <v>13110</v>
      </c>
      <c r="AA4487" s="2" t="s">
        <v>27274</v>
      </c>
      <c r="AB4487" t="s">
        <v>3300</v>
      </c>
      <c r="AG4487" t="s">
        <v>27275</v>
      </c>
      <c r="AH4487" t="s">
        <v>12282</v>
      </c>
      <c r="AI4487" t="s">
        <v>27276</v>
      </c>
    </row>
    <row r="4488" spans="2:35" ht="105">
      <c r="B4488" s="1">
        <v>45419</v>
      </c>
      <c r="C4488" s="4">
        <v>45419.575694444444</v>
      </c>
      <c r="D4488" t="s">
        <v>340</v>
      </c>
      <c r="E4488" t="s">
        <v>341</v>
      </c>
      <c r="F4488">
        <v>8</v>
      </c>
      <c r="G4488" t="s">
        <v>342</v>
      </c>
      <c r="H4488" t="s">
        <v>1498</v>
      </c>
      <c r="I4488" t="s">
        <v>40</v>
      </c>
      <c r="J4488" s="2" t="s">
        <v>190</v>
      </c>
      <c r="K4488" t="s">
        <v>42</v>
      </c>
      <c r="L4488" t="s">
        <v>343</v>
      </c>
      <c r="N4488" t="s">
        <v>344</v>
      </c>
      <c r="Q4488">
        <v>28057</v>
      </c>
      <c r="R4488" t="s">
        <v>119</v>
      </c>
      <c r="S4488" t="s">
        <v>27277</v>
      </c>
      <c r="T4488">
        <v>27</v>
      </c>
      <c r="U4488" s="2" t="s">
        <v>16703</v>
      </c>
      <c r="W4488" t="s">
        <v>6105</v>
      </c>
      <c r="X4488">
        <v>838555</v>
      </c>
      <c r="Y4488" t="e">
        <f ca="1">-monitor display defective</f>
        <v>#NAME?</v>
      </c>
      <c r="Z4488" t="e">
        <f ca="1">-Reset VGA CPU to monitor connection
-Change screen resolution, display defect still insists</f>
        <v>#NAME?</v>
      </c>
      <c r="AA4488" t="e">
        <f ca="1">-Troubleshoot monitor</f>
        <v>#NAME?</v>
      </c>
      <c r="AB4488" t="e">
        <f ca="1">-ALL modules are functional
-display is defective but visible, _xludf.For Observation</f>
        <v>#NAME?</v>
      </c>
      <c r="AG4488" t="s">
        <v>27278</v>
      </c>
      <c r="AH4488" t="s">
        <v>27279</v>
      </c>
      <c r="AI4488" t="s">
        <v>27280</v>
      </c>
    </row>
    <row r="4489" spans="2:35" ht="409.5">
      <c r="B4489" s="1">
        <v>45419</v>
      </c>
      <c r="C4489" s="4">
        <v>45419.559027777781</v>
      </c>
      <c r="D4489" t="s">
        <v>14718</v>
      </c>
      <c r="E4489" t="s">
        <v>3713</v>
      </c>
      <c r="F4489" t="s">
        <v>148</v>
      </c>
      <c r="G4489" t="s">
        <v>310</v>
      </c>
      <c r="H4489" t="s">
        <v>295</v>
      </c>
      <c r="I4489" t="s">
        <v>40</v>
      </c>
      <c r="J4489" t="s">
        <v>109</v>
      </c>
      <c r="K4489" t="s">
        <v>42</v>
      </c>
      <c r="L4489" t="s">
        <v>1943</v>
      </c>
      <c r="N4489" t="s">
        <v>1944</v>
      </c>
      <c r="Q4489">
        <v>28056</v>
      </c>
      <c r="R4489" t="s">
        <v>322</v>
      </c>
      <c r="S4489" t="s">
        <v>14719</v>
      </c>
      <c r="T4489">
        <v>25</v>
      </c>
      <c r="W4489" t="s">
        <v>895</v>
      </c>
      <c r="X4489">
        <v>844418</v>
      </c>
      <c r="Y4489" t="s">
        <v>2099</v>
      </c>
      <c r="Z4489" t="s">
        <v>2100</v>
      </c>
      <c r="AA4489" s="2" t="s">
        <v>2101</v>
      </c>
      <c r="AB4489" t="s">
        <v>88</v>
      </c>
      <c r="AG4489" t="s">
        <v>27281</v>
      </c>
      <c r="AH4489" t="s">
        <v>27282</v>
      </c>
      <c r="AI4489" t="s">
        <v>27283</v>
      </c>
    </row>
    <row r="4490" spans="2:35" ht="360">
      <c r="B4490" s="1">
        <v>45419</v>
      </c>
      <c r="C4490" s="4">
        <v>45419.515277777777</v>
      </c>
      <c r="D4490" t="s">
        <v>9302</v>
      </c>
      <c r="E4490" t="s">
        <v>27284</v>
      </c>
      <c r="F4490">
        <v>3</v>
      </c>
      <c r="G4490" t="s">
        <v>730</v>
      </c>
      <c r="H4490" t="s">
        <v>39</v>
      </c>
      <c r="I4490" t="s">
        <v>40</v>
      </c>
      <c r="J4490" t="s">
        <v>109</v>
      </c>
      <c r="K4490" t="s">
        <v>42</v>
      </c>
      <c r="L4490" t="s">
        <v>135</v>
      </c>
      <c r="N4490" t="s">
        <v>136</v>
      </c>
      <c r="Q4490">
        <v>28055</v>
      </c>
      <c r="R4490" t="s">
        <v>95</v>
      </c>
      <c r="S4490" t="s">
        <v>9308</v>
      </c>
      <c r="T4490">
        <v>25</v>
      </c>
      <c r="U4490" s="2" t="s">
        <v>27285</v>
      </c>
      <c r="W4490" t="s">
        <v>3418</v>
      </c>
      <c r="X4490">
        <v>830841</v>
      </c>
      <c r="Y4490" t="s">
        <v>485</v>
      </c>
      <c r="Z4490" t="s">
        <v>4315</v>
      </c>
      <c r="AA4490" s="2" t="s">
        <v>4316</v>
      </c>
      <c r="AB4490" t="s">
        <v>181</v>
      </c>
      <c r="AG4490" t="s">
        <v>27286</v>
      </c>
      <c r="AH4490" t="s">
        <v>18462</v>
      </c>
      <c r="AI4490" t="s">
        <v>27287</v>
      </c>
    </row>
    <row r="4491" spans="2:35" ht="360">
      <c r="B4491" s="1">
        <v>45419</v>
      </c>
      <c r="C4491" s="4">
        <v>45419.513888888891</v>
      </c>
      <c r="D4491" t="s">
        <v>9302</v>
      </c>
      <c r="E4491" t="s">
        <v>27288</v>
      </c>
      <c r="F4491">
        <v>3</v>
      </c>
      <c r="G4491" t="s">
        <v>730</v>
      </c>
      <c r="H4491" t="s">
        <v>39</v>
      </c>
      <c r="I4491" t="s">
        <v>40</v>
      </c>
      <c r="J4491" t="s">
        <v>109</v>
      </c>
      <c r="K4491" t="s">
        <v>42</v>
      </c>
      <c r="L4491" t="s">
        <v>135</v>
      </c>
      <c r="N4491" t="s">
        <v>136</v>
      </c>
      <c r="Q4491">
        <v>28054</v>
      </c>
      <c r="R4491" t="s">
        <v>95</v>
      </c>
      <c r="S4491" t="s">
        <v>9308</v>
      </c>
      <c r="T4491">
        <v>25</v>
      </c>
      <c r="U4491" s="2" t="s">
        <v>27285</v>
      </c>
      <c r="W4491" t="s">
        <v>2680</v>
      </c>
      <c r="X4491">
        <v>839232</v>
      </c>
      <c r="Y4491" t="s">
        <v>485</v>
      </c>
      <c r="Z4491" t="s">
        <v>4315</v>
      </c>
      <c r="AA4491" s="2" t="s">
        <v>4316</v>
      </c>
      <c r="AB4491" t="s">
        <v>181</v>
      </c>
      <c r="AG4491" t="s">
        <v>27289</v>
      </c>
      <c r="AH4491" t="s">
        <v>18462</v>
      </c>
      <c r="AI4491" t="s">
        <v>27290</v>
      </c>
    </row>
    <row r="4492" spans="2:35" ht="180">
      <c r="B4492" s="1">
        <v>45419</v>
      </c>
      <c r="C4492" s="4">
        <v>45419.48333333333</v>
      </c>
      <c r="D4492" t="s">
        <v>2208</v>
      </c>
      <c r="E4492" t="s">
        <v>27291</v>
      </c>
      <c r="F4492" t="s">
        <v>1181</v>
      </c>
      <c r="G4492" t="s">
        <v>1182</v>
      </c>
      <c r="H4492" t="s">
        <v>39</v>
      </c>
      <c r="I4492" t="s">
        <v>40</v>
      </c>
      <c r="J4492" s="2" t="s">
        <v>41</v>
      </c>
      <c r="K4492" t="s">
        <v>42</v>
      </c>
      <c r="L4492" t="s">
        <v>15532</v>
      </c>
      <c r="N4492" t="s">
        <v>15533</v>
      </c>
      <c r="Q4492">
        <v>28053</v>
      </c>
      <c r="R4492" t="s">
        <v>45</v>
      </c>
      <c r="S4492" t="s">
        <v>2211</v>
      </c>
      <c r="T4492">
        <v>29</v>
      </c>
      <c r="U4492" s="2" t="s">
        <v>27292</v>
      </c>
      <c r="V4492" s="1">
        <v>45418</v>
      </c>
      <c r="W4492" t="s">
        <v>27293</v>
      </c>
      <c r="X4492">
        <v>804272</v>
      </c>
      <c r="Y4492" t="s">
        <v>27294</v>
      </c>
      <c r="Z4492" s="2" t="s">
        <v>27295</v>
      </c>
      <c r="AA4492" s="2" t="s">
        <v>27296</v>
      </c>
      <c r="AB4492" s="2" t="s">
        <v>27297</v>
      </c>
      <c r="AD4492" t="s">
        <v>27298</v>
      </c>
      <c r="AE4492" t="s">
        <v>27299</v>
      </c>
      <c r="AG4492" t="s">
        <v>27300</v>
      </c>
      <c r="AH4492" t="s">
        <v>2215</v>
      </c>
      <c r="AI4492" t="s">
        <v>27301</v>
      </c>
    </row>
    <row r="4493" spans="2:35" ht="409.5">
      <c r="B4493" s="1">
        <v>45419</v>
      </c>
      <c r="C4493" s="4">
        <v>45419.46597222222</v>
      </c>
      <c r="D4493" t="s">
        <v>1015</v>
      </c>
      <c r="E4493" t="s">
        <v>27302</v>
      </c>
      <c r="F4493">
        <v>3</v>
      </c>
      <c r="G4493" t="s">
        <v>730</v>
      </c>
      <c r="H4493" t="s">
        <v>39</v>
      </c>
      <c r="I4493" t="s">
        <v>40</v>
      </c>
      <c r="J4493" s="2" t="s">
        <v>190</v>
      </c>
      <c r="K4493" t="s">
        <v>42</v>
      </c>
      <c r="L4493" t="s">
        <v>135</v>
      </c>
      <c r="N4493" t="s">
        <v>136</v>
      </c>
      <c r="Q4493">
        <v>28052</v>
      </c>
      <c r="R4493" t="s">
        <v>119</v>
      </c>
      <c r="S4493" t="s">
        <v>27303</v>
      </c>
      <c r="T4493">
        <v>30.7</v>
      </c>
      <c r="U4493" s="2" t="s">
        <v>27304</v>
      </c>
      <c r="W4493" t="s">
        <v>2680</v>
      </c>
      <c r="X4493">
        <v>831587</v>
      </c>
      <c r="Y4493" s="2" t="s">
        <v>27305</v>
      </c>
      <c r="Z4493" s="2" t="s">
        <v>15166</v>
      </c>
      <c r="AA4493" s="2" t="s">
        <v>27306</v>
      </c>
      <c r="AB4493" s="2" t="s">
        <v>12247</v>
      </c>
      <c r="AG4493" t="s">
        <v>27307</v>
      </c>
      <c r="AH4493" t="s">
        <v>27308</v>
      </c>
      <c r="AI4493" t="s">
        <v>27309</v>
      </c>
    </row>
    <row r="4494" spans="2:35" ht="409.5">
      <c r="B4494" s="1">
        <v>45419</v>
      </c>
      <c r="C4494" s="4">
        <v>45419.465277777781</v>
      </c>
      <c r="D4494" t="s">
        <v>23619</v>
      </c>
      <c r="E4494" t="s">
        <v>27310</v>
      </c>
      <c r="F4494" t="s">
        <v>148</v>
      </c>
      <c r="G4494" t="s">
        <v>23621</v>
      </c>
      <c r="H4494" t="s">
        <v>39</v>
      </c>
      <c r="I4494" t="s">
        <v>40</v>
      </c>
      <c r="J4494" t="s">
        <v>109</v>
      </c>
      <c r="K4494" t="s">
        <v>42</v>
      </c>
      <c r="L4494" t="s">
        <v>1943</v>
      </c>
      <c r="N4494" t="s">
        <v>1944</v>
      </c>
      <c r="Q4494">
        <v>28051</v>
      </c>
      <c r="R4494" t="s">
        <v>119</v>
      </c>
      <c r="S4494" t="s">
        <v>24265</v>
      </c>
      <c r="T4494">
        <v>25</v>
      </c>
      <c r="W4494" t="s">
        <v>84</v>
      </c>
      <c r="X4494">
        <v>831626</v>
      </c>
      <c r="Y4494" t="s">
        <v>2099</v>
      </c>
      <c r="Z4494" t="s">
        <v>2100</v>
      </c>
      <c r="AA4494" s="2" t="s">
        <v>2101</v>
      </c>
      <c r="AB4494" t="s">
        <v>88</v>
      </c>
      <c r="AG4494" t="s">
        <v>27311</v>
      </c>
      <c r="AH4494" t="s">
        <v>24269</v>
      </c>
      <c r="AI4494" t="s">
        <v>27312</v>
      </c>
    </row>
    <row r="4495" spans="2:35" ht="195">
      <c r="B4495" s="1">
        <v>45419</v>
      </c>
      <c r="C4495" s="4">
        <v>45419.447916666664</v>
      </c>
      <c r="D4495" t="s">
        <v>27313</v>
      </c>
      <c r="E4495" t="s">
        <v>27291</v>
      </c>
      <c r="F4495" t="s">
        <v>1181</v>
      </c>
      <c r="G4495" t="s">
        <v>1182</v>
      </c>
      <c r="H4495" t="s">
        <v>39</v>
      </c>
      <c r="I4495" t="s">
        <v>40</v>
      </c>
      <c r="J4495" s="2" t="s">
        <v>1808</v>
      </c>
      <c r="K4495" t="s">
        <v>42</v>
      </c>
      <c r="L4495" t="s">
        <v>15532</v>
      </c>
      <c r="N4495" t="s">
        <v>15533</v>
      </c>
      <c r="Q4495">
        <v>28050</v>
      </c>
      <c r="R4495" t="s">
        <v>322</v>
      </c>
      <c r="S4495" t="s">
        <v>2211</v>
      </c>
      <c r="T4495">
        <v>34</v>
      </c>
      <c r="U4495" s="2" t="s">
        <v>2367</v>
      </c>
      <c r="W4495" t="s">
        <v>27314</v>
      </c>
      <c r="X4495">
        <v>110021518</v>
      </c>
      <c r="Y4495" t="s">
        <v>27315</v>
      </c>
      <c r="Z4495" s="2" t="s">
        <v>27316</v>
      </c>
      <c r="AA4495" t="s">
        <v>27317</v>
      </c>
      <c r="AB4495" s="2" t="s">
        <v>27318</v>
      </c>
      <c r="AC4495" t="s">
        <v>27319</v>
      </c>
      <c r="AD4495" s="2" t="s">
        <v>27320</v>
      </c>
      <c r="AG4495" t="s">
        <v>27321</v>
      </c>
      <c r="AH4495" t="s">
        <v>2215</v>
      </c>
      <c r="AI4495" t="s">
        <v>27322</v>
      </c>
    </row>
    <row r="4496" spans="2:35" ht="360">
      <c r="B4496" s="1">
        <v>45419</v>
      </c>
      <c r="C4496" s="4">
        <v>45419.406944444447</v>
      </c>
      <c r="D4496" t="s">
        <v>27323</v>
      </c>
      <c r="E4496" t="s">
        <v>27324</v>
      </c>
      <c r="F4496">
        <v>3</v>
      </c>
      <c r="G4496" t="s">
        <v>730</v>
      </c>
      <c r="H4496" t="s">
        <v>39</v>
      </c>
      <c r="I4496" t="s">
        <v>40</v>
      </c>
      <c r="J4496" t="s">
        <v>109</v>
      </c>
      <c r="K4496" t="s">
        <v>42</v>
      </c>
      <c r="L4496" t="s">
        <v>135</v>
      </c>
      <c r="N4496" t="s">
        <v>136</v>
      </c>
      <c r="Q4496">
        <v>28049</v>
      </c>
      <c r="R4496" t="s">
        <v>119</v>
      </c>
      <c r="S4496" t="s">
        <v>24877</v>
      </c>
      <c r="T4496">
        <v>28</v>
      </c>
      <c r="U4496" s="2" t="s">
        <v>27325</v>
      </c>
      <c r="W4496" t="s">
        <v>2680</v>
      </c>
      <c r="X4496">
        <v>831909</v>
      </c>
      <c r="Y4496" t="s">
        <v>485</v>
      </c>
      <c r="Z4496" t="s">
        <v>4315</v>
      </c>
      <c r="AA4496" s="2" t="s">
        <v>4316</v>
      </c>
      <c r="AB4496" t="s">
        <v>181</v>
      </c>
      <c r="AG4496" t="s">
        <v>27326</v>
      </c>
      <c r="AH4496" t="s">
        <v>27327</v>
      </c>
      <c r="AI4496" t="s">
        <v>27328</v>
      </c>
    </row>
    <row r="4497" spans="2:35" ht="360">
      <c r="B4497" s="1">
        <v>45419</v>
      </c>
      <c r="C4497" s="4">
        <v>45419.379166666666</v>
      </c>
      <c r="D4497" t="s">
        <v>24882</v>
      </c>
      <c r="E4497" t="s">
        <v>27329</v>
      </c>
      <c r="F4497">
        <v>3</v>
      </c>
      <c r="G4497" t="s">
        <v>730</v>
      </c>
      <c r="H4497" t="s">
        <v>39</v>
      </c>
      <c r="I4497" t="s">
        <v>40</v>
      </c>
      <c r="J4497" t="s">
        <v>109</v>
      </c>
      <c r="K4497" t="s">
        <v>42</v>
      </c>
      <c r="L4497" t="s">
        <v>135</v>
      </c>
      <c r="N4497" t="s">
        <v>136</v>
      </c>
      <c r="Q4497">
        <v>28048</v>
      </c>
      <c r="R4497" t="s">
        <v>119</v>
      </c>
      <c r="S4497" t="s">
        <v>24884</v>
      </c>
      <c r="T4497">
        <v>30</v>
      </c>
      <c r="U4497" s="2" t="s">
        <v>23409</v>
      </c>
      <c r="W4497" t="s">
        <v>2680</v>
      </c>
      <c r="X4497">
        <v>831693</v>
      </c>
      <c r="Y4497" t="s">
        <v>485</v>
      </c>
      <c r="Z4497" t="s">
        <v>4315</v>
      </c>
      <c r="AA4497" s="2" t="s">
        <v>4316</v>
      </c>
      <c r="AB4497" t="s">
        <v>181</v>
      </c>
      <c r="AG4497" t="s">
        <v>27330</v>
      </c>
      <c r="AH4497" t="s">
        <v>27331</v>
      </c>
      <c r="AI4497" t="s">
        <v>27332</v>
      </c>
    </row>
    <row r="4498" spans="2:35" ht="375">
      <c r="B4498" s="1">
        <v>45419</v>
      </c>
      <c r="C4498" s="4">
        <v>45419.344444444447</v>
      </c>
      <c r="D4498" t="s">
        <v>22431</v>
      </c>
      <c r="E4498" t="s">
        <v>24870</v>
      </c>
      <c r="F4498">
        <v>3</v>
      </c>
      <c r="G4498" t="s">
        <v>730</v>
      </c>
      <c r="H4498" t="s">
        <v>39</v>
      </c>
      <c r="I4498" t="s">
        <v>40</v>
      </c>
      <c r="J4498" s="2" t="s">
        <v>190</v>
      </c>
      <c r="K4498" t="s">
        <v>42</v>
      </c>
      <c r="L4498" t="s">
        <v>135</v>
      </c>
      <c r="N4498" t="s">
        <v>136</v>
      </c>
      <c r="Q4498">
        <v>28047</v>
      </c>
      <c r="R4498" t="s">
        <v>119</v>
      </c>
      <c r="S4498" t="s">
        <v>22433</v>
      </c>
      <c r="T4498">
        <v>28</v>
      </c>
      <c r="U4498" s="2" t="s">
        <v>5052</v>
      </c>
      <c r="W4498" t="s">
        <v>2680</v>
      </c>
      <c r="X4498">
        <v>831917</v>
      </c>
      <c r="Y4498" s="2" t="s">
        <v>27333</v>
      </c>
      <c r="Z4498" s="2" t="s">
        <v>15166</v>
      </c>
      <c r="AA4498" s="2" t="s">
        <v>27334</v>
      </c>
      <c r="AB4498" s="2" t="s">
        <v>27335</v>
      </c>
      <c r="AG4498" t="s">
        <v>27336</v>
      </c>
      <c r="AH4498" t="s">
        <v>24873</v>
      </c>
      <c r="AI4498" t="s">
        <v>27337</v>
      </c>
    </row>
    <row r="4499" spans="2:35" ht="135">
      <c r="B4499" s="1">
        <v>45418</v>
      </c>
      <c r="C4499" s="4">
        <v>45418.588194444441</v>
      </c>
      <c r="D4499" t="s">
        <v>16716</v>
      </c>
      <c r="E4499" t="s">
        <v>1128</v>
      </c>
      <c r="F4499">
        <v>8</v>
      </c>
      <c r="G4499" t="s">
        <v>342</v>
      </c>
      <c r="H4499" t="s">
        <v>202</v>
      </c>
      <c r="I4499" t="s">
        <v>40</v>
      </c>
      <c r="J4499" t="s">
        <v>109</v>
      </c>
      <c r="K4499" t="s">
        <v>42</v>
      </c>
      <c r="L4499" t="s">
        <v>259</v>
      </c>
      <c r="N4499" t="s">
        <v>260</v>
      </c>
      <c r="Q4499">
        <v>28046</v>
      </c>
      <c r="R4499" t="s">
        <v>119</v>
      </c>
      <c r="S4499" t="s">
        <v>17749</v>
      </c>
      <c r="T4499">
        <v>25</v>
      </c>
      <c r="U4499" s="2" t="s">
        <v>27338</v>
      </c>
      <c r="V4499" s="1">
        <v>45418</v>
      </c>
      <c r="W4499" t="s">
        <v>84</v>
      </c>
      <c r="X4499">
        <v>838421</v>
      </c>
      <c r="Y4499" t="s">
        <v>263</v>
      </c>
      <c r="Z4499" t="e">
        <f ca="1">- PM</f>
        <v>#NAME?</v>
      </c>
      <c r="AA4499" t="e">
        <f ca="1">- performed Monthly Preventive Maintenance (cleaned plunger rod, cartridge bay, icore _xludf.and FAN _xludf.filter)</f>
        <v>#NAME?</v>
      </c>
      <c r="AB4499" s="2" t="s">
        <v>27339</v>
      </c>
      <c r="AG4499" t="s">
        <v>27340</v>
      </c>
      <c r="AH4499" t="s">
        <v>17752</v>
      </c>
      <c r="AI4499" t="s">
        <v>27341</v>
      </c>
    </row>
    <row r="4500" spans="2:35" ht="270">
      <c r="B4500" s="1">
        <v>45418</v>
      </c>
      <c r="C4500" s="4">
        <v>45418.540277777778</v>
      </c>
      <c r="D4500" t="s">
        <v>4757</v>
      </c>
      <c r="E4500" t="s">
        <v>27342</v>
      </c>
      <c r="F4500" t="s">
        <v>148</v>
      </c>
      <c r="G4500" t="s">
        <v>785</v>
      </c>
      <c r="H4500" t="s">
        <v>39</v>
      </c>
      <c r="I4500" t="s">
        <v>40</v>
      </c>
      <c r="J4500" s="2" t="s">
        <v>41</v>
      </c>
      <c r="K4500" t="s">
        <v>42</v>
      </c>
      <c r="L4500" t="s">
        <v>43</v>
      </c>
      <c r="N4500" t="s">
        <v>44</v>
      </c>
      <c r="Q4500">
        <v>28045</v>
      </c>
      <c r="R4500" t="s">
        <v>119</v>
      </c>
      <c r="S4500" t="s">
        <v>4759</v>
      </c>
      <c r="T4500">
        <v>26</v>
      </c>
      <c r="U4500" s="2" t="s">
        <v>27343</v>
      </c>
      <c r="V4500" s="1">
        <v>45412</v>
      </c>
      <c r="W4500" t="s">
        <v>48</v>
      </c>
      <c r="X4500">
        <v>831905</v>
      </c>
      <c r="Y4500" t="s">
        <v>8731</v>
      </c>
      <c r="Z4500" t="s">
        <v>179</v>
      </c>
      <c r="AA4500" s="2" t="s">
        <v>27344</v>
      </c>
      <c r="AB4500" t="s">
        <v>16412</v>
      </c>
      <c r="AD4500" s="2" t="s">
        <v>27345</v>
      </c>
      <c r="AE4500" t="s">
        <v>27346</v>
      </c>
      <c r="AG4500" t="s">
        <v>27347</v>
      </c>
      <c r="AH4500" t="s">
        <v>27348</v>
      </c>
      <c r="AI4500" t="s">
        <v>27349</v>
      </c>
    </row>
    <row r="4501" spans="2:35" ht="390">
      <c r="B4501" s="1">
        <v>45418</v>
      </c>
      <c r="C4501" s="4">
        <v>45412.595138888886</v>
      </c>
      <c r="D4501" t="s">
        <v>4553</v>
      </c>
      <c r="E4501" t="s">
        <v>27350</v>
      </c>
      <c r="F4501" t="s">
        <v>148</v>
      </c>
      <c r="G4501" t="s">
        <v>149</v>
      </c>
      <c r="H4501" t="s">
        <v>39</v>
      </c>
      <c r="I4501" t="s">
        <v>40</v>
      </c>
      <c r="J4501" s="2" t="s">
        <v>41</v>
      </c>
      <c r="K4501" t="s">
        <v>42</v>
      </c>
      <c r="L4501" t="s">
        <v>43</v>
      </c>
      <c r="N4501" t="s">
        <v>44</v>
      </c>
      <c r="Q4501">
        <v>28044</v>
      </c>
      <c r="R4501" t="s">
        <v>119</v>
      </c>
      <c r="S4501" t="s">
        <v>4555</v>
      </c>
      <c r="T4501">
        <v>27</v>
      </c>
      <c r="U4501" s="2" t="s">
        <v>27351</v>
      </c>
      <c r="V4501" s="1">
        <v>45412</v>
      </c>
      <c r="W4501" t="s">
        <v>48</v>
      </c>
      <c r="X4501">
        <v>831598</v>
      </c>
      <c r="Y4501" t="s">
        <v>27352</v>
      </c>
      <c r="Z4501" t="s">
        <v>27353</v>
      </c>
      <c r="AA4501" s="2" t="s">
        <v>27354</v>
      </c>
      <c r="AB4501" t="s">
        <v>753</v>
      </c>
      <c r="AD4501" s="2" t="s">
        <v>27355</v>
      </c>
      <c r="AE4501" t="s">
        <v>27356</v>
      </c>
      <c r="AG4501" t="s">
        <v>27357</v>
      </c>
      <c r="AH4501" t="s">
        <v>27358</v>
      </c>
      <c r="AI4501" t="s">
        <v>27359</v>
      </c>
    </row>
    <row r="4502" spans="2:35" ht="409.5">
      <c r="B4502" s="1">
        <v>45418</v>
      </c>
      <c r="C4502" s="4">
        <v>45412.462500000001</v>
      </c>
      <c r="D4502" t="s">
        <v>1081</v>
      </c>
      <c r="E4502" t="s">
        <v>27360</v>
      </c>
      <c r="F4502" t="s">
        <v>148</v>
      </c>
      <c r="G4502" t="s">
        <v>785</v>
      </c>
      <c r="H4502" t="s">
        <v>39</v>
      </c>
      <c r="I4502" t="s">
        <v>40</v>
      </c>
      <c r="J4502" s="2" t="s">
        <v>41</v>
      </c>
      <c r="K4502" t="s">
        <v>42</v>
      </c>
      <c r="L4502" t="s">
        <v>43</v>
      </c>
      <c r="N4502" t="s">
        <v>44</v>
      </c>
      <c r="Q4502">
        <v>28043</v>
      </c>
      <c r="R4502" t="s">
        <v>95</v>
      </c>
      <c r="S4502" t="s">
        <v>2016</v>
      </c>
      <c r="T4502">
        <v>27</v>
      </c>
      <c r="U4502" s="2" t="s">
        <v>27361</v>
      </c>
      <c r="V4502" s="1">
        <v>45407</v>
      </c>
      <c r="W4502" t="s">
        <v>5136</v>
      </c>
      <c r="X4502">
        <v>110015767</v>
      </c>
      <c r="Y4502" t="s">
        <v>27362</v>
      </c>
      <c r="Z4502" t="s">
        <v>27363</v>
      </c>
      <c r="AA4502" s="2" t="s">
        <v>27364</v>
      </c>
      <c r="AB4502" t="s">
        <v>548</v>
      </c>
      <c r="AD4502" s="2" t="s">
        <v>27365</v>
      </c>
      <c r="AE4502" t="s">
        <v>27366</v>
      </c>
      <c r="AG4502" t="s">
        <v>27367</v>
      </c>
      <c r="AH4502" t="s">
        <v>13391</v>
      </c>
      <c r="AI4502" t="s">
        <v>27368</v>
      </c>
    </row>
    <row r="4503" spans="2:35" ht="409.5">
      <c r="B4503" s="1">
        <v>45418</v>
      </c>
      <c r="C4503" s="4">
        <v>45412.479861111111</v>
      </c>
      <c r="D4503" t="s">
        <v>1081</v>
      </c>
      <c r="E4503" t="s">
        <v>27369</v>
      </c>
      <c r="F4503" t="s">
        <v>148</v>
      </c>
      <c r="G4503" t="s">
        <v>785</v>
      </c>
      <c r="H4503" t="s">
        <v>39</v>
      </c>
      <c r="I4503" t="s">
        <v>40</v>
      </c>
      <c r="J4503" t="s">
        <v>109</v>
      </c>
      <c r="K4503" t="s">
        <v>42</v>
      </c>
      <c r="L4503" t="s">
        <v>43</v>
      </c>
      <c r="N4503" t="s">
        <v>44</v>
      </c>
      <c r="Q4503">
        <v>28042</v>
      </c>
      <c r="R4503" t="s">
        <v>95</v>
      </c>
      <c r="S4503" t="s">
        <v>2016</v>
      </c>
      <c r="T4503">
        <v>28</v>
      </c>
      <c r="U4503" s="2" t="s">
        <v>27370</v>
      </c>
      <c r="W4503" t="s">
        <v>11663</v>
      </c>
      <c r="X4503">
        <v>802630</v>
      </c>
      <c r="Y4503" t="s">
        <v>121</v>
      </c>
      <c r="Z4503" t="s">
        <v>122</v>
      </c>
      <c r="AA4503" s="2" t="s">
        <v>27371</v>
      </c>
      <c r="AB4503" t="s">
        <v>27372</v>
      </c>
      <c r="AG4503" t="s">
        <v>27373</v>
      </c>
      <c r="AH4503" t="s">
        <v>13391</v>
      </c>
      <c r="AI4503" t="s">
        <v>27374</v>
      </c>
    </row>
    <row r="4504" spans="2:35" ht="285">
      <c r="B4504" s="1">
        <v>45417</v>
      </c>
      <c r="C4504" s="4">
        <v>45414.574305555558</v>
      </c>
      <c r="D4504" t="s">
        <v>27375</v>
      </c>
      <c r="E4504" t="s">
        <v>27376</v>
      </c>
      <c r="F4504" t="s">
        <v>148</v>
      </c>
      <c r="G4504" t="s">
        <v>774</v>
      </c>
      <c r="H4504" t="s">
        <v>39</v>
      </c>
      <c r="I4504" t="s">
        <v>40</v>
      </c>
      <c r="J4504" s="2" t="s">
        <v>41</v>
      </c>
      <c r="K4504" t="s">
        <v>42</v>
      </c>
      <c r="L4504" t="s">
        <v>1028</v>
      </c>
      <c r="N4504" t="s">
        <v>1029</v>
      </c>
      <c r="Q4504">
        <v>28041</v>
      </c>
      <c r="R4504" t="s">
        <v>119</v>
      </c>
      <c r="S4504" t="s">
        <v>775</v>
      </c>
      <c r="T4504">
        <v>27</v>
      </c>
      <c r="U4504" s="2" t="s">
        <v>27377</v>
      </c>
      <c r="V4504" s="1">
        <v>45411</v>
      </c>
      <c r="W4504" t="s">
        <v>1967</v>
      </c>
      <c r="X4504">
        <v>831913</v>
      </c>
      <c r="Y4504" t="s">
        <v>27378</v>
      </c>
      <c r="Z4504" t="s">
        <v>2129</v>
      </c>
      <c r="AA4504" s="2" t="s">
        <v>27379</v>
      </c>
      <c r="AB4504" t="s">
        <v>3300</v>
      </c>
      <c r="AC4504" t="s">
        <v>27380</v>
      </c>
      <c r="AD4504" t="s">
        <v>27381</v>
      </c>
      <c r="AE4504" t="s">
        <v>27382</v>
      </c>
      <c r="AG4504" t="s">
        <v>27383</v>
      </c>
      <c r="AH4504" t="s">
        <v>27384</v>
      </c>
      <c r="AI4504" t="s">
        <v>27385</v>
      </c>
    </row>
    <row r="4505" spans="2:35" ht="270">
      <c r="B4505" s="1">
        <v>45417</v>
      </c>
      <c r="C4505" s="4">
        <v>45415.398611111108</v>
      </c>
      <c r="D4505" t="s">
        <v>24718</v>
      </c>
      <c r="E4505" t="s">
        <v>24719</v>
      </c>
      <c r="F4505" t="s">
        <v>37</v>
      </c>
      <c r="G4505" t="s">
        <v>189</v>
      </c>
      <c r="H4505" t="s">
        <v>39</v>
      </c>
      <c r="I4505" t="s">
        <v>40</v>
      </c>
      <c r="J4505" s="2" t="s">
        <v>41</v>
      </c>
      <c r="K4505" t="s">
        <v>42</v>
      </c>
      <c r="L4505" t="s">
        <v>1028</v>
      </c>
      <c r="N4505" t="s">
        <v>1029</v>
      </c>
      <c r="Q4505">
        <v>28039</v>
      </c>
      <c r="R4505" t="s">
        <v>119</v>
      </c>
      <c r="S4505" t="s">
        <v>27386</v>
      </c>
      <c r="T4505">
        <v>27</v>
      </c>
      <c r="U4505" s="2" t="s">
        <v>27387</v>
      </c>
      <c r="V4505" s="1">
        <v>45411</v>
      </c>
      <c r="W4505" t="s">
        <v>1967</v>
      </c>
      <c r="X4505">
        <v>821300</v>
      </c>
      <c r="Y4505" t="s">
        <v>27378</v>
      </c>
      <c r="Z4505" t="s">
        <v>1034</v>
      </c>
      <c r="AA4505" s="2" t="s">
        <v>27388</v>
      </c>
      <c r="AB4505" t="s">
        <v>27389</v>
      </c>
      <c r="AC4505" t="s">
        <v>27390</v>
      </c>
      <c r="AD4505" t="s">
        <v>27391</v>
      </c>
      <c r="AE4505" t="s">
        <v>27392</v>
      </c>
      <c r="AG4505" t="s">
        <v>27393</v>
      </c>
      <c r="AH4505" t="s">
        <v>27394</v>
      </c>
      <c r="AI4505" t="s">
        <v>27395</v>
      </c>
    </row>
    <row r="4506" spans="2:35" ht="240">
      <c r="B4506" s="1">
        <v>45417</v>
      </c>
      <c r="C4506" s="4">
        <v>45414.332638888889</v>
      </c>
      <c r="D4506" t="s">
        <v>27396</v>
      </c>
      <c r="E4506" t="s">
        <v>27397</v>
      </c>
      <c r="F4506" t="s">
        <v>37</v>
      </c>
      <c r="G4506" t="s">
        <v>748</v>
      </c>
      <c r="H4506" t="s">
        <v>39</v>
      </c>
      <c r="I4506" t="s">
        <v>40</v>
      </c>
      <c r="J4506" t="s">
        <v>109</v>
      </c>
      <c r="K4506" t="s">
        <v>42</v>
      </c>
      <c r="L4506" t="s">
        <v>1028</v>
      </c>
      <c r="N4506" t="s">
        <v>1029</v>
      </c>
      <c r="Q4506">
        <v>28038</v>
      </c>
      <c r="R4506" t="s">
        <v>119</v>
      </c>
      <c r="S4506" t="s">
        <v>25157</v>
      </c>
      <c r="T4506">
        <v>25</v>
      </c>
      <c r="U4506" s="2" t="s">
        <v>27398</v>
      </c>
      <c r="W4506" t="s">
        <v>1967</v>
      </c>
      <c r="X4506">
        <v>821221</v>
      </c>
      <c r="Y4506" t="s">
        <v>3127</v>
      </c>
      <c r="Z4506" t="s">
        <v>1548</v>
      </c>
      <c r="AA4506" s="2" t="s">
        <v>1979</v>
      </c>
      <c r="AB4506" t="s">
        <v>27399</v>
      </c>
      <c r="AC4506" t="s">
        <v>27400</v>
      </c>
      <c r="AG4506" t="s">
        <v>27401</v>
      </c>
      <c r="AH4506" t="s">
        <v>25162</v>
      </c>
      <c r="AI4506" t="s">
        <v>27402</v>
      </c>
    </row>
    <row r="4507" spans="2:35" ht="255">
      <c r="B4507" s="1">
        <v>45417</v>
      </c>
      <c r="C4507" s="4">
        <v>45414.461805555555</v>
      </c>
      <c r="D4507" t="s">
        <v>26425</v>
      </c>
      <c r="E4507" t="s">
        <v>26426</v>
      </c>
      <c r="F4507" t="s">
        <v>148</v>
      </c>
      <c r="G4507" t="s">
        <v>4786</v>
      </c>
      <c r="H4507" t="s">
        <v>39</v>
      </c>
      <c r="I4507" t="s">
        <v>40</v>
      </c>
      <c r="J4507" s="2" t="s">
        <v>41</v>
      </c>
      <c r="K4507" t="s">
        <v>42</v>
      </c>
      <c r="L4507" t="s">
        <v>1028</v>
      </c>
      <c r="N4507" t="s">
        <v>1029</v>
      </c>
      <c r="Q4507">
        <v>28040</v>
      </c>
      <c r="R4507" t="s">
        <v>119</v>
      </c>
      <c r="S4507" t="s">
        <v>26427</v>
      </c>
      <c r="T4507">
        <v>25</v>
      </c>
      <c r="U4507" s="2" t="s">
        <v>27403</v>
      </c>
      <c r="V4507" s="1">
        <v>45411</v>
      </c>
      <c r="W4507" t="s">
        <v>1967</v>
      </c>
      <c r="X4507">
        <v>831918</v>
      </c>
      <c r="Y4507" t="s">
        <v>27404</v>
      </c>
      <c r="Z4507" t="s">
        <v>1034</v>
      </c>
      <c r="AA4507" s="2" t="s">
        <v>27405</v>
      </c>
      <c r="AB4507" t="s">
        <v>3300</v>
      </c>
      <c r="AC4507" t="s">
        <v>27406</v>
      </c>
      <c r="AD4507" t="s">
        <v>27381</v>
      </c>
      <c r="AE4507" t="s">
        <v>27407</v>
      </c>
      <c r="AG4507" t="s">
        <v>27408</v>
      </c>
      <c r="AH4507" t="s">
        <v>26430</v>
      </c>
      <c r="AI4507" t="s">
        <v>27409</v>
      </c>
    </row>
    <row r="4508" spans="2:35" ht="255">
      <c r="B4508" s="1">
        <v>45415</v>
      </c>
      <c r="C4508" s="4">
        <v>45415.634027777778</v>
      </c>
      <c r="D4508" t="s">
        <v>27410</v>
      </c>
      <c r="E4508" t="s">
        <v>27411</v>
      </c>
      <c r="F4508" t="s">
        <v>37</v>
      </c>
      <c r="G4508" t="s">
        <v>38</v>
      </c>
      <c r="H4508" t="s">
        <v>39</v>
      </c>
      <c r="I4508" t="s">
        <v>40</v>
      </c>
      <c r="J4508" s="2" t="s">
        <v>41</v>
      </c>
      <c r="K4508" t="s">
        <v>42</v>
      </c>
      <c r="L4508" t="s">
        <v>448</v>
      </c>
      <c r="N4508" t="s">
        <v>650</v>
      </c>
      <c r="Q4508">
        <v>28037</v>
      </c>
      <c r="R4508" t="s">
        <v>119</v>
      </c>
      <c r="S4508" t="s">
        <v>1580</v>
      </c>
      <c r="T4508">
        <v>28</v>
      </c>
      <c r="U4508" s="2" t="s">
        <v>19530</v>
      </c>
      <c r="V4508" s="1">
        <v>45412</v>
      </c>
      <c r="W4508" t="s">
        <v>6121</v>
      </c>
      <c r="X4508">
        <v>831642</v>
      </c>
      <c r="Y4508" t="s">
        <v>27412</v>
      </c>
      <c r="Z4508" s="2" t="s">
        <v>2585</v>
      </c>
      <c r="AA4508" t="s">
        <v>20643</v>
      </c>
      <c r="AB4508" t="s">
        <v>486</v>
      </c>
      <c r="AD4508" t="s">
        <v>27413</v>
      </c>
      <c r="AE4508" t="s">
        <v>27414</v>
      </c>
      <c r="AG4508" t="s">
        <v>27415</v>
      </c>
      <c r="AH4508" t="s">
        <v>27416</v>
      </c>
      <c r="AI4508" t="s">
        <v>27417</v>
      </c>
    </row>
    <row r="4509" spans="2:35" ht="105">
      <c r="B4509" s="1">
        <v>45415</v>
      </c>
      <c r="C4509" s="4">
        <v>45415.681250000001</v>
      </c>
      <c r="D4509" t="s">
        <v>26776</v>
      </c>
      <c r="E4509" t="s">
        <v>26777</v>
      </c>
      <c r="F4509" t="s">
        <v>148</v>
      </c>
      <c r="G4509" t="s">
        <v>447</v>
      </c>
      <c r="H4509" t="s">
        <v>39</v>
      </c>
      <c r="I4509" t="s">
        <v>40</v>
      </c>
      <c r="J4509" t="s">
        <v>525</v>
      </c>
      <c r="K4509" t="s">
        <v>26778</v>
      </c>
      <c r="L4509" t="s">
        <v>857</v>
      </c>
      <c r="N4509" t="s">
        <v>858</v>
      </c>
      <c r="Q4509">
        <v>28036</v>
      </c>
      <c r="R4509" t="s">
        <v>95</v>
      </c>
      <c r="S4509" t="s">
        <v>26779</v>
      </c>
      <c r="T4509">
        <v>25</v>
      </c>
      <c r="W4509" t="s">
        <v>26780</v>
      </c>
      <c r="X4509">
        <v>5131.3195999999998</v>
      </c>
      <c r="Y4509" t="s">
        <v>27418</v>
      </c>
      <c r="Z4509" s="2" t="s">
        <v>27419</v>
      </c>
      <c r="AA4509" t="s">
        <v>768</v>
      </c>
      <c r="AB4509" t="s">
        <v>27420</v>
      </c>
      <c r="AG4509" t="s">
        <v>27421</v>
      </c>
      <c r="AH4509" t="s">
        <v>27422</v>
      </c>
      <c r="AI4509" t="s">
        <v>27423</v>
      </c>
    </row>
    <row r="4510" spans="2:35" ht="409.5">
      <c r="B4510" s="1">
        <v>45415</v>
      </c>
      <c r="C4510" s="4">
        <v>45415.675000000003</v>
      </c>
      <c r="D4510" t="s">
        <v>8907</v>
      </c>
      <c r="E4510" t="s">
        <v>27424</v>
      </c>
      <c r="F4510" t="s">
        <v>37</v>
      </c>
      <c r="G4510" t="s">
        <v>189</v>
      </c>
      <c r="H4510" t="s">
        <v>39</v>
      </c>
      <c r="I4510" t="s">
        <v>40</v>
      </c>
      <c r="J4510" t="s">
        <v>109</v>
      </c>
      <c r="K4510" t="s">
        <v>42</v>
      </c>
      <c r="L4510" t="s">
        <v>1943</v>
      </c>
      <c r="N4510" t="s">
        <v>1944</v>
      </c>
      <c r="Q4510">
        <v>28035</v>
      </c>
      <c r="R4510" t="s">
        <v>119</v>
      </c>
      <c r="S4510" t="s">
        <v>27425</v>
      </c>
      <c r="T4510">
        <v>25</v>
      </c>
      <c r="W4510" t="s">
        <v>84</v>
      </c>
      <c r="X4510">
        <v>821420</v>
      </c>
      <c r="Y4510" t="s">
        <v>2099</v>
      </c>
      <c r="Z4510" t="s">
        <v>2100</v>
      </c>
      <c r="AA4510" s="2" t="s">
        <v>2101</v>
      </c>
      <c r="AB4510" t="s">
        <v>88</v>
      </c>
      <c r="AG4510" t="s">
        <v>27426</v>
      </c>
      <c r="AH4510" t="s">
        <v>27427</v>
      </c>
      <c r="AI4510" t="s">
        <v>27428</v>
      </c>
    </row>
    <row r="4511" spans="2:35" ht="255">
      <c r="B4511" s="1">
        <v>45415</v>
      </c>
      <c r="C4511" s="4">
        <v>45415.658333333333</v>
      </c>
      <c r="D4511" t="s">
        <v>27429</v>
      </c>
      <c r="E4511" t="s">
        <v>27430</v>
      </c>
      <c r="F4511" t="s">
        <v>148</v>
      </c>
      <c r="G4511" t="s">
        <v>447</v>
      </c>
      <c r="H4511" t="s">
        <v>39</v>
      </c>
      <c r="I4511" t="s">
        <v>40</v>
      </c>
      <c r="J4511" s="2" t="s">
        <v>41</v>
      </c>
      <c r="K4511" t="s">
        <v>42</v>
      </c>
      <c r="L4511" t="s">
        <v>27431</v>
      </c>
      <c r="N4511" t="s">
        <v>27432</v>
      </c>
      <c r="Q4511">
        <v>28034</v>
      </c>
      <c r="R4511" t="s">
        <v>45</v>
      </c>
      <c r="S4511" t="s">
        <v>27433</v>
      </c>
      <c r="T4511">
        <v>25</v>
      </c>
      <c r="U4511" s="2" t="s">
        <v>27434</v>
      </c>
      <c r="V4511" s="1">
        <v>45411</v>
      </c>
      <c r="W4511" t="s">
        <v>27435</v>
      </c>
      <c r="X4511">
        <v>831719</v>
      </c>
      <c r="Y4511" t="s">
        <v>27436</v>
      </c>
      <c r="Z4511" t="s">
        <v>27437</v>
      </c>
      <c r="AA4511" s="2" t="s">
        <v>27438</v>
      </c>
      <c r="AB4511" t="s">
        <v>27439</v>
      </c>
      <c r="AC4511" t="s">
        <v>27440</v>
      </c>
      <c r="AD4511" t="s">
        <v>27441</v>
      </c>
      <c r="AE4511" t="s">
        <v>27442</v>
      </c>
      <c r="AG4511" t="s">
        <v>27443</v>
      </c>
      <c r="AH4511" t="s">
        <v>27444</v>
      </c>
      <c r="AI4511" t="s">
        <v>27445</v>
      </c>
    </row>
    <row r="4512" spans="2:35" ht="165">
      <c r="B4512" s="1">
        <v>45415</v>
      </c>
      <c r="C4512" s="4">
        <v>45415.601388888892</v>
      </c>
      <c r="D4512" t="s">
        <v>23423</v>
      </c>
      <c r="E4512" t="s">
        <v>27446</v>
      </c>
      <c r="F4512">
        <v>3</v>
      </c>
      <c r="G4512" t="s">
        <v>134</v>
      </c>
      <c r="H4512" t="s">
        <v>39</v>
      </c>
      <c r="I4512" t="s">
        <v>40</v>
      </c>
      <c r="J4512" t="s">
        <v>109</v>
      </c>
      <c r="K4512" t="s">
        <v>42</v>
      </c>
      <c r="L4512" t="s">
        <v>63</v>
      </c>
      <c r="N4512" t="s">
        <v>64</v>
      </c>
      <c r="Q4512">
        <v>28033</v>
      </c>
      <c r="R4512" t="s">
        <v>119</v>
      </c>
      <c r="S4512" t="s">
        <v>27447</v>
      </c>
      <c r="T4512">
        <v>29</v>
      </c>
      <c r="U4512" s="2" t="s">
        <v>3962</v>
      </c>
      <c r="W4512" t="s">
        <v>26915</v>
      </c>
      <c r="X4512">
        <v>831714</v>
      </c>
      <c r="Y4512" t="s">
        <v>2851</v>
      </c>
      <c r="Z4512" t="s">
        <v>10275</v>
      </c>
      <c r="AA4512" s="2" t="s">
        <v>1727</v>
      </c>
      <c r="AB4512" t="s">
        <v>70</v>
      </c>
      <c r="AG4512" t="s">
        <v>27448</v>
      </c>
      <c r="AH4512" t="s">
        <v>27449</v>
      </c>
      <c r="AI4512" t="s">
        <v>27450</v>
      </c>
    </row>
    <row r="4513" spans="2:35" ht="270">
      <c r="B4513" s="1">
        <v>45415</v>
      </c>
      <c r="C4513" s="4">
        <v>45415.576388888891</v>
      </c>
      <c r="D4513" t="s">
        <v>3604</v>
      </c>
      <c r="E4513" t="s">
        <v>27451</v>
      </c>
      <c r="F4513" t="s">
        <v>148</v>
      </c>
      <c r="G4513" t="s">
        <v>2007</v>
      </c>
      <c r="H4513" t="s">
        <v>39</v>
      </c>
      <c r="I4513" t="s">
        <v>40</v>
      </c>
      <c r="J4513" s="2" t="s">
        <v>41</v>
      </c>
      <c r="K4513" t="s">
        <v>42</v>
      </c>
      <c r="L4513" t="s">
        <v>15532</v>
      </c>
      <c r="N4513" t="s">
        <v>15533</v>
      </c>
      <c r="Q4513">
        <v>28032</v>
      </c>
      <c r="R4513" t="s">
        <v>119</v>
      </c>
      <c r="S4513" t="s">
        <v>3606</v>
      </c>
      <c r="T4513">
        <v>27</v>
      </c>
      <c r="U4513" s="2" t="s">
        <v>27452</v>
      </c>
      <c r="V4513" s="1">
        <v>45412</v>
      </c>
      <c r="W4513" t="s">
        <v>15535</v>
      </c>
      <c r="X4513">
        <v>831875</v>
      </c>
      <c r="Y4513" t="s">
        <v>27453</v>
      </c>
      <c r="Z4513" s="2" t="s">
        <v>27454</v>
      </c>
      <c r="AA4513" s="2" t="s">
        <v>27455</v>
      </c>
      <c r="AB4513" s="2" t="s">
        <v>27456</v>
      </c>
      <c r="AC4513" t="s">
        <v>27457</v>
      </c>
      <c r="AD4513" t="s">
        <v>27458</v>
      </c>
      <c r="AE4513" t="s">
        <v>27459</v>
      </c>
      <c r="AG4513" t="s">
        <v>27460</v>
      </c>
      <c r="AH4513" t="s">
        <v>27461</v>
      </c>
      <c r="AI4513" t="s">
        <v>27462</v>
      </c>
    </row>
    <row r="4514" spans="2:35" ht="240">
      <c r="B4514" s="1">
        <v>45415</v>
      </c>
      <c r="C4514" s="4">
        <v>45415.442361111112</v>
      </c>
      <c r="D4514" t="s">
        <v>27463</v>
      </c>
      <c r="E4514" t="s">
        <v>27464</v>
      </c>
      <c r="F4514" t="s">
        <v>148</v>
      </c>
      <c r="G4514" t="s">
        <v>310</v>
      </c>
      <c r="H4514" t="s">
        <v>39</v>
      </c>
      <c r="I4514" t="s">
        <v>40</v>
      </c>
      <c r="J4514" s="2" t="s">
        <v>41</v>
      </c>
      <c r="K4514" t="s">
        <v>42</v>
      </c>
      <c r="L4514" t="s">
        <v>15532</v>
      </c>
      <c r="N4514" t="s">
        <v>15533</v>
      </c>
      <c r="Q4514">
        <v>28031</v>
      </c>
      <c r="R4514" t="s">
        <v>119</v>
      </c>
      <c r="S4514" t="s">
        <v>27465</v>
      </c>
      <c r="T4514">
        <v>28</v>
      </c>
      <c r="U4514" s="2" t="s">
        <v>27466</v>
      </c>
      <c r="V4514" s="1">
        <v>45412</v>
      </c>
      <c r="W4514" t="s">
        <v>15535</v>
      </c>
      <c r="X4514">
        <v>831843</v>
      </c>
      <c r="Y4514" t="s">
        <v>559</v>
      </c>
      <c r="Z4514" s="2" t="s">
        <v>27467</v>
      </c>
      <c r="AA4514" s="2" t="s">
        <v>27468</v>
      </c>
      <c r="AB4514" s="2" t="s">
        <v>17371</v>
      </c>
      <c r="AC4514" t="s">
        <v>27469</v>
      </c>
      <c r="AD4514" t="s">
        <v>16499</v>
      </c>
      <c r="AE4514" t="s">
        <v>27470</v>
      </c>
      <c r="AG4514" t="s">
        <v>27471</v>
      </c>
      <c r="AH4514" t="s">
        <v>27472</v>
      </c>
      <c r="AI4514" t="s">
        <v>27473</v>
      </c>
    </row>
    <row r="4515" spans="2:35" ht="165">
      <c r="B4515" s="1">
        <v>45415</v>
      </c>
      <c r="C4515" s="4">
        <v>45415.558333333334</v>
      </c>
      <c r="D4515" t="s">
        <v>27474</v>
      </c>
      <c r="E4515" t="s">
        <v>27475</v>
      </c>
      <c r="F4515">
        <v>3</v>
      </c>
      <c r="G4515" t="s">
        <v>134</v>
      </c>
      <c r="H4515" t="s">
        <v>39</v>
      </c>
      <c r="I4515" t="s">
        <v>40</v>
      </c>
      <c r="J4515" s="2" t="s">
        <v>190</v>
      </c>
      <c r="K4515" t="s">
        <v>42</v>
      </c>
      <c r="L4515" t="s">
        <v>63</v>
      </c>
      <c r="N4515" t="s">
        <v>64</v>
      </c>
      <c r="Q4515">
        <v>28030</v>
      </c>
      <c r="R4515" t="s">
        <v>119</v>
      </c>
      <c r="S4515" t="s">
        <v>27476</v>
      </c>
      <c r="T4515">
        <v>28</v>
      </c>
      <c r="U4515" s="2" t="s">
        <v>27477</v>
      </c>
      <c r="W4515" t="s">
        <v>66</v>
      </c>
      <c r="X4515">
        <v>831873</v>
      </c>
      <c r="Y4515" t="s">
        <v>27478</v>
      </c>
      <c r="Z4515" t="s">
        <v>1935</v>
      </c>
      <c r="AA4515" s="2" t="s">
        <v>1727</v>
      </c>
      <c r="AB4515" t="s">
        <v>70</v>
      </c>
      <c r="AG4515" t="s">
        <v>27479</v>
      </c>
      <c r="AH4515" t="s">
        <v>27480</v>
      </c>
      <c r="AI4515" t="s">
        <v>27481</v>
      </c>
    </row>
    <row r="4516" spans="2:35" ht="390">
      <c r="B4516" s="1">
        <v>45415</v>
      </c>
      <c r="C4516" s="4">
        <v>45415.561805555553</v>
      </c>
      <c r="D4516" t="s">
        <v>25396</v>
      </c>
      <c r="E4516" t="s">
        <v>27482</v>
      </c>
      <c r="F4516">
        <v>3</v>
      </c>
      <c r="G4516" t="s">
        <v>284</v>
      </c>
      <c r="H4516" t="s">
        <v>39</v>
      </c>
      <c r="I4516" t="s">
        <v>40</v>
      </c>
      <c r="J4516" s="2" t="s">
        <v>1309</v>
      </c>
      <c r="K4516" t="s">
        <v>42</v>
      </c>
      <c r="L4516" t="s">
        <v>135</v>
      </c>
      <c r="N4516" t="s">
        <v>136</v>
      </c>
      <c r="Q4516">
        <v>28029</v>
      </c>
      <c r="R4516" t="s">
        <v>119</v>
      </c>
      <c r="S4516" t="s">
        <v>25398</v>
      </c>
      <c r="T4516">
        <v>27</v>
      </c>
      <c r="U4516" s="2" t="s">
        <v>27483</v>
      </c>
      <c r="W4516" t="s">
        <v>2680</v>
      </c>
      <c r="X4516">
        <v>831668</v>
      </c>
      <c r="Y4516" s="2" t="s">
        <v>27484</v>
      </c>
      <c r="Z4516" s="2" t="s">
        <v>140</v>
      </c>
      <c r="AA4516" s="2" t="s">
        <v>5713</v>
      </c>
      <c r="AB4516" s="2" t="s">
        <v>27485</v>
      </c>
      <c r="AG4516" t="s">
        <v>27486</v>
      </c>
      <c r="AH4516" t="s">
        <v>27487</v>
      </c>
      <c r="AI4516" t="s">
        <v>27488</v>
      </c>
    </row>
    <row r="4517" spans="2:35" ht="360">
      <c r="B4517" s="1">
        <v>45415</v>
      </c>
      <c r="C4517" s="4">
        <v>45415.543749999997</v>
      </c>
      <c r="D4517" t="s">
        <v>4569</v>
      </c>
      <c r="E4517" t="s">
        <v>27489</v>
      </c>
      <c r="F4517">
        <v>10</v>
      </c>
      <c r="G4517" t="s">
        <v>1395</v>
      </c>
      <c r="H4517" t="s">
        <v>513</v>
      </c>
      <c r="I4517" t="s">
        <v>40</v>
      </c>
      <c r="J4517" s="2" t="s">
        <v>62</v>
      </c>
      <c r="K4517" t="s">
        <v>387</v>
      </c>
      <c r="L4517" t="s">
        <v>204</v>
      </c>
      <c r="N4517" t="s">
        <v>205</v>
      </c>
      <c r="O4517" t="s">
        <v>2867</v>
      </c>
      <c r="Q4517">
        <v>28028</v>
      </c>
      <c r="R4517" t="s">
        <v>95</v>
      </c>
      <c r="S4517" t="s">
        <v>4572</v>
      </c>
      <c r="T4517">
        <v>25.6</v>
      </c>
      <c r="W4517" t="s">
        <v>390</v>
      </c>
      <c r="X4517" t="s">
        <v>4573</v>
      </c>
      <c r="Y4517" t="s">
        <v>17412</v>
      </c>
      <c r="Z4517" s="2" t="s">
        <v>27490</v>
      </c>
      <c r="AA4517" t="s">
        <v>27491</v>
      </c>
      <c r="AB4517" t="s">
        <v>13782</v>
      </c>
      <c r="AG4517" t="s">
        <v>27492</v>
      </c>
      <c r="AH4517" t="s">
        <v>11496</v>
      </c>
      <c r="AI4517" t="s">
        <v>27493</v>
      </c>
    </row>
    <row r="4518" spans="2:35" ht="409.5">
      <c r="B4518" s="1">
        <v>45415</v>
      </c>
      <c r="C4518" s="4">
        <v>45415.529861111114</v>
      </c>
      <c r="D4518" t="s">
        <v>27494</v>
      </c>
      <c r="E4518" t="s">
        <v>27495</v>
      </c>
      <c r="F4518" t="s">
        <v>37</v>
      </c>
      <c r="G4518" t="s">
        <v>78</v>
      </c>
      <c r="H4518" t="s">
        <v>39</v>
      </c>
      <c r="I4518" t="s">
        <v>40</v>
      </c>
      <c r="J4518" s="2" t="s">
        <v>41</v>
      </c>
      <c r="K4518" t="s">
        <v>42</v>
      </c>
      <c r="L4518" t="s">
        <v>1943</v>
      </c>
      <c r="N4518" t="s">
        <v>1944</v>
      </c>
      <c r="Q4518">
        <v>28027</v>
      </c>
      <c r="R4518" t="s">
        <v>119</v>
      </c>
      <c r="S4518" t="s">
        <v>27496</v>
      </c>
      <c r="T4518">
        <v>25</v>
      </c>
      <c r="V4518" s="1">
        <v>45411</v>
      </c>
      <c r="W4518" t="s">
        <v>84</v>
      </c>
      <c r="X4518">
        <v>821163</v>
      </c>
      <c r="Y4518" s="2" t="s">
        <v>27497</v>
      </c>
      <c r="Z4518" t="s">
        <v>1947</v>
      </c>
      <c r="AA4518" s="2" t="s">
        <v>1948</v>
      </c>
      <c r="AB4518" t="s">
        <v>88</v>
      </c>
      <c r="AD4518" t="s">
        <v>27498</v>
      </c>
      <c r="AE4518" t="s">
        <v>27499</v>
      </c>
      <c r="AG4518" t="s">
        <v>27500</v>
      </c>
      <c r="AH4518" t="s">
        <v>27501</v>
      </c>
      <c r="AI4518" t="s">
        <v>27502</v>
      </c>
    </row>
    <row r="4519" spans="2:35" ht="105">
      <c r="B4519" s="1">
        <v>45415</v>
      </c>
      <c r="C4519" s="4">
        <v>45415.527083333334</v>
      </c>
      <c r="D4519" t="s">
        <v>1496</v>
      </c>
      <c r="E4519" t="s">
        <v>1497</v>
      </c>
      <c r="F4519">
        <v>8</v>
      </c>
      <c r="G4519" t="s">
        <v>342</v>
      </c>
      <c r="H4519" t="s">
        <v>1498</v>
      </c>
      <c r="I4519" t="s">
        <v>40</v>
      </c>
      <c r="J4519" t="s">
        <v>109</v>
      </c>
      <c r="K4519" t="s">
        <v>42</v>
      </c>
      <c r="L4519" t="s">
        <v>343</v>
      </c>
      <c r="N4519" t="s">
        <v>344</v>
      </c>
      <c r="Q4519">
        <v>28026</v>
      </c>
      <c r="R4519" t="s">
        <v>119</v>
      </c>
      <c r="S4519" t="s">
        <v>7820</v>
      </c>
      <c r="T4519">
        <v>26</v>
      </c>
      <c r="U4519" s="2" t="s">
        <v>20886</v>
      </c>
      <c r="W4519" t="s">
        <v>6105</v>
      </c>
      <c r="X4519">
        <v>838297</v>
      </c>
      <c r="Y4519" t="s">
        <v>301</v>
      </c>
      <c r="Z4519" t="s">
        <v>301</v>
      </c>
      <c r="AA4519" t="e">
        <f ca="1">-Preventive Maintenance</f>
        <v>#NAME?</v>
      </c>
      <c r="AB4519" t="s">
        <v>9638</v>
      </c>
      <c r="AG4519" t="s">
        <v>27503</v>
      </c>
      <c r="AH4519" t="s">
        <v>12926</v>
      </c>
      <c r="AI4519" t="s">
        <v>27504</v>
      </c>
    </row>
    <row r="4520" spans="2:35" ht="405">
      <c r="B4520" s="1">
        <v>45415</v>
      </c>
      <c r="C4520" s="4">
        <v>45415.504861111112</v>
      </c>
      <c r="D4520" t="s">
        <v>2568</v>
      </c>
      <c r="E4520" t="s">
        <v>2569</v>
      </c>
      <c r="F4520" t="s">
        <v>148</v>
      </c>
      <c r="G4520" t="s">
        <v>447</v>
      </c>
      <c r="H4520" t="s">
        <v>150</v>
      </c>
      <c r="I4520" t="s">
        <v>40</v>
      </c>
      <c r="J4520" t="s">
        <v>109</v>
      </c>
      <c r="K4520" t="s">
        <v>42</v>
      </c>
      <c r="L4520" t="s">
        <v>448</v>
      </c>
      <c r="N4520" t="s">
        <v>650</v>
      </c>
      <c r="O4520" t="s">
        <v>2808</v>
      </c>
      <c r="Q4520">
        <v>28025</v>
      </c>
      <c r="R4520" t="s">
        <v>95</v>
      </c>
      <c r="S4520" t="s">
        <v>27505</v>
      </c>
      <c r="T4520">
        <v>26</v>
      </c>
      <c r="U4520" s="2" t="s">
        <v>27506</v>
      </c>
      <c r="W4520" t="s">
        <v>6121</v>
      </c>
      <c r="X4520">
        <v>839234</v>
      </c>
      <c r="Y4520" t="s">
        <v>27507</v>
      </c>
      <c r="Z4520" s="2" t="s">
        <v>2011</v>
      </c>
      <c r="AA4520" t="s">
        <v>122</v>
      </c>
      <c r="AB4520" t="s">
        <v>27508</v>
      </c>
      <c r="AG4520" t="s">
        <v>27509</v>
      </c>
      <c r="AH4520" t="s">
        <v>27510</v>
      </c>
      <c r="AI4520" t="s">
        <v>27511</v>
      </c>
    </row>
    <row r="4521" spans="2:35" ht="390">
      <c r="B4521" s="1">
        <v>45415</v>
      </c>
      <c r="C4521" s="4">
        <v>45415.446527777778</v>
      </c>
      <c r="D4521" t="s">
        <v>8684</v>
      </c>
      <c r="E4521" t="s">
        <v>27512</v>
      </c>
      <c r="F4521">
        <v>3</v>
      </c>
      <c r="G4521" t="s">
        <v>284</v>
      </c>
      <c r="H4521" t="s">
        <v>39</v>
      </c>
      <c r="I4521" t="s">
        <v>40</v>
      </c>
      <c r="J4521" s="2" t="s">
        <v>41</v>
      </c>
      <c r="K4521" t="s">
        <v>42</v>
      </c>
      <c r="L4521" t="s">
        <v>135</v>
      </c>
      <c r="N4521" t="s">
        <v>136</v>
      </c>
      <c r="Q4521">
        <v>28024</v>
      </c>
      <c r="R4521" t="s">
        <v>119</v>
      </c>
      <c r="S4521" t="s">
        <v>27513</v>
      </c>
      <c r="T4521">
        <v>29</v>
      </c>
      <c r="U4521" s="2" t="s">
        <v>20828</v>
      </c>
      <c r="V4521" s="1">
        <v>45407</v>
      </c>
      <c r="W4521" t="s">
        <v>2680</v>
      </c>
      <c r="X4521">
        <v>831613</v>
      </c>
      <c r="Y4521" s="2" t="s">
        <v>27514</v>
      </c>
      <c r="Z4521" s="2" t="s">
        <v>140</v>
      </c>
      <c r="AA4521" s="2" t="s">
        <v>5713</v>
      </c>
      <c r="AB4521" s="2" t="s">
        <v>27515</v>
      </c>
      <c r="AD4521" t="s">
        <v>22730</v>
      </c>
      <c r="AE4521">
        <v>47629</v>
      </c>
      <c r="AG4521" t="s">
        <v>27516</v>
      </c>
      <c r="AH4521" t="s">
        <v>27517</v>
      </c>
      <c r="AI4521" t="s">
        <v>27518</v>
      </c>
    </row>
    <row r="4522" spans="2:35" ht="409.5">
      <c r="B4522" s="1">
        <v>45415</v>
      </c>
      <c r="C4522" s="4">
        <v>45415.469444444447</v>
      </c>
      <c r="D4522" t="s">
        <v>27519</v>
      </c>
      <c r="E4522" t="s">
        <v>27520</v>
      </c>
      <c r="F4522" t="s">
        <v>148</v>
      </c>
      <c r="G4522" t="s">
        <v>447</v>
      </c>
      <c r="H4522" t="s">
        <v>27521</v>
      </c>
      <c r="I4522" t="s">
        <v>40</v>
      </c>
      <c r="J4522" t="s">
        <v>109</v>
      </c>
      <c r="K4522" t="s">
        <v>42</v>
      </c>
      <c r="L4522" t="s">
        <v>448</v>
      </c>
      <c r="N4522" t="s">
        <v>650</v>
      </c>
      <c r="O4522" t="s">
        <v>2808</v>
      </c>
      <c r="Q4522">
        <v>28023</v>
      </c>
      <c r="R4522" t="s">
        <v>95</v>
      </c>
      <c r="S4522" t="s">
        <v>2571</v>
      </c>
      <c r="T4522">
        <v>30</v>
      </c>
      <c r="U4522" s="2" t="s">
        <v>27522</v>
      </c>
      <c r="W4522" t="s">
        <v>6121</v>
      </c>
      <c r="X4522">
        <v>807155</v>
      </c>
      <c r="Y4522" t="s">
        <v>485</v>
      </c>
      <c r="Z4522" s="2" t="s">
        <v>2011</v>
      </c>
      <c r="AA4522" t="s">
        <v>122</v>
      </c>
      <c r="AB4522" t="s">
        <v>486</v>
      </c>
      <c r="AG4522" t="s">
        <v>27523</v>
      </c>
      <c r="AH4522" t="s">
        <v>2578</v>
      </c>
      <c r="AI4522" t="s">
        <v>27524</v>
      </c>
    </row>
    <row r="4523" spans="2:35" ht="409.5">
      <c r="B4523" s="1">
        <v>45415</v>
      </c>
      <c r="C4523" s="4">
        <v>45414.663194444445</v>
      </c>
      <c r="D4523" t="s">
        <v>9514</v>
      </c>
      <c r="E4523" t="s">
        <v>10086</v>
      </c>
      <c r="F4523" t="s">
        <v>148</v>
      </c>
      <c r="G4523" t="s">
        <v>2007</v>
      </c>
      <c r="H4523" t="s">
        <v>662</v>
      </c>
      <c r="I4523" t="s">
        <v>40</v>
      </c>
      <c r="J4523" s="2" t="s">
        <v>41</v>
      </c>
      <c r="K4523" t="s">
        <v>42</v>
      </c>
      <c r="L4523" t="s">
        <v>448</v>
      </c>
      <c r="N4523" t="s">
        <v>650</v>
      </c>
      <c r="O4523" t="s">
        <v>14456</v>
      </c>
      <c r="Q4523">
        <v>28022</v>
      </c>
      <c r="R4523" t="s">
        <v>95</v>
      </c>
      <c r="S4523" t="s">
        <v>2008</v>
      </c>
      <c r="T4523">
        <v>30</v>
      </c>
      <c r="U4523" s="2" t="s">
        <v>27525</v>
      </c>
      <c r="V4523" s="1">
        <v>45407</v>
      </c>
      <c r="W4523" t="s">
        <v>6504</v>
      </c>
      <c r="X4523">
        <v>110001647</v>
      </c>
      <c r="Y4523" t="s">
        <v>27526</v>
      </c>
      <c r="Z4523" s="2" t="s">
        <v>2585</v>
      </c>
      <c r="AA4523" t="s">
        <v>27527</v>
      </c>
      <c r="AB4523" t="s">
        <v>486</v>
      </c>
      <c r="AC4523" t="s">
        <v>27528</v>
      </c>
      <c r="AD4523" t="s">
        <v>11062</v>
      </c>
      <c r="AE4523">
        <v>11443</v>
      </c>
      <c r="AG4523" t="s">
        <v>27529</v>
      </c>
      <c r="AH4523" t="s">
        <v>2013</v>
      </c>
      <c r="AI4523" t="s">
        <v>27530</v>
      </c>
    </row>
    <row r="4524" spans="2:35" ht="105">
      <c r="B4524" s="1">
        <v>45414</v>
      </c>
      <c r="C4524" s="4">
        <v>45412.386805555558</v>
      </c>
      <c r="D4524" t="s">
        <v>1065</v>
      </c>
      <c r="E4524" t="s">
        <v>27531</v>
      </c>
      <c r="F4524">
        <v>1</v>
      </c>
      <c r="G4524" t="s">
        <v>1046</v>
      </c>
      <c r="H4524" t="s">
        <v>1047</v>
      </c>
      <c r="I4524" t="s">
        <v>40</v>
      </c>
      <c r="J4524" s="2" t="s">
        <v>62</v>
      </c>
      <c r="K4524" t="s">
        <v>42</v>
      </c>
      <c r="L4524" t="s">
        <v>1048</v>
      </c>
      <c r="N4524" t="s">
        <v>1049</v>
      </c>
      <c r="Q4524">
        <v>28021</v>
      </c>
      <c r="R4524" t="s">
        <v>119</v>
      </c>
      <c r="S4524" t="s">
        <v>1067</v>
      </c>
      <c r="T4524">
        <v>29</v>
      </c>
      <c r="U4524" s="2" t="s">
        <v>8372</v>
      </c>
      <c r="V4524" s="1">
        <v>45386</v>
      </c>
      <c r="W4524" t="s">
        <v>1051</v>
      </c>
      <c r="X4524">
        <v>838284</v>
      </c>
      <c r="Y4524" t="s">
        <v>6929</v>
      </c>
      <c r="Z4524" t="e">
        <f ca="1">- cleaned cartridge Bays, plunger Rods _xludf.and I-CORE
- performed XpertCheck
- generated reports</f>
        <v>#NAME?</v>
      </c>
      <c r="AA4524" t="s">
        <v>6930</v>
      </c>
      <c r="AB4524" t="e">
        <f ca="1">- Unit is Fully operational
- ALL modules passed</f>
        <v>#NAME?</v>
      </c>
      <c r="AD4524" t="s">
        <v>1958</v>
      </c>
      <c r="AE4524" t="s">
        <v>27532</v>
      </c>
      <c r="AG4524" t="s">
        <v>27533</v>
      </c>
      <c r="AH4524" t="s">
        <v>1069</v>
      </c>
      <c r="AI4524" t="s">
        <v>27534</v>
      </c>
    </row>
    <row r="4525" spans="2:35" ht="345">
      <c r="B4525" s="1">
        <v>45414</v>
      </c>
      <c r="C4525" s="4">
        <v>45414.582638888889</v>
      </c>
      <c r="D4525" t="s">
        <v>728</v>
      </c>
      <c r="E4525" t="s">
        <v>729</v>
      </c>
      <c r="F4525">
        <v>3</v>
      </c>
      <c r="G4525" t="s">
        <v>730</v>
      </c>
      <c r="H4525" t="s">
        <v>39</v>
      </c>
      <c r="I4525" t="s">
        <v>40</v>
      </c>
      <c r="J4525" t="s">
        <v>109</v>
      </c>
      <c r="K4525" t="s">
        <v>42</v>
      </c>
      <c r="L4525" t="s">
        <v>135</v>
      </c>
      <c r="N4525" t="s">
        <v>136</v>
      </c>
      <c r="Q4525">
        <v>28020</v>
      </c>
      <c r="R4525" t="s">
        <v>119</v>
      </c>
      <c r="S4525" t="s">
        <v>731</v>
      </c>
      <c r="T4525">
        <v>30</v>
      </c>
      <c r="U4525" s="2" t="s">
        <v>16353</v>
      </c>
      <c r="W4525" t="s">
        <v>2680</v>
      </c>
      <c r="X4525">
        <v>831721</v>
      </c>
      <c r="Y4525" t="s">
        <v>485</v>
      </c>
      <c r="Z4525" t="s">
        <v>4315</v>
      </c>
      <c r="AA4525" s="2" t="s">
        <v>27535</v>
      </c>
      <c r="AB4525" t="s">
        <v>181</v>
      </c>
      <c r="AG4525" t="s">
        <v>27536</v>
      </c>
      <c r="AH4525" t="s">
        <v>735</v>
      </c>
      <c r="AI4525" t="s">
        <v>27537</v>
      </c>
    </row>
    <row r="4526" spans="2:35" ht="210">
      <c r="B4526" s="1">
        <v>45414</v>
      </c>
      <c r="C4526" s="4">
        <v>45414.699305555558</v>
      </c>
      <c r="D4526" t="s">
        <v>855</v>
      </c>
      <c r="E4526" t="s">
        <v>12037</v>
      </c>
      <c r="F4526" t="s">
        <v>148</v>
      </c>
      <c r="G4526" t="s">
        <v>310</v>
      </c>
      <c r="H4526" t="s">
        <v>258</v>
      </c>
      <c r="I4526" t="s">
        <v>40</v>
      </c>
      <c r="J4526" s="2" t="s">
        <v>6765</v>
      </c>
      <c r="K4526" t="s">
        <v>42</v>
      </c>
      <c r="L4526" t="s">
        <v>857</v>
      </c>
      <c r="N4526" t="s">
        <v>858</v>
      </c>
      <c r="Q4526">
        <v>28019</v>
      </c>
      <c r="R4526" t="s">
        <v>322</v>
      </c>
      <c r="S4526" t="s">
        <v>859</v>
      </c>
      <c r="T4526">
        <v>29</v>
      </c>
      <c r="W4526" t="s">
        <v>2591</v>
      </c>
      <c r="X4526">
        <v>110016786</v>
      </c>
      <c r="Y4526" t="s">
        <v>6766</v>
      </c>
      <c r="Z4526" s="2" t="s">
        <v>27538</v>
      </c>
      <c r="AA4526" t="s">
        <v>999</v>
      </c>
      <c r="AB4526" t="s">
        <v>20308</v>
      </c>
      <c r="AG4526" t="s">
        <v>27539</v>
      </c>
      <c r="AH4526" t="s">
        <v>20310</v>
      </c>
      <c r="AI4526" t="s">
        <v>27540</v>
      </c>
    </row>
    <row r="4527" spans="2:35" ht="270">
      <c r="B4527" s="1">
        <v>45414</v>
      </c>
      <c r="C4527" s="4">
        <v>45414.647916666669</v>
      </c>
      <c r="D4527" t="s">
        <v>27541</v>
      </c>
      <c r="E4527" t="s">
        <v>27542</v>
      </c>
      <c r="F4527" t="s">
        <v>148</v>
      </c>
      <c r="G4527" t="s">
        <v>447</v>
      </c>
      <c r="H4527" t="s">
        <v>513</v>
      </c>
      <c r="I4527" t="s">
        <v>40</v>
      </c>
      <c r="J4527" s="2" t="s">
        <v>27543</v>
      </c>
      <c r="K4527" t="s">
        <v>387</v>
      </c>
      <c r="L4527" t="s">
        <v>80</v>
      </c>
      <c r="N4527" t="s">
        <v>81</v>
      </c>
      <c r="O4527" t="s">
        <v>663</v>
      </c>
      <c r="Q4527">
        <v>28018</v>
      </c>
      <c r="R4527" t="s">
        <v>95</v>
      </c>
      <c r="S4527" t="s">
        <v>9676</v>
      </c>
      <c r="T4527">
        <v>28</v>
      </c>
      <c r="V4527" s="1">
        <v>45414</v>
      </c>
      <c r="W4527" t="s">
        <v>390</v>
      </c>
      <c r="X4527" t="s">
        <v>5906</v>
      </c>
      <c r="Y4527" t="s">
        <v>27544</v>
      </c>
      <c r="Z4527" s="2" t="s">
        <v>27545</v>
      </c>
      <c r="AA4527" s="2" t="s">
        <v>27546</v>
      </c>
      <c r="AB4527" t="s">
        <v>88</v>
      </c>
      <c r="AC4527" t="s">
        <v>54</v>
      </c>
      <c r="AD4527" t="s">
        <v>301</v>
      </c>
      <c r="AE4527" t="s">
        <v>54</v>
      </c>
      <c r="AG4527" t="s">
        <v>27547</v>
      </c>
      <c r="AH4527" t="s">
        <v>27548</v>
      </c>
      <c r="AI4527" t="s">
        <v>27549</v>
      </c>
    </row>
    <row r="4528" spans="2:35" ht="120">
      <c r="B4528" s="1">
        <v>45414</v>
      </c>
      <c r="C4528" s="4">
        <v>45412.54791666667</v>
      </c>
      <c r="D4528" t="s">
        <v>22944</v>
      </c>
      <c r="E4528" t="s">
        <v>22764</v>
      </c>
      <c r="F4528" t="s">
        <v>148</v>
      </c>
      <c r="G4528" t="s">
        <v>22765</v>
      </c>
      <c r="H4528" t="s">
        <v>39</v>
      </c>
      <c r="I4528" t="s">
        <v>40</v>
      </c>
      <c r="J4528" s="2" t="s">
        <v>41</v>
      </c>
      <c r="K4528" t="s">
        <v>42</v>
      </c>
      <c r="L4528" t="s">
        <v>175</v>
      </c>
      <c r="N4528" t="s">
        <v>176</v>
      </c>
      <c r="Q4528">
        <v>28015</v>
      </c>
      <c r="R4528" t="s">
        <v>119</v>
      </c>
      <c r="S4528" t="s">
        <v>22946</v>
      </c>
      <c r="T4528">
        <v>25</v>
      </c>
      <c r="U4528" s="2" t="s">
        <v>27550</v>
      </c>
      <c r="V4528" s="1">
        <v>45412</v>
      </c>
      <c r="W4528" t="s">
        <v>84</v>
      </c>
      <c r="X4528">
        <v>831903</v>
      </c>
      <c r="Y4528" t="s">
        <v>27551</v>
      </c>
      <c r="Z4528" t="e">
        <f ca="1">- replaced module C3
- replaced FAN _xludf.filter</f>
        <v>#NAME?</v>
      </c>
      <c r="AA4528" t="e">
        <f ca="1">- replaced module C3
- generated reports
- checked _xludf.and cleaned cartridge bay, plunger rod
- replaced FAN _xludf.filter
- performed self test</f>
        <v>#NAME?</v>
      </c>
      <c r="AB4528" t="s">
        <v>181</v>
      </c>
      <c r="AD4528" s="2" t="s">
        <v>27552</v>
      </c>
      <c r="AE4528" t="s">
        <v>103</v>
      </c>
      <c r="AG4528" t="s">
        <v>27553</v>
      </c>
      <c r="AH4528" t="s">
        <v>22950</v>
      </c>
      <c r="AI4528" t="s">
        <v>27554</v>
      </c>
    </row>
    <row r="4529" spans="2:35" ht="210">
      <c r="B4529" s="1">
        <v>45414</v>
      </c>
      <c r="C4529" s="4">
        <v>45412.452777777777</v>
      </c>
      <c r="D4529" t="s">
        <v>27555</v>
      </c>
      <c r="E4529" t="s">
        <v>3234</v>
      </c>
      <c r="F4529">
        <v>3</v>
      </c>
      <c r="G4529" t="s">
        <v>174</v>
      </c>
      <c r="H4529" t="s">
        <v>39</v>
      </c>
      <c r="I4529" t="s">
        <v>40</v>
      </c>
      <c r="J4529" s="2" t="s">
        <v>41</v>
      </c>
      <c r="K4529" t="s">
        <v>42</v>
      </c>
      <c r="L4529" t="s">
        <v>175</v>
      </c>
      <c r="N4529" t="s">
        <v>176</v>
      </c>
      <c r="Q4529">
        <v>28017</v>
      </c>
      <c r="R4529" t="s">
        <v>119</v>
      </c>
      <c r="S4529" t="s">
        <v>3235</v>
      </c>
      <c r="T4529">
        <v>28</v>
      </c>
      <c r="U4529" s="2" t="s">
        <v>27556</v>
      </c>
      <c r="V4529" s="1">
        <v>45412</v>
      </c>
      <c r="W4529" t="s">
        <v>84</v>
      </c>
      <c r="X4529">
        <v>831904</v>
      </c>
      <c r="Y4529" t="s">
        <v>49</v>
      </c>
      <c r="Z4529" t="s">
        <v>27557</v>
      </c>
      <c r="AA4529" t="e">
        <f ca="1">- replaced module A4
- generated reports
- checked _xludf.and cleaned cartridge bay, plunger rod
- performed self test</f>
        <v>#NAME?</v>
      </c>
      <c r="AB4529" t="s">
        <v>181</v>
      </c>
      <c r="AD4529" s="2" t="s">
        <v>27558</v>
      </c>
      <c r="AE4529" t="s">
        <v>103</v>
      </c>
      <c r="AG4529" t="s">
        <v>27559</v>
      </c>
      <c r="AH4529" t="s">
        <v>22677</v>
      </c>
      <c r="AI4529" t="s">
        <v>27560</v>
      </c>
    </row>
    <row r="4530" spans="2:35" ht="240">
      <c r="B4530" s="1">
        <v>45414</v>
      </c>
      <c r="C4530" s="4">
        <v>45414.597222222219</v>
      </c>
      <c r="D4530" t="s">
        <v>1155</v>
      </c>
      <c r="E4530" t="s">
        <v>8331</v>
      </c>
      <c r="F4530" t="s">
        <v>148</v>
      </c>
      <c r="G4530" t="s">
        <v>230</v>
      </c>
      <c r="H4530" t="s">
        <v>39</v>
      </c>
      <c r="I4530" t="s">
        <v>40</v>
      </c>
      <c r="J4530" s="2" t="s">
        <v>41</v>
      </c>
      <c r="K4530" t="s">
        <v>42</v>
      </c>
      <c r="L4530" t="s">
        <v>175</v>
      </c>
      <c r="N4530" t="s">
        <v>176</v>
      </c>
      <c r="Q4530">
        <v>28016</v>
      </c>
      <c r="R4530" t="s">
        <v>119</v>
      </c>
      <c r="S4530" t="s">
        <v>8332</v>
      </c>
      <c r="T4530">
        <v>29</v>
      </c>
      <c r="U4530" s="2" t="s">
        <v>27561</v>
      </c>
      <c r="V4530" s="1">
        <v>45414</v>
      </c>
      <c r="W4530" t="s">
        <v>84</v>
      </c>
      <c r="X4530">
        <v>831895</v>
      </c>
      <c r="Y4530" t="s">
        <v>27562</v>
      </c>
      <c r="Z4530" s="2" t="s">
        <v>27563</v>
      </c>
      <c r="AA4530" t="e">
        <f ca="1">- replaced A1, A3
- checked _xludf.and cleaned cartridge bay, plunger rod, _xludf.filter
- generated reports
- performed self test</f>
        <v>#NAME?</v>
      </c>
      <c r="AB4530" t="s">
        <v>181</v>
      </c>
      <c r="AD4530" s="2" t="s">
        <v>27564</v>
      </c>
      <c r="AE4530" t="s">
        <v>103</v>
      </c>
      <c r="AG4530" t="s">
        <v>27565</v>
      </c>
      <c r="AH4530" t="s">
        <v>16488</v>
      </c>
      <c r="AI4530" t="s">
        <v>27566</v>
      </c>
    </row>
    <row r="4531" spans="2:35" ht="240">
      <c r="B4531" s="1">
        <v>45414</v>
      </c>
      <c r="C4531" s="4">
        <v>45414.593055555553</v>
      </c>
      <c r="D4531" t="s">
        <v>556</v>
      </c>
      <c r="E4531" t="s">
        <v>27567</v>
      </c>
      <c r="F4531" t="s">
        <v>148</v>
      </c>
      <c r="G4531" t="s">
        <v>406</v>
      </c>
      <c r="H4531" t="s">
        <v>5523</v>
      </c>
      <c r="I4531" t="s">
        <v>40</v>
      </c>
      <c r="J4531" s="2" t="s">
        <v>41</v>
      </c>
      <c r="K4531" t="s">
        <v>42</v>
      </c>
      <c r="L4531" t="s">
        <v>15532</v>
      </c>
      <c r="N4531" t="s">
        <v>15533</v>
      </c>
      <c r="Q4531">
        <v>28014</v>
      </c>
      <c r="R4531" t="s">
        <v>119</v>
      </c>
      <c r="S4531" t="s">
        <v>25196</v>
      </c>
      <c r="T4531">
        <v>29</v>
      </c>
      <c r="U4531" s="2" t="s">
        <v>27568</v>
      </c>
      <c r="V4531" s="1">
        <v>45412</v>
      </c>
      <c r="W4531" t="s">
        <v>15535</v>
      </c>
      <c r="X4531">
        <v>831638</v>
      </c>
      <c r="Y4531" t="s">
        <v>27569</v>
      </c>
      <c r="Z4531" s="2" t="s">
        <v>27570</v>
      </c>
      <c r="AA4531" s="2" t="s">
        <v>27571</v>
      </c>
      <c r="AB4531" s="2" t="s">
        <v>27572</v>
      </c>
      <c r="AD4531" t="s">
        <v>27573</v>
      </c>
      <c r="AE4531" t="s">
        <v>27574</v>
      </c>
      <c r="AG4531" t="s">
        <v>27575</v>
      </c>
      <c r="AH4531" t="s">
        <v>27576</v>
      </c>
      <c r="AI4531" t="s">
        <v>27577</v>
      </c>
    </row>
    <row r="4532" spans="2:35" ht="150">
      <c r="B4532" s="1">
        <v>45414</v>
      </c>
      <c r="C4532" s="4">
        <v>45414.572222222225</v>
      </c>
      <c r="D4532" t="s">
        <v>5546</v>
      </c>
      <c r="E4532" t="s">
        <v>1555</v>
      </c>
      <c r="F4532">
        <v>7</v>
      </c>
      <c r="G4532" t="s">
        <v>432</v>
      </c>
      <c r="H4532" t="s">
        <v>39</v>
      </c>
      <c r="I4532" t="s">
        <v>40</v>
      </c>
      <c r="J4532" t="s">
        <v>27578</v>
      </c>
      <c r="K4532" t="s">
        <v>42</v>
      </c>
      <c r="L4532" t="s">
        <v>433</v>
      </c>
      <c r="N4532" t="s">
        <v>434</v>
      </c>
      <c r="Q4532">
        <v>28013</v>
      </c>
      <c r="R4532" t="s">
        <v>119</v>
      </c>
      <c r="S4532" t="s">
        <v>5548</v>
      </c>
      <c r="T4532">
        <v>28</v>
      </c>
      <c r="W4532" t="s">
        <v>1008</v>
      </c>
      <c r="X4532">
        <v>838527</v>
      </c>
      <c r="Y4532" t="s">
        <v>27579</v>
      </c>
      <c r="Z4532" s="2" t="s">
        <v>27580</v>
      </c>
      <c r="AA4532" s="2" t="s">
        <v>27581</v>
      </c>
      <c r="AB4532" s="2" t="s">
        <v>27582</v>
      </c>
      <c r="AC4532" t="s">
        <v>27583</v>
      </c>
      <c r="AG4532" t="s">
        <v>27584</v>
      </c>
      <c r="AH4532" t="s">
        <v>7130</v>
      </c>
      <c r="AI4532" t="s">
        <v>27585</v>
      </c>
    </row>
    <row r="4533" spans="2:35" ht="409.5">
      <c r="B4533" s="1">
        <v>45414</v>
      </c>
      <c r="C4533" s="4">
        <v>45414.395138888889</v>
      </c>
      <c r="D4533" t="s">
        <v>4511</v>
      </c>
      <c r="E4533" t="s">
        <v>4512</v>
      </c>
      <c r="F4533">
        <v>1</v>
      </c>
      <c r="G4533" t="s">
        <v>1046</v>
      </c>
      <c r="H4533" t="s">
        <v>1047</v>
      </c>
      <c r="I4533" t="s">
        <v>40</v>
      </c>
      <c r="J4533" s="2" t="s">
        <v>62</v>
      </c>
      <c r="K4533" t="s">
        <v>42</v>
      </c>
      <c r="L4533" t="s">
        <v>1048</v>
      </c>
      <c r="N4533" t="s">
        <v>1049</v>
      </c>
      <c r="Q4533">
        <v>28012</v>
      </c>
      <c r="R4533" t="s">
        <v>119</v>
      </c>
      <c r="S4533" t="s">
        <v>4513</v>
      </c>
      <c r="T4533">
        <v>29</v>
      </c>
      <c r="U4533" s="2" t="s">
        <v>21539</v>
      </c>
      <c r="V4533" s="1">
        <v>45386</v>
      </c>
      <c r="W4533" t="s">
        <v>1051</v>
      </c>
      <c r="X4533">
        <v>838288</v>
      </c>
      <c r="Y4533" t="s">
        <v>6929</v>
      </c>
      <c r="Z4533" t="e">
        <f ca="1">- cleaned cartridge Bays, plunger Rods _xludf.and I-CORE
- performed XpertCheck
- generated reports</f>
        <v>#NAME?</v>
      </c>
      <c r="AA4533" t="s">
        <v>6930</v>
      </c>
      <c r="AB4533" s="2" t="s">
        <v>27586</v>
      </c>
      <c r="AD4533" t="s">
        <v>1958</v>
      </c>
      <c r="AE4533" t="s">
        <v>27587</v>
      </c>
      <c r="AG4533" t="s">
        <v>27588</v>
      </c>
      <c r="AH4533" t="s">
        <v>4515</v>
      </c>
      <c r="AI4533" t="s">
        <v>27589</v>
      </c>
    </row>
    <row r="4534" spans="2:35" ht="105">
      <c r="B4534" s="1">
        <v>45414</v>
      </c>
      <c r="C4534" s="4">
        <v>45412.386805555558</v>
      </c>
      <c r="D4534" t="s">
        <v>1065</v>
      </c>
      <c r="E4534" t="s">
        <v>27531</v>
      </c>
      <c r="F4534">
        <v>1</v>
      </c>
      <c r="G4534" t="s">
        <v>1046</v>
      </c>
      <c r="H4534" t="s">
        <v>1047</v>
      </c>
      <c r="I4534" t="s">
        <v>40</v>
      </c>
      <c r="J4534" s="2" t="s">
        <v>62</v>
      </c>
      <c r="K4534" t="s">
        <v>42</v>
      </c>
      <c r="L4534" t="s">
        <v>1048</v>
      </c>
      <c r="N4534" t="s">
        <v>1049</v>
      </c>
      <c r="Q4534">
        <v>28011</v>
      </c>
      <c r="R4534" t="s">
        <v>119</v>
      </c>
      <c r="S4534" t="s">
        <v>1067</v>
      </c>
      <c r="T4534">
        <v>29</v>
      </c>
      <c r="U4534" s="2" t="s">
        <v>8372</v>
      </c>
      <c r="V4534" s="1">
        <v>45386</v>
      </c>
      <c r="W4534" t="s">
        <v>1051</v>
      </c>
      <c r="X4534">
        <v>838284</v>
      </c>
      <c r="Y4534" t="s">
        <v>6929</v>
      </c>
      <c r="Z4534" t="e">
        <f ca="1">- cleaned cartridge Bays, plunger Rods _xludf.and I-CORE
- performed XpertCheck
- generated reports</f>
        <v>#NAME?</v>
      </c>
      <c r="AA4534" t="s">
        <v>6930</v>
      </c>
      <c r="AB4534" s="2" t="s">
        <v>27590</v>
      </c>
      <c r="AD4534" t="s">
        <v>1958</v>
      </c>
      <c r="AE4534" t="s">
        <v>27532</v>
      </c>
      <c r="AG4534" t="s">
        <v>27591</v>
      </c>
      <c r="AH4534" t="s">
        <v>1069</v>
      </c>
      <c r="AI4534" t="s">
        <v>27592</v>
      </c>
    </row>
    <row r="4535" spans="2:35" ht="409.5">
      <c r="B4535" s="1">
        <v>45414</v>
      </c>
      <c r="C4535" s="4">
        <v>45412.588194444441</v>
      </c>
      <c r="D4535" t="s">
        <v>5602</v>
      </c>
      <c r="E4535" t="s">
        <v>473</v>
      </c>
      <c r="F4535" t="s">
        <v>148</v>
      </c>
      <c r="G4535" t="s">
        <v>447</v>
      </c>
      <c r="H4535" t="s">
        <v>662</v>
      </c>
      <c r="I4535" t="s">
        <v>40</v>
      </c>
      <c r="J4535" t="s">
        <v>525</v>
      </c>
      <c r="K4535" t="s">
        <v>42</v>
      </c>
      <c r="L4535" t="s">
        <v>448</v>
      </c>
      <c r="N4535" t="s">
        <v>650</v>
      </c>
      <c r="Q4535">
        <v>28010</v>
      </c>
      <c r="R4535" t="s">
        <v>322</v>
      </c>
      <c r="S4535" t="s">
        <v>5604</v>
      </c>
      <c r="T4535">
        <v>26</v>
      </c>
      <c r="U4535" s="2" t="s">
        <v>27593</v>
      </c>
      <c r="W4535" t="s">
        <v>895</v>
      </c>
      <c r="X4535">
        <v>110005587</v>
      </c>
      <c r="Y4535" t="s">
        <v>27594</v>
      </c>
      <c r="Z4535" s="2" t="s">
        <v>27595</v>
      </c>
      <c r="AA4535" t="s">
        <v>4487</v>
      </c>
      <c r="AB4535" t="s">
        <v>27596</v>
      </c>
      <c r="AG4535" t="s">
        <v>27597</v>
      </c>
      <c r="AH4535" t="s">
        <v>5609</v>
      </c>
      <c r="AI4535" t="s">
        <v>27598</v>
      </c>
    </row>
    <row r="4536" spans="2:35" ht="409.5">
      <c r="B4536" s="1">
        <v>45414</v>
      </c>
      <c r="C4536" s="4">
        <v>45414.494444444441</v>
      </c>
      <c r="D4536" t="s">
        <v>5474</v>
      </c>
      <c r="E4536" t="s">
        <v>4260</v>
      </c>
      <c r="F4536" t="s">
        <v>148</v>
      </c>
      <c r="G4536" t="s">
        <v>2007</v>
      </c>
      <c r="H4536" t="s">
        <v>386</v>
      </c>
      <c r="I4536" t="s">
        <v>40</v>
      </c>
      <c r="J4536" t="s">
        <v>79</v>
      </c>
      <c r="K4536" t="s">
        <v>387</v>
      </c>
      <c r="L4536" t="s">
        <v>448</v>
      </c>
      <c r="N4536" t="s">
        <v>650</v>
      </c>
      <c r="O4536" t="s">
        <v>27082</v>
      </c>
      <c r="Q4536">
        <v>28009</v>
      </c>
      <c r="R4536" t="s">
        <v>95</v>
      </c>
      <c r="S4536" t="s">
        <v>22176</v>
      </c>
      <c r="T4536">
        <v>27</v>
      </c>
      <c r="V4536" s="1">
        <v>45393</v>
      </c>
      <c r="W4536" t="s">
        <v>476</v>
      </c>
      <c r="X4536" t="s">
        <v>5488</v>
      </c>
      <c r="Y4536" t="s">
        <v>27599</v>
      </c>
      <c r="Z4536" s="2" t="s">
        <v>27600</v>
      </c>
      <c r="AA4536" t="s">
        <v>27601</v>
      </c>
      <c r="AB4536" t="s">
        <v>486</v>
      </c>
      <c r="AD4536" t="s">
        <v>27602</v>
      </c>
      <c r="AE4536" t="s">
        <v>27603</v>
      </c>
      <c r="AG4536" t="s">
        <v>27604</v>
      </c>
      <c r="AH4536" t="s">
        <v>27605</v>
      </c>
      <c r="AI4536" t="s">
        <v>27606</v>
      </c>
    </row>
    <row r="4537" spans="2:35" ht="285">
      <c r="B4537" s="1">
        <v>45414</v>
      </c>
      <c r="C4537" s="4">
        <v>45414.488194444442</v>
      </c>
      <c r="D4537" t="s">
        <v>24888</v>
      </c>
      <c r="E4537" t="s">
        <v>27607</v>
      </c>
      <c r="F4537">
        <v>3</v>
      </c>
      <c r="G4537" t="s">
        <v>730</v>
      </c>
      <c r="H4537" t="s">
        <v>39</v>
      </c>
      <c r="I4537" t="s">
        <v>40</v>
      </c>
      <c r="J4537" s="2" t="s">
        <v>1592</v>
      </c>
      <c r="K4537" t="s">
        <v>42</v>
      </c>
      <c r="L4537" t="s">
        <v>135</v>
      </c>
      <c r="N4537" t="s">
        <v>136</v>
      </c>
      <c r="Q4537">
        <v>28008</v>
      </c>
      <c r="R4537" t="s">
        <v>119</v>
      </c>
      <c r="S4537" t="s">
        <v>24890</v>
      </c>
      <c r="T4537">
        <v>36</v>
      </c>
      <c r="U4537" s="2" t="s">
        <v>14339</v>
      </c>
      <c r="V4537" s="1">
        <v>45407</v>
      </c>
      <c r="W4537" t="s">
        <v>2680</v>
      </c>
      <c r="X4537">
        <v>831669</v>
      </c>
      <c r="Y4537" s="2" t="s">
        <v>27608</v>
      </c>
      <c r="Z4537" s="2" t="s">
        <v>27609</v>
      </c>
      <c r="AA4537" s="2" t="s">
        <v>27610</v>
      </c>
      <c r="AB4537" s="2" t="s">
        <v>27611</v>
      </c>
      <c r="AC4537" t="s">
        <v>27612</v>
      </c>
      <c r="AD4537" t="s">
        <v>27613</v>
      </c>
      <c r="AE4537">
        <v>47632</v>
      </c>
      <c r="AG4537" t="s">
        <v>27614</v>
      </c>
      <c r="AH4537" t="s">
        <v>27615</v>
      </c>
      <c r="AI4537" t="s">
        <v>27616</v>
      </c>
    </row>
    <row r="4538" spans="2:35" ht="240">
      <c r="B4538" s="1">
        <v>45414</v>
      </c>
      <c r="C4538" s="4">
        <v>45414.427083333336</v>
      </c>
      <c r="D4538" t="s">
        <v>542</v>
      </c>
      <c r="E4538" t="s">
        <v>27617</v>
      </c>
      <c r="F4538" t="s">
        <v>148</v>
      </c>
      <c r="G4538" t="s">
        <v>544</v>
      </c>
      <c r="H4538" t="s">
        <v>39</v>
      </c>
      <c r="I4538" t="s">
        <v>40</v>
      </c>
      <c r="J4538" s="2" t="s">
        <v>41</v>
      </c>
      <c r="K4538" t="s">
        <v>42</v>
      </c>
      <c r="L4538" t="s">
        <v>15532</v>
      </c>
      <c r="N4538" t="s">
        <v>15533</v>
      </c>
      <c r="Q4538">
        <v>28007</v>
      </c>
      <c r="R4538" t="s">
        <v>119</v>
      </c>
      <c r="S4538" t="s">
        <v>6737</v>
      </c>
      <c r="T4538">
        <v>29</v>
      </c>
      <c r="U4538" s="2" t="s">
        <v>27618</v>
      </c>
      <c r="V4538" s="1">
        <v>45412</v>
      </c>
      <c r="W4538" t="s">
        <v>15535</v>
      </c>
      <c r="X4538">
        <v>831588</v>
      </c>
      <c r="Y4538" t="s">
        <v>2034</v>
      </c>
      <c r="Z4538" s="2" t="s">
        <v>27619</v>
      </c>
      <c r="AA4538" s="2" t="s">
        <v>27620</v>
      </c>
      <c r="AB4538" s="2" t="s">
        <v>17371</v>
      </c>
      <c r="AD4538" t="s">
        <v>22841</v>
      </c>
      <c r="AE4538" t="s">
        <v>27621</v>
      </c>
      <c r="AG4538" t="s">
        <v>27622</v>
      </c>
      <c r="AH4538" t="s">
        <v>27623</v>
      </c>
      <c r="AI4538" t="s">
        <v>27624</v>
      </c>
    </row>
    <row r="4539" spans="2:35" ht="210">
      <c r="B4539" s="1">
        <v>45412</v>
      </c>
      <c r="C4539" s="4">
        <v>45412.657638888886</v>
      </c>
      <c r="D4539" t="s">
        <v>14966</v>
      </c>
      <c r="E4539" t="s">
        <v>27625</v>
      </c>
      <c r="F4539">
        <v>11</v>
      </c>
      <c r="G4539" t="s">
        <v>1205</v>
      </c>
      <c r="H4539" t="s">
        <v>27626</v>
      </c>
      <c r="I4539" t="s">
        <v>40</v>
      </c>
      <c r="J4539" s="2" t="s">
        <v>62</v>
      </c>
      <c r="K4539" t="s">
        <v>387</v>
      </c>
      <c r="L4539" t="s">
        <v>204</v>
      </c>
      <c r="N4539" t="s">
        <v>205</v>
      </c>
      <c r="O4539" t="s">
        <v>2867</v>
      </c>
      <c r="Q4539">
        <v>28006</v>
      </c>
      <c r="R4539" t="s">
        <v>95</v>
      </c>
      <c r="S4539" t="s">
        <v>4675</v>
      </c>
      <c r="T4539">
        <v>24.8</v>
      </c>
      <c r="W4539" t="s">
        <v>390</v>
      </c>
      <c r="X4539" t="s">
        <v>4676</v>
      </c>
      <c r="Y4539" t="s">
        <v>17412</v>
      </c>
      <c r="Z4539" s="2" t="s">
        <v>27627</v>
      </c>
      <c r="AA4539" t="s">
        <v>27491</v>
      </c>
      <c r="AB4539" t="s">
        <v>70</v>
      </c>
      <c r="AG4539" t="s">
        <v>27628</v>
      </c>
      <c r="AH4539" t="s">
        <v>4681</v>
      </c>
      <c r="AI4539" t="s">
        <v>27629</v>
      </c>
    </row>
    <row r="4540" spans="2:35" ht="409.5">
      <c r="B4540" s="1">
        <v>45412</v>
      </c>
      <c r="C4540" s="4">
        <v>45412.386805555558</v>
      </c>
      <c r="D4540" t="s">
        <v>3719</v>
      </c>
      <c r="E4540" t="s">
        <v>27630</v>
      </c>
      <c r="F4540" t="s">
        <v>148</v>
      </c>
      <c r="G4540" t="s">
        <v>310</v>
      </c>
      <c r="H4540" t="s">
        <v>39</v>
      </c>
      <c r="I4540" t="s">
        <v>40</v>
      </c>
      <c r="J4540" t="s">
        <v>109</v>
      </c>
      <c r="K4540" t="s">
        <v>42</v>
      </c>
      <c r="L4540" t="s">
        <v>1943</v>
      </c>
      <c r="N4540" t="s">
        <v>27631</v>
      </c>
      <c r="Q4540">
        <v>28005</v>
      </c>
      <c r="R4540" t="s">
        <v>119</v>
      </c>
      <c r="S4540" t="s">
        <v>3721</v>
      </c>
      <c r="T4540">
        <v>25</v>
      </c>
      <c r="W4540" t="s">
        <v>84</v>
      </c>
      <c r="X4540">
        <v>831644</v>
      </c>
      <c r="Y4540" t="s">
        <v>2099</v>
      </c>
      <c r="Z4540" t="s">
        <v>2100</v>
      </c>
      <c r="AA4540" s="2" t="s">
        <v>2101</v>
      </c>
      <c r="AB4540" t="s">
        <v>88</v>
      </c>
      <c r="AG4540" t="s">
        <v>27632</v>
      </c>
      <c r="AH4540" t="s">
        <v>27633</v>
      </c>
      <c r="AI4540" t="s">
        <v>27634</v>
      </c>
    </row>
    <row r="4541" spans="2:35" ht="240">
      <c r="B4541" s="1">
        <v>45412</v>
      </c>
      <c r="C4541" s="4">
        <v>45412.652083333334</v>
      </c>
      <c r="D4541" t="s">
        <v>27635</v>
      </c>
      <c r="E4541" t="s">
        <v>27636</v>
      </c>
      <c r="F4541" t="s">
        <v>148</v>
      </c>
      <c r="G4541" t="s">
        <v>447</v>
      </c>
      <c r="H4541" t="s">
        <v>39</v>
      </c>
      <c r="I4541" t="s">
        <v>40</v>
      </c>
      <c r="J4541" s="2" t="s">
        <v>41</v>
      </c>
      <c r="K4541" t="s">
        <v>42</v>
      </c>
      <c r="L4541" t="s">
        <v>15532</v>
      </c>
      <c r="N4541" t="s">
        <v>15533</v>
      </c>
      <c r="Q4541">
        <v>28004</v>
      </c>
      <c r="R4541" t="s">
        <v>119</v>
      </c>
      <c r="S4541" t="s">
        <v>24625</v>
      </c>
      <c r="T4541">
        <v>29</v>
      </c>
      <c r="U4541" s="2" t="s">
        <v>27637</v>
      </c>
      <c r="V4541" s="1">
        <v>45412</v>
      </c>
      <c r="W4541" t="s">
        <v>15535</v>
      </c>
      <c r="X4541">
        <v>831615</v>
      </c>
      <c r="Y4541" t="s">
        <v>570</v>
      </c>
      <c r="Z4541" s="2" t="s">
        <v>27638</v>
      </c>
      <c r="AA4541" s="2" t="s">
        <v>27639</v>
      </c>
      <c r="AB4541" s="2" t="s">
        <v>17371</v>
      </c>
      <c r="AD4541" t="s">
        <v>27640</v>
      </c>
      <c r="AE4541" t="s">
        <v>27641</v>
      </c>
      <c r="AG4541" t="s">
        <v>27642</v>
      </c>
      <c r="AH4541" t="s">
        <v>24632</v>
      </c>
      <c r="AI4541" t="s">
        <v>27643</v>
      </c>
    </row>
    <row r="4542" spans="2:35">
      <c r="B4542" s="1">
        <v>45412</v>
      </c>
      <c r="C4542" s="4">
        <v>45412.625694444447</v>
      </c>
      <c r="D4542" t="s">
        <v>27644</v>
      </c>
      <c r="E4542" t="s">
        <v>6982</v>
      </c>
      <c r="F4542">
        <v>8</v>
      </c>
      <c r="G4542" t="s">
        <v>342</v>
      </c>
      <c r="H4542" t="s">
        <v>39</v>
      </c>
      <c r="I4542" t="s">
        <v>40</v>
      </c>
      <c r="J4542" t="s">
        <v>109</v>
      </c>
      <c r="K4542" t="s">
        <v>387</v>
      </c>
      <c r="L4542" t="s">
        <v>343</v>
      </c>
      <c r="N4542" t="s">
        <v>344</v>
      </c>
      <c r="Q4542">
        <v>28003</v>
      </c>
      <c r="R4542" t="s">
        <v>95</v>
      </c>
      <c r="S4542" t="s">
        <v>6983</v>
      </c>
      <c r="T4542">
        <v>28</v>
      </c>
      <c r="W4542" t="s">
        <v>390</v>
      </c>
      <c r="X4542" t="s">
        <v>27645</v>
      </c>
      <c r="Y4542" t="s">
        <v>301</v>
      </c>
      <c r="Z4542" t="s">
        <v>301</v>
      </c>
      <c r="AA4542" t="e">
        <f ca="1">-Preventive Maintenance of Haemonetics machine
-Check CALIBRATION parameters</f>
        <v>#NAME?</v>
      </c>
      <c r="AB4542" t="s">
        <v>27646</v>
      </c>
      <c r="AG4542" t="s">
        <v>27647</v>
      </c>
      <c r="AH4542" t="s">
        <v>27648</v>
      </c>
      <c r="AI4542" t="s">
        <v>27649</v>
      </c>
    </row>
    <row r="4543" spans="2:35" ht="210">
      <c r="B4543" s="1">
        <v>45412</v>
      </c>
      <c r="C4543" s="4">
        <v>45412.630555555559</v>
      </c>
      <c r="D4543" t="s">
        <v>23726</v>
      </c>
      <c r="E4543" t="s">
        <v>27650</v>
      </c>
      <c r="F4543">
        <v>5</v>
      </c>
      <c r="G4543" t="s">
        <v>759</v>
      </c>
      <c r="H4543" t="s">
        <v>39</v>
      </c>
      <c r="I4543" t="s">
        <v>94</v>
      </c>
      <c r="J4543" s="2" t="s">
        <v>41</v>
      </c>
      <c r="K4543" t="s">
        <v>42</v>
      </c>
      <c r="L4543" t="s">
        <v>761</v>
      </c>
      <c r="N4543" t="s">
        <v>762</v>
      </c>
      <c r="Q4543">
        <v>28002</v>
      </c>
      <c r="R4543" t="s">
        <v>95</v>
      </c>
      <c r="S4543" t="s">
        <v>6291</v>
      </c>
      <c r="T4543">
        <v>25</v>
      </c>
      <c r="W4543" t="s">
        <v>817</v>
      </c>
      <c r="X4543">
        <v>110017942</v>
      </c>
      <c r="Y4543" t="s">
        <v>27651</v>
      </c>
      <c r="Z4543" s="2" t="s">
        <v>27652</v>
      </c>
      <c r="AA4543" s="2" t="s">
        <v>27653</v>
      </c>
      <c r="AB4543" t="s">
        <v>70</v>
      </c>
      <c r="AG4543" t="s">
        <v>27654</v>
      </c>
      <c r="AH4543" t="s">
        <v>9094</v>
      </c>
      <c r="AI4543" t="s">
        <v>27655</v>
      </c>
    </row>
    <row r="4544" spans="2:35" ht="270">
      <c r="B4544" s="1">
        <v>45412</v>
      </c>
      <c r="C4544" s="4">
        <v>45412.605555555558</v>
      </c>
      <c r="D4544" t="s">
        <v>24517</v>
      </c>
      <c r="E4544" t="s">
        <v>24518</v>
      </c>
      <c r="F4544">
        <v>3</v>
      </c>
      <c r="G4544" t="s">
        <v>134</v>
      </c>
      <c r="H4544" t="s">
        <v>39</v>
      </c>
      <c r="I4544" t="s">
        <v>40</v>
      </c>
      <c r="J4544" t="s">
        <v>109</v>
      </c>
      <c r="K4544" t="s">
        <v>42</v>
      </c>
      <c r="L4544" t="s">
        <v>63</v>
      </c>
      <c r="N4544" t="s">
        <v>64</v>
      </c>
      <c r="Q4544">
        <v>28001</v>
      </c>
      <c r="R4544" t="s">
        <v>322</v>
      </c>
      <c r="S4544" t="s">
        <v>27656</v>
      </c>
      <c r="T4544">
        <v>27</v>
      </c>
      <c r="U4544" s="2" t="s">
        <v>27657</v>
      </c>
      <c r="W4544" t="s">
        <v>12775</v>
      </c>
      <c r="X4544">
        <v>110013748</v>
      </c>
      <c r="Y4544" t="s">
        <v>2851</v>
      </c>
      <c r="Z4544" t="s">
        <v>10275</v>
      </c>
      <c r="AA4544" s="2" t="s">
        <v>7015</v>
      </c>
      <c r="AB4544" t="s">
        <v>70</v>
      </c>
      <c r="AG4544" t="s">
        <v>27658</v>
      </c>
      <c r="AH4544" t="s">
        <v>27659</v>
      </c>
      <c r="AI4544" t="s">
        <v>27660</v>
      </c>
    </row>
    <row r="4545" spans="2:35" ht="105">
      <c r="B4545" s="1">
        <v>45412</v>
      </c>
      <c r="C4545" s="4">
        <v>45412.59375</v>
      </c>
      <c r="D4545" t="s">
        <v>7465</v>
      </c>
      <c r="E4545" t="s">
        <v>7466</v>
      </c>
      <c r="F4545">
        <v>8</v>
      </c>
      <c r="G4545" t="s">
        <v>342</v>
      </c>
      <c r="H4545" t="s">
        <v>202</v>
      </c>
      <c r="I4545" t="s">
        <v>40</v>
      </c>
      <c r="J4545" t="s">
        <v>109</v>
      </c>
      <c r="K4545" t="s">
        <v>42</v>
      </c>
      <c r="L4545" t="s">
        <v>259</v>
      </c>
      <c r="N4545" t="s">
        <v>260</v>
      </c>
      <c r="O4545" t="s">
        <v>260</v>
      </c>
      <c r="Q4545">
        <v>28000</v>
      </c>
      <c r="R4545" t="s">
        <v>119</v>
      </c>
      <c r="S4545" t="s">
        <v>16053</v>
      </c>
      <c r="T4545">
        <v>27</v>
      </c>
      <c r="U4545" s="2" t="s">
        <v>8634</v>
      </c>
      <c r="V4545" s="1">
        <v>45412</v>
      </c>
      <c r="W4545" t="s">
        <v>84</v>
      </c>
      <c r="X4545">
        <v>838551</v>
      </c>
      <c r="Y4545" t="s">
        <v>263</v>
      </c>
      <c r="Z4545" t="s">
        <v>263</v>
      </c>
      <c r="AA4545" t="e">
        <f ca="1">- Preventive Maintenance (Cleaning cartridge bay, icore, plunger rod, FAN _xludf.filter)
- Generate reports</f>
        <v>#NAME?</v>
      </c>
      <c r="AB4545" t="s">
        <v>181</v>
      </c>
      <c r="AG4545" t="s">
        <v>27661</v>
      </c>
      <c r="AH4545" t="s">
        <v>27662</v>
      </c>
      <c r="AI4545" t="s">
        <v>27663</v>
      </c>
    </row>
    <row r="4546" spans="2:35" ht="285">
      <c r="B4546" s="1">
        <v>45412</v>
      </c>
      <c r="C4546" s="4">
        <v>45412.455555555556</v>
      </c>
      <c r="D4546" t="s">
        <v>919</v>
      </c>
      <c r="E4546" t="s">
        <v>1976</v>
      </c>
      <c r="F4546" t="s">
        <v>148</v>
      </c>
      <c r="G4546" t="s">
        <v>310</v>
      </c>
      <c r="H4546" t="s">
        <v>513</v>
      </c>
      <c r="I4546" t="s">
        <v>40</v>
      </c>
      <c r="J4546" t="s">
        <v>109</v>
      </c>
      <c r="K4546" t="s">
        <v>387</v>
      </c>
      <c r="L4546" t="s">
        <v>1028</v>
      </c>
      <c r="N4546" t="s">
        <v>1029</v>
      </c>
      <c r="Q4546">
        <v>27998</v>
      </c>
      <c r="R4546" t="s">
        <v>322</v>
      </c>
      <c r="S4546" t="s">
        <v>16290</v>
      </c>
      <c r="T4546">
        <v>24</v>
      </c>
      <c r="W4546" t="s">
        <v>390</v>
      </c>
      <c r="X4546" t="s">
        <v>922</v>
      </c>
      <c r="Y4546" t="s">
        <v>3127</v>
      </c>
      <c r="Z4546" t="s">
        <v>3128</v>
      </c>
      <c r="AA4546" s="2" t="s">
        <v>27664</v>
      </c>
      <c r="AB4546" t="s">
        <v>27665</v>
      </c>
      <c r="AG4546" t="s">
        <v>27666</v>
      </c>
      <c r="AH4546" t="s">
        <v>27667</v>
      </c>
      <c r="AI4546" t="s">
        <v>27668</v>
      </c>
    </row>
    <row r="4547" spans="2:35" ht="240">
      <c r="B4547" s="1">
        <v>45412</v>
      </c>
      <c r="C4547" s="4">
        <v>45412.590277777781</v>
      </c>
      <c r="D4547" t="s">
        <v>27669</v>
      </c>
      <c r="E4547" t="s">
        <v>27670</v>
      </c>
      <c r="F4547" t="s">
        <v>37</v>
      </c>
      <c r="G4547" t="s">
        <v>748</v>
      </c>
      <c r="H4547" t="s">
        <v>39</v>
      </c>
      <c r="I4547" t="s">
        <v>40</v>
      </c>
      <c r="J4547" t="s">
        <v>109</v>
      </c>
      <c r="K4547" t="s">
        <v>42</v>
      </c>
      <c r="L4547" t="s">
        <v>1028</v>
      </c>
      <c r="N4547" t="s">
        <v>1029</v>
      </c>
      <c r="Q4547">
        <v>27999</v>
      </c>
      <c r="R4547" t="s">
        <v>119</v>
      </c>
      <c r="S4547" t="s">
        <v>27671</v>
      </c>
      <c r="T4547">
        <v>28</v>
      </c>
      <c r="U4547" s="2" t="s">
        <v>27672</v>
      </c>
      <c r="W4547" t="s">
        <v>1967</v>
      </c>
      <c r="X4547">
        <v>821216</v>
      </c>
      <c r="Y4547" s="2" t="s">
        <v>27673</v>
      </c>
      <c r="Z4547" t="s">
        <v>1548</v>
      </c>
      <c r="AA4547" s="2" t="s">
        <v>1979</v>
      </c>
      <c r="AB4547" t="s">
        <v>27674</v>
      </c>
      <c r="AC4547" t="s">
        <v>27675</v>
      </c>
      <c r="AG4547" t="s">
        <v>27676</v>
      </c>
      <c r="AH4547" t="s">
        <v>27677</v>
      </c>
      <c r="AI4547" t="s">
        <v>27678</v>
      </c>
    </row>
    <row r="4548" spans="2:35" ht="105">
      <c r="B4548" s="1">
        <v>45412</v>
      </c>
      <c r="C4548" s="4">
        <v>45412.55972222222</v>
      </c>
      <c r="D4548" t="s">
        <v>27679</v>
      </c>
      <c r="E4548" t="s">
        <v>27680</v>
      </c>
      <c r="F4548">
        <v>3</v>
      </c>
      <c r="G4548" t="s">
        <v>134</v>
      </c>
      <c r="H4548" t="s">
        <v>39</v>
      </c>
      <c r="I4548" t="s">
        <v>40</v>
      </c>
      <c r="J4548" t="s">
        <v>109</v>
      </c>
      <c r="K4548" t="s">
        <v>42</v>
      </c>
      <c r="L4548" t="s">
        <v>63</v>
      </c>
      <c r="N4548" t="s">
        <v>64</v>
      </c>
      <c r="Q4548">
        <v>27997</v>
      </c>
      <c r="R4548" t="s">
        <v>322</v>
      </c>
      <c r="S4548" t="s">
        <v>27681</v>
      </c>
      <c r="T4548">
        <v>25</v>
      </c>
      <c r="U4548" s="2" t="s">
        <v>14696</v>
      </c>
      <c r="W4548" t="s">
        <v>12775</v>
      </c>
      <c r="X4548">
        <v>110018556</v>
      </c>
      <c r="Y4548" t="s">
        <v>2851</v>
      </c>
      <c r="Z4548" t="s">
        <v>10275</v>
      </c>
      <c r="AA4548" s="2" t="s">
        <v>7015</v>
      </c>
      <c r="AB4548" t="s">
        <v>70</v>
      </c>
      <c r="AG4548" t="s">
        <v>27682</v>
      </c>
      <c r="AH4548" t="s">
        <v>21033</v>
      </c>
      <c r="AI4548" t="s">
        <v>27683</v>
      </c>
    </row>
    <row r="4549" spans="2:35" ht="45">
      <c r="B4549" s="1">
        <v>45412</v>
      </c>
      <c r="C4549" s="4">
        <v>45412.539583333331</v>
      </c>
      <c r="D4549" t="s">
        <v>12016</v>
      </c>
      <c r="E4549" t="s">
        <v>12017</v>
      </c>
      <c r="F4549">
        <v>7</v>
      </c>
      <c r="G4549" t="s">
        <v>432</v>
      </c>
      <c r="H4549" t="s">
        <v>12018</v>
      </c>
      <c r="I4549" t="s">
        <v>40</v>
      </c>
      <c r="J4549" s="2" t="s">
        <v>41</v>
      </c>
      <c r="K4549" t="s">
        <v>387</v>
      </c>
      <c r="L4549" t="s">
        <v>1288</v>
      </c>
      <c r="N4549" t="s">
        <v>1289</v>
      </c>
      <c r="Q4549">
        <v>27996</v>
      </c>
      <c r="R4549" t="s">
        <v>95</v>
      </c>
      <c r="S4549" t="s">
        <v>1556</v>
      </c>
      <c r="T4549">
        <v>23</v>
      </c>
      <c r="W4549" t="s">
        <v>390</v>
      </c>
      <c r="X4549" t="s">
        <v>2402</v>
      </c>
      <c r="Y4549" t="e">
        <f ca="1">-centrifuge WINDOW noise during operation</f>
        <v>#NAME?</v>
      </c>
      <c r="Z4549" t="e">
        <f ca="1">-PERFORM functionality test, passed</f>
        <v>#NAME?</v>
      </c>
      <c r="AA4549" t="e">
        <f ca="1">-PERFORM centrifuge cover adjustment
-PERFORM centrifuge Cleaning</f>
        <v>#NAME?</v>
      </c>
      <c r="AB4549" t="s">
        <v>1293</v>
      </c>
      <c r="AG4549" t="s">
        <v>27684</v>
      </c>
      <c r="AH4549" t="s">
        <v>27685</v>
      </c>
      <c r="AI4549" t="s">
        <v>27686</v>
      </c>
    </row>
    <row r="4550" spans="2:35" ht="180">
      <c r="B4550" s="1">
        <v>45412</v>
      </c>
      <c r="C4550" s="4">
        <v>45412.52847222222</v>
      </c>
      <c r="D4550" t="s">
        <v>1203</v>
      </c>
      <c r="E4550" t="s">
        <v>27687</v>
      </c>
      <c r="F4550">
        <v>11</v>
      </c>
      <c r="G4550" t="s">
        <v>1205</v>
      </c>
      <c r="H4550" t="s">
        <v>19174</v>
      </c>
      <c r="I4550" t="s">
        <v>40</v>
      </c>
      <c r="J4550" s="2" t="s">
        <v>1157</v>
      </c>
      <c r="K4550" t="s">
        <v>387</v>
      </c>
      <c r="L4550" t="s">
        <v>204</v>
      </c>
      <c r="N4550" t="s">
        <v>205</v>
      </c>
      <c r="O4550" t="s">
        <v>2867</v>
      </c>
      <c r="Q4550">
        <v>27995</v>
      </c>
      <c r="R4550" t="s">
        <v>95</v>
      </c>
      <c r="S4550" t="s">
        <v>6315</v>
      </c>
      <c r="T4550">
        <v>25.6</v>
      </c>
      <c r="W4550" t="s">
        <v>390</v>
      </c>
      <c r="X4550" t="s">
        <v>6867</v>
      </c>
      <c r="Y4550" t="s">
        <v>17412</v>
      </c>
      <c r="Z4550" s="2" t="s">
        <v>27688</v>
      </c>
      <c r="AA4550" t="s">
        <v>27491</v>
      </c>
      <c r="AB4550" t="s">
        <v>27689</v>
      </c>
      <c r="AC4550" t="s">
        <v>27690</v>
      </c>
      <c r="AG4550" t="s">
        <v>27691</v>
      </c>
      <c r="AH4550" t="s">
        <v>27692</v>
      </c>
      <c r="AI4550" t="s">
        <v>27693</v>
      </c>
    </row>
    <row r="4551" spans="2:35" ht="105">
      <c r="B4551" s="1">
        <v>45412</v>
      </c>
      <c r="C4551" s="4">
        <v>45412.484027777777</v>
      </c>
      <c r="D4551" t="s">
        <v>1825</v>
      </c>
      <c r="E4551" t="s">
        <v>1555</v>
      </c>
      <c r="F4551">
        <v>7</v>
      </c>
      <c r="G4551" t="s">
        <v>432</v>
      </c>
      <c r="H4551" t="s">
        <v>39</v>
      </c>
      <c r="I4551" t="s">
        <v>40</v>
      </c>
      <c r="J4551" t="s">
        <v>109</v>
      </c>
      <c r="K4551" t="s">
        <v>42</v>
      </c>
      <c r="L4551" t="s">
        <v>433</v>
      </c>
      <c r="N4551" t="s">
        <v>434</v>
      </c>
      <c r="Q4551">
        <v>27994</v>
      </c>
      <c r="R4551" t="s">
        <v>119</v>
      </c>
      <c r="S4551" t="s">
        <v>1818</v>
      </c>
      <c r="T4551">
        <v>28</v>
      </c>
      <c r="W4551" t="s">
        <v>1008</v>
      </c>
      <c r="X4551">
        <v>838263</v>
      </c>
      <c r="Y4551" t="s">
        <v>27694</v>
      </c>
      <c r="Z4551" s="2" t="s">
        <v>27695</v>
      </c>
      <c r="AA4551" s="2" t="s">
        <v>27695</v>
      </c>
      <c r="AB4551" t="s">
        <v>1011</v>
      </c>
      <c r="AG4551" t="s">
        <v>27696</v>
      </c>
      <c r="AH4551" t="s">
        <v>27697</v>
      </c>
      <c r="AI4551" t="s">
        <v>27698</v>
      </c>
    </row>
    <row r="4552" spans="2:35" ht="120">
      <c r="B4552" s="1">
        <v>45412</v>
      </c>
      <c r="C4552" s="4">
        <v>45412.460416666669</v>
      </c>
      <c r="D4552" t="s">
        <v>3970</v>
      </c>
      <c r="E4552" t="s">
        <v>3971</v>
      </c>
      <c r="F4552">
        <v>9</v>
      </c>
      <c r="G4552" t="s">
        <v>2197</v>
      </c>
      <c r="H4552" t="s">
        <v>39</v>
      </c>
      <c r="I4552" t="s">
        <v>94</v>
      </c>
      <c r="J4552" s="2" t="s">
        <v>27699</v>
      </c>
      <c r="K4552" t="s">
        <v>42</v>
      </c>
      <c r="L4552" t="s">
        <v>1257</v>
      </c>
      <c r="N4552" t="s">
        <v>2199</v>
      </c>
      <c r="O4552" t="s">
        <v>1258</v>
      </c>
      <c r="Q4552">
        <v>27993</v>
      </c>
      <c r="R4552" t="s">
        <v>119</v>
      </c>
      <c r="S4552" t="s">
        <v>3972</v>
      </c>
      <c r="T4552">
        <v>25</v>
      </c>
      <c r="U4552" s="2" t="s">
        <v>27700</v>
      </c>
      <c r="V4552" s="1">
        <v>45412</v>
      </c>
      <c r="W4552" t="s">
        <v>27701</v>
      </c>
      <c r="X4552">
        <v>838233</v>
      </c>
      <c r="Y4552" t="s">
        <v>301</v>
      </c>
      <c r="Z4552" t="s">
        <v>27702</v>
      </c>
      <c r="AA4552" t="s">
        <v>27702</v>
      </c>
      <c r="AB4552" t="s">
        <v>27703</v>
      </c>
      <c r="AC4552" t="s">
        <v>301</v>
      </c>
      <c r="AD4552" t="s">
        <v>54</v>
      </c>
      <c r="AE4552" t="s">
        <v>54</v>
      </c>
      <c r="AG4552" t="s">
        <v>27704</v>
      </c>
      <c r="AH4552" t="s">
        <v>27705</v>
      </c>
      <c r="AI4552" t="s">
        <v>27706</v>
      </c>
    </row>
    <row r="4553" spans="2:35" ht="409.5">
      <c r="B4553" s="1">
        <v>45412</v>
      </c>
      <c r="C4553" s="4">
        <v>45412.463194444441</v>
      </c>
      <c r="D4553" t="s">
        <v>24517</v>
      </c>
      <c r="E4553" t="s">
        <v>24518</v>
      </c>
      <c r="F4553">
        <v>3</v>
      </c>
      <c r="G4553" t="s">
        <v>134</v>
      </c>
      <c r="H4553" t="s">
        <v>61</v>
      </c>
      <c r="I4553" t="s">
        <v>40</v>
      </c>
      <c r="J4553" t="s">
        <v>109</v>
      </c>
      <c r="K4553" t="s">
        <v>42</v>
      </c>
      <c r="L4553" t="s">
        <v>63</v>
      </c>
      <c r="N4553" t="s">
        <v>64</v>
      </c>
      <c r="Q4553">
        <v>27992</v>
      </c>
      <c r="R4553" t="s">
        <v>322</v>
      </c>
      <c r="S4553" t="s">
        <v>24525</v>
      </c>
      <c r="T4553">
        <v>28</v>
      </c>
      <c r="U4553" s="2" t="s">
        <v>27707</v>
      </c>
      <c r="W4553" t="s">
        <v>84</v>
      </c>
      <c r="X4553">
        <v>812571</v>
      </c>
      <c r="Y4553" t="s">
        <v>2851</v>
      </c>
      <c r="Z4553" t="s">
        <v>10275</v>
      </c>
      <c r="AA4553" s="2" t="s">
        <v>7015</v>
      </c>
      <c r="AB4553" t="s">
        <v>70</v>
      </c>
      <c r="AG4553" t="s">
        <v>27708</v>
      </c>
      <c r="AH4553" t="s">
        <v>11502</v>
      </c>
      <c r="AI4553" t="s">
        <v>27709</v>
      </c>
    </row>
    <row r="4554" spans="2:35" ht="180">
      <c r="B4554" s="1">
        <v>45412</v>
      </c>
      <c r="C4554" s="4">
        <v>45412.460416666669</v>
      </c>
      <c r="D4554" t="s">
        <v>24517</v>
      </c>
      <c r="E4554" t="s">
        <v>24518</v>
      </c>
      <c r="F4554">
        <v>3</v>
      </c>
      <c r="G4554" t="s">
        <v>134</v>
      </c>
      <c r="H4554" t="s">
        <v>61</v>
      </c>
      <c r="I4554" t="s">
        <v>40</v>
      </c>
      <c r="J4554" t="s">
        <v>109</v>
      </c>
      <c r="K4554" t="s">
        <v>42</v>
      </c>
      <c r="L4554" t="s">
        <v>63</v>
      </c>
      <c r="N4554" t="s">
        <v>64</v>
      </c>
      <c r="Q4554">
        <v>27991</v>
      </c>
      <c r="R4554" t="s">
        <v>322</v>
      </c>
      <c r="S4554" t="s">
        <v>24525</v>
      </c>
      <c r="T4554">
        <v>28</v>
      </c>
      <c r="U4554" s="2" t="s">
        <v>27710</v>
      </c>
      <c r="W4554" t="s">
        <v>373</v>
      </c>
      <c r="X4554">
        <v>110012825</v>
      </c>
      <c r="Y4554" t="s">
        <v>2851</v>
      </c>
      <c r="Z4554" t="s">
        <v>10275</v>
      </c>
      <c r="AA4554" s="2" t="s">
        <v>7015</v>
      </c>
      <c r="AB4554" t="s">
        <v>70</v>
      </c>
      <c r="AG4554" t="s">
        <v>27711</v>
      </c>
      <c r="AH4554" t="s">
        <v>11502</v>
      </c>
      <c r="AI4554" t="s">
        <v>27712</v>
      </c>
    </row>
    <row r="4555" spans="2:35" ht="409.5">
      <c r="B4555" s="1">
        <v>45412</v>
      </c>
      <c r="C4555" s="4">
        <v>45408.347222222219</v>
      </c>
      <c r="D4555" t="s">
        <v>23134</v>
      </c>
      <c r="E4555" t="s">
        <v>26493</v>
      </c>
      <c r="F4555" t="s">
        <v>148</v>
      </c>
      <c r="G4555" t="s">
        <v>310</v>
      </c>
      <c r="H4555" t="s">
        <v>295</v>
      </c>
      <c r="I4555" t="s">
        <v>40</v>
      </c>
      <c r="J4555" s="2" t="s">
        <v>190</v>
      </c>
      <c r="K4555" t="s">
        <v>42</v>
      </c>
      <c r="L4555" t="s">
        <v>1943</v>
      </c>
      <c r="N4555" t="s">
        <v>1944</v>
      </c>
      <c r="Q4555">
        <v>27990</v>
      </c>
      <c r="R4555" t="s">
        <v>45</v>
      </c>
      <c r="S4555" t="s">
        <v>23136</v>
      </c>
      <c r="T4555">
        <v>25</v>
      </c>
      <c r="W4555" t="s">
        <v>895</v>
      </c>
      <c r="X4555">
        <v>844121</v>
      </c>
      <c r="Y4555" t="s">
        <v>2099</v>
      </c>
      <c r="Z4555" t="s">
        <v>2100</v>
      </c>
      <c r="AA4555" s="2" t="s">
        <v>2101</v>
      </c>
      <c r="AB4555" t="s">
        <v>27713</v>
      </c>
      <c r="AG4555" t="s">
        <v>27714</v>
      </c>
      <c r="AH4555" t="s">
        <v>23141</v>
      </c>
      <c r="AI4555" t="s">
        <v>27715</v>
      </c>
    </row>
    <row r="4556" spans="2:35" ht="409.5">
      <c r="B4556" s="1">
        <v>45412</v>
      </c>
      <c r="C4556" s="4">
        <v>45412.375</v>
      </c>
      <c r="D4556" t="s">
        <v>23635</v>
      </c>
      <c r="E4556" t="s">
        <v>27716</v>
      </c>
      <c r="F4556" t="s">
        <v>148</v>
      </c>
      <c r="G4556" t="s">
        <v>310</v>
      </c>
      <c r="H4556" t="s">
        <v>39</v>
      </c>
      <c r="I4556" t="s">
        <v>40</v>
      </c>
      <c r="J4556" s="2" t="s">
        <v>41</v>
      </c>
      <c r="K4556" t="s">
        <v>42</v>
      </c>
      <c r="L4556" t="s">
        <v>1943</v>
      </c>
      <c r="N4556" t="s">
        <v>1944</v>
      </c>
      <c r="Q4556">
        <v>27989</v>
      </c>
      <c r="R4556" t="s">
        <v>119</v>
      </c>
      <c r="S4556" t="s">
        <v>27717</v>
      </c>
      <c r="T4556">
        <v>25</v>
      </c>
      <c r="V4556" s="1">
        <v>45411</v>
      </c>
      <c r="W4556" t="s">
        <v>84</v>
      </c>
      <c r="X4556">
        <v>831620</v>
      </c>
      <c r="Y4556" s="2" t="s">
        <v>26111</v>
      </c>
      <c r="Z4556" t="s">
        <v>1947</v>
      </c>
      <c r="AA4556" s="2" t="s">
        <v>1948</v>
      </c>
      <c r="AB4556" t="s">
        <v>88</v>
      </c>
      <c r="AD4556" t="s">
        <v>27718</v>
      </c>
      <c r="AE4556" t="s">
        <v>27719</v>
      </c>
      <c r="AG4556" t="s">
        <v>27720</v>
      </c>
      <c r="AH4556" t="s">
        <v>27721</v>
      </c>
      <c r="AI4556" t="s">
        <v>27722</v>
      </c>
    </row>
    <row r="4557" spans="2:35" ht="409.5">
      <c r="B4557" s="1">
        <v>45412</v>
      </c>
      <c r="C4557" s="4">
        <v>45408.345833333333</v>
      </c>
      <c r="D4557" t="s">
        <v>23134</v>
      </c>
      <c r="E4557" t="s">
        <v>26493</v>
      </c>
      <c r="F4557" t="s">
        <v>148</v>
      </c>
      <c r="G4557" t="s">
        <v>310</v>
      </c>
      <c r="H4557" t="s">
        <v>295</v>
      </c>
      <c r="I4557" t="s">
        <v>40</v>
      </c>
      <c r="J4557" t="s">
        <v>109</v>
      </c>
      <c r="K4557" t="s">
        <v>42</v>
      </c>
      <c r="L4557" t="s">
        <v>1943</v>
      </c>
      <c r="N4557" t="s">
        <v>1944</v>
      </c>
      <c r="Q4557">
        <v>27986</v>
      </c>
      <c r="R4557" t="s">
        <v>45</v>
      </c>
      <c r="S4557" t="s">
        <v>23136</v>
      </c>
      <c r="T4557">
        <v>25</v>
      </c>
      <c r="W4557" t="s">
        <v>84</v>
      </c>
      <c r="X4557">
        <v>834430</v>
      </c>
      <c r="Y4557" t="s">
        <v>2099</v>
      </c>
      <c r="Z4557" t="s">
        <v>2100</v>
      </c>
      <c r="AA4557" s="2" t="s">
        <v>2101</v>
      </c>
      <c r="AB4557" t="s">
        <v>88</v>
      </c>
      <c r="AG4557" t="s">
        <v>27723</v>
      </c>
      <c r="AH4557" t="s">
        <v>23141</v>
      </c>
      <c r="AI4557" t="s">
        <v>27724</v>
      </c>
    </row>
    <row r="4558" spans="2:35" ht="409.5">
      <c r="B4558" s="1">
        <v>45412</v>
      </c>
      <c r="C4558" s="4">
        <v>45408.347222222219</v>
      </c>
      <c r="D4558" t="s">
        <v>23134</v>
      </c>
      <c r="E4558" t="s">
        <v>26493</v>
      </c>
      <c r="F4558" t="s">
        <v>148</v>
      </c>
      <c r="G4558" t="s">
        <v>310</v>
      </c>
      <c r="H4558" t="s">
        <v>295</v>
      </c>
      <c r="I4558" t="s">
        <v>40</v>
      </c>
      <c r="J4558" s="2" t="s">
        <v>190</v>
      </c>
      <c r="K4558" t="s">
        <v>42</v>
      </c>
      <c r="L4558" t="s">
        <v>1943</v>
      </c>
      <c r="N4558" t="s">
        <v>1944</v>
      </c>
      <c r="Q4558">
        <v>27987</v>
      </c>
      <c r="R4558" t="s">
        <v>45</v>
      </c>
      <c r="S4558" t="s">
        <v>23136</v>
      </c>
      <c r="T4558">
        <v>25</v>
      </c>
      <c r="W4558" t="s">
        <v>895</v>
      </c>
      <c r="X4558">
        <v>844121</v>
      </c>
      <c r="Y4558" t="s">
        <v>2099</v>
      </c>
      <c r="Z4558" t="s">
        <v>2100</v>
      </c>
      <c r="AA4558" s="2" t="s">
        <v>2101</v>
      </c>
      <c r="AB4558" t="s">
        <v>27713</v>
      </c>
      <c r="AG4558" t="s">
        <v>27725</v>
      </c>
      <c r="AH4558" t="s">
        <v>23141</v>
      </c>
      <c r="AI4558" t="s">
        <v>27726</v>
      </c>
    </row>
    <row r="4559" spans="2:35" ht="409.5">
      <c r="B4559" s="1">
        <v>45412</v>
      </c>
      <c r="C4559" s="4">
        <v>45408.344444444447</v>
      </c>
      <c r="D4559" t="s">
        <v>23134</v>
      </c>
      <c r="E4559" t="s">
        <v>26493</v>
      </c>
      <c r="F4559" t="s">
        <v>148</v>
      </c>
      <c r="G4559" t="s">
        <v>310</v>
      </c>
      <c r="H4559" t="s">
        <v>295</v>
      </c>
      <c r="I4559" t="s">
        <v>40</v>
      </c>
      <c r="J4559" s="2" t="s">
        <v>190</v>
      </c>
      <c r="K4559" t="s">
        <v>42</v>
      </c>
      <c r="L4559" t="s">
        <v>1943</v>
      </c>
      <c r="N4559" t="s">
        <v>1944</v>
      </c>
      <c r="Q4559">
        <v>27988</v>
      </c>
      <c r="R4559" t="s">
        <v>119</v>
      </c>
      <c r="S4559" t="s">
        <v>23136</v>
      </c>
      <c r="T4559">
        <v>25</v>
      </c>
      <c r="W4559" t="s">
        <v>84</v>
      </c>
      <c r="X4559">
        <v>831872</v>
      </c>
      <c r="Y4559" t="s">
        <v>2099</v>
      </c>
      <c r="Z4559" t="s">
        <v>2100</v>
      </c>
      <c r="AA4559" s="2" t="s">
        <v>2101</v>
      </c>
      <c r="AB4559" t="s">
        <v>27727</v>
      </c>
      <c r="AG4559" t="s">
        <v>27728</v>
      </c>
      <c r="AH4559" t="s">
        <v>23141</v>
      </c>
      <c r="AI4559" t="s">
        <v>27729</v>
      </c>
    </row>
    <row r="4560" spans="2:35" ht="315">
      <c r="B4560" s="1">
        <v>45411</v>
      </c>
      <c r="C4560" s="4">
        <v>45398.458333333336</v>
      </c>
      <c r="D4560" t="s">
        <v>1222</v>
      </c>
      <c r="E4560" t="s">
        <v>27730</v>
      </c>
      <c r="F4560" t="s">
        <v>37</v>
      </c>
      <c r="G4560" t="s">
        <v>38</v>
      </c>
      <c r="H4560" t="s">
        <v>39</v>
      </c>
      <c r="I4560" t="s">
        <v>40</v>
      </c>
      <c r="J4560" t="s">
        <v>109</v>
      </c>
      <c r="K4560" t="s">
        <v>42</v>
      </c>
      <c r="L4560" t="s">
        <v>43</v>
      </c>
      <c r="N4560" t="s">
        <v>44</v>
      </c>
      <c r="Q4560">
        <v>27985</v>
      </c>
      <c r="R4560" t="s">
        <v>119</v>
      </c>
      <c r="S4560" t="s">
        <v>27731</v>
      </c>
      <c r="T4560">
        <v>25</v>
      </c>
      <c r="U4560" s="2" t="s">
        <v>27732</v>
      </c>
      <c r="W4560" t="s">
        <v>48</v>
      </c>
      <c r="X4560">
        <v>821213</v>
      </c>
      <c r="Y4560" t="s">
        <v>121</v>
      </c>
      <c r="Z4560" t="s">
        <v>27733</v>
      </c>
      <c r="AA4560" s="2" t="s">
        <v>27734</v>
      </c>
      <c r="AB4560" t="s">
        <v>88</v>
      </c>
      <c r="AG4560" t="s">
        <v>27735</v>
      </c>
      <c r="AH4560" t="s">
        <v>27736</v>
      </c>
      <c r="AI4560" t="s">
        <v>27737</v>
      </c>
    </row>
    <row r="4561" spans="2:35" ht="345">
      <c r="B4561" s="1">
        <v>45411</v>
      </c>
      <c r="C4561" s="4">
        <v>45400.617361111108</v>
      </c>
      <c r="D4561" t="s">
        <v>25324</v>
      </c>
      <c r="E4561" t="s">
        <v>27738</v>
      </c>
      <c r="F4561" t="s">
        <v>37</v>
      </c>
      <c r="G4561" t="s">
        <v>78</v>
      </c>
      <c r="H4561" t="s">
        <v>39</v>
      </c>
      <c r="I4561" t="s">
        <v>40</v>
      </c>
      <c r="J4561" s="2" t="s">
        <v>190</v>
      </c>
      <c r="K4561" t="s">
        <v>42</v>
      </c>
      <c r="L4561" t="s">
        <v>43</v>
      </c>
      <c r="N4561" t="s">
        <v>44</v>
      </c>
      <c r="Q4561">
        <v>27984</v>
      </c>
      <c r="R4561" t="s">
        <v>119</v>
      </c>
      <c r="S4561" t="s">
        <v>27739</v>
      </c>
      <c r="T4561">
        <v>20</v>
      </c>
      <c r="U4561" s="2" t="s">
        <v>15682</v>
      </c>
      <c r="W4561" t="s">
        <v>48</v>
      </c>
      <c r="X4561">
        <v>821292</v>
      </c>
      <c r="Y4561" t="s">
        <v>121</v>
      </c>
      <c r="Z4561" t="s">
        <v>122</v>
      </c>
      <c r="AA4561" s="2" t="s">
        <v>27740</v>
      </c>
      <c r="AB4561" t="s">
        <v>88</v>
      </c>
      <c r="AG4561" t="s">
        <v>27741</v>
      </c>
      <c r="AH4561" t="s">
        <v>27742</v>
      </c>
      <c r="AI4561" t="s">
        <v>27743</v>
      </c>
    </row>
    <row r="4562" spans="2:35" ht="315">
      <c r="B4562" s="1">
        <v>45411</v>
      </c>
      <c r="C4562" s="4">
        <v>45401.489583333336</v>
      </c>
      <c r="D4562" t="s">
        <v>6595</v>
      </c>
      <c r="E4562" t="s">
        <v>16330</v>
      </c>
      <c r="F4562" t="s">
        <v>148</v>
      </c>
      <c r="G4562" t="s">
        <v>38</v>
      </c>
      <c r="H4562" t="s">
        <v>39</v>
      </c>
      <c r="I4562" t="s">
        <v>40</v>
      </c>
      <c r="J4562" t="s">
        <v>109</v>
      </c>
      <c r="K4562" t="s">
        <v>42</v>
      </c>
      <c r="L4562" t="s">
        <v>43</v>
      </c>
      <c r="N4562" t="s">
        <v>44</v>
      </c>
      <c r="Q4562">
        <v>27983</v>
      </c>
      <c r="R4562" t="s">
        <v>322</v>
      </c>
      <c r="S4562" t="s">
        <v>786</v>
      </c>
      <c r="T4562">
        <v>19</v>
      </c>
      <c r="U4562" s="2" t="s">
        <v>27744</v>
      </c>
      <c r="W4562" t="s">
        <v>11663</v>
      </c>
      <c r="X4562">
        <v>821648</v>
      </c>
      <c r="Y4562" t="s">
        <v>121</v>
      </c>
      <c r="Z4562" t="s">
        <v>122</v>
      </c>
      <c r="AA4562" s="2" t="s">
        <v>27734</v>
      </c>
      <c r="AB4562" t="s">
        <v>27745</v>
      </c>
      <c r="AG4562" t="s">
        <v>27746</v>
      </c>
      <c r="AH4562" t="s">
        <v>810</v>
      </c>
      <c r="AI4562" t="s">
        <v>27747</v>
      </c>
    </row>
    <row r="4563" spans="2:35" ht="315">
      <c r="B4563" s="1">
        <v>45411</v>
      </c>
      <c r="C4563" s="4">
        <v>45401.577777777777</v>
      </c>
      <c r="D4563" t="s">
        <v>4757</v>
      </c>
      <c r="E4563" t="s">
        <v>27342</v>
      </c>
      <c r="F4563" t="s">
        <v>148</v>
      </c>
      <c r="G4563" t="s">
        <v>785</v>
      </c>
      <c r="H4563" t="s">
        <v>39</v>
      </c>
      <c r="I4563" t="s">
        <v>40</v>
      </c>
      <c r="J4563" t="s">
        <v>109</v>
      </c>
      <c r="K4563" t="s">
        <v>42</v>
      </c>
      <c r="L4563" t="s">
        <v>43</v>
      </c>
      <c r="N4563" t="s">
        <v>44</v>
      </c>
      <c r="Q4563">
        <v>27982</v>
      </c>
      <c r="R4563" t="s">
        <v>119</v>
      </c>
      <c r="S4563" t="s">
        <v>4759</v>
      </c>
      <c r="T4563">
        <v>25</v>
      </c>
      <c r="U4563" s="2" t="s">
        <v>27748</v>
      </c>
      <c r="W4563" t="s">
        <v>48</v>
      </c>
      <c r="X4563">
        <v>831905</v>
      </c>
      <c r="Y4563" t="s">
        <v>121</v>
      </c>
      <c r="Z4563" t="s">
        <v>122</v>
      </c>
      <c r="AA4563" s="2" t="s">
        <v>27734</v>
      </c>
      <c r="AB4563" t="s">
        <v>27749</v>
      </c>
      <c r="AG4563" t="s">
        <v>27750</v>
      </c>
      <c r="AH4563" t="s">
        <v>27751</v>
      </c>
      <c r="AI4563" t="s">
        <v>27752</v>
      </c>
    </row>
    <row r="4564" spans="2:35" ht="315">
      <c r="B4564" s="1">
        <v>45411</v>
      </c>
      <c r="C4564" s="4">
        <v>45398.563888888886</v>
      </c>
      <c r="D4564" t="s">
        <v>2148</v>
      </c>
      <c r="E4564" t="s">
        <v>27753</v>
      </c>
      <c r="F4564" t="s">
        <v>37</v>
      </c>
      <c r="G4564" t="s">
        <v>38</v>
      </c>
      <c r="H4564" t="s">
        <v>39</v>
      </c>
      <c r="I4564" t="s">
        <v>40</v>
      </c>
      <c r="J4564" t="s">
        <v>109</v>
      </c>
      <c r="K4564" t="s">
        <v>42</v>
      </c>
      <c r="L4564" t="s">
        <v>43</v>
      </c>
      <c r="N4564" t="s">
        <v>44</v>
      </c>
      <c r="Q4564">
        <v>27981</v>
      </c>
      <c r="R4564" t="s">
        <v>119</v>
      </c>
      <c r="S4564" t="s">
        <v>27754</v>
      </c>
      <c r="T4564">
        <v>25</v>
      </c>
      <c r="U4564" s="2" t="s">
        <v>27755</v>
      </c>
      <c r="W4564" t="s">
        <v>48</v>
      </c>
      <c r="X4564">
        <v>820710</v>
      </c>
      <c r="Y4564" t="s">
        <v>121</v>
      </c>
      <c r="Z4564" t="s">
        <v>27733</v>
      </c>
      <c r="AA4564" s="2" t="s">
        <v>27734</v>
      </c>
      <c r="AB4564" t="s">
        <v>88</v>
      </c>
      <c r="AG4564" t="s">
        <v>27756</v>
      </c>
      <c r="AH4564" t="s">
        <v>27757</v>
      </c>
      <c r="AI4564" t="s">
        <v>27758</v>
      </c>
    </row>
    <row r="4565" spans="2:35" ht="315">
      <c r="B4565" s="1">
        <v>45411</v>
      </c>
      <c r="C4565" s="4">
        <v>45400.561111111114</v>
      </c>
      <c r="D4565" t="s">
        <v>7600</v>
      </c>
      <c r="E4565" t="s">
        <v>27759</v>
      </c>
      <c r="F4565" t="s">
        <v>37</v>
      </c>
      <c r="G4565" t="s">
        <v>78</v>
      </c>
      <c r="H4565" t="s">
        <v>39</v>
      </c>
      <c r="I4565" t="s">
        <v>40</v>
      </c>
      <c r="J4565" t="s">
        <v>109</v>
      </c>
      <c r="K4565" t="s">
        <v>42</v>
      </c>
      <c r="L4565" t="s">
        <v>43</v>
      </c>
      <c r="N4565" t="s">
        <v>44</v>
      </c>
      <c r="Q4565">
        <v>27980</v>
      </c>
      <c r="R4565" t="s">
        <v>119</v>
      </c>
      <c r="S4565" t="s">
        <v>25546</v>
      </c>
      <c r="T4565">
        <v>18</v>
      </c>
      <c r="U4565" s="2" t="s">
        <v>16325</v>
      </c>
      <c r="W4565" t="s">
        <v>48</v>
      </c>
      <c r="X4565">
        <v>820229</v>
      </c>
      <c r="Y4565" t="s">
        <v>121</v>
      </c>
      <c r="Z4565" t="s">
        <v>122</v>
      </c>
      <c r="AA4565" s="2" t="s">
        <v>27734</v>
      </c>
      <c r="AB4565" t="s">
        <v>27760</v>
      </c>
      <c r="AG4565" t="s">
        <v>27761</v>
      </c>
      <c r="AH4565" t="s">
        <v>27762</v>
      </c>
      <c r="AI4565" t="s">
        <v>27763</v>
      </c>
    </row>
    <row r="4566" spans="2:35" ht="315">
      <c r="B4566" s="1">
        <v>45411</v>
      </c>
      <c r="C4566" s="4">
        <v>45398.563888888886</v>
      </c>
      <c r="D4566" t="s">
        <v>2148</v>
      </c>
      <c r="E4566" t="s">
        <v>27753</v>
      </c>
      <c r="F4566" t="s">
        <v>37</v>
      </c>
      <c r="G4566" t="s">
        <v>38</v>
      </c>
      <c r="H4566" t="s">
        <v>39</v>
      </c>
      <c r="I4566" t="s">
        <v>40</v>
      </c>
      <c r="J4566" t="s">
        <v>109</v>
      </c>
      <c r="K4566" t="s">
        <v>42</v>
      </c>
      <c r="L4566" t="s">
        <v>43</v>
      </c>
      <c r="N4566" t="s">
        <v>44</v>
      </c>
      <c r="Q4566">
        <v>27979</v>
      </c>
      <c r="R4566" t="s">
        <v>119</v>
      </c>
      <c r="S4566" t="s">
        <v>27754</v>
      </c>
      <c r="T4566">
        <v>25</v>
      </c>
      <c r="U4566" s="2" t="s">
        <v>27755</v>
      </c>
      <c r="W4566" t="s">
        <v>48</v>
      </c>
      <c r="X4566">
        <v>820710</v>
      </c>
      <c r="Y4566" t="s">
        <v>121</v>
      </c>
      <c r="Z4566" t="s">
        <v>27733</v>
      </c>
      <c r="AA4566" s="2" t="s">
        <v>27734</v>
      </c>
      <c r="AB4566" t="s">
        <v>88</v>
      </c>
      <c r="AG4566" t="s">
        <v>27764</v>
      </c>
      <c r="AH4566" t="s">
        <v>27757</v>
      </c>
      <c r="AI4566" t="s">
        <v>27765</v>
      </c>
    </row>
    <row r="4567" spans="2:35" ht="315">
      <c r="B4567" s="1">
        <v>45411</v>
      </c>
      <c r="C4567" s="4">
        <v>45400.561111111114</v>
      </c>
      <c r="D4567" t="s">
        <v>7600</v>
      </c>
      <c r="E4567" t="s">
        <v>27759</v>
      </c>
      <c r="F4567" t="s">
        <v>37</v>
      </c>
      <c r="G4567" t="s">
        <v>78</v>
      </c>
      <c r="H4567" t="s">
        <v>39</v>
      </c>
      <c r="I4567" t="s">
        <v>40</v>
      </c>
      <c r="J4567" t="s">
        <v>109</v>
      </c>
      <c r="K4567" t="s">
        <v>42</v>
      </c>
      <c r="L4567" t="s">
        <v>43</v>
      </c>
      <c r="N4567" t="s">
        <v>44</v>
      </c>
      <c r="Q4567">
        <v>27978</v>
      </c>
      <c r="R4567" t="s">
        <v>119</v>
      </c>
      <c r="S4567" t="s">
        <v>25546</v>
      </c>
      <c r="T4567">
        <v>18</v>
      </c>
      <c r="U4567" s="2" t="s">
        <v>16325</v>
      </c>
      <c r="W4567" t="s">
        <v>48</v>
      </c>
      <c r="X4567">
        <v>820229</v>
      </c>
      <c r="Y4567" t="s">
        <v>121</v>
      </c>
      <c r="Z4567" t="s">
        <v>122</v>
      </c>
      <c r="AA4567" s="2" t="s">
        <v>27734</v>
      </c>
      <c r="AB4567" t="s">
        <v>27760</v>
      </c>
      <c r="AG4567" t="s">
        <v>27766</v>
      </c>
      <c r="AH4567" t="s">
        <v>27762</v>
      </c>
      <c r="AI4567" t="s">
        <v>27767</v>
      </c>
    </row>
    <row r="4568" spans="2:35" ht="105">
      <c r="B4568" s="1">
        <v>45411</v>
      </c>
      <c r="C4568" s="4">
        <v>45405.430555555555</v>
      </c>
      <c r="D4568" t="s">
        <v>20586</v>
      </c>
      <c r="E4568" t="s">
        <v>27768</v>
      </c>
      <c r="F4568" t="s">
        <v>148</v>
      </c>
      <c r="G4568" t="s">
        <v>230</v>
      </c>
      <c r="H4568" t="s">
        <v>39</v>
      </c>
      <c r="I4568" t="s">
        <v>40</v>
      </c>
      <c r="J4568" s="2" t="s">
        <v>1808</v>
      </c>
      <c r="K4568" t="s">
        <v>42</v>
      </c>
      <c r="L4568" t="s">
        <v>175</v>
      </c>
      <c r="N4568" t="s">
        <v>176</v>
      </c>
      <c r="Q4568">
        <v>27977</v>
      </c>
      <c r="R4568" t="s">
        <v>703</v>
      </c>
      <c r="S4568" t="s">
        <v>23286</v>
      </c>
      <c r="T4568">
        <v>25</v>
      </c>
      <c r="U4568" s="2" t="s">
        <v>2367</v>
      </c>
      <c r="W4568" t="s">
        <v>423</v>
      </c>
      <c r="X4568">
        <v>110018512</v>
      </c>
      <c r="Y4568" s="2" t="s">
        <v>27769</v>
      </c>
      <c r="Z4568" t="s">
        <v>103</v>
      </c>
      <c r="AA4568" t="e">
        <f ca="1">- installed Unit
- generated reports
- performed functionality test</f>
        <v>#NAME?</v>
      </c>
      <c r="AB4568" t="s">
        <v>181</v>
      </c>
      <c r="AC4568" t="s">
        <v>27770</v>
      </c>
      <c r="AG4568" t="s">
        <v>27771</v>
      </c>
      <c r="AH4568" t="s">
        <v>23289</v>
      </c>
      <c r="AI4568" t="s">
        <v>27772</v>
      </c>
    </row>
    <row r="4569" spans="2:35" ht="135">
      <c r="B4569" s="1">
        <v>45411</v>
      </c>
      <c r="C4569" s="4">
        <v>45408.525694444441</v>
      </c>
      <c r="D4569" t="s">
        <v>3746</v>
      </c>
      <c r="E4569" t="s">
        <v>420</v>
      </c>
      <c r="F4569" t="s">
        <v>148</v>
      </c>
      <c r="G4569" t="s">
        <v>421</v>
      </c>
      <c r="H4569" t="s">
        <v>39</v>
      </c>
      <c r="I4569" t="s">
        <v>40</v>
      </c>
      <c r="J4569" s="2" t="s">
        <v>190</v>
      </c>
      <c r="K4569" t="s">
        <v>42</v>
      </c>
      <c r="L4569" t="s">
        <v>175</v>
      </c>
      <c r="N4569" t="s">
        <v>176</v>
      </c>
      <c r="Q4569">
        <v>27974</v>
      </c>
      <c r="R4569" t="s">
        <v>119</v>
      </c>
      <c r="S4569" t="s">
        <v>3747</v>
      </c>
      <c r="T4569">
        <v>30</v>
      </c>
      <c r="U4569" s="2" t="s">
        <v>27773</v>
      </c>
      <c r="W4569" t="s">
        <v>84</v>
      </c>
      <c r="X4569">
        <v>831696</v>
      </c>
      <c r="Y4569" t="s">
        <v>374</v>
      </c>
      <c r="Z4569" t="s">
        <v>103</v>
      </c>
      <c r="AA4569" t="e">
        <f ca="1">- checked _xludf.and cleaned cartridge bay, plunger rod, _xludf.filter
- generated reports
- performed module self test</f>
        <v>#NAME?</v>
      </c>
      <c r="AB4569" s="2" t="s">
        <v>27774</v>
      </c>
      <c r="AG4569" t="s">
        <v>27775</v>
      </c>
      <c r="AH4569" t="s">
        <v>23954</v>
      </c>
      <c r="AI4569" t="s">
        <v>27776</v>
      </c>
    </row>
    <row r="4570" spans="2:35" ht="409.5">
      <c r="B4570" s="1">
        <v>45411</v>
      </c>
      <c r="C4570" s="4">
        <v>45407.510416666664</v>
      </c>
      <c r="D4570" t="s">
        <v>2470</v>
      </c>
      <c r="E4570" t="s">
        <v>9436</v>
      </c>
      <c r="F4570" t="s">
        <v>148</v>
      </c>
      <c r="G4570" t="s">
        <v>230</v>
      </c>
      <c r="H4570" t="s">
        <v>513</v>
      </c>
      <c r="I4570" t="s">
        <v>40</v>
      </c>
      <c r="J4570" s="2" t="s">
        <v>62</v>
      </c>
      <c r="K4570" t="s">
        <v>387</v>
      </c>
      <c r="L4570" t="s">
        <v>175</v>
      </c>
      <c r="N4570" t="s">
        <v>176</v>
      </c>
      <c r="Q4570">
        <v>27975</v>
      </c>
      <c r="R4570" t="s">
        <v>322</v>
      </c>
      <c r="S4570" t="s">
        <v>4894</v>
      </c>
      <c r="T4570">
        <v>25</v>
      </c>
      <c r="W4570" t="s">
        <v>390</v>
      </c>
      <c r="X4570" t="s">
        <v>27777</v>
      </c>
      <c r="Y4570" t="s">
        <v>24338</v>
      </c>
      <c r="Z4570" t="s">
        <v>103</v>
      </c>
      <c r="AA4570" s="2" t="s">
        <v>27778</v>
      </c>
      <c r="AB4570" s="2" t="s">
        <v>11008</v>
      </c>
      <c r="AG4570" t="s">
        <v>27779</v>
      </c>
      <c r="AH4570" t="s">
        <v>4898</v>
      </c>
      <c r="AI4570" t="s">
        <v>27780</v>
      </c>
    </row>
    <row r="4571" spans="2:35" ht="255">
      <c r="B4571" s="1">
        <v>45411</v>
      </c>
      <c r="C4571" s="4">
        <v>45408.591666666667</v>
      </c>
      <c r="D4571" t="s">
        <v>27781</v>
      </c>
      <c r="E4571" t="s">
        <v>420</v>
      </c>
      <c r="F4571" t="s">
        <v>148</v>
      </c>
      <c r="G4571" t="s">
        <v>421</v>
      </c>
      <c r="H4571" t="s">
        <v>39</v>
      </c>
      <c r="I4571" t="s">
        <v>40</v>
      </c>
      <c r="J4571" t="s">
        <v>109</v>
      </c>
      <c r="K4571" t="s">
        <v>42</v>
      </c>
      <c r="L4571" t="s">
        <v>175</v>
      </c>
      <c r="N4571" t="s">
        <v>176</v>
      </c>
      <c r="Q4571">
        <v>27976</v>
      </c>
      <c r="R4571" t="s">
        <v>119</v>
      </c>
      <c r="S4571" t="s">
        <v>27782</v>
      </c>
      <c r="T4571">
        <v>33</v>
      </c>
      <c r="U4571" s="2" t="s">
        <v>27783</v>
      </c>
      <c r="W4571" t="s">
        <v>84</v>
      </c>
      <c r="X4571">
        <v>831914</v>
      </c>
      <c r="Y4571" t="s">
        <v>374</v>
      </c>
      <c r="Z4571" t="s">
        <v>103</v>
      </c>
      <c r="AA4571" s="2" t="s">
        <v>27784</v>
      </c>
      <c r="AB4571" t="s">
        <v>181</v>
      </c>
      <c r="AG4571" t="s">
        <v>27785</v>
      </c>
      <c r="AH4571" t="s">
        <v>27786</v>
      </c>
      <c r="AI4571" t="s">
        <v>27787</v>
      </c>
    </row>
    <row r="4572" spans="2:35" ht="409.5">
      <c r="B4572" s="1">
        <v>45411</v>
      </c>
      <c r="C4572" s="4">
        <v>45407.493055555555</v>
      </c>
      <c r="D4572" t="s">
        <v>2470</v>
      </c>
      <c r="E4572" t="s">
        <v>9436</v>
      </c>
      <c r="F4572" t="s">
        <v>148</v>
      </c>
      <c r="G4572" t="s">
        <v>230</v>
      </c>
      <c r="H4572" t="s">
        <v>513</v>
      </c>
      <c r="I4572" t="s">
        <v>40</v>
      </c>
      <c r="J4572" s="2" t="s">
        <v>62</v>
      </c>
      <c r="K4572" t="s">
        <v>387</v>
      </c>
      <c r="L4572" t="s">
        <v>175</v>
      </c>
      <c r="N4572" t="s">
        <v>176</v>
      </c>
      <c r="Q4572">
        <v>27973</v>
      </c>
      <c r="R4572" t="s">
        <v>322</v>
      </c>
      <c r="S4572" t="s">
        <v>4894</v>
      </c>
      <c r="T4572">
        <v>25</v>
      </c>
      <c r="W4572" t="s">
        <v>390</v>
      </c>
      <c r="X4572" t="s">
        <v>391</v>
      </c>
      <c r="Y4572" t="s">
        <v>24338</v>
      </c>
      <c r="Z4572" t="s">
        <v>103</v>
      </c>
      <c r="AA4572" s="2" t="s">
        <v>27788</v>
      </c>
      <c r="AB4572" s="2" t="s">
        <v>11008</v>
      </c>
      <c r="AG4572" t="s">
        <v>27789</v>
      </c>
      <c r="AH4572" t="s">
        <v>4898</v>
      </c>
      <c r="AI4572" t="s">
        <v>27790</v>
      </c>
    </row>
    <row r="4573" spans="2:35" ht="105">
      <c r="B4573" s="1">
        <v>45411</v>
      </c>
      <c r="C4573" s="4">
        <v>45411.518055555556</v>
      </c>
      <c r="D4573" t="s">
        <v>340</v>
      </c>
      <c r="E4573" t="s">
        <v>8872</v>
      </c>
      <c r="F4573">
        <v>8</v>
      </c>
      <c r="G4573" t="s">
        <v>342</v>
      </c>
      <c r="H4573" t="s">
        <v>202</v>
      </c>
      <c r="I4573" t="s">
        <v>40</v>
      </c>
      <c r="J4573" t="s">
        <v>109</v>
      </c>
      <c r="K4573" t="s">
        <v>42</v>
      </c>
      <c r="L4573" t="s">
        <v>259</v>
      </c>
      <c r="N4573" t="s">
        <v>260</v>
      </c>
      <c r="Q4573">
        <v>27972</v>
      </c>
      <c r="R4573" t="s">
        <v>119</v>
      </c>
      <c r="S4573" t="s">
        <v>345</v>
      </c>
      <c r="T4573">
        <v>25</v>
      </c>
      <c r="U4573" s="2" t="s">
        <v>25303</v>
      </c>
      <c r="V4573" s="1">
        <v>45411</v>
      </c>
      <c r="W4573" t="s">
        <v>84</v>
      </c>
      <c r="X4573">
        <v>838555</v>
      </c>
      <c r="Y4573" t="s">
        <v>263</v>
      </c>
      <c r="Z4573" t="s">
        <v>263</v>
      </c>
      <c r="AA4573" t="e">
        <f ca="1">-Preventive Maintenance (Cleaning cartridge bay, icore, FAN _xludf.filter)
- Generate reports
- performed functionality test</f>
        <v>#NAME?</v>
      </c>
      <c r="AB4573" t="s">
        <v>181</v>
      </c>
      <c r="AG4573" t="s">
        <v>27791</v>
      </c>
      <c r="AH4573" t="s">
        <v>8455</v>
      </c>
      <c r="AI4573" t="s">
        <v>27792</v>
      </c>
    </row>
    <row r="4574" spans="2:35" ht="255">
      <c r="B4574" s="1">
        <v>45411</v>
      </c>
      <c r="C4574" s="4">
        <v>45407.59375</v>
      </c>
      <c r="D4574" t="s">
        <v>3547</v>
      </c>
      <c r="E4574" t="s">
        <v>27793</v>
      </c>
      <c r="F4574" t="s">
        <v>37</v>
      </c>
      <c r="G4574" t="s">
        <v>38</v>
      </c>
      <c r="H4574" t="s">
        <v>39</v>
      </c>
      <c r="I4574" t="s">
        <v>40</v>
      </c>
      <c r="J4574" s="2" t="s">
        <v>41</v>
      </c>
      <c r="K4574" t="s">
        <v>42</v>
      </c>
      <c r="L4574" t="s">
        <v>43</v>
      </c>
      <c r="N4574" t="s">
        <v>44</v>
      </c>
      <c r="O4574" t="s">
        <v>27794</v>
      </c>
      <c r="Q4574">
        <v>27971</v>
      </c>
      <c r="R4574" t="s">
        <v>119</v>
      </c>
      <c r="S4574" t="s">
        <v>3549</v>
      </c>
      <c r="T4574">
        <v>25</v>
      </c>
      <c r="U4574" s="2" t="s">
        <v>27795</v>
      </c>
      <c r="V4574" s="1">
        <v>45407</v>
      </c>
      <c r="W4574" t="s">
        <v>48</v>
      </c>
      <c r="X4574">
        <v>820184</v>
      </c>
      <c r="Y4574" s="2" t="s">
        <v>27796</v>
      </c>
      <c r="Z4574" s="2" t="s">
        <v>27797</v>
      </c>
      <c r="AA4574" s="2" t="s">
        <v>27798</v>
      </c>
      <c r="AB4574" t="s">
        <v>88</v>
      </c>
      <c r="AD4574" s="2" t="s">
        <v>27799</v>
      </c>
      <c r="AE4574" t="s">
        <v>54</v>
      </c>
      <c r="AG4574" t="s">
        <v>27800</v>
      </c>
      <c r="AH4574" t="s">
        <v>27801</v>
      </c>
      <c r="AI4574" t="s">
        <v>27802</v>
      </c>
    </row>
    <row r="4575" spans="2:35" ht="225">
      <c r="B4575" s="1">
        <v>45411</v>
      </c>
      <c r="C4575" s="4">
        <v>45408.461805555555</v>
      </c>
      <c r="D4575" t="s">
        <v>27803</v>
      </c>
      <c r="E4575" t="s">
        <v>27804</v>
      </c>
      <c r="F4575" t="s">
        <v>148</v>
      </c>
      <c r="G4575" t="s">
        <v>310</v>
      </c>
      <c r="H4575" t="s">
        <v>39</v>
      </c>
      <c r="I4575" t="s">
        <v>40</v>
      </c>
      <c r="J4575" t="s">
        <v>109</v>
      </c>
      <c r="K4575" t="s">
        <v>42</v>
      </c>
      <c r="L4575" t="s">
        <v>1028</v>
      </c>
      <c r="N4575" t="s">
        <v>1029</v>
      </c>
      <c r="Q4575">
        <v>27969</v>
      </c>
      <c r="R4575" t="s">
        <v>119</v>
      </c>
      <c r="S4575" t="s">
        <v>27805</v>
      </c>
      <c r="T4575">
        <v>24</v>
      </c>
      <c r="U4575" s="2" t="s">
        <v>27806</v>
      </c>
      <c r="W4575" t="s">
        <v>1967</v>
      </c>
      <c r="X4575">
        <v>831618</v>
      </c>
      <c r="Y4575" t="s">
        <v>3127</v>
      </c>
      <c r="Z4575" t="s">
        <v>1548</v>
      </c>
      <c r="AA4575" s="2" t="s">
        <v>27807</v>
      </c>
      <c r="AB4575" t="s">
        <v>3300</v>
      </c>
      <c r="AG4575" t="s">
        <v>27808</v>
      </c>
      <c r="AH4575" t="s">
        <v>27809</v>
      </c>
      <c r="AI4575" t="s">
        <v>27810</v>
      </c>
    </row>
    <row r="4576" spans="2:35" ht="285">
      <c r="B4576" s="1">
        <v>45411</v>
      </c>
      <c r="C4576" s="4">
        <v>45407.586111111108</v>
      </c>
      <c r="D4576" t="s">
        <v>27811</v>
      </c>
      <c r="E4576" t="s">
        <v>27812</v>
      </c>
      <c r="F4576" t="s">
        <v>148</v>
      </c>
      <c r="G4576" t="s">
        <v>310</v>
      </c>
      <c r="H4576" t="s">
        <v>39</v>
      </c>
      <c r="I4576" t="s">
        <v>40</v>
      </c>
      <c r="J4576" s="2" t="s">
        <v>190</v>
      </c>
      <c r="K4576" t="s">
        <v>42</v>
      </c>
      <c r="L4576" t="s">
        <v>1028</v>
      </c>
      <c r="N4576" t="s">
        <v>1029</v>
      </c>
      <c r="Q4576">
        <v>27968</v>
      </c>
      <c r="R4576" t="s">
        <v>119</v>
      </c>
      <c r="S4576" t="s">
        <v>27813</v>
      </c>
      <c r="T4576">
        <v>28</v>
      </c>
      <c r="U4576" s="2" t="s">
        <v>22728</v>
      </c>
      <c r="W4576" t="s">
        <v>1967</v>
      </c>
      <c r="X4576">
        <v>831694</v>
      </c>
      <c r="Y4576" s="2" t="s">
        <v>27814</v>
      </c>
      <c r="Z4576" s="2" t="s">
        <v>27815</v>
      </c>
      <c r="AA4576" s="2" t="s">
        <v>27816</v>
      </c>
      <c r="AB4576" t="s">
        <v>3063</v>
      </c>
      <c r="AC4576" t="s">
        <v>27817</v>
      </c>
      <c r="AG4576" t="s">
        <v>27818</v>
      </c>
      <c r="AH4576" t="s">
        <v>27819</v>
      </c>
      <c r="AI4576" t="s">
        <v>27820</v>
      </c>
    </row>
    <row r="4577" spans="2:35" ht="255">
      <c r="B4577" s="1">
        <v>45411</v>
      </c>
      <c r="C4577" s="4">
        <v>45408.522916666669</v>
      </c>
      <c r="D4577" t="s">
        <v>10933</v>
      </c>
      <c r="E4577" t="s">
        <v>10934</v>
      </c>
      <c r="F4577" t="s">
        <v>148</v>
      </c>
      <c r="G4577" t="s">
        <v>310</v>
      </c>
      <c r="H4577" t="s">
        <v>662</v>
      </c>
      <c r="I4577" t="s">
        <v>40</v>
      </c>
      <c r="J4577" t="s">
        <v>109</v>
      </c>
      <c r="K4577" t="s">
        <v>42</v>
      </c>
      <c r="L4577" t="s">
        <v>1028</v>
      </c>
      <c r="N4577" t="s">
        <v>1029</v>
      </c>
      <c r="O4577" t="s">
        <v>27821</v>
      </c>
      <c r="Q4577">
        <v>27967</v>
      </c>
      <c r="R4577" t="s">
        <v>322</v>
      </c>
      <c r="S4577" t="s">
        <v>14776</v>
      </c>
      <c r="T4577">
        <v>22</v>
      </c>
      <c r="U4577" s="2" t="s">
        <v>27822</v>
      </c>
      <c r="W4577" t="s">
        <v>2441</v>
      </c>
      <c r="X4577">
        <v>834953</v>
      </c>
      <c r="Y4577" t="s">
        <v>3127</v>
      </c>
      <c r="Z4577" t="s">
        <v>3128</v>
      </c>
      <c r="AA4577" s="2" t="s">
        <v>27823</v>
      </c>
      <c r="AB4577" t="s">
        <v>24748</v>
      </c>
      <c r="AC4577" t="s">
        <v>27824</v>
      </c>
      <c r="AG4577" t="s">
        <v>27825</v>
      </c>
      <c r="AH4577" t="s">
        <v>27826</v>
      </c>
      <c r="AI4577" t="s">
        <v>27827</v>
      </c>
    </row>
    <row r="4578" spans="2:35" ht="330">
      <c r="B4578" s="1">
        <v>45411</v>
      </c>
      <c r="C4578" s="4">
        <v>45408.517361111109</v>
      </c>
      <c r="D4578" t="s">
        <v>10933</v>
      </c>
      <c r="E4578" t="s">
        <v>10934</v>
      </c>
      <c r="F4578" t="s">
        <v>148</v>
      </c>
      <c r="G4578" t="s">
        <v>310</v>
      </c>
      <c r="H4578" t="s">
        <v>662</v>
      </c>
      <c r="I4578" t="s">
        <v>40</v>
      </c>
      <c r="J4578" t="s">
        <v>109</v>
      </c>
      <c r="K4578" t="s">
        <v>42</v>
      </c>
      <c r="L4578" t="s">
        <v>1028</v>
      </c>
      <c r="N4578" t="s">
        <v>1029</v>
      </c>
      <c r="O4578" t="s">
        <v>27821</v>
      </c>
      <c r="Q4578">
        <v>27970</v>
      </c>
      <c r="R4578" t="s">
        <v>322</v>
      </c>
      <c r="S4578" t="s">
        <v>14776</v>
      </c>
      <c r="T4578">
        <v>22</v>
      </c>
      <c r="U4578" s="2" t="s">
        <v>27828</v>
      </c>
      <c r="W4578" t="s">
        <v>1032</v>
      </c>
      <c r="X4578">
        <v>110015482</v>
      </c>
      <c r="Y4578" t="s">
        <v>3127</v>
      </c>
      <c r="Z4578" t="s">
        <v>3128</v>
      </c>
      <c r="AA4578" s="2" t="s">
        <v>27829</v>
      </c>
      <c r="AB4578" t="s">
        <v>3063</v>
      </c>
      <c r="AG4578" t="s">
        <v>27830</v>
      </c>
      <c r="AH4578" t="s">
        <v>27826</v>
      </c>
      <c r="AI4578" t="s">
        <v>27831</v>
      </c>
    </row>
    <row r="4579" spans="2:35" ht="285">
      <c r="B4579" s="1">
        <v>45411</v>
      </c>
      <c r="C4579" s="4">
        <v>45411.421527777777</v>
      </c>
      <c r="D4579" t="s">
        <v>20859</v>
      </c>
      <c r="E4579" t="s">
        <v>27832</v>
      </c>
      <c r="F4579">
        <v>5</v>
      </c>
      <c r="G4579" t="s">
        <v>759</v>
      </c>
      <c r="H4579" t="s">
        <v>39</v>
      </c>
      <c r="I4579" t="s">
        <v>94</v>
      </c>
      <c r="J4579" s="2" t="s">
        <v>62</v>
      </c>
      <c r="K4579" t="s">
        <v>42</v>
      </c>
      <c r="L4579" t="s">
        <v>761</v>
      </c>
      <c r="N4579" t="s">
        <v>762</v>
      </c>
      <c r="Q4579">
        <v>27966</v>
      </c>
      <c r="R4579" t="s">
        <v>119</v>
      </c>
      <c r="S4579" t="s">
        <v>7298</v>
      </c>
      <c r="T4579">
        <v>23</v>
      </c>
      <c r="U4579" s="2" t="s">
        <v>5149</v>
      </c>
      <c r="W4579" t="s">
        <v>765</v>
      </c>
      <c r="X4579">
        <v>838264</v>
      </c>
      <c r="Y4579" t="s">
        <v>5500</v>
      </c>
      <c r="Z4579" s="2" t="s">
        <v>27833</v>
      </c>
      <c r="AA4579" s="2" t="s">
        <v>4477</v>
      </c>
      <c r="AB4579" t="s">
        <v>70</v>
      </c>
      <c r="AG4579" t="s">
        <v>27834</v>
      </c>
      <c r="AH4579" t="s">
        <v>11125</v>
      </c>
      <c r="AI4579" t="s">
        <v>27835</v>
      </c>
    </row>
    <row r="4580" spans="2:35" ht="210">
      <c r="B4580" s="1">
        <v>45411</v>
      </c>
      <c r="C4580" s="4">
        <v>45411.413194444445</v>
      </c>
      <c r="D4580" t="s">
        <v>2221</v>
      </c>
      <c r="E4580" t="s">
        <v>2221</v>
      </c>
      <c r="F4580">
        <v>9</v>
      </c>
      <c r="G4580" t="s">
        <v>2197</v>
      </c>
      <c r="H4580" t="s">
        <v>39</v>
      </c>
      <c r="I4580" t="s">
        <v>94</v>
      </c>
      <c r="J4580" t="s">
        <v>109</v>
      </c>
      <c r="K4580" t="s">
        <v>42</v>
      </c>
      <c r="L4580" t="s">
        <v>1257</v>
      </c>
      <c r="N4580" t="s">
        <v>2199</v>
      </c>
      <c r="O4580" t="s">
        <v>2224</v>
      </c>
      <c r="Q4580">
        <v>27965</v>
      </c>
      <c r="R4580" t="s">
        <v>119</v>
      </c>
      <c r="S4580" t="s">
        <v>1258</v>
      </c>
      <c r="T4580">
        <v>28</v>
      </c>
      <c r="U4580" s="2" t="s">
        <v>27836</v>
      </c>
      <c r="V4580" s="1">
        <v>45411</v>
      </c>
      <c r="W4580" t="s">
        <v>27837</v>
      </c>
      <c r="X4580">
        <v>838204</v>
      </c>
      <c r="Y4580" t="s">
        <v>27838</v>
      </c>
      <c r="Z4580" t="s">
        <v>27839</v>
      </c>
      <c r="AA4580" t="s">
        <v>27839</v>
      </c>
      <c r="AB4580" t="s">
        <v>27840</v>
      </c>
      <c r="AC4580" t="s">
        <v>301</v>
      </c>
      <c r="AD4580" t="s">
        <v>54</v>
      </c>
      <c r="AE4580" t="s">
        <v>54</v>
      </c>
      <c r="AG4580" t="s">
        <v>27841</v>
      </c>
      <c r="AH4580" t="s">
        <v>2231</v>
      </c>
      <c r="AI4580" t="s">
        <v>27842</v>
      </c>
    </row>
    <row r="4581" spans="2:35" ht="405">
      <c r="B4581" s="1">
        <v>45411</v>
      </c>
      <c r="C4581" s="4">
        <v>45408.640972222223</v>
      </c>
      <c r="D4581" t="s">
        <v>7939</v>
      </c>
      <c r="E4581" t="s">
        <v>27843</v>
      </c>
      <c r="F4581">
        <v>5</v>
      </c>
      <c r="G4581" t="s">
        <v>5795</v>
      </c>
      <c r="H4581" t="s">
        <v>39</v>
      </c>
      <c r="I4581" t="s">
        <v>94</v>
      </c>
      <c r="J4581" s="2" t="s">
        <v>62</v>
      </c>
      <c r="K4581" t="s">
        <v>42</v>
      </c>
      <c r="L4581" t="s">
        <v>761</v>
      </c>
      <c r="N4581" t="s">
        <v>762</v>
      </c>
      <c r="Q4581">
        <v>27964</v>
      </c>
      <c r="R4581" t="s">
        <v>119</v>
      </c>
      <c r="S4581" t="s">
        <v>21252</v>
      </c>
      <c r="T4581">
        <v>24</v>
      </c>
      <c r="U4581" s="2" t="s">
        <v>3941</v>
      </c>
      <c r="W4581" t="s">
        <v>765</v>
      </c>
      <c r="X4581">
        <v>838207</v>
      </c>
      <c r="Y4581" t="s">
        <v>5500</v>
      </c>
      <c r="Z4581" s="2" t="s">
        <v>27844</v>
      </c>
      <c r="AA4581" s="2" t="s">
        <v>4477</v>
      </c>
      <c r="AB4581" t="s">
        <v>70</v>
      </c>
      <c r="AG4581" t="s">
        <v>27845</v>
      </c>
      <c r="AH4581" t="s">
        <v>27846</v>
      </c>
      <c r="AI4581" t="s">
        <v>27847</v>
      </c>
    </row>
    <row r="4582" spans="2:35" ht="300">
      <c r="B4582" s="1">
        <v>45411</v>
      </c>
      <c r="C4582" s="4">
        <v>45408.564583333333</v>
      </c>
      <c r="D4582" t="s">
        <v>6943</v>
      </c>
      <c r="E4582" t="s">
        <v>27848</v>
      </c>
      <c r="F4582">
        <v>5</v>
      </c>
      <c r="G4582" t="s">
        <v>5795</v>
      </c>
      <c r="H4582" t="s">
        <v>39</v>
      </c>
      <c r="I4582" t="s">
        <v>94</v>
      </c>
      <c r="J4582" s="2" t="s">
        <v>62</v>
      </c>
      <c r="K4582" t="s">
        <v>42</v>
      </c>
      <c r="L4582" t="s">
        <v>761</v>
      </c>
      <c r="N4582" t="s">
        <v>762</v>
      </c>
      <c r="Q4582">
        <v>27963</v>
      </c>
      <c r="R4582" t="s">
        <v>119</v>
      </c>
      <c r="S4582" t="s">
        <v>5796</v>
      </c>
      <c r="T4582">
        <v>21</v>
      </c>
      <c r="U4582" s="2" t="s">
        <v>3538</v>
      </c>
      <c r="W4582" t="s">
        <v>765</v>
      </c>
      <c r="X4582">
        <v>838576</v>
      </c>
      <c r="Y4582" t="s">
        <v>5500</v>
      </c>
      <c r="Z4582" s="2" t="s">
        <v>27849</v>
      </c>
      <c r="AA4582" s="2" t="s">
        <v>4477</v>
      </c>
      <c r="AB4582" t="s">
        <v>181</v>
      </c>
      <c r="AG4582" t="s">
        <v>27850</v>
      </c>
      <c r="AH4582" t="s">
        <v>27851</v>
      </c>
      <c r="AI4582" t="s">
        <v>27852</v>
      </c>
    </row>
    <row r="4583" spans="2:35" ht="360">
      <c r="B4583" s="1">
        <v>45410</v>
      </c>
      <c r="C4583" s="4">
        <v>45405.454861111109</v>
      </c>
      <c r="D4583" t="s">
        <v>6919</v>
      </c>
      <c r="E4583" t="s">
        <v>27853</v>
      </c>
      <c r="F4583" t="s">
        <v>511</v>
      </c>
      <c r="G4583" t="s">
        <v>512</v>
      </c>
      <c r="H4583" t="s">
        <v>39</v>
      </c>
      <c r="I4583" t="s">
        <v>40</v>
      </c>
      <c r="J4583" s="2" t="s">
        <v>62</v>
      </c>
      <c r="K4583" t="s">
        <v>42</v>
      </c>
      <c r="L4583" t="s">
        <v>1048</v>
      </c>
      <c r="N4583" t="s">
        <v>1049</v>
      </c>
      <c r="Q4583">
        <v>27962</v>
      </c>
      <c r="R4583" t="s">
        <v>119</v>
      </c>
      <c r="S4583" t="s">
        <v>6920</v>
      </c>
      <c r="T4583">
        <v>27</v>
      </c>
      <c r="U4583" s="2" t="s">
        <v>27854</v>
      </c>
      <c r="V4583" s="1">
        <v>45386</v>
      </c>
      <c r="W4583" t="s">
        <v>1051</v>
      </c>
      <c r="X4583">
        <v>838281</v>
      </c>
      <c r="Y4583" t="s">
        <v>27855</v>
      </c>
      <c r="Z4583" t="e">
        <f ca="1">- cleaned cartridge Bays, plunger Rods _xludf.and I-CORE
- performed XpertCheck
- generated reports</f>
        <v>#NAME?</v>
      </c>
      <c r="AA4583" t="s">
        <v>820</v>
      </c>
      <c r="AB4583" s="2" t="s">
        <v>27856</v>
      </c>
      <c r="AD4583" t="s">
        <v>1958</v>
      </c>
      <c r="AE4583" t="s">
        <v>27857</v>
      </c>
      <c r="AG4583" t="s">
        <v>27858</v>
      </c>
      <c r="AH4583" t="s">
        <v>6925</v>
      </c>
      <c r="AI4583" t="s">
        <v>27859</v>
      </c>
    </row>
    <row r="4584" spans="2:35" ht="195">
      <c r="B4584" s="1">
        <v>45408</v>
      </c>
      <c r="C4584" s="4">
        <v>45408.584027777775</v>
      </c>
      <c r="D4584" t="s">
        <v>3679</v>
      </c>
      <c r="E4584" t="s">
        <v>2580</v>
      </c>
      <c r="F4584" t="s">
        <v>148</v>
      </c>
      <c r="G4584" t="s">
        <v>447</v>
      </c>
      <c r="H4584" t="s">
        <v>662</v>
      </c>
      <c r="I4584" t="s">
        <v>40</v>
      </c>
      <c r="J4584" s="2" t="s">
        <v>190</v>
      </c>
      <c r="K4584" t="s">
        <v>42</v>
      </c>
      <c r="L4584" t="s">
        <v>448</v>
      </c>
      <c r="N4584" t="s">
        <v>650</v>
      </c>
      <c r="O4584" t="s">
        <v>3680</v>
      </c>
      <c r="Q4584">
        <v>27961</v>
      </c>
      <c r="R4584" t="s">
        <v>322</v>
      </c>
      <c r="S4584" t="s">
        <v>6492</v>
      </c>
      <c r="T4584">
        <v>26</v>
      </c>
      <c r="U4584" s="2" t="s">
        <v>27860</v>
      </c>
      <c r="W4584" t="s">
        <v>7420</v>
      </c>
      <c r="X4584">
        <v>838655</v>
      </c>
      <c r="Y4584" t="s">
        <v>27861</v>
      </c>
      <c r="Z4584" s="2" t="s">
        <v>2011</v>
      </c>
      <c r="AA4584" t="s">
        <v>27862</v>
      </c>
      <c r="AB4584" t="s">
        <v>486</v>
      </c>
      <c r="AG4584" t="s">
        <v>27863</v>
      </c>
      <c r="AH4584" t="s">
        <v>27864</v>
      </c>
      <c r="AI4584" t="s">
        <v>27865</v>
      </c>
    </row>
    <row r="4585" spans="2:35" ht="225">
      <c r="B4585" s="1">
        <v>45408</v>
      </c>
      <c r="C4585" s="4">
        <v>45408.508333333331</v>
      </c>
      <c r="D4585" t="s">
        <v>2176</v>
      </c>
      <c r="E4585" t="s">
        <v>2580</v>
      </c>
      <c r="F4585" t="s">
        <v>148</v>
      </c>
      <c r="G4585" t="s">
        <v>447</v>
      </c>
      <c r="H4585" t="s">
        <v>17343</v>
      </c>
      <c r="I4585" t="s">
        <v>40</v>
      </c>
      <c r="J4585" t="s">
        <v>525</v>
      </c>
      <c r="K4585" t="s">
        <v>42</v>
      </c>
      <c r="L4585" t="s">
        <v>448</v>
      </c>
      <c r="N4585" t="s">
        <v>650</v>
      </c>
      <c r="Q4585">
        <v>27960</v>
      </c>
      <c r="R4585" t="s">
        <v>322</v>
      </c>
      <c r="S4585" t="s">
        <v>12699</v>
      </c>
      <c r="T4585">
        <v>25</v>
      </c>
      <c r="U4585" s="2" t="s">
        <v>27866</v>
      </c>
      <c r="W4585" t="s">
        <v>27867</v>
      </c>
      <c r="X4585">
        <v>110014085</v>
      </c>
      <c r="Y4585" t="s">
        <v>27868</v>
      </c>
      <c r="Z4585" s="2" t="s">
        <v>27869</v>
      </c>
      <c r="AA4585" t="s">
        <v>4487</v>
      </c>
      <c r="AB4585" t="s">
        <v>27870</v>
      </c>
      <c r="AG4585" t="s">
        <v>27871</v>
      </c>
      <c r="AH4585" t="s">
        <v>27872</v>
      </c>
      <c r="AI4585" t="s">
        <v>27873</v>
      </c>
    </row>
    <row r="4586" spans="2:35" ht="195">
      <c r="B4586" s="1">
        <v>45408</v>
      </c>
      <c r="C4586" s="4">
        <v>45408.382638888892</v>
      </c>
      <c r="D4586" t="s">
        <v>1145</v>
      </c>
      <c r="E4586" t="s">
        <v>4267</v>
      </c>
      <c r="F4586" t="s">
        <v>148</v>
      </c>
      <c r="G4586" t="s">
        <v>447</v>
      </c>
      <c r="H4586" t="s">
        <v>39</v>
      </c>
      <c r="I4586" t="s">
        <v>40</v>
      </c>
      <c r="J4586" s="2" t="s">
        <v>190</v>
      </c>
      <c r="K4586" t="s">
        <v>42</v>
      </c>
      <c r="L4586" t="s">
        <v>448</v>
      </c>
      <c r="N4586" t="s">
        <v>650</v>
      </c>
      <c r="Q4586">
        <v>27959</v>
      </c>
      <c r="R4586" t="s">
        <v>95</v>
      </c>
      <c r="S4586" t="s">
        <v>1147</v>
      </c>
      <c r="T4586">
        <v>30</v>
      </c>
      <c r="U4586" s="2" t="s">
        <v>27874</v>
      </c>
      <c r="W4586" t="s">
        <v>6128</v>
      </c>
      <c r="X4586">
        <v>804205</v>
      </c>
      <c r="Y4586" s="2" t="s">
        <v>27875</v>
      </c>
      <c r="Z4586" s="2" t="s">
        <v>2011</v>
      </c>
      <c r="AA4586" t="s">
        <v>6992</v>
      </c>
      <c r="AB4586" t="s">
        <v>27876</v>
      </c>
      <c r="AG4586" t="s">
        <v>27877</v>
      </c>
      <c r="AH4586" t="s">
        <v>27878</v>
      </c>
      <c r="AI4586" t="s">
        <v>27879</v>
      </c>
    </row>
    <row r="4587" spans="2:35" ht="405">
      <c r="B4587" s="1">
        <v>45408</v>
      </c>
      <c r="C4587" s="4">
        <v>45408.376388888886</v>
      </c>
      <c r="D4587" t="s">
        <v>1145</v>
      </c>
      <c r="E4587" t="s">
        <v>27880</v>
      </c>
      <c r="F4587" t="s">
        <v>148</v>
      </c>
      <c r="G4587" t="s">
        <v>447</v>
      </c>
      <c r="H4587" t="s">
        <v>39</v>
      </c>
      <c r="I4587" t="s">
        <v>40</v>
      </c>
      <c r="J4587" s="2" t="s">
        <v>190</v>
      </c>
      <c r="K4587" t="s">
        <v>42</v>
      </c>
      <c r="L4587" t="s">
        <v>448</v>
      </c>
      <c r="N4587" t="s">
        <v>650</v>
      </c>
      <c r="Q4587">
        <v>27958</v>
      </c>
      <c r="R4587" t="s">
        <v>322</v>
      </c>
      <c r="S4587" t="s">
        <v>1147</v>
      </c>
      <c r="T4587">
        <v>30</v>
      </c>
      <c r="U4587" s="2" t="s">
        <v>27881</v>
      </c>
      <c r="W4587" t="s">
        <v>6121</v>
      </c>
      <c r="X4587">
        <v>838837</v>
      </c>
      <c r="Y4587" t="s">
        <v>27882</v>
      </c>
      <c r="Z4587" s="2" t="s">
        <v>2011</v>
      </c>
      <c r="AA4587" t="s">
        <v>6992</v>
      </c>
      <c r="AB4587" s="2" t="s">
        <v>27883</v>
      </c>
      <c r="AG4587" t="s">
        <v>27884</v>
      </c>
      <c r="AH4587" t="s">
        <v>1153</v>
      </c>
      <c r="AI4587" t="s">
        <v>27885</v>
      </c>
    </row>
    <row r="4588" spans="2:35" ht="210">
      <c r="B4588" s="1">
        <v>45408</v>
      </c>
      <c r="C4588" s="4">
        <v>45408.749305555553</v>
      </c>
      <c r="D4588" t="s">
        <v>26386</v>
      </c>
      <c r="E4588" t="s">
        <v>26387</v>
      </c>
      <c r="F4588">
        <v>7</v>
      </c>
      <c r="G4588" t="s">
        <v>6529</v>
      </c>
      <c r="H4588" t="s">
        <v>10969</v>
      </c>
      <c r="I4588" t="s">
        <v>40</v>
      </c>
      <c r="J4588" s="2" t="s">
        <v>62</v>
      </c>
      <c r="K4588" t="s">
        <v>42</v>
      </c>
      <c r="L4588" t="s">
        <v>1288</v>
      </c>
      <c r="N4588" t="s">
        <v>1289</v>
      </c>
      <c r="Q4588">
        <v>27957</v>
      </c>
      <c r="R4588" t="s">
        <v>119</v>
      </c>
      <c r="S4588" t="s">
        <v>27886</v>
      </c>
      <c r="T4588">
        <v>26</v>
      </c>
      <c r="U4588" s="2" t="s">
        <v>27887</v>
      </c>
      <c r="W4588" t="s">
        <v>1292</v>
      </c>
      <c r="X4588">
        <v>820228</v>
      </c>
      <c r="Y4588" t="e">
        <f ca="1">-_xludf.For Preventive Maintenance
-_xludf.For XpertCheck CALIBRATION</f>
        <v>#NAME?</v>
      </c>
      <c r="Z4588" t="e">
        <f ca="1">-COLLECT IQR,system _xludf.Log, ARCHIVE, _xludf.and CALIBRATION Data</f>
        <v>#NAME?</v>
      </c>
      <c r="AA4588" t="e">
        <f ca="1">-PERFORM Cleaning _xludf.and Preventive Maintenance PROCEDURE
-_xludf.Replace FAN _xludf.filter
-PERFORM CALIBRATION:
B1 - Retry THEN _xludf.For service
                                                                                                                                                                                                                                                                B2 - passed
                                                                                                                                                                                                                                                                B3 - Retry THEN passed
                                                                                                                                                                                                                                                                B4 - passed</f>
        <v>#NAME?</v>
      </c>
      <c r="AB4588" t="s">
        <v>1293</v>
      </c>
      <c r="AC4588" t="s">
        <v>27888</v>
      </c>
      <c r="AG4588" t="s">
        <v>27889</v>
      </c>
      <c r="AH4588" t="s">
        <v>27890</v>
      </c>
      <c r="AI4588" t="s">
        <v>27891</v>
      </c>
    </row>
    <row r="4589" spans="2:35" ht="240">
      <c r="B4589" s="1">
        <v>45408</v>
      </c>
      <c r="C4589" s="4">
        <v>45408.642361111109</v>
      </c>
      <c r="D4589" t="s">
        <v>7743</v>
      </c>
      <c r="E4589" t="s">
        <v>27892</v>
      </c>
      <c r="F4589">
        <v>11</v>
      </c>
      <c r="G4589" t="s">
        <v>1205</v>
      </c>
      <c r="H4589" t="s">
        <v>202</v>
      </c>
      <c r="I4589" t="s">
        <v>40</v>
      </c>
      <c r="J4589" s="2" t="s">
        <v>355</v>
      </c>
      <c r="K4589" t="s">
        <v>42</v>
      </c>
      <c r="L4589" t="s">
        <v>204</v>
      </c>
      <c r="N4589" t="s">
        <v>205</v>
      </c>
      <c r="Q4589">
        <v>27956</v>
      </c>
      <c r="R4589" t="s">
        <v>119</v>
      </c>
      <c r="S4589" t="s">
        <v>7745</v>
      </c>
      <c r="T4589">
        <v>26.5</v>
      </c>
      <c r="U4589" s="2" t="s">
        <v>20538</v>
      </c>
      <c r="W4589" t="s">
        <v>23237</v>
      </c>
      <c r="X4589">
        <v>838492</v>
      </c>
      <c r="Y4589" t="s">
        <v>27893</v>
      </c>
      <c r="Z4589" t="s">
        <v>27894</v>
      </c>
      <c r="AA4589" t="s">
        <v>25174</v>
      </c>
      <c r="AB4589" s="2" t="s">
        <v>27895</v>
      </c>
      <c r="AC4589" t="s">
        <v>27896</v>
      </c>
      <c r="AG4589" t="s">
        <v>27897</v>
      </c>
      <c r="AH4589" t="s">
        <v>27898</v>
      </c>
      <c r="AI4589" t="s">
        <v>27899</v>
      </c>
    </row>
    <row r="4590" spans="2:35" ht="285">
      <c r="B4590" s="1">
        <v>45408</v>
      </c>
      <c r="C4590" s="4">
        <v>45408.570138888892</v>
      </c>
      <c r="D4590" t="s">
        <v>1316</v>
      </c>
      <c r="E4590" t="s">
        <v>27900</v>
      </c>
      <c r="F4590">
        <v>11</v>
      </c>
      <c r="G4590" t="s">
        <v>1205</v>
      </c>
      <c r="H4590" t="s">
        <v>1317</v>
      </c>
      <c r="I4590" t="s">
        <v>40</v>
      </c>
      <c r="J4590" s="2" t="s">
        <v>4208</v>
      </c>
      <c r="K4590" t="s">
        <v>42</v>
      </c>
      <c r="L4590" t="s">
        <v>204</v>
      </c>
      <c r="N4590" t="s">
        <v>205</v>
      </c>
      <c r="Q4590">
        <v>27955</v>
      </c>
      <c r="R4590" t="s">
        <v>322</v>
      </c>
      <c r="S4590" t="s">
        <v>1318</v>
      </c>
      <c r="T4590">
        <v>27.5</v>
      </c>
      <c r="U4590" s="2" t="s">
        <v>27901</v>
      </c>
      <c r="W4590" t="s">
        <v>23237</v>
      </c>
      <c r="X4590">
        <v>839236</v>
      </c>
      <c r="Y4590" s="2" t="s">
        <v>27902</v>
      </c>
      <c r="Z4590" s="2" t="s">
        <v>1892</v>
      </c>
      <c r="AA4590" t="s">
        <v>2924</v>
      </c>
      <c r="AB4590" t="s">
        <v>27903</v>
      </c>
      <c r="AG4590" t="s">
        <v>27904</v>
      </c>
      <c r="AH4590" t="s">
        <v>27905</v>
      </c>
      <c r="AI4590" t="s">
        <v>27906</v>
      </c>
    </row>
    <row r="4591" spans="2:35" ht="285">
      <c r="B4591" s="1">
        <v>45408</v>
      </c>
      <c r="C4591" s="4">
        <v>45408.575694444444</v>
      </c>
      <c r="D4591" t="s">
        <v>1316</v>
      </c>
      <c r="E4591" t="s">
        <v>27900</v>
      </c>
      <c r="F4591">
        <v>11</v>
      </c>
      <c r="G4591" t="s">
        <v>1205</v>
      </c>
      <c r="H4591" t="s">
        <v>1317</v>
      </c>
      <c r="I4591" t="s">
        <v>40</v>
      </c>
      <c r="J4591" s="2" t="s">
        <v>4208</v>
      </c>
      <c r="K4591" t="s">
        <v>42</v>
      </c>
      <c r="L4591" t="s">
        <v>204</v>
      </c>
      <c r="N4591" t="s">
        <v>205</v>
      </c>
      <c r="Q4591">
        <v>27954</v>
      </c>
      <c r="R4591" t="s">
        <v>119</v>
      </c>
      <c r="S4591" t="s">
        <v>1318</v>
      </c>
      <c r="T4591">
        <v>26.5</v>
      </c>
      <c r="U4591" s="2" t="s">
        <v>27907</v>
      </c>
      <c r="W4591" t="s">
        <v>24154</v>
      </c>
      <c r="X4591">
        <v>838262</v>
      </c>
      <c r="Y4591" t="s">
        <v>2851</v>
      </c>
      <c r="Z4591" s="2" t="s">
        <v>27908</v>
      </c>
      <c r="AA4591" t="s">
        <v>2551</v>
      </c>
      <c r="AB4591" t="s">
        <v>27909</v>
      </c>
      <c r="AC4591" t="s">
        <v>27910</v>
      </c>
      <c r="AG4591" t="s">
        <v>27911</v>
      </c>
      <c r="AH4591" t="s">
        <v>27912</v>
      </c>
      <c r="AI4591" t="s">
        <v>27913</v>
      </c>
    </row>
    <row r="4592" spans="2:35" ht="285">
      <c r="B4592" s="1">
        <v>45408</v>
      </c>
      <c r="C4592" s="4">
        <v>45408.588194444441</v>
      </c>
      <c r="D4592" t="s">
        <v>1071</v>
      </c>
      <c r="E4592" t="s">
        <v>1555</v>
      </c>
      <c r="F4592">
        <v>7</v>
      </c>
      <c r="G4592" t="s">
        <v>432</v>
      </c>
      <c r="H4592" t="s">
        <v>150</v>
      </c>
      <c r="I4592" t="s">
        <v>40</v>
      </c>
      <c r="J4592" t="s">
        <v>109</v>
      </c>
      <c r="K4592" t="s">
        <v>42</v>
      </c>
      <c r="L4592" t="s">
        <v>343</v>
      </c>
      <c r="N4592" t="s">
        <v>344</v>
      </c>
      <c r="Q4592">
        <v>27952</v>
      </c>
      <c r="R4592" t="s">
        <v>119</v>
      </c>
      <c r="S4592" t="s">
        <v>8679</v>
      </c>
      <c r="T4592">
        <v>26</v>
      </c>
      <c r="U4592" s="2" t="s">
        <v>27914</v>
      </c>
      <c r="W4592" t="s">
        <v>6105</v>
      </c>
      <c r="X4592">
        <v>838285</v>
      </c>
      <c r="Y4592" t="s">
        <v>301</v>
      </c>
      <c r="Z4592" t="s">
        <v>301</v>
      </c>
      <c r="AA4592" t="e">
        <f ca="1">-Preventive Maintenance
-Backup database
-ARCHIVE tests</f>
        <v>#NAME?</v>
      </c>
      <c r="AB4592" t="s">
        <v>27915</v>
      </c>
      <c r="AG4592" t="s">
        <v>27916</v>
      </c>
      <c r="AH4592" t="s">
        <v>16851</v>
      </c>
      <c r="AI4592" t="s">
        <v>27917</v>
      </c>
    </row>
    <row r="4593" spans="2:35" ht="285">
      <c r="B4593" s="1">
        <v>45408</v>
      </c>
      <c r="C4593" s="4">
        <v>45408.585416666669</v>
      </c>
      <c r="D4593" t="s">
        <v>1071</v>
      </c>
      <c r="E4593" t="s">
        <v>1555</v>
      </c>
      <c r="F4593">
        <v>7</v>
      </c>
      <c r="G4593" t="s">
        <v>432</v>
      </c>
      <c r="H4593" t="s">
        <v>150</v>
      </c>
      <c r="I4593" t="s">
        <v>40</v>
      </c>
      <c r="J4593" t="s">
        <v>109</v>
      </c>
      <c r="K4593" t="s">
        <v>42</v>
      </c>
      <c r="L4593" t="s">
        <v>343</v>
      </c>
      <c r="N4593" t="s">
        <v>344</v>
      </c>
      <c r="Q4593">
        <v>27953</v>
      </c>
      <c r="R4593" t="s">
        <v>119</v>
      </c>
      <c r="S4593" t="s">
        <v>8679</v>
      </c>
      <c r="T4593">
        <v>25</v>
      </c>
      <c r="U4593" s="2" t="s">
        <v>27918</v>
      </c>
      <c r="W4593" t="s">
        <v>6105</v>
      </c>
      <c r="X4593">
        <v>820206</v>
      </c>
      <c r="Y4593" t="s">
        <v>301</v>
      </c>
      <c r="Z4593" t="s">
        <v>301</v>
      </c>
      <c r="AA4593" t="e">
        <f ca="1">-Preventive Maintenance
-Backup database
-ARCHIVE tests</f>
        <v>#NAME?</v>
      </c>
      <c r="AB4593" t="s">
        <v>9638</v>
      </c>
      <c r="AG4593" t="s">
        <v>27919</v>
      </c>
      <c r="AH4593" t="s">
        <v>16851</v>
      </c>
      <c r="AI4593" t="s">
        <v>27920</v>
      </c>
    </row>
    <row r="4594" spans="2:35" ht="375">
      <c r="B4594" s="1">
        <v>45408</v>
      </c>
      <c r="C4594" s="4">
        <v>45408.5625</v>
      </c>
      <c r="D4594" t="s">
        <v>25396</v>
      </c>
      <c r="E4594" t="s">
        <v>25397</v>
      </c>
      <c r="F4594">
        <v>3</v>
      </c>
      <c r="G4594" t="s">
        <v>284</v>
      </c>
      <c r="H4594" t="s">
        <v>39</v>
      </c>
      <c r="I4594" t="s">
        <v>40</v>
      </c>
      <c r="J4594" s="2" t="s">
        <v>190</v>
      </c>
      <c r="K4594" t="s">
        <v>42</v>
      </c>
      <c r="L4594" t="s">
        <v>135</v>
      </c>
      <c r="N4594" t="s">
        <v>136</v>
      </c>
      <c r="Q4594">
        <v>27951</v>
      </c>
      <c r="R4594" t="s">
        <v>119</v>
      </c>
      <c r="S4594" t="s">
        <v>25398</v>
      </c>
      <c r="T4594">
        <v>29</v>
      </c>
      <c r="U4594" s="2" t="s">
        <v>27921</v>
      </c>
      <c r="W4594" t="s">
        <v>2680</v>
      </c>
      <c r="X4594">
        <v>831688</v>
      </c>
      <c r="Y4594" s="2" t="s">
        <v>27922</v>
      </c>
      <c r="Z4594" s="2" t="s">
        <v>15166</v>
      </c>
      <c r="AA4594" s="2" t="s">
        <v>27923</v>
      </c>
      <c r="AB4594" s="2" t="s">
        <v>27924</v>
      </c>
      <c r="AG4594" t="s">
        <v>27925</v>
      </c>
      <c r="AH4594" t="s">
        <v>27926</v>
      </c>
      <c r="AI4594" t="s">
        <v>27927</v>
      </c>
    </row>
    <row r="4595" spans="2:35" ht="285">
      <c r="B4595" s="1">
        <v>45408</v>
      </c>
      <c r="C4595" s="4">
        <v>45408.540972222225</v>
      </c>
      <c r="D4595" t="s">
        <v>2364</v>
      </c>
      <c r="E4595" t="s">
        <v>5041</v>
      </c>
      <c r="F4595">
        <v>12</v>
      </c>
      <c r="G4595" t="s">
        <v>978</v>
      </c>
      <c r="H4595" t="s">
        <v>1473</v>
      </c>
      <c r="I4595" t="s">
        <v>40</v>
      </c>
      <c r="J4595" s="2" t="s">
        <v>190</v>
      </c>
      <c r="K4595" t="s">
        <v>42</v>
      </c>
      <c r="L4595" t="s">
        <v>296</v>
      </c>
      <c r="N4595" t="s">
        <v>297</v>
      </c>
      <c r="Q4595">
        <v>27950</v>
      </c>
      <c r="R4595" t="s">
        <v>119</v>
      </c>
      <c r="S4595" t="s">
        <v>7484</v>
      </c>
      <c r="T4595">
        <v>27.3</v>
      </c>
      <c r="U4595" s="2" t="s">
        <v>27928</v>
      </c>
      <c r="W4595" t="s">
        <v>23049</v>
      </c>
      <c r="X4595">
        <v>838570</v>
      </c>
      <c r="Y4595" t="s">
        <v>27929</v>
      </c>
      <c r="Z4595" s="2" t="s">
        <v>27930</v>
      </c>
      <c r="AA4595" s="2" t="s">
        <v>12832</v>
      </c>
      <c r="AB4595" t="s">
        <v>1480</v>
      </c>
      <c r="AG4595" t="s">
        <v>27931</v>
      </c>
      <c r="AH4595" t="s">
        <v>27932</v>
      </c>
      <c r="AI4595" t="s">
        <v>27933</v>
      </c>
    </row>
    <row r="4596" spans="2:35" ht="270">
      <c r="B4596" s="1">
        <v>45408</v>
      </c>
      <c r="C4596" s="4">
        <v>45408.476388888892</v>
      </c>
      <c r="D4596" t="s">
        <v>1351</v>
      </c>
      <c r="E4596" t="s">
        <v>27934</v>
      </c>
      <c r="F4596">
        <v>3</v>
      </c>
      <c r="G4596" t="s">
        <v>284</v>
      </c>
      <c r="H4596" t="s">
        <v>39</v>
      </c>
      <c r="I4596" t="s">
        <v>40</v>
      </c>
      <c r="J4596" t="s">
        <v>109</v>
      </c>
      <c r="K4596" t="s">
        <v>42</v>
      </c>
      <c r="L4596" t="s">
        <v>135</v>
      </c>
      <c r="N4596" t="s">
        <v>136</v>
      </c>
      <c r="Q4596">
        <v>27949</v>
      </c>
      <c r="R4596" t="s">
        <v>119</v>
      </c>
      <c r="S4596" t="s">
        <v>285</v>
      </c>
      <c r="T4596">
        <v>30</v>
      </c>
      <c r="U4596" s="2" t="s">
        <v>19100</v>
      </c>
      <c r="W4596" t="s">
        <v>2680</v>
      </c>
      <c r="X4596">
        <v>831878</v>
      </c>
      <c r="Y4596" t="s">
        <v>7229</v>
      </c>
      <c r="Z4596" t="s">
        <v>4315</v>
      </c>
      <c r="AA4596" s="2" t="s">
        <v>27935</v>
      </c>
      <c r="AB4596" t="s">
        <v>181</v>
      </c>
      <c r="AG4596" t="s">
        <v>27936</v>
      </c>
      <c r="AH4596" t="s">
        <v>290</v>
      </c>
      <c r="AI4596" t="s">
        <v>27937</v>
      </c>
    </row>
    <row r="4597" spans="2:35" ht="405">
      <c r="B4597" s="1">
        <v>45408</v>
      </c>
      <c r="C4597" s="4">
        <v>45408.376388888886</v>
      </c>
      <c r="D4597" t="s">
        <v>7155</v>
      </c>
      <c r="E4597" t="s">
        <v>27938</v>
      </c>
      <c r="F4597">
        <v>5</v>
      </c>
      <c r="G4597" t="s">
        <v>759</v>
      </c>
      <c r="H4597" t="s">
        <v>39</v>
      </c>
      <c r="I4597" t="s">
        <v>94</v>
      </c>
      <c r="J4597" s="2" t="s">
        <v>62</v>
      </c>
      <c r="K4597" t="s">
        <v>42</v>
      </c>
      <c r="L4597" t="s">
        <v>761</v>
      </c>
      <c r="N4597" t="s">
        <v>762</v>
      </c>
      <c r="Q4597">
        <v>27948</v>
      </c>
      <c r="R4597" t="s">
        <v>119</v>
      </c>
      <c r="S4597" t="s">
        <v>7158</v>
      </c>
      <c r="T4597">
        <v>24</v>
      </c>
      <c r="U4597" s="2" t="s">
        <v>8751</v>
      </c>
      <c r="W4597" t="s">
        <v>765</v>
      </c>
      <c r="X4597">
        <v>838496</v>
      </c>
      <c r="Y4597" t="s">
        <v>5500</v>
      </c>
      <c r="Z4597" s="2" t="s">
        <v>27939</v>
      </c>
      <c r="AA4597" s="2" t="s">
        <v>4477</v>
      </c>
      <c r="AB4597" t="s">
        <v>70</v>
      </c>
      <c r="AG4597" t="s">
        <v>27940</v>
      </c>
      <c r="AH4597" t="s">
        <v>21267</v>
      </c>
      <c r="AI4597" t="s">
        <v>27941</v>
      </c>
    </row>
    <row r="4598" spans="2:35" ht="165">
      <c r="B4598" s="1">
        <v>45407</v>
      </c>
      <c r="C4598" s="4">
        <v>45407.65347222222</v>
      </c>
      <c r="D4598" t="s">
        <v>27942</v>
      </c>
      <c r="E4598" t="s">
        <v>27943</v>
      </c>
      <c r="F4598">
        <v>3</v>
      </c>
      <c r="G4598" t="s">
        <v>1722</v>
      </c>
      <c r="H4598" t="s">
        <v>27944</v>
      </c>
      <c r="I4598" t="s">
        <v>40</v>
      </c>
      <c r="J4598" s="2" t="s">
        <v>190</v>
      </c>
      <c r="K4598" t="s">
        <v>42</v>
      </c>
      <c r="L4598" t="s">
        <v>63</v>
      </c>
      <c r="N4598" t="s">
        <v>64</v>
      </c>
      <c r="Q4598">
        <v>27947</v>
      </c>
      <c r="R4598" t="s">
        <v>119</v>
      </c>
      <c r="S4598" t="s">
        <v>27945</v>
      </c>
      <c r="T4598">
        <v>27</v>
      </c>
      <c r="U4598" s="2" t="s">
        <v>27946</v>
      </c>
      <c r="W4598" t="s">
        <v>27947</v>
      </c>
      <c r="X4598">
        <v>831599</v>
      </c>
      <c r="Y4598" t="s">
        <v>27948</v>
      </c>
      <c r="Z4598" t="s">
        <v>27949</v>
      </c>
      <c r="AA4598" s="2" t="s">
        <v>1727</v>
      </c>
      <c r="AB4598" t="s">
        <v>70</v>
      </c>
      <c r="AG4598" t="s">
        <v>27950</v>
      </c>
      <c r="AH4598" t="s">
        <v>27951</v>
      </c>
      <c r="AI4598" t="s">
        <v>27952</v>
      </c>
    </row>
    <row r="4599" spans="2:35" ht="105">
      <c r="B4599" s="1">
        <v>45407</v>
      </c>
      <c r="C4599" s="4">
        <v>45407.625694444447</v>
      </c>
      <c r="D4599" t="s">
        <v>10354</v>
      </c>
      <c r="E4599" t="s">
        <v>19614</v>
      </c>
      <c r="F4599">
        <v>7</v>
      </c>
      <c r="G4599" t="s">
        <v>6529</v>
      </c>
      <c r="H4599" t="s">
        <v>10969</v>
      </c>
      <c r="I4599" t="s">
        <v>40</v>
      </c>
      <c r="J4599" t="s">
        <v>109</v>
      </c>
      <c r="K4599" t="s">
        <v>42</v>
      </c>
      <c r="L4599" t="s">
        <v>1288</v>
      </c>
      <c r="N4599" t="s">
        <v>1289</v>
      </c>
      <c r="Q4599">
        <v>27946</v>
      </c>
      <c r="R4599" t="s">
        <v>119</v>
      </c>
      <c r="S4599" t="s">
        <v>14511</v>
      </c>
      <c r="T4599">
        <v>27</v>
      </c>
      <c r="U4599" s="2" t="s">
        <v>8372</v>
      </c>
      <c r="W4599" t="s">
        <v>1292</v>
      </c>
      <c r="X4599">
        <v>838494</v>
      </c>
      <c r="Y4599" t="e">
        <f ca="1">-_xludf.For Preventive Maintenance</f>
        <v>#NAME?</v>
      </c>
      <c r="Z4599" t="e">
        <f ca="1">-COLLECT IQR,system _xludf.Log, _xludf.and ARCHIVE</f>
        <v>#NAME?</v>
      </c>
      <c r="AA4599" t="e">
        <f ca="1">-PERFORM Cleaning _xludf.and Preventive Maintenance PROCEDURE
-_xludf.Replace FAN _xludf.filter</f>
        <v>#NAME?</v>
      </c>
      <c r="AB4599" t="s">
        <v>1293</v>
      </c>
      <c r="AG4599" t="s">
        <v>27953</v>
      </c>
      <c r="AH4599" t="s">
        <v>27954</v>
      </c>
      <c r="AI4599" t="s">
        <v>27955</v>
      </c>
    </row>
    <row r="4600" spans="2:35" ht="409.5">
      <c r="B4600" s="1">
        <v>45407</v>
      </c>
      <c r="C4600" s="4">
        <v>45407.620833333334</v>
      </c>
      <c r="D4600" t="s">
        <v>19746</v>
      </c>
      <c r="E4600" t="s">
        <v>19747</v>
      </c>
      <c r="F4600">
        <v>7</v>
      </c>
      <c r="G4600" t="s">
        <v>6529</v>
      </c>
      <c r="H4600" t="s">
        <v>1047</v>
      </c>
      <c r="I4600" t="s">
        <v>40</v>
      </c>
      <c r="J4600" s="2" t="s">
        <v>41</v>
      </c>
      <c r="K4600" t="s">
        <v>42</v>
      </c>
      <c r="L4600" t="s">
        <v>1288</v>
      </c>
      <c r="N4600" t="s">
        <v>1289</v>
      </c>
      <c r="Q4600">
        <v>27945</v>
      </c>
      <c r="R4600" t="s">
        <v>119</v>
      </c>
      <c r="S4600" t="s">
        <v>27956</v>
      </c>
      <c r="T4600">
        <v>28</v>
      </c>
      <c r="U4600" s="2" t="s">
        <v>27957</v>
      </c>
      <c r="W4600" t="s">
        <v>1292</v>
      </c>
      <c r="X4600">
        <v>838394</v>
      </c>
      <c r="Y4600" t="e">
        <f ca="1">-_xludf.For Barcode scanner Replacement
-_xludf.For Preventive Maintenance</f>
        <v>#NAME?</v>
      </c>
      <c r="Z4600" t="e">
        <f ca="1">-COLLECT IQR, system _xludf.Log, _xludf.and ARCHIVE</f>
        <v>#NAME?</v>
      </c>
      <c r="AA4600" s="2" t="s">
        <v>27958</v>
      </c>
      <c r="AB4600" t="s">
        <v>1293</v>
      </c>
      <c r="AG4600" t="s">
        <v>27959</v>
      </c>
      <c r="AH4600" t="s">
        <v>19750</v>
      </c>
      <c r="AI4600" t="s">
        <v>27960</v>
      </c>
    </row>
    <row r="4601" spans="2:35" ht="165">
      <c r="B4601" s="1">
        <v>45407</v>
      </c>
      <c r="C4601" s="4">
        <v>45407.615277777775</v>
      </c>
      <c r="D4601" t="s">
        <v>19660</v>
      </c>
      <c r="E4601" t="s">
        <v>19661</v>
      </c>
      <c r="F4601">
        <v>7</v>
      </c>
      <c r="G4601" t="s">
        <v>6529</v>
      </c>
      <c r="H4601" t="s">
        <v>10969</v>
      </c>
      <c r="I4601" t="s">
        <v>40</v>
      </c>
      <c r="J4601" t="s">
        <v>109</v>
      </c>
      <c r="K4601" t="s">
        <v>42</v>
      </c>
      <c r="L4601" t="s">
        <v>1288</v>
      </c>
      <c r="N4601" t="s">
        <v>1289</v>
      </c>
      <c r="Q4601">
        <v>27944</v>
      </c>
      <c r="R4601" t="s">
        <v>119</v>
      </c>
      <c r="S4601" t="s">
        <v>19662</v>
      </c>
      <c r="T4601">
        <v>30</v>
      </c>
      <c r="U4601" s="2" t="s">
        <v>27961</v>
      </c>
      <c r="W4601" t="s">
        <v>1292</v>
      </c>
      <c r="X4601">
        <v>838292</v>
      </c>
      <c r="Y4601" s="2" t="s">
        <v>27962</v>
      </c>
      <c r="Z4601" t="e">
        <f ca="1">-COLLECT IQR,system _xludf.Log, _xludf.and ARCHIVE</f>
        <v>#NAME?</v>
      </c>
      <c r="AA4601" t="e">
        <f ca="1">-PERFORM Cleaning _xludf.and Preventive Maintenance PROCEDURE
-_xludf.Replace FAN _xludf.filter
-Unable to PERFORM CALIBRATION DUE to Valve MISALIGNMENT</f>
        <v>#NAME?</v>
      </c>
      <c r="AB4601" t="s">
        <v>1293</v>
      </c>
      <c r="AC4601" t="s">
        <v>16602</v>
      </c>
      <c r="AG4601" t="s">
        <v>27963</v>
      </c>
      <c r="AH4601" t="s">
        <v>27964</v>
      </c>
      <c r="AI4601" t="s">
        <v>27965</v>
      </c>
    </row>
    <row r="4602" spans="2:35" ht="165">
      <c r="B4602" s="1">
        <v>45407</v>
      </c>
      <c r="C4602" s="4">
        <v>45407.574999999997</v>
      </c>
      <c r="D4602" t="s">
        <v>23687</v>
      </c>
      <c r="E4602" t="s">
        <v>27966</v>
      </c>
      <c r="F4602">
        <v>3</v>
      </c>
      <c r="G4602" t="s">
        <v>1722</v>
      </c>
      <c r="H4602" t="s">
        <v>39</v>
      </c>
      <c r="I4602" t="s">
        <v>40</v>
      </c>
      <c r="J4602" t="s">
        <v>109</v>
      </c>
      <c r="K4602" t="s">
        <v>42</v>
      </c>
      <c r="L4602" t="s">
        <v>63</v>
      </c>
      <c r="N4602" t="s">
        <v>64</v>
      </c>
      <c r="Q4602">
        <v>27943</v>
      </c>
      <c r="R4602" t="s">
        <v>119</v>
      </c>
      <c r="S4602" t="s">
        <v>23689</v>
      </c>
      <c r="T4602">
        <v>29</v>
      </c>
      <c r="U4602" s="2" t="s">
        <v>27967</v>
      </c>
      <c r="W4602" t="s">
        <v>27947</v>
      </c>
      <c r="X4602">
        <v>831592</v>
      </c>
      <c r="Y4602" t="s">
        <v>67</v>
      </c>
      <c r="Z4602" t="s">
        <v>27968</v>
      </c>
      <c r="AA4602" s="2" t="s">
        <v>1727</v>
      </c>
      <c r="AB4602" t="s">
        <v>70</v>
      </c>
      <c r="AG4602" t="s">
        <v>27969</v>
      </c>
      <c r="AH4602" t="s">
        <v>23694</v>
      </c>
      <c r="AI4602" t="s">
        <v>27970</v>
      </c>
    </row>
    <row r="4603" spans="2:35" ht="105">
      <c r="B4603" s="1">
        <v>45407</v>
      </c>
      <c r="C4603" s="4">
        <v>45407.547222222223</v>
      </c>
      <c r="D4603" t="s">
        <v>10465</v>
      </c>
      <c r="E4603" t="s">
        <v>10466</v>
      </c>
      <c r="F4603">
        <v>10</v>
      </c>
      <c r="G4603" t="s">
        <v>1395</v>
      </c>
      <c r="H4603" t="s">
        <v>2125</v>
      </c>
      <c r="I4603" t="s">
        <v>40</v>
      </c>
      <c r="J4603" t="s">
        <v>109</v>
      </c>
      <c r="K4603" t="s">
        <v>42</v>
      </c>
      <c r="L4603" t="s">
        <v>933</v>
      </c>
      <c r="N4603" t="s">
        <v>934</v>
      </c>
      <c r="Q4603">
        <v>27942</v>
      </c>
      <c r="R4603" t="s">
        <v>119</v>
      </c>
      <c r="S4603" t="s">
        <v>9174</v>
      </c>
      <c r="T4603">
        <v>30</v>
      </c>
      <c r="W4603" t="s">
        <v>3662</v>
      </c>
      <c r="X4603">
        <v>838557</v>
      </c>
      <c r="Y4603" t="s">
        <v>301</v>
      </c>
      <c r="Z4603" t="s">
        <v>301</v>
      </c>
      <c r="AA4603" s="2" t="s">
        <v>27971</v>
      </c>
      <c r="AB4603" t="s">
        <v>13650</v>
      </c>
      <c r="AG4603" t="s">
        <v>27972</v>
      </c>
      <c r="AH4603" t="s">
        <v>10469</v>
      </c>
      <c r="AI4603" t="s">
        <v>27973</v>
      </c>
    </row>
    <row r="4604" spans="2:35" ht="225">
      <c r="B4604" s="1">
        <v>45407</v>
      </c>
      <c r="C4604" s="4">
        <v>45407.475694444445</v>
      </c>
      <c r="D4604" t="s">
        <v>4190</v>
      </c>
      <c r="E4604" t="s">
        <v>27974</v>
      </c>
      <c r="F4604" t="s">
        <v>37</v>
      </c>
      <c r="G4604" t="s">
        <v>38</v>
      </c>
      <c r="H4604" t="s">
        <v>39</v>
      </c>
      <c r="I4604" t="s">
        <v>40</v>
      </c>
      <c r="J4604" t="s">
        <v>109</v>
      </c>
      <c r="K4604" t="s">
        <v>42</v>
      </c>
      <c r="L4604" t="s">
        <v>43</v>
      </c>
      <c r="N4604" t="s">
        <v>44</v>
      </c>
      <c r="Q4604">
        <v>27941</v>
      </c>
      <c r="R4604" t="s">
        <v>119</v>
      </c>
      <c r="S4604" t="s">
        <v>4192</v>
      </c>
      <c r="T4604">
        <v>24</v>
      </c>
      <c r="U4604" s="2" t="s">
        <v>24590</v>
      </c>
      <c r="W4604" t="s">
        <v>48</v>
      </c>
      <c r="X4604">
        <v>821293</v>
      </c>
      <c r="Y4604" t="s">
        <v>121</v>
      </c>
      <c r="Z4604" t="s">
        <v>122</v>
      </c>
      <c r="AA4604" s="2" t="s">
        <v>123</v>
      </c>
      <c r="AB4604" t="s">
        <v>88</v>
      </c>
      <c r="AG4604" t="s">
        <v>27975</v>
      </c>
      <c r="AH4604" t="s">
        <v>27976</v>
      </c>
      <c r="AI4604" t="s">
        <v>27977</v>
      </c>
    </row>
    <row r="4605" spans="2:35" ht="375">
      <c r="B4605" s="1">
        <v>45407</v>
      </c>
      <c r="C4605" s="4">
        <v>45407.496527777781</v>
      </c>
      <c r="D4605" t="s">
        <v>1026</v>
      </c>
      <c r="E4605" t="s">
        <v>1027</v>
      </c>
      <c r="F4605" t="s">
        <v>148</v>
      </c>
      <c r="G4605" t="s">
        <v>774</v>
      </c>
      <c r="H4605" t="s">
        <v>513</v>
      </c>
      <c r="I4605" t="s">
        <v>40</v>
      </c>
      <c r="J4605" t="s">
        <v>109</v>
      </c>
      <c r="K4605" t="s">
        <v>387</v>
      </c>
      <c r="L4605" t="s">
        <v>1028</v>
      </c>
      <c r="N4605" t="s">
        <v>1029</v>
      </c>
      <c r="O4605" t="s">
        <v>10944</v>
      </c>
      <c r="Q4605">
        <v>27940</v>
      </c>
      <c r="R4605" t="s">
        <v>322</v>
      </c>
      <c r="S4605" t="s">
        <v>10918</v>
      </c>
      <c r="T4605">
        <v>22</v>
      </c>
      <c r="W4605" t="s">
        <v>390</v>
      </c>
      <c r="X4605" t="s">
        <v>5184</v>
      </c>
      <c r="Y4605" t="s">
        <v>3127</v>
      </c>
      <c r="Z4605" t="s">
        <v>3128</v>
      </c>
      <c r="AA4605" s="2" t="s">
        <v>27978</v>
      </c>
      <c r="AB4605" t="s">
        <v>27979</v>
      </c>
      <c r="AG4605" t="s">
        <v>27980</v>
      </c>
      <c r="AH4605" t="s">
        <v>10923</v>
      </c>
      <c r="AI4605" t="s">
        <v>27981</v>
      </c>
    </row>
    <row r="4606" spans="2:35" ht="345">
      <c r="B4606" s="1">
        <v>45407</v>
      </c>
      <c r="C4606" s="4">
        <v>45407.492361111108</v>
      </c>
      <c r="D4606" t="s">
        <v>1026</v>
      </c>
      <c r="E4606" t="s">
        <v>5146</v>
      </c>
      <c r="F4606" t="s">
        <v>148</v>
      </c>
      <c r="G4606" t="s">
        <v>774</v>
      </c>
      <c r="H4606" t="s">
        <v>513</v>
      </c>
      <c r="I4606" t="s">
        <v>40</v>
      </c>
      <c r="J4606" t="s">
        <v>109</v>
      </c>
      <c r="K4606" t="s">
        <v>387</v>
      </c>
      <c r="L4606" t="s">
        <v>1028</v>
      </c>
      <c r="N4606" t="s">
        <v>1029</v>
      </c>
      <c r="O4606" t="s">
        <v>10944</v>
      </c>
      <c r="Q4606">
        <v>27939</v>
      </c>
      <c r="R4606" t="s">
        <v>322</v>
      </c>
      <c r="S4606" t="s">
        <v>10918</v>
      </c>
      <c r="T4606">
        <v>22</v>
      </c>
      <c r="W4606" t="s">
        <v>390</v>
      </c>
      <c r="X4606" t="s">
        <v>3773</v>
      </c>
      <c r="Y4606" t="s">
        <v>3127</v>
      </c>
      <c r="Z4606" t="s">
        <v>3128</v>
      </c>
      <c r="AA4606" s="2" t="s">
        <v>27982</v>
      </c>
      <c r="AB4606" t="s">
        <v>27979</v>
      </c>
      <c r="AG4606" t="s">
        <v>27983</v>
      </c>
      <c r="AH4606" t="s">
        <v>10923</v>
      </c>
      <c r="AI4606" t="s">
        <v>27984</v>
      </c>
    </row>
    <row r="4607" spans="2:35" ht="345">
      <c r="B4607" s="1">
        <v>45407</v>
      </c>
      <c r="C4607" s="4">
        <v>45407.432638888888</v>
      </c>
      <c r="D4607" t="s">
        <v>1026</v>
      </c>
      <c r="E4607" t="s">
        <v>1027</v>
      </c>
      <c r="F4607" t="s">
        <v>148</v>
      </c>
      <c r="G4607" t="s">
        <v>774</v>
      </c>
      <c r="H4607" t="s">
        <v>662</v>
      </c>
      <c r="I4607" t="s">
        <v>40</v>
      </c>
      <c r="J4607" t="s">
        <v>109</v>
      </c>
      <c r="K4607" t="s">
        <v>42</v>
      </c>
      <c r="L4607" t="s">
        <v>1028</v>
      </c>
      <c r="N4607" t="s">
        <v>1029</v>
      </c>
      <c r="Q4607">
        <v>27938</v>
      </c>
      <c r="R4607" t="s">
        <v>322</v>
      </c>
      <c r="S4607" t="s">
        <v>1030</v>
      </c>
      <c r="T4607">
        <v>23</v>
      </c>
      <c r="U4607" s="2" t="s">
        <v>27985</v>
      </c>
      <c r="W4607" t="s">
        <v>1032</v>
      </c>
      <c r="X4607">
        <v>110014996</v>
      </c>
      <c r="Y4607" t="s">
        <v>3127</v>
      </c>
      <c r="Z4607" t="s">
        <v>3128</v>
      </c>
      <c r="AA4607" s="2" t="s">
        <v>27986</v>
      </c>
      <c r="AB4607" t="s">
        <v>3063</v>
      </c>
      <c r="AC4607" t="s">
        <v>27987</v>
      </c>
      <c r="AG4607" t="s">
        <v>27988</v>
      </c>
      <c r="AH4607" t="s">
        <v>27989</v>
      </c>
      <c r="AI4607" t="s">
        <v>27990</v>
      </c>
    </row>
    <row r="4608" spans="2:35" ht="330">
      <c r="B4608" s="1">
        <v>45407</v>
      </c>
      <c r="C4608" s="4">
        <v>45405.48541666667</v>
      </c>
      <c r="D4608" t="s">
        <v>24738</v>
      </c>
      <c r="E4608" t="s">
        <v>27991</v>
      </c>
      <c r="F4608" t="s">
        <v>37</v>
      </c>
      <c r="G4608" t="s">
        <v>748</v>
      </c>
      <c r="H4608" t="s">
        <v>39</v>
      </c>
      <c r="I4608" t="s">
        <v>40</v>
      </c>
      <c r="J4608" s="2" t="s">
        <v>190</v>
      </c>
      <c r="K4608" t="s">
        <v>42</v>
      </c>
      <c r="L4608" t="s">
        <v>1028</v>
      </c>
      <c r="N4608" t="s">
        <v>1029</v>
      </c>
      <c r="Q4608">
        <v>27937</v>
      </c>
      <c r="R4608" t="s">
        <v>119</v>
      </c>
      <c r="S4608" t="s">
        <v>24740</v>
      </c>
      <c r="T4608">
        <v>25</v>
      </c>
      <c r="U4608" s="2" t="s">
        <v>27992</v>
      </c>
      <c r="W4608" t="s">
        <v>1967</v>
      </c>
      <c r="X4608">
        <v>821227</v>
      </c>
      <c r="Y4608" t="s">
        <v>27993</v>
      </c>
      <c r="Z4608" t="s">
        <v>4487</v>
      </c>
      <c r="AA4608" s="2" t="s">
        <v>27994</v>
      </c>
      <c r="AB4608" s="2" t="s">
        <v>27995</v>
      </c>
      <c r="AC4608" t="s">
        <v>27996</v>
      </c>
      <c r="AG4608" t="s">
        <v>27997</v>
      </c>
      <c r="AH4608" t="s">
        <v>27998</v>
      </c>
      <c r="AI4608" t="s">
        <v>27999</v>
      </c>
    </row>
    <row r="4609" spans="2:35" ht="285">
      <c r="B4609" s="1">
        <v>45407</v>
      </c>
      <c r="C4609" s="4">
        <v>45406.417361111111</v>
      </c>
      <c r="D4609" t="s">
        <v>8225</v>
      </c>
      <c r="E4609" t="s">
        <v>28000</v>
      </c>
      <c r="F4609" t="s">
        <v>37</v>
      </c>
      <c r="G4609" t="s">
        <v>748</v>
      </c>
      <c r="H4609" t="s">
        <v>39</v>
      </c>
      <c r="I4609" t="s">
        <v>40</v>
      </c>
      <c r="J4609" s="2" t="s">
        <v>62</v>
      </c>
      <c r="K4609" t="s">
        <v>42</v>
      </c>
      <c r="L4609" t="s">
        <v>1028</v>
      </c>
      <c r="N4609" t="s">
        <v>1029</v>
      </c>
      <c r="Q4609">
        <v>27936</v>
      </c>
      <c r="R4609" t="s">
        <v>322</v>
      </c>
      <c r="S4609" t="s">
        <v>12270</v>
      </c>
      <c r="T4609">
        <v>24</v>
      </c>
      <c r="U4609" s="2" t="s">
        <v>28001</v>
      </c>
      <c r="W4609" t="s">
        <v>1032</v>
      </c>
      <c r="X4609">
        <v>110016785</v>
      </c>
      <c r="Y4609" t="s">
        <v>18140</v>
      </c>
      <c r="Z4609" s="2" t="s">
        <v>28002</v>
      </c>
      <c r="AA4609" s="2" t="s">
        <v>28003</v>
      </c>
      <c r="AB4609" t="s">
        <v>3063</v>
      </c>
      <c r="AC4609" t="s">
        <v>28004</v>
      </c>
      <c r="AG4609" t="s">
        <v>28005</v>
      </c>
      <c r="AH4609" t="s">
        <v>28006</v>
      </c>
      <c r="AI4609" t="s">
        <v>28007</v>
      </c>
    </row>
    <row r="4610" spans="2:35" ht="195">
      <c r="B4610" s="1">
        <v>45407</v>
      </c>
      <c r="C4610" s="4">
        <v>45405.398611111108</v>
      </c>
      <c r="D4610" t="s">
        <v>3295</v>
      </c>
      <c r="E4610" t="s">
        <v>28008</v>
      </c>
      <c r="F4610" t="s">
        <v>37</v>
      </c>
      <c r="G4610" t="s">
        <v>748</v>
      </c>
      <c r="H4610" t="s">
        <v>39</v>
      </c>
      <c r="I4610" t="s">
        <v>40</v>
      </c>
      <c r="J4610" t="s">
        <v>79</v>
      </c>
      <c r="K4610" t="s">
        <v>42</v>
      </c>
      <c r="L4610" t="s">
        <v>1028</v>
      </c>
      <c r="N4610" t="s">
        <v>1029</v>
      </c>
      <c r="Q4610">
        <v>27935</v>
      </c>
      <c r="R4610" t="s">
        <v>703</v>
      </c>
      <c r="S4610" t="s">
        <v>18636</v>
      </c>
      <c r="T4610">
        <v>25</v>
      </c>
      <c r="U4610" s="2" t="s">
        <v>28009</v>
      </c>
      <c r="V4610" s="1">
        <v>45397</v>
      </c>
      <c r="W4610" t="s">
        <v>3299</v>
      </c>
      <c r="X4610">
        <v>842166</v>
      </c>
      <c r="Y4610" t="s">
        <v>28010</v>
      </c>
      <c r="Z4610" t="s">
        <v>2129</v>
      </c>
      <c r="AA4610" s="2" t="s">
        <v>28011</v>
      </c>
      <c r="AB4610" t="s">
        <v>3063</v>
      </c>
      <c r="AC4610" t="s">
        <v>28012</v>
      </c>
      <c r="AD4610" t="s">
        <v>6397</v>
      </c>
      <c r="AE4610">
        <v>11399</v>
      </c>
      <c r="AG4610" t="s">
        <v>28013</v>
      </c>
      <c r="AH4610" t="s">
        <v>23787</v>
      </c>
      <c r="AI4610" t="s">
        <v>28014</v>
      </c>
    </row>
    <row r="4611" spans="2:35" ht="210">
      <c r="B4611" s="1">
        <v>45407</v>
      </c>
      <c r="C4611" s="4">
        <v>45406.46875</v>
      </c>
      <c r="D4611" t="s">
        <v>2257</v>
      </c>
      <c r="E4611" t="s">
        <v>28015</v>
      </c>
      <c r="F4611" t="s">
        <v>37</v>
      </c>
      <c r="G4611" t="s">
        <v>748</v>
      </c>
      <c r="H4611" t="s">
        <v>39</v>
      </c>
      <c r="I4611" t="s">
        <v>40</v>
      </c>
      <c r="J4611" t="s">
        <v>109</v>
      </c>
      <c r="K4611" t="s">
        <v>42</v>
      </c>
      <c r="L4611" t="s">
        <v>1028</v>
      </c>
      <c r="N4611" t="s">
        <v>1029</v>
      </c>
      <c r="Q4611">
        <v>27934</v>
      </c>
      <c r="R4611" t="s">
        <v>119</v>
      </c>
      <c r="S4611" t="s">
        <v>8974</v>
      </c>
      <c r="T4611">
        <v>24</v>
      </c>
      <c r="U4611" s="2" t="s">
        <v>3973</v>
      </c>
      <c r="W4611" t="s">
        <v>1967</v>
      </c>
      <c r="X4611">
        <v>838537</v>
      </c>
      <c r="Y4611" t="s">
        <v>3127</v>
      </c>
      <c r="Z4611" t="s">
        <v>3128</v>
      </c>
      <c r="AA4611" s="2" t="s">
        <v>28016</v>
      </c>
      <c r="AB4611" s="2" t="s">
        <v>28017</v>
      </c>
      <c r="AC4611" t="s">
        <v>28018</v>
      </c>
      <c r="AG4611" t="s">
        <v>28019</v>
      </c>
      <c r="AH4611" t="s">
        <v>8978</v>
      </c>
      <c r="AI4611" t="s">
        <v>28020</v>
      </c>
    </row>
    <row r="4612" spans="2:35" ht="409.5">
      <c r="B4612" s="1">
        <v>45407</v>
      </c>
      <c r="C4612" s="4">
        <v>45407.447916666664</v>
      </c>
      <c r="D4612" t="s">
        <v>22325</v>
      </c>
      <c r="E4612" t="s">
        <v>22326</v>
      </c>
      <c r="F4612" t="s">
        <v>37</v>
      </c>
      <c r="G4612" t="s">
        <v>78</v>
      </c>
      <c r="H4612" t="s">
        <v>39</v>
      </c>
      <c r="I4612" t="s">
        <v>40</v>
      </c>
      <c r="J4612" t="s">
        <v>109</v>
      </c>
      <c r="K4612" t="s">
        <v>42</v>
      </c>
      <c r="L4612" t="s">
        <v>1943</v>
      </c>
      <c r="N4612" t="s">
        <v>1944</v>
      </c>
      <c r="Q4612">
        <v>27933</v>
      </c>
      <c r="R4612" t="s">
        <v>119</v>
      </c>
      <c r="S4612" t="s">
        <v>28021</v>
      </c>
      <c r="T4612">
        <v>25</v>
      </c>
      <c r="W4612" t="s">
        <v>84</v>
      </c>
      <c r="X4612">
        <v>821224</v>
      </c>
      <c r="Y4612" t="s">
        <v>2099</v>
      </c>
      <c r="Z4612" t="s">
        <v>2100</v>
      </c>
      <c r="AA4612" s="2" t="s">
        <v>2101</v>
      </c>
      <c r="AB4612" t="s">
        <v>88</v>
      </c>
      <c r="AG4612" t="s">
        <v>28022</v>
      </c>
      <c r="AH4612" t="s">
        <v>28023</v>
      </c>
      <c r="AI4612" t="s">
        <v>28024</v>
      </c>
    </row>
    <row r="4613" spans="2:35" ht="285">
      <c r="B4613" s="1">
        <v>45407</v>
      </c>
      <c r="C4613" s="4">
        <v>45406.631944444445</v>
      </c>
      <c r="D4613" t="s">
        <v>4553</v>
      </c>
      <c r="E4613" t="s">
        <v>28025</v>
      </c>
      <c r="F4613" t="s">
        <v>148</v>
      </c>
      <c r="G4613" t="s">
        <v>149</v>
      </c>
      <c r="H4613" t="s">
        <v>39</v>
      </c>
      <c r="I4613" t="s">
        <v>40</v>
      </c>
      <c r="J4613" t="s">
        <v>109</v>
      </c>
      <c r="K4613" t="s">
        <v>42</v>
      </c>
      <c r="L4613" t="s">
        <v>43</v>
      </c>
      <c r="N4613" t="s">
        <v>44</v>
      </c>
      <c r="Q4613">
        <v>27932</v>
      </c>
      <c r="R4613" t="s">
        <v>119</v>
      </c>
      <c r="S4613" t="s">
        <v>4555</v>
      </c>
      <c r="T4613">
        <v>24</v>
      </c>
      <c r="U4613" s="2" t="s">
        <v>28026</v>
      </c>
      <c r="W4613" t="s">
        <v>48</v>
      </c>
      <c r="X4613">
        <v>831598</v>
      </c>
      <c r="Y4613" t="s">
        <v>121</v>
      </c>
      <c r="Z4613" t="s">
        <v>122</v>
      </c>
      <c r="AA4613" s="2" t="s">
        <v>14566</v>
      </c>
      <c r="AB4613" t="s">
        <v>28027</v>
      </c>
      <c r="AG4613" t="s">
        <v>28028</v>
      </c>
      <c r="AH4613" t="s">
        <v>27358</v>
      </c>
      <c r="AI4613" t="s">
        <v>28029</v>
      </c>
    </row>
    <row r="4614" spans="2:35" ht="409.5">
      <c r="B4614" s="1">
        <v>45407</v>
      </c>
      <c r="C4614" s="4">
        <v>45407.390972222223</v>
      </c>
      <c r="D4614" t="s">
        <v>23182</v>
      </c>
      <c r="E4614" t="s">
        <v>23183</v>
      </c>
      <c r="F4614" t="s">
        <v>37</v>
      </c>
      <c r="G4614" t="s">
        <v>78</v>
      </c>
      <c r="H4614" t="s">
        <v>39</v>
      </c>
      <c r="I4614" t="s">
        <v>40</v>
      </c>
      <c r="J4614" t="s">
        <v>109</v>
      </c>
      <c r="K4614" t="s">
        <v>42</v>
      </c>
      <c r="L4614" t="s">
        <v>1943</v>
      </c>
      <c r="N4614" t="s">
        <v>1944</v>
      </c>
      <c r="Q4614">
        <v>27931</v>
      </c>
      <c r="R4614" t="s">
        <v>119</v>
      </c>
      <c r="S4614" t="s">
        <v>28030</v>
      </c>
      <c r="T4614">
        <v>27</v>
      </c>
      <c r="W4614" t="s">
        <v>84</v>
      </c>
      <c r="X4614">
        <v>821189</v>
      </c>
      <c r="Y4614" t="s">
        <v>28031</v>
      </c>
      <c r="Z4614" t="s">
        <v>2100</v>
      </c>
      <c r="AA4614" s="2" t="s">
        <v>2101</v>
      </c>
      <c r="AB4614" t="s">
        <v>88</v>
      </c>
      <c r="AG4614" t="s">
        <v>28032</v>
      </c>
      <c r="AH4614" t="s">
        <v>28033</v>
      </c>
      <c r="AI4614" t="s">
        <v>28034</v>
      </c>
    </row>
    <row r="4615" spans="2:35" ht="405">
      <c r="B4615" s="1">
        <v>45406</v>
      </c>
      <c r="C4615" s="4">
        <v>45406.720138888886</v>
      </c>
      <c r="D4615" t="s">
        <v>19677</v>
      </c>
      <c r="E4615" t="s">
        <v>19678</v>
      </c>
      <c r="F4615">
        <v>7</v>
      </c>
      <c r="G4615" t="s">
        <v>6529</v>
      </c>
      <c r="H4615" t="s">
        <v>10969</v>
      </c>
      <c r="I4615" t="s">
        <v>40</v>
      </c>
      <c r="J4615" s="2" t="s">
        <v>62</v>
      </c>
      <c r="K4615" t="s">
        <v>42</v>
      </c>
      <c r="L4615" t="s">
        <v>1288</v>
      </c>
      <c r="N4615" t="s">
        <v>1289</v>
      </c>
      <c r="Q4615">
        <v>27930</v>
      </c>
      <c r="R4615" t="s">
        <v>119</v>
      </c>
      <c r="S4615" t="s">
        <v>10220</v>
      </c>
      <c r="T4615">
        <v>27</v>
      </c>
      <c r="U4615" s="2" t="s">
        <v>127</v>
      </c>
      <c r="W4615" t="s">
        <v>1292</v>
      </c>
      <c r="X4615">
        <v>838396</v>
      </c>
      <c r="Y4615" t="e">
        <f ca="1">-module B2 H/W fail
-_xludf.For Preventive Maintenance</f>
        <v>#NAME?</v>
      </c>
      <c r="Z4615" t="e">
        <f ca="1">-COLLECT IQR,system _xludf.Log, ARCHIVE, _xludf.and CALIBRATION Data</f>
        <v>#NAME?</v>
      </c>
      <c r="AA4615" s="2" t="s">
        <v>28035</v>
      </c>
      <c r="AB4615" t="s">
        <v>1293</v>
      </c>
      <c r="AC4615" t="s">
        <v>28036</v>
      </c>
      <c r="AG4615" t="s">
        <v>28037</v>
      </c>
      <c r="AH4615" t="s">
        <v>19684</v>
      </c>
      <c r="AI4615" t="s">
        <v>28038</v>
      </c>
    </row>
    <row r="4616" spans="2:35" ht="105">
      <c r="B4616" s="1">
        <v>45406</v>
      </c>
      <c r="C4616" s="4">
        <v>45406.717361111114</v>
      </c>
      <c r="D4616" t="s">
        <v>19752</v>
      </c>
      <c r="E4616" t="s">
        <v>19753</v>
      </c>
      <c r="F4616">
        <v>7</v>
      </c>
      <c r="G4616" t="s">
        <v>6529</v>
      </c>
      <c r="H4616" t="s">
        <v>1047</v>
      </c>
      <c r="I4616" t="s">
        <v>40</v>
      </c>
      <c r="J4616" t="s">
        <v>109</v>
      </c>
      <c r="K4616" t="s">
        <v>42</v>
      </c>
      <c r="L4616" t="s">
        <v>1288</v>
      </c>
      <c r="N4616" t="s">
        <v>1289</v>
      </c>
      <c r="Q4616">
        <v>27929</v>
      </c>
      <c r="R4616" t="s">
        <v>119</v>
      </c>
      <c r="S4616" t="s">
        <v>10370</v>
      </c>
      <c r="T4616">
        <v>28</v>
      </c>
      <c r="U4616" s="2" t="s">
        <v>28039</v>
      </c>
      <c r="W4616" t="s">
        <v>1292</v>
      </c>
      <c r="X4616">
        <v>838203</v>
      </c>
      <c r="Y4616" t="s">
        <v>9143</v>
      </c>
      <c r="Z4616" t="e">
        <f ca="1">-COLLECT IQR, system _xludf.Log, _xludf.and ARCHIVE</f>
        <v>#NAME?</v>
      </c>
      <c r="AA4616" t="e">
        <f ca="1">-PERFORM Cleaning of GeneXpert EQUIPMENT _xludf.and workstation
-PERFORM Preventive Maintenance PROCEDURE
-_xludf.Replace FAN filters</f>
        <v>#NAME?</v>
      </c>
      <c r="AB4616" t="s">
        <v>1293</v>
      </c>
      <c r="AG4616" t="s">
        <v>28040</v>
      </c>
      <c r="AH4616" t="s">
        <v>19756</v>
      </c>
      <c r="AI4616" t="s">
        <v>28041</v>
      </c>
    </row>
    <row r="4617" spans="2:35" ht="285">
      <c r="B4617" s="1">
        <v>45406</v>
      </c>
      <c r="C4617" s="4">
        <v>45406.587500000001</v>
      </c>
      <c r="D4617" t="s">
        <v>146</v>
      </c>
      <c r="E4617" t="s">
        <v>28042</v>
      </c>
      <c r="F4617" t="s">
        <v>148</v>
      </c>
      <c r="G4617" t="s">
        <v>149</v>
      </c>
      <c r="H4617" t="s">
        <v>150</v>
      </c>
      <c r="I4617" t="s">
        <v>40</v>
      </c>
      <c r="J4617" t="s">
        <v>109</v>
      </c>
      <c r="K4617" t="s">
        <v>42</v>
      </c>
      <c r="L4617" t="s">
        <v>43</v>
      </c>
      <c r="N4617" t="s">
        <v>44</v>
      </c>
      <c r="O4617" t="s">
        <v>388</v>
      </c>
      <c r="Q4617">
        <v>27928</v>
      </c>
      <c r="R4617" t="s">
        <v>95</v>
      </c>
      <c r="S4617" t="s">
        <v>11968</v>
      </c>
      <c r="T4617">
        <v>22</v>
      </c>
      <c r="U4617" s="2" t="s">
        <v>28043</v>
      </c>
      <c r="W4617" t="s">
        <v>153</v>
      </c>
      <c r="X4617">
        <v>110003714</v>
      </c>
      <c r="Y4617" t="s">
        <v>121</v>
      </c>
      <c r="Z4617" t="s">
        <v>122</v>
      </c>
      <c r="AA4617" s="2" t="s">
        <v>28044</v>
      </c>
      <c r="AB4617" t="s">
        <v>28045</v>
      </c>
      <c r="AG4617" t="s">
        <v>28046</v>
      </c>
      <c r="AH4617" t="s">
        <v>6444</v>
      </c>
      <c r="AI4617" t="s">
        <v>28047</v>
      </c>
    </row>
    <row r="4618" spans="2:35" ht="405">
      <c r="B4618" s="1">
        <v>45406</v>
      </c>
      <c r="C4618" s="4">
        <v>45406.495138888888</v>
      </c>
      <c r="D4618" t="s">
        <v>4379</v>
      </c>
      <c r="E4618" t="s">
        <v>18288</v>
      </c>
      <c r="F4618" t="s">
        <v>148</v>
      </c>
      <c r="G4618" t="s">
        <v>785</v>
      </c>
      <c r="H4618" t="s">
        <v>39</v>
      </c>
      <c r="I4618" t="s">
        <v>40</v>
      </c>
      <c r="J4618" s="2" t="s">
        <v>190</v>
      </c>
      <c r="K4618" t="s">
        <v>42</v>
      </c>
      <c r="L4618" t="s">
        <v>43</v>
      </c>
      <c r="N4618" t="s">
        <v>44</v>
      </c>
      <c r="Q4618">
        <v>27927</v>
      </c>
      <c r="R4618" t="s">
        <v>322</v>
      </c>
      <c r="S4618" t="s">
        <v>4382</v>
      </c>
      <c r="T4618">
        <v>23</v>
      </c>
      <c r="U4618" s="2" t="s">
        <v>26218</v>
      </c>
      <c r="W4618" t="s">
        <v>3178</v>
      </c>
      <c r="X4618">
        <v>838627</v>
      </c>
      <c r="Y4618" t="s">
        <v>121</v>
      </c>
      <c r="Z4618" t="s">
        <v>5995</v>
      </c>
      <c r="AA4618" s="2" t="s">
        <v>28048</v>
      </c>
      <c r="AB4618" t="s">
        <v>28049</v>
      </c>
      <c r="AG4618" t="s">
        <v>28050</v>
      </c>
      <c r="AH4618" t="s">
        <v>7010</v>
      </c>
      <c r="AI4618" t="s">
        <v>28051</v>
      </c>
    </row>
    <row r="4619" spans="2:35" ht="270">
      <c r="B4619" s="1">
        <v>45406</v>
      </c>
      <c r="C4619" s="4">
        <v>45405.603472222225</v>
      </c>
      <c r="D4619" t="s">
        <v>4259</v>
      </c>
      <c r="E4619" t="s">
        <v>5475</v>
      </c>
      <c r="F4619" t="s">
        <v>148</v>
      </c>
      <c r="G4619" t="s">
        <v>2007</v>
      </c>
      <c r="H4619" t="s">
        <v>39</v>
      </c>
      <c r="I4619" t="s">
        <v>40</v>
      </c>
      <c r="J4619" s="2" t="s">
        <v>62</v>
      </c>
      <c r="K4619" t="s">
        <v>42</v>
      </c>
      <c r="L4619" t="s">
        <v>448</v>
      </c>
      <c r="N4619" t="s">
        <v>650</v>
      </c>
      <c r="Q4619">
        <v>27926</v>
      </c>
      <c r="R4619" t="s">
        <v>95</v>
      </c>
      <c r="S4619" t="s">
        <v>6185</v>
      </c>
      <c r="T4619">
        <v>25</v>
      </c>
      <c r="U4619" s="2" t="s">
        <v>28052</v>
      </c>
      <c r="V4619" s="1">
        <v>45400</v>
      </c>
      <c r="W4619" t="s">
        <v>28053</v>
      </c>
      <c r="X4619">
        <v>705175</v>
      </c>
      <c r="Y4619" t="s">
        <v>7421</v>
      </c>
      <c r="Z4619" s="2" t="s">
        <v>3071</v>
      </c>
      <c r="AA4619" t="s">
        <v>28054</v>
      </c>
      <c r="AB4619" s="2" t="s">
        <v>28055</v>
      </c>
      <c r="AD4619" t="s">
        <v>3628</v>
      </c>
      <c r="AE4619">
        <v>97851</v>
      </c>
      <c r="AG4619" t="s">
        <v>28056</v>
      </c>
      <c r="AH4619" t="s">
        <v>25219</v>
      </c>
      <c r="AI4619" t="s">
        <v>28057</v>
      </c>
    </row>
    <row r="4620" spans="2:35" ht="409.5">
      <c r="B4620" s="1">
        <v>45406</v>
      </c>
      <c r="C4620" s="4">
        <v>45406.463194444441</v>
      </c>
      <c r="D4620" t="s">
        <v>28058</v>
      </c>
      <c r="E4620" t="s">
        <v>15172</v>
      </c>
      <c r="F4620" t="s">
        <v>148</v>
      </c>
      <c r="G4620" t="s">
        <v>310</v>
      </c>
      <c r="H4620" t="s">
        <v>39</v>
      </c>
      <c r="I4620" t="s">
        <v>40</v>
      </c>
      <c r="J4620" t="s">
        <v>109</v>
      </c>
      <c r="K4620" t="s">
        <v>42</v>
      </c>
      <c r="L4620" t="s">
        <v>1943</v>
      </c>
      <c r="N4620" t="s">
        <v>1944</v>
      </c>
      <c r="Q4620">
        <v>27925</v>
      </c>
      <c r="R4620" t="s">
        <v>322</v>
      </c>
      <c r="S4620" t="s">
        <v>11890</v>
      </c>
      <c r="T4620">
        <v>25</v>
      </c>
      <c r="W4620" t="s">
        <v>84</v>
      </c>
      <c r="X4620">
        <v>808015</v>
      </c>
      <c r="Y4620" t="s">
        <v>2099</v>
      </c>
      <c r="Z4620" t="s">
        <v>2100</v>
      </c>
      <c r="AA4620" s="2" t="s">
        <v>2101</v>
      </c>
      <c r="AB4620" t="s">
        <v>88</v>
      </c>
      <c r="AG4620" t="s">
        <v>28059</v>
      </c>
      <c r="AH4620" t="s">
        <v>18218</v>
      </c>
      <c r="AI4620" t="s">
        <v>28060</v>
      </c>
    </row>
    <row r="4621" spans="2:35" ht="120">
      <c r="B4621" s="1">
        <v>45406</v>
      </c>
      <c r="C4621" s="4">
        <v>45406.505555555559</v>
      </c>
      <c r="D4621" t="s">
        <v>11603</v>
      </c>
      <c r="E4621" t="s">
        <v>420</v>
      </c>
      <c r="F4621" t="s">
        <v>148</v>
      </c>
      <c r="G4621" t="s">
        <v>421</v>
      </c>
      <c r="H4621" t="s">
        <v>39</v>
      </c>
      <c r="I4621" t="s">
        <v>40</v>
      </c>
      <c r="J4621" t="s">
        <v>109</v>
      </c>
      <c r="K4621" t="s">
        <v>42</v>
      </c>
      <c r="L4621" t="s">
        <v>175</v>
      </c>
      <c r="N4621" t="s">
        <v>176</v>
      </c>
      <c r="Q4621">
        <v>27924</v>
      </c>
      <c r="R4621" t="s">
        <v>95</v>
      </c>
      <c r="S4621" t="s">
        <v>28061</v>
      </c>
      <c r="T4621">
        <v>27</v>
      </c>
      <c r="U4621" s="2" t="s">
        <v>28062</v>
      </c>
      <c r="W4621" t="s">
        <v>423</v>
      </c>
      <c r="X4621">
        <v>110020699</v>
      </c>
      <c r="Y4621" t="s">
        <v>374</v>
      </c>
      <c r="Z4621" t="s">
        <v>103</v>
      </c>
      <c r="AA4621" t="e">
        <f ca="1">- checked _xludf.and cleaned cartridge bay, plunger rod, _xludf.filter
- generated reports
- scanned system _xludf.Log _xludf.For hardware errors (None)
- performed module self test</f>
        <v>#NAME?</v>
      </c>
      <c r="AB4621" t="s">
        <v>181</v>
      </c>
      <c r="AG4621" t="s">
        <v>28063</v>
      </c>
      <c r="AH4621" t="s">
        <v>28064</v>
      </c>
      <c r="AI4621" t="s">
        <v>28065</v>
      </c>
    </row>
    <row r="4622" spans="2:35" ht="405">
      <c r="B4622" s="1">
        <v>45406</v>
      </c>
      <c r="C4622" s="4">
        <v>45406.449305555558</v>
      </c>
      <c r="D4622" t="s">
        <v>8684</v>
      </c>
      <c r="E4622" t="s">
        <v>21559</v>
      </c>
      <c r="F4622">
        <v>5</v>
      </c>
      <c r="G4622" t="s">
        <v>814</v>
      </c>
      <c r="H4622" t="s">
        <v>39</v>
      </c>
      <c r="I4622" t="s">
        <v>94</v>
      </c>
      <c r="J4622" s="2" t="s">
        <v>62</v>
      </c>
      <c r="K4622" t="s">
        <v>42</v>
      </c>
      <c r="L4622" t="s">
        <v>761</v>
      </c>
      <c r="N4622" t="s">
        <v>762</v>
      </c>
      <c r="Q4622">
        <v>27923</v>
      </c>
      <c r="R4622" t="s">
        <v>119</v>
      </c>
      <c r="S4622" t="s">
        <v>14253</v>
      </c>
      <c r="T4622">
        <v>20</v>
      </c>
      <c r="U4622" s="2" t="s">
        <v>13161</v>
      </c>
      <c r="W4622" t="s">
        <v>765</v>
      </c>
      <c r="X4622">
        <v>838266</v>
      </c>
      <c r="Y4622" t="s">
        <v>21277</v>
      </c>
      <c r="Z4622" s="2" t="s">
        <v>28066</v>
      </c>
      <c r="AA4622" s="2" t="s">
        <v>4477</v>
      </c>
      <c r="AB4622" t="s">
        <v>181</v>
      </c>
      <c r="AG4622" t="s">
        <v>28067</v>
      </c>
      <c r="AH4622" t="s">
        <v>8693</v>
      </c>
      <c r="AI4622" t="s">
        <v>28068</v>
      </c>
    </row>
    <row r="4623" spans="2:35" ht="409.5">
      <c r="B4623" s="1">
        <v>45406</v>
      </c>
      <c r="C4623" s="4">
        <v>45406.461111111108</v>
      </c>
      <c r="D4623" t="s">
        <v>28069</v>
      </c>
      <c r="E4623" t="s">
        <v>28070</v>
      </c>
      <c r="F4623" t="s">
        <v>148</v>
      </c>
      <c r="G4623" t="s">
        <v>310</v>
      </c>
      <c r="H4623" t="s">
        <v>39</v>
      </c>
      <c r="I4623" t="s">
        <v>40</v>
      </c>
      <c r="J4623" s="2" t="s">
        <v>41</v>
      </c>
      <c r="K4623" t="s">
        <v>42</v>
      </c>
      <c r="L4623" t="s">
        <v>1943</v>
      </c>
      <c r="N4623" t="s">
        <v>1944</v>
      </c>
      <c r="Q4623">
        <v>27922</v>
      </c>
      <c r="R4623" t="s">
        <v>322</v>
      </c>
      <c r="S4623" t="s">
        <v>18227</v>
      </c>
      <c r="T4623">
        <v>25</v>
      </c>
      <c r="V4623" s="1">
        <v>45404</v>
      </c>
      <c r="W4623" t="s">
        <v>5225</v>
      </c>
      <c r="X4623">
        <v>110014186</v>
      </c>
      <c r="Y4623" s="2" t="s">
        <v>28071</v>
      </c>
      <c r="Z4623" t="s">
        <v>1947</v>
      </c>
      <c r="AA4623" s="2" t="s">
        <v>1948</v>
      </c>
      <c r="AB4623" t="s">
        <v>88</v>
      </c>
      <c r="AD4623" t="s">
        <v>28072</v>
      </c>
      <c r="AE4623" t="s">
        <v>28073</v>
      </c>
      <c r="AG4623" t="s">
        <v>28074</v>
      </c>
      <c r="AH4623" t="s">
        <v>28075</v>
      </c>
      <c r="AI4623" t="s">
        <v>28076</v>
      </c>
    </row>
    <row r="4624" spans="2:35" ht="180">
      <c r="B4624" s="1">
        <v>45406</v>
      </c>
      <c r="C4624" s="4">
        <v>45401.400694444441</v>
      </c>
      <c r="D4624" t="s">
        <v>6347</v>
      </c>
      <c r="E4624" t="s">
        <v>229</v>
      </c>
      <c r="F4624" t="s">
        <v>148</v>
      </c>
      <c r="G4624" t="s">
        <v>230</v>
      </c>
      <c r="H4624" t="s">
        <v>39</v>
      </c>
      <c r="I4624" t="s">
        <v>40</v>
      </c>
      <c r="J4624" s="2" t="s">
        <v>41</v>
      </c>
      <c r="K4624" t="s">
        <v>42</v>
      </c>
      <c r="L4624" t="s">
        <v>175</v>
      </c>
      <c r="N4624" t="s">
        <v>176</v>
      </c>
      <c r="Q4624">
        <v>27921</v>
      </c>
      <c r="R4624" t="s">
        <v>703</v>
      </c>
      <c r="S4624" t="s">
        <v>14741</v>
      </c>
      <c r="T4624">
        <v>25</v>
      </c>
      <c r="U4624" s="2" t="s">
        <v>28077</v>
      </c>
      <c r="V4624" s="1">
        <v>45398</v>
      </c>
      <c r="W4624" t="s">
        <v>84</v>
      </c>
      <c r="X4624">
        <v>835600</v>
      </c>
      <c r="Y4624" t="s">
        <v>22167</v>
      </c>
      <c r="Z4624" t="s">
        <v>28078</v>
      </c>
      <c r="AA4624" t="e">
        <f ca="1">- replaced B1, B4
- checked _xludf.and cleaned cartridge bay, plunger rod, _xludf.filter
- generated reports
- performed module self test</f>
        <v>#NAME?</v>
      </c>
      <c r="AB4624" t="s">
        <v>181</v>
      </c>
      <c r="AD4624" s="2" t="s">
        <v>28079</v>
      </c>
      <c r="AE4624">
        <v>11414</v>
      </c>
      <c r="AG4624" t="s">
        <v>28080</v>
      </c>
      <c r="AH4624" t="s">
        <v>14746</v>
      </c>
      <c r="AI4624" t="s">
        <v>28081</v>
      </c>
    </row>
    <row r="4625" spans="2:35" ht="225">
      <c r="B4625" s="1">
        <v>45406</v>
      </c>
      <c r="C4625" s="4">
        <v>45406.422222222223</v>
      </c>
      <c r="D4625" t="s">
        <v>2816</v>
      </c>
      <c r="E4625" t="s">
        <v>28082</v>
      </c>
      <c r="F4625" t="s">
        <v>148</v>
      </c>
      <c r="G4625" t="s">
        <v>371</v>
      </c>
      <c r="H4625" t="s">
        <v>39</v>
      </c>
      <c r="I4625" t="s">
        <v>40</v>
      </c>
      <c r="J4625" s="2" t="s">
        <v>190</v>
      </c>
      <c r="K4625" t="s">
        <v>42</v>
      </c>
      <c r="L4625" t="s">
        <v>175</v>
      </c>
      <c r="N4625" t="s">
        <v>176</v>
      </c>
      <c r="Q4625">
        <v>27920</v>
      </c>
      <c r="R4625" t="s">
        <v>119</v>
      </c>
      <c r="S4625" t="s">
        <v>2818</v>
      </c>
      <c r="T4625">
        <v>27</v>
      </c>
      <c r="U4625" s="2" t="s">
        <v>28083</v>
      </c>
      <c r="W4625" t="s">
        <v>84</v>
      </c>
      <c r="X4625">
        <v>831907</v>
      </c>
      <c r="Y4625" s="2" t="s">
        <v>28084</v>
      </c>
      <c r="Z4625" t="s">
        <v>122</v>
      </c>
      <c r="AA4625" t="e">
        <f ca="1">- checked _xludf.and cleaned cartridge bay, plunger, _xludf.filter
- generated reports
- performed UPS Back up test (Failed)
- performed module self test</f>
        <v>#NAME?</v>
      </c>
      <c r="AB4625" s="2" t="s">
        <v>28085</v>
      </c>
      <c r="AG4625" t="s">
        <v>28086</v>
      </c>
      <c r="AH4625" t="s">
        <v>24413</v>
      </c>
      <c r="AI4625" t="s">
        <v>28087</v>
      </c>
    </row>
    <row r="4626" spans="2:35" ht="270">
      <c r="B4626" s="1">
        <v>45405</v>
      </c>
      <c r="C4626" s="4">
        <v>45405.640277777777</v>
      </c>
      <c r="D4626" t="s">
        <v>28088</v>
      </c>
      <c r="E4626" t="s">
        <v>1886</v>
      </c>
      <c r="F4626" t="s">
        <v>1255</v>
      </c>
      <c r="G4626" t="s">
        <v>1887</v>
      </c>
      <c r="H4626" t="s">
        <v>61</v>
      </c>
      <c r="I4626" t="s">
        <v>40</v>
      </c>
      <c r="J4626" s="2" t="s">
        <v>4208</v>
      </c>
      <c r="K4626" t="s">
        <v>42</v>
      </c>
      <c r="L4626" t="s">
        <v>204</v>
      </c>
      <c r="N4626" t="s">
        <v>205</v>
      </c>
      <c r="Q4626">
        <v>27919</v>
      </c>
      <c r="R4626" t="s">
        <v>119</v>
      </c>
      <c r="S4626" t="s">
        <v>1888</v>
      </c>
      <c r="T4626">
        <v>23.6</v>
      </c>
      <c r="U4626" s="2" t="s">
        <v>28089</v>
      </c>
      <c r="W4626" t="s">
        <v>23237</v>
      </c>
      <c r="X4626">
        <v>837662</v>
      </c>
      <c r="Y4626" s="2" t="s">
        <v>28090</v>
      </c>
      <c r="Z4626" s="2" t="s">
        <v>28091</v>
      </c>
      <c r="AA4626" s="2" t="s">
        <v>28092</v>
      </c>
      <c r="AB4626" s="2" t="s">
        <v>28093</v>
      </c>
      <c r="AG4626" t="s">
        <v>28094</v>
      </c>
      <c r="AH4626" t="s">
        <v>28095</v>
      </c>
      <c r="AI4626" t="s">
        <v>28096</v>
      </c>
    </row>
    <row r="4627" spans="2:35" ht="409.5">
      <c r="B4627" s="1">
        <v>45405</v>
      </c>
      <c r="C4627" s="4">
        <v>45405.568055555559</v>
      </c>
      <c r="D4627" t="s">
        <v>308</v>
      </c>
      <c r="E4627" t="s">
        <v>3829</v>
      </c>
      <c r="F4627" t="s">
        <v>148</v>
      </c>
      <c r="G4627" t="s">
        <v>310</v>
      </c>
      <c r="H4627" t="s">
        <v>39</v>
      </c>
      <c r="I4627" t="s">
        <v>40</v>
      </c>
      <c r="J4627" t="s">
        <v>109</v>
      </c>
      <c r="K4627" t="s">
        <v>42</v>
      </c>
      <c r="L4627" t="s">
        <v>1943</v>
      </c>
      <c r="N4627" t="s">
        <v>1944</v>
      </c>
      <c r="Q4627">
        <v>27918</v>
      </c>
      <c r="R4627" t="s">
        <v>119</v>
      </c>
      <c r="S4627" t="s">
        <v>311</v>
      </c>
      <c r="T4627">
        <v>25</v>
      </c>
      <c r="W4627" t="s">
        <v>84</v>
      </c>
      <c r="X4627">
        <v>831534</v>
      </c>
      <c r="Y4627" t="s">
        <v>2099</v>
      </c>
      <c r="Z4627" t="s">
        <v>2100</v>
      </c>
      <c r="AA4627" s="2" t="s">
        <v>2101</v>
      </c>
      <c r="AB4627" t="s">
        <v>88</v>
      </c>
      <c r="AG4627" t="s">
        <v>28097</v>
      </c>
      <c r="AH4627" t="s">
        <v>317</v>
      </c>
      <c r="AI4627" t="s">
        <v>28098</v>
      </c>
    </row>
    <row r="4628" spans="2:35" ht="409.5">
      <c r="B4628" s="1">
        <v>45405</v>
      </c>
      <c r="C4628" s="4">
        <v>45405.570833333331</v>
      </c>
      <c r="D4628" t="s">
        <v>308</v>
      </c>
      <c r="E4628" t="s">
        <v>3829</v>
      </c>
      <c r="F4628" t="s">
        <v>148</v>
      </c>
      <c r="G4628" t="s">
        <v>310</v>
      </c>
      <c r="H4628" t="s">
        <v>39</v>
      </c>
      <c r="I4628" t="s">
        <v>40</v>
      </c>
      <c r="J4628" t="s">
        <v>109</v>
      </c>
      <c r="K4628" t="s">
        <v>42</v>
      </c>
      <c r="L4628" t="s">
        <v>1943</v>
      </c>
      <c r="N4628" t="s">
        <v>1944</v>
      </c>
      <c r="Q4628">
        <v>27917</v>
      </c>
      <c r="R4628" t="s">
        <v>45</v>
      </c>
      <c r="S4628" t="s">
        <v>311</v>
      </c>
      <c r="T4628">
        <v>25</v>
      </c>
      <c r="W4628" t="s">
        <v>84</v>
      </c>
      <c r="X4628">
        <v>812561</v>
      </c>
      <c r="Y4628" t="s">
        <v>2099</v>
      </c>
      <c r="Z4628" t="s">
        <v>2100</v>
      </c>
      <c r="AA4628" s="2" t="s">
        <v>2101</v>
      </c>
      <c r="AB4628" t="s">
        <v>88</v>
      </c>
      <c r="AG4628" t="s">
        <v>28099</v>
      </c>
      <c r="AH4628" t="s">
        <v>317</v>
      </c>
      <c r="AI4628" t="s">
        <v>28100</v>
      </c>
    </row>
    <row r="4629" spans="2:35" ht="255">
      <c r="B4629" s="1">
        <v>45405</v>
      </c>
      <c r="C4629" s="4">
        <v>45405.461805555555</v>
      </c>
      <c r="D4629" t="s">
        <v>11671</v>
      </c>
      <c r="E4629" t="s">
        <v>2136</v>
      </c>
      <c r="F4629" t="s">
        <v>1255</v>
      </c>
      <c r="G4629" t="s">
        <v>1887</v>
      </c>
      <c r="H4629" t="s">
        <v>2138</v>
      </c>
      <c r="I4629" t="s">
        <v>40</v>
      </c>
      <c r="J4629" s="2" t="s">
        <v>62</v>
      </c>
      <c r="K4629" t="s">
        <v>387</v>
      </c>
      <c r="L4629" t="s">
        <v>296</v>
      </c>
      <c r="N4629" t="s">
        <v>297</v>
      </c>
      <c r="O4629" t="s">
        <v>2867</v>
      </c>
      <c r="Q4629">
        <v>27916</v>
      </c>
      <c r="R4629" t="s">
        <v>95</v>
      </c>
      <c r="S4629" t="s">
        <v>28101</v>
      </c>
      <c r="T4629">
        <v>24.7</v>
      </c>
      <c r="W4629" t="s">
        <v>2140</v>
      </c>
      <c r="X4629" t="s">
        <v>2141</v>
      </c>
      <c r="Y4629" t="s">
        <v>28102</v>
      </c>
      <c r="Z4629" s="2" t="s">
        <v>28103</v>
      </c>
      <c r="AA4629" t="s">
        <v>28104</v>
      </c>
      <c r="AB4629" s="2" t="s">
        <v>28105</v>
      </c>
      <c r="AC4629" t="s">
        <v>28106</v>
      </c>
      <c r="AG4629" t="s">
        <v>28107</v>
      </c>
      <c r="AH4629" t="s">
        <v>28108</v>
      </c>
      <c r="AI4629" t="s">
        <v>28109</v>
      </c>
    </row>
    <row r="4630" spans="2:35" ht="409.5">
      <c r="B4630" s="1">
        <v>45405</v>
      </c>
      <c r="C4630" s="4">
        <v>45405.397916666669</v>
      </c>
      <c r="D4630" t="s">
        <v>26442</v>
      </c>
      <c r="E4630" t="s">
        <v>28110</v>
      </c>
      <c r="F4630">
        <v>3</v>
      </c>
      <c r="G4630" t="s">
        <v>284</v>
      </c>
      <c r="H4630" t="s">
        <v>4885</v>
      </c>
      <c r="I4630" t="s">
        <v>40</v>
      </c>
      <c r="J4630" s="2" t="s">
        <v>62</v>
      </c>
      <c r="K4630" t="s">
        <v>42</v>
      </c>
      <c r="L4630" t="s">
        <v>135</v>
      </c>
      <c r="N4630" t="s">
        <v>136</v>
      </c>
      <c r="Q4630">
        <v>27915</v>
      </c>
      <c r="R4630" t="s">
        <v>322</v>
      </c>
      <c r="S4630" t="s">
        <v>11281</v>
      </c>
      <c r="T4630">
        <v>29</v>
      </c>
      <c r="U4630" s="2" t="s">
        <v>28111</v>
      </c>
      <c r="V4630" s="1">
        <v>45336</v>
      </c>
      <c r="W4630" t="s">
        <v>3335</v>
      </c>
      <c r="X4630">
        <v>110017894</v>
      </c>
      <c r="Y4630" t="s">
        <v>67</v>
      </c>
      <c r="Z4630" s="2" t="s">
        <v>28112</v>
      </c>
      <c r="AA4630" s="2" t="s">
        <v>28113</v>
      </c>
      <c r="AB4630" s="2" t="s">
        <v>28114</v>
      </c>
      <c r="AD4630" t="s">
        <v>28115</v>
      </c>
      <c r="AE4630">
        <v>11221</v>
      </c>
      <c r="AG4630" t="s">
        <v>28116</v>
      </c>
      <c r="AH4630" t="s">
        <v>15193</v>
      </c>
      <c r="AI4630" t="s">
        <v>28117</v>
      </c>
    </row>
    <row r="4631" spans="2:35" ht="409.5">
      <c r="B4631" s="1">
        <v>45405</v>
      </c>
      <c r="C4631" s="4">
        <v>45405.474999999999</v>
      </c>
      <c r="D4631" t="s">
        <v>7881</v>
      </c>
      <c r="E4631" t="s">
        <v>8756</v>
      </c>
      <c r="F4631">
        <v>7</v>
      </c>
      <c r="G4631" t="s">
        <v>432</v>
      </c>
      <c r="H4631" t="s">
        <v>608</v>
      </c>
      <c r="I4631" t="s">
        <v>40</v>
      </c>
      <c r="J4631" s="2" t="s">
        <v>190</v>
      </c>
      <c r="K4631" t="s">
        <v>42</v>
      </c>
      <c r="L4631" t="s">
        <v>610</v>
      </c>
      <c r="N4631" t="s">
        <v>611</v>
      </c>
      <c r="Q4631">
        <v>27914</v>
      </c>
      <c r="R4631" t="s">
        <v>119</v>
      </c>
      <c r="S4631" t="s">
        <v>13419</v>
      </c>
      <c r="T4631">
        <v>30</v>
      </c>
      <c r="U4631" s="2" t="s">
        <v>28118</v>
      </c>
      <c r="W4631" t="s">
        <v>360</v>
      </c>
      <c r="X4631">
        <v>838512</v>
      </c>
      <c r="Y4631" t="s">
        <v>28119</v>
      </c>
      <c r="Z4631" s="2" t="s">
        <v>28120</v>
      </c>
      <c r="AA4631" s="2" t="s">
        <v>28121</v>
      </c>
      <c r="AB4631" t="s">
        <v>28122</v>
      </c>
      <c r="AG4631" t="s">
        <v>28123</v>
      </c>
      <c r="AH4631" t="s">
        <v>14337</v>
      </c>
      <c r="AI4631" t="s">
        <v>28124</v>
      </c>
    </row>
    <row r="4632" spans="2:35" ht="75">
      <c r="B4632" s="1">
        <v>45405</v>
      </c>
      <c r="C4632" s="4">
        <v>45405.387499999997</v>
      </c>
      <c r="D4632" t="s">
        <v>20586</v>
      </c>
      <c r="E4632" t="s">
        <v>9436</v>
      </c>
      <c r="F4632" t="s">
        <v>148</v>
      </c>
      <c r="G4632" t="s">
        <v>230</v>
      </c>
      <c r="H4632" t="s">
        <v>39</v>
      </c>
      <c r="I4632" t="s">
        <v>40</v>
      </c>
      <c r="J4632" t="s">
        <v>583</v>
      </c>
      <c r="K4632" t="s">
        <v>42</v>
      </c>
      <c r="L4632" t="s">
        <v>175</v>
      </c>
      <c r="N4632" t="s">
        <v>176</v>
      </c>
      <c r="Q4632">
        <v>27913</v>
      </c>
      <c r="R4632" t="s">
        <v>703</v>
      </c>
      <c r="S4632" t="s">
        <v>22681</v>
      </c>
      <c r="T4632">
        <v>25</v>
      </c>
      <c r="W4632" t="s">
        <v>423</v>
      </c>
      <c r="X4632">
        <v>110018312</v>
      </c>
      <c r="Y4632" t="s">
        <v>11865</v>
      </c>
      <c r="Z4632" t="s">
        <v>103</v>
      </c>
      <c r="AA4632" t="e">
        <f ca="1">- packed Unit _xludf.For transfer
* Laptop
* GeneXpert
* Barcode scanner
* _xludf.Power cord _xludf.and accessories
- pulled Out Unit</f>
        <v>#NAME?</v>
      </c>
      <c r="AB4632" s="2" t="s">
        <v>28125</v>
      </c>
      <c r="AC4632" t="s">
        <v>27770</v>
      </c>
      <c r="AG4632" t="s">
        <v>28126</v>
      </c>
      <c r="AH4632" t="s">
        <v>28127</v>
      </c>
      <c r="AI4632" t="s">
        <v>28128</v>
      </c>
    </row>
    <row r="4633" spans="2:35" ht="409.5">
      <c r="B4633" s="1">
        <v>45405</v>
      </c>
      <c r="C4633" s="4">
        <v>45405.425694444442</v>
      </c>
      <c r="D4633" t="s">
        <v>26333</v>
      </c>
      <c r="E4633" t="s">
        <v>28129</v>
      </c>
      <c r="F4633" t="s">
        <v>148</v>
      </c>
      <c r="G4633" t="s">
        <v>310</v>
      </c>
      <c r="H4633" t="s">
        <v>39</v>
      </c>
      <c r="I4633" t="s">
        <v>40</v>
      </c>
      <c r="J4633" t="s">
        <v>109</v>
      </c>
      <c r="K4633" t="s">
        <v>42</v>
      </c>
      <c r="L4633" t="s">
        <v>1943</v>
      </c>
      <c r="N4633" t="s">
        <v>1944</v>
      </c>
      <c r="Q4633">
        <v>27912</v>
      </c>
      <c r="R4633" t="s">
        <v>119</v>
      </c>
      <c r="S4633" t="s">
        <v>28130</v>
      </c>
      <c r="T4633">
        <v>25</v>
      </c>
      <c r="W4633" t="s">
        <v>84</v>
      </c>
      <c r="X4633">
        <v>831871</v>
      </c>
      <c r="Y4633" t="s">
        <v>2099</v>
      </c>
      <c r="Z4633" t="s">
        <v>2100</v>
      </c>
      <c r="AA4633" s="2" t="s">
        <v>2101</v>
      </c>
      <c r="AB4633" t="s">
        <v>88</v>
      </c>
      <c r="AG4633" t="s">
        <v>28131</v>
      </c>
      <c r="AH4633" t="s">
        <v>28132</v>
      </c>
      <c r="AI4633" t="s">
        <v>28133</v>
      </c>
    </row>
    <row r="4634" spans="2:35" ht="345">
      <c r="B4634" s="1">
        <v>45404</v>
      </c>
      <c r="C4634" s="4">
        <v>45393.606944444444</v>
      </c>
      <c r="D4634" t="s">
        <v>5903</v>
      </c>
      <c r="E4634" t="s">
        <v>2569</v>
      </c>
      <c r="F4634" t="s">
        <v>148</v>
      </c>
      <c r="G4634" t="s">
        <v>447</v>
      </c>
      <c r="H4634" t="s">
        <v>662</v>
      </c>
      <c r="I4634" t="s">
        <v>40</v>
      </c>
      <c r="J4634" s="2" t="s">
        <v>62</v>
      </c>
      <c r="K4634" t="s">
        <v>42</v>
      </c>
      <c r="L4634" t="s">
        <v>448</v>
      </c>
      <c r="N4634" t="s">
        <v>650</v>
      </c>
      <c r="O4634" t="s">
        <v>663</v>
      </c>
      <c r="Q4634">
        <v>27911</v>
      </c>
      <c r="R4634" t="s">
        <v>322</v>
      </c>
      <c r="S4634" t="s">
        <v>3987</v>
      </c>
      <c r="T4634">
        <v>28</v>
      </c>
      <c r="U4634" s="2" t="s">
        <v>28134</v>
      </c>
      <c r="V4634" s="1">
        <v>45376</v>
      </c>
      <c r="W4634" t="s">
        <v>895</v>
      </c>
      <c r="X4634">
        <v>110014171</v>
      </c>
      <c r="Y4634" t="s">
        <v>7168</v>
      </c>
      <c r="Z4634" s="2" t="s">
        <v>3071</v>
      </c>
      <c r="AA4634" t="s">
        <v>24030</v>
      </c>
      <c r="AB4634" t="s">
        <v>28135</v>
      </c>
      <c r="AD4634" t="s">
        <v>3628</v>
      </c>
      <c r="AE4634">
        <v>11331</v>
      </c>
      <c r="AG4634" t="s">
        <v>28136</v>
      </c>
      <c r="AH4634" t="s">
        <v>16795</v>
      </c>
      <c r="AI4634" t="s">
        <v>28137</v>
      </c>
    </row>
    <row r="4635" spans="2:35" ht="409.5">
      <c r="B4635" s="1">
        <v>45404</v>
      </c>
      <c r="C4635" s="4">
        <v>45401.602777777778</v>
      </c>
      <c r="D4635" t="s">
        <v>7529</v>
      </c>
      <c r="E4635" t="s">
        <v>7530</v>
      </c>
      <c r="F4635">
        <v>5</v>
      </c>
      <c r="G4635" t="s">
        <v>759</v>
      </c>
      <c r="H4635" t="s">
        <v>39</v>
      </c>
      <c r="I4635" t="s">
        <v>94</v>
      </c>
      <c r="J4635" s="2" t="s">
        <v>62</v>
      </c>
      <c r="K4635" t="s">
        <v>42</v>
      </c>
      <c r="L4635" t="s">
        <v>761</v>
      </c>
      <c r="N4635" t="s">
        <v>762</v>
      </c>
      <c r="Q4635">
        <v>27910</v>
      </c>
      <c r="R4635" t="s">
        <v>119</v>
      </c>
      <c r="S4635" t="s">
        <v>9597</v>
      </c>
      <c r="T4635">
        <v>27</v>
      </c>
      <c r="U4635" s="2" t="s">
        <v>28138</v>
      </c>
      <c r="W4635" t="s">
        <v>765</v>
      </c>
      <c r="X4635">
        <v>838397</v>
      </c>
      <c r="Y4635" t="s">
        <v>21277</v>
      </c>
      <c r="Z4635" s="2" t="s">
        <v>28139</v>
      </c>
      <c r="AA4635" s="2" t="s">
        <v>4477</v>
      </c>
      <c r="AB4635" t="s">
        <v>70</v>
      </c>
      <c r="AC4635" t="s">
        <v>28140</v>
      </c>
      <c r="AG4635" t="s">
        <v>28141</v>
      </c>
      <c r="AH4635" t="s">
        <v>28142</v>
      </c>
      <c r="AI4635" t="s">
        <v>28143</v>
      </c>
    </row>
    <row r="4636" spans="2:35" ht="255">
      <c r="B4636" s="1">
        <v>45404</v>
      </c>
      <c r="C4636" s="4">
        <v>45401.467361111114</v>
      </c>
      <c r="D4636" t="s">
        <v>2176</v>
      </c>
      <c r="E4636" t="s">
        <v>26724</v>
      </c>
      <c r="F4636" t="s">
        <v>148</v>
      </c>
      <c r="G4636" t="s">
        <v>447</v>
      </c>
      <c r="H4636" t="s">
        <v>2581</v>
      </c>
      <c r="I4636" t="s">
        <v>40</v>
      </c>
      <c r="J4636" s="2" t="s">
        <v>41</v>
      </c>
      <c r="K4636" t="s">
        <v>42</v>
      </c>
      <c r="L4636" t="s">
        <v>448</v>
      </c>
      <c r="N4636" t="s">
        <v>650</v>
      </c>
      <c r="Q4636">
        <v>27909</v>
      </c>
      <c r="R4636" t="s">
        <v>322</v>
      </c>
      <c r="S4636" t="s">
        <v>2582</v>
      </c>
      <c r="T4636">
        <v>26</v>
      </c>
      <c r="U4636" s="2" t="s">
        <v>27338</v>
      </c>
      <c r="V4636" s="1">
        <v>45398</v>
      </c>
      <c r="W4636" t="s">
        <v>18179</v>
      </c>
      <c r="X4636">
        <v>110014085</v>
      </c>
      <c r="Y4636" t="s">
        <v>28144</v>
      </c>
      <c r="Z4636" s="2" t="s">
        <v>2585</v>
      </c>
      <c r="AA4636" t="s">
        <v>28145</v>
      </c>
      <c r="AB4636" t="s">
        <v>486</v>
      </c>
      <c r="AD4636" t="s">
        <v>28146</v>
      </c>
      <c r="AE4636">
        <v>11411</v>
      </c>
      <c r="AG4636" t="s">
        <v>28147</v>
      </c>
      <c r="AH4636" t="s">
        <v>15742</v>
      </c>
      <c r="AI4636" t="s">
        <v>28148</v>
      </c>
    </row>
    <row r="4637" spans="2:35" ht="255">
      <c r="B4637" s="1">
        <v>45404</v>
      </c>
      <c r="C4637" s="4">
        <v>45401.430555555555</v>
      </c>
      <c r="D4637" t="s">
        <v>2176</v>
      </c>
      <c r="E4637" t="s">
        <v>2580</v>
      </c>
      <c r="F4637" t="s">
        <v>148</v>
      </c>
      <c r="G4637" t="s">
        <v>447</v>
      </c>
      <c r="H4637" t="s">
        <v>662</v>
      </c>
      <c r="I4637" t="s">
        <v>40</v>
      </c>
      <c r="J4637" s="2" t="s">
        <v>41</v>
      </c>
      <c r="K4637" t="s">
        <v>42</v>
      </c>
      <c r="L4637" t="s">
        <v>448</v>
      </c>
      <c r="N4637" t="s">
        <v>650</v>
      </c>
      <c r="O4637" t="s">
        <v>4140</v>
      </c>
      <c r="Q4637">
        <v>27908</v>
      </c>
      <c r="R4637" t="s">
        <v>322</v>
      </c>
      <c r="S4637" t="s">
        <v>3086</v>
      </c>
      <c r="T4637">
        <v>25</v>
      </c>
      <c r="U4637" s="2" t="s">
        <v>28149</v>
      </c>
      <c r="V4637" s="1">
        <v>45398</v>
      </c>
      <c r="W4637" t="s">
        <v>28150</v>
      </c>
      <c r="X4637">
        <v>110016781</v>
      </c>
      <c r="Y4637" t="s">
        <v>28151</v>
      </c>
      <c r="Z4637" s="2" t="s">
        <v>2585</v>
      </c>
      <c r="AA4637" t="s">
        <v>20643</v>
      </c>
      <c r="AB4637" t="s">
        <v>486</v>
      </c>
      <c r="AD4637" t="s">
        <v>28146</v>
      </c>
      <c r="AE4637">
        <v>11410</v>
      </c>
      <c r="AG4637" t="s">
        <v>28152</v>
      </c>
      <c r="AH4637" t="s">
        <v>2176</v>
      </c>
      <c r="AI4637" t="s">
        <v>28153</v>
      </c>
    </row>
    <row r="4638" spans="2:35">
      <c r="B4638" s="1">
        <v>45404</v>
      </c>
      <c r="C4638" s="4">
        <v>45401.381249999999</v>
      </c>
      <c r="D4638" t="s">
        <v>5602</v>
      </c>
      <c r="E4638" t="s">
        <v>26724</v>
      </c>
      <c r="F4638" t="s">
        <v>148</v>
      </c>
      <c r="G4638" t="s">
        <v>447</v>
      </c>
      <c r="H4638" t="s">
        <v>662</v>
      </c>
      <c r="I4638" t="s">
        <v>40</v>
      </c>
      <c r="J4638" t="s">
        <v>525</v>
      </c>
      <c r="K4638" t="s">
        <v>42</v>
      </c>
      <c r="L4638" t="s">
        <v>448</v>
      </c>
      <c r="N4638" t="s">
        <v>650</v>
      </c>
      <c r="Q4638">
        <v>27907</v>
      </c>
      <c r="R4638" t="s">
        <v>322</v>
      </c>
      <c r="S4638" t="s">
        <v>5604</v>
      </c>
      <c r="T4638">
        <v>28</v>
      </c>
      <c r="W4638" t="s">
        <v>895</v>
      </c>
      <c r="X4638">
        <v>110005587</v>
      </c>
      <c r="Y4638" t="s">
        <v>28154</v>
      </c>
      <c r="Z4638" t="s">
        <v>28155</v>
      </c>
      <c r="AA4638" t="s">
        <v>28156</v>
      </c>
      <c r="AB4638" t="s">
        <v>28157</v>
      </c>
      <c r="AG4638" t="s">
        <v>28158</v>
      </c>
      <c r="AH4638" t="s">
        <v>28159</v>
      </c>
      <c r="AI4638" t="s">
        <v>28160</v>
      </c>
    </row>
    <row r="4639" spans="2:35" ht="120">
      <c r="B4639" s="1">
        <v>45404</v>
      </c>
      <c r="C4639" s="4">
        <v>45372.600694444445</v>
      </c>
      <c r="D4639" t="s">
        <v>28161</v>
      </c>
      <c r="E4639" t="s">
        <v>582</v>
      </c>
      <c r="F4639" t="s">
        <v>148</v>
      </c>
      <c r="G4639" t="s">
        <v>447</v>
      </c>
      <c r="H4639" t="s">
        <v>513</v>
      </c>
      <c r="I4639" t="s">
        <v>40</v>
      </c>
      <c r="J4639" s="2" t="s">
        <v>62</v>
      </c>
      <c r="K4639" t="s">
        <v>387</v>
      </c>
      <c r="L4639" t="s">
        <v>175</v>
      </c>
      <c r="N4639" t="s">
        <v>176</v>
      </c>
      <c r="Q4639">
        <v>27906</v>
      </c>
      <c r="R4639" t="s">
        <v>322</v>
      </c>
      <c r="S4639" t="s">
        <v>18864</v>
      </c>
      <c r="T4639">
        <v>25</v>
      </c>
      <c r="W4639" t="s">
        <v>390</v>
      </c>
      <c r="X4639" t="s">
        <v>4307</v>
      </c>
      <c r="Y4639" t="s">
        <v>24338</v>
      </c>
      <c r="Z4639" t="s">
        <v>5230</v>
      </c>
      <c r="AA4639" t="e">
        <f ca="1">- checked CALIBRATION parameters
- checked rotor roller pumps
- performed functionality test
- performed self test</f>
        <v>#NAME?</v>
      </c>
      <c r="AB4639" s="2" t="s">
        <v>28162</v>
      </c>
      <c r="AG4639" t="s">
        <v>28163</v>
      </c>
      <c r="AH4639" t="s">
        <v>13235</v>
      </c>
      <c r="AI4639" t="s">
        <v>28164</v>
      </c>
    </row>
    <row r="4640" spans="2:35" ht="409.5">
      <c r="B4640" s="1">
        <v>45404</v>
      </c>
      <c r="C4640" s="4">
        <v>45371.637499999997</v>
      </c>
      <c r="D4640" t="s">
        <v>3639</v>
      </c>
      <c r="E4640" t="s">
        <v>24319</v>
      </c>
      <c r="F4640" t="s">
        <v>148</v>
      </c>
      <c r="G4640" t="s">
        <v>310</v>
      </c>
      <c r="H4640" t="s">
        <v>39</v>
      </c>
      <c r="I4640" t="s">
        <v>40</v>
      </c>
      <c r="J4640" s="2" t="s">
        <v>190</v>
      </c>
      <c r="K4640" t="s">
        <v>42</v>
      </c>
      <c r="L4640" t="s">
        <v>175</v>
      </c>
      <c r="N4640" t="s">
        <v>176</v>
      </c>
      <c r="Q4640">
        <v>27905</v>
      </c>
      <c r="R4640" t="s">
        <v>322</v>
      </c>
      <c r="S4640" t="s">
        <v>24320</v>
      </c>
      <c r="T4640">
        <v>33</v>
      </c>
      <c r="U4640" s="2" t="s">
        <v>28165</v>
      </c>
      <c r="W4640" t="s">
        <v>84</v>
      </c>
      <c r="X4640">
        <v>847728</v>
      </c>
      <c r="Y4640" t="s">
        <v>21830</v>
      </c>
      <c r="Z4640" t="s">
        <v>375</v>
      </c>
      <c r="AA4640" t="e">
        <f ca="1">- checked _xludf.and cleaned cartridge bay, plunger rod, _xludf.filter
- Genersted reports
- performed self test</f>
        <v>#NAME?</v>
      </c>
      <c r="AB4640" s="2" t="s">
        <v>28166</v>
      </c>
      <c r="AG4640" t="s">
        <v>28167</v>
      </c>
      <c r="AH4640" t="s">
        <v>28168</v>
      </c>
      <c r="AI4640" t="s">
        <v>28169</v>
      </c>
    </row>
    <row r="4641" spans="2:35" ht="409.5">
      <c r="B4641" s="1">
        <v>45404</v>
      </c>
      <c r="C4641" s="4">
        <v>45372.566666666666</v>
      </c>
      <c r="D4641" t="s">
        <v>28161</v>
      </c>
      <c r="E4641" t="s">
        <v>582</v>
      </c>
      <c r="F4641" t="s">
        <v>148</v>
      </c>
      <c r="G4641" t="s">
        <v>447</v>
      </c>
      <c r="H4641" t="s">
        <v>39</v>
      </c>
      <c r="I4641" t="s">
        <v>40</v>
      </c>
      <c r="J4641" s="2" t="s">
        <v>62</v>
      </c>
      <c r="K4641" t="s">
        <v>42</v>
      </c>
      <c r="L4641" t="s">
        <v>175</v>
      </c>
      <c r="N4641" t="s">
        <v>176</v>
      </c>
      <c r="Q4641">
        <v>27904</v>
      </c>
      <c r="R4641" t="s">
        <v>703</v>
      </c>
      <c r="S4641" t="s">
        <v>6472</v>
      </c>
      <c r="T4641">
        <v>25</v>
      </c>
      <c r="U4641" s="2" t="s">
        <v>28170</v>
      </c>
      <c r="V4641" s="1">
        <v>45358</v>
      </c>
      <c r="W4641" t="s">
        <v>84</v>
      </c>
      <c r="X4641">
        <v>847578</v>
      </c>
      <c r="Y4641" t="s">
        <v>998</v>
      </c>
      <c r="Z4641" t="s">
        <v>999</v>
      </c>
      <c r="AA4641" t="e">
        <f ca="1">- checked _xludf.and cleaned cartridge bay, plunger rod, _xludf.filter, icore slot
- performed XpertCheck
- generated reports
- performed self-test</f>
        <v>#NAME?</v>
      </c>
      <c r="AB4641" s="2" t="s">
        <v>3237</v>
      </c>
      <c r="AD4641" s="2" t="s">
        <v>24339</v>
      </c>
      <c r="AE4641">
        <v>11273</v>
      </c>
      <c r="AG4641" t="s">
        <v>28171</v>
      </c>
      <c r="AH4641" t="s">
        <v>3332</v>
      </c>
      <c r="AI4641" t="s">
        <v>28172</v>
      </c>
    </row>
    <row r="4642" spans="2:35" ht="390">
      <c r="B4642" s="1">
        <v>45404</v>
      </c>
      <c r="C4642" s="4">
        <v>45399.660416666666</v>
      </c>
      <c r="D4642" t="s">
        <v>1145</v>
      </c>
      <c r="E4642" t="s">
        <v>28173</v>
      </c>
      <c r="F4642" t="s">
        <v>148</v>
      </c>
      <c r="G4642" t="s">
        <v>447</v>
      </c>
      <c r="H4642" t="s">
        <v>386</v>
      </c>
      <c r="I4642" t="s">
        <v>40</v>
      </c>
      <c r="J4642" s="2" t="s">
        <v>62</v>
      </c>
      <c r="K4642" t="s">
        <v>387</v>
      </c>
      <c r="L4642" t="s">
        <v>448</v>
      </c>
      <c r="N4642" t="s">
        <v>650</v>
      </c>
      <c r="Q4642">
        <v>27903</v>
      </c>
      <c r="R4642" t="s">
        <v>322</v>
      </c>
      <c r="S4642" t="s">
        <v>5004</v>
      </c>
      <c r="T4642">
        <v>28</v>
      </c>
      <c r="W4642" t="s">
        <v>476</v>
      </c>
      <c r="X4642" t="s">
        <v>5005</v>
      </c>
      <c r="Y4642" t="s">
        <v>4143</v>
      </c>
      <c r="Z4642" s="2" t="s">
        <v>23817</v>
      </c>
      <c r="AA4642" t="s">
        <v>28174</v>
      </c>
      <c r="AB4642" t="s">
        <v>486</v>
      </c>
      <c r="AG4642" t="s">
        <v>28175</v>
      </c>
      <c r="AH4642" t="s">
        <v>28176</v>
      </c>
      <c r="AI4642" t="s">
        <v>28177</v>
      </c>
    </row>
    <row r="4643" spans="2:35" ht="120">
      <c r="B4643" s="1">
        <v>45404</v>
      </c>
      <c r="C4643" s="4">
        <v>45372.600694444445</v>
      </c>
      <c r="D4643" t="s">
        <v>28161</v>
      </c>
      <c r="E4643" t="s">
        <v>582</v>
      </c>
      <c r="F4643" t="s">
        <v>148</v>
      </c>
      <c r="G4643" t="s">
        <v>447</v>
      </c>
      <c r="H4643" t="s">
        <v>513</v>
      </c>
      <c r="I4643" t="s">
        <v>40</v>
      </c>
      <c r="J4643" s="2" t="s">
        <v>62</v>
      </c>
      <c r="K4643" t="s">
        <v>387</v>
      </c>
      <c r="L4643" t="s">
        <v>175</v>
      </c>
      <c r="N4643" t="s">
        <v>176</v>
      </c>
      <c r="Q4643">
        <v>27902</v>
      </c>
      <c r="R4643" t="s">
        <v>322</v>
      </c>
      <c r="S4643" t="s">
        <v>18864</v>
      </c>
      <c r="T4643">
        <v>25</v>
      </c>
      <c r="W4643" t="s">
        <v>390</v>
      </c>
      <c r="X4643" t="s">
        <v>4307</v>
      </c>
      <c r="Y4643" t="s">
        <v>24338</v>
      </c>
      <c r="Z4643" t="s">
        <v>5230</v>
      </c>
      <c r="AA4643" t="e">
        <f ca="1">- checked CALIBRATION parameters
- checked rotor roller pumps
- performed functionality test
- performed self test</f>
        <v>#NAME?</v>
      </c>
      <c r="AB4643" s="2" t="s">
        <v>28162</v>
      </c>
      <c r="AG4643" t="s">
        <v>28178</v>
      </c>
      <c r="AH4643" t="s">
        <v>13235</v>
      </c>
      <c r="AI4643" t="s">
        <v>28179</v>
      </c>
    </row>
    <row r="4644" spans="2:35" ht="390">
      <c r="B4644" s="1">
        <v>45404</v>
      </c>
      <c r="C4644" s="4">
        <v>45399.617361111108</v>
      </c>
      <c r="D4644" t="s">
        <v>1145</v>
      </c>
      <c r="E4644" t="s">
        <v>4267</v>
      </c>
      <c r="F4644" t="s">
        <v>148</v>
      </c>
      <c r="G4644" t="s">
        <v>447</v>
      </c>
      <c r="H4644" t="s">
        <v>386</v>
      </c>
      <c r="I4644" t="s">
        <v>40</v>
      </c>
      <c r="J4644" s="2" t="s">
        <v>62</v>
      </c>
      <c r="K4644" t="s">
        <v>387</v>
      </c>
      <c r="L4644" t="s">
        <v>448</v>
      </c>
      <c r="N4644" t="s">
        <v>650</v>
      </c>
      <c r="Q4644">
        <v>27901</v>
      </c>
      <c r="R4644" t="s">
        <v>322</v>
      </c>
      <c r="S4644" t="s">
        <v>5004</v>
      </c>
      <c r="T4644">
        <v>28</v>
      </c>
      <c r="W4644" t="s">
        <v>476</v>
      </c>
      <c r="X4644" t="s">
        <v>7383</v>
      </c>
      <c r="Y4644" s="2" t="s">
        <v>28180</v>
      </c>
      <c r="Z4644" s="2" t="s">
        <v>23817</v>
      </c>
      <c r="AA4644" t="s">
        <v>28181</v>
      </c>
      <c r="AB4644" t="s">
        <v>486</v>
      </c>
      <c r="AG4644" t="s">
        <v>28182</v>
      </c>
      <c r="AH4644" t="s">
        <v>28183</v>
      </c>
      <c r="AI4644" t="s">
        <v>28184</v>
      </c>
    </row>
    <row r="4645" spans="2:35" ht="180">
      <c r="B4645" s="1">
        <v>45404</v>
      </c>
      <c r="C4645" s="4">
        <v>45401.400694444441</v>
      </c>
      <c r="D4645" t="s">
        <v>6347</v>
      </c>
      <c r="E4645" t="s">
        <v>229</v>
      </c>
      <c r="F4645" t="s">
        <v>148</v>
      </c>
      <c r="G4645" t="s">
        <v>230</v>
      </c>
      <c r="H4645" t="s">
        <v>39</v>
      </c>
      <c r="I4645" t="s">
        <v>40</v>
      </c>
      <c r="J4645" s="2" t="s">
        <v>41</v>
      </c>
      <c r="K4645" t="s">
        <v>42</v>
      </c>
      <c r="L4645" t="s">
        <v>175</v>
      </c>
      <c r="N4645" t="s">
        <v>176</v>
      </c>
      <c r="Q4645">
        <v>27900</v>
      </c>
      <c r="R4645" t="s">
        <v>703</v>
      </c>
      <c r="S4645" t="s">
        <v>14741</v>
      </c>
      <c r="T4645">
        <v>25</v>
      </c>
      <c r="U4645" s="2" t="s">
        <v>28077</v>
      </c>
      <c r="V4645" s="1">
        <v>45398</v>
      </c>
      <c r="W4645" t="s">
        <v>84</v>
      </c>
      <c r="X4645">
        <v>835600</v>
      </c>
      <c r="Y4645" t="s">
        <v>22167</v>
      </c>
      <c r="Z4645" t="s">
        <v>28078</v>
      </c>
      <c r="AA4645" t="e">
        <f ca="1">- replaced B1, B4
- checked _xludf.and cleaned cartridge bay, plunger rod, _xludf.filter
- generated reports
- performed module self test</f>
        <v>#NAME?</v>
      </c>
      <c r="AB4645" t="s">
        <v>181</v>
      </c>
      <c r="AD4645" s="2" t="s">
        <v>28079</v>
      </c>
      <c r="AE4645">
        <v>11414</v>
      </c>
      <c r="AG4645" t="s">
        <v>28185</v>
      </c>
      <c r="AH4645" t="s">
        <v>14746</v>
      </c>
      <c r="AI4645" t="s">
        <v>28186</v>
      </c>
    </row>
    <row r="4646" spans="2:35" ht="135">
      <c r="B4646" s="1">
        <v>45404</v>
      </c>
      <c r="C4646" s="4">
        <v>45401.572222222225</v>
      </c>
      <c r="D4646" t="s">
        <v>1614</v>
      </c>
      <c r="E4646" t="s">
        <v>26734</v>
      </c>
      <c r="F4646">
        <v>3</v>
      </c>
      <c r="G4646" t="s">
        <v>174</v>
      </c>
      <c r="H4646" t="s">
        <v>39</v>
      </c>
      <c r="I4646" t="s">
        <v>40</v>
      </c>
      <c r="J4646" t="s">
        <v>525</v>
      </c>
      <c r="K4646" t="s">
        <v>42</v>
      </c>
      <c r="L4646" t="s">
        <v>175</v>
      </c>
      <c r="N4646" t="s">
        <v>176</v>
      </c>
      <c r="Q4646">
        <v>27899</v>
      </c>
      <c r="R4646" t="s">
        <v>45</v>
      </c>
      <c r="S4646" t="s">
        <v>2067</v>
      </c>
      <c r="T4646">
        <v>27</v>
      </c>
      <c r="W4646" t="s">
        <v>84</v>
      </c>
      <c r="X4646">
        <v>814158</v>
      </c>
      <c r="Y4646" t="s">
        <v>22947</v>
      </c>
      <c r="Z4646" t="s">
        <v>2313</v>
      </c>
      <c r="AA4646" t="e">
        <f ca="1">- replaced BIOS battery
- Reset RAM
- checked start up menu boot settings (primary storage _xludf.not found)
- performed _xludf.Power on test</f>
        <v>#NAME?</v>
      </c>
      <c r="AB4646" s="2" t="s">
        <v>26735</v>
      </c>
      <c r="AG4646" t="s">
        <v>28187</v>
      </c>
      <c r="AH4646" t="s">
        <v>26737</v>
      </c>
      <c r="AI4646" t="s">
        <v>28188</v>
      </c>
    </row>
    <row r="4647" spans="2:35" ht="135">
      <c r="B4647" s="1">
        <v>45404</v>
      </c>
      <c r="C4647" s="4">
        <v>45401.572222222225</v>
      </c>
      <c r="D4647" t="s">
        <v>1614</v>
      </c>
      <c r="E4647" t="s">
        <v>26734</v>
      </c>
      <c r="F4647">
        <v>3</v>
      </c>
      <c r="G4647" t="s">
        <v>174</v>
      </c>
      <c r="H4647" t="s">
        <v>39</v>
      </c>
      <c r="I4647" t="s">
        <v>40</v>
      </c>
      <c r="J4647" t="s">
        <v>525</v>
      </c>
      <c r="K4647" t="s">
        <v>42</v>
      </c>
      <c r="L4647" t="s">
        <v>175</v>
      </c>
      <c r="N4647" t="s">
        <v>176</v>
      </c>
      <c r="Q4647">
        <v>27898</v>
      </c>
      <c r="R4647" t="s">
        <v>45</v>
      </c>
      <c r="S4647" t="s">
        <v>2067</v>
      </c>
      <c r="T4647">
        <v>27</v>
      </c>
      <c r="W4647" t="s">
        <v>84</v>
      </c>
      <c r="X4647">
        <v>814158</v>
      </c>
      <c r="Y4647" t="s">
        <v>22947</v>
      </c>
      <c r="Z4647" t="s">
        <v>2313</v>
      </c>
      <c r="AA4647" t="e">
        <f ca="1">- replaced BIOS battery
- Reset RAM
- checked start up menu boot settings (primary storage _xludf.not found)
- performed _xludf.Power on test</f>
        <v>#NAME?</v>
      </c>
      <c r="AB4647" s="2" t="s">
        <v>26735</v>
      </c>
      <c r="AG4647" t="s">
        <v>28189</v>
      </c>
      <c r="AH4647" t="s">
        <v>26737</v>
      </c>
      <c r="AI4647" t="s">
        <v>28190</v>
      </c>
    </row>
    <row r="4648" spans="2:35" ht="315">
      <c r="B4648" s="1">
        <v>45404</v>
      </c>
      <c r="C4648" s="4">
        <v>45400.561111111114</v>
      </c>
      <c r="D4648" t="s">
        <v>7600</v>
      </c>
      <c r="E4648" t="s">
        <v>27759</v>
      </c>
      <c r="F4648" t="s">
        <v>37</v>
      </c>
      <c r="G4648" t="s">
        <v>78</v>
      </c>
      <c r="H4648" t="s">
        <v>39</v>
      </c>
      <c r="I4648" t="s">
        <v>40</v>
      </c>
      <c r="J4648" t="s">
        <v>109</v>
      </c>
      <c r="K4648" t="s">
        <v>42</v>
      </c>
      <c r="L4648" t="s">
        <v>43</v>
      </c>
      <c r="N4648" t="s">
        <v>44</v>
      </c>
      <c r="Q4648">
        <v>27897</v>
      </c>
      <c r="R4648" t="s">
        <v>119</v>
      </c>
      <c r="S4648" t="s">
        <v>25546</v>
      </c>
      <c r="T4648">
        <v>18</v>
      </c>
      <c r="U4648" s="2" t="s">
        <v>16325</v>
      </c>
      <c r="W4648" t="s">
        <v>48</v>
      </c>
      <c r="X4648">
        <v>820229</v>
      </c>
      <c r="Y4648" t="s">
        <v>121</v>
      </c>
      <c r="Z4648" t="s">
        <v>122</v>
      </c>
      <c r="AA4648" s="2" t="s">
        <v>27734</v>
      </c>
      <c r="AB4648" t="s">
        <v>27760</v>
      </c>
      <c r="AG4648" t="s">
        <v>28191</v>
      </c>
      <c r="AH4648" t="s">
        <v>27762</v>
      </c>
      <c r="AI4648" t="s">
        <v>28192</v>
      </c>
    </row>
    <row r="4649" spans="2:35" ht="315">
      <c r="B4649" s="1">
        <v>45404</v>
      </c>
      <c r="C4649" s="4">
        <v>45401.577777777777</v>
      </c>
      <c r="D4649" t="s">
        <v>4757</v>
      </c>
      <c r="E4649" t="s">
        <v>27342</v>
      </c>
      <c r="F4649" t="s">
        <v>148</v>
      </c>
      <c r="G4649" t="s">
        <v>785</v>
      </c>
      <c r="H4649" t="s">
        <v>39</v>
      </c>
      <c r="I4649" t="s">
        <v>40</v>
      </c>
      <c r="J4649" t="s">
        <v>109</v>
      </c>
      <c r="K4649" t="s">
        <v>42</v>
      </c>
      <c r="L4649" t="s">
        <v>43</v>
      </c>
      <c r="N4649" t="s">
        <v>44</v>
      </c>
      <c r="Q4649">
        <v>27896</v>
      </c>
      <c r="R4649" t="s">
        <v>119</v>
      </c>
      <c r="S4649" t="s">
        <v>4759</v>
      </c>
      <c r="T4649">
        <v>25</v>
      </c>
      <c r="U4649" s="2" t="s">
        <v>27748</v>
      </c>
      <c r="W4649" t="s">
        <v>48</v>
      </c>
      <c r="X4649">
        <v>831905</v>
      </c>
      <c r="Y4649" t="s">
        <v>121</v>
      </c>
      <c r="Z4649" t="s">
        <v>122</v>
      </c>
      <c r="AA4649" s="2" t="s">
        <v>27734</v>
      </c>
      <c r="AB4649" t="s">
        <v>27749</v>
      </c>
      <c r="AG4649" t="s">
        <v>28193</v>
      </c>
      <c r="AH4649" t="s">
        <v>27751</v>
      </c>
      <c r="AI4649" t="s">
        <v>28194</v>
      </c>
    </row>
    <row r="4650" spans="2:35" ht="315">
      <c r="B4650" s="1">
        <v>45404</v>
      </c>
      <c r="C4650" s="4">
        <v>45401.489583333336</v>
      </c>
      <c r="D4650" t="s">
        <v>6595</v>
      </c>
      <c r="E4650" t="s">
        <v>16330</v>
      </c>
      <c r="F4650" t="s">
        <v>148</v>
      </c>
      <c r="G4650" t="s">
        <v>38</v>
      </c>
      <c r="H4650" t="s">
        <v>39</v>
      </c>
      <c r="I4650" t="s">
        <v>40</v>
      </c>
      <c r="J4650" t="s">
        <v>109</v>
      </c>
      <c r="K4650" t="s">
        <v>42</v>
      </c>
      <c r="L4650" t="s">
        <v>43</v>
      </c>
      <c r="N4650" t="s">
        <v>44</v>
      </c>
      <c r="Q4650">
        <v>27895</v>
      </c>
      <c r="R4650" t="s">
        <v>322</v>
      </c>
      <c r="S4650" t="s">
        <v>786</v>
      </c>
      <c r="T4650">
        <v>19</v>
      </c>
      <c r="U4650" s="2" t="s">
        <v>27744</v>
      </c>
      <c r="W4650" t="s">
        <v>11663</v>
      </c>
      <c r="X4650">
        <v>821648</v>
      </c>
      <c r="Y4650" t="s">
        <v>121</v>
      </c>
      <c r="Z4650" t="s">
        <v>122</v>
      </c>
      <c r="AA4650" s="2" t="s">
        <v>27734</v>
      </c>
      <c r="AB4650" t="s">
        <v>27745</v>
      </c>
      <c r="AG4650" t="s">
        <v>28195</v>
      </c>
      <c r="AH4650" t="s">
        <v>810</v>
      </c>
      <c r="AI4650" t="s">
        <v>28196</v>
      </c>
    </row>
    <row r="4651" spans="2:35" ht="345">
      <c r="B4651" s="1">
        <v>45404</v>
      </c>
      <c r="C4651" s="4">
        <v>45400.617361111108</v>
      </c>
      <c r="D4651" t="s">
        <v>25324</v>
      </c>
      <c r="E4651" t="s">
        <v>27738</v>
      </c>
      <c r="F4651" t="s">
        <v>37</v>
      </c>
      <c r="G4651" t="s">
        <v>78</v>
      </c>
      <c r="H4651" t="s">
        <v>39</v>
      </c>
      <c r="I4651" t="s">
        <v>40</v>
      </c>
      <c r="J4651" s="2" t="s">
        <v>190</v>
      </c>
      <c r="K4651" t="s">
        <v>42</v>
      </c>
      <c r="L4651" t="s">
        <v>43</v>
      </c>
      <c r="N4651" t="s">
        <v>44</v>
      </c>
      <c r="Q4651">
        <v>27894</v>
      </c>
      <c r="R4651" t="s">
        <v>119</v>
      </c>
      <c r="S4651" t="s">
        <v>27739</v>
      </c>
      <c r="T4651">
        <v>20</v>
      </c>
      <c r="U4651" s="2" t="s">
        <v>15682</v>
      </c>
      <c r="W4651" t="s">
        <v>48</v>
      </c>
      <c r="X4651">
        <v>821292</v>
      </c>
      <c r="Y4651" t="s">
        <v>121</v>
      </c>
      <c r="Z4651" t="s">
        <v>122</v>
      </c>
      <c r="AA4651" s="2" t="s">
        <v>27740</v>
      </c>
      <c r="AB4651" t="s">
        <v>88</v>
      </c>
      <c r="AG4651" t="s">
        <v>28197</v>
      </c>
      <c r="AH4651" t="s">
        <v>27742</v>
      </c>
      <c r="AI4651" t="s">
        <v>28198</v>
      </c>
    </row>
    <row r="4652" spans="2:35" ht="375">
      <c r="B4652" s="1">
        <v>45401</v>
      </c>
      <c r="C4652" s="4">
        <v>45401.602777777778</v>
      </c>
      <c r="D4652" t="s">
        <v>7529</v>
      </c>
      <c r="E4652" t="s">
        <v>7530</v>
      </c>
      <c r="F4652">
        <v>5</v>
      </c>
      <c r="G4652" t="s">
        <v>759</v>
      </c>
      <c r="H4652" t="s">
        <v>39</v>
      </c>
      <c r="I4652" t="s">
        <v>94</v>
      </c>
      <c r="J4652" s="2" t="s">
        <v>62</v>
      </c>
      <c r="K4652" t="s">
        <v>42</v>
      </c>
      <c r="L4652" t="s">
        <v>761</v>
      </c>
      <c r="N4652" t="s">
        <v>762</v>
      </c>
      <c r="Q4652">
        <v>27893</v>
      </c>
      <c r="R4652" t="s">
        <v>119</v>
      </c>
      <c r="S4652" t="s">
        <v>9597</v>
      </c>
      <c r="T4652">
        <v>27</v>
      </c>
      <c r="U4652" s="2" t="s">
        <v>28138</v>
      </c>
      <c r="W4652" t="s">
        <v>765</v>
      </c>
      <c r="X4652">
        <v>838397</v>
      </c>
      <c r="Y4652" t="s">
        <v>21277</v>
      </c>
      <c r="Z4652" s="2" t="s">
        <v>28199</v>
      </c>
      <c r="AA4652" s="2" t="s">
        <v>4477</v>
      </c>
      <c r="AB4652" t="s">
        <v>70</v>
      </c>
      <c r="AC4652" t="s">
        <v>28140</v>
      </c>
      <c r="AG4652" t="s">
        <v>28141</v>
      </c>
      <c r="AH4652" t="s">
        <v>28142</v>
      </c>
      <c r="AI4652" t="s">
        <v>28143</v>
      </c>
    </row>
    <row r="4653" spans="2:35" ht="300">
      <c r="B4653" s="1">
        <v>45401</v>
      </c>
      <c r="C4653" s="4">
        <v>45401.518055555556</v>
      </c>
      <c r="D4653" t="s">
        <v>28200</v>
      </c>
      <c r="E4653" t="s">
        <v>28201</v>
      </c>
      <c r="F4653" t="s">
        <v>37</v>
      </c>
      <c r="G4653" t="s">
        <v>78</v>
      </c>
      <c r="H4653" t="s">
        <v>39</v>
      </c>
      <c r="I4653" t="s">
        <v>40</v>
      </c>
      <c r="J4653" s="2" t="s">
        <v>41</v>
      </c>
      <c r="K4653" t="s">
        <v>42</v>
      </c>
      <c r="L4653" t="s">
        <v>1943</v>
      </c>
      <c r="N4653" t="s">
        <v>1944</v>
      </c>
      <c r="Q4653">
        <v>27892</v>
      </c>
      <c r="R4653" t="s">
        <v>119</v>
      </c>
      <c r="S4653" t="s">
        <v>2245</v>
      </c>
      <c r="T4653">
        <v>25</v>
      </c>
      <c r="W4653" t="s">
        <v>84</v>
      </c>
      <c r="X4653">
        <v>821156</v>
      </c>
      <c r="Y4653" s="2" t="s">
        <v>28202</v>
      </c>
      <c r="Z4653" t="s">
        <v>11895</v>
      </c>
      <c r="AA4653" s="2" t="s">
        <v>28203</v>
      </c>
      <c r="AB4653" t="s">
        <v>88</v>
      </c>
      <c r="AG4653" t="s">
        <v>28204</v>
      </c>
      <c r="AH4653" t="s">
        <v>28205</v>
      </c>
      <c r="AI4653" t="s">
        <v>28206</v>
      </c>
    </row>
    <row r="4654" spans="2:35" ht="150">
      <c r="B4654" s="1">
        <v>45401</v>
      </c>
      <c r="C4654" s="4">
        <v>45401.488194444442</v>
      </c>
      <c r="D4654" t="s">
        <v>27555</v>
      </c>
      <c r="E4654" t="s">
        <v>3234</v>
      </c>
      <c r="F4654">
        <v>3</v>
      </c>
      <c r="G4654" t="s">
        <v>174</v>
      </c>
      <c r="H4654" t="s">
        <v>39</v>
      </c>
      <c r="I4654" t="s">
        <v>40</v>
      </c>
      <c r="J4654" s="2" t="s">
        <v>190</v>
      </c>
      <c r="K4654" t="s">
        <v>42</v>
      </c>
      <c r="L4654" t="s">
        <v>175</v>
      </c>
      <c r="N4654" t="s">
        <v>176</v>
      </c>
      <c r="Q4654">
        <v>27891</v>
      </c>
      <c r="R4654" t="s">
        <v>119</v>
      </c>
      <c r="S4654" t="s">
        <v>28207</v>
      </c>
      <c r="T4654">
        <v>28</v>
      </c>
      <c r="U4654" s="2" t="s">
        <v>28208</v>
      </c>
      <c r="W4654" t="s">
        <v>84</v>
      </c>
      <c r="X4654">
        <v>831904</v>
      </c>
      <c r="Y4654" t="s">
        <v>28209</v>
      </c>
      <c r="Z4654" t="s">
        <v>103</v>
      </c>
      <c r="AA4654" s="2" t="s">
        <v>28210</v>
      </c>
      <c r="AB4654" s="2" t="s">
        <v>28211</v>
      </c>
      <c r="AG4654" t="s">
        <v>28212</v>
      </c>
      <c r="AH4654" t="s">
        <v>28213</v>
      </c>
      <c r="AI4654" t="s">
        <v>28214</v>
      </c>
    </row>
    <row r="4655" spans="2:35" ht="375">
      <c r="B4655" s="1">
        <v>45401</v>
      </c>
      <c r="C4655" s="4">
        <v>45401.465277777781</v>
      </c>
      <c r="D4655" t="s">
        <v>10876</v>
      </c>
      <c r="E4655" t="s">
        <v>19879</v>
      </c>
      <c r="F4655">
        <v>2</v>
      </c>
      <c r="G4655" t="s">
        <v>10878</v>
      </c>
      <c r="H4655" t="s">
        <v>39</v>
      </c>
      <c r="I4655" t="s">
        <v>40</v>
      </c>
      <c r="J4655" s="2" t="s">
        <v>62</v>
      </c>
      <c r="K4655" t="s">
        <v>42</v>
      </c>
      <c r="L4655" t="s">
        <v>63</v>
      </c>
      <c r="N4655" t="s">
        <v>64</v>
      </c>
      <c r="Q4655">
        <v>27890</v>
      </c>
      <c r="R4655" t="s">
        <v>119</v>
      </c>
      <c r="S4655" t="s">
        <v>10879</v>
      </c>
      <c r="T4655">
        <v>29</v>
      </c>
      <c r="U4655" s="2" t="s">
        <v>24599</v>
      </c>
      <c r="V4655" s="1">
        <v>45401</v>
      </c>
      <c r="W4655" t="s">
        <v>27947</v>
      </c>
      <c r="X4655">
        <v>838469</v>
      </c>
      <c r="Y4655" t="s">
        <v>1716</v>
      </c>
      <c r="Z4655" t="s">
        <v>1716</v>
      </c>
      <c r="AA4655" s="2" t="s">
        <v>28215</v>
      </c>
      <c r="AB4655" t="s">
        <v>70</v>
      </c>
      <c r="AD4655" t="s">
        <v>948</v>
      </c>
      <c r="AE4655" t="s">
        <v>1716</v>
      </c>
      <c r="AG4655" t="s">
        <v>28216</v>
      </c>
      <c r="AH4655" t="s">
        <v>28217</v>
      </c>
      <c r="AI4655" t="s">
        <v>28218</v>
      </c>
    </row>
    <row r="4656" spans="2:35" ht="240">
      <c r="B4656" s="1">
        <v>45400</v>
      </c>
      <c r="C4656" s="4">
        <v>45400.665277777778</v>
      </c>
      <c r="D4656" t="s">
        <v>25256</v>
      </c>
      <c r="E4656" t="s">
        <v>25257</v>
      </c>
      <c r="F4656">
        <v>10</v>
      </c>
      <c r="G4656" t="s">
        <v>1395</v>
      </c>
      <c r="H4656" t="s">
        <v>608</v>
      </c>
      <c r="I4656" t="s">
        <v>40</v>
      </c>
      <c r="J4656" t="s">
        <v>79</v>
      </c>
      <c r="K4656" t="s">
        <v>42</v>
      </c>
      <c r="L4656" t="s">
        <v>610</v>
      </c>
      <c r="N4656" t="s">
        <v>611</v>
      </c>
      <c r="Q4656">
        <v>27889</v>
      </c>
      <c r="R4656" t="s">
        <v>119</v>
      </c>
      <c r="S4656" t="s">
        <v>28219</v>
      </c>
      <c r="T4656">
        <v>24</v>
      </c>
      <c r="U4656" s="2" t="s">
        <v>28220</v>
      </c>
      <c r="W4656" t="s">
        <v>360</v>
      </c>
      <c r="X4656">
        <v>834437</v>
      </c>
      <c r="Y4656" t="s">
        <v>28221</v>
      </c>
      <c r="Z4656" s="2" t="s">
        <v>28222</v>
      </c>
      <c r="AA4656" t="s">
        <v>28223</v>
      </c>
      <c r="AB4656" t="s">
        <v>7886</v>
      </c>
      <c r="AG4656" t="s">
        <v>28224</v>
      </c>
      <c r="AH4656" t="s">
        <v>28225</v>
      </c>
      <c r="AI4656" t="s">
        <v>28226</v>
      </c>
    </row>
    <row r="4657" spans="2:35" ht="300">
      <c r="B4657" s="1">
        <v>45400</v>
      </c>
      <c r="C4657" s="4">
        <v>45400.59652777778</v>
      </c>
      <c r="D4657" t="s">
        <v>13856</v>
      </c>
      <c r="E4657" t="s">
        <v>17759</v>
      </c>
      <c r="F4657" t="s">
        <v>1255</v>
      </c>
      <c r="G4657" t="s">
        <v>1887</v>
      </c>
      <c r="H4657" t="s">
        <v>1473</v>
      </c>
      <c r="I4657" t="s">
        <v>40</v>
      </c>
      <c r="J4657" s="2" t="s">
        <v>190</v>
      </c>
      <c r="K4657" t="s">
        <v>42</v>
      </c>
      <c r="L4657" t="s">
        <v>296</v>
      </c>
      <c r="N4657" t="s">
        <v>297</v>
      </c>
      <c r="Q4657">
        <v>27888</v>
      </c>
      <c r="R4657" t="s">
        <v>119</v>
      </c>
      <c r="S4657" t="s">
        <v>13858</v>
      </c>
      <c r="T4657">
        <v>27.4</v>
      </c>
      <c r="U4657" s="2" t="s">
        <v>17742</v>
      </c>
      <c r="W4657" t="s">
        <v>23049</v>
      </c>
      <c r="X4657">
        <v>838205</v>
      </c>
      <c r="Y4657" t="s">
        <v>28227</v>
      </c>
      <c r="Z4657" s="2" t="s">
        <v>28228</v>
      </c>
      <c r="AA4657" s="2" t="s">
        <v>28229</v>
      </c>
      <c r="AB4657" t="s">
        <v>1480</v>
      </c>
      <c r="AC4657" t="s">
        <v>28230</v>
      </c>
      <c r="AG4657" t="s">
        <v>28231</v>
      </c>
      <c r="AH4657" t="s">
        <v>28232</v>
      </c>
      <c r="AI4657" t="s">
        <v>28233</v>
      </c>
    </row>
    <row r="4658" spans="2:35" ht="135">
      <c r="B4658" s="1">
        <v>45400</v>
      </c>
      <c r="C4658" s="4">
        <v>45398.486111111109</v>
      </c>
      <c r="D4658" t="s">
        <v>8748</v>
      </c>
      <c r="E4658" t="s">
        <v>28234</v>
      </c>
      <c r="F4658">
        <v>12</v>
      </c>
      <c r="G4658" t="s">
        <v>294</v>
      </c>
      <c r="H4658" t="s">
        <v>1473</v>
      </c>
      <c r="I4658" t="s">
        <v>40</v>
      </c>
      <c r="J4658" t="s">
        <v>109</v>
      </c>
      <c r="K4658" t="s">
        <v>42</v>
      </c>
      <c r="L4658" t="s">
        <v>296</v>
      </c>
      <c r="N4658" t="s">
        <v>297</v>
      </c>
      <c r="Q4658">
        <v>27887</v>
      </c>
      <c r="R4658" t="s">
        <v>119</v>
      </c>
      <c r="S4658" t="s">
        <v>28235</v>
      </c>
      <c r="T4658">
        <v>28.3</v>
      </c>
      <c r="U4658" s="2" t="s">
        <v>27168</v>
      </c>
      <c r="W4658" t="s">
        <v>23049</v>
      </c>
      <c r="X4658">
        <v>838556</v>
      </c>
      <c r="Y4658" t="s">
        <v>54</v>
      </c>
      <c r="Z4658" s="2" t="s">
        <v>28236</v>
      </c>
      <c r="AA4658" t="s">
        <v>9161</v>
      </c>
      <c r="AB4658" t="s">
        <v>972</v>
      </c>
      <c r="AG4658" t="s">
        <v>28237</v>
      </c>
      <c r="AH4658" t="s">
        <v>28238</v>
      </c>
      <c r="AI4658" t="s">
        <v>28239</v>
      </c>
    </row>
    <row r="4659" spans="2:35" ht="210">
      <c r="B4659" s="1">
        <v>45400</v>
      </c>
      <c r="C4659" s="4">
        <v>45400.416666666664</v>
      </c>
      <c r="D4659" t="s">
        <v>12495</v>
      </c>
      <c r="E4659" t="s">
        <v>28240</v>
      </c>
      <c r="F4659">
        <v>3</v>
      </c>
      <c r="G4659" t="s">
        <v>219</v>
      </c>
      <c r="H4659" t="s">
        <v>2274</v>
      </c>
      <c r="I4659" t="s">
        <v>40</v>
      </c>
      <c r="J4659" s="2" t="s">
        <v>1808</v>
      </c>
      <c r="K4659" t="s">
        <v>387</v>
      </c>
      <c r="L4659" t="s">
        <v>135</v>
      </c>
      <c r="N4659" t="s">
        <v>136</v>
      </c>
      <c r="Q4659">
        <v>27886</v>
      </c>
      <c r="R4659" t="s">
        <v>322</v>
      </c>
      <c r="S4659" t="s">
        <v>12902</v>
      </c>
      <c r="T4659">
        <v>25</v>
      </c>
      <c r="W4659" t="s">
        <v>390</v>
      </c>
      <c r="X4659" t="s">
        <v>28241</v>
      </c>
      <c r="Y4659" t="s">
        <v>28242</v>
      </c>
      <c r="Z4659" t="s">
        <v>13110</v>
      </c>
      <c r="AA4659" s="2" t="s">
        <v>28243</v>
      </c>
      <c r="AB4659" t="s">
        <v>181</v>
      </c>
      <c r="AG4659" t="s">
        <v>28244</v>
      </c>
      <c r="AH4659" t="s">
        <v>14609</v>
      </c>
      <c r="AI4659" t="s">
        <v>28245</v>
      </c>
    </row>
    <row r="4660" spans="2:35" ht="195">
      <c r="B4660" s="1">
        <v>45400</v>
      </c>
      <c r="C4660" s="4">
        <v>45373.621527777781</v>
      </c>
      <c r="D4660" t="s">
        <v>28246</v>
      </c>
      <c r="E4660" t="s">
        <v>9436</v>
      </c>
      <c r="F4660" t="s">
        <v>148</v>
      </c>
      <c r="G4660" t="s">
        <v>230</v>
      </c>
      <c r="H4660" t="s">
        <v>39</v>
      </c>
      <c r="I4660" t="s">
        <v>40</v>
      </c>
      <c r="J4660" s="2" t="s">
        <v>62</v>
      </c>
      <c r="K4660" t="s">
        <v>42</v>
      </c>
      <c r="L4660" t="s">
        <v>175</v>
      </c>
      <c r="N4660" t="s">
        <v>176</v>
      </c>
      <c r="Q4660">
        <v>27885</v>
      </c>
      <c r="R4660" t="s">
        <v>703</v>
      </c>
      <c r="S4660" t="s">
        <v>28247</v>
      </c>
      <c r="T4660">
        <v>25</v>
      </c>
      <c r="U4660" s="2" t="s">
        <v>28248</v>
      </c>
      <c r="V4660" s="1">
        <v>45358</v>
      </c>
      <c r="W4660" t="s">
        <v>423</v>
      </c>
      <c r="X4660">
        <v>110018312</v>
      </c>
      <c r="Y4660" t="s">
        <v>998</v>
      </c>
      <c r="Z4660" t="s">
        <v>999</v>
      </c>
      <c r="AA4660" t="e">
        <f ca="1">- checked _xludf.and cleaned cartridge bay, plunger rod, _xludf.filter, icore slot
- performed XpertCheck
- generated reports</f>
        <v>#NAME?</v>
      </c>
      <c r="AB4660" s="2" t="s">
        <v>3143</v>
      </c>
      <c r="AD4660" t="s">
        <v>7189</v>
      </c>
      <c r="AE4660">
        <v>11269</v>
      </c>
      <c r="AG4660" t="s">
        <v>28249</v>
      </c>
      <c r="AH4660" t="s">
        <v>28127</v>
      </c>
      <c r="AI4660" t="s">
        <v>28250</v>
      </c>
    </row>
    <row r="4661" spans="2:35" ht="270">
      <c r="B4661" s="1">
        <v>45400</v>
      </c>
      <c r="C4661" s="4">
        <v>45400.570833333331</v>
      </c>
      <c r="D4661" t="s">
        <v>8369</v>
      </c>
      <c r="E4661" t="s">
        <v>39</v>
      </c>
      <c r="F4661">
        <v>2</v>
      </c>
      <c r="G4661" t="s">
        <v>2668</v>
      </c>
      <c r="H4661" t="s">
        <v>39</v>
      </c>
      <c r="I4661" t="s">
        <v>40</v>
      </c>
      <c r="J4661" s="2" t="s">
        <v>62</v>
      </c>
      <c r="K4661" t="s">
        <v>42</v>
      </c>
      <c r="L4661" t="s">
        <v>63</v>
      </c>
      <c r="N4661" t="s">
        <v>64</v>
      </c>
      <c r="Q4661">
        <v>27884</v>
      </c>
      <c r="R4661" t="s">
        <v>119</v>
      </c>
      <c r="S4661" t="s">
        <v>8371</v>
      </c>
      <c r="T4661">
        <v>29</v>
      </c>
      <c r="U4661" s="2" t="s">
        <v>14127</v>
      </c>
      <c r="V4661" s="1">
        <v>45370</v>
      </c>
      <c r="W4661" t="s">
        <v>27947</v>
      </c>
      <c r="X4661">
        <v>838480</v>
      </c>
      <c r="Y4661" t="s">
        <v>1716</v>
      </c>
      <c r="Z4661" t="s">
        <v>1716</v>
      </c>
      <c r="AA4661" s="2" t="s">
        <v>28251</v>
      </c>
      <c r="AB4661" t="s">
        <v>70</v>
      </c>
      <c r="AD4661" t="s">
        <v>948</v>
      </c>
      <c r="AE4661">
        <v>11311</v>
      </c>
      <c r="AG4661" t="s">
        <v>28252</v>
      </c>
      <c r="AH4661" t="s">
        <v>28253</v>
      </c>
      <c r="AI4661" t="s">
        <v>28254</v>
      </c>
    </row>
    <row r="4662" spans="2:35" ht="180">
      <c r="B4662" s="1">
        <v>45400</v>
      </c>
      <c r="C4662" s="4">
        <v>45400.557638888888</v>
      </c>
      <c r="D4662" t="s">
        <v>6667</v>
      </c>
      <c r="E4662" t="s">
        <v>2817</v>
      </c>
      <c r="F4662" t="s">
        <v>148</v>
      </c>
      <c r="G4662" t="s">
        <v>371</v>
      </c>
      <c r="H4662" t="s">
        <v>39</v>
      </c>
      <c r="I4662" t="s">
        <v>40</v>
      </c>
      <c r="J4662" s="2" t="s">
        <v>41</v>
      </c>
      <c r="K4662" t="s">
        <v>42</v>
      </c>
      <c r="L4662" t="s">
        <v>175</v>
      </c>
      <c r="N4662" t="s">
        <v>176</v>
      </c>
      <c r="O4662" t="s">
        <v>5518</v>
      </c>
      <c r="Q4662">
        <v>27883</v>
      </c>
      <c r="R4662" t="s">
        <v>703</v>
      </c>
      <c r="S4662" t="s">
        <v>5519</v>
      </c>
      <c r="T4662">
        <v>24</v>
      </c>
      <c r="U4662" s="2" t="s">
        <v>28255</v>
      </c>
      <c r="V4662" s="1">
        <v>45398</v>
      </c>
      <c r="W4662" t="s">
        <v>423</v>
      </c>
      <c r="X4662">
        <v>110018008</v>
      </c>
      <c r="Y4662" t="s">
        <v>2034</v>
      </c>
      <c r="Z4662" t="s">
        <v>712</v>
      </c>
      <c r="AA4662" t="e">
        <f ca="1">- replaced module B2
- generated reports
- checked _xludf.and cleaned cartridge bay, plunger rod, _xludf.filter
- performed module self test</f>
        <v>#NAME?</v>
      </c>
      <c r="AB4662" s="2" t="s">
        <v>28256</v>
      </c>
      <c r="AD4662" s="2" t="s">
        <v>28257</v>
      </c>
      <c r="AE4662">
        <v>11412</v>
      </c>
      <c r="AG4662" t="s">
        <v>28258</v>
      </c>
      <c r="AH4662" t="s">
        <v>5521</v>
      </c>
      <c r="AI4662" t="s">
        <v>28259</v>
      </c>
    </row>
    <row r="4663" spans="2:35" ht="120">
      <c r="B4663" s="1">
        <v>45400</v>
      </c>
      <c r="C4663" s="4">
        <v>45400.552777777775</v>
      </c>
      <c r="D4663" t="s">
        <v>8654</v>
      </c>
      <c r="E4663" t="s">
        <v>8655</v>
      </c>
      <c r="F4663">
        <v>8</v>
      </c>
      <c r="G4663" t="s">
        <v>257</v>
      </c>
      <c r="H4663" t="s">
        <v>202</v>
      </c>
      <c r="I4663" t="s">
        <v>40</v>
      </c>
      <c r="J4663" s="2" t="s">
        <v>62</v>
      </c>
      <c r="K4663" t="s">
        <v>42</v>
      </c>
      <c r="L4663" t="s">
        <v>259</v>
      </c>
      <c r="N4663" t="s">
        <v>260</v>
      </c>
      <c r="Q4663">
        <v>27882</v>
      </c>
      <c r="R4663" t="s">
        <v>119</v>
      </c>
      <c r="S4663" t="s">
        <v>28260</v>
      </c>
      <c r="T4663">
        <v>29</v>
      </c>
      <c r="U4663" s="2" t="s">
        <v>15750</v>
      </c>
      <c r="V4663" s="1">
        <v>45400</v>
      </c>
      <c r="W4663" t="s">
        <v>84</v>
      </c>
      <c r="X4663">
        <v>83409</v>
      </c>
      <c r="Y4663" t="s">
        <v>28261</v>
      </c>
      <c r="Z4663" t="e">
        <f ca="1">- Preventive Maintenance
- CALIBRATION</f>
        <v>#NAME?</v>
      </c>
      <c r="AA4663" t="e">
        <f ca="1">- performed Preventive Maintenance
- performed XpertCheck CALIBRATION on module B4
- Generate reports</f>
        <v>#NAME?</v>
      </c>
      <c r="AB4663" s="2" t="s">
        <v>28262</v>
      </c>
      <c r="AG4663" t="s">
        <v>28263</v>
      </c>
      <c r="AH4663" t="s">
        <v>20076</v>
      </c>
      <c r="AI4663" t="s">
        <v>28264</v>
      </c>
    </row>
    <row r="4664" spans="2:35" ht="315">
      <c r="B4664" s="1">
        <v>45400</v>
      </c>
      <c r="C4664" s="4">
        <v>45400.540277777778</v>
      </c>
      <c r="D4664" t="s">
        <v>7810</v>
      </c>
      <c r="E4664" t="s">
        <v>7811</v>
      </c>
      <c r="F4664">
        <v>11</v>
      </c>
      <c r="G4664" t="s">
        <v>1205</v>
      </c>
      <c r="H4664" t="s">
        <v>202</v>
      </c>
      <c r="I4664" t="s">
        <v>40</v>
      </c>
      <c r="J4664" t="s">
        <v>109</v>
      </c>
      <c r="K4664" t="s">
        <v>42</v>
      </c>
      <c r="L4664" t="s">
        <v>204</v>
      </c>
      <c r="N4664" t="s">
        <v>205</v>
      </c>
      <c r="Q4664">
        <v>27881</v>
      </c>
      <c r="R4664" t="s">
        <v>119</v>
      </c>
      <c r="S4664" t="s">
        <v>7812</v>
      </c>
      <c r="T4664">
        <v>25.4</v>
      </c>
      <c r="U4664" s="2" t="s">
        <v>9045</v>
      </c>
      <c r="W4664" t="s">
        <v>23237</v>
      </c>
      <c r="X4664">
        <v>838232</v>
      </c>
      <c r="Y4664" t="s">
        <v>2851</v>
      </c>
      <c r="Z4664" s="2" t="s">
        <v>1321</v>
      </c>
      <c r="AA4664" t="s">
        <v>28265</v>
      </c>
      <c r="AB4664" t="s">
        <v>1211</v>
      </c>
      <c r="AG4664" t="s">
        <v>28266</v>
      </c>
      <c r="AH4664" t="s">
        <v>28267</v>
      </c>
      <c r="AI4664" t="s">
        <v>28268</v>
      </c>
    </row>
    <row r="4665" spans="2:35" ht="165">
      <c r="B4665" s="1">
        <v>45400</v>
      </c>
      <c r="C4665" s="4">
        <v>45400.511805555558</v>
      </c>
      <c r="D4665" t="s">
        <v>8570</v>
      </c>
      <c r="E4665" t="s">
        <v>19832</v>
      </c>
      <c r="F4665">
        <v>2</v>
      </c>
      <c r="G4665" t="s">
        <v>2668</v>
      </c>
      <c r="H4665" t="s">
        <v>39</v>
      </c>
      <c r="I4665" t="s">
        <v>40</v>
      </c>
      <c r="J4665" s="2" t="s">
        <v>62</v>
      </c>
      <c r="K4665" t="s">
        <v>42</v>
      </c>
      <c r="L4665" t="s">
        <v>63</v>
      </c>
      <c r="N4665" t="s">
        <v>64</v>
      </c>
      <c r="Q4665">
        <v>27880</v>
      </c>
      <c r="R4665" t="s">
        <v>119</v>
      </c>
      <c r="S4665" t="s">
        <v>9392</v>
      </c>
      <c r="T4665">
        <v>25</v>
      </c>
      <c r="V4665" s="1">
        <v>45400</v>
      </c>
      <c r="W4665" t="s">
        <v>27947</v>
      </c>
      <c r="X4665">
        <v>838521</v>
      </c>
      <c r="Y4665" t="s">
        <v>25875</v>
      </c>
      <c r="Z4665" s="2" t="s">
        <v>28269</v>
      </c>
      <c r="AA4665" s="2" t="s">
        <v>1727</v>
      </c>
      <c r="AB4665" t="s">
        <v>70</v>
      </c>
      <c r="AC4665" t="s">
        <v>28270</v>
      </c>
      <c r="AD4665" t="s">
        <v>948</v>
      </c>
      <c r="AE4665">
        <v>11312</v>
      </c>
      <c r="AG4665" t="s">
        <v>28271</v>
      </c>
      <c r="AH4665" t="s">
        <v>28272</v>
      </c>
      <c r="AI4665" t="s">
        <v>28273</v>
      </c>
    </row>
    <row r="4666" spans="2:35" ht="120">
      <c r="B4666" s="1">
        <v>45400</v>
      </c>
      <c r="C4666" s="4">
        <v>45400.486805555556</v>
      </c>
      <c r="D4666" t="s">
        <v>20529</v>
      </c>
      <c r="E4666" t="s">
        <v>370</v>
      </c>
      <c r="F4666" t="s">
        <v>148</v>
      </c>
      <c r="G4666" t="s">
        <v>371</v>
      </c>
      <c r="H4666" t="s">
        <v>39</v>
      </c>
      <c r="I4666" t="s">
        <v>40</v>
      </c>
      <c r="J4666" s="2" t="s">
        <v>190</v>
      </c>
      <c r="K4666" t="s">
        <v>42</v>
      </c>
      <c r="L4666" t="s">
        <v>175</v>
      </c>
      <c r="N4666" t="s">
        <v>176</v>
      </c>
      <c r="Q4666">
        <v>27879</v>
      </c>
      <c r="R4666" t="s">
        <v>119</v>
      </c>
      <c r="S4666" t="s">
        <v>20530</v>
      </c>
      <c r="T4666">
        <v>27</v>
      </c>
      <c r="W4666" t="s">
        <v>84</v>
      </c>
      <c r="X4666">
        <v>831906</v>
      </c>
      <c r="Y4666" t="s">
        <v>28274</v>
      </c>
      <c r="Z4666" t="s">
        <v>18687</v>
      </c>
      <c r="AA4666" t="e">
        <f ca="1">- Reset RAM
- performed _xludf.Power up test</f>
        <v>#NAME?</v>
      </c>
      <c r="AB4666" s="2" t="s">
        <v>28275</v>
      </c>
      <c r="AG4666" t="s">
        <v>28276</v>
      </c>
      <c r="AH4666" t="s">
        <v>28277</v>
      </c>
      <c r="AI4666" t="s">
        <v>28278</v>
      </c>
    </row>
    <row r="4667" spans="2:35" ht="180">
      <c r="B4667" s="1">
        <v>45400</v>
      </c>
      <c r="C4667" s="4">
        <v>45400.482638888891</v>
      </c>
      <c r="D4667" t="s">
        <v>2272</v>
      </c>
      <c r="E4667" t="s">
        <v>28279</v>
      </c>
      <c r="F4667" t="s">
        <v>148</v>
      </c>
      <c r="G4667" t="s">
        <v>310</v>
      </c>
      <c r="H4667" t="s">
        <v>5042</v>
      </c>
      <c r="I4667" t="s">
        <v>40</v>
      </c>
      <c r="J4667" t="s">
        <v>321</v>
      </c>
      <c r="K4667" t="s">
        <v>42</v>
      </c>
      <c r="L4667" t="s">
        <v>1943</v>
      </c>
      <c r="N4667" t="s">
        <v>1944</v>
      </c>
      <c r="O4667" t="s">
        <v>2275</v>
      </c>
      <c r="Q4667">
        <v>27878</v>
      </c>
      <c r="R4667" t="s">
        <v>703</v>
      </c>
      <c r="S4667" t="s">
        <v>6830</v>
      </c>
      <c r="T4667">
        <v>25</v>
      </c>
      <c r="W4667" t="s">
        <v>373</v>
      </c>
      <c r="X4667">
        <v>120002026</v>
      </c>
      <c r="Y4667" t="s">
        <v>28280</v>
      </c>
      <c r="Z4667" t="s">
        <v>3764</v>
      </c>
      <c r="AA4667" s="2" t="s">
        <v>28281</v>
      </c>
      <c r="AB4667" t="s">
        <v>88</v>
      </c>
      <c r="AG4667" t="s">
        <v>28282</v>
      </c>
      <c r="AH4667" t="s">
        <v>6833</v>
      </c>
      <c r="AI4667" t="s">
        <v>28283</v>
      </c>
    </row>
    <row r="4668" spans="2:35" ht="165">
      <c r="B4668" s="1">
        <v>45400</v>
      </c>
      <c r="C4668" s="4">
        <v>45400.451388888891</v>
      </c>
      <c r="D4668" t="s">
        <v>6392</v>
      </c>
      <c r="E4668" t="s">
        <v>28284</v>
      </c>
      <c r="F4668">
        <v>2</v>
      </c>
      <c r="G4668" t="s">
        <v>2668</v>
      </c>
      <c r="H4668" t="s">
        <v>28285</v>
      </c>
      <c r="I4668" t="s">
        <v>40</v>
      </c>
      <c r="J4668" s="2" t="s">
        <v>62</v>
      </c>
      <c r="K4668" t="s">
        <v>42</v>
      </c>
      <c r="L4668" t="s">
        <v>63</v>
      </c>
      <c r="N4668" t="s">
        <v>64</v>
      </c>
      <c r="Q4668">
        <v>27877</v>
      </c>
      <c r="R4668" t="s">
        <v>119</v>
      </c>
      <c r="S4668" t="s">
        <v>28286</v>
      </c>
      <c r="T4668">
        <v>29</v>
      </c>
      <c r="U4668" s="2" t="s">
        <v>28287</v>
      </c>
      <c r="V4668" s="1">
        <v>45400</v>
      </c>
      <c r="W4668" t="s">
        <v>27947</v>
      </c>
      <c r="X4668">
        <v>838484</v>
      </c>
      <c r="Y4668" t="s">
        <v>12131</v>
      </c>
      <c r="Z4668" s="2" t="s">
        <v>4222</v>
      </c>
      <c r="AA4668" s="2" t="s">
        <v>1727</v>
      </c>
      <c r="AB4668" t="s">
        <v>70</v>
      </c>
      <c r="AC4668" t="s">
        <v>28288</v>
      </c>
      <c r="AD4668" t="s">
        <v>948</v>
      </c>
      <c r="AE4668">
        <v>11309</v>
      </c>
      <c r="AG4668" t="s">
        <v>28289</v>
      </c>
      <c r="AH4668" t="s">
        <v>28290</v>
      </c>
      <c r="AI4668" t="s">
        <v>28291</v>
      </c>
    </row>
    <row r="4669" spans="2:35" ht="409.5">
      <c r="B4669" s="1">
        <v>45400</v>
      </c>
      <c r="C4669" s="4">
        <v>45400.411805555559</v>
      </c>
      <c r="D4669" t="s">
        <v>2272</v>
      </c>
      <c r="E4669" t="s">
        <v>28279</v>
      </c>
      <c r="F4669" t="s">
        <v>148</v>
      </c>
      <c r="G4669" t="s">
        <v>310</v>
      </c>
      <c r="H4669" t="s">
        <v>5042</v>
      </c>
      <c r="I4669" t="s">
        <v>40</v>
      </c>
      <c r="J4669" s="2" t="s">
        <v>41</v>
      </c>
      <c r="K4669" t="s">
        <v>42</v>
      </c>
      <c r="L4669" t="s">
        <v>1943</v>
      </c>
      <c r="N4669" t="s">
        <v>1944</v>
      </c>
      <c r="O4669" t="s">
        <v>2275</v>
      </c>
      <c r="Q4669">
        <v>27876</v>
      </c>
      <c r="R4669" t="s">
        <v>703</v>
      </c>
      <c r="S4669" t="s">
        <v>6830</v>
      </c>
      <c r="T4669">
        <v>25</v>
      </c>
      <c r="V4669" s="1">
        <v>45397</v>
      </c>
      <c r="W4669" t="s">
        <v>84</v>
      </c>
      <c r="X4669">
        <v>835604</v>
      </c>
      <c r="Y4669" s="2" t="s">
        <v>28292</v>
      </c>
      <c r="Z4669" t="s">
        <v>28293</v>
      </c>
      <c r="AA4669" s="2" t="s">
        <v>1948</v>
      </c>
      <c r="AB4669" t="s">
        <v>28294</v>
      </c>
      <c r="AD4669" t="s">
        <v>28295</v>
      </c>
      <c r="AE4669" t="s">
        <v>28296</v>
      </c>
      <c r="AG4669" t="s">
        <v>28297</v>
      </c>
      <c r="AH4669" t="s">
        <v>12529</v>
      </c>
      <c r="AI4669" t="s">
        <v>28298</v>
      </c>
    </row>
    <row r="4670" spans="2:35" ht="409.5">
      <c r="B4670" s="1">
        <v>45400</v>
      </c>
      <c r="C4670" s="4">
        <v>45400.363888888889</v>
      </c>
      <c r="D4670" t="s">
        <v>28299</v>
      </c>
      <c r="E4670" t="s">
        <v>22251</v>
      </c>
      <c r="F4670" t="s">
        <v>148</v>
      </c>
      <c r="G4670" t="s">
        <v>447</v>
      </c>
      <c r="H4670" t="s">
        <v>61</v>
      </c>
      <c r="I4670" t="s">
        <v>40</v>
      </c>
      <c r="J4670" s="2" t="s">
        <v>41</v>
      </c>
      <c r="K4670" t="s">
        <v>42</v>
      </c>
      <c r="L4670" t="s">
        <v>1943</v>
      </c>
      <c r="N4670" t="s">
        <v>1944</v>
      </c>
      <c r="Q4670">
        <v>27875</v>
      </c>
      <c r="R4670" t="s">
        <v>703</v>
      </c>
      <c r="S4670" t="s">
        <v>3698</v>
      </c>
      <c r="T4670">
        <v>25</v>
      </c>
      <c r="U4670" s="2" t="s">
        <v>28300</v>
      </c>
      <c r="V4670" s="1">
        <v>45397</v>
      </c>
      <c r="W4670" t="s">
        <v>84</v>
      </c>
      <c r="X4670">
        <v>835602</v>
      </c>
      <c r="Y4670" s="2" t="s">
        <v>28301</v>
      </c>
      <c r="Z4670" t="s">
        <v>28293</v>
      </c>
      <c r="AA4670" s="2" t="s">
        <v>1948</v>
      </c>
      <c r="AB4670" t="s">
        <v>88</v>
      </c>
      <c r="AD4670" t="s">
        <v>28302</v>
      </c>
      <c r="AE4670" t="s">
        <v>28303</v>
      </c>
      <c r="AG4670" t="s">
        <v>28304</v>
      </c>
      <c r="AH4670" t="s">
        <v>7452</v>
      </c>
      <c r="AI4670" t="s">
        <v>28305</v>
      </c>
    </row>
    <row r="4671" spans="2:35" ht="315">
      <c r="B4671" s="1">
        <v>45399</v>
      </c>
      <c r="C4671" s="4">
        <v>45371.415972222225</v>
      </c>
      <c r="D4671" t="s">
        <v>3712</v>
      </c>
      <c r="E4671" t="s">
        <v>28306</v>
      </c>
      <c r="F4671" t="s">
        <v>148</v>
      </c>
      <c r="G4671" t="s">
        <v>310</v>
      </c>
      <c r="H4671" t="s">
        <v>2274</v>
      </c>
      <c r="I4671" t="s">
        <v>40</v>
      </c>
      <c r="J4671" t="s">
        <v>109</v>
      </c>
      <c r="K4671" t="s">
        <v>387</v>
      </c>
      <c r="L4671" t="s">
        <v>1943</v>
      </c>
      <c r="N4671" t="s">
        <v>1944</v>
      </c>
      <c r="Q4671">
        <v>27874</v>
      </c>
      <c r="R4671" t="s">
        <v>95</v>
      </c>
      <c r="S4671" t="s">
        <v>9747</v>
      </c>
      <c r="T4671">
        <v>25</v>
      </c>
      <c r="W4671" t="s">
        <v>390</v>
      </c>
      <c r="X4671" t="s">
        <v>16210</v>
      </c>
      <c r="Y4671" t="s">
        <v>3001</v>
      </c>
      <c r="Z4671" t="s">
        <v>1548</v>
      </c>
      <c r="AA4671" s="2" t="s">
        <v>2278</v>
      </c>
      <c r="AB4671" t="s">
        <v>88</v>
      </c>
      <c r="AG4671" t="s">
        <v>28307</v>
      </c>
      <c r="AH4671" t="s">
        <v>9755</v>
      </c>
      <c r="AI4671" t="s">
        <v>28308</v>
      </c>
    </row>
    <row r="4672" spans="2:35" ht="315">
      <c r="B4672" s="1">
        <v>45399</v>
      </c>
      <c r="C4672" s="4">
        <v>45371.418055555558</v>
      </c>
      <c r="D4672" t="s">
        <v>3712</v>
      </c>
      <c r="E4672" t="s">
        <v>28306</v>
      </c>
      <c r="F4672" t="s">
        <v>148</v>
      </c>
      <c r="G4672" t="s">
        <v>310</v>
      </c>
      <c r="H4672" t="s">
        <v>2274</v>
      </c>
      <c r="I4672" t="s">
        <v>40</v>
      </c>
      <c r="J4672" t="s">
        <v>109</v>
      </c>
      <c r="K4672" t="s">
        <v>387</v>
      </c>
      <c r="L4672" t="s">
        <v>1943</v>
      </c>
      <c r="N4672" t="s">
        <v>1944</v>
      </c>
      <c r="Q4672">
        <v>27873</v>
      </c>
      <c r="R4672" t="s">
        <v>95</v>
      </c>
      <c r="S4672" t="s">
        <v>9747</v>
      </c>
      <c r="T4672">
        <v>25</v>
      </c>
      <c r="W4672" t="s">
        <v>390</v>
      </c>
      <c r="X4672" t="s">
        <v>4180</v>
      </c>
      <c r="Y4672" t="s">
        <v>18216</v>
      </c>
      <c r="Z4672" t="s">
        <v>1548</v>
      </c>
      <c r="AA4672" s="2" t="s">
        <v>2278</v>
      </c>
      <c r="AB4672" t="s">
        <v>88</v>
      </c>
      <c r="AG4672" t="s">
        <v>28309</v>
      </c>
      <c r="AH4672" t="s">
        <v>10576</v>
      </c>
      <c r="AI4672" t="s">
        <v>28310</v>
      </c>
    </row>
    <row r="4673" spans="2:35" ht="315">
      <c r="B4673" s="1">
        <v>45399</v>
      </c>
      <c r="C4673" s="4">
        <v>45398.458333333336</v>
      </c>
      <c r="D4673" t="s">
        <v>1222</v>
      </c>
      <c r="E4673" t="s">
        <v>27730</v>
      </c>
      <c r="F4673" t="s">
        <v>37</v>
      </c>
      <c r="G4673" t="s">
        <v>38</v>
      </c>
      <c r="H4673" t="s">
        <v>39</v>
      </c>
      <c r="I4673" t="s">
        <v>40</v>
      </c>
      <c r="J4673" t="s">
        <v>109</v>
      </c>
      <c r="K4673" t="s">
        <v>42</v>
      </c>
      <c r="L4673" t="s">
        <v>43</v>
      </c>
      <c r="N4673" t="s">
        <v>44</v>
      </c>
      <c r="Q4673">
        <v>27872</v>
      </c>
      <c r="R4673" t="s">
        <v>119</v>
      </c>
      <c r="S4673" t="s">
        <v>27731</v>
      </c>
      <c r="T4673">
        <v>25</v>
      </c>
      <c r="U4673" s="2" t="s">
        <v>27732</v>
      </c>
      <c r="W4673" t="s">
        <v>48</v>
      </c>
      <c r="X4673">
        <v>821213</v>
      </c>
      <c r="Y4673" t="s">
        <v>121</v>
      </c>
      <c r="Z4673" t="s">
        <v>27733</v>
      </c>
      <c r="AA4673" s="2" t="s">
        <v>27734</v>
      </c>
      <c r="AB4673" t="s">
        <v>88</v>
      </c>
      <c r="AG4673" t="s">
        <v>28311</v>
      </c>
      <c r="AH4673" t="s">
        <v>27736</v>
      </c>
      <c r="AI4673" t="s">
        <v>28312</v>
      </c>
    </row>
    <row r="4674" spans="2:35" ht="180">
      <c r="B4674" s="1">
        <v>45399</v>
      </c>
      <c r="C4674" s="4">
        <v>45399.672222222223</v>
      </c>
      <c r="D4674" t="s">
        <v>7172</v>
      </c>
      <c r="E4674" t="s">
        <v>28313</v>
      </c>
      <c r="F4674" t="s">
        <v>148</v>
      </c>
      <c r="G4674" t="s">
        <v>310</v>
      </c>
      <c r="H4674" t="s">
        <v>39</v>
      </c>
      <c r="I4674" t="s">
        <v>40</v>
      </c>
      <c r="J4674" s="2" t="s">
        <v>41</v>
      </c>
      <c r="K4674" t="s">
        <v>42</v>
      </c>
      <c r="L4674" t="s">
        <v>27431</v>
      </c>
      <c r="N4674" t="s">
        <v>27432</v>
      </c>
      <c r="Q4674">
        <v>27871</v>
      </c>
      <c r="R4674" t="s">
        <v>703</v>
      </c>
      <c r="S4674" t="s">
        <v>2912</v>
      </c>
      <c r="T4674">
        <v>25</v>
      </c>
      <c r="U4674" s="2" t="s">
        <v>7829</v>
      </c>
      <c r="V4674" s="1">
        <v>45397</v>
      </c>
      <c r="W4674" t="s">
        <v>27435</v>
      </c>
      <c r="X4674">
        <v>835540</v>
      </c>
      <c r="Y4674" t="s">
        <v>28314</v>
      </c>
      <c r="Z4674" s="2" t="s">
        <v>28315</v>
      </c>
      <c r="AA4674" s="2" t="s">
        <v>28316</v>
      </c>
      <c r="AB4674" s="2" t="s">
        <v>28317</v>
      </c>
      <c r="AC4674" t="s">
        <v>28318</v>
      </c>
      <c r="AD4674" t="s">
        <v>6815</v>
      </c>
      <c r="AE4674" t="s">
        <v>28319</v>
      </c>
      <c r="AG4674" t="s">
        <v>28320</v>
      </c>
      <c r="AH4674" t="s">
        <v>28321</v>
      </c>
      <c r="AI4674" t="s">
        <v>28322</v>
      </c>
    </row>
    <row r="4675" spans="2:35" ht="315">
      <c r="B4675" s="1">
        <v>45399</v>
      </c>
      <c r="C4675" s="4">
        <v>45399.632638888892</v>
      </c>
      <c r="D4675" t="s">
        <v>7743</v>
      </c>
      <c r="E4675" t="s">
        <v>22183</v>
      </c>
      <c r="F4675">
        <v>11</v>
      </c>
      <c r="G4675" t="s">
        <v>1205</v>
      </c>
      <c r="H4675" t="s">
        <v>202</v>
      </c>
      <c r="I4675" t="s">
        <v>40</v>
      </c>
      <c r="J4675" t="s">
        <v>109</v>
      </c>
      <c r="K4675" t="s">
        <v>42</v>
      </c>
      <c r="L4675" t="s">
        <v>204</v>
      </c>
      <c r="N4675" t="s">
        <v>205</v>
      </c>
      <c r="Q4675">
        <v>27870</v>
      </c>
      <c r="R4675" t="s">
        <v>119</v>
      </c>
      <c r="S4675" t="s">
        <v>7745</v>
      </c>
      <c r="T4675">
        <v>26.8</v>
      </c>
      <c r="U4675" s="2" t="s">
        <v>22728</v>
      </c>
      <c r="W4675" t="s">
        <v>23237</v>
      </c>
      <c r="X4675">
        <v>838492</v>
      </c>
      <c r="Y4675" t="s">
        <v>2851</v>
      </c>
      <c r="Z4675" s="2" t="s">
        <v>1321</v>
      </c>
      <c r="AA4675" t="s">
        <v>2551</v>
      </c>
      <c r="AB4675" t="s">
        <v>1211</v>
      </c>
      <c r="AG4675" t="s">
        <v>28323</v>
      </c>
      <c r="AH4675" t="s">
        <v>28324</v>
      </c>
      <c r="AI4675" t="s">
        <v>28325</v>
      </c>
    </row>
    <row r="4676" spans="2:35" ht="75">
      <c r="B4676" s="1">
        <v>45399</v>
      </c>
      <c r="C4676" s="4">
        <v>45399.634722222225</v>
      </c>
      <c r="D4676" t="s">
        <v>28326</v>
      </c>
      <c r="E4676" t="s">
        <v>28327</v>
      </c>
      <c r="F4676" t="s">
        <v>148</v>
      </c>
      <c r="G4676" t="s">
        <v>447</v>
      </c>
      <c r="H4676" t="s">
        <v>28328</v>
      </c>
      <c r="I4676" t="s">
        <v>40</v>
      </c>
      <c r="J4676" t="s">
        <v>583</v>
      </c>
      <c r="K4676" t="s">
        <v>2629</v>
      </c>
      <c r="L4676" t="s">
        <v>409</v>
      </c>
      <c r="N4676" t="s">
        <v>410</v>
      </c>
      <c r="Q4676">
        <v>27869</v>
      </c>
      <c r="R4676" t="s">
        <v>95</v>
      </c>
      <c r="S4676" t="s">
        <v>410</v>
      </c>
      <c r="T4676">
        <v>30</v>
      </c>
      <c r="W4676" t="s">
        <v>28329</v>
      </c>
      <c r="X4676">
        <v>2004000887</v>
      </c>
      <c r="Y4676" t="s">
        <v>3590</v>
      </c>
      <c r="Z4676" t="s">
        <v>301</v>
      </c>
      <c r="AA4676" s="2" t="s">
        <v>28330</v>
      </c>
      <c r="AB4676" t="s">
        <v>28331</v>
      </c>
      <c r="AC4676" t="s">
        <v>28332</v>
      </c>
      <c r="AG4676" t="s">
        <v>28333</v>
      </c>
      <c r="AH4676" t="s">
        <v>449</v>
      </c>
      <c r="AI4676" t="s">
        <v>28334</v>
      </c>
    </row>
    <row r="4677" spans="2:35" ht="75">
      <c r="B4677" s="1">
        <v>45399</v>
      </c>
      <c r="C4677" s="4">
        <v>45399.631944444445</v>
      </c>
      <c r="D4677" t="s">
        <v>28326</v>
      </c>
      <c r="E4677" t="s">
        <v>28327</v>
      </c>
      <c r="F4677" t="s">
        <v>148</v>
      </c>
      <c r="G4677" t="s">
        <v>447</v>
      </c>
      <c r="H4677" t="s">
        <v>28335</v>
      </c>
      <c r="I4677" t="s">
        <v>40</v>
      </c>
      <c r="J4677" t="s">
        <v>583</v>
      </c>
      <c r="K4677" t="s">
        <v>2629</v>
      </c>
      <c r="L4677" t="s">
        <v>409</v>
      </c>
      <c r="N4677" t="s">
        <v>410</v>
      </c>
      <c r="Q4677">
        <v>27868</v>
      </c>
      <c r="R4677" t="s">
        <v>95</v>
      </c>
      <c r="S4677" t="s">
        <v>410</v>
      </c>
      <c r="T4677">
        <v>26</v>
      </c>
      <c r="W4677" t="s">
        <v>28329</v>
      </c>
      <c r="X4677">
        <v>3919017542</v>
      </c>
      <c r="Y4677" t="s">
        <v>3590</v>
      </c>
      <c r="Z4677" t="s">
        <v>301</v>
      </c>
      <c r="AA4677" s="2" t="s">
        <v>28330</v>
      </c>
      <c r="AB4677" t="s">
        <v>28336</v>
      </c>
      <c r="AC4677" t="s">
        <v>28332</v>
      </c>
      <c r="AG4677" t="s">
        <v>28337</v>
      </c>
      <c r="AH4677" t="s">
        <v>449</v>
      </c>
      <c r="AI4677" t="s">
        <v>28338</v>
      </c>
    </row>
    <row r="4678" spans="2:35" ht="75">
      <c r="B4678" s="1">
        <v>45399</v>
      </c>
      <c r="C4678" s="4">
        <v>45399.629861111112</v>
      </c>
      <c r="D4678" t="s">
        <v>28326</v>
      </c>
      <c r="E4678" t="s">
        <v>28327</v>
      </c>
      <c r="F4678" t="s">
        <v>148</v>
      </c>
      <c r="G4678" t="s">
        <v>447</v>
      </c>
      <c r="H4678" t="s">
        <v>28339</v>
      </c>
      <c r="I4678" t="s">
        <v>40</v>
      </c>
      <c r="J4678" t="s">
        <v>583</v>
      </c>
      <c r="K4678" t="s">
        <v>2629</v>
      </c>
      <c r="L4678" t="s">
        <v>409</v>
      </c>
      <c r="N4678" t="s">
        <v>410</v>
      </c>
      <c r="Q4678">
        <v>27867</v>
      </c>
      <c r="R4678" t="s">
        <v>95</v>
      </c>
      <c r="S4678" t="s">
        <v>410</v>
      </c>
      <c r="T4678">
        <v>29</v>
      </c>
      <c r="W4678" t="s">
        <v>28340</v>
      </c>
      <c r="X4678">
        <v>466208</v>
      </c>
      <c r="Y4678" t="s">
        <v>3590</v>
      </c>
      <c r="Z4678" t="s">
        <v>301</v>
      </c>
      <c r="AA4678" s="2" t="s">
        <v>28330</v>
      </c>
      <c r="AB4678" t="s">
        <v>181</v>
      </c>
      <c r="AC4678" t="s">
        <v>28341</v>
      </c>
      <c r="AG4678" t="s">
        <v>28342</v>
      </c>
      <c r="AH4678" t="s">
        <v>449</v>
      </c>
      <c r="AI4678" t="s">
        <v>28343</v>
      </c>
    </row>
    <row r="4679" spans="2:35" ht="75">
      <c r="B4679" s="1">
        <v>45399</v>
      </c>
      <c r="C4679" s="4">
        <v>45399.628472222219</v>
      </c>
      <c r="D4679" t="s">
        <v>28326</v>
      </c>
      <c r="E4679" t="s">
        <v>28327</v>
      </c>
      <c r="F4679" t="s">
        <v>148</v>
      </c>
      <c r="G4679" t="s">
        <v>447</v>
      </c>
      <c r="H4679" t="s">
        <v>28339</v>
      </c>
      <c r="I4679" t="s">
        <v>40</v>
      </c>
      <c r="J4679" t="s">
        <v>583</v>
      </c>
      <c r="K4679" t="s">
        <v>2629</v>
      </c>
      <c r="L4679" t="s">
        <v>409</v>
      </c>
      <c r="N4679" t="s">
        <v>410</v>
      </c>
      <c r="Q4679">
        <v>27866</v>
      </c>
      <c r="R4679" t="s">
        <v>95</v>
      </c>
      <c r="S4679" t="s">
        <v>410</v>
      </c>
      <c r="T4679">
        <v>29</v>
      </c>
      <c r="W4679" t="s">
        <v>28340</v>
      </c>
      <c r="X4679">
        <v>466143</v>
      </c>
      <c r="Y4679" t="s">
        <v>3590</v>
      </c>
      <c r="Z4679" t="s">
        <v>301</v>
      </c>
      <c r="AA4679" s="2" t="s">
        <v>28330</v>
      </c>
      <c r="AB4679" t="s">
        <v>181</v>
      </c>
      <c r="AC4679" t="s">
        <v>28344</v>
      </c>
      <c r="AG4679" t="s">
        <v>28345</v>
      </c>
      <c r="AH4679" t="s">
        <v>449</v>
      </c>
      <c r="AI4679" t="s">
        <v>28346</v>
      </c>
    </row>
    <row r="4680" spans="2:35" ht="75">
      <c r="B4680" s="1">
        <v>45399</v>
      </c>
      <c r="C4680" s="4">
        <v>45399.627083333333</v>
      </c>
      <c r="D4680" t="s">
        <v>28326</v>
      </c>
      <c r="E4680" t="s">
        <v>28327</v>
      </c>
      <c r="F4680" t="s">
        <v>148</v>
      </c>
      <c r="G4680" t="s">
        <v>447</v>
      </c>
      <c r="H4680" t="s">
        <v>28339</v>
      </c>
      <c r="I4680" t="s">
        <v>40</v>
      </c>
      <c r="J4680" t="s">
        <v>583</v>
      </c>
      <c r="K4680" t="s">
        <v>2629</v>
      </c>
      <c r="L4680" t="s">
        <v>409</v>
      </c>
      <c r="N4680" t="s">
        <v>410</v>
      </c>
      <c r="Q4680">
        <v>27865</v>
      </c>
      <c r="R4680" t="s">
        <v>95</v>
      </c>
      <c r="S4680" t="s">
        <v>410</v>
      </c>
      <c r="T4680">
        <v>29</v>
      </c>
      <c r="W4680" t="s">
        <v>28340</v>
      </c>
      <c r="X4680">
        <v>466145</v>
      </c>
      <c r="Y4680" t="s">
        <v>3590</v>
      </c>
      <c r="Z4680" t="s">
        <v>301</v>
      </c>
      <c r="AA4680" s="2" t="s">
        <v>28330</v>
      </c>
      <c r="AB4680" t="s">
        <v>181</v>
      </c>
      <c r="AC4680" t="s">
        <v>28344</v>
      </c>
      <c r="AG4680" t="s">
        <v>28347</v>
      </c>
      <c r="AH4680" t="s">
        <v>449</v>
      </c>
      <c r="AI4680" t="s">
        <v>28348</v>
      </c>
    </row>
    <row r="4681" spans="2:35" ht="225">
      <c r="B4681" s="1">
        <v>45399</v>
      </c>
      <c r="C4681" s="4">
        <v>45399.625</v>
      </c>
      <c r="D4681" t="s">
        <v>28326</v>
      </c>
      <c r="E4681" t="s">
        <v>28327</v>
      </c>
      <c r="F4681" t="s">
        <v>148</v>
      </c>
      <c r="G4681" t="s">
        <v>447</v>
      </c>
      <c r="H4681" t="s">
        <v>28349</v>
      </c>
      <c r="I4681" t="s">
        <v>40</v>
      </c>
      <c r="J4681" t="s">
        <v>583</v>
      </c>
      <c r="K4681" t="s">
        <v>2629</v>
      </c>
      <c r="L4681" t="s">
        <v>409</v>
      </c>
      <c r="N4681" t="s">
        <v>410</v>
      </c>
      <c r="Q4681">
        <v>27864</v>
      </c>
      <c r="R4681" t="s">
        <v>95</v>
      </c>
      <c r="S4681" t="s">
        <v>410</v>
      </c>
      <c r="T4681">
        <v>26</v>
      </c>
      <c r="W4681" t="s">
        <v>18040</v>
      </c>
      <c r="X4681">
        <v>3116008048</v>
      </c>
      <c r="Y4681" t="s">
        <v>3590</v>
      </c>
      <c r="Z4681" t="s">
        <v>301</v>
      </c>
      <c r="AA4681" s="2" t="s">
        <v>28330</v>
      </c>
      <c r="AB4681" s="2" t="s">
        <v>28350</v>
      </c>
      <c r="AC4681" t="s">
        <v>28351</v>
      </c>
      <c r="AG4681" t="s">
        <v>28352</v>
      </c>
      <c r="AH4681" t="s">
        <v>449</v>
      </c>
      <c r="AI4681" t="s">
        <v>28353</v>
      </c>
    </row>
    <row r="4682" spans="2:35" ht="405">
      <c r="B4682" s="1">
        <v>45399</v>
      </c>
      <c r="C4682" s="4">
        <v>45399.622916666667</v>
      </c>
      <c r="D4682" t="s">
        <v>28326</v>
      </c>
      <c r="E4682" t="s">
        <v>28327</v>
      </c>
      <c r="F4682" t="s">
        <v>148</v>
      </c>
      <c r="G4682" t="s">
        <v>447</v>
      </c>
      <c r="H4682" t="s">
        <v>28349</v>
      </c>
      <c r="I4682" t="s">
        <v>40</v>
      </c>
      <c r="J4682" t="s">
        <v>583</v>
      </c>
      <c r="K4682" t="s">
        <v>2629</v>
      </c>
      <c r="L4682" t="s">
        <v>409</v>
      </c>
      <c r="N4682" t="s">
        <v>410</v>
      </c>
      <c r="Q4682">
        <v>27863</v>
      </c>
      <c r="R4682" t="s">
        <v>95</v>
      </c>
      <c r="S4682" t="s">
        <v>410</v>
      </c>
      <c r="T4682">
        <v>26</v>
      </c>
      <c r="W4682" t="s">
        <v>18040</v>
      </c>
      <c r="X4682">
        <v>3116007573</v>
      </c>
      <c r="Y4682" t="s">
        <v>3590</v>
      </c>
      <c r="Z4682" t="s">
        <v>301</v>
      </c>
      <c r="AA4682" s="2" t="s">
        <v>28330</v>
      </c>
      <c r="AB4682" s="2" t="s">
        <v>28354</v>
      </c>
      <c r="AC4682" t="s">
        <v>28351</v>
      </c>
      <c r="AG4682" t="s">
        <v>28355</v>
      </c>
      <c r="AH4682" t="s">
        <v>449</v>
      </c>
      <c r="AI4682" t="s">
        <v>28356</v>
      </c>
    </row>
    <row r="4683" spans="2:35" ht="225">
      <c r="B4683" s="1">
        <v>45399</v>
      </c>
      <c r="C4683" s="4">
        <v>45399.620138888888</v>
      </c>
      <c r="D4683" t="s">
        <v>28326</v>
      </c>
      <c r="E4683" t="s">
        <v>28327</v>
      </c>
      <c r="F4683" t="s">
        <v>148</v>
      </c>
      <c r="G4683" t="s">
        <v>447</v>
      </c>
      <c r="H4683" t="s">
        <v>28349</v>
      </c>
      <c r="I4683" t="s">
        <v>40</v>
      </c>
      <c r="J4683" t="s">
        <v>583</v>
      </c>
      <c r="K4683" t="s">
        <v>2629</v>
      </c>
      <c r="L4683" t="s">
        <v>409</v>
      </c>
      <c r="N4683" t="s">
        <v>410</v>
      </c>
      <c r="Q4683">
        <v>27862</v>
      </c>
      <c r="R4683" t="s">
        <v>95</v>
      </c>
      <c r="S4683" t="s">
        <v>410</v>
      </c>
      <c r="T4683">
        <v>26</v>
      </c>
      <c r="W4683" t="s">
        <v>18040</v>
      </c>
      <c r="X4683">
        <v>3116007590</v>
      </c>
      <c r="Y4683" t="s">
        <v>3590</v>
      </c>
      <c r="Z4683" t="s">
        <v>301</v>
      </c>
      <c r="AA4683" s="2" t="s">
        <v>28330</v>
      </c>
      <c r="AB4683" s="2" t="s">
        <v>28350</v>
      </c>
      <c r="AC4683" t="s">
        <v>28351</v>
      </c>
      <c r="AG4683" t="s">
        <v>28357</v>
      </c>
      <c r="AH4683" t="s">
        <v>449</v>
      </c>
      <c r="AI4683" t="s">
        <v>28358</v>
      </c>
    </row>
    <row r="4684" spans="2:35" ht="135">
      <c r="B4684" s="1">
        <v>45399</v>
      </c>
      <c r="C4684" s="4">
        <v>45399.418749999997</v>
      </c>
      <c r="D4684" t="s">
        <v>28326</v>
      </c>
      <c r="E4684" t="s">
        <v>28327</v>
      </c>
      <c r="F4684" t="s">
        <v>148</v>
      </c>
      <c r="G4684" t="s">
        <v>447</v>
      </c>
      <c r="H4684" t="s">
        <v>28349</v>
      </c>
      <c r="I4684" t="s">
        <v>40</v>
      </c>
      <c r="J4684" t="s">
        <v>583</v>
      </c>
      <c r="K4684" t="s">
        <v>2629</v>
      </c>
      <c r="L4684" t="s">
        <v>409</v>
      </c>
      <c r="N4684" t="s">
        <v>410</v>
      </c>
      <c r="Q4684">
        <v>27861</v>
      </c>
      <c r="R4684" t="s">
        <v>95</v>
      </c>
      <c r="S4684" t="s">
        <v>410</v>
      </c>
      <c r="T4684">
        <v>26</v>
      </c>
      <c r="W4684" t="s">
        <v>28340</v>
      </c>
      <c r="X4684">
        <v>466209</v>
      </c>
      <c r="Y4684" t="s">
        <v>3590</v>
      </c>
      <c r="Z4684" t="s">
        <v>301</v>
      </c>
      <c r="AA4684" s="2" t="s">
        <v>28330</v>
      </c>
      <c r="AB4684" s="2" t="s">
        <v>28359</v>
      </c>
      <c r="AC4684" t="s">
        <v>28360</v>
      </c>
      <c r="AG4684" t="s">
        <v>28361</v>
      </c>
      <c r="AH4684" t="s">
        <v>449</v>
      </c>
      <c r="AI4684" t="s">
        <v>28362</v>
      </c>
    </row>
    <row r="4685" spans="2:35" ht="270">
      <c r="B4685" s="1">
        <v>45399</v>
      </c>
      <c r="C4685" s="4">
        <v>45399.603472222225</v>
      </c>
      <c r="D4685" t="s">
        <v>8341</v>
      </c>
      <c r="E4685" t="s">
        <v>12743</v>
      </c>
      <c r="F4685">
        <v>2</v>
      </c>
      <c r="G4685" t="s">
        <v>60</v>
      </c>
      <c r="H4685" t="s">
        <v>39</v>
      </c>
      <c r="I4685" t="s">
        <v>40</v>
      </c>
      <c r="J4685" s="2" t="s">
        <v>62</v>
      </c>
      <c r="K4685" t="s">
        <v>42</v>
      </c>
      <c r="L4685" t="s">
        <v>63</v>
      </c>
      <c r="N4685" t="s">
        <v>64</v>
      </c>
      <c r="Q4685">
        <v>27860</v>
      </c>
      <c r="R4685" t="s">
        <v>119</v>
      </c>
      <c r="S4685" t="s">
        <v>8343</v>
      </c>
      <c r="T4685">
        <v>25</v>
      </c>
      <c r="U4685" s="2" t="s">
        <v>28363</v>
      </c>
      <c r="V4685" s="1">
        <v>45370</v>
      </c>
      <c r="W4685" t="s">
        <v>26915</v>
      </c>
      <c r="X4685">
        <v>838201</v>
      </c>
      <c r="Y4685" t="s">
        <v>1716</v>
      </c>
      <c r="Z4685" t="s">
        <v>1716</v>
      </c>
      <c r="AA4685" s="2" t="s">
        <v>28364</v>
      </c>
      <c r="AB4685" t="s">
        <v>70</v>
      </c>
      <c r="AD4685" t="s">
        <v>948</v>
      </c>
      <c r="AE4685">
        <v>11310</v>
      </c>
      <c r="AG4685" t="s">
        <v>28365</v>
      </c>
      <c r="AH4685" t="s">
        <v>11356</v>
      </c>
      <c r="AI4685" t="s">
        <v>28366</v>
      </c>
    </row>
    <row r="4686" spans="2:35" ht="210">
      <c r="B4686" s="1">
        <v>45399</v>
      </c>
      <c r="C4686" s="4">
        <v>45399.572222222225</v>
      </c>
      <c r="D4686" t="s">
        <v>19006</v>
      </c>
      <c r="E4686" t="s">
        <v>19007</v>
      </c>
      <c r="F4686">
        <v>10</v>
      </c>
      <c r="G4686" t="s">
        <v>2392</v>
      </c>
      <c r="H4686" t="s">
        <v>608</v>
      </c>
      <c r="I4686" t="s">
        <v>40</v>
      </c>
      <c r="J4686" t="s">
        <v>996</v>
      </c>
      <c r="K4686" t="s">
        <v>42</v>
      </c>
      <c r="L4686" t="s">
        <v>610</v>
      </c>
      <c r="N4686" t="s">
        <v>611</v>
      </c>
      <c r="Q4686">
        <v>27859</v>
      </c>
      <c r="R4686" t="s">
        <v>119</v>
      </c>
      <c r="S4686" t="s">
        <v>9665</v>
      </c>
      <c r="T4686">
        <v>26</v>
      </c>
      <c r="U4686" s="2" t="s">
        <v>2483</v>
      </c>
      <c r="W4686" t="s">
        <v>360</v>
      </c>
      <c r="X4686">
        <v>838402</v>
      </c>
      <c r="Y4686" t="s">
        <v>28367</v>
      </c>
      <c r="Z4686" s="2" t="s">
        <v>28368</v>
      </c>
      <c r="AA4686" s="2" t="s">
        <v>28368</v>
      </c>
      <c r="AB4686" t="s">
        <v>28369</v>
      </c>
      <c r="AG4686" t="s">
        <v>28370</v>
      </c>
      <c r="AH4686" t="s">
        <v>19013</v>
      </c>
      <c r="AI4686" t="s">
        <v>28371</v>
      </c>
    </row>
    <row r="4687" spans="2:35" ht="75">
      <c r="B4687" s="1">
        <v>45399</v>
      </c>
      <c r="C4687" s="4">
        <v>45399.55</v>
      </c>
      <c r="D4687" t="s">
        <v>8123</v>
      </c>
      <c r="E4687" t="s">
        <v>8124</v>
      </c>
      <c r="F4687">
        <v>13</v>
      </c>
      <c r="G4687" t="s">
        <v>4484</v>
      </c>
      <c r="H4687" t="s">
        <v>2125</v>
      </c>
      <c r="I4687" t="s">
        <v>40</v>
      </c>
      <c r="J4687" t="s">
        <v>109</v>
      </c>
      <c r="K4687" t="s">
        <v>42</v>
      </c>
      <c r="L4687" t="s">
        <v>933</v>
      </c>
      <c r="N4687" t="s">
        <v>934</v>
      </c>
      <c r="Q4687">
        <v>27858</v>
      </c>
      <c r="R4687" t="s">
        <v>119</v>
      </c>
      <c r="S4687" t="s">
        <v>8125</v>
      </c>
      <c r="T4687">
        <v>30</v>
      </c>
      <c r="U4687" s="2" t="s">
        <v>2367</v>
      </c>
      <c r="W4687" t="s">
        <v>3662</v>
      </c>
      <c r="X4687">
        <v>838554</v>
      </c>
      <c r="Y4687" t="s">
        <v>28372</v>
      </c>
      <c r="Z4687" t="s">
        <v>301</v>
      </c>
      <c r="AA4687" t="s">
        <v>3128</v>
      </c>
      <c r="AB4687" t="s">
        <v>28373</v>
      </c>
      <c r="AG4687" t="s">
        <v>28374</v>
      </c>
      <c r="AH4687" t="s">
        <v>8129</v>
      </c>
      <c r="AI4687" t="s">
        <v>28375</v>
      </c>
    </row>
    <row r="4688" spans="2:35" ht="105">
      <c r="B4688" s="1">
        <v>45399</v>
      </c>
      <c r="C4688" s="4">
        <v>45399.552083333336</v>
      </c>
      <c r="D4688" t="s">
        <v>16716</v>
      </c>
      <c r="E4688" t="s">
        <v>1128</v>
      </c>
      <c r="F4688">
        <v>8</v>
      </c>
      <c r="G4688" t="s">
        <v>342</v>
      </c>
      <c r="H4688" t="s">
        <v>202</v>
      </c>
      <c r="I4688" t="s">
        <v>40</v>
      </c>
      <c r="J4688" t="s">
        <v>109</v>
      </c>
      <c r="K4688" t="s">
        <v>42</v>
      </c>
      <c r="L4688" t="s">
        <v>259</v>
      </c>
      <c r="N4688" t="s">
        <v>260</v>
      </c>
      <c r="Q4688">
        <v>27857</v>
      </c>
      <c r="R4688" t="s">
        <v>119</v>
      </c>
      <c r="S4688" t="s">
        <v>23172</v>
      </c>
      <c r="T4688">
        <v>22</v>
      </c>
      <c r="U4688" s="2" t="s">
        <v>28376</v>
      </c>
      <c r="V4688" s="1">
        <v>45399</v>
      </c>
      <c r="W4688" t="s">
        <v>84</v>
      </c>
      <c r="X4688">
        <v>838421</v>
      </c>
      <c r="Y4688" t="s">
        <v>263</v>
      </c>
      <c r="Z4688" t="s">
        <v>263</v>
      </c>
      <c r="AA4688" t="e">
        <f ca="1">- Preventive Maintenance</f>
        <v>#NAME?</v>
      </c>
      <c r="AB4688" t="s">
        <v>181</v>
      </c>
      <c r="AG4688" t="s">
        <v>28377</v>
      </c>
      <c r="AH4688" t="s">
        <v>28378</v>
      </c>
      <c r="AI4688" t="s">
        <v>28379</v>
      </c>
    </row>
    <row r="4689" spans="2:35" ht="225">
      <c r="B4689" s="1">
        <v>45399</v>
      </c>
      <c r="C4689" s="4">
        <v>45399.533333333333</v>
      </c>
      <c r="D4689" t="s">
        <v>9251</v>
      </c>
      <c r="E4689" t="s">
        <v>19670</v>
      </c>
      <c r="F4689">
        <v>2</v>
      </c>
      <c r="G4689" t="s">
        <v>60</v>
      </c>
      <c r="H4689" t="s">
        <v>39</v>
      </c>
      <c r="I4689" t="s">
        <v>40</v>
      </c>
      <c r="J4689" s="2" t="s">
        <v>62</v>
      </c>
      <c r="K4689" t="s">
        <v>42</v>
      </c>
      <c r="L4689" t="s">
        <v>63</v>
      </c>
      <c r="N4689" t="s">
        <v>64</v>
      </c>
      <c r="Q4689">
        <v>27856</v>
      </c>
      <c r="R4689" t="s">
        <v>119</v>
      </c>
      <c r="S4689" t="s">
        <v>9253</v>
      </c>
      <c r="T4689">
        <v>25</v>
      </c>
      <c r="U4689" s="2" t="s">
        <v>8164</v>
      </c>
      <c r="V4689" s="1">
        <v>45399</v>
      </c>
      <c r="W4689" t="s">
        <v>26915</v>
      </c>
      <c r="X4689">
        <v>838272</v>
      </c>
      <c r="Y4689" t="s">
        <v>1716</v>
      </c>
      <c r="Z4689" t="s">
        <v>1716</v>
      </c>
      <c r="AA4689" s="2" t="s">
        <v>28380</v>
      </c>
      <c r="AB4689" t="s">
        <v>70</v>
      </c>
      <c r="AC4689" t="s">
        <v>28381</v>
      </c>
      <c r="AD4689" t="s">
        <v>11518</v>
      </c>
      <c r="AE4689" t="s">
        <v>1716</v>
      </c>
      <c r="AG4689" t="s">
        <v>28382</v>
      </c>
      <c r="AH4689" t="s">
        <v>21523</v>
      </c>
      <c r="AI4689" t="s">
        <v>28383</v>
      </c>
    </row>
    <row r="4690" spans="2:35" ht="90">
      <c r="B4690" s="1">
        <v>45399</v>
      </c>
      <c r="C4690" s="4">
        <v>45399.506249999999</v>
      </c>
      <c r="D4690" t="s">
        <v>7859</v>
      </c>
      <c r="E4690" t="s">
        <v>28384</v>
      </c>
      <c r="F4690">
        <v>6</v>
      </c>
      <c r="G4690" t="s">
        <v>1286</v>
      </c>
      <c r="H4690" t="s">
        <v>61</v>
      </c>
      <c r="I4690" t="s">
        <v>40</v>
      </c>
      <c r="J4690" t="s">
        <v>321</v>
      </c>
      <c r="K4690" t="s">
        <v>42</v>
      </c>
      <c r="L4690" t="s">
        <v>23958</v>
      </c>
      <c r="N4690" t="s">
        <v>23959</v>
      </c>
      <c r="Q4690">
        <v>27855</v>
      </c>
      <c r="R4690" t="s">
        <v>322</v>
      </c>
      <c r="S4690" t="s">
        <v>7853</v>
      </c>
      <c r="T4690">
        <v>4</v>
      </c>
      <c r="U4690" s="2" t="s">
        <v>28385</v>
      </c>
      <c r="W4690" t="s">
        <v>360</v>
      </c>
      <c r="X4690">
        <v>110021716</v>
      </c>
      <c r="Y4690" t="s">
        <v>301</v>
      </c>
      <c r="Z4690" t="s">
        <v>28386</v>
      </c>
      <c r="AA4690" t="s">
        <v>28387</v>
      </c>
      <c r="AB4690" t="s">
        <v>28388</v>
      </c>
      <c r="AG4690" t="s">
        <v>28389</v>
      </c>
      <c r="AH4690" t="s">
        <v>11762</v>
      </c>
      <c r="AI4690" t="s">
        <v>28390</v>
      </c>
    </row>
    <row r="4691" spans="2:35" ht="165">
      <c r="B4691" s="1">
        <v>45399</v>
      </c>
      <c r="C4691" s="4">
        <v>45399.417361111111</v>
      </c>
      <c r="D4691" t="s">
        <v>28326</v>
      </c>
      <c r="E4691" t="s">
        <v>28327</v>
      </c>
      <c r="F4691" t="s">
        <v>148</v>
      </c>
      <c r="G4691" t="s">
        <v>447</v>
      </c>
      <c r="H4691" t="s">
        <v>28349</v>
      </c>
      <c r="I4691" t="s">
        <v>40</v>
      </c>
      <c r="J4691" t="s">
        <v>583</v>
      </c>
      <c r="K4691" t="s">
        <v>2629</v>
      </c>
      <c r="L4691" t="s">
        <v>409</v>
      </c>
      <c r="N4691" t="s">
        <v>410</v>
      </c>
      <c r="Q4691">
        <v>27854</v>
      </c>
      <c r="R4691" t="s">
        <v>322</v>
      </c>
      <c r="S4691" t="s">
        <v>410</v>
      </c>
      <c r="T4691">
        <v>26</v>
      </c>
      <c r="W4691" t="s">
        <v>28340</v>
      </c>
      <c r="X4691">
        <v>466149</v>
      </c>
      <c r="Y4691" t="s">
        <v>3590</v>
      </c>
      <c r="Z4691" t="s">
        <v>301</v>
      </c>
      <c r="AA4691" s="2" t="s">
        <v>28330</v>
      </c>
      <c r="AB4691" s="2" t="s">
        <v>28391</v>
      </c>
      <c r="AC4691" t="s">
        <v>28392</v>
      </c>
      <c r="AG4691" t="s">
        <v>28393</v>
      </c>
      <c r="AH4691" t="s">
        <v>449</v>
      </c>
      <c r="AI4691" t="s">
        <v>28394</v>
      </c>
    </row>
    <row r="4692" spans="2:35" ht="165">
      <c r="B4692" s="1">
        <v>45399</v>
      </c>
      <c r="C4692" s="4">
        <v>45399.411111111112</v>
      </c>
      <c r="D4692" t="s">
        <v>28326</v>
      </c>
      <c r="E4692" t="s">
        <v>28327</v>
      </c>
      <c r="F4692" t="s">
        <v>148</v>
      </c>
      <c r="G4692" t="s">
        <v>447</v>
      </c>
      <c r="H4692" t="s">
        <v>28349</v>
      </c>
      <c r="I4692" t="s">
        <v>40</v>
      </c>
      <c r="J4692" t="s">
        <v>583</v>
      </c>
      <c r="K4692" t="s">
        <v>2629</v>
      </c>
      <c r="L4692" t="s">
        <v>409</v>
      </c>
      <c r="N4692" t="s">
        <v>410</v>
      </c>
      <c r="Q4692">
        <v>27853</v>
      </c>
      <c r="R4692" t="s">
        <v>95</v>
      </c>
      <c r="S4692" t="s">
        <v>410</v>
      </c>
      <c r="T4692">
        <v>26</v>
      </c>
      <c r="W4692" t="s">
        <v>28395</v>
      </c>
      <c r="X4692">
        <v>454545</v>
      </c>
      <c r="Y4692" t="s">
        <v>3590</v>
      </c>
      <c r="Z4692" t="s">
        <v>301</v>
      </c>
      <c r="AA4692" s="2" t="s">
        <v>28330</v>
      </c>
      <c r="AB4692" s="2" t="s">
        <v>28391</v>
      </c>
      <c r="AC4692" t="s">
        <v>28392</v>
      </c>
      <c r="AG4692" t="s">
        <v>28396</v>
      </c>
      <c r="AH4692" t="s">
        <v>449</v>
      </c>
      <c r="AI4692" t="s">
        <v>28397</v>
      </c>
    </row>
    <row r="4693" spans="2:35" ht="105">
      <c r="B4693" s="1">
        <v>45399</v>
      </c>
      <c r="C4693" s="4">
        <v>45399.408333333333</v>
      </c>
      <c r="D4693" t="s">
        <v>28326</v>
      </c>
      <c r="E4693" t="s">
        <v>28327</v>
      </c>
      <c r="F4693" t="s">
        <v>148</v>
      </c>
      <c r="G4693" t="s">
        <v>447</v>
      </c>
      <c r="H4693" t="s">
        <v>28349</v>
      </c>
      <c r="I4693" t="s">
        <v>40</v>
      </c>
      <c r="J4693" t="s">
        <v>583</v>
      </c>
      <c r="K4693" t="s">
        <v>2629</v>
      </c>
      <c r="L4693" t="s">
        <v>409</v>
      </c>
      <c r="N4693" t="s">
        <v>410</v>
      </c>
      <c r="Q4693">
        <v>27852</v>
      </c>
      <c r="R4693" t="s">
        <v>95</v>
      </c>
      <c r="S4693" t="s">
        <v>410</v>
      </c>
      <c r="T4693">
        <v>26</v>
      </c>
      <c r="W4693" t="s">
        <v>28340</v>
      </c>
      <c r="X4693">
        <v>466154</v>
      </c>
      <c r="Y4693" t="s">
        <v>3590</v>
      </c>
      <c r="Z4693" t="s">
        <v>301</v>
      </c>
      <c r="AA4693" s="2" t="s">
        <v>28330</v>
      </c>
      <c r="AB4693" s="2" t="s">
        <v>28398</v>
      </c>
      <c r="AC4693" t="s">
        <v>28399</v>
      </c>
      <c r="AG4693" t="s">
        <v>28400</v>
      </c>
      <c r="AH4693" t="s">
        <v>449</v>
      </c>
      <c r="AI4693" t="s">
        <v>28401</v>
      </c>
    </row>
    <row r="4694" spans="2:35" ht="180">
      <c r="B4694" s="1">
        <v>45399</v>
      </c>
      <c r="C4694" s="4">
        <v>45399.40625</v>
      </c>
      <c r="D4694" t="s">
        <v>28326</v>
      </c>
      <c r="E4694" t="s">
        <v>28327</v>
      </c>
      <c r="F4694" t="s">
        <v>148</v>
      </c>
      <c r="G4694" t="s">
        <v>447</v>
      </c>
      <c r="H4694" t="s">
        <v>28349</v>
      </c>
      <c r="I4694" t="s">
        <v>40</v>
      </c>
      <c r="J4694" t="s">
        <v>583</v>
      </c>
      <c r="K4694" t="s">
        <v>2629</v>
      </c>
      <c r="L4694" t="s">
        <v>409</v>
      </c>
      <c r="N4694" t="s">
        <v>410</v>
      </c>
      <c r="Q4694">
        <v>27851</v>
      </c>
      <c r="R4694" t="s">
        <v>95</v>
      </c>
      <c r="S4694" t="s">
        <v>410</v>
      </c>
      <c r="T4694">
        <v>26</v>
      </c>
      <c r="W4694" t="s">
        <v>28340</v>
      </c>
      <c r="X4694">
        <v>466150</v>
      </c>
      <c r="Y4694" t="s">
        <v>3590</v>
      </c>
      <c r="Z4694" t="s">
        <v>301</v>
      </c>
      <c r="AA4694" s="2" t="s">
        <v>28330</v>
      </c>
      <c r="AB4694" s="2" t="s">
        <v>28402</v>
      </c>
      <c r="AC4694" t="s">
        <v>28403</v>
      </c>
      <c r="AG4694" t="s">
        <v>28404</v>
      </c>
      <c r="AH4694" t="s">
        <v>449</v>
      </c>
      <c r="AI4694" t="s">
        <v>28405</v>
      </c>
    </row>
    <row r="4695" spans="2:35" ht="135">
      <c r="B4695" s="1">
        <v>45399</v>
      </c>
      <c r="C4695" s="4">
        <v>45399.404166666667</v>
      </c>
      <c r="D4695" t="s">
        <v>28326</v>
      </c>
      <c r="E4695" t="s">
        <v>28327</v>
      </c>
      <c r="F4695" t="s">
        <v>148</v>
      </c>
      <c r="G4695" t="s">
        <v>447</v>
      </c>
      <c r="H4695" t="s">
        <v>28349</v>
      </c>
      <c r="I4695" t="s">
        <v>40</v>
      </c>
      <c r="J4695" t="s">
        <v>583</v>
      </c>
      <c r="K4695" t="s">
        <v>2629</v>
      </c>
      <c r="L4695" t="s">
        <v>409</v>
      </c>
      <c r="N4695" t="s">
        <v>410</v>
      </c>
      <c r="Q4695">
        <v>27850</v>
      </c>
      <c r="R4695" t="s">
        <v>95</v>
      </c>
      <c r="S4695" t="s">
        <v>410</v>
      </c>
      <c r="T4695">
        <v>26</v>
      </c>
      <c r="W4695" t="s">
        <v>28340</v>
      </c>
      <c r="X4695">
        <v>466146</v>
      </c>
      <c r="Y4695" t="s">
        <v>3590</v>
      </c>
      <c r="Z4695" t="s">
        <v>301</v>
      </c>
      <c r="AA4695" s="2" t="s">
        <v>28330</v>
      </c>
      <c r="AB4695" s="2" t="s">
        <v>28406</v>
      </c>
      <c r="AC4695" t="s">
        <v>28403</v>
      </c>
      <c r="AG4695" t="s">
        <v>28407</v>
      </c>
      <c r="AH4695" t="s">
        <v>449</v>
      </c>
      <c r="AI4695" t="s">
        <v>28408</v>
      </c>
    </row>
    <row r="4696" spans="2:35" ht="195">
      <c r="B4696" s="1">
        <v>45399</v>
      </c>
      <c r="C4696" s="4">
        <v>45399.397916666669</v>
      </c>
      <c r="D4696" t="s">
        <v>28326</v>
      </c>
      <c r="E4696" t="s">
        <v>28327</v>
      </c>
      <c r="F4696" t="s">
        <v>148</v>
      </c>
      <c r="G4696" t="s">
        <v>447</v>
      </c>
      <c r="H4696" t="s">
        <v>28349</v>
      </c>
      <c r="I4696" t="s">
        <v>40</v>
      </c>
      <c r="J4696" t="s">
        <v>583</v>
      </c>
      <c r="K4696" t="s">
        <v>2629</v>
      </c>
      <c r="L4696" t="s">
        <v>409</v>
      </c>
      <c r="N4696" t="s">
        <v>410</v>
      </c>
      <c r="Q4696">
        <v>27849</v>
      </c>
      <c r="R4696" t="s">
        <v>95</v>
      </c>
      <c r="S4696" t="s">
        <v>410</v>
      </c>
      <c r="T4696">
        <v>26</v>
      </c>
      <c r="W4696" t="s">
        <v>28340</v>
      </c>
      <c r="X4696">
        <v>466142</v>
      </c>
      <c r="Y4696" t="s">
        <v>3590</v>
      </c>
      <c r="Z4696" t="s">
        <v>301</v>
      </c>
      <c r="AA4696" s="2" t="s">
        <v>28330</v>
      </c>
      <c r="AB4696" s="2" t="s">
        <v>28409</v>
      </c>
      <c r="AC4696" t="s">
        <v>28332</v>
      </c>
      <c r="AG4696" t="s">
        <v>28410</v>
      </c>
      <c r="AH4696" t="s">
        <v>449</v>
      </c>
      <c r="AI4696" t="s">
        <v>28411</v>
      </c>
    </row>
    <row r="4697" spans="2:35" ht="270">
      <c r="B4697" s="1">
        <v>45399</v>
      </c>
      <c r="C4697" s="4">
        <v>45399.392361111109</v>
      </c>
      <c r="D4697" t="s">
        <v>28326</v>
      </c>
      <c r="E4697" t="s">
        <v>28327</v>
      </c>
      <c r="F4697" t="s">
        <v>148</v>
      </c>
      <c r="G4697" t="s">
        <v>447</v>
      </c>
      <c r="H4697" t="s">
        <v>28349</v>
      </c>
      <c r="I4697" t="s">
        <v>40</v>
      </c>
      <c r="J4697" t="s">
        <v>583</v>
      </c>
      <c r="K4697" t="s">
        <v>2629</v>
      </c>
      <c r="L4697" t="s">
        <v>409</v>
      </c>
      <c r="N4697" t="s">
        <v>410</v>
      </c>
      <c r="Q4697">
        <v>27848</v>
      </c>
      <c r="R4697" t="s">
        <v>95</v>
      </c>
      <c r="S4697" t="s">
        <v>410</v>
      </c>
      <c r="T4697">
        <v>26</v>
      </c>
      <c r="W4697" t="s">
        <v>28340</v>
      </c>
      <c r="X4697">
        <v>466144</v>
      </c>
      <c r="Y4697" t="s">
        <v>3590</v>
      </c>
      <c r="Z4697" t="s">
        <v>301</v>
      </c>
      <c r="AA4697" s="2" t="s">
        <v>28330</v>
      </c>
      <c r="AB4697" s="2" t="s">
        <v>28412</v>
      </c>
      <c r="AC4697" t="s">
        <v>28392</v>
      </c>
      <c r="AG4697" t="s">
        <v>28413</v>
      </c>
      <c r="AH4697" t="s">
        <v>449</v>
      </c>
      <c r="AI4697" t="s">
        <v>28414</v>
      </c>
    </row>
    <row r="4698" spans="2:35" ht="75">
      <c r="B4698" s="1">
        <v>45399</v>
      </c>
      <c r="C4698" s="4">
        <v>45399.386111111111</v>
      </c>
      <c r="D4698" t="s">
        <v>28326</v>
      </c>
      <c r="E4698" t="s">
        <v>28327</v>
      </c>
      <c r="F4698" t="s">
        <v>148</v>
      </c>
      <c r="G4698" t="s">
        <v>447</v>
      </c>
      <c r="H4698" t="s">
        <v>28349</v>
      </c>
      <c r="I4698" t="s">
        <v>40</v>
      </c>
      <c r="J4698" t="s">
        <v>583</v>
      </c>
      <c r="K4698" t="s">
        <v>2629</v>
      </c>
      <c r="L4698" t="s">
        <v>409</v>
      </c>
      <c r="N4698" t="s">
        <v>410</v>
      </c>
      <c r="Q4698">
        <v>27847</v>
      </c>
      <c r="R4698" t="s">
        <v>95</v>
      </c>
      <c r="S4698" t="s">
        <v>410</v>
      </c>
      <c r="T4698">
        <v>26</v>
      </c>
      <c r="W4698" t="s">
        <v>28340</v>
      </c>
      <c r="X4698">
        <v>466206</v>
      </c>
      <c r="Y4698" t="s">
        <v>3590</v>
      </c>
      <c r="Z4698" t="s">
        <v>301</v>
      </c>
      <c r="AA4698" s="2" t="s">
        <v>28330</v>
      </c>
      <c r="AB4698" t="s">
        <v>28415</v>
      </c>
      <c r="AC4698" t="s">
        <v>28344</v>
      </c>
      <c r="AG4698" t="s">
        <v>28416</v>
      </c>
      <c r="AH4698" t="s">
        <v>449</v>
      </c>
      <c r="AI4698" t="s">
        <v>28417</v>
      </c>
    </row>
    <row r="4699" spans="2:35" ht="150">
      <c r="B4699" s="1">
        <v>45399</v>
      </c>
      <c r="C4699" s="4">
        <v>45399.370833333334</v>
      </c>
      <c r="D4699" t="s">
        <v>28326</v>
      </c>
      <c r="E4699" t="s">
        <v>28327</v>
      </c>
      <c r="F4699" t="s">
        <v>148</v>
      </c>
      <c r="G4699" t="s">
        <v>447</v>
      </c>
      <c r="H4699" t="s">
        <v>28349</v>
      </c>
      <c r="I4699" t="s">
        <v>40</v>
      </c>
      <c r="J4699" t="s">
        <v>583</v>
      </c>
      <c r="K4699" t="s">
        <v>2629</v>
      </c>
      <c r="L4699" t="s">
        <v>409</v>
      </c>
      <c r="N4699" t="s">
        <v>410</v>
      </c>
      <c r="Q4699">
        <v>27846</v>
      </c>
      <c r="R4699" t="s">
        <v>95</v>
      </c>
      <c r="S4699" t="s">
        <v>410</v>
      </c>
      <c r="T4699">
        <v>26</v>
      </c>
      <c r="W4699" t="s">
        <v>28340</v>
      </c>
      <c r="X4699">
        <v>466207</v>
      </c>
      <c r="Y4699" t="s">
        <v>3590</v>
      </c>
      <c r="Z4699" t="s">
        <v>301</v>
      </c>
      <c r="AA4699" s="2" t="s">
        <v>28330</v>
      </c>
      <c r="AB4699" s="2" t="s">
        <v>28418</v>
      </c>
      <c r="AC4699" t="s">
        <v>28332</v>
      </c>
      <c r="AG4699" t="s">
        <v>28419</v>
      </c>
      <c r="AH4699" t="s">
        <v>449</v>
      </c>
      <c r="AI4699" t="s">
        <v>28420</v>
      </c>
    </row>
    <row r="4700" spans="2:35" ht="285">
      <c r="B4700" s="1">
        <v>45398</v>
      </c>
      <c r="C4700" s="4">
        <v>45398.495138888888</v>
      </c>
      <c r="D4700" t="s">
        <v>2449</v>
      </c>
      <c r="E4700" t="s">
        <v>28421</v>
      </c>
      <c r="F4700" t="s">
        <v>148</v>
      </c>
      <c r="G4700" t="s">
        <v>1964</v>
      </c>
      <c r="H4700" t="s">
        <v>39</v>
      </c>
      <c r="I4700" t="s">
        <v>40</v>
      </c>
      <c r="J4700" s="2" t="s">
        <v>190</v>
      </c>
      <c r="K4700" t="s">
        <v>42</v>
      </c>
      <c r="L4700" t="s">
        <v>1028</v>
      </c>
      <c r="N4700" t="s">
        <v>1029</v>
      </c>
      <c r="Q4700">
        <v>27844</v>
      </c>
      <c r="R4700" t="s">
        <v>119</v>
      </c>
      <c r="S4700" t="s">
        <v>28422</v>
      </c>
      <c r="T4700">
        <v>27</v>
      </c>
      <c r="U4700" s="2" t="s">
        <v>28423</v>
      </c>
      <c r="W4700" t="s">
        <v>2680</v>
      </c>
      <c r="X4700">
        <v>831898</v>
      </c>
      <c r="Y4700" t="s">
        <v>28424</v>
      </c>
      <c r="Z4700" t="s">
        <v>4487</v>
      </c>
      <c r="AA4700" s="2" t="s">
        <v>28425</v>
      </c>
      <c r="AB4700" t="s">
        <v>28426</v>
      </c>
      <c r="AC4700" t="s">
        <v>28427</v>
      </c>
      <c r="AG4700" t="s">
        <v>28428</v>
      </c>
      <c r="AH4700" t="s">
        <v>28429</v>
      </c>
      <c r="AI4700" t="s">
        <v>28430</v>
      </c>
    </row>
    <row r="4701" spans="2:35" ht="300">
      <c r="B4701" s="1">
        <v>45398</v>
      </c>
      <c r="C4701" s="4">
        <v>45394.375</v>
      </c>
      <c r="D4701" t="s">
        <v>3295</v>
      </c>
      <c r="E4701" t="s">
        <v>28431</v>
      </c>
      <c r="F4701" t="s">
        <v>37</v>
      </c>
      <c r="G4701" t="s">
        <v>748</v>
      </c>
      <c r="H4701" t="s">
        <v>39</v>
      </c>
      <c r="I4701" t="s">
        <v>40</v>
      </c>
      <c r="J4701" s="2" t="s">
        <v>62</v>
      </c>
      <c r="K4701" t="s">
        <v>42</v>
      </c>
      <c r="L4701" t="s">
        <v>1028</v>
      </c>
      <c r="N4701" t="s">
        <v>1029</v>
      </c>
      <c r="Q4701">
        <v>27845</v>
      </c>
      <c r="R4701" t="s">
        <v>703</v>
      </c>
      <c r="S4701" t="s">
        <v>28432</v>
      </c>
      <c r="T4701">
        <v>20</v>
      </c>
      <c r="U4701" s="2" t="s">
        <v>28433</v>
      </c>
      <c r="V4701" s="1">
        <v>45390</v>
      </c>
      <c r="W4701" t="s">
        <v>13947</v>
      </c>
      <c r="X4701">
        <v>110012951</v>
      </c>
      <c r="Y4701" t="s">
        <v>18140</v>
      </c>
      <c r="Z4701" t="s">
        <v>21244</v>
      </c>
      <c r="AA4701" s="2" t="s">
        <v>28434</v>
      </c>
      <c r="AB4701" t="s">
        <v>3063</v>
      </c>
      <c r="AC4701" t="s">
        <v>28004</v>
      </c>
      <c r="AD4701" t="s">
        <v>1958</v>
      </c>
      <c r="AE4701" t="s">
        <v>28435</v>
      </c>
      <c r="AG4701" t="s">
        <v>28436</v>
      </c>
      <c r="AH4701" t="s">
        <v>13950</v>
      </c>
      <c r="AI4701" t="s">
        <v>28437</v>
      </c>
    </row>
    <row r="4702" spans="2:35" ht="120">
      <c r="B4702" s="1">
        <v>45398</v>
      </c>
      <c r="C4702" s="4">
        <v>45398.54583333333</v>
      </c>
      <c r="D4702" t="s">
        <v>28438</v>
      </c>
      <c r="E4702" t="s">
        <v>28439</v>
      </c>
      <c r="F4702" t="s">
        <v>148</v>
      </c>
      <c r="G4702" t="s">
        <v>447</v>
      </c>
      <c r="H4702" t="s">
        <v>39</v>
      </c>
      <c r="I4702" t="s">
        <v>40</v>
      </c>
      <c r="J4702" s="2" t="s">
        <v>41</v>
      </c>
      <c r="K4702" t="s">
        <v>42</v>
      </c>
      <c r="L4702" t="s">
        <v>15532</v>
      </c>
      <c r="N4702" t="s">
        <v>15533</v>
      </c>
      <c r="Q4702">
        <v>27843</v>
      </c>
      <c r="R4702" t="s">
        <v>703</v>
      </c>
      <c r="S4702" t="s">
        <v>28440</v>
      </c>
      <c r="T4702">
        <v>25</v>
      </c>
      <c r="U4702" s="2" t="s">
        <v>28441</v>
      </c>
      <c r="V4702" s="1">
        <v>45397</v>
      </c>
      <c r="W4702" t="s">
        <v>15535</v>
      </c>
      <c r="X4702">
        <v>835603</v>
      </c>
      <c r="Y4702" t="s">
        <v>28442</v>
      </c>
      <c r="Z4702" s="2" t="s">
        <v>28443</v>
      </c>
      <c r="AA4702" s="2" t="s">
        <v>28444</v>
      </c>
      <c r="AB4702" s="2" t="s">
        <v>15539</v>
      </c>
      <c r="AC4702" t="s">
        <v>28445</v>
      </c>
      <c r="AD4702" t="s">
        <v>15847</v>
      </c>
      <c r="AE4702" t="s">
        <v>28446</v>
      </c>
      <c r="AG4702" t="s">
        <v>28447</v>
      </c>
      <c r="AH4702" t="s">
        <v>28448</v>
      </c>
      <c r="AI4702" t="s">
        <v>28449</v>
      </c>
    </row>
    <row r="4703" spans="2:35" ht="315">
      <c r="B4703" s="1">
        <v>45398</v>
      </c>
      <c r="C4703" s="4">
        <v>45398.539583333331</v>
      </c>
      <c r="D4703" t="s">
        <v>4206</v>
      </c>
      <c r="E4703" t="s">
        <v>28450</v>
      </c>
      <c r="F4703">
        <v>11</v>
      </c>
      <c r="G4703" t="s">
        <v>2836</v>
      </c>
      <c r="H4703" t="s">
        <v>202</v>
      </c>
      <c r="I4703" t="s">
        <v>40</v>
      </c>
      <c r="J4703" t="s">
        <v>109</v>
      </c>
      <c r="K4703" t="s">
        <v>42</v>
      </c>
      <c r="L4703" t="s">
        <v>204</v>
      </c>
      <c r="N4703" t="s">
        <v>205</v>
      </c>
      <c r="O4703" t="s">
        <v>4209</v>
      </c>
      <c r="Q4703">
        <v>27842</v>
      </c>
      <c r="R4703" t="s">
        <v>119</v>
      </c>
      <c r="S4703" t="s">
        <v>28451</v>
      </c>
      <c r="T4703">
        <v>24.6</v>
      </c>
      <c r="U4703" s="2" t="s">
        <v>28452</v>
      </c>
      <c r="W4703" t="s">
        <v>1292</v>
      </c>
      <c r="X4703">
        <v>838295</v>
      </c>
      <c r="Y4703" t="s">
        <v>1052</v>
      </c>
      <c r="Z4703" s="2" t="s">
        <v>1321</v>
      </c>
      <c r="AA4703" t="s">
        <v>2551</v>
      </c>
      <c r="AB4703" t="s">
        <v>1211</v>
      </c>
      <c r="AG4703" t="s">
        <v>28453</v>
      </c>
      <c r="AH4703" t="s">
        <v>28454</v>
      </c>
      <c r="AI4703" t="s">
        <v>28455</v>
      </c>
    </row>
    <row r="4704" spans="2:35" ht="195">
      <c r="B4704" s="1">
        <v>45398</v>
      </c>
      <c r="C4704" s="4">
        <v>45386.426388888889</v>
      </c>
      <c r="D4704" t="s">
        <v>28456</v>
      </c>
      <c r="E4704" t="s">
        <v>1555</v>
      </c>
      <c r="F4704">
        <v>7</v>
      </c>
      <c r="G4704" t="s">
        <v>432</v>
      </c>
      <c r="H4704" t="s">
        <v>39</v>
      </c>
      <c r="I4704" t="s">
        <v>94</v>
      </c>
      <c r="J4704" s="2" t="s">
        <v>4208</v>
      </c>
      <c r="K4704" t="s">
        <v>42</v>
      </c>
      <c r="L4704" t="s">
        <v>594</v>
      </c>
      <c r="N4704" t="s">
        <v>595</v>
      </c>
      <c r="O4704" t="s">
        <v>595</v>
      </c>
      <c r="Q4704">
        <v>27841</v>
      </c>
      <c r="R4704" t="s">
        <v>95</v>
      </c>
      <c r="S4704" t="s">
        <v>28457</v>
      </c>
      <c r="T4704">
        <v>23</v>
      </c>
      <c r="U4704" s="2" t="s">
        <v>28458</v>
      </c>
      <c r="V4704" s="1">
        <v>45386</v>
      </c>
      <c r="W4704" t="s">
        <v>360</v>
      </c>
      <c r="X4704">
        <v>829419</v>
      </c>
      <c r="Y4704" t="s">
        <v>28459</v>
      </c>
      <c r="Z4704" t="s">
        <v>28460</v>
      </c>
      <c r="AA4704" t="s">
        <v>28461</v>
      </c>
      <c r="AB4704" t="s">
        <v>9638</v>
      </c>
      <c r="AG4704" t="s">
        <v>28462</v>
      </c>
      <c r="AH4704" t="s">
        <v>28463</v>
      </c>
      <c r="AI4704" t="s">
        <v>28464</v>
      </c>
    </row>
    <row r="4705" spans="2:35" ht="345">
      <c r="B4705" s="1">
        <v>45397</v>
      </c>
      <c r="C4705" s="4">
        <v>45393.606944444444</v>
      </c>
      <c r="D4705" t="s">
        <v>5903</v>
      </c>
      <c r="E4705" t="s">
        <v>2569</v>
      </c>
      <c r="F4705" t="s">
        <v>148</v>
      </c>
      <c r="G4705" t="s">
        <v>447</v>
      </c>
      <c r="H4705" t="s">
        <v>662</v>
      </c>
      <c r="I4705" t="s">
        <v>40</v>
      </c>
      <c r="J4705" s="2" t="s">
        <v>62</v>
      </c>
      <c r="K4705" t="s">
        <v>42</v>
      </c>
      <c r="L4705" t="s">
        <v>448</v>
      </c>
      <c r="N4705" t="s">
        <v>650</v>
      </c>
      <c r="O4705" t="s">
        <v>663</v>
      </c>
      <c r="Q4705">
        <v>27840</v>
      </c>
      <c r="R4705" t="s">
        <v>322</v>
      </c>
      <c r="S4705" t="s">
        <v>3987</v>
      </c>
      <c r="T4705">
        <v>28</v>
      </c>
      <c r="U4705" s="2" t="s">
        <v>28134</v>
      </c>
      <c r="V4705" s="1">
        <v>45376</v>
      </c>
      <c r="W4705" t="s">
        <v>895</v>
      </c>
      <c r="X4705">
        <v>11014171</v>
      </c>
      <c r="Y4705" t="s">
        <v>7168</v>
      </c>
      <c r="Z4705" s="2" t="s">
        <v>3071</v>
      </c>
      <c r="AA4705" t="s">
        <v>24030</v>
      </c>
      <c r="AB4705" t="s">
        <v>28135</v>
      </c>
      <c r="AD4705" t="s">
        <v>3628</v>
      </c>
      <c r="AE4705">
        <v>11331</v>
      </c>
      <c r="AG4705" t="s">
        <v>28136</v>
      </c>
      <c r="AH4705" t="s">
        <v>16795</v>
      </c>
      <c r="AI4705" t="s">
        <v>28137</v>
      </c>
    </row>
    <row r="4706" spans="2:35" ht="409.5">
      <c r="B4706" s="1">
        <v>45397</v>
      </c>
      <c r="C4706" s="4">
        <v>45387.621527777781</v>
      </c>
      <c r="D4706" t="s">
        <v>4132</v>
      </c>
      <c r="E4706" t="s">
        <v>28465</v>
      </c>
      <c r="F4706" t="s">
        <v>148</v>
      </c>
      <c r="G4706" t="s">
        <v>447</v>
      </c>
      <c r="H4706" t="s">
        <v>386</v>
      </c>
      <c r="I4706" t="s">
        <v>40</v>
      </c>
      <c r="J4706" t="s">
        <v>79</v>
      </c>
      <c r="K4706" t="s">
        <v>387</v>
      </c>
      <c r="L4706" t="s">
        <v>448</v>
      </c>
      <c r="N4706" t="s">
        <v>650</v>
      </c>
      <c r="Q4706">
        <v>27839</v>
      </c>
      <c r="R4706" t="s">
        <v>322</v>
      </c>
      <c r="S4706" t="s">
        <v>4134</v>
      </c>
      <c r="T4706">
        <v>28</v>
      </c>
      <c r="V4706" s="1">
        <v>45386</v>
      </c>
      <c r="W4706" t="s">
        <v>476</v>
      </c>
      <c r="X4706" t="s">
        <v>4135</v>
      </c>
      <c r="Y4706" s="2" t="s">
        <v>28466</v>
      </c>
      <c r="Z4706" s="2" t="s">
        <v>28467</v>
      </c>
      <c r="AA4706" t="s">
        <v>28468</v>
      </c>
      <c r="AB4706" t="s">
        <v>486</v>
      </c>
      <c r="AC4706" t="s">
        <v>24237</v>
      </c>
      <c r="AD4706" t="s">
        <v>28469</v>
      </c>
      <c r="AE4706">
        <v>11364</v>
      </c>
      <c r="AG4706" t="s">
        <v>28470</v>
      </c>
      <c r="AH4706" t="s">
        <v>19378</v>
      </c>
      <c r="AI4706" t="s">
        <v>28471</v>
      </c>
    </row>
    <row r="4707" spans="2:35" ht="180">
      <c r="B4707" s="1">
        <v>45397</v>
      </c>
      <c r="C4707" s="4">
        <v>45397.488888888889</v>
      </c>
      <c r="D4707" t="s">
        <v>22431</v>
      </c>
      <c r="E4707" t="s">
        <v>28472</v>
      </c>
      <c r="F4707">
        <v>3</v>
      </c>
      <c r="G4707" t="s">
        <v>730</v>
      </c>
      <c r="H4707" t="s">
        <v>39</v>
      </c>
      <c r="I4707" t="s">
        <v>40</v>
      </c>
      <c r="J4707" t="s">
        <v>109</v>
      </c>
      <c r="K4707" t="s">
        <v>42</v>
      </c>
      <c r="L4707" t="s">
        <v>135</v>
      </c>
      <c r="N4707" t="s">
        <v>136</v>
      </c>
      <c r="Q4707">
        <v>27838</v>
      </c>
      <c r="R4707" t="s">
        <v>119</v>
      </c>
      <c r="S4707" t="s">
        <v>22433</v>
      </c>
      <c r="T4707">
        <v>28</v>
      </c>
      <c r="U4707" s="2" t="s">
        <v>28473</v>
      </c>
      <c r="W4707" t="s">
        <v>2680</v>
      </c>
      <c r="X4707">
        <v>831917</v>
      </c>
      <c r="Y4707" t="s">
        <v>485</v>
      </c>
      <c r="Z4707" t="s">
        <v>4315</v>
      </c>
      <c r="AA4707" s="2" t="s">
        <v>28474</v>
      </c>
      <c r="AB4707" t="s">
        <v>181</v>
      </c>
      <c r="AG4707" t="s">
        <v>28475</v>
      </c>
      <c r="AH4707" t="s">
        <v>22437</v>
      </c>
      <c r="AI4707" t="s">
        <v>28476</v>
      </c>
    </row>
    <row r="4708" spans="2:35" ht="409.5">
      <c r="B4708" s="1">
        <v>45397</v>
      </c>
      <c r="C4708" s="4">
        <v>45397.486805555556</v>
      </c>
      <c r="D4708" t="s">
        <v>592</v>
      </c>
      <c r="E4708" t="s">
        <v>28477</v>
      </c>
      <c r="F4708">
        <v>7</v>
      </c>
      <c r="G4708" t="s">
        <v>269</v>
      </c>
      <c r="H4708" t="s">
        <v>61</v>
      </c>
      <c r="I4708" t="s">
        <v>40</v>
      </c>
      <c r="J4708" s="2" t="s">
        <v>62</v>
      </c>
      <c r="K4708" t="s">
        <v>42</v>
      </c>
      <c r="L4708" t="s">
        <v>270</v>
      </c>
      <c r="N4708" t="s">
        <v>15299</v>
      </c>
      <c r="Q4708">
        <v>27837</v>
      </c>
      <c r="R4708" t="s">
        <v>95</v>
      </c>
      <c r="S4708" t="s">
        <v>596</v>
      </c>
      <c r="T4708">
        <v>22</v>
      </c>
      <c r="U4708" s="2" t="s">
        <v>28478</v>
      </c>
      <c r="W4708" t="s">
        <v>23018</v>
      </c>
      <c r="X4708">
        <v>821471</v>
      </c>
      <c r="Y4708" t="e">
        <f ca="1">- modules A2, A3, _xludf.and A4 encountering E5007, E5011,
 E2008.
- Ceoheid Tech support requested to run XpertCheck on affected modules.</f>
        <v>#NAME?</v>
      </c>
      <c r="Z4708" t="e">
        <f ca="1">- cleaned optics, _xludf.filter, module bay, plunger rods.</f>
        <v>#NAME?</v>
      </c>
      <c r="AA4708" t="e">
        <f ca="1">- PERFORM XpertCheck on module A2, A3 _xludf.and A4.</f>
        <v>#NAME?</v>
      </c>
      <c r="AB4708" t="e">
        <f ca="1">- modules A2 _xludf.and A4 Failed XpertCheck
- module A3 passed XpertCheck</f>
        <v>#NAME?</v>
      </c>
      <c r="AG4708" t="s">
        <v>28479</v>
      </c>
      <c r="AH4708" t="s">
        <v>28480</v>
      </c>
      <c r="AI4708" t="s">
        <v>28481</v>
      </c>
    </row>
    <row r="4709" spans="2:35" ht="105">
      <c r="B4709" s="1">
        <v>45394</v>
      </c>
      <c r="C4709" s="4">
        <v>45394.479166666664</v>
      </c>
      <c r="D4709" t="s">
        <v>4528</v>
      </c>
      <c r="E4709" t="s">
        <v>4529</v>
      </c>
      <c r="F4709">
        <v>1</v>
      </c>
      <c r="G4709" t="s">
        <v>1046</v>
      </c>
      <c r="H4709" t="s">
        <v>1047</v>
      </c>
      <c r="I4709" t="s">
        <v>40</v>
      </c>
      <c r="J4709" s="2" t="s">
        <v>62</v>
      </c>
      <c r="K4709" t="s">
        <v>42</v>
      </c>
      <c r="L4709" t="s">
        <v>1048</v>
      </c>
      <c r="N4709" t="s">
        <v>1049</v>
      </c>
      <c r="Q4709">
        <v>27836</v>
      </c>
      <c r="R4709" t="s">
        <v>119</v>
      </c>
      <c r="S4709" t="s">
        <v>4530</v>
      </c>
      <c r="T4709">
        <v>29</v>
      </c>
      <c r="U4709" s="2" t="s">
        <v>28482</v>
      </c>
      <c r="V4709" s="1">
        <v>45386</v>
      </c>
      <c r="W4709" t="s">
        <v>1051</v>
      </c>
      <c r="X4709">
        <v>838472</v>
      </c>
      <c r="Y4709" t="s">
        <v>19602</v>
      </c>
      <c r="Z4709" t="e">
        <f ca="1">- cleaned cartridge Bays, plunger Rods _xludf.and I-CORE
- performed XpertCheck
- generated reports</f>
        <v>#NAME?</v>
      </c>
      <c r="AA4709" t="s">
        <v>20523</v>
      </c>
      <c r="AB4709" t="s">
        <v>181</v>
      </c>
      <c r="AC4709" t="s">
        <v>28483</v>
      </c>
      <c r="AD4709" t="s">
        <v>1958</v>
      </c>
      <c r="AE4709" t="s">
        <v>28484</v>
      </c>
      <c r="AG4709" t="s">
        <v>28485</v>
      </c>
      <c r="AH4709" t="s">
        <v>4532</v>
      </c>
      <c r="AI4709" t="s">
        <v>28486</v>
      </c>
    </row>
    <row r="4710" spans="2:35" ht="105">
      <c r="B4710" s="1">
        <v>45394</v>
      </c>
      <c r="C4710" s="4">
        <v>45394.428472222222</v>
      </c>
      <c r="D4710" t="s">
        <v>3732</v>
      </c>
      <c r="E4710" t="s">
        <v>3733</v>
      </c>
      <c r="F4710">
        <v>1</v>
      </c>
      <c r="G4710" t="s">
        <v>1046</v>
      </c>
      <c r="H4710" t="s">
        <v>1047</v>
      </c>
      <c r="I4710" t="s">
        <v>40</v>
      </c>
      <c r="J4710" t="s">
        <v>109</v>
      </c>
      <c r="K4710" t="s">
        <v>42</v>
      </c>
      <c r="L4710" t="s">
        <v>1048</v>
      </c>
      <c r="N4710" t="s">
        <v>1049</v>
      </c>
      <c r="Q4710">
        <v>27835</v>
      </c>
      <c r="R4710" t="s">
        <v>119</v>
      </c>
      <c r="S4710" t="s">
        <v>19601</v>
      </c>
      <c r="T4710">
        <v>26</v>
      </c>
      <c r="U4710" s="2" t="s">
        <v>25303</v>
      </c>
      <c r="W4710" t="s">
        <v>1051</v>
      </c>
      <c r="X4710">
        <v>838473</v>
      </c>
      <c r="Y4710" t="s">
        <v>1052</v>
      </c>
      <c r="Z4710" t="e">
        <f ca="1">- cleaned cartridge Bays, plunger Rods _xludf.and I-CORE
- generated reports</f>
        <v>#NAME?</v>
      </c>
      <c r="AA4710" t="s">
        <v>820</v>
      </c>
      <c r="AB4710" t="s">
        <v>181</v>
      </c>
      <c r="AG4710" t="s">
        <v>28487</v>
      </c>
      <c r="AH4710" t="s">
        <v>7274</v>
      </c>
      <c r="AI4710" t="s">
        <v>28488</v>
      </c>
    </row>
    <row r="4711" spans="2:35" ht="270">
      <c r="B4711" s="1">
        <v>45394</v>
      </c>
      <c r="C4711" s="4">
        <v>45394.616666666669</v>
      </c>
      <c r="D4711" t="s">
        <v>28489</v>
      </c>
      <c r="E4711" t="s">
        <v>28490</v>
      </c>
      <c r="F4711" t="s">
        <v>148</v>
      </c>
      <c r="G4711" t="s">
        <v>2007</v>
      </c>
      <c r="H4711" t="s">
        <v>39</v>
      </c>
      <c r="I4711" t="s">
        <v>94</v>
      </c>
      <c r="J4711" s="2" t="s">
        <v>62</v>
      </c>
      <c r="K4711" t="s">
        <v>2629</v>
      </c>
      <c r="L4711" t="s">
        <v>43</v>
      </c>
      <c r="N4711" t="s">
        <v>44</v>
      </c>
      <c r="O4711" t="s">
        <v>28491</v>
      </c>
      <c r="Q4711">
        <v>27834</v>
      </c>
      <c r="R4711" t="s">
        <v>1268</v>
      </c>
      <c r="S4711" t="s">
        <v>28492</v>
      </c>
      <c r="T4711">
        <v>22</v>
      </c>
      <c r="W4711" t="s">
        <v>28493</v>
      </c>
      <c r="X4711">
        <v>3134032159</v>
      </c>
      <c r="Y4711" t="s">
        <v>9934</v>
      </c>
      <c r="Z4711" t="s">
        <v>28494</v>
      </c>
      <c r="AA4711" s="2" t="s">
        <v>28495</v>
      </c>
      <c r="AB4711" t="s">
        <v>88</v>
      </c>
      <c r="AG4711" t="s">
        <v>28496</v>
      </c>
      <c r="AH4711" t="s">
        <v>28497</v>
      </c>
      <c r="AI4711" t="s">
        <v>28498</v>
      </c>
    </row>
    <row r="4712" spans="2:35" ht="270">
      <c r="B4712" s="1">
        <v>45394</v>
      </c>
      <c r="C4712" s="4">
        <v>45394.620138888888</v>
      </c>
      <c r="D4712" t="s">
        <v>28489</v>
      </c>
      <c r="E4712" t="s">
        <v>28490</v>
      </c>
      <c r="F4712" t="s">
        <v>148</v>
      </c>
      <c r="G4712" t="s">
        <v>2007</v>
      </c>
      <c r="H4712" t="s">
        <v>39</v>
      </c>
      <c r="I4712" t="s">
        <v>94</v>
      </c>
      <c r="J4712" s="2" t="s">
        <v>62</v>
      </c>
      <c r="K4712" t="s">
        <v>2629</v>
      </c>
      <c r="L4712" t="s">
        <v>43</v>
      </c>
      <c r="N4712" t="s">
        <v>44</v>
      </c>
      <c r="O4712" t="s">
        <v>28491</v>
      </c>
      <c r="Q4712">
        <v>27833</v>
      </c>
      <c r="R4712" t="s">
        <v>1268</v>
      </c>
      <c r="S4712" t="s">
        <v>28492</v>
      </c>
      <c r="T4712">
        <v>28</v>
      </c>
      <c r="W4712" t="s">
        <v>28493</v>
      </c>
      <c r="X4712">
        <v>3134004145</v>
      </c>
      <c r="Y4712" t="s">
        <v>28499</v>
      </c>
      <c r="Z4712" t="s">
        <v>28494</v>
      </c>
      <c r="AA4712" s="2" t="s">
        <v>28495</v>
      </c>
      <c r="AB4712" t="s">
        <v>88</v>
      </c>
      <c r="AG4712" t="s">
        <v>28500</v>
      </c>
      <c r="AH4712" t="s">
        <v>28501</v>
      </c>
      <c r="AI4712" t="s">
        <v>28502</v>
      </c>
    </row>
    <row r="4713" spans="2:35" ht="105">
      <c r="B4713" s="1">
        <v>45394</v>
      </c>
      <c r="C4713" s="4">
        <v>45394.518055555556</v>
      </c>
      <c r="D4713" t="s">
        <v>5563</v>
      </c>
      <c r="E4713" t="s">
        <v>1555</v>
      </c>
      <c r="F4713">
        <v>7</v>
      </c>
      <c r="G4713" t="s">
        <v>432</v>
      </c>
      <c r="H4713" t="s">
        <v>150</v>
      </c>
      <c r="I4713" t="s">
        <v>40</v>
      </c>
      <c r="J4713" t="s">
        <v>109</v>
      </c>
      <c r="K4713" t="s">
        <v>42</v>
      </c>
      <c r="L4713" t="s">
        <v>343</v>
      </c>
      <c r="N4713" t="s">
        <v>344</v>
      </c>
      <c r="Q4713">
        <v>27832</v>
      </c>
      <c r="R4713" t="s">
        <v>119</v>
      </c>
      <c r="S4713" t="s">
        <v>5564</v>
      </c>
      <c r="T4713">
        <v>27</v>
      </c>
      <c r="U4713" s="2" t="s">
        <v>28503</v>
      </c>
      <c r="W4713" t="s">
        <v>6105</v>
      </c>
      <c r="X4713">
        <v>838561</v>
      </c>
      <c r="Y4713" t="s">
        <v>301</v>
      </c>
      <c r="Z4713" t="s">
        <v>301</v>
      </c>
      <c r="AA4713" t="e">
        <f ca="1">-Preventive Maintenance
-ARCHIVE tests</f>
        <v>#NAME?</v>
      </c>
      <c r="AB4713" t="s">
        <v>9638</v>
      </c>
      <c r="AG4713" t="s">
        <v>28504</v>
      </c>
      <c r="AH4713" t="s">
        <v>28505</v>
      </c>
      <c r="AI4713" t="s">
        <v>28506</v>
      </c>
    </row>
    <row r="4714" spans="2:35" ht="409.5">
      <c r="B4714" s="1">
        <v>45394</v>
      </c>
      <c r="C4714" s="4">
        <v>45394.435416666667</v>
      </c>
      <c r="D4714" t="s">
        <v>524</v>
      </c>
      <c r="E4714" t="s">
        <v>28507</v>
      </c>
      <c r="F4714" t="s">
        <v>148</v>
      </c>
      <c r="G4714" t="s">
        <v>310</v>
      </c>
      <c r="H4714" t="s">
        <v>39</v>
      </c>
      <c r="I4714" t="s">
        <v>40</v>
      </c>
      <c r="J4714" t="s">
        <v>109</v>
      </c>
      <c r="K4714" t="s">
        <v>42</v>
      </c>
      <c r="L4714" t="s">
        <v>1943</v>
      </c>
      <c r="N4714" t="s">
        <v>1944</v>
      </c>
      <c r="Q4714">
        <v>27831</v>
      </c>
      <c r="R4714" t="s">
        <v>119</v>
      </c>
      <c r="S4714" t="s">
        <v>526</v>
      </c>
      <c r="T4714">
        <v>25</v>
      </c>
      <c r="W4714" t="s">
        <v>84</v>
      </c>
      <c r="X4714">
        <v>831892</v>
      </c>
      <c r="Y4714" t="s">
        <v>18216</v>
      </c>
      <c r="Z4714" t="s">
        <v>1548</v>
      </c>
      <c r="AA4714" s="2" t="s">
        <v>2101</v>
      </c>
      <c r="AB4714" t="s">
        <v>88</v>
      </c>
      <c r="AG4714" t="s">
        <v>28508</v>
      </c>
      <c r="AH4714" t="s">
        <v>4061</v>
      </c>
      <c r="AI4714" t="s">
        <v>28509</v>
      </c>
    </row>
    <row r="4715" spans="2:35" ht="409.5">
      <c r="B4715" s="1">
        <v>45394</v>
      </c>
      <c r="C4715" s="4">
        <v>45394.426388888889</v>
      </c>
      <c r="D4715" t="s">
        <v>13817</v>
      </c>
      <c r="E4715" t="s">
        <v>28510</v>
      </c>
      <c r="F4715" t="s">
        <v>148</v>
      </c>
      <c r="G4715" t="s">
        <v>406</v>
      </c>
      <c r="H4715" t="s">
        <v>39</v>
      </c>
      <c r="I4715" t="s">
        <v>40</v>
      </c>
      <c r="J4715" s="2" t="s">
        <v>41</v>
      </c>
      <c r="K4715" t="s">
        <v>42</v>
      </c>
      <c r="L4715" t="s">
        <v>43</v>
      </c>
      <c r="N4715" t="s">
        <v>44</v>
      </c>
      <c r="O4715" t="s">
        <v>1091</v>
      </c>
      <c r="Q4715">
        <v>27830</v>
      </c>
      <c r="R4715" t="s">
        <v>95</v>
      </c>
      <c r="S4715" t="s">
        <v>5690</v>
      </c>
      <c r="T4715">
        <v>24</v>
      </c>
      <c r="U4715" s="2" t="s">
        <v>28511</v>
      </c>
      <c r="V4715" s="1">
        <v>45390</v>
      </c>
      <c r="W4715" t="s">
        <v>28512</v>
      </c>
      <c r="X4715">
        <v>808411</v>
      </c>
      <c r="Y4715" t="s">
        <v>8731</v>
      </c>
      <c r="Z4715" t="s">
        <v>179</v>
      </c>
      <c r="AA4715" s="2" t="s">
        <v>17729</v>
      </c>
      <c r="AB4715" t="s">
        <v>26565</v>
      </c>
      <c r="AD4715" s="2" t="s">
        <v>28513</v>
      </c>
      <c r="AE4715" t="s">
        <v>28514</v>
      </c>
      <c r="AG4715" t="s">
        <v>28515</v>
      </c>
      <c r="AH4715" t="s">
        <v>26567</v>
      </c>
      <c r="AI4715" t="s">
        <v>28516</v>
      </c>
    </row>
    <row r="4716" spans="2:35" ht="105">
      <c r="B4716" s="1">
        <v>45393</v>
      </c>
      <c r="C4716" s="4">
        <v>45393.911111111112</v>
      </c>
      <c r="D4716" t="s">
        <v>28517</v>
      </c>
      <c r="E4716" t="s">
        <v>28518</v>
      </c>
      <c r="F4716">
        <v>7</v>
      </c>
      <c r="G4716" t="s">
        <v>432</v>
      </c>
      <c r="H4716" t="s">
        <v>608</v>
      </c>
      <c r="I4716" t="s">
        <v>40</v>
      </c>
      <c r="J4716" t="s">
        <v>996</v>
      </c>
      <c r="K4716" t="s">
        <v>42</v>
      </c>
      <c r="L4716" t="s">
        <v>610</v>
      </c>
      <c r="N4716" t="s">
        <v>611</v>
      </c>
      <c r="O4716" t="s">
        <v>28519</v>
      </c>
      <c r="Q4716">
        <v>27829</v>
      </c>
      <c r="R4716" t="s">
        <v>719</v>
      </c>
      <c r="S4716" t="s">
        <v>28520</v>
      </c>
      <c r="T4716">
        <v>23</v>
      </c>
      <c r="U4716" s="2" t="s">
        <v>28521</v>
      </c>
      <c r="W4716" t="s">
        <v>360</v>
      </c>
      <c r="X4716">
        <v>110017599</v>
      </c>
      <c r="Y4716" t="s">
        <v>28522</v>
      </c>
      <c r="Z4716" t="s">
        <v>28523</v>
      </c>
      <c r="AA4716" t="s">
        <v>6279</v>
      </c>
      <c r="AB4716" t="s">
        <v>7886</v>
      </c>
      <c r="AG4716" t="s">
        <v>28524</v>
      </c>
      <c r="AH4716" t="s">
        <v>28525</v>
      </c>
      <c r="AI4716" t="s">
        <v>28526</v>
      </c>
    </row>
    <row r="4717" spans="2:35" ht="255">
      <c r="B4717" s="1">
        <v>45393</v>
      </c>
      <c r="C4717" s="4">
        <v>45393.574999999997</v>
      </c>
      <c r="D4717" t="s">
        <v>1081</v>
      </c>
      <c r="E4717" t="s">
        <v>28527</v>
      </c>
      <c r="F4717" t="s">
        <v>148</v>
      </c>
      <c r="G4717" t="s">
        <v>785</v>
      </c>
      <c r="H4717" t="s">
        <v>1083</v>
      </c>
      <c r="I4717" t="s">
        <v>40</v>
      </c>
      <c r="J4717" t="s">
        <v>109</v>
      </c>
      <c r="K4717" t="s">
        <v>387</v>
      </c>
      <c r="L4717" t="s">
        <v>43</v>
      </c>
      <c r="N4717" t="s">
        <v>44</v>
      </c>
      <c r="Q4717">
        <v>27828</v>
      </c>
      <c r="R4717" t="s">
        <v>95</v>
      </c>
      <c r="S4717" t="s">
        <v>1084</v>
      </c>
      <c r="T4717">
        <v>20</v>
      </c>
      <c r="W4717" t="s">
        <v>390</v>
      </c>
      <c r="X4717" t="s">
        <v>5969</v>
      </c>
      <c r="Y4717" t="s">
        <v>121</v>
      </c>
      <c r="Z4717" t="s">
        <v>122</v>
      </c>
      <c r="AA4717" s="2" t="s">
        <v>6458</v>
      </c>
      <c r="AB4717" t="s">
        <v>88</v>
      </c>
      <c r="AG4717" t="s">
        <v>28528</v>
      </c>
      <c r="AH4717" t="s">
        <v>28529</v>
      </c>
      <c r="AI4717" t="s">
        <v>28530</v>
      </c>
    </row>
    <row r="4718" spans="2:35" ht="255">
      <c r="B4718" s="1">
        <v>45393</v>
      </c>
      <c r="C4718" s="4">
        <v>45393.495138888888</v>
      </c>
      <c r="D4718" t="s">
        <v>1081</v>
      </c>
      <c r="E4718" t="s">
        <v>28527</v>
      </c>
      <c r="F4718" t="s">
        <v>148</v>
      </c>
      <c r="G4718" t="s">
        <v>785</v>
      </c>
      <c r="H4718" t="s">
        <v>39</v>
      </c>
      <c r="I4718" t="s">
        <v>40</v>
      </c>
      <c r="J4718" t="s">
        <v>109</v>
      </c>
      <c r="K4718" t="s">
        <v>387</v>
      </c>
      <c r="L4718" t="s">
        <v>43</v>
      </c>
      <c r="N4718" t="s">
        <v>44</v>
      </c>
      <c r="Q4718">
        <v>27827</v>
      </c>
      <c r="R4718" t="s">
        <v>95</v>
      </c>
      <c r="S4718" t="s">
        <v>8281</v>
      </c>
      <c r="T4718">
        <v>24</v>
      </c>
      <c r="W4718" t="s">
        <v>390</v>
      </c>
      <c r="X4718" t="s">
        <v>2075</v>
      </c>
      <c r="Y4718" t="s">
        <v>121</v>
      </c>
      <c r="Z4718" t="s">
        <v>122</v>
      </c>
      <c r="AA4718" s="2" t="s">
        <v>28531</v>
      </c>
      <c r="AB4718" t="s">
        <v>88</v>
      </c>
      <c r="AG4718" t="s">
        <v>28532</v>
      </c>
      <c r="AH4718" t="s">
        <v>8286</v>
      </c>
      <c r="AI4718" t="s">
        <v>28533</v>
      </c>
    </row>
    <row r="4719" spans="2:35" ht="390">
      <c r="B4719" s="1">
        <v>45393</v>
      </c>
      <c r="C4719" s="4">
        <v>45393.463194444441</v>
      </c>
      <c r="D4719" t="s">
        <v>4132</v>
      </c>
      <c r="E4719" t="s">
        <v>28534</v>
      </c>
      <c r="F4719" t="s">
        <v>148</v>
      </c>
      <c r="G4719" t="s">
        <v>447</v>
      </c>
      <c r="H4719" t="s">
        <v>386</v>
      </c>
      <c r="I4719" t="s">
        <v>40</v>
      </c>
      <c r="J4719" s="2" t="s">
        <v>14104</v>
      </c>
      <c r="K4719" t="s">
        <v>387</v>
      </c>
      <c r="L4719" t="s">
        <v>448</v>
      </c>
      <c r="N4719" t="s">
        <v>650</v>
      </c>
      <c r="Q4719">
        <v>27826</v>
      </c>
      <c r="R4719" t="s">
        <v>322</v>
      </c>
      <c r="S4719" t="s">
        <v>4134</v>
      </c>
      <c r="T4719">
        <v>28</v>
      </c>
      <c r="W4719" t="s">
        <v>476</v>
      </c>
      <c r="X4719" t="s">
        <v>4135</v>
      </c>
      <c r="Y4719" t="s">
        <v>28535</v>
      </c>
      <c r="Z4719" s="2" t="s">
        <v>23817</v>
      </c>
      <c r="AA4719" t="s">
        <v>28536</v>
      </c>
      <c r="AB4719" t="s">
        <v>486</v>
      </c>
      <c r="AG4719" t="s">
        <v>28537</v>
      </c>
      <c r="AH4719" t="s">
        <v>4138</v>
      </c>
      <c r="AI4719" t="s">
        <v>28538</v>
      </c>
    </row>
    <row r="4720" spans="2:35" ht="135">
      <c r="B4720" s="1">
        <v>45391</v>
      </c>
      <c r="C4720" s="4">
        <v>45386.417361111111</v>
      </c>
      <c r="D4720" t="s">
        <v>7325</v>
      </c>
      <c r="E4720" t="s">
        <v>12097</v>
      </c>
      <c r="F4720">
        <v>12</v>
      </c>
      <c r="G4720" t="s">
        <v>978</v>
      </c>
      <c r="H4720" t="s">
        <v>1473</v>
      </c>
      <c r="I4720" t="s">
        <v>40</v>
      </c>
      <c r="J4720" t="s">
        <v>109</v>
      </c>
      <c r="K4720" t="s">
        <v>42</v>
      </c>
      <c r="L4720" t="s">
        <v>296</v>
      </c>
      <c r="N4720" t="s">
        <v>297</v>
      </c>
      <c r="Q4720">
        <v>27825</v>
      </c>
      <c r="R4720" t="s">
        <v>119</v>
      </c>
      <c r="S4720" t="s">
        <v>7327</v>
      </c>
      <c r="T4720">
        <v>27.6</v>
      </c>
      <c r="U4720" s="2" t="s">
        <v>28539</v>
      </c>
      <c r="W4720" t="s">
        <v>23049</v>
      </c>
      <c r="X4720">
        <v>838265</v>
      </c>
      <c r="Y4720" t="s">
        <v>54</v>
      </c>
      <c r="Z4720" s="2" t="s">
        <v>28540</v>
      </c>
      <c r="AA4720" t="s">
        <v>9161</v>
      </c>
      <c r="AB4720" t="s">
        <v>972</v>
      </c>
      <c r="AG4720" t="s">
        <v>28541</v>
      </c>
      <c r="AH4720" t="s">
        <v>7331</v>
      </c>
      <c r="AI4720" t="s">
        <v>28542</v>
      </c>
    </row>
    <row r="4721" spans="2:35" ht="105">
      <c r="B4721" s="1">
        <v>45390</v>
      </c>
      <c r="C4721" s="4">
        <v>45390.478472222225</v>
      </c>
      <c r="D4721" t="s">
        <v>8529</v>
      </c>
      <c r="E4721" t="s">
        <v>28543</v>
      </c>
      <c r="F4721">
        <v>7</v>
      </c>
      <c r="G4721" t="s">
        <v>432</v>
      </c>
      <c r="H4721" t="s">
        <v>608</v>
      </c>
      <c r="I4721" t="s">
        <v>40</v>
      </c>
      <c r="J4721" t="s">
        <v>79</v>
      </c>
      <c r="K4721" t="s">
        <v>42</v>
      </c>
      <c r="L4721" t="s">
        <v>610</v>
      </c>
      <c r="N4721" t="s">
        <v>611</v>
      </c>
      <c r="Q4721">
        <v>27824</v>
      </c>
      <c r="R4721" t="s">
        <v>119</v>
      </c>
      <c r="S4721" t="s">
        <v>8531</v>
      </c>
      <c r="T4721">
        <v>26</v>
      </c>
      <c r="U4721" s="2" t="s">
        <v>13952</v>
      </c>
      <c r="W4721" t="s">
        <v>360</v>
      </c>
      <c r="X4721">
        <v>838279</v>
      </c>
      <c r="Y4721" t="s">
        <v>28544</v>
      </c>
      <c r="Z4721" t="s">
        <v>28545</v>
      </c>
      <c r="AA4721" t="s">
        <v>28545</v>
      </c>
      <c r="AB4721" t="s">
        <v>28546</v>
      </c>
      <c r="AG4721" t="s">
        <v>28547</v>
      </c>
      <c r="AH4721" t="s">
        <v>28548</v>
      </c>
      <c r="AI4721" t="s">
        <v>28549</v>
      </c>
    </row>
    <row r="4722" spans="2:35" ht="210">
      <c r="B4722" s="1">
        <v>45390</v>
      </c>
      <c r="C4722" s="4">
        <v>45384.456944444442</v>
      </c>
      <c r="D4722" t="s">
        <v>1026</v>
      </c>
      <c r="E4722" t="s">
        <v>14011</v>
      </c>
      <c r="F4722" t="s">
        <v>148</v>
      </c>
      <c r="G4722" t="s">
        <v>774</v>
      </c>
      <c r="H4722" t="s">
        <v>513</v>
      </c>
      <c r="I4722" t="s">
        <v>40</v>
      </c>
      <c r="J4722" t="s">
        <v>525</v>
      </c>
      <c r="K4722" t="s">
        <v>387</v>
      </c>
      <c r="L4722" t="s">
        <v>1028</v>
      </c>
      <c r="N4722" t="s">
        <v>1029</v>
      </c>
      <c r="O4722" t="s">
        <v>10918</v>
      </c>
      <c r="Q4722">
        <v>27823</v>
      </c>
      <c r="R4722" t="s">
        <v>322</v>
      </c>
      <c r="S4722" t="s">
        <v>10918</v>
      </c>
      <c r="T4722">
        <v>24</v>
      </c>
      <c r="W4722" t="s">
        <v>28550</v>
      </c>
      <c r="X4722" t="s">
        <v>5184</v>
      </c>
      <c r="Y4722" t="s">
        <v>28551</v>
      </c>
      <c r="Z4722" t="s">
        <v>4487</v>
      </c>
      <c r="AA4722" s="2" t="s">
        <v>28552</v>
      </c>
      <c r="AB4722" t="s">
        <v>70</v>
      </c>
      <c r="AG4722" t="s">
        <v>28553</v>
      </c>
      <c r="AH4722" t="s">
        <v>10957</v>
      </c>
      <c r="AI4722" t="s">
        <v>28554</v>
      </c>
    </row>
    <row r="4723" spans="2:35" ht="409.5">
      <c r="B4723" s="1">
        <v>45390</v>
      </c>
      <c r="C4723" s="4">
        <v>45390.40347222222</v>
      </c>
      <c r="D4723" t="s">
        <v>25711</v>
      </c>
      <c r="E4723" t="s">
        <v>28555</v>
      </c>
      <c r="F4723" t="s">
        <v>148</v>
      </c>
      <c r="G4723" t="s">
        <v>447</v>
      </c>
      <c r="H4723" t="s">
        <v>386</v>
      </c>
      <c r="I4723" t="s">
        <v>40</v>
      </c>
      <c r="J4723" t="s">
        <v>79</v>
      </c>
      <c r="K4723" t="s">
        <v>387</v>
      </c>
      <c r="L4723" t="s">
        <v>448</v>
      </c>
      <c r="N4723" t="s">
        <v>650</v>
      </c>
      <c r="Q4723">
        <v>27822</v>
      </c>
      <c r="R4723" t="s">
        <v>322</v>
      </c>
      <c r="S4723" t="s">
        <v>4134</v>
      </c>
      <c r="T4723">
        <v>27</v>
      </c>
      <c r="V4723" s="1">
        <v>45386</v>
      </c>
      <c r="W4723" t="s">
        <v>8665</v>
      </c>
      <c r="X4723" t="s">
        <v>4135</v>
      </c>
      <c r="Y4723" s="2" t="s">
        <v>28556</v>
      </c>
      <c r="Z4723" s="2" t="s">
        <v>28557</v>
      </c>
      <c r="AA4723" t="s">
        <v>14834</v>
      </c>
      <c r="AB4723" t="s">
        <v>486</v>
      </c>
      <c r="AC4723" t="s">
        <v>24237</v>
      </c>
      <c r="AD4723" t="s">
        <v>28469</v>
      </c>
      <c r="AE4723">
        <v>11364</v>
      </c>
      <c r="AG4723" t="s">
        <v>28558</v>
      </c>
      <c r="AH4723" t="s">
        <v>19378</v>
      </c>
      <c r="AI4723" t="s">
        <v>28559</v>
      </c>
    </row>
    <row r="4724" spans="2:35" ht="409.5">
      <c r="B4724" s="1">
        <v>45390</v>
      </c>
      <c r="C4724" s="4">
        <v>45390.397222222222</v>
      </c>
      <c r="D4724" t="s">
        <v>5903</v>
      </c>
      <c r="E4724" t="s">
        <v>2569</v>
      </c>
      <c r="F4724" t="s">
        <v>148</v>
      </c>
      <c r="G4724" t="s">
        <v>447</v>
      </c>
      <c r="H4724" t="s">
        <v>386</v>
      </c>
      <c r="I4724" t="s">
        <v>40</v>
      </c>
      <c r="J4724" t="s">
        <v>79</v>
      </c>
      <c r="K4724" t="s">
        <v>387</v>
      </c>
      <c r="L4724" t="s">
        <v>448</v>
      </c>
      <c r="N4724" t="s">
        <v>650</v>
      </c>
      <c r="O4724" t="s">
        <v>663</v>
      </c>
      <c r="Q4724">
        <v>27821</v>
      </c>
      <c r="R4724" t="s">
        <v>322</v>
      </c>
      <c r="S4724" t="s">
        <v>9676</v>
      </c>
      <c r="T4724">
        <v>28</v>
      </c>
      <c r="V4724" s="1">
        <v>45386</v>
      </c>
      <c r="W4724" t="s">
        <v>476</v>
      </c>
      <c r="X4724" t="s">
        <v>5906</v>
      </c>
      <c r="Y4724" t="s">
        <v>28560</v>
      </c>
      <c r="Z4724" s="2" t="s">
        <v>28557</v>
      </c>
      <c r="AA4724" t="s">
        <v>14834</v>
      </c>
      <c r="AB4724" t="s">
        <v>486</v>
      </c>
      <c r="AC4724" t="s">
        <v>28561</v>
      </c>
      <c r="AD4724" t="s">
        <v>28469</v>
      </c>
      <c r="AE4724">
        <v>11365</v>
      </c>
      <c r="AG4724" t="s">
        <v>28562</v>
      </c>
      <c r="AH4724" t="s">
        <v>27548</v>
      </c>
      <c r="AI4724" t="s">
        <v>28563</v>
      </c>
    </row>
    <row r="4725" spans="2:35" ht="315">
      <c r="B4725" s="1">
        <v>45390</v>
      </c>
      <c r="C4725" s="4">
        <v>45386.592361111114</v>
      </c>
      <c r="D4725" t="s">
        <v>542</v>
      </c>
      <c r="E4725" t="s">
        <v>28564</v>
      </c>
      <c r="F4725" t="s">
        <v>148</v>
      </c>
      <c r="G4725" t="s">
        <v>544</v>
      </c>
      <c r="H4725" t="s">
        <v>39</v>
      </c>
      <c r="I4725" t="s">
        <v>40</v>
      </c>
      <c r="J4725" t="s">
        <v>109</v>
      </c>
      <c r="K4725" t="s">
        <v>42</v>
      </c>
      <c r="L4725" t="s">
        <v>43</v>
      </c>
      <c r="N4725" t="s">
        <v>44</v>
      </c>
      <c r="Q4725">
        <v>27820</v>
      </c>
      <c r="R4725" t="s">
        <v>322</v>
      </c>
      <c r="S4725" t="s">
        <v>545</v>
      </c>
      <c r="T4725">
        <v>24</v>
      </c>
      <c r="U4725" s="2" t="s">
        <v>28565</v>
      </c>
      <c r="W4725" t="s">
        <v>153</v>
      </c>
      <c r="X4725">
        <v>120000613</v>
      </c>
      <c r="Y4725" t="s">
        <v>121</v>
      </c>
      <c r="Z4725" t="s">
        <v>122</v>
      </c>
      <c r="AA4725" s="2" t="s">
        <v>27734</v>
      </c>
      <c r="AB4725" t="s">
        <v>16412</v>
      </c>
      <c r="AG4725" t="s">
        <v>28566</v>
      </c>
      <c r="AH4725" t="s">
        <v>28567</v>
      </c>
      <c r="AI4725" t="s">
        <v>28568</v>
      </c>
    </row>
    <row r="4726" spans="2:35" ht="409.5">
      <c r="B4726" s="1">
        <v>45390</v>
      </c>
      <c r="C4726" s="4">
        <v>45387.425694444442</v>
      </c>
      <c r="D4726" t="s">
        <v>28569</v>
      </c>
      <c r="E4726" t="s">
        <v>28570</v>
      </c>
      <c r="F4726" t="s">
        <v>148</v>
      </c>
      <c r="G4726" t="s">
        <v>406</v>
      </c>
      <c r="H4726" t="s">
        <v>39</v>
      </c>
      <c r="I4726" t="s">
        <v>40</v>
      </c>
      <c r="J4726" t="s">
        <v>109</v>
      </c>
      <c r="K4726" t="s">
        <v>42</v>
      </c>
      <c r="L4726" t="s">
        <v>43</v>
      </c>
      <c r="N4726" t="s">
        <v>44</v>
      </c>
      <c r="O4726" t="s">
        <v>1091</v>
      </c>
      <c r="Q4726">
        <v>27819</v>
      </c>
      <c r="R4726" t="s">
        <v>95</v>
      </c>
      <c r="S4726" t="s">
        <v>5690</v>
      </c>
      <c r="T4726">
        <v>25</v>
      </c>
      <c r="U4726" s="2" t="s">
        <v>28571</v>
      </c>
      <c r="W4726" t="s">
        <v>11663</v>
      </c>
      <c r="X4726">
        <v>808411</v>
      </c>
      <c r="Y4726" t="s">
        <v>121</v>
      </c>
      <c r="Z4726" t="s">
        <v>122</v>
      </c>
      <c r="AA4726" s="2" t="s">
        <v>27734</v>
      </c>
      <c r="AB4726" t="s">
        <v>28572</v>
      </c>
      <c r="AG4726" t="s">
        <v>28573</v>
      </c>
      <c r="AH4726" t="s">
        <v>28574</v>
      </c>
      <c r="AI4726" t="s">
        <v>28575</v>
      </c>
    </row>
    <row r="4727" spans="2:35" ht="315">
      <c r="B4727" s="1">
        <v>45390</v>
      </c>
      <c r="C4727" s="4">
        <v>45387.577777777777</v>
      </c>
      <c r="D4727" t="s">
        <v>146</v>
      </c>
      <c r="E4727" t="s">
        <v>28042</v>
      </c>
      <c r="F4727" t="s">
        <v>148</v>
      </c>
      <c r="G4727" t="s">
        <v>149</v>
      </c>
      <c r="H4727" t="s">
        <v>39</v>
      </c>
      <c r="I4727" t="s">
        <v>40</v>
      </c>
      <c r="J4727" t="s">
        <v>109</v>
      </c>
      <c r="K4727" t="s">
        <v>42</v>
      </c>
      <c r="L4727" t="s">
        <v>43</v>
      </c>
      <c r="N4727" t="s">
        <v>44</v>
      </c>
      <c r="O4727" t="s">
        <v>388</v>
      </c>
      <c r="Q4727">
        <v>27818</v>
      </c>
      <c r="R4727" t="s">
        <v>95</v>
      </c>
      <c r="S4727" t="s">
        <v>28576</v>
      </c>
      <c r="T4727">
        <v>22</v>
      </c>
      <c r="U4727" s="2" t="s">
        <v>28577</v>
      </c>
      <c r="W4727" t="s">
        <v>153</v>
      </c>
      <c r="X4727">
        <v>110003714</v>
      </c>
      <c r="Y4727" t="s">
        <v>121</v>
      </c>
      <c r="Z4727" t="s">
        <v>122</v>
      </c>
      <c r="AA4727" s="2" t="s">
        <v>27734</v>
      </c>
      <c r="AB4727" t="s">
        <v>28572</v>
      </c>
      <c r="AG4727" t="s">
        <v>28578</v>
      </c>
      <c r="AH4727" t="s">
        <v>28579</v>
      </c>
      <c r="AI4727" t="s">
        <v>28580</v>
      </c>
    </row>
    <row r="4728" spans="2:35" ht="315">
      <c r="B4728" s="1">
        <v>45390</v>
      </c>
      <c r="C4728" s="4">
        <v>45387.430555555555</v>
      </c>
      <c r="D4728" t="s">
        <v>28569</v>
      </c>
      <c r="E4728" t="s">
        <v>28570</v>
      </c>
      <c r="F4728" t="s">
        <v>148</v>
      </c>
      <c r="G4728" t="s">
        <v>406</v>
      </c>
      <c r="H4728" t="s">
        <v>39</v>
      </c>
      <c r="I4728" t="s">
        <v>40</v>
      </c>
      <c r="J4728" t="s">
        <v>109</v>
      </c>
      <c r="K4728" t="s">
        <v>42</v>
      </c>
      <c r="L4728" t="s">
        <v>43</v>
      </c>
      <c r="N4728" t="s">
        <v>44</v>
      </c>
      <c r="O4728" t="s">
        <v>1091</v>
      </c>
      <c r="Q4728">
        <v>27817</v>
      </c>
      <c r="R4728" t="s">
        <v>95</v>
      </c>
      <c r="S4728" t="s">
        <v>5690</v>
      </c>
      <c r="T4728">
        <v>25</v>
      </c>
      <c r="W4728" t="s">
        <v>48</v>
      </c>
      <c r="X4728">
        <v>839231</v>
      </c>
      <c r="Y4728" t="s">
        <v>121</v>
      </c>
      <c r="Z4728" t="s">
        <v>122</v>
      </c>
      <c r="AA4728" s="2" t="s">
        <v>27734</v>
      </c>
      <c r="AB4728" t="s">
        <v>28581</v>
      </c>
      <c r="AG4728" t="s">
        <v>28582</v>
      </c>
      <c r="AH4728" t="s">
        <v>28574</v>
      </c>
      <c r="AI4728" t="s">
        <v>28583</v>
      </c>
    </row>
    <row r="4729" spans="2:35" ht="315">
      <c r="B4729" s="1">
        <v>45390</v>
      </c>
      <c r="C4729" s="4">
        <v>45386.57708333333</v>
      </c>
      <c r="D4729" t="s">
        <v>542</v>
      </c>
      <c r="E4729" t="s">
        <v>28584</v>
      </c>
      <c r="F4729" t="s">
        <v>148</v>
      </c>
      <c r="G4729" t="s">
        <v>544</v>
      </c>
      <c r="H4729" t="s">
        <v>39</v>
      </c>
      <c r="I4729" t="s">
        <v>40</v>
      </c>
      <c r="J4729" t="s">
        <v>109</v>
      </c>
      <c r="K4729" t="s">
        <v>42</v>
      </c>
      <c r="L4729" t="s">
        <v>43</v>
      </c>
      <c r="N4729" t="s">
        <v>44</v>
      </c>
      <c r="Q4729">
        <v>27816</v>
      </c>
      <c r="R4729" t="s">
        <v>322</v>
      </c>
      <c r="S4729" t="s">
        <v>545</v>
      </c>
      <c r="T4729">
        <v>22</v>
      </c>
      <c r="U4729" s="2" t="s">
        <v>9889</v>
      </c>
      <c r="W4729" t="s">
        <v>153</v>
      </c>
      <c r="X4729">
        <v>110016107</v>
      </c>
      <c r="Y4729" t="s">
        <v>121</v>
      </c>
      <c r="Z4729" t="s">
        <v>122</v>
      </c>
      <c r="AA4729" s="2" t="s">
        <v>27734</v>
      </c>
      <c r="AB4729" t="s">
        <v>16412</v>
      </c>
      <c r="AG4729" t="s">
        <v>28585</v>
      </c>
      <c r="AH4729" t="s">
        <v>28586</v>
      </c>
      <c r="AI4729" t="s">
        <v>28587</v>
      </c>
    </row>
    <row r="4730" spans="2:35" ht="360">
      <c r="B4730" s="1">
        <v>45390</v>
      </c>
      <c r="C4730" s="4">
        <v>45386.46875</v>
      </c>
      <c r="D4730" t="s">
        <v>3669</v>
      </c>
      <c r="E4730" t="s">
        <v>28588</v>
      </c>
      <c r="F4730" t="s">
        <v>37</v>
      </c>
      <c r="G4730" t="s">
        <v>38</v>
      </c>
      <c r="H4730" t="s">
        <v>39</v>
      </c>
      <c r="I4730" t="s">
        <v>40</v>
      </c>
      <c r="J4730" t="s">
        <v>109</v>
      </c>
      <c r="K4730" t="s">
        <v>42</v>
      </c>
      <c r="L4730" t="s">
        <v>43</v>
      </c>
      <c r="N4730" t="s">
        <v>44</v>
      </c>
      <c r="Q4730">
        <v>27815</v>
      </c>
      <c r="R4730" t="s">
        <v>95</v>
      </c>
      <c r="S4730" t="s">
        <v>5580</v>
      </c>
      <c r="T4730">
        <v>23</v>
      </c>
      <c r="U4730" s="2" t="s">
        <v>28589</v>
      </c>
      <c r="W4730" t="s">
        <v>48</v>
      </c>
      <c r="X4730">
        <v>110005265</v>
      </c>
      <c r="Y4730" t="s">
        <v>121</v>
      </c>
      <c r="Z4730" t="s">
        <v>122</v>
      </c>
      <c r="AA4730" s="2" t="s">
        <v>27734</v>
      </c>
      <c r="AB4730" t="s">
        <v>88</v>
      </c>
      <c r="AG4730" t="s">
        <v>28590</v>
      </c>
      <c r="AH4730" t="s">
        <v>11659</v>
      </c>
      <c r="AI4730" t="s">
        <v>28591</v>
      </c>
    </row>
    <row r="4731" spans="2:35" ht="409.5">
      <c r="B4731" s="1">
        <v>45390</v>
      </c>
      <c r="C4731" s="4">
        <v>45387.425694444442</v>
      </c>
      <c r="D4731" t="s">
        <v>28569</v>
      </c>
      <c r="E4731" t="s">
        <v>28570</v>
      </c>
      <c r="F4731" t="s">
        <v>148</v>
      </c>
      <c r="G4731" t="s">
        <v>406</v>
      </c>
      <c r="H4731" t="s">
        <v>39</v>
      </c>
      <c r="I4731" t="s">
        <v>40</v>
      </c>
      <c r="J4731" t="s">
        <v>109</v>
      </c>
      <c r="K4731" t="s">
        <v>42</v>
      </c>
      <c r="L4731" t="s">
        <v>43</v>
      </c>
      <c r="N4731" t="s">
        <v>44</v>
      </c>
      <c r="O4731" t="s">
        <v>1091</v>
      </c>
      <c r="Q4731">
        <v>27813</v>
      </c>
      <c r="R4731" t="s">
        <v>95</v>
      </c>
      <c r="S4731" t="s">
        <v>5690</v>
      </c>
      <c r="T4731">
        <v>25</v>
      </c>
      <c r="U4731" s="2" t="s">
        <v>28571</v>
      </c>
      <c r="W4731" t="s">
        <v>11663</v>
      </c>
      <c r="X4731">
        <v>808411</v>
      </c>
      <c r="Y4731" t="s">
        <v>121</v>
      </c>
      <c r="Z4731" t="s">
        <v>122</v>
      </c>
      <c r="AA4731" s="2" t="s">
        <v>27734</v>
      </c>
      <c r="AB4731" t="s">
        <v>28572</v>
      </c>
      <c r="AG4731" t="s">
        <v>28592</v>
      </c>
      <c r="AH4731" t="s">
        <v>28574</v>
      </c>
      <c r="AI4731" t="s">
        <v>28593</v>
      </c>
    </row>
    <row r="4732" spans="2:35" ht="315">
      <c r="B4732" s="1">
        <v>45390</v>
      </c>
      <c r="C4732" s="4">
        <v>45386.574999999997</v>
      </c>
      <c r="D4732" t="s">
        <v>542</v>
      </c>
      <c r="E4732" t="s">
        <v>28594</v>
      </c>
      <c r="F4732" t="s">
        <v>148</v>
      </c>
      <c r="G4732" t="s">
        <v>544</v>
      </c>
      <c r="H4732" t="s">
        <v>39</v>
      </c>
      <c r="I4732" t="s">
        <v>40</v>
      </c>
      <c r="J4732" t="s">
        <v>109</v>
      </c>
      <c r="K4732" t="s">
        <v>42</v>
      </c>
      <c r="L4732" t="s">
        <v>43</v>
      </c>
      <c r="N4732" t="s">
        <v>44</v>
      </c>
      <c r="Q4732">
        <v>27814</v>
      </c>
      <c r="R4732" t="s">
        <v>119</v>
      </c>
      <c r="S4732" t="s">
        <v>28595</v>
      </c>
      <c r="T4732">
        <v>24</v>
      </c>
      <c r="U4732" s="2" t="s">
        <v>28596</v>
      </c>
      <c r="W4732" t="s">
        <v>48</v>
      </c>
      <c r="X4732">
        <v>831588</v>
      </c>
      <c r="Y4732" t="s">
        <v>121</v>
      </c>
      <c r="Z4732" t="s">
        <v>27733</v>
      </c>
      <c r="AA4732" s="2" t="s">
        <v>27734</v>
      </c>
      <c r="AB4732" t="s">
        <v>28597</v>
      </c>
      <c r="AG4732" t="s">
        <v>28598</v>
      </c>
      <c r="AH4732" t="s">
        <v>28586</v>
      </c>
      <c r="AI4732" t="s">
        <v>28599</v>
      </c>
    </row>
    <row r="4733" spans="2:35" ht="315">
      <c r="B4733" s="1">
        <v>45390</v>
      </c>
      <c r="C4733" s="4">
        <v>45386.592361111114</v>
      </c>
      <c r="D4733" t="s">
        <v>542</v>
      </c>
      <c r="E4733" t="s">
        <v>28564</v>
      </c>
      <c r="F4733" t="s">
        <v>148</v>
      </c>
      <c r="G4733" t="s">
        <v>544</v>
      </c>
      <c r="H4733" t="s">
        <v>39</v>
      </c>
      <c r="I4733" t="s">
        <v>40</v>
      </c>
      <c r="J4733" t="s">
        <v>109</v>
      </c>
      <c r="K4733" t="s">
        <v>42</v>
      </c>
      <c r="L4733" t="s">
        <v>43</v>
      </c>
      <c r="N4733" t="s">
        <v>44</v>
      </c>
      <c r="Q4733">
        <v>27812</v>
      </c>
      <c r="R4733" t="s">
        <v>322</v>
      </c>
      <c r="S4733" t="s">
        <v>545</v>
      </c>
      <c r="T4733">
        <v>24</v>
      </c>
      <c r="U4733" s="2" t="s">
        <v>28565</v>
      </c>
      <c r="W4733" t="s">
        <v>153</v>
      </c>
      <c r="X4733">
        <v>120000613</v>
      </c>
      <c r="Y4733" t="s">
        <v>121</v>
      </c>
      <c r="Z4733" t="s">
        <v>122</v>
      </c>
      <c r="AA4733" s="2" t="s">
        <v>27734</v>
      </c>
      <c r="AB4733" t="s">
        <v>16412</v>
      </c>
      <c r="AG4733" t="s">
        <v>28600</v>
      </c>
      <c r="AH4733" t="s">
        <v>28567</v>
      </c>
      <c r="AI4733" t="s">
        <v>28601</v>
      </c>
    </row>
    <row r="4734" spans="2:35" ht="210">
      <c r="B4734" s="1">
        <v>45387</v>
      </c>
      <c r="C4734" s="4">
        <v>45387.638888888891</v>
      </c>
      <c r="D4734" t="s">
        <v>8529</v>
      </c>
      <c r="E4734" t="s">
        <v>28543</v>
      </c>
      <c r="F4734">
        <v>7</v>
      </c>
      <c r="G4734" t="s">
        <v>432</v>
      </c>
      <c r="H4734" t="s">
        <v>608</v>
      </c>
      <c r="I4734" t="s">
        <v>40</v>
      </c>
      <c r="J4734" t="s">
        <v>79</v>
      </c>
      <c r="K4734" t="s">
        <v>42</v>
      </c>
      <c r="L4734" t="s">
        <v>610</v>
      </c>
      <c r="N4734" t="s">
        <v>611</v>
      </c>
      <c r="Q4734">
        <v>27811</v>
      </c>
      <c r="R4734" t="s">
        <v>119</v>
      </c>
      <c r="S4734" t="s">
        <v>8531</v>
      </c>
      <c r="T4734">
        <v>26</v>
      </c>
      <c r="U4734" s="2" t="s">
        <v>28602</v>
      </c>
      <c r="W4734" t="s">
        <v>360</v>
      </c>
      <c r="X4734">
        <v>838279</v>
      </c>
      <c r="Y4734" s="2" t="s">
        <v>28603</v>
      </c>
      <c r="Z4734" s="2" t="s">
        <v>28604</v>
      </c>
      <c r="AA4734" s="2" t="s">
        <v>28604</v>
      </c>
      <c r="AB4734" t="s">
        <v>28605</v>
      </c>
      <c r="AG4734" t="s">
        <v>28606</v>
      </c>
      <c r="AH4734" t="s">
        <v>28548</v>
      </c>
      <c r="AI4734" t="s">
        <v>28607</v>
      </c>
    </row>
    <row r="4735" spans="2:35" ht="195">
      <c r="B4735" s="1">
        <v>45387</v>
      </c>
      <c r="C4735" s="4">
        <v>45387.558333333334</v>
      </c>
      <c r="D4735" t="s">
        <v>28608</v>
      </c>
      <c r="E4735" t="s">
        <v>12017</v>
      </c>
      <c r="F4735">
        <v>7</v>
      </c>
      <c r="G4735" t="s">
        <v>432</v>
      </c>
      <c r="H4735" t="s">
        <v>10969</v>
      </c>
      <c r="I4735" t="s">
        <v>40</v>
      </c>
      <c r="J4735" s="2" t="s">
        <v>62</v>
      </c>
      <c r="K4735" t="s">
        <v>42</v>
      </c>
      <c r="L4735" t="s">
        <v>1288</v>
      </c>
      <c r="N4735" t="s">
        <v>1289</v>
      </c>
      <c r="Q4735">
        <v>27810</v>
      </c>
      <c r="R4735" t="s">
        <v>95</v>
      </c>
      <c r="S4735" t="s">
        <v>28609</v>
      </c>
      <c r="T4735">
        <v>20</v>
      </c>
      <c r="U4735" s="2" t="s">
        <v>28610</v>
      </c>
      <c r="W4735" t="s">
        <v>1292</v>
      </c>
      <c r="X4735">
        <v>829419</v>
      </c>
      <c r="Y4735" t="e">
        <f ca="1">-Preventive Maintenance
-_xludf.For CALIBRATION</f>
        <v>#NAME?</v>
      </c>
      <c r="Z4735" t="e">
        <f ca="1">-COLLECT IQR, ARCHIVE, system _xludf.Log, _xludf.and CALIBRATION Data</f>
        <v>#NAME?</v>
      </c>
      <c r="AA4735" t="e">
        <f ca="1">-PERFORM Preventive Maintenance PROCEDURE
-PERFORM CALIBRATION:
A1-Retry THEN PASS
                                                                                                                                                                                                                                                                A2-Retry THEN PASS
                                                                                                                                                                                                                                                                A3-Retry THEN _xludf.For service
                                                                                                                                                                                                                                                                A4-Retry THEN _xludf.For service</f>
        <v>#NAME?</v>
      </c>
      <c r="AB4735" t="s">
        <v>28611</v>
      </c>
      <c r="AG4735" t="s">
        <v>28612</v>
      </c>
      <c r="AH4735" t="s">
        <v>28613</v>
      </c>
      <c r="AI4735" t="s">
        <v>28614</v>
      </c>
    </row>
    <row r="4736" spans="2:35" ht="105">
      <c r="B4736" s="1">
        <v>45387</v>
      </c>
      <c r="C4736" s="4">
        <v>45387.534722222219</v>
      </c>
      <c r="D4736" t="s">
        <v>4286</v>
      </c>
      <c r="E4736" t="s">
        <v>2956</v>
      </c>
      <c r="F4736">
        <v>9</v>
      </c>
      <c r="G4736" t="s">
        <v>2197</v>
      </c>
      <c r="H4736" t="s">
        <v>39</v>
      </c>
      <c r="I4736" t="s">
        <v>40</v>
      </c>
      <c r="J4736" s="2" t="s">
        <v>62</v>
      </c>
      <c r="K4736" t="s">
        <v>42</v>
      </c>
      <c r="L4736" t="s">
        <v>1257</v>
      </c>
      <c r="N4736" t="s">
        <v>1258</v>
      </c>
      <c r="O4736" t="s">
        <v>1258</v>
      </c>
      <c r="Q4736">
        <v>27809</v>
      </c>
      <c r="R4736" t="s">
        <v>119</v>
      </c>
      <c r="S4736" t="s">
        <v>2958</v>
      </c>
      <c r="T4736">
        <v>28</v>
      </c>
      <c r="U4736" s="2" t="s">
        <v>28615</v>
      </c>
      <c r="V4736" s="1">
        <v>45387</v>
      </c>
      <c r="W4736" t="s">
        <v>2384</v>
      </c>
      <c r="X4736">
        <v>821214</v>
      </c>
      <c r="Y4736" t="s">
        <v>301</v>
      </c>
      <c r="Z4736" t="s">
        <v>28616</v>
      </c>
      <c r="AA4736" t="s">
        <v>28617</v>
      </c>
      <c r="AB4736" t="s">
        <v>7411</v>
      </c>
      <c r="AC4736" t="s">
        <v>301</v>
      </c>
      <c r="AD4736" t="s">
        <v>54</v>
      </c>
      <c r="AE4736" t="s">
        <v>54</v>
      </c>
      <c r="AG4736" t="s">
        <v>28618</v>
      </c>
      <c r="AH4736" t="s">
        <v>2968</v>
      </c>
      <c r="AI4736" t="s">
        <v>28619</v>
      </c>
    </row>
    <row r="4737" spans="2:35" ht="409.5">
      <c r="B4737" s="1">
        <v>45387</v>
      </c>
      <c r="C4737" s="4">
        <v>45387.39166666667</v>
      </c>
      <c r="D4737" t="s">
        <v>692</v>
      </c>
      <c r="E4737" t="s">
        <v>28620</v>
      </c>
      <c r="F4737">
        <v>3</v>
      </c>
      <c r="G4737" t="s">
        <v>284</v>
      </c>
      <c r="H4737" t="s">
        <v>39</v>
      </c>
      <c r="I4737" t="s">
        <v>40</v>
      </c>
      <c r="J4737" s="2" t="s">
        <v>6184</v>
      </c>
      <c r="K4737" t="s">
        <v>42</v>
      </c>
      <c r="L4737" t="s">
        <v>135</v>
      </c>
      <c r="N4737" t="s">
        <v>136</v>
      </c>
      <c r="Q4737">
        <v>27808</v>
      </c>
      <c r="R4737" t="s">
        <v>119</v>
      </c>
      <c r="S4737" t="s">
        <v>28621</v>
      </c>
      <c r="T4737">
        <v>30</v>
      </c>
      <c r="U4737" s="2" t="s">
        <v>28622</v>
      </c>
      <c r="W4737" t="s">
        <v>2680</v>
      </c>
      <c r="X4737">
        <v>831729</v>
      </c>
      <c r="Y4737" t="s">
        <v>28623</v>
      </c>
      <c r="Z4737" s="2" t="s">
        <v>28624</v>
      </c>
      <c r="AA4737" s="2" t="s">
        <v>28625</v>
      </c>
      <c r="AB4737" t="s">
        <v>181</v>
      </c>
      <c r="AG4737" t="s">
        <v>28626</v>
      </c>
      <c r="AH4737" t="s">
        <v>28627</v>
      </c>
      <c r="AI4737" t="s">
        <v>28628</v>
      </c>
    </row>
    <row r="4738" spans="2:35" ht="105">
      <c r="B4738" s="1">
        <v>45387</v>
      </c>
      <c r="C4738" s="4">
        <v>45387.364583333336</v>
      </c>
      <c r="D4738" t="s">
        <v>8464</v>
      </c>
      <c r="E4738" t="s">
        <v>13200</v>
      </c>
      <c r="F4738">
        <v>7</v>
      </c>
      <c r="G4738" t="s">
        <v>432</v>
      </c>
      <c r="H4738" t="s">
        <v>1498</v>
      </c>
      <c r="I4738" t="s">
        <v>40</v>
      </c>
      <c r="J4738" s="2" t="s">
        <v>62</v>
      </c>
      <c r="K4738" t="s">
        <v>42</v>
      </c>
      <c r="L4738" t="s">
        <v>343</v>
      </c>
      <c r="N4738" t="s">
        <v>344</v>
      </c>
      <c r="Q4738">
        <v>27807</v>
      </c>
      <c r="R4738" t="s">
        <v>119</v>
      </c>
      <c r="S4738" t="s">
        <v>13201</v>
      </c>
      <c r="T4738">
        <v>27</v>
      </c>
      <c r="U4738" s="2" t="s">
        <v>28629</v>
      </c>
      <c r="W4738" t="s">
        <v>6105</v>
      </c>
      <c r="X4738">
        <v>838509</v>
      </c>
      <c r="Y4738" t="e">
        <f ca="1">-module B2 H/W fail</f>
        <v>#NAME?</v>
      </c>
      <c r="Z4738" t="s">
        <v>301</v>
      </c>
      <c r="AA4738" t="e">
        <f ca="1">-XpertCheck CALIBRATION on ALL modules
-Preventive Maintenance</f>
        <v>#NAME?</v>
      </c>
      <c r="AB4738" t="e">
        <f ca="1">-module B2 hardware Failed, disabled, Failed XPC
-ALL other modules are functional, passed XPC.</f>
        <v>#NAME?</v>
      </c>
      <c r="AC4738" t="s">
        <v>28630</v>
      </c>
      <c r="AG4738" t="s">
        <v>28631</v>
      </c>
      <c r="AH4738" t="s">
        <v>8469</v>
      </c>
      <c r="AI4738" t="s">
        <v>28632</v>
      </c>
    </row>
    <row r="4739" spans="2:35" ht="390">
      <c r="B4739" s="1">
        <v>45386</v>
      </c>
      <c r="C4739" s="4">
        <v>45386.662499999999</v>
      </c>
      <c r="D4739" t="s">
        <v>5602</v>
      </c>
      <c r="E4739" t="s">
        <v>2580</v>
      </c>
      <c r="F4739" t="s">
        <v>148</v>
      </c>
      <c r="G4739" t="s">
        <v>447</v>
      </c>
      <c r="H4739" t="s">
        <v>662</v>
      </c>
      <c r="I4739" t="s">
        <v>40</v>
      </c>
      <c r="J4739" t="s">
        <v>109</v>
      </c>
      <c r="K4739" t="s">
        <v>42</v>
      </c>
      <c r="L4739" t="s">
        <v>448</v>
      </c>
      <c r="N4739" t="s">
        <v>650</v>
      </c>
      <c r="Q4739">
        <v>27806</v>
      </c>
      <c r="R4739" t="s">
        <v>95</v>
      </c>
      <c r="S4739" t="s">
        <v>5604</v>
      </c>
      <c r="T4739">
        <v>29</v>
      </c>
      <c r="U4739" s="2" t="s">
        <v>28633</v>
      </c>
      <c r="W4739" t="s">
        <v>28634</v>
      </c>
      <c r="X4739">
        <v>804476</v>
      </c>
      <c r="Y4739" t="s">
        <v>28635</v>
      </c>
      <c r="Z4739" s="2" t="s">
        <v>2011</v>
      </c>
      <c r="AA4739" t="s">
        <v>6997</v>
      </c>
      <c r="AB4739" s="2" t="s">
        <v>28636</v>
      </c>
      <c r="AG4739" t="s">
        <v>28637</v>
      </c>
      <c r="AH4739" t="s">
        <v>7424</v>
      </c>
      <c r="AI4739" t="s">
        <v>28638</v>
      </c>
    </row>
    <row r="4740" spans="2:35" ht="409.5">
      <c r="B4740" s="1">
        <v>45386</v>
      </c>
      <c r="C4740" s="4">
        <v>45386.646527777775</v>
      </c>
      <c r="D4740" t="s">
        <v>5602</v>
      </c>
      <c r="E4740" t="s">
        <v>2580</v>
      </c>
      <c r="F4740" t="s">
        <v>148</v>
      </c>
      <c r="G4740" t="s">
        <v>447</v>
      </c>
      <c r="H4740" t="s">
        <v>28639</v>
      </c>
      <c r="I4740" t="s">
        <v>40</v>
      </c>
      <c r="J4740" t="s">
        <v>109</v>
      </c>
      <c r="K4740" t="s">
        <v>42</v>
      </c>
      <c r="L4740" t="s">
        <v>448</v>
      </c>
      <c r="N4740" t="s">
        <v>650</v>
      </c>
      <c r="Q4740">
        <v>27805</v>
      </c>
      <c r="R4740" t="s">
        <v>322</v>
      </c>
      <c r="S4740" t="s">
        <v>5604</v>
      </c>
      <c r="T4740">
        <v>25</v>
      </c>
      <c r="U4740" s="2" t="s">
        <v>28640</v>
      </c>
      <c r="W4740" t="s">
        <v>360</v>
      </c>
      <c r="X4740">
        <v>838524</v>
      </c>
      <c r="Y4740" t="s">
        <v>21370</v>
      </c>
      <c r="Z4740" s="2" t="s">
        <v>2011</v>
      </c>
      <c r="AA4740" t="s">
        <v>6997</v>
      </c>
      <c r="AB4740" t="s">
        <v>28641</v>
      </c>
      <c r="AG4740" t="s">
        <v>28642</v>
      </c>
      <c r="AH4740" t="s">
        <v>7424</v>
      </c>
      <c r="AI4740" t="s">
        <v>28643</v>
      </c>
    </row>
    <row r="4741" spans="2:35" ht="409.5">
      <c r="B4741" s="1">
        <v>45386</v>
      </c>
      <c r="C4741" s="4">
        <v>45386.609027777777</v>
      </c>
      <c r="D4741" t="s">
        <v>5602</v>
      </c>
      <c r="E4741" t="s">
        <v>26724</v>
      </c>
      <c r="F4741" t="s">
        <v>148</v>
      </c>
      <c r="G4741" t="s">
        <v>447</v>
      </c>
      <c r="H4741" t="s">
        <v>662</v>
      </c>
      <c r="I4741" t="s">
        <v>40</v>
      </c>
      <c r="J4741" t="s">
        <v>109</v>
      </c>
      <c r="K4741" t="s">
        <v>42</v>
      </c>
      <c r="L4741" t="s">
        <v>448</v>
      </c>
      <c r="N4741" t="s">
        <v>650</v>
      </c>
      <c r="Q4741">
        <v>27804</v>
      </c>
      <c r="R4741" t="s">
        <v>322</v>
      </c>
      <c r="S4741" t="s">
        <v>5604</v>
      </c>
      <c r="T4741">
        <v>28</v>
      </c>
      <c r="U4741" s="2" t="s">
        <v>28644</v>
      </c>
      <c r="W4741" t="s">
        <v>895</v>
      </c>
      <c r="X4741">
        <v>110005587</v>
      </c>
      <c r="Y4741" t="s">
        <v>28645</v>
      </c>
      <c r="Z4741" s="2" t="s">
        <v>2011</v>
      </c>
      <c r="AA4741" t="s">
        <v>6997</v>
      </c>
      <c r="AB4741" t="s">
        <v>28646</v>
      </c>
      <c r="AC4741" t="s">
        <v>28647</v>
      </c>
      <c r="AG4741" t="s">
        <v>28648</v>
      </c>
      <c r="AH4741" t="s">
        <v>5609</v>
      </c>
      <c r="AI4741" t="s">
        <v>28649</v>
      </c>
    </row>
    <row r="4742" spans="2:35" ht="225">
      <c r="B4742" s="1">
        <v>45386</v>
      </c>
      <c r="C4742" s="4">
        <v>45386.32708333333</v>
      </c>
      <c r="D4742" t="s">
        <v>28650</v>
      </c>
      <c r="E4742" t="s">
        <v>28651</v>
      </c>
      <c r="F4742" t="s">
        <v>37</v>
      </c>
      <c r="G4742" t="s">
        <v>38</v>
      </c>
      <c r="H4742" t="s">
        <v>39</v>
      </c>
      <c r="I4742" t="s">
        <v>40</v>
      </c>
      <c r="J4742" t="s">
        <v>525</v>
      </c>
      <c r="K4742" t="s">
        <v>42</v>
      </c>
      <c r="L4742" t="s">
        <v>448</v>
      </c>
      <c r="N4742" t="s">
        <v>650</v>
      </c>
      <c r="Q4742">
        <v>27803</v>
      </c>
      <c r="R4742" t="s">
        <v>119</v>
      </c>
      <c r="S4742" t="s">
        <v>1580</v>
      </c>
      <c r="T4742">
        <v>26</v>
      </c>
      <c r="U4742" s="2" t="s">
        <v>28652</v>
      </c>
      <c r="W4742" t="s">
        <v>360</v>
      </c>
      <c r="X4742">
        <v>831642</v>
      </c>
      <c r="Y4742" s="2" t="s">
        <v>28653</v>
      </c>
      <c r="Z4742" s="2" t="s">
        <v>28654</v>
      </c>
      <c r="AA4742" t="s">
        <v>4487</v>
      </c>
      <c r="AB4742" s="2" t="s">
        <v>28655</v>
      </c>
      <c r="AG4742" t="s">
        <v>28656</v>
      </c>
      <c r="AH4742" t="s">
        <v>28657</v>
      </c>
      <c r="AI4742" t="s">
        <v>28658</v>
      </c>
    </row>
    <row r="4743" spans="2:35" ht="225">
      <c r="B4743" s="1">
        <v>45386</v>
      </c>
      <c r="C4743" s="4">
        <v>45385.645138888889</v>
      </c>
      <c r="D4743" t="s">
        <v>27635</v>
      </c>
      <c r="E4743" t="s">
        <v>28659</v>
      </c>
      <c r="F4743" t="s">
        <v>148</v>
      </c>
      <c r="G4743" t="s">
        <v>447</v>
      </c>
      <c r="H4743" t="s">
        <v>39</v>
      </c>
      <c r="I4743" t="s">
        <v>40</v>
      </c>
      <c r="J4743" t="s">
        <v>525</v>
      </c>
      <c r="K4743" t="s">
        <v>42</v>
      </c>
      <c r="L4743" t="s">
        <v>448</v>
      </c>
      <c r="N4743" t="s">
        <v>650</v>
      </c>
      <c r="Q4743">
        <v>27802</v>
      </c>
      <c r="R4743" t="s">
        <v>119</v>
      </c>
      <c r="S4743" t="s">
        <v>24625</v>
      </c>
      <c r="T4743">
        <v>28</v>
      </c>
      <c r="U4743" s="2" t="s">
        <v>28660</v>
      </c>
      <c r="W4743" t="s">
        <v>360</v>
      </c>
      <c r="X4743">
        <v>831615</v>
      </c>
      <c r="Y4743" s="2" t="s">
        <v>28661</v>
      </c>
      <c r="Z4743" s="2" t="s">
        <v>28662</v>
      </c>
      <c r="AA4743" t="s">
        <v>4487</v>
      </c>
      <c r="AB4743" s="2" t="s">
        <v>28663</v>
      </c>
      <c r="AG4743" t="s">
        <v>28664</v>
      </c>
      <c r="AH4743" t="s">
        <v>28665</v>
      </c>
      <c r="AI4743" t="s">
        <v>28666</v>
      </c>
    </row>
    <row r="4744" spans="2:35" ht="409.5">
      <c r="B4744" s="1">
        <v>45386</v>
      </c>
      <c r="C4744" s="4">
        <v>45386.597916666666</v>
      </c>
      <c r="D4744" t="s">
        <v>28069</v>
      </c>
      <c r="E4744" t="s">
        <v>15172</v>
      </c>
      <c r="F4744" t="s">
        <v>148</v>
      </c>
      <c r="G4744" t="s">
        <v>310</v>
      </c>
      <c r="H4744" t="s">
        <v>39</v>
      </c>
      <c r="I4744" t="s">
        <v>40</v>
      </c>
      <c r="J4744" s="2" t="s">
        <v>62</v>
      </c>
      <c r="K4744" t="s">
        <v>42</v>
      </c>
      <c r="L4744" t="s">
        <v>1943</v>
      </c>
      <c r="N4744" t="s">
        <v>1944</v>
      </c>
      <c r="Q4744">
        <v>27801</v>
      </c>
      <c r="R4744" t="s">
        <v>95</v>
      </c>
      <c r="S4744" t="s">
        <v>12194</v>
      </c>
      <c r="T4744">
        <v>25</v>
      </c>
      <c r="W4744" t="s">
        <v>5225</v>
      </c>
      <c r="X4744">
        <v>110014186</v>
      </c>
      <c r="Y4744" s="2" t="s">
        <v>28667</v>
      </c>
      <c r="Z4744" t="s">
        <v>3045</v>
      </c>
      <c r="AA4744" s="2" t="s">
        <v>3046</v>
      </c>
      <c r="AB4744" t="s">
        <v>28668</v>
      </c>
      <c r="AG4744" t="s">
        <v>28669</v>
      </c>
      <c r="AH4744" t="s">
        <v>12191</v>
      </c>
      <c r="AI4744" t="s">
        <v>28670</v>
      </c>
    </row>
    <row r="4745" spans="2:35" ht="375">
      <c r="B4745" s="1">
        <v>45386</v>
      </c>
      <c r="C4745" s="4">
        <v>45386.539583333331</v>
      </c>
      <c r="D4745" t="s">
        <v>3897</v>
      </c>
      <c r="E4745" t="s">
        <v>3140</v>
      </c>
      <c r="F4745">
        <v>3</v>
      </c>
      <c r="G4745" t="s">
        <v>174</v>
      </c>
      <c r="H4745" t="s">
        <v>39</v>
      </c>
      <c r="I4745" t="s">
        <v>40</v>
      </c>
      <c r="J4745" s="2" t="s">
        <v>41</v>
      </c>
      <c r="K4745" t="s">
        <v>42</v>
      </c>
      <c r="L4745" t="s">
        <v>175</v>
      </c>
      <c r="N4745" t="s">
        <v>176</v>
      </c>
      <c r="Q4745">
        <v>27800</v>
      </c>
      <c r="R4745" t="s">
        <v>95</v>
      </c>
      <c r="S4745" t="s">
        <v>3898</v>
      </c>
      <c r="T4745">
        <v>22</v>
      </c>
      <c r="U4745" s="2" t="s">
        <v>28671</v>
      </c>
      <c r="V4745" s="1">
        <v>45385</v>
      </c>
      <c r="W4745" t="s">
        <v>84</v>
      </c>
      <c r="X4745">
        <v>110008530</v>
      </c>
      <c r="Y4745" t="s">
        <v>28672</v>
      </c>
      <c r="Z4745" t="s">
        <v>2166</v>
      </c>
      <c r="AA4745" s="2" t="s">
        <v>28673</v>
      </c>
      <c r="AB4745" s="2" t="s">
        <v>28674</v>
      </c>
      <c r="AD4745" s="2" t="s">
        <v>28675</v>
      </c>
      <c r="AE4745">
        <v>11357</v>
      </c>
      <c r="AG4745" t="s">
        <v>28676</v>
      </c>
      <c r="AH4745" t="s">
        <v>8887</v>
      </c>
      <c r="AI4745" t="s">
        <v>28677</v>
      </c>
    </row>
    <row r="4746" spans="2:35" ht="180">
      <c r="B4746" s="1">
        <v>45386</v>
      </c>
      <c r="C4746" s="4">
        <v>45386.510416666664</v>
      </c>
      <c r="D4746" t="s">
        <v>28678</v>
      </c>
      <c r="E4746" t="s">
        <v>18404</v>
      </c>
      <c r="F4746">
        <v>7</v>
      </c>
      <c r="G4746" t="s">
        <v>6529</v>
      </c>
      <c r="H4746" t="s">
        <v>39</v>
      </c>
      <c r="I4746" t="s">
        <v>40</v>
      </c>
      <c r="J4746" s="2" t="s">
        <v>62</v>
      </c>
      <c r="K4746" t="s">
        <v>42</v>
      </c>
      <c r="L4746" t="s">
        <v>433</v>
      </c>
      <c r="N4746" t="s">
        <v>434</v>
      </c>
      <c r="Q4746">
        <v>27799</v>
      </c>
      <c r="R4746" t="s">
        <v>703</v>
      </c>
      <c r="S4746" t="s">
        <v>20685</v>
      </c>
      <c r="T4746">
        <v>27</v>
      </c>
      <c r="W4746" t="s">
        <v>502</v>
      </c>
      <c r="X4746">
        <v>840969</v>
      </c>
      <c r="Y4746" t="s">
        <v>2303</v>
      </c>
      <c r="Z4746" s="2" t="s">
        <v>28679</v>
      </c>
      <c r="AA4746" s="2" t="s">
        <v>28680</v>
      </c>
      <c r="AB4746" s="2" t="s">
        <v>28681</v>
      </c>
      <c r="AG4746" t="s">
        <v>28682</v>
      </c>
      <c r="AH4746" t="s">
        <v>28683</v>
      </c>
      <c r="AI4746" t="s">
        <v>28684</v>
      </c>
    </row>
    <row r="4747" spans="2:35" ht="409.5">
      <c r="B4747" s="1">
        <v>45386</v>
      </c>
      <c r="C4747" s="4">
        <v>45386.470138888886</v>
      </c>
      <c r="D4747" t="s">
        <v>5207</v>
      </c>
      <c r="E4747" t="s">
        <v>5208</v>
      </c>
      <c r="F4747" t="s">
        <v>148</v>
      </c>
      <c r="G4747" t="s">
        <v>310</v>
      </c>
      <c r="H4747" t="s">
        <v>39</v>
      </c>
      <c r="I4747" t="s">
        <v>40</v>
      </c>
      <c r="J4747" s="2" t="s">
        <v>41</v>
      </c>
      <c r="K4747" t="s">
        <v>42</v>
      </c>
      <c r="L4747" t="s">
        <v>1943</v>
      </c>
      <c r="N4747" t="s">
        <v>1944</v>
      </c>
      <c r="O4747" t="s">
        <v>28685</v>
      </c>
      <c r="Q4747">
        <v>27798</v>
      </c>
      <c r="R4747" t="s">
        <v>95</v>
      </c>
      <c r="S4747" t="s">
        <v>11992</v>
      </c>
      <c r="T4747">
        <v>25</v>
      </c>
      <c r="V4747" s="1">
        <v>45385</v>
      </c>
      <c r="W4747" t="s">
        <v>895</v>
      </c>
      <c r="X4747">
        <v>110016343</v>
      </c>
      <c r="Y4747" s="2" t="s">
        <v>28686</v>
      </c>
      <c r="Z4747" t="s">
        <v>28687</v>
      </c>
      <c r="AA4747" s="2" t="s">
        <v>1948</v>
      </c>
      <c r="AB4747" t="s">
        <v>88</v>
      </c>
      <c r="AD4747" t="s">
        <v>28688</v>
      </c>
      <c r="AE4747" t="s">
        <v>28689</v>
      </c>
      <c r="AG4747" t="s">
        <v>28690</v>
      </c>
      <c r="AH4747" t="s">
        <v>5212</v>
      </c>
      <c r="AI4747" t="s">
        <v>28691</v>
      </c>
    </row>
    <row r="4748" spans="2:35" ht="360">
      <c r="B4748" s="1">
        <v>45386</v>
      </c>
      <c r="C4748" s="4">
        <v>45386.446527777778</v>
      </c>
      <c r="D4748" t="s">
        <v>9762</v>
      </c>
      <c r="E4748" t="s">
        <v>9763</v>
      </c>
      <c r="F4748">
        <v>8</v>
      </c>
      <c r="G4748" t="s">
        <v>2945</v>
      </c>
      <c r="H4748" t="s">
        <v>39</v>
      </c>
      <c r="I4748" t="s">
        <v>40</v>
      </c>
      <c r="J4748" t="s">
        <v>109</v>
      </c>
      <c r="K4748" t="s">
        <v>42</v>
      </c>
      <c r="L4748" t="s">
        <v>259</v>
      </c>
      <c r="N4748" t="s">
        <v>260</v>
      </c>
      <c r="Q4748">
        <v>27797</v>
      </c>
      <c r="R4748" t="s">
        <v>119</v>
      </c>
      <c r="S4748" t="s">
        <v>9764</v>
      </c>
      <c r="T4748">
        <v>29</v>
      </c>
      <c r="U4748" s="2" t="s">
        <v>13161</v>
      </c>
      <c r="V4748" s="1">
        <v>45386</v>
      </c>
      <c r="W4748" t="s">
        <v>84</v>
      </c>
      <c r="X4748">
        <v>838548</v>
      </c>
      <c r="Y4748" t="s">
        <v>263</v>
      </c>
      <c r="Z4748" t="e">
        <f ca="1">- Preventive Maintenance</f>
        <v>#NAME?</v>
      </c>
      <c r="AA4748" s="2" t="s">
        <v>28692</v>
      </c>
      <c r="AB4748" t="s">
        <v>181</v>
      </c>
      <c r="AG4748" t="s">
        <v>28693</v>
      </c>
      <c r="AH4748" t="s">
        <v>17872</v>
      </c>
      <c r="AI4748" t="s">
        <v>28694</v>
      </c>
    </row>
    <row r="4749" spans="2:35" ht="255">
      <c r="B4749" s="1">
        <v>45386</v>
      </c>
      <c r="C4749" s="4">
        <v>45385.573611111111</v>
      </c>
      <c r="D4749" t="s">
        <v>9878</v>
      </c>
      <c r="E4749" t="s">
        <v>28695</v>
      </c>
      <c r="F4749">
        <v>12</v>
      </c>
      <c r="G4749" t="s">
        <v>5785</v>
      </c>
      <c r="H4749" t="s">
        <v>39</v>
      </c>
      <c r="I4749" t="s">
        <v>40</v>
      </c>
      <c r="J4749" s="2" t="s">
        <v>190</v>
      </c>
      <c r="K4749" t="s">
        <v>42</v>
      </c>
      <c r="L4749" t="s">
        <v>296</v>
      </c>
      <c r="N4749" t="s">
        <v>297</v>
      </c>
      <c r="Q4749">
        <v>27796</v>
      </c>
      <c r="R4749" t="s">
        <v>119</v>
      </c>
      <c r="S4749" t="s">
        <v>9880</v>
      </c>
      <c r="T4749">
        <v>24.1</v>
      </c>
      <c r="U4749" s="2" t="s">
        <v>9896</v>
      </c>
      <c r="W4749" t="s">
        <v>23049</v>
      </c>
      <c r="X4749">
        <v>838542</v>
      </c>
      <c r="Y4749" t="s">
        <v>28696</v>
      </c>
      <c r="Z4749" s="2" t="s">
        <v>28697</v>
      </c>
      <c r="AA4749" s="2" t="s">
        <v>28698</v>
      </c>
      <c r="AB4749" t="s">
        <v>1480</v>
      </c>
      <c r="AC4749" t="s">
        <v>28699</v>
      </c>
      <c r="AG4749" t="s">
        <v>28700</v>
      </c>
      <c r="AH4749" t="s">
        <v>9884</v>
      </c>
      <c r="AI4749" t="s">
        <v>28701</v>
      </c>
    </row>
    <row r="4750" spans="2:35" ht="390">
      <c r="B4750" s="1">
        <v>45385</v>
      </c>
      <c r="C4750" s="4">
        <v>45372.554861111108</v>
      </c>
      <c r="D4750" t="s">
        <v>2510</v>
      </c>
      <c r="E4750" t="s">
        <v>28702</v>
      </c>
      <c r="F4750" t="s">
        <v>37</v>
      </c>
      <c r="G4750" t="s">
        <v>2499</v>
      </c>
      <c r="H4750" t="s">
        <v>39</v>
      </c>
      <c r="I4750" t="s">
        <v>40</v>
      </c>
      <c r="J4750" s="2" t="s">
        <v>41</v>
      </c>
      <c r="K4750" t="s">
        <v>42</v>
      </c>
      <c r="L4750" t="s">
        <v>43</v>
      </c>
      <c r="N4750" t="s">
        <v>44</v>
      </c>
      <c r="Q4750">
        <v>27795</v>
      </c>
      <c r="R4750" t="s">
        <v>119</v>
      </c>
      <c r="S4750" t="s">
        <v>28703</v>
      </c>
      <c r="T4750">
        <v>19</v>
      </c>
      <c r="U4750" s="2" t="s">
        <v>28704</v>
      </c>
      <c r="W4750" t="s">
        <v>48</v>
      </c>
      <c r="X4750">
        <v>831890</v>
      </c>
      <c r="Y4750" t="s">
        <v>28705</v>
      </c>
      <c r="Z4750" t="s">
        <v>28706</v>
      </c>
      <c r="AA4750" s="2" t="s">
        <v>28707</v>
      </c>
      <c r="AB4750" t="s">
        <v>28708</v>
      </c>
      <c r="AG4750" t="s">
        <v>28709</v>
      </c>
      <c r="AH4750" t="s">
        <v>2518</v>
      </c>
      <c r="AI4750" t="s">
        <v>28710</v>
      </c>
    </row>
    <row r="4751" spans="2:35" ht="315">
      <c r="B4751" s="1">
        <v>45385</v>
      </c>
      <c r="C4751" s="4">
        <v>45373.556944444441</v>
      </c>
      <c r="D4751" t="s">
        <v>28711</v>
      </c>
      <c r="E4751" t="s">
        <v>28712</v>
      </c>
      <c r="F4751" t="s">
        <v>37</v>
      </c>
      <c r="G4751" t="s">
        <v>38</v>
      </c>
      <c r="H4751" t="s">
        <v>39</v>
      </c>
      <c r="I4751" t="s">
        <v>40</v>
      </c>
      <c r="J4751" t="s">
        <v>109</v>
      </c>
      <c r="K4751" t="s">
        <v>42</v>
      </c>
      <c r="L4751" t="s">
        <v>43</v>
      </c>
      <c r="N4751" t="s">
        <v>44</v>
      </c>
      <c r="Q4751">
        <v>27794</v>
      </c>
      <c r="R4751" t="s">
        <v>119</v>
      </c>
      <c r="S4751" t="s">
        <v>28713</v>
      </c>
      <c r="T4751">
        <v>20</v>
      </c>
      <c r="U4751" s="2" t="s">
        <v>14200</v>
      </c>
      <c r="W4751" t="s">
        <v>48</v>
      </c>
      <c r="X4751">
        <v>831896</v>
      </c>
      <c r="Y4751" t="s">
        <v>121</v>
      </c>
      <c r="Z4751" t="s">
        <v>122</v>
      </c>
      <c r="AA4751" s="2" t="s">
        <v>27734</v>
      </c>
      <c r="AB4751" t="s">
        <v>16412</v>
      </c>
      <c r="AG4751" t="s">
        <v>28714</v>
      </c>
      <c r="AH4751" t="s">
        <v>28715</v>
      </c>
      <c r="AI4751" t="s">
        <v>28716</v>
      </c>
    </row>
    <row r="4752" spans="2:35" ht="300">
      <c r="B4752" s="1">
        <v>45385</v>
      </c>
      <c r="C4752" s="4">
        <v>45378.464583333334</v>
      </c>
      <c r="D4752" t="s">
        <v>146</v>
      </c>
      <c r="E4752" t="s">
        <v>28717</v>
      </c>
      <c r="F4752" t="s">
        <v>148</v>
      </c>
      <c r="G4752" t="s">
        <v>149</v>
      </c>
      <c r="H4752" t="s">
        <v>39</v>
      </c>
      <c r="I4752" t="s">
        <v>40</v>
      </c>
      <c r="J4752" t="s">
        <v>109</v>
      </c>
      <c r="K4752" t="s">
        <v>387</v>
      </c>
      <c r="L4752" t="s">
        <v>43</v>
      </c>
      <c r="N4752" t="s">
        <v>44</v>
      </c>
      <c r="O4752" t="s">
        <v>388</v>
      </c>
      <c r="Q4752">
        <v>27793</v>
      </c>
      <c r="R4752" t="s">
        <v>95</v>
      </c>
      <c r="S4752" t="s">
        <v>28718</v>
      </c>
      <c r="T4752">
        <v>20</v>
      </c>
      <c r="W4752" t="s">
        <v>390</v>
      </c>
      <c r="X4752" t="s">
        <v>391</v>
      </c>
      <c r="Y4752" t="s">
        <v>28719</v>
      </c>
      <c r="Z4752" t="s">
        <v>28720</v>
      </c>
      <c r="AA4752" s="2" t="s">
        <v>28721</v>
      </c>
      <c r="AB4752" t="s">
        <v>28722</v>
      </c>
      <c r="AG4752" t="s">
        <v>28723</v>
      </c>
      <c r="AH4752" t="s">
        <v>8966</v>
      </c>
      <c r="AI4752" t="s">
        <v>28724</v>
      </c>
    </row>
    <row r="4753" spans="2:35" ht="375">
      <c r="B4753" s="1">
        <v>45385</v>
      </c>
      <c r="C4753" s="4">
        <v>45384.480555555558</v>
      </c>
      <c r="D4753" t="s">
        <v>4379</v>
      </c>
      <c r="E4753" t="s">
        <v>18288</v>
      </c>
      <c r="F4753" t="s">
        <v>148</v>
      </c>
      <c r="G4753" t="s">
        <v>785</v>
      </c>
      <c r="H4753" t="s">
        <v>39</v>
      </c>
      <c r="I4753" t="s">
        <v>40</v>
      </c>
      <c r="J4753" s="2" t="s">
        <v>190</v>
      </c>
      <c r="K4753" t="s">
        <v>42</v>
      </c>
      <c r="L4753" t="s">
        <v>43</v>
      </c>
      <c r="N4753" t="s">
        <v>44</v>
      </c>
      <c r="Q4753">
        <v>27792</v>
      </c>
      <c r="R4753" t="s">
        <v>322</v>
      </c>
      <c r="S4753" t="s">
        <v>4382</v>
      </c>
      <c r="T4753">
        <v>24</v>
      </c>
      <c r="U4753" s="2" t="s">
        <v>28725</v>
      </c>
      <c r="W4753" t="s">
        <v>3178</v>
      </c>
      <c r="X4753">
        <v>838627</v>
      </c>
      <c r="Y4753" t="s">
        <v>28726</v>
      </c>
      <c r="Z4753" t="s">
        <v>5995</v>
      </c>
      <c r="AA4753" s="2" t="s">
        <v>27734</v>
      </c>
      <c r="AB4753" t="s">
        <v>28727</v>
      </c>
      <c r="AG4753" t="s">
        <v>28728</v>
      </c>
      <c r="AH4753" t="s">
        <v>28729</v>
      </c>
      <c r="AI4753" t="s">
        <v>28730</v>
      </c>
    </row>
    <row r="4754" spans="2:35" ht="270">
      <c r="B4754" s="1">
        <v>45385</v>
      </c>
      <c r="C4754" s="4">
        <v>45384.547222222223</v>
      </c>
      <c r="D4754" t="s">
        <v>4379</v>
      </c>
      <c r="E4754" t="s">
        <v>28731</v>
      </c>
      <c r="F4754" t="s">
        <v>148</v>
      </c>
      <c r="G4754" t="s">
        <v>785</v>
      </c>
      <c r="H4754" t="s">
        <v>39</v>
      </c>
      <c r="I4754" t="s">
        <v>40</v>
      </c>
      <c r="J4754" s="2" t="s">
        <v>62</v>
      </c>
      <c r="K4754" t="s">
        <v>42</v>
      </c>
      <c r="L4754" t="s">
        <v>43</v>
      </c>
      <c r="N4754" t="s">
        <v>44</v>
      </c>
      <c r="Q4754">
        <v>27791</v>
      </c>
      <c r="R4754" t="s">
        <v>95</v>
      </c>
      <c r="S4754" t="s">
        <v>4389</v>
      </c>
      <c r="T4754">
        <v>24</v>
      </c>
      <c r="W4754" t="s">
        <v>390</v>
      </c>
      <c r="X4754" t="s">
        <v>4390</v>
      </c>
      <c r="Y4754" t="s">
        <v>121</v>
      </c>
      <c r="Z4754" t="s">
        <v>17309</v>
      </c>
      <c r="AA4754" s="2" t="s">
        <v>28732</v>
      </c>
      <c r="AB4754" t="s">
        <v>88</v>
      </c>
      <c r="AG4754" t="s">
        <v>28733</v>
      </c>
      <c r="AH4754" t="s">
        <v>28734</v>
      </c>
      <c r="AI4754" t="s">
        <v>28735</v>
      </c>
    </row>
    <row r="4755" spans="2:35" ht="240">
      <c r="B4755" s="1">
        <v>45384</v>
      </c>
      <c r="C4755" s="4">
        <v>45384.602777777778</v>
      </c>
      <c r="D4755" t="s">
        <v>837</v>
      </c>
      <c r="E4755" t="s">
        <v>27098</v>
      </c>
      <c r="F4755">
        <v>5</v>
      </c>
      <c r="G4755" t="s">
        <v>839</v>
      </c>
      <c r="H4755" t="s">
        <v>513</v>
      </c>
      <c r="I4755" t="s">
        <v>40</v>
      </c>
      <c r="J4755" s="2" t="s">
        <v>760</v>
      </c>
      <c r="K4755" t="s">
        <v>387</v>
      </c>
      <c r="L4755" t="s">
        <v>761</v>
      </c>
      <c r="N4755" t="s">
        <v>762</v>
      </c>
      <c r="Q4755">
        <v>27790</v>
      </c>
      <c r="R4755" t="s">
        <v>322</v>
      </c>
      <c r="S4755" t="s">
        <v>28736</v>
      </c>
      <c r="T4755">
        <v>25</v>
      </c>
      <c r="W4755" t="s">
        <v>390</v>
      </c>
      <c r="X4755" t="s">
        <v>847</v>
      </c>
      <c r="Y4755" t="s">
        <v>28737</v>
      </c>
      <c r="Z4755" s="2" t="s">
        <v>28738</v>
      </c>
      <c r="AA4755" t="s">
        <v>1935</v>
      </c>
      <c r="AB4755" t="s">
        <v>70</v>
      </c>
      <c r="AG4755" t="s">
        <v>28739</v>
      </c>
      <c r="AH4755" t="s">
        <v>28740</v>
      </c>
      <c r="AI4755" t="s">
        <v>28741</v>
      </c>
    </row>
    <row r="4756" spans="2:35" ht="165">
      <c r="B4756" s="1">
        <v>45384</v>
      </c>
      <c r="C4756" s="4">
        <v>45384.597222222219</v>
      </c>
      <c r="D4756" t="s">
        <v>22448</v>
      </c>
      <c r="E4756" t="s">
        <v>22449</v>
      </c>
      <c r="F4756">
        <v>3</v>
      </c>
      <c r="G4756" t="s">
        <v>1722</v>
      </c>
      <c r="H4756" t="s">
        <v>39</v>
      </c>
      <c r="I4756" t="s">
        <v>40</v>
      </c>
      <c r="J4756" t="s">
        <v>109</v>
      </c>
      <c r="K4756" t="s">
        <v>42</v>
      </c>
      <c r="L4756" t="s">
        <v>63</v>
      </c>
      <c r="N4756" t="s">
        <v>64</v>
      </c>
      <c r="Q4756">
        <v>27789</v>
      </c>
      <c r="R4756" t="s">
        <v>119</v>
      </c>
      <c r="S4756" t="s">
        <v>22450</v>
      </c>
      <c r="T4756">
        <v>27</v>
      </c>
      <c r="U4756" s="2" t="s">
        <v>5268</v>
      </c>
      <c r="V4756" s="1">
        <v>45384</v>
      </c>
      <c r="W4756" t="s">
        <v>26915</v>
      </c>
      <c r="X4756">
        <v>831695</v>
      </c>
      <c r="Y4756" t="s">
        <v>1716</v>
      </c>
      <c r="Z4756" t="s">
        <v>1716</v>
      </c>
      <c r="AA4756" s="2" t="s">
        <v>1727</v>
      </c>
      <c r="AB4756" t="s">
        <v>70</v>
      </c>
      <c r="AC4756" t="s">
        <v>1716</v>
      </c>
      <c r="AD4756" t="s">
        <v>1716</v>
      </c>
      <c r="AE4756" t="s">
        <v>1716</v>
      </c>
      <c r="AG4756" t="s">
        <v>28742</v>
      </c>
      <c r="AH4756" t="s">
        <v>28743</v>
      </c>
      <c r="AI4756" t="s">
        <v>28744</v>
      </c>
    </row>
    <row r="4757" spans="2:35" ht="135">
      <c r="B4757" s="1">
        <v>45384</v>
      </c>
      <c r="C4757" s="4">
        <v>45384.552083333336</v>
      </c>
      <c r="D4757" t="s">
        <v>14503</v>
      </c>
      <c r="E4757" t="s">
        <v>28745</v>
      </c>
      <c r="F4757">
        <v>13</v>
      </c>
      <c r="G4757" t="s">
        <v>4484</v>
      </c>
      <c r="H4757" t="s">
        <v>2125</v>
      </c>
      <c r="I4757" t="s">
        <v>40</v>
      </c>
      <c r="J4757" s="2" t="s">
        <v>62</v>
      </c>
      <c r="K4757" t="s">
        <v>42</v>
      </c>
      <c r="L4757" t="s">
        <v>933</v>
      </c>
      <c r="N4757" t="s">
        <v>934</v>
      </c>
      <c r="Q4757">
        <v>27788</v>
      </c>
      <c r="R4757" t="s">
        <v>119</v>
      </c>
      <c r="S4757" t="s">
        <v>14505</v>
      </c>
      <c r="T4757">
        <v>27</v>
      </c>
      <c r="W4757" t="s">
        <v>3662</v>
      </c>
      <c r="X4757">
        <v>838550</v>
      </c>
      <c r="Y4757" t="s">
        <v>301</v>
      </c>
      <c r="Z4757" t="s">
        <v>13654</v>
      </c>
      <c r="AA4757" t="s">
        <v>28746</v>
      </c>
      <c r="AB4757" s="2" t="s">
        <v>28747</v>
      </c>
      <c r="AC4757" t="s">
        <v>301</v>
      </c>
      <c r="AG4757" t="s">
        <v>28748</v>
      </c>
      <c r="AH4757" t="s">
        <v>20656</v>
      </c>
      <c r="AI4757" t="s">
        <v>28749</v>
      </c>
    </row>
    <row r="4758" spans="2:35" ht="409.5">
      <c r="B4758" s="1">
        <v>45384</v>
      </c>
      <c r="C4758" s="4">
        <v>45384.40902777778</v>
      </c>
      <c r="D4758" t="s">
        <v>13723</v>
      </c>
      <c r="E4758" t="s">
        <v>12017</v>
      </c>
      <c r="F4758">
        <v>7</v>
      </c>
      <c r="G4758" t="s">
        <v>432</v>
      </c>
      <c r="H4758" t="s">
        <v>9774</v>
      </c>
      <c r="I4758" t="s">
        <v>40</v>
      </c>
      <c r="J4758" t="s">
        <v>109</v>
      </c>
      <c r="K4758" t="s">
        <v>42</v>
      </c>
      <c r="L4758" t="s">
        <v>1288</v>
      </c>
      <c r="N4758" t="s">
        <v>1289</v>
      </c>
      <c r="Q4758">
        <v>27787</v>
      </c>
      <c r="R4758" t="s">
        <v>95</v>
      </c>
      <c r="S4758" t="s">
        <v>11987</v>
      </c>
      <c r="T4758">
        <v>22</v>
      </c>
      <c r="U4758" s="2" t="s">
        <v>28750</v>
      </c>
      <c r="W4758" t="s">
        <v>1292</v>
      </c>
      <c r="X4758">
        <v>110008524</v>
      </c>
      <c r="Y4758" t="e">
        <f ca="1">-_xludf.For Preventive Maintenance _xludf.and Data Collection</f>
        <v>#NAME?</v>
      </c>
      <c r="Z4758" t="e">
        <f ca="1">-COLLECT IQR,system _xludf.Log, _xludf.and ARCHIVE</f>
        <v>#NAME?</v>
      </c>
      <c r="AA4758" t="e">
        <f ca="1">-PERFORM Preventive Maintenance</f>
        <v>#NAME?</v>
      </c>
      <c r="AB4758" t="s">
        <v>1293</v>
      </c>
      <c r="AG4758" t="s">
        <v>28751</v>
      </c>
      <c r="AH4758" t="s">
        <v>28752</v>
      </c>
      <c r="AI4758" t="s">
        <v>28753</v>
      </c>
    </row>
    <row r="4759" spans="2:35">
      <c r="B4759" s="1">
        <v>45384</v>
      </c>
      <c r="C4759" s="4">
        <v>45384.393055555556</v>
      </c>
      <c r="D4759" t="s">
        <v>13723</v>
      </c>
      <c r="E4759" t="s">
        <v>12017</v>
      </c>
      <c r="F4759">
        <v>7</v>
      </c>
      <c r="G4759" t="s">
        <v>432</v>
      </c>
      <c r="H4759" t="s">
        <v>12018</v>
      </c>
      <c r="I4759" t="s">
        <v>40</v>
      </c>
      <c r="J4759" t="s">
        <v>79</v>
      </c>
      <c r="K4759" t="s">
        <v>387</v>
      </c>
      <c r="L4759" t="s">
        <v>1288</v>
      </c>
      <c r="N4759" t="s">
        <v>1289</v>
      </c>
      <c r="Q4759">
        <v>27786</v>
      </c>
      <c r="R4759" t="s">
        <v>95</v>
      </c>
      <c r="S4759" t="s">
        <v>9919</v>
      </c>
      <c r="T4759">
        <v>23</v>
      </c>
      <c r="W4759" t="s">
        <v>390</v>
      </c>
      <c r="X4759" t="s">
        <v>10711</v>
      </c>
      <c r="Y4759" t="s">
        <v>28754</v>
      </c>
      <c r="Z4759" t="e">
        <f ca="1">-COLLECT MCS Data</f>
        <v>#NAME?</v>
      </c>
      <c r="AA4759" t="e">
        <f ca="1">-Install service UNINTERRUPTIBLE _xludf.Power SUPPLY(UPS)
-PERFORM functionality test, PASS</f>
        <v>#NAME?</v>
      </c>
      <c r="AB4759" t="s">
        <v>1293</v>
      </c>
      <c r="AG4759" t="s">
        <v>28755</v>
      </c>
      <c r="AH4759" t="s">
        <v>28756</v>
      </c>
      <c r="AI4759" t="s">
        <v>28757</v>
      </c>
    </row>
    <row r="4760" spans="2:35" ht="180">
      <c r="B4760" s="1">
        <v>45383</v>
      </c>
      <c r="C4760" s="4">
        <v>45156.386111111111</v>
      </c>
      <c r="D4760" t="s">
        <v>11102</v>
      </c>
      <c r="E4760" t="s">
        <v>11103</v>
      </c>
      <c r="F4760" t="s">
        <v>511</v>
      </c>
      <c r="G4760" t="s">
        <v>512</v>
      </c>
      <c r="H4760" t="s">
        <v>39</v>
      </c>
      <c r="I4760" t="s">
        <v>40</v>
      </c>
      <c r="J4760" s="2" t="s">
        <v>62</v>
      </c>
      <c r="K4760" t="s">
        <v>42</v>
      </c>
      <c r="L4760" t="s">
        <v>1048</v>
      </c>
      <c r="N4760" t="s">
        <v>1049</v>
      </c>
      <c r="Q4760">
        <v>27785</v>
      </c>
      <c r="R4760" t="s">
        <v>119</v>
      </c>
      <c r="S4760" t="s">
        <v>11104</v>
      </c>
      <c r="T4760">
        <v>30</v>
      </c>
      <c r="U4760" s="2" t="s">
        <v>28758</v>
      </c>
      <c r="V4760" s="1">
        <v>45090</v>
      </c>
      <c r="W4760" t="s">
        <v>360</v>
      </c>
      <c r="X4760">
        <v>838282</v>
      </c>
      <c r="Y4760" t="s">
        <v>28759</v>
      </c>
      <c r="Z4760" t="e">
        <f ca="1">- cleaned cartridge Bays, plunger Rods _xludf.and I-CORE
- performed XpertCheck
- generated reports</f>
        <v>#NAME?</v>
      </c>
      <c r="AA4760" t="s">
        <v>28760</v>
      </c>
      <c r="AB4760" t="s">
        <v>181</v>
      </c>
      <c r="AC4760" t="s">
        <v>28761</v>
      </c>
      <c r="AD4760" t="s">
        <v>1958</v>
      </c>
      <c r="AE4760" t="s">
        <v>28762</v>
      </c>
      <c r="AG4760" t="s">
        <v>28763</v>
      </c>
      <c r="AH4760" t="s">
        <v>11108</v>
      </c>
      <c r="AI4760" t="s">
        <v>28764</v>
      </c>
    </row>
    <row r="4761" spans="2:35" ht="345">
      <c r="B4761" s="1">
        <v>45383</v>
      </c>
      <c r="C4761" s="4">
        <v>45378.398611111108</v>
      </c>
      <c r="D4761" t="s">
        <v>5158</v>
      </c>
      <c r="E4761" t="s">
        <v>5167</v>
      </c>
      <c r="F4761" t="s">
        <v>148</v>
      </c>
      <c r="G4761" t="s">
        <v>310</v>
      </c>
      <c r="H4761" t="s">
        <v>662</v>
      </c>
      <c r="I4761" t="s">
        <v>40</v>
      </c>
      <c r="J4761" s="2" t="s">
        <v>62</v>
      </c>
      <c r="K4761" t="s">
        <v>42</v>
      </c>
      <c r="L4761" t="s">
        <v>1028</v>
      </c>
      <c r="N4761" t="s">
        <v>1029</v>
      </c>
      <c r="Q4761">
        <v>27782</v>
      </c>
      <c r="R4761" t="s">
        <v>322</v>
      </c>
      <c r="S4761" t="s">
        <v>14635</v>
      </c>
      <c r="T4761">
        <v>27</v>
      </c>
      <c r="U4761" s="2" t="s">
        <v>28765</v>
      </c>
      <c r="W4761" t="s">
        <v>5169</v>
      </c>
      <c r="X4761">
        <v>110013856</v>
      </c>
      <c r="Y4761" t="s">
        <v>18140</v>
      </c>
      <c r="Z4761" t="s">
        <v>21244</v>
      </c>
      <c r="AA4761" s="2" t="s">
        <v>28766</v>
      </c>
      <c r="AB4761" t="s">
        <v>3063</v>
      </c>
      <c r="AC4761" t="s">
        <v>28767</v>
      </c>
      <c r="AG4761" t="s">
        <v>28768</v>
      </c>
      <c r="AH4761" t="s">
        <v>15748</v>
      </c>
      <c r="AI4761" t="s">
        <v>28769</v>
      </c>
    </row>
    <row r="4762" spans="2:35" ht="345">
      <c r="B4762" s="1">
        <v>45383</v>
      </c>
      <c r="C4762" s="4">
        <v>45378.387499999997</v>
      </c>
      <c r="D4762" t="s">
        <v>5158</v>
      </c>
      <c r="E4762" t="s">
        <v>5167</v>
      </c>
      <c r="F4762" t="s">
        <v>148</v>
      </c>
      <c r="G4762" t="s">
        <v>310</v>
      </c>
      <c r="H4762" t="s">
        <v>662</v>
      </c>
      <c r="I4762" t="s">
        <v>40</v>
      </c>
      <c r="J4762" s="2" t="s">
        <v>62</v>
      </c>
      <c r="K4762" t="s">
        <v>42</v>
      </c>
      <c r="L4762" t="s">
        <v>1028</v>
      </c>
      <c r="N4762" t="s">
        <v>1029</v>
      </c>
      <c r="Q4762">
        <v>27781</v>
      </c>
      <c r="R4762" t="s">
        <v>322</v>
      </c>
      <c r="S4762" t="s">
        <v>14635</v>
      </c>
      <c r="T4762">
        <v>25</v>
      </c>
      <c r="U4762" s="2" t="s">
        <v>28770</v>
      </c>
      <c r="W4762" t="s">
        <v>1032</v>
      </c>
      <c r="X4762">
        <v>110014099</v>
      </c>
      <c r="Y4762" t="s">
        <v>18140</v>
      </c>
      <c r="Z4762" t="s">
        <v>21244</v>
      </c>
      <c r="AA4762" s="2" t="s">
        <v>28766</v>
      </c>
      <c r="AB4762" t="s">
        <v>3063</v>
      </c>
      <c r="AC4762" t="s">
        <v>28771</v>
      </c>
      <c r="AG4762" t="s">
        <v>28772</v>
      </c>
      <c r="AH4762" t="s">
        <v>15748</v>
      </c>
      <c r="AI4762" t="s">
        <v>28773</v>
      </c>
    </row>
    <row r="4763" spans="2:35" ht="300">
      <c r="B4763" s="1">
        <v>45383</v>
      </c>
      <c r="C4763" s="4">
        <v>45377.599305555559</v>
      </c>
      <c r="D4763" t="s">
        <v>14010</v>
      </c>
      <c r="E4763" t="s">
        <v>14011</v>
      </c>
      <c r="F4763" t="s">
        <v>148</v>
      </c>
      <c r="G4763" t="s">
        <v>774</v>
      </c>
      <c r="H4763" t="s">
        <v>28774</v>
      </c>
      <c r="I4763" t="s">
        <v>40</v>
      </c>
      <c r="J4763" s="2" t="s">
        <v>62</v>
      </c>
      <c r="K4763" t="s">
        <v>42</v>
      </c>
      <c r="L4763" t="s">
        <v>1028</v>
      </c>
      <c r="N4763" t="s">
        <v>1029</v>
      </c>
      <c r="Q4763">
        <v>27784</v>
      </c>
      <c r="R4763" t="s">
        <v>322</v>
      </c>
      <c r="S4763" t="s">
        <v>28775</v>
      </c>
      <c r="T4763">
        <v>28</v>
      </c>
      <c r="U4763" s="2" t="s">
        <v>28776</v>
      </c>
      <c r="V4763" s="1">
        <v>45336</v>
      </c>
      <c r="W4763" t="s">
        <v>1032</v>
      </c>
      <c r="X4763">
        <v>110017870</v>
      </c>
      <c r="Y4763" t="s">
        <v>18140</v>
      </c>
      <c r="Z4763" t="s">
        <v>21244</v>
      </c>
      <c r="AA4763" s="2" t="s">
        <v>28777</v>
      </c>
      <c r="AB4763" t="s">
        <v>3063</v>
      </c>
      <c r="AC4763" t="s">
        <v>28771</v>
      </c>
      <c r="AD4763" t="s">
        <v>7189</v>
      </c>
      <c r="AE4763" t="s">
        <v>28778</v>
      </c>
      <c r="AG4763" t="s">
        <v>28779</v>
      </c>
      <c r="AH4763" t="s">
        <v>28780</v>
      </c>
      <c r="AI4763" t="s">
        <v>28781</v>
      </c>
    </row>
    <row r="4764" spans="2:35" ht="300">
      <c r="B4764" s="1">
        <v>45383</v>
      </c>
      <c r="C4764" s="4">
        <v>45377.609027777777</v>
      </c>
      <c r="D4764" t="s">
        <v>14010</v>
      </c>
      <c r="E4764" t="s">
        <v>14011</v>
      </c>
      <c r="F4764" t="s">
        <v>148</v>
      </c>
      <c r="G4764" t="s">
        <v>774</v>
      </c>
      <c r="H4764" t="s">
        <v>28774</v>
      </c>
      <c r="I4764" t="s">
        <v>40</v>
      </c>
      <c r="J4764" s="2" t="s">
        <v>62</v>
      </c>
      <c r="K4764" t="s">
        <v>42</v>
      </c>
      <c r="L4764" t="s">
        <v>1028</v>
      </c>
      <c r="N4764" t="s">
        <v>1029</v>
      </c>
      <c r="Q4764">
        <v>27783</v>
      </c>
      <c r="R4764" t="s">
        <v>322</v>
      </c>
      <c r="S4764" t="s">
        <v>28775</v>
      </c>
      <c r="T4764">
        <v>28</v>
      </c>
      <c r="U4764" s="2" t="s">
        <v>28782</v>
      </c>
      <c r="V4764" s="1">
        <v>45336</v>
      </c>
      <c r="W4764" t="s">
        <v>1032</v>
      </c>
      <c r="X4764">
        <v>110017869</v>
      </c>
      <c r="Y4764" t="s">
        <v>18140</v>
      </c>
      <c r="Z4764" t="s">
        <v>21244</v>
      </c>
      <c r="AA4764" s="2" t="s">
        <v>28777</v>
      </c>
      <c r="AB4764" t="s">
        <v>3063</v>
      </c>
      <c r="AC4764" t="s">
        <v>28771</v>
      </c>
      <c r="AD4764" t="s">
        <v>7189</v>
      </c>
      <c r="AE4764" t="s">
        <v>28783</v>
      </c>
      <c r="AG4764" t="s">
        <v>28784</v>
      </c>
      <c r="AH4764" t="s">
        <v>28780</v>
      </c>
      <c r="AI4764" t="s">
        <v>28785</v>
      </c>
    </row>
    <row r="4765" spans="2:35" ht="210">
      <c r="B4765" s="1">
        <v>45383</v>
      </c>
      <c r="C4765" s="4">
        <v>45383.605555555558</v>
      </c>
      <c r="D4765" t="s">
        <v>24860</v>
      </c>
      <c r="E4765" t="s">
        <v>9773</v>
      </c>
      <c r="F4765">
        <v>6</v>
      </c>
      <c r="G4765" t="s">
        <v>1234</v>
      </c>
      <c r="H4765" t="s">
        <v>28786</v>
      </c>
      <c r="I4765" t="s">
        <v>40</v>
      </c>
      <c r="J4765" t="s">
        <v>996</v>
      </c>
      <c r="K4765" t="s">
        <v>42</v>
      </c>
      <c r="L4765" t="s">
        <v>23958</v>
      </c>
      <c r="N4765" t="s">
        <v>23959</v>
      </c>
      <c r="Q4765">
        <v>27780</v>
      </c>
      <c r="R4765" t="s">
        <v>119</v>
      </c>
      <c r="S4765" t="s">
        <v>28787</v>
      </c>
      <c r="T4765">
        <v>4</v>
      </c>
      <c r="U4765" s="2" t="s">
        <v>28788</v>
      </c>
      <c r="W4765" t="s">
        <v>360</v>
      </c>
      <c r="X4765">
        <v>821219</v>
      </c>
      <c r="Y4765" t="s">
        <v>54</v>
      </c>
      <c r="Z4765" t="s">
        <v>28789</v>
      </c>
      <c r="AA4765" t="s">
        <v>28790</v>
      </c>
      <c r="AB4765" t="s">
        <v>28791</v>
      </c>
      <c r="AG4765" t="s">
        <v>28792</v>
      </c>
      <c r="AH4765" t="s">
        <v>28793</v>
      </c>
      <c r="AI4765" t="s">
        <v>28794</v>
      </c>
    </row>
    <row r="4766" spans="2:35" ht="270">
      <c r="B4766" s="1">
        <v>45383</v>
      </c>
      <c r="C4766" s="4">
        <v>45383.46875</v>
      </c>
      <c r="D4766" t="s">
        <v>20104</v>
      </c>
      <c r="E4766" t="s">
        <v>607</v>
      </c>
      <c r="F4766">
        <v>7</v>
      </c>
      <c r="G4766" t="s">
        <v>432</v>
      </c>
      <c r="H4766" t="s">
        <v>608</v>
      </c>
      <c r="I4766" t="s">
        <v>40</v>
      </c>
      <c r="J4766" t="s">
        <v>109</v>
      </c>
      <c r="K4766" t="s">
        <v>42</v>
      </c>
      <c r="L4766" t="s">
        <v>610</v>
      </c>
      <c r="N4766" t="s">
        <v>611</v>
      </c>
      <c r="Q4766">
        <v>27779</v>
      </c>
      <c r="R4766" t="s">
        <v>119</v>
      </c>
      <c r="S4766" t="s">
        <v>612</v>
      </c>
      <c r="T4766">
        <v>20</v>
      </c>
      <c r="U4766" s="2" t="s">
        <v>28795</v>
      </c>
      <c r="W4766" t="s">
        <v>360</v>
      </c>
      <c r="X4766">
        <v>838559</v>
      </c>
      <c r="Y4766" s="2" t="s">
        <v>28796</v>
      </c>
      <c r="Z4766" s="2" t="s">
        <v>28797</v>
      </c>
      <c r="AA4766" s="2" t="s">
        <v>28797</v>
      </c>
      <c r="AB4766" t="s">
        <v>1263</v>
      </c>
      <c r="AG4766" t="s">
        <v>28798</v>
      </c>
      <c r="AH4766" t="s">
        <v>28799</v>
      </c>
      <c r="AI4766" t="s">
        <v>28800</v>
      </c>
    </row>
    <row r="4767" spans="2:35" ht="105">
      <c r="B4767" s="1">
        <v>45383</v>
      </c>
      <c r="C4767" s="4">
        <v>45378.401388888888</v>
      </c>
      <c r="D4767" t="s">
        <v>4517</v>
      </c>
      <c r="E4767" t="s">
        <v>4518</v>
      </c>
      <c r="F4767">
        <v>1</v>
      </c>
      <c r="G4767" t="s">
        <v>1046</v>
      </c>
      <c r="H4767" t="s">
        <v>39</v>
      </c>
      <c r="I4767" t="s">
        <v>40</v>
      </c>
      <c r="J4767" s="2" t="s">
        <v>62</v>
      </c>
      <c r="K4767" t="s">
        <v>42</v>
      </c>
      <c r="L4767" t="s">
        <v>1048</v>
      </c>
      <c r="N4767" t="s">
        <v>1049</v>
      </c>
      <c r="Q4767">
        <v>27778</v>
      </c>
      <c r="R4767" t="s">
        <v>119</v>
      </c>
      <c r="S4767" t="s">
        <v>7992</v>
      </c>
      <c r="T4767">
        <v>30</v>
      </c>
      <c r="U4767" s="2" t="s">
        <v>16690</v>
      </c>
      <c r="V4767" s="1">
        <v>45327</v>
      </c>
      <c r="W4767" t="s">
        <v>1051</v>
      </c>
      <c r="X4767">
        <v>838467</v>
      </c>
      <c r="Y4767" t="e">
        <f ca="1">- _xludf.For CALIBRATION _xludf.and Preventive Maintenance</f>
        <v>#NAME?</v>
      </c>
      <c r="Z4767" t="e">
        <f ca="1">- cleaned cartridge Bays, plunger Rods _xludf.and I-CORE
- performed XpertCheck
- generated reports</f>
        <v>#NAME?</v>
      </c>
      <c r="AA4767" t="e">
        <f ca="1">- performed CALIBRATION _xludf.and Preventive Maintenance</f>
        <v>#NAME?</v>
      </c>
      <c r="AB4767" t="s">
        <v>181</v>
      </c>
      <c r="AC4767" t="s">
        <v>28801</v>
      </c>
      <c r="AD4767" t="s">
        <v>1958</v>
      </c>
      <c r="AE4767" t="s">
        <v>28802</v>
      </c>
      <c r="AG4767" t="s">
        <v>28803</v>
      </c>
      <c r="AH4767" t="s">
        <v>13014</v>
      </c>
      <c r="AI4767" t="s">
        <v>28804</v>
      </c>
    </row>
    <row r="4768" spans="2:35" ht="90">
      <c r="B4768" s="1">
        <v>45379</v>
      </c>
      <c r="C4768" s="4">
        <v>45379.53125</v>
      </c>
      <c r="D4768" t="s">
        <v>837</v>
      </c>
      <c r="E4768" t="s">
        <v>27098</v>
      </c>
      <c r="F4768">
        <v>5</v>
      </c>
      <c r="G4768" t="s">
        <v>839</v>
      </c>
      <c r="H4768" t="s">
        <v>513</v>
      </c>
      <c r="I4768" t="s">
        <v>94</v>
      </c>
      <c r="J4768" t="s">
        <v>525</v>
      </c>
      <c r="K4768" t="s">
        <v>387</v>
      </c>
      <c r="L4768" t="s">
        <v>761</v>
      </c>
      <c r="N4768" t="s">
        <v>762</v>
      </c>
      <c r="Q4768">
        <v>27777</v>
      </c>
      <c r="R4768" t="s">
        <v>322</v>
      </c>
      <c r="S4768" t="s">
        <v>11589</v>
      </c>
      <c r="T4768">
        <v>25</v>
      </c>
      <c r="W4768" t="s">
        <v>390</v>
      </c>
      <c r="X4768" t="s">
        <v>847</v>
      </c>
      <c r="Y4768" s="2" t="s">
        <v>28805</v>
      </c>
      <c r="Z4768" t="s">
        <v>28806</v>
      </c>
      <c r="AA4768" s="2" t="s">
        <v>28807</v>
      </c>
      <c r="AB4768" t="s">
        <v>70</v>
      </c>
      <c r="AG4768" t="s">
        <v>28808</v>
      </c>
      <c r="AH4768" t="s">
        <v>28809</v>
      </c>
      <c r="AI4768" t="s">
        <v>28810</v>
      </c>
    </row>
    <row r="4769" spans="2:35" ht="300">
      <c r="B4769" s="1">
        <v>45378</v>
      </c>
      <c r="C4769" s="4">
        <v>45378.464583333334</v>
      </c>
      <c r="D4769" t="s">
        <v>146</v>
      </c>
      <c r="E4769" t="s">
        <v>28717</v>
      </c>
      <c r="F4769" t="s">
        <v>148</v>
      </c>
      <c r="G4769" t="s">
        <v>149</v>
      </c>
      <c r="H4769" t="s">
        <v>39</v>
      </c>
      <c r="I4769" t="s">
        <v>40</v>
      </c>
      <c r="J4769" t="s">
        <v>109</v>
      </c>
      <c r="K4769" t="s">
        <v>387</v>
      </c>
      <c r="L4769" t="s">
        <v>43</v>
      </c>
      <c r="N4769" t="s">
        <v>44</v>
      </c>
      <c r="O4769" t="s">
        <v>388</v>
      </c>
      <c r="Q4769">
        <v>27775</v>
      </c>
      <c r="R4769" t="s">
        <v>95</v>
      </c>
      <c r="S4769" t="s">
        <v>28718</v>
      </c>
      <c r="T4769">
        <v>20</v>
      </c>
      <c r="W4769" t="s">
        <v>390</v>
      </c>
      <c r="X4769" t="s">
        <v>391</v>
      </c>
      <c r="Y4769" t="s">
        <v>28719</v>
      </c>
      <c r="Z4769" t="s">
        <v>28720</v>
      </c>
      <c r="AA4769" s="2" t="s">
        <v>28721</v>
      </c>
      <c r="AB4769" t="s">
        <v>28722</v>
      </c>
      <c r="AG4769" t="s">
        <v>28811</v>
      </c>
      <c r="AH4769" t="s">
        <v>8966</v>
      </c>
      <c r="AI4769" t="s">
        <v>28812</v>
      </c>
    </row>
    <row r="4770" spans="2:35" ht="300">
      <c r="B4770" s="1">
        <v>45378</v>
      </c>
      <c r="C4770" s="4">
        <v>45378.464583333334</v>
      </c>
      <c r="D4770" t="s">
        <v>146</v>
      </c>
      <c r="E4770" t="s">
        <v>28717</v>
      </c>
      <c r="F4770" t="s">
        <v>148</v>
      </c>
      <c r="G4770" t="s">
        <v>149</v>
      </c>
      <c r="H4770" t="s">
        <v>39</v>
      </c>
      <c r="I4770" t="s">
        <v>40</v>
      </c>
      <c r="J4770" t="s">
        <v>109</v>
      </c>
      <c r="K4770" t="s">
        <v>387</v>
      </c>
      <c r="L4770" t="s">
        <v>43</v>
      </c>
      <c r="N4770" t="s">
        <v>44</v>
      </c>
      <c r="O4770" t="s">
        <v>388</v>
      </c>
      <c r="Q4770">
        <v>27774</v>
      </c>
      <c r="R4770" t="s">
        <v>95</v>
      </c>
      <c r="S4770" t="s">
        <v>28718</v>
      </c>
      <c r="T4770">
        <v>20</v>
      </c>
      <c r="W4770" t="s">
        <v>390</v>
      </c>
      <c r="X4770" t="s">
        <v>391</v>
      </c>
      <c r="Y4770" t="s">
        <v>28719</v>
      </c>
      <c r="Z4770" t="s">
        <v>28720</v>
      </c>
      <c r="AA4770" s="2" t="s">
        <v>28721</v>
      </c>
      <c r="AB4770" t="s">
        <v>28722</v>
      </c>
      <c r="AG4770" t="s">
        <v>28813</v>
      </c>
      <c r="AH4770" t="s">
        <v>8966</v>
      </c>
      <c r="AI4770" t="s">
        <v>28814</v>
      </c>
    </row>
    <row r="4771" spans="2:35" ht="300">
      <c r="B4771" s="1">
        <v>45378</v>
      </c>
      <c r="C4771" s="4">
        <v>45378.464583333334</v>
      </c>
      <c r="D4771" t="s">
        <v>146</v>
      </c>
      <c r="E4771" t="s">
        <v>28717</v>
      </c>
      <c r="F4771" t="s">
        <v>148</v>
      </c>
      <c r="G4771" t="s">
        <v>149</v>
      </c>
      <c r="H4771" t="s">
        <v>39</v>
      </c>
      <c r="I4771" t="s">
        <v>40</v>
      </c>
      <c r="J4771" t="s">
        <v>109</v>
      </c>
      <c r="K4771" t="s">
        <v>387</v>
      </c>
      <c r="L4771" t="s">
        <v>43</v>
      </c>
      <c r="N4771" t="s">
        <v>44</v>
      </c>
      <c r="O4771" t="s">
        <v>388</v>
      </c>
      <c r="Q4771">
        <v>27776</v>
      </c>
      <c r="R4771" t="s">
        <v>95</v>
      </c>
      <c r="S4771" t="s">
        <v>28718</v>
      </c>
      <c r="T4771">
        <v>20</v>
      </c>
      <c r="W4771" t="s">
        <v>390</v>
      </c>
      <c r="X4771" t="s">
        <v>391</v>
      </c>
      <c r="Y4771" t="s">
        <v>28719</v>
      </c>
      <c r="Z4771" t="s">
        <v>28720</v>
      </c>
      <c r="AA4771" s="2" t="s">
        <v>28721</v>
      </c>
      <c r="AB4771" t="s">
        <v>28722</v>
      </c>
      <c r="AG4771" t="s">
        <v>28815</v>
      </c>
      <c r="AH4771" t="s">
        <v>8966</v>
      </c>
      <c r="AI4771" t="s">
        <v>28816</v>
      </c>
    </row>
    <row r="4772" spans="2:35" ht="300">
      <c r="B4772" s="1">
        <v>45378</v>
      </c>
      <c r="C4772" s="4">
        <v>45378.464583333334</v>
      </c>
      <c r="D4772" t="s">
        <v>146</v>
      </c>
      <c r="E4772" t="s">
        <v>28717</v>
      </c>
      <c r="F4772" t="s">
        <v>148</v>
      </c>
      <c r="G4772" t="s">
        <v>149</v>
      </c>
      <c r="H4772" t="s">
        <v>39</v>
      </c>
      <c r="I4772" t="s">
        <v>40</v>
      </c>
      <c r="J4772" t="s">
        <v>109</v>
      </c>
      <c r="K4772" t="s">
        <v>387</v>
      </c>
      <c r="L4772" t="s">
        <v>43</v>
      </c>
      <c r="N4772" t="s">
        <v>44</v>
      </c>
      <c r="O4772" t="s">
        <v>388</v>
      </c>
      <c r="Q4772">
        <v>27772</v>
      </c>
      <c r="R4772" t="s">
        <v>95</v>
      </c>
      <c r="S4772" t="s">
        <v>28718</v>
      </c>
      <c r="T4772">
        <v>20</v>
      </c>
      <c r="W4772" t="s">
        <v>390</v>
      </c>
      <c r="X4772" t="s">
        <v>391</v>
      </c>
      <c r="Y4772" t="s">
        <v>28719</v>
      </c>
      <c r="Z4772" t="s">
        <v>28720</v>
      </c>
      <c r="AA4772" s="2" t="s">
        <v>28721</v>
      </c>
      <c r="AB4772" t="s">
        <v>28722</v>
      </c>
      <c r="AG4772" t="s">
        <v>28817</v>
      </c>
      <c r="AH4772" t="s">
        <v>8966</v>
      </c>
      <c r="AI4772" t="s">
        <v>28818</v>
      </c>
    </row>
    <row r="4773" spans="2:35" ht="300">
      <c r="B4773" s="1">
        <v>45378</v>
      </c>
      <c r="C4773" s="4">
        <v>45378.464583333334</v>
      </c>
      <c r="D4773" t="s">
        <v>146</v>
      </c>
      <c r="E4773" t="s">
        <v>28717</v>
      </c>
      <c r="F4773" t="s">
        <v>148</v>
      </c>
      <c r="G4773" t="s">
        <v>149</v>
      </c>
      <c r="H4773" t="s">
        <v>39</v>
      </c>
      <c r="I4773" t="s">
        <v>40</v>
      </c>
      <c r="J4773" t="s">
        <v>109</v>
      </c>
      <c r="K4773" t="s">
        <v>387</v>
      </c>
      <c r="L4773" t="s">
        <v>43</v>
      </c>
      <c r="N4773" t="s">
        <v>44</v>
      </c>
      <c r="O4773" t="s">
        <v>388</v>
      </c>
      <c r="Q4773">
        <v>27771</v>
      </c>
      <c r="R4773" t="s">
        <v>95</v>
      </c>
      <c r="S4773" t="s">
        <v>28718</v>
      </c>
      <c r="T4773">
        <v>20</v>
      </c>
      <c r="W4773" t="s">
        <v>390</v>
      </c>
      <c r="X4773" t="s">
        <v>391</v>
      </c>
      <c r="Y4773" t="s">
        <v>28719</v>
      </c>
      <c r="Z4773" t="s">
        <v>28720</v>
      </c>
      <c r="AA4773" s="2" t="s">
        <v>28721</v>
      </c>
      <c r="AB4773" t="s">
        <v>28722</v>
      </c>
      <c r="AG4773" t="s">
        <v>28819</v>
      </c>
      <c r="AH4773" t="s">
        <v>8966</v>
      </c>
      <c r="AI4773" t="s">
        <v>28820</v>
      </c>
    </row>
    <row r="4774" spans="2:35" ht="300">
      <c r="B4774" s="1">
        <v>45378</v>
      </c>
      <c r="C4774" s="4">
        <v>45378.464583333334</v>
      </c>
      <c r="D4774" t="s">
        <v>146</v>
      </c>
      <c r="E4774" t="s">
        <v>28717</v>
      </c>
      <c r="F4774" t="s">
        <v>148</v>
      </c>
      <c r="G4774" t="s">
        <v>149</v>
      </c>
      <c r="H4774" t="s">
        <v>39</v>
      </c>
      <c r="I4774" t="s">
        <v>40</v>
      </c>
      <c r="J4774" t="s">
        <v>109</v>
      </c>
      <c r="K4774" t="s">
        <v>387</v>
      </c>
      <c r="L4774" t="s">
        <v>43</v>
      </c>
      <c r="N4774" t="s">
        <v>44</v>
      </c>
      <c r="O4774" t="s">
        <v>388</v>
      </c>
      <c r="Q4774">
        <v>27773</v>
      </c>
      <c r="R4774" t="s">
        <v>95</v>
      </c>
      <c r="S4774" t="s">
        <v>28718</v>
      </c>
      <c r="T4774">
        <v>20</v>
      </c>
      <c r="W4774" t="s">
        <v>390</v>
      </c>
      <c r="X4774" t="s">
        <v>391</v>
      </c>
      <c r="Y4774" t="s">
        <v>28719</v>
      </c>
      <c r="Z4774" t="s">
        <v>28720</v>
      </c>
      <c r="AA4774" s="2" t="s">
        <v>28721</v>
      </c>
      <c r="AB4774" t="s">
        <v>28722</v>
      </c>
      <c r="AG4774" t="s">
        <v>28821</v>
      </c>
      <c r="AH4774" t="s">
        <v>8966</v>
      </c>
      <c r="AI4774" t="s">
        <v>28822</v>
      </c>
    </row>
    <row r="4775" spans="2:35" ht="210">
      <c r="B4775" s="1">
        <v>45378</v>
      </c>
      <c r="C4775" s="4">
        <v>45378.593055555553</v>
      </c>
      <c r="D4775" t="s">
        <v>1155</v>
      </c>
      <c r="E4775" t="s">
        <v>8331</v>
      </c>
      <c r="F4775" t="s">
        <v>148</v>
      </c>
      <c r="G4775" t="s">
        <v>230</v>
      </c>
      <c r="H4775" t="s">
        <v>39</v>
      </c>
      <c r="I4775" t="s">
        <v>40</v>
      </c>
      <c r="J4775" s="2" t="s">
        <v>190</v>
      </c>
      <c r="K4775" t="s">
        <v>42</v>
      </c>
      <c r="L4775" t="s">
        <v>175</v>
      </c>
      <c r="N4775" t="s">
        <v>176</v>
      </c>
      <c r="Q4775">
        <v>27770</v>
      </c>
      <c r="R4775" t="s">
        <v>119</v>
      </c>
      <c r="S4775" t="s">
        <v>28823</v>
      </c>
      <c r="T4775">
        <v>25</v>
      </c>
      <c r="U4775" s="2" t="s">
        <v>28824</v>
      </c>
      <c r="W4775" t="s">
        <v>84</v>
      </c>
      <c r="X4775">
        <v>831895</v>
      </c>
      <c r="Y4775" t="s">
        <v>23987</v>
      </c>
      <c r="Z4775" t="s">
        <v>680</v>
      </c>
      <c r="AA4775" t="e">
        <f ca="1">- checked _xludf.and cleaned cartridge bay, plunger, _xludf.filter
- generated reports (found temp. errors on A2, A3)
- performed multiple self tests on modules</f>
        <v>#NAME?</v>
      </c>
      <c r="AB4775" s="2" t="s">
        <v>28825</v>
      </c>
      <c r="AG4775" t="s">
        <v>28826</v>
      </c>
      <c r="AH4775" t="s">
        <v>16488</v>
      </c>
      <c r="AI4775" t="s">
        <v>28827</v>
      </c>
    </row>
    <row r="4776" spans="2:35" ht="375">
      <c r="B4776" s="1">
        <v>45378</v>
      </c>
      <c r="C4776" s="4">
        <v>45378.556944444441</v>
      </c>
      <c r="D4776" t="s">
        <v>3712</v>
      </c>
      <c r="E4776" t="s">
        <v>28828</v>
      </c>
      <c r="F4776" t="s">
        <v>37</v>
      </c>
      <c r="G4776" t="s">
        <v>78</v>
      </c>
      <c r="H4776" t="s">
        <v>2274</v>
      </c>
      <c r="I4776" t="s">
        <v>40</v>
      </c>
      <c r="J4776" s="2" t="s">
        <v>62</v>
      </c>
      <c r="K4776" t="s">
        <v>387</v>
      </c>
      <c r="L4776" t="s">
        <v>1943</v>
      </c>
      <c r="N4776" t="s">
        <v>1944</v>
      </c>
      <c r="Q4776">
        <v>27769</v>
      </c>
      <c r="R4776" t="s">
        <v>95</v>
      </c>
      <c r="S4776" t="s">
        <v>28829</v>
      </c>
      <c r="T4776">
        <v>25</v>
      </c>
      <c r="W4776" t="s">
        <v>390</v>
      </c>
      <c r="X4776" t="s">
        <v>5954</v>
      </c>
      <c r="Y4776" s="2" t="s">
        <v>28830</v>
      </c>
      <c r="Z4776" t="s">
        <v>6821</v>
      </c>
      <c r="AA4776" s="2" t="s">
        <v>28831</v>
      </c>
      <c r="AB4776" t="s">
        <v>88</v>
      </c>
      <c r="AG4776" t="s">
        <v>28832</v>
      </c>
      <c r="AH4776" t="s">
        <v>28833</v>
      </c>
      <c r="AI4776" t="s">
        <v>28834</v>
      </c>
    </row>
    <row r="4777" spans="2:35" ht="270">
      <c r="B4777" s="1">
        <v>45378</v>
      </c>
      <c r="C4777" s="4">
        <v>45378.55972222222</v>
      </c>
      <c r="D4777" t="s">
        <v>10170</v>
      </c>
      <c r="E4777" t="s">
        <v>10171</v>
      </c>
      <c r="F4777">
        <v>7</v>
      </c>
      <c r="G4777" t="s">
        <v>432</v>
      </c>
      <c r="H4777" t="s">
        <v>608</v>
      </c>
      <c r="I4777" t="s">
        <v>40</v>
      </c>
      <c r="J4777" t="s">
        <v>109</v>
      </c>
      <c r="K4777" t="s">
        <v>42</v>
      </c>
      <c r="L4777" t="s">
        <v>610</v>
      </c>
      <c r="N4777" t="s">
        <v>611</v>
      </c>
      <c r="Q4777">
        <v>27768</v>
      </c>
      <c r="R4777" t="s">
        <v>119</v>
      </c>
      <c r="S4777" t="s">
        <v>6211</v>
      </c>
      <c r="T4777">
        <v>24</v>
      </c>
      <c r="U4777" s="2" t="s">
        <v>28835</v>
      </c>
      <c r="W4777" t="s">
        <v>360</v>
      </c>
      <c r="X4777">
        <v>838534</v>
      </c>
      <c r="Y4777" t="s">
        <v>7287</v>
      </c>
      <c r="Z4777" s="2" t="s">
        <v>28836</v>
      </c>
      <c r="AA4777" s="2" t="s">
        <v>28836</v>
      </c>
      <c r="AB4777" t="s">
        <v>7886</v>
      </c>
      <c r="AG4777" t="s">
        <v>28837</v>
      </c>
      <c r="AH4777" t="s">
        <v>10175</v>
      </c>
      <c r="AI4777" t="s">
        <v>28838</v>
      </c>
    </row>
    <row r="4778" spans="2:35" ht="105">
      <c r="B4778" s="1">
        <v>45378</v>
      </c>
      <c r="C4778" s="4">
        <v>45378.385416666664</v>
      </c>
      <c r="D4778" t="s">
        <v>28839</v>
      </c>
      <c r="E4778" t="s">
        <v>11475</v>
      </c>
      <c r="F4778">
        <v>6</v>
      </c>
      <c r="G4778" t="s">
        <v>1234</v>
      </c>
      <c r="H4778" t="s">
        <v>258</v>
      </c>
      <c r="I4778" t="s">
        <v>40</v>
      </c>
      <c r="J4778" s="2" t="s">
        <v>28840</v>
      </c>
      <c r="K4778" t="s">
        <v>42</v>
      </c>
      <c r="L4778" t="s">
        <v>270</v>
      </c>
      <c r="N4778" t="s">
        <v>2481</v>
      </c>
      <c r="Q4778">
        <v>27767</v>
      </c>
      <c r="R4778" t="s">
        <v>119</v>
      </c>
      <c r="S4778" t="s">
        <v>11476</v>
      </c>
      <c r="T4778">
        <v>25</v>
      </c>
      <c r="U4778" s="2" t="s">
        <v>28841</v>
      </c>
      <c r="W4778" t="s">
        <v>360</v>
      </c>
      <c r="X4778">
        <v>838483</v>
      </c>
      <c r="Y4778" t="s">
        <v>28842</v>
      </c>
      <c r="Z4778" t="s">
        <v>3128</v>
      </c>
      <c r="AA4778" t="s">
        <v>28843</v>
      </c>
      <c r="AB4778" t="s">
        <v>4668</v>
      </c>
      <c r="AG4778" t="s">
        <v>28844</v>
      </c>
      <c r="AH4778" t="s">
        <v>11482</v>
      </c>
      <c r="AI4778" t="s">
        <v>28845</v>
      </c>
    </row>
    <row r="4779" spans="2:35" ht="345">
      <c r="B4779" s="1">
        <v>45378</v>
      </c>
      <c r="C4779" s="4">
        <v>45377.634027777778</v>
      </c>
      <c r="D4779" t="s">
        <v>4132</v>
      </c>
      <c r="E4779" t="s">
        <v>28846</v>
      </c>
      <c r="F4779" t="s">
        <v>148</v>
      </c>
      <c r="G4779" t="s">
        <v>447</v>
      </c>
      <c r="H4779" t="s">
        <v>386</v>
      </c>
      <c r="I4779" t="s">
        <v>40</v>
      </c>
      <c r="J4779" t="s">
        <v>525</v>
      </c>
      <c r="K4779" t="s">
        <v>387</v>
      </c>
      <c r="L4779" t="s">
        <v>448</v>
      </c>
      <c r="N4779" t="s">
        <v>650</v>
      </c>
      <c r="Q4779">
        <v>27766</v>
      </c>
      <c r="R4779" t="s">
        <v>322</v>
      </c>
      <c r="S4779" t="s">
        <v>4134</v>
      </c>
      <c r="T4779">
        <v>28</v>
      </c>
      <c r="W4779" t="s">
        <v>390</v>
      </c>
      <c r="X4779" t="s">
        <v>4135</v>
      </c>
      <c r="Y4779" t="s">
        <v>28847</v>
      </c>
      <c r="Z4779" s="2" t="s">
        <v>28848</v>
      </c>
      <c r="AA4779" t="s">
        <v>768</v>
      </c>
      <c r="AB4779" s="2" t="s">
        <v>28849</v>
      </c>
      <c r="AG4779" t="s">
        <v>28850</v>
      </c>
      <c r="AH4779" t="s">
        <v>4138</v>
      </c>
      <c r="AI4779" t="s">
        <v>28851</v>
      </c>
    </row>
    <row r="4780" spans="2:35" ht="255">
      <c r="B4780" s="1">
        <v>45378</v>
      </c>
      <c r="C4780" s="4">
        <v>45377.454861111109</v>
      </c>
      <c r="D4780" t="s">
        <v>5903</v>
      </c>
      <c r="E4780" t="s">
        <v>2569</v>
      </c>
      <c r="F4780" t="s">
        <v>148</v>
      </c>
      <c r="G4780" t="s">
        <v>447</v>
      </c>
      <c r="H4780" t="s">
        <v>386</v>
      </c>
      <c r="I4780" t="s">
        <v>40</v>
      </c>
      <c r="J4780" t="s">
        <v>525</v>
      </c>
      <c r="K4780" t="s">
        <v>387</v>
      </c>
      <c r="L4780" t="s">
        <v>448</v>
      </c>
      <c r="N4780" t="s">
        <v>650</v>
      </c>
      <c r="O4780" t="s">
        <v>663</v>
      </c>
      <c r="Q4780">
        <v>27765</v>
      </c>
      <c r="R4780" t="s">
        <v>322</v>
      </c>
      <c r="S4780" t="s">
        <v>9610</v>
      </c>
      <c r="T4780">
        <v>28</v>
      </c>
      <c r="W4780" t="s">
        <v>476</v>
      </c>
      <c r="X4780" t="s">
        <v>5906</v>
      </c>
      <c r="Y4780" s="2" t="s">
        <v>28852</v>
      </c>
      <c r="Z4780" s="2" t="s">
        <v>28853</v>
      </c>
      <c r="AA4780" t="s">
        <v>4487</v>
      </c>
      <c r="AB4780" s="2" t="s">
        <v>28854</v>
      </c>
      <c r="AG4780" t="s">
        <v>28855</v>
      </c>
      <c r="AH4780" t="s">
        <v>28856</v>
      </c>
      <c r="AI4780" t="s">
        <v>28857</v>
      </c>
    </row>
    <row r="4781" spans="2:35" ht="285">
      <c r="B4781" s="1">
        <v>45377</v>
      </c>
      <c r="C4781" s="4">
        <v>45377.556250000001</v>
      </c>
      <c r="D4781" t="s">
        <v>1316</v>
      </c>
      <c r="E4781" t="s">
        <v>27900</v>
      </c>
      <c r="F4781">
        <v>11</v>
      </c>
      <c r="G4781" t="s">
        <v>1205</v>
      </c>
      <c r="H4781" t="s">
        <v>1317</v>
      </c>
      <c r="I4781" t="s">
        <v>40</v>
      </c>
      <c r="J4781" s="2" t="s">
        <v>2866</v>
      </c>
      <c r="K4781" t="s">
        <v>42</v>
      </c>
      <c r="L4781" t="s">
        <v>204</v>
      </c>
      <c r="N4781" t="s">
        <v>205</v>
      </c>
      <c r="Q4781">
        <v>27764</v>
      </c>
      <c r="R4781" t="s">
        <v>322</v>
      </c>
      <c r="S4781" t="s">
        <v>1318</v>
      </c>
      <c r="T4781">
        <v>25.8</v>
      </c>
      <c r="U4781" s="2" t="s">
        <v>28858</v>
      </c>
      <c r="W4781" t="s">
        <v>24154</v>
      </c>
      <c r="X4781">
        <v>839236</v>
      </c>
      <c r="Y4781" t="s">
        <v>28859</v>
      </c>
      <c r="Z4781" t="s">
        <v>28860</v>
      </c>
      <c r="AA4781" t="s">
        <v>28861</v>
      </c>
      <c r="AB4781" t="s">
        <v>28862</v>
      </c>
      <c r="AC4781" t="s">
        <v>28863</v>
      </c>
      <c r="AG4781" t="s">
        <v>28864</v>
      </c>
      <c r="AH4781" t="s">
        <v>4442</v>
      </c>
      <c r="AI4781" t="s">
        <v>28865</v>
      </c>
    </row>
    <row r="4782" spans="2:35" ht="285">
      <c r="B4782" s="1">
        <v>45377</v>
      </c>
      <c r="C4782" s="4">
        <v>45377.554861111108</v>
      </c>
      <c r="D4782" t="s">
        <v>1316</v>
      </c>
      <c r="E4782" t="s">
        <v>27900</v>
      </c>
      <c r="F4782">
        <v>11</v>
      </c>
      <c r="G4782" t="s">
        <v>1205</v>
      </c>
      <c r="H4782" t="s">
        <v>1317</v>
      </c>
      <c r="I4782" t="s">
        <v>40</v>
      </c>
      <c r="J4782" s="2" t="s">
        <v>2866</v>
      </c>
      <c r="K4782" t="s">
        <v>42</v>
      </c>
      <c r="L4782" t="s">
        <v>204</v>
      </c>
      <c r="N4782" t="s">
        <v>205</v>
      </c>
      <c r="Q4782">
        <v>27763</v>
      </c>
      <c r="R4782" t="s">
        <v>119</v>
      </c>
      <c r="S4782" t="s">
        <v>1318</v>
      </c>
      <c r="T4782">
        <v>25.6</v>
      </c>
      <c r="U4782" s="2" t="s">
        <v>28858</v>
      </c>
      <c r="W4782" t="s">
        <v>24154</v>
      </c>
      <c r="X4782">
        <v>838262</v>
      </c>
      <c r="Y4782" t="s">
        <v>28866</v>
      </c>
      <c r="Z4782" t="s">
        <v>28867</v>
      </c>
      <c r="AA4782" t="s">
        <v>28868</v>
      </c>
      <c r="AB4782" t="s">
        <v>28869</v>
      </c>
      <c r="AG4782" t="s">
        <v>28870</v>
      </c>
      <c r="AH4782" t="s">
        <v>4442</v>
      </c>
      <c r="AI4782" t="s">
        <v>28871</v>
      </c>
    </row>
    <row r="4783" spans="2:35" ht="285">
      <c r="B4783" s="1">
        <v>45377</v>
      </c>
      <c r="C4783" s="4">
        <v>45377.556250000001</v>
      </c>
      <c r="D4783" t="s">
        <v>1316</v>
      </c>
      <c r="E4783" t="s">
        <v>27900</v>
      </c>
      <c r="F4783">
        <v>11</v>
      </c>
      <c r="G4783" t="s">
        <v>1205</v>
      </c>
      <c r="H4783" t="s">
        <v>1317</v>
      </c>
      <c r="I4783" t="s">
        <v>40</v>
      </c>
      <c r="J4783" s="2" t="s">
        <v>2866</v>
      </c>
      <c r="K4783" t="s">
        <v>42</v>
      </c>
      <c r="L4783" t="s">
        <v>204</v>
      </c>
      <c r="N4783" t="s">
        <v>205</v>
      </c>
      <c r="Q4783">
        <v>27762</v>
      </c>
      <c r="R4783" t="s">
        <v>322</v>
      </c>
      <c r="S4783" t="s">
        <v>1318</v>
      </c>
      <c r="T4783">
        <v>25.8</v>
      </c>
      <c r="U4783" s="2" t="s">
        <v>28858</v>
      </c>
      <c r="W4783" t="s">
        <v>24154</v>
      </c>
      <c r="X4783">
        <v>839236</v>
      </c>
      <c r="Y4783" t="s">
        <v>28859</v>
      </c>
      <c r="Z4783" t="s">
        <v>28860</v>
      </c>
      <c r="AA4783" t="s">
        <v>28861</v>
      </c>
      <c r="AB4783" t="s">
        <v>28862</v>
      </c>
      <c r="AC4783" t="s">
        <v>28863</v>
      </c>
      <c r="AG4783" t="s">
        <v>28872</v>
      </c>
      <c r="AH4783" t="s">
        <v>4442</v>
      </c>
      <c r="AI4783" t="s">
        <v>28873</v>
      </c>
    </row>
    <row r="4784" spans="2:35" ht="315">
      <c r="B4784" s="1">
        <v>45377</v>
      </c>
      <c r="C4784" s="4">
        <v>45377.644444444442</v>
      </c>
      <c r="D4784" t="s">
        <v>2327</v>
      </c>
      <c r="E4784" t="s">
        <v>2328</v>
      </c>
      <c r="F4784">
        <v>7</v>
      </c>
      <c r="G4784" t="s">
        <v>432</v>
      </c>
      <c r="H4784" t="s">
        <v>608</v>
      </c>
      <c r="I4784" t="s">
        <v>94</v>
      </c>
      <c r="J4784" t="s">
        <v>79</v>
      </c>
      <c r="K4784" t="s">
        <v>42</v>
      </c>
      <c r="L4784" t="s">
        <v>610</v>
      </c>
      <c r="N4784" t="s">
        <v>611</v>
      </c>
      <c r="Q4784">
        <v>27761</v>
      </c>
      <c r="R4784" t="s">
        <v>119</v>
      </c>
      <c r="S4784" t="s">
        <v>2329</v>
      </c>
      <c r="T4784">
        <v>21</v>
      </c>
      <c r="U4784" s="2" t="s">
        <v>23398</v>
      </c>
      <c r="W4784" t="s">
        <v>360</v>
      </c>
      <c r="X4784">
        <v>210009597</v>
      </c>
      <c r="Y4784" t="s">
        <v>28874</v>
      </c>
      <c r="Z4784" s="2" t="s">
        <v>28875</v>
      </c>
      <c r="AA4784" s="2" t="s">
        <v>28875</v>
      </c>
      <c r="AB4784" t="s">
        <v>1263</v>
      </c>
      <c r="AG4784" t="s">
        <v>28876</v>
      </c>
      <c r="AH4784" t="s">
        <v>2336</v>
      </c>
      <c r="AI4784" t="s">
        <v>28877</v>
      </c>
    </row>
    <row r="4785" spans="2:35" ht="409.5">
      <c r="B4785" s="1">
        <v>45377</v>
      </c>
      <c r="C4785" s="4">
        <v>45377.515972222223</v>
      </c>
      <c r="D4785" t="s">
        <v>9302</v>
      </c>
      <c r="E4785" t="s">
        <v>9465</v>
      </c>
      <c r="F4785">
        <v>3</v>
      </c>
      <c r="G4785" t="s">
        <v>730</v>
      </c>
      <c r="H4785" t="s">
        <v>39</v>
      </c>
      <c r="I4785" t="s">
        <v>94</v>
      </c>
      <c r="J4785" s="2" t="s">
        <v>62</v>
      </c>
      <c r="K4785" t="s">
        <v>42</v>
      </c>
      <c r="L4785" t="s">
        <v>135</v>
      </c>
      <c r="N4785" t="s">
        <v>136</v>
      </c>
      <c r="Q4785">
        <v>27760</v>
      </c>
      <c r="R4785" t="s">
        <v>95</v>
      </c>
      <c r="S4785" t="s">
        <v>9308</v>
      </c>
      <c r="T4785">
        <v>22</v>
      </c>
      <c r="U4785" s="2" t="s">
        <v>28878</v>
      </c>
      <c r="V4785" s="1">
        <v>45365</v>
      </c>
      <c r="W4785" t="s">
        <v>3418</v>
      </c>
      <c r="X4785">
        <v>830841</v>
      </c>
      <c r="Y4785" t="s">
        <v>1751</v>
      </c>
      <c r="Z4785" s="2" t="s">
        <v>28879</v>
      </c>
      <c r="AA4785" s="2" t="s">
        <v>28880</v>
      </c>
      <c r="AB4785" s="2" t="s">
        <v>28881</v>
      </c>
      <c r="AC4785" t="s">
        <v>28882</v>
      </c>
      <c r="AD4785" t="s">
        <v>28883</v>
      </c>
      <c r="AE4785">
        <v>97385</v>
      </c>
      <c r="AG4785" t="s">
        <v>28884</v>
      </c>
      <c r="AH4785" t="s">
        <v>13453</v>
      </c>
      <c r="AI4785" t="s">
        <v>28885</v>
      </c>
    </row>
    <row r="4786" spans="2:35" ht="409.5">
      <c r="B4786" s="1">
        <v>45377</v>
      </c>
      <c r="C4786" s="4">
        <v>45377.493750000001</v>
      </c>
      <c r="D4786" t="s">
        <v>9302</v>
      </c>
      <c r="E4786" t="s">
        <v>4102</v>
      </c>
      <c r="F4786">
        <v>3</v>
      </c>
      <c r="G4786" t="s">
        <v>730</v>
      </c>
      <c r="H4786" t="s">
        <v>39</v>
      </c>
      <c r="I4786" t="s">
        <v>94</v>
      </c>
      <c r="J4786" s="2" t="s">
        <v>62</v>
      </c>
      <c r="K4786" t="s">
        <v>42</v>
      </c>
      <c r="L4786" t="s">
        <v>135</v>
      </c>
      <c r="N4786" t="s">
        <v>136</v>
      </c>
      <c r="Q4786">
        <v>27759</v>
      </c>
      <c r="R4786" t="s">
        <v>95</v>
      </c>
      <c r="S4786" t="s">
        <v>9308</v>
      </c>
      <c r="T4786">
        <v>22</v>
      </c>
      <c r="U4786" s="2" t="s">
        <v>28878</v>
      </c>
      <c r="V4786" s="1">
        <v>45365</v>
      </c>
      <c r="W4786" t="s">
        <v>2680</v>
      </c>
      <c r="X4786">
        <v>839232</v>
      </c>
      <c r="Y4786" t="s">
        <v>1751</v>
      </c>
      <c r="Z4786" s="2" t="s">
        <v>28886</v>
      </c>
      <c r="AA4786" s="2" t="s">
        <v>28887</v>
      </c>
      <c r="AB4786" s="2" t="s">
        <v>28888</v>
      </c>
      <c r="AC4786" t="s">
        <v>7237</v>
      </c>
      <c r="AD4786" t="s">
        <v>26369</v>
      </c>
      <c r="AE4786">
        <v>97335</v>
      </c>
      <c r="AG4786" t="s">
        <v>28889</v>
      </c>
      <c r="AH4786" t="s">
        <v>13453</v>
      </c>
      <c r="AI4786" t="s">
        <v>28890</v>
      </c>
    </row>
    <row r="4787" spans="2:35" ht="409.5">
      <c r="B4787" s="1">
        <v>45377</v>
      </c>
      <c r="C4787" s="4">
        <v>45377.495138888888</v>
      </c>
      <c r="D4787" t="s">
        <v>12198</v>
      </c>
      <c r="E4787" t="s">
        <v>28891</v>
      </c>
      <c r="F4787" t="s">
        <v>148</v>
      </c>
      <c r="G4787" t="s">
        <v>310</v>
      </c>
      <c r="H4787" t="s">
        <v>295</v>
      </c>
      <c r="I4787" t="s">
        <v>40</v>
      </c>
      <c r="J4787" t="s">
        <v>109</v>
      </c>
      <c r="K4787" t="s">
        <v>42</v>
      </c>
      <c r="L4787" t="s">
        <v>1943</v>
      </c>
      <c r="N4787" t="s">
        <v>1944</v>
      </c>
      <c r="Q4787">
        <v>27758</v>
      </c>
      <c r="R4787" t="s">
        <v>95</v>
      </c>
      <c r="S4787" t="s">
        <v>894</v>
      </c>
      <c r="T4787">
        <v>25</v>
      </c>
      <c r="W4787" t="s">
        <v>895</v>
      </c>
      <c r="X4787">
        <v>844975</v>
      </c>
      <c r="Y4787" t="s">
        <v>18216</v>
      </c>
      <c r="Z4787" t="s">
        <v>1548</v>
      </c>
      <c r="AA4787" s="2" t="s">
        <v>2101</v>
      </c>
      <c r="AB4787" t="s">
        <v>88</v>
      </c>
      <c r="AG4787" t="s">
        <v>28892</v>
      </c>
      <c r="AH4787" t="s">
        <v>15152</v>
      </c>
      <c r="AI4787" t="s">
        <v>28893</v>
      </c>
    </row>
    <row r="4788" spans="2:35" ht="105">
      <c r="B4788" s="1">
        <v>45377</v>
      </c>
      <c r="C4788" s="4">
        <v>45377.441666666666</v>
      </c>
      <c r="D4788" t="s">
        <v>16716</v>
      </c>
      <c r="E4788" t="s">
        <v>1128</v>
      </c>
      <c r="F4788">
        <v>8</v>
      </c>
      <c r="G4788" t="s">
        <v>342</v>
      </c>
      <c r="H4788" t="s">
        <v>202</v>
      </c>
      <c r="I4788" t="s">
        <v>40</v>
      </c>
      <c r="J4788" s="2" t="s">
        <v>62</v>
      </c>
      <c r="K4788" t="s">
        <v>42</v>
      </c>
      <c r="L4788" t="s">
        <v>259</v>
      </c>
      <c r="N4788" t="s">
        <v>260</v>
      </c>
      <c r="Q4788">
        <v>27757</v>
      </c>
      <c r="R4788" t="s">
        <v>119</v>
      </c>
      <c r="S4788" t="s">
        <v>28894</v>
      </c>
      <c r="T4788">
        <v>24</v>
      </c>
      <c r="U4788" s="2" t="s">
        <v>28895</v>
      </c>
      <c r="V4788" s="1">
        <v>45377</v>
      </c>
      <c r="W4788" t="s">
        <v>84</v>
      </c>
      <c r="X4788">
        <v>838421</v>
      </c>
      <c r="Y4788" t="s">
        <v>21236</v>
      </c>
      <c r="Z4788" t="e">
        <f ca="1">- Preventive Maintenance
- CALIBRATION</f>
        <v>#NAME?</v>
      </c>
      <c r="AA4788" t="e">
        <f ca="1">- Preventive Maintenance
- performed XpertCheck on B3/210005379
- performed functionality test
- Generate reports</f>
        <v>#NAME?</v>
      </c>
      <c r="AB4788" t="e">
        <f ca="1">-Unit is operational
- module B2 disabled (waiting _xludf.For module Replacement)</f>
        <v>#NAME?</v>
      </c>
      <c r="AD4788" t="s">
        <v>28896</v>
      </c>
      <c r="AE4788" t="s">
        <v>119</v>
      </c>
      <c r="AG4788" t="s">
        <v>28897</v>
      </c>
      <c r="AH4788" t="s">
        <v>28378</v>
      </c>
      <c r="AI4788" t="s">
        <v>28898</v>
      </c>
    </row>
    <row r="4789" spans="2:35" ht="315">
      <c r="B4789" s="1">
        <v>45377</v>
      </c>
      <c r="C4789" s="4">
        <v>45377.427777777775</v>
      </c>
      <c r="D4789" t="s">
        <v>28899</v>
      </c>
      <c r="E4789" t="s">
        <v>28900</v>
      </c>
      <c r="F4789">
        <v>3</v>
      </c>
      <c r="G4789" t="s">
        <v>730</v>
      </c>
      <c r="H4789" t="s">
        <v>39</v>
      </c>
      <c r="I4789" t="s">
        <v>40</v>
      </c>
      <c r="J4789" t="s">
        <v>109</v>
      </c>
      <c r="K4789" t="s">
        <v>42</v>
      </c>
      <c r="L4789" t="s">
        <v>135</v>
      </c>
      <c r="N4789" t="s">
        <v>136</v>
      </c>
      <c r="Q4789">
        <v>27756</v>
      </c>
      <c r="R4789" t="s">
        <v>119</v>
      </c>
      <c r="S4789" t="s">
        <v>24884</v>
      </c>
      <c r="T4789">
        <v>30</v>
      </c>
      <c r="U4789" s="2" t="s">
        <v>9656</v>
      </c>
      <c r="W4789" t="s">
        <v>2680</v>
      </c>
      <c r="X4789">
        <v>831693</v>
      </c>
      <c r="Y4789" s="2" t="s">
        <v>28901</v>
      </c>
      <c r="Z4789" s="2" t="s">
        <v>28902</v>
      </c>
      <c r="AA4789" s="2" t="s">
        <v>28903</v>
      </c>
      <c r="AB4789" t="s">
        <v>181</v>
      </c>
      <c r="AG4789" t="s">
        <v>28904</v>
      </c>
      <c r="AH4789" t="s">
        <v>28905</v>
      </c>
      <c r="AI4789" t="s">
        <v>28906</v>
      </c>
    </row>
    <row r="4790" spans="2:35" ht="135">
      <c r="B4790" s="1">
        <v>45376</v>
      </c>
      <c r="C4790" s="4">
        <v>45376.527083333334</v>
      </c>
      <c r="D4790" t="s">
        <v>8654</v>
      </c>
      <c r="E4790" t="s">
        <v>8655</v>
      </c>
      <c r="F4790">
        <v>8</v>
      </c>
      <c r="G4790" t="s">
        <v>342</v>
      </c>
      <c r="H4790" t="s">
        <v>202</v>
      </c>
      <c r="I4790" t="s">
        <v>40</v>
      </c>
      <c r="J4790" t="s">
        <v>109</v>
      </c>
      <c r="K4790" t="s">
        <v>42</v>
      </c>
      <c r="L4790" t="s">
        <v>259</v>
      </c>
      <c r="N4790" t="s">
        <v>260</v>
      </c>
      <c r="Q4790">
        <v>27755</v>
      </c>
      <c r="R4790" t="s">
        <v>119</v>
      </c>
      <c r="S4790" t="s">
        <v>28260</v>
      </c>
      <c r="T4790">
        <v>26</v>
      </c>
      <c r="U4790" s="2" t="s">
        <v>12916</v>
      </c>
      <c r="V4790" s="1">
        <v>45376</v>
      </c>
      <c r="W4790" t="s">
        <v>84</v>
      </c>
      <c r="X4790">
        <v>838409</v>
      </c>
      <c r="Y4790" t="s">
        <v>263</v>
      </c>
      <c r="Z4790" t="e">
        <f ca="1">- Preventive Maintenance</f>
        <v>#NAME?</v>
      </c>
      <c r="AA4790" t="e">
        <f ca="1">- Preventive Maintenance (cleaned cartridge bay, plunger rod, FAN _xludf.filter)
- performed functionality test
- Generate reports</f>
        <v>#NAME?</v>
      </c>
      <c r="AB4790" s="2" t="s">
        <v>28907</v>
      </c>
      <c r="AG4790" t="s">
        <v>28908</v>
      </c>
      <c r="AH4790" t="s">
        <v>20076</v>
      </c>
      <c r="AI4790" t="s">
        <v>28909</v>
      </c>
    </row>
    <row r="4791" spans="2:35" ht="210">
      <c r="B4791" s="1">
        <v>45376</v>
      </c>
      <c r="C4791" s="4">
        <v>45372.380555555559</v>
      </c>
      <c r="D4791" t="s">
        <v>1541</v>
      </c>
      <c r="E4791" t="s">
        <v>28910</v>
      </c>
      <c r="F4791" t="s">
        <v>148</v>
      </c>
      <c r="G4791" t="s">
        <v>310</v>
      </c>
      <c r="H4791" t="s">
        <v>39</v>
      </c>
      <c r="I4791" t="s">
        <v>40</v>
      </c>
      <c r="J4791" t="s">
        <v>109</v>
      </c>
      <c r="K4791" t="s">
        <v>42</v>
      </c>
      <c r="L4791" t="s">
        <v>1028</v>
      </c>
      <c r="N4791" t="s">
        <v>1029</v>
      </c>
      <c r="Q4791">
        <v>27753</v>
      </c>
      <c r="R4791" t="s">
        <v>322</v>
      </c>
      <c r="S4791" t="s">
        <v>1545</v>
      </c>
      <c r="T4791">
        <v>24</v>
      </c>
      <c r="U4791" s="2" t="s">
        <v>28911</v>
      </c>
      <c r="W4791" t="s">
        <v>1032</v>
      </c>
      <c r="X4791">
        <v>848262</v>
      </c>
      <c r="Y4791" t="s">
        <v>3127</v>
      </c>
      <c r="Z4791" t="s">
        <v>3128</v>
      </c>
      <c r="AA4791" s="2" t="s">
        <v>28912</v>
      </c>
      <c r="AB4791" t="s">
        <v>28913</v>
      </c>
      <c r="AG4791" t="s">
        <v>28914</v>
      </c>
      <c r="AH4791" t="s">
        <v>1552</v>
      </c>
      <c r="AI4791" t="s">
        <v>28915</v>
      </c>
    </row>
    <row r="4792" spans="2:35" ht="255">
      <c r="B4792" s="1">
        <v>45376</v>
      </c>
      <c r="C4792" s="4">
        <v>45371.594444444447</v>
      </c>
      <c r="D4792" t="s">
        <v>24718</v>
      </c>
      <c r="E4792" t="s">
        <v>28916</v>
      </c>
      <c r="F4792" t="s">
        <v>37</v>
      </c>
      <c r="G4792" t="s">
        <v>189</v>
      </c>
      <c r="H4792" t="s">
        <v>39</v>
      </c>
      <c r="I4792" t="s">
        <v>40</v>
      </c>
      <c r="J4792" s="2" t="s">
        <v>190</v>
      </c>
      <c r="K4792" t="s">
        <v>42</v>
      </c>
      <c r="L4792" t="s">
        <v>1028</v>
      </c>
      <c r="N4792" t="s">
        <v>1029</v>
      </c>
      <c r="Q4792">
        <v>27754</v>
      </c>
      <c r="R4792" t="s">
        <v>119</v>
      </c>
      <c r="S4792" t="s">
        <v>27386</v>
      </c>
      <c r="T4792">
        <v>27</v>
      </c>
      <c r="U4792" s="2" t="s">
        <v>28917</v>
      </c>
      <c r="W4792" t="s">
        <v>1967</v>
      </c>
      <c r="X4792">
        <v>821300</v>
      </c>
      <c r="Y4792" t="s">
        <v>28918</v>
      </c>
      <c r="Z4792" t="s">
        <v>21244</v>
      </c>
      <c r="AA4792" s="2" t="s">
        <v>28919</v>
      </c>
      <c r="AB4792" t="s">
        <v>28920</v>
      </c>
      <c r="AC4792" t="s">
        <v>28921</v>
      </c>
      <c r="AG4792" t="s">
        <v>28922</v>
      </c>
      <c r="AH4792" t="s">
        <v>28923</v>
      </c>
      <c r="AI4792" t="s">
        <v>28924</v>
      </c>
    </row>
    <row r="4793" spans="2:35" ht="195">
      <c r="B4793" s="1">
        <v>45376</v>
      </c>
      <c r="C4793" s="4">
        <v>45373.621527777781</v>
      </c>
      <c r="D4793" t="s">
        <v>28246</v>
      </c>
      <c r="E4793" t="s">
        <v>9436</v>
      </c>
      <c r="F4793" t="s">
        <v>148</v>
      </c>
      <c r="G4793" t="s">
        <v>230</v>
      </c>
      <c r="H4793" t="s">
        <v>39</v>
      </c>
      <c r="I4793" t="s">
        <v>40</v>
      </c>
      <c r="J4793" s="2" t="s">
        <v>62</v>
      </c>
      <c r="K4793" t="s">
        <v>42</v>
      </c>
      <c r="L4793" t="s">
        <v>175</v>
      </c>
      <c r="N4793" t="s">
        <v>176</v>
      </c>
      <c r="Q4793">
        <v>27752</v>
      </c>
      <c r="R4793" t="s">
        <v>703</v>
      </c>
      <c r="S4793" t="s">
        <v>28247</v>
      </c>
      <c r="T4793">
        <v>25</v>
      </c>
      <c r="U4793" s="2" t="s">
        <v>28248</v>
      </c>
      <c r="V4793" s="1">
        <v>45358</v>
      </c>
      <c r="W4793" t="s">
        <v>423</v>
      </c>
      <c r="X4793">
        <v>110018312</v>
      </c>
      <c r="Y4793" t="s">
        <v>998</v>
      </c>
      <c r="Z4793" t="s">
        <v>999</v>
      </c>
      <c r="AA4793" t="e">
        <f ca="1">- checked _xludf.and cleaned cartridge bay, plunger rod, _xludf.filter, icore slot
- performed XpertCheck
- generated reports</f>
        <v>#NAME?</v>
      </c>
      <c r="AB4793" s="2" t="s">
        <v>3143</v>
      </c>
      <c r="AD4793" t="s">
        <v>7189</v>
      </c>
      <c r="AE4793">
        <v>11269</v>
      </c>
      <c r="AG4793" t="s">
        <v>28925</v>
      </c>
      <c r="AH4793" t="s">
        <v>28127</v>
      </c>
      <c r="AI4793" t="s">
        <v>28926</v>
      </c>
    </row>
    <row r="4794" spans="2:35" ht="195">
      <c r="B4794" s="1">
        <v>45376</v>
      </c>
      <c r="C4794" s="4">
        <v>45373.474999999999</v>
      </c>
      <c r="D4794" t="s">
        <v>3679</v>
      </c>
      <c r="E4794" t="s">
        <v>2177</v>
      </c>
      <c r="F4794" t="s">
        <v>148</v>
      </c>
      <c r="G4794" t="s">
        <v>447</v>
      </c>
      <c r="H4794" t="s">
        <v>662</v>
      </c>
      <c r="I4794" t="s">
        <v>40</v>
      </c>
      <c r="J4794" t="s">
        <v>109</v>
      </c>
      <c r="K4794" t="s">
        <v>42</v>
      </c>
      <c r="L4794" t="s">
        <v>448</v>
      </c>
      <c r="N4794" t="s">
        <v>650</v>
      </c>
      <c r="Q4794">
        <v>27751</v>
      </c>
      <c r="R4794" t="s">
        <v>322</v>
      </c>
      <c r="S4794" t="s">
        <v>3680</v>
      </c>
      <c r="T4794">
        <v>26</v>
      </c>
      <c r="U4794" s="2" t="s">
        <v>28927</v>
      </c>
      <c r="W4794" t="s">
        <v>6785</v>
      </c>
      <c r="X4794">
        <v>838655</v>
      </c>
      <c r="Y4794" t="s">
        <v>485</v>
      </c>
      <c r="Z4794" s="2" t="s">
        <v>2011</v>
      </c>
      <c r="AA4794" t="s">
        <v>6997</v>
      </c>
      <c r="AB4794" t="s">
        <v>486</v>
      </c>
      <c r="AG4794" t="s">
        <v>28928</v>
      </c>
      <c r="AH4794" t="s">
        <v>28929</v>
      </c>
      <c r="AI4794" t="s">
        <v>28930</v>
      </c>
    </row>
    <row r="4795" spans="2:35" ht="240">
      <c r="B4795" s="1">
        <v>45376</v>
      </c>
      <c r="C4795" s="4">
        <v>45373.426388888889</v>
      </c>
      <c r="D4795" t="s">
        <v>2176</v>
      </c>
      <c r="E4795" t="s">
        <v>2177</v>
      </c>
      <c r="F4795" t="s">
        <v>148</v>
      </c>
      <c r="G4795" t="s">
        <v>447</v>
      </c>
      <c r="H4795" t="s">
        <v>2581</v>
      </c>
      <c r="I4795" t="s">
        <v>40</v>
      </c>
      <c r="J4795" s="2" t="s">
        <v>62</v>
      </c>
      <c r="K4795" t="s">
        <v>42</v>
      </c>
      <c r="L4795" t="s">
        <v>448</v>
      </c>
      <c r="N4795" t="s">
        <v>650</v>
      </c>
      <c r="O4795" t="s">
        <v>4140</v>
      </c>
      <c r="Q4795">
        <v>27750</v>
      </c>
      <c r="R4795" t="s">
        <v>322</v>
      </c>
      <c r="S4795" t="s">
        <v>2582</v>
      </c>
      <c r="T4795">
        <v>26</v>
      </c>
      <c r="U4795" s="2" t="s">
        <v>8344</v>
      </c>
      <c r="V4795" s="1">
        <v>45373</v>
      </c>
      <c r="W4795" t="s">
        <v>27867</v>
      </c>
      <c r="X4795">
        <v>110014085</v>
      </c>
      <c r="Y4795" t="s">
        <v>873</v>
      </c>
      <c r="Z4795" s="2" t="s">
        <v>3071</v>
      </c>
      <c r="AA4795" t="s">
        <v>24030</v>
      </c>
      <c r="AB4795" t="s">
        <v>28931</v>
      </c>
      <c r="AD4795" t="s">
        <v>11518</v>
      </c>
      <c r="AE4795" t="s">
        <v>449</v>
      </c>
      <c r="AG4795" t="s">
        <v>28932</v>
      </c>
      <c r="AH4795" t="s">
        <v>15742</v>
      </c>
      <c r="AI4795" t="s">
        <v>28933</v>
      </c>
    </row>
    <row r="4796" spans="2:35" ht="255">
      <c r="B4796" s="1">
        <v>45376</v>
      </c>
      <c r="C4796" s="4">
        <v>45373.393750000003</v>
      </c>
      <c r="D4796" t="s">
        <v>2176</v>
      </c>
      <c r="E4796" t="s">
        <v>2177</v>
      </c>
      <c r="F4796" t="s">
        <v>148</v>
      </c>
      <c r="G4796" t="s">
        <v>447</v>
      </c>
      <c r="H4796" t="s">
        <v>662</v>
      </c>
      <c r="I4796" t="s">
        <v>40</v>
      </c>
      <c r="J4796" s="2" t="s">
        <v>62</v>
      </c>
      <c r="K4796" t="s">
        <v>42</v>
      </c>
      <c r="L4796" t="s">
        <v>448</v>
      </c>
      <c r="N4796" t="s">
        <v>650</v>
      </c>
      <c r="O4796" t="s">
        <v>4140</v>
      </c>
      <c r="Q4796">
        <v>27749</v>
      </c>
      <c r="R4796" t="s">
        <v>322</v>
      </c>
      <c r="S4796" t="s">
        <v>28934</v>
      </c>
      <c r="T4796">
        <v>27</v>
      </c>
      <c r="U4796" s="2" t="s">
        <v>28935</v>
      </c>
      <c r="V4796" s="1">
        <v>45373</v>
      </c>
      <c r="W4796" t="s">
        <v>27867</v>
      </c>
      <c r="X4796">
        <v>110016781</v>
      </c>
      <c r="Y4796" t="s">
        <v>6494</v>
      </c>
      <c r="Z4796" s="2" t="s">
        <v>3071</v>
      </c>
      <c r="AA4796" t="s">
        <v>28936</v>
      </c>
      <c r="AB4796" t="s">
        <v>28937</v>
      </c>
      <c r="AD4796" t="s">
        <v>3628</v>
      </c>
      <c r="AE4796" t="s">
        <v>449</v>
      </c>
      <c r="AG4796" t="s">
        <v>28938</v>
      </c>
      <c r="AH4796" t="s">
        <v>6807</v>
      </c>
      <c r="AI4796" t="s">
        <v>28939</v>
      </c>
    </row>
    <row r="4797" spans="2:35" ht="315">
      <c r="B4797" s="1">
        <v>45374</v>
      </c>
      <c r="C4797" s="4">
        <v>45373.556944444441</v>
      </c>
      <c r="D4797" t="s">
        <v>28711</v>
      </c>
      <c r="E4797" t="s">
        <v>28712</v>
      </c>
      <c r="F4797" t="s">
        <v>37</v>
      </c>
      <c r="G4797" t="s">
        <v>38</v>
      </c>
      <c r="H4797" t="s">
        <v>39</v>
      </c>
      <c r="I4797" t="s">
        <v>40</v>
      </c>
      <c r="J4797" t="s">
        <v>109</v>
      </c>
      <c r="K4797" t="s">
        <v>42</v>
      </c>
      <c r="L4797" t="s">
        <v>43</v>
      </c>
      <c r="N4797" t="s">
        <v>44</v>
      </c>
      <c r="Q4797">
        <v>27748</v>
      </c>
      <c r="R4797" t="s">
        <v>119</v>
      </c>
      <c r="S4797" t="s">
        <v>28713</v>
      </c>
      <c r="T4797">
        <v>20</v>
      </c>
      <c r="U4797" s="2" t="s">
        <v>14200</v>
      </c>
      <c r="W4797" t="s">
        <v>48</v>
      </c>
      <c r="X4797">
        <v>831896</v>
      </c>
      <c r="Y4797" t="s">
        <v>121</v>
      </c>
      <c r="Z4797" t="s">
        <v>122</v>
      </c>
      <c r="AA4797" s="2" t="s">
        <v>27734</v>
      </c>
      <c r="AB4797" t="s">
        <v>16412</v>
      </c>
      <c r="AG4797" t="s">
        <v>28940</v>
      </c>
      <c r="AH4797" t="s">
        <v>28715</v>
      </c>
      <c r="AI4797" t="s">
        <v>28941</v>
      </c>
    </row>
    <row r="4798" spans="2:35" ht="390">
      <c r="B4798" s="1">
        <v>45374</v>
      </c>
      <c r="C4798" s="4">
        <v>45372.554861111108</v>
      </c>
      <c r="D4798" t="s">
        <v>2510</v>
      </c>
      <c r="E4798" t="s">
        <v>28702</v>
      </c>
      <c r="F4798" t="s">
        <v>37</v>
      </c>
      <c r="G4798" t="s">
        <v>2499</v>
      </c>
      <c r="H4798" t="s">
        <v>39</v>
      </c>
      <c r="I4798" t="s">
        <v>40</v>
      </c>
      <c r="J4798" s="2" t="s">
        <v>41</v>
      </c>
      <c r="K4798" t="s">
        <v>42</v>
      </c>
      <c r="L4798" t="s">
        <v>43</v>
      </c>
      <c r="N4798" t="s">
        <v>44</v>
      </c>
      <c r="Q4798">
        <v>27747</v>
      </c>
      <c r="R4798" t="s">
        <v>119</v>
      </c>
      <c r="S4798" t="s">
        <v>28703</v>
      </c>
      <c r="T4798">
        <v>19</v>
      </c>
      <c r="U4798" s="2" t="s">
        <v>28704</v>
      </c>
      <c r="W4798" t="s">
        <v>48</v>
      </c>
      <c r="X4798">
        <v>831890</v>
      </c>
      <c r="Y4798" t="s">
        <v>28705</v>
      </c>
      <c r="Z4798" t="s">
        <v>28706</v>
      </c>
      <c r="AA4798" s="2" t="s">
        <v>28707</v>
      </c>
      <c r="AB4798" t="s">
        <v>28708</v>
      </c>
      <c r="AG4798" t="s">
        <v>28942</v>
      </c>
      <c r="AH4798" t="s">
        <v>2518</v>
      </c>
      <c r="AI4798" t="s">
        <v>28943</v>
      </c>
    </row>
    <row r="4799" spans="2:35" ht="105">
      <c r="B4799" s="1">
        <v>45373</v>
      </c>
      <c r="C4799" s="4">
        <v>45373.575694444444</v>
      </c>
      <c r="D4799" t="s">
        <v>702</v>
      </c>
      <c r="E4799" t="s">
        <v>229</v>
      </c>
      <c r="F4799" t="s">
        <v>148</v>
      </c>
      <c r="G4799" t="s">
        <v>230</v>
      </c>
      <c r="H4799" t="s">
        <v>39</v>
      </c>
      <c r="I4799" t="s">
        <v>40</v>
      </c>
      <c r="J4799" s="2" t="s">
        <v>62</v>
      </c>
      <c r="K4799" t="s">
        <v>42</v>
      </c>
      <c r="L4799" t="s">
        <v>175</v>
      </c>
      <c r="N4799" t="s">
        <v>176</v>
      </c>
      <c r="Q4799">
        <v>27746</v>
      </c>
      <c r="R4799" t="s">
        <v>703</v>
      </c>
      <c r="S4799" t="s">
        <v>14488</v>
      </c>
      <c r="T4799">
        <v>25</v>
      </c>
      <c r="U4799" s="2" t="s">
        <v>28944</v>
      </c>
      <c r="V4799" s="1">
        <v>45356</v>
      </c>
      <c r="W4799" t="s">
        <v>84</v>
      </c>
      <c r="X4799">
        <v>110008420</v>
      </c>
      <c r="Y4799" t="s">
        <v>998</v>
      </c>
      <c r="Z4799" t="s">
        <v>999</v>
      </c>
      <c r="AA4799" t="e">
        <f ca="1">- checked _xludf.and cleaned cartridge bay, plunger rod, _xludf.filter, icore slot
- performed XpertCheck
- generated reports</f>
        <v>#NAME?</v>
      </c>
      <c r="AB4799" s="2" t="s">
        <v>3143</v>
      </c>
      <c r="AD4799" t="s">
        <v>7189</v>
      </c>
      <c r="AE4799">
        <v>11259</v>
      </c>
      <c r="AG4799" t="s">
        <v>28945</v>
      </c>
      <c r="AH4799" t="s">
        <v>21204</v>
      </c>
      <c r="AI4799" t="s">
        <v>28946</v>
      </c>
    </row>
    <row r="4800" spans="2:35" ht="120">
      <c r="B4800" s="1">
        <v>45373</v>
      </c>
      <c r="C4800" s="4">
        <v>45372.600694444445</v>
      </c>
      <c r="D4800" t="s">
        <v>28161</v>
      </c>
      <c r="E4800" t="s">
        <v>582</v>
      </c>
      <c r="F4800" t="s">
        <v>148</v>
      </c>
      <c r="G4800" t="s">
        <v>447</v>
      </c>
      <c r="H4800" t="s">
        <v>513</v>
      </c>
      <c r="I4800" t="s">
        <v>40</v>
      </c>
      <c r="J4800" s="2" t="s">
        <v>62</v>
      </c>
      <c r="K4800" t="s">
        <v>387</v>
      </c>
      <c r="L4800" t="s">
        <v>175</v>
      </c>
      <c r="N4800" t="s">
        <v>176</v>
      </c>
      <c r="Q4800">
        <v>27745</v>
      </c>
      <c r="R4800" t="s">
        <v>322</v>
      </c>
      <c r="S4800" t="s">
        <v>18864</v>
      </c>
      <c r="T4800">
        <v>25</v>
      </c>
      <c r="W4800" t="s">
        <v>390</v>
      </c>
      <c r="X4800" t="s">
        <v>4307</v>
      </c>
      <c r="Y4800" t="s">
        <v>24338</v>
      </c>
      <c r="Z4800" t="s">
        <v>5230</v>
      </c>
      <c r="AA4800" t="e">
        <f ca="1">- checked CALIBRATION parameters
- checked rotor roller pumps
- performed functionality test
- performed self test</f>
        <v>#NAME?</v>
      </c>
      <c r="AB4800" s="2" t="s">
        <v>28162</v>
      </c>
      <c r="AG4800" t="s">
        <v>28947</v>
      </c>
      <c r="AH4800" t="s">
        <v>13235</v>
      </c>
      <c r="AI4800" t="s">
        <v>28948</v>
      </c>
    </row>
    <row r="4801" spans="2:35" ht="409.5">
      <c r="B4801" s="1">
        <v>45373</v>
      </c>
      <c r="C4801" s="4">
        <v>45372.566666666666</v>
      </c>
      <c r="D4801" t="s">
        <v>28161</v>
      </c>
      <c r="E4801" t="s">
        <v>582</v>
      </c>
      <c r="F4801" t="s">
        <v>148</v>
      </c>
      <c r="G4801" t="s">
        <v>447</v>
      </c>
      <c r="H4801" t="s">
        <v>39</v>
      </c>
      <c r="I4801" t="s">
        <v>40</v>
      </c>
      <c r="J4801" s="2" t="s">
        <v>62</v>
      </c>
      <c r="K4801" t="s">
        <v>42</v>
      </c>
      <c r="L4801" t="s">
        <v>175</v>
      </c>
      <c r="N4801" t="s">
        <v>176</v>
      </c>
      <c r="Q4801">
        <v>27744</v>
      </c>
      <c r="R4801" t="s">
        <v>703</v>
      </c>
      <c r="S4801" t="s">
        <v>6472</v>
      </c>
      <c r="T4801">
        <v>25</v>
      </c>
      <c r="U4801" s="2" t="s">
        <v>28170</v>
      </c>
      <c r="V4801" s="1">
        <v>45358</v>
      </c>
      <c r="W4801" t="s">
        <v>84</v>
      </c>
      <c r="X4801">
        <v>847578</v>
      </c>
      <c r="Y4801" t="s">
        <v>998</v>
      </c>
      <c r="Z4801" t="s">
        <v>999</v>
      </c>
      <c r="AA4801" t="e">
        <f ca="1">- checked _xludf.and cleaned cartridge bay, plunger rod, _xludf.filter, icore slot
- performed XpertCheck
- generated reports
- performed self-test</f>
        <v>#NAME?</v>
      </c>
      <c r="AB4801" s="2" t="s">
        <v>3237</v>
      </c>
      <c r="AD4801" s="2" t="s">
        <v>24339</v>
      </c>
      <c r="AE4801">
        <v>11273</v>
      </c>
      <c r="AG4801" t="s">
        <v>28949</v>
      </c>
      <c r="AH4801" t="s">
        <v>3332</v>
      </c>
      <c r="AI4801" t="s">
        <v>28950</v>
      </c>
    </row>
    <row r="4802" spans="2:35" ht="285">
      <c r="B4802" s="1">
        <v>45373</v>
      </c>
      <c r="C4802" s="4">
        <v>45373.504861111112</v>
      </c>
      <c r="D4802" t="s">
        <v>7465</v>
      </c>
      <c r="E4802" t="s">
        <v>7466</v>
      </c>
      <c r="F4802">
        <v>8</v>
      </c>
      <c r="G4802" t="s">
        <v>342</v>
      </c>
      <c r="H4802" t="s">
        <v>28951</v>
      </c>
      <c r="I4802" t="s">
        <v>40</v>
      </c>
      <c r="J4802" t="s">
        <v>109</v>
      </c>
      <c r="K4802" t="s">
        <v>42</v>
      </c>
      <c r="L4802" t="s">
        <v>259</v>
      </c>
      <c r="N4802" t="s">
        <v>260</v>
      </c>
      <c r="Q4802">
        <v>27743</v>
      </c>
      <c r="R4802" t="s">
        <v>119</v>
      </c>
      <c r="S4802" t="s">
        <v>16053</v>
      </c>
      <c r="T4802">
        <v>27</v>
      </c>
      <c r="U4802" s="2" t="s">
        <v>24976</v>
      </c>
      <c r="V4802" s="1">
        <v>45373</v>
      </c>
      <c r="W4802" t="s">
        <v>28952</v>
      </c>
      <c r="X4802">
        <v>862127</v>
      </c>
      <c r="Y4802" t="s">
        <v>263</v>
      </c>
      <c r="Z4802" t="s">
        <v>263</v>
      </c>
      <c r="AA4802" s="2" t="s">
        <v>28953</v>
      </c>
      <c r="AB4802" t="s">
        <v>7445</v>
      </c>
      <c r="AG4802" t="s">
        <v>28954</v>
      </c>
      <c r="AH4802" t="s">
        <v>7469</v>
      </c>
      <c r="AI4802" t="s">
        <v>28955</v>
      </c>
    </row>
    <row r="4803" spans="2:35" ht="270">
      <c r="B4803" s="1">
        <v>45372</v>
      </c>
      <c r="C4803" s="4">
        <v>45372.609722222223</v>
      </c>
      <c r="D4803" t="s">
        <v>8986</v>
      </c>
      <c r="E4803" t="s">
        <v>28956</v>
      </c>
      <c r="F4803" t="s">
        <v>148</v>
      </c>
      <c r="G4803" t="s">
        <v>310</v>
      </c>
      <c r="H4803" t="s">
        <v>39</v>
      </c>
      <c r="I4803" t="s">
        <v>40</v>
      </c>
      <c r="J4803" s="2" t="s">
        <v>62</v>
      </c>
      <c r="K4803" t="s">
        <v>42</v>
      </c>
      <c r="L4803" t="s">
        <v>27431</v>
      </c>
      <c r="N4803" t="s">
        <v>27432</v>
      </c>
      <c r="Q4803">
        <v>27742</v>
      </c>
      <c r="R4803" t="s">
        <v>703</v>
      </c>
      <c r="S4803" t="s">
        <v>942</v>
      </c>
      <c r="T4803">
        <v>20</v>
      </c>
      <c r="U4803" s="2" t="s">
        <v>28957</v>
      </c>
      <c r="V4803" s="1">
        <v>45357</v>
      </c>
      <c r="W4803" t="s">
        <v>27435</v>
      </c>
      <c r="X4803">
        <v>110000711</v>
      </c>
      <c r="Y4803" t="s">
        <v>28958</v>
      </c>
      <c r="Z4803" s="2" t="s">
        <v>28959</v>
      </c>
      <c r="AA4803" s="2" t="s">
        <v>28960</v>
      </c>
      <c r="AB4803" t="s">
        <v>181</v>
      </c>
      <c r="AC4803" t="s">
        <v>28961</v>
      </c>
      <c r="AD4803" t="s">
        <v>8449</v>
      </c>
      <c r="AE4803">
        <v>11265</v>
      </c>
      <c r="AG4803" t="s">
        <v>28962</v>
      </c>
      <c r="AH4803" t="s">
        <v>28963</v>
      </c>
      <c r="AI4803" t="s">
        <v>28964</v>
      </c>
    </row>
    <row r="4804" spans="2:35" ht="105">
      <c r="B4804" s="1">
        <v>45372</v>
      </c>
      <c r="C4804" s="4">
        <v>45372.491666666669</v>
      </c>
      <c r="D4804" t="s">
        <v>340</v>
      </c>
      <c r="E4804" t="s">
        <v>28965</v>
      </c>
      <c r="F4804">
        <v>8</v>
      </c>
      <c r="G4804" t="s">
        <v>342</v>
      </c>
      <c r="H4804" t="s">
        <v>202</v>
      </c>
      <c r="I4804" t="s">
        <v>40</v>
      </c>
      <c r="J4804" t="s">
        <v>109</v>
      </c>
      <c r="K4804" t="s">
        <v>42</v>
      </c>
      <c r="L4804" t="s">
        <v>259</v>
      </c>
      <c r="N4804" t="s">
        <v>260</v>
      </c>
      <c r="Q4804">
        <v>27741</v>
      </c>
      <c r="R4804" t="s">
        <v>119</v>
      </c>
      <c r="S4804" t="s">
        <v>27277</v>
      </c>
      <c r="T4804">
        <v>18</v>
      </c>
      <c r="U4804" s="2" t="s">
        <v>12359</v>
      </c>
      <c r="V4804" s="1">
        <v>45372</v>
      </c>
      <c r="W4804" t="s">
        <v>28952</v>
      </c>
      <c r="X4804">
        <v>838555</v>
      </c>
      <c r="Y4804" t="s">
        <v>263</v>
      </c>
      <c r="Z4804" t="s">
        <v>263</v>
      </c>
      <c r="AA4804" t="e">
        <f ca="1">- performed Preventive Maintenance (cleaned cartridge bay, plunger rod, FAN _xludf.filter)
- performed functionality test
- Generate reports</f>
        <v>#NAME?</v>
      </c>
      <c r="AB4804" t="s">
        <v>7445</v>
      </c>
      <c r="AG4804" t="s">
        <v>28966</v>
      </c>
      <c r="AH4804" t="s">
        <v>27279</v>
      </c>
      <c r="AI4804" t="s">
        <v>28967</v>
      </c>
    </row>
    <row r="4805" spans="2:35" ht="409.5">
      <c r="B4805" s="1">
        <v>45372</v>
      </c>
      <c r="C4805" s="4">
        <v>45372.477083333331</v>
      </c>
      <c r="D4805" t="s">
        <v>92</v>
      </c>
      <c r="E4805" t="s">
        <v>28968</v>
      </c>
      <c r="F4805" t="s">
        <v>37</v>
      </c>
      <c r="G4805" t="s">
        <v>78</v>
      </c>
      <c r="H4805" t="s">
        <v>61</v>
      </c>
      <c r="I4805" t="s">
        <v>40</v>
      </c>
      <c r="J4805" t="s">
        <v>109</v>
      </c>
      <c r="K4805" t="s">
        <v>42</v>
      </c>
      <c r="L4805" t="s">
        <v>1943</v>
      </c>
      <c r="N4805" t="s">
        <v>1944</v>
      </c>
      <c r="Q4805">
        <v>27740</v>
      </c>
      <c r="R4805" t="s">
        <v>95</v>
      </c>
      <c r="S4805" t="s">
        <v>96</v>
      </c>
      <c r="T4805">
        <v>25</v>
      </c>
      <c r="U4805" s="2" t="s">
        <v>28969</v>
      </c>
      <c r="W4805" t="s">
        <v>84</v>
      </c>
      <c r="X4805">
        <v>839233</v>
      </c>
      <c r="Y4805" t="s">
        <v>28970</v>
      </c>
      <c r="Z4805" t="s">
        <v>17928</v>
      </c>
      <c r="AA4805" s="2" t="s">
        <v>28971</v>
      </c>
      <c r="AB4805" t="s">
        <v>88</v>
      </c>
      <c r="AG4805" t="s">
        <v>28972</v>
      </c>
      <c r="AH4805" t="s">
        <v>28973</v>
      </c>
      <c r="AI4805" t="s">
        <v>28974</v>
      </c>
    </row>
    <row r="4806" spans="2:35" ht="409.5">
      <c r="B4806" s="1">
        <v>45372</v>
      </c>
      <c r="C4806" s="4">
        <v>45372.405555555553</v>
      </c>
      <c r="D4806" t="s">
        <v>159</v>
      </c>
      <c r="E4806" t="s">
        <v>28975</v>
      </c>
      <c r="F4806" t="s">
        <v>37</v>
      </c>
      <c r="G4806" t="s">
        <v>78</v>
      </c>
      <c r="H4806" t="s">
        <v>61</v>
      </c>
      <c r="I4806" t="s">
        <v>40</v>
      </c>
      <c r="J4806" s="2" t="s">
        <v>1309</v>
      </c>
      <c r="K4806" t="s">
        <v>42</v>
      </c>
      <c r="L4806" t="s">
        <v>1943</v>
      </c>
      <c r="N4806" t="s">
        <v>1944</v>
      </c>
      <c r="Q4806">
        <v>27739</v>
      </c>
      <c r="R4806" t="s">
        <v>95</v>
      </c>
      <c r="S4806" t="s">
        <v>23763</v>
      </c>
      <c r="T4806">
        <v>20</v>
      </c>
      <c r="U4806" s="2" t="s">
        <v>28976</v>
      </c>
      <c r="V4806" s="1">
        <v>45362</v>
      </c>
      <c r="W4806" t="s">
        <v>5771</v>
      </c>
      <c r="X4806">
        <v>812916</v>
      </c>
      <c r="Y4806" s="2" t="s">
        <v>28977</v>
      </c>
      <c r="Z4806" t="s">
        <v>28978</v>
      </c>
      <c r="AA4806" s="2" t="s">
        <v>28979</v>
      </c>
      <c r="AB4806" t="s">
        <v>8352</v>
      </c>
      <c r="AD4806" s="2" t="s">
        <v>28980</v>
      </c>
      <c r="AE4806" t="s">
        <v>28981</v>
      </c>
      <c r="AG4806" t="s">
        <v>28982</v>
      </c>
      <c r="AH4806" t="s">
        <v>23770</v>
      </c>
      <c r="AI4806" t="s">
        <v>28983</v>
      </c>
    </row>
    <row r="4807" spans="2:35" ht="195">
      <c r="B4807" s="1">
        <v>45372</v>
      </c>
      <c r="C4807" s="4">
        <v>45372.388194444444</v>
      </c>
      <c r="D4807" t="s">
        <v>21170</v>
      </c>
      <c r="E4807" t="s">
        <v>5041</v>
      </c>
      <c r="F4807">
        <v>12</v>
      </c>
      <c r="G4807" t="s">
        <v>978</v>
      </c>
      <c r="H4807" t="s">
        <v>6500</v>
      </c>
      <c r="I4807" t="s">
        <v>40</v>
      </c>
      <c r="J4807" t="s">
        <v>109</v>
      </c>
      <c r="K4807" t="s">
        <v>42</v>
      </c>
      <c r="L4807" t="s">
        <v>296</v>
      </c>
      <c r="N4807" t="s">
        <v>297</v>
      </c>
      <c r="Q4807">
        <v>27738</v>
      </c>
      <c r="R4807" t="s">
        <v>95</v>
      </c>
      <c r="S4807" t="s">
        <v>21171</v>
      </c>
      <c r="T4807">
        <v>21.7</v>
      </c>
      <c r="U4807" s="2" t="s">
        <v>28984</v>
      </c>
      <c r="W4807" t="s">
        <v>23049</v>
      </c>
      <c r="X4807">
        <v>110003713</v>
      </c>
      <c r="Y4807" t="s">
        <v>28985</v>
      </c>
      <c r="Z4807" s="2" t="s">
        <v>27002</v>
      </c>
      <c r="AA4807" t="s">
        <v>9161</v>
      </c>
      <c r="AB4807" t="s">
        <v>17179</v>
      </c>
      <c r="AC4807" t="s">
        <v>28986</v>
      </c>
      <c r="AG4807" t="s">
        <v>28987</v>
      </c>
      <c r="AH4807" t="s">
        <v>28988</v>
      </c>
      <c r="AI4807" t="s">
        <v>28989</v>
      </c>
    </row>
    <row r="4808" spans="2:35" ht="195">
      <c r="B4808" s="1">
        <v>45372</v>
      </c>
      <c r="C4808" s="4">
        <v>45372.397222222222</v>
      </c>
      <c r="D4808" t="s">
        <v>21170</v>
      </c>
      <c r="E4808" t="s">
        <v>5041</v>
      </c>
      <c r="F4808">
        <v>12</v>
      </c>
      <c r="G4808" t="s">
        <v>978</v>
      </c>
      <c r="H4808" t="s">
        <v>39</v>
      </c>
      <c r="I4808" t="s">
        <v>40</v>
      </c>
      <c r="J4808" t="s">
        <v>109</v>
      </c>
      <c r="K4808" t="s">
        <v>42</v>
      </c>
      <c r="L4808" t="s">
        <v>296</v>
      </c>
      <c r="N4808" t="s">
        <v>297</v>
      </c>
      <c r="Q4808">
        <v>27737</v>
      </c>
      <c r="R4808" t="s">
        <v>95</v>
      </c>
      <c r="S4808" t="s">
        <v>21171</v>
      </c>
      <c r="T4808">
        <v>35.4</v>
      </c>
      <c r="U4808" s="2" t="s">
        <v>28990</v>
      </c>
      <c r="W4808" t="s">
        <v>23049</v>
      </c>
      <c r="X4808">
        <v>831313</v>
      </c>
      <c r="Y4808" t="s">
        <v>28991</v>
      </c>
      <c r="Z4808" s="2" t="s">
        <v>27002</v>
      </c>
      <c r="AA4808" t="s">
        <v>9161</v>
      </c>
      <c r="AB4808" t="s">
        <v>16070</v>
      </c>
      <c r="AG4808" t="s">
        <v>28992</v>
      </c>
      <c r="AH4808" t="s">
        <v>28993</v>
      </c>
      <c r="AI4808" t="s">
        <v>28994</v>
      </c>
    </row>
    <row r="4809" spans="2:35" ht="409.5">
      <c r="B4809" s="1">
        <v>45371</v>
      </c>
      <c r="C4809" s="4">
        <v>45371.564583333333</v>
      </c>
      <c r="D4809" t="s">
        <v>6347</v>
      </c>
      <c r="E4809" t="s">
        <v>229</v>
      </c>
      <c r="F4809" t="s">
        <v>148</v>
      </c>
      <c r="G4809" t="s">
        <v>230</v>
      </c>
      <c r="H4809" t="s">
        <v>39</v>
      </c>
      <c r="I4809" t="s">
        <v>40</v>
      </c>
      <c r="J4809" s="2" t="s">
        <v>62</v>
      </c>
      <c r="K4809" t="s">
        <v>42</v>
      </c>
      <c r="L4809" t="s">
        <v>175</v>
      </c>
      <c r="N4809" t="s">
        <v>176</v>
      </c>
      <c r="Q4809">
        <v>27736</v>
      </c>
      <c r="R4809" t="s">
        <v>703</v>
      </c>
      <c r="S4809" t="s">
        <v>14741</v>
      </c>
      <c r="T4809">
        <v>25</v>
      </c>
      <c r="U4809" s="2" t="s">
        <v>28995</v>
      </c>
      <c r="V4809" s="1">
        <v>45358</v>
      </c>
      <c r="W4809" t="s">
        <v>84</v>
      </c>
      <c r="X4809">
        <v>835600</v>
      </c>
      <c r="Y4809" t="s">
        <v>24338</v>
      </c>
      <c r="Z4809" t="s">
        <v>999</v>
      </c>
      <c r="AA4809" t="e">
        <f ca="1">- checked _xludf.and cleaned cartridge bay, plunger rod, _xludf.filter, icore slot
- performed XpertCheck
- generated reports
- performed self test</f>
        <v>#NAME?</v>
      </c>
      <c r="AB4809" s="2" t="s">
        <v>28996</v>
      </c>
      <c r="AD4809" s="2" t="s">
        <v>28997</v>
      </c>
      <c r="AE4809">
        <v>11274</v>
      </c>
      <c r="AG4809" t="s">
        <v>28998</v>
      </c>
      <c r="AH4809" t="s">
        <v>20998</v>
      </c>
      <c r="AI4809" t="s">
        <v>28999</v>
      </c>
    </row>
    <row r="4810" spans="2:35" ht="409.5">
      <c r="B4810" s="1">
        <v>45371</v>
      </c>
      <c r="C4810" s="4">
        <v>45371.637499999997</v>
      </c>
      <c r="D4810" t="s">
        <v>3639</v>
      </c>
      <c r="E4810" t="s">
        <v>24319</v>
      </c>
      <c r="F4810" t="s">
        <v>148</v>
      </c>
      <c r="G4810" t="s">
        <v>310</v>
      </c>
      <c r="H4810" t="s">
        <v>39</v>
      </c>
      <c r="I4810" t="s">
        <v>40</v>
      </c>
      <c r="J4810" s="2" t="s">
        <v>190</v>
      </c>
      <c r="K4810" t="s">
        <v>42</v>
      </c>
      <c r="L4810" t="s">
        <v>175</v>
      </c>
      <c r="N4810" t="s">
        <v>176</v>
      </c>
      <c r="Q4810">
        <v>27734</v>
      </c>
      <c r="R4810" t="s">
        <v>322</v>
      </c>
      <c r="S4810" t="s">
        <v>24320</v>
      </c>
      <c r="T4810">
        <v>33</v>
      </c>
      <c r="U4810" s="2" t="s">
        <v>28165</v>
      </c>
      <c r="W4810" t="s">
        <v>84</v>
      </c>
      <c r="X4810">
        <v>847728</v>
      </c>
      <c r="Y4810" t="s">
        <v>21830</v>
      </c>
      <c r="Z4810" t="s">
        <v>375</v>
      </c>
      <c r="AA4810" t="e">
        <f ca="1">- checked _xludf.and cleaned cartridge bay, plunger rod, _xludf.filter
- Genersted reports
- performed self test</f>
        <v>#NAME?</v>
      </c>
      <c r="AB4810" s="2" t="s">
        <v>28166</v>
      </c>
      <c r="AG4810" t="s">
        <v>29000</v>
      </c>
      <c r="AH4810" t="s">
        <v>28168</v>
      </c>
      <c r="AI4810" t="s">
        <v>29001</v>
      </c>
    </row>
    <row r="4811" spans="2:35" ht="180">
      <c r="B4811" s="1">
        <v>45371</v>
      </c>
      <c r="C4811" s="4">
        <v>45371.504166666666</v>
      </c>
      <c r="D4811" t="s">
        <v>13660</v>
      </c>
      <c r="E4811" t="s">
        <v>18685</v>
      </c>
      <c r="F4811" t="s">
        <v>148</v>
      </c>
      <c r="G4811" t="s">
        <v>310</v>
      </c>
      <c r="H4811" t="s">
        <v>39</v>
      </c>
      <c r="I4811" t="s">
        <v>40</v>
      </c>
      <c r="J4811" s="2" t="s">
        <v>62</v>
      </c>
      <c r="K4811" t="s">
        <v>42</v>
      </c>
      <c r="L4811" t="s">
        <v>175</v>
      </c>
      <c r="N4811" t="s">
        <v>176</v>
      </c>
      <c r="O4811" t="s">
        <v>18927</v>
      </c>
      <c r="Q4811">
        <v>27735</v>
      </c>
      <c r="R4811" t="s">
        <v>703</v>
      </c>
      <c r="S4811" t="s">
        <v>24336</v>
      </c>
      <c r="T4811">
        <v>25</v>
      </c>
      <c r="U4811" s="2" t="s">
        <v>24337</v>
      </c>
      <c r="V4811" s="1">
        <v>45358</v>
      </c>
      <c r="W4811" t="s">
        <v>84</v>
      </c>
      <c r="X4811">
        <v>840974</v>
      </c>
      <c r="Y4811" t="s">
        <v>24338</v>
      </c>
      <c r="Z4811" t="s">
        <v>999</v>
      </c>
      <c r="AA4811" t="e">
        <f ca="1">- Checkecd _xludf.and cleaned cartridge bay, plunger rod, _xludf.filter, icore slot
- performed XpertCheck
- generated reports
- performed self test</f>
        <v>#NAME?</v>
      </c>
      <c r="AB4811" s="2" t="s">
        <v>3237</v>
      </c>
      <c r="AD4811" s="2" t="s">
        <v>24339</v>
      </c>
      <c r="AE4811">
        <v>11272</v>
      </c>
      <c r="AG4811" t="s">
        <v>29002</v>
      </c>
      <c r="AH4811" t="s">
        <v>24341</v>
      </c>
      <c r="AI4811" t="s">
        <v>29003</v>
      </c>
    </row>
    <row r="4812" spans="2:35" ht="225">
      <c r="B4812" s="1">
        <v>45371</v>
      </c>
      <c r="C4812" s="4">
        <v>45371.589583333334</v>
      </c>
      <c r="D4812" t="s">
        <v>8160</v>
      </c>
      <c r="E4812" t="s">
        <v>15636</v>
      </c>
      <c r="F4812">
        <v>11</v>
      </c>
      <c r="G4812" t="s">
        <v>1205</v>
      </c>
      <c r="H4812" t="s">
        <v>202</v>
      </c>
      <c r="I4812" t="s">
        <v>40</v>
      </c>
      <c r="J4812" t="s">
        <v>583</v>
      </c>
      <c r="K4812" t="s">
        <v>42</v>
      </c>
      <c r="L4812" t="s">
        <v>204</v>
      </c>
      <c r="N4812" t="s">
        <v>205</v>
      </c>
      <c r="Q4812">
        <v>27733</v>
      </c>
      <c r="R4812" t="s">
        <v>119</v>
      </c>
      <c r="S4812" t="s">
        <v>8163</v>
      </c>
      <c r="T4812">
        <v>28.5</v>
      </c>
      <c r="U4812" s="2" t="s">
        <v>29004</v>
      </c>
      <c r="W4812" t="s">
        <v>24154</v>
      </c>
      <c r="X4812">
        <v>838401</v>
      </c>
      <c r="Y4812" t="s">
        <v>29005</v>
      </c>
      <c r="Z4812" t="s">
        <v>29006</v>
      </c>
      <c r="AA4812" t="s">
        <v>29006</v>
      </c>
      <c r="AB4812" s="2" t="s">
        <v>29007</v>
      </c>
      <c r="AC4812" t="s">
        <v>29008</v>
      </c>
      <c r="AG4812" t="s">
        <v>29009</v>
      </c>
      <c r="AH4812" t="s">
        <v>17991</v>
      </c>
      <c r="AI4812" t="s">
        <v>29010</v>
      </c>
    </row>
    <row r="4813" spans="2:35" ht="180">
      <c r="B4813" s="1">
        <v>45371</v>
      </c>
      <c r="C4813" s="4">
        <v>45371.606249999997</v>
      </c>
      <c r="D4813" t="s">
        <v>9886</v>
      </c>
      <c r="E4813" t="s">
        <v>29011</v>
      </c>
      <c r="F4813">
        <v>12</v>
      </c>
      <c r="G4813" t="s">
        <v>5785</v>
      </c>
      <c r="H4813" t="s">
        <v>1473</v>
      </c>
      <c r="I4813" t="s">
        <v>40</v>
      </c>
      <c r="J4813" t="s">
        <v>109</v>
      </c>
      <c r="K4813" t="s">
        <v>42</v>
      </c>
      <c r="L4813" t="s">
        <v>296</v>
      </c>
      <c r="N4813" t="s">
        <v>297</v>
      </c>
      <c r="Q4813">
        <v>27732</v>
      </c>
      <c r="R4813" t="s">
        <v>119</v>
      </c>
      <c r="S4813" t="s">
        <v>29012</v>
      </c>
      <c r="T4813">
        <v>27.2</v>
      </c>
      <c r="U4813" s="2" t="s">
        <v>14127</v>
      </c>
      <c r="W4813" t="s">
        <v>23049</v>
      </c>
      <c r="X4813">
        <v>838419</v>
      </c>
      <c r="Y4813" t="s">
        <v>29013</v>
      </c>
      <c r="Z4813" s="2" t="s">
        <v>29014</v>
      </c>
      <c r="AA4813" t="s">
        <v>9161</v>
      </c>
      <c r="AB4813" t="s">
        <v>972</v>
      </c>
      <c r="AC4813" t="s">
        <v>29015</v>
      </c>
      <c r="AG4813" t="s">
        <v>29016</v>
      </c>
      <c r="AH4813" t="s">
        <v>11930</v>
      </c>
      <c r="AI4813" t="s">
        <v>29017</v>
      </c>
    </row>
    <row r="4814" spans="2:35" ht="195">
      <c r="B4814" s="1">
        <v>45371</v>
      </c>
      <c r="C4814" s="4">
        <v>45371.538194444445</v>
      </c>
      <c r="D4814" t="s">
        <v>9878</v>
      </c>
      <c r="E4814" t="s">
        <v>11921</v>
      </c>
      <c r="F4814">
        <v>12</v>
      </c>
      <c r="G4814" t="s">
        <v>5785</v>
      </c>
      <c r="H4814" t="s">
        <v>39</v>
      </c>
      <c r="I4814" t="s">
        <v>40</v>
      </c>
      <c r="J4814" s="2" t="s">
        <v>190</v>
      </c>
      <c r="K4814" t="s">
        <v>42</v>
      </c>
      <c r="L4814" t="s">
        <v>296</v>
      </c>
      <c r="N4814" t="s">
        <v>297</v>
      </c>
      <c r="Q4814">
        <v>27731</v>
      </c>
      <c r="R4814" t="s">
        <v>119</v>
      </c>
      <c r="S4814" t="s">
        <v>9880</v>
      </c>
      <c r="T4814">
        <v>24.5</v>
      </c>
      <c r="U4814" s="2" t="s">
        <v>17376</v>
      </c>
      <c r="W4814" t="s">
        <v>29018</v>
      </c>
      <c r="X4814">
        <v>838542</v>
      </c>
      <c r="Y4814" t="s">
        <v>29019</v>
      </c>
      <c r="Z4814" s="2" t="s">
        <v>29020</v>
      </c>
      <c r="AA4814" t="s">
        <v>9161</v>
      </c>
      <c r="AB4814" t="s">
        <v>972</v>
      </c>
      <c r="AG4814" t="s">
        <v>29021</v>
      </c>
      <c r="AH4814" t="s">
        <v>29022</v>
      </c>
      <c r="AI4814" t="s">
        <v>29023</v>
      </c>
    </row>
    <row r="4815" spans="2:35" ht="315">
      <c r="B4815" s="1">
        <v>45371</v>
      </c>
      <c r="C4815" s="4">
        <v>45366.486805555556</v>
      </c>
      <c r="D4815" t="s">
        <v>1515</v>
      </c>
      <c r="E4815" t="s">
        <v>29024</v>
      </c>
      <c r="F4815" t="s">
        <v>37</v>
      </c>
      <c r="G4815" t="s">
        <v>38</v>
      </c>
      <c r="H4815" t="s">
        <v>39</v>
      </c>
      <c r="I4815" t="s">
        <v>40</v>
      </c>
      <c r="J4815" t="s">
        <v>109</v>
      </c>
      <c r="K4815" t="s">
        <v>42</v>
      </c>
      <c r="L4815" t="s">
        <v>43</v>
      </c>
      <c r="N4815" t="s">
        <v>44</v>
      </c>
      <c r="Q4815">
        <v>27729</v>
      </c>
      <c r="R4815" t="s">
        <v>119</v>
      </c>
      <c r="S4815" t="s">
        <v>29025</v>
      </c>
      <c r="T4815">
        <v>24</v>
      </c>
      <c r="U4815" s="2" t="s">
        <v>829</v>
      </c>
      <c r="W4815" t="s">
        <v>48</v>
      </c>
      <c r="X4815">
        <v>821215</v>
      </c>
      <c r="Y4815" t="s">
        <v>121</v>
      </c>
      <c r="Z4815" t="s">
        <v>122</v>
      </c>
      <c r="AA4815" s="2" t="s">
        <v>27734</v>
      </c>
      <c r="AB4815" t="s">
        <v>16412</v>
      </c>
      <c r="AG4815" t="s">
        <v>29026</v>
      </c>
      <c r="AH4815" t="s">
        <v>29027</v>
      </c>
      <c r="AI4815" t="s">
        <v>29028</v>
      </c>
    </row>
    <row r="4816" spans="2:35" ht="360">
      <c r="B4816" s="1">
        <v>45371</v>
      </c>
      <c r="C4816" s="4">
        <v>45366.382638888892</v>
      </c>
      <c r="D4816" t="s">
        <v>4197</v>
      </c>
      <c r="E4816" t="s">
        <v>29029</v>
      </c>
      <c r="F4816" t="s">
        <v>148</v>
      </c>
      <c r="G4816" t="s">
        <v>38</v>
      </c>
      <c r="H4816" t="s">
        <v>39</v>
      </c>
      <c r="I4816" t="s">
        <v>40</v>
      </c>
      <c r="J4816" s="2" t="s">
        <v>62</v>
      </c>
      <c r="K4816" t="s">
        <v>42</v>
      </c>
      <c r="L4816" t="s">
        <v>43</v>
      </c>
      <c r="N4816" t="s">
        <v>44</v>
      </c>
      <c r="Q4816">
        <v>27726</v>
      </c>
      <c r="R4816" t="s">
        <v>45</v>
      </c>
      <c r="S4816" t="s">
        <v>111</v>
      </c>
      <c r="T4816">
        <v>24</v>
      </c>
      <c r="U4816" s="2" t="s">
        <v>29030</v>
      </c>
      <c r="W4816" t="s">
        <v>48</v>
      </c>
      <c r="X4816">
        <v>838182</v>
      </c>
      <c r="Y4816" t="s">
        <v>1111</v>
      </c>
      <c r="Z4816" t="s">
        <v>1519</v>
      </c>
      <c r="AA4816" s="2" t="s">
        <v>29031</v>
      </c>
      <c r="AB4816" t="s">
        <v>29032</v>
      </c>
      <c r="AG4816" t="s">
        <v>29033</v>
      </c>
      <c r="AH4816" t="s">
        <v>117</v>
      </c>
      <c r="AI4816" t="s">
        <v>29034</v>
      </c>
    </row>
    <row r="4817" spans="2:35" ht="405">
      <c r="B4817" s="1">
        <v>45371</v>
      </c>
      <c r="C4817" s="4">
        <v>45371.401388888888</v>
      </c>
      <c r="D4817" t="s">
        <v>4379</v>
      </c>
      <c r="E4817" t="s">
        <v>18288</v>
      </c>
      <c r="F4817" t="s">
        <v>148</v>
      </c>
      <c r="G4817" t="s">
        <v>785</v>
      </c>
      <c r="H4817" t="s">
        <v>39</v>
      </c>
      <c r="I4817" t="s">
        <v>40</v>
      </c>
      <c r="J4817" s="2" t="s">
        <v>15418</v>
      </c>
      <c r="K4817" t="s">
        <v>42</v>
      </c>
      <c r="L4817" t="s">
        <v>43</v>
      </c>
      <c r="N4817" t="s">
        <v>44</v>
      </c>
      <c r="Q4817">
        <v>27727</v>
      </c>
      <c r="R4817" t="s">
        <v>322</v>
      </c>
      <c r="S4817" t="s">
        <v>4382</v>
      </c>
      <c r="T4817">
        <v>23</v>
      </c>
      <c r="U4817" s="2" t="s">
        <v>29035</v>
      </c>
      <c r="W4817" t="s">
        <v>48</v>
      </c>
      <c r="X4817">
        <v>838627</v>
      </c>
      <c r="Y4817" t="s">
        <v>29036</v>
      </c>
      <c r="Z4817" t="s">
        <v>29037</v>
      </c>
      <c r="AA4817" s="2" t="s">
        <v>29038</v>
      </c>
      <c r="AB4817" t="s">
        <v>29039</v>
      </c>
      <c r="AG4817" t="s">
        <v>29040</v>
      </c>
      <c r="AH4817" t="s">
        <v>21493</v>
      </c>
      <c r="AI4817" t="s">
        <v>29041</v>
      </c>
    </row>
    <row r="4818" spans="2:35" ht="360">
      <c r="B4818" s="1">
        <v>45371</v>
      </c>
      <c r="C4818" s="4">
        <v>45365.584027777775</v>
      </c>
      <c r="D4818" t="s">
        <v>29042</v>
      </c>
      <c r="E4818" t="s">
        <v>29043</v>
      </c>
      <c r="F4818" t="s">
        <v>37</v>
      </c>
      <c r="G4818" t="s">
        <v>2499</v>
      </c>
      <c r="H4818" t="s">
        <v>39</v>
      </c>
      <c r="I4818" t="s">
        <v>40</v>
      </c>
      <c r="J4818" s="2" t="s">
        <v>62</v>
      </c>
      <c r="K4818" t="s">
        <v>42</v>
      </c>
      <c r="L4818" t="s">
        <v>43</v>
      </c>
      <c r="N4818" t="s">
        <v>44</v>
      </c>
      <c r="Q4818">
        <v>27728</v>
      </c>
      <c r="R4818" t="s">
        <v>45</v>
      </c>
      <c r="S4818" t="s">
        <v>29044</v>
      </c>
      <c r="T4818">
        <v>20</v>
      </c>
      <c r="U4818" s="2" t="s">
        <v>29045</v>
      </c>
      <c r="W4818" t="s">
        <v>48</v>
      </c>
      <c r="X4818">
        <v>807608</v>
      </c>
      <c r="Y4818" t="s">
        <v>1111</v>
      </c>
      <c r="Z4818" t="s">
        <v>1519</v>
      </c>
      <c r="AA4818" s="2" t="s">
        <v>29031</v>
      </c>
      <c r="AB4818" t="s">
        <v>29046</v>
      </c>
      <c r="AC4818" t="s">
        <v>29047</v>
      </c>
      <c r="AG4818" t="s">
        <v>29048</v>
      </c>
      <c r="AH4818" t="s">
        <v>29049</v>
      </c>
      <c r="AI4818" t="s">
        <v>29050</v>
      </c>
    </row>
    <row r="4819" spans="2:35" ht="409.5">
      <c r="B4819" s="1">
        <v>45371</v>
      </c>
      <c r="C4819" s="4">
        <v>45370.609722222223</v>
      </c>
      <c r="D4819" t="s">
        <v>1081</v>
      </c>
      <c r="E4819" t="s">
        <v>27369</v>
      </c>
      <c r="F4819" t="s">
        <v>148</v>
      </c>
      <c r="G4819" t="s">
        <v>785</v>
      </c>
      <c r="H4819" t="s">
        <v>39</v>
      </c>
      <c r="I4819" t="s">
        <v>40</v>
      </c>
      <c r="J4819" s="2" t="s">
        <v>62</v>
      </c>
      <c r="K4819" t="s">
        <v>42</v>
      </c>
      <c r="L4819" t="s">
        <v>43</v>
      </c>
      <c r="N4819" t="s">
        <v>44</v>
      </c>
      <c r="O4819" t="s">
        <v>2015</v>
      </c>
      <c r="Q4819">
        <v>27730</v>
      </c>
      <c r="R4819" t="s">
        <v>95</v>
      </c>
      <c r="S4819" t="s">
        <v>2016</v>
      </c>
      <c r="T4819">
        <v>23</v>
      </c>
      <c r="U4819" s="2" t="s">
        <v>29051</v>
      </c>
      <c r="V4819" s="1">
        <v>45363</v>
      </c>
      <c r="W4819" t="s">
        <v>5136</v>
      </c>
      <c r="X4819">
        <v>110015767</v>
      </c>
      <c r="Y4819" t="s">
        <v>1111</v>
      </c>
      <c r="Z4819" t="s">
        <v>1519</v>
      </c>
      <c r="AA4819" s="2" t="s">
        <v>29052</v>
      </c>
      <c r="AB4819" t="s">
        <v>29053</v>
      </c>
      <c r="AD4819" t="s">
        <v>20036</v>
      </c>
      <c r="AE4819" t="s">
        <v>29054</v>
      </c>
      <c r="AG4819" t="s">
        <v>29055</v>
      </c>
      <c r="AH4819" t="s">
        <v>17967</v>
      </c>
      <c r="AI4819" t="s">
        <v>29056</v>
      </c>
    </row>
    <row r="4820" spans="2:35" ht="315">
      <c r="B4820" s="1">
        <v>45371</v>
      </c>
      <c r="C4820" s="4">
        <v>45371.418055555558</v>
      </c>
      <c r="D4820" t="s">
        <v>3712</v>
      </c>
      <c r="E4820" t="s">
        <v>28306</v>
      </c>
      <c r="F4820" t="s">
        <v>148</v>
      </c>
      <c r="G4820" t="s">
        <v>310</v>
      </c>
      <c r="H4820" t="s">
        <v>2274</v>
      </c>
      <c r="I4820" t="s">
        <v>40</v>
      </c>
      <c r="J4820" t="s">
        <v>109</v>
      </c>
      <c r="K4820" t="s">
        <v>387</v>
      </c>
      <c r="L4820" t="s">
        <v>1943</v>
      </c>
      <c r="N4820" t="s">
        <v>1944</v>
      </c>
      <c r="Q4820">
        <v>27724</v>
      </c>
      <c r="R4820" t="s">
        <v>95</v>
      </c>
      <c r="S4820" t="s">
        <v>9747</v>
      </c>
      <c r="T4820">
        <v>25</v>
      </c>
      <c r="W4820" t="s">
        <v>390</v>
      </c>
      <c r="X4820" t="s">
        <v>4180</v>
      </c>
      <c r="Y4820" t="s">
        <v>18216</v>
      </c>
      <c r="Z4820" t="s">
        <v>1548</v>
      </c>
      <c r="AA4820" s="2" t="s">
        <v>2278</v>
      </c>
      <c r="AB4820" t="s">
        <v>88</v>
      </c>
      <c r="AG4820" t="s">
        <v>29057</v>
      </c>
      <c r="AH4820" t="s">
        <v>10576</v>
      </c>
      <c r="AI4820" t="s">
        <v>29058</v>
      </c>
    </row>
    <row r="4821" spans="2:35" ht="315">
      <c r="B4821" s="1">
        <v>45371</v>
      </c>
      <c r="C4821" s="4">
        <v>45371.415972222225</v>
      </c>
      <c r="D4821" t="s">
        <v>3712</v>
      </c>
      <c r="E4821" t="s">
        <v>28306</v>
      </c>
      <c r="F4821" t="s">
        <v>148</v>
      </c>
      <c r="G4821" t="s">
        <v>310</v>
      </c>
      <c r="H4821" t="s">
        <v>2274</v>
      </c>
      <c r="I4821" t="s">
        <v>40</v>
      </c>
      <c r="J4821" t="s">
        <v>109</v>
      </c>
      <c r="K4821" t="s">
        <v>387</v>
      </c>
      <c r="L4821" t="s">
        <v>1943</v>
      </c>
      <c r="N4821" t="s">
        <v>1944</v>
      </c>
      <c r="Q4821">
        <v>27725</v>
      </c>
      <c r="R4821" t="s">
        <v>95</v>
      </c>
      <c r="S4821" t="s">
        <v>9747</v>
      </c>
      <c r="T4821">
        <v>25</v>
      </c>
      <c r="W4821" t="s">
        <v>390</v>
      </c>
      <c r="X4821" t="s">
        <v>16210</v>
      </c>
      <c r="Y4821" t="s">
        <v>3001</v>
      </c>
      <c r="Z4821" t="s">
        <v>1548</v>
      </c>
      <c r="AA4821" s="2" t="s">
        <v>2278</v>
      </c>
      <c r="AB4821" t="s">
        <v>88</v>
      </c>
      <c r="AG4821" t="s">
        <v>29059</v>
      </c>
      <c r="AH4821" t="s">
        <v>9755</v>
      </c>
      <c r="AI4821" t="s">
        <v>29060</v>
      </c>
    </row>
    <row r="4822" spans="2:35" ht="409.5">
      <c r="B4822" s="1">
        <v>45371</v>
      </c>
      <c r="C4822" s="4">
        <v>45371.418055555558</v>
      </c>
      <c r="D4822" t="s">
        <v>24542</v>
      </c>
      <c r="E4822" t="s">
        <v>29061</v>
      </c>
      <c r="F4822">
        <v>7</v>
      </c>
      <c r="G4822" t="s">
        <v>432</v>
      </c>
      <c r="H4822" t="s">
        <v>10969</v>
      </c>
      <c r="I4822" t="s">
        <v>40</v>
      </c>
      <c r="J4822" s="2" t="s">
        <v>609</v>
      </c>
      <c r="K4822" t="s">
        <v>42</v>
      </c>
      <c r="L4822" t="s">
        <v>1288</v>
      </c>
      <c r="N4822" t="s">
        <v>1289</v>
      </c>
      <c r="Q4822">
        <v>27723</v>
      </c>
      <c r="R4822" t="s">
        <v>95</v>
      </c>
      <c r="S4822" t="s">
        <v>8762</v>
      </c>
      <c r="T4822">
        <v>21</v>
      </c>
      <c r="U4822" s="2" t="s">
        <v>29062</v>
      </c>
      <c r="W4822" t="s">
        <v>1292</v>
      </c>
      <c r="X4822">
        <v>110020777</v>
      </c>
      <c r="Y4822" t="s">
        <v>29063</v>
      </c>
      <c r="Z4822" t="e">
        <f ca="1">-COLLECT IQR, system _xludf.Log, _xludf.and ARCHIVE</f>
        <v>#NAME?</v>
      </c>
      <c r="AA4822" t="e">
        <f ca="1">-PERFORM Troubleshooting _xludf.and Maintenance PROCEDURE
-_xludf.Clean cartridge bay, plunger rod, PROBE, _xludf.and FAN _xludf.filter</f>
        <v>#NAME?</v>
      </c>
      <c r="AB4822" t="s">
        <v>1293</v>
      </c>
      <c r="AG4822" t="s">
        <v>29064</v>
      </c>
      <c r="AH4822" t="s">
        <v>29065</v>
      </c>
      <c r="AI4822" t="s">
        <v>29066</v>
      </c>
    </row>
    <row r="4823" spans="2:35" ht="375">
      <c r="B4823" s="1">
        <v>45370</v>
      </c>
      <c r="C4823" s="4">
        <v>45370.448611111111</v>
      </c>
      <c r="D4823" t="s">
        <v>1222</v>
      </c>
      <c r="E4823" t="s">
        <v>29067</v>
      </c>
      <c r="F4823">
        <v>3</v>
      </c>
      <c r="G4823" t="s">
        <v>284</v>
      </c>
      <c r="H4823" t="s">
        <v>39</v>
      </c>
      <c r="I4823" t="s">
        <v>40</v>
      </c>
      <c r="J4823" s="2" t="s">
        <v>1808</v>
      </c>
      <c r="K4823" t="s">
        <v>42</v>
      </c>
      <c r="L4823" t="s">
        <v>135</v>
      </c>
      <c r="N4823" t="s">
        <v>136</v>
      </c>
      <c r="Q4823">
        <v>27722</v>
      </c>
      <c r="R4823" t="s">
        <v>119</v>
      </c>
      <c r="S4823" t="s">
        <v>29068</v>
      </c>
      <c r="T4823">
        <v>28</v>
      </c>
      <c r="U4823" s="2" t="s">
        <v>1509</v>
      </c>
      <c r="W4823" t="s">
        <v>2680</v>
      </c>
      <c r="X4823">
        <v>831607</v>
      </c>
      <c r="Y4823" s="2" t="s">
        <v>29069</v>
      </c>
      <c r="Z4823" s="2" t="s">
        <v>22434</v>
      </c>
      <c r="AA4823" s="2" t="s">
        <v>29070</v>
      </c>
      <c r="AB4823" s="2" t="s">
        <v>29071</v>
      </c>
      <c r="AG4823" t="s">
        <v>29072</v>
      </c>
      <c r="AH4823" t="s">
        <v>29073</v>
      </c>
      <c r="AI4823" t="s">
        <v>29074</v>
      </c>
    </row>
    <row r="4824" spans="2:35" ht="165">
      <c r="B4824" s="1">
        <v>45369</v>
      </c>
      <c r="C4824" s="4">
        <v>45369.656944444447</v>
      </c>
      <c r="D4824" t="s">
        <v>29075</v>
      </c>
      <c r="E4824" t="s">
        <v>29076</v>
      </c>
      <c r="F4824">
        <v>3</v>
      </c>
      <c r="G4824" t="s">
        <v>1722</v>
      </c>
      <c r="H4824" t="s">
        <v>39</v>
      </c>
      <c r="I4824" t="s">
        <v>40</v>
      </c>
      <c r="J4824" s="2" t="s">
        <v>41</v>
      </c>
      <c r="K4824" t="s">
        <v>42</v>
      </c>
      <c r="L4824" t="s">
        <v>63</v>
      </c>
      <c r="N4824" t="s">
        <v>64</v>
      </c>
      <c r="Q4824">
        <v>27721</v>
      </c>
      <c r="R4824" t="s">
        <v>119</v>
      </c>
      <c r="S4824" t="s">
        <v>29077</v>
      </c>
      <c r="T4824">
        <v>27</v>
      </c>
      <c r="U4824" s="2" t="s">
        <v>29078</v>
      </c>
      <c r="V4824" s="1">
        <v>45362</v>
      </c>
      <c r="W4824" t="s">
        <v>26915</v>
      </c>
      <c r="X4824">
        <v>831582</v>
      </c>
      <c r="Y4824" t="s">
        <v>29079</v>
      </c>
      <c r="Z4824" s="2" t="s">
        <v>29080</v>
      </c>
      <c r="AA4824" s="2" t="s">
        <v>1727</v>
      </c>
      <c r="AB4824" t="s">
        <v>70</v>
      </c>
      <c r="AC4824" t="s">
        <v>1716</v>
      </c>
      <c r="AD4824" t="s">
        <v>29081</v>
      </c>
      <c r="AE4824">
        <v>11290</v>
      </c>
      <c r="AG4824" t="s">
        <v>29082</v>
      </c>
      <c r="AH4824" t="s">
        <v>29083</v>
      </c>
      <c r="AI4824" t="s">
        <v>29084</v>
      </c>
    </row>
    <row r="4825" spans="2:35" ht="330">
      <c r="B4825" s="1">
        <v>45369</v>
      </c>
      <c r="C4825" s="4">
        <v>45369.635416666664</v>
      </c>
      <c r="D4825" t="s">
        <v>11484</v>
      </c>
      <c r="E4825" t="s">
        <v>29085</v>
      </c>
      <c r="F4825">
        <v>9</v>
      </c>
      <c r="G4825" t="s">
        <v>2197</v>
      </c>
      <c r="H4825" t="s">
        <v>39</v>
      </c>
      <c r="I4825" t="s">
        <v>94</v>
      </c>
      <c r="J4825" s="2" t="s">
        <v>190</v>
      </c>
      <c r="K4825" t="s">
        <v>42</v>
      </c>
      <c r="L4825" t="s">
        <v>1257</v>
      </c>
      <c r="N4825" t="s">
        <v>1258</v>
      </c>
      <c r="O4825" t="s">
        <v>1258</v>
      </c>
      <c r="Q4825">
        <v>27720</v>
      </c>
      <c r="R4825" t="s">
        <v>95</v>
      </c>
      <c r="S4825" t="s">
        <v>4902</v>
      </c>
      <c r="T4825">
        <v>23</v>
      </c>
      <c r="U4825" s="2" t="s">
        <v>29086</v>
      </c>
      <c r="V4825" s="1">
        <v>45003</v>
      </c>
      <c r="W4825" t="s">
        <v>29087</v>
      </c>
      <c r="X4825">
        <v>834128</v>
      </c>
      <c r="Y4825" t="s">
        <v>29088</v>
      </c>
      <c r="Z4825" t="s">
        <v>29089</v>
      </c>
      <c r="AA4825" t="s">
        <v>29090</v>
      </c>
      <c r="AB4825" t="s">
        <v>29091</v>
      </c>
      <c r="AC4825" t="s">
        <v>29092</v>
      </c>
      <c r="AD4825" t="s">
        <v>54</v>
      </c>
      <c r="AE4825" t="s">
        <v>54</v>
      </c>
      <c r="AG4825" t="s">
        <v>29093</v>
      </c>
      <c r="AH4825" t="s">
        <v>21352</v>
      </c>
      <c r="AI4825" t="s">
        <v>29094</v>
      </c>
    </row>
    <row r="4826" spans="2:35">
      <c r="B4826" s="1">
        <v>45369</v>
      </c>
      <c r="C4826" s="4">
        <v>45369.470833333333</v>
      </c>
      <c r="D4826" t="s">
        <v>13336</v>
      </c>
      <c r="E4826" t="s">
        <v>582</v>
      </c>
      <c r="F4826" t="s">
        <v>148</v>
      </c>
      <c r="G4826" t="s">
        <v>447</v>
      </c>
      <c r="H4826" t="s">
        <v>5452</v>
      </c>
      <c r="I4826" t="s">
        <v>40</v>
      </c>
      <c r="J4826" t="s">
        <v>79</v>
      </c>
      <c r="K4826" t="s">
        <v>408</v>
      </c>
      <c r="L4826" t="s">
        <v>175</v>
      </c>
      <c r="N4826" t="s">
        <v>176</v>
      </c>
      <c r="P4826" t="s">
        <v>29095</v>
      </c>
      <c r="Q4826">
        <v>27719</v>
      </c>
      <c r="R4826" t="s">
        <v>322</v>
      </c>
      <c r="S4826" t="s">
        <v>176</v>
      </c>
      <c r="T4826">
        <v>25</v>
      </c>
      <c r="W4826" t="s">
        <v>29096</v>
      </c>
      <c r="X4826" t="s">
        <v>29097</v>
      </c>
      <c r="Y4826" t="s">
        <v>22221</v>
      </c>
      <c r="Z4826" t="s">
        <v>29098</v>
      </c>
      <c r="AA4826" t="e">
        <f ca="1">- Repaired Unit
- performed functionality test</f>
        <v>#NAME?</v>
      </c>
      <c r="AB4826" t="s">
        <v>181</v>
      </c>
      <c r="AG4826" t="s">
        <v>29099</v>
      </c>
      <c r="AH4826" t="s">
        <v>29100</v>
      </c>
      <c r="AI4826" t="s">
        <v>29101</v>
      </c>
    </row>
    <row r="4827" spans="2:35" ht="255">
      <c r="B4827" s="1">
        <v>45369</v>
      </c>
      <c r="C4827" s="4">
        <v>45365.43472222222</v>
      </c>
      <c r="D4827" t="s">
        <v>25902</v>
      </c>
      <c r="E4827" t="s">
        <v>29102</v>
      </c>
      <c r="F4827">
        <v>1</v>
      </c>
      <c r="G4827" t="s">
        <v>2599</v>
      </c>
      <c r="H4827" t="s">
        <v>39</v>
      </c>
      <c r="I4827" t="s">
        <v>40</v>
      </c>
      <c r="J4827" s="2" t="s">
        <v>62</v>
      </c>
      <c r="K4827" t="s">
        <v>42</v>
      </c>
      <c r="L4827" t="s">
        <v>1028</v>
      </c>
      <c r="N4827" t="s">
        <v>1029</v>
      </c>
      <c r="Q4827">
        <v>27718</v>
      </c>
      <c r="R4827" t="s">
        <v>45</v>
      </c>
      <c r="S4827" t="s">
        <v>25904</v>
      </c>
      <c r="T4827">
        <v>28</v>
      </c>
      <c r="U4827" s="2" t="s">
        <v>29103</v>
      </c>
      <c r="W4827" t="s">
        <v>1967</v>
      </c>
      <c r="X4827">
        <v>807597</v>
      </c>
      <c r="Y4827" t="s">
        <v>18140</v>
      </c>
      <c r="Z4827" t="s">
        <v>21244</v>
      </c>
      <c r="AA4827" s="2" t="s">
        <v>29104</v>
      </c>
      <c r="AB4827" t="s">
        <v>28920</v>
      </c>
      <c r="AC4827" t="s">
        <v>29105</v>
      </c>
      <c r="AG4827" t="s">
        <v>29106</v>
      </c>
      <c r="AH4827" t="s">
        <v>29107</v>
      </c>
      <c r="AI4827" t="s">
        <v>29108</v>
      </c>
    </row>
    <row r="4828" spans="2:35" ht="300">
      <c r="B4828" s="1">
        <v>45369</v>
      </c>
      <c r="C4828" s="4">
        <v>45365.336111111108</v>
      </c>
      <c r="D4828" t="s">
        <v>29109</v>
      </c>
      <c r="E4828" t="s">
        <v>29110</v>
      </c>
      <c r="F4828">
        <v>1</v>
      </c>
      <c r="G4828" t="s">
        <v>2599</v>
      </c>
      <c r="H4828" t="s">
        <v>39</v>
      </c>
      <c r="I4828" t="s">
        <v>40</v>
      </c>
      <c r="J4828" s="2" t="s">
        <v>62</v>
      </c>
      <c r="K4828" t="s">
        <v>42</v>
      </c>
      <c r="L4828" t="s">
        <v>1028</v>
      </c>
      <c r="N4828" t="s">
        <v>1029</v>
      </c>
      <c r="Q4828">
        <v>27717</v>
      </c>
      <c r="R4828" t="s">
        <v>703</v>
      </c>
      <c r="S4828" t="s">
        <v>13899</v>
      </c>
      <c r="T4828">
        <v>20</v>
      </c>
      <c r="U4828" s="2" t="s">
        <v>29111</v>
      </c>
      <c r="V4828" s="1">
        <v>45356</v>
      </c>
      <c r="W4828" t="s">
        <v>1967</v>
      </c>
      <c r="X4828">
        <v>835542</v>
      </c>
      <c r="Y4828" t="s">
        <v>18140</v>
      </c>
      <c r="Z4828" t="s">
        <v>21244</v>
      </c>
      <c r="AA4828" s="2" t="s">
        <v>29112</v>
      </c>
      <c r="AB4828" t="s">
        <v>3063</v>
      </c>
      <c r="AC4828" t="s">
        <v>28004</v>
      </c>
      <c r="AD4828" t="s">
        <v>7189</v>
      </c>
      <c r="AE4828" t="s">
        <v>29113</v>
      </c>
      <c r="AG4828" t="s">
        <v>29114</v>
      </c>
      <c r="AH4828" t="s">
        <v>29115</v>
      </c>
      <c r="AI4828" t="s">
        <v>29116</v>
      </c>
    </row>
    <row r="4829" spans="2:35" ht="375">
      <c r="B4829" s="1">
        <v>45369</v>
      </c>
      <c r="C4829" s="4">
        <v>45365.644444444442</v>
      </c>
      <c r="D4829" t="s">
        <v>29117</v>
      </c>
      <c r="E4829" t="s">
        <v>29118</v>
      </c>
      <c r="F4829">
        <v>2</v>
      </c>
      <c r="G4829" t="s">
        <v>1739</v>
      </c>
      <c r="H4829" t="s">
        <v>39</v>
      </c>
      <c r="I4829" t="s">
        <v>40</v>
      </c>
      <c r="J4829" t="s">
        <v>109</v>
      </c>
      <c r="K4829" t="s">
        <v>42</v>
      </c>
      <c r="L4829" t="s">
        <v>29119</v>
      </c>
      <c r="N4829" t="s">
        <v>29120</v>
      </c>
      <c r="O4829" t="s">
        <v>29120</v>
      </c>
      <c r="Q4829">
        <v>27716</v>
      </c>
      <c r="R4829" t="s">
        <v>45</v>
      </c>
      <c r="S4829" t="s">
        <v>29121</v>
      </c>
      <c r="T4829">
        <v>27</v>
      </c>
      <c r="U4829" s="2" t="s">
        <v>29122</v>
      </c>
      <c r="W4829" t="s">
        <v>24600</v>
      </c>
      <c r="X4829">
        <v>834839</v>
      </c>
      <c r="Y4829" t="s">
        <v>29123</v>
      </c>
      <c r="Z4829" s="2" t="s">
        <v>29124</v>
      </c>
      <c r="AA4829" s="2" t="s">
        <v>29125</v>
      </c>
      <c r="AB4829" t="s">
        <v>181</v>
      </c>
      <c r="AG4829" t="s">
        <v>29126</v>
      </c>
      <c r="AH4829" t="s">
        <v>29127</v>
      </c>
      <c r="AI4829" t="s">
        <v>29128</v>
      </c>
    </row>
    <row r="4830" spans="2:35" ht="255">
      <c r="B4830" s="1">
        <v>45369</v>
      </c>
      <c r="C4830" s="4">
        <v>45365.495833333334</v>
      </c>
      <c r="D4830" t="s">
        <v>29117</v>
      </c>
      <c r="E4830" t="s">
        <v>29118</v>
      </c>
      <c r="F4830">
        <v>2</v>
      </c>
      <c r="G4830" t="s">
        <v>1739</v>
      </c>
      <c r="H4830" t="s">
        <v>39</v>
      </c>
      <c r="I4830" t="s">
        <v>40</v>
      </c>
      <c r="J4830" s="2" t="s">
        <v>190</v>
      </c>
      <c r="K4830" t="s">
        <v>42</v>
      </c>
      <c r="L4830" t="s">
        <v>29119</v>
      </c>
      <c r="N4830" t="s">
        <v>29120</v>
      </c>
      <c r="Q4830">
        <v>27714</v>
      </c>
      <c r="R4830" t="s">
        <v>322</v>
      </c>
      <c r="S4830" t="s">
        <v>29121</v>
      </c>
      <c r="T4830">
        <v>18</v>
      </c>
      <c r="V4830" s="1">
        <v>45365</v>
      </c>
      <c r="W4830" t="s">
        <v>29129</v>
      </c>
      <c r="X4830">
        <v>110001652</v>
      </c>
      <c r="Y4830" t="s">
        <v>29130</v>
      </c>
      <c r="Z4830" s="2" t="s">
        <v>29131</v>
      </c>
      <c r="AA4830" s="2" t="s">
        <v>29132</v>
      </c>
      <c r="AB4830" s="2" t="s">
        <v>29133</v>
      </c>
      <c r="AD4830" t="s">
        <v>29134</v>
      </c>
      <c r="AE4830" t="s">
        <v>103</v>
      </c>
      <c r="AG4830" t="s">
        <v>29135</v>
      </c>
      <c r="AH4830" t="s">
        <v>29127</v>
      </c>
      <c r="AI4830" t="s">
        <v>29136</v>
      </c>
    </row>
    <row r="4831" spans="2:35" ht="360">
      <c r="B4831" s="1">
        <v>45369</v>
      </c>
      <c r="C4831" s="4">
        <v>45365.460416666669</v>
      </c>
      <c r="D4831" t="s">
        <v>29117</v>
      </c>
      <c r="E4831" t="s">
        <v>29118</v>
      </c>
      <c r="F4831">
        <v>2</v>
      </c>
      <c r="G4831" t="s">
        <v>1739</v>
      </c>
      <c r="H4831" t="s">
        <v>39</v>
      </c>
      <c r="I4831" t="s">
        <v>40</v>
      </c>
      <c r="J4831" t="s">
        <v>321</v>
      </c>
      <c r="K4831" t="s">
        <v>42</v>
      </c>
      <c r="L4831" t="s">
        <v>29119</v>
      </c>
      <c r="N4831" t="s">
        <v>29120</v>
      </c>
      <c r="O4831" t="s">
        <v>29120</v>
      </c>
      <c r="Q4831">
        <v>27715</v>
      </c>
      <c r="R4831" t="s">
        <v>45</v>
      </c>
      <c r="S4831" t="s">
        <v>29121</v>
      </c>
      <c r="T4831">
        <v>20</v>
      </c>
      <c r="W4831" t="s">
        <v>29129</v>
      </c>
      <c r="X4831">
        <v>110020685</v>
      </c>
      <c r="Y4831" t="s">
        <v>21799</v>
      </c>
      <c r="Z4831" s="2" t="s">
        <v>29137</v>
      </c>
      <c r="AA4831" s="2" t="s">
        <v>29138</v>
      </c>
      <c r="AB4831" t="s">
        <v>70</v>
      </c>
      <c r="AG4831" t="s">
        <v>29139</v>
      </c>
      <c r="AH4831" t="s">
        <v>29127</v>
      </c>
      <c r="AI4831" t="s">
        <v>29140</v>
      </c>
    </row>
    <row r="4832" spans="2:35" ht="300">
      <c r="B4832" s="1">
        <v>45369</v>
      </c>
      <c r="C4832" s="4">
        <v>45365.336111111108</v>
      </c>
      <c r="D4832" t="s">
        <v>29109</v>
      </c>
      <c r="E4832" t="s">
        <v>29110</v>
      </c>
      <c r="F4832">
        <v>1</v>
      </c>
      <c r="G4832" t="s">
        <v>2599</v>
      </c>
      <c r="H4832" t="s">
        <v>39</v>
      </c>
      <c r="I4832" t="s">
        <v>40</v>
      </c>
      <c r="J4832" s="2" t="s">
        <v>62</v>
      </c>
      <c r="K4832" t="s">
        <v>42</v>
      </c>
      <c r="L4832" t="s">
        <v>1028</v>
      </c>
      <c r="N4832" t="s">
        <v>1029</v>
      </c>
      <c r="Q4832">
        <v>27712</v>
      </c>
      <c r="R4832" t="s">
        <v>703</v>
      </c>
      <c r="S4832" t="s">
        <v>13899</v>
      </c>
      <c r="T4832">
        <v>20</v>
      </c>
      <c r="U4832" s="2" t="s">
        <v>29111</v>
      </c>
      <c r="V4832" s="1">
        <v>45356</v>
      </c>
      <c r="W4832" t="s">
        <v>1967</v>
      </c>
      <c r="X4832">
        <v>835542</v>
      </c>
      <c r="Y4832" t="s">
        <v>18140</v>
      </c>
      <c r="Z4832" t="s">
        <v>21244</v>
      </c>
      <c r="AA4832" s="2" t="s">
        <v>29112</v>
      </c>
      <c r="AB4832" t="s">
        <v>3063</v>
      </c>
      <c r="AC4832" t="s">
        <v>28004</v>
      </c>
      <c r="AD4832" t="s">
        <v>7189</v>
      </c>
      <c r="AE4832" t="s">
        <v>29113</v>
      </c>
      <c r="AG4832" t="s">
        <v>29141</v>
      </c>
      <c r="AH4832" t="s">
        <v>29115</v>
      </c>
      <c r="AI4832" t="s">
        <v>29142</v>
      </c>
    </row>
    <row r="4833" spans="2:35" ht="255">
      <c r="B4833" s="1">
        <v>45369</v>
      </c>
      <c r="C4833" s="4">
        <v>45365.43472222222</v>
      </c>
      <c r="D4833" t="s">
        <v>25902</v>
      </c>
      <c r="E4833" t="s">
        <v>29102</v>
      </c>
      <c r="F4833">
        <v>1</v>
      </c>
      <c r="G4833" t="s">
        <v>2599</v>
      </c>
      <c r="H4833" t="s">
        <v>39</v>
      </c>
      <c r="I4833" t="s">
        <v>40</v>
      </c>
      <c r="J4833" s="2" t="s">
        <v>62</v>
      </c>
      <c r="K4833" t="s">
        <v>42</v>
      </c>
      <c r="L4833" t="s">
        <v>1028</v>
      </c>
      <c r="N4833" t="s">
        <v>1029</v>
      </c>
      <c r="Q4833">
        <v>27713</v>
      </c>
      <c r="R4833" t="s">
        <v>45</v>
      </c>
      <c r="S4833" t="s">
        <v>25904</v>
      </c>
      <c r="T4833">
        <v>28</v>
      </c>
      <c r="U4833" s="2" t="s">
        <v>29103</v>
      </c>
      <c r="W4833" t="s">
        <v>1967</v>
      </c>
      <c r="X4833">
        <v>807597</v>
      </c>
      <c r="Y4833" t="s">
        <v>18140</v>
      </c>
      <c r="Z4833" t="s">
        <v>21244</v>
      </c>
      <c r="AA4833" s="2" t="s">
        <v>29104</v>
      </c>
      <c r="AB4833" t="s">
        <v>28920</v>
      </c>
      <c r="AC4833" t="s">
        <v>29105</v>
      </c>
      <c r="AG4833" t="s">
        <v>29143</v>
      </c>
      <c r="AH4833" t="s">
        <v>29107</v>
      </c>
      <c r="AI4833" t="s">
        <v>29144</v>
      </c>
    </row>
    <row r="4834" spans="2:35" ht="150">
      <c r="B4834" s="1">
        <v>45369</v>
      </c>
      <c r="C4834" s="4">
        <v>45366.59097222222</v>
      </c>
      <c r="D4834" t="s">
        <v>3067</v>
      </c>
      <c r="E4834" t="s">
        <v>25953</v>
      </c>
      <c r="F4834" t="s">
        <v>148</v>
      </c>
      <c r="G4834" t="s">
        <v>447</v>
      </c>
      <c r="H4834" t="s">
        <v>258</v>
      </c>
      <c r="I4834" t="s">
        <v>40</v>
      </c>
      <c r="J4834" t="s">
        <v>583</v>
      </c>
      <c r="K4834" t="s">
        <v>42</v>
      </c>
      <c r="L4834" t="s">
        <v>409</v>
      </c>
      <c r="N4834" t="s">
        <v>410</v>
      </c>
      <c r="Q4834">
        <v>27711</v>
      </c>
      <c r="R4834" t="s">
        <v>45</v>
      </c>
      <c r="S4834" t="s">
        <v>3069</v>
      </c>
      <c r="T4834">
        <v>25</v>
      </c>
      <c r="W4834" t="s">
        <v>138</v>
      </c>
      <c r="X4834">
        <v>838881</v>
      </c>
      <c r="Y4834" t="s">
        <v>301</v>
      </c>
      <c r="Z4834" t="s">
        <v>301</v>
      </c>
      <c r="AA4834" s="2" t="s">
        <v>29145</v>
      </c>
      <c r="AB4834" t="s">
        <v>29146</v>
      </c>
      <c r="AG4834" t="s">
        <v>29147</v>
      </c>
      <c r="AH4834" t="s">
        <v>23675</v>
      </c>
      <c r="AI4834" t="s">
        <v>29148</v>
      </c>
    </row>
    <row r="4835" spans="2:35" ht="345">
      <c r="B4835" s="1">
        <v>45368</v>
      </c>
      <c r="C4835" s="4">
        <v>45363.59097222222</v>
      </c>
      <c r="D4835" t="s">
        <v>5903</v>
      </c>
      <c r="E4835" t="s">
        <v>2569</v>
      </c>
      <c r="F4835" t="s">
        <v>148</v>
      </c>
      <c r="G4835" t="s">
        <v>447</v>
      </c>
      <c r="H4835" t="s">
        <v>662</v>
      </c>
      <c r="I4835" t="s">
        <v>40</v>
      </c>
      <c r="J4835" s="2" t="s">
        <v>41</v>
      </c>
      <c r="K4835" t="s">
        <v>42</v>
      </c>
      <c r="L4835" t="s">
        <v>448</v>
      </c>
      <c r="N4835" t="s">
        <v>650</v>
      </c>
      <c r="Q4835">
        <v>27710</v>
      </c>
      <c r="R4835" t="s">
        <v>322</v>
      </c>
      <c r="S4835" t="s">
        <v>3987</v>
      </c>
      <c r="T4835">
        <v>26</v>
      </c>
      <c r="U4835" s="2" t="s">
        <v>29149</v>
      </c>
      <c r="V4835" s="1">
        <v>45362</v>
      </c>
      <c r="W4835" t="s">
        <v>29150</v>
      </c>
      <c r="X4835">
        <v>110014171</v>
      </c>
      <c r="Y4835" t="s">
        <v>29151</v>
      </c>
      <c r="Z4835" s="2" t="s">
        <v>2585</v>
      </c>
      <c r="AA4835" t="s">
        <v>20643</v>
      </c>
      <c r="AB4835" t="s">
        <v>486</v>
      </c>
      <c r="AD4835" t="s">
        <v>5919</v>
      </c>
      <c r="AE4835">
        <v>11291</v>
      </c>
      <c r="AG4835" t="s">
        <v>29152</v>
      </c>
      <c r="AH4835" t="s">
        <v>12852</v>
      </c>
      <c r="AI4835" t="s">
        <v>29153</v>
      </c>
    </row>
    <row r="4836" spans="2:35" ht="390">
      <c r="B4836" s="1">
        <v>45368</v>
      </c>
      <c r="C4836" s="4">
        <v>45363.616666666669</v>
      </c>
      <c r="D4836" t="s">
        <v>5903</v>
      </c>
      <c r="E4836" t="s">
        <v>661</v>
      </c>
      <c r="F4836" t="s">
        <v>148</v>
      </c>
      <c r="G4836" t="s">
        <v>447</v>
      </c>
      <c r="H4836" t="s">
        <v>386</v>
      </c>
      <c r="I4836" t="s">
        <v>40</v>
      </c>
      <c r="J4836" t="s">
        <v>109</v>
      </c>
      <c r="K4836" t="s">
        <v>387</v>
      </c>
      <c r="L4836" t="s">
        <v>448</v>
      </c>
      <c r="N4836" t="s">
        <v>650</v>
      </c>
      <c r="Q4836">
        <v>27709</v>
      </c>
      <c r="R4836" t="s">
        <v>322</v>
      </c>
      <c r="S4836" t="s">
        <v>9610</v>
      </c>
      <c r="T4836">
        <v>26</v>
      </c>
      <c r="W4836" t="s">
        <v>476</v>
      </c>
      <c r="X4836" t="s">
        <v>5906</v>
      </c>
      <c r="Y4836" t="s">
        <v>485</v>
      </c>
      <c r="Z4836" s="2" t="s">
        <v>23817</v>
      </c>
      <c r="AA4836" t="s">
        <v>6997</v>
      </c>
      <c r="AB4836" t="s">
        <v>486</v>
      </c>
      <c r="AG4836" t="s">
        <v>29154</v>
      </c>
      <c r="AH4836" t="s">
        <v>9614</v>
      </c>
      <c r="AI4836" t="s">
        <v>29155</v>
      </c>
    </row>
    <row r="4837" spans="2:35" ht="180">
      <c r="B4837" s="1">
        <v>45368</v>
      </c>
      <c r="C4837" s="4">
        <v>45364.363888888889</v>
      </c>
      <c r="D4837" t="s">
        <v>3076</v>
      </c>
      <c r="E4837" t="s">
        <v>3077</v>
      </c>
      <c r="F4837" t="s">
        <v>148</v>
      </c>
      <c r="G4837" t="s">
        <v>447</v>
      </c>
      <c r="H4837" t="s">
        <v>39</v>
      </c>
      <c r="I4837" t="s">
        <v>40</v>
      </c>
      <c r="J4837" t="s">
        <v>109</v>
      </c>
      <c r="K4837" t="s">
        <v>42</v>
      </c>
      <c r="L4837" t="s">
        <v>448</v>
      </c>
      <c r="N4837" t="s">
        <v>650</v>
      </c>
      <c r="Q4837">
        <v>27708</v>
      </c>
      <c r="R4837" t="s">
        <v>322</v>
      </c>
      <c r="S4837" t="s">
        <v>3078</v>
      </c>
      <c r="T4837">
        <v>29</v>
      </c>
      <c r="U4837" s="2" t="s">
        <v>29156</v>
      </c>
      <c r="W4837" t="s">
        <v>6121</v>
      </c>
      <c r="X4837">
        <v>831899</v>
      </c>
      <c r="Y4837" t="s">
        <v>485</v>
      </c>
      <c r="Z4837" s="2" t="s">
        <v>2011</v>
      </c>
      <c r="AA4837" t="s">
        <v>6997</v>
      </c>
      <c r="AB4837" t="s">
        <v>486</v>
      </c>
      <c r="AG4837" t="s">
        <v>29157</v>
      </c>
      <c r="AH4837" t="s">
        <v>24685</v>
      </c>
      <c r="AI4837" t="s">
        <v>29158</v>
      </c>
    </row>
    <row r="4838" spans="2:35" ht="255">
      <c r="B4838" s="1">
        <v>45368</v>
      </c>
      <c r="C4838" s="4">
        <v>45364.597916666666</v>
      </c>
      <c r="D4838" t="s">
        <v>29159</v>
      </c>
      <c r="E4838" t="s">
        <v>29160</v>
      </c>
      <c r="F4838" t="s">
        <v>148</v>
      </c>
      <c r="G4838" t="s">
        <v>774</v>
      </c>
      <c r="H4838" t="s">
        <v>39</v>
      </c>
      <c r="I4838" t="s">
        <v>40</v>
      </c>
      <c r="J4838" s="2" t="s">
        <v>41</v>
      </c>
      <c r="K4838" t="s">
        <v>42</v>
      </c>
      <c r="L4838" t="s">
        <v>448</v>
      </c>
      <c r="N4838" t="s">
        <v>650</v>
      </c>
      <c r="Q4838">
        <v>27707</v>
      </c>
      <c r="R4838" t="s">
        <v>45</v>
      </c>
      <c r="S4838" t="s">
        <v>29161</v>
      </c>
      <c r="T4838">
        <v>30</v>
      </c>
      <c r="U4838" s="2" t="s">
        <v>29162</v>
      </c>
      <c r="V4838" s="1">
        <v>45363</v>
      </c>
      <c r="W4838" t="s">
        <v>6121</v>
      </c>
      <c r="X4838">
        <v>807606</v>
      </c>
      <c r="Y4838" t="s">
        <v>29163</v>
      </c>
      <c r="Z4838" s="2" t="s">
        <v>2585</v>
      </c>
      <c r="AA4838" t="s">
        <v>20643</v>
      </c>
      <c r="AB4838" s="2" t="s">
        <v>29164</v>
      </c>
      <c r="AD4838" t="s">
        <v>13296</v>
      </c>
      <c r="AE4838" t="s">
        <v>29165</v>
      </c>
      <c r="AG4838" t="s">
        <v>29166</v>
      </c>
      <c r="AH4838" t="s">
        <v>29167</v>
      </c>
      <c r="AI4838" t="s">
        <v>29168</v>
      </c>
    </row>
    <row r="4839" spans="2:35" ht="210">
      <c r="B4839" s="1">
        <v>45368</v>
      </c>
      <c r="C4839" s="4">
        <v>45365.469444444447</v>
      </c>
      <c r="D4839" t="s">
        <v>29169</v>
      </c>
      <c r="E4839" t="s">
        <v>29170</v>
      </c>
      <c r="F4839" t="s">
        <v>37</v>
      </c>
      <c r="G4839" t="s">
        <v>38</v>
      </c>
      <c r="H4839" t="s">
        <v>39</v>
      </c>
      <c r="I4839" t="s">
        <v>40</v>
      </c>
      <c r="J4839" t="s">
        <v>321</v>
      </c>
      <c r="K4839" t="s">
        <v>42</v>
      </c>
      <c r="L4839" t="s">
        <v>448</v>
      </c>
      <c r="N4839" t="s">
        <v>650</v>
      </c>
      <c r="Q4839">
        <v>27706</v>
      </c>
      <c r="R4839" t="s">
        <v>45</v>
      </c>
      <c r="S4839" t="s">
        <v>29171</v>
      </c>
      <c r="T4839">
        <v>29</v>
      </c>
      <c r="U4839" s="2" t="s">
        <v>25798</v>
      </c>
      <c r="W4839" t="s">
        <v>29172</v>
      </c>
      <c r="X4839">
        <v>120000503</v>
      </c>
      <c r="Y4839" t="s">
        <v>29173</v>
      </c>
      <c r="Z4839" t="s">
        <v>13110</v>
      </c>
      <c r="AA4839" t="s">
        <v>29174</v>
      </c>
      <c r="AB4839" t="s">
        <v>486</v>
      </c>
      <c r="AC4839" t="s">
        <v>29175</v>
      </c>
      <c r="AG4839" t="s">
        <v>29176</v>
      </c>
      <c r="AH4839" t="s">
        <v>29177</v>
      </c>
      <c r="AI4839" t="s">
        <v>29178</v>
      </c>
    </row>
    <row r="4840" spans="2:35" ht="255">
      <c r="B4840" s="1">
        <v>45368</v>
      </c>
      <c r="C4840" s="4">
        <v>45365.59375</v>
      </c>
      <c r="D4840" t="s">
        <v>29179</v>
      </c>
      <c r="E4840" t="s">
        <v>29180</v>
      </c>
      <c r="F4840" t="s">
        <v>37</v>
      </c>
      <c r="G4840" t="s">
        <v>38</v>
      </c>
      <c r="H4840" t="s">
        <v>39</v>
      </c>
      <c r="I4840" t="s">
        <v>40</v>
      </c>
      <c r="J4840" s="2" t="s">
        <v>41</v>
      </c>
      <c r="K4840" t="s">
        <v>42</v>
      </c>
      <c r="L4840" t="s">
        <v>448</v>
      </c>
      <c r="N4840" t="s">
        <v>650</v>
      </c>
      <c r="Q4840">
        <v>27705</v>
      </c>
      <c r="R4840" t="s">
        <v>45</v>
      </c>
      <c r="S4840" t="s">
        <v>29181</v>
      </c>
      <c r="T4840">
        <v>26</v>
      </c>
      <c r="U4840" s="2" t="s">
        <v>18086</v>
      </c>
      <c r="V4840" s="1">
        <v>45363</v>
      </c>
      <c r="W4840" t="s">
        <v>6121</v>
      </c>
      <c r="X4840">
        <v>838161</v>
      </c>
      <c r="Y4840" t="s">
        <v>29182</v>
      </c>
      <c r="Z4840" s="2" t="s">
        <v>2585</v>
      </c>
      <c r="AA4840" t="s">
        <v>20643</v>
      </c>
      <c r="AB4840" t="s">
        <v>486</v>
      </c>
      <c r="AD4840" t="s">
        <v>13296</v>
      </c>
      <c r="AE4840" t="s">
        <v>29183</v>
      </c>
      <c r="AG4840" t="s">
        <v>29184</v>
      </c>
      <c r="AH4840" t="s">
        <v>29185</v>
      </c>
      <c r="AI4840" t="s">
        <v>29186</v>
      </c>
    </row>
    <row r="4841" spans="2:35" ht="90">
      <c r="B4841" s="1">
        <v>45366</v>
      </c>
      <c r="C4841" s="4">
        <v>45364.601388888892</v>
      </c>
      <c r="D4841" t="s">
        <v>26058</v>
      </c>
      <c r="E4841" t="s">
        <v>26059</v>
      </c>
      <c r="F4841" t="s">
        <v>148</v>
      </c>
      <c r="G4841" t="s">
        <v>371</v>
      </c>
      <c r="H4841" t="s">
        <v>39</v>
      </c>
      <c r="I4841" t="s">
        <v>40</v>
      </c>
      <c r="J4841" t="s">
        <v>79</v>
      </c>
      <c r="K4841" t="s">
        <v>42</v>
      </c>
      <c r="L4841" t="s">
        <v>175</v>
      </c>
      <c r="N4841" t="s">
        <v>176</v>
      </c>
      <c r="Q4841">
        <v>27704</v>
      </c>
      <c r="R4841" t="s">
        <v>45</v>
      </c>
      <c r="S4841" t="s">
        <v>26060</v>
      </c>
      <c r="T4841">
        <v>25</v>
      </c>
      <c r="V4841" s="1">
        <v>45364</v>
      </c>
      <c r="W4841" t="s">
        <v>84</v>
      </c>
      <c r="X4841">
        <v>838856</v>
      </c>
      <c r="Y4841" t="s">
        <v>29187</v>
      </c>
      <c r="Z4841" t="s">
        <v>29188</v>
      </c>
      <c r="AA4841" t="e">
        <f ca="1">- replaced B3, B4
- generated reports
- performed functionality test</f>
        <v>#NAME?</v>
      </c>
      <c r="AB4841" t="s">
        <v>181</v>
      </c>
      <c r="AD4841" s="2" t="s">
        <v>29189</v>
      </c>
      <c r="AE4841" t="s">
        <v>103</v>
      </c>
      <c r="AG4841" t="s">
        <v>29190</v>
      </c>
      <c r="AH4841" t="s">
        <v>29191</v>
      </c>
      <c r="AI4841" t="s">
        <v>29192</v>
      </c>
    </row>
    <row r="4842" spans="2:35" ht="180">
      <c r="B4842" s="1">
        <v>45366</v>
      </c>
      <c r="C4842" s="4">
        <v>45366.568749999999</v>
      </c>
      <c r="D4842" t="s">
        <v>11901</v>
      </c>
      <c r="E4842" t="s">
        <v>7772</v>
      </c>
      <c r="F4842">
        <v>6</v>
      </c>
      <c r="G4842" t="s">
        <v>1234</v>
      </c>
      <c r="H4842" t="s">
        <v>39</v>
      </c>
      <c r="I4842" t="s">
        <v>40</v>
      </c>
      <c r="J4842" s="2" t="s">
        <v>220</v>
      </c>
      <c r="K4842" t="s">
        <v>42</v>
      </c>
      <c r="L4842" t="s">
        <v>433</v>
      </c>
      <c r="N4842" t="s">
        <v>434</v>
      </c>
      <c r="Q4842">
        <v>27703</v>
      </c>
      <c r="R4842" t="s">
        <v>45</v>
      </c>
      <c r="S4842" t="s">
        <v>29193</v>
      </c>
      <c r="T4842">
        <v>28</v>
      </c>
      <c r="W4842" t="s">
        <v>2384</v>
      </c>
      <c r="X4842">
        <v>804838</v>
      </c>
      <c r="Y4842" t="s">
        <v>29194</v>
      </c>
      <c r="Z4842" s="2" t="s">
        <v>29195</v>
      </c>
      <c r="AA4842" s="2" t="s">
        <v>29195</v>
      </c>
      <c r="AB4842" t="s">
        <v>1011</v>
      </c>
      <c r="AG4842" t="s">
        <v>29196</v>
      </c>
      <c r="AH4842" t="s">
        <v>29197</v>
      </c>
      <c r="AI4842" t="s">
        <v>29198</v>
      </c>
    </row>
    <row r="4843" spans="2:35">
      <c r="B4843" s="1">
        <v>45366</v>
      </c>
      <c r="C4843" s="4">
        <v>45366.573611111111</v>
      </c>
      <c r="D4843" t="s">
        <v>369</v>
      </c>
      <c r="E4843" t="s">
        <v>29199</v>
      </c>
      <c r="F4843" t="s">
        <v>148</v>
      </c>
      <c r="G4843" t="s">
        <v>371</v>
      </c>
      <c r="H4843" t="s">
        <v>39</v>
      </c>
      <c r="I4843" t="s">
        <v>40</v>
      </c>
      <c r="J4843" t="s">
        <v>321</v>
      </c>
      <c r="K4843" t="s">
        <v>42</v>
      </c>
      <c r="L4843" t="s">
        <v>175</v>
      </c>
      <c r="N4843" t="s">
        <v>176</v>
      </c>
      <c r="Q4843">
        <v>27702</v>
      </c>
      <c r="R4843" t="s">
        <v>45</v>
      </c>
      <c r="S4843" t="s">
        <v>29200</v>
      </c>
      <c r="T4843">
        <v>25</v>
      </c>
      <c r="W4843" t="s">
        <v>423</v>
      </c>
      <c r="X4843">
        <v>110020277</v>
      </c>
      <c r="Y4843" t="s">
        <v>8338</v>
      </c>
      <c r="Z4843" t="s">
        <v>6430</v>
      </c>
      <c r="AA4843" t="e">
        <f ca="1">- installed Unit
- installed ultra Assay
- generated IQR
- performed functionality test</f>
        <v>#NAME?</v>
      </c>
      <c r="AB4843" t="s">
        <v>181</v>
      </c>
      <c r="AG4843" t="s">
        <v>29201</v>
      </c>
      <c r="AH4843" t="s">
        <v>29202</v>
      </c>
      <c r="AI4843" t="s">
        <v>29203</v>
      </c>
    </row>
    <row r="4844" spans="2:35" ht="409.5">
      <c r="B4844" s="1">
        <v>45366</v>
      </c>
      <c r="C4844" s="4">
        <v>45366.490972222222</v>
      </c>
      <c r="D4844" t="s">
        <v>29204</v>
      </c>
      <c r="E4844" t="s">
        <v>29205</v>
      </c>
      <c r="F4844" t="s">
        <v>37</v>
      </c>
      <c r="G4844" t="s">
        <v>748</v>
      </c>
      <c r="H4844" t="s">
        <v>39</v>
      </c>
      <c r="I4844" t="s">
        <v>40</v>
      </c>
      <c r="J4844" s="2" t="s">
        <v>1808</v>
      </c>
      <c r="K4844" t="s">
        <v>42</v>
      </c>
      <c r="L4844" t="s">
        <v>1943</v>
      </c>
      <c r="N4844" t="s">
        <v>1944</v>
      </c>
      <c r="Q4844">
        <v>27701</v>
      </c>
      <c r="R4844" t="s">
        <v>45</v>
      </c>
      <c r="S4844" t="s">
        <v>29206</v>
      </c>
      <c r="T4844">
        <v>25</v>
      </c>
      <c r="V4844" s="1">
        <v>45362</v>
      </c>
      <c r="W4844" t="s">
        <v>84</v>
      </c>
      <c r="X4844">
        <v>807583</v>
      </c>
      <c r="Y4844" s="2" t="s">
        <v>29207</v>
      </c>
      <c r="Z4844" t="s">
        <v>29208</v>
      </c>
      <c r="AA4844" s="2" t="s">
        <v>29209</v>
      </c>
      <c r="AB4844" t="s">
        <v>88</v>
      </c>
      <c r="AD4844" t="s">
        <v>29210</v>
      </c>
      <c r="AE4844" t="s">
        <v>8904</v>
      </c>
      <c r="AG4844" t="s">
        <v>29211</v>
      </c>
      <c r="AH4844" t="s">
        <v>29212</v>
      </c>
      <c r="AI4844" t="s">
        <v>29213</v>
      </c>
    </row>
    <row r="4845" spans="2:35" ht="135">
      <c r="B4845" s="1">
        <v>45366</v>
      </c>
      <c r="C4845" s="4">
        <v>45366.404166666667</v>
      </c>
      <c r="D4845" t="s">
        <v>29214</v>
      </c>
      <c r="E4845" t="s">
        <v>6103</v>
      </c>
      <c r="F4845">
        <v>10</v>
      </c>
      <c r="G4845" t="s">
        <v>2392</v>
      </c>
      <c r="H4845" t="s">
        <v>39</v>
      </c>
      <c r="I4845" t="s">
        <v>94</v>
      </c>
      <c r="J4845" s="2" t="s">
        <v>190</v>
      </c>
      <c r="K4845" t="s">
        <v>42</v>
      </c>
      <c r="L4845" t="s">
        <v>594</v>
      </c>
      <c r="N4845" t="s">
        <v>595</v>
      </c>
      <c r="Q4845">
        <v>27700</v>
      </c>
      <c r="R4845" t="s">
        <v>45</v>
      </c>
      <c r="S4845" t="s">
        <v>23403</v>
      </c>
      <c r="T4845">
        <v>24</v>
      </c>
      <c r="V4845" s="1">
        <v>45295</v>
      </c>
      <c r="W4845" t="s">
        <v>360</v>
      </c>
      <c r="X4845">
        <v>807457</v>
      </c>
      <c r="Y4845" t="s">
        <v>29215</v>
      </c>
      <c r="Z4845" t="s">
        <v>7292</v>
      </c>
      <c r="AA4845" s="2" t="s">
        <v>29216</v>
      </c>
      <c r="AB4845" t="s">
        <v>29217</v>
      </c>
      <c r="AG4845" t="s">
        <v>29218</v>
      </c>
      <c r="AH4845" t="s">
        <v>23407</v>
      </c>
      <c r="AI4845" t="s">
        <v>29219</v>
      </c>
    </row>
    <row r="4846" spans="2:35" ht="195">
      <c r="B4846" s="1">
        <v>45365</v>
      </c>
      <c r="C4846" s="4">
        <v>45365.888194444444</v>
      </c>
      <c r="D4846" t="s">
        <v>29220</v>
      </c>
      <c r="E4846" t="s">
        <v>6103</v>
      </c>
      <c r="F4846">
        <v>10</v>
      </c>
      <c r="G4846" t="s">
        <v>2392</v>
      </c>
      <c r="H4846" t="s">
        <v>39</v>
      </c>
      <c r="I4846" t="s">
        <v>94</v>
      </c>
      <c r="J4846" t="s">
        <v>321</v>
      </c>
      <c r="K4846" t="s">
        <v>42</v>
      </c>
      <c r="L4846" t="s">
        <v>594</v>
      </c>
      <c r="N4846" t="s">
        <v>595</v>
      </c>
      <c r="O4846" t="s">
        <v>595</v>
      </c>
      <c r="Q4846">
        <v>27699</v>
      </c>
      <c r="R4846" t="s">
        <v>45</v>
      </c>
      <c r="S4846" t="s">
        <v>23403</v>
      </c>
      <c r="T4846">
        <v>23</v>
      </c>
      <c r="V4846" s="1">
        <v>45365</v>
      </c>
      <c r="W4846" t="s">
        <v>2591</v>
      </c>
      <c r="X4846">
        <v>110020384</v>
      </c>
      <c r="Y4846" t="s">
        <v>6010</v>
      </c>
      <c r="Z4846" t="s">
        <v>3764</v>
      </c>
      <c r="AA4846" s="2" t="s">
        <v>29221</v>
      </c>
      <c r="AB4846" s="2" t="s">
        <v>29222</v>
      </c>
      <c r="AG4846" t="s">
        <v>29223</v>
      </c>
      <c r="AH4846" t="s">
        <v>23407</v>
      </c>
      <c r="AI4846" t="s">
        <v>29224</v>
      </c>
    </row>
    <row r="4847" spans="2:35" ht="330">
      <c r="B4847" s="1">
        <v>45365</v>
      </c>
      <c r="C4847" s="4">
        <v>45365.789583333331</v>
      </c>
      <c r="D4847" t="s">
        <v>29225</v>
      </c>
      <c r="E4847" t="s">
        <v>29226</v>
      </c>
      <c r="F4847">
        <v>10</v>
      </c>
      <c r="G4847" t="s">
        <v>5571</v>
      </c>
      <c r="H4847" t="s">
        <v>10969</v>
      </c>
      <c r="I4847" t="s">
        <v>40</v>
      </c>
      <c r="J4847" s="2" t="s">
        <v>41</v>
      </c>
      <c r="K4847" t="s">
        <v>42</v>
      </c>
      <c r="L4847" t="s">
        <v>1288</v>
      </c>
      <c r="N4847" t="s">
        <v>1289</v>
      </c>
      <c r="Q4847">
        <v>27698</v>
      </c>
      <c r="R4847" t="s">
        <v>45</v>
      </c>
      <c r="S4847" t="s">
        <v>29227</v>
      </c>
      <c r="T4847">
        <v>30</v>
      </c>
      <c r="U4847" s="2" t="s">
        <v>1236</v>
      </c>
      <c r="W4847" t="s">
        <v>1292</v>
      </c>
      <c r="X4847">
        <v>847252</v>
      </c>
      <c r="Y4847" t="s">
        <v>16599</v>
      </c>
      <c r="Z4847" t="e">
        <f ca="1">-COLLECT IQR, system _xludf.Log, _xludf.and ARCHIVE</f>
        <v>#NAME?</v>
      </c>
      <c r="AA4847" s="2" t="s">
        <v>29228</v>
      </c>
      <c r="AB4847" t="s">
        <v>1293</v>
      </c>
      <c r="AC4847" t="s">
        <v>29229</v>
      </c>
      <c r="AG4847" t="s">
        <v>29230</v>
      </c>
      <c r="AH4847" t="s">
        <v>29231</v>
      </c>
      <c r="AI4847" t="s">
        <v>29232</v>
      </c>
    </row>
    <row r="4848" spans="2:35" ht="409.5">
      <c r="B4848" s="1">
        <v>45365</v>
      </c>
      <c r="C4848" s="4">
        <v>45365.715277777781</v>
      </c>
      <c r="D4848" t="s">
        <v>837</v>
      </c>
      <c r="E4848" t="s">
        <v>27098</v>
      </c>
      <c r="F4848">
        <v>5</v>
      </c>
      <c r="G4848" t="s">
        <v>839</v>
      </c>
      <c r="H4848" t="s">
        <v>22288</v>
      </c>
      <c r="I4848" t="s">
        <v>40</v>
      </c>
      <c r="J4848" s="2" t="s">
        <v>41</v>
      </c>
      <c r="K4848" t="s">
        <v>42</v>
      </c>
      <c r="L4848" t="s">
        <v>761</v>
      </c>
      <c r="N4848" t="s">
        <v>762</v>
      </c>
      <c r="Q4848">
        <v>27697</v>
      </c>
      <c r="R4848" t="s">
        <v>45</v>
      </c>
      <c r="S4848" t="s">
        <v>29233</v>
      </c>
      <c r="T4848">
        <v>28</v>
      </c>
      <c r="U4848" s="2" t="s">
        <v>29234</v>
      </c>
      <c r="W4848" t="s">
        <v>765</v>
      </c>
      <c r="X4848">
        <v>842225</v>
      </c>
      <c r="Y4848" t="s">
        <v>29235</v>
      </c>
      <c r="Z4848" s="2" t="s">
        <v>29236</v>
      </c>
      <c r="AA4848" t="s">
        <v>29237</v>
      </c>
      <c r="AB4848" t="s">
        <v>70</v>
      </c>
      <c r="AG4848" t="s">
        <v>29238</v>
      </c>
      <c r="AH4848" t="s">
        <v>29239</v>
      </c>
      <c r="AI4848" t="s">
        <v>29240</v>
      </c>
    </row>
    <row r="4849" spans="2:35" ht="345">
      <c r="B4849" s="1">
        <v>45365</v>
      </c>
      <c r="C4849" s="4">
        <v>45365.714583333334</v>
      </c>
      <c r="D4849" t="s">
        <v>29241</v>
      </c>
      <c r="E4849" t="s">
        <v>29242</v>
      </c>
      <c r="F4849">
        <v>10</v>
      </c>
      <c r="G4849" t="s">
        <v>2392</v>
      </c>
      <c r="H4849" t="s">
        <v>608</v>
      </c>
      <c r="I4849" t="s">
        <v>94</v>
      </c>
      <c r="J4849" t="s">
        <v>29243</v>
      </c>
      <c r="K4849" t="s">
        <v>42</v>
      </c>
      <c r="L4849" t="s">
        <v>610</v>
      </c>
      <c r="N4849" t="s">
        <v>611</v>
      </c>
      <c r="Q4849">
        <v>27696</v>
      </c>
      <c r="R4849" t="s">
        <v>45</v>
      </c>
      <c r="S4849" t="s">
        <v>29244</v>
      </c>
      <c r="T4849">
        <v>21</v>
      </c>
      <c r="U4849" s="2" t="s">
        <v>29245</v>
      </c>
      <c r="W4849" t="s">
        <v>360</v>
      </c>
      <c r="X4849">
        <v>807673</v>
      </c>
      <c r="Y4849" s="2" t="s">
        <v>29246</v>
      </c>
      <c r="Z4849" s="2" t="s">
        <v>29246</v>
      </c>
      <c r="AA4849" s="2" t="s">
        <v>29246</v>
      </c>
      <c r="AB4849" t="s">
        <v>29247</v>
      </c>
      <c r="AG4849" t="s">
        <v>29248</v>
      </c>
      <c r="AH4849" t="s">
        <v>29249</v>
      </c>
      <c r="AI4849" t="s">
        <v>29250</v>
      </c>
    </row>
    <row r="4850" spans="2:35" ht="390">
      <c r="B4850" s="1">
        <v>45365</v>
      </c>
      <c r="C4850" s="4">
        <v>45365.70416666667</v>
      </c>
      <c r="D4850" t="s">
        <v>29241</v>
      </c>
      <c r="E4850" t="s">
        <v>29242</v>
      </c>
      <c r="F4850">
        <v>10</v>
      </c>
      <c r="G4850" t="s">
        <v>2392</v>
      </c>
      <c r="H4850" t="s">
        <v>608</v>
      </c>
      <c r="I4850" t="s">
        <v>94</v>
      </c>
      <c r="J4850" t="s">
        <v>321</v>
      </c>
      <c r="K4850" t="s">
        <v>42</v>
      </c>
      <c r="L4850" t="s">
        <v>610</v>
      </c>
      <c r="N4850" t="s">
        <v>611</v>
      </c>
      <c r="Q4850">
        <v>27695</v>
      </c>
      <c r="R4850" t="s">
        <v>45</v>
      </c>
      <c r="S4850" t="s">
        <v>29244</v>
      </c>
      <c r="T4850">
        <v>21</v>
      </c>
      <c r="U4850" s="2" t="s">
        <v>11398</v>
      </c>
      <c r="W4850" t="s">
        <v>360</v>
      </c>
      <c r="X4850">
        <v>120000612</v>
      </c>
      <c r="Y4850" t="s">
        <v>29251</v>
      </c>
      <c r="Z4850" s="2" t="s">
        <v>29252</v>
      </c>
      <c r="AA4850" s="2" t="s">
        <v>29253</v>
      </c>
      <c r="AB4850" t="s">
        <v>29254</v>
      </c>
      <c r="AG4850" t="s">
        <v>29255</v>
      </c>
      <c r="AH4850" t="s">
        <v>29249</v>
      </c>
      <c r="AI4850" t="s">
        <v>29256</v>
      </c>
    </row>
    <row r="4851" spans="2:35" ht="375">
      <c r="B4851" s="1">
        <v>45365</v>
      </c>
      <c r="C4851" s="4">
        <v>45365.624305555553</v>
      </c>
      <c r="D4851" t="s">
        <v>26154</v>
      </c>
      <c r="E4851" t="s">
        <v>26155</v>
      </c>
      <c r="F4851">
        <v>3</v>
      </c>
      <c r="G4851" t="s">
        <v>1722</v>
      </c>
      <c r="H4851" t="s">
        <v>39</v>
      </c>
      <c r="I4851" t="s">
        <v>40</v>
      </c>
      <c r="J4851" s="2" t="s">
        <v>62</v>
      </c>
      <c r="K4851" t="s">
        <v>42</v>
      </c>
      <c r="L4851" t="s">
        <v>63</v>
      </c>
      <c r="N4851" t="s">
        <v>64</v>
      </c>
      <c r="Q4851">
        <v>27694</v>
      </c>
      <c r="R4851" t="s">
        <v>45</v>
      </c>
      <c r="S4851" t="s">
        <v>29257</v>
      </c>
      <c r="T4851">
        <v>28</v>
      </c>
      <c r="U4851" s="2" t="s">
        <v>29258</v>
      </c>
      <c r="V4851" s="1">
        <v>45365</v>
      </c>
      <c r="W4851" t="s">
        <v>29259</v>
      </c>
      <c r="X4851">
        <v>834804</v>
      </c>
      <c r="Y4851" t="s">
        <v>1716</v>
      </c>
      <c r="Z4851" t="s">
        <v>1716</v>
      </c>
      <c r="AA4851" s="2" t="s">
        <v>29260</v>
      </c>
      <c r="AB4851" t="s">
        <v>29261</v>
      </c>
      <c r="AC4851" t="s">
        <v>29262</v>
      </c>
      <c r="AD4851" t="s">
        <v>29263</v>
      </c>
      <c r="AE4851" t="s">
        <v>1716</v>
      </c>
      <c r="AG4851" t="s">
        <v>29264</v>
      </c>
      <c r="AH4851" t="s">
        <v>26160</v>
      </c>
      <c r="AI4851" t="s">
        <v>29265</v>
      </c>
    </row>
    <row r="4852" spans="2:35" ht="90">
      <c r="B4852" s="1">
        <v>45365</v>
      </c>
      <c r="C4852" s="4">
        <v>45365.609027777777</v>
      </c>
      <c r="D4852" t="s">
        <v>3139</v>
      </c>
      <c r="E4852" t="s">
        <v>3140</v>
      </c>
      <c r="F4852">
        <v>3</v>
      </c>
      <c r="G4852" t="s">
        <v>174</v>
      </c>
      <c r="H4852" t="s">
        <v>61</v>
      </c>
      <c r="I4852" t="s">
        <v>40</v>
      </c>
      <c r="J4852" t="s">
        <v>79</v>
      </c>
      <c r="K4852" t="s">
        <v>42</v>
      </c>
      <c r="L4852" t="s">
        <v>175</v>
      </c>
      <c r="N4852" t="s">
        <v>176</v>
      </c>
      <c r="Q4852">
        <v>27693</v>
      </c>
      <c r="R4852" t="s">
        <v>45</v>
      </c>
      <c r="S4852" t="s">
        <v>18595</v>
      </c>
      <c r="T4852">
        <v>25</v>
      </c>
      <c r="V4852" s="1">
        <v>45365</v>
      </c>
      <c r="W4852" t="s">
        <v>84</v>
      </c>
      <c r="X4852">
        <v>834623</v>
      </c>
      <c r="Y4852" t="s">
        <v>29266</v>
      </c>
      <c r="Z4852" t="s">
        <v>29267</v>
      </c>
      <c r="AA4852" t="e">
        <f ca="1">- checked _xludf.and cleaned cartridge bay, plunger rod, _xludf.filter, icore slot
- replaced module A3, A4
- generated reports</f>
        <v>#NAME?</v>
      </c>
      <c r="AB4852" t="s">
        <v>181</v>
      </c>
      <c r="AD4852" s="2" t="s">
        <v>29268</v>
      </c>
      <c r="AE4852" t="s">
        <v>103</v>
      </c>
      <c r="AG4852" t="s">
        <v>29269</v>
      </c>
      <c r="AH4852" t="s">
        <v>18598</v>
      </c>
      <c r="AI4852" t="s">
        <v>29270</v>
      </c>
    </row>
    <row r="4853" spans="2:35" ht="195">
      <c r="B4853" s="1">
        <v>45365</v>
      </c>
      <c r="C4853" s="4">
        <v>45365.588194444441</v>
      </c>
      <c r="D4853" t="s">
        <v>7155</v>
      </c>
      <c r="E4853" t="s">
        <v>21264</v>
      </c>
      <c r="F4853">
        <v>5</v>
      </c>
      <c r="G4853" t="s">
        <v>839</v>
      </c>
      <c r="H4853" t="s">
        <v>29271</v>
      </c>
      <c r="I4853" t="s">
        <v>94</v>
      </c>
      <c r="J4853" t="s">
        <v>109</v>
      </c>
      <c r="K4853" t="s">
        <v>42</v>
      </c>
      <c r="L4853" t="s">
        <v>761</v>
      </c>
      <c r="N4853" t="s">
        <v>762</v>
      </c>
      <c r="Q4853">
        <v>27692</v>
      </c>
      <c r="R4853" t="s">
        <v>119</v>
      </c>
      <c r="S4853" t="s">
        <v>7158</v>
      </c>
      <c r="T4853">
        <v>27</v>
      </c>
      <c r="U4853" s="2" t="s">
        <v>29272</v>
      </c>
      <c r="W4853" t="s">
        <v>765</v>
      </c>
      <c r="X4853">
        <v>838496</v>
      </c>
      <c r="Y4853" s="2" t="s">
        <v>29273</v>
      </c>
      <c r="Z4853" s="2" t="s">
        <v>29274</v>
      </c>
      <c r="AA4853" t="s">
        <v>820</v>
      </c>
      <c r="AB4853" t="s">
        <v>70</v>
      </c>
      <c r="AC4853" t="s">
        <v>29275</v>
      </c>
      <c r="AG4853" t="s">
        <v>29276</v>
      </c>
      <c r="AH4853" t="s">
        <v>7162</v>
      </c>
      <c r="AI4853" t="s">
        <v>29277</v>
      </c>
    </row>
    <row r="4854" spans="2:35" ht="105">
      <c r="B4854" s="1">
        <v>45365</v>
      </c>
      <c r="C4854" s="4">
        <v>45365.560416666667</v>
      </c>
      <c r="D4854" t="s">
        <v>29278</v>
      </c>
      <c r="E4854" t="s">
        <v>29279</v>
      </c>
      <c r="F4854">
        <v>9</v>
      </c>
      <c r="G4854" t="s">
        <v>2197</v>
      </c>
      <c r="H4854" t="s">
        <v>39</v>
      </c>
      <c r="I4854" t="s">
        <v>94</v>
      </c>
      <c r="J4854" s="2" t="s">
        <v>29280</v>
      </c>
      <c r="K4854" t="s">
        <v>42</v>
      </c>
      <c r="L4854" t="s">
        <v>1257</v>
      </c>
      <c r="N4854" t="s">
        <v>2199</v>
      </c>
      <c r="O4854" t="s">
        <v>1258</v>
      </c>
      <c r="Q4854">
        <v>27691</v>
      </c>
      <c r="R4854" t="s">
        <v>45</v>
      </c>
      <c r="S4854" t="s">
        <v>29281</v>
      </c>
      <c r="T4854">
        <v>27</v>
      </c>
      <c r="V4854" s="1">
        <v>44999</v>
      </c>
      <c r="W4854" t="s">
        <v>29282</v>
      </c>
      <c r="X4854">
        <v>834828</v>
      </c>
      <c r="Y4854" t="s">
        <v>29283</v>
      </c>
      <c r="Z4854" t="s">
        <v>29284</v>
      </c>
      <c r="AA4854" t="s">
        <v>29285</v>
      </c>
      <c r="AB4854" t="s">
        <v>29286</v>
      </c>
      <c r="AC4854" t="s">
        <v>29287</v>
      </c>
      <c r="AD4854" t="s">
        <v>54</v>
      </c>
      <c r="AE4854" t="s">
        <v>54</v>
      </c>
      <c r="AG4854" t="s">
        <v>29288</v>
      </c>
      <c r="AH4854" t="s">
        <v>29289</v>
      </c>
      <c r="AI4854" t="s">
        <v>29290</v>
      </c>
    </row>
    <row r="4855" spans="2:35" ht="285">
      <c r="B4855" s="1">
        <v>45365</v>
      </c>
      <c r="C4855" s="4">
        <v>45365.538194444445</v>
      </c>
      <c r="D4855" t="s">
        <v>23295</v>
      </c>
      <c r="E4855" t="s">
        <v>23296</v>
      </c>
      <c r="F4855">
        <v>3</v>
      </c>
      <c r="G4855" t="s">
        <v>174</v>
      </c>
      <c r="H4855" t="s">
        <v>39</v>
      </c>
      <c r="I4855" t="s">
        <v>40</v>
      </c>
      <c r="J4855" t="s">
        <v>525</v>
      </c>
      <c r="K4855" t="s">
        <v>42</v>
      </c>
      <c r="L4855" t="s">
        <v>175</v>
      </c>
      <c r="N4855" t="s">
        <v>176</v>
      </c>
      <c r="Q4855">
        <v>27690</v>
      </c>
      <c r="R4855" t="s">
        <v>45</v>
      </c>
      <c r="S4855" t="s">
        <v>23297</v>
      </c>
      <c r="T4855">
        <v>25</v>
      </c>
      <c r="W4855" t="s">
        <v>84</v>
      </c>
      <c r="X4855">
        <v>807466</v>
      </c>
      <c r="Y4855" t="s">
        <v>24410</v>
      </c>
      <c r="Z4855" t="s">
        <v>768</v>
      </c>
      <c r="AA4855" t="e">
        <f ca="1">- performed _xludf.Power on test (Failed)
- performed Back up test (Failed)</f>
        <v>#NAME?</v>
      </c>
      <c r="AB4855" s="2" t="s">
        <v>29291</v>
      </c>
      <c r="AG4855" t="s">
        <v>29292</v>
      </c>
      <c r="AH4855" t="s">
        <v>23303</v>
      </c>
      <c r="AI4855" t="s">
        <v>29293</v>
      </c>
    </row>
    <row r="4856" spans="2:35" ht="255">
      <c r="B4856" s="1">
        <v>45365</v>
      </c>
      <c r="C4856" s="4">
        <v>45365.445833333331</v>
      </c>
      <c r="D4856" t="s">
        <v>28088</v>
      </c>
      <c r="E4856" t="s">
        <v>29294</v>
      </c>
      <c r="F4856" t="s">
        <v>1255</v>
      </c>
      <c r="G4856" t="s">
        <v>1887</v>
      </c>
      <c r="H4856" t="s">
        <v>61</v>
      </c>
      <c r="I4856" t="s">
        <v>94</v>
      </c>
      <c r="J4856" s="2" t="s">
        <v>190</v>
      </c>
      <c r="K4856" t="s">
        <v>42</v>
      </c>
      <c r="L4856" t="s">
        <v>204</v>
      </c>
      <c r="N4856" t="s">
        <v>205</v>
      </c>
      <c r="Q4856">
        <v>27689</v>
      </c>
      <c r="R4856" t="s">
        <v>45</v>
      </c>
      <c r="S4856" t="s">
        <v>1888</v>
      </c>
      <c r="T4856">
        <v>22.5</v>
      </c>
      <c r="U4856" s="2" t="s">
        <v>29295</v>
      </c>
      <c r="W4856" t="s">
        <v>23237</v>
      </c>
      <c r="X4856">
        <v>834442</v>
      </c>
      <c r="Y4856" t="s">
        <v>29296</v>
      </c>
      <c r="Z4856" s="2" t="s">
        <v>1892</v>
      </c>
      <c r="AA4856" t="s">
        <v>2924</v>
      </c>
      <c r="AB4856" t="s">
        <v>29297</v>
      </c>
      <c r="AG4856" t="s">
        <v>29298</v>
      </c>
      <c r="AH4856" t="s">
        <v>29299</v>
      </c>
      <c r="AI4856" t="s">
        <v>29300</v>
      </c>
    </row>
    <row r="4857" spans="2:35" ht="150">
      <c r="B4857" s="1">
        <v>45365</v>
      </c>
      <c r="C4857" s="4">
        <v>45365.45</v>
      </c>
      <c r="D4857" t="s">
        <v>1885</v>
      </c>
      <c r="E4857" t="s">
        <v>2136</v>
      </c>
      <c r="F4857" t="s">
        <v>1255</v>
      </c>
      <c r="G4857" t="s">
        <v>1887</v>
      </c>
      <c r="H4857" t="s">
        <v>295</v>
      </c>
      <c r="I4857" t="s">
        <v>94</v>
      </c>
      <c r="J4857" t="s">
        <v>109</v>
      </c>
      <c r="K4857" t="s">
        <v>42</v>
      </c>
      <c r="L4857" t="s">
        <v>296</v>
      </c>
      <c r="N4857" t="s">
        <v>297</v>
      </c>
      <c r="Q4857">
        <v>27688</v>
      </c>
      <c r="R4857" t="s">
        <v>45</v>
      </c>
      <c r="S4857" t="s">
        <v>29301</v>
      </c>
      <c r="T4857">
        <v>23.4</v>
      </c>
      <c r="U4857" s="2" t="s">
        <v>29295</v>
      </c>
      <c r="W4857" t="s">
        <v>23049</v>
      </c>
      <c r="X4857">
        <v>834441</v>
      </c>
      <c r="Y4857" t="s">
        <v>54</v>
      </c>
      <c r="Z4857" s="2" t="s">
        <v>27002</v>
      </c>
      <c r="AA4857" t="s">
        <v>9161</v>
      </c>
      <c r="AB4857" t="s">
        <v>972</v>
      </c>
      <c r="AG4857" t="s">
        <v>29302</v>
      </c>
      <c r="AH4857" t="s">
        <v>29299</v>
      </c>
      <c r="AI4857" t="s">
        <v>29303</v>
      </c>
    </row>
    <row r="4858" spans="2:35" ht="300">
      <c r="B4858" s="1">
        <v>45365</v>
      </c>
      <c r="C4858" s="4">
        <v>45365.407638888886</v>
      </c>
      <c r="D4858" t="s">
        <v>1885</v>
      </c>
      <c r="E4858" t="s">
        <v>2136</v>
      </c>
      <c r="F4858" t="s">
        <v>1255</v>
      </c>
      <c r="G4858" t="s">
        <v>1887</v>
      </c>
      <c r="H4858" t="s">
        <v>295</v>
      </c>
      <c r="I4858" t="s">
        <v>40</v>
      </c>
      <c r="J4858" s="2" t="s">
        <v>190</v>
      </c>
      <c r="K4858" t="s">
        <v>42</v>
      </c>
      <c r="L4858" t="s">
        <v>296</v>
      </c>
      <c r="N4858" t="s">
        <v>297</v>
      </c>
      <c r="Q4858">
        <v>27687</v>
      </c>
      <c r="R4858" t="s">
        <v>119</v>
      </c>
      <c r="S4858" t="s">
        <v>29304</v>
      </c>
      <c r="T4858">
        <v>23.5</v>
      </c>
      <c r="U4858" s="2" t="s">
        <v>29295</v>
      </c>
      <c r="W4858" t="s">
        <v>23049</v>
      </c>
      <c r="X4858">
        <v>837662</v>
      </c>
      <c r="Y4858" t="s">
        <v>28230</v>
      </c>
      <c r="Z4858" s="2" t="s">
        <v>29305</v>
      </c>
      <c r="AA4858" s="2" t="s">
        <v>29306</v>
      </c>
      <c r="AB4858" t="s">
        <v>1480</v>
      </c>
      <c r="AC4858" t="s">
        <v>29307</v>
      </c>
      <c r="AG4858" t="s">
        <v>29308</v>
      </c>
      <c r="AH4858" t="s">
        <v>29299</v>
      </c>
      <c r="AI4858" t="s">
        <v>29309</v>
      </c>
    </row>
    <row r="4859" spans="2:35" ht="409.5">
      <c r="B4859" s="1">
        <v>45365</v>
      </c>
      <c r="C4859" s="4">
        <v>45365.452777777777</v>
      </c>
      <c r="D4859" t="s">
        <v>29310</v>
      </c>
      <c r="E4859" t="s">
        <v>29311</v>
      </c>
      <c r="F4859">
        <v>8</v>
      </c>
      <c r="G4859" t="s">
        <v>342</v>
      </c>
      <c r="H4859" t="s">
        <v>202</v>
      </c>
      <c r="I4859" t="s">
        <v>94</v>
      </c>
      <c r="J4859" s="2" t="s">
        <v>41</v>
      </c>
      <c r="K4859" t="s">
        <v>42</v>
      </c>
      <c r="L4859" t="s">
        <v>259</v>
      </c>
      <c r="N4859" t="s">
        <v>260</v>
      </c>
      <c r="Q4859">
        <v>27686</v>
      </c>
      <c r="R4859" t="s">
        <v>719</v>
      </c>
      <c r="S4859" t="s">
        <v>29312</v>
      </c>
      <c r="T4859">
        <v>23</v>
      </c>
      <c r="U4859" s="2" t="s">
        <v>7408</v>
      </c>
      <c r="V4859" s="1">
        <v>45365</v>
      </c>
      <c r="W4859" t="s">
        <v>28952</v>
      </c>
      <c r="X4859">
        <v>847227</v>
      </c>
      <c r="Y4859" t="s">
        <v>29313</v>
      </c>
      <c r="Z4859" t="e">
        <f ca="1">- module Replacement
- Preventive Maintenance</f>
        <v>#NAME?</v>
      </c>
      <c r="AA4859" s="2" t="s">
        <v>29314</v>
      </c>
      <c r="AB4859" t="s">
        <v>7445</v>
      </c>
      <c r="AD4859" t="s">
        <v>29315</v>
      </c>
      <c r="AE4859" t="s">
        <v>45</v>
      </c>
      <c r="AG4859" t="s">
        <v>29316</v>
      </c>
      <c r="AH4859" t="s">
        <v>29317</v>
      </c>
      <c r="AI4859" t="s">
        <v>29318</v>
      </c>
    </row>
    <row r="4860" spans="2:35" ht="360">
      <c r="B4860" s="1">
        <v>45365</v>
      </c>
      <c r="C4860" s="4">
        <v>45364.938888888886</v>
      </c>
      <c r="D4860" t="s">
        <v>1885</v>
      </c>
      <c r="E4860" t="s">
        <v>29294</v>
      </c>
      <c r="F4860" t="s">
        <v>1255</v>
      </c>
      <c r="G4860" t="s">
        <v>1887</v>
      </c>
      <c r="H4860" t="s">
        <v>202</v>
      </c>
      <c r="I4860" t="s">
        <v>94</v>
      </c>
      <c r="J4860" t="s">
        <v>109</v>
      </c>
      <c r="K4860" t="s">
        <v>42</v>
      </c>
      <c r="L4860" t="s">
        <v>204</v>
      </c>
      <c r="N4860" t="s">
        <v>205</v>
      </c>
      <c r="Q4860">
        <v>27685</v>
      </c>
      <c r="R4860" t="s">
        <v>45</v>
      </c>
      <c r="S4860" t="s">
        <v>23208</v>
      </c>
      <c r="T4860">
        <v>21.5</v>
      </c>
      <c r="U4860" s="2" t="s">
        <v>29319</v>
      </c>
      <c r="W4860" t="s">
        <v>23237</v>
      </c>
      <c r="X4860">
        <v>807463</v>
      </c>
      <c r="Y4860" t="s">
        <v>2851</v>
      </c>
      <c r="Z4860" s="2" t="s">
        <v>1892</v>
      </c>
      <c r="AA4860" t="s">
        <v>29320</v>
      </c>
      <c r="AB4860" t="s">
        <v>1211</v>
      </c>
      <c r="AG4860" t="s">
        <v>29321</v>
      </c>
      <c r="AH4860" t="s">
        <v>29322</v>
      </c>
      <c r="AI4860" t="s">
        <v>29323</v>
      </c>
    </row>
    <row r="4861" spans="2:35" ht="210">
      <c r="B4861" s="1">
        <v>45365</v>
      </c>
      <c r="C4861" s="4">
        <v>45364.924305555556</v>
      </c>
      <c r="D4861" t="s">
        <v>29324</v>
      </c>
      <c r="E4861" t="s">
        <v>29325</v>
      </c>
      <c r="F4861">
        <v>7</v>
      </c>
      <c r="G4861" t="s">
        <v>4457</v>
      </c>
      <c r="H4861" t="s">
        <v>631</v>
      </c>
      <c r="I4861" t="s">
        <v>40</v>
      </c>
      <c r="J4861" t="s">
        <v>321</v>
      </c>
      <c r="K4861" t="s">
        <v>42</v>
      </c>
      <c r="L4861" t="s">
        <v>80</v>
      </c>
      <c r="N4861" t="s">
        <v>81</v>
      </c>
      <c r="O4861" t="s">
        <v>29326</v>
      </c>
      <c r="Q4861">
        <v>27684</v>
      </c>
      <c r="R4861" t="s">
        <v>45</v>
      </c>
      <c r="S4861" t="s">
        <v>29327</v>
      </c>
      <c r="T4861">
        <v>30</v>
      </c>
      <c r="U4861" s="2" t="s">
        <v>25798</v>
      </c>
      <c r="V4861" s="1">
        <v>45365</v>
      </c>
      <c r="W4861" t="s">
        <v>817</v>
      </c>
      <c r="X4861">
        <v>110013745</v>
      </c>
      <c r="Y4861" t="s">
        <v>29328</v>
      </c>
      <c r="Z4861" t="s">
        <v>29329</v>
      </c>
      <c r="AA4861" t="s">
        <v>29330</v>
      </c>
      <c r="AB4861" t="s">
        <v>88</v>
      </c>
      <c r="AC4861" t="s">
        <v>54</v>
      </c>
      <c r="AD4861" t="s">
        <v>54</v>
      </c>
      <c r="AE4861" t="s">
        <v>54</v>
      </c>
      <c r="AG4861" t="s">
        <v>29331</v>
      </c>
      <c r="AH4861" t="s">
        <v>29332</v>
      </c>
      <c r="AI4861" t="s">
        <v>29333</v>
      </c>
    </row>
    <row r="4862" spans="2:35" ht="409.5">
      <c r="B4862" s="1">
        <v>45365</v>
      </c>
      <c r="C4862" s="4">
        <v>45364.947222222225</v>
      </c>
      <c r="D4862" t="s">
        <v>1885</v>
      </c>
      <c r="E4862" t="s">
        <v>2136</v>
      </c>
      <c r="F4862" t="s">
        <v>1255</v>
      </c>
      <c r="G4862" t="s">
        <v>1887</v>
      </c>
      <c r="H4862" t="s">
        <v>1473</v>
      </c>
      <c r="I4862" t="s">
        <v>94</v>
      </c>
      <c r="J4862" s="2" t="s">
        <v>1309</v>
      </c>
      <c r="K4862" t="s">
        <v>42</v>
      </c>
      <c r="L4862" t="s">
        <v>296</v>
      </c>
      <c r="N4862" t="s">
        <v>297</v>
      </c>
      <c r="Q4862">
        <v>27683</v>
      </c>
      <c r="R4862" t="s">
        <v>45</v>
      </c>
      <c r="S4862" t="s">
        <v>23208</v>
      </c>
      <c r="T4862">
        <v>25</v>
      </c>
      <c r="U4862" s="2" t="s">
        <v>29334</v>
      </c>
      <c r="V4862" s="1">
        <v>45364</v>
      </c>
      <c r="W4862" t="s">
        <v>12540</v>
      </c>
      <c r="X4862">
        <v>839307</v>
      </c>
      <c r="Y4862" s="2" t="s">
        <v>29335</v>
      </c>
      <c r="Z4862" s="2" t="s">
        <v>29336</v>
      </c>
      <c r="AA4862" s="2" t="s">
        <v>29337</v>
      </c>
      <c r="AB4862" s="2" t="s">
        <v>29338</v>
      </c>
      <c r="AD4862" t="s">
        <v>29339</v>
      </c>
      <c r="AE4862" t="s">
        <v>29340</v>
      </c>
      <c r="AG4862" t="s">
        <v>29341</v>
      </c>
      <c r="AH4862" t="s">
        <v>29342</v>
      </c>
      <c r="AI4862" t="s">
        <v>29343</v>
      </c>
    </row>
    <row r="4863" spans="2:35" ht="360">
      <c r="B4863" s="1">
        <v>45364</v>
      </c>
      <c r="C4863" s="4">
        <v>45345.436111111114</v>
      </c>
      <c r="D4863" t="s">
        <v>146</v>
      </c>
      <c r="E4863" t="s">
        <v>29344</v>
      </c>
      <c r="F4863" t="s">
        <v>148</v>
      </c>
      <c r="G4863" t="s">
        <v>149</v>
      </c>
      <c r="H4863" t="s">
        <v>39</v>
      </c>
      <c r="I4863" t="s">
        <v>40</v>
      </c>
      <c r="J4863" s="2" t="s">
        <v>190</v>
      </c>
      <c r="K4863" t="s">
        <v>42</v>
      </c>
      <c r="L4863" t="s">
        <v>43</v>
      </c>
      <c r="N4863" t="s">
        <v>44</v>
      </c>
      <c r="O4863" t="s">
        <v>22735</v>
      </c>
      <c r="Q4863">
        <v>27682</v>
      </c>
      <c r="R4863" t="s">
        <v>95</v>
      </c>
      <c r="S4863" t="s">
        <v>22735</v>
      </c>
      <c r="T4863">
        <v>25</v>
      </c>
      <c r="U4863" s="2" t="s">
        <v>29345</v>
      </c>
      <c r="W4863" t="s">
        <v>153</v>
      </c>
      <c r="X4863">
        <v>110003714</v>
      </c>
      <c r="Y4863" t="s">
        <v>29346</v>
      </c>
      <c r="Z4863" t="s">
        <v>29347</v>
      </c>
      <c r="AA4863" s="2" t="s">
        <v>29348</v>
      </c>
      <c r="AB4863" t="s">
        <v>29349</v>
      </c>
      <c r="AG4863" t="s">
        <v>29350</v>
      </c>
      <c r="AH4863" t="s">
        <v>29351</v>
      </c>
      <c r="AI4863" t="s">
        <v>29352</v>
      </c>
    </row>
    <row r="4864" spans="2:35" ht="105">
      <c r="B4864" s="1">
        <v>45364</v>
      </c>
      <c r="C4864" s="4">
        <v>45364.684027777781</v>
      </c>
      <c r="D4864" t="s">
        <v>29353</v>
      </c>
      <c r="E4864" t="s">
        <v>29354</v>
      </c>
      <c r="F4864">
        <v>9</v>
      </c>
      <c r="G4864" t="s">
        <v>1628</v>
      </c>
      <c r="H4864" t="s">
        <v>39</v>
      </c>
      <c r="I4864" t="s">
        <v>94</v>
      </c>
      <c r="J4864" s="2" t="s">
        <v>17375</v>
      </c>
      <c r="K4864" t="s">
        <v>42</v>
      </c>
      <c r="L4864" t="s">
        <v>1257</v>
      </c>
      <c r="N4864" t="s">
        <v>2199</v>
      </c>
      <c r="O4864" t="s">
        <v>1258</v>
      </c>
      <c r="Q4864">
        <v>27681</v>
      </c>
      <c r="R4864" t="s">
        <v>45</v>
      </c>
      <c r="S4864" t="s">
        <v>29355</v>
      </c>
      <c r="T4864">
        <v>26</v>
      </c>
      <c r="U4864" s="2" t="s">
        <v>25303</v>
      </c>
      <c r="V4864" s="1">
        <v>45364</v>
      </c>
      <c r="W4864" t="s">
        <v>29282</v>
      </c>
      <c r="X4864">
        <v>834832</v>
      </c>
      <c r="Y4864" t="s">
        <v>29356</v>
      </c>
      <c r="Z4864" t="s">
        <v>29357</v>
      </c>
      <c r="AA4864" t="s">
        <v>29358</v>
      </c>
      <c r="AB4864" t="s">
        <v>29359</v>
      </c>
      <c r="AC4864" t="s">
        <v>301</v>
      </c>
      <c r="AD4864" t="s">
        <v>54</v>
      </c>
      <c r="AE4864" t="s">
        <v>54</v>
      </c>
      <c r="AG4864" t="s">
        <v>29360</v>
      </c>
      <c r="AH4864" t="s">
        <v>29361</v>
      </c>
      <c r="AI4864" t="s">
        <v>29362</v>
      </c>
    </row>
    <row r="4865" spans="2:35">
      <c r="B4865" s="1">
        <v>45364</v>
      </c>
      <c r="C4865" s="4">
        <v>45363.587500000001</v>
      </c>
      <c r="D4865" t="s">
        <v>29363</v>
      </c>
      <c r="E4865" t="s">
        <v>3011</v>
      </c>
      <c r="F4865">
        <v>1</v>
      </c>
      <c r="G4865" t="s">
        <v>1046</v>
      </c>
      <c r="H4865" t="s">
        <v>39</v>
      </c>
      <c r="I4865" t="s">
        <v>40</v>
      </c>
      <c r="J4865" t="s">
        <v>7032</v>
      </c>
      <c r="K4865" t="s">
        <v>387</v>
      </c>
      <c r="L4865" t="s">
        <v>1048</v>
      </c>
      <c r="N4865" t="s">
        <v>1049</v>
      </c>
      <c r="Q4865">
        <v>27680</v>
      </c>
      <c r="R4865" t="s">
        <v>322</v>
      </c>
      <c r="S4865" t="s">
        <v>29364</v>
      </c>
      <c r="T4865">
        <v>25</v>
      </c>
      <c r="W4865" t="s">
        <v>390</v>
      </c>
      <c r="X4865" t="s">
        <v>12499</v>
      </c>
      <c r="Y4865" t="e">
        <f ca="1">- _xludf.For Pullout</f>
        <v>#NAME?</v>
      </c>
      <c r="Z4865" t="e">
        <f ca="1">- Haemonetics MCS+ was pulled Out FROM facility</f>
        <v>#NAME?</v>
      </c>
      <c r="AA4865" t="e">
        <f ca="1">- pulled Out machine</f>
        <v>#NAME?</v>
      </c>
      <c r="AB4865" t="s">
        <v>181</v>
      </c>
      <c r="AG4865" t="s">
        <v>29365</v>
      </c>
      <c r="AH4865" t="s">
        <v>29366</v>
      </c>
      <c r="AI4865" t="s">
        <v>29367</v>
      </c>
    </row>
    <row r="4866" spans="2:35" ht="105">
      <c r="B4866" s="1">
        <v>45364</v>
      </c>
      <c r="C4866" s="4">
        <v>45363.541666666664</v>
      </c>
      <c r="D4866" t="s">
        <v>3738</v>
      </c>
      <c r="E4866" t="s">
        <v>3739</v>
      </c>
      <c r="F4866">
        <v>1</v>
      </c>
      <c r="G4866" t="s">
        <v>1046</v>
      </c>
      <c r="H4866" t="s">
        <v>1047</v>
      </c>
      <c r="I4866" t="s">
        <v>40</v>
      </c>
      <c r="J4866" s="2" t="s">
        <v>62</v>
      </c>
      <c r="K4866" t="s">
        <v>42</v>
      </c>
      <c r="L4866" t="s">
        <v>1048</v>
      </c>
      <c r="N4866" t="s">
        <v>1049</v>
      </c>
      <c r="Q4866">
        <v>27679</v>
      </c>
      <c r="R4866" t="s">
        <v>119</v>
      </c>
      <c r="S4866" t="s">
        <v>3740</v>
      </c>
      <c r="T4866">
        <v>27</v>
      </c>
      <c r="U4866" s="2" t="s">
        <v>12046</v>
      </c>
      <c r="V4866" s="1">
        <v>45327</v>
      </c>
      <c r="W4866" t="s">
        <v>1051</v>
      </c>
      <c r="X4866">
        <v>838438</v>
      </c>
      <c r="Y4866" t="e">
        <f ca="1">- _xludf.For Preventive Maintenance _xludf.and CALIBRATION</f>
        <v>#NAME?</v>
      </c>
      <c r="Z4866" t="e">
        <f ca="1">- cleaned cartridge Bays, plunger Rods _xludf.and I-CORE
- performed XpertCheck
- generated reports</f>
        <v>#NAME?</v>
      </c>
      <c r="AA4866" t="e">
        <f ca="1">- performed Preventive Maintenance _xludf.and CALIBRATION</f>
        <v>#NAME?</v>
      </c>
      <c r="AB4866" t="s">
        <v>181</v>
      </c>
      <c r="AC4866" t="s">
        <v>29368</v>
      </c>
      <c r="AD4866" t="s">
        <v>1958</v>
      </c>
      <c r="AE4866" t="s">
        <v>29369</v>
      </c>
      <c r="AG4866" t="s">
        <v>29370</v>
      </c>
      <c r="AH4866" t="s">
        <v>3742</v>
      </c>
      <c r="AI4866" t="s">
        <v>29371</v>
      </c>
    </row>
    <row r="4867" spans="2:35" ht="105">
      <c r="B4867" s="1">
        <v>45364</v>
      </c>
      <c r="C4867" s="4">
        <v>45363.404166666667</v>
      </c>
      <c r="D4867" t="s">
        <v>4528</v>
      </c>
      <c r="E4867" t="s">
        <v>4529</v>
      </c>
      <c r="F4867">
        <v>1</v>
      </c>
      <c r="G4867" t="s">
        <v>1046</v>
      </c>
      <c r="H4867" t="s">
        <v>1047</v>
      </c>
      <c r="I4867" t="s">
        <v>40</v>
      </c>
      <c r="J4867" s="2" t="s">
        <v>190</v>
      </c>
      <c r="K4867" t="s">
        <v>42</v>
      </c>
      <c r="L4867" t="s">
        <v>1048</v>
      </c>
      <c r="N4867" t="s">
        <v>1049</v>
      </c>
      <c r="Q4867">
        <v>27678</v>
      </c>
      <c r="R4867" t="s">
        <v>119</v>
      </c>
      <c r="S4867" t="s">
        <v>4530</v>
      </c>
      <c r="T4867">
        <v>28</v>
      </c>
      <c r="U4867" s="2" t="s">
        <v>29372</v>
      </c>
      <c r="W4867" t="s">
        <v>1051</v>
      </c>
      <c r="X4867">
        <v>838472</v>
      </c>
      <c r="Y4867" t="e">
        <f ca="1">- _xludf.For Preventive Maintenance _xludf.and Troubleshooting</f>
        <v>#NAME?</v>
      </c>
      <c r="Z4867" t="e">
        <f ca="1">- cleaned cartridge Bays, plunger Rods _xludf.and I-CORE
- generated reports</f>
        <v>#NAME?</v>
      </c>
      <c r="AA4867" t="e">
        <f ca="1">- performed Preventive Maintenance _xludf.and Troubleshooting</f>
        <v>#NAME?</v>
      </c>
      <c r="AB4867" t="e">
        <f ca="1">- Unit is operational</f>
        <v>#NAME?</v>
      </c>
      <c r="AC4867" t="s">
        <v>656</v>
      </c>
      <c r="AG4867" t="s">
        <v>29373</v>
      </c>
      <c r="AH4867" t="s">
        <v>4532</v>
      </c>
      <c r="AI4867" t="s">
        <v>29374</v>
      </c>
    </row>
    <row r="4868" spans="2:35">
      <c r="B4868" s="1">
        <v>45364</v>
      </c>
      <c r="C4868" s="4">
        <v>45364.65625</v>
      </c>
      <c r="D4868" t="s">
        <v>2608</v>
      </c>
      <c r="E4868" t="s">
        <v>29375</v>
      </c>
      <c r="F4868">
        <v>1</v>
      </c>
      <c r="G4868" t="s">
        <v>2599</v>
      </c>
      <c r="H4868" t="s">
        <v>662</v>
      </c>
      <c r="I4868" t="s">
        <v>40</v>
      </c>
      <c r="J4868" t="s">
        <v>321</v>
      </c>
      <c r="K4868" t="s">
        <v>42</v>
      </c>
      <c r="L4868" t="s">
        <v>1028</v>
      </c>
      <c r="N4868" t="s">
        <v>1029</v>
      </c>
      <c r="Q4868">
        <v>27677</v>
      </c>
      <c r="R4868" t="s">
        <v>45</v>
      </c>
      <c r="S4868" t="s">
        <v>29376</v>
      </c>
      <c r="T4868">
        <v>24</v>
      </c>
      <c r="W4868" t="s">
        <v>1032</v>
      </c>
      <c r="X4868">
        <v>120000490</v>
      </c>
      <c r="Y4868" t="s">
        <v>29377</v>
      </c>
      <c r="Z4868" t="s">
        <v>13110</v>
      </c>
      <c r="AA4868" t="s">
        <v>29378</v>
      </c>
      <c r="AB4868" t="s">
        <v>3063</v>
      </c>
      <c r="AG4868" t="s">
        <v>29379</v>
      </c>
      <c r="AH4868" t="s">
        <v>29380</v>
      </c>
      <c r="AI4868" t="s">
        <v>29381</v>
      </c>
    </row>
    <row r="4869" spans="2:35">
      <c r="B4869" s="1">
        <v>45364</v>
      </c>
      <c r="C4869" s="4">
        <v>45364.65625</v>
      </c>
      <c r="D4869" t="s">
        <v>2608</v>
      </c>
      <c r="E4869" t="s">
        <v>29375</v>
      </c>
      <c r="F4869">
        <v>1</v>
      </c>
      <c r="G4869" t="s">
        <v>2599</v>
      </c>
      <c r="H4869" t="s">
        <v>662</v>
      </c>
      <c r="I4869" t="s">
        <v>40</v>
      </c>
      <c r="J4869" t="s">
        <v>321</v>
      </c>
      <c r="K4869" t="s">
        <v>42</v>
      </c>
      <c r="L4869" t="s">
        <v>1028</v>
      </c>
      <c r="N4869" t="s">
        <v>1029</v>
      </c>
      <c r="Q4869">
        <v>27676</v>
      </c>
      <c r="R4869" t="s">
        <v>45</v>
      </c>
      <c r="S4869" t="s">
        <v>29376</v>
      </c>
      <c r="T4869">
        <v>24</v>
      </c>
      <c r="W4869" t="s">
        <v>1032</v>
      </c>
      <c r="X4869">
        <v>120000490</v>
      </c>
      <c r="Y4869" t="s">
        <v>29377</v>
      </c>
      <c r="Z4869" t="s">
        <v>13110</v>
      </c>
      <c r="AA4869" t="s">
        <v>29378</v>
      </c>
      <c r="AB4869" t="s">
        <v>3063</v>
      </c>
      <c r="AG4869" t="s">
        <v>29382</v>
      </c>
      <c r="AH4869" t="s">
        <v>29380</v>
      </c>
      <c r="AI4869" t="s">
        <v>29383</v>
      </c>
    </row>
    <row r="4870" spans="2:35" ht="180">
      <c r="B4870" s="1">
        <v>45364</v>
      </c>
      <c r="C4870" s="4">
        <v>45364.628472222219</v>
      </c>
      <c r="D4870" t="s">
        <v>8907</v>
      </c>
      <c r="E4870" t="s">
        <v>9399</v>
      </c>
      <c r="F4870">
        <v>6</v>
      </c>
      <c r="G4870" t="s">
        <v>9400</v>
      </c>
      <c r="H4870" t="s">
        <v>1498</v>
      </c>
      <c r="I4870" t="s">
        <v>94</v>
      </c>
      <c r="J4870" t="s">
        <v>321</v>
      </c>
      <c r="K4870" t="s">
        <v>42</v>
      </c>
      <c r="L4870" t="s">
        <v>343</v>
      </c>
      <c r="N4870" t="s">
        <v>344</v>
      </c>
      <c r="Q4870">
        <v>27675</v>
      </c>
      <c r="R4870" t="s">
        <v>45</v>
      </c>
      <c r="S4870" t="s">
        <v>9401</v>
      </c>
      <c r="T4870">
        <v>24</v>
      </c>
      <c r="W4870" t="s">
        <v>2949</v>
      </c>
      <c r="X4870">
        <v>120000591</v>
      </c>
      <c r="Y4870" t="s">
        <v>301</v>
      </c>
      <c r="Z4870" t="s">
        <v>301</v>
      </c>
      <c r="AA4870" s="2" t="s">
        <v>29384</v>
      </c>
      <c r="AB4870" t="s">
        <v>9638</v>
      </c>
      <c r="AC4870" t="s">
        <v>29385</v>
      </c>
      <c r="AG4870" t="s">
        <v>29386</v>
      </c>
      <c r="AH4870" t="s">
        <v>29387</v>
      </c>
      <c r="AI4870" t="s">
        <v>29388</v>
      </c>
    </row>
    <row r="4871" spans="2:35" ht="375">
      <c r="B4871" s="1">
        <v>45364</v>
      </c>
      <c r="C4871" s="4">
        <v>45364.583333333336</v>
      </c>
      <c r="D4871" t="s">
        <v>8907</v>
      </c>
      <c r="E4871" t="s">
        <v>9399</v>
      </c>
      <c r="F4871">
        <v>6</v>
      </c>
      <c r="G4871" t="s">
        <v>9400</v>
      </c>
      <c r="H4871" t="s">
        <v>22505</v>
      </c>
      <c r="I4871" t="s">
        <v>94</v>
      </c>
      <c r="J4871" s="2" t="s">
        <v>29389</v>
      </c>
      <c r="K4871" t="s">
        <v>42</v>
      </c>
      <c r="L4871" t="s">
        <v>343</v>
      </c>
      <c r="N4871" t="s">
        <v>344</v>
      </c>
      <c r="Q4871">
        <v>27674</v>
      </c>
      <c r="R4871" t="s">
        <v>45</v>
      </c>
      <c r="S4871" t="s">
        <v>9401</v>
      </c>
      <c r="T4871">
        <v>25</v>
      </c>
      <c r="U4871" s="2" t="s">
        <v>29390</v>
      </c>
      <c r="V4871" s="1">
        <v>45364</v>
      </c>
      <c r="W4871" t="s">
        <v>1501</v>
      </c>
      <c r="X4871">
        <v>804714</v>
      </c>
      <c r="Y4871" t="e">
        <f ca="1">-module C1 stuck cartridge
-module C3 defective
-DUE _xludf.For XpertCheck</f>
        <v>#NAME?</v>
      </c>
      <c r="Z4871" s="2" t="s">
        <v>29391</v>
      </c>
      <c r="AA4871" t="e">
        <f ca="1">-stuck cartridge Removal
-module Replacement
-Preventive Maintenance/XpertCheck CALIBRATION
-Packup _xludf.For PULL-Out</f>
        <v>#NAME?</v>
      </c>
      <c r="AB4871" t="e">
        <f ca="1">-ALL modules are functional
-monitor pending _xludf.For Replacement
-UPS defective
-No printer</f>
        <v>#NAME?</v>
      </c>
      <c r="AD4871" s="2" t="s">
        <v>29392</v>
      </c>
      <c r="AE4871" t="s">
        <v>45</v>
      </c>
      <c r="AG4871" t="s">
        <v>29393</v>
      </c>
      <c r="AH4871" t="s">
        <v>29387</v>
      </c>
      <c r="AI4871" t="s">
        <v>29394</v>
      </c>
    </row>
    <row r="4872" spans="2:35" ht="105">
      <c r="B4872" s="1">
        <v>45364</v>
      </c>
      <c r="C4872" s="4">
        <v>45358.609722222223</v>
      </c>
      <c r="D4872" t="s">
        <v>29395</v>
      </c>
      <c r="E4872" t="s">
        <v>29396</v>
      </c>
      <c r="F4872">
        <v>3</v>
      </c>
      <c r="G4872" t="s">
        <v>174</v>
      </c>
      <c r="H4872" t="s">
        <v>39</v>
      </c>
      <c r="I4872" t="s">
        <v>40</v>
      </c>
      <c r="J4872" t="s">
        <v>79</v>
      </c>
      <c r="K4872" t="s">
        <v>42</v>
      </c>
      <c r="L4872" t="s">
        <v>175</v>
      </c>
      <c r="N4872" t="s">
        <v>176</v>
      </c>
      <c r="Q4872">
        <v>27673</v>
      </c>
      <c r="R4872" t="s">
        <v>719</v>
      </c>
      <c r="S4872" t="s">
        <v>29397</v>
      </c>
      <c r="T4872">
        <v>25</v>
      </c>
      <c r="U4872" s="2" t="s">
        <v>6614</v>
      </c>
      <c r="V4872" s="1">
        <v>45358</v>
      </c>
      <c r="W4872" t="s">
        <v>84</v>
      </c>
      <c r="X4872">
        <v>846041</v>
      </c>
      <c r="Y4872" t="s">
        <v>2165</v>
      </c>
      <c r="Z4872" t="s">
        <v>2166</v>
      </c>
      <c r="AA4872" t="e">
        <f ca="1">- replaced module B4
- generated reports
- performed self-test</f>
        <v>#NAME?</v>
      </c>
      <c r="AB4872" t="s">
        <v>181</v>
      </c>
      <c r="AD4872" s="2" t="s">
        <v>29398</v>
      </c>
      <c r="AE4872" t="s">
        <v>103</v>
      </c>
      <c r="AG4872" t="s">
        <v>29399</v>
      </c>
      <c r="AH4872" t="s">
        <v>29400</v>
      </c>
      <c r="AI4872" t="s">
        <v>29401</v>
      </c>
    </row>
    <row r="4873" spans="2:35" ht="375">
      <c r="B4873" s="1">
        <v>45364</v>
      </c>
      <c r="C4873" s="4">
        <v>45364.602777777778</v>
      </c>
      <c r="D4873" t="s">
        <v>2608</v>
      </c>
      <c r="E4873" t="s">
        <v>29375</v>
      </c>
      <c r="F4873">
        <v>1</v>
      </c>
      <c r="G4873" t="s">
        <v>2599</v>
      </c>
      <c r="H4873" t="s">
        <v>39</v>
      </c>
      <c r="I4873" t="s">
        <v>40</v>
      </c>
      <c r="J4873" t="s">
        <v>1740</v>
      </c>
      <c r="K4873" t="s">
        <v>42</v>
      </c>
      <c r="L4873" t="s">
        <v>1028</v>
      </c>
      <c r="N4873" t="s">
        <v>1029</v>
      </c>
      <c r="Q4873">
        <v>27672</v>
      </c>
      <c r="R4873" t="s">
        <v>45</v>
      </c>
      <c r="S4873" t="s">
        <v>29376</v>
      </c>
      <c r="T4873">
        <v>24</v>
      </c>
      <c r="U4873" s="2" t="s">
        <v>29402</v>
      </c>
      <c r="W4873" t="s">
        <v>1967</v>
      </c>
      <c r="X4873">
        <v>838168</v>
      </c>
      <c r="Y4873" t="s">
        <v>29403</v>
      </c>
      <c r="Z4873" t="s">
        <v>1740</v>
      </c>
      <c r="AA4873" s="2" t="s">
        <v>29404</v>
      </c>
      <c r="AB4873" t="s">
        <v>3063</v>
      </c>
      <c r="AG4873" t="s">
        <v>29405</v>
      </c>
      <c r="AH4873" t="s">
        <v>29406</v>
      </c>
      <c r="AI4873" t="s">
        <v>29407</v>
      </c>
    </row>
    <row r="4874" spans="2:35" ht="90">
      <c r="B4874" s="1">
        <v>45364</v>
      </c>
      <c r="C4874" s="4">
        <v>45364.605555555558</v>
      </c>
      <c r="D4874" t="s">
        <v>419</v>
      </c>
      <c r="E4874" t="s">
        <v>26072</v>
      </c>
      <c r="F4874" t="s">
        <v>148</v>
      </c>
      <c r="G4874" t="s">
        <v>421</v>
      </c>
      <c r="H4874" t="s">
        <v>39</v>
      </c>
      <c r="I4874" t="s">
        <v>40</v>
      </c>
      <c r="J4874" t="s">
        <v>321</v>
      </c>
      <c r="K4874" t="s">
        <v>42</v>
      </c>
      <c r="L4874" t="s">
        <v>175</v>
      </c>
      <c r="N4874" t="s">
        <v>176</v>
      </c>
      <c r="Q4874">
        <v>27671</v>
      </c>
      <c r="R4874" t="s">
        <v>45</v>
      </c>
      <c r="S4874" t="s">
        <v>422</v>
      </c>
      <c r="T4874">
        <v>25</v>
      </c>
      <c r="W4874" t="s">
        <v>84</v>
      </c>
      <c r="X4874">
        <v>120000727</v>
      </c>
      <c r="Y4874" t="s">
        <v>8338</v>
      </c>
      <c r="Z4874" t="s">
        <v>6430</v>
      </c>
      <c r="AA4874" t="e">
        <f ca="1">- installed Unit
- generated reports
- performed functionality test
- installed ultra _xludf.and HIV Assays</f>
        <v>#NAME?</v>
      </c>
      <c r="AB4874" s="2" t="s">
        <v>29408</v>
      </c>
      <c r="AG4874" t="s">
        <v>29409</v>
      </c>
      <c r="AH4874" t="s">
        <v>428</v>
      </c>
      <c r="AI4874" t="s">
        <v>29410</v>
      </c>
    </row>
    <row r="4875" spans="2:35" ht="75">
      <c r="B4875" s="1">
        <v>45364</v>
      </c>
      <c r="C4875" s="4">
        <v>45364.602083333331</v>
      </c>
      <c r="D4875" t="s">
        <v>26071</v>
      </c>
      <c r="E4875" t="s">
        <v>26072</v>
      </c>
      <c r="F4875" t="s">
        <v>148</v>
      </c>
      <c r="G4875" t="s">
        <v>421</v>
      </c>
      <c r="H4875" t="s">
        <v>39</v>
      </c>
      <c r="I4875" t="s">
        <v>40</v>
      </c>
      <c r="J4875" s="2" t="s">
        <v>41</v>
      </c>
      <c r="K4875" t="s">
        <v>42</v>
      </c>
      <c r="L4875" t="s">
        <v>175</v>
      </c>
      <c r="N4875" t="s">
        <v>176</v>
      </c>
      <c r="Q4875">
        <v>27670</v>
      </c>
      <c r="R4875" t="s">
        <v>45</v>
      </c>
      <c r="S4875" t="s">
        <v>422</v>
      </c>
      <c r="T4875">
        <v>25</v>
      </c>
      <c r="V4875" s="1">
        <v>45364</v>
      </c>
      <c r="W4875" t="s">
        <v>84</v>
      </c>
      <c r="X4875">
        <v>814151</v>
      </c>
      <c r="Y4875" t="s">
        <v>26556</v>
      </c>
      <c r="Z4875" t="s">
        <v>26557</v>
      </c>
      <c r="AA4875" t="e">
        <f ca="1">- replaced module C1
- generated reports
- performed functionality test</f>
        <v>#NAME?</v>
      </c>
      <c r="AB4875" t="s">
        <v>181</v>
      </c>
      <c r="AD4875" s="2" t="s">
        <v>29411</v>
      </c>
      <c r="AE4875" t="s">
        <v>103</v>
      </c>
      <c r="AG4875" t="s">
        <v>29412</v>
      </c>
      <c r="AH4875" t="s">
        <v>428</v>
      </c>
      <c r="AI4875" t="s">
        <v>29413</v>
      </c>
    </row>
    <row r="4876" spans="2:35" ht="210">
      <c r="B4876" s="1">
        <v>45364</v>
      </c>
      <c r="C4876" s="4">
        <v>45364.579861111109</v>
      </c>
      <c r="D4876" t="s">
        <v>8907</v>
      </c>
      <c r="E4876" t="s">
        <v>9399</v>
      </c>
      <c r="F4876">
        <v>6</v>
      </c>
      <c r="G4876" t="s">
        <v>9400</v>
      </c>
      <c r="H4876" t="s">
        <v>11433</v>
      </c>
      <c r="I4876" t="s">
        <v>40</v>
      </c>
      <c r="J4876" t="s">
        <v>109</v>
      </c>
      <c r="K4876" t="s">
        <v>42</v>
      </c>
      <c r="L4876" t="s">
        <v>343</v>
      </c>
      <c r="N4876" t="s">
        <v>344</v>
      </c>
      <c r="Q4876">
        <v>27669</v>
      </c>
      <c r="R4876" t="s">
        <v>119</v>
      </c>
      <c r="S4876" t="s">
        <v>9401</v>
      </c>
      <c r="T4876">
        <v>23</v>
      </c>
      <c r="U4876" s="2" t="s">
        <v>29390</v>
      </c>
      <c r="W4876" t="s">
        <v>1501</v>
      </c>
      <c r="X4876">
        <v>838412</v>
      </c>
      <c r="Y4876" t="s">
        <v>301</v>
      </c>
      <c r="Z4876" t="s">
        <v>301</v>
      </c>
      <c r="AA4876" s="2" t="s">
        <v>29414</v>
      </c>
      <c r="AB4876" t="s">
        <v>9638</v>
      </c>
      <c r="AC4876" t="s">
        <v>29415</v>
      </c>
      <c r="AG4876" t="s">
        <v>29416</v>
      </c>
      <c r="AH4876" t="s">
        <v>29387</v>
      </c>
      <c r="AI4876" t="s">
        <v>29417</v>
      </c>
    </row>
    <row r="4877" spans="2:35" ht="409.5">
      <c r="B4877" s="1">
        <v>45364</v>
      </c>
      <c r="C4877" s="4">
        <v>45364.446527777778</v>
      </c>
      <c r="D4877" t="s">
        <v>26581</v>
      </c>
      <c r="E4877" t="s">
        <v>26575</v>
      </c>
      <c r="F4877" t="s">
        <v>148</v>
      </c>
      <c r="G4877" t="s">
        <v>310</v>
      </c>
      <c r="H4877" t="s">
        <v>39</v>
      </c>
      <c r="I4877" t="s">
        <v>40</v>
      </c>
      <c r="J4877" t="s">
        <v>109</v>
      </c>
      <c r="K4877" t="s">
        <v>42</v>
      </c>
      <c r="L4877" t="s">
        <v>1943</v>
      </c>
      <c r="N4877" t="s">
        <v>1944</v>
      </c>
      <c r="Q4877">
        <v>27668</v>
      </c>
      <c r="R4877" t="s">
        <v>45</v>
      </c>
      <c r="S4877" t="s">
        <v>29418</v>
      </c>
      <c r="T4877">
        <v>25</v>
      </c>
      <c r="W4877" t="s">
        <v>84</v>
      </c>
      <c r="X4877">
        <v>707072</v>
      </c>
      <c r="Y4877" t="s">
        <v>28970</v>
      </c>
      <c r="Z4877" t="s">
        <v>29419</v>
      </c>
      <c r="AA4877" s="2" t="s">
        <v>28971</v>
      </c>
      <c r="AB4877" t="s">
        <v>88</v>
      </c>
      <c r="AG4877" t="s">
        <v>29420</v>
      </c>
      <c r="AH4877" t="s">
        <v>29421</v>
      </c>
      <c r="AI4877" t="s">
        <v>29422</v>
      </c>
    </row>
    <row r="4878" spans="2:35" ht="409.5">
      <c r="B4878" s="1">
        <v>45364</v>
      </c>
      <c r="C4878" s="4">
        <v>45364.447916666664</v>
      </c>
      <c r="D4878" t="s">
        <v>26581</v>
      </c>
      <c r="E4878" t="s">
        <v>26575</v>
      </c>
      <c r="F4878" t="s">
        <v>148</v>
      </c>
      <c r="G4878" t="s">
        <v>310</v>
      </c>
      <c r="H4878" t="s">
        <v>39</v>
      </c>
      <c r="I4878" t="s">
        <v>40</v>
      </c>
      <c r="J4878" t="s">
        <v>109</v>
      </c>
      <c r="K4878" t="s">
        <v>42</v>
      </c>
      <c r="L4878" t="s">
        <v>1943</v>
      </c>
      <c r="N4878" t="s">
        <v>1944</v>
      </c>
      <c r="Q4878">
        <v>27667</v>
      </c>
      <c r="R4878" t="s">
        <v>45</v>
      </c>
      <c r="S4878" t="s">
        <v>29418</v>
      </c>
      <c r="T4878">
        <v>25</v>
      </c>
      <c r="W4878" t="s">
        <v>84</v>
      </c>
      <c r="X4878">
        <v>805111</v>
      </c>
      <c r="Y4878" t="s">
        <v>28970</v>
      </c>
      <c r="Z4878" t="s">
        <v>29419</v>
      </c>
      <c r="AA4878" s="2" t="s">
        <v>28971</v>
      </c>
      <c r="AB4878" t="s">
        <v>88</v>
      </c>
      <c r="AG4878" t="s">
        <v>29423</v>
      </c>
      <c r="AH4878" t="s">
        <v>29421</v>
      </c>
      <c r="AI4878" t="s">
        <v>29424</v>
      </c>
    </row>
    <row r="4879" spans="2:35" ht="409.5">
      <c r="B4879" s="1">
        <v>45364</v>
      </c>
      <c r="C4879" s="4">
        <v>45364.395138888889</v>
      </c>
      <c r="D4879" t="s">
        <v>3696</v>
      </c>
      <c r="E4879" t="s">
        <v>29425</v>
      </c>
      <c r="F4879" t="s">
        <v>148</v>
      </c>
      <c r="G4879" t="s">
        <v>447</v>
      </c>
      <c r="H4879" t="s">
        <v>295</v>
      </c>
      <c r="I4879" t="s">
        <v>40</v>
      </c>
      <c r="J4879" s="2" t="s">
        <v>62</v>
      </c>
      <c r="K4879" t="s">
        <v>42</v>
      </c>
      <c r="L4879" t="s">
        <v>1943</v>
      </c>
      <c r="N4879" t="s">
        <v>1944</v>
      </c>
      <c r="O4879" t="s">
        <v>16923</v>
      </c>
      <c r="Q4879">
        <v>27666</v>
      </c>
      <c r="R4879" t="s">
        <v>703</v>
      </c>
      <c r="S4879" t="s">
        <v>3698</v>
      </c>
      <c r="T4879">
        <v>25</v>
      </c>
      <c r="V4879" s="1">
        <v>45358</v>
      </c>
      <c r="W4879" t="s">
        <v>84</v>
      </c>
      <c r="X4879">
        <v>835602</v>
      </c>
      <c r="Y4879" s="2" t="s">
        <v>23659</v>
      </c>
      <c r="Z4879" t="s">
        <v>23660</v>
      </c>
      <c r="AA4879" s="2" t="s">
        <v>29426</v>
      </c>
      <c r="AB4879" t="s">
        <v>29427</v>
      </c>
      <c r="AD4879" t="s">
        <v>20934</v>
      </c>
      <c r="AE4879" t="s">
        <v>29428</v>
      </c>
      <c r="AG4879" t="s">
        <v>29429</v>
      </c>
      <c r="AH4879" t="s">
        <v>21504</v>
      </c>
      <c r="AI4879" t="s">
        <v>29430</v>
      </c>
    </row>
    <row r="4880" spans="2:35" ht="409.5">
      <c r="B4880" s="1">
        <v>45364</v>
      </c>
      <c r="C4880" s="4">
        <v>45364.393055555556</v>
      </c>
      <c r="D4880" t="s">
        <v>3696</v>
      </c>
      <c r="E4880" t="s">
        <v>13153</v>
      </c>
      <c r="F4880" t="s">
        <v>148</v>
      </c>
      <c r="G4880" t="s">
        <v>447</v>
      </c>
      <c r="H4880" t="s">
        <v>61</v>
      </c>
      <c r="I4880" t="s">
        <v>40</v>
      </c>
      <c r="J4880" s="2" t="s">
        <v>62</v>
      </c>
      <c r="K4880" t="s">
        <v>42</v>
      </c>
      <c r="L4880" t="s">
        <v>1943</v>
      </c>
      <c r="N4880" t="s">
        <v>1944</v>
      </c>
      <c r="Q4880">
        <v>27665</v>
      </c>
      <c r="R4880" t="s">
        <v>703</v>
      </c>
      <c r="S4880" t="s">
        <v>3698</v>
      </c>
      <c r="T4880">
        <v>25</v>
      </c>
      <c r="V4880" s="1">
        <v>45358</v>
      </c>
      <c r="W4880" t="s">
        <v>84</v>
      </c>
      <c r="X4880">
        <v>835601</v>
      </c>
      <c r="Y4880" s="2" t="s">
        <v>23659</v>
      </c>
      <c r="Z4880" t="s">
        <v>23660</v>
      </c>
      <c r="AA4880" s="2" t="s">
        <v>29426</v>
      </c>
      <c r="AB4880" t="s">
        <v>8352</v>
      </c>
      <c r="AD4880" t="s">
        <v>20934</v>
      </c>
      <c r="AE4880" t="s">
        <v>29431</v>
      </c>
      <c r="AG4880" t="s">
        <v>29432</v>
      </c>
      <c r="AH4880" t="s">
        <v>21504</v>
      </c>
      <c r="AI4880" t="s">
        <v>29433</v>
      </c>
    </row>
    <row r="4881" spans="2:35" ht="255">
      <c r="B4881" s="1">
        <v>45364</v>
      </c>
      <c r="C4881" s="4">
        <v>45363.65902777778</v>
      </c>
      <c r="D4881" t="s">
        <v>29434</v>
      </c>
      <c r="E4881" t="s">
        <v>29435</v>
      </c>
      <c r="F4881" t="s">
        <v>148</v>
      </c>
      <c r="G4881" t="s">
        <v>310</v>
      </c>
      <c r="H4881" t="s">
        <v>662</v>
      </c>
      <c r="I4881" t="s">
        <v>40</v>
      </c>
      <c r="J4881" t="s">
        <v>109</v>
      </c>
      <c r="K4881" t="s">
        <v>42</v>
      </c>
      <c r="L4881" t="s">
        <v>43</v>
      </c>
      <c r="N4881" t="s">
        <v>44</v>
      </c>
      <c r="Q4881">
        <v>27664</v>
      </c>
      <c r="R4881" t="s">
        <v>322</v>
      </c>
      <c r="S4881" t="s">
        <v>14776</v>
      </c>
      <c r="T4881">
        <v>24</v>
      </c>
      <c r="W4881" t="s">
        <v>153</v>
      </c>
      <c r="X4881">
        <v>110015482</v>
      </c>
      <c r="Y4881" t="s">
        <v>121</v>
      </c>
      <c r="Z4881" t="s">
        <v>122</v>
      </c>
      <c r="AA4881" s="2" t="s">
        <v>29436</v>
      </c>
      <c r="AB4881" t="s">
        <v>16412</v>
      </c>
      <c r="AG4881" t="s">
        <v>29437</v>
      </c>
      <c r="AH4881" t="s">
        <v>29438</v>
      </c>
      <c r="AI4881" t="s">
        <v>29439</v>
      </c>
    </row>
    <row r="4882" spans="2:35" ht="300">
      <c r="B4882" s="1">
        <v>45364</v>
      </c>
      <c r="C4882" s="4">
        <v>45363.630555555559</v>
      </c>
      <c r="D4882" t="s">
        <v>5028</v>
      </c>
      <c r="E4882" t="s">
        <v>3863</v>
      </c>
      <c r="F4882">
        <v>12</v>
      </c>
      <c r="G4882" t="s">
        <v>978</v>
      </c>
      <c r="H4882" t="s">
        <v>39</v>
      </c>
      <c r="I4882" t="s">
        <v>94</v>
      </c>
      <c r="J4882" t="s">
        <v>321</v>
      </c>
      <c r="K4882" t="s">
        <v>42</v>
      </c>
      <c r="L4882" t="s">
        <v>296</v>
      </c>
      <c r="N4882" t="s">
        <v>297</v>
      </c>
      <c r="Q4882">
        <v>27663</v>
      </c>
      <c r="R4882" t="s">
        <v>45</v>
      </c>
      <c r="S4882" t="s">
        <v>5030</v>
      </c>
      <c r="T4882">
        <v>24.4</v>
      </c>
      <c r="W4882" t="s">
        <v>29440</v>
      </c>
      <c r="X4882">
        <v>110013917</v>
      </c>
      <c r="Y4882" t="s">
        <v>29441</v>
      </c>
      <c r="Z4882" s="2" t="s">
        <v>29442</v>
      </c>
      <c r="AA4882" t="s">
        <v>29443</v>
      </c>
      <c r="AB4882" t="s">
        <v>972</v>
      </c>
      <c r="AG4882" t="s">
        <v>29444</v>
      </c>
      <c r="AH4882" t="s">
        <v>29445</v>
      </c>
      <c r="AI4882" t="s">
        <v>29446</v>
      </c>
    </row>
    <row r="4883" spans="2:35" ht="165">
      <c r="B4883" s="1">
        <v>45363</v>
      </c>
      <c r="C4883" s="4">
        <v>45363.851388888892</v>
      </c>
      <c r="D4883" t="s">
        <v>29447</v>
      </c>
      <c r="E4883" t="s">
        <v>29448</v>
      </c>
      <c r="F4883">
        <v>1</v>
      </c>
      <c r="G4883" t="s">
        <v>1922</v>
      </c>
      <c r="H4883" t="s">
        <v>662</v>
      </c>
      <c r="I4883" t="s">
        <v>40</v>
      </c>
      <c r="J4883" t="s">
        <v>321</v>
      </c>
      <c r="K4883" t="s">
        <v>42</v>
      </c>
      <c r="L4883" t="s">
        <v>1028</v>
      </c>
      <c r="N4883" t="s">
        <v>1029</v>
      </c>
      <c r="Q4883">
        <v>27662</v>
      </c>
      <c r="R4883" t="s">
        <v>45</v>
      </c>
      <c r="S4883" t="s">
        <v>29449</v>
      </c>
      <c r="T4883">
        <v>24</v>
      </c>
      <c r="W4883" t="s">
        <v>1032</v>
      </c>
      <c r="X4883">
        <v>120000590</v>
      </c>
      <c r="Y4883" t="s">
        <v>29377</v>
      </c>
      <c r="Z4883" t="s">
        <v>13110</v>
      </c>
      <c r="AA4883" s="2" t="s">
        <v>29450</v>
      </c>
      <c r="AB4883" t="s">
        <v>3063</v>
      </c>
      <c r="AG4883" t="s">
        <v>29451</v>
      </c>
      <c r="AH4883" t="s">
        <v>29452</v>
      </c>
      <c r="AI4883" t="s">
        <v>29453</v>
      </c>
    </row>
    <row r="4884" spans="2:35" ht="240">
      <c r="B4884" s="1">
        <v>45363</v>
      </c>
      <c r="C4884" s="4">
        <v>45363.577777777777</v>
      </c>
      <c r="D4884" t="s">
        <v>24587</v>
      </c>
      <c r="E4884" t="s">
        <v>29454</v>
      </c>
      <c r="F4884">
        <v>1</v>
      </c>
      <c r="G4884" t="s">
        <v>1922</v>
      </c>
      <c r="H4884" t="s">
        <v>39</v>
      </c>
      <c r="I4884" t="s">
        <v>40</v>
      </c>
      <c r="J4884" s="2" t="s">
        <v>62</v>
      </c>
      <c r="K4884" t="s">
        <v>42</v>
      </c>
      <c r="L4884" t="s">
        <v>1028</v>
      </c>
      <c r="N4884" t="s">
        <v>1029</v>
      </c>
      <c r="Q4884">
        <v>27659</v>
      </c>
      <c r="R4884" t="s">
        <v>45</v>
      </c>
      <c r="S4884" t="s">
        <v>29455</v>
      </c>
      <c r="T4884">
        <v>28</v>
      </c>
      <c r="U4884" s="2" t="s">
        <v>3483</v>
      </c>
      <c r="W4884" t="s">
        <v>1967</v>
      </c>
      <c r="X4884">
        <v>808622</v>
      </c>
      <c r="Y4884" t="s">
        <v>18140</v>
      </c>
      <c r="Z4884" t="s">
        <v>21244</v>
      </c>
      <c r="AA4884" s="2" t="s">
        <v>29456</v>
      </c>
      <c r="AB4884" t="s">
        <v>3063</v>
      </c>
      <c r="AC4884" t="s">
        <v>29457</v>
      </c>
      <c r="AG4884" t="s">
        <v>29458</v>
      </c>
      <c r="AH4884" t="s">
        <v>29459</v>
      </c>
      <c r="AI4884" t="s">
        <v>29460</v>
      </c>
    </row>
    <row r="4885" spans="2:35" ht="255">
      <c r="B4885" s="1">
        <v>45363</v>
      </c>
      <c r="C4885" s="4">
        <v>45363.490972222222</v>
      </c>
      <c r="D4885" t="s">
        <v>29461</v>
      </c>
      <c r="E4885" t="s">
        <v>29462</v>
      </c>
      <c r="F4885">
        <v>1</v>
      </c>
      <c r="G4885" t="s">
        <v>1909</v>
      </c>
      <c r="H4885" t="s">
        <v>39</v>
      </c>
      <c r="I4885" t="s">
        <v>40</v>
      </c>
      <c r="J4885" s="2" t="s">
        <v>62</v>
      </c>
      <c r="K4885" t="s">
        <v>42</v>
      </c>
      <c r="L4885" t="s">
        <v>1028</v>
      </c>
      <c r="N4885" t="s">
        <v>1029</v>
      </c>
      <c r="Q4885">
        <v>27660</v>
      </c>
      <c r="R4885" t="s">
        <v>719</v>
      </c>
      <c r="S4885" t="s">
        <v>29463</v>
      </c>
      <c r="T4885">
        <v>27</v>
      </c>
      <c r="U4885" s="2" t="s">
        <v>29464</v>
      </c>
      <c r="W4885" t="s">
        <v>1967</v>
      </c>
      <c r="X4885">
        <v>846036</v>
      </c>
      <c r="Y4885" t="s">
        <v>18140</v>
      </c>
      <c r="Z4885" t="s">
        <v>21244</v>
      </c>
      <c r="AA4885" s="2" t="s">
        <v>29465</v>
      </c>
      <c r="AB4885" t="s">
        <v>29466</v>
      </c>
      <c r="AC4885" t="s">
        <v>28004</v>
      </c>
      <c r="AG4885" t="s">
        <v>29467</v>
      </c>
      <c r="AH4885" t="s">
        <v>29468</v>
      </c>
      <c r="AI4885" t="s">
        <v>29469</v>
      </c>
    </row>
    <row r="4886" spans="2:35" ht="300">
      <c r="B4886" s="1">
        <v>45363</v>
      </c>
      <c r="C4886" s="4">
        <v>45363.79791666667</v>
      </c>
      <c r="D4886" t="s">
        <v>29447</v>
      </c>
      <c r="E4886" t="s">
        <v>29470</v>
      </c>
      <c r="F4886">
        <v>1</v>
      </c>
      <c r="G4886" t="s">
        <v>1922</v>
      </c>
      <c r="H4886" t="s">
        <v>662</v>
      </c>
      <c r="I4886" t="s">
        <v>40</v>
      </c>
      <c r="J4886" t="s">
        <v>1740</v>
      </c>
      <c r="K4886" t="s">
        <v>42</v>
      </c>
      <c r="L4886" t="s">
        <v>1028</v>
      </c>
      <c r="N4886" t="s">
        <v>1029</v>
      </c>
      <c r="Q4886">
        <v>27661</v>
      </c>
      <c r="R4886" t="s">
        <v>45</v>
      </c>
      <c r="S4886" t="s">
        <v>29449</v>
      </c>
      <c r="T4886">
        <v>24</v>
      </c>
      <c r="U4886" s="2" t="s">
        <v>29471</v>
      </c>
      <c r="W4886" t="s">
        <v>1967</v>
      </c>
      <c r="X4886">
        <v>807578</v>
      </c>
      <c r="Y4886" t="s">
        <v>29472</v>
      </c>
      <c r="Z4886" t="s">
        <v>1740</v>
      </c>
      <c r="AA4886" s="2" t="s">
        <v>29473</v>
      </c>
      <c r="AB4886" t="s">
        <v>3063</v>
      </c>
      <c r="AG4886" t="s">
        <v>29474</v>
      </c>
      <c r="AH4886" t="s">
        <v>29475</v>
      </c>
      <c r="AI4886" t="s">
        <v>29476</v>
      </c>
    </row>
    <row r="4887" spans="2:35" ht="405">
      <c r="B4887" s="1">
        <v>45363</v>
      </c>
      <c r="C4887" s="4">
        <v>45363.671527777777</v>
      </c>
      <c r="D4887" t="s">
        <v>26545</v>
      </c>
      <c r="E4887" t="s">
        <v>29477</v>
      </c>
      <c r="F4887">
        <v>13</v>
      </c>
      <c r="G4887" t="s">
        <v>7763</v>
      </c>
      <c r="H4887" t="s">
        <v>2125</v>
      </c>
      <c r="I4887" t="s">
        <v>40</v>
      </c>
      <c r="J4887" s="2" t="s">
        <v>1592</v>
      </c>
      <c r="K4887" t="s">
        <v>42</v>
      </c>
      <c r="L4887" t="s">
        <v>933</v>
      </c>
      <c r="N4887" t="s">
        <v>934</v>
      </c>
      <c r="Q4887">
        <v>27658</v>
      </c>
      <c r="R4887" t="s">
        <v>45</v>
      </c>
      <c r="S4887" t="s">
        <v>26547</v>
      </c>
      <c r="T4887">
        <v>25</v>
      </c>
      <c r="W4887" t="s">
        <v>3662</v>
      </c>
      <c r="X4887">
        <v>815391</v>
      </c>
      <c r="Y4887" s="2" t="s">
        <v>29478</v>
      </c>
      <c r="Z4887" t="s">
        <v>8831</v>
      </c>
      <c r="AA4887" s="2" t="s">
        <v>29479</v>
      </c>
      <c r="AB4887" t="s">
        <v>29480</v>
      </c>
      <c r="AG4887" t="s">
        <v>29481</v>
      </c>
      <c r="AH4887" t="s">
        <v>26553</v>
      </c>
      <c r="AI4887" t="s">
        <v>29482</v>
      </c>
    </row>
    <row r="4888" spans="2:35" ht="330">
      <c r="B4888" s="1">
        <v>45363</v>
      </c>
      <c r="C4888" s="4">
        <v>45363.476388888892</v>
      </c>
      <c r="D4888" t="s">
        <v>7219</v>
      </c>
      <c r="E4888" t="s">
        <v>29483</v>
      </c>
      <c r="F4888" t="s">
        <v>148</v>
      </c>
      <c r="G4888" t="s">
        <v>310</v>
      </c>
      <c r="H4888" t="s">
        <v>7019</v>
      </c>
      <c r="I4888" t="s">
        <v>40</v>
      </c>
      <c r="J4888" s="2" t="s">
        <v>62</v>
      </c>
      <c r="K4888" t="s">
        <v>42</v>
      </c>
      <c r="L4888" t="s">
        <v>43</v>
      </c>
      <c r="N4888" t="s">
        <v>44</v>
      </c>
      <c r="O4888" t="s">
        <v>29484</v>
      </c>
      <c r="Q4888">
        <v>27657</v>
      </c>
      <c r="R4888" t="s">
        <v>322</v>
      </c>
      <c r="S4888" t="s">
        <v>14278</v>
      </c>
      <c r="T4888">
        <v>26</v>
      </c>
      <c r="W4888" t="s">
        <v>11663</v>
      </c>
      <c r="X4888">
        <v>821257</v>
      </c>
      <c r="Y4888" t="s">
        <v>1111</v>
      </c>
      <c r="Z4888" t="s">
        <v>1519</v>
      </c>
      <c r="AA4888" s="2" t="s">
        <v>29485</v>
      </c>
      <c r="AB4888" t="s">
        <v>24813</v>
      </c>
      <c r="AC4888" t="s">
        <v>29486</v>
      </c>
      <c r="AG4888" t="s">
        <v>29487</v>
      </c>
      <c r="AH4888" t="s">
        <v>29488</v>
      </c>
      <c r="AI4888" t="s">
        <v>29489</v>
      </c>
    </row>
    <row r="4889" spans="2:35">
      <c r="B4889" s="1">
        <v>45363</v>
      </c>
      <c r="C4889" s="4">
        <v>45363.652083333334</v>
      </c>
      <c r="D4889" t="s">
        <v>13723</v>
      </c>
      <c r="E4889" t="s">
        <v>12017</v>
      </c>
      <c r="F4889">
        <v>7</v>
      </c>
      <c r="G4889" t="s">
        <v>432</v>
      </c>
      <c r="H4889" t="s">
        <v>12018</v>
      </c>
      <c r="I4889" t="s">
        <v>40</v>
      </c>
      <c r="J4889" t="s">
        <v>79</v>
      </c>
      <c r="K4889" t="s">
        <v>387</v>
      </c>
      <c r="L4889" t="s">
        <v>1288</v>
      </c>
      <c r="N4889" t="s">
        <v>1289</v>
      </c>
      <c r="Q4889">
        <v>27656</v>
      </c>
      <c r="R4889" t="s">
        <v>95</v>
      </c>
      <c r="S4889" t="s">
        <v>9919</v>
      </c>
      <c r="T4889">
        <v>23</v>
      </c>
      <c r="W4889" t="s">
        <v>390</v>
      </c>
      <c r="X4889" t="s">
        <v>10711</v>
      </c>
      <c r="Y4889" t="s">
        <v>29490</v>
      </c>
      <c r="Z4889" t="e">
        <f ca="1">-PERFORM DIAGNOSTICS, passed
-PERFORM Cycle test, passed</f>
        <v>#NAME?</v>
      </c>
      <c r="AA4889" t="e">
        <f ca="1">-PERFORM TROUBLE SHOOTING
-PERFORM parts ISOLATION, display cable is defective
-Install cable as service PART _xludf.For MCS+ EQUIPMENT</f>
        <v>#NAME?</v>
      </c>
      <c r="AB4889" t="s">
        <v>1293</v>
      </c>
      <c r="AG4889" t="s">
        <v>29491</v>
      </c>
      <c r="AH4889" t="s">
        <v>29492</v>
      </c>
      <c r="AI4889" t="s">
        <v>29493</v>
      </c>
    </row>
    <row r="4890" spans="2:35" ht="225">
      <c r="B4890" s="1">
        <v>45363</v>
      </c>
      <c r="C4890" s="4">
        <v>45363.575694444444</v>
      </c>
      <c r="D4890" t="s">
        <v>29494</v>
      </c>
      <c r="E4890" t="s">
        <v>25960</v>
      </c>
      <c r="F4890">
        <v>3</v>
      </c>
      <c r="G4890" t="s">
        <v>174</v>
      </c>
      <c r="H4890" t="s">
        <v>39</v>
      </c>
      <c r="I4890" t="s">
        <v>40</v>
      </c>
      <c r="J4890" s="2" t="s">
        <v>62</v>
      </c>
      <c r="K4890" t="s">
        <v>42</v>
      </c>
      <c r="L4890" t="s">
        <v>175</v>
      </c>
      <c r="N4890" t="s">
        <v>176</v>
      </c>
      <c r="Q4890">
        <v>27655</v>
      </c>
      <c r="R4890" t="s">
        <v>119</v>
      </c>
      <c r="S4890" t="s">
        <v>25961</v>
      </c>
      <c r="T4890">
        <v>25</v>
      </c>
      <c r="U4890" s="2" t="s">
        <v>29495</v>
      </c>
      <c r="V4890" s="1">
        <v>45363</v>
      </c>
      <c r="W4890" t="s">
        <v>84</v>
      </c>
      <c r="X4890">
        <v>831711</v>
      </c>
      <c r="Y4890" t="s">
        <v>998</v>
      </c>
      <c r="Z4890" t="s">
        <v>999</v>
      </c>
      <c r="AA4890" t="e">
        <f ca="1">- checked _xludf.and cleaned cartridge bay, plunger rod, _xludf.filter, icore slot
- performed XpertCheck
- generated reports</f>
        <v>#NAME?</v>
      </c>
      <c r="AB4890" s="2" t="s">
        <v>29496</v>
      </c>
      <c r="AD4890" t="s">
        <v>7189</v>
      </c>
      <c r="AE4890" t="s">
        <v>103</v>
      </c>
      <c r="AG4890" t="s">
        <v>29497</v>
      </c>
      <c r="AH4890" t="s">
        <v>29498</v>
      </c>
      <c r="AI4890" t="s">
        <v>29499</v>
      </c>
    </row>
    <row r="4891" spans="2:35" ht="409.5">
      <c r="B4891" s="1">
        <v>45363</v>
      </c>
      <c r="C4891" s="4">
        <v>45363.588194444441</v>
      </c>
      <c r="D4891" t="s">
        <v>2272</v>
      </c>
      <c r="E4891" t="s">
        <v>29500</v>
      </c>
      <c r="F4891" t="s">
        <v>148</v>
      </c>
      <c r="G4891" t="s">
        <v>310</v>
      </c>
      <c r="H4891" t="s">
        <v>5042</v>
      </c>
      <c r="I4891" t="s">
        <v>40</v>
      </c>
      <c r="J4891" s="2" t="s">
        <v>62</v>
      </c>
      <c r="K4891" t="s">
        <v>42</v>
      </c>
      <c r="L4891" t="s">
        <v>1943</v>
      </c>
      <c r="N4891" t="s">
        <v>1944</v>
      </c>
      <c r="O4891" t="s">
        <v>2275</v>
      </c>
      <c r="Q4891">
        <v>27654</v>
      </c>
      <c r="R4891" t="s">
        <v>703</v>
      </c>
      <c r="S4891" t="s">
        <v>6830</v>
      </c>
      <c r="T4891">
        <v>25</v>
      </c>
      <c r="V4891" s="1">
        <v>45358</v>
      </c>
      <c r="W4891" t="s">
        <v>84</v>
      </c>
      <c r="X4891">
        <v>835604</v>
      </c>
      <c r="Y4891" s="2" t="s">
        <v>23659</v>
      </c>
      <c r="Z4891" t="s">
        <v>29501</v>
      </c>
      <c r="AA4891" s="2" t="s">
        <v>29426</v>
      </c>
      <c r="AB4891" t="s">
        <v>88</v>
      </c>
      <c r="AD4891" t="s">
        <v>948</v>
      </c>
      <c r="AE4891" t="s">
        <v>29502</v>
      </c>
      <c r="AG4891" t="s">
        <v>29503</v>
      </c>
      <c r="AH4891" t="s">
        <v>29504</v>
      </c>
      <c r="AI4891" t="s">
        <v>29505</v>
      </c>
    </row>
    <row r="4892" spans="2:35" ht="105">
      <c r="B4892" s="1">
        <v>45363</v>
      </c>
      <c r="C4892" s="4">
        <v>45363.574305555558</v>
      </c>
      <c r="D4892" t="s">
        <v>3912</v>
      </c>
      <c r="E4892" t="s">
        <v>29506</v>
      </c>
      <c r="F4892">
        <v>6</v>
      </c>
      <c r="G4892" t="s">
        <v>1234</v>
      </c>
      <c r="H4892" t="s">
        <v>1047</v>
      </c>
      <c r="I4892" t="s">
        <v>94</v>
      </c>
      <c r="J4892" t="s">
        <v>996</v>
      </c>
      <c r="K4892" t="s">
        <v>42</v>
      </c>
      <c r="L4892" t="s">
        <v>23958</v>
      </c>
      <c r="N4892" t="s">
        <v>23959</v>
      </c>
      <c r="Q4892">
        <v>27653</v>
      </c>
      <c r="R4892" t="s">
        <v>45</v>
      </c>
      <c r="S4892" t="s">
        <v>3914</v>
      </c>
      <c r="T4892">
        <v>24</v>
      </c>
      <c r="U4892" s="2" t="s">
        <v>29507</v>
      </c>
      <c r="W4892" t="s">
        <v>360</v>
      </c>
      <c r="X4892">
        <v>807614</v>
      </c>
      <c r="Y4892" t="s">
        <v>29508</v>
      </c>
      <c r="Z4892" t="s">
        <v>29509</v>
      </c>
      <c r="AA4892" t="s">
        <v>29510</v>
      </c>
      <c r="AB4892" t="s">
        <v>29511</v>
      </c>
      <c r="AG4892" t="s">
        <v>29512</v>
      </c>
      <c r="AH4892" t="s">
        <v>3920</v>
      </c>
      <c r="AI4892" t="s">
        <v>29513</v>
      </c>
    </row>
    <row r="4893" spans="2:35" ht="105">
      <c r="B4893" s="1">
        <v>45363</v>
      </c>
      <c r="C4893" s="4">
        <v>45363.554861111108</v>
      </c>
      <c r="D4893" t="s">
        <v>24502</v>
      </c>
      <c r="E4893" t="s">
        <v>24502</v>
      </c>
      <c r="F4893" t="s">
        <v>1255</v>
      </c>
      <c r="G4893" t="s">
        <v>3346</v>
      </c>
      <c r="H4893" t="s">
        <v>39</v>
      </c>
      <c r="I4893" t="s">
        <v>94</v>
      </c>
      <c r="J4893" s="2" t="s">
        <v>41</v>
      </c>
      <c r="K4893" t="s">
        <v>42</v>
      </c>
      <c r="L4893" t="s">
        <v>1257</v>
      </c>
      <c r="N4893" t="s">
        <v>2199</v>
      </c>
      <c r="O4893" t="s">
        <v>1258</v>
      </c>
      <c r="Q4893">
        <v>27652</v>
      </c>
      <c r="R4893" t="s">
        <v>45</v>
      </c>
      <c r="S4893" t="s">
        <v>24504</v>
      </c>
      <c r="T4893">
        <v>26</v>
      </c>
      <c r="U4893" s="2" t="s">
        <v>27700</v>
      </c>
      <c r="V4893" s="1">
        <v>45363</v>
      </c>
      <c r="W4893" t="s">
        <v>16530</v>
      </c>
      <c r="X4893">
        <v>807460</v>
      </c>
      <c r="Y4893" t="s">
        <v>29514</v>
      </c>
      <c r="Z4893" t="s">
        <v>29515</v>
      </c>
      <c r="AA4893" t="s">
        <v>29515</v>
      </c>
      <c r="AB4893" t="s">
        <v>7411</v>
      </c>
      <c r="AC4893" t="s">
        <v>301</v>
      </c>
      <c r="AD4893" t="s">
        <v>54</v>
      </c>
      <c r="AE4893" t="s">
        <v>54</v>
      </c>
      <c r="AG4893" t="s">
        <v>29516</v>
      </c>
      <c r="AH4893" t="s">
        <v>24510</v>
      </c>
      <c r="AI4893" t="s">
        <v>29517</v>
      </c>
    </row>
    <row r="4894" spans="2:35">
      <c r="B4894" s="1">
        <v>45363</v>
      </c>
      <c r="C4894" s="4">
        <v>45363.543055555558</v>
      </c>
      <c r="D4894" t="s">
        <v>24502</v>
      </c>
      <c r="E4894" t="s">
        <v>29518</v>
      </c>
      <c r="F4894" t="s">
        <v>1255</v>
      </c>
      <c r="G4894" t="s">
        <v>3346</v>
      </c>
      <c r="H4894" t="s">
        <v>39</v>
      </c>
      <c r="I4894" t="s">
        <v>94</v>
      </c>
      <c r="J4894" t="s">
        <v>321</v>
      </c>
      <c r="K4894" t="s">
        <v>42</v>
      </c>
      <c r="L4894" t="s">
        <v>1257</v>
      </c>
      <c r="N4894" t="s">
        <v>2199</v>
      </c>
      <c r="O4894" t="s">
        <v>1258</v>
      </c>
      <c r="Q4894">
        <v>27651</v>
      </c>
      <c r="R4894" t="s">
        <v>45</v>
      </c>
      <c r="S4894" t="s">
        <v>24504</v>
      </c>
      <c r="T4894">
        <v>26</v>
      </c>
      <c r="V4894" s="1">
        <v>45363</v>
      </c>
      <c r="W4894" t="s">
        <v>5617</v>
      </c>
      <c r="X4894">
        <v>110020679</v>
      </c>
      <c r="Y4894" t="s">
        <v>301</v>
      </c>
      <c r="Z4894" t="s">
        <v>29519</v>
      </c>
      <c r="AA4894" t="s">
        <v>29519</v>
      </c>
      <c r="AB4894" t="s">
        <v>29520</v>
      </c>
      <c r="AC4894" t="s">
        <v>29521</v>
      </c>
      <c r="AD4894" t="s">
        <v>54</v>
      </c>
      <c r="AE4894" t="s">
        <v>54</v>
      </c>
      <c r="AG4894" t="s">
        <v>29522</v>
      </c>
      <c r="AH4894" t="s">
        <v>24510</v>
      </c>
      <c r="AI4894" t="s">
        <v>29523</v>
      </c>
    </row>
    <row r="4895" spans="2:35" ht="135">
      <c r="B4895" s="1">
        <v>45363</v>
      </c>
      <c r="C4895" s="4">
        <v>45321.575694444444</v>
      </c>
      <c r="D4895" t="s">
        <v>29524</v>
      </c>
      <c r="E4895" t="s">
        <v>8465</v>
      </c>
      <c r="F4895">
        <v>7</v>
      </c>
      <c r="G4895" t="s">
        <v>432</v>
      </c>
      <c r="H4895" t="s">
        <v>39</v>
      </c>
      <c r="I4895" t="s">
        <v>40</v>
      </c>
      <c r="J4895" s="2" t="s">
        <v>4571</v>
      </c>
      <c r="K4895" t="s">
        <v>42</v>
      </c>
      <c r="L4895" t="s">
        <v>433</v>
      </c>
      <c r="N4895" t="s">
        <v>434</v>
      </c>
      <c r="Q4895">
        <v>27650</v>
      </c>
      <c r="R4895" t="s">
        <v>119</v>
      </c>
      <c r="S4895" t="s">
        <v>13201</v>
      </c>
      <c r="T4895">
        <v>30</v>
      </c>
      <c r="W4895" t="s">
        <v>502</v>
      </c>
      <c r="X4895">
        <v>838509</v>
      </c>
      <c r="Y4895" t="s">
        <v>7765</v>
      </c>
      <c r="Z4895" t="s">
        <v>29525</v>
      </c>
      <c r="AA4895" t="s">
        <v>29526</v>
      </c>
      <c r="AB4895" t="s">
        <v>29527</v>
      </c>
      <c r="AG4895" t="s">
        <v>29528</v>
      </c>
      <c r="AH4895" t="s">
        <v>8469</v>
      </c>
      <c r="AI4895" t="s">
        <v>29529</v>
      </c>
    </row>
    <row r="4896" spans="2:35" ht="210">
      <c r="B4896" s="1">
        <v>45363</v>
      </c>
      <c r="C4896" s="4">
        <v>45363.427777777775</v>
      </c>
      <c r="D4896" t="s">
        <v>8131</v>
      </c>
      <c r="E4896" t="s">
        <v>8132</v>
      </c>
      <c r="F4896">
        <v>6</v>
      </c>
      <c r="G4896" t="s">
        <v>4457</v>
      </c>
      <c r="H4896" t="s">
        <v>39</v>
      </c>
      <c r="I4896" t="s">
        <v>94</v>
      </c>
      <c r="J4896" s="2" t="s">
        <v>41</v>
      </c>
      <c r="K4896" t="s">
        <v>42</v>
      </c>
      <c r="L4896" t="s">
        <v>343</v>
      </c>
      <c r="N4896" t="s">
        <v>344</v>
      </c>
      <c r="Q4896">
        <v>27649</v>
      </c>
      <c r="R4896" t="s">
        <v>45</v>
      </c>
      <c r="S4896" t="s">
        <v>25508</v>
      </c>
      <c r="T4896">
        <v>27</v>
      </c>
      <c r="U4896" s="2" t="s">
        <v>29530</v>
      </c>
      <c r="V4896" s="1">
        <v>45363</v>
      </c>
      <c r="W4896" t="s">
        <v>6105</v>
      </c>
      <c r="X4896">
        <v>804680</v>
      </c>
      <c r="Y4896" t="s">
        <v>16232</v>
      </c>
      <c r="Z4896" t="s">
        <v>29531</v>
      </c>
      <c r="AA4896" t="e">
        <f ca="1">-module Replacement
-Preventive Maintenance</f>
        <v>#NAME?</v>
      </c>
      <c r="AB4896" t="s">
        <v>9638</v>
      </c>
      <c r="AD4896" t="s">
        <v>24390</v>
      </c>
      <c r="AE4896" t="s">
        <v>45</v>
      </c>
      <c r="AG4896" t="s">
        <v>29532</v>
      </c>
      <c r="AH4896" t="s">
        <v>29533</v>
      </c>
      <c r="AI4896" t="s">
        <v>29534</v>
      </c>
    </row>
    <row r="4897" spans="2:35" ht="255">
      <c r="B4897" s="1">
        <v>45363</v>
      </c>
      <c r="C4897" s="4">
        <v>45363.410416666666</v>
      </c>
      <c r="D4897" t="s">
        <v>29535</v>
      </c>
      <c r="E4897" t="s">
        <v>29536</v>
      </c>
      <c r="F4897">
        <v>3</v>
      </c>
      <c r="G4897" t="s">
        <v>134</v>
      </c>
      <c r="H4897" t="s">
        <v>39</v>
      </c>
      <c r="I4897" t="s">
        <v>40</v>
      </c>
      <c r="J4897" s="2" t="s">
        <v>41</v>
      </c>
      <c r="K4897" t="s">
        <v>42</v>
      </c>
      <c r="L4897" t="s">
        <v>135</v>
      </c>
      <c r="N4897" t="s">
        <v>136</v>
      </c>
      <c r="Q4897">
        <v>27648</v>
      </c>
      <c r="R4897" t="s">
        <v>45</v>
      </c>
      <c r="S4897" t="s">
        <v>29537</v>
      </c>
      <c r="T4897">
        <v>30</v>
      </c>
      <c r="U4897" s="2" t="s">
        <v>5810</v>
      </c>
      <c r="W4897" t="s">
        <v>2680</v>
      </c>
      <c r="X4897">
        <v>838874</v>
      </c>
      <c r="Y4897" t="s">
        <v>29538</v>
      </c>
      <c r="Z4897" s="2" t="s">
        <v>29539</v>
      </c>
      <c r="AA4897" s="2" t="s">
        <v>29540</v>
      </c>
      <c r="AB4897" s="2" t="s">
        <v>29541</v>
      </c>
      <c r="AG4897" t="s">
        <v>29542</v>
      </c>
      <c r="AH4897" t="s">
        <v>29543</v>
      </c>
      <c r="AI4897" t="s">
        <v>29544</v>
      </c>
    </row>
    <row r="4898" spans="2:35" ht="409.5">
      <c r="B4898" s="1">
        <v>45363</v>
      </c>
      <c r="C4898" s="4">
        <v>45363.467361111114</v>
      </c>
      <c r="D4898" t="s">
        <v>1661</v>
      </c>
      <c r="E4898" t="s">
        <v>1662</v>
      </c>
      <c r="F4898">
        <v>8</v>
      </c>
      <c r="G4898" t="s">
        <v>1663</v>
      </c>
      <c r="H4898" t="s">
        <v>39</v>
      </c>
      <c r="I4898" t="s">
        <v>94</v>
      </c>
      <c r="J4898" s="2" t="s">
        <v>41</v>
      </c>
      <c r="K4898" t="s">
        <v>42</v>
      </c>
      <c r="L4898" t="s">
        <v>259</v>
      </c>
      <c r="N4898" t="s">
        <v>260</v>
      </c>
      <c r="Q4898">
        <v>27647</v>
      </c>
      <c r="R4898" t="s">
        <v>45</v>
      </c>
      <c r="S4898" t="s">
        <v>26127</v>
      </c>
      <c r="T4898">
        <v>24</v>
      </c>
      <c r="U4898" s="2" t="s">
        <v>29545</v>
      </c>
      <c r="V4898" s="1">
        <v>45363</v>
      </c>
      <c r="W4898" t="s">
        <v>28952</v>
      </c>
      <c r="X4898">
        <v>807566</v>
      </c>
      <c r="Y4898" t="s">
        <v>29546</v>
      </c>
      <c r="Z4898" t="e">
        <f ca="1">- module Replacement
- Preventive Maintenance</f>
        <v>#NAME?</v>
      </c>
      <c r="AA4898" s="2" t="s">
        <v>29547</v>
      </c>
      <c r="AB4898" t="s">
        <v>7445</v>
      </c>
      <c r="AD4898" t="s">
        <v>29548</v>
      </c>
      <c r="AE4898" t="s">
        <v>45</v>
      </c>
      <c r="AG4898" t="s">
        <v>29549</v>
      </c>
      <c r="AH4898" t="s">
        <v>26143</v>
      </c>
      <c r="AI4898" t="s">
        <v>29550</v>
      </c>
    </row>
    <row r="4899" spans="2:35" ht="409.5">
      <c r="B4899" s="1">
        <v>45363</v>
      </c>
      <c r="C4899" s="4">
        <v>45363.443749999999</v>
      </c>
      <c r="D4899" t="s">
        <v>5158</v>
      </c>
      <c r="E4899" t="s">
        <v>5167</v>
      </c>
      <c r="F4899" t="s">
        <v>148</v>
      </c>
      <c r="G4899" t="s">
        <v>310</v>
      </c>
      <c r="H4899" t="s">
        <v>61</v>
      </c>
      <c r="I4899" t="s">
        <v>40</v>
      </c>
      <c r="J4899" s="2" t="s">
        <v>41</v>
      </c>
      <c r="K4899" t="s">
        <v>42</v>
      </c>
      <c r="L4899" t="s">
        <v>1943</v>
      </c>
      <c r="N4899" t="s">
        <v>1944</v>
      </c>
      <c r="Q4899">
        <v>27646</v>
      </c>
      <c r="R4899" t="s">
        <v>95</v>
      </c>
      <c r="S4899" t="s">
        <v>14635</v>
      </c>
      <c r="T4899">
        <v>25</v>
      </c>
      <c r="V4899" s="1">
        <v>45359</v>
      </c>
      <c r="W4899" t="s">
        <v>5225</v>
      </c>
      <c r="X4899">
        <v>110013856</v>
      </c>
      <c r="Y4899" s="2" t="s">
        <v>25792</v>
      </c>
      <c r="Z4899" t="s">
        <v>22330</v>
      </c>
      <c r="AA4899" s="2" t="s">
        <v>29551</v>
      </c>
      <c r="AB4899" t="s">
        <v>88</v>
      </c>
      <c r="AD4899" t="s">
        <v>29552</v>
      </c>
      <c r="AE4899" t="s">
        <v>29553</v>
      </c>
      <c r="AG4899" t="s">
        <v>29554</v>
      </c>
      <c r="AH4899" t="s">
        <v>29555</v>
      </c>
      <c r="AI4899" t="s">
        <v>29556</v>
      </c>
    </row>
    <row r="4900" spans="2:35" ht="105">
      <c r="B4900" s="1">
        <v>45362</v>
      </c>
      <c r="C4900" s="4">
        <v>45362.410416666666</v>
      </c>
      <c r="D4900" t="s">
        <v>7343</v>
      </c>
      <c r="E4900" t="s">
        <v>29557</v>
      </c>
      <c r="F4900">
        <v>11</v>
      </c>
      <c r="G4900" t="s">
        <v>4297</v>
      </c>
      <c r="H4900" t="s">
        <v>202</v>
      </c>
      <c r="I4900" t="s">
        <v>40</v>
      </c>
      <c r="J4900" s="2" t="s">
        <v>1899</v>
      </c>
      <c r="K4900" t="s">
        <v>42</v>
      </c>
      <c r="L4900" t="s">
        <v>204</v>
      </c>
      <c r="N4900" t="s">
        <v>205</v>
      </c>
      <c r="Q4900">
        <v>27645</v>
      </c>
      <c r="R4900" t="s">
        <v>119</v>
      </c>
      <c r="S4900" t="s">
        <v>7345</v>
      </c>
      <c r="T4900">
        <v>33.9</v>
      </c>
      <c r="W4900" t="s">
        <v>24154</v>
      </c>
      <c r="X4900">
        <v>838460</v>
      </c>
      <c r="Y4900" t="s">
        <v>29558</v>
      </c>
      <c r="Z4900" t="s">
        <v>29559</v>
      </c>
      <c r="AA4900" t="s">
        <v>29560</v>
      </c>
      <c r="AB4900" t="s">
        <v>29561</v>
      </c>
      <c r="AC4900" t="s">
        <v>29562</v>
      </c>
      <c r="AG4900" t="s">
        <v>29563</v>
      </c>
      <c r="AH4900" t="s">
        <v>29564</v>
      </c>
      <c r="AI4900" t="s">
        <v>29565</v>
      </c>
    </row>
    <row r="4901" spans="2:35" ht="409.5">
      <c r="B4901" s="1">
        <v>45362</v>
      </c>
      <c r="C4901" s="4">
        <v>45362.628472222219</v>
      </c>
      <c r="D4901" t="s">
        <v>6037</v>
      </c>
      <c r="E4901" t="s">
        <v>24198</v>
      </c>
      <c r="F4901">
        <v>7</v>
      </c>
      <c r="G4901" t="s">
        <v>432</v>
      </c>
      <c r="H4901" t="s">
        <v>61</v>
      </c>
      <c r="I4901" t="s">
        <v>40</v>
      </c>
      <c r="J4901" s="2" t="s">
        <v>190</v>
      </c>
      <c r="K4901" t="s">
        <v>42</v>
      </c>
      <c r="L4901" t="s">
        <v>610</v>
      </c>
      <c r="N4901" t="s">
        <v>611</v>
      </c>
      <c r="Q4901">
        <v>27644</v>
      </c>
      <c r="R4901" t="s">
        <v>95</v>
      </c>
      <c r="S4901" t="s">
        <v>29566</v>
      </c>
      <c r="T4901">
        <v>25</v>
      </c>
      <c r="U4901" s="2" t="s">
        <v>29567</v>
      </c>
      <c r="W4901" t="s">
        <v>360</v>
      </c>
      <c r="X4901">
        <v>110020777</v>
      </c>
      <c r="Y4901" s="2" t="s">
        <v>29568</v>
      </c>
      <c r="Z4901" s="2" t="s">
        <v>29569</v>
      </c>
      <c r="AA4901" s="2" t="s">
        <v>29570</v>
      </c>
      <c r="AB4901" t="s">
        <v>7886</v>
      </c>
      <c r="AG4901" t="s">
        <v>29571</v>
      </c>
      <c r="AH4901" t="s">
        <v>29572</v>
      </c>
      <c r="AI4901" t="s">
        <v>29573</v>
      </c>
    </row>
    <row r="4902" spans="2:35" ht="135">
      <c r="B4902" s="1">
        <v>45362</v>
      </c>
      <c r="C4902" s="4">
        <v>45357.381944444445</v>
      </c>
      <c r="D4902" t="s">
        <v>29574</v>
      </c>
      <c r="E4902" t="s">
        <v>29575</v>
      </c>
      <c r="F4902" t="s">
        <v>148</v>
      </c>
      <c r="G4902" t="s">
        <v>20126</v>
      </c>
      <c r="H4902" t="s">
        <v>39</v>
      </c>
      <c r="I4902" t="s">
        <v>40</v>
      </c>
      <c r="J4902" t="s">
        <v>79</v>
      </c>
      <c r="K4902" t="s">
        <v>42</v>
      </c>
      <c r="L4902" t="s">
        <v>1028</v>
      </c>
      <c r="N4902" t="s">
        <v>1029</v>
      </c>
      <c r="Q4902">
        <v>27643</v>
      </c>
      <c r="R4902" t="s">
        <v>45</v>
      </c>
      <c r="S4902" t="s">
        <v>29576</v>
      </c>
      <c r="T4902">
        <v>24</v>
      </c>
      <c r="U4902" s="2" t="s">
        <v>9873</v>
      </c>
      <c r="W4902" t="s">
        <v>1967</v>
      </c>
      <c r="X4902">
        <v>812833</v>
      </c>
      <c r="Y4902" t="s">
        <v>29577</v>
      </c>
      <c r="Z4902" t="s">
        <v>2129</v>
      </c>
      <c r="AA4902" s="2" t="s">
        <v>29578</v>
      </c>
      <c r="AB4902" t="s">
        <v>28913</v>
      </c>
      <c r="AC4902" t="s">
        <v>29579</v>
      </c>
      <c r="AG4902" t="s">
        <v>29580</v>
      </c>
      <c r="AH4902" t="s">
        <v>29581</v>
      </c>
      <c r="AI4902" t="s">
        <v>29582</v>
      </c>
    </row>
    <row r="4903" spans="2:35" ht="300">
      <c r="B4903" s="1">
        <v>45362</v>
      </c>
      <c r="C4903" s="4">
        <v>45359.438888888886</v>
      </c>
      <c r="D4903" t="s">
        <v>3295</v>
      </c>
      <c r="E4903" t="s">
        <v>29583</v>
      </c>
      <c r="F4903" t="s">
        <v>37</v>
      </c>
      <c r="G4903" t="s">
        <v>748</v>
      </c>
      <c r="H4903" t="s">
        <v>39</v>
      </c>
      <c r="I4903" t="s">
        <v>40</v>
      </c>
      <c r="J4903" s="2" t="s">
        <v>62</v>
      </c>
      <c r="K4903" t="s">
        <v>42</v>
      </c>
      <c r="L4903" t="s">
        <v>1028</v>
      </c>
      <c r="N4903" t="s">
        <v>1029</v>
      </c>
      <c r="O4903" t="s">
        <v>23782</v>
      </c>
      <c r="Q4903">
        <v>27642</v>
      </c>
      <c r="R4903" t="s">
        <v>703</v>
      </c>
      <c r="S4903" t="s">
        <v>18636</v>
      </c>
      <c r="T4903">
        <v>27</v>
      </c>
      <c r="U4903" s="2" t="s">
        <v>17739</v>
      </c>
      <c r="V4903" s="1">
        <v>45356</v>
      </c>
      <c r="W4903" t="s">
        <v>1967</v>
      </c>
      <c r="X4903">
        <v>812380</v>
      </c>
      <c r="Y4903" t="s">
        <v>18140</v>
      </c>
      <c r="Z4903" t="s">
        <v>21244</v>
      </c>
      <c r="AA4903" s="2" t="s">
        <v>29584</v>
      </c>
      <c r="AB4903" t="s">
        <v>29585</v>
      </c>
      <c r="AC4903" t="s">
        <v>29586</v>
      </c>
      <c r="AD4903" t="s">
        <v>7189</v>
      </c>
      <c r="AE4903" t="s">
        <v>29587</v>
      </c>
      <c r="AG4903" t="s">
        <v>29588</v>
      </c>
      <c r="AH4903" t="s">
        <v>23787</v>
      </c>
      <c r="AI4903" t="s">
        <v>29589</v>
      </c>
    </row>
    <row r="4904" spans="2:35" ht="240">
      <c r="B4904" s="1">
        <v>45362</v>
      </c>
      <c r="C4904" s="4">
        <v>45359.54791666667</v>
      </c>
      <c r="D4904" t="s">
        <v>25030</v>
      </c>
      <c r="E4904" t="s">
        <v>29590</v>
      </c>
      <c r="F4904" t="s">
        <v>148</v>
      </c>
      <c r="G4904" t="s">
        <v>20126</v>
      </c>
      <c r="H4904" t="s">
        <v>39</v>
      </c>
      <c r="I4904" t="s">
        <v>40</v>
      </c>
      <c r="J4904" t="s">
        <v>1422</v>
      </c>
      <c r="K4904" t="s">
        <v>42</v>
      </c>
      <c r="L4904" t="s">
        <v>1028</v>
      </c>
      <c r="N4904" t="s">
        <v>1029</v>
      </c>
      <c r="Q4904">
        <v>27639</v>
      </c>
      <c r="R4904" t="s">
        <v>119</v>
      </c>
      <c r="S4904" t="s">
        <v>29591</v>
      </c>
      <c r="T4904">
        <v>27</v>
      </c>
      <c r="U4904" s="2" t="s">
        <v>3538</v>
      </c>
      <c r="W4904" t="s">
        <v>1967</v>
      </c>
      <c r="X4904">
        <v>831700</v>
      </c>
      <c r="Y4904" t="s">
        <v>29592</v>
      </c>
      <c r="Z4904" t="s">
        <v>1422</v>
      </c>
      <c r="AA4904" s="2" t="s">
        <v>29593</v>
      </c>
      <c r="AB4904" s="2" t="s">
        <v>29594</v>
      </c>
      <c r="AG4904" t="s">
        <v>29595</v>
      </c>
      <c r="AH4904" t="s">
        <v>25036</v>
      </c>
      <c r="AI4904" t="s">
        <v>29596</v>
      </c>
    </row>
    <row r="4905" spans="2:35" ht="135">
      <c r="B4905" s="1">
        <v>45362</v>
      </c>
      <c r="C4905" s="4">
        <v>45358.359722222223</v>
      </c>
      <c r="D4905" t="s">
        <v>29597</v>
      </c>
      <c r="E4905" t="s">
        <v>29598</v>
      </c>
      <c r="F4905" t="s">
        <v>37</v>
      </c>
      <c r="G4905" t="s">
        <v>748</v>
      </c>
      <c r="H4905" t="s">
        <v>39</v>
      </c>
      <c r="I4905" t="s">
        <v>40</v>
      </c>
      <c r="J4905" t="s">
        <v>79</v>
      </c>
      <c r="K4905" t="s">
        <v>42</v>
      </c>
      <c r="L4905" t="s">
        <v>1028</v>
      </c>
      <c r="N4905" t="s">
        <v>1029</v>
      </c>
      <c r="Q4905">
        <v>27641</v>
      </c>
      <c r="R4905" t="s">
        <v>45</v>
      </c>
      <c r="S4905" t="s">
        <v>29599</v>
      </c>
      <c r="T4905">
        <v>27</v>
      </c>
      <c r="U4905" s="2" t="s">
        <v>3434</v>
      </c>
      <c r="W4905" t="s">
        <v>1967</v>
      </c>
      <c r="X4905">
        <v>838166</v>
      </c>
      <c r="Y4905" t="s">
        <v>29577</v>
      </c>
      <c r="Z4905" t="s">
        <v>2129</v>
      </c>
      <c r="AA4905" s="2" t="s">
        <v>29578</v>
      </c>
      <c r="AB4905" t="s">
        <v>3063</v>
      </c>
      <c r="AC4905" t="s">
        <v>29600</v>
      </c>
      <c r="AG4905" t="s">
        <v>29601</v>
      </c>
      <c r="AH4905" t="s">
        <v>29602</v>
      </c>
      <c r="AI4905" t="s">
        <v>29603</v>
      </c>
    </row>
    <row r="4906" spans="2:35" ht="300">
      <c r="B4906" s="1">
        <v>45362</v>
      </c>
      <c r="C4906" s="4">
        <v>45359.446527777778</v>
      </c>
      <c r="D4906" t="s">
        <v>3295</v>
      </c>
      <c r="E4906" t="s">
        <v>29604</v>
      </c>
      <c r="F4906" t="s">
        <v>37</v>
      </c>
      <c r="G4906" t="s">
        <v>748</v>
      </c>
      <c r="H4906" t="s">
        <v>39</v>
      </c>
      <c r="I4906" t="s">
        <v>40</v>
      </c>
      <c r="J4906" s="2" t="s">
        <v>62</v>
      </c>
      <c r="K4906" t="s">
        <v>42</v>
      </c>
      <c r="L4906" t="s">
        <v>1028</v>
      </c>
      <c r="N4906" t="s">
        <v>1029</v>
      </c>
      <c r="O4906" t="s">
        <v>23782</v>
      </c>
      <c r="Q4906">
        <v>27640</v>
      </c>
      <c r="R4906" t="s">
        <v>703</v>
      </c>
      <c r="S4906" t="s">
        <v>18636</v>
      </c>
      <c r="T4906">
        <v>27</v>
      </c>
      <c r="U4906" s="2" t="s">
        <v>29605</v>
      </c>
      <c r="V4906" s="1">
        <v>45356</v>
      </c>
      <c r="W4906" t="s">
        <v>3299</v>
      </c>
      <c r="X4906">
        <v>842166</v>
      </c>
      <c r="Y4906" t="s">
        <v>18140</v>
      </c>
      <c r="Z4906" t="s">
        <v>21244</v>
      </c>
      <c r="AA4906" s="2" t="s">
        <v>29584</v>
      </c>
      <c r="AB4906" t="s">
        <v>29606</v>
      </c>
      <c r="AC4906" t="s">
        <v>29607</v>
      </c>
      <c r="AD4906" t="s">
        <v>7189</v>
      </c>
      <c r="AE4906" t="s">
        <v>29608</v>
      </c>
      <c r="AG4906" t="s">
        <v>29609</v>
      </c>
      <c r="AH4906" t="s">
        <v>23787</v>
      </c>
      <c r="AI4906" t="s">
        <v>29610</v>
      </c>
    </row>
    <row r="4907" spans="2:35" ht="210">
      <c r="B4907" s="1">
        <v>45362</v>
      </c>
      <c r="C4907" s="4">
        <v>45359.376388888886</v>
      </c>
      <c r="D4907" t="s">
        <v>26257</v>
      </c>
      <c r="E4907" t="s">
        <v>29611</v>
      </c>
      <c r="F4907">
        <v>12</v>
      </c>
      <c r="G4907" t="s">
        <v>2137</v>
      </c>
      <c r="H4907" t="s">
        <v>1473</v>
      </c>
      <c r="I4907" t="s">
        <v>94</v>
      </c>
      <c r="J4907" s="2" t="s">
        <v>62</v>
      </c>
      <c r="K4907" t="s">
        <v>42</v>
      </c>
      <c r="L4907" t="s">
        <v>296</v>
      </c>
      <c r="N4907" t="s">
        <v>297</v>
      </c>
      <c r="Q4907">
        <v>27638</v>
      </c>
      <c r="R4907" t="s">
        <v>45</v>
      </c>
      <c r="S4907" t="s">
        <v>26260</v>
      </c>
      <c r="T4907">
        <v>26.4</v>
      </c>
      <c r="U4907" s="2" t="s">
        <v>29612</v>
      </c>
      <c r="V4907" s="1">
        <v>45359</v>
      </c>
      <c r="W4907" t="s">
        <v>29613</v>
      </c>
      <c r="X4907">
        <v>835182</v>
      </c>
      <c r="Y4907" t="s">
        <v>29614</v>
      </c>
      <c r="Z4907" s="2" t="s">
        <v>29615</v>
      </c>
      <c r="AA4907" s="2" t="s">
        <v>29616</v>
      </c>
      <c r="AB4907" t="s">
        <v>16070</v>
      </c>
      <c r="AC4907" t="s">
        <v>29617</v>
      </c>
      <c r="AD4907" t="s">
        <v>3173</v>
      </c>
      <c r="AE4907" t="s">
        <v>29618</v>
      </c>
      <c r="AG4907" t="s">
        <v>29619</v>
      </c>
      <c r="AH4907" t="s">
        <v>26266</v>
      </c>
      <c r="AI4907" t="s">
        <v>29620</v>
      </c>
    </row>
    <row r="4908" spans="2:35" ht="315">
      <c r="B4908" s="1">
        <v>45362</v>
      </c>
      <c r="C4908" s="4">
        <v>45359.564583333333</v>
      </c>
      <c r="D4908" t="s">
        <v>1420</v>
      </c>
      <c r="E4908" t="s">
        <v>1456</v>
      </c>
      <c r="F4908" t="s">
        <v>511</v>
      </c>
      <c r="G4908" t="s">
        <v>512</v>
      </c>
      <c r="H4908" t="s">
        <v>1047</v>
      </c>
      <c r="I4908" t="s">
        <v>40</v>
      </c>
      <c r="J4908" s="2" t="s">
        <v>41</v>
      </c>
      <c r="K4908" t="s">
        <v>42</v>
      </c>
      <c r="L4908" t="s">
        <v>1048</v>
      </c>
      <c r="N4908" t="s">
        <v>1049</v>
      </c>
      <c r="Q4908">
        <v>27637</v>
      </c>
      <c r="R4908" t="s">
        <v>45</v>
      </c>
      <c r="S4908" t="s">
        <v>1423</v>
      </c>
      <c r="T4908">
        <v>27</v>
      </c>
      <c r="U4908" s="2" t="s">
        <v>29621</v>
      </c>
      <c r="V4908" s="1">
        <v>45359</v>
      </c>
      <c r="W4908" t="s">
        <v>1051</v>
      </c>
      <c r="X4908">
        <v>807621</v>
      </c>
      <c r="Y4908" t="e">
        <f ca="1">- _xludf.For module Replacement</f>
        <v>#NAME?</v>
      </c>
      <c r="Z4908" s="2" t="s">
        <v>29622</v>
      </c>
      <c r="AA4908" t="e">
        <f ca="1">- performed module Replacement</f>
        <v>#NAME?</v>
      </c>
      <c r="AB4908" t="s">
        <v>181</v>
      </c>
      <c r="AD4908" t="s">
        <v>29623</v>
      </c>
      <c r="AE4908" t="s">
        <v>103</v>
      </c>
      <c r="AG4908" t="s">
        <v>29624</v>
      </c>
      <c r="AH4908" t="s">
        <v>29625</v>
      </c>
      <c r="AI4908" t="s">
        <v>29626</v>
      </c>
    </row>
    <row r="4909" spans="2:35" ht="240">
      <c r="B4909" s="1">
        <v>45362</v>
      </c>
      <c r="C4909" s="4">
        <v>45359.404166666667</v>
      </c>
      <c r="D4909" t="s">
        <v>9805</v>
      </c>
      <c r="E4909" t="s">
        <v>510</v>
      </c>
      <c r="F4909" t="s">
        <v>511</v>
      </c>
      <c r="G4909" t="s">
        <v>512</v>
      </c>
      <c r="H4909" t="s">
        <v>1047</v>
      </c>
      <c r="I4909" t="s">
        <v>40</v>
      </c>
      <c r="J4909" s="2" t="s">
        <v>29627</v>
      </c>
      <c r="K4909" t="s">
        <v>42</v>
      </c>
      <c r="L4909" t="s">
        <v>1048</v>
      </c>
      <c r="N4909" t="s">
        <v>1049</v>
      </c>
      <c r="Q4909">
        <v>27636</v>
      </c>
      <c r="R4909" t="s">
        <v>45</v>
      </c>
      <c r="S4909" t="s">
        <v>29628</v>
      </c>
      <c r="T4909">
        <v>21</v>
      </c>
      <c r="U4909" s="2" t="s">
        <v>29629</v>
      </c>
      <c r="W4909" t="s">
        <v>1424</v>
      </c>
      <c r="X4909">
        <v>120000171</v>
      </c>
      <c r="Y4909" t="e">
        <f ca="1">- _xludf.For temporary relocation</f>
        <v>#NAME?</v>
      </c>
      <c r="Z4909" t="e">
        <f ca="1">- cleaned cartridge Bays, plunger Rods _xludf.and I-CORE
- packed _xludf.and Relocated GeneXpert system
- generated reports</f>
        <v>#NAME?</v>
      </c>
      <c r="AA4909" t="e">
        <f ca="1">- packed _xludf.and Relocated GeneXpert system</f>
        <v>#NAME?</v>
      </c>
      <c r="AB4909" t="s">
        <v>70</v>
      </c>
      <c r="AC4909" t="s">
        <v>29630</v>
      </c>
      <c r="AG4909" t="s">
        <v>29631</v>
      </c>
      <c r="AH4909" t="s">
        <v>29632</v>
      </c>
      <c r="AI4909" t="s">
        <v>29633</v>
      </c>
    </row>
    <row r="4910" spans="2:35" ht="315">
      <c r="B4910" s="1">
        <v>45362</v>
      </c>
      <c r="C4910" s="4">
        <v>45359.401388888888</v>
      </c>
      <c r="D4910" t="s">
        <v>9805</v>
      </c>
      <c r="E4910" t="s">
        <v>510</v>
      </c>
      <c r="F4910" t="s">
        <v>511</v>
      </c>
      <c r="G4910" t="s">
        <v>512</v>
      </c>
      <c r="H4910" t="s">
        <v>1047</v>
      </c>
      <c r="I4910" t="s">
        <v>94</v>
      </c>
      <c r="J4910" s="2" t="s">
        <v>41</v>
      </c>
      <c r="K4910" t="s">
        <v>42</v>
      </c>
      <c r="L4910" t="s">
        <v>1048</v>
      </c>
      <c r="N4910" t="s">
        <v>1049</v>
      </c>
      <c r="Q4910">
        <v>27635</v>
      </c>
      <c r="R4910" t="s">
        <v>45</v>
      </c>
      <c r="S4910" t="s">
        <v>29628</v>
      </c>
      <c r="T4910">
        <v>25</v>
      </c>
      <c r="U4910" s="2" t="s">
        <v>29634</v>
      </c>
      <c r="V4910" s="1">
        <v>45359</v>
      </c>
      <c r="W4910" t="s">
        <v>1051</v>
      </c>
      <c r="X4910">
        <v>834685</v>
      </c>
      <c r="Y4910" t="e">
        <f ca="1">- _xludf.For module Replacement</f>
        <v>#NAME?</v>
      </c>
      <c r="Z4910" s="2" t="s">
        <v>29635</v>
      </c>
      <c r="AA4910" t="e">
        <f ca="1">- performed module Replacement</f>
        <v>#NAME?</v>
      </c>
      <c r="AB4910" t="s">
        <v>181</v>
      </c>
      <c r="AD4910" t="s">
        <v>29636</v>
      </c>
      <c r="AE4910" t="s">
        <v>103</v>
      </c>
      <c r="AG4910" t="s">
        <v>29637</v>
      </c>
      <c r="AH4910" t="s">
        <v>29632</v>
      </c>
      <c r="AI4910" t="s">
        <v>29638</v>
      </c>
    </row>
    <row r="4911" spans="2:35" ht="105">
      <c r="B4911" s="1">
        <v>45362</v>
      </c>
      <c r="C4911" s="4">
        <v>45357.463194444441</v>
      </c>
      <c r="D4911" t="s">
        <v>29639</v>
      </c>
      <c r="E4911" t="s">
        <v>29640</v>
      </c>
      <c r="F4911">
        <v>1</v>
      </c>
      <c r="G4911" t="s">
        <v>1909</v>
      </c>
      <c r="H4911" t="s">
        <v>1047</v>
      </c>
      <c r="I4911" t="s">
        <v>40</v>
      </c>
      <c r="J4911" s="2" t="s">
        <v>62</v>
      </c>
      <c r="K4911" t="s">
        <v>42</v>
      </c>
      <c r="L4911" t="s">
        <v>1048</v>
      </c>
      <c r="N4911" t="s">
        <v>1049</v>
      </c>
      <c r="Q4911">
        <v>27634</v>
      </c>
      <c r="R4911" t="s">
        <v>45</v>
      </c>
      <c r="S4911" t="s">
        <v>29641</v>
      </c>
      <c r="T4911">
        <v>29</v>
      </c>
      <c r="U4911" s="2" t="s">
        <v>27168</v>
      </c>
      <c r="V4911" s="1">
        <v>45357</v>
      </c>
      <c r="W4911" t="s">
        <v>1051</v>
      </c>
      <c r="X4911">
        <v>815396</v>
      </c>
      <c r="Y4911" t="e">
        <f ca="1">- _xludf.For Preventive Maintenance _xludf.and CALIBRATION</f>
        <v>#NAME?</v>
      </c>
      <c r="Z4911" t="e">
        <f ca="1">- cleaned cartridge Bays, plunger Rods _xludf.and I-CORE
- performed XpertCheck
- generated reports</f>
        <v>#NAME?</v>
      </c>
      <c r="AA4911" t="e">
        <f ca="1">- performed Preventive Maintenance _xludf.and CALIBRATION</f>
        <v>#NAME?</v>
      </c>
      <c r="AB4911" t="e">
        <f ca="1">- Unit is operational</f>
        <v>#NAME?</v>
      </c>
      <c r="AC4911" t="s">
        <v>29642</v>
      </c>
      <c r="AD4911" t="s">
        <v>1958</v>
      </c>
      <c r="AE4911" t="s">
        <v>103</v>
      </c>
      <c r="AG4911" t="s">
        <v>29643</v>
      </c>
      <c r="AH4911" t="s">
        <v>29644</v>
      </c>
      <c r="AI4911" t="s">
        <v>29645</v>
      </c>
    </row>
    <row r="4912" spans="2:35" ht="105">
      <c r="B4912" s="1">
        <v>45362</v>
      </c>
      <c r="C4912" s="4">
        <v>45357.402777777781</v>
      </c>
      <c r="D4912" t="s">
        <v>26613</v>
      </c>
      <c r="E4912" t="s">
        <v>29646</v>
      </c>
      <c r="F4912">
        <v>1</v>
      </c>
      <c r="G4912" t="s">
        <v>1046</v>
      </c>
      <c r="H4912" t="s">
        <v>39</v>
      </c>
      <c r="I4912" t="s">
        <v>40</v>
      </c>
      <c r="J4912" s="2" t="s">
        <v>62</v>
      </c>
      <c r="K4912" t="s">
        <v>42</v>
      </c>
      <c r="L4912" t="s">
        <v>1048</v>
      </c>
      <c r="N4912" t="s">
        <v>1049</v>
      </c>
      <c r="Q4912">
        <v>27633</v>
      </c>
      <c r="R4912" t="s">
        <v>45</v>
      </c>
      <c r="S4912" t="s">
        <v>26615</v>
      </c>
      <c r="T4912">
        <v>28</v>
      </c>
      <c r="U4912" s="2" t="s">
        <v>29647</v>
      </c>
      <c r="V4912" s="1">
        <v>45357</v>
      </c>
      <c r="W4912" t="s">
        <v>1051</v>
      </c>
      <c r="X4912">
        <v>834684</v>
      </c>
      <c r="Y4912" t="e">
        <f ca="1">- _xludf.For CALIBRATION _xludf.and Preventive Maintenance</f>
        <v>#NAME?</v>
      </c>
      <c r="Z4912" t="e">
        <f ca="1">- cleaned cartridge Bays, plunger Rods _xludf.and I-CORE
- performed XpertCheck
- generated reports</f>
        <v>#NAME?</v>
      </c>
      <c r="AA4912" t="e">
        <f ca="1">- performed CALIBRATION _xludf.and Preventive Maintenance</f>
        <v>#NAME?</v>
      </c>
      <c r="AB4912" t="s">
        <v>70</v>
      </c>
      <c r="AC4912" t="s">
        <v>29368</v>
      </c>
      <c r="AD4912" t="s">
        <v>1958</v>
      </c>
      <c r="AE4912" t="s">
        <v>103</v>
      </c>
      <c r="AG4912" t="s">
        <v>29648</v>
      </c>
      <c r="AH4912" t="s">
        <v>29649</v>
      </c>
      <c r="AI4912" t="s">
        <v>29650</v>
      </c>
    </row>
    <row r="4913" spans="2:35" ht="105">
      <c r="B4913" s="1">
        <v>45362</v>
      </c>
      <c r="C4913" s="4">
        <v>45356.351388888892</v>
      </c>
      <c r="D4913" t="s">
        <v>4523</v>
      </c>
      <c r="E4913" t="s">
        <v>3011</v>
      </c>
      <c r="F4913">
        <v>1</v>
      </c>
      <c r="G4913" t="s">
        <v>1046</v>
      </c>
      <c r="H4913" t="s">
        <v>1047</v>
      </c>
      <c r="I4913" t="s">
        <v>40</v>
      </c>
      <c r="J4913" s="2" t="s">
        <v>62</v>
      </c>
      <c r="K4913" t="s">
        <v>42</v>
      </c>
      <c r="L4913" t="s">
        <v>1048</v>
      </c>
      <c r="N4913" t="s">
        <v>1049</v>
      </c>
      <c r="Q4913">
        <v>27632</v>
      </c>
      <c r="R4913" t="s">
        <v>45</v>
      </c>
      <c r="S4913" t="s">
        <v>7964</v>
      </c>
      <c r="T4913">
        <v>30</v>
      </c>
      <c r="U4913" s="2" t="s">
        <v>29651</v>
      </c>
      <c r="V4913" s="1">
        <v>45327</v>
      </c>
      <c r="W4913" t="s">
        <v>1051</v>
      </c>
      <c r="X4913">
        <v>838286</v>
      </c>
      <c r="Y4913" t="e">
        <f ca="1">- DUE _xludf.For CALIBRATION _xludf.and Preventive Maintenance</f>
        <v>#NAME?</v>
      </c>
      <c r="Z4913" t="e">
        <f ca="1">- cleaned cartridge Bays, plunger Rods _xludf.and I-CORE
- performed XpertCheck
- generated reports</f>
        <v>#NAME?</v>
      </c>
      <c r="AA4913" t="e">
        <f ca="1">- performed CALIBRATION _xludf.and Preventive Maintenance</f>
        <v>#NAME?</v>
      </c>
      <c r="AB4913" t="s">
        <v>181</v>
      </c>
      <c r="AC4913" t="s">
        <v>29652</v>
      </c>
      <c r="AD4913" t="s">
        <v>1958</v>
      </c>
      <c r="AE4913" t="s">
        <v>29653</v>
      </c>
      <c r="AG4913" t="s">
        <v>29654</v>
      </c>
      <c r="AH4913" t="s">
        <v>8788</v>
      </c>
      <c r="AI4913" t="s">
        <v>29655</v>
      </c>
    </row>
    <row r="4914" spans="2:35" ht="409.5">
      <c r="B4914" s="1">
        <v>45362</v>
      </c>
      <c r="C4914" s="4">
        <v>45358.505555555559</v>
      </c>
      <c r="D4914" t="s">
        <v>25324</v>
      </c>
      <c r="E4914" t="s">
        <v>27738</v>
      </c>
      <c r="F4914" t="s">
        <v>37</v>
      </c>
      <c r="G4914" t="s">
        <v>78</v>
      </c>
      <c r="H4914" t="s">
        <v>39</v>
      </c>
      <c r="I4914" t="s">
        <v>40</v>
      </c>
      <c r="J4914" s="2" t="s">
        <v>41</v>
      </c>
      <c r="K4914" t="s">
        <v>42</v>
      </c>
      <c r="L4914" t="s">
        <v>43</v>
      </c>
      <c r="N4914" t="s">
        <v>44</v>
      </c>
      <c r="Q4914">
        <v>27631</v>
      </c>
      <c r="R4914" t="s">
        <v>119</v>
      </c>
      <c r="S4914" t="s">
        <v>27739</v>
      </c>
      <c r="T4914">
        <v>24</v>
      </c>
      <c r="V4914" s="1">
        <v>45356</v>
      </c>
      <c r="W4914" t="s">
        <v>48</v>
      </c>
      <c r="X4914">
        <v>821292</v>
      </c>
      <c r="Y4914" t="s">
        <v>29656</v>
      </c>
      <c r="Z4914" t="s">
        <v>29657</v>
      </c>
      <c r="AA4914" s="2" t="s">
        <v>29658</v>
      </c>
      <c r="AB4914" t="s">
        <v>88</v>
      </c>
      <c r="AD4914" s="2" t="s">
        <v>29659</v>
      </c>
      <c r="AE4914" t="s">
        <v>29660</v>
      </c>
      <c r="AG4914" t="s">
        <v>29661</v>
      </c>
      <c r="AH4914" t="s">
        <v>29662</v>
      </c>
      <c r="AI4914" t="s">
        <v>29663</v>
      </c>
    </row>
    <row r="4915" spans="2:35" ht="150">
      <c r="B4915" s="1">
        <v>45362</v>
      </c>
      <c r="C4915" s="4">
        <v>45358.572916666664</v>
      </c>
      <c r="D4915" t="s">
        <v>4927</v>
      </c>
      <c r="E4915" t="s">
        <v>29664</v>
      </c>
      <c r="F4915" t="s">
        <v>37</v>
      </c>
      <c r="G4915" t="s">
        <v>78</v>
      </c>
      <c r="H4915" t="s">
        <v>39</v>
      </c>
      <c r="I4915" t="s">
        <v>40</v>
      </c>
      <c r="J4915" s="2" t="s">
        <v>41</v>
      </c>
      <c r="K4915" t="s">
        <v>42</v>
      </c>
      <c r="L4915" t="s">
        <v>43</v>
      </c>
      <c r="N4915" t="s">
        <v>44</v>
      </c>
      <c r="Q4915">
        <v>27630</v>
      </c>
      <c r="R4915" t="s">
        <v>45</v>
      </c>
      <c r="S4915" t="s">
        <v>29665</v>
      </c>
      <c r="T4915">
        <v>24</v>
      </c>
      <c r="U4915" s="2" t="s">
        <v>29666</v>
      </c>
      <c r="V4915" s="1">
        <v>45358</v>
      </c>
      <c r="W4915" t="s">
        <v>48</v>
      </c>
      <c r="X4915">
        <v>838133</v>
      </c>
      <c r="Y4915" t="s">
        <v>424</v>
      </c>
      <c r="Z4915" t="s">
        <v>425</v>
      </c>
      <c r="AA4915" s="2" t="s">
        <v>29667</v>
      </c>
      <c r="AB4915" t="s">
        <v>16412</v>
      </c>
      <c r="AD4915" s="2" t="s">
        <v>29668</v>
      </c>
      <c r="AE4915" t="s">
        <v>54</v>
      </c>
      <c r="AG4915" t="s">
        <v>29669</v>
      </c>
      <c r="AH4915" t="s">
        <v>29670</v>
      </c>
      <c r="AI4915" t="s">
        <v>29671</v>
      </c>
    </row>
    <row r="4916" spans="2:35" ht="210">
      <c r="B4916" s="1">
        <v>45362</v>
      </c>
      <c r="C4916" s="4">
        <v>45359.459722222222</v>
      </c>
      <c r="D4916" t="s">
        <v>2264</v>
      </c>
      <c r="E4916" t="s">
        <v>27238</v>
      </c>
      <c r="F4916" t="s">
        <v>148</v>
      </c>
      <c r="G4916" t="s">
        <v>2007</v>
      </c>
      <c r="H4916" t="s">
        <v>39</v>
      </c>
      <c r="I4916" t="s">
        <v>40</v>
      </c>
      <c r="J4916" t="s">
        <v>321</v>
      </c>
      <c r="K4916" t="s">
        <v>42</v>
      </c>
      <c r="L4916" t="s">
        <v>43</v>
      </c>
      <c r="N4916" t="s">
        <v>44</v>
      </c>
      <c r="O4916" t="s">
        <v>21234</v>
      </c>
      <c r="Q4916">
        <v>27629</v>
      </c>
      <c r="R4916" t="s">
        <v>322</v>
      </c>
      <c r="S4916" t="s">
        <v>2266</v>
      </c>
      <c r="T4916">
        <v>20</v>
      </c>
      <c r="W4916" t="s">
        <v>153</v>
      </c>
      <c r="X4916">
        <v>110023460</v>
      </c>
      <c r="Y4916" t="s">
        <v>6010</v>
      </c>
      <c r="Z4916" t="s">
        <v>751</v>
      </c>
      <c r="AA4916" s="2" t="s">
        <v>29672</v>
      </c>
      <c r="AB4916" t="s">
        <v>88</v>
      </c>
      <c r="AG4916" t="s">
        <v>29673</v>
      </c>
      <c r="AH4916" t="s">
        <v>29674</v>
      </c>
      <c r="AI4916" t="s">
        <v>29675</v>
      </c>
    </row>
    <row r="4917" spans="2:35" ht="360">
      <c r="B4917" s="1">
        <v>45362</v>
      </c>
      <c r="C4917" s="4">
        <v>45359.570138888892</v>
      </c>
      <c r="D4917" t="s">
        <v>13380</v>
      </c>
      <c r="E4917" t="s">
        <v>29676</v>
      </c>
      <c r="F4917" t="s">
        <v>148</v>
      </c>
      <c r="G4917" t="s">
        <v>544</v>
      </c>
      <c r="H4917" t="s">
        <v>39</v>
      </c>
      <c r="I4917" t="s">
        <v>40</v>
      </c>
      <c r="J4917" s="2" t="s">
        <v>62</v>
      </c>
      <c r="K4917" t="s">
        <v>42</v>
      </c>
      <c r="L4917" t="s">
        <v>43</v>
      </c>
      <c r="N4917" t="s">
        <v>44</v>
      </c>
      <c r="Q4917">
        <v>27628</v>
      </c>
      <c r="R4917" t="s">
        <v>703</v>
      </c>
      <c r="S4917" t="s">
        <v>14488</v>
      </c>
      <c r="T4917">
        <v>25</v>
      </c>
      <c r="U4917" s="2" t="s">
        <v>29677</v>
      </c>
      <c r="W4917" t="s">
        <v>48</v>
      </c>
      <c r="X4917">
        <v>110008418</v>
      </c>
      <c r="Y4917" t="s">
        <v>1111</v>
      </c>
      <c r="Z4917" t="s">
        <v>1519</v>
      </c>
      <c r="AA4917" s="2" t="s">
        <v>29031</v>
      </c>
      <c r="AB4917" t="s">
        <v>24813</v>
      </c>
      <c r="AG4917" t="s">
        <v>29678</v>
      </c>
      <c r="AH4917" t="s">
        <v>15448</v>
      </c>
      <c r="AI4917" t="s">
        <v>29679</v>
      </c>
    </row>
    <row r="4918" spans="2:35" ht="150">
      <c r="B4918" s="1">
        <v>45362</v>
      </c>
      <c r="C4918" s="4">
        <v>45358.572916666664</v>
      </c>
      <c r="D4918" t="s">
        <v>4927</v>
      </c>
      <c r="E4918" t="s">
        <v>29664</v>
      </c>
      <c r="F4918" t="s">
        <v>37</v>
      </c>
      <c r="G4918" t="s">
        <v>78</v>
      </c>
      <c r="H4918" t="s">
        <v>39</v>
      </c>
      <c r="I4918" t="s">
        <v>40</v>
      </c>
      <c r="J4918" s="2" t="s">
        <v>41</v>
      </c>
      <c r="K4918" t="s">
        <v>42</v>
      </c>
      <c r="L4918" t="s">
        <v>43</v>
      </c>
      <c r="N4918" t="s">
        <v>44</v>
      </c>
      <c r="Q4918">
        <v>27626</v>
      </c>
      <c r="R4918" t="s">
        <v>45</v>
      </c>
      <c r="S4918" t="s">
        <v>29665</v>
      </c>
      <c r="T4918">
        <v>24</v>
      </c>
      <c r="U4918" s="2" t="s">
        <v>29666</v>
      </c>
      <c r="V4918" s="1">
        <v>45358</v>
      </c>
      <c r="W4918" t="s">
        <v>48</v>
      </c>
      <c r="X4918">
        <v>838133</v>
      </c>
      <c r="Y4918" t="s">
        <v>424</v>
      </c>
      <c r="Z4918" t="s">
        <v>425</v>
      </c>
      <c r="AA4918" s="2" t="s">
        <v>29667</v>
      </c>
      <c r="AB4918" t="s">
        <v>16412</v>
      </c>
      <c r="AD4918" s="2" t="s">
        <v>29668</v>
      </c>
      <c r="AE4918" t="s">
        <v>54</v>
      </c>
      <c r="AG4918" t="s">
        <v>29680</v>
      </c>
      <c r="AH4918" t="s">
        <v>29670</v>
      </c>
      <c r="AI4918" t="s">
        <v>29681</v>
      </c>
    </row>
    <row r="4919" spans="2:35" ht="360">
      <c r="B4919" s="1">
        <v>45362</v>
      </c>
      <c r="C4919" s="4">
        <v>45359.570138888892</v>
      </c>
      <c r="D4919" t="s">
        <v>13380</v>
      </c>
      <c r="E4919" t="s">
        <v>29676</v>
      </c>
      <c r="F4919" t="s">
        <v>148</v>
      </c>
      <c r="G4919" t="s">
        <v>544</v>
      </c>
      <c r="H4919" t="s">
        <v>39</v>
      </c>
      <c r="I4919" t="s">
        <v>40</v>
      </c>
      <c r="J4919" s="2" t="s">
        <v>62</v>
      </c>
      <c r="K4919" t="s">
        <v>42</v>
      </c>
      <c r="L4919" t="s">
        <v>43</v>
      </c>
      <c r="N4919" t="s">
        <v>44</v>
      </c>
      <c r="Q4919">
        <v>27627</v>
      </c>
      <c r="R4919" t="s">
        <v>703</v>
      </c>
      <c r="S4919" t="s">
        <v>14488</v>
      </c>
      <c r="T4919">
        <v>25</v>
      </c>
      <c r="U4919" s="2" t="s">
        <v>29677</v>
      </c>
      <c r="W4919" t="s">
        <v>48</v>
      </c>
      <c r="X4919">
        <v>110008418</v>
      </c>
      <c r="Y4919" t="s">
        <v>1111</v>
      </c>
      <c r="Z4919" t="s">
        <v>1519</v>
      </c>
      <c r="AA4919" s="2" t="s">
        <v>29031</v>
      </c>
      <c r="AB4919" t="s">
        <v>24813</v>
      </c>
      <c r="AG4919" t="s">
        <v>29682</v>
      </c>
      <c r="AH4919" t="s">
        <v>15448</v>
      </c>
      <c r="AI4919" t="s">
        <v>29683</v>
      </c>
    </row>
    <row r="4920" spans="2:35" ht="409.5">
      <c r="B4920" s="1">
        <v>45362</v>
      </c>
      <c r="C4920" s="4">
        <v>45358.505555555559</v>
      </c>
      <c r="D4920" t="s">
        <v>25324</v>
      </c>
      <c r="E4920" t="s">
        <v>27738</v>
      </c>
      <c r="F4920" t="s">
        <v>37</v>
      </c>
      <c r="G4920" t="s">
        <v>78</v>
      </c>
      <c r="H4920" t="s">
        <v>39</v>
      </c>
      <c r="I4920" t="s">
        <v>40</v>
      </c>
      <c r="J4920" s="2" t="s">
        <v>41</v>
      </c>
      <c r="K4920" t="s">
        <v>42</v>
      </c>
      <c r="L4920" t="s">
        <v>43</v>
      </c>
      <c r="N4920" t="s">
        <v>44</v>
      </c>
      <c r="Q4920">
        <v>27625</v>
      </c>
      <c r="R4920" t="s">
        <v>119</v>
      </c>
      <c r="S4920" t="s">
        <v>27739</v>
      </c>
      <c r="T4920">
        <v>24</v>
      </c>
      <c r="V4920" s="1">
        <v>45356</v>
      </c>
      <c r="W4920" t="s">
        <v>48</v>
      </c>
      <c r="X4920">
        <v>821292</v>
      </c>
      <c r="Y4920" t="s">
        <v>29656</v>
      </c>
      <c r="Z4920" t="s">
        <v>29657</v>
      </c>
      <c r="AA4920" s="2" t="s">
        <v>29658</v>
      </c>
      <c r="AB4920" t="s">
        <v>88</v>
      </c>
      <c r="AD4920" s="2" t="s">
        <v>29659</v>
      </c>
      <c r="AE4920" t="s">
        <v>29660</v>
      </c>
      <c r="AG4920" t="s">
        <v>29684</v>
      </c>
      <c r="AH4920" t="s">
        <v>29662</v>
      </c>
      <c r="AI4920" t="s">
        <v>29685</v>
      </c>
    </row>
    <row r="4921" spans="2:35" ht="210">
      <c r="B4921" s="1">
        <v>45362</v>
      </c>
      <c r="C4921" s="4">
        <v>45359.459722222222</v>
      </c>
      <c r="D4921" t="s">
        <v>2264</v>
      </c>
      <c r="E4921" t="s">
        <v>27238</v>
      </c>
      <c r="F4921" t="s">
        <v>148</v>
      </c>
      <c r="G4921" t="s">
        <v>2007</v>
      </c>
      <c r="H4921" t="s">
        <v>39</v>
      </c>
      <c r="I4921" t="s">
        <v>40</v>
      </c>
      <c r="J4921" t="s">
        <v>321</v>
      </c>
      <c r="K4921" t="s">
        <v>42</v>
      </c>
      <c r="L4921" t="s">
        <v>43</v>
      </c>
      <c r="N4921" t="s">
        <v>44</v>
      </c>
      <c r="O4921" t="s">
        <v>21234</v>
      </c>
      <c r="Q4921">
        <v>27624</v>
      </c>
      <c r="R4921" t="s">
        <v>322</v>
      </c>
      <c r="S4921" t="s">
        <v>2266</v>
      </c>
      <c r="T4921">
        <v>20</v>
      </c>
      <c r="W4921" t="s">
        <v>153</v>
      </c>
      <c r="X4921">
        <v>110023460</v>
      </c>
      <c r="Y4921" t="s">
        <v>6010</v>
      </c>
      <c r="Z4921" t="s">
        <v>751</v>
      </c>
      <c r="AA4921" s="2" t="s">
        <v>29672</v>
      </c>
      <c r="AB4921" t="s">
        <v>88</v>
      </c>
      <c r="AG4921" t="s">
        <v>29686</v>
      </c>
      <c r="AH4921" t="s">
        <v>29674</v>
      </c>
      <c r="AI4921" t="s">
        <v>29687</v>
      </c>
    </row>
    <row r="4922" spans="2:35" ht="240">
      <c r="B4922" s="1">
        <v>45361</v>
      </c>
      <c r="C4922" s="4">
        <v>45358.637499999997</v>
      </c>
      <c r="D4922" t="s">
        <v>29688</v>
      </c>
      <c r="E4922" t="s">
        <v>29689</v>
      </c>
      <c r="F4922" t="s">
        <v>148</v>
      </c>
      <c r="G4922" t="s">
        <v>447</v>
      </c>
      <c r="H4922" t="s">
        <v>39</v>
      </c>
      <c r="I4922" t="s">
        <v>40</v>
      </c>
      <c r="J4922" s="2" t="s">
        <v>62</v>
      </c>
      <c r="K4922" t="s">
        <v>42</v>
      </c>
      <c r="L4922" t="s">
        <v>448</v>
      </c>
      <c r="N4922" t="s">
        <v>650</v>
      </c>
      <c r="Q4922">
        <v>27623</v>
      </c>
      <c r="R4922" t="s">
        <v>703</v>
      </c>
      <c r="S4922" t="s">
        <v>28440</v>
      </c>
      <c r="T4922">
        <v>26</v>
      </c>
      <c r="U4922" s="2" t="s">
        <v>29690</v>
      </c>
      <c r="V4922" s="1">
        <v>45355</v>
      </c>
      <c r="W4922" t="s">
        <v>6121</v>
      </c>
      <c r="X4922">
        <v>835603</v>
      </c>
      <c r="Y4922" t="s">
        <v>873</v>
      </c>
      <c r="Z4922" s="2" t="s">
        <v>3071</v>
      </c>
      <c r="AA4922" t="s">
        <v>24030</v>
      </c>
      <c r="AB4922" t="s">
        <v>29691</v>
      </c>
      <c r="AD4922" t="s">
        <v>3628</v>
      </c>
      <c r="AE4922">
        <v>11251</v>
      </c>
      <c r="AG4922" t="s">
        <v>29692</v>
      </c>
      <c r="AH4922" t="s">
        <v>29693</v>
      </c>
      <c r="AI4922" t="s">
        <v>29694</v>
      </c>
    </row>
    <row r="4923" spans="2:35" ht="180">
      <c r="B4923" s="1">
        <v>45361</v>
      </c>
      <c r="C4923" s="4">
        <v>45359.453472222223</v>
      </c>
      <c r="D4923" t="s">
        <v>29695</v>
      </c>
      <c r="E4923" t="s">
        <v>29696</v>
      </c>
      <c r="F4923" t="s">
        <v>37</v>
      </c>
      <c r="G4923" t="s">
        <v>38</v>
      </c>
      <c r="H4923" t="s">
        <v>39</v>
      </c>
      <c r="I4923" t="s">
        <v>40</v>
      </c>
      <c r="J4923" t="s">
        <v>109</v>
      </c>
      <c r="K4923" t="s">
        <v>42</v>
      </c>
      <c r="L4923" t="s">
        <v>448</v>
      </c>
      <c r="N4923" t="s">
        <v>650</v>
      </c>
      <c r="Q4923">
        <v>27622</v>
      </c>
      <c r="R4923" t="s">
        <v>119</v>
      </c>
      <c r="S4923" t="s">
        <v>1580</v>
      </c>
      <c r="T4923">
        <v>26</v>
      </c>
      <c r="U4923" s="2" t="s">
        <v>8147</v>
      </c>
      <c r="W4923" t="s">
        <v>360</v>
      </c>
      <c r="X4923">
        <v>831642</v>
      </c>
      <c r="Y4923" t="s">
        <v>485</v>
      </c>
      <c r="Z4923" s="2" t="s">
        <v>2011</v>
      </c>
      <c r="AA4923" t="s">
        <v>6997</v>
      </c>
      <c r="AB4923" t="s">
        <v>29697</v>
      </c>
      <c r="AG4923" t="s">
        <v>29698</v>
      </c>
      <c r="AH4923" t="s">
        <v>29699</v>
      </c>
      <c r="AI4923" t="s">
        <v>29700</v>
      </c>
    </row>
    <row r="4924" spans="2:35" ht="240">
      <c r="B4924" s="1">
        <v>45361</v>
      </c>
      <c r="C4924" s="4">
        <v>45359.588194444441</v>
      </c>
      <c r="D4924" t="s">
        <v>14138</v>
      </c>
      <c r="E4924" t="s">
        <v>9675</v>
      </c>
      <c r="F4924" t="s">
        <v>148</v>
      </c>
      <c r="G4924" t="s">
        <v>447</v>
      </c>
      <c r="H4924" t="s">
        <v>150</v>
      </c>
      <c r="I4924" t="s">
        <v>40</v>
      </c>
      <c r="J4924" s="2" t="s">
        <v>62</v>
      </c>
      <c r="K4924" t="s">
        <v>42</v>
      </c>
      <c r="L4924" t="s">
        <v>448</v>
      </c>
      <c r="N4924" t="s">
        <v>650</v>
      </c>
      <c r="O4924" t="s">
        <v>29701</v>
      </c>
      <c r="Q4924">
        <v>27621</v>
      </c>
      <c r="R4924" t="s">
        <v>703</v>
      </c>
      <c r="S4924" t="s">
        <v>9076</v>
      </c>
      <c r="T4924">
        <v>27</v>
      </c>
      <c r="V4924" s="1">
        <v>45355</v>
      </c>
      <c r="W4924" t="s">
        <v>18179</v>
      </c>
      <c r="X4924">
        <v>110020700</v>
      </c>
      <c r="Y4924" t="s">
        <v>29702</v>
      </c>
      <c r="Z4924" s="2" t="s">
        <v>3071</v>
      </c>
      <c r="AA4924" t="s">
        <v>28936</v>
      </c>
      <c r="AB4924" t="s">
        <v>29703</v>
      </c>
      <c r="AD4924" t="s">
        <v>3628</v>
      </c>
      <c r="AE4924">
        <v>11253</v>
      </c>
      <c r="AG4924" t="s">
        <v>29704</v>
      </c>
      <c r="AH4924" t="s">
        <v>29705</v>
      </c>
      <c r="AI4924" t="s">
        <v>29706</v>
      </c>
    </row>
    <row r="4925" spans="2:35" ht="375">
      <c r="B4925" s="1">
        <v>45359</v>
      </c>
      <c r="C4925" s="4">
        <v>45359.65902777778</v>
      </c>
      <c r="D4925" t="s">
        <v>22705</v>
      </c>
      <c r="E4925" t="s">
        <v>29707</v>
      </c>
      <c r="F4925">
        <v>7</v>
      </c>
      <c r="G4925" t="s">
        <v>269</v>
      </c>
      <c r="H4925" t="s">
        <v>10969</v>
      </c>
      <c r="I4925" t="s">
        <v>40</v>
      </c>
      <c r="J4925" s="2" t="s">
        <v>62</v>
      </c>
      <c r="K4925" t="s">
        <v>42</v>
      </c>
      <c r="L4925" t="s">
        <v>1288</v>
      </c>
      <c r="N4925" t="s">
        <v>1289</v>
      </c>
      <c r="Q4925">
        <v>27620</v>
      </c>
      <c r="R4925" t="s">
        <v>45</v>
      </c>
      <c r="S4925" t="s">
        <v>22707</v>
      </c>
      <c r="T4925">
        <v>30</v>
      </c>
      <c r="U4925" s="2" t="s">
        <v>10830</v>
      </c>
      <c r="W4925" t="s">
        <v>1292</v>
      </c>
      <c r="X4925">
        <v>838857</v>
      </c>
      <c r="Y4925" t="s">
        <v>29708</v>
      </c>
      <c r="Z4925" t="e">
        <f ca="1">-COLLECT IQR, system _xludf.Log, _xludf.and ARCHIVE</f>
        <v>#NAME?</v>
      </c>
      <c r="AA4925" s="2" t="s">
        <v>29709</v>
      </c>
      <c r="AB4925" t="s">
        <v>17671</v>
      </c>
      <c r="AG4925" t="s">
        <v>29710</v>
      </c>
      <c r="AH4925" t="s">
        <v>29711</v>
      </c>
      <c r="AI4925" t="s">
        <v>29712</v>
      </c>
    </row>
    <row r="4926" spans="2:35" ht="120">
      <c r="B4926" s="1">
        <v>45359</v>
      </c>
      <c r="C4926" s="4">
        <v>45359.647916666669</v>
      </c>
      <c r="D4926" t="s">
        <v>24860</v>
      </c>
      <c r="E4926" t="s">
        <v>9773</v>
      </c>
      <c r="F4926">
        <v>6</v>
      </c>
      <c r="G4926" t="s">
        <v>1234</v>
      </c>
      <c r="H4926" t="s">
        <v>29713</v>
      </c>
      <c r="I4926" t="s">
        <v>40</v>
      </c>
      <c r="J4926" t="s">
        <v>109</v>
      </c>
      <c r="K4926" t="s">
        <v>42</v>
      </c>
      <c r="L4926" t="s">
        <v>23958</v>
      </c>
      <c r="N4926" t="s">
        <v>23959</v>
      </c>
      <c r="Q4926">
        <v>27619</v>
      </c>
      <c r="R4926" t="s">
        <v>322</v>
      </c>
      <c r="S4926" t="s">
        <v>29714</v>
      </c>
      <c r="T4926">
        <v>4</v>
      </c>
      <c r="U4926" s="2" t="s">
        <v>29715</v>
      </c>
      <c r="W4926" t="s">
        <v>360</v>
      </c>
      <c r="X4926">
        <v>110020743</v>
      </c>
      <c r="Y4926" t="s">
        <v>301</v>
      </c>
      <c r="Z4926" t="s">
        <v>29716</v>
      </c>
      <c r="AA4926" t="s">
        <v>29717</v>
      </c>
      <c r="AB4926" t="s">
        <v>29718</v>
      </c>
      <c r="AG4926" t="s">
        <v>29719</v>
      </c>
      <c r="AH4926" t="s">
        <v>29720</v>
      </c>
      <c r="AI4926" t="s">
        <v>29721</v>
      </c>
    </row>
    <row r="4927" spans="2:35" ht="210">
      <c r="B4927" s="1">
        <v>45359</v>
      </c>
      <c r="C4927" s="4">
        <v>45357.554861111108</v>
      </c>
      <c r="D4927" t="s">
        <v>1222</v>
      </c>
      <c r="E4927" t="s">
        <v>29067</v>
      </c>
      <c r="F4927">
        <v>3</v>
      </c>
      <c r="G4927" t="s">
        <v>284</v>
      </c>
      <c r="H4927" t="s">
        <v>1047</v>
      </c>
      <c r="I4927" t="s">
        <v>40</v>
      </c>
      <c r="J4927" s="2" t="s">
        <v>190</v>
      </c>
      <c r="K4927" t="s">
        <v>42</v>
      </c>
      <c r="L4927" t="s">
        <v>135</v>
      </c>
      <c r="N4927" t="s">
        <v>136</v>
      </c>
      <c r="Q4927">
        <v>27618</v>
      </c>
      <c r="R4927" t="s">
        <v>119</v>
      </c>
      <c r="S4927" t="s">
        <v>29068</v>
      </c>
      <c r="T4927">
        <v>25</v>
      </c>
      <c r="U4927" s="2" t="s">
        <v>1509</v>
      </c>
      <c r="W4927" t="s">
        <v>2680</v>
      </c>
      <c r="X4927">
        <v>831607</v>
      </c>
      <c r="Y4927" t="s">
        <v>29722</v>
      </c>
      <c r="Z4927" t="s">
        <v>4487</v>
      </c>
      <c r="AA4927" s="2" t="s">
        <v>29723</v>
      </c>
      <c r="AB4927" s="2" t="s">
        <v>29724</v>
      </c>
      <c r="AG4927" t="s">
        <v>29725</v>
      </c>
      <c r="AH4927" t="s">
        <v>29073</v>
      </c>
      <c r="AI4927" t="s">
        <v>29726</v>
      </c>
    </row>
    <row r="4928" spans="2:35" ht="330">
      <c r="B4928" s="1">
        <v>45359</v>
      </c>
      <c r="C4928" s="4">
        <v>45359.625</v>
      </c>
      <c r="D4928" t="s">
        <v>29727</v>
      </c>
      <c r="E4928" t="s">
        <v>29728</v>
      </c>
      <c r="F4928">
        <v>3</v>
      </c>
      <c r="G4928" t="s">
        <v>1640</v>
      </c>
      <c r="H4928" t="s">
        <v>61</v>
      </c>
      <c r="I4928" t="s">
        <v>40</v>
      </c>
      <c r="J4928" s="2" t="s">
        <v>220</v>
      </c>
      <c r="K4928" t="s">
        <v>42</v>
      </c>
      <c r="L4928" t="s">
        <v>135</v>
      </c>
      <c r="N4928" t="s">
        <v>136</v>
      </c>
      <c r="Q4928">
        <v>27617</v>
      </c>
      <c r="R4928" t="s">
        <v>45</v>
      </c>
      <c r="S4928" t="s">
        <v>29729</v>
      </c>
      <c r="T4928">
        <v>29</v>
      </c>
      <c r="U4928" s="2" t="s">
        <v>1509</v>
      </c>
      <c r="W4928" t="s">
        <v>2680</v>
      </c>
      <c r="X4928">
        <v>807565</v>
      </c>
      <c r="Y4928" s="2" t="s">
        <v>29730</v>
      </c>
      <c r="Z4928" s="2" t="s">
        <v>29731</v>
      </c>
      <c r="AA4928" s="2" t="s">
        <v>29732</v>
      </c>
      <c r="AB4928" s="2" t="s">
        <v>29733</v>
      </c>
      <c r="AG4928" t="s">
        <v>29734</v>
      </c>
      <c r="AH4928" t="s">
        <v>29735</v>
      </c>
      <c r="AI4928" t="s">
        <v>29736</v>
      </c>
    </row>
    <row r="4929" spans="2:35" ht="195">
      <c r="B4929" s="1">
        <v>45359</v>
      </c>
      <c r="C4929" s="4">
        <v>45359.603472222225</v>
      </c>
      <c r="D4929" t="s">
        <v>7172</v>
      </c>
      <c r="E4929" t="s">
        <v>28313</v>
      </c>
      <c r="F4929" t="s">
        <v>148</v>
      </c>
      <c r="G4929" t="s">
        <v>310</v>
      </c>
      <c r="H4929" t="s">
        <v>39</v>
      </c>
      <c r="I4929" t="s">
        <v>40</v>
      </c>
      <c r="J4929" s="2" t="s">
        <v>62</v>
      </c>
      <c r="K4929" t="s">
        <v>42</v>
      </c>
      <c r="L4929" t="s">
        <v>27431</v>
      </c>
      <c r="N4929" t="s">
        <v>27432</v>
      </c>
      <c r="Q4929">
        <v>27616</v>
      </c>
      <c r="R4929" t="s">
        <v>703</v>
      </c>
      <c r="S4929" t="s">
        <v>29737</v>
      </c>
      <c r="T4929">
        <v>28</v>
      </c>
      <c r="U4929" s="2" t="s">
        <v>29738</v>
      </c>
      <c r="V4929" s="1">
        <v>45357</v>
      </c>
      <c r="W4929" t="s">
        <v>27435</v>
      </c>
      <c r="X4929">
        <v>835540</v>
      </c>
      <c r="Y4929" t="s">
        <v>29739</v>
      </c>
      <c r="Z4929" s="2" t="s">
        <v>29740</v>
      </c>
      <c r="AA4929" s="2" t="s">
        <v>29741</v>
      </c>
      <c r="AB4929" t="s">
        <v>181</v>
      </c>
      <c r="AC4929" t="s">
        <v>28961</v>
      </c>
      <c r="AD4929" t="s">
        <v>8449</v>
      </c>
      <c r="AE4929">
        <v>11266</v>
      </c>
      <c r="AG4929" t="s">
        <v>29742</v>
      </c>
      <c r="AH4929" t="s">
        <v>2914</v>
      </c>
      <c r="AI4929" t="s">
        <v>29743</v>
      </c>
    </row>
    <row r="4930" spans="2:35" ht="105">
      <c r="B4930" s="1">
        <v>45359</v>
      </c>
      <c r="C4930" s="4">
        <v>45359.618055555555</v>
      </c>
      <c r="D4930" t="s">
        <v>29744</v>
      </c>
      <c r="E4930" t="s">
        <v>29745</v>
      </c>
      <c r="F4930">
        <v>3</v>
      </c>
      <c r="G4930" t="s">
        <v>174</v>
      </c>
      <c r="H4930" t="s">
        <v>39</v>
      </c>
      <c r="I4930" t="s">
        <v>40</v>
      </c>
      <c r="J4930" t="s">
        <v>583</v>
      </c>
      <c r="K4930" t="s">
        <v>42</v>
      </c>
      <c r="L4930" t="s">
        <v>175</v>
      </c>
      <c r="N4930" t="s">
        <v>176</v>
      </c>
      <c r="Q4930">
        <v>27615</v>
      </c>
      <c r="R4930" t="s">
        <v>45</v>
      </c>
      <c r="S4930" t="s">
        <v>29746</v>
      </c>
      <c r="T4930">
        <v>25</v>
      </c>
      <c r="W4930" t="s">
        <v>84</v>
      </c>
      <c r="X4930">
        <v>805252</v>
      </c>
      <c r="Y4930" t="s">
        <v>29747</v>
      </c>
      <c r="Z4930" t="s">
        <v>29748</v>
      </c>
      <c r="AA4930" t="e">
        <f ca="1">- checked _xludf.and cleaned cartridge bay, plunger rod, _xludf.filter
- generated reports
- packed Unit</f>
        <v>#NAME?</v>
      </c>
      <c r="AB4930" s="2" t="s">
        <v>29749</v>
      </c>
      <c r="AG4930" t="s">
        <v>29750</v>
      </c>
      <c r="AH4930" t="s">
        <v>29751</v>
      </c>
      <c r="AI4930" t="s">
        <v>29752</v>
      </c>
    </row>
    <row r="4931" spans="2:35" ht="105">
      <c r="B4931" s="1">
        <v>45359</v>
      </c>
      <c r="C4931" s="4">
        <v>45359.57916666667</v>
      </c>
      <c r="D4931" t="s">
        <v>5563</v>
      </c>
      <c r="E4931" t="s">
        <v>1555</v>
      </c>
      <c r="F4931">
        <v>7</v>
      </c>
      <c r="G4931" t="s">
        <v>432</v>
      </c>
      <c r="H4931" t="s">
        <v>150</v>
      </c>
      <c r="I4931" t="s">
        <v>40</v>
      </c>
      <c r="J4931" t="s">
        <v>109</v>
      </c>
      <c r="K4931" t="s">
        <v>42</v>
      </c>
      <c r="L4931" t="s">
        <v>343</v>
      </c>
      <c r="N4931" t="s">
        <v>344</v>
      </c>
      <c r="Q4931">
        <v>27614</v>
      </c>
      <c r="R4931" t="s">
        <v>119</v>
      </c>
      <c r="S4931" t="s">
        <v>5564</v>
      </c>
      <c r="T4931">
        <v>27</v>
      </c>
      <c r="U4931" s="2" t="s">
        <v>29753</v>
      </c>
      <c r="W4931" t="s">
        <v>6105</v>
      </c>
      <c r="X4931">
        <v>838561</v>
      </c>
      <c r="Y4931" t="s">
        <v>301</v>
      </c>
      <c r="Z4931" t="s">
        <v>301</v>
      </c>
      <c r="AA4931" t="e">
        <f ca="1">-Preventive Maintenance
-ARCHIVE tests</f>
        <v>#NAME?</v>
      </c>
      <c r="AB4931" t="s">
        <v>9638</v>
      </c>
      <c r="AG4931" t="s">
        <v>29754</v>
      </c>
      <c r="AH4931" t="s">
        <v>29755</v>
      </c>
      <c r="AI4931" t="s">
        <v>29756</v>
      </c>
    </row>
    <row r="4932" spans="2:35" ht="195">
      <c r="B4932" s="1">
        <v>45359</v>
      </c>
      <c r="C4932" s="4">
        <v>45359.463888888888</v>
      </c>
      <c r="D4932" t="s">
        <v>5546</v>
      </c>
      <c r="E4932" t="s">
        <v>17882</v>
      </c>
      <c r="F4932">
        <v>7</v>
      </c>
      <c r="G4932" t="s">
        <v>432</v>
      </c>
      <c r="H4932" t="s">
        <v>39</v>
      </c>
      <c r="I4932" t="s">
        <v>40</v>
      </c>
      <c r="J4932" s="2" t="s">
        <v>1370</v>
      </c>
      <c r="K4932" t="s">
        <v>42</v>
      </c>
      <c r="L4932" t="s">
        <v>433</v>
      </c>
      <c r="N4932" t="s">
        <v>434</v>
      </c>
      <c r="Q4932">
        <v>27613</v>
      </c>
      <c r="R4932" t="s">
        <v>45</v>
      </c>
      <c r="S4932" t="s">
        <v>5548</v>
      </c>
      <c r="T4932">
        <v>28</v>
      </c>
      <c r="W4932" t="s">
        <v>502</v>
      </c>
      <c r="X4932">
        <v>804840</v>
      </c>
      <c r="Y4932" t="s">
        <v>29757</v>
      </c>
      <c r="Z4932" s="2" t="s">
        <v>29758</v>
      </c>
      <c r="AA4932" s="2" t="s">
        <v>29759</v>
      </c>
      <c r="AB4932" t="s">
        <v>1011</v>
      </c>
      <c r="AG4932" t="s">
        <v>29760</v>
      </c>
      <c r="AH4932" t="s">
        <v>5551</v>
      </c>
      <c r="AI4932" t="s">
        <v>29761</v>
      </c>
    </row>
    <row r="4933" spans="2:35" ht="165">
      <c r="B4933" s="1">
        <v>45359</v>
      </c>
      <c r="C4933" s="4">
        <v>45356.405555555553</v>
      </c>
      <c r="D4933" t="s">
        <v>29762</v>
      </c>
      <c r="E4933" t="s">
        <v>29763</v>
      </c>
      <c r="F4933">
        <v>10</v>
      </c>
      <c r="G4933" t="s">
        <v>2392</v>
      </c>
      <c r="H4933" t="s">
        <v>39</v>
      </c>
      <c r="I4933" t="s">
        <v>40</v>
      </c>
      <c r="J4933" s="2" t="s">
        <v>1370</v>
      </c>
      <c r="K4933" t="s">
        <v>42</v>
      </c>
      <c r="L4933" t="s">
        <v>433</v>
      </c>
      <c r="N4933" t="s">
        <v>434</v>
      </c>
      <c r="Q4933">
        <v>27612</v>
      </c>
      <c r="R4933" t="s">
        <v>119</v>
      </c>
      <c r="S4933" t="s">
        <v>29764</v>
      </c>
      <c r="T4933">
        <v>27</v>
      </c>
      <c r="W4933" t="s">
        <v>1008</v>
      </c>
      <c r="X4933">
        <v>847251</v>
      </c>
      <c r="Y4933" t="s">
        <v>29765</v>
      </c>
      <c r="Z4933" s="2" t="s">
        <v>29766</v>
      </c>
      <c r="AA4933" s="2" t="s">
        <v>29766</v>
      </c>
      <c r="AB4933" t="s">
        <v>1011</v>
      </c>
      <c r="AG4933" t="s">
        <v>29767</v>
      </c>
      <c r="AH4933" t="s">
        <v>29768</v>
      </c>
      <c r="AI4933" t="s">
        <v>29769</v>
      </c>
    </row>
    <row r="4934" spans="2:35" ht="180">
      <c r="B4934" s="1">
        <v>45359</v>
      </c>
      <c r="C4934" s="4">
        <v>45359.49722222222</v>
      </c>
      <c r="D4934" t="s">
        <v>29770</v>
      </c>
      <c r="E4934" t="s">
        <v>29771</v>
      </c>
      <c r="F4934">
        <v>3</v>
      </c>
      <c r="G4934" t="s">
        <v>174</v>
      </c>
      <c r="H4934" t="s">
        <v>39</v>
      </c>
      <c r="I4934" t="s">
        <v>40</v>
      </c>
      <c r="J4934" s="2" t="s">
        <v>62</v>
      </c>
      <c r="K4934" t="s">
        <v>42</v>
      </c>
      <c r="L4934" t="s">
        <v>175</v>
      </c>
      <c r="N4934" t="s">
        <v>176</v>
      </c>
      <c r="Q4934">
        <v>27611</v>
      </c>
      <c r="R4934" t="s">
        <v>45</v>
      </c>
      <c r="S4934" t="s">
        <v>29772</v>
      </c>
      <c r="T4934">
        <v>25</v>
      </c>
      <c r="U4934" s="2" t="s">
        <v>29773</v>
      </c>
      <c r="W4934" t="s">
        <v>84</v>
      </c>
      <c r="X4934">
        <v>838872</v>
      </c>
      <c r="Y4934" t="s">
        <v>998</v>
      </c>
      <c r="Z4934" t="s">
        <v>999</v>
      </c>
      <c r="AA4934" t="e">
        <f ca="1">- checked _xludf.and cleaned cartridge bay, plunger rod, _xludf.filter, icore
- performed XpertCheck
- generated reports</f>
        <v>#NAME?</v>
      </c>
      <c r="AB4934" s="2" t="s">
        <v>29774</v>
      </c>
      <c r="AG4934" t="s">
        <v>29775</v>
      </c>
      <c r="AH4934" t="s">
        <v>29776</v>
      </c>
      <c r="AI4934" t="s">
        <v>29777</v>
      </c>
    </row>
    <row r="4935" spans="2:35" ht="195">
      <c r="B4935" s="1">
        <v>45359</v>
      </c>
      <c r="C4935" s="4">
        <v>45359.506249999999</v>
      </c>
      <c r="D4935" t="s">
        <v>2721</v>
      </c>
      <c r="E4935" t="s">
        <v>2774</v>
      </c>
      <c r="F4935">
        <v>2</v>
      </c>
      <c r="G4935" t="s">
        <v>2723</v>
      </c>
      <c r="H4935" t="s">
        <v>39</v>
      </c>
      <c r="I4935" t="s">
        <v>40</v>
      </c>
      <c r="J4935" s="2" t="s">
        <v>41</v>
      </c>
      <c r="K4935" t="s">
        <v>42</v>
      </c>
      <c r="L4935" t="s">
        <v>63</v>
      </c>
      <c r="N4935" t="s">
        <v>64</v>
      </c>
      <c r="Q4935">
        <v>27610</v>
      </c>
      <c r="R4935" t="s">
        <v>45</v>
      </c>
      <c r="S4935" t="s">
        <v>2724</v>
      </c>
      <c r="T4935">
        <v>27</v>
      </c>
      <c r="U4935" s="2" t="s">
        <v>29778</v>
      </c>
      <c r="V4935" s="1">
        <v>45359</v>
      </c>
      <c r="W4935" t="s">
        <v>26915</v>
      </c>
      <c r="X4935">
        <v>808628</v>
      </c>
      <c r="Y4935" t="s">
        <v>29779</v>
      </c>
      <c r="Z4935" s="2" t="s">
        <v>29780</v>
      </c>
      <c r="AA4935" s="2" t="s">
        <v>1727</v>
      </c>
      <c r="AB4935" t="s">
        <v>70</v>
      </c>
      <c r="AC4935" t="s">
        <v>1716</v>
      </c>
      <c r="AD4935" t="s">
        <v>29781</v>
      </c>
      <c r="AE4935" t="s">
        <v>1716</v>
      </c>
      <c r="AG4935" t="s">
        <v>29782</v>
      </c>
      <c r="AH4935" t="s">
        <v>29783</v>
      </c>
      <c r="AI4935" t="s">
        <v>29784</v>
      </c>
    </row>
    <row r="4936" spans="2:35" ht="405">
      <c r="B4936" s="1">
        <v>45359</v>
      </c>
      <c r="C4936" s="4">
        <v>45359.438194444447</v>
      </c>
      <c r="D4936" t="s">
        <v>29785</v>
      </c>
      <c r="E4936" t="s">
        <v>29786</v>
      </c>
      <c r="F4936">
        <v>3</v>
      </c>
      <c r="G4936" t="s">
        <v>1722</v>
      </c>
      <c r="H4936" t="s">
        <v>1047</v>
      </c>
      <c r="I4936" t="s">
        <v>40</v>
      </c>
      <c r="J4936" s="2" t="s">
        <v>62</v>
      </c>
      <c r="K4936" t="s">
        <v>42</v>
      </c>
      <c r="L4936" t="s">
        <v>135</v>
      </c>
      <c r="N4936" t="s">
        <v>136</v>
      </c>
      <c r="Q4936">
        <v>27609</v>
      </c>
      <c r="R4936" t="s">
        <v>45</v>
      </c>
      <c r="S4936" t="s">
        <v>29787</v>
      </c>
      <c r="T4936">
        <v>25</v>
      </c>
      <c r="U4936" s="2" t="s">
        <v>20711</v>
      </c>
      <c r="W4936" t="s">
        <v>2680</v>
      </c>
      <c r="X4936">
        <v>834691</v>
      </c>
      <c r="Y4936" s="2" t="s">
        <v>29788</v>
      </c>
      <c r="Z4936" s="2" t="s">
        <v>29789</v>
      </c>
      <c r="AA4936" t="s">
        <v>1751</v>
      </c>
      <c r="AB4936" s="2" t="s">
        <v>3237</v>
      </c>
      <c r="AG4936" t="s">
        <v>29790</v>
      </c>
      <c r="AH4936" t="s">
        <v>29791</v>
      </c>
      <c r="AI4936" t="s">
        <v>29792</v>
      </c>
    </row>
    <row r="4937" spans="2:35" ht="375">
      <c r="B4937" s="1">
        <v>45359</v>
      </c>
      <c r="C4937" s="4">
        <v>45359.45</v>
      </c>
      <c r="D4937" t="s">
        <v>2773</v>
      </c>
      <c r="E4937" t="s">
        <v>2722</v>
      </c>
      <c r="F4937">
        <v>2</v>
      </c>
      <c r="G4937" t="s">
        <v>2723</v>
      </c>
      <c r="H4937" t="s">
        <v>202</v>
      </c>
      <c r="I4937" t="s">
        <v>40</v>
      </c>
      <c r="J4937" s="2" t="s">
        <v>1592</v>
      </c>
      <c r="K4937" t="s">
        <v>42</v>
      </c>
      <c r="L4937" t="s">
        <v>63</v>
      </c>
      <c r="N4937" t="s">
        <v>64</v>
      </c>
      <c r="Q4937">
        <v>27608</v>
      </c>
      <c r="R4937" t="s">
        <v>45</v>
      </c>
      <c r="S4937" t="s">
        <v>29793</v>
      </c>
      <c r="T4937">
        <v>27</v>
      </c>
      <c r="U4937" s="2" t="s">
        <v>29794</v>
      </c>
      <c r="V4937" s="1">
        <v>45359</v>
      </c>
      <c r="W4937" t="s">
        <v>29795</v>
      </c>
      <c r="X4937">
        <v>842894</v>
      </c>
      <c r="Y4937" t="s">
        <v>29796</v>
      </c>
      <c r="Z4937" t="s">
        <v>23614</v>
      </c>
      <c r="AA4937" s="2" t="s">
        <v>29797</v>
      </c>
      <c r="AB4937" t="s">
        <v>70</v>
      </c>
      <c r="AC4937" t="s">
        <v>29798</v>
      </c>
      <c r="AD4937" t="s">
        <v>29799</v>
      </c>
      <c r="AE4937" t="s">
        <v>1716</v>
      </c>
      <c r="AG4937" t="s">
        <v>29800</v>
      </c>
      <c r="AH4937" t="s">
        <v>29801</v>
      </c>
      <c r="AI4937" t="s">
        <v>29802</v>
      </c>
    </row>
    <row r="4938" spans="2:35" ht="375">
      <c r="B4938" s="1">
        <v>45359</v>
      </c>
      <c r="C4938" s="4">
        <v>45359.384722222225</v>
      </c>
      <c r="D4938" t="s">
        <v>2773</v>
      </c>
      <c r="E4938" t="s">
        <v>2722</v>
      </c>
      <c r="F4938">
        <v>2</v>
      </c>
      <c r="G4938" t="s">
        <v>2723</v>
      </c>
      <c r="H4938" t="s">
        <v>21406</v>
      </c>
      <c r="I4938" t="s">
        <v>40</v>
      </c>
      <c r="J4938" s="2" t="s">
        <v>190</v>
      </c>
      <c r="K4938" t="s">
        <v>42</v>
      </c>
      <c r="L4938" t="s">
        <v>63</v>
      </c>
      <c r="N4938" t="s">
        <v>64</v>
      </c>
      <c r="Q4938">
        <v>27607</v>
      </c>
      <c r="R4938" t="s">
        <v>322</v>
      </c>
      <c r="S4938" t="s">
        <v>21408</v>
      </c>
      <c r="T4938">
        <v>25</v>
      </c>
      <c r="U4938" s="2" t="s">
        <v>29803</v>
      </c>
      <c r="V4938" s="1">
        <v>45359</v>
      </c>
      <c r="W4938" t="s">
        <v>66</v>
      </c>
      <c r="X4938">
        <v>803870</v>
      </c>
      <c r="Y4938" t="s">
        <v>29804</v>
      </c>
      <c r="Z4938" t="s">
        <v>29805</v>
      </c>
      <c r="AA4938" s="2" t="s">
        <v>29806</v>
      </c>
      <c r="AB4938" t="s">
        <v>70</v>
      </c>
      <c r="AC4938" t="s">
        <v>29807</v>
      </c>
      <c r="AD4938" t="s">
        <v>1716</v>
      </c>
      <c r="AE4938" t="s">
        <v>1716</v>
      </c>
      <c r="AG4938" t="s">
        <v>29808</v>
      </c>
      <c r="AH4938" t="s">
        <v>21413</v>
      </c>
      <c r="AI4938" t="s">
        <v>29809</v>
      </c>
    </row>
    <row r="4939" spans="2:35" ht="75">
      <c r="B4939" s="1">
        <v>45359</v>
      </c>
      <c r="C4939" s="4">
        <v>45359.393750000003</v>
      </c>
      <c r="D4939" t="s">
        <v>10457</v>
      </c>
      <c r="E4939" t="s">
        <v>6691</v>
      </c>
      <c r="F4939">
        <v>7</v>
      </c>
      <c r="G4939" t="s">
        <v>269</v>
      </c>
      <c r="H4939" t="s">
        <v>10969</v>
      </c>
      <c r="I4939" t="s">
        <v>40</v>
      </c>
      <c r="J4939" t="s">
        <v>321</v>
      </c>
      <c r="K4939" t="s">
        <v>42</v>
      </c>
      <c r="L4939" t="s">
        <v>1288</v>
      </c>
      <c r="N4939" t="s">
        <v>1289</v>
      </c>
      <c r="Q4939">
        <v>27606</v>
      </c>
      <c r="R4939" t="s">
        <v>45</v>
      </c>
      <c r="S4939" t="s">
        <v>10458</v>
      </c>
      <c r="T4939">
        <v>25</v>
      </c>
      <c r="U4939" s="2" t="s">
        <v>29810</v>
      </c>
      <c r="W4939" t="s">
        <v>9206</v>
      </c>
      <c r="X4939">
        <v>110019626</v>
      </c>
      <c r="Y4939" t="s">
        <v>18838</v>
      </c>
      <c r="Z4939" t="e">
        <f ca="1">-COLLECT IQR _xludf.and DOCUMENTATION</f>
        <v>#NAME?</v>
      </c>
      <c r="AA4939" t="e">
        <f ca="1">-Set up GX workstation _xludf.and PERFORM Installation of new GX EQUIPMENT
-system Unit SN: CPH0523F42102</f>
        <v>#NAME?</v>
      </c>
      <c r="AB4939" t="s">
        <v>1293</v>
      </c>
      <c r="AC4939" t="e">
        <f ca="1">-UPS is defective</f>
        <v>#NAME?</v>
      </c>
      <c r="AG4939" t="s">
        <v>29811</v>
      </c>
      <c r="AH4939" t="s">
        <v>29812</v>
      </c>
      <c r="AI4939" t="s">
        <v>29813</v>
      </c>
    </row>
    <row r="4940" spans="2:35" ht="240">
      <c r="B4940" s="1">
        <v>45359</v>
      </c>
      <c r="C4940" s="4">
        <v>45358.444444444445</v>
      </c>
      <c r="D4940" t="s">
        <v>7784</v>
      </c>
      <c r="E4940" t="s">
        <v>29814</v>
      </c>
      <c r="F4940" t="s">
        <v>148</v>
      </c>
      <c r="G4940" t="s">
        <v>447</v>
      </c>
      <c r="H4940" t="s">
        <v>39</v>
      </c>
      <c r="I4940" t="s">
        <v>40</v>
      </c>
      <c r="J4940" s="2" t="s">
        <v>62</v>
      </c>
      <c r="K4940" t="s">
        <v>42</v>
      </c>
      <c r="L4940" t="s">
        <v>448</v>
      </c>
      <c r="N4940" t="s">
        <v>650</v>
      </c>
      <c r="O4940" t="s">
        <v>29815</v>
      </c>
      <c r="Q4940">
        <v>27605</v>
      </c>
      <c r="R4940" t="s">
        <v>703</v>
      </c>
      <c r="S4940" t="s">
        <v>29816</v>
      </c>
      <c r="T4940">
        <v>27</v>
      </c>
      <c r="U4940" s="2" t="s">
        <v>29817</v>
      </c>
      <c r="V4940" s="1">
        <v>45355</v>
      </c>
      <c r="W4940" t="s">
        <v>6121</v>
      </c>
      <c r="X4940">
        <v>840975</v>
      </c>
      <c r="Y4940" t="s">
        <v>873</v>
      </c>
      <c r="Z4940" s="2" t="s">
        <v>3071</v>
      </c>
      <c r="AA4940" t="s">
        <v>24030</v>
      </c>
      <c r="AB4940" s="2" t="s">
        <v>29818</v>
      </c>
      <c r="AD4940" t="s">
        <v>3628</v>
      </c>
      <c r="AE4940">
        <v>11252</v>
      </c>
      <c r="AG4940" t="s">
        <v>29819</v>
      </c>
      <c r="AH4940" t="s">
        <v>29820</v>
      </c>
      <c r="AI4940" t="s">
        <v>29821</v>
      </c>
    </row>
    <row r="4941" spans="2:35" ht="210">
      <c r="B4941" s="1">
        <v>45358</v>
      </c>
      <c r="C4941" s="4">
        <v>45358.55972222222</v>
      </c>
      <c r="D4941" t="s">
        <v>29822</v>
      </c>
      <c r="E4941" t="s">
        <v>29823</v>
      </c>
      <c r="F4941">
        <v>12</v>
      </c>
      <c r="G4941" t="s">
        <v>2137</v>
      </c>
      <c r="H4941" t="s">
        <v>1473</v>
      </c>
      <c r="I4941" t="s">
        <v>94</v>
      </c>
      <c r="J4941" s="2" t="s">
        <v>62</v>
      </c>
      <c r="K4941" t="s">
        <v>42</v>
      </c>
      <c r="L4941" t="s">
        <v>296</v>
      </c>
      <c r="N4941" t="s">
        <v>297</v>
      </c>
      <c r="Q4941">
        <v>27604</v>
      </c>
      <c r="R4941" t="s">
        <v>45</v>
      </c>
      <c r="S4941" t="s">
        <v>29824</v>
      </c>
      <c r="T4941">
        <v>27.2</v>
      </c>
      <c r="U4941" s="2" t="s">
        <v>29825</v>
      </c>
      <c r="V4941" s="1">
        <v>45358</v>
      </c>
      <c r="W4941" t="s">
        <v>29826</v>
      </c>
      <c r="X4941">
        <v>835181</v>
      </c>
      <c r="Y4941" t="s">
        <v>54</v>
      </c>
      <c r="Z4941" s="2" t="s">
        <v>29827</v>
      </c>
      <c r="AA4941" s="2" t="s">
        <v>29616</v>
      </c>
      <c r="AB4941" t="s">
        <v>16070</v>
      </c>
      <c r="AC4941" t="s">
        <v>29828</v>
      </c>
      <c r="AD4941" t="s">
        <v>3173</v>
      </c>
      <c r="AE4941" t="s">
        <v>29829</v>
      </c>
      <c r="AG4941" t="s">
        <v>29830</v>
      </c>
      <c r="AH4941" t="s">
        <v>29831</v>
      </c>
      <c r="AI4941" t="s">
        <v>29832</v>
      </c>
    </row>
    <row r="4942" spans="2:35" ht="210">
      <c r="B4942" s="1">
        <v>45358</v>
      </c>
      <c r="C4942" s="4">
        <v>45358.55972222222</v>
      </c>
      <c r="D4942" t="s">
        <v>29822</v>
      </c>
      <c r="E4942" t="s">
        <v>29823</v>
      </c>
      <c r="F4942">
        <v>12</v>
      </c>
      <c r="G4942" t="s">
        <v>2137</v>
      </c>
      <c r="H4942" t="s">
        <v>1473</v>
      </c>
      <c r="I4942" t="s">
        <v>94</v>
      </c>
      <c r="J4942" s="2" t="s">
        <v>62</v>
      </c>
      <c r="K4942" t="s">
        <v>42</v>
      </c>
      <c r="L4942" t="s">
        <v>296</v>
      </c>
      <c r="N4942" t="s">
        <v>297</v>
      </c>
      <c r="Q4942">
        <v>27603</v>
      </c>
      <c r="R4942" t="s">
        <v>45</v>
      </c>
      <c r="S4942" t="s">
        <v>29824</v>
      </c>
      <c r="T4942">
        <v>27.2</v>
      </c>
      <c r="U4942" s="2" t="s">
        <v>29825</v>
      </c>
      <c r="V4942" s="1">
        <v>45358</v>
      </c>
      <c r="W4942" t="s">
        <v>29826</v>
      </c>
      <c r="X4942">
        <v>835181</v>
      </c>
      <c r="Y4942" t="s">
        <v>54</v>
      </c>
      <c r="Z4942" s="2" t="s">
        <v>29827</v>
      </c>
      <c r="AA4942" s="2" t="s">
        <v>29616</v>
      </c>
      <c r="AB4942" t="s">
        <v>16070</v>
      </c>
      <c r="AC4942" t="s">
        <v>29828</v>
      </c>
      <c r="AD4942" t="s">
        <v>3173</v>
      </c>
      <c r="AE4942" t="s">
        <v>29829</v>
      </c>
      <c r="AG4942" t="s">
        <v>29833</v>
      </c>
      <c r="AH4942" t="s">
        <v>29831</v>
      </c>
      <c r="AI4942" t="s">
        <v>29834</v>
      </c>
    </row>
    <row r="4943" spans="2:35" ht="90">
      <c r="B4943" s="1">
        <v>45358</v>
      </c>
      <c r="C4943" s="4">
        <v>45358.640972222223</v>
      </c>
      <c r="D4943" t="s">
        <v>13344</v>
      </c>
      <c r="E4943" t="s">
        <v>582</v>
      </c>
      <c r="F4943" t="s">
        <v>148</v>
      </c>
      <c r="G4943" t="s">
        <v>447</v>
      </c>
      <c r="H4943" t="s">
        <v>22027</v>
      </c>
      <c r="I4943" t="s">
        <v>40</v>
      </c>
      <c r="J4943" t="s">
        <v>79</v>
      </c>
      <c r="K4943" t="s">
        <v>42</v>
      </c>
      <c r="L4943" t="s">
        <v>857</v>
      </c>
      <c r="N4943" t="s">
        <v>858</v>
      </c>
      <c r="Q4943">
        <v>27602</v>
      </c>
      <c r="R4943" t="s">
        <v>95</v>
      </c>
      <c r="S4943" t="s">
        <v>410</v>
      </c>
      <c r="T4943">
        <v>25</v>
      </c>
      <c r="W4943" t="s">
        <v>29835</v>
      </c>
      <c r="X4943" t="s">
        <v>29836</v>
      </c>
      <c r="Y4943" t="s">
        <v>29837</v>
      </c>
      <c r="Z4943" s="2" t="s">
        <v>29838</v>
      </c>
      <c r="AA4943" t="s">
        <v>29839</v>
      </c>
      <c r="AB4943" t="s">
        <v>181</v>
      </c>
      <c r="AG4943" t="s">
        <v>29840</v>
      </c>
      <c r="AH4943" t="s">
        <v>29841</v>
      </c>
      <c r="AI4943" t="s">
        <v>29842</v>
      </c>
    </row>
    <row r="4944" spans="2:35" ht="409.5">
      <c r="B4944" s="1">
        <v>45358</v>
      </c>
      <c r="C4944" s="4">
        <v>45358.6</v>
      </c>
      <c r="D4944" t="s">
        <v>29843</v>
      </c>
      <c r="E4944" t="s">
        <v>29844</v>
      </c>
      <c r="F4944">
        <v>3</v>
      </c>
      <c r="G4944" t="s">
        <v>730</v>
      </c>
      <c r="H4944" t="s">
        <v>8015</v>
      </c>
      <c r="I4944" t="s">
        <v>40</v>
      </c>
      <c r="J4944" s="2" t="s">
        <v>190</v>
      </c>
      <c r="K4944" t="s">
        <v>42</v>
      </c>
      <c r="L4944" t="s">
        <v>135</v>
      </c>
      <c r="N4944" t="s">
        <v>136</v>
      </c>
      <c r="Q4944">
        <v>27601</v>
      </c>
      <c r="R4944" t="s">
        <v>45</v>
      </c>
      <c r="S4944" t="s">
        <v>29845</v>
      </c>
      <c r="T4944">
        <v>28</v>
      </c>
      <c r="U4944" s="2" t="s">
        <v>29846</v>
      </c>
      <c r="W4944" t="s">
        <v>2680</v>
      </c>
      <c r="X4944">
        <v>838142</v>
      </c>
      <c r="Y4944" t="s">
        <v>29847</v>
      </c>
      <c r="Z4944" s="2" t="s">
        <v>29848</v>
      </c>
      <c r="AA4944" s="2" t="s">
        <v>29849</v>
      </c>
      <c r="AB4944" s="2" t="s">
        <v>29850</v>
      </c>
      <c r="AG4944" t="s">
        <v>29851</v>
      </c>
      <c r="AH4944" t="s">
        <v>29852</v>
      </c>
      <c r="AI4944" t="s">
        <v>29853</v>
      </c>
    </row>
    <row r="4945" spans="2:35" ht="409.5">
      <c r="B4945" s="1">
        <v>45358</v>
      </c>
      <c r="C4945" s="4">
        <v>45358.588888888888</v>
      </c>
      <c r="D4945" t="s">
        <v>1316</v>
      </c>
      <c r="E4945" t="s">
        <v>29854</v>
      </c>
      <c r="F4945">
        <v>11</v>
      </c>
      <c r="G4945" t="s">
        <v>1205</v>
      </c>
      <c r="H4945" t="s">
        <v>1317</v>
      </c>
      <c r="I4945" t="s">
        <v>40</v>
      </c>
      <c r="J4945" s="2" t="s">
        <v>355</v>
      </c>
      <c r="K4945" t="s">
        <v>42</v>
      </c>
      <c r="L4945" t="s">
        <v>204</v>
      </c>
      <c r="N4945" t="s">
        <v>205</v>
      </c>
      <c r="Q4945">
        <v>27600</v>
      </c>
      <c r="R4945" t="s">
        <v>119</v>
      </c>
      <c r="S4945" t="s">
        <v>1318</v>
      </c>
      <c r="T4945">
        <v>26.5</v>
      </c>
      <c r="U4945" s="2" t="s">
        <v>29855</v>
      </c>
      <c r="W4945" t="s">
        <v>23237</v>
      </c>
      <c r="X4945">
        <v>838262</v>
      </c>
      <c r="Y4945" s="2" t="s">
        <v>29856</v>
      </c>
      <c r="Z4945" s="2" t="s">
        <v>29857</v>
      </c>
      <c r="AA4945" t="s">
        <v>29858</v>
      </c>
      <c r="AB4945" s="2" t="s">
        <v>29859</v>
      </c>
      <c r="AC4945" t="s">
        <v>29860</v>
      </c>
      <c r="AG4945" t="s">
        <v>29861</v>
      </c>
      <c r="AH4945" t="s">
        <v>27912</v>
      </c>
      <c r="AI4945" t="s">
        <v>29862</v>
      </c>
    </row>
    <row r="4946" spans="2:35" ht="165">
      <c r="B4946" s="1">
        <v>45358</v>
      </c>
      <c r="C4946" s="4">
        <v>45358.57916666667</v>
      </c>
      <c r="D4946" t="s">
        <v>29863</v>
      </c>
      <c r="E4946" t="s">
        <v>29864</v>
      </c>
      <c r="F4946">
        <v>5</v>
      </c>
      <c r="G4946" t="s">
        <v>8314</v>
      </c>
      <c r="H4946" t="s">
        <v>39</v>
      </c>
      <c r="I4946" t="s">
        <v>40</v>
      </c>
      <c r="J4946" t="s">
        <v>109</v>
      </c>
      <c r="K4946" t="s">
        <v>42</v>
      </c>
      <c r="L4946" t="s">
        <v>761</v>
      </c>
      <c r="N4946" t="s">
        <v>762</v>
      </c>
      <c r="Q4946">
        <v>27599</v>
      </c>
      <c r="R4946" t="s">
        <v>45</v>
      </c>
      <c r="S4946" t="s">
        <v>29865</v>
      </c>
      <c r="T4946">
        <v>27</v>
      </c>
      <c r="U4946" s="2" t="s">
        <v>29866</v>
      </c>
      <c r="W4946" t="s">
        <v>765</v>
      </c>
      <c r="X4946">
        <v>838863</v>
      </c>
      <c r="Y4946" s="2" t="s">
        <v>29867</v>
      </c>
      <c r="Z4946" s="2" t="s">
        <v>29868</v>
      </c>
      <c r="AA4946" t="s">
        <v>820</v>
      </c>
      <c r="AB4946" t="s">
        <v>70</v>
      </c>
      <c r="AG4946" t="s">
        <v>29869</v>
      </c>
      <c r="AH4946" t="s">
        <v>29870</v>
      </c>
      <c r="AI4946" t="s">
        <v>29871</v>
      </c>
    </row>
    <row r="4947" spans="2:35" ht="409.5">
      <c r="B4947" s="1">
        <v>45358</v>
      </c>
      <c r="C4947" s="4">
        <v>45358.570138888892</v>
      </c>
      <c r="D4947" t="s">
        <v>16538</v>
      </c>
      <c r="E4947" t="s">
        <v>16539</v>
      </c>
      <c r="F4947">
        <v>7</v>
      </c>
      <c r="G4947" t="s">
        <v>432</v>
      </c>
      <c r="H4947" t="s">
        <v>608</v>
      </c>
      <c r="I4947" t="s">
        <v>40</v>
      </c>
      <c r="J4947" s="2" t="s">
        <v>1899</v>
      </c>
      <c r="K4947" t="s">
        <v>42</v>
      </c>
      <c r="L4947" t="s">
        <v>610</v>
      </c>
      <c r="N4947" t="s">
        <v>611</v>
      </c>
      <c r="Q4947">
        <v>27598</v>
      </c>
      <c r="R4947" t="s">
        <v>119</v>
      </c>
      <c r="S4947" t="s">
        <v>29872</v>
      </c>
      <c r="T4947">
        <v>24</v>
      </c>
      <c r="U4947" s="2" t="s">
        <v>29873</v>
      </c>
      <c r="W4947" t="s">
        <v>360</v>
      </c>
      <c r="X4947">
        <v>838283</v>
      </c>
      <c r="Y4947" t="s">
        <v>29874</v>
      </c>
      <c r="Z4947" s="2" t="s">
        <v>29875</v>
      </c>
      <c r="AA4947" t="e">
        <f ca="1">- Preventive Maintenance of the GeneXpert  machine _xludf.Clean icore, plunger _xludf.and _xludf.filter
- Generate IQR, system _xludf.Log, _xludf.and gxx _xludf.files
- Check cartridge _xludf.and buffer reagent
- Review the end-user sample preparation</f>
        <v>#NAME?</v>
      </c>
      <c r="AB4947" t="s">
        <v>29876</v>
      </c>
      <c r="AG4947" t="s">
        <v>29877</v>
      </c>
      <c r="AH4947" t="s">
        <v>16545</v>
      </c>
      <c r="AI4947" t="s">
        <v>29878</v>
      </c>
    </row>
    <row r="4948" spans="2:35" ht="409.5">
      <c r="B4948" s="1">
        <v>45358</v>
      </c>
      <c r="C4948" s="4">
        <v>45355.703472222223</v>
      </c>
      <c r="D4948" t="s">
        <v>4118</v>
      </c>
      <c r="E4948" t="s">
        <v>29879</v>
      </c>
      <c r="F4948">
        <v>5</v>
      </c>
      <c r="G4948" t="s">
        <v>759</v>
      </c>
      <c r="H4948" t="s">
        <v>39</v>
      </c>
      <c r="I4948" t="s">
        <v>40</v>
      </c>
      <c r="J4948" t="s">
        <v>525</v>
      </c>
      <c r="K4948" t="s">
        <v>42</v>
      </c>
      <c r="L4948" t="s">
        <v>761</v>
      </c>
      <c r="N4948" t="s">
        <v>762</v>
      </c>
      <c r="O4948" t="s">
        <v>6291</v>
      </c>
      <c r="Q4948">
        <v>27597</v>
      </c>
      <c r="R4948" t="s">
        <v>95</v>
      </c>
      <c r="S4948" t="s">
        <v>29880</v>
      </c>
      <c r="T4948">
        <v>28</v>
      </c>
      <c r="U4948" s="2" t="s">
        <v>29881</v>
      </c>
      <c r="W4948" t="s">
        <v>817</v>
      </c>
      <c r="X4948">
        <v>110017942</v>
      </c>
      <c r="Y4948" t="s">
        <v>29882</v>
      </c>
      <c r="Z4948" s="2" t="s">
        <v>29883</v>
      </c>
      <c r="AA4948" s="2" t="s">
        <v>29884</v>
      </c>
      <c r="AB4948" t="s">
        <v>70</v>
      </c>
      <c r="AC4948" t="s">
        <v>29885</v>
      </c>
      <c r="AG4948" t="s">
        <v>29886</v>
      </c>
      <c r="AH4948" t="s">
        <v>29887</v>
      </c>
      <c r="AI4948" t="s">
        <v>29888</v>
      </c>
    </row>
    <row r="4949" spans="2:35" ht="285">
      <c r="B4949" s="1">
        <v>45358</v>
      </c>
      <c r="C4949" s="4">
        <v>45358.56527777778</v>
      </c>
      <c r="D4949" t="s">
        <v>1071</v>
      </c>
      <c r="E4949" t="s">
        <v>1555</v>
      </c>
      <c r="F4949">
        <v>7</v>
      </c>
      <c r="G4949" t="s">
        <v>432</v>
      </c>
      <c r="H4949" t="s">
        <v>29889</v>
      </c>
      <c r="I4949" t="s">
        <v>40</v>
      </c>
      <c r="J4949" t="s">
        <v>109</v>
      </c>
      <c r="K4949" t="s">
        <v>42</v>
      </c>
      <c r="L4949" t="s">
        <v>343</v>
      </c>
      <c r="N4949" t="s">
        <v>344</v>
      </c>
      <c r="Q4949">
        <v>27595</v>
      </c>
      <c r="R4949" t="s">
        <v>119</v>
      </c>
      <c r="S4949" t="s">
        <v>8679</v>
      </c>
      <c r="T4949">
        <v>31</v>
      </c>
      <c r="U4949" s="2" t="s">
        <v>29890</v>
      </c>
      <c r="W4949" t="s">
        <v>6105</v>
      </c>
      <c r="X4949">
        <v>820206</v>
      </c>
      <c r="Y4949" t="s">
        <v>301</v>
      </c>
      <c r="Z4949" t="s">
        <v>301</v>
      </c>
      <c r="AA4949" t="e">
        <f ca="1">-Preventive Maintenance
-ARCHIVE tests</f>
        <v>#NAME?</v>
      </c>
      <c r="AB4949" t="s">
        <v>9638</v>
      </c>
      <c r="AG4949" t="s">
        <v>29891</v>
      </c>
      <c r="AH4949" t="s">
        <v>29892</v>
      </c>
      <c r="AI4949" t="s">
        <v>29893</v>
      </c>
    </row>
    <row r="4950" spans="2:35" ht="285">
      <c r="B4950" s="1">
        <v>45358</v>
      </c>
      <c r="C4950" s="4">
        <v>45358.560416666667</v>
      </c>
      <c r="D4950" t="s">
        <v>1071</v>
      </c>
      <c r="E4950" t="s">
        <v>1555</v>
      </c>
      <c r="F4950">
        <v>7</v>
      </c>
      <c r="G4950" t="s">
        <v>432</v>
      </c>
      <c r="H4950" t="s">
        <v>150</v>
      </c>
      <c r="I4950" t="s">
        <v>40</v>
      </c>
      <c r="J4950" t="s">
        <v>109</v>
      </c>
      <c r="K4950" t="s">
        <v>42</v>
      </c>
      <c r="L4950" t="s">
        <v>343</v>
      </c>
      <c r="N4950" t="s">
        <v>344</v>
      </c>
      <c r="Q4950">
        <v>27596</v>
      </c>
      <c r="R4950" t="s">
        <v>119</v>
      </c>
      <c r="S4950" t="s">
        <v>29894</v>
      </c>
      <c r="T4950">
        <v>32</v>
      </c>
      <c r="U4950" s="2" t="s">
        <v>29895</v>
      </c>
      <c r="W4950" t="s">
        <v>29896</v>
      </c>
      <c r="X4950">
        <v>838285</v>
      </c>
      <c r="Y4950" t="s">
        <v>301</v>
      </c>
      <c r="Z4950" t="s">
        <v>301</v>
      </c>
      <c r="AA4950" t="e">
        <f ca="1">-Preventive Maintenance
-ARCHIVE tests</f>
        <v>#NAME?</v>
      </c>
      <c r="AB4950" t="s">
        <v>29897</v>
      </c>
      <c r="AC4950" t="s">
        <v>29898</v>
      </c>
      <c r="AG4950" t="s">
        <v>29899</v>
      </c>
      <c r="AH4950" t="s">
        <v>26165</v>
      </c>
      <c r="AI4950" t="s">
        <v>29900</v>
      </c>
    </row>
    <row r="4951" spans="2:35" ht="409.5">
      <c r="B4951" s="1">
        <v>45358</v>
      </c>
      <c r="C4951" s="4">
        <v>45358.563888888886</v>
      </c>
      <c r="D4951" t="s">
        <v>7881</v>
      </c>
      <c r="E4951" t="s">
        <v>7882</v>
      </c>
      <c r="F4951">
        <v>7</v>
      </c>
      <c r="G4951" t="s">
        <v>432</v>
      </c>
      <c r="H4951" t="s">
        <v>608</v>
      </c>
      <c r="I4951" t="s">
        <v>40</v>
      </c>
      <c r="J4951" s="2" t="s">
        <v>760</v>
      </c>
      <c r="K4951" t="s">
        <v>42</v>
      </c>
      <c r="L4951" t="s">
        <v>610</v>
      </c>
      <c r="N4951" t="s">
        <v>611</v>
      </c>
      <c r="Q4951">
        <v>27594</v>
      </c>
      <c r="R4951" t="s">
        <v>119</v>
      </c>
      <c r="S4951" t="s">
        <v>13419</v>
      </c>
      <c r="T4951">
        <v>27</v>
      </c>
      <c r="U4951" s="2" t="s">
        <v>9714</v>
      </c>
      <c r="W4951" t="s">
        <v>360</v>
      </c>
      <c r="X4951">
        <v>838512</v>
      </c>
      <c r="Y4951" t="s">
        <v>29901</v>
      </c>
      <c r="Z4951" s="2" t="s">
        <v>29902</v>
      </c>
      <c r="AA4951" s="2" t="s">
        <v>29902</v>
      </c>
      <c r="AB4951" s="2" t="s">
        <v>29903</v>
      </c>
      <c r="AG4951" t="s">
        <v>29904</v>
      </c>
      <c r="AH4951" t="s">
        <v>14337</v>
      </c>
      <c r="AI4951" t="s">
        <v>29905</v>
      </c>
    </row>
    <row r="4952" spans="2:35" ht="105">
      <c r="B4952" s="1">
        <v>45358</v>
      </c>
      <c r="C4952" s="4">
        <v>45358.561805555553</v>
      </c>
      <c r="D4952" t="s">
        <v>23524</v>
      </c>
      <c r="E4952" t="s">
        <v>29906</v>
      </c>
      <c r="F4952">
        <v>10</v>
      </c>
      <c r="G4952" t="s">
        <v>8359</v>
      </c>
      <c r="H4952" t="s">
        <v>2125</v>
      </c>
      <c r="I4952" t="s">
        <v>40</v>
      </c>
      <c r="J4952" s="2" t="s">
        <v>41</v>
      </c>
      <c r="K4952" t="s">
        <v>42</v>
      </c>
      <c r="L4952" t="s">
        <v>933</v>
      </c>
      <c r="N4952" t="s">
        <v>934</v>
      </c>
      <c r="Q4952">
        <v>27593</v>
      </c>
      <c r="R4952" t="s">
        <v>45</v>
      </c>
      <c r="S4952" t="s">
        <v>29907</v>
      </c>
      <c r="T4952">
        <v>34</v>
      </c>
      <c r="U4952" s="2" t="s">
        <v>29908</v>
      </c>
      <c r="W4952" t="s">
        <v>3662</v>
      </c>
      <c r="X4952">
        <v>807625</v>
      </c>
      <c r="Y4952" t="s">
        <v>29909</v>
      </c>
      <c r="Z4952" t="s">
        <v>2129</v>
      </c>
      <c r="AA4952" t="s">
        <v>29910</v>
      </c>
      <c r="AB4952" t="s">
        <v>13650</v>
      </c>
      <c r="AG4952" t="s">
        <v>29911</v>
      </c>
      <c r="AH4952" t="s">
        <v>23530</v>
      </c>
      <c r="AI4952" t="s">
        <v>29912</v>
      </c>
    </row>
    <row r="4953" spans="2:35">
      <c r="B4953" s="1">
        <v>45358</v>
      </c>
      <c r="C4953" s="4">
        <v>45358.495138888888</v>
      </c>
      <c r="D4953" t="s">
        <v>29913</v>
      </c>
      <c r="E4953" t="s">
        <v>1344</v>
      </c>
      <c r="F4953">
        <v>8</v>
      </c>
      <c r="G4953" t="s">
        <v>342</v>
      </c>
      <c r="H4953" t="s">
        <v>202</v>
      </c>
      <c r="I4953" t="s">
        <v>94</v>
      </c>
      <c r="J4953" t="s">
        <v>321</v>
      </c>
      <c r="K4953" t="s">
        <v>42</v>
      </c>
      <c r="L4953" t="s">
        <v>259</v>
      </c>
      <c r="N4953" t="s">
        <v>260</v>
      </c>
      <c r="Q4953">
        <v>27592</v>
      </c>
      <c r="R4953" t="s">
        <v>45</v>
      </c>
      <c r="S4953" t="s">
        <v>25575</v>
      </c>
      <c r="T4953">
        <v>25</v>
      </c>
      <c r="V4953" s="1">
        <v>45358</v>
      </c>
      <c r="W4953" t="s">
        <v>1537</v>
      </c>
      <c r="X4953">
        <v>110020683</v>
      </c>
      <c r="Y4953" t="s">
        <v>21867</v>
      </c>
      <c r="Z4953" t="e">
        <f ca="1">- Installation</f>
        <v>#NAME?</v>
      </c>
      <c r="AA4953" t="e">
        <f ca="1">- installed new GeneXpert machine SN/110020683
- installed CPU SN/CPH0523F42163
- installed monitor SN/V5FTG668
- installed printer SN/CNB1RBK860
- installed UPS SN/SKPHU2KV230910038
- Import Assay ( MTB ultra, XDR)
- Generate reports</f>
        <v>#NAME?</v>
      </c>
      <c r="AB4953" t="s">
        <v>7445</v>
      </c>
      <c r="AD4953" t="e">
        <f ca="1">-GeneXpert machine SN/110020683
- CPU SN/CPH0523F42163
- monitor SN/V5FTG668
- printer SN/CNB1RBK860
- UPS SN/SKPHU2KV230910038</f>
        <v>#NAME?</v>
      </c>
      <c r="AE4953" t="s">
        <v>45</v>
      </c>
      <c r="AG4953" t="s">
        <v>29914</v>
      </c>
      <c r="AH4953" t="s">
        <v>29915</v>
      </c>
      <c r="AI4953" t="s">
        <v>29916</v>
      </c>
    </row>
    <row r="4954" spans="2:35" ht="165">
      <c r="B4954" s="1">
        <v>45358</v>
      </c>
      <c r="C4954" s="4">
        <v>45358.500694444447</v>
      </c>
      <c r="D4954" t="s">
        <v>29917</v>
      </c>
      <c r="E4954" t="s">
        <v>29918</v>
      </c>
      <c r="F4954" t="s">
        <v>511</v>
      </c>
      <c r="G4954" t="s">
        <v>20778</v>
      </c>
      <c r="H4954" t="s">
        <v>39</v>
      </c>
      <c r="I4954" t="s">
        <v>40</v>
      </c>
      <c r="J4954" s="2" t="s">
        <v>41</v>
      </c>
      <c r="K4954" t="s">
        <v>42</v>
      </c>
      <c r="L4954" t="s">
        <v>63</v>
      </c>
      <c r="N4954" t="s">
        <v>64</v>
      </c>
      <c r="Q4954">
        <v>27591</v>
      </c>
      <c r="R4954" t="s">
        <v>45</v>
      </c>
      <c r="S4954" t="s">
        <v>29919</v>
      </c>
      <c r="T4954">
        <v>22</v>
      </c>
      <c r="U4954" s="2" t="s">
        <v>29920</v>
      </c>
      <c r="V4954" s="1">
        <v>45358</v>
      </c>
      <c r="W4954" t="s">
        <v>66</v>
      </c>
      <c r="X4954">
        <v>807609</v>
      </c>
      <c r="Y4954" t="s">
        <v>29921</v>
      </c>
      <c r="Z4954" s="2" t="s">
        <v>29922</v>
      </c>
      <c r="AA4954" s="2" t="s">
        <v>1727</v>
      </c>
      <c r="AB4954" t="s">
        <v>70</v>
      </c>
      <c r="AC4954" t="s">
        <v>1716</v>
      </c>
      <c r="AD4954" t="s">
        <v>29923</v>
      </c>
      <c r="AE4954" t="s">
        <v>1716</v>
      </c>
      <c r="AG4954" t="s">
        <v>29924</v>
      </c>
      <c r="AH4954" t="s">
        <v>29925</v>
      </c>
      <c r="AI4954" t="s">
        <v>29926</v>
      </c>
    </row>
    <row r="4955" spans="2:35" ht="409.5">
      <c r="B4955" s="1">
        <v>45358</v>
      </c>
      <c r="C4955" s="4">
        <v>45358.447222222225</v>
      </c>
      <c r="D4955" t="s">
        <v>5207</v>
      </c>
      <c r="E4955" t="s">
        <v>5208</v>
      </c>
      <c r="F4955" t="s">
        <v>148</v>
      </c>
      <c r="G4955" t="s">
        <v>310</v>
      </c>
      <c r="H4955" t="s">
        <v>39</v>
      </c>
      <c r="I4955" t="s">
        <v>40</v>
      </c>
      <c r="J4955" s="2" t="s">
        <v>62</v>
      </c>
      <c r="K4955" t="s">
        <v>42</v>
      </c>
      <c r="L4955" t="s">
        <v>1943</v>
      </c>
      <c r="N4955" t="s">
        <v>1944</v>
      </c>
      <c r="O4955" t="s">
        <v>5210</v>
      </c>
      <c r="Q4955">
        <v>27590</v>
      </c>
      <c r="R4955" t="s">
        <v>322</v>
      </c>
      <c r="S4955" t="s">
        <v>11992</v>
      </c>
      <c r="T4955">
        <v>25</v>
      </c>
      <c r="U4955" s="2" t="s">
        <v>29927</v>
      </c>
      <c r="V4955" s="1">
        <v>45336</v>
      </c>
      <c r="W4955" t="s">
        <v>84</v>
      </c>
      <c r="X4955">
        <v>110016343</v>
      </c>
      <c r="Y4955" s="2" t="s">
        <v>23659</v>
      </c>
      <c r="Z4955" t="s">
        <v>23660</v>
      </c>
      <c r="AA4955" s="2" t="s">
        <v>29426</v>
      </c>
      <c r="AB4955" t="s">
        <v>29928</v>
      </c>
      <c r="AD4955" t="s">
        <v>20934</v>
      </c>
      <c r="AE4955" t="s">
        <v>29929</v>
      </c>
      <c r="AG4955" t="s">
        <v>29930</v>
      </c>
      <c r="AH4955" t="s">
        <v>5212</v>
      </c>
      <c r="AI4955" t="s">
        <v>29931</v>
      </c>
    </row>
    <row r="4956" spans="2:35" ht="225">
      <c r="B4956" s="1">
        <v>45358</v>
      </c>
      <c r="C4956" s="4">
        <v>45358.404861111114</v>
      </c>
      <c r="D4956" t="s">
        <v>29932</v>
      </c>
      <c r="E4956" t="s">
        <v>10648</v>
      </c>
      <c r="F4956">
        <v>12</v>
      </c>
      <c r="G4956" t="s">
        <v>2137</v>
      </c>
      <c r="H4956" t="s">
        <v>1473</v>
      </c>
      <c r="I4956" t="s">
        <v>94</v>
      </c>
      <c r="J4956" s="2" t="s">
        <v>62</v>
      </c>
      <c r="K4956" t="s">
        <v>42</v>
      </c>
      <c r="L4956" t="s">
        <v>296</v>
      </c>
      <c r="N4956" t="s">
        <v>297</v>
      </c>
      <c r="Q4956">
        <v>27589</v>
      </c>
      <c r="R4956" t="s">
        <v>45</v>
      </c>
      <c r="S4956" t="s">
        <v>29933</v>
      </c>
      <c r="T4956">
        <v>28.4</v>
      </c>
      <c r="U4956" s="2" t="s">
        <v>14345</v>
      </c>
      <c r="V4956" s="1">
        <v>45358</v>
      </c>
      <c r="W4956" t="s">
        <v>29934</v>
      </c>
      <c r="X4956">
        <v>835183</v>
      </c>
      <c r="Y4956" t="s">
        <v>29935</v>
      </c>
      <c r="Z4956" s="2" t="s">
        <v>29936</v>
      </c>
      <c r="AA4956" s="2" t="s">
        <v>29937</v>
      </c>
      <c r="AB4956" t="s">
        <v>16070</v>
      </c>
      <c r="AC4956" t="s">
        <v>29828</v>
      </c>
      <c r="AD4956" t="s">
        <v>3173</v>
      </c>
      <c r="AE4956" t="s">
        <v>25111</v>
      </c>
      <c r="AG4956" t="s">
        <v>29938</v>
      </c>
      <c r="AH4956" t="s">
        <v>29939</v>
      </c>
      <c r="AI4956" t="s">
        <v>29940</v>
      </c>
    </row>
    <row r="4957" spans="2:35" ht="315">
      <c r="B4957" s="1">
        <v>45358</v>
      </c>
      <c r="C4957" s="4">
        <v>45358.375</v>
      </c>
      <c r="D4957" t="s">
        <v>10647</v>
      </c>
      <c r="E4957" t="s">
        <v>10648</v>
      </c>
      <c r="F4957">
        <v>12</v>
      </c>
      <c r="G4957" t="s">
        <v>2137</v>
      </c>
      <c r="H4957" t="s">
        <v>39</v>
      </c>
      <c r="I4957" t="s">
        <v>94</v>
      </c>
      <c r="J4957" s="2" t="s">
        <v>190</v>
      </c>
      <c r="K4957" t="s">
        <v>42</v>
      </c>
      <c r="L4957" t="s">
        <v>296</v>
      </c>
      <c r="N4957" t="s">
        <v>297</v>
      </c>
      <c r="Q4957">
        <v>27588</v>
      </c>
      <c r="R4957" t="s">
        <v>45</v>
      </c>
      <c r="S4957" t="s">
        <v>29941</v>
      </c>
      <c r="T4957">
        <v>27.9</v>
      </c>
      <c r="U4957" s="2" t="s">
        <v>29942</v>
      </c>
      <c r="W4957" t="s">
        <v>29018</v>
      </c>
      <c r="X4957">
        <v>807623</v>
      </c>
      <c r="Y4957" t="s">
        <v>29943</v>
      </c>
      <c r="Z4957" s="2" t="s">
        <v>29944</v>
      </c>
      <c r="AA4957" s="2" t="s">
        <v>29945</v>
      </c>
      <c r="AB4957" t="s">
        <v>29946</v>
      </c>
      <c r="AC4957" t="s">
        <v>28230</v>
      </c>
      <c r="AG4957" t="s">
        <v>29947</v>
      </c>
      <c r="AH4957" t="s">
        <v>29948</v>
      </c>
      <c r="AI4957" t="s">
        <v>29949</v>
      </c>
    </row>
    <row r="4958" spans="2:35" ht="255">
      <c r="B4958" s="1">
        <v>45358</v>
      </c>
      <c r="C4958" s="4">
        <v>45356.545138888891</v>
      </c>
      <c r="D4958" t="s">
        <v>29950</v>
      </c>
      <c r="E4958" t="s">
        <v>29951</v>
      </c>
      <c r="F4958" t="s">
        <v>148</v>
      </c>
      <c r="G4958" t="s">
        <v>447</v>
      </c>
      <c r="H4958" t="s">
        <v>39</v>
      </c>
      <c r="I4958" t="s">
        <v>40</v>
      </c>
      <c r="J4958" s="2" t="s">
        <v>41</v>
      </c>
      <c r="K4958" t="s">
        <v>42</v>
      </c>
      <c r="L4958" t="s">
        <v>448</v>
      </c>
      <c r="N4958" t="s">
        <v>650</v>
      </c>
      <c r="Q4958">
        <v>27587</v>
      </c>
      <c r="R4958" t="s">
        <v>45</v>
      </c>
      <c r="S4958" t="s">
        <v>29952</v>
      </c>
      <c r="T4958">
        <v>40</v>
      </c>
      <c r="U4958" s="2" t="s">
        <v>29953</v>
      </c>
      <c r="V4958" s="1">
        <v>45356</v>
      </c>
      <c r="W4958" t="s">
        <v>6121</v>
      </c>
      <c r="X4958">
        <v>805254</v>
      </c>
      <c r="Y4958" t="s">
        <v>29954</v>
      </c>
      <c r="Z4958" s="2" t="s">
        <v>2585</v>
      </c>
      <c r="AA4958" t="s">
        <v>20643</v>
      </c>
      <c r="AB4958" t="s">
        <v>486</v>
      </c>
      <c r="AD4958" t="s">
        <v>4669</v>
      </c>
      <c r="AE4958" t="s">
        <v>29955</v>
      </c>
      <c r="AG4958" t="s">
        <v>29956</v>
      </c>
      <c r="AH4958" t="s">
        <v>29957</v>
      </c>
      <c r="AI4958" t="s">
        <v>29958</v>
      </c>
    </row>
    <row r="4959" spans="2:35" ht="240">
      <c r="B4959" s="1">
        <v>45358</v>
      </c>
      <c r="C4959" s="4">
        <v>45356.440972222219</v>
      </c>
      <c r="D4959" t="s">
        <v>1145</v>
      </c>
      <c r="E4959" t="s">
        <v>29959</v>
      </c>
      <c r="F4959" t="s">
        <v>148</v>
      </c>
      <c r="G4959" t="s">
        <v>447</v>
      </c>
      <c r="H4959" t="s">
        <v>39</v>
      </c>
      <c r="I4959" t="s">
        <v>40</v>
      </c>
      <c r="J4959" t="s">
        <v>525</v>
      </c>
      <c r="K4959" t="s">
        <v>42</v>
      </c>
      <c r="L4959" t="s">
        <v>448</v>
      </c>
      <c r="N4959" t="s">
        <v>650</v>
      </c>
      <c r="Q4959">
        <v>27586</v>
      </c>
      <c r="R4959" t="s">
        <v>45</v>
      </c>
      <c r="S4959" t="s">
        <v>1147</v>
      </c>
      <c r="T4959">
        <v>27</v>
      </c>
      <c r="U4959" s="2" t="s">
        <v>29960</v>
      </c>
      <c r="W4959" t="s">
        <v>25226</v>
      </c>
      <c r="X4959">
        <v>801080</v>
      </c>
      <c r="Y4959" s="2" t="s">
        <v>29961</v>
      </c>
      <c r="Z4959" s="2" t="s">
        <v>29962</v>
      </c>
      <c r="AA4959" t="s">
        <v>29963</v>
      </c>
      <c r="AB4959" s="2" t="s">
        <v>29964</v>
      </c>
      <c r="AG4959" t="s">
        <v>29965</v>
      </c>
      <c r="AH4959" t="s">
        <v>1153</v>
      </c>
      <c r="AI4959" t="s">
        <v>29966</v>
      </c>
    </row>
    <row r="4960" spans="2:35" ht="60">
      <c r="B4960" s="1">
        <v>45357</v>
      </c>
      <c r="C4960" s="4">
        <v>45357.595138888886</v>
      </c>
      <c r="D4960" t="s">
        <v>29967</v>
      </c>
      <c r="E4960" t="s">
        <v>29968</v>
      </c>
      <c r="F4960">
        <v>11</v>
      </c>
      <c r="G4960" t="s">
        <v>1205</v>
      </c>
      <c r="H4960" t="s">
        <v>202</v>
      </c>
      <c r="I4960" t="s">
        <v>94</v>
      </c>
      <c r="J4960" s="2" t="s">
        <v>62</v>
      </c>
      <c r="K4960" t="s">
        <v>42</v>
      </c>
      <c r="L4960" t="s">
        <v>204</v>
      </c>
      <c r="N4960" t="s">
        <v>205</v>
      </c>
      <c r="Q4960">
        <v>27585</v>
      </c>
      <c r="R4960" t="s">
        <v>45</v>
      </c>
      <c r="S4960" t="s">
        <v>29969</v>
      </c>
      <c r="T4960">
        <v>26.8</v>
      </c>
      <c r="W4960" t="s">
        <v>23237</v>
      </c>
      <c r="X4960">
        <v>838889</v>
      </c>
      <c r="Y4960" t="s">
        <v>6929</v>
      </c>
      <c r="Z4960" t="s">
        <v>29970</v>
      </c>
      <c r="AA4960" t="s">
        <v>29971</v>
      </c>
      <c r="AB4960" t="s">
        <v>1211</v>
      </c>
      <c r="AG4960" t="s">
        <v>29972</v>
      </c>
      <c r="AH4960" t="s">
        <v>29973</v>
      </c>
      <c r="AI4960" t="s">
        <v>29974</v>
      </c>
    </row>
    <row r="4961" spans="2:35" ht="210">
      <c r="B4961" s="1">
        <v>45357</v>
      </c>
      <c r="C4961" s="4">
        <v>45357.667361111111</v>
      </c>
      <c r="D4961" t="s">
        <v>29975</v>
      </c>
      <c r="E4961" t="s">
        <v>1627</v>
      </c>
      <c r="F4961">
        <v>9</v>
      </c>
      <c r="G4961" t="s">
        <v>1628</v>
      </c>
      <c r="H4961" t="s">
        <v>39</v>
      </c>
      <c r="I4961" t="s">
        <v>94</v>
      </c>
      <c r="J4961" s="2" t="s">
        <v>17375</v>
      </c>
      <c r="K4961" t="s">
        <v>42</v>
      </c>
      <c r="L4961" t="s">
        <v>1257</v>
      </c>
      <c r="N4961" t="s">
        <v>2199</v>
      </c>
      <c r="O4961" t="s">
        <v>1258</v>
      </c>
      <c r="Q4961">
        <v>27584</v>
      </c>
      <c r="R4961" t="s">
        <v>45</v>
      </c>
      <c r="S4961" t="s">
        <v>1629</v>
      </c>
      <c r="T4961">
        <v>25</v>
      </c>
      <c r="U4961" s="2" t="s">
        <v>29976</v>
      </c>
      <c r="V4961" s="1">
        <v>44991</v>
      </c>
      <c r="W4961" t="s">
        <v>2384</v>
      </c>
      <c r="X4961">
        <v>808615</v>
      </c>
      <c r="Y4961" t="s">
        <v>29977</v>
      </c>
      <c r="Z4961" t="s">
        <v>29978</v>
      </c>
      <c r="AA4961" t="s">
        <v>29978</v>
      </c>
      <c r="AB4961" t="s">
        <v>7411</v>
      </c>
      <c r="AC4961" t="s">
        <v>301</v>
      </c>
      <c r="AD4961" t="s">
        <v>54</v>
      </c>
      <c r="AE4961" t="s">
        <v>54</v>
      </c>
      <c r="AG4961" t="s">
        <v>29979</v>
      </c>
      <c r="AH4961" t="s">
        <v>24828</v>
      </c>
      <c r="AI4961" t="s">
        <v>29980</v>
      </c>
    </row>
    <row r="4962" spans="2:35" ht="75">
      <c r="B4962" s="1">
        <v>45357</v>
      </c>
      <c r="C4962" s="4">
        <v>45357.659722222219</v>
      </c>
      <c r="D4962" t="s">
        <v>29981</v>
      </c>
      <c r="E4962" t="s">
        <v>29982</v>
      </c>
      <c r="F4962">
        <v>7</v>
      </c>
      <c r="G4962" t="s">
        <v>29983</v>
      </c>
      <c r="H4962" t="s">
        <v>10969</v>
      </c>
      <c r="I4962" t="s">
        <v>40</v>
      </c>
      <c r="J4962" t="s">
        <v>321</v>
      </c>
      <c r="K4962" t="s">
        <v>42</v>
      </c>
      <c r="L4962" t="s">
        <v>1288</v>
      </c>
      <c r="N4962" t="s">
        <v>1289</v>
      </c>
      <c r="Q4962">
        <v>27583</v>
      </c>
      <c r="R4962" t="s">
        <v>45</v>
      </c>
      <c r="S4962" t="s">
        <v>29984</v>
      </c>
      <c r="T4962">
        <v>27</v>
      </c>
      <c r="U4962" s="2" t="s">
        <v>29810</v>
      </c>
      <c r="W4962" t="s">
        <v>9206</v>
      </c>
      <c r="X4962">
        <v>120000724</v>
      </c>
      <c r="Y4962" t="s">
        <v>18838</v>
      </c>
      <c r="Z4962" t="e">
        <f ca="1">-COLLECT IQR _xludf.and DOCUMENTATION</f>
        <v>#NAME?</v>
      </c>
      <c r="AA4962" t="e">
        <f ca="1">-PERFORM workstation Set-up _xludf.and Installation of GeneXpert EQUIPMENT
                                                                                                                                                                                                                                                                system Unit SN:CPH0523F42143</f>
        <v>#NAME?</v>
      </c>
      <c r="AB4962" t="s">
        <v>1293</v>
      </c>
      <c r="AC4962" t="s">
        <v>29985</v>
      </c>
      <c r="AG4962" t="s">
        <v>29986</v>
      </c>
      <c r="AH4962" t="s">
        <v>29987</v>
      </c>
      <c r="AI4962" t="s">
        <v>29988</v>
      </c>
    </row>
    <row r="4963" spans="2:35" ht="150">
      <c r="B4963" s="1">
        <v>45357</v>
      </c>
      <c r="C4963" s="4">
        <v>45357.65</v>
      </c>
      <c r="D4963" t="s">
        <v>29989</v>
      </c>
      <c r="E4963" t="s">
        <v>29990</v>
      </c>
      <c r="F4963" t="s">
        <v>37</v>
      </c>
      <c r="G4963" t="s">
        <v>189</v>
      </c>
      <c r="H4963" t="s">
        <v>39</v>
      </c>
      <c r="I4963" t="s">
        <v>40</v>
      </c>
      <c r="J4963" s="2" t="s">
        <v>41</v>
      </c>
      <c r="K4963" t="s">
        <v>42</v>
      </c>
      <c r="L4963" t="s">
        <v>43</v>
      </c>
      <c r="N4963" t="s">
        <v>44</v>
      </c>
      <c r="Q4963">
        <v>27582</v>
      </c>
      <c r="R4963" t="s">
        <v>45</v>
      </c>
      <c r="S4963" t="s">
        <v>29991</v>
      </c>
      <c r="T4963">
        <v>25</v>
      </c>
      <c r="U4963" s="2" t="s">
        <v>17742</v>
      </c>
      <c r="V4963" s="1">
        <v>45357</v>
      </c>
      <c r="W4963" t="s">
        <v>48</v>
      </c>
      <c r="X4963">
        <v>838191</v>
      </c>
      <c r="Y4963" t="s">
        <v>2165</v>
      </c>
      <c r="Z4963" t="s">
        <v>2166</v>
      </c>
      <c r="AA4963" s="2" t="s">
        <v>29992</v>
      </c>
      <c r="AB4963" t="s">
        <v>16412</v>
      </c>
      <c r="AD4963" s="2" t="s">
        <v>29993</v>
      </c>
      <c r="AE4963" t="s">
        <v>54</v>
      </c>
      <c r="AG4963" t="s">
        <v>29994</v>
      </c>
      <c r="AH4963" t="s">
        <v>29995</v>
      </c>
      <c r="AI4963" t="s">
        <v>29996</v>
      </c>
    </row>
    <row r="4964" spans="2:35" ht="240">
      <c r="B4964" s="1">
        <v>45357</v>
      </c>
      <c r="C4964" s="4">
        <v>45357.629166666666</v>
      </c>
      <c r="D4964" t="s">
        <v>6667</v>
      </c>
      <c r="E4964" t="s">
        <v>370</v>
      </c>
      <c r="F4964" t="s">
        <v>148</v>
      </c>
      <c r="G4964" t="s">
        <v>371</v>
      </c>
      <c r="H4964" t="s">
        <v>39</v>
      </c>
      <c r="I4964" t="s">
        <v>40</v>
      </c>
      <c r="J4964" s="2" t="s">
        <v>62</v>
      </c>
      <c r="K4964" t="s">
        <v>42</v>
      </c>
      <c r="L4964" t="s">
        <v>175</v>
      </c>
      <c r="N4964" t="s">
        <v>176</v>
      </c>
      <c r="O4964" t="s">
        <v>5518</v>
      </c>
      <c r="Q4964">
        <v>27581</v>
      </c>
      <c r="R4964" t="s">
        <v>703</v>
      </c>
      <c r="S4964" t="s">
        <v>5519</v>
      </c>
      <c r="T4964">
        <v>25</v>
      </c>
      <c r="U4964" s="2" t="s">
        <v>29997</v>
      </c>
      <c r="V4964" s="1">
        <v>45355</v>
      </c>
      <c r="W4964" t="s">
        <v>84</v>
      </c>
      <c r="X4964">
        <v>110018008</v>
      </c>
      <c r="Y4964" t="s">
        <v>998</v>
      </c>
      <c r="Z4964" t="s">
        <v>999</v>
      </c>
      <c r="AA4964" t="e">
        <f ca="1">- checked _xludf.and cleaned cartridge bay, plunger rod, _xludf.filter, icore slot
- performed XpertCheck
- generated reports</f>
        <v>#NAME?</v>
      </c>
      <c r="AB4964" s="2" t="s">
        <v>29998</v>
      </c>
      <c r="AD4964" s="2" t="s">
        <v>28997</v>
      </c>
      <c r="AE4964">
        <v>11250</v>
      </c>
      <c r="AG4964" t="s">
        <v>29999</v>
      </c>
      <c r="AH4964" t="s">
        <v>30000</v>
      </c>
      <c r="AI4964" t="s">
        <v>30001</v>
      </c>
    </row>
    <row r="4965" spans="2:35" ht="375">
      <c r="B4965" s="1">
        <v>45357</v>
      </c>
      <c r="C4965" s="4">
        <v>45357.631249999999</v>
      </c>
      <c r="D4965" t="s">
        <v>30002</v>
      </c>
      <c r="E4965" t="s">
        <v>30003</v>
      </c>
      <c r="F4965">
        <v>12</v>
      </c>
      <c r="G4965" t="s">
        <v>2137</v>
      </c>
      <c r="H4965" t="s">
        <v>1473</v>
      </c>
      <c r="I4965" t="s">
        <v>94</v>
      </c>
      <c r="J4965" s="2" t="s">
        <v>30004</v>
      </c>
      <c r="K4965" t="s">
        <v>42</v>
      </c>
      <c r="L4965" t="s">
        <v>296</v>
      </c>
      <c r="N4965" t="s">
        <v>297</v>
      </c>
      <c r="Q4965">
        <v>27580</v>
      </c>
      <c r="R4965" t="s">
        <v>45</v>
      </c>
      <c r="S4965" t="s">
        <v>30005</v>
      </c>
      <c r="T4965">
        <v>26.6</v>
      </c>
      <c r="U4965" s="2" t="s">
        <v>4094</v>
      </c>
      <c r="V4965" s="1">
        <v>45357</v>
      </c>
      <c r="W4965" t="s">
        <v>30006</v>
      </c>
      <c r="X4965">
        <v>815284</v>
      </c>
      <c r="Y4965" s="2" t="s">
        <v>30007</v>
      </c>
      <c r="Z4965" s="2" t="s">
        <v>30008</v>
      </c>
      <c r="AA4965" s="2" t="s">
        <v>30009</v>
      </c>
      <c r="AB4965" t="s">
        <v>972</v>
      </c>
      <c r="AC4965" t="s">
        <v>30010</v>
      </c>
      <c r="AD4965" t="s">
        <v>30011</v>
      </c>
      <c r="AE4965" t="s">
        <v>30012</v>
      </c>
      <c r="AG4965" t="s">
        <v>30013</v>
      </c>
      <c r="AH4965" t="s">
        <v>30014</v>
      </c>
      <c r="AI4965" t="s">
        <v>30015</v>
      </c>
    </row>
    <row r="4966" spans="2:35" ht="105">
      <c r="B4966" s="1">
        <v>45357</v>
      </c>
      <c r="C4966" s="4">
        <v>45357.593055555553</v>
      </c>
      <c r="D4966" t="s">
        <v>6414</v>
      </c>
      <c r="E4966" t="s">
        <v>6415</v>
      </c>
      <c r="F4966">
        <v>6</v>
      </c>
      <c r="G4966" t="s">
        <v>1234</v>
      </c>
      <c r="H4966" t="s">
        <v>1047</v>
      </c>
      <c r="I4966" t="s">
        <v>40</v>
      </c>
      <c r="J4966" t="s">
        <v>996</v>
      </c>
      <c r="K4966" t="s">
        <v>42</v>
      </c>
      <c r="L4966" t="s">
        <v>23958</v>
      </c>
      <c r="N4966" t="s">
        <v>23959</v>
      </c>
      <c r="Q4966">
        <v>27579</v>
      </c>
      <c r="R4966" t="s">
        <v>119</v>
      </c>
      <c r="S4966" t="s">
        <v>6416</v>
      </c>
      <c r="T4966">
        <v>4</v>
      </c>
      <c r="U4966" s="2" t="s">
        <v>21090</v>
      </c>
      <c r="W4966" t="s">
        <v>360</v>
      </c>
      <c r="X4966">
        <v>838289</v>
      </c>
      <c r="Y4966" t="s">
        <v>30016</v>
      </c>
      <c r="Z4966" t="s">
        <v>30017</v>
      </c>
      <c r="AA4966" t="s">
        <v>30018</v>
      </c>
      <c r="AB4966" t="s">
        <v>30019</v>
      </c>
      <c r="AG4966" t="s">
        <v>30020</v>
      </c>
      <c r="AH4966" t="s">
        <v>6422</v>
      </c>
      <c r="AI4966" t="s">
        <v>30021</v>
      </c>
    </row>
    <row r="4967" spans="2:35" ht="409.5">
      <c r="B4967" s="1">
        <v>45357</v>
      </c>
      <c r="C4967" s="4">
        <v>45357.584027777775</v>
      </c>
      <c r="D4967" t="s">
        <v>30022</v>
      </c>
      <c r="E4967" t="s">
        <v>30023</v>
      </c>
      <c r="F4967" t="s">
        <v>37</v>
      </c>
      <c r="G4967" t="s">
        <v>189</v>
      </c>
      <c r="H4967" t="s">
        <v>39</v>
      </c>
      <c r="I4967" t="s">
        <v>40</v>
      </c>
      <c r="J4967" s="2" t="s">
        <v>62</v>
      </c>
      <c r="K4967" t="s">
        <v>42</v>
      </c>
      <c r="L4967" t="s">
        <v>1943</v>
      </c>
      <c r="N4967" t="s">
        <v>1944</v>
      </c>
      <c r="Q4967">
        <v>27578</v>
      </c>
      <c r="R4967" t="s">
        <v>45</v>
      </c>
      <c r="S4967" t="s">
        <v>30024</v>
      </c>
      <c r="T4967">
        <v>25</v>
      </c>
      <c r="W4967" t="s">
        <v>84</v>
      </c>
      <c r="X4967">
        <v>838325</v>
      </c>
      <c r="Y4967" s="2" t="s">
        <v>23659</v>
      </c>
      <c r="Z4967" t="s">
        <v>30025</v>
      </c>
      <c r="AA4967" s="2" t="s">
        <v>29426</v>
      </c>
      <c r="AB4967" t="s">
        <v>1521</v>
      </c>
      <c r="AG4967" t="s">
        <v>30026</v>
      </c>
      <c r="AH4967" t="s">
        <v>30027</v>
      </c>
      <c r="AI4967" t="s">
        <v>30028</v>
      </c>
    </row>
    <row r="4968" spans="2:35" ht="409.5">
      <c r="B4968" s="1">
        <v>45357</v>
      </c>
      <c r="C4968" s="4">
        <v>45357.52847222222</v>
      </c>
      <c r="D4968" t="s">
        <v>25621</v>
      </c>
      <c r="E4968" t="s">
        <v>188</v>
      </c>
      <c r="F4968" t="s">
        <v>37</v>
      </c>
      <c r="G4968" t="s">
        <v>189</v>
      </c>
      <c r="H4968" t="s">
        <v>295</v>
      </c>
      <c r="I4968" t="s">
        <v>40</v>
      </c>
      <c r="J4968" s="2" t="s">
        <v>41</v>
      </c>
      <c r="K4968" t="s">
        <v>42</v>
      </c>
      <c r="L4968" t="s">
        <v>1943</v>
      </c>
      <c r="N4968" t="s">
        <v>1944</v>
      </c>
      <c r="Q4968">
        <v>27577</v>
      </c>
      <c r="R4968" t="s">
        <v>45</v>
      </c>
      <c r="S4968" t="s">
        <v>25623</v>
      </c>
      <c r="T4968">
        <v>25</v>
      </c>
      <c r="V4968" s="1">
        <v>45355</v>
      </c>
      <c r="W4968" t="s">
        <v>895</v>
      </c>
      <c r="X4968">
        <v>844120</v>
      </c>
      <c r="Y4968" s="2" t="s">
        <v>30029</v>
      </c>
      <c r="Z4968" t="s">
        <v>22330</v>
      </c>
      <c r="AA4968" s="2" t="s">
        <v>29551</v>
      </c>
      <c r="AB4968" t="s">
        <v>88</v>
      </c>
      <c r="AD4968" t="s">
        <v>30030</v>
      </c>
      <c r="AE4968" t="s">
        <v>8904</v>
      </c>
      <c r="AG4968" t="s">
        <v>30031</v>
      </c>
      <c r="AH4968" t="s">
        <v>30032</v>
      </c>
      <c r="AI4968" t="s">
        <v>30033</v>
      </c>
    </row>
    <row r="4969" spans="2:35" ht="409.5">
      <c r="B4969" s="1">
        <v>45357</v>
      </c>
      <c r="C4969" s="4">
        <v>45357.531944444447</v>
      </c>
      <c r="D4969" t="s">
        <v>25621</v>
      </c>
      <c r="E4969" t="s">
        <v>188</v>
      </c>
      <c r="F4969" t="s">
        <v>37</v>
      </c>
      <c r="G4969" t="s">
        <v>189</v>
      </c>
      <c r="H4969" t="s">
        <v>295</v>
      </c>
      <c r="I4969" t="s">
        <v>40</v>
      </c>
      <c r="J4969" s="2" t="s">
        <v>41</v>
      </c>
      <c r="K4969" t="s">
        <v>42</v>
      </c>
      <c r="L4969" t="s">
        <v>1943</v>
      </c>
      <c r="N4969" t="s">
        <v>1944</v>
      </c>
      <c r="Q4969">
        <v>27576</v>
      </c>
      <c r="R4969" t="s">
        <v>45</v>
      </c>
      <c r="S4969" t="s">
        <v>25623</v>
      </c>
      <c r="T4969">
        <v>25</v>
      </c>
      <c r="V4969" s="1">
        <v>45355</v>
      </c>
      <c r="W4969" t="s">
        <v>84</v>
      </c>
      <c r="X4969">
        <v>814153</v>
      </c>
      <c r="Y4969" s="2" t="s">
        <v>30034</v>
      </c>
      <c r="Z4969" t="s">
        <v>22330</v>
      </c>
      <c r="AA4969" s="2" t="s">
        <v>29551</v>
      </c>
      <c r="AB4969" t="s">
        <v>88</v>
      </c>
      <c r="AD4969" t="s">
        <v>30035</v>
      </c>
      <c r="AE4969" t="s">
        <v>8904</v>
      </c>
      <c r="AG4969" t="s">
        <v>30036</v>
      </c>
      <c r="AH4969" t="s">
        <v>30032</v>
      </c>
      <c r="AI4969" t="s">
        <v>30037</v>
      </c>
    </row>
    <row r="4970" spans="2:35" ht="345">
      <c r="B4970" s="1">
        <v>45357</v>
      </c>
      <c r="C4970" s="4">
        <v>45357.536111111112</v>
      </c>
      <c r="D4970" t="s">
        <v>7810</v>
      </c>
      <c r="E4970" t="s">
        <v>30038</v>
      </c>
      <c r="F4970">
        <v>11</v>
      </c>
      <c r="G4970" t="s">
        <v>1205</v>
      </c>
      <c r="H4970" t="s">
        <v>202</v>
      </c>
      <c r="I4970" t="s">
        <v>40</v>
      </c>
      <c r="J4970" s="2" t="s">
        <v>4208</v>
      </c>
      <c r="K4970" t="s">
        <v>42</v>
      </c>
      <c r="L4970" t="s">
        <v>204</v>
      </c>
      <c r="N4970" t="s">
        <v>205</v>
      </c>
      <c r="Q4970">
        <v>27575</v>
      </c>
      <c r="R4970" t="s">
        <v>119</v>
      </c>
      <c r="S4970" t="s">
        <v>7812</v>
      </c>
      <c r="T4970">
        <v>27.6</v>
      </c>
      <c r="U4970" s="2" t="s">
        <v>24659</v>
      </c>
      <c r="W4970" t="s">
        <v>23237</v>
      </c>
      <c r="X4970">
        <v>838232</v>
      </c>
      <c r="Y4970" t="s">
        <v>30039</v>
      </c>
      <c r="Z4970" s="2" t="s">
        <v>30040</v>
      </c>
      <c r="AA4970" s="2" t="s">
        <v>30041</v>
      </c>
      <c r="AB4970" s="2" t="s">
        <v>30042</v>
      </c>
      <c r="AG4970" t="s">
        <v>30043</v>
      </c>
      <c r="AH4970" t="s">
        <v>30044</v>
      </c>
      <c r="AI4970" t="s">
        <v>30045</v>
      </c>
    </row>
    <row r="4971" spans="2:35" ht="210">
      <c r="B4971" s="1">
        <v>45357</v>
      </c>
      <c r="C4971" s="4">
        <v>45357.524305555555</v>
      </c>
      <c r="D4971" t="s">
        <v>369</v>
      </c>
      <c r="E4971" t="s">
        <v>29199</v>
      </c>
      <c r="F4971" t="s">
        <v>148</v>
      </c>
      <c r="G4971" t="s">
        <v>371</v>
      </c>
      <c r="H4971" t="s">
        <v>61</v>
      </c>
      <c r="I4971" t="s">
        <v>40</v>
      </c>
      <c r="J4971" s="2" t="s">
        <v>41</v>
      </c>
      <c r="K4971" t="s">
        <v>42</v>
      </c>
      <c r="L4971" t="s">
        <v>175</v>
      </c>
      <c r="N4971" t="s">
        <v>176</v>
      </c>
      <c r="Q4971">
        <v>27574</v>
      </c>
      <c r="R4971" t="s">
        <v>45</v>
      </c>
      <c r="S4971" t="s">
        <v>30046</v>
      </c>
      <c r="T4971">
        <v>25</v>
      </c>
      <c r="V4971" s="1">
        <v>45357</v>
      </c>
      <c r="W4971" t="s">
        <v>84</v>
      </c>
      <c r="X4971">
        <v>814159</v>
      </c>
      <c r="Y4971" t="s">
        <v>30047</v>
      </c>
      <c r="Z4971" t="e">
        <f ca="1">- replaced modules
- performed self-test on module B3</f>
        <v>#NAME?</v>
      </c>
      <c r="AA4971" t="e">
        <f ca="1">- replaced modules B1, B2, B3
- checked cartridge bay, plunger rod, _xludf.filter
- generated reports</f>
        <v>#NAME?</v>
      </c>
      <c r="AB4971" s="2" t="s">
        <v>30048</v>
      </c>
      <c r="AD4971" s="2" t="s">
        <v>30049</v>
      </c>
      <c r="AE4971" t="s">
        <v>103</v>
      </c>
      <c r="AG4971" t="s">
        <v>30050</v>
      </c>
      <c r="AH4971" t="s">
        <v>378</v>
      </c>
      <c r="AI4971" t="s">
        <v>30051</v>
      </c>
    </row>
    <row r="4972" spans="2:35" ht="105">
      <c r="B4972" s="1">
        <v>45357</v>
      </c>
      <c r="C4972" s="4">
        <v>45357.478472222225</v>
      </c>
      <c r="D4972" t="s">
        <v>4746</v>
      </c>
      <c r="E4972" t="s">
        <v>4747</v>
      </c>
      <c r="F4972">
        <v>6</v>
      </c>
      <c r="G4972" t="s">
        <v>1286</v>
      </c>
      <c r="H4972" t="s">
        <v>1047</v>
      </c>
      <c r="I4972" t="s">
        <v>40</v>
      </c>
      <c r="J4972" t="s">
        <v>996</v>
      </c>
      <c r="K4972" t="s">
        <v>42</v>
      </c>
      <c r="L4972" t="s">
        <v>23958</v>
      </c>
      <c r="N4972" t="s">
        <v>23959</v>
      </c>
      <c r="Q4972">
        <v>27573</v>
      </c>
      <c r="R4972" t="s">
        <v>119</v>
      </c>
      <c r="S4972" t="s">
        <v>30052</v>
      </c>
      <c r="T4972">
        <v>4</v>
      </c>
      <c r="U4972" s="2" t="s">
        <v>28917</v>
      </c>
      <c r="W4972" t="s">
        <v>360</v>
      </c>
      <c r="X4972">
        <v>838501</v>
      </c>
      <c r="Y4972" t="s">
        <v>30053</v>
      </c>
      <c r="Z4972" t="s">
        <v>30054</v>
      </c>
      <c r="AA4972" t="s">
        <v>30018</v>
      </c>
      <c r="AB4972" t="s">
        <v>30055</v>
      </c>
      <c r="AG4972" t="s">
        <v>30056</v>
      </c>
      <c r="AH4972" t="s">
        <v>30057</v>
      </c>
      <c r="AI4972" t="s">
        <v>30058</v>
      </c>
    </row>
    <row r="4973" spans="2:35" ht="105">
      <c r="B4973" s="1">
        <v>45357</v>
      </c>
      <c r="C4973" s="4">
        <v>45357.435416666667</v>
      </c>
      <c r="D4973" t="s">
        <v>29310</v>
      </c>
      <c r="E4973" t="s">
        <v>29311</v>
      </c>
      <c r="F4973">
        <v>8</v>
      </c>
      <c r="G4973" t="s">
        <v>342</v>
      </c>
      <c r="H4973" t="s">
        <v>202</v>
      </c>
      <c r="I4973" t="s">
        <v>94</v>
      </c>
      <c r="J4973" s="2" t="s">
        <v>41</v>
      </c>
      <c r="K4973" t="s">
        <v>42</v>
      </c>
      <c r="L4973" t="s">
        <v>259</v>
      </c>
      <c r="N4973" t="s">
        <v>260</v>
      </c>
      <c r="Q4973">
        <v>27572</v>
      </c>
      <c r="R4973" t="s">
        <v>45</v>
      </c>
      <c r="S4973" t="s">
        <v>29312</v>
      </c>
      <c r="T4973">
        <v>23</v>
      </c>
      <c r="U4973" s="2" t="s">
        <v>18336</v>
      </c>
      <c r="V4973" s="1">
        <v>45357</v>
      </c>
      <c r="W4973" t="s">
        <v>30059</v>
      </c>
      <c r="X4973">
        <v>847227</v>
      </c>
      <c r="Y4973" t="s">
        <v>30060</v>
      </c>
      <c r="Z4973" t="e">
        <f ca="1">- Repair
- Preventive Maintenance</f>
        <v>#NAME?</v>
      </c>
      <c r="AA4973" t="e">
        <f ca="1">- removed stuck cartridge
- performed Preventive Maintenance (cleaned cartridge bay, plunger rod, FAN _xludf.filter)
- Generate reports</f>
        <v>#NAME?</v>
      </c>
      <c r="AB4973" t="s">
        <v>70</v>
      </c>
      <c r="AG4973" t="s">
        <v>30061</v>
      </c>
      <c r="AH4973" t="s">
        <v>29317</v>
      </c>
      <c r="AI4973" t="s">
        <v>30062</v>
      </c>
    </row>
    <row r="4974" spans="2:35" ht="405">
      <c r="B4974" s="1">
        <v>45357</v>
      </c>
      <c r="C4974" s="4">
        <v>45357.36041666667</v>
      </c>
      <c r="D4974" t="s">
        <v>26442</v>
      </c>
      <c r="E4974" t="s">
        <v>30063</v>
      </c>
      <c r="F4974">
        <v>3</v>
      </c>
      <c r="G4974" t="s">
        <v>284</v>
      </c>
      <c r="H4974" t="s">
        <v>8015</v>
      </c>
      <c r="I4974" t="s">
        <v>40</v>
      </c>
      <c r="J4974" s="2" t="s">
        <v>62</v>
      </c>
      <c r="K4974" t="s">
        <v>42</v>
      </c>
      <c r="L4974" t="s">
        <v>135</v>
      </c>
      <c r="N4974" t="s">
        <v>136</v>
      </c>
      <c r="Q4974">
        <v>27571</v>
      </c>
      <c r="R4974" t="s">
        <v>45</v>
      </c>
      <c r="S4974" t="s">
        <v>11281</v>
      </c>
      <c r="T4974">
        <v>25</v>
      </c>
      <c r="U4974" s="2" t="s">
        <v>30064</v>
      </c>
      <c r="W4974" t="s">
        <v>2680</v>
      </c>
      <c r="X4974">
        <v>834433</v>
      </c>
      <c r="Y4974" t="s">
        <v>1751</v>
      </c>
      <c r="Z4974" s="2" t="s">
        <v>28879</v>
      </c>
      <c r="AA4974" s="2" t="s">
        <v>30065</v>
      </c>
      <c r="AB4974" s="2" t="s">
        <v>30066</v>
      </c>
      <c r="AG4974" t="s">
        <v>30067</v>
      </c>
      <c r="AH4974" t="s">
        <v>15193</v>
      </c>
      <c r="AI4974" t="s">
        <v>30068</v>
      </c>
    </row>
    <row r="4975" spans="2:35" ht="345">
      <c r="B4975" s="1">
        <v>45356</v>
      </c>
      <c r="C4975" s="4">
        <v>45356.820138888892</v>
      </c>
      <c r="D4975" t="s">
        <v>9326</v>
      </c>
      <c r="E4975" t="s">
        <v>30069</v>
      </c>
      <c r="F4975">
        <v>3</v>
      </c>
      <c r="G4975" t="s">
        <v>134</v>
      </c>
      <c r="H4975" t="s">
        <v>30070</v>
      </c>
      <c r="I4975" t="s">
        <v>40</v>
      </c>
      <c r="J4975" t="s">
        <v>109</v>
      </c>
      <c r="K4975" t="s">
        <v>42</v>
      </c>
      <c r="L4975" t="s">
        <v>135</v>
      </c>
      <c r="N4975" t="s">
        <v>136</v>
      </c>
      <c r="Q4975">
        <v>27570</v>
      </c>
      <c r="R4975" t="s">
        <v>322</v>
      </c>
      <c r="S4975" t="s">
        <v>9328</v>
      </c>
      <c r="T4975">
        <v>25</v>
      </c>
      <c r="W4975" t="s">
        <v>30071</v>
      </c>
      <c r="X4975">
        <v>812571</v>
      </c>
      <c r="Y4975" t="s">
        <v>7229</v>
      </c>
      <c r="Z4975" t="s">
        <v>4315</v>
      </c>
      <c r="AA4975" s="2" t="s">
        <v>30072</v>
      </c>
      <c r="AB4975" t="s">
        <v>181</v>
      </c>
      <c r="AG4975" t="s">
        <v>30073</v>
      </c>
      <c r="AH4975" t="s">
        <v>18430</v>
      </c>
      <c r="AI4975" t="s">
        <v>30074</v>
      </c>
    </row>
    <row r="4976" spans="2:35" ht="345">
      <c r="B4976" s="1">
        <v>45356</v>
      </c>
      <c r="C4976" s="4">
        <v>45356.6875</v>
      </c>
      <c r="D4976" t="s">
        <v>9326</v>
      </c>
      <c r="E4976" t="s">
        <v>30075</v>
      </c>
      <c r="F4976">
        <v>3</v>
      </c>
      <c r="G4976" t="s">
        <v>134</v>
      </c>
      <c r="H4976" t="s">
        <v>30076</v>
      </c>
      <c r="I4976" t="s">
        <v>40</v>
      </c>
      <c r="J4976" t="s">
        <v>109</v>
      </c>
      <c r="K4976" t="s">
        <v>42</v>
      </c>
      <c r="L4976" t="s">
        <v>135</v>
      </c>
      <c r="N4976" t="s">
        <v>136</v>
      </c>
      <c r="Q4976">
        <v>27569</v>
      </c>
      <c r="R4976" t="s">
        <v>322</v>
      </c>
      <c r="S4976" t="s">
        <v>9328</v>
      </c>
      <c r="T4976">
        <v>31</v>
      </c>
      <c r="U4976" s="2" t="s">
        <v>30077</v>
      </c>
      <c r="W4976" t="s">
        <v>3335</v>
      </c>
      <c r="X4976">
        <v>110013748</v>
      </c>
      <c r="Y4976" t="s">
        <v>7229</v>
      </c>
      <c r="Z4976" t="s">
        <v>4315</v>
      </c>
      <c r="AA4976" s="2" t="s">
        <v>30078</v>
      </c>
      <c r="AB4976" t="s">
        <v>9590</v>
      </c>
      <c r="AG4976" t="s">
        <v>30079</v>
      </c>
      <c r="AH4976" t="s">
        <v>18430</v>
      </c>
      <c r="AI4976" t="s">
        <v>30080</v>
      </c>
    </row>
    <row r="4977" spans="2:35" ht="120">
      <c r="B4977" s="1">
        <v>45356</v>
      </c>
      <c r="C4977" s="4">
        <v>45356.657638888886</v>
      </c>
      <c r="D4977" t="s">
        <v>30081</v>
      </c>
      <c r="E4977" t="s">
        <v>23489</v>
      </c>
      <c r="F4977">
        <v>5</v>
      </c>
      <c r="G4977" t="s">
        <v>8314</v>
      </c>
      <c r="H4977" t="s">
        <v>39</v>
      </c>
      <c r="I4977" t="s">
        <v>40</v>
      </c>
      <c r="J4977" t="s">
        <v>109</v>
      </c>
      <c r="K4977" t="s">
        <v>42</v>
      </c>
      <c r="L4977" t="s">
        <v>761</v>
      </c>
      <c r="N4977" t="s">
        <v>762</v>
      </c>
      <c r="Q4977">
        <v>27568</v>
      </c>
      <c r="R4977" t="s">
        <v>45</v>
      </c>
      <c r="S4977" t="s">
        <v>23490</v>
      </c>
      <c r="T4977">
        <v>26</v>
      </c>
      <c r="U4977" s="2" t="s">
        <v>30082</v>
      </c>
      <c r="W4977" t="s">
        <v>817</v>
      </c>
      <c r="X4977">
        <v>835215</v>
      </c>
      <c r="Y4977" t="s">
        <v>1052</v>
      </c>
      <c r="Z4977" s="2" t="s">
        <v>30083</v>
      </c>
      <c r="AA4977" t="s">
        <v>820</v>
      </c>
      <c r="AB4977" t="s">
        <v>181</v>
      </c>
      <c r="AG4977" t="s">
        <v>30084</v>
      </c>
      <c r="AH4977" t="s">
        <v>30085</v>
      </c>
      <c r="AI4977" t="s">
        <v>30086</v>
      </c>
    </row>
    <row r="4978" spans="2:35" ht="45">
      <c r="B4978" s="1">
        <v>45356</v>
      </c>
      <c r="C4978" s="4">
        <v>45356.668749999997</v>
      </c>
      <c r="D4978" t="s">
        <v>30087</v>
      </c>
      <c r="E4978" t="s">
        <v>30088</v>
      </c>
      <c r="F4978">
        <v>10</v>
      </c>
      <c r="G4978" t="s">
        <v>5315</v>
      </c>
      <c r="H4978" t="s">
        <v>2125</v>
      </c>
      <c r="I4978" t="s">
        <v>40</v>
      </c>
      <c r="J4978" s="2" t="s">
        <v>41</v>
      </c>
      <c r="K4978" t="s">
        <v>42</v>
      </c>
      <c r="L4978" t="s">
        <v>933</v>
      </c>
      <c r="N4978" t="s">
        <v>934</v>
      </c>
      <c r="Q4978">
        <v>27567</v>
      </c>
      <c r="R4978" t="s">
        <v>45</v>
      </c>
      <c r="S4978" t="s">
        <v>30089</v>
      </c>
      <c r="T4978">
        <v>28</v>
      </c>
      <c r="W4978" t="s">
        <v>3662</v>
      </c>
      <c r="X4978">
        <v>835063</v>
      </c>
      <c r="Y4978" t="s">
        <v>30090</v>
      </c>
      <c r="Z4978" t="s">
        <v>2129</v>
      </c>
      <c r="AA4978" t="s">
        <v>30091</v>
      </c>
      <c r="AB4978" t="s">
        <v>13650</v>
      </c>
      <c r="AG4978" t="s">
        <v>30092</v>
      </c>
      <c r="AH4978" t="s">
        <v>30093</v>
      </c>
      <c r="AI4978" t="s">
        <v>30094</v>
      </c>
    </row>
    <row r="4979" spans="2:35" ht="165">
      <c r="B4979" s="1">
        <v>45356</v>
      </c>
      <c r="C4979" s="4">
        <v>45356.660416666666</v>
      </c>
      <c r="D4979" t="s">
        <v>30081</v>
      </c>
      <c r="E4979" t="s">
        <v>23489</v>
      </c>
      <c r="F4979">
        <v>5</v>
      </c>
      <c r="G4979" t="s">
        <v>8314</v>
      </c>
      <c r="H4979" t="s">
        <v>39</v>
      </c>
      <c r="I4979" t="s">
        <v>40</v>
      </c>
      <c r="J4979" t="s">
        <v>321</v>
      </c>
      <c r="K4979" t="s">
        <v>42</v>
      </c>
      <c r="L4979" t="s">
        <v>761</v>
      </c>
      <c r="N4979" t="s">
        <v>762</v>
      </c>
      <c r="Q4979">
        <v>27566</v>
      </c>
      <c r="R4979" t="s">
        <v>45</v>
      </c>
      <c r="S4979" t="s">
        <v>23490</v>
      </c>
      <c r="T4979">
        <v>22</v>
      </c>
      <c r="W4979" t="s">
        <v>817</v>
      </c>
      <c r="X4979">
        <v>110020684</v>
      </c>
      <c r="Y4979" t="s">
        <v>8306</v>
      </c>
      <c r="Z4979" s="2" t="s">
        <v>30095</v>
      </c>
      <c r="AA4979" t="s">
        <v>30096</v>
      </c>
      <c r="AB4979" t="s">
        <v>70</v>
      </c>
      <c r="AG4979" t="s">
        <v>30097</v>
      </c>
      <c r="AH4979" t="s">
        <v>30098</v>
      </c>
      <c r="AI4979" t="s">
        <v>30099</v>
      </c>
    </row>
    <row r="4980" spans="2:35" ht="255">
      <c r="B4980" s="1">
        <v>45356</v>
      </c>
      <c r="C4980" s="4">
        <v>45356.609722222223</v>
      </c>
      <c r="D4980" t="s">
        <v>3357</v>
      </c>
      <c r="E4980" t="s">
        <v>27224</v>
      </c>
      <c r="F4980">
        <v>3</v>
      </c>
      <c r="G4980" t="s">
        <v>134</v>
      </c>
      <c r="H4980" t="s">
        <v>1047</v>
      </c>
      <c r="I4980" t="s">
        <v>40</v>
      </c>
      <c r="J4980" s="2" t="s">
        <v>41</v>
      </c>
      <c r="K4980" t="s">
        <v>42</v>
      </c>
      <c r="L4980" t="s">
        <v>135</v>
      </c>
      <c r="N4980" t="s">
        <v>136</v>
      </c>
      <c r="Q4980">
        <v>27565</v>
      </c>
      <c r="R4980" t="s">
        <v>119</v>
      </c>
      <c r="S4980" t="s">
        <v>3359</v>
      </c>
      <c r="T4980">
        <v>25</v>
      </c>
      <c r="U4980" s="2" t="s">
        <v>30100</v>
      </c>
      <c r="V4980" s="1">
        <v>45336</v>
      </c>
      <c r="W4980" t="s">
        <v>2680</v>
      </c>
      <c r="X4980">
        <v>831912</v>
      </c>
      <c r="Y4980" t="s">
        <v>30101</v>
      </c>
      <c r="Z4980" s="2" t="s">
        <v>29539</v>
      </c>
      <c r="AA4980" s="2" t="s">
        <v>29540</v>
      </c>
      <c r="AB4980" s="2" t="s">
        <v>30102</v>
      </c>
      <c r="AD4980" t="s">
        <v>30103</v>
      </c>
      <c r="AE4980">
        <v>11215</v>
      </c>
      <c r="AG4980" t="s">
        <v>30104</v>
      </c>
      <c r="AH4980" t="s">
        <v>3362</v>
      </c>
      <c r="AI4980" t="s">
        <v>30105</v>
      </c>
    </row>
    <row r="4981" spans="2:35" ht="195">
      <c r="B4981" s="1">
        <v>45356</v>
      </c>
      <c r="C4981" s="4">
        <v>45356.560416666667</v>
      </c>
      <c r="D4981" t="s">
        <v>30106</v>
      </c>
      <c r="E4981" t="s">
        <v>30107</v>
      </c>
      <c r="F4981">
        <v>3</v>
      </c>
      <c r="G4981" t="s">
        <v>174</v>
      </c>
      <c r="H4981" t="s">
        <v>39</v>
      </c>
      <c r="I4981" t="s">
        <v>40</v>
      </c>
      <c r="J4981" s="2" t="s">
        <v>62</v>
      </c>
      <c r="K4981" t="s">
        <v>42</v>
      </c>
      <c r="L4981" t="s">
        <v>175</v>
      </c>
      <c r="N4981" t="s">
        <v>176</v>
      </c>
      <c r="Q4981">
        <v>27564</v>
      </c>
      <c r="R4981" t="s">
        <v>719</v>
      </c>
      <c r="S4981" t="s">
        <v>30108</v>
      </c>
      <c r="T4981">
        <v>25</v>
      </c>
      <c r="U4981" s="2" t="s">
        <v>30109</v>
      </c>
      <c r="W4981" t="s">
        <v>84</v>
      </c>
      <c r="X4981">
        <v>838883</v>
      </c>
      <c r="Y4981" t="s">
        <v>998</v>
      </c>
      <c r="Z4981" t="s">
        <v>999</v>
      </c>
      <c r="AA4981" t="e">
        <f ca="1">- checked _xludf.and cleaned cartridge bay, plunger rod, _xludf.filter, icore slot
- performed XpertCheck
- generated reports</f>
        <v>#NAME?</v>
      </c>
      <c r="AB4981" s="2" t="s">
        <v>6668</v>
      </c>
      <c r="AG4981" t="s">
        <v>30110</v>
      </c>
      <c r="AH4981" t="s">
        <v>30111</v>
      </c>
      <c r="AI4981" t="s">
        <v>30112</v>
      </c>
    </row>
    <row r="4982" spans="2:35" ht="409.5">
      <c r="B4982" s="1">
        <v>45356</v>
      </c>
      <c r="C4982" s="4">
        <v>45356.574305555558</v>
      </c>
      <c r="D4982" t="s">
        <v>25184</v>
      </c>
      <c r="E4982" t="s">
        <v>25185</v>
      </c>
      <c r="F4982">
        <v>11</v>
      </c>
      <c r="G4982" t="s">
        <v>1205</v>
      </c>
      <c r="H4982" t="s">
        <v>202</v>
      </c>
      <c r="I4982" t="s">
        <v>94</v>
      </c>
      <c r="J4982" s="2" t="s">
        <v>41</v>
      </c>
      <c r="K4982" t="s">
        <v>42</v>
      </c>
      <c r="L4982" t="s">
        <v>204</v>
      </c>
      <c r="N4982" t="s">
        <v>205</v>
      </c>
      <c r="Q4982">
        <v>27563</v>
      </c>
      <c r="R4982" t="s">
        <v>45</v>
      </c>
      <c r="S4982" t="s">
        <v>25186</v>
      </c>
      <c r="T4982">
        <v>23.5</v>
      </c>
      <c r="U4982" s="2" t="s">
        <v>30113</v>
      </c>
      <c r="W4982" t="s">
        <v>24154</v>
      </c>
      <c r="X4982">
        <v>838865</v>
      </c>
      <c r="Y4982" t="s">
        <v>30114</v>
      </c>
      <c r="Z4982" s="2" t="s">
        <v>30115</v>
      </c>
      <c r="AA4982" t="s">
        <v>2560</v>
      </c>
      <c r="AB4982" t="s">
        <v>1211</v>
      </c>
      <c r="AG4982" t="s">
        <v>30116</v>
      </c>
      <c r="AH4982" t="s">
        <v>30117</v>
      </c>
      <c r="AI4982" t="s">
        <v>30118</v>
      </c>
    </row>
    <row r="4983" spans="2:35" ht="300">
      <c r="B4983" s="1">
        <v>45356</v>
      </c>
      <c r="C4983" s="4">
        <v>45355.626388888886</v>
      </c>
      <c r="D4983" t="s">
        <v>30119</v>
      </c>
      <c r="E4983" t="s">
        <v>30120</v>
      </c>
      <c r="F4983">
        <v>12</v>
      </c>
      <c r="G4983" t="s">
        <v>5785</v>
      </c>
      <c r="H4983" t="s">
        <v>1473</v>
      </c>
      <c r="I4983" t="s">
        <v>94</v>
      </c>
      <c r="J4983" s="2" t="s">
        <v>41</v>
      </c>
      <c r="K4983" t="s">
        <v>42</v>
      </c>
      <c r="L4983" t="s">
        <v>296</v>
      </c>
      <c r="N4983" t="s">
        <v>297</v>
      </c>
      <c r="Q4983">
        <v>27562</v>
      </c>
      <c r="R4983" t="s">
        <v>45</v>
      </c>
      <c r="S4983" t="s">
        <v>30121</v>
      </c>
      <c r="T4983">
        <v>24.3</v>
      </c>
      <c r="U4983" s="2" t="s">
        <v>30122</v>
      </c>
      <c r="V4983" s="1">
        <v>45355</v>
      </c>
      <c r="W4983" t="s">
        <v>30123</v>
      </c>
      <c r="X4983">
        <v>847257</v>
      </c>
      <c r="Y4983" t="s">
        <v>16344</v>
      </c>
      <c r="Z4983" s="2" t="s">
        <v>30124</v>
      </c>
      <c r="AA4983" s="2" t="s">
        <v>30125</v>
      </c>
      <c r="AB4983" t="s">
        <v>972</v>
      </c>
      <c r="AD4983" t="s">
        <v>22232</v>
      </c>
      <c r="AE4983" t="s">
        <v>30126</v>
      </c>
      <c r="AG4983" t="s">
        <v>30127</v>
      </c>
      <c r="AH4983" t="s">
        <v>30128</v>
      </c>
      <c r="AI4983" t="s">
        <v>30129</v>
      </c>
    </row>
    <row r="4984" spans="2:35" ht="405">
      <c r="B4984" s="1">
        <v>45356</v>
      </c>
      <c r="C4984" s="4">
        <v>45356.501388888886</v>
      </c>
      <c r="D4984" t="s">
        <v>25498</v>
      </c>
      <c r="E4984" t="s">
        <v>30130</v>
      </c>
      <c r="F4984">
        <v>3</v>
      </c>
      <c r="G4984" t="s">
        <v>134</v>
      </c>
      <c r="H4984" t="s">
        <v>39</v>
      </c>
      <c r="I4984" t="s">
        <v>40</v>
      </c>
      <c r="J4984" s="2" t="s">
        <v>62</v>
      </c>
      <c r="K4984" t="s">
        <v>42</v>
      </c>
      <c r="L4984" t="s">
        <v>135</v>
      </c>
      <c r="N4984" t="s">
        <v>136</v>
      </c>
      <c r="Q4984">
        <v>27561</v>
      </c>
      <c r="R4984" t="s">
        <v>45</v>
      </c>
      <c r="S4984" t="s">
        <v>25500</v>
      </c>
      <c r="T4984">
        <v>25</v>
      </c>
      <c r="U4984" s="2" t="s">
        <v>30131</v>
      </c>
      <c r="W4984" t="s">
        <v>3418</v>
      </c>
      <c r="X4984">
        <v>835104</v>
      </c>
      <c r="Y4984" t="s">
        <v>1751</v>
      </c>
      <c r="Z4984" t="s">
        <v>11518</v>
      </c>
      <c r="AA4984" s="2" t="s">
        <v>30132</v>
      </c>
      <c r="AB4984" s="2" t="s">
        <v>30133</v>
      </c>
      <c r="AC4984" t="s">
        <v>30134</v>
      </c>
      <c r="AG4984" t="s">
        <v>30135</v>
      </c>
      <c r="AH4984" t="s">
        <v>25505</v>
      </c>
      <c r="AI4984" t="s">
        <v>30136</v>
      </c>
    </row>
    <row r="4985" spans="2:35" ht="409.5">
      <c r="B4985" s="1">
        <v>45356</v>
      </c>
      <c r="C4985" s="4">
        <v>45356.51458333333</v>
      </c>
      <c r="D4985" t="s">
        <v>25498</v>
      </c>
      <c r="E4985" t="s">
        <v>30137</v>
      </c>
      <c r="F4985">
        <v>3</v>
      </c>
      <c r="G4985" t="s">
        <v>134</v>
      </c>
      <c r="H4985" t="s">
        <v>39</v>
      </c>
      <c r="I4985" t="s">
        <v>40</v>
      </c>
      <c r="J4985" s="2" t="s">
        <v>1157</v>
      </c>
      <c r="K4985" t="s">
        <v>42</v>
      </c>
      <c r="L4985" t="s">
        <v>135</v>
      </c>
      <c r="N4985" t="s">
        <v>136</v>
      </c>
      <c r="Q4985">
        <v>27560</v>
      </c>
      <c r="R4985" t="s">
        <v>45</v>
      </c>
      <c r="S4985" t="s">
        <v>25500</v>
      </c>
      <c r="T4985">
        <v>25</v>
      </c>
      <c r="U4985" s="2" t="s">
        <v>30138</v>
      </c>
      <c r="W4985" t="s">
        <v>30071</v>
      </c>
      <c r="X4985">
        <v>807564</v>
      </c>
      <c r="Y4985" s="2" t="s">
        <v>30139</v>
      </c>
      <c r="Z4985" s="2" t="s">
        <v>30140</v>
      </c>
      <c r="AA4985" s="2" t="s">
        <v>30141</v>
      </c>
      <c r="AB4985" t="s">
        <v>181</v>
      </c>
      <c r="AC4985" t="s">
        <v>30142</v>
      </c>
      <c r="AG4985" t="s">
        <v>30143</v>
      </c>
      <c r="AH4985" t="s">
        <v>25505</v>
      </c>
      <c r="AI4985" t="s">
        <v>30144</v>
      </c>
    </row>
    <row r="4986" spans="2:35" ht="345">
      <c r="B4986" s="1">
        <v>45356</v>
      </c>
      <c r="C4986" s="4">
        <v>45356.456250000003</v>
      </c>
      <c r="D4986" t="s">
        <v>30145</v>
      </c>
      <c r="E4986" t="s">
        <v>30146</v>
      </c>
      <c r="F4986">
        <v>12</v>
      </c>
      <c r="G4986" t="s">
        <v>5785</v>
      </c>
      <c r="H4986" t="s">
        <v>39</v>
      </c>
      <c r="I4986" t="s">
        <v>94</v>
      </c>
      <c r="J4986" s="2" t="s">
        <v>1157</v>
      </c>
      <c r="K4986" t="s">
        <v>42</v>
      </c>
      <c r="L4986" t="s">
        <v>296</v>
      </c>
      <c r="N4986" t="s">
        <v>297</v>
      </c>
      <c r="Q4986">
        <v>27559</v>
      </c>
      <c r="R4986" t="s">
        <v>45</v>
      </c>
      <c r="S4986" t="s">
        <v>30147</v>
      </c>
      <c r="T4986">
        <v>35.200000000000003</v>
      </c>
      <c r="U4986" s="2" t="s">
        <v>30148</v>
      </c>
      <c r="W4986" t="s">
        <v>30149</v>
      </c>
      <c r="X4986">
        <v>835076</v>
      </c>
      <c r="Y4986" s="2" t="s">
        <v>30150</v>
      </c>
      <c r="Z4986" s="2" t="s">
        <v>30151</v>
      </c>
      <c r="AA4986" s="2" t="s">
        <v>30152</v>
      </c>
      <c r="AB4986" t="s">
        <v>17179</v>
      </c>
      <c r="AC4986" t="s">
        <v>30153</v>
      </c>
      <c r="AG4986" t="s">
        <v>30154</v>
      </c>
      <c r="AH4986" t="s">
        <v>30155</v>
      </c>
      <c r="AI4986" t="s">
        <v>30156</v>
      </c>
    </row>
    <row r="4987" spans="2:35" ht="195">
      <c r="B4987" s="1">
        <v>45356</v>
      </c>
      <c r="C4987" s="4">
        <v>45356.40902777778</v>
      </c>
      <c r="D4987" t="s">
        <v>13336</v>
      </c>
      <c r="E4987" t="s">
        <v>30157</v>
      </c>
      <c r="F4987" t="s">
        <v>148</v>
      </c>
      <c r="G4987" t="s">
        <v>447</v>
      </c>
      <c r="H4987" t="s">
        <v>39</v>
      </c>
      <c r="I4987" t="s">
        <v>40</v>
      </c>
      <c r="J4987" t="s">
        <v>79</v>
      </c>
      <c r="K4987" t="s">
        <v>408</v>
      </c>
      <c r="L4987" t="s">
        <v>43</v>
      </c>
      <c r="N4987" t="s">
        <v>44</v>
      </c>
      <c r="P4987" t="s">
        <v>30158</v>
      </c>
      <c r="Q4987">
        <v>27558</v>
      </c>
      <c r="R4987" t="s">
        <v>119</v>
      </c>
      <c r="S4987" t="s">
        <v>858</v>
      </c>
      <c r="T4987">
        <v>24</v>
      </c>
      <c r="W4987" t="s">
        <v>22219</v>
      </c>
      <c r="X4987" t="s">
        <v>30159</v>
      </c>
      <c r="Y4987" t="s">
        <v>29837</v>
      </c>
      <c r="Z4987" t="s">
        <v>30160</v>
      </c>
      <c r="AA4987" s="2" t="s">
        <v>30161</v>
      </c>
      <c r="AB4987" t="s">
        <v>88</v>
      </c>
      <c r="AG4987" t="s">
        <v>30162</v>
      </c>
      <c r="AH4987" t="s">
        <v>80</v>
      </c>
      <c r="AI4987" t="s">
        <v>30163</v>
      </c>
    </row>
    <row r="4988" spans="2:35" ht="409.5">
      <c r="B4988" s="1">
        <v>45356</v>
      </c>
      <c r="C4988" s="4">
        <v>45356.397916666669</v>
      </c>
      <c r="D4988" t="s">
        <v>30164</v>
      </c>
      <c r="E4988" t="s">
        <v>30165</v>
      </c>
      <c r="F4988">
        <v>3</v>
      </c>
      <c r="G4988" t="s">
        <v>134</v>
      </c>
      <c r="H4988" t="s">
        <v>1047</v>
      </c>
      <c r="I4988" t="s">
        <v>40</v>
      </c>
      <c r="J4988" s="2" t="s">
        <v>62</v>
      </c>
      <c r="K4988" t="s">
        <v>42</v>
      </c>
      <c r="L4988" t="s">
        <v>135</v>
      </c>
      <c r="N4988" t="s">
        <v>136</v>
      </c>
      <c r="Q4988">
        <v>27557</v>
      </c>
      <c r="R4988" t="s">
        <v>719</v>
      </c>
      <c r="S4988" t="s">
        <v>2647</v>
      </c>
      <c r="T4988">
        <v>29</v>
      </c>
      <c r="U4988" s="2" t="s">
        <v>30166</v>
      </c>
      <c r="W4988" t="s">
        <v>2680</v>
      </c>
      <c r="X4988">
        <v>846044</v>
      </c>
      <c r="Y4988" t="s">
        <v>1751</v>
      </c>
      <c r="Z4988" t="s">
        <v>11518</v>
      </c>
      <c r="AA4988" s="2" t="s">
        <v>30167</v>
      </c>
      <c r="AB4988" s="2" t="s">
        <v>3237</v>
      </c>
      <c r="AG4988" t="s">
        <v>30168</v>
      </c>
      <c r="AH4988" t="s">
        <v>2652</v>
      </c>
      <c r="AI4988" t="s">
        <v>30169</v>
      </c>
    </row>
    <row r="4989" spans="2:35" ht="105">
      <c r="B4989" s="1">
        <v>45355</v>
      </c>
      <c r="C4989" s="4">
        <v>45355.87777777778</v>
      </c>
      <c r="D4989" t="s">
        <v>3241</v>
      </c>
      <c r="E4989" t="s">
        <v>30170</v>
      </c>
      <c r="F4989">
        <v>7</v>
      </c>
      <c r="G4989" t="s">
        <v>432</v>
      </c>
      <c r="H4989" t="s">
        <v>608</v>
      </c>
      <c r="I4989" t="s">
        <v>94</v>
      </c>
      <c r="J4989" t="s">
        <v>79</v>
      </c>
      <c r="K4989" t="s">
        <v>42</v>
      </c>
      <c r="L4989" t="s">
        <v>610</v>
      </c>
      <c r="N4989" t="s">
        <v>611</v>
      </c>
      <c r="Q4989">
        <v>27556</v>
      </c>
      <c r="R4989" t="s">
        <v>45</v>
      </c>
      <c r="S4989" t="s">
        <v>23380</v>
      </c>
      <c r="T4989">
        <v>24</v>
      </c>
      <c r="U4989" s="2" t="s">
        <v>30171</v>
      </c>
      <c r="W4989" t="s">
        <v>360</v>
      </c>
      <c r="X4989">
        <v>808640</v>
      </c>
      <c r="Y4989" t="s">
        <v>30172</v>
      </c>
      <c r="Z4989" t="s">
        <v>30173</v>
      </c>
      <c r="AA4989" t="s">
        <v>30173</v>
      </c>
      <c r="AB4989" t="s">
        <v>7886</v>
      </c>
      <c r="AG4989" t="s">
        <v>30174</v>
      </c>
      <c r="AH4989" t="s">
        <v>30175</v>
      </c>
      <c r="AI4989" t="s">
        <v>30176</v>
      </c>
    </row>
    <row r="4990" spans="2:35" ht="210">
      <c r="B4990" s="1">
        <v>45355</v>
      </c>
      <c r="C4990" s="4">
        <v>45355.872916666667</v>
      </c>
      <c r="D4990" t="s">
        <v>30177</v>
      </c>
      <c r="E4990" t="s">
        <v>30178</v>
      </c>
      <c r="F4990">
        <v>7</v>
      </c>
      <c r="G4990" t="s">
        <v>432</v>
      </c>
      <c r="H4990" t="s">
        <v>608</v>
      </c>
      <c r="I4990" t="s">
        <v>94</v>
      </c>
      <c r="J4990" t="s">
        <v>79</v>
      </c>
      <c r="K4990" t="s">
        <v>42</v>
      </c>
      <c r="L4990" t="s">
        <v>610</v>
      </c>
      <c r="N4990" t="s">
        <v>611</v>
      </c>
      <c r="Q4990">
        <v>27555</v>
      </c>
      <c r="R4990" t="s">
        <v>45</v>
      </c>
      <c r="S4990" t="s">
        <v>30179</v>
      </c>
      <c r="T4990">
        <v>24</v>
      </c>
      <c r="U4990" s="2" t="s">
        <v>10199</v>
      </c>
      <c r="W4990" t="s">
        <v>360</v>
      </c>
      <c r="X4990">
        <v>805033</v>
      </c>
      <c r="Y4990" t="s">
        <v>30180</v>
      </c>
      <c r="Z4990" s="2" t="s">
        <v>30181</v>
      </c>
      <c r="AA4990" s="2" t="s">
        <v>30181</v>
      </c>
      <c r="AB4990" t="s">
        <v>30182</v>
      </c>
      <c r="AG4990" t="s">
        <v>30183</v>
      </c>
      <c r="AH4990" t="s">
        <v>30184</v>
      </c>
      <c r="AI4990" t="s">
        <v>30185</v>
      </c>
    </row>
    <row r="4991" spans="2:35" ht="60">
      <c r="B4991" s="1">
        <v>45355</v>
      </c>
      <c r="C4991" s="4">
        <v>45355.669444444444</v>
      </c>
      <c r="D4991" t="s">
        <v>13723</v>
      </c>
      <c r="E4991" t="s">
        <v>12017</v>
      </c>
      <c r="F4991">
        <v>7</v>
      </c>
      <c r="G4991" t="s">
        <v>432</v>
      </c>
      <c r="H4991" t="s">
        <v>12018</v>
      </c>
      <c r="I4991" t="s">
        <v>40</v>
      </c>
      <c r="J4991" s="2" t="s">
        <v>760</v>
      </c>
      <c r="K4991" t="s">
        <v>387</v>
      </c>
      <c r="L4991" t="s">
        <v>1288</v>
      </c>
      <c r="N4991" t="s">
        <v>1289</v>
      </c>
      <c r="Q4991">
        <v>27554</v>
      </c>
      <c r="R4991" t="s">
        <v>95</v>
      </c>
      <c r="S4991" t="s">
        <v>9919</v>
      </c>
      <c r="T4991">
        <v>25</v>
      </c>
      <c r="W4991" t="s">
        <v>390</v>
      </c>
      <c r="X4991" t="s">
        <v>3425</v>
      </c>
      <c r="Y4991" t="s">
        <v>29490</v>
      </c>
      <c r="Z4991" t="e">
        <f ca="1">-PERFORM DIAGNOSTICS, passed
-PERFORM Cycle test, passed</f>
        <v>#NAME?</v>
      </c>
      <c r="AA4991" t="e">
        <f ca="1">-PERFORM TROUBLE SHOOTING
-PERFORM parts ISOLATION, MEMBRANE PANEL ribbon cable is defective
-Install cable as service PART _xludf.For MCS+ EQUIPMENT</f>
        <v>#NAME?</v>
      </c>
      <c r="AB4991" t="s">
        <v>1293</v>
      </c>
      <c r="AC4991" t="s">
        <v>30186</v>
      </c>
      <c r="AG4991" t="s">
        <v>30187</v>
      </c>
      <c r="AH4991" t="s">
        <v>29492</v>
      </c>
      <c r="AI4991" t="s">
        <v>30188</v>
      </c>
    </row>
    <row r="4992" spans="2:35" ht="240">
      <c r="B4992" s="1">
        <v>45355</v>
      </c>
      <c r="C4992" s="4">
        <v>45344.364583333336</v>
      </c>
      <c r="D4992" t="s">
        <v>5158</v>
      </c>
      <c r="E4992" t="s">
        <v>30189</v>
      </c>
      <c r="F4992" t="s">
        <v>148</v>
      </c>
      <c r="G4992" t="s">
        <v>310</v>
      </c>
      <c r="H4992" t="s">
        <v>61</v>
      </c>
      <c r="I4992" t="s">
        <v>40</v>
      </c>
      <c r="J4992" t="s">
        <v>109</v>
      </c>
      <c r="K4992" t="s">
        <v>42</v>
      </c>
      <c r="L4992" t="s">
        <v>1028</v>
      </c>
      <c r="N4992" t="s">
        <v>1029</v>
      </c>
      <c r="Q4992">
        <v>27553</v>
      </c>
      <c r="R4992" t="s">
        <v>322</v>
      </c>
      <c r="S4992" t="s">
        <v>14635</v>
      </c>
      <c r="T4992">
        <v>24</v>
      </c>
      <c r="U4992" s="2" t="s">
        <v>30190</v>
      </c>
      <c r="W4992" t="s">
        <v>5169</v>
      </c>
      <c r="X4992">
        <v>110013856</v>
      </c>
      <c r="Y4992" t="s">
        <v>3127</v>
      </c>
      <c r="Z4992" t="s">
        <v>3128</v>
      </c>
      <c r="AA4992" s="2" t="s">
        <v>30191</v>
      </c>
      <c r="AB4992" t="s">
        <v>30192</v>
      </c>
      <c r="AG4992" t="s">
        <v>30193</v>
      </c>
      <c r="AH4992" t="s">
        <v>5165</v>
      </c>
      <c r="AI4992" t="s">
        <v>30194</v>
      </c>
    </row>
    <row r="4993" spans="2:35" ht="409.5">
      <c r="B4993" s="1">
        <v>45355</v>
      </c>
      <c r="C4993" s="4">
        <v>45343.622916666667</v>
      </c>
      <c r="D4993" t="s">
        <v>9540</v>
      </c>
      <c r="E4993" t="s">
        <v>9541</v>
      </c>
      <c r="F4993" t="s">
        <v>148</v>
      </c>
      <c r="G4993" t="s">
        <v>4786</v>
      </c>
      <c r="H4993" t="s">
        <v>39</v>
      </c>
      <c r="I4993" t="s">
        <v>40</v>
      </c>
      <c r="J4993" s="2" t="s">
        <v>62</v>
      </c>
      <c r="K4993" t="s">
        <v>42</v>
      </c>
      <c r="L4993" t="s">
        <v>1028</v>
      </c>
      <c r="N4993" t="s">
        <v>1029</v>
      </c>
      <c r="Q4993">
        <v>27552</v>
      </c>
      <c r="R4993" t="s">
        <v>95</v>
      </c>
      <c r="S4993" t="s">
        <v>10335</v>
      </c>
      <c r="T4993">
        <v>27</v>
      </c>
      <c r="U4993" s="2" t="s">
        <v>30195</v>
      </c>
      <c r="V4993" s="1">
        <v>45338</v>
      </c>
      <c r="W4993" t="s">
        <v>1967</v>
      </c>
      <c r="X4993">
        <v>831316</v>
      </c>
      <c r="Y4993" t="s">
        <v>18140</v>
      </c>
      <c r="Z4993" t="s">
        <v>21244</v>
      </c>
      <c r="AA4993" s="2" t="s">
        <v>30196</v>
      </c>
      <c r="AB4993" t="s">
        <v>30197</v>
      </c>
      <c r="AC4993" t="s">
        <v>30198</v>
      </c>
      <c r="AD4993" t="s">
        <v>7189</v>
      </c>
      <c r="AE4993" t="s">
        <v>30199</v>
      </c>
      <c r="AG4993" t="s">
        <v>30200</v>
      </c>
      <c r="AH4993" t="s">
        <v>18622</v>
      </c>
      <c r="AI4993" t="s">
        <v>30201</v>
      </c>
    </row>
    <row r="4994" spans="2:35" ht="195">
      <c r="B4994" s="1">
        <v>45355</v>
      </c>
      <c r="C4994" s="4">
        <v>45302.48333333333</v>
      </c>
      <c r="D4994" t="s">
        <v>23772</v>
      </c>
      <c r="E4994" t="s">
        <v>23773</v>
      </c>
      <c r="F4994" t="s">
        <v>37</v>
      </c>
      <c r="G4994" t="s">
        <v>748</v>
      </c>
      <c r="H4994" t="s">
        <v>39</v>
      </c>
      <c r="I4994" t="s">
        <v>40</v>
      </c>
      <c r="J4994" s="2" t="s">
        <v>30202</v>
      </c>
      <c r="K4994" t="s">
        <v>42</v>
      </c>
      <c r="L4994" t="s">
        <v>1028</v>
      </c>
      <c r="N4994" t="s">
        <v>1029</v>
      </c>
      <c r="Q4994">
        <v>27551</v>
      </c>
      <c r="R4994" t="s">
        <v>119</v>
      </c>
      <c r="S4994" t="s">
        <v>30203</v>
      </c>
      <c r="T4994">
        <v>24</v>
      </c>
      <c r="U4994" s="2" t="s">
        <v>30204</v>
      </c>
      <c r="V4994" s="1">
        <v>45299</v>
      </c>
      <c r="W4994" t="s">
        <v>1967</v>
      </c>
      <c r="X4994">
        <v>821279</v>
      </c>
      <c r="Y4994" t="s">
        <v>30205</v>
      </c>
      <c r="Z4994" t="s">
        <v>2129</v>
      </c>
      <c r="AA4994" s="2" t="s">
        <v>30206</v>
      </c>
      <c r="AB4994" t="s">
        <v>3063</v>
      </c>
      <c r="AC4994" t="s">
        <v>30207</v>
      </c>
      <c r="AD4994" t="s">
        <v>6815</v>
      </c>
      <c r="AE4994">
        <v>11062</v>
      </c>
      <c r="AG4994" t="s">
        <v>30208</v>
      </c>
      <c r="AH4994" t="s">
        <v>30209</v>
      </c>
      <c r="AI4994" t="s">
        <v>30210</v>
      </c>
    </row>
    <row r="4995" spans="2:35" ht="270">
      <c r="B4995" s="1">
        <v>45355</v>
      </c>
      <c r="C4995" s="4">
        <v>45344.368055555555</v>
      </c>
      <c r="D4995" t="s">
        <v>5158</v>
      </c>
      <c r="E4995" t="s">
        <v>30211</v>
      </c>
      <c r="F4995" t="s">
        <v>148</v>
      </c>
      <c r="G4995" t="s">
        <v>310</v>
      </c>
      <c r="H4995" t="s">
        <v>61</v>
      </c>
      <c r="I4995" t="s">
        <v>40</v>
      </c>
      <c r="J4995" t="s">
        <v>109</v>
      </c>
      <c r="K4995" t="s">
        <v>42</v>
      </c>
      <c r="L4995" t="s">
        <v>1028</v>
      </c>
      <c r="N4995" t="s">
        <v>1029</v>
      </c>
      <c r="Q4995">
        <v>27550</v>
      </c>
      <c r="R4995" t="s">
        <v>322</v>
      </c>
      <c r="S4995" t="s">
        <v>30212</v>
      </c>
      <c r="T4995">
        <v>24</v>
      </c>
      <c r="U4995" s="2" t="s">
        <v>30213</v>
      </c>
      <c r="W4995" t="s">
        <v>1032</v>
      </c>
      <c r="X4995">
        <v>110014099</v>
      </c>
      <c r="Y4995" t="s">
        <v>3127</v>
      </c>
      <c r="Z4995" t="s">
        <v>3128</v>
      </c>
      <c r="AA4995" s="2" t="s">
        <v>30191</v>
      </c>
      <c r="AB4995" t="s">
        <v>3063</v>
      </c>
      <c r="AG4995" t="s">
        <v>30214</v>
      </c>
      <c r="AH4995" t="s">
        <v>5165</v>
      </c>
      <c r="AI4995" t="s">
        <v>30215</v>
      </c>
    </row>
    <row r="4996" spans="2:35" ht="270">
      <c r="B4996" s="1">
        <v>45355</v>
      </c>
      <c r="C4996" s="4">
        <v>45344.370833333334</v>
      </c>
      <c r="D4996" t="s">
        <v>5158</v>
      </c>
      <c r="E4996" t="s">
        <v>15744</v>
      </c>
      <c r="F4996" t="s">
        <v>148</v>
      </c>
      <c r="G4996" t="s">
        <v>310</v>
      </c>
      <c r="H4996" t="s">
        <v>61</v>
      </c>
      <c r="I4996" t="s">
        <v>40</v>
      </c>
      <c r="J4996" t="s">
        <v>109</v>
      </c>
      <c r="K4996" t="s">
        <v>42</v>
      </c>
      <c r="L4996" t="s">
        <v>1028</v>
      </c>
      <c r="N4996" t="s">
        <v>1029</v>
      </c>
      <c r="Q4996">
        <v>27549</v>
      </c>
      <c r="R4996" t="s">
        <v>119</v>
      </c>
      <c r="S4996" t="s">
        <v>14635</v>
      </c>
      <c r="T4996">
        <v>24</v>
      </c>
      <c r="U4996" s="2" t="s">
        <v>30216</v>
      </c>
      <c r="W4996" t="s">
        <v>1967</v>
      </c>
      <c r="X4996">
        <v>831530</v>
      </c>
      <c r="Y4996" t="s">
        <v>3127</v>
      </c>
      <c r="Z4996" t="s">
        <v>3128</v>
      </c>
      <c r="AA4996" s="2" t="s">
        <v>30191</v>
      </c>
      <c r="AB4996" t="s">
        <v>3063</v>
      </c>
      <c r="AG4996" t="s">
        <v>30217</v>
      </c>
      <c r="AH4996" t="s">
        <v>5165</v>
      </c>
      <c r="AI4996" t="s">
        <v>30218</v>
      </c>
    </row>
    <row r="4997" spans="2:35" ht="270">
      <c r="B4997" s="1">
        <v>45355</v>
      </c>
      <c r="C4997" s="4">
        <v>45344.481944444444</v>
      </c>
      <c r="D4997" t="s">
        <v>25805</v>
      </c>
      <c r="E4997" t="s">
        <v>30219</v>
      </c>
      <c r="F4997" t="s">
        <v>148</v>
      </c>
      <c r="G4997" t="s">
        <v>774</v>
      </c>
      <c r="H4997" t="s">
        <v>30220</v>
      </c>
      <c r="I4997" t="s">
        <v>40</v>
      </c>
      <c r="J4997" s="2" t="s">
        <v>62</v>
      </c>
      <c r="K4997" t="s">
        <v>42</v>
      </c>
      <c r="L4997" t="s">
        <v>1028</v>
      </c>
      <c r="N4997" t="s">
        <v>1029</v>
      </c>
      <c r="O4997" t="s">
        <v>30221</v>
      </c>
      <c r="Q4997">
        <v>27548</v>
      </c>
      <c r="R4997" t="s">
        <v>45</v>
      </c>
      <c r="S4997" t="s">
        <v>30222</v>
      </c>
      <c r="T4997">
        <v>27</v>
      </c>
      <c r="U4997" s="2" t="s">
        <v>30223</v>
      </c>
      <c r="W4997" t="s">
        <v>1032</v>
      </c>
      <c r="X4997">
        <v>848244</v>
      </c>
      <c r="Y4997" t="s">
        <v>18140</v>
      </c>
      <c r="Z4997" t="s">
        <v>21244</v>
      </c>
      <c r="AA4997" s="2" t="s">
        <v>30224</v>
      </c>
      <c r="AB4997" t="s">
        <v>3063</v>
      </c>
      <c r="AC4997" t="s">
        <v>30225</v>
      </c>
      <c r="AG4997" t="s">
        <v>30226</v>
      </c>
      <c r="AH4997" t="s">
        <v>29167</v>
      </c>
      <c r="AI4997" t="s">
        <v>30227</v>
      </c>
    </row>
    <row r="4998" spans="2:35" ht="270">
      <c r="B4998" s="1">
        <v>45355</v>
      </c>
      <c r="C4998" s="4">
        <v>45344.489583333336</v>
      </c>
      <c r="D4998" t="s">
        <v>25805</v>
      </c>
      <c r="E4998" t="s">
        <v>30228</v>
      </c>
      <c r="F4998" t="s">
        <v>148</v>
      </c>
      <c r="G4998" t="s">
        <v>774</v>
      </c>
      <c r="H4998" t="s">
        <v>30220</v>
      </c>
      <c r="I4998" t="s">
        <v>40</v>
      </c>
      <c r="J4998" s="2" t="s">
        <v>62</v>
      </c>
      <c r="K4998" t="s">
        <v>42</v>
      </c>
      <c r="L4998" t="s">
        <v>1028</v>
      </c>
      <c r="N4998" t="s">
        <v>1029</v>
      </c>
      <c r="O4998" t="s">
        <v>30221</v>
      </c>
      <c r="Q4998">
        <v>27547</v>
      </c>
      <c r="R4998" t="s">
        <v>45</v>
      </c>
      <c r="S4998" t="s">
        <v>30222</v>
      </c>
      <c r="T4998">
        <v>28</v>
      </c>
      <c r="U4998" s="2" t="s">
        <v>29605</v>
      </c>
      <c r="W4998" t="s">
        <v>1967</v>
      </c>
      <c r="X4998">
        <v>807606</v>
      </c>
      <c r="Y4998" t="s">
        <v>18140</v>
      </c>
      <c r="Z4998" t="s">
        <v>21244</v>
      </c>
      <c r="AA4998" s="2" t="s">
        <v>30224</v>
      </c>
      <c r="AB4998" t="s">
        <v>30229</v>
      </c>
      <c r="AC4998" t="s">
        <v>30230</v>
      </c>
      <c r="AG4998" t="s">
        <v>30231</v>
      </c>
      <c r="AH4998" t="s">
        <v>29167</v>
      </c>
      <c r="AI4998" t="s">
        <v>30232</v>
      </c>
    </row>
    <row r="4999" spans="2:35" ht="270">
      <c r="B4999" s="1">
        <v>45355</v>
      </c>
      <c r="C4999" s="4">
        <v>45345.590277777781</v>
      </c>
      <c r="D4999" t="s">
        <v>30233</v>
      </c>
      <c r="E4999" t="s">
        <v>30234</v>
      </c>
      <c r="F4999" t="s">
        <v>37</v>
      </c>
      <c r="G4999" t="s">
        <v>748</v>
      </c>
      <c r="H4999" t="s">
        <v>39</v>
      </c>
      <c r="I4999" t="s">
        <v>40</v>
      </c>
      <c r="J4999" s="2" t="s">
        <v>62</v>
      </c>
      <c r="K4999" t="s">
        <v>42</v>
      </c>
      <c r="L4999" t="s">
        <v>1028</v>
      </c>
      <c r="N4999" t="s">
        <v>1029</v>
      </c>
      <c r="Q4999">
        <v>27546</v>
      </c>
      <c r="R4999" t="s">
        <v>45</v>
      </c>
      <c r="S4999" t="s">
        <v>30235</v>
      </c>
      <c r="T4999">
        <v>24</v>
      </c>
      <c r="W4999" t="s">
        <v>1967</v>
      </c>
      <c r="X4999">
        <v>812835</v>
      </c>
      <c r="Y4999" t="s">
        <v>18140</v>
      </c>
      <c r="Z4999" t="s">
        <v>21244</v>
      </c>
      <c r="AA4999" s="2" t="s">
        <v>30236</v>
      </c>
      <c r="AB4999" t="s">
        <v>28913</v>
      </c>
      <c r="AC4999" t="s">
        <v>30237</v>
      </c>
      <c r="AG4999" t="s">
        <v>30238</v>
      </c>
      <c r="AH4999" t="s">
        <v>30239</v>
      </c>
      <c r="AI4999" t="s">
        <v>30240</v>
      </c>
    </row>
    <row r="5000" spans="2:35" ht="270">
      <c r="B5000" s="1">
        <v>45355</v>
      </c>
      <c r="C5000" s="4">
        <v>45345.604166666664</v>
      </c>
      <c r="D5000" t="s">
        <v>30233</v>
      </c>
      <c r="E5000" t="s">
        <v>30241</v>
      </c>
      <c r="F5000" t="s">
        <v>37</v>
      </c>
      <c r="G5000" t="s">
        <v>748</v>
      </c>
      <c r="H5000" t="s">
        <v>39</v>
      </c>
      <c r="I5000" t="s">
        <v>40</v>
      </c>
      <c r="J5000" s="2" t="s">
        <v>62</v>
      </c>
      <c r="K5000" t="s">
        <v>42</v>
      </c>
      <c r="L5000" t="s">
        <v>1028</v>
      </c>
      <c r="N5000" t="s">
        <v>1029</v>
      </c>
      <c r="Q5000">
        <v>27545</v>
      </c>
      <c r="R5000" t="s">
        <v>45</v>
      </c>
      <c r="S5000" t="s">
        <v>30235</v>
      </c>
      <c r="T5000">
        <v>27</v>
      </c>
      <c r="U5000" s="2" t="s">
        <v>30242</v>
      </c>
      <c r="W5000" t="s">
        <v>1967</v>
      </c>
      <c r="X5000">
        <v>838162</v>
      </c>
      <c r="Y5000" t="s">
        <v>18140</v>
      </c>
      <c r="Z5000" t="s">
        <v>21244</v>
      </c>
      <c r="AA5000" s="2" t="s">
        <v>30236</v>
      </c>
      <c r="AB5000" t="s">
        <v>3063</v>
      </c>
      <c r="AG5000" t="s">
        <v>30243</v>
      </c>
      <c r="AH5000" t="s">
        <v>30239</v>
      </c>
      <c r="AI5000" t="s">
        <v>30244</v>
      </c>
    </row>
    <row r="5001" spans="2:35" ht="105">
      <c r="B5001" s="1">
        <v>45355</v>
      </c>
      <c r="C5001" s="4">
        <v>45343.397916666669</v>
      </c>
      <c r="D5001" t="s">
        <v>7219</v>
      </c>
      <c r="E5001" t="s">
        <v>17203</v>
      </c>
      <c r="F5001" t="s">
        <v>148</v>
      </c>
      <c r="G5001" t="s">
        <v>310</v>
      </c>
      <c r="H5001" t="s">
        <v>39</v>
      </c>
      <c r="I5001" t="s">
        <v>40</v>
      </c>
      <c r="J5001" t="s">
        <v>321</v>
      </c>
      <c r="K5001" t="s">
        <v>42</v>
      </c>
      <c r="L5001" t="s">
        <v>1028</v>
      </c>
      <c r="N5001" t="s">
        <v>1029</v>
      </c>
      <c r="Q5001">
        <v>27544</v>
      </c>
      <c r="R5001" t="s">
        <v>45</v>
      </c>
      <c r="S5001" t="s">
        <v>30245</v>
      </c>
      <c r="T5001">
        <v>24</v>
      </c>
      <c r="W5001" t="s">
        <v>1032</v>
      </c>
      <c r="X5001">
        <v>120000475</v>
      </c>
      <c r="Y5001" t="s">
        <v>29377</v>
      </c>
      <c r="Z5001" t="s">
        <v>13110</v>
      </c>
      <c r="AA5001" s="2" t="s">
        <v>30246</v>
      </c>
      <c r="AB5001" t="s">
        <v>3063</v>
      </c>
      <c r="AG5001" t="s">
        <v>30247</v>
      </c>
      <c r="AH5001" t="s">
        <v>30248</v>
      </c>
      <c r="AI5001" t="s">
        <v>30249</v>
      </c>
    </row>
    <row r="5002" spans="2:35" ht="409.5">
      <c r="B5002" s="1">
        <v>45355</v>
      </c>
      <c r="C5002" s="4">
        <v>45355.561805555553</v>
      </c>
      <c r="D5002" t="s">
        <v>30250</v>
      </c>
      <c r="E5002" t="s">
        <v>30251</v>
      </c>
      <c r="F5002" t="s">
        <v>37</v>
      </c>
      <c r="G5002" t="s">
        <v>189</v>
      </c>
      <c r="H5002" t="s">
        <v>39</v>
      </c>
      <c r="I5002" t="s">
        <v>40</v>
      </c>
      <c r="J5002" s="2" t="s">
        <v>1309</v>
      </c>
      <c r="K5002" t="s">
        <v>42</v>
      </c>
      <c r="L5002" t="s">
        <v>1943</v>
      </c>
      <c r="N5002" t="s">
        <v>1944</v>
      </c>
      <c r="Q5002">
        <v>27543</v>
      </c>
      <c r="R5002" t="s">
        <v>45</v>
      </c>
      <c r="S5002" t="s">
        <v>30252</v>
      </c>
      <c r="T5002">
        <v>25</v>
      </c>
      <c r="U5002" s="2" t="s">
        <v>13161</v>
      </c>
      <c r="V5002" s="1">
        <v>45341</v>
      </c>
      <c r="W5002" t="s">
        <v>84</v>
      </c>
      <c r="X5002">
        <v>821786</v>
      </c>
      <c r="Y5002" s="2" t="s">
        <v>30253</v>
      </c>
      <c r="Z5002" t="s">
        <v>30254</v>
      </c>
      <c r="AA5002" s="2" t="s">
        <v>30255</v>
      </c>
      <c r="AB5002" t="s">
        <v>30256</v>
      </c>
      <c r="AC5002" t="s">
        <v>30257</v>
      </c>
      <c r="AD5002" t="s">
        <v>30258</v>
      </c>
      <c r="AE5002" t="s">
        <v>8904</v>
      </c>
      <c r="AG5002" t="s">
        <v>30259</v>
      </c>
      <c r="AH5002" t="s">
        <v>30260</v>
      </c>
      <c r="AI5002" t="s">
        <v>30261</v>
      </c>
    </row>
    <row r="5003" spans="2:35" ht="360">
      <c r="B5003" s="1">
        <v>45355</v>
      </c>
      <c r="C5003" s="4">
        <v>45355.458333333336</v>
      </c>
      <c r="D5003" t="s">
        <v>5089</v>
      </c>
      <c r="E5003" t="s">
        <v>5090</v>
      </c>
      <c r="F5003">
        <v>3</v>
      </c>
      <c r="G5003" t="s">
        <v>1722</v>
      </c>
      <c r="H5003" t="s">
        <v>61</v>
      </c>
      <c r="I5003" t="s">
        <v>40</v>
      </c>
      <c r="J5003" s="2" t="s">
        <v>1808</v>
      </c>
      <c r="K5003" t="s">
        <v>42</v>
      </c>
      <c r="L5003" t="s">
        <v>63</v>
      </c>
      <c r="N5003" t="s">
        <v>64</v>
      </c>
      <c r="Q5003">
        <v>27542</v>
      </c>
      <c r="R5003" t="s">
        <v>45</v>
      </c>
      <c r="S5003" t="s">
        <v>15318</v>
      </c>
      <c r="T5003">
        <v>24</v>
      </c>
      <c r="V5003" s="1">
        <v>45355</v>
      </c>
      <c r="W5003" t="s">
        <v>373</v>
      </c>
      <c r="X5003">
        <v>110020311</v>
      </c>
      <c r="Y5003" t="s">
        <v>1716</v>
      </c>
      <c r="Z5003" t="s">
        <v>1716</v>
      </c>
      <c r="AA5003" s="2" t="s">
        <v>30262</v>
      </c>
      <c r="AB5003" t="s">
        <v>70</v>
      </c>
      <c r="AC5003" t="s">
        <v>1716</v>
      </c>
      <c r="AD5003" t="s">
        <v>1716</v>
      </c>
      <c r="AE5003" t="s">
        <v>1716</v>
      </c>
      <c r="AG5003" t="s">
        <v>30263</v>
      </c>
      <c r="AH5003" t="s">
        <v>30264</v>
      </c>
      <c r="AI5003" t="s">
        <v>30265</v>
      </c>
    </row>
    <row r="5004" spans="2:35" ht="255">
      <c r="B5004" s="1">
        <v>45355</v>
      </c>
      <c r="C5004" s="4">
        <v>45351.566666666666</v>
      </c>
      <c r="D5004" t="s">
        <v>30266</v>
      </c>
      <c r="E5004" t="s">
        <v>30267</v>
      </c>
      <c r="F5004" t="s">
        <v>37</v>
      </c>
      <c r="G5004" t="s">
        <v>748</v>
      </c>
      <c r="H5004" t="s">
        <v>39</v>
      </c>
      <c r="I5004" t="s">
        <v>40</v>
      </c>
      <c r="J5004" s="2" t="s">
        <v>62</v>
      </c>
      <c r="K5004" t="s">
        <v>42</v>
      </c>
      <c r="L5004" t="s">
        <v>1028</v>
      </c>
      <c r="N5004" t="s">
        <v>1029</v>
      </c>
      <c r="Q5004">
        <v>27540</v>
      </c>
      <c r="R5004" t="s">
        <v>45</v>
      </c>
      <c r="S5004" t="s">
        <v>30268</v>
      </c>
      <c r="T5004">
        <v>24</v>
      </c>
      <c r="U5004" s="2" t="s">
        <v>28376</v>
      </c>
      <c r="W5004" t="s">
        <v>1967</v>
      </c>
      <c r="X5004">
        <v>838137</v>
      </c>
      <c r="Y5004" t="s">
        <v>18140</v>
      </c>
      <c r="Z5004" t="s">
        <v>21244</v>
      </c>
      <c r="AA5004" s="2" t="s">
        <v>30269</v>
      </c>
      <c r="AB5004" t="s">
        <v>3063</v>
      </c>
      <c r="AC5004" t="s">
        <v>28004</v>
      </c>
      <c r="AG5004" t="s">
        <v>30270</v>
      </c>
      <c r="AH5004" t="s">
        <v>30271</v>
      </c>
      <c r="AI5004" t="s">
        <v>30272</v>
      </c>
    </row>
    <row r="5005" spans="2:35" ht="300">
      <c r="B5005" s="1">
        <v>45355</v>
      </c>
      <c r="C5005" s="4">
        <v>45352.602777777778</v>
      </c>
      <c r="D5005" t="s">
        <v>30273</v>
      </c>
      <c r="E5005" t="s">
        <v>30274</v>
      </c>
      <c r="F5005" t="s">
        <v>37</v>
      </c>
      <c r="G5005" t="s">
        <v>748</v>
      </c>
      <c r="H5005" t="s">
        <v>39</v>
      </c>
      <c r="I5005" t="s">
        <v>40</v>
      </c>
      <c r="J5005" s="2" t="s">
        <v>62</v>
      </c>
      <c r="K5005" t="s">
        <v>42</v>
      </c>
      <c r="L5005" t="s">
        <v>1028</v>
      </c>
      <c r="N5005" t="s">
        <v>1029</v>
      </c>
      <c r="Q5005">
        <v>27541</v>
      </c>
      <c r="R5005" t="s">
        <v>45</v>
      </c>
      <c r="S5005" t="s">
        <v>30275</v>
      </c>
      <c r="T5005">
        <v>24</v>
      </c>
      <c r="U5005" s="2" t="s">
        <v>30276</v>
      </c>
      <c r="W5005" t="s">
        <v>1967</v>
      </c>
      <c r="X5005">
        <v>838139</v>
      </c>
      <c r="Y5005" t="s">
        <v>18140</v>
      </c>
      <c r="Z5005" t="s">
        <v>21244</v>
      </c>
      <c r="AA5005" s="2" t="s">
        <v>30277</v>
      </c>
      <c r="AB5005" t="s">
        <v>3063</v>
      </c>
      <c r="AC5005" t="s">
        <v>30278</v>
      </c>
      <c r="AG5005" t="s">
        <v>30279</v>
      </c>
      <c r="AH5005" t="s">
        <v>30280</v>
      </c>
      <c r="AI5005" t="s">
        <v>30281</v>
      </c>
    </row>
    <row r="5006" spans="2:35" ht="375">
      <c r="B5006" s="1">
        <v>45355</v>
      </c>
      <c r="C5006" s="4">
        <v>45352.430555555555</v>
      </c>
      <c r="D5006" t="s">
        <v>4379</v>
      </c>
      <c r="E5006" t="s">
        <v>18288</v>
      </c>
      <c r="F5006" t="s">
        <v>148</v>
      </c>
      <c r="G5006" t="s">
        <v>785</v>
      </c>
      <c r="H5006" t="s">
        <v>39</v>
      </c>
      <c r="I5006" t="s">
        <v>40</v>
      </c>
      <c r="J5006" s="2" t="s">
        <v>62</v>
      </c>
      <c r="K5006" t="s">
        <v>42</v>
      </c>
      <c r="L5006" t="s">
        <v>43</v>
      </c>
      <c r="N5006" t="s">
        <v>44</v>
      </c>
      <c r="Q5006">
        <v>27539</v>
      </c>
      <c r="R5006" t="s">
        <v>45</v>
      </c>
      <c r="S5006" t="s">
        <v>4382</v>
      </c>
      <c r="T5006">
        <v>23</v>
      </c>
      <c r="U5006" s="2" t="s">
        <v>30282</v>
      </c>
      <c r="W5006" t="s">
        <v>48</v>
      </c>
      <c r="X5006">
        <v>814374</v>
      </c>
      <c r="Y5006" t="s">
        <v>1111</v>
      </c>
      <c r="Z5006" t="s">
        <v>1519</v>
      </c>
      <c r="AA5006" s="2" t="s">
        <v>29031</v>
      </c>
      <c r="AB5006" t="s">
        <v>30283</v>
      </c>
      <c r="AG5006" t="s">
        <v>30284</v>
      </c>
      <c r="AH5006" t="s">
        <v>30285</v>
      </c>
      <c r="AI5006" t="s">
        <v>30286</v>
      </c>
    </row>
    <row r="5007" spans="2:35" ht="360">
      <c r="B5007" s="1">
        <v>45355</v>
      </c>
      <c r="C5007" s="4">
        <v>45351.495833333334</v>
      </c>
      <c r="D5007" t="s">
        <v>30287</v>
      </c>
      <c r="E5007" t="s">
        <v>30288</v>
      </c>
      <c r="F5007" t="s">
        <v>37</v>
      </c>
      <c r="G5007" t="s">
        <v>38</v>
      </c>
      <c r="H5007" t="s">
        <v>39</v>
      </c>
      <c r="I5007" t="s">
        <v>40</v>
      </c>
      <c r="J5007" s="2" t="s">
        <v>62</v>
      </c>
      <c r="K5007" t="s">
        <v>42</v>
      </c>
      <c r="L5007" t="s">
        <v>43</v>
      </c>
      <c r="N5007" t="s">
        <v>44</v>
      </c>
      <c r="Q5007">
        <v>27538</v>
      </c>
      <c r="R5007" t="s">
        <v>45</v>
      </c>
      <c r="S5007" t="s">
        <v>30289</v>
      </c>
      <c r="T5007">
        <v>26</v>
      </c>
      <c r="U5007" s="2" t="s">
        <v>30290</v>
      </c>
      <c r="W5007" t="s">
        <v>48</v>
      </c>
      <c r="X5007">
        <v>838148</v>
      </c>
      <c r="Y5007" t="s">
        <v>1111</v>
      </c>
      <c r="Z5007" t="s">
        <v>1519</v>
      </c>
      <c r="AA5007" s="2" t="s">
        <v>29031</v>
      </c>
      <c r="AB5007" t="s">
        <v>30291</v>
      </c>
      <c r="AG5007" t="s">
        <v>30292</v>
      </c>
      <c r="AH5007" t="s">
        <v>30293</v>
      </c>
      <c r="AI5007" t="s">
        <v>30294</v>
      </c>
    </row>
    <row r="5008" spans="2:35" ht="375">
      <c r="B5008" s="1">
        <v>45355</v>
      </c>
      <c r="C5008" s="4">
        <v>45352.430555555555</v>
      </c>
      <c r="D5008" t="s">
        <v>4379</v>
      </c>
      <c r="E5008" t="s">
        <v>18288</v>
      </c>
      <c r="F5008" t="s">
        <v>148</v>
      </c>
      <c r="G5008" t="s">
        <v>785</v>
      </c>
      <c r="H5008" t="s">
        <v>39</v>
      </c>
      <c r="I5008" t="s">
        <v>40</v>
      </c>
      <c r="J5008" s="2" t="s">
        <v>62</v>
      </c>
      <c r="K5008" t="s">
        <v>42</v>
      </c>
      <c r="L5008" t="s">
        <v>43</v>
      </c>
      <c r="N5008" t="s">
        <v>44</v>
      </c>
      <c r="Q5008">
        <v>27535</v>
      </c>
      <c r="R5008" t="s">
        <v>45</v>
      </c>
      <c r="S5008" t="s">
        <v>4382</v>
      </c>
      <c r="T5008">
        <v>23</v>
      </c>
      <c r="U5008" s="2" t="s">
        <v>30282</v>
      </c>
      <c r="W5008" t="s">
        <v>48</v>
      </c>
      <c r="X5008">
        <v>814374</v>
      </c>
      <c r="Y5008" t="s">
        <v>1111</v>
      </c>
      <c r="Z5008" t="s">
        <v>1519</v>
      </c>
      <c r="AA5008" s="2" t="s">
        <v>29031</v>
      </c>
      <c r="AB5008" t="s">
        <v>30283</v>
      </c>
      <c r="AG5008" t="s">
        <v>30295</v>
      </c>
      <c r="AH5008" t="s">
        <v>30285</v>
      </c>
      <c r="AI5008" t="s">
        <v>30296</v>
      </c>
    </row>
    <row r="5009" spans="2:35" ht="150">
      <c r="B5009" s="1">
        <v>45355</v>
      </c>
      <c r="C5009" s="4">
        <v>45350.616666666669</v>
      </c>
      <c r="D5009" t="s">
        <v>4814</v>
      </c>
      <c r="E5009" t="s">
        <v>30297</v>
      </c>
      <c r="F5009" t="s">
        <v>148</v>
      </c>
      <c r="G5009" t="s">
        <v>785</v>
      </c>
      <c r="H5009" t="s">
        <v>39</v>
      </c>
      <c r="I5009" t="s">
        <v>40</v>
      </c>
      <c r="J5009" s="2" t="s">
        <v>41</v>
      </c>
      <c r="K5009" t="s">
        <v>42</v>
      </c>
      <c r="L5009" t="s">
        <v>43</v>
      </c>
      <c r="N5009" t="s">
        <v>44</v>
      </c>
      <c r="Q5009">
        <v>27534</v>
      </c>
      <c r="R5009" t="s">
        <v>45</v>
      </c>
      <c r="S5009" t="s">
        <v>26449</v>
      </c>
      <c r="T5009">
        <v>23</v>
      </c>
      <c r="U5009" s="2" t="s">
        <v>829</v>
      </c>
      <c r="V5009" s="1">
        <v>45350</v>
      </c>
      <c r="W5009" t="s">
        <v>48</v>
      </c>
      <c r="X5009">
        <v>814163</v>
      </c>
      <c r="Y5009" t="s">
        <v>2165</v>
      </c>
      <c r="Z5009" t="s">
        <v>2166</v>
      </c>
      <c r="AA5009" s="2" t="s">
        <v>30298</v>
      </c>
      <c r="AB5009" t="s">
        <v>16412</v>
      </c>
      <c r="AD5009" s="2" t="s">
        <v>30299</v>
      </c>
      <c r="AE5009" t="s">
        <v>54</v>
      </c>
      <c r="AG5009" t="s">
        <v>30300</v>
      </c>
      <c r="AH5009" t="s">
        <v>4820</v>
      </c>
      <c r="AI5009" t="s">
        <v>30301</v>
      </c>
    </row>
    <row r="5010" spans="2:35" ht="390">
      <c r="B5010" s="1">
        <v>45355</v>
      </c>
      <c r="C5010" s="4">
        <v>45352.648611111108</v>
      </c>
      <c r="D5010" t="s">
        <v>30302</v>
      </c>
      <c r="E5010" t="s">
        <v>28570</v>
      </c>
      <c r="F5010" t="s">
        <v>148</v>
      </c>
      <c r="G5010" t="s">
        <v>406</v>
      </c>
      <c r="H5010" t="s">
        <v>39</v>
      </c>
      <c r="I5010" t="s">
        <v>40</v>
      </c>
      <c r="J5010" t="s">
        <v>109</v>
      </c>
      <c r="K5010" t="s">
        <v>42</v>
      </c>
      <c r="L5010" t="s">
        <v>43</v>
      </c>
      <c r="N5010" t="s">
        <v>44</v>
      </c>
      <c r="O5010" t="s">
        <v>1091</v>
      </c>
      <c r="Q5010">
        <v>27537</v>
      </c>
      <c r="R5010" t="s">
        <v>95</v>
      </c>
      <c r="S5010" t="s">
        <v>30303</v>
      </c>
      <c r="T5010">
        <v>24</v>
      </c>
      <c r="W5010" t="s">
        <v>48</v>
      </c>
      <c r="X5010">
        <v>839231</v>
      </c>
      <c r="Y5010" t="s">
        <v>30304</v>
      </c>
      <c r="Z5010" t="s">
        <v>122</v>
      </c>
      <c r="AA5010" s="2" t="s">
        <v>30305</v>
      </c>
      <c r="AB5010" t="s">
        <v>30306</v>
      </c>
      <c r="AG5010" t="s">
        <v>30307</v>
      </c>
      <c r="AH5010" t="s">
        <v>30308</v>
      </c>
      <c r="AI5010" t="s">
        <v>30309</v>
      </c>
    </row>
    <row r="5011" spans="2:35" ht="409.5">
      <c r="B5011" s="1">
        <v>45355</v>
      </c>
      <c r="C5011" s="4">
        <v>45352.640972222223</v>
      </c>
      <c r="D5011" t="s">
        <v>30302</v>
      </c>
      <c r="E5011" t="s">
        <v>28570</v>
      </c>
      <c r="F5011" t="s">
        <v>148</v>
      </c>
      <c r="G5011" t="s">
        <v>406</v>
      </c>
      <c r="H5011" t="s">
        <v>39</v>
      </c>
      <c r="I5011" t="s">
        <v>40</v>
      </c>
      <c r="J5011" t="s">
        <v>109</v>
      </c>
      <c r="K5011" t="s">
        <v>42</v>
      </c>
      <c r="L5011" t="s">
        <v>43</v>
      </c>
      <c r="N5011" t="s">
        <v>44</v>
      </c>
      <c r="O5011" t="s">
        <v>1091</v>
      </c>
      <c r="Q5011">
        <v>27536</v>
      </c>
      <c r="R5011" t="s">
        <v>95</v>
      </c>
      <c r="S5011" t="s">
        <v>5690</v>
      </c>
      <c r="T5011">
        <v>24</v>
      </c>
      <c r="U5011" s="2" t="s">
        <v>30310</v>
      </c>
      <c r="W5011" t="s">
        <v>11663</v>
      </c>
      <c r="X5011">
        <v>808411</v>
      </c>
      <c r="Y5011" t="s">
        <v>30311</v>
      </c>
      <c r="Z5011" t="s">
        <v>122</v>
      </c>
      <c r="AA5011" s="2" t="s">
        <v>30312</v>
      </c>
      <c r="AB5011" t="s">
        <v>30313</v>
      </c>
      <c r="AG5011" t="s">
        <v>30314</v>
      </c>
      <c r="AH5011" t="s">
        <v>30308</v>
      </c>
      <c r="AI5011" t="s">
        <v>30315</v>
      </c>
    </row>
    <row r="5012" spans="2:35" ht="240">
      <c r="B5012" s="1">
        <v>45355</v>
      </c>
      <c r="C5012" s="4">
        <v>45351.463194444441</v>
      </c>
      <c r="D5012" t="s">
        <v>29179</v>
      </c>
      <c r="E5012" t="s">
        <v>30316</v>
      </c>
      <c r="F5012" t="s">
        <v>37</v>
      </c>
      <c r="G5012" t="s">
        <v>38</v>
      </c>
      <c r="H5012" t="s">
        <v>39</v>
      </c>
      <c r="I5012" t="s">
        <v>40</v>
      </c>
      <c r="J5012" s="2" t="s">
        <v>62</v>
      </c>
      <c r="K5012" t="s">
        <v>42</v>
      </c>
      <c r="L5012" t="s">
        <v>448</v>
      </c>
      <c r="N5012" t="s">
        <v>650</v>
      </c>
      <c r="Q5012">
        <v>27533</v>
      </c>
      <c r="R5012" t="s">
        <v>45</v>
      </c>
      <c r="S5012" t="s">
        <v>29181</v>
      </c>
      <c r="T5012">
        <v>26</v>
      </c>
      <c r="U5012" s="2" t="s">
        <v>30317</v>
      </c>
      <c r="W5012" t="s">
        <v>6121</v>
      </c>
      <c r="X5012">
        <v>838161</v>
      </c>
      <c r="Y5012" t="s">
        <v>873</v>
      </c>
      <c r="Z5012" s="2" t="s">
        <v>30318</v>
      </c>
      <c r="AA5012" t="s">
        <v>24030</v>
      </c>
      <c r="AB5012" t="s">
        <v>30319</v>
      </c>
      <c r="AG5012" t="s">
        <v>30320</v>
      </c>
      <c r="AH5012" t="s">
        <v>30321</v>
      </c>
      <c r="AI5012" t="s">
        <v>30322</v>
      </c>
    </row>
    <row r="5013" spans="2:35" ht="255">
      <c r="B5013" s="1">
        <v>45355</v>
      </c>
      <c r="C5013" s="4">
        <v>45351.364583333336</v>
      </c>
      <c r="D5013" t="s">
        <v>30323</v>
      </c>
      <c r="E5013" t="s">
        <v>30324</v>
      </c>
      <c r="F5013" t="s">
        <v>37</v>
      </c>
      <c r="G5013" t="s">
        <v>38</v>
      </c>
      <c r="H5013" t="s">
        <v>2581</v>
      </c>
      <c r="I5013" t="s">
        <v>40</v>
      </c>
      <c r="J5013" s="2" t="s">
        <v>41</v>
      </c>
      <c r="K5013" t="s">
        <v>42</v>
      </c>
      <c r="L5013" t="s">
        <v>448</v>
      </c>
      <c r="N5013" t="s">
        <v>650</v>
      </c>
      <c r="Q5013">
        <v>27532</v>
      </c>
      <c r="R5013" t="s">
        <v>45</v>
      </c>
      <c r="S5013" t="s">
        <v>29171</v>
      </c>
      <c r="T5013">
        <v>26</v>
      </c>
      <c r="U5013" s="2" t="s">
        <v>30325</v>
      </c>
      <c r="V5013" s="1">
        <v>45349</v>
      </c>
      <c r="W5013" t="s">
        <v>360</v>
      </c>
      <c r="X5013">
        <v>807580</v>
      </c>
      <c r="Y5013" t="s">
        <v>30326</v>
      </c>
      <c r="Z5013" s="2" t="s">
        <v>2585</v>
      </c>
      <c r="AA5013" t="s">
        <v>20643</v>
      </c>
      <c r="AB5013" t="s">
        <v>486</v>
      </c>
      <c r="AD5013" t="s">
        <v>27413</v>
      </c>
      <c r="AE5013" t="s">
        <v>30327</v>
      </c>
      <c r="AG5013" t="s">
        <v>30328</v>
      </c>
      <c r="AH5013" t="s">
        <v>30329</v>
      </c>
      <c r="AI5013" t="s">
        <v>30330</v>
      </c>
    </row>
    <row r="5014" spans="2:35" ht="405">
      <c r="B5014" s="1">
        <v>45355</v>
      </c>
      <c r="C5014" s="4">
        <v>45350.599305555559</v>
      </c>
      <c r="D5014" t="s">
        <v>30331</v>
      </c>
      <c r="E5014" t="s">
        <v>14983</v>
      </c>
      <c r="F5014" t="s">
        <v>148</v>
      </c>
      <c r="G5014" t="s">
        <v>447</v>
      </c>
      <c r="H5014" t="s">
        <v>150</v>
      </c>
      <c r="I5014" t="s">
        <v>40</v>
      </c>
      <c r="J5014" t="s">
        <v>109</v>
      </c>
      <c r="K5014" t="s">
        <v>42</v>
      </c>
      <c r="L5014" t="s">
        <v>448</v>
      </c>
      <c r="N5014" t="s">
        <v>650</v>
      </c>
      <c r="Q5014">
        <v>27531</v>
      </c>
      <c r="R5014" t="s">
        <v>322</v>
      </c>
      <c r="S5014" t="s">
        <v>1147</v>
      </c>
      <c r="T5014">
        <v>30</v>
      </c>
      <c r="U5014" s="2" t="s">
        <v>30332</v>
      </c>
      <c r="W5014" t="s">
        <v>6121</v>
      </c>
      <c r="X5014">
        <v>838837</v>
      </c>
      <c r="Y5014" t="s">
        <v>30333</v>
      </c>
      <c r="Z5014" s="2" t="s">
        <v>2011</v>
      </c>
      <c r="AA5014" t="s">
        <v>6997</v>
      </c>
      <c r="AB5014" t="s">
        <v>30334</v>
      </c>
      <c r="AG5014" t="s">
        <v>30335</v>
      </c>
      <c r="AH5014" t="s">
        <v>1153</v>
      </c>
      <c r="AI5014" t="s">
        <v>30336</v>
      </c>
    </row>
    <row r="5015" spans="2:35" ht="195">
      <c r="B5015" s="1">
        <v>45355</v>
      </c>
      <c r="C5015" s="4">
        <v>45350.595833333333</v>
      </c>
      <c r="D5015" t="s">
        <v>30331</v>
      </c>
      <c r="E5015" t="s">
        <v>14983</v>
      </c>
      <c r="F5015" t="s">
        <v>148</v>
      </c>
      <c r="G5015" t="s">
        <v>447</v>
      </c>
      <c r="H5015" t="s">
        <v>150</v>
      </c>
      <c r="I5015" t="s">
        <v>40</v>
      </c>
      <c r="J5015" t="s">
        <v>109</v>
      </c>
      <c r="K5015" t="s">
        <v>42</v>
      </c>
      <c r="L5015" t="s">
        <v>448</v>
      </c>
      <c r="N5015" t="s">
        <v>650</v>
      </c>
      <c r="Q5015">
        <v>27530</v>
      </c>
      <c r="R5015" t="s">
        <v>322</v>
      </c>
      <c r="S5015" t="s">
        <v>1147</v>
      </c>
      <c r="T5015">
        <v>28</v>
      </c>
      <c r="U5015" s="2" t="s">
        <v>30337</v>
      </c>
      <c r="W5015" t="s">
        <v>6128</v>
      </c>
      <c r="X5015">
        <v>804205</v>
      </c>
      <c r="Y5015" t="s">
        <v>30338</v>
      </c>
      <c r="Z5015" s="2" t="s">
        <v>2011</v>
      </c>
      <c r="AA5015" t="s">
        <v>30339</v>
      </c>
      <c r="AB5015" t="s">
        <v>30340</v>
      </c>
      <c r="AG5015" t="s">
        <v>30341</v>
      </c>
      <c r="AH5015" t="s">
        <v>1153</v>
      </c>
      <c r="AI5015" t="s">
        <v>30342</v>
      </c>
    </row>
    <row r="5016" spans="2:35" ht="255">
      <c r="B5016" s="1">
        <v>45355</v>
      </c>
      <c r="C5016" s="4">
        <v>45350.592361111114</v>
      </c>
      <c r="D5016" t="s">
        <v>30331</v>
      </c>
      <c r="E5016" t="s">
        <v>29959</v>
      </c>
      <c r="F5016" t="s">
        <v>148</v>
      </c>
      <c r="G5016" t="s">
        <v>447</v>
      </c>
      <c r="H5016" t="s">
        <v>150</v>
      </c>
      <c r="I5016" t="s">
        <v>40</v>
      </c>
      <c r="J5016" t="s">
        <v>109</v>
      </c>
      <c r="K5016" t="s">
        <v>42</v>
      </c>
      <c r="L5016" t="s">
        <v>448</v>
      </c>
      <c r="N5016" t="s">
        <v>650</v>
      </c>
      <c r="Q5016">
        <v>27529</v>
      </c>
      <c r="R5016" t="s">
        <v>45</v>
      </c>
      <c r="S5016" t="s">
        <v>1147</v>
      </c>
      <c r="T5016">
        <v>29</v>
      </c>
      <c r="U5016" s="2" t="s">
        <v>30343</v>
      </c>
      <c r="W5016" t="s">
        <v>25226</v>
      </c>
      <c r="X5016">
        <v>801080</v>
      </c>
      <c r="Y5016" t="s">
        <v>30344</v>
      </c>
      <c r="Z5016" s="2" t="s">
        <v>2011</v>
      </c>
      <c r="AA5016" t="s">
        <v>6997</v>
      </c>
      <c r="AB5016" t="s">
        <v>30345</v>
      </c>
      <c r="AG5016" t="s">
        <v>30346</v>
      </c>
      <c r="AH5016" t="s">
        <v>1153</v>
      </c>
      <c r="AI5016" t="s">
        <v>30347</v>
      </c>
    </row>
    <row r="5017" spans="2:35" ht="270">
      <c r="B5017" s="1">
        <v>45355</v>
      </c>
      <c r="C5017" s="4">
        <v>45350.470833333333</v>
      </c>
      <c r="D5017" t="s">
        <v>3679</v>
      </c>
      <c r="E5017" t="s">
        <v>2580</v>
      </c>
      <c r="F5017" t="s">
        <v>148</v>
      </c>
      <c r="G5017" t="s">
        <v>447</v>
      </c>
      <c r="H5017" t="s">
        <v>386</v>
      </c>
      <c r="I5017" t="s">
        <v>40</v>
      </c>
      <c r="J5017" s="2" t="s">
        <v>760</v>
      </c>
      <c r="K5017" t="s">
        <v>387</v>
      </c>
      <c r="L5017" t="s">
        <v>448</v>
      </c>
      <c r="N5017" t="s">
        <v>650</v>
      </c>
      <c r="Q5017">
        <v>27528</v>
      </c>
      <c r="R5017" t="s">
        <v>322</v>
      </c>
      <c r="S5017" t="s">
        <v>30348</v>
      </c>
      <c r="T5017">
        <v>28</v>
      </c>
      <c r="W5017" t="s">
        <v>476</v>
      </c>
      <c r="X5017" t="s">
        <v>3690</v>
      </c>
      <c r="Y5017" t="s">
        <v>30349</v>
      </c>
      <c r="Z5017" s="2" t="s">
        <v>30350</v>
      </c>
      <c r="AA5017" t="s">
        <v>4487</v>
      </c>
      <c r="AB5017" t="s">
        <v>30351</v>
      </c>
      <c r="AG5017" t="s">
        <v>30352</v>
      </c>
      <c r="AH5017" t="s">
        <v>3679</v>
      </c>
      <c r="AI5017" t="s">
        <v>30353</v>
      </c>
    </row>
    <row r="5018" spans="2:35" ht="285">
      <c r="B5018" s="1">
        <v>45355</v>
      </c>
      <c r="C5018" s="4">
        <v>45349.563888888886</v>
      </c>
      <c r="D5018" t="s">
        <v>30354</v>
      </c>
      <c r="E5018" t="s">
        <v>30355</v>
      </c>
      <c r="F5018" t="s">
        <v>148</v>
      </c>
      <c r="G5018" t="s">
        <v>447</v>
      </c>
      <c r="H5018" t="s">
        <v>39</v>
      </c>
      <c r="I5018" t="s">
        <v>40</v>
      </c>
      <c r="J5018" t="s">
        <v>525</v>
      </c>
      <c r="K5018" t="s">
        <v>42</v>
      </c>
      <c r="L5018" t="s">
        <v>448</v>
      </c>
      <c r="N5018" t="s">
        <v>650</v>
      </c>
      <c r="Q5018">
        <v>27527</v>
      </c>
      <c r="R5018" t="s">
        <v>322</v>
      </c>
      <c r="S5018" t="s">
        <v>30356</v>
      </c>
      <c r="T5018">
        <v>34</v>
      </c>
      <c r="U5018" s="2" t="s">
        <v>30357</v>
      </c>
      <c r="W5018" t="s">
        <v>360</v>
      </c>
      <c r="X5018">
        <v>831610</v>
      </c>
      <c r="Y5018" t="s">
        <v>30358</v>
      </c>
      <c r="Z5018" s="2" t="s">
        <v>30359</v>
      </c>
      <c r="AA5018" t="s">
        <v>4487</v>
      </c>
      <c r="AB5018" t="s">
        <v>486</v>
      </c>
      <c r="AG5018" t="s">
        <v>30360</v>
      </c>
      <c r="AH5018" t="s">
        <v>30354</v>
      </c>
      <c r="AI5018" t="s">
        <v>30361</v>
      </c>
    </row>
    <row r="5019" spans="2:35" ht="375">
      <c r="B5019" s="1">
        <v>45355</v>
      </c>
      <c r="C5019" s="4">
        <v>45348.644444444442</v>
      </c>
      <c r="D5019" t="s">
        <v>5903</v>
      </c>
      <c r="E5019" t="s">
        <v>2569</v>
      </c>
      <c r="F5019" t="s">
        <v>148</v>
      </c>
      <c r="G5019" t="s">
        <v>447</v>
      </c>
      <c r="H5019" t="s">
        <v>662</v>
      </c>
      <c r="I5019" t="s">
        <v>40</v>
      </c>
      <c r="J5019" s="2" t="s">
        <v>41</v>
      </c>
      <c r="K5019" t="s">
        <v>42</v>
      </c>
      <c r="L5019" t="s">
        <v>448</v>
      </c>
      <c r="N5019" t="s">
        <v>650</v>
      </c>
      <c r="Q5019">
        <v>27526</v>
      </c>
      <c r="R5019" t="s">
        <v>322</v>
      </c>
      <c r="S5019" t="s">
        <v>3987</v>
      </c>
      <c r="T5019">
        <v>26</v>
      </c>
      <c r="U5019" s="2" t="s">
        <v>30362</v>
      </c>
      <c r="V5019" s="1">
        <v>45342</v>
      </c>
      <c r="W5019" t="s">
        <v>895</v>
      </c>
      <c r="X5019">
        <v>110014171</v>
      </c>
      <c r="Y5019" t="s">
        <v>30363</v>
      </c>
      <c r="Z5019" s="2" t="s">
        <v>2585</v>
      </c>
      <c r="AA5019" t="s">
        <v>20643</v>
      </c>
      <c r="AB5019" t="s">
        <v>30364</v>
      </c>
      <c r="AD5019" t="s">
        <v>10253</v>
      </c>
      <c r="AE5019">
        <v>11229</v>
      </c>
      <c r="AG5019" t="s">
        <v>30365</v>
      </c>
      <c r="AH5019" t="s">
        <v>3991</v>
      </c>
      <c r="AI5019" t="s">
        <v>30366</v>
      </c>
    </row>
    <row r="5020" spans="2:35" ht="270">
      <c r="B5020" s="1">
        <v>45355</v>
      </c>
      <c r="C5020" s="4">
        <v>45351.112500000003</v>
      </c>
      <c r="D5020" t="s">
        <v>4936</v>
      </c>
      <c r="E5020" t="s">
        <v>4937</v>
      </c>
      <c r="F5020" t="s">
        <v>511</v>
      </c>
      <c r="G5020" t="s">
        <v>4938</v>
      </c>
      <c r="H5020" t="s">
        <v>61</v>
      </c>
      <c r="I5020" t="s">
        <v>40</v>
      </c>
      <c r="J5020" t="s">
        <v>321</v>
      </c>
      <c r="K5020" t="s">
        <v>42</v>
      </c>
      <c r="L5020" t="s">
        <v>1048</v>
      </c>
      <c r="N5020" t="s">
        <v>1049</v>
      </c>
      <c r="Q5020">
        <v>27525</v>
      </c>
      <c r="R5020" t="s">
        <v>45</v>
      </c>
      <c r="S5020" t="s">
        <v>4939</v>
      </c>
      <c r="T5020">
        <v>24</v>
      </c>
      <c r="V5020" s="1">
        <v>45351</v>
      </c>
      <c r="W5020" t="s">
        <v>1424</v>
      </c>
      <c r="X5020">
        <v>110019619</v>
      </c>
      <c r="Y5020" t="e">
        <f ca="1">- _xludf.For Installation</f>
        <v>#NAME?</v>
      </c>
      <c r="Z5020" s="2" t="s">
        <v>30367</v>
      </c>
      <c r="AA5020" t="s">
        <v>30368</v>
      </c>
      <c r="AB5020" t="s">
        <v>70</v>
      </c>
      <c r="AD5020" t="s">
        <v>3727</v>
      </c>
      <c r="AE5020" t="s">
        <v>103</v>
      </c>
      <c r="AG5020" t="s">
        <v>30369</v>
      </c>
      <c r="AH5020" t="s">
        <v>4941</v>
      </c>
      <c r="AI5020" t="s">
        <v>30370</v>
      </c>
    </row>
    <row r="5021" spans="2:35" ht="375">
      <c r="B5021" s="1">
        <v>45355</v>
      </c>
      <c r="C5021" s="4">
        <v>45351.109722222223</v>
      </c>
      <c r="D5021" t="s">
        <v>4936</v>
      </c>
      <c r="E5021" t="s">
        <v>4937</v>
      </c>
      <c r="F5021" t="s">
        <v>511</v>
      </c>
      <c r="G5021" t="s">
        <v>4938</v>
      </c>
      <c r="H5021" t="s">
        <v>61</v>
      </c>
      <c r="I5021" t="s">
        <v>40</v>
      </c>
      <c r="J5021" s="2" t="s">
        <v>41</v>
      </c>
      <c r="K5021" t="s">
        <v>42</v>
      </c>
      <c r="L5021" t="s">
        <v>1048</v>
      </c>
      <c r="N5021" t="s">
        <v>1049</v>
      </c>
      <c r="Q5021">
        <v>27524</v>
      </c>
      <c r="R5021" t="s">
        <v>45</v>
      </c>
      <c r="S5021" t="s">
        <v>4939</v>
      </c>
      <c r="T5021">
        <v>24</v>
      </c>
      <c r="U5021" s="2" t="s">
        <v>30371</v>
      </c>
      <c r="V5021" s="1">
        <v>45351</v>
      </c>
      <c r="W5021" t="s">
        <v>1051</v>
      </c>
      <c r="X5021">
        <v>807616</v>
      </c>
      <c r="Y5021" t="e">
        <f ca="1">- DUE _xludf.For module Replacement</f>
        <v>#NAME?</v>
      </c>
      <c r="Z5021" s="2" t="s">
        <v>30372</v>
      </c>
      <c r="AA5021" t="e">
        <f ca="1">- performed module Replacement</f>
        <v>#NAME?</v>
      </c>
      <c r="AB5021" t="s">
        <v>181</v>
      </c>
      <c r="AD5021" t="s">
        <v>5732</v>
      </c>
      <c r="AE5021" t="s">
        <v>103</v>
      </c>
      <c r="AG5021" t="s">
        <v>30373</v>
      </c>
      <c r="AH5021" t="s">
        <v>30374</v>
      </c>
      <c r="AI5021" t="s">
        <v>30375</v>
      </c>
    </row>
    <row r="5022" spans="2:35" ht="45">
      <c r="B5022" s="1">
        <v>45355</v>
      </c>
      <c r="C5022" s="4">
        <v>45351.107638888891</v>
      </c>
      <c r="D5022" t="s">
        <v>11087</v>
      </c>
      <c r="E5022" t="s">
        <v>11088</v>
      </c>
      <c r="F5022" t="s">
        <v>511</v>
      </c>
      <c r="G5022" t="s">
        <v>4938</v>
      </c>
      <c r="H5022" t="s">
        <v>1047</v>
      </c>
      <c r="I5022" t="s">
        <v>40</v>
      </c>
      <c r="J5022" s="2" t="s">
        <v>41</v>
      </c>
      <c r="K5022" t="s">
        <v>42</v>
      </c>
      <c r="L5022" t="s">
        <v>1048</v>
      </c>
      <c r="N5022" t="s">
        <v>1049</v>
      </c>
      <c r="Q5022">
        <v>27523</v>
      </c>
      <c r="R5022" t="s">
        <v>119</v>
      </c>
      <c r="S5022" t="s">
        <v>11089</v>
      </c>
      <c r="T5022">
        <v>28</v>
      </c>
      <c r="V5022" s="1">
        <v>45343</v>
      </c>
      <c r="W5022" t="s">
        <v>1051</v>
      </c>
      <c r="X5022">
        <v>838274</v>
      </c>
      <c r="Y5022" t="e">
        <f ca="1">- DUE _xludf.For CPU Replacement</f>
        <v>#NAME?</v>
      </c>
      <c r="Z5022" t="e">
        <f ca="1">- cleaned cartridge Bays, plunger Rods, I-CORE
- replaced Fuses of AVR _xludf.and UPS
- replaced defective CPU
- generated reports</f>
        <v>#NAME?</v>
      </c>
      <c r="AA5022" t="e">
        <f ca="1">- replaced defective CPU</f>
        <v>#NAME?</v>
      </c>
      <c r="AB5022" t="s">
        <v>181</v>
      </c>
      <c r="AD5022" t="s">
        <v>21193</v>
      </c>
      <c r="AE5022" t="s">
        <v>30376</v>
      </c>
      <c r="AG5022" t="s">
        <v>30377</v>
      </c>
      <c r="AH5022" t="s">
        <v>11092</v>
      </c>
      <c r="AI5022" t="s">
        <v>30378</v>
      </c>
    </row>
    <row r="5023" spans="2:35" ht="105">
      <c r="B5023" s="1">
        <v>45355</v>
      </c>
      <c r="C5023" s="4">
        <v>45349.418749999997</v>
      </c>
      <c r="D5023" t="s">
        <v>3732</v>
      </c>
      <c r="E5023" t="s">
        <v>3732</v>
      </c>
      <c r="F5023">
        <v>1</v>
      </c>
      <c r="G5023" t="s">
        <v>1046</v>
      </c>
      <c r="H5023" t="s">
        <v>1047</v>
      </c>
      <c r="I5023" t="s">
        <v>40</v>
      </c>
      <c r="J5023" s="2" t="s">
        <v>190</v>
      </c>
      <c r="K5023" t="s">
        <v>42</v>
      </c>
      <c r="L5023" t="s">
        <v>1048</v>
      </c>
      <c r="N5023" t="s">
        <v>1049</v>
      </c>
      <c r="Q5023">
        <v>27522</v>
      </c>
      <c r="R5023" t="s">
        <v>119</v>
      </c>
      <c r="S5023" t="s">
        <v>19601</v>
      </c>
      <c r="T5023">
        <v>26</v>
      </c>
      <c r="U5023" s="2" t="s">
        <v>25303</v>
      </c>
      <c r="V5023" s="1">
        <v>45342</v>
      </c>
      <c r="W5023" t="s">
        <v>1051</v>
      </c>
      <c r="X5023">
        <v>838473</v>
      </c>
      <c r="Y5023" t="e">
        <f ca="1">- _xludf.For Troubleshooting</f>
        <v>#NAME?</v>
      </c>
      <c r="Z5023" t="e">
        <f ca="1">- cleaned cartridge Bays, plunger Rods _xludf.and I-CORE
- performed ReXpertCheck on module B2
- generated reports</f>
        <v>#NAME?</v>
      </c>
      <c r="AA5023" t="e">
        <f ca="1">- performed Troubleshooting</f>
        <v>#NAME?</v>
      </c>
      <c r="AB5023" t="s">
        <v>181</v>
      </c>
      <c r="AC5023" t="s">
        <v>30379</v>
      </c>
      <c r="AD5023" t="s">
        <v>1958</v>
      </c>
      <c r="AE5023" t="s">
        <v>103</v>
      </c>
      <c r="AG5023" t="s">
        <v>30380</v>
      </c>
      <c r="AH5023" t="s">
        <v>26539</v>
      </c>
      <c r="AI5023" t="s">
        <v>30381</v>
      </c>
    </row>
    <row r="5024" spans="2:35" ht="150">
      <c r="B5024" s="1">
        <v>45354</v>
      </c>
      <c r="C5024" s="4">
        <v>45352.518055555556</v>
      </c>
      <c r="D5024" t="s">
        <v>4471</v>
      </c>
      <c r="E5024" t="s">
        <v>10690</v>
      </c>
      <c r="F5024">
        <v>5</v>
      </c>
      <c r="G5024" t="s">
        <v>827</v>
      </c>
      <c r="H5024" t="s">
        <v>39</v>
      </c>
      <c r="I5024" t="s">
        <v>40</v>
      </c>
      <c r="J5024" t="s">
        <v>109</v>
      </c>
      <c r="K5024" t="s">
        <v>42</v>
      </c>
      <c r="L5024" t="s">
        <v>761</v>
      </c>
      <c r="N5024" t="s">
        <v>762</v>
      </c>
      <c r="Q5024">
        <v>27521</v>
      </c>
      <c r="R5024" t="s">
        <v>45</v>
      </c>
      <c r="S5024" t="s">
        <v>10691</v>
      </c>
      <c r="T5024">
        <v>26</v>
      </c>
      <c r="U5024" s="2" t="s">
        <v>30382</v>
      </c>
      <c r="W5024" t="s">
        <v>19970</v>
      </c>
      <c r="X5024">
        <v>808633</v>
      </c>
      <c r="Y5024" t="s">
        <v>1052</v>
      </c>
      <c r="Z5024" s="2" t="s">
        <v>30383</v>
      </c>
      <c r="AA5024" t="s">
        <v>820</v>
      </c>
      <c r="AB5024" t="s">
        <v>70</v>
      </c>
      <c r="AG5024" t="s">
        <v>30384</v>
      </c>
      <c r="AH5024" t="s">
        <v>10694</v>
      </c>
      <c r="AI5024" t="s">
        <v>30385</v>
      </c>
    </row>
    <row r="5025" spans="2:35" ht="210">
      <c r="B5025" s="1">
        <v>45352</v>
      </c>
      <c r="C5025" s="4">
        <v>45350.704861111109</v>
      </c>
      <c r="D5025" t="s">
        <v>30386</v>
      </c>
      <c r="E5025" t="s">
        <v>30387</v>
      </c>
      <c r="F5025" t="s">
        <v>37</v>
      </c>
      <c r="G5025" t="s">
        <v>2499</v>
      </c>
      <c r="H5025" t="s">
        <v>39</v>
      </c>
      <c r="I5025" t="s">
        <v>40</v>
      </c>
      <c r="J5025" s="2" t="s">
        <v>190</v>
      </c>
      <c r="K5025" t="s">
        <v>42</v>
      </c>
      <c r="L5025" t="s">
        <v>15532</v>
      </c>
      <c r="N5025" t="s">
        <v>15533</v>
      </c>
      <c r="Q5025">
        <v>27520</v>
      </c>
      <c r="R5025" t="s">
        <v>45</v>
      </c>
      <c r="S5025" t="s">
        <v>23801</v>
      </c>
      <c r="T5025">
        <v>28</v>
      </c>
      <c r="U5025" s="2" t="s">
        <v>30388</v>
      </c>
      <c r="W5025" t="s">
        <v>597</v>
      </c>
      <c r="X5025">
        <v>834625</v>
      </c>
      <c r="Y5025" t="s">
        <v>30389</v>
      </c>
      <c r="Z5025" s="2" t="s">
        <v>30390</v>
      </c>
      <c r="AA5025" t="s">
        <v>2322</v>
      </c>
      <c r="AB5025" s="2" t="s">
        <v>30391</v>
      </c>
      <c r="AG5025" t="s">
        <v>30392</v>
      </c>
      <c r="AH5025" t="s">
        <v>23806</v>
      </c>
      <c r="AI5025" t="s">
        <v>30393</v>
      </c>
    </row>
    <row r="5026" spans="2:35" ht="300">
      <c r="B5026" s="1">
        <v>45352</v>
      </c>
      <c r="C5026" s="4">
        <v>45350.530555555553</v>
      </c>
      <c r="D5026" t="s">
        <v>30394</v>
      </c>
      <c r="E5026" t="s">
        <v>30395</v>
      </c>
      <c r="F5026" t="s">
        <v>37</v>
      </c>
      <c r="G5026" t="s">
        <v>2499</v>
      </c>
      <c r="H5026" t="s">
        <v>39</v>
      </c>
      <c r="I5026" t="s">
        <v>40</v>
      </c>
      <c r="J5026" s="2" t="s">
        <v>62</v>
      </c>
      <c r="K5026" t="s">
        <v>42</v>
      </c>
      <c r="L5026" t="s">
        <v>15532</v>
      </c>
      <c r="N5026" t="s">
        <v>15533</v>
      </c>
      <c r="Q5026">
        <v>27519</v>
      </c>
      <c r="R5026" t="s">
        <v>719</v>
      </c>
      <c r="S5026" t="s">
        <v>30396</v>
      </c>
      <c r="T5026">
        <v>27</v>
      </c>
      <c r="U5026" s="2" t="s">
        <v>6728</v>
      </c>
      <c r="V5026" s="1">
        <v>45317</v>
      </c>
      <c r="W5026" t="s">
        <v>30397</v>
      </c>
      <c r="X5026">
        <v>847334</v>
      </c>
      <c r="Y5026" t="s">
        <v>21420</v>
      </c>
      <c r="Z5026" s="2" t="s">
        <v>30398</v>
      </c>
      <c r="AA5026" t="s">
        <v>999</v>
      </c>
      <c r="AB5026" s="2" t="s">
        <v>15539</v>
      </c>
      <c r="AC5026" t="s">
        <v>30399</v>
      </c>
      <c r="AD5026" t="s">
        <v>20036</v>
      </c>
      <c r="AE5026" t="s">
        <v>30400</v>
      </c>
      <c r="AG5026" t="s">
        <v>30401</v>
      </c>
      <c r="AH5026" t="s">
        <v>13235</v>
      </c>
      <c r="AI5026" t="s">
        <v>30402</v>
      </c>
    </row>
    <row r="5027" spans="2:35" ht="409.5">
      <c r="B5027" s="1">
        <v>45352</v>
      </c>
      <c r="C5027" s="4">
        <v>45351.335416666669</v>
      </c>
      <c r="D5027" t="s">
        <v>30403</v>
      </c>
      <c r="E5027" t="s">
        <v>30404</v>
      </c>
      <c r="F5027" t="s">
        <v>37</v>
      </c>
      <c r="G5027" t="s">
        <v>2499</v>
      </c>
      <c r="H5027" t="s">
        <v>39</v>
      </c>
      <c r="I5027" t="s">
        <v>40</v>
      </c>
      <c r="J5027" s="2" t="s">
        <v>1309</v>
      </c>
      <c r="K5027" t="s">
        <v>42</v>
      </c>
      <c r="L5027" t="s">
        <v>15532</v>
      </c>
      <c r="N5027" t="s">
        <v>15533</v>
      </c>
      <c r="Q5027">
        <v>27518</v>
      </c>
      <c r="R5027" t="s">
        <v>45</v>
      </c>
      <c r="S5027" t="s">
        <v>30405</v>
      </c>
      <c r="T5027">
        <v>23</v>
      </c>
      <c r="U5027" s="2" t="s">
        <v>9188</v>
      </c>
      <c r="V5027" s="1">
        <v>45341</v>
      </c>
      <c r="W5027" t="s">
        <v>20903</v>
      </c>
      <c r="X5027">
        <v>804684</v>
      </c>
      <c r="Y5027" s="2" t="s">
        <v>30406</v>
      </c>
      <c r="Z5027" s="2" t="s">
        <v>30407</v>
      </c>
      <c r="AA5027" s="2" t="s">
        <v>30408</v>
      </c>
      <c r="AB5027" s="2" t="s">
        <v>15539</v>
      </c>
      <c r="AC5027" t="s">
        <v>30399</v>
      </c>
      <c r="AD5027" t="s">
        <v>30409</v>
      </c>
      <c r="AE5027" t="s">
        <v>30410</v>
      </c>
      <c r="AG5027" t="s">
        <v>30411</v>
      </c>
      <c r="AH5027" t="s">
        <v>30412</v>
      </c>
      <c r="AI5027" t="s">
        <v>30413</v>
      </c>
    </row>
    <row r="5028" spans="2:35" ht="409.5">
      <c r="B5028" s="1">
        <v>45352</v>
      </c>
      <c r="C5028" s="4">
        <v>45352.518750000003</v>
      </c>
      <c r="D5028" t="s">
        <v>29574</v>
      </c>
      <c r="E5028" t="s">
        <v>30414</v>
      </c>
      <c r="F5028" t="s">
        <v>148</v>
      </c>
      <c r="G5028" t="s">
        <v>20126</v>
      </c>
      <c r="H5028" t="s">
        <v>39</v>
      </c>
      <c r="I5028" t="s">
        <v>40</v>
      </c>
      <c r="J5028" s="2" t="s">
        <v>1245</v>
      </c>
      <c r="K5028" t="s">
        <v>42</v>
      </c>
      <c r="L5028" t="s">
        <v>15532</v>
      </c>
      <c r="N5028" t="s">
        <v>15533</v>
      </c>
      <c r="Q5028">
        <v>27517</v>
      </c>
      <c r="R5028" t="s">
        <v>45</v>
      </c>
      <c r="S5028" t="s">
        <v>29576</v>
      </c>
      <c r="T5028">
        <v>28</v>
      </c>
      <c r="U5028" s="2" t="s">
        <v>2367</v>
      </c>
      <c r="V5028" s="1">
        <v>45349</v>
      </c>
      <c r="W5028" t="s">
        <v>15535</v>
      </c>
      <c r="X5028">
        <v>812833</v>
      </c>
      <c r="Y5028" s="2" t="s">
        <v>30415</v>
      </c>
      <c r="Z5028" s="2" t="s">
        <v>30416</v>
      </c>
      <c r="AA5028" s="2" t="s">
        <v>30417</v>
      </c>
      <c r="AB5028" s="2" t="s">
        <v>30418</v>
      </c>
      <c r="AC5028" t="s">
        <v>30419</v>
      </c>
      <c r="AD5028" t="s">
        <v>27458</v>
      </c>
      <c r="AE5028" t="s">
        <v>30420</v>
      </c>
      <c r="AG5028" t="s">
        <v>30421</v>
      </c>
      <c r="AH5028" t="s">
        <v>30422</v>
      </c>
      <c r="AI5028" t="s">
        <v>30423</v>
      </c>
    </row>
    <row r="5029" spans="2:35" ht="210">
      <c r="B5029" s="1">
        <v>45352</v>
      </c>
      <c r="C5029" s="4">
        <v>45352.629861111112</v>
      </c>
      <c r="D5029" t="s">
        <v>30424</v>
      </c>
      <c r="E5029" t="s">
        <v>2944</v>
      </c>
      <c r="F5029">
        <v>8</v>
      </c>
      <c r="G5029" t="s">
        <v>2945</v>
      </c>
      <c r="H5029" t="s">
        <v>39</v>
      </c>
      <c r="I5029" t="s">
        <v>94</v>
      </c>
      <c r="J5029" t="s">
        <v>321</v>
      </c>
      <c r="K5029" t="s">
        <v>42</v>
      </c>
      <c r="L5029" t="s">
        <v>343</v>
      </c>
      <c r="N5029" t="s">
        <v>344</v>
      </c>
      <c r="Q5029">
        <v>27516</v>
      </c>
      <c r="R5029" t="s">
        <v>45</v>
      </c>
      <c r="S5029" t="s">
        <v>2947</v>
      </c>
      <c r="T5029">
        <v>25</v>
      </c>
      <c r="W5029" t="s">
        <v>2949</v>
      </c>
      <c r="X5029">
        <v>110013959</v>
      </c>
      <c r="Y5029" t="s">
        <v>301</v>
      </c>
      <c r="Z5029" t="s">
        <v>301</v>
      </c>
      <c r="AA5029" s="2" t="s">
        <v>30425</v>
      </c>
      <c r="AB5029" t="s">
        <v>9638</v>
      </c>
      <c r="AG5029" t="s">
        <v>30426</v>
      </c>
      <c r="AH5029" t="s">
        <v>2953</v>
      </c>
      <c r="AI5029" t="s">
        <v>30427</v>
      </c>
    </row>
    <row r="5030" spans="2:35">
      <c r="B5030" s="1">
        <v>45352</v>
      </c>
      <c r="C5030" s="4">
        <v>45352.62777777778</v>
      </c>
      <c r="D5030" t="s">
        <v>30424</v>
      </c>
      <c r="E5030" t="s">
        <v>30428</v>
      </c>
      <c r="F5030">
        <v>8</v>
      </c>
      <c r="G5030" t="s">
        <v>2945</v>
      </c>
      <c r="H5030" t="s">
        <v>39</v>
      </c>
      <c r="I5030" t="s">
        <v>94</v>
      </c>
      <c r="J5030" t="s">
        <v>1740</v>
      </c>
      <c r="K5030" t="s">
        <v>42</v>
      </c>
      <c r="L5030" t="s">
        <v>343</v>
      </c>
      <c r="N5030" t="s">
        <v>344</v>
      </c>
      <c r="Q5030">
        <v>27515</v>
      </c>
      <c r="R5030" t="s">
        <v>45</v>
      </c>
      <c r="S5030" t="s">
        <v>2947</v>
      </c>
      <c r="T5030">
        <v>25</v>
      </c>
      <c r="W5030" t="s">
        <v>1501</v>
      </c>
      <c r="X5030">
        <v>804262</v>
      </c>
      <c r="Y5030" t="s">
        <v>30429</v>
      </c>
      <c r="Z5030" t="s">
        <v>30430</v>
      </c>
      <c r="AA5030" t="s">
        <v>30430</v>
      </c>
      <c r="AB5030" t="s">
        <v>9638</v>
      </c>
      <c r="AG5030" t="s">
        <v>30431</v>
      </c>
      <c r="AH5030" t="s">
        <v>2953</v>
      </c>
      <c r="AI5030" t="s">
        <v>30432</v>
      </c>
    </row>
    <row r="5031" spans="2:35" ht="120">
      <c r="B5031" s="1">
        <v>45352</v>
      </c>
      <c r="C5031" s="4">
        <v>45352.605555555558</v>
      </c>
      <c r="D5031" t="s">
        <v>4927</v>
      </c>
      <c r="E5031" t="s">
        <v>29745</v>
      </c>
      <c r="F5031">
        <v>3</v>
      </c>
      <c r="G5031" t="s">
        <v>174</v>
      </c>
      <c r="H5031" t="s">
        <v>39</v>
      </c>
      <c r="I5031" t="s">
        <v>40</v>
      </c>
      <c r="J5031" s="2" t="s">
        <v>62</v>
      </c>
      <c r="K5031" t="s">
        <v>42</v>
      </c>
      <c r="L5031" t="s">
        <v>175</v>
      </c>
      <c r="N5031" t="s">
        <v>176</v>
      </c>
      <c r="Q5031">
        <v>27514</v>
      </c>
      <c r="R5031" t="s">
        <v>45</v>
      </c>
      <c r="S5031" t="s">
        <v>30433</v>
      </c>
      <c r="T5031">
        <v>25</v>
      </c>
      <c r="U5031" s="2" t="s">
        <v>30434</v>
      </c>
      <c r="W5031" t="s">
        <v>84</v>
      </c>
      <c r="X5031">
        <v>838866</v>
      </c>
      <c r="Y5031" t="s">
        <v>998</v>
      </c>
      <c r="Z5031" t="s">
        <v>999</v>
      </c>
      <c r="AA5031" t="e">
        <f ca="1">- checked _xludf.and cleaned cartridge bay, plunger rod, _xludf.filter, icore slot
- performed XpertCheck
- generated reports</f>
        <v>#NAME?</v>
      </c>
      <c r="AB5031" s="2" t="s">
        <v>3237</v>
      </c>
      <c r="AG5031" t="s">
        <v>30435</v>
      </c>
      <c r="AH5031" t="s">
        <v>30436</v>
      </c>
      <c r="AI5031" t="s">
        <v>30437</v>
      </c>
    </row>
    <row r="5032" spans="2:35" ht="105">
      <c r="B5032" s="1">
        <v>45352</v>
      </c>
      <c r="C5032" s="4">
        <v>45352.522916666669</v>
      </c>
      <c r="D5032" t="s">
        <v>11901</v>
      </c>
      <c r="E5032" t="s">
        <v>11902</v>
      </c>
      <c r="F5032">
        <v>6</v>
      </c>
      <c r="G5032" t="s">
        <v>1234</v>
      </c>
      <c r="H5032" t="s">
        <v>258</v>
      </c>
      <c r="I5032" t="s">
        <v>94</v>
      </c>
      <c r="J5032" s="2" t="s">
        <v>41</v>
      </c>
      <c r="K5032" t="s">
        <v>42</v>
      </c>
      <c r="L5032" t="s">
        <v>270</v>
      </c>
      <c r="N5032" t="s">
        <v>2481</v>
      </c>
      <c r="Q5032">
        <v>27513</v>
      </c>
      <c r="R5032" t="s">
        <v>45</v>
      </c>
      <c r="S5032" t="s">
        <v>30438</v>
      </c>
      <c r="T5032">
        <v>25</v>
      </c>
      <c r="U5032" s="2" t="s">
        <v>30439</v>
      </c>
      <c r="W5032" t="s">
        <v>3662</v>
      </c>
      <c r="X5032">
        <v>812020</v>
      </c>
      <c r="Y5032" t="s">
        <v>30440</v>
      </c>
      <c r="Z5032" t="s">
        <v>30441</v>
      </c>
      <c r="AA5032" t="s">
        <v>30442</v>
      </c>
      <c r="AB5032" t="s">
        <v>30443</v>
      </c>
      <c r="AG5032" t="s">
        <v>30444</v>
      </c>
      <c r="AH5032" t="s">
        <v>22761</v>
      </c>
      <c r="AI5032" t="s">
        <v>30445</v>
      </c>
    </row>
    <row r="5033" spans="2:35" ht="75">
      <c r="B5033" s="1">
        <v>45352</v>
      </c>
      <c r="C5033" s="4">
        <v>45352.525000000001</v>
      </c>
      <c r="D5033" t="s">
        <v>11901</v>
      </c>
      <c r="E5033" t="s">
        <v>11902</v>
      </c>
      <c r="F5033">
        <v>6</v>
      </c>
      <c r="G5033" t="s">
        <v>1234</v>
      </c>
      <c r="H5033" t="s">
        <v>258</v>
      </c>
      <c r="I5033" t="s">
        <v>94</v>
      </c>
      <c r="J5033" s="2" t="s">
        <v>41</v>
      </c>
      <c r="K5033" t="s">
        <v>42</v>
      </c>
      <c r="L5033" t="s">
        <v>23958</v>
      </c>
      <c r="N5033" t="s">
        <v>23959</v>
      </c>
      <c r="Q5033">
        <v>27512</v>
      </c>
      <c r="R5033" t="s">
        <v>45</v>
      </c>
      <c r="S5033" t="s">
        <v>30438</v>
      </c>
      <c r="T5033">
        <v>25</v>
      </c>
      <c r="U5033" s="2" t="s">
        <v>2367</v>
      </c>
      <c r="W5033" t="s">
        <v>3662</v>
      </c>
      <c r="X5033">
        <v>804267</v>
      </c>
      <c r="Y5033" t="s">
        <v>30446</v>
      </c>
      <c r="Z5033" t="s">
        <v>30441</v>
      </c>
      <c r="AA5033" t="s">
        <v>30447</v>
      </c>
      <c r="AB5033" t="s">
        <v>4668</v>
      </c>
      <c r="AG5033" t="s">
        <v>30448</v>
      </c>
      <c r="AH5033" t="s">
        <v>22761</v>
      </c>
      <c r="AI5033" t="s">
        <v>30449</v>
      </c>
    </row>
    <row r="5034" spans="2:35" ht="345">
      <c r="B5034" s="1">
        <v>45352</v>
      </c>
      <c r="C5034" s="4">
        <v>45352.536805555559</v>
      </c>
      <c r="D5034" t="s">
        <v>30450</v>
      </c>
      <c r="E5034" t="s">
        <v>30451</v>
      </c>
      <c r="F5034" t="s">
        <v>1255</v>
      </c>
      <c r="G5034" t="s">
        <v>1887</v>
      </c>
      <c r="H5034" t="s">
        <v>1473</v>
      </c>
      <c r="I5034" t="s">
        <v>94</v>
      </c>
      <c r="J5034" t="s">
        <v>321</v>
      </c>
      <c r="K5034" t="s">
        <v>42</v>
      </c>
      <c r="L5034" t="s">
        <v>296</v>
      </c>
      <c r="N5034" t="s">
        <v>297</v>
      </c>
      <c r="Q5034">
        <v>27511</v>
      </c>
      <c r="R5034" t="s">
        <v>45</v>
      </c>
      <c r="S5034" t="s">
        <v>30452</v>
      </c>
      <c r="T5034">
        <v>24.5</v>
      </c>
      <c r="U5034" s="2" t="s">
        <v>2367</v>
      </c>
      <c r="W5034" t="s">
        <v>30453</v>
      </c>
      <c r="X5034">
        <v>110020260</v>
      </c>
      <c r="Y5034" t="s">
        <v>54</v>
      </c>
      <c r="Z5034" s="2" t="s">
        <v>30454</v>
      </c>
      <c r="AA5034" t="s">
        <v>9387</v>
      </c>
      <c r="AB5034" t="s">
        <v>972</v>
      </c>
      <c r="AG5034" t="s">
        <v>30455</v>
      </c>
      <c r="AH5034" t="s">
        <v>30456</v>
      </c>
      <c r="AI5034" t="s">
        <v>30457</v>
      </c>
    </row>
    <row r="5035" spans="2:35" ht="225">
      <c r="B5035" s="1">
        <v>45352</v>
      </c>
      <c r="C5035" s="4">
        <v>45352.57708333333</v>
      </c>
      <c r="D5035" t="s">
        <v>30450</v>
      </c>
      <c r="E5035" t="s">
        <v>30451</v>
      </c>
      <c r="F5035" t="s">
        <v>1255</v>
      </c>
      <c r="G5035" t="s">
        <v>1887</v>
      </c>
      <c r="H5035" t="s">
        <v>1473</v>
      </c>
      <c r="I5035" t="s">
        <v>94</v>
      </c>
      <c r="J5035" s="2" t="s">
        <v>62</v>
      </c>
      <c r="K5035" t="s">
        <v>42</v>
      </c>
      <c r="L5035" t="s">
        <v>296</v>
      </c>
      <c r="N5035" t="s">
        <v>297</v>
      </c>
      <c r="Q5035">
        <v>27510</v>
      </c>
      <c r="R5035" t="s">
        <v>45</v>
      </c>
      <c r="S5035" t="s">
        <v>30452</v>
      </c>
      <c r="T5035">
        <v>28.6</v>
      </c>
      <c r="U5035" s="2" t="s">
        <v>30458</v>
      </c>
      <c r="V5035" s="1">
        <v>45352</v>
      </c>
      <c r="W5035" t="s">
        <v>30006</v>
      </c>
      <c r="X5035">
        <v>807980</v>
      </c>
      <c r="Y5035" t="s">
        <v>54</v>
      </c>
      <c r="Z5035" s="2" t="s">
        <v>30459</v>
      </c>
      <c r="AA5035" s="2" t="s">
        <v>24653</v>
      </c>
      <c r="AB5035" t="s">
        <v>972</v>
      </c>
      <c r="AD5035" t="s">
        <v>3173</v>
      </c>
      <c r="AE5035" t="s">
        <v>30460</v>
      </c>
      <c r="AG5035" t="s">
        <v>30461</v>
      </c>
      <c r="AH5035" t="s">
        <v>30456</v>
      </c>
      <c r="AI5035" t="s">
        <v>30462</v>
      </c>
    </row>
    <row r="5036" spans="2:35" ht="105">
      <c r="B5036" s="1">
        <v>45352</v>
      </c>
      <c r="C5036" s="4">
        <v>45352.522916666669</v>
      </c>
      <c r="D5036" t="s">
        <v>30463</v>
      </c>
      <c r="E5036" t="s">
        <v>30464</v>
      </c>
      <c r="F5036">
        <v>5</v>
      </c>
      <c r="G5036" t="s">
        <v>827</v>
      </c>
      <c r="H5036" t="s">
        <v>39</v>
      </c>
      <c r="I5036" t="s">
        <v>40</v>
      </c>
      <c r="J5036" t="s">
        <v>109</v>
      </c>
      <c r="K5036" t="s">
        <v>42</v>
      </c>
      <c r="L5036" t="s">
        <v>761</v>
      </c>
      <c r="N5036" t="s">
        <v>762</v>
      </c>
      <c r="Q5036">
        <v>27509</v>
      </c>
      <c r="R5036" t="s">
        <v>45</v>
      </c>
      <c r="S5036" t="s">
        <v>30465</v>
      </c>
      <c r="T5036">
        <v>27</v>
      </c>
      <c r="W5036" t="s">
        <v>765</v>
      </c>
      <c r="X5036">
        <v>812787</v>
      </c>
      <c r="Y5036" t="s">
        <v>1052</v>
      </c>
      <c r="Z5036" s="2" t="s">
        <v>30466</v>
      </c>
      <c r="AA5036" t="s">
        <v>820</v>
      </c>
      <c r="AB5036" t="s">
        <v>70</v>
      </c>
      <c r="AG5036" t="s">
        <v>30467</v>
      </c>
      <c r="AH5036" t="s">
        <v>30468</v>
      </c>
      <c r="AI5036" t="s">
        <v>30469</v>
      </c>
    </row>
    <row r="5037" spans="2:35" ht="210">
      <c r="B5037" s="1">
        <v>45352</v>
      </c>
      <c r="C5037" s="4">
        <v>45352.519444444442</v>
      </c>
      <c r="D5037" t="s">
        <v>30463</v>
      </c>
      <c r="E5037" t="s">
        <v>30464</v>
      </c>
      <c r="F5037">
        <v>5</v>
      </c>
      <c r="G5037" t="s">
        <v>827</v>
      </c>
      <c r="H5037" t="s">
        <v>39</v>
      </c>
      <c r="I5037" t="s">
        <v>40</v>
      </c>
      <c r="J5037" s="2" t="s">
        <v>41</v>
      </c>
      <c r="K5037" t="s">
        <v>42</v>
      </c>
      <c r="L5037" t="s">
        <v>761</v>
      </c>
      <c r="N5037" t="s">
        <v>762</v>
      </c>
      <c r="Q5037">
        <v>27508</v>
      </c>
      <c r="R5037" t="s">
        <v>45</v>
      </c>
      <c r="S5037" t="s">
        <v>30465</v>
      </c>
      <c r="T5037">
        <v>27</v>
      </c>
      <c r="U5037" s="2" t="s">
        <v>20486</v>
      </c>
      <c r="W5037" t="s">
        <v>765</v>
      </c>
      <c r="X5037">
        <v>838164</v>
      </c>
      <c r="Y5037" t="s">
        <v>30470</v>
      </c>
      <c r="Z5037" s="2" t="s">
        <v>30471</v>
      </c>
      <c r="AA5037" s="2" t="s">
        <v>30472</v>
      </c>
      <c r="AB5037" t="s">
        <v>70</v>
      </c>
      <c r="AG5037" t="s">
        <v>30473</v>
      </c>
      <c r="AH5037" t="s">
        <v>30474</v>
      </c>
      <c r="AI5037" t="s">
        <v>30475</v>
      </c>
    </row>
    <row r="5038" spans="2:35" ht="409.5">
      <c r="B5038" s="1">
        <v>45352</v>
      </c>
      <c r="C5038" s="4">
        <v>45352.539583333331</v>
      </c>
      <c r="D5038" t="s">
        <v>30476</v>
      </c>
      <c r="E5038" t="s">
        <v>30477</v>
      </c>
      <c r="F5038" t="s">
        <v>37</v>
      </c>
      <c r="G5038" t="s">
        <v>78</v>
      </c>
      <c r="H5038" t="s">
        <v>39</v>
      </c>
      <c r="I5038" t="s">
        <v>40</v>
      </c>
      <c r="J5038" s="2" t="s">
        <v>62</v>
      </c>
      <c r="K5038" t="s">
        <v>42</v>
      </c>
      <c r="L5038" t="s">
        <v>1943</v>
      </c>
      <c r="N5038" t="s">
        <v>1944</v>
      </c>
      <c r="Q5038">
        <v>27507</v>
      </c>
      <c r="R5038" t="s">
        <v>45</v>
      </c>
      <c r="S5038" t="s">
        <v>30478</v>
      </c>
      <c r="T5038">
        <v>25</v>
      </c>
      <c r="U5038" s="2" t="s">
        <v>30479</v>
      </c>
      <c r="V5038" s="1">
        <v>45352</v>
      </c>
      <c r="W5038" t="s">
        <v>84</v>
      </c>
      <c r="X5038">
        <v>812794</v>
      </c>
      <c r="Y5038" s="2" t="s">
        <v>23659</v>
      </c>
      <c r="Z5038" t="s">
        <v>23660</v>
      </c>
      <c r="AA5038" s="2" t="s">
        <v>29426</v>
      </c>
      <c r="AB5038" t="s">
        <v>88</v>
      </c>
      <c r="AD5038" t="s">
        <v>948</v>
      </c>
      <c r="AE5038" t="s">
        <v>11329</v>
      </c>
      <c r="AG5038" t="s">
        <v>30480</v>
      </c>
      <c r="AH5038" t="s">
        <v>30481</v>
      </c>
      <c r="AI5038" t="s">
        <v>30482</v>
      </c>
    </row>
    <row r="5039" spans="2:35" ht="210">
      <c r="B5039" s="1">
        <v>45352</v>
      </c>
      <c r="C5039" s="4">
        <v>45352.546527777777</v>
      </c>
      <c r="D5039" t="s">
        <v>25980</v>
      </c>
      <c r="E5039" t="s">
        <v>3234</v>
      </c>
      <c r="F5039">
        <v>3</v>
      </c>
      <c r="G5039" t="s">
        <v>174</v>
      </c>
      <c r="H5039" t="s">
        <v>39</v>
      </c>
      <c r="I5039" t="s">
        <v>40</v>
      </c>
      <c r="J5039" t="s">
        <v>525</v>
      </c>
      <c r="K5039" t="s">
        <v>42</v>
      </c>
      <c r="L5039" t="s">
        <v>175</v>
      </c>
      <c r="N5039" t="s">
        <v>176</v>
      </c>
      <c r="Q5039">
        <v>27506</v>
      </c>
      <c r="R5039" t="s">
        <v>119</v>
      </c>
      <c r="S5039" t="s">
        <v>28207</v>
      </c>
      <c r="T5039">
        <v>28</v>
      </c>
      <c r="U5039" s="2" t="s">
        <v>30483</v>
      </c>
      <c r="W5039" t="s">
        <v>84</v>
      </c>
      <c r="X5039">
        <v>831904</v>
      </c>
      <c r="Y5039" t="s">
        <v>30484</v>
      </c>
      <c r="Z5039" t="s">
        <v>768</v>
      </c>
      <c r="AA5039" t="e">
        <f ca="1">- checked FAN _xludf.filter _xludf.if clogged (_xludf.not clogged)
- performed FAN test
- checked GX adequate clearance
- performed self _xludf.and Maintenance
- generated reports</f>
        <v>#NAME?</v>
      </c>
      <c r="AB5039" s="2" t="s">
        <v>30485</v>
      </c>
      <c r="AG5039" t="s">
        <v>30486</v>
      </c>
      <c r="AH5039" t="s">
        <v>30487</v>
      </c>
      <c r="AI5039" t="s">
        <v>30488</v>
      </c>
    </row>
    <row r="5040" spans="2:35" ht="195">
      <c r="B5040" s="1">
        <v>45352</v>
      </c>
      <c r="C5040" s="4">
        <v>45352.534722222219</v>
      </c>
      <c r="D5040" t="s">
        <v>5060</v>
      </c>
      <c r="E5040" t="s">
        <v>8014</v>
      </c>
      <c r="F5040">
        <v>3</v>
      </c>
      <c r="G5040" t="s">
        <v>284</v>
      </c>
      <c r="H5040" t="s">
        <v>1047</v>
      </c>
      <c r="I5040" t="s">
        <v>40</v>
      </c>
      <c r="J5040" t="s">
        <v>321</v>
      </c>
      <c r="K5040" t="s">
        <v>42</v>
      </c>
      <c r="L5040" t="s">
        <v>135</v>
      </c>
      <c r="N5040" t="s">
        <v>136</v>
      </c>
      <c r="O5040" t="s">
        <v>136</v>
      </c>
      <c r="Q5040">
        <v>27505</v>
      </c>
      <c r="R5040" t="s">
        <v>45</v>
      </c>
      <c r="S5040" t="s">
        <v>11281</v>
      </c>
      <c r="T5040">
        <v>30</v>
      </c>
      <c r="U5040" s="2" t="s">
        <v>1509</v>
      </c>
      <c r="W5040" t="s">
        <v>3335</v>
      </c>
      <c r="X5040">
        <v>120000555</v>
      </c>
      <c r="Y5040" t="s">
        <v>25799</v>
      </c>
      <c r="Z5040" t="s">
        <v>13110</v>
      </c>
      <c r="AA5040" s="2" t="s">
        <v>30489</v>
      </c>
      <c r="AB5040" t="s">
        <v>181</v>
      </c>
      <c r="AG5040" t="s">
        <v>30490</v>
      </c>
      <c r="AH5040" t="s">
        <v>15193</v>
      </c>
      <c r="AI5040" t="s">
        <v>30491</v>
      </c>
    </row>
    <row r="5041" spans="2:35" ht="180">
      <c r="B5041" s="1">
        <v>45352</v>
      </c>
      <c r="C5041" s="4">
        <v>45352.479861111111</v>
      </c>
      <c r="D5041" t="s">
        <v>30492</v>
      </c>
      <c r="E5041" t="s">
        <v>30493</v>
      </c>
      <c r="F5041" t="s">
        <v>37</v>
      </c>
      <c r="G5041" t="s">
        <v>189</v>
      </c>
      <c r="H5041" t="s">
        <v>39</v>
      </c>
      <c r="I5041" t="s">
        <v>40</v>
      </c>
      <c r="J5041" t="s">
        <v>321</v>
      </c>
      <c r="K5041" t="s">
        <v>42</v>
      </c>
      <c r="L5041" t="s">
        <v>1943</v>
      </c>
      <c r="N5041" t="s">
        <v>1944</v>
      </c>
      <c r="Q5041">
        <v>27504</v>
      </c>
      <c r="R5041" t="s">
        <v>119</v>
      </c>
      <c r="S5041" t="s">
        <v>30494</v>
      </c>
      <c r="T5041">
        <v>25</v>
      </c>
      <c r="W5041" t="s">
        <v>84</v>
      </c>
      <c r="X5041">
        <v>821299</v>
      </c>
      <c r="Y5041" t="s">
        <v>23623</v>
      </c>
      <c r="Z5041" t="s">
        <v>3764</v>
      </c>
      <c r="AA5041" s="2" t="s">
        <v>30495</v>
      </c>
      <c r="AB5041" t="s">
        <v>88</v>
      </c>
      <c r="AC5041" t="s">
        <v>30496</v>
      </c>
      <c r="AG5041" t="s">
        <v>30497</v>
      </c>
      <c r="AH5041" t="s">
        <v>30498</v>
      </c>
      <c r="AI5041" t="s">
        <v>30499</v>
      </c>
    </row>
    <row r="5042" spans="2:35" ht="345">
      <c r="B5042" s="1">
        <v>45352</v>
      </c>
      <c r="C5042" s="4">
        <v>45352.431944444441</v>
      </c>
      <c r="D5042" t="s">
        <v>5060</v>
      </c>
      <c r="E5042" t="s">
        <v>15186</v>
      </c>
      <c r="F5042">
        <v>3</v>
      </c>
      <c r="G5042" t="s">
        <v>284</v>
      </c>
      <c r="H5042" t="s">
        <v>30500</v>
      </c>
      <c r="I5042" t="s">
        <v>40</v>
      </c>
      <c r="J5042" s="2" t="s">
        <v>190</v>
      </c>
      <c r="K5042" t="s">
        <v>42</v>
      </c>
      <c r="L5042" t="s">
        <v>135</v>
      </c>
      <c r="N5042" t="s">
        <v>136</v>
      </c>
      <c r="O5042" t="s">
        <v>136</v>
      </c>
      <c r="Q5042">
        <v>27503</v>
      </c>
      <c r="R5042" t="s">
        <v>322</v>
      </c>
      <c r="S5042" t="s">
        <v>11281</v>
      </c>
      <c r="T5042">
        <v>28</v>
      </c>
      <c r="U5042" s="2" t="s">
        <v>30501</v>
      </c>
      <c r="W5042" t="s">
        <v>2680</v>
      </c>
      <c r="X5042">
        <v>829390</v>
      </c>
      <c r="Y5042" s="2" t="s">
        <v>30502</v>
      </c>
      <c r="Z5042" t="s">
        <v>4315</v>
      </c>
      <c r="AA5042" s="2" t="s">
        <v>30072</v>
      </c>
      <c r="AB5042" s="2" t="s">
        <v>30503</v>
      </c>
      <c r="AG5042" t="s">
        <v>30504</v>
      </c>
      <c r="AH5042" t="s">
        <v>15193</v>
      </c>
      <c r="AI5042" t="s">
        <v>30505</v>
      </c>
    </row>
    <row r="5043" spans="2:35" ht="210">
      <c r="B5043" s="1">
        <v>45351</v>
      </c>
      <c r="C5043" s="4">
        <v>45351.685416666667</v>
      </c>
      <c r="D5043" t="s">
        <v>30506</v>
      </c>
      <c r="E5043" t="s">
        <v>26387</v>
      </c>
      <c r="F5043">
        <v>7</v>
      </c>
      <c r="G5043" t="s">
        <v>6529</v>
      </c>
      <c r="H5043" t="s">
        <v>1047</v>
      </c>
      <c r="I5043" t="s">
        <v>40</v>
      </c>
      <c r="J5043" t="s">
        <v>109</v>
      </c>
      <c r="K5043" t="s">
        <v>42</v>
      </c>
      <c r="L5043" t="s">
        <v>1288</v>
      </c>
      <c r="N5043" t="s">
        <v>1289</v>
      </c>
      <c r="Q5043">
        <v>27502</v>
      </c>
      <c r="R5043" t="s">
        <v>119</v>
      </c>
      <c r="S5043" t="s">
        <v>30507</v>
      </c>
      <c r="T5043">
        <v>23</v>
      </c>
      <c r="U5043" s="2" t="s">
        <v>30508</v>
      </c>
      <c r="W5043" t="s">
        <v>1292</v>
      </c>
      <c r="X5043">
        <v>820228</v>
      </c>
      <c r="Y5043" t="s">
        <v>1529</v>
      </c>
      <c r="Z5043" t="e">
        <f ca="1">-COLLECT IQR, system _xludf.Log, _xludf.and ARCHIVE</f>
        <v>#NAME?</v>
      </c>
      <c r="AA5043" t="e">
        <f ca="1">-PERFORM Cleaning of GX workstation AREA
-PERFORM Preventive Maintenance PROCEDURE</f>
        <v>#NAME?</v>
      </c>
      <c r="AB5043" t="s">
        <v>1293</v>
      </c>
      <c r="AG5043" t="s">
        <v>30509</v>
      </c>
      <c r="AH5043" t="s">
        <v>30510</v>
      </c>
      <c r="AI5043" t="s">
        <v>30511</v>
      </c>
    </row>
    <row r="5044" spans="2:35" ht="270">
      <c r="B5044" s="1">
        <v>45351</v>
      </c>
      <c r="C5044" s="4">
        <v>45351.679861111108</v>
      </c>
      <c r="D5044" t="s">
        <v>30506</v>
      </c>
      <c r="E5044" t="s">
        <v>26387</v>
      </c>
      <c r="F5044">
        <v>7</v>
      </c>
      <c r="G5044" t="s">
        <v>6529</v>
      </c>
      <c r="H5044" t="s">
        <v>1047</v>
      </c>
      <c r="I5044" t="s">
        <v>40</v>
      </c>
      <c r="J5044" s="2" t="s">
        <v>41</v>
      </c>
      <c r="K5044" t="s">
        <v>42</v>
      </c>
      <c r="L5044" t="s">
        <v>1288</v>
      </c>
      <c r="N5044" t="s">
        <v>1289</v>
      </c>
      <c r="Q5044">
        <v>27501</v>
      </c>
      <c r="R5044" t="s">
        <v>45</v>
      </c>
      <c r="S5044" t="s">
        <v>30507</v>
      </c>
      <c r="T5044">
        <v>23</v>
      </c>
      <c r="U5044" s="2" t="s">
        <v>30508</v>
      </c>
      <c r="W5044" t="s">
        <v>1292</v>
      </c>
      <c r="X5044">
        <v>838878</v>
      </c>
      <c r="Y5044" t="e">
        <f ca="1">-_xludf.For module B2 Replacement</f>
        <v>#NAME?</v>
      </c>
      <c r="Z5044" t="e">
        <f ca="1">-COLLECT IQR, system _xludf.Log, _xludf.and ARCHIVE</f>
        <v>#NAME?</v>
      </c>
      <c r="AA5044" s="2" t="s">
        <v>30512</v>
      </c>
      <c r="AB5044" t="s">
        <v>1293</v>
      </c>
      <c r="AG5044" t="s">
        <v>30513</v>
      </c>
      <c r="AH5044" t="s">
        <v>30510</v>
      </c>
      <c r="AI5044" t="s">
        <v>30514</v>
      </c>
    </row>
    <row r="5045" spans="2:35" ht="409.5">
      <c r="B5045" s="1">
        <v>45351</v>
      </c>
      <c r="C5045" s="4">
        <v>45351.606944444444</v>
      </c>
      <c r="D5045" t="s">
        <v>7743</v>
      </c>
      <c r="E5045" t="s">
        <v>30515</v>
      </c>
      <c r="F5045">
        <v>11</v>
      </c>
      <c r="G5045" t="s">
        <v>1205</v>
      </c>
      <c r="H5045" t="s">
        <v>202</v>
      </c>
      <c r="I5045" t="s">
        <v>40</v>
      </c>
      <c r="J5045" s="2" t="s">
        <v>4208</v>
      </c>
      <c r="K5045" t="s">
        <v>42</v>
      </c>
      <c r="L5045" t="s">
        <v>204</v>
      </c>
      <c r="N5045" t="s">
        <v>205</v>
      </c>
      <c r="Q5045">
        <v>27500</v>
      </c>
      <c r="R5045" t="s">
        <v>119</v>
      </c>
      <c r="S5045" t="s">
        <v>7745</v>
      </c>
      <c r="T5045">
        <v>23.6</v>
      </c>
      <c r="U5045" s="2" t="s">
        <v>30516</v>
      </c>
      <c r="W5045" t="s">
        <v>23237</v>
      </c>
      <c r="X5045">
        <v>838492</v>
      </c>
      <c r="Y5045" s="2" t="s">
        <v>30517</v>
      </c>
      <c r="Z5045" s="2" t="s">
        <v>30518</v>
      </c>
      <c r="AA5045" s="2" t="s">
        <v>30519</v>
      </c>
      <c r="AB5045" t="s">
        <v>30520</v>
      </c>
      <c r="AG5045" t="s">
        <v>30521</v>
      </c>
      <c r="AH5045" t="s">
        <v>30522</v>
      </c>
      <c r="AI5045" t="s">
        <v>30523</v>
      </c>
    </row>
    <row r="5046" spans="2:35" ht="315">
      <c r="B5046" s="1">
        <v>45351</v>
      </c>
      <c r="C5046" s="4">
        <v>45351.550694444442</v>
      </c>
      <c r="D5046" t="s">
        <v>5553</v>
      </c>
      <c r="E5046" t="s">
        <v>30524</v>
      </c>
      <c r="F5046" t="s">
        <v>37</v>
      </c>
      <c r="G5046" t="s">
        <v>2499</v>
      </c>
      <c r="H5046" t="s">
        <v>39</v>
      </c>
      <c r="I5046" t="s">
        <v>94</v>
      </c>
      <c r="J5046" s="2" t="s">
        <v>62</v>
      </c>
      <c r="K5046" t="s">
        <v>42</v>
      </c>
      <c r="L5046" t="s">
        <v>15532</v>
      </c>
      <c r="N5046" t="s">
        <v>15533</v>
      </c>
      <c r="Q5046">
        <v>27499</v>
      </c>
      <c r="R5046" t="s">
        <v>45</v>
      </c>
      <c r="S5046" t="s">
        <v>30525</v>
      </c>
      <c r="T5046">
        <v>25</v>
      </c>
      <c r="U5046" s="2" t="s">
        <v>21090</v>
      </c>
      <c r="V5046" s="1">
        <v>45317</v>
      </c>
      <c r="W5046" t="s">
        <v>23974</v>
      </c>
      <c r="X5046">
        <v>847329</v>
      </c>
      <c r="Y5046" t="s">
        <v>21420</v>
      </c>
      <c r="Z5046" s="2" t="s">
        <v>30526</v>
      </c>
      <c r="AA5046" t="s">
        <v>999</v>
      </c>
      <c r="AB5046" s="2" t="s">
        <v>30527</v>
      </c>
      <c r="AD5046" t="s">
        <v>20036</v>
      </c>
      <c r="AE5046" t="s">
        <v>30528</v>
      </c>
      <c r="AG5046" t="s">
        <v>30529</v>
      </c>
      <c r="AH5046" t="s">
        <v>30530</v>
      </c>
      <c r="AI5046" t="s">
        <v>30531</v>
      </c>
    </row>
    <row r="5047" spans="2:35" ht="285">
      <c r="B5047" s="1">
        <v>45351</v>
      </c>
      <c r="C5047" s="4">
        <v>45351.5625</v>
      </c>
      <c r="D5047" t="s">
        <v>22576</v>
      </c>
      <c r="E5047" t="s">
        <v>30532</v>
      </c>
      <c r="F5047">
        <v>5</v>
      </c>
      <c r="G5047" t="s">
        <v>827</v>
      </c>
      <c r="H5047" t="s">
        <v>39</v>
      </c>
      <c r="I5047" t="s">
        <v>40</v>
      </c>
      <c r="J5047" s="2" t="s">
        <v>41</v>
      </c>
      <c r="K5047" t="s">
        <v>42</v>
      </c>
      <c r="L5047" t="s">
        <v>761</v>
      </c>
      <c r="N5047" t="s">
        <v>762</v>
      </c>
      <c r="Q5047">
        <v>27498</v>
      </c>
      <c r="R5047" t="s">
        <v>45</v>
      </c>
      <c r="S5047" t="s">
        <v>22578</v>
      </c>
      <c r="T5047">
        <v>24</v>
      </c>
      <c r="U5047" s="2" t="s">
        <v>30533</v>
      </c>
      <c r="W5047" t="s">
        <v>765</v>
      </c>
      <c r="X5047">
        <v>838244</v>
      </c>
      <c r="Y5047" t="s">
        <v>30534</v>
      </c>
      <c r="Z5047" s="2" t="s">
        <v>30535</v>
      </c>
      <c r="AA5047" s="2" t="s">
        <v>30536</v>
      </c>
      <c r="AB5047" t="s">
        <v>181</v>
      </c>
      <c r="AG5047" t="s">
        <v>30537</v>
      </c>
      <c r="AH5047" t="s">
        <v>22583</v>
      </c>
      <c r="AI5047" t="s">
        <v>30538</v>
      </c>
    </row>
    <row r="5048" spans="2:35" ht="285">
      <c r="B5048" s="1">
        <v>45351</v>
      </c>
      <c r="C5048" s="4">
        <v>45351.5625</v>
      </c>
      <c r="D5048" t="s">
        <v>22576</v>
      </c>
      <c r="E5048" t="s">
        <v>30532</v>
      </c>
      <c r="F5048">
        <v>5</v>
      </c>
      <c r="G5048" t="s">
        <v>827</v>
      </c>
      <c r="H5048" t="s">
        <v>39</v>
      </c>
      <c r="I5048" t="s">
        <v>40</v>
      </c>
      <c r="J5048" s="2" t="s">
        <v>41</v>
      </c>
      <c r="K5048" t="s">
        <v>42</v>
      </c>
      <c r="L5048" t="s">
        <v>761</v>
      </c>
      <c r="N5048" t="s">
        <v>762</v>
      </c>
      <c r="Q5048">
        <v>27497</v>
      </c>
      <c r="R5048" t="s">
        <v>45</v>
      </c>
      <c r="S5048" t="s">
        <v>22578</v>
      </c>
      <c r="T5048">
        <v>24</v>
      </c>
      <c r="U5048" s="2" t="s">
        <v>30533</v>
      </c>
      <c r="W5048" t="s">
        <v>765</v>
      </c>
      <c r="X5048">
        <v>838244</v>
      </c>
      <c r="Y5048" t="s">
        <v>30534</v>
      </c>
      <c r="Z5048" s="2" t="s">
        <v>30535</v>
      </c>
      <c r="AA5048" s="2" t="s">
        <v>30536</v>
      </c>
      <c r="AB5048" t="s">
        <v>181</v>
      </c>
      <c r="AG5048" t="s">
        <v>30539</v>
      </c>
      <c r="AH5048" t="s">
        <v>22583</v>
      </c>
      <c r="AI5048" t="s">
        <v>30540</v>
      </c>
    </row>
    <row r="5049" spans="2:35" ht="210">
      <c r="B5049" s="1">
        <v>45351</v>
      </c>
      <c r="C5049" s="4">
        <v>45351.560416666667</v>
      </c>
      <c r="D5049" t="s">
        <v>228</v>
      </c>
      <c r="E5049" t="s">
        <v>229</v>
      </c>
      <c r="F5049" t="s">
        <v>148</v>
      </c>
      <c r="G5049" t="s">
        <v>230</v>
      </c>
      <c r="H5049" t="s">
        <v>39</v>
      </c>
      <c r="I5049" t="s">
        <v>40</v>
      </c>
      <c r="J5049" t="s">
        <v>525</v>
      </c>
      <c r="K5049" t="s">
        <v>42</v>
      </c>
      <c r="L5049" t="s">
        <v>175</v>
      </c>
      <c r="N5049" t="s">
        <v>176</v>
      </c>
      <c r="Q5049">
        <v>27496</v>
      </c>
      <c r="R5049" t="s">
        <v>119</v>
      </c>
      <c r="S5049" t="s">
        <v>23986</v>
      </c>
      <c r="T5049">
        <v>25</v>
      </c>
      <c r="U5049" s="2" t="s">
        <v>30541</v>
      </c>
      <c r="W5049" t="s">
        <v>84</v>
      </c>
      <c r="X5049">
        <v>831596</v>
      </c>
      <c r="Y5049" t="s">
        <v>22451</v>
      </c>
      <c r="Z5049" t="s">
        <v>18687</v>
      </c>
      <c r="AA5049" t="e">
        <f ca="1">- Reset RAM _xludf.and inserted on other slot
- Reset internal cables
- performed functionality test
- generated reports</f>
        <v>#NAME?</v>
      </c>
      <c r="AB5049" s="2" t="s">
        <v>13196</v>
      </c>
      <c r="AG5049" t="s">
        <v>30542</v>
      </c>
      <c r="AH5049" t="s">
        <v>30543</v>
      </c>
      <c r="AI5049" t="s">
        <v>30544</v>
      </c>
    </row>
    <row r="5050" spans="2:35">
      <c r="B5050" s="1">
        <v>45351</v>
      </c>
      <c r="C5050" s="4">
        <v>45351.537499999999</v>
      </c>
      <c r="D5050" t="s">
        <v>1787</v>
      </c>
      <c r="E5050" t="s">
        <v>1788</v>
      </c>
      <c r="F5050">
        <v>8</v>
      </c>
      <c r="G5050" t="s">
        <v>1789</v>
      </c>
      <c r="H5050" t="s">
        <v>22505</v>
      </c>
      <c r="I5050" t="s">
        <v>94</v>
      </c>
      <c r="J5050" t="s">
        <v>1740</v>
      </c>
      <c r="K5050" t="s">
        <v>42</v>
      </c>
      <c r="L5050" t="s">
        <v>343</v>
      </c>
      <c r="N5050" t="s">
        <v>344</v>
      </c>
      <c r="Q5050">
        <v>27494</v>
      </c>
      <c r="R5050" t="s">
        <v>45</v>
      </c>
      <c r="S5050" t="s">
        <v>1790</v>
      </c>
      <c r="T5050">
        <v>23</v>
      </c>
      <c r="W5050" t="s">
        <v>1501</v>
      </c>
      <c r="X5050">
        <v>815273</v>
      </c>
      <c r="Y5050" t="s">
        <v>30545</v>
      </c>
      <c r="Z5050" t="s">
        <v>30546</v>
      </c>
      <c r="AA5050" t="s">
        <v>30546</v>
      </c>
      <c r="AB5050" t="s">
        <v>9638</v>
      </c>
      <c r="AG5050" t="s">
        <v>30547</v>
      </c>
      <c r="AH5050" t="s">
        <v>1797</v>
      </c>
      <c r="AI5050" t="s">
        <v>30548</v>
      </c>
    </row>
    <row r="5051" spans="2:35" ht="210">
      <c r="B5051" s="1">
        <v>45351</v>
      </c>
      <c r="C5051" s="4">
        <v>45351.540972222225</v>
      </c>
      <c r="D5051" t="s">
        <v>1787</v>
      </c>
      <c r="E5051" t="s">
        <v>1788</v>
      </c>
      <c r="F5051">
        <v>8</v>
      </c>
      <c r="G5051" t="s">
        <v>1789</v>
      </c>
      <c r="H5051" t="s">
        <v>22505</v>
      </c>
      <c r="I5051" t="s">
        <v>94</v>
      </c>
      <c r="J5051" s="2" t="s">
        <v>9961</v>
      </c>
      <c r="K5051" t="s">
        <v>42</v>
      </c>
      <c r="L5051" t="s">
        <v>343</v>
      </c>
      <c r="N5051" t="s">
        <v>344</v>
      </c>
      <c r="Q5051">
        <v>27495</v>
      </c>
      <c r="R5051" t="s">
        <v>45</v>
      </c>
      <c r="S5051" t="s">
        <v>1790</v>
      </c>
      <c r="T5051">
        <v>25</v>
      </c>
      <c r="W5051" t="s">
        <v>2949</v>
      </c>
      <c r="X5051">
        <v>110020264</v>
      </c>
      <c r="Y5051" t="s">
        <v>301</v>
      </c>
      <c r="Z5051" t="s">
        <v>301</v>
      </c>
      <c r="AA5051" s="2" t="s">
        <v>30549</v>
      </c>
      <c r="AB5051" t="s">
        <v>9638</v>
      </c>
      <c r="AG5051" t="s">
        <v>30550</v>
      </c>
      <c r="AH5051" t="s">
        <v>1797</v>
      </c>
      <c r="AI5051" t="s">
        <v>30551</v>
      </c>
    </row>
    <row r="5052" spans="2:35" ht="240">
      <c r="B5052" s="1">
        <v>45351</v>
      </c>
      <c r="C5052" s="4">
        <v>45351.518750000003</v>
      </c>
      <c r="D5052" t="s">
        <v>23894</v>
      </c>
      <c r="E5052" t="s">
        <v>22410</v>
      </c>
      <c r="F5052">
        <v>11</v>
      </c>
      <c r="G5052" t="s">
        <v>1205</v>
      </c>
      <c r="H5052" t="s">
        <v>202</v>
      </c>
      <c r="I5052" t="s">
        <v>94</v>
      </c>
      <c r="J5052" s="2" t="s">
        <v>355</v>
      </c>
      <c r="K5052" t="s">
        <v>42</v>
      </c>
      <c r="L5052" t="s">
        <v>204</v>
      </c>
      <c r="N5052" t="s">
        <v>205</v>
      </c>
      <c r="Q5052">
        <v>27493</v>
      </c>
      <c r="R5052" t="s">
        <v>719</v>
      </c>
      <c r="S5052" t="s">
        <v>22411</v>
      </c>
      <c r="T5052">
        <v>25.8</v>
      </c>
      <c r="W5052" t="s">
        <v>23237</v>
      </c>
      <c r="X5052">
        <v>804835</v>
      </c>
      <c r="Y5052" s="2" t="s">
        <v>30552</v>
      </c>
      <c r="Z5052" s="2" t="s">
        <v>30553</v>
      </c>
      <c r="AA5052" t="s">
        <v>30554</v>
      </c>
      <c r="AB5052" s="2" t="s">
        <v>30555</v>
      </c>
      <c r="AC5052" t="s">
        <v>30556</v>
      </c>
      <c r="AG5052" t="s">
        <v>30557</v>
      </c>
      <c r="AH5052" t="s">
        <v>23902</v>
      </c>
      <c r="AI5052" t="s">
        <v>30558</v>
      </c>
    </row>
    <row r="5053" spans="2:35" ht="105">
      <c r="B5053" s="1">
        <v>45351</v>
      </c>
      <c r="C5053" s="4">
        <v>45351.486805555556</v>
      </c>
      <c r="D5053" t="s">
        <v>22763</v>
      </c>
      <c r="E5053" t="s">
        <v>22764</v>
      </c>
      <c r="F5053" t="s">
        <v>148</v>
      </c>
      <c r="G5053" t="s">
        <v>22765</v>
      </c>
      <c r="H5053" t="s">
        <v>39</v>
      </c>
      <c r="I5053" t="s">
        <v>40</v>
      </c>
      <c r="J5053" t="s">
        <v>525</v>
      </c>
      <c r="K5053" t="s">
        <v>42</v>
      </c>
      <c r="L5053" t="s">
        <v>175</v>
      </c>
      <c r="N5053" t="s">
        <v>176</v>
      </c>
      <c r="Q5053">
        <v>27492</v>
      </c>
      <c r="R5053" t="s">
        <v>45</v>
      </c>
      <c r="S5053" t="s">
        <v>22766</v>
      </c>
      <c r="T5053">
        <v>25</v>
      </c>
      <c r="W5053" t="s">
        <v>84</v>
      </c>
      <c r="X5053">
        <v>804715</v>
      </c>
      <c r="Y5053" t="s">
        <v>22947</v>
      </c>
      <c r="Z5053" t="s">
        <v>18687</v>
      </c>
      <c r="AA5053" t="e">
        <f ca="1">- Reset internal cables
- Reset RAM
- generated reports</f>
        <v>#NAME?</v>
      </c>
      <c r="AB5053" s="2" t="s">
        <v>30559</v>
      </c>
      <c r="AG5053" t="s">
        <v>30560</v>
      </c>
      <c r="AH5053" t="s">
        <v>22771</v>
      </c>
      <c r="AI5053" t="s">
        <v>30561</v>
      </c>
    </row>
    <row r="5054" spans="2:35" ht="330">
      <c r="B5054" s="1">
        <v>45351</v>
      </c>
      <c r="C5054" s="4">
        <v>45351.464583333334</v>
      </c>
      <c r="D5054" t="s">
        <v>25636</v>
      </c>
      <c r="E5054" t="s">
        <v>30562</v>
      </c>
      <c r="F5054">
        <v>2</v>
      </c>
      <c r="G5054" t="s">
        <v>2668</v>
      </c>
      <c r="H5054" t="s">
        <v>39</v>
      </c>
      <c r="I5054" t="s">
        <v>40</v>
      </c>
      <c r="J5054" s="2" t="s">
        <v>1808</v>
      </c>
      <c r="K5054" t="s">
        <v>42</v>
      </c>
      <c r="L5054" t="s">
        <v>63</v>
      </c>
      <c r="N5054" t="s">
        <v>64</v>
      </c>
      <c r="Q5054">
        <v>27491</v>
      </c>
      <c r="R5054" t="s">
        <v>45</v>
      </c>
      <c r="S5054" t="s">
        <v>30563</v>
      </c>
      <c r="T5054">
        <v>27</v>
      </c>
      <c r="V5054" s="1">
        <v>45351</v>
      </c>
      <c r="W5054" t="s">
        <v>373</v>
      </c>
      <c r="X5054">
        <v>120000738</v>
      </c>
      <c r="Y5054" t="s">
        <v>1716</v>
      </c>
      <c r="Z5054" t="s">
        <v>1716</v>
      </c>
      <c r="AA5054" s="2" t="s">
        <v>30564</v>
      </c>
      <c r="AB5054" t="s">
        <v>70</v>
      </c>
      <c r="AC5054" t="s">
        <v>1716</v>
      </c>
      <c r="AD5054" t="s">
        <v>1716</v>
      </c>
      <c r="AE5054" t="s">
        <v>1716</v>
      </c>
      <c r="AG5054" t="s">
        <v>30565</v>
      </c>
      <c r="AH5054" t="s">
        <v>30566</v>
      </c>
      <c r="AI5054" t="s">
        <v>30567</v>
      </c>
    </row>
    <row r="5055" spans="2:35" ht="105">
      <c r="B5055" s="1">
        <v>45351</v>
      </c>
      <c r="C5055" s="4">
        <v>45351.451388888891</v>
      </c>
      <c r="D5055" t="s">
        <v>30568</v>
      </c>
      <c r="E5055" t="s">
        <v>11475</v>
      </c>
      <c r="F5055">
        <v>6</v>
      </c>
      <c r="G5055" t="s">
        <v>1234</v>
      </c>
      <c r="H5055" t="s">
        <v>258</v>
      </c>
      <c r="I5055" t="s">
        <v>40</v>
      </c>
      <c r="J5055" s="2" t="s">
        <v>28840</v>
      </c>
      <c r="K5055" t="s">
        <v>42</v>
      </c>
      <c r="L5055" t="s">
        <v>270</v>
      </c>
      <c r="N5055" t="s">
        <v>2481</v>
      </c>
      <c r="Q5055">
        <v>27490</v>
      </c>
      <c r="R5055" t="s">
        <v>119</v>
      </c>
      <c r="S5055" t="s">
        <v>11476</v>
      </c>
      <c r="T5055">
        <v>25</v>
      </c>
      <c r="U5055" s="2" t="s">
        <v>30569</v>
      </c>
      <c r="W5055" t="s">
        <v>3662</v>
      </c>
      <c r="X5055">
        <v>838483</v>
      </c>
      <c r="Y5055" t="s">
        <v>13546</v>
      </c>
      <c r="Z5055" t="s">
        <v>4315</v>
      </c>
      <c r="AA5055" t="e">
        <f ca="1">- Reset VGA cable at LCD _xludf.and CPU ports
- replaced VGA cable
- Install DP-VGA connector</f>
        <v>#NAME?</v>
      </c>
      <c r="AB5055" t="s">
        <v>30570</v>
      </c>
      <c r="AG5055" t="s">
        <v>30571</v>
      </c>
      <c r="AH5055" t="s">
        <v>11482</v>
      </c>
      <c r="AI5055" t="s">
        <v>30572</v>
      </c>
    </row>
    <row r="5056" spans="2:35" ht="105">
      <c r="B5056" s="1">
        <v>45351</v>
      </c>
      <c r="C5056" s="4">
        <v>45351.27847222222</v>
      </c>
      <c r="D5056" t="s">
        <v>10074</v>
      </c>
      <c r="E5056" t="s">
        <v>10075</v>
      </c>
      <c r="F5056">
        <v>6</v>
      </c>
      <c r="G5056" t="s">
        <v>1234</v>
      </c>
      <c r="H5056" t="s">
        <v>258</v>
      </c>
      <c r="I5056" t="s">
        <v>94</v>
      </c>
      <c r="J5056" s="2" t="s">
        <v>41</v>
      </c>
      <c r="K5056" t="s">
        <v>42</v>
      </c>
      <c r="L5056" t="s">
        <v>270</v>
      </c>
      <c r="N5056" t="s">
        <v>15299</v>
      </c>
      <c r="Q5056">
        <v>27489</v>
      </c>
      <c r="R5056" t="s">
        <v>45</v>
      </c>
      <c r="S5056" t="s">
        <v>10076</v>
      </c>
      <c r="T5056">
        <v>26</v>
      </c>
      <c r="U5056" s="2" t="s">
        <v>30573</v>
      </c>
      <c r="W5056" t="s">
        <v>3662</v>
      </c>
      <c r="X5056">
        <v>815433</v>
      </c>
      <c r="Y5056" t="s">
        <v>30574</v>
      </c>
      <c r="Z5056" t="s">
        <v>30441</v>
      </c>
      <c r="AA5056" t="s">
        <v>30575</v>
      </c>
      <c r="AB5056" t="s">
        <v>1188</v>
      </c>
      <c r="AG5056" t="s">
        <v>30576</v>
      </c>
      <c r="AH5056" t="s">
        <v>10080</v>
      </c>
      <c r="AI5056" t="s">
        <v>30577</v>
      </c>
    </row>
    <row r="5057" spans="2:35" ht="330">
      <c r="B5057" s="1">
        <v>45350</v>
      </c>
      <c r="C5057" s="4">
        <v>45350.647222222222</v>
      </c>
      <c r="D5057" t="s">
        <v>58</v>
      </c>
      <c r="E5057" t="s">
        <v>59</v>
      </c>
      <c r="F5057">
        <v>2</v>
      </c>
      <c r="G5057" t="s">
        <v>60</v>
      </c>
      <c r="H5057" t="s">
        <v>61</v>
      </c>
      <c r="I5057" t="s">
        <v>40</v>
      </c>
      <c r="J5057" s="2" t="s">
        <v>1808</v>
      </c>
      <c r="K5057" t="s">
        <v>42</v>
      </c>
      <c r="L5057" t="s">
        <v>63</v>
      </c>
      <c r="N5057" t="s">
        <v>64</v>
      </c>
      <c r="O5057" t="s">
        <v>24531</v>
      </c>
      <c r="Q5057">
        <v>27488</v>
      </c>
      <c r="R5057" t="s">
        <v>45</v>
      </c>
      <c r="S5057" t="s">
        <v>30578</v>
      </c>
      <c r="T5057">
        <v>27</v>
      </c>
      <c r="V5057" s="1">
        <v>45350</v>
      </c>
      <c r="W5057" t="s">
        <v>373</v>
      </c>
      <c r="X5057">
        <v>120000537</v>
      </c>
      <c r="Y5057" t="s">
        <v>1716</v>
      </c>
      <c r="Z5057" t="s">
        <v>1716</v>
      </c>
      <c r="AA5057" s="2" t="s">
        <v>30579</v>
      </c>
      <c r="AB5057" t="s">
        <v>70</v>
      </c>
      <c r="AC5057" t="s">
        <v>1716</v>
      </c>
      <c r="AD5057" t="s">
        <v>1716</v>
      </c>
      <c r="AE5057" t="s">
        <v>1716</v>
      </c>
      <c r="AG5057" t="s">
        <v>30580</v>
      </c>
      <c r="AH5057" t="s">
        <v>30581</v>
      </c>
      <c r="AI5057" t="s">
        <v>30582</v>
      </c>
    </row>
    <row r="5058" spans="2:35" ht="120">
      <c r="B5058" s="1">
        <v>45350</v>
      </c>
      <c r="C5058" s="4">
        <v>45350.640277777777</v>
      </c>
      <c r="D5058" t="s">
        <v>22568</v>
      </c>
      <c r="E5058" t="s">
        <v>30583</v>
      </c>
      <c r="F5058">
        <v>5</v>
      </c>
      <c r="G5058" t="s">
        <v>827</v>
      </c>
      <c r="H5058" t="s">
        <v>39</v>
      </c>
      <c r="I5058" t="s">
        <v>40</v>
      </c>
      <c r="J5058" t="s">
        <v>321</v>
      </c>
      <c r="K5058" t="s">
        <v>42</v>
      </c>
      <c r="L5058" t="s">
        <v>761</v>
      </c>
      <c r="N5058" t="s">
        <v>762</v>
      </c>
      <c r="Q5058">
        <v>27487</v>
      </c>
      <c r="R5058" t="s">
        <v>45</v>
      </c>
      <c r="S5058" t="s">
        <v>22570</v>
      </c>
      <c r="T5058">
        <v>24</v>
      </c>
      <c r="W5058" t="s">
        <v>817</v>
      </c>
      <c r="X5058">
        <v>110019625</v>
      </c>
      <c r="Y5058" t="s">
        <v>8306</v>
      </c>
      <c r="Z5058" s="2" t="s">
        <v>30584</v>
      </c>
      <c r="AA5058" t="s">
        <v>22904</v>
      </c>
      <c r="AB5058" t="s">
        <v>70</v>
      </c>
      <c r="AG5058" t="s">
        <v>30585</v>
      </c>
      <c r="AH5058" t="s">
        <v>30586</v>
      </c>
      <c r="AI5058" t="s">
        <v>30587</v>
      </c>
    </row>
    <row r="5059" spans="2:35" ht="195">
      <c r="B5059" s="1">
        <v>45350</v>
      </c>
      <c r="C5059" s="4">
        <v>45350.646527777775</v>
      </c>
      <c r="D5059" t="s">
        <v>22568</v>
      </c>
      <c r="E5059" t="s">
        <v>30583</v>
      </c>
      <c r="F5059">
        <v>5</v>
      </c>
      <c r="G5059" t="s">
        <v>827</v>
      </c>
      <c r="H5059" t="s">
        <v>39</v>
      </c>
      <c r="I5059" t="s">
        <v>94</v>
      </c>
      <c r="J5059" t="s">
        <v>109</v>
      </c>
      <c r="K5059" t="s">
        <v>42</v>
      </c>
      <c r="L5059" t="s">
        <v>761</v>
      </c>
      <c r="N5059" t="s">
        <v>762</v>
      </c>
      <c r="Q5059">
        <v>27486</v>
      </c>
      <c r="R5059" t="s">
        <v>119</v>
      </c>
      <c r="S5059" t="s">
        <v>22570</v>
      </c>
      <c r="T5059">
        <v>24</v>
      </c>
      <c r="U5059" s="2" t="s">
        <v>30588</v>
      </c>
      <c r="W5059" t="s">
        <v>765</v>
      </c>
      <c r="X5059">
        <v>838268</v>
      </c>
      <c r="Y5059" s="2" t="s">
        <v>30589</v>
      </c>
      <c r="Z5059" s="2" t="s">
        <v>30590</v>
      </c>
      <c r="AA5059" s="2" t="s">
        <v>30591</v>
      </c>
      <c r="AB5059" t="s">
        <v>70</v>
      </c>
      <c r="AG5059" t="s">
        <v>30592</v>
      </c>
      <c r="AH5059" t="s">
        <v>30586</v>
      </c>
      <c r="AI5059" t="s">
        <v>30593</v>
      </c>
    </row>
    <row r="5060" spans="2:35">
      <c r="B5060" s="1">
        <v>45350</v>
      </c>
      <c r="C5060" s="4">
        <v>45350.600694444445</v>
      </c>
      <c r="D5060" t="s">
        <v>30594</v>
      </c>
      <c r="E5060" t="s">
        <v>22548</v>
      </c>
      <c r="F5060">
        <v>9</v>
      </c>
      <c r="G5060" t="s">
        <v>2197</v>
      </c>
      <c r="H5060" t="s">
        <v>39</v>
      </c>
      <c r="I5060" t="s">
        <v>94</v>
      </c>
      <c r="J5060" t="s">
        <v>525</v>
      </c>
      <c r="K5060" t="s">
        <v>42</v>
      </c>
      <c r="L5060" t="s">
        <v>1257</v>
      </c>
      <c r="N5060" t="s">
        <v>2199</v>
      </c>
      <c r="O5060" t="s">
        <v>1258</v>
      </c>
      <c r="Q5060">
        <v>27485</v>
      </c>
      <c r="R5060" t="s">
        <v>45</v>
      </c>
      <c r="S5060" t="s">
        <v>30595</v>
      </c>
      <c r="T5060">
        <v>27</v>
      </c>
      <c r="V5060" s="1">
        <v>45350</v>
      </c>
      <c r="W5060" t="s">
        <v>2384</v>
      </c>
      <c r="X5060">
        <v>838140</v>
      </c>
      <c r="Y5060" t="s">
        <v>30596</v>
      </c>
      <c r="Z5060" t="s">
        <v>30597</v>
      </c>
      <c r="AA5060" t="s">
        <v>30597</v>
      </c>
      <c r="AB5060" t="s">
        <v>30598</v>
      </c>
      <c r="AC5060" t="s">
        <v>30599</v>
      </c>
      <c r="AD5060" t="s">
        <v>54</v>
      </c>
      <c r="AE5060" t="s">
        <v>54</v>
      </c>
      <c r="AG5060" t="s">
        <v>30600</v>
      </c>
      <c r="AH5060" t="s">
        <v>30601</v>
      </c>
      <c r="AI5060" t="s">
        <v>30602</v>
      </c>
    </row>
    <row r="5061" spans="2:35" ht="165">
      <c r="B5061" s="1">
        <v>45350</v>
      </c>
      <c r="C5061" s="4">
        <v>45350.586111111108</v>
      </c>
      <c r="D5061" t="s">
        <v>30603</v>
      </c>
      <c r="E5061" t="s">
        <v>30604</v>
      </c>
      <c r="F5061">
        <v>6</v>
      </c>
      <c r="G5061" t="s">
        <v>1234</v>
      </c>
      <c r="H5061" t="s">
        <v>258</v>
      </c>
      <c r="I5061" t="s">
        <v>94</v>
      </c>
      <c r="J5061" s="2" t="s">
        <v>41</v>
      </c>
      <c r="K5061" t="s">
        <v>42</v>
      </c>
      <c r="L5061" t="s">
        <v>270</v>
      </c>
      <c r="N5061" t="s">
        <v>15299</v>
      </c>
      <c r="Q5061">
        <v>27484</v>
      </c>
      <c r="R5061" t="s">
        <v>45</v>
      </c>
      <c r="S5061" t="s">
        <v>30605</v>
      </c>
      <c r="T5061">
        <v>26</v>
      </c>
      <c r="U5061" s="2" t="s">
        <v>15199</v>
      </c>
      <c r="W5061" t="s">
        <v>3662</v>
      </c>
      <c r="X5061">
        <v>834843</v>
      </c>
      <c r="Y5061" t="s">
        <v>30606</v>
      </c>
      <c r="Z5061" t="e">
        <f ca="1">- Preventive Maintenance (optics Cleaning, _xludf.filter Cleaning, module bay Cleaning, ARCHIVE tests, plunger rod Maintenance)</f>
        <v>#NAME?</v>
      </c>
      <c r="AA5061" s="2" t="s">
        <v>30607</v>
      </c>
      <c r="AB5061" t="s">
        <v>30608</v>
      </c>
      <c r="AG5061" t="s">
        <v>30609</v>
      </c>
      <c r="AH5061" t="s">
        <v>30610</v>
      </c>
      <c r="AI5061" t="s">
        <v>30611</v>
      </c>
    </row>
    <row r="5062" spans="2:35" ht="405">
      <c r="B5062" s="1">
        <v>45350</v>
      </c>
      <c r="C5062" s="4">
        <v>45350.561111111114</v>
      </c>
      <c r="D5062" t="s">
        <v>30612</v>
      </c>
      <c r="E5062" t="s">
        <v>30613</v>
      </c>
      <c r="F5062">
        <v>3</v>
      </c>
      <c r="G5062" t="s">
        <v>134</v>
      </c>
      <c r="H5062" t="s">
        <v>1047</v>
      </c>
      <c r="I5062" t="s">
        <v>40</v>
      </c>
      <c r="J5062" s="2" t="s">
        <v>62</v>
      </c>
      <c r="K5062" t="s">
        <v>42</v>
      </c>
      <c r="L5062" t="s">
        <v>135</v>
      </c>
      <c r="N5062" t="s">
        <v>136</v>
      </c>
      <c r="O5062" t="s">
        <v>136</v>
      </c>
      <c r="Q5062">
        <v>27483</v>
      </c>
      <c r="R5062" t="s">
        <v>45</v>
      </c>
      <c r="S5062" t="s">
        <v>30614</v>
      </c>
      <c r="T5062">
        <v>25</v>
      </c>
      <c r="U5062" s="2" t="s">
        <v>30615</v>
      </c>
      <c r="W5062" t="s">
        <v>2680</v>
      </c>
      <c r="X5062">
        <v>838895</v>
      </c>
      <c r="Y5062" t="s">
        <v>1751</v>
      </c>
      <c r="Z5062" s="2" t="s">
        <v>29789</v>
      </c>
      <c r="AA5062" s="2" t="s">
        <v>29788</v>
      </c>
      <c r="AB5062" s="2" t="s">
        <v>30616</v>
      </c>
      <c r="AC5062" t="s">
        <v>30617</v>
      </c>
      <c r="AG5062" t="s">
        <v>30618</v>
      </c>
      <c r="AH5062" t="s">
        <v>30619</v>
      </c>
      <c r="AI5062" t="s">
        <v>30620</v>
      </c>
    </row>
    <row r="5063" spans="2:35" ht="255">
      <c r="B5063" s="1">
        <v>45350</v>
      </c>
      <c r="C5063" s="4">
        <v>45350.517361111109</v>
      </c>
      <c r="D5063" t="s">
        <v>159</v>
      </c>
      <c r="E5063" t="s">
        <v>5764</v>
      </c>
      <c r="F5063" t="s">
        <v>37</v>
      </c>
      <c r="G5063" t="s">
        <v>78</v>
      </c>
      <c r="H5063" t="s">
        <v>61</v>
      </c>
      <c r="I5063" t="s">
        <v>40</v>
      </c>
      <c r="J5063" s="2" t="s">
        <v>15418</v>
      </c>
      <c r="K5063" t="s">
        <v>42</v>
      </c>
      <c r="L5063" t="s">
        <v>1943</v>
      </c>
      <c r="N5063" t="s">
        <v>1944</v>
      </c>
      <c r="Q5063">
        <v>27482</v>
      </c>
      <c r="R5063" t="s">
        <v>95</v>
      </c>
      <c r="S5063" t="s">
        <v>23763</v>
      </c>
      <c r="T5063">
        <v>25</v>
      </c>
      <c r="U5063" s="2" t="s">
        <v>30621</v>
      </c>
      <c r="W5063" t="s">
        <v>5771</v>
      </c>
      <c r="X5063">
        <v>812916</v>
      </c>
      <c r="Y5063" s="2" t="s">
        <v>30622</v>
      </c>
      <c r="Z5063" t="s">
        <v>30623</v>
      </c>
      <c r="AA5063" s="2" t="s">
        <v>30624</v>
      </c>
      <c r="AB5063" t="s">
        <v>30625</v>
      </c>
      <c r="AG5063" t="s">
        <v>30626</v>
      </c>
      <c r="AH5063" t="s">
        <v>23770</v>
      </c>
      <c r="AI5063" t="s">
        <v>30627</v>
      </c>
    </row>
    <row r="5064" spans="2:35" ht="409.5">
      <c r="B5064" s="1">
        <v>45350</v>
      </c>
      <c r="C5064" s="4">
        <v>45350.493750000001</v>
      </c>
      <c r="D5064" t="s">
        <v>25607</v>
      </c>
      <c r="E5064" t="s">
        <v>30628</v>
      </c>
      <c r="F5064">
        <v>3</v>
      </c>
      <c r="G5064" t="s">
        <v>134</v>
      </c>
      <c r="H5064" t="s">
        <v>1047</v>
      </c>
      <c r="I5064" t="s">
        <v>40</v>
      </c>
      <c r="J5064" s="2" t="s">
        <v>1157</v>
      </c>
      <c r="K5064" t="s">
        <v>42</v>
      </c>
      <c r="L5064" t="s">
        <v>135</v>
      </c>
      <c r="N5064" t="s">
        <v>136</v>
      </c>
      <c r="Q5064">
        <v>27481</v>
      </c>
      <c r="R5064" t="s">
        <v>45</v>
      </c>
      <c r="S5064" t="s">
        <v>25609</v>
      </c>
      <c r="T5064">
        <v>28</v>
      </c>
      <c r="U5064" s="2" t="s">
        <v>18339</v>
      </c>
      <c r="W5064" t="s">
        <v>2680</v>
      </c>
      <c r="X5064">
        <v>834688</v>
      </c>
      <c r="Y5064" s="2" t="s">
        <v>30629</v>
      </c>
      <c r="Z5064" s="2" t="s">
        <v>30630</v>
      </c>
      <c r="AA5064" s="2" t="s">
        <v>30631</v>
      </c>
      <c r="AB5064" s="2" t="s">
        <v>30632</v>
      </c>
      <c r="AC5064" t="s">
        <v>30633</v>
      </c>
      <c r="AG5064" t="s">
        <v>30634</v>
      </c>
      <c r="AH5064" t="s">
        <v>30635</v>
      </c>
      <c r="AI5064" t="s">
        <v>30636</v>
      </c>
    </row>
    <row r="5065" spans="2:35" ht="330">
      <c r="B5065" s="1">
        <v>45350</v>
      </c>
      <c r="C5065" s="4">
        <v>45350.504861111112</v>
      </c>
      <c r="D5065" t="s">
        <v>2176</v>
      </c>
      <c r="E5065" t="s">
        <v>2580</v>
      </c>
      <c r="F5065" t="s">
        <v>148</v>
      </c>
      <c r="G5065" t="s">
        <v>447</v>
      </c>
      <c r="H5065" t="s">
        <v>386</v>
      </c>
      <c r="I5065" t="s">
        <v>40</v>
      </c>
      <c r="J5065" t="s">
        <v>525</v>
      </c>
      <c r="K5065" t="s">
        <v>387</v>
      </c>
      <c r="L5065" t="s">
        <v>448</v>
      </c>
      <c r="N5065" t="s">
        <v>650</v>
      </c>
      <c r="O5065" t="s">
        <v>4140</v>
      </c>
      <c r="Q5065">
        <v>27480</v>
      </c>
      <c r="R5065" t="s">
        <v>322</v>
      </c>
      <c r="S5065" t="s">
        <v>4141</v>
      </c>
      <c r="T5065">
        <v>28</v>
      </c>
      <c r="W5065" t="s">
        <v>8665</v>
      </c>
      <c r="X5065" t="s">
        <v>4142</v>
      </c>
      <c r="Y5065" t="s">
        <v>30637</v>
      </c>
      <c r="Z5065" s="2" t="s">
        <v>30638</v>
      </c>
      <c r="AA5065" t="s">
        <v>4487</v>
      </c>
      <c r="AB5065" t="s">
        <v>30639</v>
      </c>
      <c r="AC5065" t="s">
        <v>30640</v>
      </c>
      <c r="AG5065" t="s">
        <v>30641</v>
      </c>
      <c r="AH5065" t="s">
        <v>4147</v>
      </c>
      <c r="AI5065" t="s">
        <v>30642</v>
      </c>
    </row>
    <row r="5066" spans="2:35" ht="330">
      <c r="B5066" s="1">
        <v>45350</v>
      </c>
      <c r="C5066" s="4">
        <v>45350.495833333334</v>
      </c>
      <c r="D5066" t="s">
        <v>1316</v>
      </c>
      <c r="E5066" t="s">
        <v>27900</v>
      </c>
      <c r="F5066">
        <v>11</v>
      </c>
      <c r="G5066" t="s">
        <v>1205</v>
      </c>
      <c r="H5066" t="s">
        <v>30643</v>
      </c>
      <c r="I5066" t="s">
        <v>40</v>
      </c>
      <c r="J5066" s="2" t="s">
        <v>4208</v>
      </c>
      <c r="K5066" t="s">
        <v>42</v>
      </c>
      <c r="L5066" t="s">
        <v>204</v>
      </c>
      <c r="N5066" t="s">
        <v>205</v>
      </c>
      <c r="Q5066">
        <v>27479</v>
      </c>
      <c r="R5066" t="s">
        <v>119</v>
      </c>
      <c r="S5066" t="s">
        <v>1318</v>
      </c>
      <c r="T5066">
        <v>26.5</v>
      </c>
      <c r="U5066" s="2" t="s">
        <v>30644</v>
      </c>
      <c r="W5066" t="s">
        <v>23237</v>
      </c>
      <c r="X5066">
        <v>838262</v>
      </c>
      <c r="Y5066" s="2" t="s">
        <v>30645</v>
      </c>
      <c r="Z5066" s="2" t="s">
        <v>30646</v>
      </c>
      <c r="AA5066" s="2" t="s">
        <v>30647</v>
      </c>
      <c r="AB5066" t="s">
        <v>30648</v>
      </c>
      <c r="AC5066" t="s">
        <v>30649</v>
      </c>
      <c r="AG5066" t="s">
        <v>30650</v>
      </c>
      <c r="AH5066" t="s">
        <v>27912</v>
      </c>
      <c r="AI5066" t="s">
        <v>30651</v>
      </c>
    </row>
    <row r="5067" spans="2:35" ht="285">
      <c r="B5067" s="1">
        <v>45350</v>
      </c>
      <c r="C5067" s="4">
        <v>45350.498611111114</v>
      </c>
      <c r="D5067" t="s">
        <v>1316</v>
      </c>
      <c r="E5067" t="s">
        <v>2916</v>
      </c>
      <c r="F5067">
        <v>11</v>
      </c>
      <c r="G5067" t="s">
        <v>1205</v>
      </c>
      <c r="H5067" t="s">
        <v>1317</v>
      </c>
      <c r="I5067" t="s">
        <v>40</v>
      </c>
      <c r="J5067" t="s">
        <v>109</v>
      </c>
      <c r="K5067" t="s">
        <v>42</v>
      </c>
      <c r="L5067" t="s">
        <v>204</v>
      </c>
      <c r="N5067" t="s">
        <v>205</v>
      </c>
      <c r="Q5067">
        <v>27478</v>
      </c>
      <c r="R5067" t="s">
        <v>322</v>
      </c>
      <c r="S5067" t="s">
        <v>1318</v>
      </c>
      <c r="T5067">
        <v>25.5</v>
      </c>
      <c r="U5067" s="2" t="s">
        <v>30652</v>
      </c>
      <c r="W5067" t="s">
        <v>24154</v>
      </c>
      <c r="X5067">
        <v>839236</v>
      </c>
      <c r="Y5067" s="2" t="s">
        <v>30653</v>
      </c>
      <c r="Z5067" s="2" t="s">
        <v>1892</v>
      </c>
      <c r="AA5067" t="s">
        <v>2551</v>
      </c>
      <c r="AB5067" s="2" t="s">
        <v>30654</v>
      </c>
      <c r="AG5067" t="s">
        <v>30655</v>
      </c>
      <c r="AH5067" t="s">
        <v>27912</v>
      </c>
      <c r="AI5067" t="s">
        <v>30656</v>
      </c>
    </row>
    <row r="5068" spans="2:35" ht="135">
      <c r="B5068" s="1">
        <v>45350</v>
      </c>
      <c r="C5068" s="4">
        <v>45350.493055555555</v>
      </c>
      <c r="D5068" t="s">
        <v>30657</v>
      </c>
      <c r="E5068" t="s">
        <v>30658</v>
      </c>
      <c r="F5068" t="s">
        <v>37</v>
      </c>
      <c r="G5068" t="s">
        <v>748</v>
      </c>
      <c r="H5068" t="s">
        <v>39</v>
      </c>
      <c r="I5068" t="s">
        <v>40</v>
      </c>
      <c r="J5068" t="s">
        <v>321</v>
      </c>
      <c r="K5068" t="s">
        <v>42</v>
      </c>
      <c r="L5068" t="s">
        <v>1028</v>
      </c>
      <c r="N5068" t="s">
        <v>1029</v>
      </c>
      <c r="Q5068">
        <v>27477</v>
      </c>
      <c r="R5068" t="s">
        <v>45</v>
      </c>
      <c r="S5068" t="s">
        <v>30659</v>
      </c>
      <c r="T5068">
        <v>28</v>
      </c>
      <c r="W5068" t="s">
        <v>1032</v>
      </c>
      <c r="X5068">
        <v>120000593</v>
      </c>
      <c r="Y5068" t="s">
        <v>29377</v>
      </c>
      <c r="Z5068" t="s">
        <v>13110</v>
      </c>
      <c r="AA5068" s="2" t="s">
        <v>30660</v>
      </c>
      <c r="AB5068" t="s">
        <v>30661</v>
      </c>
      <c r="AG5068" t="s">
        <v>30662</v>
      </c>
      <c r="AH5068" t="s">
        <v>30663</v>
      </c>
      <c r="AI5068" t="s">
        <v>30664</v>
      </c>
    </row>
    <row r="5069" spans="2:35" ht="150">
      <c r="B5069" s="1">
        <v>45350</v>
      </c>
      <c r="C5069" s="4">
        <v>45349.407638888886</v>
      </c>
      <c r="D5069" t="s">
        <v>1686</v>
      </c>
      <c r="E5069" t="s">
        <v>27020</v>
      </c>
      <c r="F5069" t="s">
        <v>148</v>
      </c>
      <c r="G5069" t="s">
        <v>785</v>
      </c>
      <c r="H5069" t="s">
        <v>39</v>
      </c>
      <c r="I5069" t="s">
        <v>40</v>
      </c>
      <c r="J5069" s="2" t="s">
        <v>41</v>
      </c>
      <c r="K5069" t="s">
        <v>42</v>
      </c>
      <c r="L5069" t="s">
        <v>43</v>
      </c>
      <c r="N5069" t="s">
        <v>44</v>
      </c>
      <c r="Q5069">
        <v>27475</v>
      </c>
      <c r="R5069" t="s">
        <v>45</v>
      </c>
      <c r="S5069" t="s">
        <v>1688</v>
      </c>
      <c r="T5069">
        <v>22</v>
      </c>
      <c r="U5069" s="2" t="s">
        <v>30665</v>
      </c>
      <c r="V5069" s="1">
        <v>45349</v>
      </c>
      <c r="W5069" t="s">
        <v>48</v>
      </c>
      <c r="X5069">
        <v>838898</v>
      </c>
      <c r="Y5069" t="s">
        <v>424</v>
      </c>
      <c r="Z5069" t="s">
        <v>425</v>
      </c>
      <c r="AA5069" s="2" t="s">
        <v>29667</v>
      </c>
      <c r="AB5069" t="s">
        <v>16412</v>
      </c>
      <c r="AD5069" s="2" t="s">
        <v>30666</v>
      </c>
      <c r="AE5069" t="s">
        <v>54</v>
      </c>
      <c r="AG5069" t="s">
        <v>30667</v>
      </c>
      <c r="AH5069" t="s">
        <v>8273</v>
      </c>
      <c r="AI5069" t="s">
        <v>30668</v>
      </c>
    </row>
    <row r="5070" spans="2:35" ht="150">
      <c r="B5070" s="1">
        <v>45350</v>
      </c>
      <c r="C5070" s="4">
        <v>45349.565972222219</v>
      </c>
      <c r="D5070" t="s">
        <v>1678</v>
      </c>
      <c r="E5070" t="s">
        <v>30669</v>
      </c>
      <c r="F5070" t="s">
        <v>148</v>
      </c>
      <c r="G5070" t="s">
        <v>785</v>
      </c>
      <c r="H5070" t="s">
        <v>39</v>
      </c>
      <c r="I5070" t="s">
        <v>40</v>
      </c>
      <c r="J5070" s="2" t="s">
        <v>41</v>
      </c>
      <c r="K5070" t="s">
        <v>42</v>
      </c>
      <c r="L5070" t="s">
        <v>43</v>
      </c>
      <c r="N5070" t="s">
        <v>44</v>
      </c>
      <c r="Q5070">
        <v>27476</v>
      </c>
      <c r="R5070" t="s">
        <v>45</v>
      </c>
      <c r="S5070" t="s">
        <v>18437</v>
      </c>
      <c r="T5070">
        <v>22</v>
      </c>
      <c r="U5070" s="2" t="s">
        <v>14405</v>
      </c>
      <c r="V5070" s="1">
        <v>45349</v>
      </c>
      <c r="W5070" t="s">
        <v>48</v>
      </c>
      <c r="X5070">
        <v>843924</v>
      </c>
      <c r="Y5070" t="s">
        <v>8731</v>
      </c>
      <c r="Z5070" t="s">
        <v>179</v>
      </c>
      <c r="AA5070" s="2" t="s">
        <v>17729</v>
      </c>
      <c r="AB5070" t="s">
        <v>16412</v>
      </c>
      <c r="AD5070" s="2" t="s">
        <v>30670</v>
      </c>
      <c r="AE5070" t="s">
        <v>54</v>
      </c>
      <c r="AG5070" t="s">
        <v>30671</v>
      </c>
      <c r="AH5070" t="s">
        <v>14357</v>
      </c>
      <c r="AI5070" t="s">
        <v>30672</v>
      </c>
    </row>
    <row r="5071" spans="2:35" ht="105">
      <c r="B5071" s="1">
        <v>45350</v>
      </c>
      <c r="C5071" s="4">
        <v>45350.463888888888</v>
      </c>
      <c r="D5071" t="s">
        <v>7465</v>
      </c>
      <c r="E5071" t="s">
        <v>7466</v>
      </c>
      <c r="F5071">
        <v>8</v>
      </c>
      <c r="G5071" t="s">
        <v>342</v>
      </c>
      <c r="H5071" t="s">
        <v>202</v>
      </c>
      <c r="I5071" t="s">
        <v>40</v>
      </c>
      <c r="J5071" t="s">
        <v>109</v>
      </c>
      <c r="K5071" t="s">
        <v>42</v>
      </c>
      <c r="L5071" t="s">
        <v>259</v>
      </c>
      <c r="N5071" t="s">
        <v>260</v>
      </c>
      <c r="Q5071">
        <v>27474</v>
      </c>
      <c r="R5071" t="s">
        <v>119</v>
      </c>
      <c r="S5071" t="s">
        <v>7467</v>
      </c>
      <c r="T5071">
        <v>27</v>
      </c>
      <c r="U5071" s="2" t="s">
        <v>24976</v>
      </c>
      <c r="V5071" s="1">
        <v>45350</v>
      </c>
      <c r="W5071" t="s">
        <v>84</v>
      </c>
      <c r="X5071">
        <v>838551</v>
      </c>
      <c r="Y5071" t="s">
        <v>263</v>
      </c>
      <c r="Z5071" t="s">
        <v>263</v>
      </c>
      <c r="AA5071" t="e">
        <f ca="1">- performed Preventive Maintenance
- cleaned cartridge bay, plunger rod, FAN _xludf.filter _xludf.and surface
- archived Data
- Generate reports</f>
        <v>#NAME?</v>
      </c>
      <c r="AB5071" t="s">
        <v>7675</v>
      </c>
      <c r="AG5071" t="s">
        <v>30673</v>
      </c>
      <c r="AH5071" t="s">
        <v>7469</v>
      </c>
      <c r="AI5071" t="s">
        <v>30674</v>
      </c>
    </row>
    <row r="5072" spans="2:35" ht="255">
      <c r="B5072" s="1">
        <v>45350</v>
      </c>
      <c r="C5072" s="4">
        <v>45350.417361111111</v>
      </c>
      <c r="D5072" t="s">
        <v>30675</v>
      </c>
      <c r="E5072" t="s">
        <v>30676</v>
      </c>
      <c r="F5072">
        <v>3</v>
      </c>
      <c r="G5072" t="s">
        <v>134</v>
      </c>
      <c r="H5072" t="s">
        <v>1498</v>
      </c>
      <c r="I5072" t="s">
        <v>40</v>
      </c>
      <c r="J5072" s="2" t="s">
        <v>41</v>
      </c>
      <c r="K5072" t="s">
        <v>42</v>
      </c>
      <c r="L5072" t="s">
        <v>135</v>
      </c>
      <c r="N5072" t="s">
        <v>136</v>
      </c>
      <c r="O5072" t="s">
        <v>136</v>
      </c>
      <c r="Q5072">
        <v>27473</v>
      </c>
      <c r="R5072" t="s">
        <v>45</v>
      </c>
      <c r="S5072" t="s">
        <v>30677</v>
      </c>
      <c r="T5072">
        <v>26</v>
      </c>
      <c r="U5072" s="2" t="s">
        <v>22626</v>
      </c>
      <c r="W5072" t="s">
        <v>2680</v>
      </c>
      <c r="X5072">
        <v>838879</v>
      </c>
      <c r="Y5072" t="s">
        <v>30678</v>
      </c>
      <c r="Z5072" s="2" t="s">
        <v>30679</v>
      </c>
      <c r="AA5072" s="2" t="s">
        <v>29540</v>
      </c>
      <c r="AB5072" s="2" t="s">
        <v>30680</v>
      </c>
      <c r="AG5072" t="s">
        <v>30681</v>
      </c>
      <c r="AH5072" t="s">
        <v>30682</v>
      </c>
      <c r="AI5072" t="s">
        <v>30683</v>
      </c>
    </row>
    <row r="5073" spans="2:35" ht="409.5">
      <c r="B5073" s="1">
        <v>45350</v>
      </c>
      <c r="C5073" s="4">
        <v>45350.43472222222</v>
      </c>
      <c r="D5073" t="s">
        <v>24830</v>
      </c>
      <c r="E5073" t="s">
        <v>30684</v>
      </c>
      <c r="F5073" t="s">
        <v>37</v>
      </c>
      <c r="G5073" t="s">
        <v>78</v>
      </c>
      <c r="H5073" t="s">
        <v>39</v>
      </c>
      <c r="I5073" t="s">
        <v>40</v>
      </c>
      <c r="J5073" s="2" t="s">
        <v>41</v>
      </c>
      <c r="K5073" t="s">
        <v>42</v>
      </c>
      <c r="L5073" t="s">
        <v>1943</v>
      </c>
      <c r="N5073" t="s">
        <v>1944</v>
      </c>
      <c r="Q5073">
        <v>27472</v>
      </c>
      <c r="R5073" t="s">
        <v>45</v>
      </c>
      <c r="S5073" t="s">
        <v>30685</v>
      </c>
      <c r="T5073">
        <v>25</v>
      </c>
      <c r="U5073" s="2" t="s">
        <v>30686</v>
      </c>
      <c r="V5073" s="1">
        <v>45348</v>
      </c>
      <c r="W5073" t="s">
        <v>84</v>
      </c>
      <c r="X5073">
        <v>812780</v>
      </c>
      <c r="Y5073" s="2" t="s">
        <v>30687</v>
      </c>
      <c r="Z5073" t="s">
        <v>22330</v>
      </c>
      <c r="AA5073" s="2" t="s">
        <v>29551</v>
      </c>
      <c r="AB5073" t="s">
        <v>88</v>
      </c>
      <c r="AD5073" t="s">
        <v>30688</v>
      </c>
      <c r="AE5073" t="s">
        <v>8904</v>
      </c>
      <c r="AG5073" t="s">
        <v>30689</v>
      </c>
      <c r="AH5073" t="s">
        <v>24836</v>
      </c>
      <c r="AI5073" t="s">
        <v>30690</v>
      </c>
    </row>
    <row r="5074" spans="2:35" ht="60">
      <c r="B5074" s="1">
        <v>45350</v>
      </c>
      <c r="C5074" s="4">
        <v>45350.368750000001</v>
      </c>
      <c r="D5074" t="s">
        <v>30691</v>
      </c>
      <c r="E5074" t="s">
        <v>30692</v>
      </c>
      <c r="F5074">
        <v>10</v>
      </c>
      <c r="G5074" t="s">
        <v>5571</v>
      </c>
      <c r="H5074" t="s">
        <v>39</v>
      </c>
      <c r="I5074" t="s">
        <v>94</v>
      </c>
      <c r="J5074" s="2" t="s">
        <v>30202</v>
      </c>
      <c r="K5074" t="s">
        <v>42</v>
      </c>
      <c r="L5074" t="s">
        <v>594</v>
      </c>
      <c r="N5074" t="s">
        <v>595</v>
      </c>
      <c r="O5074" t="s">
        <v>595</v>
      </c>
      <c r="Q5074">
        <v>27471</v>
      </c>
      <c r="R5074" t="s">
        <v>45</v>
      </c>
      <c r="S5074" t="s">
        <v>30693</v>
      </c>
      <c r="T5074">
        <v>24</v>
      </c>
      <c r="V5074" s="1">
        <v>45350</v>
      </c>
      <c r="W5074" t="s">
        <v>502</v>
      </c>
      <c r="X5074">
        <v>834437</v>
      </c>
      <c r="Y5074" t="s">
        <v>30694</v>
      </c>
      <c r="Z5074" t="s">
        <v>30695</v>
      </c>
      <c r="AA5074" t="s">
        <v>30696</v>
      </c>
      <c r="AB5074" t="s">
        <v>30697</v>
      </c>
      <c r="AC5074" t="s">
        <v>30698</v>
      </c>
      <c r="AG5074" t="s">
        <v>30699</v>
      </c>
      <c r="AH5074" t="s">
        <v>30700</v>
      </c>
      <c r="AI5074" t="s">
        <v>30701</v>
      </c>
    </row>
    <row r="5075" spans="2:35" ht="405">
      <c r="B5075" s="1">
        <v>45349</v>
      </c>
      <c r="C5075" s="4">
        <v>45349.675000000003</v>
      </c>
      <c r="D5075" t="s">
        <v>2834</v>
      </c>
      <c r="E5075" t="s">
        <v>2835</v>
      </c>
      <c r="F5075">
        <v>11</v>
      </c>
      <c r="G5075" t="s">
        <v>2836</v>
      </c>
      <c r="H5075" t="s">
        <v>30702</v>
      </c>
      <c r="I5075" t="s">
        <v>94</v>
      </c>
      <c r="J5075" s="2" t="s">
        <v>62</v>
      </c>
      <c r="K5075" t="s">
        <v>42</v>
      </c>
      <c r="L5075" t="s">
        <v>204</v>
      </c>
      <c r="N5075" t="s">
        <v>205</v>
      </c>
      <c r="O5075" t="s">
        <v>3059</v>
      </c>
      <c r="Q5075">
        <v>27470</v>
      </c>
      <c r="R5075" t="s">
        <v>3058</v>
      </c>
      <c r="S5075" t="s">
        <v>3059</v>
      </c>
      <c r="T5075">
        <v>23.5</v>
      </c>
      <c r="U5075" s="2" t="s">
        <v>30703</v>
      </c>
      <c r="W5075" t="s">
        <v>30704</v>
      </c>
      <c r="X5075">
        <v>120000127</v>
      </c>
      <c r="Y5075" s="2" t="s">
        <v>30705</v>
      </c>
      <c r="Z5075" s="2" t="s">
        <v>30706</v>
      </c>
      <c r="AA5075" s="2" t="s">
        <v>30707</v>
      </c>
      <c r="AB5075" t="s">
        <v>30708</v>
      </c>
      <c r="AC5075" t="s">
        <v>19763</v>
      </c>
      <c r="AG5075" t="s">
        <v>30709</v>
      </c>
      <c r="AH5075" t="s">
        <v>30710</v>
      </c>
      <c r="AI5075" t="s">
        <v>30711</v>
      </c>
    </row>
    <row r="5076" spans="2:35" ht="390">
      <c r="B5076" s="1">
        <v>45349</v>
      </c>
      <c r="C5076" s="4">
        <v>45349.629861111112</v>
      </c>
      <c r="D5076" t="s">
        <v>2834</v>
      </c>
      <c r="E5076" t="s">
        <v>2835</v>
      </c>
      <c r="F5076">
        <v>11</v>
      </c>
      <c r="G5076" t="s">
        <v>2836</v>
      </c>
      <c r="H5076" t="s">
        <v>61</v>
      </c>
      <c r="I5076" t="s">
        <v>94</v>
      </c>
      <c r="J5076" s="2" t="s">
        <v>62</v>
      </c>
      <c r="K5076" t="s">
        <v>42</v>
      </c>
      <c r="L5076" t="s">
        <v>204</v>
      </c>
      <c r="N5076" t="s">
        <v>205</v>
      </c>
      <c r="Q5076">
        <v>27469</v>
      </c>
      <c r="R5076" t="s">
        <v>45</v>
      </c>
      <c r="S5076" t="s">
        <v>2837</v>
      </c>
      <c r="T5076">
        <v>25.8</v>
      </c>
      <c r="U5076" s="2" t="s">
        <v>30712</v>
      </c>
      <c r="W5076" t="s">
        <v>23237</v>
      </c>
      <c r="X5076">
        <v>834440</v>
      </c>
      <c r="Y5076" t="s">
        <v>1618</v>
      </c>
      <c r="Z5076" s="2" t="s">
        <v>30713</v>
      </c>
      <c r="AA5076" t="s">
        <v>1620</v>
      </c>
      <c r="AB5076" t="s">
        <v>30714</v>
      </c>
      <c r="AG5076" t="s">
        <v>30715</v>
      </c>
      <c r="AH5076" t="s">
        <v>30716</v>
      </c>
      <c r="AI5076" t="s">
        <v>30717</v>
      </c>
    </row>
    <row r="5077" spans="2:35" ht="375">
      <c r="B5077" s="1">
        <v>45349</v>
      </c>
      <c r="C5077" s="4">
        <v>45349.638888888891</v>
      </c>
      <c r="D5077" t="s">
        <v>2834</v>
      </c>
      <c r="E5077" t="s">
        <v>30718</v>
      </c>
      <c r="F5077">
        <v>11</v>
      </c>
      <c r="G5077" t="s">
        <v>2836</v>
      </c>
      <c r="H5077" t="s">
        <v>295</v>
      </c>
      <c r="I5077" t="s">
        <v>94</v>
      </c>
      <c r="J5077" s="2" t="s">
        <v>1309</v>
      </c>
      <c r="K5077" t="s">
        <v>42</v>
      </c>
      <c r="L5077" t="s">
        <v>296</v>
      </c>
      <c r="N5077" t="s">
        <v>297</v>
      </c>
      <c r="Q5077">
        <v>27468</v>
      </c>
      <c r="R5077" t="s">
        <v>45</v>
      </c>
      <c r="S5077" t="s">
        <v>2837</v>
      </c>
      <c r="T5077">
        <v>25.8</v>
      </c>
      <c r="U5077" s="2" t="s">
        <v>30719</v>
      </c>
      <c r="W5077" t="s">
        <v>30006</v>
      </c>
      <c r="X5077">
        <v>805063</v>
      </c>
      <c r="Y5077" t="s">
        <v>30720</v>
      </c>
      <c r="Z5077" s="2" t="s">
        <v>30721</v>
      </c>
      <c r="AA5077" s="2" t="s">
        <v>30722</v>
      </c>
      <c r="AB5077" t="s">
        <v>972</v>
      </c>
      <c r="AC5077" t="s">
        <v>8019</v>
      </c>
      <c r="AG5077" t="s">
        <v>30723</v>
      </c>
      <c r="AH5077" t="s">
        <v>30724</v>
      </c>
      <c r="AI5077" t="s">
        <v>30725</v>
      </c>
    </row>
    <row r="5078" spans="2:35" ht="409.5">
      <c r="B5078" s="1">
        <v>45349</v>
      </c>
      <c r="C5078" s="4">
        <v>45349.529166666667</v>
      </c>
      <c r="D5078" t="s">
        <v>2834</v>
      </c>
      <c r="E5078" t="s">
        <v>2835</v>
      </c>
      <c r="F5078">
        <v>11</v>
      </c>
      <c r="G5078" t="s">
        <v>2836</v>
      </c>
      <c r="H5078" t="s">
        <v>202</v>
      </c>
      <c r="I5078" t="s">
        <v>94</v>
      </c>
      <c r="J5078" s="2" t="s">
        <v>41</v>
      </c>
      <c r="K5078" t="s">
        <v>42</v>
      </c>
      <c r="L5078" t="s">
        <v>204</v>
      </c>
      <c r="N5078" t="s">
        <v>205</v>
      </c>
      <c r="Q5078">
        <v>27467</v>
      </c>
      <c r="R5078" t="s">
        <v>45</v>
      </c>
      <c r="S5078" t="s">
        <v>2837</v>
      </c>
      <c r="T5078">
        <v>25.4</v>
      </c>
      <c r="U5078" s="2" t="s">
        <v>30726</v>
      </c>
      <c r="W5078" t="s">
        <v>30727</v>
      </c>
      <c r="X5078">
        <v>838756</v>
      </c>
      <c r="Y5078" s="2" t="s">
        <v>30728</v>
      </c>
      <c r="Z5078" s="2" t="s">
        <v>30729</v>
      </c>
      <c r="AA5078" t="s">
        <v>2560</v>
      </c>
      <c r="AB5078" t="s">
        <v>1211</v>
      </c>
      <c r="AC5078" t="s">
        <v>30730</v>
      </c>
      <c r="AG5078" t="s">
        <v>30731</v>
      </c>
      <c r="AH5078" t="s">
        <v>2844</v>
      </c>
      <c r="AI5078" t="s">
        <v>30732</v>
      </c>
    </row>
    <row r="5079" spans="2:35" ht="345">
      <c r="B5079" s="1">
        <v>45349</v>
      </c>
      <c r="C5079" s="4">
        <v>45349.629861111112</v>
      </c>
      <c r="D5079" t="s">
        <v>2834</v>
      </c>
      <c r="E5079" t="s">
        <v>30733</v>
      </c>
      <c r="F5079">
        <v>11</v>
      </c>
      <c r="G5079" t="s">
        <v>2836</v>
      </c>
      <c r="H5079" t="s">
        <v>295</v>
      </c>
      <c r="I5079" t="s">
        <v>94</v>
      </c>
      <c r="J5079" s="2" t="s">
        <v>1309</v>
      </c>
      <c r="K5079" t="s">
        <v>42</v>
      </c>
      <c r="L5079" t="s">
        <v>296</v>
      </c>
      <c r="N5079" t="s">
        <v>297</v>
      </c>
      <c r="Q5079">
        <v>27466</v>
      </c>
      <c r="R5079" t="s">
        <v>45</v>
      </c>
      <c r="S5079" t="s">
        <v>2837</v>
      </c>
      <c r="T5079">
        <v>25.3</v>
      </c>
      <c r="U5079" s="2" t="s">
        <v>30712</v>
      </c>
      <c r="W5079" t="s">
        <v>22229</v>
      </c>
      <c r="X5079">
        <v>834626</v>
      </c>
      <c r="Y5079" t="s">
        <v>30734</v>
      </c>
      <c r="Z5079" s="2" t="s">
        <v>30735</v>
      </c>
      <c r="AA5079" s="2" t="s">
        <v>30736</v>
      </c>
      <c r="AB5079" t="s">
        <v>972</v>
      </c>
      <c r="AC5079" t="s">
        <v>29828</v>
      </c>
      <c r="AG5079" t="s">
        <v>30737</v>
      </c>
      <c r="AH5079" t="s">
        <v>30738</v>
      </c>
      <c r="AI5079" t="s">
        <v>30739</v>
      </c>
    </row>
    <row r="5080" spans="2:35" ht="375">
      <c r="B5080" s="1">
        <v>45349</v>
      </c>
      <c r="C5080" s="4">
        <v>45349.637499999997</v>
      </c>
      <c r="D5080" t="s">
        <v>30740</v>
      </c>
      <c r="E5080" t="s">
        <v>30741</v>
      </c>
      <c r="F5080">
        <v>6</v>
      </c>
      <c r="G5080" t="s">
        <v>1234</v>
      </c>
      <c r="H5080" t="s">
        <v>258</v>
      </c>
      <c r="I5080" t="s">
        <v>94</v>
      </c>
      <c r="J5080" s="2" t="s">
        <v>10552</v>
      </c>
      <c r="K5080" t="s">
        <v>42</v>
      </c>
      <c r="L5080" t="s">
        <v>270</v>
      </c>
      <c r="N5080" t="s">
        <v>2481</v>
      </c>
      <c r="Q5080">
        <v>27465</v>
      </c>
      <c r="R5080" t="s">
        <v>45</v>
      </c>
      <c r="S5080" t="s">
        <v>30742</v>
      </c>
      <c r="T5080">
        <v>25</v>
      </c>
      <c r="U5080" s="2" t="s">
        <v>30743</v>
      </c>
      <c r="W5080" t="s">
        <v>30744</v>
      </c>
      <c r="X5080">
        <v>110020360</v>
      </c>
      <c r="Y5080" t="s">
        <v>301</v>
      </c>
      <c r="Z5080" t="s">
        <v>3128</v>
      </c>
      <c r="AA5080" s="2" t="s">
        <v>30745</v>
      </c>
      <c r="AB5080" t="s">
        <v>30746</v>
      </c>
      <c r="AC5080" t="s">
        <v>30747</v>
      </c>
      <c r="AG5080" t="s">
        <v>30748</v>
      </c>
      <c r="AH5080" t="s">
        <v>30749</v>
      </c>
      <c r="AI5080" t="s">
        <v>30750</v>
      </c>
    </row>
    <row r="5081" spans="2:35" ht="180">
      <c r="B5081" s="1">
        <v>45349</v>
      </c>
      <c r="C5081" s="4">
        <v>45349.592361111114</v>
      </c>
      <c r="D5081" t="s">
        <v>30751</v>
      </c>
      <c r="E5081" t="s">
        <v>30752</v>
      </c>
      <c r="F5081" t="s">
        <v>37</v>
      </c>
      <c r="G5081" t="s">
        <v>2499</v>
      </c>
      <c r="H5081" t="s">
        <v>39</v>
      </c>
      <c r="I5081" t="s">
        <v>40</v>
      </c>
      <c r="J5081" s="2" t="s">
        <v>41</v>
      </c>
      <c r="K5081" t="s">
        <v>42</v>
      </c>
      <c r="L5081" t="s">
        <v>15532</v>
      </c>
      <c r="N5081" t="s">
        <v>15533</v>
      </c>
      <c r="Q5081">
        <v>27464</v>
      </c>
      <c r="R5081" t="s">
        <v>45</v>
      </c>
      <c r="S5081" t="s">
        <v>30753</v>
      </c>
      <c r="T5081">
        <v>26</v>
      </c>
      <c r="U5081" s="2" t="s">
        <v>30754</v>
      </c>
      <c r="V5081" s="1">
        <v>45317</v>
      </c>
      <c r="W5081" t="s">
        <v>16496</v>
      </c>
      <c r="X5081">
        <v>838899</v>
      </c>
      <c r="Y5081" t="s">
        <v>30755</v>
      </c>
      <c r="Z5081" s="2" t="s">
        <v>30756</v>
      </c>
      <c r="AA5081" s="2" t="s">
        <v>30757</v>
      </c>
      <c r="AB5081" s="2" t="s">
        <v>15539</v>
      </c>
      <c r="AD5081" t="s">
        <v>30758</v>
      </c>
      <c r="AE5081" t="s">
        <v>30759</v>
      </c>
      <c r="AG5081" t="s">
        <v>30760</v>
      </c>
      <c r="AH5081" t="s">
        <v>30761</v>
      </c>
      <c r="AI5081" t="s">
        <v>30762</v>
      </c>
    </row>
    <row r="5082" spans="2:35" ht="105">
      <c r="B5082" s="1">
        <v>45349</v>
      </c>
      <c r="C5082" s="4">
        <v>45349.503472222219</v>
      </c>
      <c r="D5082" t="s">
        <v>30763</v>
      </c>
      <c r="E5082" t="s">
        <v>30764</v>
      </c>
      <c r="F5082">
        <v>13</v>
      </c>
      <c r="G5082" t="s">
        <v>7763</v>
      </c>
      <c r="H5082" t="s">
        <v>2125</v>
      </c>
      <c r="I5082" t="s">
        <v>40</v>
      </c>
      <c r="J5082" s="2" t="s">
        <v>1309</v>
      </c>
      <c r="K5082" t="s">
        <v>42</v>
      </c>
      <c r="L5082" t="s">
        <v>933</v>
      </c>
      <c r="N5082" t="s">
        <v>934</v>
      </c>
      <c r="Q5082">
        <v>27463</v>
      </c>
      <c r="R5082" t="s">
        <v>45</v>
      </c>
      <c r="S5082" t="s">
        <v>30765</v>
      </c>
      <c r="T5082">
        <v>23</v>
      </c>
      <c r="U5082" s="2" t="s">
        <v>1260</v>
      </c>
      <c r="W5082" t="s">
        <v>3662</v>
      </c>
      <c r="X5082">
        <v>805335</v>
      </c>
      <c r="Y5082" t="s">
        <v>30766</v>
      </c>
      <c r="Z5082" t="s">
        <v>301</v>
      </c>
      <c r="AA5082" t="s">
        <v>30767</v>
      </c>
      <c r="AB5082" t="s">
        <v>13650</v>
      </c>
      <c r="AG5082" t="s">
        <v>30768</v>
      </c>
      <c r="AH5082" t="s">
        <v>30769</v>
      </c>
      <c r="AI5082" t="s">
        <v>30770</v>
      </c>
    </row>
    <row r="5083" spans="2:35" ht="285">
      <c r="B5083" s="1">
        <v>45349</v>
      </c>
      <c r="C5083" s="4">
        <v>45349.408333333333</v>
      </c>
      <c r="D5083" t="s">
        <v>29843</v>
      </c>
      <c r="E5083" t="s">
        <v>30771</v>
      </c>
      <c r="F5083">
        <v>3</v>
      </c>
      <c r="G5083" t="s">
        <v>730</v>
      </c>
      <c r="H5083" t="s">
        <v>1498</v>
      </c>
      <c r="I5083" t="s">
        <v>40</v>
      </c>
      <c r="J5083" s="2" t="s">
        <v>41</v>
      </c>
      <c r="K5083" t="s">
        <v>42</v>
      </c>
      <c r="L5083" t="s">
        <v>135</v>
      </c>
      <c r="N5083" t="s">
        <v>136</v>
      </c>
      <c r="O5083" t="s">
        <v>136</v>
      </c>
      <c r="Q5083">
        <v>27462</v>
      </c>
      <c r="R5083" t="s">
        <v>45</v>
      </c>
      <c r="S5083" t="s">
        <v>29845</v>
      </c>
      <c r="T5083">
        <v>24</v>
      </c>
      <c r="U5083" s="2" t="s">
        <v>30772</v>
      </c>
      <c r="W5083" t="s">
        <v>2680</v>
      </c>
      <c r="X5083">
        <v>805108</v>
      </c>
      <c r="Y5083" t="s">
        <v>30773</v>
      </c>
      <c r="Z5083" s="2" t="s">
        <v>29539</v>
      </c>
      <c r="AA5083" s="2" t="s">
        <v>29540</v>
      </c>
      <c r="AB5083" s="2" t="s">
        <v>30774</v>
      </c>
      <c r="AG5083" t="s">
        <v>30775</v>
      </c>
      <c r="AH5083" t="s">
        <v>30776</v>
      </c>
      <c r="AI5083" t="s">
        <v>30777</v>
      </c>
    </row>
    <row r="5084" spans="2:35" ht="180">
      <c r="B5084" s="1">
        <v>45348</v>
      </c>
      <c r="C5084" s="4">
        <v>45336.43472222222</v>
      </c>
      <c r="D5084" t="s">
        <v>30778</v>
      </c>
      <c r="E5084" t="s">
        <v>16711</v>
      </c>
      <c r="F5084" t="s">
        <v>148</v>
      </c>
      <c r="G5084" t="s">
        <v>447</v>
      </c>
      <c r="H5084" t="s">
        <v>39</v>
      </c>
      <c r="I5084" t="s">
        <v>40</v>
      </c>
      <c r="J5084" s="2" t="s">
        <v>609</v>
      </c>
      <c r="K5084" t="s">
        <v>42</v>
      </c>
      <c r="L5084" t="s">
        <v>15532</v>
      </c>
      <c r="N5084" t="s">
        <v>15533</v>
      </c>
      <c r="Q5084">
        <v>27461</v>
      </c>
      <c r="R5084" t="s">
        <v>322</v>
      </c>
      <c r="S5084" t="s">
        <v>9279</v>
      </c>
      <c r="T5084">
        <v>29</v>
      </c>
      <c r="U5084" s="2" t="s">
        <v>30779</v>
      </c>
      <c r="W5084" t="s">
        <v>24467</v>
      </c>
      <c r="X5084">
        <v>120000577</v>
      </c>
      <c r="Y5084" s="2" t="s">
        <v>30780</v>
      </c>
      <c r="Z5084" s="2" t="s">
        <v>30781</v>
      </c>
      <c r="AA5084" s="2" t="s">
        <v>30782</v>
      </c>
      <c r="AB5084" s="2" t="s">
        <v>15539</v>
      </c>
      <c r="AG5084" t="s">
        <v>30783</v>
      </c>
      <c r="AH5084" t="s">
        <v>9282</v>
      </c>
      <c r="AI5084" t="s">
        <v>30784</v>
      </c>
    </row>
    <row r="5085" spans="2:35" ht="270">
      <c r="B5085" s="1">
        <v>45348</v>
      </c>
      <c r="C5085" s="4">
        <v>45344.489583333336</v>
      </c>
      <c r="D5085" t="s">
        <v>25805</v>
      </c>
      <c r="E5085" t="s">
        <v>30228</v>
      </c>
      <c r="F5085" t="s">
        <v>148</v>
      </c>
      <c r="G5085" t="s">
        <v>774</v>
      </c>
      <c r="H5085" t="s">
        <v>30220</v>
      </c>
      <c r="I5085" t="s">
        <v>40</v>
      </c>
      <c r="J5085" s="2" t="s">
        <v>62</v>
      </c>
      <c r="K5085" t="s">
        <v>42</v>
      </c>
      <c r="L5085" t="s">
        <v>1028</v>
      </c>
      <c r="N5085" t="s">
        <v>1029</v>
      </c>
      <c r="O5085" t="s">
        <v>30221</v>
      </c>
      <c r="Q5085">
        <v>27459</v>
      </c>
      <c r="R5085" t="s">
        <v>45</v>
      </c>
      <c r="S5085" t="s">
        <v>30222</v>
      </c>
      <c r="T5085">
        <v>28</v>
      </c>
      <c r="U5085" s="2" t="s">
        <v>29605</v>
      </c>
      <c r="W5085" t="s">
        <v>1967</v>
      </c>
      <c r="X5085">
        <v>807606</v>
      </c>
      <c r="Y5085" t="s">
        <v>18140</v>
      </c>
      <c r="Z5085" t="s">
        <v>21244</v>
      </c>
      <c r="AA5085" s="2" t="s">
        <v>30224</v>
      </c>
      <c r="AB5085" t="s">
        <v>30229</v>
      </c>
      <c r="AC5085" t="s">
        <v>30230</v>
      </c>
      <c r="AG5085" t="s">
        <v>30785</v>
      </c>
      <c r="AH5085" t="s">
        <v>29167</v>
      </c>
      <c r="AI5085" t="s">
        <v>30786</v>
      </c>
    </row>
    <row r="5086" spans="2:35" ht="270">
      <c r="B5086" s="1">
        <v>45348</v>
      </c>
      <c r="C5086" s="4">
        <v>45345.604166666664</v>
      </c>
      <c r="D5086" t="s">
        <v>30233</v>
      </c>
      <c r="E5086" t="s">
        <v>30241</v>
      </c>
      <c r="F5086" t="s">
        <v>37</v>
      </c>
      <c r="G5086" t="s">
        <v>748</v>
      </c>
      <c r="H5086" t="s">
        <v>39</v>
      </c>
      <c r="I5086" t="s">
        <v>40</v>
      </c>
      <c r="J5086" s="2" t="s">
        <v>62</v>
      </c>
      <c r="K5086" t="s">
        <v>42</v>
      </c>
      <c r="L5086" t="s">
        <v>1028</v>
      </c>
      <c r="N5086" t="s">
        <v>1029</v>
      </c>
      <c r="Q5086">
        <v>27460</v>
      </c>
      <c r="R5086" t="s">
        <v>45</v>
      </c>
      <c r="S5086" t="s">
        <v>30235</v>
      </c>
      <c r="T5086">
        <v>27</v>
      </c>
      <c r="U5086" s="2" t="s">
        <v>30242</v>
      </c>
      <c r="W5086" t="s">
        <v>1967</v>
      </c>
      <c r="X5086">
        <v>838162</v>
      </c>
      <c r="Y5086" t="s">
        <v>18140</v>
      </c>
      <c r="Z5086" t="s">
        <v>21244</v>
      </c>
      <c r="AA5086" s="2" t="s">
        <v>30236</v>
      </c>
      <c r="AB5086" t="s">
        <v>3063</v>
      </c>
      <c r="AG5086" t="s">
        <v>30787</v>
      </c>
      <c r="AH5086" t="s">
        <v>30239</v>
      </c>
      <c r="AI5086" t="s">
        <v>30788</v>
      </c>
    </row>
    <row r="5087" spans="2:35" ht="270">
      <c r="B5087" s="1">
        <v>45348</v>
      </c>
      <c r="C5087" s="4">
        <v>45344.481944444444</v>
      </c>
      <c r="D5087" t="s">
        <v>25805</v>
      </c>
      <c r="E5087" t="s">
        <v>30219</v>
      </c>
      <c r="F5087" t="s">
        <v>148</v>
      </c>
      <c r="G5087" t="s">
        <v>774</v>
      </c>
      <c r="H5087" t="s">
        <v>30220</v>
      </c>
      <c r="I5087" t="s">
        <v>40</v>
      </c>
      <c r="J5087" s="2" t="s">
        <v>62</v>
      </c>
      <c r="K5087" t="s">
        <v>42</v>
      </c>
      <c r="L5087" t="s">
        <v>1028</v>
      </c>
      <c r="N5087" t="s">
        <v>1029</v>
      </c>
      <c r="O5087" t="s">
        <v>30221</v>
      </c>
      <c r="Q5087">
        <v>27458</v>
      </c>
      <c r="R5087" t="s">
        <v>45</v>
      </c>
      <c r="S5087" t="s">
        <v>30222</v>
      </c>
      <c r="T5087">
        <v>27</v>
      </c>
      <c r="U5087" s="2" t="s">
        <v>30223</v>
      </c>
      <c r="W5087" t="s">
        <v>1032</v>
      </c>
      <c r="X5087">
        <v>848244</v>
      </c>
      <c r="Y5087" t="s">
        <v>18140</v>
      </c>
      <c r="Z5087" t="s">
        <v>21244</v>
      </c>
      <c r="AA5087" s="2" t="s">
        <v>30224</v>
      </c>
      <c r="AB5087" t="s">
        <v>3063</v>
      </c>
      <c r="AC5087" t="s">
        <v>30225</v>
      </c>
      <c r="AG5087" t="s">
        <v>30789</v>
      </c>
      <c r="AH5087" t="s">
        <v>29167</v>
      </c>
      <c r="AI5087" t="s">
        <v>30790</v>
      </c>
    </row>
    <row r="5088" spans="2:35" ht="270">
      <c r="B5088" s="1">
        <v>45348</v>
      </c>
      <c r="C5088" s="4">
        <v>45345.590277777781</v>
      </c>
      <c r="D5088" t="s">
        <v>30233</v>
      </c>
      <c r="E5088" t="s">
        <v>30234</v>
      </c>
      <c r="F5088" t="s">
        <v>37</v>
      </c>
      <c r="G5088" t="s">
        <v>748</v>
      </c>
      <c r="H5088" t="s">
        <v>39</v>
      </c>
      <c r="I5088" t="s">
        <v>40</v>
      </c>
      <c r="J5088" s="2" t="s">
        <v>62</v>
      </c>
      <c r="K5088" t="s">
        <v>42</v>
      </c>
      <c r="L5088" t="s">
        <v>1028</v>
      </c>
      <c r="N5088" t="s">
        <v>1029</v>
      </c>
      <c r="Q5088">
        <v>27457</v>
      </c>
      <c r="R5088" t="s">
        <v>45</v>
      </c>
      <c r="S5088" t="s">
        <v>30235</v>
      </c>
      <c r="T5088">
        <v>24</v>
      </c>
      <c r="W5088" t="s">
        <v>1967</v>
      </c>
      <c r="X5088">
        <v>812835</v>
      </c>
      <c r="Y5088" t="s">
        <v>18140</v>
      </c>
      <c r="Z5088" t="s">
        <v>21244</v>
      </c>
      <c r="AA5088" s="2" t="s">
        <v>30236</v>
      </c>
      <c r="AB5088" t="s">
        <v>28913</v>
      </c>
      <c r="AC5088" t="s">
        <v>30237</v>
      </c>
      <c r="AG5088" t="s">
        <v>30791</v>
      </c>
      <c r="AH5088" t="s">
        <v>30239</v>
      </c>
      <c r="AI5088" t="s">
        <v>30792</v>
      </c>
    </row>
    <row r="5089" spans="2:35" ht="270">
      <c r="B5089" s="1">
        <v>45348</v>
      </c>
      <c r="C5089" s="4">
        <v>45344.370833333334</v>
      </c>
      <c r="D5089" t="s">
        <v>5158</v>
      </c>
      <c r="E5089" t="s">
        <v>15744</v>
      </c>
      <c r="F5089" t="s">
        <v>148</v>
      </c>
      <c r="G5089" t="s">
        <v>310</v>
      </c>
      <c r="H5089" t="s">
        <v>61</v>
      </c>
      <c r="I5089" t="s">
        <v>40</v>
      </c>
      <c r="J5089" t="s">
        <v>109</v>
      </c>
      <c r="K5089" t="s">
        <v>42</v>
      </c>
      <c r="L5089" t="s">
        <v>1028</v>
      </c>
      <c r="N5089" t="s">
        <v>1029</v>
      </c>
      <c r="Q5089">
        <v>27456</v>
      </c>
      <c r="R5089" t="s">
        <v>119</v>
      </c>
      <c r="S5089" t="s">
        <v>14635</v>
      </c>
      <c r="T5089">
        <v>24</v>
      </c>
      <c r="U5089" s="2" t="s">
        <v>30216</v>
      </c>
      <c r="W5089" t="s">
        <v>1967</v>
      </c>
      <c r="X5089">
        <v>831530</v>
      </c>
      <c r="Y5089" t="s">
        <v>3127</v>
      </c>
      <c r="Z5089" t="s">
        <v>3128</v>
      </c>
      <c r="AA5089" s="2" t="s">
        <v>30191</v>
      </c>
      <c r="AB5089" t="s">
        <v>3063</v>
      </c>
      <c r="AG5089" t="s">
        <v>30793</v>
      </c>
      <c r="AH5089" t="s">
        <v>5165</v>
      </c>
      <c r="AI5089" t="s">
        <v>30794</v>
      </c>
    </row>
    <row r="5090" spans="2:35" ht="105">
      <c r="B5090" s="1">
        <v>45348</v>
      </c>
      <c r="C5090" s="4">
        <v>45343.397916666669</v>
      </c>
      <c r="D5090" t="s">
        <v>7219</v>
      </c>
      <c r="E5090" t="s">
        <v>17203</v>
      </c>
      <c r="F5090" t="s">
        <v>148</v>
      </c>
      <c r="G5090" t="s">
        <v>310</v>
      </c>
      <c r="H5090" t="s">
        <v>39</v>
      </c>
      <c r="I5090" t="s">
        <v>40</v>
      </c>
      <c r="J5090" t="s">
        <v>321</v>
      </c>
      <c r="K5090" t="s">
        <v>42</v>
      </c>
      <c r="L5090" t="s">
        <v>1028</v>
      </c>
      <c r="N5090" t="s">
        <v>1029</v>
      </c>
      <c r="Q5090">
        <v>27453</v>
      </c>
      <c r="R5090" t="s">
        <v>45</v>
      </c>
      <c r="S5090" t="s">
        <v>30245</v>
      </c>
      <c r="T5090">
        <v>24</v>
      </c>
      <c r="W5090" t="s">
        <v>1032</v>
      </c>
      <c r="X5090">
        <v>120000475</v>
      </c>
      <c r="Y5090" t="s">
        <v>29377</v>
      </c>
      <c r="Z5090" t="s">
        <v>13110</v>
      </c>
      <c r="AA5090" s="2" t="s">
        <v>30246</v>
      </c>
      <c r="AB5090" t="s">
        <v>3063</v>
      </c>
      <c r="AG5090" t="s">
        <v>30795</v>
      </c>
      <c r="AH5090" t="s">
        <v>30248</v>
      </c>
      <c r="AI5090" t="s">
        <v>30796</v>
      </c>
    </row>
    <row r="5091" spans="2:35" ht="240">
      <c r="B5091" s="1">
        <v>45348</v>
      </c>
      <c r="C5091" s="4">
        <v>45344.364583333336</v>
      </c>
      <c r="D5091" t="s">
        <v>5158</v>
      </c>
      <c r="E5091" t="s">
        <v>30189</v>
      </c>
      <c r="F5091" t="s">
        <v>148</v>
      </c>
      <c r="G5091" t="s">
        <v>310</v>
      </c>
      <c r="H5091" t="s">
        <v>61</v>
      </c>
      <c r="I5091" t="s">
        <v>40</v>
      </c>
      <c r="J5091" t="s">
        <v>109</v>
      </c>
      <c r="K5091" t="s">
        <v>42</v>
      </c>
      <c r="L5091" t="s">
        <v>1028</v>
      </c>
      <c r="N5091" t="s">
        <v>1029</v>
      </c>
      <c r="Q5091">
        <v>27452</v>
      </c>
      <c r="R5091" t="s">
        <v>322</v>
      </c>
      <c r="S5091" t="s">
        <v>14635</v>
      </c>
      <c r="T5091">
        <v>24</v>
      </c>
      <c r="U5091" s="2" t="s">
        <v>30190</v>
      </c>
      <c r="W5091" t="s">
        <v>5169</v>
      </c>
      <c r="X5091">
        <v>110013856</v>
      </c>
      <c r="Y5091" t="s">
        <v>3127</v>
      </c>
      <c r="Z5091" t="s">
        <v>3128</v>
      </c>
      <c r="AA5091" s="2" t="s">
        <v>30191</v>
      </c>
      <c r="AB5091" t="s">
        <v>30192</v>
      </c>
      <c r="AG5091" t="s">
        <v>30797</v>
      </c>
      <c r="AH5091" t="s">
        <v>5165</v>
      </c>
      <c r="AI5091" t="s">
        <v>30798</v>
      </c>
    </row>
    <row r="5092" spans="2:35" ht="409.5">
      <c r="B5092" s="1">
        <v>45348</v>
      </c>
      <c r="C5092" s="4">
        <v>45343.622916666667</v>
      </c>
      <c r="D5092" t="s">
        <v>9540</v>
      </c>
      <c r="E5092" t="s">
        <v>9541</v>
      </c>
      <c r="F5092" t="s">
        <v>148</v>
      </c>
      <c r="G5092" t="s">
        <v>4786</v>
      </c>
      <c r="H5092" t="s">
        <v>39</v>
      </c>
      <c r="I5092" t="s">
        <v>40</v>
      </c>
      <c r="J5092" s="2" t="s">
        <v>62</v>
      </c>
      <c r="K5092" t="s">
        <v>42</v>
      </c>
      <c r="L5092" t="s">
        <v>1028</v>
      </c>
      <c r="N5092" t="s">
        <v>1029</v>
      </c>
      <c r="Q5092">
        <v>27455</v>
      </c>
      <c r="R5092" t="s">
        <v>95</v>
      </c>
      <c r="S5092" t="s">
        <v>10335</v>
      </c>
      <c r="T5092">
        <v>27</v>
      </c>
      <c r="U5092" s="2" t="s">
        <v>30195</v>
      </c>
      <c r="V5092" s="1">
        <v>45338</v>
      </c>
      <c r="W5092" t="s">
        <v>1967</v>
      </c>
      <c r="X5092">
        <v>831316</v>
      </c>
      <c r="Y5092" t="s">
        <v>18140</v>
      </c>
      <c r="Z5092" t="s">
        <v>21244</v>
      </c>
      <c r="AA5092" s="2" t="s">
        <v>30196</v>
      </c>
      <c r="AB5092" t="s">
        <v>30197</v>
      </c>
      <c r="AC5092" t="s">
        <v>30198</v>
      </c>
      <c r="AD5092" t="s">
        <v>7189</v>
      </c>
      <c r="AE5092" t="s">
        <v>30199</v>
      </c>
      <c r="AG5092" t="s">
        <v>30799</v>
      </c>
      <c r="AH5092" t="s">
        <v>18622</v>
      </c>
      <c r="AI5092" t="s">
        <v>30800</v>
      </c>
    </row>
    <row r="5093" spans="2:35" ht="270">
      <c r="B5093" s="1">
        <v>45348</v>
      </c>
      <c r="C5093" s="4">
        <v>45344.368055555555</v>
      </c>
      <c r="D5093" t="s">
        <v>5158</v>
      </c>
      <c r="E5093" t="s">
        <v>30211</v>
      </c>
      <c r="F5093" t="s">
        <v>148</v>
      </c>
      <c r="G5093" t="s">
        <v>310</v>
      </c>
      <c r="H5093" t="s">
        <v>61</v>
      </c>
      <c r="I5093" t="s">
        <v>40</v>
      </c>
      <c r="J5093" t="s">
        <v>109</v>
      </c>
      <c r="K5093" t="s">
        <v>42</v>
      </c>
      <c r="L5093" t="s">
        <v>1028</v>
      </c>
      <c r="N5093" t="s">
        <v>1029</v>
      </c>
      <c r="Q5093">
        <v>27454</v>
      </c>
      <c r="R5093" t="s">
        <v>322</v>
      </c>
      <c r="S5093" t="s">
        <v>30212</v>
      </c>
      <c r="T5093">
        <v>24</v>
      </c>
      <c r="U5093" s="2" t="s">
        <v>30213</v>
      </c>
      <c r="W5093" t="s">
        <v>1032</v>
      </c>
      <c r="X5093">
        <v>110014099</v>
      </c>
      <c r="Y5093" t="s">
        <v>3127</v>
      </c>
      <c r="Z5093" t="s">
        <v>3128</v>
      </c>
      <c r="AA5093" s="2" t="s">
        <v>30191</v>
      </c>
      <c r="AB5093" t="s">
        <v>3063</v>
      </c>
      <c r="AG5093" t="s">
        <v>30801</v>
      </c>
      <c r="AH5093" t="s">
        <v>5165</v>
      </c>
      <c r="AI5093" t="s">
        <v>30802</v>
      </c>
    </row>
    <row r="5094" spans="2:35" ht="60">
      <c r="B5094" s="1">
        <v>45348</v>
      </c>
      <c r="C5094" s="4">
        <v>45348.618055555555</v>
      </c>
      <c r="D5094" t="s">
        <v>30803</v>
      </c>
      <c r="E5094" t="s">
        <v>30804</v>
      </c>
      <c r="F5094" t="s">
        <v>148</v>
      </c>
      <c r="G5094" t="s">
        <v>447</v>
      </c>
      <c r="H5094" t="s">
        <v>28349</v>
      </c>
      <c r="I5094" t="s">
        <v>40</v>
      </c>
      <c r="J5094" t="s">
        <v>583</v>
      </c>
      <c r="K5094" t="s">
        <v>2629</v>
      </c>
      <c r="L5094" t="s">
        <v>409</v>
      </c>
      <c r="N5094" t="s">
        <v>410</v>
      </c>
      <c r="Q5094">
        <v>27451</v>
      </c>
      <c r="R5094" t="s">
        <v>95</v>
      </c>
      <c r="S5094" t="s">
        <v>410</v>
      </c>
      <c r="T5094">
        <v>26</v>
      </c>
      <c r="W5094" t="s">
        <v>18040</v>
      </c>
      <c r="X5094">
        <v>3116008122</v>
      </c>
      <c r="Y5094" t="s">
        <v>301</v>
      </c>
      <c r="Z5094" t="s">
        <v>301</v>
      </c>
      <c r="AA5094" s="2" t="s">
        <v>30805</v>
      </c>
      <c r="AB5094" t="s">
        <v>30806</v>
      </c>
      <c r="AC5094" t="s">
        <v>30807</v>
      </c>
      <c r="AG5094" t="s">
        <v>30808</v>
      </c>
      <c r="AH5094" t="s">
        <v>449</v>
      </c>
      <c r="AI5094" t="s">
        <v>30809</v>
      </c>
    </row>
    <row r="5095" spans="2:35" ht="90">
      <c r="B5095" s="1">
        <v>45348</v>
      </c>
      <c r="C5095" s="4">
        <v>45348.612500000003</v>
      </c>
      <c r="D5095" t="s">
        <v>30803</v>
      </c>
      <c r="E5095" t="s">
        <v>30804</v>
      </c>
      <c r="F5095" t="s">
        <v>148</v>
      </c>
      <c r="G5095" t="s">
        <v>447</v>
      </c>
      <c r="H5095" t="s">
        <v>28349</v>
      </c>
      <c r="I5095" t="s">
        <v>40</v>
      </c>
      <c r="J5095" t="s">
        <v>583</v>
      </c>
      <c r="K5095" t="s">
        <v>2629</v>
      </c>
      <c r="L5095" t="s">
        <v>409</v>
      </c>
      <c r="N5095" t="s">
        <v>410</v>
      </c>
      <c r="Q5095">
        <v>27450</v>
      </c>
      <c r="R5095" t="s">
        <v>95</v>
      </c>
      <c r="S5095" t="s">
        <v>410</v>
      </c>
      <c r="T5095">
        <v>26</v>
      </c>
      <c r="W5095" t="s">
        <v>18040</v>
      </c>
      <c r="X5095">
        <v>3116007598</v>
      </c>
      <c r="Y5095" t="s">
        <v>30810</v>
      </c>
      <c r="Z5095" t="s">
        <v>301</v>
      </c>
      <c r="AA5095" s="2" t="s">
        <v>30811</v>
      </c>
      <c r="AB5095" t="s">
        <v>30812</v>
      </c>
      <c r="AC5095" t="s">
        <v>30807</v>
      </c>
      <c r="AG5095" t="s">
        <v>30813</v>
      </c>
      <c r="AH5095" t="s">
        <v>449</v>
      </c>
      <c r="AI5095" t="s">
        <v>30814</v>
      </c>
    </row>
    <row r="5096" spans="2:35" ht="105">
      <c r="B5096" s="1">
        <v>45348</v>
      </c>
      <c r="C5096" s="4">
        <v>45348.543055555558</v>
      </c>
      <c r="D5096" t="s">
        <v>8160</v>
      </c>
      <c r="E5096" t="s">
        <v>15636</v>
      </c>
      <c r="F5096">
        <v>11</v>
      </c>
      <c r="G5096" t="s">
        <v>1205</v>
      </c>
      <c r="H5096" t="s">
        <v>202</v>
      </c>
      <c r="I5096" t="s">
        <v>40</v>
      </c>
      <c r="J5096" s="2" t="s">
        <v>355</v>
      </c>
      <c r="K5096" t="s">
        <v>42</v>
      </c>
      <c r="L5096" t="s">
        <v>204</v>
      </c>
      <c r="N5096" t="s">
        <v>205</v>
      </c>
      <c r="Q5096">
        <v>27449</v>
      </c>
      <c r="R5096" t="s">
        <v>119</v>
      </c>
      <c r="S5096" t="s">
        <v>8162</v>
      </c>
      <c r="T5096">
        <v>24.5</v>
      </c>
      <c r="U5096" s="2" t="s">
        <v>30815</v>
      </c>
      <c r="W5096" t="s">
        <v>23237</v>
      </c>
      <c r="X5096">
        <v>838401</v>
      </c>
      <c r="Y5096" t="s">
        <v>30816</v>
      </c>
      <c r="Z5096" t="s">
        <v>30817</v>
      </c>
      <c r="AA5096" t="s">
        <v>25174</v>
      </c>
      <c r="AB5096" t="s">
        <v>30818</v>
      </c>
      <c r="AC5096" t="s">
        <v>30819</v>
      </c>
      <c r="AG5096" t="s">
        <v>30820</v>
      </c>
      <c r="AH5096" t="s">
        <v>19818</v>
      </c>
      <c r="AI5096" t="s">
        <v>30821</v>
      </c>
    </row>
    <row r="5097" spans="2:35" ht="180">
      <c r="B5097" s="1">
        <v>45348</v>
      </c>
      <c r="C5097" s="4">
        <v>45348.604861111111</v>
      </c>
      <c r="D5097" t="s">
        <v>30803</v>
      </c>
      <c r="E5097" t="s">
        <v>30804</v>
      </c>
      <c r="F5097" t="s">
        <v>148</v>
      </c>
      <c r="G5097" t="s">
        <v>447</v>
      </c>
      <c r="H5097" t="s">
        <v>28349</v>
      </c>
      <c r="I5097" t="s">
        <v>40</v>
      </c>
      <c r="J5097" s="2" t="s">
        <v>355</v>
      </c>
      <c r="K5097" t="s">
        <v>2629</v>
      </c>
      <c r="L5097" t="s">
        <v>409</v>
      </c>
      <c r="N5097" t="s">
        <v>410</v>
      </c>
      <c r="Q5097">
        <v>27448</v>
      </c>
      <c r="R5097" t="s">
        <v>95</v>
      </c>
      <c r="S5097" t="s">
        <v>410</v>
      </c>
      <c r="T5097">
        <v>26</v>
      </c>
      <c r="W5097" t="s">
        <v>30822</v>
      </c>
      <c r="X5097">
        <v>3116008129</v>
      </c>
      <c r="Y5097" t="s">
        <v>30823</v>
      </c>
      <c r="Z5097" t="s">
        <v>301</v>
      </c>
      <c r="AA5097" s="2" t="s">
        <v>30824</v>
      </c>
      <c r="AB5097" t="s">
        <v>30825</v>
      </c>
      <c r="AC5097" t="s">
        <v>30807</v>
      </c>
      <c r="AG5097" t="s">
        <v>30826</v>
      </c>
      <c r="AH5097" t="s">
        <v>449</v>
      </c>
      <c r="AI5097" t="s">
        <v>30827</v>
      </c>
    </row>
    <row r="5098" spans="2:35" ht="60">
      <c r="B5098" s="1">
        <v>45348</v>
      </c>
      <c r="C5098" s="4">
        <v>45348.598611111112</v>
      </c>
      <c r="D5098" t="s">
        <v>30803</v>
      </c>
      <c r="E5098" t="s">
        <v>30804</v>
      </c>
      <c r="F5098" t="s">
        <v>148</v>
      </c>
      <c r="G5098" t="s">
        <v>447</v>
      </c>
      <c r="H5098" t="s">
        <v>28349</v>
      </c>
      <c r="I5098" t="s">
        <v>40</v>
      </c>
      <c r="J5098" t="s">
        <v>583</v>
      </c>
      <c r="K5098" t="s">
        <v>2629</v>
      </c>
      <c r="L5098" t="s">
        <v>409</v>
      </c>
      <c r="N5098" t="s">
        <v>410</v>
      </c>
      <c r="Q5098">
        <v>27447</v>
      </c>
      <c r="R5098" t="s">
        <v>95</v>
      </c>
      <c r="S5098" t="s">
        <v>410</v>
      </c>
      <c r="T5098">
        <v>26</v>
      </c>
      <c r="W5098" t="s">
        <v>30828</v>
      </c>
      <c r="X5098">
        <v>41091</v>
      </c>
      <c r="Y5098" t="s">
        <v>301</v>
      </c>
      <c r="Z5098" t="s">
        <v>17413</v>
      </c>
      <c r="AA5098" s="2" t="s">
        <v>30805</v>
      </c>
      <c r="AB5098" t="s">
        <v>30829</v>
      </c>
      <c r="AC5098" t="s">
        <v>30807</v>
      </c>
      <c r="AG5098" t="s">
        <v>30830</v>
      </c>
      <c r="AH5098" t="s">
        <v>449</v>
      </c>
      <c r="AI5098" t="s">
        <v>30831</v>
      </c>
    </row>
    <row r="5099" spans="2:35" ht="60">
      <c r="B5099" s="1">
        <v>45348</v>
      </c>
      <c r="C5099" s="4">
        <v>45348.595833333333</v>
      </c>
      <c r="D5099" t="s">
        <v>30803</v>
      </c>
      <c r="E5099" t="s">
        <v>30804</v>
      </c>
      <c r="F5099" t="s">
        <v>148</v>
      </c>
      <c r="G5099" t="s">
        <v>447</v>
      </c>
      <c r="H5099" t="s">
        <v>28339</v>
      </c>
      <c r="I5099" t="s">
        <v>40</v>
      </c>
      <c r="J5099" t="s">
        <v>583</v>
      </c>
      <c r="K5099" t="s">
        <v>2629</v>
      </c>
      <c r="L5099" t="s">
        <v>409</v>
      </c>
      <c r="N5099" t="s">
        <v>410</v>
      </c>
      <c r="Q5099">
        <v>27446</v>
      </c>
      <c r="R5099" t="s">
        <v>95</v>
      </c>
      <c r="S5099" t="s">
        <v>410</v>
      </c>
      <c r="T5099">
        <v>28</v>
      </c>
      <c r="W5099" t="s">
        <v>30832</v>
      </c>
      <c r="X5099">
        <v>462838</v>
      </c>
      <c r="Y5099" t="s">
        <v>301</v>
      </c>
      <c r="Z5099" t="s">
        <v>301</v>
      </c>
      <c r="AA5099" s="2" t="s">
        <v>30805</v>
      </c>
      <c r="AB5099" t="s">
        <v>181</v>
      </c>
      <c r="AC5099" t="s">
        <v>30807</v>
      </c>
      <c r="AG5099" t="s">
        <v>30833</v>
      </c>
      <c r="AH5099" t="s">
        <v>449</v>
      </c>
      <c r="AI5099" t="s">
        <v>30834</v>
      </c>
    </row>
    <row r="5100" spans="2:35" ht="60">
      <c r="B5100" s="1">
        <v>45348</v>
      </c>
      <c r="C5100" s="4">
        <v>45348.592361111114</v>
      </c>
      <c r="D5100" t="s">
        <v>30803</v>
      </c>
      <c r="E5100" t="s">
        <v>30804</v>
      </c>
      <c r="F5100" t="s">
        <v>148</v>
      </c>
      <c r="G5100" t="s">
        <v>447</v>
      </c>
      <c r="H5100" t="s">
        <v>28339</v>
      </c>
      <c r="I5100" t="s">
        <v>40</v>
      </c>
      <c r="J5100" t="s">
        <v>583</v>
      </c>
      <c r="K5100" t="s">
        <v>2629</v>
      </c>
      <c r="L5100" t="s">
        <v>409</v>
      </c>
      <c r="N5100" t="s">
        <v>410</v>
      </c>
      <c r="Q5100">
        <v>27445</v>
      </c>
      <c r="R5100" t="s">
        <v>95</v>
      </c>
      <c r="S5100" t="s">
        <v>410</v>
      </c>
      <c r="T5100">
        <v>28</v>
      </c>
      <c r="W5100" t="s">
        <v>30832</v>
      </c>
      <c r="X5100">
        <v>466147</v>
      </c>
      <c r="Y5100" t="s">
        <v>301</v>
      </c>
      <c r="Z5100" t="s">
        <v>301</v>
      </c>
      <c r="AA5100" s="2" t="s">
        <v>30835</v>
      </c>
      <c r="AB5100" t="s">
        <v>181</v>
      </c>
      <c r="AC5100" t="s">
        <v>30807</v>
      </c>
      <c r="AG5100" t="s">
        <v>30836</v>
      </c>
      <c r="AH5100" t="s">
        <v>449</v>
      </c>
      <c r="AI5100" t="s">
        <v>30837</v>
      </c>
    </row>
    <row r="5101" spans="2:35" ht="120">
      <c r="B5101" s="1">
        <v>45348</v>
      </c>
      <c r="C5101" s="4">
        <v>45348.581250000003</v>
      </c>
      <c r="D5101" t="s">
        <v>30803</v>
      </c>
      <c r="E5101" t="s">
        <v>30804</v>
      </c>
      <c r="F5101" t="s">
        <v>148</v>
      </c>
      <c r="G5101" t="s">
        <v>447</v>
      </c>
      <c r="H5101" t="s">
        <v>28349</v>
      </c>
      <c r="I5101" t="s">
        <v>40</v>
      </c>
      <c r="J5101" s="2" t="s">
        <v>355</v>
      </c>
      <c r="K5101" t="s">
        <v>2629</v>
      </c>
      <c r="L5101" t="s">
        <v>409</v>
      </c>
      <c r="N5101" t="s">
        <v>410</v>
      </c>
      <c r="Q5101">
        <v>27444</v>
      </c>
      <c r="R5101" t="s">
        <v>95</v>
      </c>
      <c r="S5101" t="s">
        <v>410</v>
      </c>
      <c r="T5101">
        <v>26</v>
      </c>
      <c r="W5101" t="s">
        <v>30832</v>
      </c>
      <c r="X5101">
        <v>466210</v>
      </c>
      <c r="Y5101" t="s">
        <v>30838</v>
      </c>
      <c r="Z5101" t="s">
        <v>301</v>
      </c>
      <c r="AA5101" s="2" t="s">
        <v>30839</v>
      </c>
      <c r="AB5101" t="s">
        <v>30840</v>
      </c>
      <c r="AC5101" t="s">
        <v>30807</v>
      </c>
      <c r="AG5101" t="s">
        <v>30841</v>
      </c>
      <c r="AH5101" t="s">
        <v>449</v>
      </c>
      <c r="AI5101" t="s">
        <v>30842</v>
      </c>
    </row>
    <row r="5102" spans="2:35" ht="120">
      <c r="B5102" s="1">
        <v>45348</v>
      </c>
      <c r="C5102" s="4">
        <v>45348.568749999999</v>
      </c>
      <c r="D5102" t="s">
        <v>30803</v>
      </c>
      <c r="E5102" t="s">
        <v>30804</v>
      </c>
      <c r="F5102" t="s">
        <v>148</v>
      </c>
      <c r="G5102" t="s">
        <v>447</v>
      </c>
      <c r="H5102" t="s">
        <v>28349</v>
      </c>
      <c r="I5102" t="s">
        <v>40</v>
      </c>
      <c r="J5102" s="2" t="s">
        <v>355</v>
      </c>
      <c r="K5102" t="s">
        <v>2629</v>
      </c>
      <c r="L5102" t="s">
        <v>409</v>
      </c>
      <c r="N5102" t="s">
        <v>410</v>
      </c>
      <c r="Q5102">
        <v>27443</v>
      </c>
      <c r="R5102" t="s">
        <v>95</v>
      </c>
      <c r="S5102" t="s">
        <v>410</v>
      </c>
      <c r="T5102">
        <v>26</v>
      </c>
      <c r="W5102" t="s">
        <v>30832</v>
      </c>
      <c r="X5102">
        <v>466151</v>
      </c>
      <c r="Y5102" t="s">
        <v>30843</v>
      </c>
      <c r="Z5102" t="s">
        <v>301</v>
      </c>
      <c r="AA5102" s="2" t="s">
        <v>30844</v>
      </c>
      <c r="AB5102" t="s">
        <v>30845</v>
      </c>
      <c r="AC5102" t="s">
        <v>30807</v>
      </c>
      <c r="AG5102" t="s">
        <v>30846</v>
      </c>
      <c r="AH5102" t="s">
        <v>449</v>
      </c>
      <c r="AI5102" t="s">
        <v>30847</v>
      </c>
    </row>
    <row r="5103" spans="2:35" ht="240">
      <c r="B5103" s="1">
        <v>45348</v>
      </c>
      <c r="C5103" s="4">
        <v>45348.564583333333</v>
      </c>
      <c r="D5103" t="s">
        <v>8654</v>
      </c>
      <c r="E5103" t="s">
        <v>8655</v>
      </c>
      <c r="F5103">
        <v>8</v>
      </c>
      <c r="G5103" t="s">
        <v>257</v>
      </c>
      <c r="H5103" t="s">
        <v>202</v>
      </c>
      <c r="I5103" t="s">
        <v>40</v>
      </c>
      <c r="J5103" t="s">
        <v>109</v>
      </c>
      <c r="K5103" t="s">
        <v>42</v>
      </c>
      <c r="L5103" t="s">
        <v>259</v>
      </c>
      <c r="N5103" t="s">
        <v>260</v>
      </c>
      <c r="O5103" t="s">
        <v>260</v>
      </c>
      <c r="Q5103">
        <v>27442</v>
      </c>
      <c r="R5103" t="s">
        <v>119</v>
      </c>
      <c r="S5103" t="s">
        <v>30848</v>
      </c>
      <c r="T5103">
        <v>27</v>
      </c>
      <c r="U5103" s="2" t="s">
        <v>13567</v>
      </c>
      <c r="V5103" s="1">
        <v>45348</v>
      </c>
      <c r="W5103" t="s">
        <v>84</v>
      </c>
      <c r="X5103">
        <v>838409</v>
      </c>
      <c r="Y5103" t="s">
        <v>263</v>
      </c>
      <c r="Z5103" t="s">
        <v>263</v>
      </c>
      <c r="AA5103" s="2" t="s">
        <v>30849</v>
      </c>
      <c r="AB5103" t="s">
        <v>70</v>
      </c>
      <c r="AG5103" t="s">
        <v>30850</v>
      </c>
      <c r="AH5103" t="s">
        <v>30851</v>
      </c>
      <c r="AI5103" t="s">
        <v>30852</v>
      </c>
    </row>
    <row r="5104" spans="2:35" ht="60">
      <c r="B5104" s="1">
        <v>45348</v>
      </c>
      <c r="C5104" s="4">
        <v>45344.432638888888</v>
      </c>
      <c r="D5104" t="s">
        <v>30853</v>
      </c>
      <c r="E5104" t="s">
        <v>18404</v>
      </c>
      <c r="F5104">
        <v>7</v>
      </c>
      <c r="G5104" t="s">
        <v>6529</v>
      </c>
      <c r="H5104" t="s">
        <v>39</v>
      </c>
      <c r="I5104" t="s">
        <v>40</v>
      </c>
      <c r="J5104" s="2" t="s">
        <v>760</v>
      </c>
      <c r="K5104" t="s">
        <v>42</v>
      </c>
      <c r="L5104" t="s">
        <v>433</v>
      </c>
      <c r="N5104" t="s">
        <v>434</v>
      </c>
      <c r="Q5104">
        <v>27441</v>
      </c>
      <c r="R5104" t="s">
        <v>119</v>
      </c>
      <c r="S5104" t="s">
        <v>27886</v>
      </c>
      <c r="T5104">
        <v>28</v>
      </c>
      <c r="W5104" t="s">
        <v>502</v>
      </c>
      <c r="X5104">
        <v>820228</v>
      </c>
      <c r="Y5104" t="s">
        <v>30854</v>
      </c>
      <c r="Z5104" t="s">
        <v>30855</v>
      </c>
      <c r="AA5104" t="s">
        <v>30856</v>
      </c>
      <c r="AB5104" t="s">
        <v>30857</v>
      </c>
      <c r="AG5104" t="s">
        <v>30858</v>
      </c>
      <c r="AH5104" t="s">
        <v>27890</v>
      </c>
      <c r="AI5104" t="s">
        <v>30859</v>
      </c>
    </row>
    <row r="5105" spans="2:35" ht="409.5">
      <c r="B5105" s="1">
        <v>45348</v>
      </c>
      <c r="C5105" s="4">
        <v>45345.468055555553</v>
      </c>
      <c r="D5105" t="s">
        <v>25686</v>
      </c>
      <c r="E5105" t="s">
        <v>25679</v>
      </c>
      <c r="F5105" t="s">
        <v>37</v>
      </c>
      <c r="G5105" t="s">
        <v>2499</v>
      </c>
      <c r="H5105" t="s">
        <v>5523</v>
      </c>
      <c r="I5105" t="s">
        <v>40</v>
      </c>
      <c r="J5105" s="2" t="s">
        <v>1808</v>
      </c>
      <c r="K5105" t="s">
        <v>42</v>
      </c>
      <c r="L5105" t="s">
        <v>15532</v>
      </c>
      <c r="N5105" t="s">
        <v>15533</v>
      </c>
      <c r="Q5105">
        <v>27440</v>
      </c>
      <c r="R5105" t="s">
        <v>45</v>
      </c>
      <c r="S5105" t="s">
        <v>24036</v>
      </c>
      <c r="T5105">
        <v>27</v>
      </c>
      <c r="V5105" s="1">
        <v>45338</v>
      </c>
      <c r="W5105" t="s">
        <v>17396</v>
      </c>
      <c r="X5105">
        <v>110019627</v>
      </c>
      <c r="Y5105" t="s">
        <v>30860</v>
      </c>
      <c r="Z5105" s="2" t="s">
        <v>30861</v>
      </c>
      <c r="AA5105" t="s">
        <v>30862</v>
      </c>
      <c r="AB5105" s="2" t="s">
        <v>30863</v>
      </c>
      <c r="AD5105" s="2" t="s">
        <v>30864</v>
      </c>
      <c r="AE5105" t="s">
        <v>30865</v>
      </c>
      <c r="AG5105" t="s">
        <v>30866</v>
      </c>
      <c r="AH5105" t="s">
        <v>24043</v>
      </c>
      <c r="AI5105" t="s">
        <v>30867</v>
      </c>
    </row>
    <row r="5106" spans="2:35" ht="409.5">
      <c r="B5106" s="1">
        <v>45348</v>
      </c>
      <c r="C5106" s="4">
        <v>45342.444444444445</v>
      </c>
      <c r="D5106" t="s">
        <v>542</v>
      </c>
      <c r="E5106" t="s">
        <v>26046</v>
      </c>
      <c r="F5106" t="s">
        <v>148</v>
      </c>
      <c r="G5106" t="s">
        <v>544</v>
      </c>
      <c r="H5106" t="s">
        <v>39</v>
      </c>
      <c r="I5106" t="s">
        <v>40</v>
      </c>
      <c r="J5106" t="s">
        <v>321</v>
      </c>
      <c r="K5106" t="s">
        <v>42</v>
      </c>
      <c r="L5106" t="s">
        <v>43</v>
      </c>
      <c r="N5106" t="s">
        <v>44</v>
      </c>
      <c r="Q5106">
        <v>27439</v>
      </c>
      <c r="R5106" t="s">
        <v>45</v>
      </c>
      <c r="S5106" t="s">
        <v>15929</v>
      </c>
      <c r="T5106">
        <v>26</v>
      </c>
      <c r="W5106" t="s">
        <v>153</v>
      </c>
      <c r="X5106">
        <v>110020361</v>
      </c>
      <c r="Y5106" t="s">
        <v>6010</v>
      </c>
      <c r="Z5106" t="s">
        <v>30868</v>
      </c>
      <c r="AA5106" s="2" t="s">
        <v>30869</v>
      </c>
      <c r="AB5106" t="s">
        <v>88</v>
      </c>
      <c r="AG5106" t="s">
        <v>30870</v>
      </c>
      <c r="AH5106" t="s">
        <v>19310</v>
      </c>
      <c r="AI5106" t="s">
        <v>30871</v>
      </c>
    </row>
    <row r="5107" spans="2:35" ht="210">
      <c r="B5107" s="1">
        <v>45348</v>
      </c>
      <c r="C5107" s="4">
        <v>45342.474999999999</v>
      </c>
      <c r="D5107" t="s">
        <v>542</v>
      </c>
      <c r="E5107" t="s">
        <v>30872</v>
      </c>
      <c r="F5107" t="s">
        <v>148</v>
      </c>
      <c r="G5107" t="s">
        <v>544</v>
      </c>
      <c r="H5107" t="s">
        <v>39</v>
      </c>
      <c r="I5107" t="s">
        <v>40</v>
      </c>
      <c r="J5107" s="2" t="s">
        <v>41</v>
      </c>
      <c r="K5107" t="s">
        <v>42</v>
      </c>
      <c r="L5107" t="s">
        <v>43</v>
      </c>
      <c r="N5107" t="s">
        <v>44</v>
      </c>
      <c r="Q5107">
        <v>27438</v>
      </c>
      <c r="R5107" t="s">
        <v>45</v>
      </c>
      <c r="S5107" t="s">
        <v>15929</v>
      </c>
      <c r="T5107">
        <v>24</v>
      </c>
      <c r="U5107" s="2" t="s">
        <v>30873</v>
      </c>
      <c r="V5107" s="1">
        <v>45342</v>
      </c>
      <c r="W5107" t="s">
        <v>48</v>
      </c>
      <c r="X5107">
        <v>805211</v>
      </c>
      <c r="Y5107" t="s">
        <v>30874</v>
      </c>
      <c r="Z5107" t="s">
        <v>30875</v>
      </c>
      <c r="AA5107" s="2" t="s">
        <v>30876</v>
      </c>
      <c r="AB5107" t="s">
        <v>16412</v>
      </c>
      <c r="AD5107" s="2" t="s">
        <v>30877</v>
      </c>
      <c r="AE5107" t="s">
        <v>30878</v>
      </c>
      <c r="AG5107" t="s">
        <v>30879</v>
      </c>
      <c r="AH5107" t="s">
        <v>19310</v>
      </c>
      <c r="AI5107" t="s">
        <v>30880</v>
      </c>
    </row>
    <row r="5108" spans="2:35" ht="210">
      <c r="B5108" s="1">
        <v>45348</v>
      </c>
      <c r="C5108" s="4">
        <v>45343.633333333331</v>
      </c>
      <c r="D5108" t="s">
        <v>3030</v>
      </c>
      <c r="E5108" t="s">
        <v>30881</v>
      </c>
      <c r="F5108" t="s">
        <v>37</v>
      </c>
      <c r="G5108" t="s">
        <v>38</v>
      </c>
      <c r="H5108" t="s">
        <v>39</v>
      </c>
      <c r="I5108" t="s">
        <v>40</v>
      </c>
      <c r="J5108" s="2" t="s">
        <v>190</v>
      </c>
      <c r="K5108" t="s">
        <v>42</v>
      </c>
      <c r="L5108" t="s">
        <v>43</v>
      </c>
      <c r="N5108" t="s">
        <v>44</v>
      </c>
      <c r="Q5108">
        <v>27435</v>
      </c>
      <c r="R5108" t="s">
        <v>45</v>
      </c>
      <c r="S5108" t="s">
        <v>3032</v>
      </c>
      <c r="T5108">
        <v>27</v>
      </c>
      <c r="U5108" s="2" t="s">
        <v>30882</v>
      </c>
      <c r="W5108" t="s">
        <v>30883</v>
      </c>
      <c r="X5108">
        <v>842226</v>
      </c>
      <c r="Y5108" t="s">
        <v>30884</v>
      </c>
      <c r="Z5108" t="s">
        <v>30885</v>
      </c>
      <c r="AA5108" s="2" t="s">
        <v>30886</v>
      </c>
      <c r="AB5108" t="s">
        <v>16412</v>
      </c>
      <c r="AG5108" t="s">
        <v>30887</v>
      </c>
      <c r="AH5108" t="s">
        <v>3035</v>
      </c>
      <c r="AI5108" t="s">
        <v>30888</v>
      </c>
    </row>
    <row r="5109" spans="2:35" ht="210">
      <c r="B5109" s="1">
        <v>45348</v>
      </c>
      <c r="C5109" s="4">
        <v>45343.633333333331</v>
      </c>
      <c r="D5109" t="s">
        <v>3030</v>
      </c>
      <c r="E5109" t="s">
        <v>30881</v>
      </c>
      <c r="F5109" t="s">
        <v>37</v>
      </c>
      <c r="G5109" t="s">
        <v>38</v>
      </c>
      <c r="H5109" t="s">
        <v>39</v>
      </c>
      <c r="I5109" t="s">
        <v>40</v>
      </c>
      <c r="J5109" s="2" t="s">
        <v>190</v>
      </c>
      <c r="K5109" t="s">
        <v>42</v>
      </c>
      <c r="L5109" t="s">
        <v>43</v>
      </c>
      <c r="N5109" t="s">
        <v>44</v>
      </c>
      <c r="Q5109">
        <v>27437</v>
      </c>
      <c r="R5109" t="s">
        <v>45</v>
      </c>
      <c r="S5109" t="s">
        <v>3032</v>
      </c>
      <c r="T5109">
        <v>27</v>
      </c>
      <c r="U5109" s="2" t="s">
        <v>30882</v>
      </c>
      <c r="W5109" t="s">
        <v>30883</v>
      </c>
      <c r="X5109">
        <v>842226</v>
      </c>
      <c r="Y5109" t="s">
        <v>30884</v>
      </c>
      <c r="Z5109" t="s">
        <v>30885</v>
      </c>
      <c r="AA5109" s="2" t="s">
        <v>30886</v>
      </c>
      <c r="AB5109" t="s">
        <v>16412</v>
      </c>
      <c r="AG5109" t="s">
        <v>30889</v>
      </c>
      <c r="AH5109" t="s">
        <v>3035</v>
      </c>
      <c r="AI5109" t="s">
        <v>30890</v>
      </c>
    </row>
    <row r="5110" spans="2:35" ht="210">
      <c r="B5110" s="1">
        <v>45348</v>
      </c>
      <c r="C5110" s="4">
        <v>45343.633333333331</v>
      </c>
      <c r="D5110" t="s">
        <v>3030</v>
      </c>
      <c r="E5110" t="s">
        <v>30881</v>
      </c>
      <c r="F5110" t="s">
        <v>37</v>
      </c>
      <c r="G5110" t="s">
        <v>38</v>
      </c>
      <c r="H5110" t="s">
        <v>39</v>
      </c>
      <c r="I5110" t="s">
        <v>40</v>
      </c>
      <c r="J5110" s="2" t="s">
        <v>190</v>
      </c>
      <c r="K5110" t="s">
        <v>42</v>
      </c>
      <c r="L5110" t="s">
        <v>43</v>
      </c>
      <c r="N5110" t="s">
        <v>44</v>
      </c>
      <c r="Q5110">
        <v>27436</v>
      </c>
      <c r="R5110" t="s">
        <v>45</v>
      </c>
      <c r="S5110" t="s">
        <v>3032</v>
      </c>
      <c r="T5110">
        <v>27</v>
      </c>
      <c r="U5110" s="2" t="s">
        <v>30882</v>
      </c>
      <c r="W5110" t="s">
        <v>30883</v>
      </c>
      <c r="X5110">
        <v>842226</v>
      </c>
      <c r="Y5110" t="s">
        <v>30884</v>
      </c>
      <c r="Z5110" t="s">
        <v>30885</v>
      </c>
      <c r="AA5110" s="2" t="s">
        <v>30886</v>
      </c>
      <c r="AB5110" t="s">
        <v>16412</v>
      </c>
      <c r="AG5110" t="s">
        <v>30891</v>
      </c>
      <c r="AH5110" t="s">
        <v>3035</v>
      </c>
      <c r="AI5110" t="s">
        <v>30892</v>
      </c>
    </row>
    <row r="5111" spans="2:35" ht="210">
      <c r="B5111" s="1">
        <v>45348</v>
      </c>
      <c r="C5111" s="4">
        <v>45343.633333333331</v>
      </c>
      <c r="D5111" t="s">
        <v>3030</v>
      </c>
      <c r="E5111" t="s">
        <v>30881</v>
      </c>
      <c r="F5111" t="s">
        <v>37</v>
      </c>
      <c r="G5111" t="s">
        <v>38</v>
      </c>
      <c r="H5111" t="s">
        <v>39</v>
      </c>
      <c r="I5111" t="s">
        <v>40</v>
      </c>
      <c r="J5111" s="2" t="s">
        <v>190</v>
      </c>
      <c r="K5111" t="s">
        <v>42</v>
      </c>
      <c r="L5111" t="s">
        <v>43</v>
      </c>
      <c r="N5111" t="s">
        <v>44</v>
      </c>
      <c r="Q5111">
        <v>27434</v>
      </c>
      <c r="R5111" t="s">
        <v>45</v>
      </c>
      <c r="S5111" t="s">
        <v>3032</v>
      </c>
      <c r="T5111">
        <v>27</v>
      </c>
      <c r="U5111" s="2" t="s">
        <v>30882</v>
      </c>
      <c r="W5111" t="s">
        <v>30883</v>
      </c>
      <c r="X5111">
        <v>842226</v>
      </c>
      <c r="Y5111" t="s">
        <v>30884</v>
      </c>
      <c r="Z5111" t="s">
        <v>30885</v>
      </c>
      <c r="AA5111" s="2" t="s">
        <v>30886</v>
      </c>
      <c r="AB5111" t="s">
        <v>16412</v>
      </c>
      <c r="AG5111" t="s">
        <v>30893</v>
      </c>
      <c r="AH5111" t="s">
        <v>3035</v>
      </c>
      <c r="AI5111" t="s">
        <v>30894</v>
      </c>
    </row>
    <row r="5112" spans="2:35" ht="210">
      <c r="B5112" s="1">
        <v>45348</v>
      </c>
      <c r="C5112" s="4">
        <v>45344.505555555559</v>
      </c>
      <c r="D5112" t="s">
        <v>30895</v>
      </c>
      <c r="E5112" t="s">
        <v>30896</v>
      </c>
      <c r="F5112" t="s">
        <v>37</v>
      </c>
      <c r="G5112" t="s">
        <v>78</v>
      </c>
      <c r="H5112" t="s">
        <v>39</v>
      </c>
      <c r="I5112" t="s">
        <v>40</v>
      </c>
      <c r="J5112" s="2" t="s">
        <v>1592</v>
      </c>
      <c r="K5112" t="s">
        <v>42</v>
      </c>
      <c r="L5112" t="s">
        <v>43</v>
      </c>
      <c r="N5112" t="s">
        <v>44</v>
      </c>
      <c r="Q5112">
        <v>27432</v>
      </c>
      <c r="R5112" t="s">
        <v>45</v>
      </c>
      <c r="S5112" t="s">
        <v>30897</v>
      </c>
      <c r="T5112">
        <v>24</v>
      </c>
      <c r="U5112" s="2" t="s">
        <v>30898</v>
      </c>
      <c r="V5112" s="1">
        <v>45344</v>
      </c>
      <c r="W5112" t="s">
        <v>48</v>
      </c>
      <c r="X5112">
        <v>834692</v>
      </c>
      <c r="Y5112" t="s">
        <v>30899</v>
      </c>
      <c r="Z5112" s="2" t="s">
        <v>30900</v>
      </c>
      <c r="AA5112" s="2" t="s">
        <v>30901</v>
      </c>
      <c r="AB5112" t="s">
        <v>16412</v>
      </c>
      <c r="AC5112" t="s">
        <v>30902</v>
      </c>
      <c r="AD5112" s="2" t="s">
        <v>30903</v>
      </c>
      <c r="AE5112" t="s">
        <v>54</v>
      </c>
      <c r="AG5112" t="s">
        <v>30904</v>
      </c>
      <c r="AH5112" t="s">
        <v>30905</v>
      </c>
      <c r="AI5112" t="s">
        <v>30906</v>
      </c>
    </row>
    <row r="5113" spans="2:35" ht="210">
      <c r="B5113" s="1">
        <v>45348</v>
      </c>
      <c r="C5113" s="4">
        <v>45344.505555555559</v>
      </c>
      <c r="D5113" t="s">
        <v>30895</v>
      </c>
      <c r="E5113" t="s">
        <v>30896</v>
      </c>
      <c r="F5113" t="s">
        <v>37</v>
      </c>
      <c r="G5113" t="s">
        <v>78</v>
      </c>
      <c r="H5113" t="s">
        <v>39</v>
      </c>
      <c r="I5113" t="s">
        <v>40</v>
      </c>
      <c r="J5113" s="2" t="s">
        <v>1592</v>
      </c>
      <c r="K5113" t="s">
        <v>42</v>
      </c>
      <c r="L5113" t="s">
        <v>43</v>
      </c>
      <c r="N5113" t="s">
        <v>44</v>
      </c>
      <c r="Q5113">
        <v>27433</v>
      </c>
      <c r="R5113" t="s">
        <v>45</v>
      </c>
      <c r="S5113" t="s">
        <v>30897</v>
      </c>
      <c r="T5113">
        <v>24</v>
      </c>
      <c r="U5113" s="2" t="s">
        <v>30898</v>
      </c>
      <c r="V5113" s="1">
        <v>45344</v>
      </c>
      <c r="W5113" t="s">
        <v>48</v>
      </c>
      <c r="X5113">
        <v>834692</v>
      </c>
      <c r="Y5113" t="s">
        <v>30899</v>
      </c>
      <c r="Z5113" s="2" t="s">
        <v>30900</v>
      </c>
      <c r="AA5113" s="2" t="s">
        <v>30901</v>
      </c>
      <c r="AB5113" t="s">
        <v>16412</v>
      </c>
      <c r="AC5113" t="s">
        <v>30902</v>
      </c>
      <c r="AD5113" s="2" t="s">
        <v>30903</v>
      </c>
      <c r="AE5113" t="s">
        <v>54</v>
      </c>
      <c r="AG5113" t="s">
        <v>30907</v>
      </c>
      <c r="AH5113" t="s">
        <v>30905</v>
      </c>
      <c r="AI5113" t="s">
        <v>30908</v>
      </c>
    </row>
    <row r="5114" spans="2:35" ht="270">
      <c r="B5114" s="1">
        <v>45348</v>
      </c>
      <c r="C5114" s="4">
        <v>45344.62222222222</v>
      </c>
      <c r="D5114" t="s">
        <v>30909</v>
      </c>
      <c r="E5114" t="s">
        <v>30910</v>
      </c>
      <c r="F5114" t="s">
        <v>37</v>
      </c>
      <c r="G5114" t="s">
        <v>78</v>
      </c>
      <c r="H5114" t="s">
        <v>39</v>
      </c>
      <c r="I5114" t="s">
        <v>40</v>
      </c>
      <c r="J5114" s="2" t="s">
        <v>62</v>
      </c>
      <c r="K5114" t="s">
        <v>42</v>
      </c>
      <c r="L5114" t="s">
        <v>43</v>
      </c>
      <c r="N5114" t="s">
        <v>30911</v>
      </c>
      <c r="Q5114">
        <v>27431</v>
      </c>
      <c r="R5114" t="s">
        <v>45</v>
      </c>
      <c r="S5114" t="s">
        <v>30912</v>
      </c>
      <c r="T5114">
        <v>27</v>
      </c>
      <c r="U5114" s="2" t="s">
        <v>30913</v>
      </c>
      <c r="W5114" t="s">
        <v>48</v>
      </c>
      <c r="X5114">
        <v>807661</v>
      </c>
      <c r="Y5114" t="s">
        <v>1111</v>
      </c>
      <c r="Z5114" t="s">
        <v>1519</v>
      </c>
      <c r="AA5114" s="2" t="s">
        <v>30914</v>
      </c>
      <c r="AB5114" t="s">
        <v>30915</v>
      </c>
      <c r="AG5114" t="s">
        <v>30916</v>
      </c>
      <c r="AH5114" t="s">
        <v>30917</v>
      </c>
      <c r="AI5114" t="s">
        <v>30918</v>
      </c>
    </row>
    <row r="5115" spans="2:35" ht="409.5">
      <c r="B5115" s="1">
        <v>45348</v>
      </c>
      <c r="C5115" s="4">
        <v>45342.444444444445</v>
      </c>
      <c r="D5115" t="s">
        <v>542</v>
      </c>
      <c r="E5115" t="s">
        <v>26046</v>
      </c>
      <c r="F5115" t="s">
        <v>148</v>
      </c>
      <c r="G5115" t="s">
        <v>544</v>
      </c>
      <c r="H5115" t="s">
        <v>39</v>
      </c>
      <c r="I5115" t="s">
        <v>40</v>
      </c>
      <c r="J5115" t="s">
        <v>321</v>
      </c>
      <c r="K5115" t="s">
        <v>42</v>
      </c>
      <c r="L5115" t="s">
        <v>43</v>
      </c>
      <c r="N5115" t="s">
        <v>44</v>
      </c>
      <c r="Q5115">
        <v>27430</v>
      </c>
      <c r="R5115" t="s">
        <v>45</v>
      </c>
      <c r="S5115" t="s">
        <v>15929</v>
      </c>
      <c r="T5115">
        <v>26</v>
      </c>
      <c r="W5115" t="s">
        <v>153</v>
      </c>
      <c r="X5115">
        <v>110020361</v>
      </c>
      <c r="Y5115" t="s">
        <v>6010</v>
      </c>
      <c r="Z5115" t="s">
        <v>30868</v>
      </c>
      <c r="AA5115" s="2" t="s">
        <v>30869</v>
      </c>
      <c r="AB5115" t="s">
        <v>88</v>
      </c>
      <c r="AG5115" t="s">
        <v>30919</v>
      </c>
      <c r="AH5115" t="s">
        <v>19310</v>
      </c>
      <c r="AI5115" t="s">
        <v>30920</v>
      </c>
    </row>
    <row r="5116" spans="2:35" ht="210">
      <c r="B5116" s="1">
        <v>45348</v>
      </c>
      <c r="C5116" s="4">
        <v>45342.474999999999</v>
      </c>
      <c r="D5116" t="s">
        <v>542</v>
      </c>
      <c r="E5116" t="s">
        <v>30872</v>
      </c>
      <c r="F5116" t="s">
        <v>148</v>
      </c>
      <c r="G5116" t="s">
        <v>544</v>
      </c>
      <c r="H5116" t="s">
        <v>39</v>
      </c>
      <c r="I5116" t="s">
        <v>40</v>
      </c>
      <c r="J5116" s="2" t="s">
        <v>41</v>
      </c>
      <c r="K5116" t="s">
        <v>42</v>
      </c>
      <c r="L5116" t="s">
        <v>43</v>
      </c>
      <c r="N5116" t="s">
        <v>44</v>
      </c>
      <c r="Q5116">
        <v>27429</v>
      </c>
      <c r="R5116" t="s">
        <v>45</v>
      </c>
      <c r="S5116" t="s">
        <v>15929</v>
      </c>
      <c r="T5116">
        <v>24</v>
      </c>
      <c r="U5116" s="2" t="s">
        <v>30873</v>
      </c>
      <c r="V5116" s="1">
        <v>45342</v>
      </c>
      <c r="W5116" t="s">
        <v>48</v>
      </c>
      <c r="X5116">
        <v>805211</v>
      </c>
      <c r="Y5116" t="s">
        <v>30874</v>
      </c>
      <c r="Z5116" t="s">
        <v>30875</v>
      </c>
      <c r="AA5116" s="2" t="s">
        <v>30876</v>
      </c>
      <c r="AB5116" t="s">
        <v>16412</v>
      </c>
      <c r="AD5116" s="2" t="s">
        <v>30877</v>
      </c>
      <c r="AE5116" t="s">
        <v>30878</v>
      </c>
      <c r="AG5116" t="s">
        <v>30921</v>
      </c>
      <c r="AH5116" t="s">
        <v>19310</v>
      </c>
      <c r="AI5116" t="s">
        <v>30922</v>
      </c>
    </row>
    <row r="5117" spans="2:35" ht="150">
      <c r="B5117" s="1">
        <v>45348</v>
      </c>
      <c r="C5117" s="4">
        <v>45342.586805555555</v>
      </c>
      <c r="D5117" t="s">
        <v>1686</v>
      </c>
      <c r="E5117" t="s">
        <v>27015</v>
      </c>
      <c r="F5117" t="s">
        <v>148</v>
      </c>
      <c r="G5117" t="s">
        <v>785</v>
      </c>
      <c r="H5117" t="s">
        <v>39</v>
      </c>
      <c r="I5117" t="s">
        <v>40</v>
      </c>
      <c r="J5117" s="2" t="s">
        <v>41</v>
      </c>
      <c r="K5117" t="s">
        <v>42</v>
      </c>
      <c r="L5117" t="s">
        <v>43</v>
      </c>
      <c r="N5117" t="s">
        <v>44</v>
      </c>
      <c r="Q5117">
        <v>27428</v>
      </c>
      <c r="R5117" t="s">
        <v>45</v>
      </c>
      <c r="S5117" t="s">
        <v>1688</v>
      </c>
      <c r="T5117">
        <v>23</v>
      </c>
      <c r="U5117" s="2" t="s">
        <v>30923</v>
      </c>
      <c r="V5117" s="1">
        <v>45342</v>
      </c>
      <c r="W5117" t="s">
        <v>48</v>
      </c>
      <c r="X5117">
        <v>838898</v>
      </c>
      <c r="Y5117" t="s">
        <v>2034</v>
      </c>
      <c r="Z5117" t="s">
        <v>712</v>
      </c>
      <c r="AA5117" s="2" t="s">
        <v>30924</v>
      </c>
      <c r="AB5117" t="s">
        <v>16412</v>
      </c>
      <c r="AD5117" s="2" t="s">
        <v>30925</v>
      </c>
      <c r="AE5117" t="s">
        <v>54</v>
      </c>
      <c r="AG5117" t="s">
        <v>30926</v>
      </c>
      <c r="AH5117" t="s">
        <v>30927</v>
      </c>
      <c r="AI5117" t="s">
        <v>30928</v>
      </c>
    </row>
    <row r="5118" spans="2:35" ht="150">
      <c r="B5118" s="1">
        <v>45348</v>
      </c>
      <c r="C5118" s="4">
        <v>45343.550694444442</v>
      </c>
      <c r="D5118" t="s">
        <v>2157</v>
      </c>
      <c r="E5118" t="s">
        <v>30929</v>
      </c>
      <c r="F5118" t="s">
        <v>37</v>
      </c>
      <c r="G5118" t="s">
        <v>38</v>
      </c>
      <c r="H5118" t="s">
        <v>39</v>
      </c>
      <c r="I5118" t="s">
        <v>40</v>
      </c>
      <c r="J5118" s="2" t="s">
        <v>41</v>
      </c>
      <c r="K5118" t="s">
        <v>42</v>
      </c>
      <c r="L5118" t="s">
        <v>43</v>
      </c>
      <c r="N5118" t="s">
        <v>44</v>
      </c>
      <c r="O5118" t="s">
        <v>2159</v>
      </c>
      <c r="Q5118">
        <v>27427</v>
      </c>
      <c r="R5118" t="s">
        <v>45</v>
      </c>
      <c r="S5118" t="s">
        <v>25334</v>
      </c>
      <c r="T5118">
        <v>24</v>
      </c>
      <c r="U5118" s="2" t="s">
        <v>13904</v>
      </c>
      <c r="V5118" s="1">
        <v>45342</v>
      </c>
      <c r="W5118" t="s">
        <v>48</v>
      </c>
      <c r="X5118">
        <v>815389</v>
      </c>
      <c r="Y5118" t="s">
        <v>2165</v>
      </c>
      <c r="Z5118" t="s">
        <v>2166</v>
      </c>
      <c r="AA5118" s="2" t="s">
        <v>30930</v>
      </c>
      <c r="AB5118" t="s">
        <v>16412</v>
      </c>
      <c r="AD5118" s="2" t="s">
        <v>30931</v>
      </c>
      <c r="AE5118" t="s">
        <v>30932</v>
      </c>
      <c r="AG5118" t="s">
        <v>30933</v>
      </c>
      <c r="AH5118" t="s">
        <v>30934</v>
      </c>
      <c r="AI5118" t="s">
        <v>30935</v>
      </c>
    </row>
    <row r="5119" spans="2:35" ht="210">
      <c r="B5119" s="1">
        <v>45348</v>
      </c>
      <c r="C5119" s="4">
        <v>45343.633333333331</v>
      </c>
      <c r="D5119" t="s">
        <v>3030</v>
      </c>
      <c r="E5119" t="s">
        <v>30881</v>
      </c>
      <c r="F5119" t="s">
        <v>37</v>
      </c>
      <c r="G5119" t="s">
        <v>38</v>
      </c>
      <c r="H5119" t="s">
        <v>39</v>
      </c>
      <c r="I5119" t="s">
        <v>40</v>
      </c>
      <c r="J5119" s="2" t="s">
        <v>190</v>
      </c>
      <c r="K5119" t="s">
        <v>42</v>
      </c>
      <c r="L5119" t="s">
        <v>43</v>
      </c>
      <c r="N5119" t="s">
        <v>44</v>
      </c>
      <c r="Q5119">
        <v>27426</v>
      </c>
      <c r="R5119" t="s">
        <v>45</v>
      </c>
      <c r="S5119" t="s">
        <v>3032</v>
      </c>
      <c r="T5119">
        <v>27</v>
      </c>
      <c r="U5119" s="2" t="s">
        <v>30882</v>
      </c>
      <c r="W5119" t="s">
        <v>30883</v>
      </c>
      <c r="X5119">
        <v>842226</v>
      </c>
      <c r="Y5119" t="s">
        <v>30884</v>
      </c>
      <c r="Z5119" t="s">
        <v>30885</v>
      </c>
      <c r="AA5119" s="2" t="s">
        <v>30886</v>
      </c>
      <c r="AB5119" t="s">
        <v>16412</v>
      </c>
      <c r="AG5119" t="s">
        <v>30936</v>
      </c>
      <c r="AH5119" t="s">
        <v>3035</v>
      </c>
      <c r="AI5119" t="s">
        <v>30937</v>
      </c>
    </row>
    <row r="5120" spans="2:35" ht="210">
      <c r="B5120" s="1">
        <v>45348</v>
      </c>
      <c r="C5120" s="4">
        <v>45344.505555555559</v>
      </c>
      <c r="D5120" t="s">
        <v>30895</v>
      </c>
      <c r="E5120" t="s">
        <v>30896</v>
      </c>
      <c r="F5120" t="s">
        <v>37</v>
      </c>
      <c r="G5120" t="s">
        <v>78</v>
      </c>
      <c r="H5120" t="s">
        <v>39</v>
      </c>
      <c r="I5120" t="s">
        <v>40</v>
      </c>
      <c r="J5120" s="2" t="s">
        <v>1592</v>
      </c>
      <c r="K5120" t="s">
        <v>42</v>
      </c>
      <c r="L5120" t="s">
        <v>43</v>
      </c>
      <c r="N5120" t="s">
        <v>44</v>
      </c>
      <c r="Q5120">
        <v>27425</v>
      </c>
      <c r="R5120" t="s">
        <v>45</v>
      </c>
      <c r="S5120" t="s">
        <v>30897</v>
      </c>
      <c r="T5120">
        <v>24</v>
      </c>
      <c r="U5120" s="2" t="s">
        <v>30898</v>
      </c>
      <c r="V5120" s="1">
        <v>45344</v>
      </c>
      <c r="W5120" t="s">
        <v>48</v>
      </c>
      <c r="X5120">
        <v>834692</v>
      </c>
      <c r="Y5120" t="s">
        <v>30899</v>
      </c>
      <c r="Z5120" s="2" t="s">
        <v>30900</v>
      </c>
      <c r="AA5120" s="2" t="s">
        <v>30901</v>
      </c>
      <c r="AB5120" t="s">
        <v>16412</v>
      </c>
      <c r="AC5120" t="s">
        <v>30902</v>
      </c>
      <c r="AD5120" s="2" t="s">
        <v>30903</v>
      </c>
      <c r="AE5120" t="s">
        <v>54</v>
      </c>
      <c r="AG5120" t="s">
        <v>30938</v>
      </c>
      <c r="AH5120" t="s">
        <v>30905</v>
      </c>
      <c r="AI5120" t="s">
        <v>30939</v>
      </c>
    </row>
    <row r="5121" spans="2:35" ht="270">
      <c r="B5121" s="1">
        <v>45348</v>
      </c>
      <c r="C5121" s="4">
        <v>45344.62222222222</v>
      </c>
      <c r="D5121" t="s">
        <v>30909</v>
      </c>
      <c r="E5121" t="s">
        <v>30910</v>
      </c>
      <c r="F5121" t="s">
        <v>37</v>
      </c>
      <c r="G5121" t="s">
        <v>78</v>
      </c>
      <c r="H5121" t="s">
        <v>39</v>
      </c>
      <c r="I5121" t="s">
        <v>40</v>
      </c>
      <c r="J5121" s="2" t="s">
        <v>62</v>
      </c>
      <c r="K5121" t="s">
        <v>42</v>
      </c>
      <c r="L5121" t="s">
        <v>43</v>
      </c>
      <c r="N5121" t="s">
        <v>30911</v>
      </c>
      <c r="Q5121">
        <v>27424</v>
      </c>
      <c r="R5121" t="s">
        <v>45</v>
      </c>
      <c r="S5121" t="s">
        <v>30912</v>
      </c>
      <c r="T5121">
        <v>27</v>
      </c>
      <c r="U5121" s="2" t="s">
        <v>30913</v>
      </c>
      <c r="W5121" t="s">
        <v>48</v>
      </c>
      <c r="X5121">
        <v>807661</v>
      </c>
      <c r="Y5121" t="s">
        <v>1111</v>
      </c>
      <c r="Z5121" t="s">
        <v>1519</v>
      </c>
      <c r="AA5121" s="2" t="s">
        <v>30914</v>
      </c>
      <c r="AB5121" t="s">
        <v>30915</v>
      </c>
      <c r="AG5121" t="s">
        <v>30940</v>
      </c>
      <c r="AH5121" t="s">
        <v>30917</v>
      </c>
      <c r="AI5121" t="s">
        <v>30941</v>
      </c>
    </row>
    <row r="5122" spans="2:35" ht="360">
      <c r="B5122" s="1">
        <v>45348</v>
      </c>
      <c r="C5122" s="4">
        <v>45345.436111111114</v>
      </c>
      <c r="D5122" t="s">
        <v>146</v>
      </c>
      <c r="E5122" t="s">
        <v>29344</v>
      </c>
      <c r="F5122" t="s">
        <v>148</v>
      </c>
      <c r="G5122" t="s">
        <v>149</v>
      </c>
      <c r="H5122" t="s">
        <v>39</v>
      </c>
      <c r="I5122" t="s">
        <v>40</v>
      </c>
      <c r="J5122" s="2" t="s">
        <v>190</v>
      </c>
      <c r="K5122" t="s">
        <v>42</v>
      </c>
      <c r="L5122" t="s">
        <v>43</v>
      </c>
      <c r="N5122" t="s">
        <v>44</v>
      </c>
      <c r="O5122" t="s">
        <v>22735</v>
      </c>
      <c r="Q5122">
        <v>27423</v>
      </c>
      <c r="R5122" t="s">
        <v>95</v>
      </c>
      <c r="S5122" t="s">
        <v>22735</v>
      </c>
      <c r="T5122">
        <v>25</v>
      </c>
      <c r="U5122" s="2" t="s">
        <v>29345</v>
      </c>
      <c r="W5122" t="s">
        <v>153</v>
      </c>
      <c r="X5122">
        <v>110003714</v>
      </c>
      <c r="Y5122" t="s">
        <v>29346</v>
      </c>
      <c r="Z5122" t="s">
        <v>29347</v>
      </c>
      <c r="AA5122" s="2" t="s">
        <v>29348</v>
      </c>
      <c r="AB5122" t="s">
        <v>30942</v>
      </c>
      <c r="AG5122" t="s">
        <v>29350</v>
      </c>
      <c r="AH5122" t="s">
        <v>29351</v>
      </c>
      <c r="AI5122" t="s">
        <v>29352</v>
      </c>
    </row>
    <row r="5123" spans="2:35" ht="225">
      <c r="B5123" s="1">
        <v>45348</v>
      </c>
      <c r="C5123" s="4">
        <v>45345.453472222223</v>
      </c>
      <c r="D5123" t="s">
        <v>146</v>
      </c>
      <c r="E5123" t="s">
        <v>28042</v>
      </c>
      <c r="F5123" t="s">
        <v>148</v>
      </c>
      <c r="G5123" t="s">
        <v>149</v>
      </c>
      <c r="H5123" t="s">
        <v>2274</v>
      </c>
      <c r="I5123" t="s">
        <v>40</v>
      </c>
      <c r="J5123" t="s">
        <v>109</v>
      </c>
      <c r="K5123" t="s">
        <v>387</v>
      </c>
      <c r="L5123" t="s">
        <v>43</v>
      </c>
      <c r="N5123" t="s">
        <v>44</v>
      </c>
      <c r="O5123" t="s">
        <v>388</v>
      </c>
      <c r="Q5123">
        <v>27422</v>
      </c>
      <c r="R5123" t="s">
        <v>95</v>
      </c>
      <c r="S5123" t="s">
        <v>17157</v>
      </c>
      <c r="T5123">
        <v>24</v>
      </c>
      <c r="W5123" t="s">
        <v>390</v>
      </c>
      <c r="X5123" t="s">
        <v>391</v>
      </c>
      <c r="Y5123" t="s">
        <v>121</v>
      </c>
      <c r="Z5123" t="s">
        <v>5995</v>
      </c>
      <c r="AA5123" s="2" t="s">
        <v>30943</v>
      </c>
      <c r="AB5123" t="s">
        <v>88</v>
      </c>
      <c r="AG5123" t="s">
        <v>30944</v>
      </c>
      <c r="AH5123" t="s">
        <v>17163</v>
      </c>
      <c r="AI5123" t="s">
        <v>30945</v>
      </c>
    </row>
    <row r="5124" spans="2:35" ht="285">
      <c r="B5124" s="1">
        <v>45348</v>
      </c>
      <c r="C5124" s="4">
        <v>45345.556250000001</v>
      </c>
      <c r="D5124" t="s">
        <v>4553</v>
      </c>
      <c r="E5124" t="s">
        <v>30946</v>
      </c>
      <c r="F5124" t="s">
        <v>148</v>
      </c>
      <c r="G5124" t="s">
        <v>149</v>
      </c>
      <c r="H5124" t="s">
        <v>39</v>
      </c>
      <c r="I5124" t="s">
        <v>40</v>
      </c>
      <c r="J5124" t="s">
        <v>109</v>
      </c>
      <c r="K5124" t="s">
        <v>42</v>
      </c>
      <c r="L5124" t="s">
        <v>43</v>
      </c>
      <c r="N5124" t="s">
        <v>44</v>
      </c>
      <c r="Q5124">
        <v>27421</v>
      </c>
      <c r="R5124" t="s">
        <v>119</v>
      </c>
      <c r="S5124" t="s">
        <v>4555</v>
      </c>
      <c r="T5124">
        <v>25</v>
      </c>
      <c r="U5124" s="2" t="s">
        <v>30947</v>
      </c>
      <c r="W5124" t="s">
        <v>48</v>
      </c>
      <c r="X5124">
        <v>831598</v>
      </c>
      <c r="Y5124" t="s">
        <v>121</v>
      </c>
      <c r="Z5124" t="s">
        <v>122</v>
      </c>
      <c r="AA5124" s="2" t="s">
        <v>30948</v>
      </c>
      <c r="AB5124" t="s">
        <v>30949</v>
      </c>
      <c r="AG5124" t="s">
        <v>30950</v>
      </c>
      <c r="AH5124" t="s">
        <v>4559</v>
      </c>
      <c r="AI5124" t="s">
        <v>30951</v>
      </c>
    </row>
    <row r="5125" spans="2:35" ht="409.5">
      <c r="B5125" s="1">
        <v>45348</v>
      </c>
      <c r="C5125" s="4">
        <v>45342.444444444445</v>
      </c>
      <c r="D5125" t="s">
        <v>542</v>
      </c>
      <c r="E5125" t="s">
        <v>26046</v>
      </c>
      <c r="F5125" t="s">
        <v>148</v>
      </c>
      <c r="G5125" t="s">
        <v>544</v>
      </c>
      <c r="H5125" t="s">
        <v>39</v>
      </c>
      <c r="I5125" t="s">
        <v>40</v>
      </c>
      <c r="J5125" t="s">
        <v>321</v>
      </c>
      <c r="K5125" t="s">
        <v>42</v>
      </c>
      <c r="L5125" t="s">
        <v>43</v>
      </c>
      <c r="N5125" t="s">
        <v>44</v>
      </c>
      <c r="Q5125">
        <v>27420</v>
      </c>
      <c r="R5125" t="s">
        <v>45</v>
      </c>
      <c r="S5125" t="s">
        <v>15929</v>
      </c>
      <c r="T5125">
        <v>26</v>
      </c>
      <c r="W5125" t="s">
        <v>153</v>
      </c>
      <c r="X5125">
        <v>110020361</v>
      </c>
      <c r="Y5125" t="s">
        <v>6010</v>
      </c>
      <c r="Z5125" t="s">
        <v>30868</v>
      </c>
      <c r="AA5125" s="2" t="s">
        <v>30869</v>
      </c>
      <c r="AB5125" t="s">
        <v>88</v>
      </c>
      <c r="AG5125" t="s">
        <v>30952</v>
      </c>
      <c r="AH5125" t="s">
        <v>19310</v>
      </c>
      <c r="AI5125" t="s">
        <v>30953</v>
      </c>
    </row>
    <row r="5126" spans="2:35" ht="330">
      <c r="B5126" s="1">
        <v>45348</v>
      </c>
      <c r="C5126" s="4">
        <v>45343.598611111112</v>
      </c>
      <c r="D5126" t="s">
        <v>30954</v>
      </c>
      <c r="E5126" t="s">
        <v>30955</v>
      </c>
      <c r="F5126">
        <v>12</v>
      </c>
      <c r="G5126" t="s">
        <v>978</v>
      </c>
      <c r="H5126" t="s">
        <v>1473</v>
      </c>
      <c r="I5126" t="s">
        <v>94</v>
      </c>
      <c r="J5126" s="2" t="s">
        <v>41</v>
      </c>
      <c r="K5126" t="s">
        <v>42</v>
      </c>
      <c r="L5126" t="s">
        <v>296</v>
      </c>
      <c r="N5126" t="s">
        <v>297</v>
      </c>
      <c r="Q5126">
        <v>27419</v>
      </c>
      <c r="R5126" t="s">
        <v>45</v>
      </c>
      <c r="S5126" t="s">
        <v>30956</v>
      </c>
      <c r="T5126">
        <v>27.6</v>
      </c>
      <c r="U5126" s="2" t="s">
        <v>30957</v>
      </c>
      <c r="V5126" s="1">
        <v>45343</v>
      </c>
      <c r="W5126" t="s">
        <v>23049</v>
      </c>
      <c r="X5126">
        <v>838196</v>
      </c>
      <c r="Y5126" t="s">
        <v>30958</v>
      </c>
      <c r="Z5126" s="2" t="s">
        <v>30959</v>
      </c>
      <c r="AA5126" s="2" t="s">
        <v>30125</v>
      </c>
      <c r="AB5126" t="s">
        <v>972</v>
      </c>
      <c r="AD5126" s="2" t="s">
        <v>30960</v>
      </c>
      <c r="AE5126" t="s">
        <v>10783</v>
      </c>
      <c r="AG5126" t="s">
        <v>30961</v>
      </c>
      <c r="AH5126" t="s">
        <v>30962</v>
      </c>
      <c r="AI5126" t="s">
        <v>30963</v>
      </c>
    </row>
    <row r="5127" spans="2:35" ht="345">
      <c r="B5127" s="1">
        <v>45345</v>
      </c>
      <c r="C5127" s="4">
        <v>45344.336111111108</v>
      </c>
      <c r="D5127" t="s">
        <v>3010</v>
      </c>
      <c r="E5127" t="s">
        <v>3011</v>
      </c>
      <c r="F5127">
        <v>1</v>
      </c>
      <c r="G5127" t="s">
        <v>1046</v>
      </c>
      <c r="H5127" t="s">
        <v>61</v>
      </c>
      <c r="I5127" t="s">
        <v>40</v>
      </c>
      <c r="J5127" s="2" t="s">
        <v>41</v>
      </c>
      <c r="K5127" t="s">
        <v>42</v>
      </c>
      <c r="L5127" t="s">
        <v>1048</v>
      </c>
      <c r="N5127" t="s">
        <v>1049</v>
      </c>
      <c r="Q5127">
        <v>27418</v>
      </c>
      <c r="R5127" t="s">
        <v>45</v>
      </c>
      <c r="S5127" t="s">
        <v>30964</v>
      </c>
      <c r="T5127">
        <v>25</v>
      </c>
      <c r="U5127" s="2" t="s">
        <v>30965</v>
      </c>
      <c r="V5127" s="1">
        <v>45344</v>
      </c>
      <c r="W5127" t="s">
        <v>30966</v>
      </c>
      <c r="X5127">
        <v>842230</v>
      </c>
      <c r="Y5127" t="e">
        <f ca="1">- _xludf.For module Replacement</f>
        <v>#NAME?</v>
      </c>
      <c r="Z5127" s="2" t="s">
        <v>30967</v>
      </c>
      <c r="AA5127" t="e">
        <f ca="1">- performed module Replacement</f>
        <v>#NAME?</v>
      </c>
      <c r="AB5127" t="s">
        <v>181</v>
      </c>
      <c r="AD5127" t="s">
        <v>30968</v>
      </c>
      <c r="AE5127" t="s">
        <v>103</v>
      </c>
      <c r="AG5127" t="s">
        <v>30969</v>
      </c>
      <c r="AH5127" t="s">
        <v>30970</v>
      </c>
      <c r="AI5127" t="s">
        <v>30971</v>
      </c>
    </row>
    <row r="5128" spans="2:35" ht="210">
      <c r="B5128" s="1">
        <v>45345</v>
      </c>
      <c r="C5128" s="4">
        <v>45343.408333333333</v>
      </c>
      <c r="D5128" t="s">
        <v>30972</v>
      </c>
      <c r="E5128" t="s">
        <v>1058</v>
      </c>
      <c r="F5128">
        <v>1</v>
      </c>
      <c r="G5128" t="s">
        <v>1046</v>
      </c>
      <c r="H5128" t="s">
        <v>1047</v>
      </c>
      <c r="I5128" t="s">
        <v>40</v>
      </c>
      <c r="J5128" t="s">
        <v>321</v>
      </c>
      <c r="K5128" t="s">
        <v>42</v>
      </c>
      <c r="L5128" t="s">
        <v>1048</v>
      </c>
      <c r="N5128" t="s">
        <v>1049</v>
      </c>
      <c r="Q5128">
        <v>27417</v>
      </c>
      <c r="R5128" t="s">
        <v>45</v>
      </c>
      <c r="S5128" t="s">
        <v>30973</v>
      </c>
      <c r="T5128">
        <v>27</v>
      </c>
      <c r="V5128" s="1">
        <v>45343</v>
      </c>
      <c r="W5128" t="s">
        <v>1424</v>
      </c>
      <c r="X5128">
        <v>120000719</v>
      </c>
      <c r="Y5128" t="e">
        <f ca="1">- _xludf.For Installation</f>
        <v>#NAME?</v>
      </c>
      <c r="Z5128" s="2" t="s">
        <v>30974</v>
      </c>
      <c r="AA5128" t="s">
        <v>30368</v>
      </c>
      <c r="AB5128" t="s">
        <v>181</v>
      </c>
      <c r="AD5128" t="s">
        <v>3727</v>
      </c>
      <c r="AE5128" t="s">
        <v>103</v>
      </c>
      <c r="AG5128" t="s">
        <v>30975</v>
      </c>
      <c r="AH5128" t="s">
        <v>30976</v>
      </c>
      <c r="AI5128" t="s">
        <v>30977</v>
      </c>
    </row>
    <row r="5129" spans="2:35" ht="105">
      <c r="B5129" s="1">
        <v>45345</v>
      </c>
      <c r="C5129" s="4">
        <v>45343.406944444447</v>
      </c>
      <c r="D5129" t="s">
        <v>30972</v>
      </c>
      <c r="E5129" t="s">
        <v>1058</v>
      </c>
      <c r="F5129">
        <v>1</v>
      </c>
      <c r="G5129" t="s">
        <v>1046</v>
      </c>
      <c r="H5129" t="s">
        <v>1047</v>
      </c>
      <c r="I5129" t="s">
        <v>40</v>
      </c>
      <c r="J5129" s="2" t="s">
        <v>62</v>
      </c>
      <c r="K5129" t="s">
        <v>42</v>
      </c>
      <c r="L5129" t="s">
        <v>1048</v>
      </c>
      <c r="N5129" t="s">
        <v>1049</v>
      </c>
      <c r="Q5129">
        <v>27416</v>
      </c>
      <c r="R5129" t="s">
        <v>45</v>
      </c>
      <c r="S5129" t="s">
        <v>30973</v>
      </c>
      <c r="T5129">
        <v>28</v>
      </c>
      <c r="U5129" s="2" t="s">
        <v>30978</v>
      </c>
      <c r="V5129" s="1">
        <v>45343</v>
      </c>
      <c r="W5129" t="s">
        <v>1051</v>
      </c>
      <c r="X5129">
        <v>805109</v>
      </c>
      <c r="Y5129" t="e">
        <f ca="1">- _xludf.For Preventive Maintenance _xludf.and XpertCheck</f>
        <v>#NAME?</v>
      </c>
      <c r="Z5129" t="e">
        <f ca="1">- cleaned cartridge Bays, plunger Rods _xludf.and I-CORE
- performed XpertCheck
- generated reports</f>
        <v>#NAME?</v>
      </c>
      <c r="AA5129" t="e">
        <f ca="1">- performed Preventive Maintenance _xludf.and XpertCheck</f>
        <v>#NAME?</v>
      </c>
      <c r="AB5129" t="s">
        <v>181</v>
      </c>
      <c r="AD5129" t="s">
        <v>1958</v>
      </c>
      <c r="AE5129" t="s">
        <v>103</v>
      </c>
      <c r="AG5129" t="s">
        <v>30979</v>
      </c>
      <c r="AH5129" t="s">
        <v>30976</v>
      </c>
      <c r="AI5129" t="s">
        <v>30980</v>
      </c>
    </row>
    <row r="5130" spans="2:35" ht="105">
      <c r="B5130" s="1">
        <v>45345</v>
      </c>
      <c r="C5130" s="4">
        <v>45343.380555555559</v>
      </c>
      <c r="D5130" t="s">
        <v>1057</v>
      </c>
      <c r="E5130" t="s">
        <v>1058</v>
      </c>
      <c r="F5130">
        <v>1</v>
      </c>
      <c r="G5130" t="s">
        <v>1046</v>
      </c>
      <c r="H5130" t="s">
        <v>39</v>
      </c>
      <c r="I5130" t="s">
        <v>40</v>
      </c>
      <c r="J5130" s="2" t="s">
        <v>190</v>
      </c>
      <c r="K5130" t="s">
        <v>42</v>
      </c>
      <c r="L5130" t="s">
        <v>1048</v>
      </c>
      <c r="N5130" t="s">
        <v>1049</v>
      </c>
      <c r="Q5130">
        <v>27415</v>
      </c>
      <c r="R5130" t="s">
        <v>95</v>
      </c>
      <c r="S5130" t="s">
        <v>16476</v>
      </c>
      <c r="T5130">
        <v>30</v>
      </c>
      <c r="U5130" s="2" t="s">
        <v>30981</v>
      </c>
      <c r="W5130" t="s">
        <v>1060</v>
      </c>
      <c r="X5130">
        <v>820303</v>
      </c>
      <c r="Y5130" t="e">
        <f ca="1">- _xludf.For Preventive Maintenance _xludf.and Troubleshooting</f>
        <v>#NAME?</v>
      </c>
      <c r="Z5130" t="e">
        <f ca="1">- cleaned cartridge Bays, plunger Rods, _xludf.filter _xludf.and I-CORE
- generated reports</f>
        <v>#NAME?</v>
      </c>
      <c r="AA5130" t="e">
        <f ca="1">- performed Preventive Maintenance _xludf.and Troubleshooting</f>
        <v>#NAME?</v>
      </c>
      <c r="AB5130" t="s">
        <v>181</v>
      </c>
      <c r="AC5130" t="s">
        <v>30982</v>
      </c>
      <c r="AG5130" t="s">
        <v>30983</v>
      </c>
      <c r="AH5130" t="s">
        <v>3393</v>
      </c>
      <c r="AI5130" t="s">
        <v>30984</v>
      </c>
    </row>
    <row r="5131" spans="2:35" ht="105">
      <c r="B5131" s="1">
        <v>45345</v>
      </c>
      <c r="C5131" s="4">
        <v>45345.782638888886</v>
      </c>
      <c r="D5131" t="s">
        <v>30985</v>
      </c>
      <c r="E5131" t="s">
        <v>30986</v>
      </c>
      <c r="F5131">
        <v>6</v>
      </c>
      <c r="G5131" t="s">
        <v>1286</v>
      </c>
      <c r="H5131" t="s">
        <v>10969</v>
      </c>
      <c r="I5131" t="s">
        <v>40</v>
      </c>
      <c r="J5131" s="2" t="s">
        <v>41</v>
      </c>
      <c r="K5131" t="s">
        <v>42</v>
      </c>
      <c r="L5131" t="s">
        <v>1288</v>
      </c>
      <c r="N5131" t="s">
        <v>1289</v>
      </c>
      <c r="Q5131">
        <v>27414</v>
      </c>
      <c r="R5131" t="s">
        <v>45</v>
      </c>
      <c r="S5131" t="s">
        <v>30987</v>
      </c>
      <c r="T5131">
        <v>28</v>
      </c>
      <c r="U5131" s="2" t="s">
        <v>30988</v>
      </c>
      <c r="W5131" t="s">
        <v>1292</v>
      </c>
      <c r="X5131">
        <v>807555</v>
      </c>
      <c r="Y5131" t="s">
        <v>30989</v>
      </c>
      <c r="Z5131" t="e">
        <f ca="1">-COLLECT IQR, system _xludf.Log, _xludf.and ARCHIVE</f>
        <v>#NAME?</v>
      </c>
      <c r="AA5131" t="e">
        <f ca="1">-PERFORM stuck cartridge Troubleshooting PROCEDURE
-PERFORM Preventive Maintenance</f>
        <v>#NAME?</v>
      </c>
      <c r="AB5131" t="s">
        <v>1293</v>
      </c>
      <c r="AG5131" t="s">
        <v>30990</v>
      </c>
      <c r="AH5131" t="s">
        <v>30991</v>
      </c>
      <c r="AI5131" t="s">
        <v>30992</v>
      </c>
    </row>
    <row r="5132" spans="2:35" ht="105">
      <c r="B5132" s="1">
        <v>45345</v>
      </c>
      <c r="C5132" s="4">
        <v>45342.556944444441</v>
      </c>
      <c r="D5132" t="s">
        <v>26244</v>
      </c>
      <c r="E5132" t="s">
        <v>30993</v>
      </c>
      <c r="F5132">
        <v>1</v>
      </c>
      <c r="G5132" t="s">
        <v>1046</v>
      </c>
      <c r="H5132" t="s">
        <v>1047</v>
      </c>
      <c r="I5132" t="s">
        <v>40</v>
      </c>
      <c r="J5132" t="s">
        <v>109</v>
      </c>
      <c r="K5132" t="s">
        <v>42</v>
      </c>
      <c r="L5132" t="s">
        <v>1048</v>
      </c>
      <c r="N5132" t="s">
        <v>1049</v>
      </c>
      <c r="Q5132">
        <v>27413</v>
      </c>
      <c r="R5132" t="s">
        <v>45</v>
      </c>
      <c r="S5132" t="s">
        <v>26247</v>
      </c>
      <c r="T5132">
        <v>30</v>
      </c>
      <c r="U5132" s="2" t="s">
        <v>30994</v>
      </c>
      <c r="W5132" t="s">
        <v>1051</v>
      </c>
      <c r="X5132">
        <v>807598</v>
      </c>
      <c r="Y5132" t="e">
        <f ca="1">- _xludf.For Preventive Maintenance</f>
        <v>#NAME?</v>
      </c>
      <c r="Z5132" t="e">
        <f ca="1">- cleaned cartridge Bays, plunger Rods _xludf.and I-CORE
- generated reports</f>
        <v>#NAME?</v>
      </c>
      <c r="AA5132" t="e">
        <f ca="1">- performed Preventive Maintenance</f>
        <v>#NAME?</v>
      </c>
      <c r="AB5132" t="s">
        <v>181</v>
      </c>
      <c r="AC5132" t="s">
        <v>30995</v>
      </c>
      <c r="AG5132" t="s">
        <v>30996</v>
      </c>
      <c r="AH5132" t="s">
        <v>26255</v>
      </c>
      <c r="AI5132" t="s">
        <v>30997</v>
      </c>
    </row>
    <row r="5133" spans="2:35" ht="225">
      <c r="B5133" s="1">
        <v>45345</v>
      </c>
      <c r="C5133" s="4">
        <v>45342.507638888892</v>
      </c>
      <c r="D5133" t="s">
        <v>26244</v>
      </c>
      <c r="E5133" t="s">
        <v>30993</v>
      </c>
      <c r="F5133">
        <v>1</v>
      </c>
      <c r="G5133" t="s">
        <v>1046</v>
      </c>
      <c r="H5133" t="s">
        <v>1047</v>
      </c>
      <c r="I5133" t="s">
        <v>40</v>
      </c>
      <c r="J5133" t="s">
        <v>321</v>
      </c>
      <c r="K5133" t="s">
        <v>42</v>
      </c>
      <c r="L5133" t="s">
        <v>1048</v>
      </c>
      <c r="N5133" t="s">
        <v>1049</v>
      </c>
      <c r="Q5133">
        <v>27412</v>
      </c>
      <c r="R5133" t="s">
        <v>45</v>
      </c>
      <c r="S5133" t="s">
        <v>26247</v>
      </c>
      <c r="T5133">
        <v>28</v>
      </c>
      <c r="W5133" t="s">
        <v>1424</v>
      </c>
      <c r="X5133">
        <v>120000731</v>
      </c>
      <c r="Y5133" t="s">
        <v>30998</v>
      </c>
      <c r="Z5133" s="2" t="s">
        <v>30999</v>
      </c>
      <c r="AA5133" t="s">
        <v>30368</v>
      </c>
      <c r="AB5133" t="s">
        <v>181</v>
      </c>
      <c r="AG5133" t="s">
        <v>31000</v>
      </c>
      <c r="AH5133" t="s">
        <v>26255</v>
      </c>
      <c r="AI5133" t="s">
        <v>31001</v>
      </c>
    </row>
    <row r="5134" spans="2:35" ht="105">
      <c r="B5134" s="1">
        <v>45345</v>
      </c>
      <c r="C5134" s="4">
        <v>45341.630555555559</v>
      </c>
      <c r="D5134" t="s">
        <v>4953</v>
      </c>
      <c r="E5134" t="s">
        <v>4954</v>
      </c>
      <c r="F5134">
        <v>1</v>
      </c>
      <c r="G5134" t="s">
        <v>1046</v>
      </c>
      <c r="H5134" t="s">
        <v>39</v>
      </c>
      <c r="I5134" t="s">
        <v>40</v>
      </c>
      <c r="J5134" s="2" t="s">
        <v>62</v>
      </c>
      <c r="K5134" t="s">
        <v>42</v>
      </c>
      <c r="L5134" t="s">
        <v>1048</v>
      </c>
      <c r="N5134" t="s">
        <v>1049</v>
      </c>
      <c r="Q5134">
        <v>27411</v>
      </c>
      <c r="R5134" t="s">
        <v>45</v>
      </c>
      <c r="S5134" t="s">
        <v>4955</v>
      </c>
      <c r="T5134">
        <v>28</v>
      </c>
      <c r="U5134" s="2" t="s">
        <v>6728</v>
      </c>
      <c r="V5134" s="1">
        <v>45327</v>
      </c>
      <c r="W5134" t="s">
        <v>1051</v>
      </c>
      <c r="X5134">
        <v>838437</v>
      </c>
      <c r="Y5134" t="e">
        <f ca="1">- _xludf.For Preventive Maintenance _xludf.and XpertCheck</f>
        <v>#NAME?</v>
      </c>
      <c r="Z5134" t="e">
        <f ca="1">- cleaned cartridge Bays, plunger Rods _xludf.and I-CORE
- performed XpertCheck
- generated reports</f>
        <v>#NAME?</v>
      </c>
      <c r="AA5134" t="e">
        <f ca="1">- performed Preventive Maintenance _xludf.and XpertCheck</f>
        <v>#NAME?</v>
      </c>
      <c r="AB5134" t="s">
        <v>181</v>
      </c>
      <c r="AC5134" t="s">
        <v>31002</v>
      </c>
      <c r="AD5134" t="s">
        <v>1958</v>
      </c>
      <c r="AE5134" t="s">
        <v>31003</v>
      </c>
      <c r="AG5134" t="s">
        <v>31004</v>
      </c>
      <c r="AH5134" t="s">
        <v>4958</v>
      </c>
      <c r="AI5134" t="s">
        <v>31005</v>
      </c>
    </row>
    <row r="5135" spans="2:35" ht="300">
      <c r="B5135" s="1">
        <v>45345</v>
      </c>
      <c r="C5135" s="4">
        <v>45345.463888888888</v>
      </c>
      <c r="D5135" t="s">
        <v>2529</v>
      </c>
      <c r="E5135" t="s">
        <v>25679</v>
      </c>
      <c r="F5135" t="s">
        <v>37</v>
      </c>
      <c r="G5135" t="s">
        <v>2499</v>
      </c>
      <c r="H5135" t="s">
        <v>39</v>
      </c>
      <c r="I5135" t="s">
        <v>94</v>
      </c>
      <c r="J5135" s="2" t="s">
        <v>62</v>
      </c>
      <c r="K5135" t="s">
        <v>42</v>
      </c>
      <c r="L5135" t="s">
        <v>15532</v>
      </c>
      <c r="N5135" t="s">
        <v>15533</v>
      </c>
      <c r="Q5135">
        <v>27410</v>
      </c>
      <c r="R5135" t="s">
        <v>45</v>
      </c>
      <c r="S5135" t="s">
        <v>24036</v>
      </c>
      <c r="T5135">
        <v>27</v>
      </c>
      <c r="U5135" s="2" t="s">
        <v>31006</v>
      </c>
      <c r="V5135" s="1">
        <v>45317</v>
      </c>
      <c r="W5135" t="s">
        <v>17368</v>
      </c>
      <c r="X5135">
        <v>804692</v>
      </c>
      <c r="Y5135" t="s">
        <v>21420</v>
      </c>
      <c r="Z5135" s="2" t="s">
        <v>31007</v>
      </c>
      <c r="AA5135" t="s">
        <v>999</v>
      </c>
      <c r="AB5135" s="2" t="s">
        <v>31008</v>
      </c>
      <c r="AC5135" t="s">
        <v>31009</v>
      </c>
      <c r="AD5135" t="s">
        <v>7189</v>
      </c>
      <c r="AE5135" t="s">
        <v>31010</v>
      </c>
      <c r="AG5135" t="s">
        <v>31011</v>
      </c>
      <c r="AH5135" t="s">
        <v>24043</v>
      </c>
      <c r="AI5135" t="s">
        <v>31012</v>
      </c>
    </row>
    <row r="5136" spans="2:35" ht="285">
      <c r="B5136" s="1">
        <v>45345</v>
      </c>
      <c r="C5136" s="4">
        <v>45344.561111111114</v>
      </c>
      <c r="D5136" t="s">
        <v>31013</v>
      </c>
      <c r="E5136" t="s">
        <v>31014</v>
      </c>
      <c r="F5136" t="s">
        <v>37</v>
      </c>
      <c r="G5136" t="s">
        <v>2499</v>
      </c>
      <c r="H5136" t="s">
        <v>39</v>
      </c>
      <c r="I5136" t="s">
        <v>40</v>
      </c>
      <c r="J5136" s="2" t="s">
        <v>62</v>
      </c>
      <c r="K5136" t="s">
        <v>42</v>
      </c>
      <c r="L5136" t="s">
        <v>15532</v>
      </c>
      <c r="N5136" t="s">
        <v>15533</v>
      </c>
      <c r="Q5136">
        <v>27409</v>
      </c>
      <c r="R5136" t="s">
        <v>45</v>
      </c>
      <c r="S5136" t="s">
        <v>31015</v>
      </c>
      <c r="T5136">
        <v>28</v>
      </c>
      <c r="U5136" s="2" t="s">
        <v>21270</v>
      </c>
      <c r="V5136" s="1">
        <v>45317</v>
      </c>
      <c r="W5136" t="s">
        <v>31016</v>
      </c>
      <c r="X5136">
        <v>838163</v>
      </c>
      <c r="Y5136" t="s">
        <v>31017</v>
      </c>
      <c r="Z5136" s="2" t="s">
        <v>31018</v>
      </c>
      <c r="AA5136" t="s">
        <v>999</v>
      </c>
      <c r="AB5136" s="2" t="s">
        <v>15539</v>
      </c>
      <c r="AC5136" t="s">
        <v>31019</v>
      </c>
      <c r="AD5136" t="s">
        <v>20036</v>
      </c>
      <c r="AE5136" t="s">
        <v>31020</v>
      </c>
      <c r="AG5136" t="s">
        <v>31021</v>
      </c>
      <c r="AH5136" t="s">
        <v>31022</v>
      </c>
      <c r="AI5136" t="s">
        <v>31023</v>
      </c>
    </row>
    <row r="5137" spans="2:35" ht="330">
      <c r="B5137" s="1">
        <v>45345</v>
      </c>
      <c r="C5137" s="4">
        <v>45345.602083333331</v>
      </c>
      <c r="D5137" t="s">
        <v>31024</v>
      </c>
      <c r="E5137" t="s">
        <v>31025</v>
      </c>
      <c r="F5137" t="s">
        <v>511</v>
      </c>
      <c r="G5137" t="s">
        <v>25873</v>
      </c>
      <c r="H5137" t="s">
        <v>39</v>
      </c>
      <c r="I5137" t="s">
        <v>40</v>
      </c>
      <c r="J5137" s="2" t="s">
        <v>1808</v>
      </c>
      <c r="K5137" t="s">
        <v>42</v>
      </c>
      <c r="L5137" t="s">
        <v>63</v>
      </c>
      <c r="N5137" t="s">
        <v>64</v>
      </c>
      <c r="Q5137">
        <v>27408</v>
      </c>
      <c r="R5137" t="s">
        <v>45</v>
      </c>
      <c r="S5137" t="s">
        <v>31026</v>
      </c>
      <c r="T5137">
        <v>25</v>
      </c>
      <c r="V5137" s="1">
        <v>45345</v>
      </c>
      <c r="W5137" t="s">
        <v>373</v>
      </c>
      <c r="X5137">
        <v>110019622</v>
      </c>
      <c r="Y5137" t="s">
        <v>1716</v>
      </c>
      <c r="Z5137" t="s">
        <v>1716</v>
      </c>
      <c r="AA5137" s="2" t="s">
        <v>31027</v>
      </c>
      <c r="AB5137" t="s">
        <v>70</v>
      </c>
      <c r="AC5137" t="s">
        <v>1716</v>
      </c>
      <c r="AD5137" t="s">
        <v>1716</v>
      </c>
      <c r="AE5137" t="s">
        <v>1716</v>
      </c>
      <c r="AG5137" t="s">
        <v>31028</v>
      </c>
      <c r="AH5137" t="s">
        <v>31029</v>
      </c>
      <c r="AI5137" t="s">
        <v>31030</v>
      </c>
    </row>
    <row r="5138" spans="2:35" ht="300">
      <c r="B5138" s="1">
        <v>45345</v>
      </c>
      <c r="C5138" s="4">
        <v>45345.559027777781</v>
      </c>
      <c r="D5138" t="s">
        <v>3375</v>
      </c>
      <c r="E5138" t="s">
        <v>31031</v>
      </c>
      <c r="F5138">
        <v>3</v>
      </c>
      <c r="G5138" t="s">
        <v>134</v>
      </c>
      <c r="H5138" t="s">
        <v>6357</v>
      </c>
      <c r="I5138" t="s">
        <v>40</v>
      </c>
      <c r="J5138" s="2" t="s">
        <v>41</v>
      </c>
      <c r="K5138" t="s">
        <v>42</v>
      </c>
      <c r="L5138" t="s">
        <v>135</v>
      </c>
      <c r="N5138" t="s">
        <v>136</v>
      </c>
      <c r="O5138" t="s">
        <v>136</v>
      </c>
      <c r="Q5138">
        <v>27407</v>
      </c>
      <c r="R5138" t="s">
        <v>45</v>
      </c>
      <c r="S5138" t="s">
        <v>3377</v>
      </c>
      <c r="T5138">
        <v>32</v>
      </c>
      <c r="U5138" s="2" t="s">
        <v>31032</v>
      </c>
      <c r="W5138" t="s">
        <v>2680</v>
      </c>
      <c r="X5138">
        <v>807569</v>
      </c>
      <c r="Y5138" s="2" t="s">
        <v>31033</v>
      </c>
      <c r="Z5138" s="2" t="s">
        <v>31034</v>
      </c>
      <c r="AA5138" s="2" t="s">
        <v>31035</v>
      </c>
      <c r="AB5138" s="2" t="s">
        <v>31036</v>
      </c>
      <c r="AG5138" t="s">
        <v>31037</v>
      </c>
      <c r="AH5138" t="s">
        <v>3381</v>
      </c>
      <c r="AI5138" t="s">
        <v>31038</v>
      </c>
    </row>
    <row r="5139" spans="2:35" ht="270">
      <c r="B5139" s="1">
        <v>45345</v>
      </c>
      <c r="C5139" s="4">
        <v>45345.517361111109</v>
      </c>
      <c r="D5139" t="s">
        <v>25306</v>
      </c>
      <c r="E5139" t="s">
        <v>25307</v>
      </c>
      <c r="F5139">
        <v>11</v>
      </c>
      <c r="G5139" t="s">
        <v>2836</v>
      </c>
      <c r="H5139" t="s">
        <v>202</v>
      </c>
      <c r="I5139" t="s">
        <v>94</v>
      </c>
      <c r="J5139" t="s">
        <v>79</v>
      </c>
      <c r="K5139" t="s">
        <v>42</v>
      </c>
      <c r="L5139" t="s">
        <v>204</v>
      </c>
      <c r="N5139" t="s">
        <v>205</v>
      </c>
      <c r="O5139" t="s">
        <v>25308</v>
      </c>
      <c r="Q5139">
        <v>27406</v>
      </c>
      <c r="R5139" t="s">
        <v>45</v>
      </c>
      <c r="S5139" t="s">
        <v>31039</v>
      </c>
      <c r="T5139">
        <v>20.5</v>
      </c>
      <c r="U5139" s="2" t="s">
        <v>31040</v>
      </c>
      <c r="W5139" t="s">
        <v>23237</v>
      </c>
      <c r="X5139">
        <v>815270</v>
      </c>
      <c r="Y5139" t="s">
        <v>31041</v>
      </c>
      <c r="Z5139" s="2" t="s">
        <v>31042</v>
      </c>
      <c r="AA5139" t="s">
        <v>12182</v>
      </c>
      <c r="AB5139" t="s">
        <v>1211</v>
      </c>
      <c r="AG5139" t="s">
        <v>31043</v>
      </c>
      <c r="AH5139" t="s">
        <v>31044</v>
      </c>
      <c r="AI5139" t="s">
        <v>31045</v>
      </c>
    </row>
    <row r="5140" spans="2:35" ht="180">
      <c r="B5140" s="1">
        <v>45345</v>
      </c>
      <c r="C5140" s="4">
        <v>45345.54583333333</v>
      </c>
      <c r="D5140" t="s">
        <v>26071</v>
      </c>
      <c r="E5140" t="s">
        <v>26072</v>
      </c>
      <c r="F5140" t="s">
        <v>148</v>
      </c>
      <c r="G5140" t="s">
        <v>421</v>
      </c>
      <c r="H5140" t="s">
        <v>39</v>
      </c>
      <c r="I5140" t="s">
        <v>40</v>
      </c>
      <c r="J5140" s="2" t="s">
        <v>62</v>
      </c>
      <c r="K5140" t="s">
        <v>42</v>
      </c>
      <c r="L5140" t="s">
        <v>175</v>
      </c>
      <c r="N5140" t="s">
        <v>31046</v>
      </c>
      <c r="Q5140">
        <v>27404</v>
      </c>
      <c r="R5140" t="s">
        <v>45</v>
      </c>
      <c r="S5140" t="s">
        <v>422</v>
      </c>
      <c r="T5140">
        <v>25</v>
      </c>
      <c r="W5140" t="s">
        <v>84</v>
      </c>
      <c r="X5140">
        <v>814151</v>
      </c>
      <c r="Y5140" t="s">
        <v>998</v>
      </c>
      <c r="Z5140" t="s">
        <v>999</v>
      </c>
      <c r="AA5140" t="e">
        <f ca="1">- checked _xludf.and cleaned cartridge bay, plunger rod, _xludf.filter, icore
- performed XpertCheck
- generated reports</f>
        <v>#NAME?</v>
      </c>
      <c r="AB5140" s="2" t="s">
        <v>31047</v>
      </c>
      <c r="AG5140" t="s">
        <v>31048</v>
      </c>
      <c r="AH5140" t="s">
        <v>428</v>
      </c>
      <c r="AI5140" t="s">
        <v>31049</v>
      </c>
    </row>
    <row r="5141" spans="2:35" ht="210">
      <c r="B5141" s="1">
        <v>45345</v>
      </c>
      <c r="C5141" s="4">
        <v>45345.548611111109</v>
      </c>
      <c r="D5141" t="s">
        <v>26071</v>
      </c>
      <c r="E5141" t="s">
        <v>26072</v>
      </c>
      <c r="F5141" t="s">
        <v>148</v>
      </c>
      <c r="G5141" t="s">
        <v>421</v>
      </c>
      <c r="H5141" t="s">
        <v>39</v>
      </c>
      <c r="I5141" t="s">
        <v>40</v>
      </c>
      <c r="J5141" s="2" t="s">
        <v>62</v>
      </c>
      <c r="K5141" t="s">
        <v>42</v>
      </c>
      <c r="L5141" t="s">
        <v>175</v>
      </c>
      <c r="N5141" t="s">
        <v>176</v>
      </c>
      <c r="Q5141">
        <v>27405</v>
      </c>
      <c r="R5141" t="s">
        <v>45</v>
      </c>
      <c r="S5141" t="s">
        <v>422</v>
      </c>
      <c r="T5141">
        <v>25</v>
      </c>
      <c r="W5141" t="s">
        <v>84</v>
      </c>
      <c r="X5141">
        <v>815381</v>
      </c>
      <c r="Y5141" t="s">
        <v>998</v>
      </c>
      <c r="Z5141" t="s">
        <v>999</v>
      </c>
      <c r="AA5141" t="e">
        <f ca="1">- checked _xludf.and cleaned cartridge bay, plunger rod, _xludf.filter, icore
- performed XpertCheck
- generated reports</f>
        <v>#NAME?</v>
      </c>
      <c r="AB5141" s="2" t="s">
        <v>31050</v>
      </c>
      <c r="AG5141" t="s">
        <v>31051</v>
      </c>
      <c r="AH5141" t="s">
        <v>428</v>
      </c>
      <c r="AI5141" t="s">
        <v>31052</v>
      </c>
    </row>
    <row r="5142" spans="2:35" ht="409.5">
      <c r="B5142" s="1">
        <v>45345</v>
      </c>
      <c r="C5142" s="4">
        <v>45345.50277777778</v>
      </c>
      <c r="D5142" t="s">
        <v>837</v>
      </c>
      <c r="E5142" t="s">
        <v>27098</v>
      </c>
      <c r="F5142">
        <v>5</v>
      </c>
      <c r="G5142" t="s">
        <v>839</v>
      </c>
      <c r="H5142" t="s">
        <v>22288</v>
      </c>
      <c r="I5142" t="s">
        <v>40</v>
      </c>
      <c r="J5142" s="2" t="s">
        <v>41</v>
      </c>
      <c r="K5142" t="s">
        <v>42</v>
      </c>
      <c r="L5142" t="s">
        <v>761</v>
      </c>
      <c r="N5142" t="s">
        <v>762</v>
      </c>
      <c r="Q5142">
        <v>27403</v>
      </c>
      <c r="R5142" t="s">
        <v>45</v>
      </c>
      <c r="S5142" t="s">
        <v>31053</v>
      </c>
      <c r="T5142">
        <v>26</v>
      </c>
      <c r="U5142" s="2" t="s">
        <v>31054</v>
      </c>
      <c r="W5142" t="s">
        <v>31055</v>
      </c>
      <c r="X5142">
        <v>842225</v>
      </c>
      <c r="Y5142" t="s">
        <v>31056</v>
      </c>
      <c r="Z5142" s="2" t="s">
        <v>31057</v>
      </c>
      <c r="AA5142" s="2" t="s">
        <v>31058</v>
      </c>
      <c r="AB5142" t="s">
        <v>70</v>
      </c>
      <c r="AG5142" t="s">
        <v>31059</v>
      </c>
      <c r="AH5142" t="s">
        <v>31060</v>
      </c>
      <c r="AI5142" t="s">
        <v>31061</v>
      </c>
    </row>
    <row r="5143" spans="2:35" ht="105">
      <c r="B5143" s="1">
        <v>45345</v>
      </c>
      <c r="C5143" s="4">
        <v>45345.489583333336</v>
      </c>
      <c r="D5143" t="s">
        <v>20529</v>
      </c>
      <c r="E5143" t="s">
        <v>370</v>
      </c>
      <c r="F5143" t="s">
        <v>148</v>
      </c>
      <c r="G5143" t="s">
        <v>371</v>
      </c>
      <c r="H5143" t="s">
        <v>39</v>
      </c>
      <c r="I5143" t="s">
        <v>40</v>
      </c>
      <c r="J5143" t="s">
        <v>79</v>
      </c>
      <c r="K5143" t="s">
        <v>42</v>
      </c>
      <c r="L5143" t="s">
        <v>175</v>
      </c>
      <c r="N5143" t="s">
        <v>176</v>
      </c>
      <c r="Q5143">
        <v>27402</v>
      </c>
      <c r="R5143" t="s">
        <v>119</v>
      </c>
      <c r="S5143" t="s">
        <v>20530</v>
      </c>
      <c r="T5143">
        <v>25</v>
      </c>
      <c r="V5143" s="1">
        <v>45307</v>
      </c>
      <c r="W5143" t="s">
        <v>84</v>
      </c>
      <c r="X5143">
        <v>831906</v>
      </c>
      <c r="Y5143" t="s">
        <v>9897</v>
      </c>
      <c r="Z5143" t="s">
        <v>9899</v>
      </c>
      <c r="AA5143" t="e">
        <f ca="1">- replaced monitor
- generated reports
- performed functionality test</f>
        <v>#NAME?</v>
      </c>
      <c r="AB5143" t="s">
        <v>181</v>
      </c>
      <c r="AD5143" s="2" t="s">
        <v>31062</v>
      </c>
      <c r="AE5143">
        <v>11123</v>
      </c>
      <c r="AG5143" t="s">
        <v>31063</v>
      </c>
      <c r="AH5143" t="s">
        <v>28277</v>
      </c>
      <c r="AI5143" t="s">
        <v>31064</v>
      </c>
    </row>
    <row r="5144" spans="2:35" ht="409.5">
      <c r="B5144" s="1">
        <v>45345</v>
      </c>
      <c r="C5144" s="4">
        <v>45344.560416666667</v>
      </c>
      <c r="D5144" t="s">
        <v>31065</v>
      </c>
      <c r="E5144" t="s">
        <v>31066</v>
      </c>
      <c r="F5144">
        <v>11</v>
      </c>
      <c r="G5144" t="s">
        <v>1759</v>
      </c>
      <c r="H5144" t="s">
        <v>202</v>
      </c>
      <c r="I5144" t="s">
        <v>94</v>
      </c>
      <c r="J5144" s="2" t="s">
        <v>41</v>
      </c>
      <c r="K5144" t="s">
        <v>42</v>
      </c>
      <c r="L5144" t="s">
        <v>204</v>
      </c>
      <c r="N5144" t="s">
        <v>205</v>
      </c>
      <c r="Q5144">
        <v>27401</v>
      </c>
      <c r="R5144" t="s">
        <v>45</v>
      </c>
      <c r="S5144" t="s">
        <v>31067</v>
      </c>
      <c r="T5144">
        <v>24.7</v>
      </c>
      <c r="U5144" s="2" t="s">
        <v>31068</v>
      </c>
      <c r="W5144" t="s">
        <v>23237</v>
      </c>
      <c r="X5144">
        <v>835218</v>
      </c>
      <c r="Y5144" t="s">
        <v>31069</v>
      </c>
      <c r="Z5144" s="2" t="s">
        <v>31070</v>
      </c>
      <c r="AA5144" t="s">
        <v>2560</v>
      </c>
      <c r="AB5144" t="s">
        <v>3063</v>
      </c>
      <c r="AG5144" t="s">
        <v>31071</v>
      </c>
      <c r="AH5144" t="s">
        <v>31072</v>
      </c>
      <c r="AI5144" t="s">
        <v>31073</v>
      </c>
    </row>
    <row r="5145" spans="2:35" ht="255">
      <c r="B5145" s="1">
        <v>45344</v>
      </c>
      <c r="C5145" s="4">
        <v>45343.369444444441</v>
      </c>
      <c r="D5145" t="s">
        <v>2176</v>
      </c>
      <c r="E5145" t="s">
        <v>31074</v>
      </c>
      <c r="F5145" t="s">
        <v>148</v>
      </c>
      <c r="G5145" t="s">
        <v>447</v>
      </c>
      <c r="H5145" t="s">
        <v>2581</v>
      </c>
      <c r="I5145" t="s">
        <v>40</v>
      </c>
      <c r="J5145" s="2" t="s">
        <v>41</v>
      </c>
      <c r="K5145" t="s">
        <v>42</v>
      </c>
      <c r="L5145" t="s">
        <v>448</v>
      </c>
      <c r="N5145" t="s">
        <v>650</v>
      </c>
      <c r="Q5145">
        <v>27400</v>
      </c>
      <c r="R5145" t="s">
        <v>45</v>
      </c>
      <c r="S5145" t="s">
        <v>2582</v>
      </c>
      <c r="T5145">
        <v>24</v>
      </c>
      <c r="U5145" s="2" t="s">
        <v>4971</v>
      </c>
      <c r="V5145" s="1">
        <v>45342</v>
      </c>
      <c r="W5145" t="s">
        <v>360</v>
      </c>
      <c r="X5145">
        <v>803087</v>
      </c>
      <c r="Y5145" t="s">
        <v>31075</v>
      </c>
      <c r="Z5145" s="2" t="s">
        <v>2585</v>
      </c>
      <c r="AA5145" t="s">
        <v>20643</v>
      </c>
      <c r="AB5145" t="s">
        <v>486</v>
      </c>
      <c r="AD5145" t="s">
        <v>27413</v>
      </c>
      <c r="AE5145" t="s">
        <v>31076</v>
      </c>
      <c r="AG5145" t="s">
        <v>31077</v>
      </c>
      <c r="AH5145" t="s">
        <v>15742</v>
      </c>
      <c r="AI5145" t="s">
        <v>31078</v>
      </c>
    </row>
    <row r="5146" spans="2:35" ht="255">
      <c r="B5146" s="1">
        <v>45344</v>
      </c>
      <c r="C5146" s="4">
        <v>45343.415972222225</v>
      </c>
      <c r="D5146" t="s">
        <v>1145</v>
      </c>
      <c r="E5146" t="s">
        <v>29959</v>
      </c>
      <c r="F5146" t="s">
        <v>148</v>
      </c>
      <c r="G5146" t="s">
        <v>447</v>
      </c>
      <c r="H5146" t="s">
        <v>17343</v>
      </c>
      <c r="I5146" t="s">
        <v>40</v>
      </c>
      <c r="J5146" s="2" t="s">
        <v>41</v>
      </c>
      <c r="K5146" t="s">
        <v>42</v>
      </c>
      <c r="L5146" t="s">
        <v>448</v>
      </c>
      <c r="N5146" t="s">
        <v>650</v>
      </c>
      <c r="Q5146">
        <v>27399</v>
      </c>
      <c r="R5146" t="s">
        <v>45</v>
      </c>
      <c r="S5146" t="s">
        <v>23333</v>
      </c>
      <c r="T5146">
        <v>25</v>
      </c>
      <c r="U5146" s="2" t="s">
        <v>4094</v>
      </c>
      <c r="V5146" s="1">
        <v>45342</v>
      </c>
      <c r="W5146" t="s">
        <v>31079</v>
      </c>
      <c r="X5146">
        <v>704584</v>
      </c>
      <c r="Y5146" t="s">
        <v>31080</v>
      </c>
      <c r="Z5146" s="2" t="s">
        <v>2585</v>
      </c>
      <c r="AA5146" t="s">
        <v>20643</v>
      </c>
      <c r="AB5146" t="s">
        <v>486</v>
      </c>
      <c r="AD5146" t="s">
        <v>27413</v>
      </c>
      <c r="AE5146" t="s">
        <v>31081</v>
      </c>
      <c r="AG5146" t="s">
        <v>31082</v>
      </c>
      <c r="AH5146" t="s">
        <v>23336</v>
      </c>
      <c r="AI5146" t="s">
        <v>31083</v>
      </c>
    </row>
    <row r="5147" spans="2:35" ht="255">
      <c r="B5147" s="1">
        <v>45344</v>
      </c>
      <c r="C5147" s="4">
        <v>45342.56527777778</v>
      </c>
      <c r="D5147" t="s">
        <v>4259</v>
      </c>
      <c r="E5147" t="s">
        <v>31084</v>
      </c>
      <c r="F5147" t="s">
        <v>148</v>
      </c>
      <c r="G5147" t="s">
        <v>2007</v>
      </c>
      <c r="H5147" t="s">
        <v>39</v>
      </c>
      <c r="I5147" t="s">
        <v>40</v>
      </c>
      <c r="J5147" s="2" t="s">
        <v>41</v>
      </c>
      <c r="K5147" t="s">
        <v>42</v>
      </c>
      <c r="L5147" t="s">
        <v>448</v>
      </c>
      <c r="N5147" t="s">
        <v>650</v>
      </c>
      <c r="Q5147">
        <v>27398</v>
      </c>
      <c r="R5147" t="s">
        <v>703</v>
      </c>
      <c r="S5147" t="s">
        <v>4261</v>
      </c>
      <c r="T5147">
        <v>26</v>
      </c>
      <c r="U5147" s="2" t="s">
        <v>31085</v>
      </c>
      <c r="V5147" s="1">
        <v>45342</v>
      </c>
      <c r="W5147" t="s">
        <v>360</v>
      </c>
      <c r="X5147">
        <v>812560</v>
      </c>
      <c r="Y5147" t="s">
        <v>31086</v>
      </c>
      <c r="Z5147" s="2" t="s">
        <v>2585</v>
      </c>
      <c r="AA5147" t="s">
        <v>5712</v>
      </c>
      <c r="AB5147" t="s">
        <v>486</v>
      </c>
      <c r="AD5147" t="s">
        <v>27413</v>
      </c>
      <c r="AE5147" t="s">
        <v>31087</v>
      </c>
      <c r="AG5147" t="s">
        <v>31088</v>
      </c>
      <c r="AH5147" t="s">
        <v>6202</v>
      </c>
      <c r="AI5147" t="s">
        <v>31089</v>
      </c>
    </row>
    <row r="5148" spans="2:35" ht="300">
      <c r="B5148" s="1">
        <v>45344</v>
      </c>
      <c r="C5148" s="4">
        <v>45344.784722222219</v>
      </c>
      <c r="D5148" t="s">
        <v>837</v>
      </c>
      <c r="E5148" t="s">
        <v>12521</v>
      </c>
      <c r="F5148">
        <v>5</v>
      </c>
      <c r="G5148" t="s">
        <v>839</v>
      </c>
      <c r="H5148" t="s">
        <v>386</v>
      </c>
      <c r="I5148" t="s">
        <v>40</v>
      </c>
      <c r="J5148" t="s">
        <v>525</v>
      </c>
      <c r="K5148" t="s">
        <v>387</v>
      </c>
      <c r="L5148" t="s">
        <v>448</v>
      </c>
      <c r="N5148" t="s">
        <v>650</v>
      </c>
      <c r="O5148" t="s">
        <v>10559</v>
      </c>
      <c r="Q5148">
        <v>27397</v>
      </c>
      <c r="R5148" t="s">
        <v>322</v>
      </c>
      <c r="S5148" t="s">
        <v>8103</v>
      </c>
      <c r="T5148">
        <v>28</v>
      </c>
      <c r="V5148" s="1">
        <v>45321</v>
      </c>
      <c r="W5148" t="s">
        <v>390</v>
      </c>
      <c r="X5148" t="s">
        <v>27099</v>
      </c>
      <c r="Y5148" t="s">
        <v>31090</v>
      </c>
      <c r="Z5148" s="2" t="s">
        <v>31091</v>
      </c>
      <c r="AA5148" t="s">
        <v>4487</v>
      </c>
      <c r="AB5148" s="2" t="s">
        <v>31092</v>
      </c>
      <c r="AD5148" t="s">
        <v>31093</v>
      </c>
      <c r="AE5148">
        <v>11173</v>
      </c>
      <c r="AG5148" t="s">
        <v>31094</v>
      </c>
      <c r="AH5148" t="s">
        <v>31095</v>
      </c>
      <c r="AI5148" t="s">
        <v>31096</v>
      </c>
    </row>
    <row r="5149" spans="2:35" ht="409.5">
      <c r="B5149" s="1">
        <v>45344</v>
      </c>
      <c r="C5149" s="4">
        <v>45344.790972222225</v>
      </c>
      <c r="D5149" t="s">
        <v>837</v>
      </c>
      <c r="E5149" t="s">
        <v>31097</v>
      </c>
      <c r="F5149">
        <v>5</v>
      </c>
      <c r="G5149" t="s">
        <v>839</v>
      </c>
      <c r="H5149" t="s">
        <v>386</v>
      </c>
      <c r="I5149" t="s">
        <v>40</v>
      </c>
      <c r="J5149" t="s">
        <v>525</v>
      </c>
      <c r="K5149" t="s">
        <v>387</v>
      </c>
      <c r="L5149" t="s">
        <v>448</v>
      </c>
      <c r="N5149" t="s">
        <v>650</v>
      </c>
      <c r="O5149" t="s">
        <v>10559</v>
      </c>
      <c r="Q5149">
        <v>27396</v>
      </c>
      <c r="R5149" t="s">
        <v>322</v>
      </c>
      <c r="S5149" t="s">
        <v>8103</v>
      </c>
      <c r="T5149">
        <v>26</v>
      </c>
      <c r="V5149" s="1">
        <v>45344</v>
      </c>
      <c r="W5149" t="s">
        <v>390</v>
      </c>
      <c r="X5149" t="s">
        <v>841</v>
      </c>
      <c r="Y5149" t="s">
        <v>31098</v>
      </c>
      <c r="Z5149" s="2" t="s">
        <v>31099</v>
      </c>
      <c r="AA5149" t="s">
        <v>4487</v>
      </c>
      <c r="AB5149" t="s">
        <v>11943</v>
      </c>
      <c r="AC5149" t="s">
        <v>31100</v>
      </c>
      <c r="AD5149" t="s">
        <v>31101</v>
      </c>
      <c r="AE5149">
        <v>11173</v>
      </c>
      <c r="AG5149" t="s">
        <v>31102</v>
      </c>
      <c r="AH5149" t="s">
        <v>31095</v>
      </c>
      <c r="AI5149" t="s">
        <v>31103</v>
      </c>
    </row>
    <row r="5150" spans="2:35" ht="390">
      <c r="B5150" s="1">
        <v>45344</v>
      </c>
      <c r="C5150" s="4">
        <v>45344.813888888886</v>
      </c>
      <c r="D5150" t="s">
        <v>837</v>
      </c>
      <c r="E5150" t="s">
        <v>31097</v>
      </c>
      <c r="F5150">
        <v>5</v>
      </c>
      <c r="G5150" t="s">
        <v>839</v>
      </c>
      <c r="H5150" t="s">
        <v>386</v>
      </c>
      <c r="I5150" t="s">
        <v>40</v>
      </c>
      <c r="J5150" s="2" t="s">
        <v>62</v>
      </c>
      <c r="K5150" t="s">
        <v>387</v>
      </c>
      <c r="L5150" t="s">
        <v>448</v>
      </c>
      <c r="N5150" t="s">
        <v>650</v>
      </c>
      <c r="O5150" t="s">
        <v>10559</v>
      </c>
      <c r="Q5150">
        <v>27395</v>
      </c>
      <c r="R5150" t="s">
        <v>322</v>
      </c>
      <c r="S5150" t="s">
        <v>8103</v>
      </c>
      <c r="T5150">
        <v>28</v>
      </c>
      <c r="W5150" t="s">
        <v>390</v>
      </c>
      <c r="X5150" t="s">
        <v>847</v>
      </c>
      <c r="Y5150" t="s">
        <v>6712</v>
      </c>
      <c r="Z5150" s="2" t="s">
        <v>23817</v>
      </c>
      <c r="AA5150" t="s">
        <v>31104</v>
      </c>
      <c r="AB5150" t="s">
        <v>30351</v>
      </c>
      <c r="AG5150" t="s">
        <v>31105</v>
      </c>
      <c r="AH5150" t="s">
        <v>31095</v>
      </c>
      <c r="AI5150" t="s">
        <v>31106</v>
      </c>
    </row>
    <row r="5151" spans="2:35" ht="409.5">
      <c r="B5151" s="1">
        <v>45344</v>
      </c>
      <c r="C5151" s="4">
        <v>45344.633333333331</v>
      </c>
      <c r="D5151" t="s">
        <v>31107</v>
      </c>
      <c r="E5151" t="s">
        <v>1298</v>
      </c>
      <c r="F5151">
        <v>6</v>
      </c>
      <c r="G5151" t="s">
        <v>1286</v>
      </c>
      <c r="H5151" t="s">
        <v>12018</v>
      </c>
      <c r="I5151" t="s">
        <v>40</v>
      </c>
      <c r="J5151" s="2" t="s">
        <v>62</v>
      </c>
      <c r="K5151" t="s">
        <v>387</v>
      </c>
      <c r="L5151" t="s">
        <v>1288</v>
      </c>
      <c r="N5151" t="s">
        <v>1289</v>
      </c>
      <c r="Q5151">
        <v>27394</v>
      </c>
      <c r="R5151" t="s">
        <v>95</v>
      </c>
      <c r="S5151" t="s">
        <v>31108</v>
      </c>
      <c r="T5151">
        <v>24</v>
      </c>
      <c r="W5151" t="s">
        <v>390</v>
      </c>
      <c r="X5151" t="s">
        <v>14171</v>
      </c>
      <c r="Y5151" t="e">
        <f ca="1">-_xludf.For Preventive Maintenance _xludf.and CALIBRATION</f>
        <v>#NAME?</v>
      </c>
      <c r="Z5151" t="e">
        <f ca="1">-COLLECT CALIBRATION Data</f>
        <v>#NAME?</v>
      </c>
      <c r="AA5151" s="2" t="s">
        <v>31109</v>
      </c>
      <c r="AB5151" t="s">
        <v>1293</v>
      </c>
      <c r="AG5151" t="s">
        <v>31110</v>
      </c>
      <c r="AH5151" t="s">
        <v>31111</v>
      </c>
      <c r="AI5151" t="s">
        <v>31112</v>
      </c>
    </row>
    <row r="5152" spans="2:35" ht="210">
      <c r="B5152" s="1">
        <v>45344</v>
      </c>
      <c r="C5152" s="4">
        <v>45344.609722222223</v>
      </c>
      <c r="D5152" t="s">
        <v>3139</v>
      </c>
      <c r="E5152" t="s">
        <v>3140</v>
      </c>
      <c r="F5152">
        <v>3</v>
      </c>
      <c r="G5152" t="s">
        <v>174</v>
      </c>
      <c r="H5152" t="s">
        <v>61</v>
      </c>
      <c r="I5152" t="s">
        <v>40</v>
      </c>
      <c r="J5152" s="2" t="s">
        <v>62</v>
      </c>
      <c r="K5152" t="s">
        <v>42</v>
      </c>
      <c r="L5152" t="s">
        <v>175</v>
      </c>
      <c r="N5152" t="s">
        <v>176</v>
      </c>
      <c r="Q5152">
        <v>27393</v>
      </c>
      <c r="R5152" t="s">
        <v>45</v>
      </c>
      <c r="S5152" t="s">
        <v>18595</v>
      </c>
      <c r="T5152">
        <v>25</v>
      </c>
      <c r="U5152" s="2" t="s">
        <v>31113</v>
      </c>
      <c r="W5152" t="s">
        <v>84</v>
      </c>
      <c r="X5152">
        <v>834623</v>
      </c>
      <c r="Y5152" t="s">
        <v>998</v>
      </c>
      <c r="Z5152" t="s">
        <v>999</v>
      </c>
      <c r="AA5152" t="e">
        <f ca="1">- checked _xludf.and cleaned cartridge bay, plunger rod, _xludf.filter, icore slot
- performed XpertCheck
- generated reports</f>
        <v>#NAME?</v>
      </c>
      <c r="AB5152" s="2" t="s">
        <v>31114</v>
      </c>
      <c r="AG5152" t="s">
        <v>31115</v>
      </c>
      <c r="AH5152" t="s">
        <v>18598</v>
      </c>
      <c r="AI5152" t="s">
        <v>31116</v>
      </c>
    </row>
    <row r="5153" spans="2:35" ht="330">
      <c r="B5153" s="1">
        <v>45344</v>
      </c>
      <c r="C5153" s="4">
        <v>45344.624305555553</v>
      </c>
      <c r="D5153" t="s">
        <v>25750</v>
      </c>
      <c r="E5153" t="s">
        <v>31117</v>
      </c>
      <c r="F5153">
        <v>2</v>
      </c>
      <c r="G5153" t="s">
        <v>10878</v>
      </c>
      <c r="H5153" t="s">
        <v>39</v>
      </c>
      <c r="I5153" t="s">
        <v>40</v>
      </c>
      <c r="J5153" s="2" t="s">
        <v>1808</v>
      </c>
      <c r="K5153" t="s">
        <v>42</v>
      </c>
      <c r="L5153" t="s">
        <v>63</v>
      </c>
      <c r="N5153" t="s">
        <v>64</v>
      </c>
      <c r="Q5153">
        <v>27392</v>
      </c>
      <c r="R5153" t="s">
        <v>45</v>
      </c>
      <c r="S5153" t="s">
        <v>25753</v>
      </c>
      <c r="T5153">
        <v>23</v>
      </c>
      <c r="V5153" s="1">
        <v>45351</v>
      </c>
      <c r="W5153" t="s">
        <v>373</v>
      </c>
      <c r="X5153">
        <v>120000609</v>
      </c>
      <c r="Y5153" t="s">
        <v>1716</v>
      </c>
      <c r="Z5153" t="s">
        <v>1716</v>
      </c>
      <c r="AA5153" s="2" t="s">
        <v>31118</v>
      </c>
      <c r="AB5153" t="s">
        <v>70</v>
      </c>
      <c r="AC5153" t="s">
        <v>1716</v>
      </c>
      <c r="AD5153" t="s">
        <v>1716</v>
      </c>
      <c r="AE5153" t="s">
        <v>1716</v>
      </c>
      <c r="AG5153" t="s">
        <v>31119</v>
      </c>
      <c r="AH5153" t="s">
        <v>25759</v>
      </c>
      <c r="AI5153" t="s">
        <v>31120</v>
      </c>
    </row>
    <row r="5154" spans="2:35" ht="165">
      <c r="B5154" s="1">
        <v>45344</v>
      </c>
      <c r="C5154" s="4">
        <v>45344.62777777778</v>
      </c>
      <c r="D5154" t="s">
        <v>25750</v>
      </c>
      <c r="E5154" t="s">
        <v>31117</v>
      </c>
      <c r="F5154">
        <v>2</v>
      </c>
      <c r="G5154" t="s">
        <v>10878</v>
      </c>
      <c r="H5154" t="s">
        <v>39</v>
      </c>
      <c r="I5154" t="s">
        <v>40</v>
      </c>
      <c r="J5154" t="s">
        <v>109</v>
      </c>
      <c r="K5154" t="s">
        <v>42</v>
      </c>
      <c r="L5154" t="s">
        <v>63</v>
      </c>
      <c r="N5154" t="s">
        <v>64</v>
      </c>
      <c r="O5154" t="s">
        <v>64</v>
      </c>
      <c r="Q5154">
        <v>27391</v>
      </c>
      <c r="R5154" t="s">
        <v>45</v>
      </c>
      <c r="S5154" t="s">
        <v>25753</v>
      </c>
      <c r="T5154">
        <v>24</v>
      </c>
      <c r="U5154" s="2" t="s">
        <v>4590</v>
      </c>
      <c r="V5154" s="1">
        <v>45344</v>
      </c>
      <c r="W5154" t="s">
        <v>26915</v>
      </c>
      <c r="X5154">
        <v>814166</v>
      </c>
      <c r="Y5154" t="s">
        <v>26853</v>
      </c>
      <c r="Z5154" t="s">
        <v>31121</v>
      </c>
      <c r="AA5154" s="2" t="s">
        <v>1727</v>
      </c>
      <c r="AB5154" t="s">
        <v>70</v>
      </c>
      <c r="AC5154" t="s">
        <v>1716</v>
      </c>
      <c r="AD5154" t="s">
        <v>1716</v>
      </c>
      <c r="AE5154" t="s">
        <v>1716</v>
      </c>
      <c r="AG5154" t="s">
        <v>31122</v>
      </c>
      <c r="AH5154" t="s">
        <v>25759</v>
      </c>
      <c r="AI5154" t="s">
        <v>31123</v>
      </c>
    </row>
    <row r="5155" spans="2:35" ht="105">
      <c r="B5155" s="1">
        <v>45344</v>
      </c>
      <c r="C5155" s="4">
        <v>45344.627083333333</v>
      </c>
      <c r="D5155" t="s">
        <v>31124</v>
      </c>
      <c r="E5155" t="s">
        <v>31125</v>
      </c>
      <c r="F5155">
        <v>6</v>
      </c>
      <c r="G5155" t="s">
        <v>1286</v>
      </c>
      <c r="H5155" t="s">
        <v>1047</v>
      </c>
      <c r="I5155" t="s">
        <v>40</v>
      </c>
      <c r="J5155" s="2" t="s">
        <v>41</v>
      </c>
      <c r="K5155" t="s">
        <v>42</v>
      </c>
      <c r="L5155" t="s">
        <v>1288</v>
      </c>
      <c r="N5155" t="s">
        <v>1289</v>
      </c>
      <c r="Q5155">
        <v>27390</v>
      </c>
      <c r="R5155" t="s">
        <v>119</v>
      </c>
      <c r="S5155" t="s">
        <v>6358</v>
      </c>
      <c r="T5155">
        <v>30</v>
      </c>
      <c r="U5155" s="2" t="s">
        <v>19185</v>
      </c>
      <c r="W5155" t="s">
        <v>1292</v>
      </c>
      <c r="X5155">
        <v>838393</v>
      </c>
      <c r="Y5155" t="s">
        <v>31126</v>
      </c>
      <c r="Z5155" t="e">
        <f ca="1">-COLLECT IQR, system _xludf.Log, _xludf.and ARCHIVE</f>
        <v>#NAME?</v>
      </c>
      <c r="AA5155" t="e">
        <f ca="1">-PERFORM stuck cartridge Troubleshooting PROCEDURE
-PERFORM Preventive Maintenance</f>
        <v>#NAME?</v>
      </c>
      <c r="AB5155" t="s">
        <v>1293</v>
      </c>
      <c r="AG5155" t="s">
        <v>31127</v>
      </c>
      <c r="AH5155" t="s">
        <v>7895</v>
      </c>
      <c r="AI5155" t="s">
        <v>31128</v>
      </c>
    </row>
    <row r="5156" spans="2:35" ht="270">
      <c r="B5156" s="1">
        <v>45344</v>
      </c>
      <c r="C5156" s="4">
        <v>45344.568749999999</v>
      </c>
      <c r="D5156" t="s">
        <v>4953</v>
      </c>
      <c r="E5156" t="s">
        <v>31129</v>
      </c>
      <c r="F5156">
        <v>7</v>
      </c>
      <c r="G5156" t="s">
        <v>1234</v>
      </c>
      <c r="H5156" t="s">
        <v>608</v>
      </c>
      <c r="I5156" t="s">
        <v>94</v>
      </c>
      <c r="J5156" t="s">
        <v>79</v>
      </c>
      <c r="K5156" t="s">
        <v>42</v>
      </c>
      <c r="L5156" t="s">
        <v>610</v>
      </c>
      <c r="N5156" t="s">
        <v>611</v>
      </c>
      <c r="Q5156">
        <v>27389</v>
      </c>
      <c r="R5156" t="s">
        <v>45</v>
      </c>
      <c r="S5156" t="s">
        <v>31130</v>
      </c>
      <c r="T5156">
        <v>24</v>
      </c>
      <c r="U5156" s="2" t="s">
        <v>31131</v>
      </c>
      <c r="W5156" t="s">
        <v>360</v>
      </c>
      <c r="X5156">
        <v>805033</v>
      </c>
      <c r="Y5156" t="s">
        <v>31132</v>
      </c>
      <c r="Z5156" s="2" t="s">
        <v>31133</v>
      </c>
      <c r="AA5156" t="s">
        <v>31134</v>
      </c>
      <c r="AB5156" t="s">
        <v>7886</v>
      </c>
      <c r="AG5156" t="s">
        <v>31135</v>
      </c>
      <c r="AH5156" t="s">
        <v>31136</v>
      </c>
      <c r="AI5156" t="s">
        <v>31137</v>
      </c>
    </row>
    <row r="5157" spans="2:35" ht="60">
      <c r="B5157" s="1">
        <v>45344</v>
      </c>
      <c r="C5157" s="4">
        <v>45344.432638888888</v>
      </c>
      <c r="D5157" t="s">
        <v>30853</v>
      </c>
      <c r="E5157" t="s">
        <v>18404</v>
      </c>
      <c r="F5157">
        <v>7</v>
      </c>
      <c r="G5157" t="s">
        <v>6529</v>
      </c>
      <c r="H5157" t="s">
        <v>39</v>
      </c>
      <c r="I5157" t="s">
        <v>40</v>
      </c>
      <c r="J5157" s="2" t="s">
        <v>760</v>
      </c>
      <c r="K5157" t="s">
        <v>42</v>
      </c>
      <c r="L5157" t="s">
        <v>433</v>
      </c>
      <c r="N5157" t="s">
        <v>434</v>
      </c>
      <c r="Q5157">
        <v>27388</v>
      </c>
      <c r="R5157" t="s">
        <v>119</v>
      </c>
      <c r="S5157" t="s">
        <v>27886</v>
      </c>
      <c r="T5157">
        <v>28</v>
      </c>
      <c r="W5157" t="s">
        <v>502</v>
      </c>
      <c r="X5157">
        <v>820228</v>
      </c>
      <c r="Y5157" t="s">
        <v>30854</v>
      </c>
      <c r="Z5157" t="s">
        <v>30855</v>
      </c>
      <c r="AA5157" t="s">
        <v>30856</v>
      </c>
      <c r="AB5157" t="s">
        <v>1011</v>
      </c>
      <c r="AG5157" t="s">
        <v>31138</v>
      </c>
      <c r="AH5157" t="s">
        <v>27890</v>
      </c>
      <c r="AI5157" t="s">
        <v>31139</v>
      </c>
    </row>
    <row r="5158" spans="2:35" ht="409.5">
      <c r="B5158" s="1">
        <v>45344</v>
      </c>
      <c r="C5158" s="4">
        <v>45344.470833333333</v>
      </c>
      <c r="D5158" t="s">
        <v>24983</v>
      </c>
      <c r="E5158" t="s">
        <v>24984</v>
      </c>
      <c r="F5158">
        <v>8</v>
      </c>
      <c r="G5158" t="s">
        <v>257</v>
      </c>
      <c r="H5158" t="s">
        <v>31140</v>
      </c>
      <c r="I5158" t="s">
        <v>94</v>
      </c>
      <c r="J5158" s="2" t="s">
        <v>21407</v>
      </c>
      <c r="K5158" t="s">
        <v>42</v>
      </c>
      <c r="L5158" t="s">
        <v>259</v>
      </c>
      <c r="N5158" t="s">
        <v>260</v>
      </c>
      <c r="Q5158">
        <v>27387</v>
      </c>
      <c r="R5158" t="s">
        <v>45</v>
      </c>
      <c r="S5158" t="s">
        <v>31141</v>
      </c>
      <c r="T5158">
        <v>25</v>
      </c>
      <c r="V5158" s="1">
        <v>45344</v>
      </c>
      <c r="W5158" t="s">
        <v>28952</v>
      </c>
      <c r="X5158">
        <v>808291</v>
      </c>
      <c r="Y5158" t="s">
        <v>31142</v>
      </c>
      <c r="Z5158" t="e">
        <f ca="1">- _xludf.n/a</f>
        <v>#NAME?</v>
      </c>
      <c r="AA5158" s="2" t="s">
        <v>31143</v>
      </c>
      <c r="AB5158" t="s">
        <v>7675</v>
      </c>
      <c r="AG5158" t="s">
        <v>31144</v>
      </c>
      <c r="AH5158" t="s">
        <v>31145</v>
      </c>
      <c r="AI5158" t="s">
        <v>31146</v>
      </c>
    </row>
    <row r="5159" spans="2:35" ht="210">
      <c r="B5159" s="1">
        <v>45344</v>
      </c>
      <c r="C5159" s="4">
        <v>45344.455555555556</v>
      </c>
      <c r="D5159" t="s">
        <v>2796</v>
      </c>
      <c r="E5159" t="s">
        <v>2797</v>
      </c>
      <c r="F5159">
        <v>12</v>
      </c>
      <c r="G5159" t="s">
        <v>978</v>
      </c>
      <c r="H5159" t="s">
        <v>39</v>
      </c>
      <c r="I5159" t="s">
        <v>94</v>
      </c>
      <c r="J5159" t="s">
        <v>109</v>
      </c>
      <c r="K5159" t="s">
        <v>42</v>
      </c>
      <c r="L5159" t="s">
        <v>296</v>
      </c>
      <c r="N5159" t="s">
        <v>297</v>
      </c>
      <c r="Q5159">
        <v>27386</v>
      </c>
      <c r="R5159" t="s">
        <v>45</v>
      </c>
      <c r="S5159" t="s">
        <v>31147</v>
      </c>
      <c r="T5159">
        <v>29.1</v>
      </c>
      <c r="U5159" s="2" t="s">
        <v>31148</v>
      </c>
      <c r="W5159" t="s">
        <v>31149</v>
      </c>
      <c r="X5159">
        <v>838130</v>
      </c>
      <c r="Y5159" t="s">
        <v>54</v>
      </c>
      <c r="Z5159" s="2" t="s">
        <v>31150</v>
      </c>
      <c r="AA5159" t="s">
        <v>9161</v>
      </c>
      <c r="AB5159" t="s">
        <v>972</v>
      </c>
      <c r="AG5159" t="s">
        <v>31151</v>
      </c>
      <c r="AH5159" t="s">
        <v>31152</v>
      </c>
      <c r="AI5159" t="s">
        <v>31153</v>
      </c>
    </row>
    <row r="5160" spans="2:35" ht="409.5">
      <c r="B5160" s="1">
        <v>45344</v>
      </c>
      <c r="C5160" s="4">
        <v>45344.456944444442</v>
      </c>
      <c r="D5160" t="s">
        <v>24983</v>
      </c>
      <c r="E5160" t="s">
        <v>24984</v>
      </c>
      <c r="F5160">
        <v>8</v>
      </c>
      <c r="G5160" t="s">
        <v>257</v>
      </c>
      <c r="H5160" t="s">
        <v>202</v>
      </c>
      <c r="I5160" t="s">
        <v>94</v>
      </c>
      <c r="J5160" t="s">
        <v>321</v>
      </c>
      <c r="K5160" t="s">
        <v>42</v>
      </c>
      <c r="L5160" t="s">
        <v>259</v>
      </c>
      <c r="N5160" t="s">
        <v>260</v>
      </c>
      <c r="Q5160">
        <v>27385</v>
      </c>
      <c r="R5160" t="s">
        <v>45</v>
      </c>
      <c r="S5160" t="s">
        <v>31141</v>
      </c>
      <c r="T5160">
        <v>24</v>
      </c>
      <c r="V5160" s="1">
        <v>45344</v>
      </c>
      <c r="W5160" t="s">
        <v>1537</v>
      </c>
      <c r="X5160">
        <v>120000737</v>
      </c>
      <c r="Y5160" t="s">
        <v>1716</v>
      </c>
      <c r="Z5160" t="s">
        <v>263</v>
      </c>
      <c r="AA5160" s="2" t="s">
        <v>31154</v>
      </c>
      <c r="AB5160" t="s">
        <v>14930</v>
      </c>
      <c r="AD5160" s="2" t="s">
        <v>31155</v>
      </c>
      <c r="AE5160" t="s">
        <v>45</v>
      </c>
      <c r="AG5160" t="s">
        <v>31156</v>
      </c>
      <c r="AH5160" t="s">
        <v>31157</v>
      </c>
      <c r="AI5160" t="s">
        <v>31158</v>
      </c>
    </row>
    <row r="5161" spans="2:35" ht="330">
      <c r="B5161" s="1">
        <v>45344</v>
      </c>
      <c r="C5161" s="4">
        <v>45344.451388888891</v>
      </c>
      <c r="D5161" t="s">
        <v>24205</v>
      </c>
      <c r="E5161" t="s">
        <v>2797</v>
      </c>
      <c r="F5161">
        <v>12</v>
      </c>
      <c r="G5161" t="s">
        <v>978</v>
      </c>
      <c r="H5161" t="s">
        <v>39</v>
      </c>
      <c r="I5161" t="s">
        <v>94</v>
      </c>
      <c r="J5161" s="2" t="s">
        <v>41</v>
      </c>
      <c r="K5161" t="s">
        <v>42</v>
      </c>
      <c r="L5161" t="s">
        <v>296</v>
      </c>
      <c r="N5161" t="s">
        <v>297</v>
      </c>
      <c r="Q5161">
        <v>27384</v>
      </c>
      <c r="R5161" t="s">
        <v>45</v>
      </c>
      <c r="S5161" t="s">
        <v>31147</v>
      </c>
      <c r="T5161">
        <v>27.4</v>
      </c>
      <c r="U5161" s="2" t="s">
        <v>31159</v>
      </c>
      <c r="V5161" s="1">
        <v>45344</v>
      </c>
      <c r="W5161" t="s">
        <v>31160</v>
      </c>
      <c r="X5161">
        <v>805007</v>
      </c>
      <c r="Y5161" t="s">
        <v>31161</v>
      </c>
      <c r="Z5161" s="2" t="s">
        <v>31162</v>
      </c>
      <c r="AA5161" s="2" t="s">
        <v>31163</v>
      </c>
      <c r="AB5161" t="s">
        <v>972</v>
      </c>
      <c r="AD5161" s="2" t="s">
        <v>31164</v>
      </c>
      <c r="AE5161" t="s">
        <v>10783</v>
      </c>
      <c r="AG5161" t="s">
        <v>31165</v>
      </c>
      <c r="AH5161" t="s">
        <v>31152</v>
      </c>
      <c r="AI5161" t="s">
        <v>31166</v>
      </c>
    </row>
    <row r="5162" spans="2:35" ht="409.5">
      <c r="B5162" s="1">
        <v>45344</v>
      </c>
      <c r="C5162" s="4">
        <v>45344.429166666669</v>
      </c>
      <c r="D5162" t="s">
        <v>9139</v>
      </c>
      <c r="E5162" t="s">
        <v>1298</v>
      </c>
      <c r="F5162">
        <v>6</v>
      </c>
      <c r="G5162" t="s">
        <v>1286</v>
      </c>
      <c r="H5162" t="s">
        <v>10969</v>
      </c>
      <c r="I5162" t="s">
        <v>40</v>
      </c>
      <c r="J5162" s="2" t="s">
        <v>41</v>
      </c>
      <c r="K5162" t="s">
        <v>42</v>
      </c>
      <c r="L5162" t="s">
        <v>1288</v>
      </c>
      <c r="N5162" t="s">
        <v>1289</v>
      </c>
      <c r="Q5162">
        <v>27383</v>
      </c>
      <c r="R5162" t="s">
        <v>45</v>
      </c>
      <c r="S5162" t="s">
        <v>31167</v>
      </c>
      <c r="T5162">
        <v>27</v>
      </c>
      <c r="U5162" s="2" t="s">
        <v>31168</v>
      </c>
      <c r="W5162" t="s">
        <v>16722</v>
      </c>
      <c r="X5162">
        <v>839316</v>
      </c>
      <c r="Y5162" t="e">
        <f ca="1">-_xludf.For module B4 _xludf.and module D1 Replacement</f>
        <v>#NAME?</v>
      </c>
      <c r="Z5162" t="e">
        <f ca="1">-COLLECT IQR, system _xludf.Log, _xludf.and ARCHIVE</f>
        <v>#NAME?</v>
      </c>
      <c r="AA5162" s="2" t="s">
        <v>31169</v>
      </c>
      <c r="AB5162" t="s">
        <v>1293</v>
      </c>
      <c r="AG5162" t="s">
        <v>31170</v>
      </c>
      <c r="AH5162" t="s">
        <v>31171</v>
      </c>
      <c r="AI5162" t="s">
        <v>31172</v>
      </c>
    </row>
    <row r="5163" spans="2:35" ht="409.5">
      <c r="B5163" s="1">
        <v>45344</v>
      </c>
      <c r="C5163" s="4">
        <v>45344.413194444445</v>
      </c>
      <c r="D5163" t="s">
        <v>23619</v>
      </c>
      <c r="E5163" t="s">
        <v>27310</v>
      </c>
      <c r="F5163" t="s">
        <v>148</v>
      </c>
      <c r="G5163" t="s">
        <v>23621</v>
      </c>
      <c r="H5163" t="s">
        <v>39</v>
      </c>
      <c r="I5163" t="s">
        <v>40</v>
      </c>
      <c r="J5163" s="2" t="s">
        <v>41</v>
      </c>
      <c r="K5163" t="s">
        <v>42</v>
      </c>
      <c r="L5163" t="s">
        <v>1943</v>
      </c>
      <c r="N5163" t="s">
        <v>1944</v>
      </c>
      <c r="Q5163">
        <v>27382</v>
      </c>
      <c r="R5163" t="s">
        <v>45</v>
      </c>
      <c r="S5163" t="s">
        <v>23622</v>
      </c>
      <c r="T5163">
        <v>25</v>
      </c>
      <c r="U5163" s="2" t="s">
        <v>31173</v>
      </c>
      <c r="V5163" s="1">
        <v>45342</v>
      </c>
      <c r="W5163" t="s">
        <v>84</v>
      </c>
      <c r="X5163">
        <v>807592</v>
      </c>
      <c r="Y5163" s="2" t="s">
        <v>30687</v>
      </c>
      <c r="Z5163" t="s">
        <v>22330</v>
      </c>
      <c r="AA5163" s="2" t="s">
        <v>29551</v>
      </c>
      <c r="AB5163" t="s">
        <v>88</v>
      </c>
      <c r="AD5163" t="s">
        <v>31174</v>
      </c>
      <c r="AE5163" t="s">
        <v>8904</v>
      </c>
      <c r="AG5163" t="s">
        <v>31175</v>
      </c>
      <c r="AH5163" t="s">
        <v>23626</v>
      </c>
      <c r="AI5163" t="s">
        <v>31176</v>
      </c>
    </row>
    <row r="5164" spans="2:35" ht="409.5">
      <c r="B5164" s="1">
        <v>45344</v>
      </c>
      <c r="C5164" s="4">
        <v>45344.362500000003</v>
      </c>
      <c r="D5164" t="s">
        <v>23134</v>
      </c>
      <c r="E5164" t="s">
        <v>23135</v>
      </c>
      <c r="F5164" t="s">
        <v>148</v>
      </c>
      <c r="G5164" t="s">
        <v>310</v>
      </c>
      <c r="H5164" t="s">
        <v>295</v>
      </c>
      <c r="I5164" t="s">
        <v>40</v>
      </c>
      <c r="J5164" s="2" t="s">
        <v>41</v>
      </c>
      <c r="K5164" t="s">
        <v>42</v>
      </c>
      <c r="L5164" t="s">
        <v>1943</v>
      </c>
      <c r="N5164" t="s">
        <v>1944</v>
      </c>
      <c r="Q5164">
        <v>27381</v>
      </c>
      <c r="R5164" t="s">
        <v>45</v>
      </c>
      <c r="S5164" t="s">
        <v>23136</v>
      </c>
      <c r="T5164">
        <v>25</v>
      </c>
      <c r="U5164" s="2" t="s">
        <v>31177</v>
      </c>
      <c r="V5164" s="1">
        <v>45342</v>
      </c>
      <c r="W5164" t="s">
        <v>895</v>
      </c>
      <c r="X5164">
        <v>844121</v>
      </c>
      <c r="Y5164" s="2" t="s">
        <v>31178</v>
      </c>
      <c r="Z5164" t="s">
        <v>22330</v>
      </c>
      <c r="AA5164" s="2" t="s">
        <v>29551</v>
      </c>
      <c r="AB5164" t="s">
        <v>88</v>
      </c>
      <c r="AD5164" t="s">
        <v>31179</v>
      </c>
      <c r="AE5164" t="s">
        <v>8904</v>
      </c>
      <c r="AG5164" t="s">
        <v>31180</v>
      </c>
      <c r="AH5164" t="s">
        <v>23141</v>
      </c>
      <c r="AI5164" t="s">
        <v>31181</v>
      </c>
    </row>
    <row r="5165" spans="2:35" ht="409.5">
      <c r="B5165" s="1">
        <v>45344</v>
      </c>
      <c r="C5165" s="4">
        <v>45344.365972222222</v>
      </c>
      <c r="D5165" t="s">
        <v>23134</v>
      </c>
      <c r="E5165" t="s">
        <v>23135</v>
      </c>
      <c r="F5165" t="s">
        <v>148</v>
      </c>
      <c r="G5165" t="s">
        <v>310</v>
      </c>
      <c r="H5165" t="s">
        <v>295</v>
      </c>
      <c r="I5165" t="s">
        <v>40</v>
      </c>
      <c r="J5165" s="2" t="s">
        <v>41</v>
      </c>
      <c r="K5165" t="s">
        <v>42</v>
      </c>
      <c r="L5165" t="s">
        <v>1943</v>
      </c>
      <c r="N5165" t="s">
        <v>1944</v>
      </c>
      <c r="Q5165">
        <v>27380</v>
      </c>
      <c r="R5165" t="s">
        <v>45</v>
      </c>
      <c r="S5165" t="s">
        <v>23136</v>
      </c>
      <c r="T5165">
        <v>25</v>
      </c>
      <c r="U5165" s="2" t="s">
        <v>31182</v>
      </c>
      <c r="V5165" s="1">
        <v>45342</v>
      </c>
      <c r="W5165" t="s">
        <v>84</v>
      </c>
      <c r="X5165">
        <v>834430</v>
      </c>
      <c r="Y5165" s="2" t="s">
        <v>31183</v>
      </c>
      <c r="Z5165" t="s">
        <v>22330</v>
      </c>
      <c r="AA5165" s="2" t="s">
        <v>29551</v>
      </c>
      <c r="AB5165" t="s">
        <v>88</v>
      </c>
      <c r="AD5165" t="s">
        <v>31184</v>
      </c>
      <c r="AE5165" t="s">
        <v>8904</v>
      </c>
      <c r="AG5165" t="s">
        <v>31185</v>
      </c>
      <c r="AH5165" t="s">
        <v>23141</v>
      </c>
      <c r="AI5165" t="s">
        <v>31186</v>
      </c>
    </row>
    <row r="5166" spans="2:35" ht="45">
      <c r="B5166" s="1">
        <v>45343</v>
      </c>
      <c r="C5166" s="4">
        <v>45343.682638888888</v>
      </c>
      <c r="D5166" t="s">
        <v>31187</v>
      </c>
      <c r="E5166" t="s">
        <v>31188</v>
      </c>
      <c r="F5166">
        <v>13</v>
      </c>
      <c r="G5166" t="s">
        <v>8524</v>
      </c>
      <c r="H5166" t="s">
        <v>31189</v>
      </c>
      <c r="I5166" t="s">
        <v>40</v>
      </c>
      <c r="J5166" s="2" t="s">
        <v>41</v>
      </c>
      <c r="K5166" t="s">
        <v>42</v>
      </c>
      <c r="L5166" t="s">
        <v>933</v>
      </c>
      <c r="N5166" t="s">
        <v>934</v>
      </c>
      <c r="Q5166">
        <v>27379</v>
      </c>
      <c r="R5166" t="s">
        <v>45</v>
      </c>
      <c r="S5166" t="s">
        <v>31190</v>
      </c>
      <c r="T5166">
        <v>25</v>
      </c>
      <c r="W5166" t="s">
        <v>3662</v>
      </c>
      <c r="X5166">
        <v>804255</v>
      </c>
      <c r="Y5166" t="s">
        <v>31191</v>
      </c>
      <c r="Z5166" t="s">
        <v>301</v>
      </c>
      <c r="AA5166" t="s">
        <v>31192</v>
      </c>
      <c r="AB5166" t="s">
        <v>13650</v>
      </c>
      <c r="AG5166" t="s">
        <v>31193</v>
      </c>
      <c r="AH5166" t="s">
        <v>31194</v>
      </c>
      <c r="AI5166" t="s">
        <v>31195</v>
      </c>
    </row>
    <row r="5167" spans="2:35" ht="409.5">
      <c r="B5167" s="1">
        <v>45343</v>
      </c>
      <c r="C5167" s="4">
        <v>45343.615972222222</v>
      </c>
      <c r="D5167" t="s">
        <v>26413</v>
      </c>
      <c r="E5167" t="s">
        <v>31196</v>
      </c>
      <c r="F5167">
        <v>11</v>
      </c>
      <c r="G5167" t="s">
        <v>1759</v>
      </c>
      <c r="H5167" t="s">
        <v>202</v>
      </c>
      <c r="I5167" t="s">
        <v>94</v>
      </c>
      <c r="J5167" s="2" t="s">
        <v>1309</v>
      </c>
      <c r="K5167" t="s">
        <v>42</v>
      </c>
      <c r="L5167" t="s">
        <v>204</v>
      </c>
      <c r="N5167" t="s">
        <v>205</v>
      </c>
      <c r="Q5167">
        <v>27378</v>
      </c>
      <c r="R5167" t="s">
        <v>719</v>
      </c>
      <c r="S5167" t="s">
        <v>26415</v>
      </c>
      <c r="T5167">
        <v>25.6</v>
      </c>
      <c r="U5167" s="2" t="s">
        <v>31197</v>
      </c>
      <c r="W5167" t="s">
        <v>24154</v>
      </c>
      <c r="X5167">
        <v>847253</v>
      </c>
      <c r="Y5167" s="2" t="s">
        <v>31198</v>
      </c>
      <c r="Z5167" s="2" t="s">
        <v>31199</v>
      </c>
      <c r="AA5167" t="s">
        <v>31200</v>
      </c>
      <c r="AB5167" s="2" t="s">
        <v>31201</v>
      </c>
      <c r="AC5167" t="s">
        <v>31202</v>
      </c>
      <c r="AG5167" t="s">
        <v>31203</v>
      </c>
      <c r="AH5167" t="s">
        <v>31204</v>
      </c>
      <c r="AI5167" t="s">
        <v>31205</v>
      </c>
    </row>
    <row r="5168" spans="2:35" ht="135">
      <c r="B5168" s="1">
        <v>45343</v>
      </c>
      <c r="C5168" s="4">
        <v>45343.657638888886</v>
      </c>
      <c r="D5168" t="s">
        <v>4112</v>
      </c>
      <c r="E5168" t="s">
        <v>814</v>
      </c>
      <c r="F5168">
        <v>5</v>
      </c>
      <c r="G5168" t="s">
        <v>814</v>
      </c>
      <c r="H5168" t="s">
        <v>39</v>
      </c>
      <c r="I5168" t="s">
        <v>40</v>
      </c>
      <c r="J5168" t="s">
        <v>321</v>
      </c>
      <c r="K5168" t="s">
        <v>42</v>
      </c>
      <c r="L5168" t="s">
        <v>761</v>
      </c>
      <c r="N5168" t="s">
        <v>762</v>
      </c>
      <c r="Q5168">
        <v>27377</v>
      </c>
      <c r="R5168" t="s">
        <v>45</v>
      </c>
      <c r="S5168" t="s">
        <v>31206</v>
      </c>
      <c r="T5168">
        <v>26</v>
      </c>
      <c r="W5168" t="s">
        <v>817</v>
      </c>
      <c r="X5168">
        <v>110020680</v>
      </c>
      <c r="Y5168" t="s">
        <v>31207</v>
      </c>
      <c r="Z5168" s="2" t="s">
        <v>31208</v>
      </c>
      <c r="AA5168" t="s">
        <v>22904</v>
      </c>
      <c r="AB5168" t="s">
        <v>70</v>
      </c>
      <c r="AG5168" t="s">
        <v>31209</v>
      </c>
      <c r="AH5168" t="s">
        <v>31210</v>
      </c>
      <c r="AI5168" t="s">
        <v>31211</v>
      </c>
    </row>
    <row r="5169" spans="2:35" ht="90">
      <c r="B5169" s="1">
        <v>45343</v>
      </c>
      <c r="C5169" s="4">
        <v>45343.651388888888</v>
      </c>
      <c r="D5169" t="s">
        <v>228</v>
      </c>
      <c r="E5169" t="s">
        <v>229</v>
      </c>
      <c r="F5169" t="s">
        <v>148</v>
      </c>
      <c r="G5169" t="s">
        <v>230</v>
      </c>
      <c r="H5169" t="s">
        <v>39</v>
      </c>
      <c r="I5169" t="s">
        <v>40</v>
      </c>
      <c r="J5169" t="s">
        <v>525</v>
      </c>
      <c r="K5169" t="s">
        <v>42</v>
      </c>
      <c r="L5169" t="s">
        <v>175</v>
      </c>
      <c r="N5169" t="s">
        <v>176</v>
      </c>
      <c r="Q5169">
        <v>27376</v>
      </c>
      <c r="R5169" t="s">
        <v>45</v>
      </c>
      <c r="S5169" t="s">
        <v>23986</v>
      </c>
      <c r="T5169">
        <v>25</v>
      </c>
      <c r="W5169" t="s">
        <v>84</v>
      </c>
      <c r="X5169">
        <v>805062</v>
      </c>
      <c r="Y5169" t="s">
        <v>28274</v>
      </c>
      <c r="Z5169" s="2" t="s">
        <v>31212</v>
      </c>
      <c r="AA5169" t="e">
        <f ca="1">- replaced BIOS battery
- cleaned _xludf.and Reset RAM
- Reset HDD cables
- performed functionality test</f>
        <v>#NAME?</v>
      </c>
      <c r="AB5169" t="s">
        <v>31213</v>
      </c>
      <c r="AG5169" t="s">
        <v>31214</v>
      </c>
      <c r="AH5169" t="s">
        <v>23990</v>
      </c>
      <c r="AI5169" t="s">
        <v>31215</v>
      </c>
    </row>
    <row r="5170" spans="2:35" ht="210">
      <c r="B5170" s="1">
        <v>45343</v>
      </c>
      <c r="C5170" s="4">
        <v>45343.654861111114</v>
      </c>
      <c r="D5170" t="s">
        <v>4112</v>
      </c>
      <c r="E5170" t="s">
        <v>814</v>
      </c>
      <c r="F5170">
        <v>5</v>
      </c>
      <c r="G5170" t="s">
        <v>814</v>
      </c>
      <c r="H5170" t="s">
        <v>39</v>
      </c>
      <c r="I5170" t="s">
        <v>40</v>
      </c>
      <c r="J5170" t="s">
        <v>109</v>
      </c>
      <c r="K5170" t="s">
        <v>42</v>
      </c>
      <c r="L5170" t="s">
        <v>761</v>
      </c>
      <c r="N5170" t="s">
        <v>762</v>
      </c>
      <c r="Q5170">
        <v>27375</v>
      </c>
      <c r="R5170" t="s">
        <v>45</v>
      </c>
      <c r="S5170" t="s">
        <v>31206</v>
      </c>
      <c r="T5170">
        <v>24</v>
      </c>
      <c r="U5170" s="2" t="s">
        <v>31216</v>
      </c>
      <c r="W5170" t="s">
        <v>19970</v>
      </c>
      <c r="X5170">
        <v>835213</v>
      </c>
      <c r="Y5170" s="2" t="s">
        <v>31217</v>
      </c>
      <c r="Z5170" s="2" t="s">
        <v>31218</v>
      </c>
      <c r="AA5170" s="2" t="s">
        <v>31219</v>
      </c>
      <c r="AB5170" t="s">
        <v>70</v>
      </c>
      <c r="AG5170" t="s">
        <v>31220</v>
      </c>
      <c r="AH5170" t="s">
        <v>31210</v>
      </c>
      <c r="AI5170" t="s">
        <v>31221</v>
      </c>
    </row>
    <row r="5171" spans="2:35" ht="240">
      <c r="B5171" s="1">
        <v>45343</v>
      </c>
      <c r="C5171" s="4">
        <v>45343.61041666667</v>
      </c>
      <c r="D5171" t="s">
        <v>4561</v>
      </c>
      <c r="E5171" t="s">
        <v>31222</v>
      </c>
      <c r="F5171" t="s">
        <v>148</v>
      </c>
      <c r="G5171" t="s">
        <v>447</v>
      </c>
      <c r="H5171" t="s">
        <v>39</v>
      </c>
      <c r="I5171" t="s">
        <v>40</v>
      </c>
      <c r="J5171" s="2" t="s">
        <v>41</v>
      </c>
      <c r="K5171" t="s">
        <v>42</v>
      </c>
      <c r="L5171" t="s">
        <v>31223</v>
      </c>
      <c r="N5171" t="s">
        <v>27432</v>
      </c>
      <c r="Q5171">
        <v>27374</v>
      </c>
      <c r="R5171" t="s">
        <v>45</v>
      </c>
      <c r="S5171" t="s">
        <v>31224</v>
      </c>
      <c r="T5171">
        <v>29</v>
      </c>
      <c r="U5171" s="2" t="s">
        <v>31225</v>
      </c>
      <c r="V5171" s="1">
        <v>45342</v>
      </c>
      <c r="W5171" t="s">
        <v>31226</v>
      </c>
      <c r="X5171">
        <v>804688</v>
      </c>
      <c r="Y5171" t="s">
        <v>2514</v>
      </c>
      <c r="Z5171" s="2" t="s">
        <v>31227</v>
      </c>
      <c r="AA5171" s="2" t="s">
        <v>31228</v>
      </c>
      <c r="AB5171" t="s">
        <v>31229</v>
      </c>
      <c r="AD5171" t="s">
        <v>19400</v>
      </c>
      <c r="AE5171" t="s">
        <v>31230</v>
      </c>
      <c r="AG5171" t="s">
        <v>31231</v>
      </c>
      <c r="AH5171" t="s">
        <v>31232</v>
      </c>
      <c r="AI5171" t="s">
        <v>31233</v>
      </c>
    </row>
    <row r="5172" spans="2:35" ht="409.5">
      <c r="B5172" s="1">
        <v>45343</v>
      </c>
      <c r="C5172" s="4">
        <v>45343.635416666664</v>
      </c>
      <c r="D5172" t="s">
        <v>9540</v>
      </c>
      <c r="E5172" t="s">
        <v>31234</v>
      </c>
      <c r="F5172" t="s">
        <v>148</v>
      </c>
      <c r="G5172" t="s">
        <v>4786</v>
      </c>
      <c r="H5172" t="s">
        <v>386</v>
      </c>
      <c r="I5172" t="s">
        <v>40</v>
      </c>
      <c r="J5172" t="s">
        <v>525</v>
      </c>
      <c r="K5172" t="s">
        <v>387</v>
      </c>
      <c r="L5172" t="s">
        <v>448</v>
      </c>
      <c r="N5172" t="s">
        <v>650</v>
      </c>
      <c r="Q5172">
        <v>27373</v>
      </c>
      <c r="R5172" t="s">
        <v>95</v>
      </c>
      <c r="S5172" t="s">
        <v>10335</v>
      </c>
      <c r="T5172">
        <v>28</v>
      </c>
      <c r="V5172" s="1">
        <v>45343</v>
      </c>
      <c r="W5172" t="s">
        <v>31235</v>
      </c>
      <c r="X5172" t="s">
        <v>10336</v>
      </c>
      <c r="Y5172" t="s">
        <v>31236</v>
      </c>
      <c r="Z5172" s="2" t="s">
        <v>31237</v>
      </c>
      <c r="AA5172" t="s">
        <v>4487</v>
      </c>
      <c r="AB5172" s="2" t="s">
        <v>31238</v>
      </c>
      <c r="AC5172" t="s">
        <v>31239</v>
      </c>
      <c r="AD5172" s="2" t="s">
        <v>31240</v>
      </c>
      <c r="AE5172">
        <v>11233</v>
      </c>
      <c r="AG5172" t="s">
        <v>31241</v>
      </c>
      <c r="AH5172" t="s">
        <v>31242</v>
      </c>
      <c r="AI5172" t="s">
        <v>31243</v>
      </c>
    </row>
    <row r="5173" spans="2:35" ht="300">
      <c r="B5173" s="1">
        <v>45343</v>
      </c>
      <c r="C5173" s="4">
        <v>45343.570833333331</v>
      </c>
      <c r="D5173" t="s">
        <v>3656</v>
      </c>
      <c r="E5173" t="s">
        <v>31244</v>
      </c>
      <c r="F5173" t="s">
        <v>148</v>
      </c>
      <c r="G5173" t="s">
        <v>447</v>
      </c>
      <c r="H5173" t="s">
        <v>61</v>
      </c>
      <c r="I5173" t="s">
        <v>40</v>
      </c>
      <c r="J5173" t="s">
        <v>583</v>
      </c>
      <c r="K5173" t="s">
        <v>42</v>
      </c>
      <c r="L5173" t="s">
        <v>31223</v>
      </c>
      <c r="N5173" t="s">
        <v>27432</v>
      </c>
      <c r="Q5173">
        <v>27372</v>
      </c>
      <c r="R5173" t="s">
        <v>322</v>
      </c>
      <c r="S5173" t="s">
        <v>3661</v>
      </c>
      <c r="T5173">
        <v>29</v>
      </c>
      <c r="U5173" s="2" t="s">
        <v>31245</v>
      </c>
      <c r="W5173" t="s">
        <v>31226</v>
      </c>
      <c r="X5173">
        <v>839150</v>
      </c>
      <c r="Y5173" t="s">
        <v>31246</v>
      </c>
      <c r="Z5173" s="2" t="s">
        <v>31247</v>
      </c>
      <c r="AA5173" t="s">
        <v>31248</v>
      </c>
      <c r="AB5173" t="s">
        <v>31249</v>
      </c>
      <c r="AG5173" t="s">
        <v>31250</v>
      </c>
      <c r="AH5173" t="s">
        <v>31251</v>
      </c>
      <c r="AI5173" t="s">
        <v>31252</v>
      </c>
    </row>
    <row r="5174" spans="2:35" ht="285">
      <c r="B5174" s="1">
        <v>45343</v>
      </c>
      <c r="C5174" s="4">
        <v>45342.561111111114</v>
      </c>
      <c r="D5174" t="s">
        <v>4413</v>
      </c>
      <c r="E5174" t="s">
        <v>4414</v>
      </c>
      <c r="F5174">
        <v>12</v>
      </c>
      <c r="G5174" t="s">
        <v>978</v>
      </c>
      <c r="H5174" t="s">
        <v>1473</v>
      </c>
      <c r="I5174" t="s">
        <v>40</v>
      </c>
      <c r="J5174" s="2" t="s">
        <v>31253</v>
      </c>
      <c r="K5174" t="s">
        <v>42</v>
      </c>
      <c r="L5174" t="s">
        <v>296</v>
      </c>
      <c r="N5174" t="s">
        <v>297</v>
      </c>
      <c r="Q5174">
        <v>27371</v>
      </c>
      <c r="R5174" t="s">
        <v>119</v>
      </c>
      <c r="S5174" t="s">
        <v>4415</v>
      </c>
      <c r="T5174">
        <v>25.9</v>
      </c>
      <c r="U5174" s="2" t="s">
        <v>31254</v>
      </c>
      <c r="W5174" t="s">
        <v>23049</v>
      </c>
      <c r="X5174">
        <v>838544</v>
      </c>
      <c r="Y5174" s="2" t="s">
        <v>31255</v>
      </c>
      <c r="Z5174" s="2" t="s">
        <v>31256</v>
      </c>
      <c r="AA5174" t="s">
        <v>9161</v>
      </c>
      <c r="AB5174" t="s">
        <v>1480</v>
      </c>
      <c r="AG5174" t="s">
        <v>31257</v>
      </c>
      <c r="AH5174" t="s">
        <v>4421</v>
      </c>
      <c r="AI5174" t="s">
        <v>31258</v>
      </c>
    </row>
    <row r="5175" spans="2:35" ht="240">
      <c r="B5175" s="1">
        <v>45343</v>
      </c>
      <c r="C5175" s="4">
        <v>45343.504166666666</v>
      </c>
      <c r="D5175" t="s">
        <v>1757</v>
      </c>
      <c r="E5175" t="s">
        <v>31259</v>
      </c>
      <c r="F5175">
        <v>11</v>
      </c>
      <c r="G5175" t="s">
        <v>1759</v>
      </c>
      <c r="H5175" t="s">
        <v>202</v>
      </c>
      <c r="I5175" t="s">
        <v>94</v>
      </c>
      <c r="J5175" t="s">
        <v>79</v>
      </c>
      <c r="K5175" t="s">
        <v>42</v>
      </c>
      <c r="L5175" t="s">
        <v>204</v>
      </c>
      <c r="N5175" t="s">
        <v>205</v>
      </c>
      <c r="Q5175">
        <v>27370</v>
      </c>
      <c r="R5175" t="s">
        <v>45</v>
      </c>
      <c r="S5175" t="s">
        <v>1760</v>
      </c>
      <c r="T5175">
        <v>24.8</v>
      </c>
      <c r="W5175" t="s">
        <v>23237</v>
      </c>
      <c r="X5175">
        <v>808624</v>
      </c>
      <c r="Y5175" t="s">
        <v>27551</v>
      </c>
      <c r="Z5175" s="2" t="s">
        <v>31260</v>
      </c>
      <c r="AA5175" t="s">
        <v>12182</v>
      </c>
      <c r="AB5175" t="s">
        <v>31261</v>
      </c>
      <c r="AG5175" t="s">
        <v>31262</v>
      </c>
      <c r="AH5175" t="s">
        <v>31263</v>
      </c>
      <c r="AI5175" t="s">
        <v>31264</v>
      </c>
    </row>
    <row r="5176" spans="2:35" ht="409.5">
      <c r="B5176" s="1">
        <v>45343</v>
      </c>
      <c r="C5176" s="4">
        <v>45343.477777777778</v>
      </c>
      <c r="D5176" t="s">
        <v>757</v>
      </c>
      <c r="E5176" t="s">
        <v>31265</v>
      </c>
      <c r="F5176">
        <v>5</v>
      </c>
      <c r="G5176" t="s">
        <v>759</v>
      </c>
      <c r="H5176" t="s">
        <v>39</v>
      </c>
      <c r="I5176" t="s">
        <v>40</v>
      </c>
      <c r="J5176" s="2" t="s">
        <v>62</v>
      </c>
      <c r="K5176" t="s">
        <v>42</v>
      </c>
      <c r="L5176" t="s">
        <v>761</v>
      </c>
      <c r="N5176" t="s">
        <v>762</v>
      </c>
      <c r="Q5176">
        <v>27369</v>
      </c>
      <c r="R5176" t="s">
        <v>45</v>
      </c>
      <c r="S5176" t="s">
        <v>4727</v>
      </c>
      <c r="T5176">
        <v>29</v>
      </c>
      <c r="W5176" t="s">
        <v>19970</v>
      </c>
      <c r="X5176">
        <v>808280</v>
      </c>
      <c r="Y5176" t="s">
        <v>31266</v>
      </c>
      <c r="Z5176" s="2" t="s">
        <v>31267</v>
      </c>
      <c r="AA5176" s="2" t="s">
        <v>4477</v>
      </c>
      <c r="AB5176" t="s">
        <v>181</v>
      </c>
      <c r="AG5176" t="s">
        <v>31268</v>
      </c>
      <c r="AH5176" t="s">
        <v>4731</v>
      </c>
      <c r="AI5176" t="s">
        <v>31269</v>
      </c>
    </row>
    <row r="5177" spans="2:35" ht="255">
      <c r="B5177" s="1">
        <v>45343</v>
      </c>
      <c r="C5177" s="4">
        <v>45343.445138888892</v>
      </c>
      <c r="D5177" t="s">
        <v>31270</v>
      </c>
      <c r="E5177" t="s">
        <v>31271</v>
      </c>
      <c r="F5177" t="s">
        <v>148</v>
      </c>
      <c r="G5177" t="s">
        <v>447</v>
      </c>
      <c r="H5177" t="s">
        <v>39</v>
      </c>
      <c r="I5177" t="s">
        <v>40</v>
      </c>
      <c r="J5177" s="2" t="s">
        <v>41</v>
      </c>
      <c r="K5177" t="s">
        <v>42</v>
      </c>
      <c r="L5177" t="s">
        <v>31223</v>
      </c>
      <c r="N5177" t="s">
        <v>27432</v>
      </c>
      <c r="Q5177">
        <v>27368</v>
      </c>
      <c r="R5177" t="s">
        <v>45</v>
      </c>
      <c r="S5177" t="s">
        <v>1336</v>
      </c>
      <c r="T5177">
        <v>25</v>
      </c>
      <c r="U5177" s="2" t="s">
        <v>31272</v>
      </c>
      <c r="V5177" s="1">
        <v>45342</v>
      </c>
      <c r="W5177" t="s">
        <v>31226</v>
      </c>
      <c r="X5177">
        <v>808618</v>
      </c>
      <c r="Y5177" t="s">
        <v>424</v>
      </c>
      <c r="Z5177" s="2" t="s">
        <v>31273</v>
      </c>
      <c r="AA5177" s="2" t="s">
        <v>31274</v>
      </c>
      <c r="AB5177" s="2" t="s">
        <v>15539</v>
      </c>
      <c r="AD5177" t="s">
        <v>19400</v>
      </c>
      <c r="AE5177" t="s">
        <v>31275</v>
      </c>
      <c r="AG5177" t="s">
        <v>31276</v>
      </c>
      <c r="AH5177" t="s">
        <v>31277</v>
      </c>
      <c r="AI5177" t="s">
        <v>31278</v>
      </c>
    </row>
    <row r="5178" spans="2:35">
      <c r="B5178" s="1">
        <v>45343</v>
      </c>
      <c r="C5178" s="4">
        <v>45343.424305555556</v>
      </c>
      <c r="D5178" t="s">
        <v>31279</v>
      </c>
      <c r="E5178" t="s">
        <v>31280</v>
      </c>
      <c r="F5178" t="s">
        <v>148</v>
      </c>
      <c r="G5178" t="s">
        <v>447</v>
      </c>
      <c r="H5178" t="s">
        <v>31281</v>
      </c>
      <c r="I5178" t="s">
        <v>40</v>
      </c>
      <c r="J5178" t="s">
        <v>583</v>
      </c>
      <c r="K5178" t="s">
        <v>408</v>
      </c>
      <c r="L5178" t="s">
        <v>409</v>
      </c>
      <c r="N5178" t="s">
        <v>8810</v>
      </c>
      <c r="P5178" t="s">
        <v>31282</v>
      </c>
      <c r="Q5178">
        <v>27367</v>
      </c>
      <c r="R5178" t="s">
        <v>95</v>
      </c>
      <c r="S5178" t="s">
        <v>31283</v>
      </c>
      <c r="T5178">
        <v>24</v>
      </c>
      <c r="W5178" t="s">
        <v>31284</v>
      </c>
      <c r="X5178" t="s">
        <v>31285</v>
      </c>
      <c r="Y5178" t="s">
        <v>31286</v>
      </c>
      <c r="Z5178" t="s">
        <v>301</v>
      </c>
      <c r="AA5178" t="s">
        <v>31287</v>
      </c>
      <c r="AB5178" t="s">
        <v>31288</v>
      </c>
      <c r="AC5178" t="s">
        <v>31289</v>
      </c>
      <c r="AG5178" t="s">
        <v>31290</v>
      </c>
      <c r="AH5178" t="s">
        <v>31291</v>
      </c>
      <c r="AI5178" t="s">
        <v>31292</v>
      </c>
    </row>
    <row r="5179" spans="2:35" ht="409.5">
      <c r="B5179" s="1">
        <v>45343</v>
      </c>
      <c r="C5179" s="4">
        <v>45343.439583333333</v>
      </c>
      <c r="D5179" t="s">
        <v>29989</v>
      </c>
      <c r="E5179" t="s">
        <v>31293</v>
      </c>
      <c r="F5179" t="s">
        <v>37</v>
      </c>
      <c r="G5179" t="s">
        <v>189</v>
      </c>
      <c r="H5179" t="s">
        <v>39</v>
      </c>
      <c r="I5179" t="s">
        <v>40</v>
      </c>
      <c r="J5179" s="2" t="s">
        <v>41</v>
      </c>
      <c r="K5179" t="s">
        <v>42</v>
      </c>
      <c r="L5179" t="s">
        <v>1943</v>
      </c>
      <c r="N5179" t="s">
        <v>1944</v>
      </c>
      <c r="Q5179">
        <v>27366</v>
      </c>
      <c r="R5179" t="s">
        <v>45</v>
      </c>
      <c r="S5179" t="s">
        <v>29991</v>
      </c>
      <c r="T5179">
        <v>25</v>
      </c>
      <c r="U5179" s="2" t="s">
        <v>20717</v>
      </c>
      <c r="V5179" s="1">
        <v>45342</v>
      </c>
      <c r="W5179" t="s">
        <v>84</v>
      </c>
      <c r="X5179">
        <v>838191</v>
      </c>
      <c r="Y5179" s="2" t="s">
        <v>31294</v>
      </c>
      <c r="Z5179" t="s">
        <v>22330</v>
      </c>
      <c r="AA5179" s="2" t="s">
        <v>29551</v>
      </c>
      <c r="AB5179" t="s">
        <v>88</v>
      </c>
      <c r="AD5179" t="s">
        <v>31295</v>
      </c>
      <c r="AE5179" t="s">
        <v>8904</v>
      </c>
      <c r="AG5179" t="s">
        <v>31296</v>
      </c>
      <c r="AH5179" t="s">
        <v>29995</v>
      </c>
      <c r="AI5179" t="s">
        <v>31297</v>
      </c>
    </row>
    <row r="5180" spans="2:35" ht="210">
      <c r="B5180" s="1">
        <v>45343</v>
      </c>
      <c r="C5180" s="4">
        <v>45343.394444444442</v>
      </c>
      <c r="D5180" t="s">
        <v>7219</v>
      </c>
      <c r="E5180" t="s">
        <v>31298</v>
      </c>
      <c r="F5180" t="s">
        <v>148</v>
      </c>
      <c r="G5180" t="s">
        <v>310</v>
      </c>
      <c r="H5180" t="s">
        <v>39</v>
      </c>
      <c r="I5180" t="s">
        <v>40</v>
      </c>
      <c r="J5180" s="2" t="s">
        <v>62</v>
      </c>
      <c r="K5180" t="s">
        <v>42</v>
      </c>
      <c r="L5180" t="s">
        <v>1028</v>
      </c>
      <c r="N5180" t="s">
        <v>1029</v>
      </c>
      <c r="Q5180">
        <v>27365</v>
      </c>
      <c r="R5180" t="s">
        <v>45</v>
      </c>
      <c r="S5180" t="s">
        <v>30245</v>
      </c>
      <c r="T5180">
        <v>25</v>
      </c>
      <c r="U5180" s="2" t="s">
        <v>31299</v>
      </c>
      <c r="W5180" t="s">
        <v>1967</v>
      </c>
      <c r="X5180">
        <v>707843</v>
      </c>
      <c r="Y5180" t="s">
        <v>18140</v>
      </c>
      <c r="Z5180" t="s">
        <v>21244</v>
      </c>
      <c r="AA5180" s="2" t="s">
        <v>31300</v>
      </c>
      <c r="AB5180" t="s">
        <v>31301</v>
      </c>
      <c r="AG5180" t="s">
        <v>31302</v>
      </c>
      <c r="AH5180" t="s">
        <v>30248</v>
      </c>
      <c r="AI5180" t="s">
        <v>31303</v>
      </c>
    </row>
    <row r="5181" spans="2:35" ht="210">
      <c r="B5181" s="1">
        <v>45343</v>
      </c>
      <c r="C5181" s="4">
        <v>45342.425694444442</v>
      </c>
      <c r="D5181" t="s">
        <v>772</v>
      </c>
      <c r="E5181" t="s">
        <v>31304</v>
      </c>
      <c r="F5181" t="s">
        <v>148</v>
      </c>
      <c r="G5181" t="s">
        <v>774</v>
      </c>
      <c r="H5181" t="s">
        <v>39</v>
      </c>
      <c r="I5181" t="s">
        <v>40</v>
      </c>
      <c r="J5181" t="s">
        <v>525</v>
      </c>
      <c r="K5181" t="s">
        <v>42</v>
      </c>
      <c r="L5181" t="s">
        <v>1028</v>
      </c>
      <c r="N5181" t="s">
        <v>1029</v>
      </c>
      <c r="Q5181">
        <v>27364</v>
      </c>
      <c r="R5181" t="s">
        <v>119</v>
      </c>
      <c r="S5181" t="s">
        <v>775</v>
      </c>
      <c r="T5181">
        <v>27</v>
      </c>
      <c r="U5181" s="2" t="s">
        <v>31305</v>
      </c>
      <c r="W5181" t="s">
        <v>1967</v>
      </c>
      <c r="X5181">
        <v>831913</v>
      </c>
      <c r="Y5181" s="2" t="s">
        <v>31306</v>
      </c>
      <c r="Z5181" t="s">
        <v>4487</v>
      </c>
      <c r="AA5181" s="2" t="s">
        <v>31307</v>
      </c>
      <c r="AB5181" s="2" t="s">
        <v>31308</v>
      </c>
      <c r="AC5181" t="s">
        <v>31309</v>
      </c>
      <c r="AG5181" t="s">
        <v>31310</v>
      </c>
      <c r="AH5181" t="s">
        <v>31311</v>
      </c>
      <c r="AI5181" t="s">
        <v>31312</v>
      </c>
    </row>
    <row r="5182" spans="2:35" ht="300">
      <c r="B5182" s="1">
        <v>45343</v>
      </c>
      <c r="C5182" s="4">
        <v>45342.511805555558</v>
      </c>
      <c r="D5182" t="s">
        <v>26425</v>
      </c>
      <c r="E5182" t="s">
        <v>10333</v>
      </c>
      <c r="F5182" t="s">
        <v>148</v>
      </c>
      <c r="G5182" t="s">
        <v>4786</v>
      </c>
      <c r="H5182" t="s">
        <v>39</v>
      </c>
      <c r="I5182" t="s">
        <v>40</v>
      </c>
      <c r="J5182" t="s">
        <v>525</v>
      </c>
      <c r="K5182" t="s">
        <v>42</v>
      </c>
      <c r="L5182" t="s">
        <v>1028</v>
      </c>
      <c r="N5182" t="s">
        <v>1029</v>
      </c>
      <c r="Q5182">
        <v>27363</v>
      </c>
      <c r="R5182" t="s">
        <v>119</v>
      </c>
      <c r="S5182" t="s">
        <v>26427</v>
      </c>
      <c r="T5182">
        <v>24</v>
      </c>
      <c r="U5182" s="2" t="s">
        <v>31313</v>
      </c>
      <c r="W5182" t="s">
        <v>1967</v>
      </c>
      <c r="X5182">
        <v>831918</v>
      </c>
      <c r="Y5182" s="2" t="s">
        <v>31314</v>
      </c>
      <c r="Z5182" t="s">
        <v>4487</v>
      </c>
      <c r="AA5182" s="2" t="s">
        <v>31315</v>
      </c>
      <c r="AB5182" t="s">
        <v>31316</v>
      </c>
      <c r="AC5182" t="s">
        <v>31317</v>
      </c>
      <c r="AG5182" t="s">
        <v>31318</v>
      </c>
      <c r="AH5182" t="s">
        <v>26430</v>
      </c>
      <c r="AI5182" t="s">
        <v>31319</v>
      </c>
    </row>
    <row r="5183" spans="2:35" ht="210">
      <c r="B5183" s="1">
        <v>45343</v>
      </c>
      <c r="C5183" s="4">
        <v>45342.670138888891</v>
      </c>
      <c r="D5183" t="s">
        <v>2990</v>
      </c>
      <c r="E5183" t="s">
        <v>31320</v>
      </c>
      <c r="F5183">
        <v>5</v>
      </c>
      <c r="G5183" t="s">
        <v>759</v>
      </c>
      <c r="H5183" t="s">
        <v>39</v>
      </c>
      <c r="I5183" t="s">
        <v>40</v>
      </c>
      <c r="J5183" t="s">
        <v>109</v>
      </c>
      <c r="K5183" t="s">
        <v>42</v>
      </c>
      <c r="L5183" t="s">
        <v>761</v>
      </c>
      <c r="N5183" t="s">
        <v>762</v>
      </c>
      <c r="O5183" t="s">
        <v>2992</v>
      </c>
      <c r="Q5183">
        <v>27362</v>
      </c>
      <c r="R5183" t="s">
        <v>45</v>
      </c>
      <c r="S5183" t="s">
        <v>31321</v>
      </c>
      <c r="T5183">
        <v>28</v>
      </c>
      <c r="U5183" s="2" t="s">
        <v>31322</v>
      </c>
      <c r="W5183" t="s">
        <v>765</v>
      </c>
      <c r="X5183">
        <v>804257</v>
      </c>
      <c r="Y5183" s="2" t="s">
        <v>31323</v>
      </c>
      <c r="Z5183" s="2" t="s">
        <v>31324</v>
      </c>
      <c r="AA5183" s="2" t="s">
        <v>31325</v>
      </c>
      <c r="AB5183" t="s">
        <v>70</v>
      </c>
      <c r="AG5183" t="s">
        <v>31326</v>
      </c>
      <c r="AH5183" t="s">
        <v>31327</v>
      </c>
      <c r="AI5183" t="s">
        <v>31328</v>
      </c>
    </row>
    <row r="5184" spans="2:35" ht="135">
      <c r="B5184" s="1">
        <v>45343</v>
      </c>
      <c r="C5184" s="4">
        <v>45342.756249999999</v>
      </c>
      <c r="D5184" t="s">
        <v>2990</v>
      </c>
      <c r="E5184" t="s">
        <v>31320</v>
      </c>
      <c r="F5184">
        <v>5</v>
      </c>
      <c r="G5184" t="s">
        <v>759</v>
      </c>
      <c r="H5184" t="s">
        <v>39</v>
      </c>
      <c r="I5184" t="s">
        <v>40</v>
      </c>
      <c r="J5184" t="s">
        <v>321</v>
      </c>
      <c r="K5184" t="s">
        <v>42</v>
      </c>
      <c r="L5184" t="s">
        <v>761</v>
      </c>
      <c r="N5184" t="s">
        <v>762</v>
      </c>
      <c r="O5184" t="s">
        <v>2992</v>
      </c>
      <c r="Q5184">
        <v>27361</v>
      </c>
      <c r="R5184" t="s">
        <v>45</v>
      </c>
      <c r="S5184" t="s">
        <v>31321</v>
      </c>
      <c r="T5184">
        <v>25</v>
      </c>
      <c r="W5184" t="s">
        <v>817</v>
      </c>
      <c r="X5184">
        <v>110019623</v>
      </c>
      <c r="Y5184" t="s">
        <v>6010</v>
      </c>
      <c r="Z5184" s="2" t="s">
        <v>31329</v>
      </c>
      <c r="AA5184" t="s">
        <v>31330</v>
      </c>
      <c r="AB5184" t="s">
        <v>70</v>
      </c>
      <c r="AG5184" t="s">
        <v>31331</v>
      </c>
      <c r="AH5184" t="s">
        <v>31327</v>
      </c>
      <c r="AI5184" t="s">
        <v>31332</v>
      </c>
    </row>
    <row r="5185" spans="2:35" ht="45">
      <c r="B5185" s="1">
        <v>45342</v>
      </c>
      <c r="C5185" s="4">
        <v>45342.634722222225</v>
      </c>
      <c r="D5185" t="s">
        <v>26013</v>
      </c>
      <c r="E5185" t="s">
        <v>8124</v>
      </c>
      <c r="F5185">
        <v>13</v>
      </c>
      <c r="G5185" t="s">
        <v>4484</v>
      </c>
      <c r="H5185" t="s">
        <v>2125</v>
      </c>
      <c r="I5185" t="s">
        <v>40</v>
      </c>
      <c r="J5185" s="2" t="s">
        <v>41</v>
      </c>
      <c r="K5185" t="s">
        <v>42</v>
      </c>
      <c r="L5185" t="s">
        <v>933</v>
      </c>
      <c r="N5185" t="s">
        <v>934</v>
      </c>
      <c r="Q5185">
        <v>27360</v>
      </c>
      <c r="R5185" t="s">
        <v>45</v>
      </c>
      <c r="S5185" t="s">
        <v>26014</v>
      </c>
      <c r="T5185">
        <v>30</v>
      </c>
      <c r="W5185" t="s">
        <v>360</v>
      </c>
      <c r="X5185">
        <v>807461</v>
      </c>
      <c r="Y5185" t="s">
        <v>31333</v>
      </c>
      <c r="Z5185" t="s">
        <v>301</v>
      </c>
      <c r="AA5185" t="s">
        <v>31334</v>
      </c>
      <c r="AB5185" t="s">
        <v>13650</v>
      </c>
      <c r="AG5185" t="s">
        <v>31335</v>
      </c>
      <c r="AH5185" t="s">
        <v>31336</v>
      </c>
      <c r="AI5185" t="s">
        <v>31337</v>
      </c>
    </row>
    <row r="5186" spans="2:35" ht="255">
      <c r="B5186" s="1">
        <v>45342</v>
      </c>
      <c r="C5186" s="4">
        <v>45342.615972222222</v>
      </c>
      <c r="D5186" t="s">
        <v>31338</v>
      </c>
      <c r="E5186" t="s">
        <v>3140</v>
      </c>
      <c r="F5186">
        <v>3</v>
      </c>
      <c r="G5186" t="s">
        <v>174</v>
      </c>
      <c r="H5186" t="s">
        <v>39</v>
      </c>
      <c r="I5186" t="s">
        <v>40</v>
      </c>
      <c r="J5186" s="2" t="s">
        <v>62</v>
      </c>
      <c r="K5186" t="s">
        <v>42</v>
      </c>
      <c r="L5186" t="s">
        <v>175</v>
      </c>
      <c r="N5186" t="s">
        <v>176</v>
      </c>
      <c r="Q5186">
        <v>27359</v>
      </c>
      <c r="R5186" t="s">
        <v>719</v>
      </c>
      <c r="S5186" t="s">
        <v>31339</v>
      </c>
      <c r="T5186">
        <v>25</v>
      </c>
      <c r="U5186" s="2" t="s">
        <v>31340</v>
      </c>
      <c r="W5186" t="s">
        <v>84</v>
      </c>
      <c r="X5186">
        <v>838862</v>
      </c>
      <c r="Y5186" t="s">
        <v>998</v>
      </c>
      <c r="Z5186" t="s">
        <v>999</v>
      </c>
      <c r="AA5186" t="e">
        <f ca="1">- checked _xludf.and cleaned cartridge bay, plunger rod, _xludf.filter, icore slot
- performed CALIBRATION
- generated reports</f>
        <v>#NAME?</v>
      </c>
      <c r="AB5186" s="2" t="s">
        <v>31341</v>
      </c>
      <c r="AG5186" t="s">
        <v>31342</v>
      </c>
      <c r="AH5186" t="s">
        <v>31343</v>
      </c>
      <c r="AI5186" t="s">
        <v>31344</v>
      </c>
    </row>
    <row r="5187" spans="2:35" ht="180">
      <c r="B5187" s="1">
        <v>45342</v>
      </c>
      <c r="C5187" s="4">
        <v>45342.631249999999</v>
      </c>
      <c r="D5187" t="s">
        <v>26545</v>
      </c>
      <c r="E5187" t="s">
        <v>29477</v>
      </c>
      <c r="F5187">
        <v>13</v>
      </c>
      <c r="G5187" t="s">
        <v>7763</v>
      </c>
      <c r="H5187" t="s">
        <v>2125</v>
      </c>
      <c r="I5187" t="s">
        <v>40</v>
      </c>
      <c r="J5187" s="2" t="s">
        <v>41</v>
      </c>
      <c r="K5187" t="s">
        <v>42</v>
      </c>
      <c r="L5187" t="s">
        <v>933</v>
      </c>
      <c r="N5187" t="s">
        <v>934</v>
      </c>
      <c r="Q5187">
        <v>27358</v>
      </c>
      <c r="R5187" t="s">
        <v>45</v>
      </c>
      <c r="S5187" t="s">
        <v>26547</v>
      </c>
      <c r="T5187">
        <v>26</v>
      </c>
      <c r="W5187" t="s">
        <v>360</v>
      </c>
      <c r="X5187">
        <v>815391</v>
      </c>
      <c r="Y5187" t="s">
        <v>31345</v>
      </c>
      <c r="Z5187" t="s">
        <v>301</v>
      </c>
      <c r="AA5187" s="2" t="s">
        <v>31346</v>
      </c>
      <c r="AB5187" t="s">
        <v>13650</v>
      </c>
      <c r="AG5187" t="s">
        <v>31347</v>
      </c>
      <c r="AH5187" t="s">
        <v>26553</v>
      </c>
      <c r="AI5187" t="s">
        <v>31348</v>
      </c>
    </row>
    <row r="5188" spans="2:35" ht="60">
      <c r="B5188" s="1">
        <v>45342</v>
      </c>
      <c r="C5188" s="4">
        <v>45342.582638888889</v>
      </c>
      <c r="D5188" t="s">
        <v>12016</v>
      </c>
      <c r="E5188" t="s">
        <v>12017</v>
      </c>
      <c r="F5188">
        <v>7</v>
      </c>
      <c r="G5188" t="s">
        <v>432</v>
      </c>
      <c r="H5188" t="s">
        <v>12018</v>
      </c>
      <c r="I5188" t="s">
        <v>40</v>
      </c>
      <c r="J5188" s="2" t="s">
        <v>62</v>
      </c>
      <c r="K5188" t="s">
        <v>387</v>
      </c>
      <c r="L5188" t="s">
        <v>1288</v>
      </c>
      <c r="N5188" t="s">
        <v>1289</v>
      </c>
      <c r="Q5188">
        <v>27357</v>
      </c>
      <c r="R5188" t="s">
        <v>95</v>
      </c>
      <c r="S5188" t="s">
        <v>1556</v>
      </c>
      <c r="T5188">
        <v>22</v>
      </c>
      <c r="W5188" t="s">
        <v>390</v>
      </c>
      <c r="X5188" t="s">
        <v>1557</v>
      </c>
      <c r="Y5188" t="s">
        <v>10179</v>
      </c>
      <c r="Z5188" t="e">
        <f ca="1">-COLLECT CALIBRATION Data</f>
        <v>#NAME?</v>
      </c>
      <c r="AA5188" t="e">
        <f ca="1">-PERFORM Preventive Maintenance
-PERFORM MCS+ CALIBRATION PROCEDURE
-PERFORM DIAGNOSTICS _xludf.and Cycle test, passed</f>
        <v>#NAME?</v>
      </c>
      <c r="AB5188" t="s">
        <v>1293</v>
      </c>
      <c r="AG5188" t="s">
        <v>31349</v>
      </c>
      <c r="AH5188" t="s">
        <v>22511</v>
      </c>
      <c r="AI5188" t="s">
        <v>31350</v>
      </c>
    </row>
    <row r="5189" spans="2:35" ht="60">
      <c r="B5189" s="1">
        <v>45342</v>
      </c>
      <c r="C5189" s="4">
        <v>45342.580555555556</v>
      </c>
      <c r="D5189" t="s">
        <v>12016</v>
      </c>
      <c r="E5189" t="s">
        <v>12017</v>
      </c>
      <c r="F5189">
        <v>7</v>
      </c>
      <c r="G5189" t="s">
        <v>432</v>
      </c>
      <c r="H5189" t="s">
        <v>12018</v>
      </c>
      <c r="I5189" t="s">
        <v>40</v>
      </c>
      <c r="J5189" s="2" t="s">
        <v>62</v>
      </c>
      <c r="K5189" t="s">
        <v>387</v>
      </c>
      <c r="L5189" t="s">
        <v>1288</v>
      </c>
      <c r="N5189" t="s">
        <v>1289</v>
      </c>
      <c r="Q5189">
        <v>27356</v>
      </c>
      <c r="R5189" t="s">
        <v>95</v>
      </c>
      <c r="S5189" t="s">
        <v>1556</v>
      </c>
      <c r="T5189">
        <v>22</v>
      </c>
      <c r="W5189" t="s">
        <v>390</v>
      </c>
      <c r="X5189" t="s">
        <v>2402</v>
      </c>
      <c r="Y5189" t="s">
        <v>10179</v>
      </c>
      <c r="Z5189" t="e">
        <f ca="1">-COLLECT CALIBRATION Data</f>
        <v>#NAME?</v>
      </c>
      <c r="AA5189" t="e">
        <f ca="1">-PERFORM Preventive Maintenance
-PERFORM MCS+ CALIBRATION PROCEDURE
-PERFORM DIAGNOSTICS _xludf.and Cycle test, passed</f>
        <v>#NAME?</v>
      </c>
      <c r="AB5189" t="s">
        <v>1293</v>
      </c>
      <c r="AG5189" t="s">
        <v>31351</v>
      </c>
      <c r="AH5189" t="s">
        <v>22511</v>
      </c>
      <c r="AI5189" t="s">
        <v>31352</v>
      </c>
    </row>
    <row r="5190" spans="2:35" ht="330">
      <c r="B5190" s="1">
        <v>45342</v>
      </c>
      <c r="C5190" s="4">
        <v>45342.547222222223</v>
      </c>
      <c r="D5190" t="s">
        <v>27323</v>
      </c>
      <c r="E5190" t="s">
        <v>31353</v>
      </c>
      <c r="F5190">
        <v>3</v>
      </c>
      <c r="G5190" t="s">
        <v>730</v>
      </c>
      <c r="H5190" t="s">
        <v>6357</v>
      </c>
      <c r="I5190" t="s">
        <v>40</v>
      </c>
      <c r="J5190" s="2" t="s">
        <v>41</v>
      </c>
      <c r="K5190" t="s">
        <v>42</v>
      </c>
      <c r="L5190" t="s">
        <v>135</v>
      </c>
      <c r="N5190" t="s">
        <v>31354</v>
      </c>
      <c r="Q5190">
        <v>27355</v>
      </c>
      <c r="R5190" t="s">
        <v>119</v>
      </c>
      <c r="S5190" t="s">
        <v>24877</v>
      </c>
      <c r="T5190">
        <v>26</v>
      </c>
      <c r="U5190" s="2" t="s">
        <v>31355</v>
      </c>
      <c r="V5190" s="1">
        <v>45321</v>
      </c>
      <c r="W5190" t="s">
        <v>2680</v>
      </c>
      <c r="X5190">
        <v>831909</v>
      </c>
      <c r="Y5190" s="2" t="s">
        <v>31356</v>
      </c>
      <c r="Z5190" t="s">
        <v>31357</v>
      </c>
      <c r="AA5190" s="2" t="s">
        <v>31358</v>
      </c>
      <c r="AB5190" s="2" t="s">
        <v>31359</v>
      </c>
      <c r="AD5190" t="s">
        <v>1859</v>
      </c>
      <c r="AE5190">
        <v>11172</v>
      </c>
      <c r="AG5190" t="s">
        <v>31360</v>
      </c>
      <c r="AH5190" t="s">
        <v>31361</v>
      </c>
      <c r="AI5190" t="s">
        <v>31362</v>
      </c>
    </row>
    <row r="5191" spans="2:35" ht="285">
      <c r="B5191" s="1">
        <v>45342</v>
      </c>
      <c r="C5191" s="4">
        <v>45342.477777777778</v>
      </c>
      <c r="D5191" t="s">
        <v>31363</v>
      </c>
      <c r="E5191" t="s">
        <v>31364</v>
      </c>
      <c r="F5191">
        <v>11</v>
      </c>
      <c r="G5191" t="s">
        <v>1205</v>
      </c>
      <c r="H5191" t="s">
        <v>202</v>
      </c>
      <c r="I5191" t="s">
        <v>94</v>
      </c>
      <c r="J5191" t="s">
        <v>79</v>
      </c>
      <c r="K5191" t="s">
        <v>42</v>
      </c>
      <c r="L5191" t="s">
        <v>204</v>
      </c>
      <c r="N5191" t="s">
        <v>205</v>
      </c>
      <c r="Q5191">
        <v>27354</v>
      </c>
      <c r="R5191" t="s">
        <v>45</v>
      </c>
      <c r="S5191" t="s">
        <v>31365</v>
      </c>
      <c r="T5191">
        <v>24.6</v>
      </c>
      <c r="U5191" s="2" t="s">
        <v>31366</v>
      </c>
      <c r="W5191" t="s">
        <v>23237</v>
      </c>
      <c r="X5191">
        <v>807464</v>
      </c>
      <c r="Y5191" t="s">
        <v>49</v>
      </c>
      <c r="Z5191" s="2" t="s">
        <v>31367</v>
      </c>
      <c r="AA5191" t="s">
        <v>12182</v>
      </c>
      <c r="AB5191" t="s">
        <v>1211</v>
      </c>
      <c r="AG5191" t="s">
        <v>31368</v>
      </c>
      <c r="AH5191" t="s">
        <v>31369</v>
      </c>
      <c r="AI5191" t="s">
        <v>31370</v>
      </c>
    </row>
    <row r="5192" spans="2:35" ht="409.5">
      <c r="B5192" s="1">
        <v>45342</v>
      </c>
      <c r="C5192" s="4">
        <v>45342.467361111114</v>
      </c>
      <c r="D5192" t="s">
        <v>31371</v>
      </c>
      <c r="E5192" t="s">
        <v>31372</v>
      </c>
      <c r="F5192">
        <v>3</v>
      </c>
      <c r="G5192" t="s">
        <v>730</v>
      </c>
      <c r="H5192" t="s">
        <v>1498</v>
      </c>
      <c r="I5192" t="s">
        <v>40</v>
      </c>
      <c r="J5192" s="2" t="s">
        <v>62</v>
      </c>
      <c r="K5192" t="s">
        <v>42</v>
      </c>
      <c r="L5192" t="s">
        <v>135</v>
      </c>
      <c r="N5192" t="s">
        <v>136</v>
      </c>
      <c r="Q5192">
        <v>27353</v>
      </c>
      <c r="R5192" t="s">
        <v>45</v>
      </c>
      <c r="S5192" t="s">
        <v>31373</v>
      </c>
      <c r="T5192">
        <v>29</v>
      </c>
      <c r="U5192" s="2" t="s">
        <v>31374</v>
      </c>
      <c r="W5192" t="s">
        <v>2680</v>
      </c>
      <c r="X5192">
        <v>808292</v>
      </c>
      <c r="Y5192" t="s">
        <v>1751</v>
      </c>
      <c r="Z5192" s="2" t="s">
        <v>28879</v>
      </c>
      <c r="AA5192" s="2" t="s">
        <v>31375</v>
      </c>
      <c r="AB5192" s="2" t="s">
        <v>3237</v>
      </c>
      <c r="AG5192" t="s">
        <v>31376</v>
      </c>
      <c r="AH5192" t="s">
        <v>31377</v>
      </c>
      <c r="AI5192" t="s">
        <v>31378</v>
      </c>
    </row>
    <row r="5193" spans="2:35" ht="90">
      <c r="B5193" s="1">
        <v>45342</v>
      </c>
      <c r="C5193" s="4">
        <v>45337.414583333331</v>
      </c>
      <c r="D5193" t="s">
        <v>9805</v>
      </c>
      <c r="E5193" t="s">
        <v>510</v>
      </c>
      <c r="F5193" t="s">
        <v>511</v>
      </c>
      <c r="G5193" t="s">
        <v>512</v>
      </c>
      <c r="H5193" t="s">
        <v>1047</v>
      </c>
      <c r="I5193" t="s">
        <v>40</v>
      </c>
      <c r="J5193" s="2" t="s">
        <v>190</v>
      </c>
      <c r="K5193" t="s">
        <v>42</v>
      </c>
      <c r="L5193" t="s">
        <v>1048</v>
      </c>
      <c r="N5193" t="s">
        <v>1049</v>
      </c>
      <c r="Q5193">
        <v>27352</v>
      </c>
      <c r="R5193" t="s">
        <v>45</v>
      </c>
      <c r="S5193" t="s">
        <v>23268</v>
      </c>
      <c r="T5193">
        <v>27</v>
      </c>
      <c r="U5193" s="2" t="s">
        <v>31379</v>
      </c>
      <c r="W5193" t="s">
        <v>1051</v>
      </c>
      <c r="X5193">
        <v>834685</v>
      </c>
      <c r="Y5193" t="e">
        <f ca="1">- _xludf.For Troubleshooting</f>
        <v>#NAME?</v>
      </c>
      <c r="Z5193" t="e">
        <f ca="1">- cleaned cartridge Bays, plunger Rods _xludf.and I-CORE
- run reliability test
- generated reports</f>
        <v>#NAME?</v>
      </c>
      <c r="AA5193" t="e">
        <f ca="1">- performed Troubleshooting</f>
        <v>#NAME?</v>
      </c>
      <c r="AB5193" t="s">
        <v>181</v>
      </c>
      <c r="AC5193" t="s">
        <v>27457</v>
      </c>
      <c r="AG5193" t="s">
        <v>31380</v>
      </c>
      <c r="AH5193" t="s">
        <v>16579</v>
      </c>
      <c r="AI5193" t="s">
        <v>31381</v>
      </c>
    </row>
    <row r="5194" spans="2:35" ht="120">
      <c r="B5194" s="1">
        <v>45341</v>
      </c>
      <c r="C5194" s="4">
        <v>45341.684027777781</v>
      </c>
      <c r="D5194" t="s">
        <v>4995</v>
      </c>
      <c r="E5194" t="s">
        <v>29879</v>
      </c>
      <c r="F5194">
        <v>5</v>
      </c>
      <c r="G5194" t="s">
        <v>759</v>
      </c>
      <c r="H5194" t="s">
        <v>39</v>
      </c>
      <c r="I5194" t="s">
        <v>40</v>
      </c>
      <c r="J5194" t="s">
        <v>525</v>
      </c>
      <c r="K5194" t="s">
        <v>42</v>
      </c>
      <c r="L5194" t="s">
        <v>761</v>
      </c>
      <c r="N5194" t="s">
        <v>762</v>
      </c>
      <c r="Q5194">
        <v>27351</v>
      </c>
      <c r="R5194" t="s">
        <v>719</v>
      </c>
      <c r="S5194" t="s">
        <v>31382</v>
      </c>
      <c r="T5194">
        <v>28</v>
      </c>
      <c r="U5194" s="2" t="s">
        <v>31383</v>
      </c>
      <c r="W5194" t="s">
        <v>765</v>
      </c>
      <c r="X5194">
        <v>846354</v>
      </c>
      <c r="Y5194" t="s">
        <v>31384</v>
      </c>
      <c r="Z5194" s="2" t="s">
        <v>31385</v>
      </c>
      <c r="AA5194" t="s">
        <v>768</v>
      </c>
      <c r="AB5194" t="s">
        <v>70</v>
      </c>
      <c r="AC5194" t="s">
        <v>31386</v>
      </c>
      <c r="AG5194" t="s">
        <v>31387</v>
      </c>
      <c r="AH5194" t="s">
        <v>31388</v>
      </c>
      <c r="AI5194" t="s">
        <v>31389</v>
      </c>
    </row>
    <row r="5195" spans="2:35" ht="240">
      <c r="B5195" s="1">
        <v>45341</v>
      </c>
      <c r="C5195" s="4">
        <v>45341.638194444444</v>
      </c>
      <c r="D5195" t="s">
        <v>31390</v>
      </c>
      <c r="E5195" t="s">
        <v>29879</v>
      </c>
      <c r="F5195">
        <v>5</v>
      </c>
      <c r="G5195" t="s">
        <v>759</v>
      </c>
      <c r="H5195" t="s">
        <v>39</v>
      </c>
      <c r="I5195" t="s">
        <v>40</v>
      </c>
      <c r="J5195" s="2" t="s">
        <v>41</v>
      </c>
      <c r="K5195" t="s">
        <v>42</v>
      </c>
      <c r="L5195" t="s">
        <v>761</v>
      </c>
      <c r="N5195" t="s">
        <v>762</v>
      </c>
      <c r="Q5195">
        <v>27350</v>
      </c>
      <c r="R5195" t="s">
        <v>45</v>
      </c>
      <c r="S5195" t="s">
        <v>4983</v>
      </c>
      <c r="T5195">
        <v>26</v>
      </c>
      <c r="U5195" s="2" t="s">
        <v>31391</v>
      </c>
      <c r="W5195" t="s">
        <v>765</v>
      </c>
      <c r="X5195">
        <v>808636</v>
      </c>
      <c r="Y5195" t="s">
        <v>31392</v>
      </c>
      <c r="Z5195" s="2" t="s">
        <v>31393</v>
      </c>
      <c r="AA5195" s="2" t="s">
        <v>31394</v>
      </c>
      <c r="AB5195" t="s">
        <v>181</v>
      </c>
      <c r="AG5195" t="s">
        <v>31395</v>
      </c>
      <c r="AH5195" t="s">
        <v>4986</v>
      </c>
      <c r="AI5195" t="s">
        <v>31396</v>
      </c>
    </row>
    <row r="5196" spans="2:35" ht="120">
      <c r="B5196" s="1">
        <v>45341</v>
      </c>
      <c r="C5196" s="4">
        <v>45341.642361111109</v>
      </c>
      <c r="D5196" t="s">
        <v>4982</v>
      </c>
      <c r="E5196" t="s">
        <v>29879</v>
      </c>
      <c r="F5196">
        <v>5</v>
      </c>
      <c r="G5196" t="s">
        <v>759</v>
      </c>
      <c r="H5196" t="s">
        <v>39</v>
      </c>
      <c r="I5196" t="s">
        <v>40</v>
      </c>
      <c r="J5196" t="s">
        <v>109</v>
      </c>
      <c r="K5196" t="s">
        <v>42</v>
      </c>
      <c r="L5196" t="s">
        <v>761</v>
      </c>
      <c r="N5196" t="s">
        <v>762</v>
      </c>
      <c r="Q5196">
        <v>27349</v>
      </c>
      <c r="R5196" t="s">
        <v>45</v>
      </c>
      <c r="S5196" t="s">
        <v>4983</v>
      </c>
      <c r="T5196">
        <v>23</v>
      </c>
      <c r="U5196" s="2" t="s">
        <v>31397</v>
      </c>
      <c r="W5196" t="s">
        <v>817</v>
      </c>
      <c r="X5196">
        <v>110016954</v>
      </c>
      <c r="Y5196" t="s">
        <v>1052</v>
      </c>
      <c r="Z5196" s="2" t="s">
        <v>31398</v>
      </c>
      <c r="AA5196" t="s">
        <v>820</v>
      </c>
      <c r="AB5196" t="s">
        <v>70</v>
      </c>
      <c r="AG5196" t="s">
        <v>31399</v>
      </c>
      <c r="AH5196" t="s">
        <v>4986</v>
      </c>
      <c r="AI5196" t="s">
        <v>31400</v>
      </c>
    </row>
    <row r="5197" spans="2:35" ht="285">
      <c r="B5197" s="1">
        <v>45341</v>
      </c>
      <c r="C5197" s="4">
        <v>45341.646527777775</v>
      </c>
      <c r="D5197" t="s">
        <v>31401</v>
      </c>
      <c r="E5197" t="s">
        <v>29879</v>
      </c>
      <c r="F5197">
        <v>5</v>
      </c>
      <c r="G5197" t="s">
        <v>759</v>
      </c>
      <c r="H5197" t="s">
        <v>39</v>
      </c>
      <c r="I5197" t="s">
        <v>40</v>
      </c>
      <c r="J5197" t="s">
        <v>109</v>
      </c>
      <c r="K5197" t="s">
        <v>42</v>
      </c>
      <c r="L5197" t="s">
        <v>761</v>
      </c>
      <c r="N5197" t="s">
        <v>762</v>
      </c>
      <c r="Q5197">
        <v>27348</v>
      </c>
      <c r="R5197" t="s">
        <v>45</v>
      </c>
      <c r="S5197" t="s">
        <v>4983</v>
      </c>
      <c r="T5197">
        <v>26</v>
      </c>
      <c r="U5197" s="2" t="s">
        <v>31402</v>
      </c>
      <c r="W5197" t="s">
        <v>765</v>
      </c>
      <c r="X5197">
        <v>807579</v>
      </c>
      <c r="Y5197" t="s">
        <v>1052</v>
      </c>
      <c r="Z5197" s="2" t="s">
        <v>30083</v>
      </c>
      <c r="AA5197" t="s">
        <v>820</v>
      </c>
      <c r="AB5197" t="s">
        <v>70</v>
      </c>
      <c r="AG5197" t="s">
        <v>31403</v>
      </c>
      <c r="AH5197" t="s">
        <v>4986</v>
      </c>
      <c r="AI5197" t="s">
        <v>31404</v>
      </c>
    </row>
    <row r="5198" spans="2:35" ht="60">
      <c r="B5198" s="1">
        <v>45341</v>
      </c>
      <c r="C5198" s="4">
        <v>45341.650694444441</v>
      </c>
      <c r="D5198" t="s">
        <v>18094</v>
      </c>
      <c r="E5198" t="s">
        <v>18095</v>
      </c>
      <c r="F5198">
        <v>7</v>
      </c>
      <c r="G5198" t="s">
        <v>432</v>
      </c>
      <c r="H5198" t="s">
        <v>608</v>
      </c>
      <c r="I5198" t="s">
        <v>40</v>
      </c>
      <c r="J5198" s="2" t="s">
        <v>760</v>
      </c>
      <c r="K5198" t="s">
        <v>387</v>
      </c>
      <c r="L5198" t="s">
        <v>610</v>
      </c>
      <c r="N5198" t="s">
        <v>611</v>
      </c>
      <c r="Q5198">
        <v>27347</v>
      </c>
      <c r="R5198" t="s">
        <v>95</v>
      </c>
      <c r="S5198" t="s">
        <v>435</v>
      </c>
      <c r="T5198">
        <v>24</v>
      </c>
      <c r="W5198" t="s">
        <v>390</v>
      </c>
      <c r="X5198" t="s">
        <v>437</v>
      </c>
      <c r="Y5198" t="s">
        <v>31405</v>
      </c>
      <c r="Z5198" t="s">
        <v>31406</v>
      </c>
      <c r="AA5198" t="s">
        <v>31406</v>
      </c>
      <c r="AB5198" t="s">
        <v>486</v>
      </c>
      <c r="AG5198" t="s">
        <v>31407</v>
      </c>
      <c r="AH5198" t="s">
        <v>18101</v>
      </c>
      <c r="AI5198" t="s">
        <v>31408</v>
      </c>
    </row>
    <row r="5199" spans="2:35" ht="105">
      <c r="B5199" s="1">
        <v>45341</v>
      </c>
      <c r="C5199" s="4">
        <v>45341.600694444445</v>
      </c>
      <c r="D5199" t="s">
        <v>3154</v>
      </c>
      <c r="E5199" t="s">
        <v>22439</v>
      </c>
      <c r="F5199">
        <v>9</v>
      </c>
      <c r="G5199" t="s">
        <v>2197</v>
      </c>
      <c r="H5199" t="s">
        <v>39</v>
      </c>
      <c r="I5199" t="s">
        <v>94</v>
      </c>
      <c r="J5199" s="2" t="s">
        <v>62</v>
      </c>
      <c r="K5199" t="s">
        <v>42</v>
      </c>
      <c r="L5199" t="s">
        <v>1257</v>
      </c>
      <c r="N5199" t="s">
        <v>2199</v>
      </c>
      <c r="O5199" t="s">
        <v>1258</v>
      </c>
      <c r="Q5199">
        <v>27346</v>
      </c>
      <c r="R5199" t="s">
        <v>45</v>
      </c>
      <c r="S5199" t="s">
        <v>31409</v>
      </c>
      <c r="T5199">
        <v>25</v>
      </c>
      <c r="U5199" s="2" t="s">
        <v>31410</v>
      </c>
      <c r="V5199" s="1">
        <v>45341</v>
      </c>
      <c r="W5199" t="s">
        <v>2384</v>
      </c>
      <c r="X5199">
        <v>838128</v>
      </c>
      <c r="Y5199" t="s">
        <v>31411</v>
      </c>
      <c r="Z5199" t="s">
        <v>31412</v>
      </c>
      <c r="AA5199" t="s">
        <v>31412</v>
      </c>
      <c r="AB5199" t="s">
        <v>31413</v>
      </c>
      <c r="AC5199" t="s">
        <v>301</v>
      </c>
      <c r="AD5199" t="s">
        <v>54</v>
      </c>
      <c r="AE5199" t="s">
        <v>31414</v>
      </c>
      <c r="AG5199" t="s">
        <v>31415</v>
      </c>
      <c r="AH5199" t="s">
        <v>31416</v>
      </c>
      <c r="AI5199" t="s">
        <v>31417</v>
      </c>
    </row>
    <row r="5200" spans="2:35" ht="45">
      <c r="B5200" s="1">
        <v>45341</v>
      </c>
      <c r="C5200" s="4">
        <v>45341.599305555559</v>
      </c>
      <c r="D5200" t="s">
        <v>31418</v>
      </c>
      <c r="E5200" t="s">
        <v>31419</v>
      </c>
      <c r="F5200">
        <v>7</v>
      </c>
      <c r="G5200" t="s">
        <v>432</v>
      </c>
      <c r="H5200" t="s">
        <v>39</v>
      </c>
      <c r="I5200" t="s">
        <v>40</v>
      </c>
      <c r="J5200" s="2" t="s">
        <v>1370</v>
      </c>
      <c r="K5200" t="s">
        <v>42</v>
      </c>
      <c r="L5200" t="s">
        <v>433</v>
      </c>
      <c r="N5200" t="s">
        <v>434</v>
      </c>
      <c r="Q5200">
        <v>27345</v>
      </c>
      <c r="R5200" t="s">
        <v>45</v>
      </c>
      <c r="S5200" t="s">
        <v>4152</v>
      </c>
      <c r="T5200">
        <v>26</v>
      </c>
      <c r="W5200" t="s">
        <v>1008</v>
      </c>
      <c r="X5200">
        <v>808286</v>
      </c>
      <c r="Y5200" t="s">
        <v>31420</v>
      </c>
      <c r="Z5200" t="s">
        <v>31421</v>
      </c>
      <c r="AA5200" t="s">
        <v>31421</v>
      </c>
      <c r="AB5200" t="s">
        <v>1011</v>
      </c>
      <c r="AG5200" t="s">
        <v>31422</v>
      </c>
      <c r="AH5200" t="s">
        <v>4156</v>
      </c>
      <c r="AI5200" t="s">
        <v>31423</v>
      </c>
    </row>
    <row r="5201" spans="2:35">
      <c r="B5201" s="1">
        <v>45341</v>
      </c>
      <c r="C5201" s="4">
        <v>45338.448611111111</v>
      </c>
      <c r="D5201" t="s">
        <v>31424</v>
      </c>
      <c r="E5201" t="s">
        <v>31425</v>
      </c>
      <c r="F5201" t="s">
        <v>511</v>
      </c>
      <c r="G5201" t="s">
        <v>31426</v>
      </c>
      <c r="H5201" t="s">
        <v>1047</v>
      </c>
      <c r="I5201" t="s">
        <v>40</v>
      </c>
      <c r="J5201" t="s">
        <v>321</v>
      </c>
      <c r="K5201" t="s">
        <v>42</v>
      </c>
      <c r="L5201" t="s">
        <v>1048</v>
      </c>
      <c r="N5201" t="s">
        <v>1049</v>
      </c>
      <c r="Q5201">
        <v>27344</v>
      </c>
      <c r="R5201" t="s">
        <v>45</v>
      </c>
      <c r="S5201" t="s">
        <v>31427</v>
      </c>
      <c r="T5201">
        <v>26</v>
      </c>
      <c r="V5201" s="1">
        <v>45338</v>
      </c>
      <c r="W5201" t="s">
        <v>1424</v>
      </c>
      <c r="X5201">
        <v>110020314</v>
      </c>
      <c r="Y5201" t="s">
        <v>750</v>
      </c>
      <c r="Z5201" t="s">
        <v>31428</v>
      </c>
      <c r="AA5201" t="s">
        <v>31429</v>
      </c>
      <c r="AB5201" t="s">
        <v>181</v>
      </c>
      <c r="AD5201" t="s">
        <v>31430</v>
      </c>
      <c r="AE5201" t="s">
        <v>103</v>
      </c>
      <c r="AG5201" t="s">
        <v>31431</v>
      </c>
      <c r="AH5201" t="s">
        <v>31432</v>
      </c>
      <c r="AI5201" t="s">
        <v>31433</v>
      </c>
    </row>
    <row r="5202" spans="2:35" ht="105">
      <c r="B5202" s="1">
        <v>45341</v>
      </c>
      <c r="C5202" s="4">
        <v>45338.459027777775</v>
      </c>
      <c r="D5202" t="s">
        <v>31424</v>
      </c>
      <c r="E5202" t="s">
        <v>31425</v>
      </c>
      <c r="F5202" t="s">
        <v>511</v>
      </c>
      <c r="G5202" t="s">
        <v>31426</v>
      </c>
      <c r="H5202" t="s">
        <v>1047</v>
      </c>
      <c r="I5202" t="s">
        <v>40</v>
      </c>
      <c r="J5202" t="s">
        <v>109</v>
      </c>
      <c r="K5202" t="s">
        <v>42</v>
      </c>
      <c r="L5202" t="s">
        <v>1048</v>
      </c>
      <c r="N5202" t="s">
        <v>1049</v>
      </c>
      <c r="Q5202">
        <v>27343</v>
      </c>
      <c r="R5202" t="s">
        <v>45</v>
      </c>
      <c r="S5202" t="s">
        <v>31427</v>
      </c>
      <c r="T5202">
        <v>30</v>
      </c>
      <c r="U5202" s="2" t="s">
        <v>31434</v>
      </c>
      <c r="W5202" t="s">
        <v>1051</v>
      </c>
      <c r="X5202">
        <v>807582</v>
      </c>
      <c r="Y5202" t="s">
        <v>1052</v>
      </c>
      <c r="Z5202" t="e">
        <f ca="1">- cleaned cartridge Bays, plunger Rods _xludf.and I-CORE
- generated reports</f>
        <v>#NAME?</v>
      </c>
      <c r="AA5202" t="s">
        <v>820</v>
      </c>
      <c r="AB5202" t="s">
        <v>181</v>
      </c>
      <c r="AG5202" t="s">
        <v>31435</v>
      </c>
      <c r="AH5202" t="s">
        <v>31432</v>
      </c>
      <c r="AI5202" t="s">
        <v>31436</v>
      </c>
    </row>
    <row r="5203" spans="2:35" ht="405">
      <c r="B5203" s="1">
        <v>45341</v>
      </c>
      <c r="C5203" s="4">
        <v>45337.511111111111</v>
      </c>
      <c r="D5203" t="s">
        <v>1420</v>
      </c>
      <c r="E5203" t="s">
        <v>1456</v>
      </c>
      <c r="F5203" t="s">
        <v>511</v>
      </c>
      <c r="G5203" t="s">
        <v>512</v>
      </c>
      <c r="H5203" t="s">
        <v>1047</v>
      </c>
      <c r="I5203" t="s">
        <v>40</v>
      </c>
      <c r="J5203" s="2" t="s">
        <v>1592</v>
      </c>
      <c r="K5203" t="s">
        <v>42</v>
      </c>
      <c r="L5203" t="s">
        <v>1048</v>
      </c>
      <c r="N5203" t="s">
        <v>1049</v>
      </c>
      <c r="Q5203">
        <v>27342</v>
      </c>
      <c r="R5203" t="s">
        <v>45</v>
      </c>
      <c r="S5203" t="s">
        <v>1423</v>
      </c>
      <c r="T5203">
        <v>28</v>
      </c>
      <c r="U5203" s="2" t="s">
        <v>22597</v>
      </c>
      <c r="V5203" s="1">
        <v>45337</v>
      </c>
      <c r="W5203" t="s">
        <v>1051</v>
      </c>
      <c r="X5203">
        <v>807621</v>
      </c>
      <c r="Y5203" t="e">
        <f ca="1">- _xludf.For module Replacement
- _xludf.For Troubleshooting of module B3 _xludf.and B4</f>
        <v>#NAME?</v>
      </c>
      <c r="Z5203" s="2" t="s">
        <v>31437</v>
      </c>
      <c r="AA5203" t="e">
        <f ca="1">- performed Troubleshooting
- replaced defective module</f>
        <v>#NAME?</v>
      </c>
      <c r="AB5203" t="s">
        <v>70</v>
      </c>
      <c r="AC5203" t="s">
        <v>31438</v>
      </c>
      <c r="AD5203" t="s">
        <v>31439</v>
      </c>
      <c r="AE5203" t="s">
        <v>103</v>
      </c>
      <c r="AG5203" t="s">
        <v>31440</v>
      </c>
      <c r="AH5203" t="s">
        <v>31441</v>
      </c>
      <c r="AI5203" t="s">
        <v>31442</v>
      </c>
    </row>
    <row r="5204" spans="2:35" ht="180">
      <c r="B5204" s="1">
        <v>45341</v>
      </c>
      <c r="C5204" s="4">
        <v>45317.40347222222</v>
      </c>
      <c r="D5204" t="s">
        <v>9805</v>
      </c>
      <c r="E5204" t="s">
        <v>510</v>
      </c>
      <c r="F5204" t="s">
        <v>511</v>
      </c>
      <c r="G5204" t="s">
        <v>512</v>
      </c>
      <c r="H5204" t="s">
        <v>1047</v>
      </c>
      <c r="I5204" t="s">
        <v>40</v>
      </c>
      <c r="J5204" s="2" t="s">
        <v>190</v>
      </c>
      <c r="K5204" t="s">
        <v>42</v>
      </c>
      <c r="L5204" t="s">
        <v>1048</v>
      </c>
      <c r="N5204" t="s">
        <v>1049</v>
      </c>
      <c r="Q5204">
        <v>27341</v>
      </c>
      <c r="R5204" t="s">
        <v>45</v>
      </c>
      <c r="S5204" t="s">
        <v>29628</v>
      </c>
      <c r="T5204">
        <v>21</v>
      </c>
      <c r="U5204" s="2" t="s">
        <v>31443</v>
      </c>
      <c r="W5204" t="s">
        <v>1051</v>
      </c>
      <c r="X5204">
        <v>834685</v>
      </c>
      <c r="Y5204" t="s">
        <v>12082</v>
      </c>
      <c r="Z5204" t="e">
        <f ca="1">- run reliability tests on module B3 _xludf.and B4
- cleaned cartridge Bays, plunger Rods _xludf.and I-CORE
- generated reports</f>
        <v>#NAME?</v>
      </c>
      <c r="AA5204" t="e">
        <f ca="1">- performed Troubleshooting on modules B3 _xludf.and B4
- performed Preventive Maintenence</f>
        <v>#NAME?</v>
      </c>
      <c r="AB5204" t="s">
        <v>181</v>
      </c>
      <c r="AG5204" t="s">
        <v>31444</v>
      </c>
      <c r="AH5204" t="s">
        <v>29632</v>
      </c>
      <c r="AI5204" t="s">
        <v>31445</v>
      </c>
    </row>
    <row r="5205" spans="2:35" ht="105">
      <c r="B5205" s="1">
        <v>45341</v>
      </c>
      <c r="C5205" s="4">
        <v>45337.412499999999</v>
      </c>
      <c r="D5205" t="s">
        <v>6919</v>
      </c>
      <c r="E5205" t="s">
        <v>510</v>
      </c>
      <c r="F5205" t="s">
        <v>511</v>
      </c>
      <c r="G5205" t="s">
        <v>512</v>
      </c>
      <c r="H5205" t="s">
        <v>39</v>
      </c>
      <c r="I5205" t="s">
        <v>40</v>
      </c>
      <c r="J5205" t="s">
        <v>109</v>
      </c>
      <c r="K5205" t="s">
        <v>42</v>
      </c>
      <c r="L5205" t="s">
        <v>1048</v>
      </c>
      <c r="N5205" t="s">
        <v>1049</v>
      </c>
      <c r="Q5205">
        <v>27340</v>
      </c>
      <c r="R5205" t="s">
        <v>119</v>
      </c>
      <c r="S5205" t="s">
        <v>6920</v>
      </c>
      <c r="T5205">
        <v>27</v>
      </c>
      <c r="U5205" s="2" t="s">
        <v>31446</v>
      </c>
      <c r="W5205" t="s">
        <v>1051</v>
      </c>
      <c r="X5205">
        <v>838281</v>
      </c>
      <c r="Y5205" t="s">
        <v>1052</v>
      </c>
      <c r="Z5205" t="e">
        <f ca="1">- cleaned cartridge Bays, plunger Rods _xludf.and I-CORE
- generated reports</f>
        <v>#NAME?</v>
      </c>
      <c r="AA5205" t="s">
        <v>820</v>
      </c>
      <c r="AB5205" t="s">
        <v>70</v>
      </c>
      <c r="AG5205" t="s">
        <v>31447</v>
      </c>
      <c r="AH5205" t="s">
        <v>6925</v>
      </c>
      <c r="AI5205" t="s">
        <v>31448</v>
      </c>
    </row>
    <row r="5206" spans="2:35" ht="240">
      <c r="B5206" s="1">
        <v>45341</v>
      </c>
      <c r="C5206" s="4">
        <v>45339.758333333331</v>
      </c>
      <c r="D5206" t="s">
        <v>9540</v>
      </c>
      <c r="E5206" t="s">
        <v>10333</v>
      </c>
      <c r="F5206" t="s">
        <v>148</v>
      </c>
      <c r="G5206" t="s">
        <v>4786</v>
      </c>
      <c r="H5206" t="s">
        <v>513</v>
      </c>
      <c r="I5206" t="s">
        <v>40</v>
      </c>
      <c r="J5206" t="s">
        <v>525</v>
      </c>
      <c r="K5206" t="s">
        <v>387</v>
      </c>
      <c r="L5206" t="s">
        <v>1028</v>
      </c>
      <c r="N5206" t="s">
        <v>1029</v>
      </c>
      <c r="Q5206">
        <v>27339</v>
      </c>
      <c r="R5206" t="s">
        <v>322</v>
      </c>
      <c r="S5206" t="s">
        <v>10335</v>
      </c>
      <c r="T5206">
        <v>24</v>
      </c>
      <c r="W5206" t="s">
        <v>390</v>
      </c>
      <c r="X5206" t="s">
        <v>10336</v>
      </c>
      <c r="Y5206" t="s">
        <v>31449</v>
      </c>
      <c r="Z5206" t="s">
        <v>4487</v>
      </c>
      <c r="AA5206" s="2" t="s">
        <v>31450</v>
      </c>
      <c r="AB5206" t="s">
        <v>31451</v>
      </c>
      <c r="AC5206" t="s">
        <v>31452</v>
      </c>
      <c r="AG5206" t="s">
        <v>31453</v>
      </c>
      <c r="AH5206" t="s">
        <v>31242</v>
      </c>
      <c r="AI5206" t="s">
        <v>31454</v>
      </c>
    </row>
    <row r="5207" spans="2:35" ht="210">
      <c r="B5207" s="1">
        <v>45341</v>
      </c>
      <c r="C5207" s="4">
        <v>45336.379861111112</v>
      </c>
      <c r="D5207" t="s">
        <v>29597</v>
      </c>
      <c r="E5207" t="s">
        <v>29598</v>
      </c>
      <c r="F5207" t="s">
        <v>37</v>
      </c>
      <c r="G5207" t="s">
        <v>748</v>
      </c>
      <c r="H5207" t="s">
        <v>39</v>
      </c>
      <c r="I5207" t="s">
        <v>40</v>
      </c>
      <c r="J5207" t="s">
        <v>996</v>
      </c>
      <c r="K5207" t="s">
        <v>42</v>
      </c>
      <c r="L5207" t="s">
        <v>1028</v>
      </c>
      <c r="N5207" t="s">
        <v>1029</v>
      </c>
      <c r="Q5207">
        <v>27338</v>
      </c>
      <c r="R5207" t="s">
        <v>45</v>
      </c>
      <c r="S5207" t="s">
        <v>29599</v>
      </c>
      <c r="T5207">
        <v>26</v>
      </c>
      <c r="U5207" s="2" t="s">
        <v>31455</v>
      </c>
      <c r="W5207" t="s">
        <v>1967</v>
      </c>
      <c r="X5207">
        <v>838166</v>
      </c>
      <c r="Y5207" t="s">
        <v>18140</v>
      </c>
      <c r="Z5207" t="s">
        <v>21244</v>
      </c>
      <c r="AA5207" s="2" t="s">
        <v>31456</v>
      </c>
      <c r="AB5207" t="s">
        <v>28920</v>
      </c>
      <c r="AC5207" t="s">
        <v>31457</v>
      </c>
      <c r="AG5207" t="s">
        <v>31458</v>
      </c>
      <c r="AH5207" t="s">
        <v>29602</v>
      </c>
      <c r="AI5207" t="s">
        <v>31459</v>
      </c>
    </row>
    <row r="5208" spans="2:35" ht="210">
      <c r="B5208" s="1">
        <v>45341</v>
      </c>
      <c r="C5208" s="4">
        <v>45337.459722222222</v>
      </c>
      <c r="D5208" t="s">
        <v>31460</v>
      </c>
      <c r="E5208" t="s">
        <v>31461</v>
      </c>
      <c r="F5208" t="s">
        <v>37</v>
      </c>
      <c r="G5208" t="s">
        <v>748</v>
      </c>
      <c r="H5208" t="s">
        <v>39</v>
      </c>
      <c r="I5208" t="s">
        <v>40</v>
      </c>
      <c r="J5208" t="s">
        <v>79</v>
      </c>
      <c r="K5208" t="s">
        <v>42</v>
      </c>
      <c r="L5208" t="s">
        <v>1028</v>
      </c>
      <c r="N5208" t="s">
        <v>1029</v>
      </c>
      <c r="Q5208">
        <v>27336</v>
      </c>
      <c r="R5208" t="s">
        <v>45</v>
      </c>
      <c r="S5208" t="s">
        <v>31462</v>
      </c>
      <c r="T5208">
        <v>24</v>
      </c>
      <c r="U5208" s="2" t="s">
        <v>31463</v>
      </c>
      <c r="W5208" t="s">
        <v>1967</v>
      </c>
      <c r="X5208">
        <v>838893</v>
      </c>
      <c r="Y5208" t="s">
        <v>31464</v>
      </c>
      <c r="Z5208" t="s">
        <v>2129</v>
      </c>
      <c r="AA5208" s="2" t="s">
        <v>31465</v>
      </c>
      <c r="AB5208" t="s">
        <v>3063</v>
      </c>
      <c r="AC5208" t="s">
        <v>31466</v>
      </c>
      <c r="AG5208" t="s">
        <v>31467</v>
      </c>
      <c r="AH5208" t="s">
        <v>31468</v>
      </c>
      <c r="AI5208" t="s">
        <v>31469</v>
      </c>
    </row>
    <row r="5209" spans="2:35" ht="210">
      <c r="B5209" s="1">
        <v>45341</v>
      </c>
      <c r="C5209" s="4">
        <v>45335.625694444447</v>
      </c>
      <c r="D5209" t="s">
        <v>31470</v>
      </c>
      <c r="E5209" t="s">
        <v>31471</v>
      </c>
      <c r="F5209" t="s">
        <v>148</v>
      </c>
      <c r="G5209" t="s">
        <v>4786</v>
      </c>
      <c r="H5209" t="s">
        <v>24264</v>
      </c>
      <c r="I5209" t="s">
        <v>40</v>
      </c>
      <c r="J5209" t="s">
        <v>79</v>
      </c>
      <c r="K5209" t="s">
        <v>42</v>
      </c>
      <c r="L5209" t="s">
        <v>1028</v>
      </c>
      <c r="N5209" t="s">
        <v>1029</v>
      </c>
      <c r="Q5209">
        <v>27337</v>
      </c>
      <c r="R5209" t="s">
        <v>45</v>
      </c>
      <c r="S5209" t="s">
        <v>31472</v>
      </c>
      <c r="T5209">
        <v>24</v>
      </c>
      <c r="U5209" s="2" t="s">
        <v>31473</v>
      </c>
      <c r="V5209" s="1">
        <v>45335</v>
      </c>
      <c r="W5209" t="s">
        <v>1967</v>
      </c>
      <c r="X5209">
        <v>804261</v>
      </c>
      <c r="Y5209" t="s">
        <v>31474</v>
      </c>
      <c r="Z5209" t="s">
        <v>2129</v>
      </c>
      <c r="AA5209" s="2" t="s">
        <v>31475</v>
      </c>
      <c r="AB5209" t="s">
        <v>3063</v>
      </c>
      <c r="AC5209" t="s">
        <v>31476</v>
      </c>
      <c r="AD5209" t="s">
        <v>31477</v>
      </c>
      <c r="AE5209" t="s">
        <v>31478</v>
      </c>
      <c r="AG5209" t="s">
        <v>31479</v>
      </c>
      <c r="AH5209" t="s">
        <v>31480</v>
      </c>
      <c r="AI5209" t="s">
        <v>31481</v>
      </c>
    </row>
    <row r="5210" spans="2:35" ht="75">
      <c r="B5210" s="1">
        <v>45341</v>
      </c>
      <c r="C5210" s="4">
        <v>45341.35</v>
      </c>
      <c r="D5210" t="s">
        <v>23371</v>
      </c>
      <c r="E5210" t="s">
        <v>23372</v>
      </c>
      <c r="F5210">
        <v>10</v>
      </c>
      <c r="G5210" t="s">
        <v>1395</v>
      </c>
      <c r="H5210" t="s">
        <v>10969</v>
      </c>
      <c r="I5210" t="s">
        <v>40</v>
      </c>
      <c r="J5210" t="s">
        <v>321</v>
      </c>
      <c r="K5210" t="s">
        <v>42</v>
      </c>
      <c r="L5210" t="s">
        <v>1288</v>
      </c>
      <c r="N5210" t="s">
        <v>1289</v>
      </c>
      <c r="Q5210">
        <v>27335</v>
      </c>
      <c r="R5210" t="s">
        <v>45</v>
      </c>
      <c r="S5210" t="s">
        <v>23373</v>
      </c>
      <c r="T5210">
        <v>26</v>
      </c>
      <c r="U5210" s="2" t="s">
        <v>29810</v>
      </c>
      <c r="W5210" t="s">
        <v>9206</v>
      </c>
      <c r="X5210">
        <v>110020363</v>
      </c>
      <c r="Y5210" t="s">
        <v>18838</v>
      </c>
      <c r="Z5210" t="e">
        <f ca="1">-COLLECT IQR _xludf.and DOCUMENTATION</f>
        <v>#NAME?</v>
      </c>
      <c r="AA5210" t="e">
        <f ca="1">-PERFORM workstation Set-up _xludf.and Installation of GeneXpert EQUIPMENT
                                                                                                                                                                                                                                                                system Unit SN:CPH0623F42178</f>
        <v>#NAME?</v>
      </c>
      <c r="AB5210" t="s">
        <v>1293</v>
      </c>
      <c r="AG5210" t="s">
        <v>31482</v>
      </c>
      <c r="AH5210" t="s">
        <v>23377</v>
      </c>
      <c r="AI5210" t="s">
        <v>31483</v>
      </c>
    </row>
    <row r="5211" spans="2:35" ht="270">
      <c r="B5211" s="1">
        <v>45340</v>
      </c>
      <c r="C5211" s="4">
        <v>45337.543749999997</v>
      </c>
      <c r="D5211" t="s">
        <v>6844</v>
      </c>
      <c r="E5211" t="s">
        <v>31484</v>
      </c>
      <c r="F5211">
        <v>12</v>
      </c>
      <c r="G5211" t="s">
        <v>294</v>
      </c>
      <c r="H5211" t="s">
        <v>1473</v>
      </c>
      <c r="I5211" t="s">
        <v>40</v>
      </c>
      <c r="J5211" t="s">
        <v>109</v>
      </c>
      <c r="K5211" t="s">
        <v>42</v>
      </c>
      <c r="L5211" t="s">
        <v>296</v>
      </c>
      <c r="N5211" t="s">
        <v>297</v>
      </c>
      <c r="Q5211">
        <v>27334</v>
      </c>
      <c r="R5211" t="s">
        <v>119</v>
      </c>
      <c r="S5211" t="s">
        <v>6846</v>
      </c>
      <c r="T5211">
        <v>27.4</v>
      </c>
      <c r="U5211" s="2" t="s">
        <v>25300</v>
      </c>
      <c r="W5211" t="s">
        <v>23049</v>
      </c>
      <c r="X5211">
        <v>838261</v>
      </c>
      <c r="Y5211" t="s">
        <v>54</v>
      </c>
      <c r="Z5211" s="2" t="s">
        <v>31485</v>
      </c>
      <c r="AA5211" t="s">
        <v>303</v>
      </c>
      <c r="AB5211" t="s">
        <v>972</v>
      </c>
      <c r="AG5211" t="s">
        <v>31486</v>
      </c>
      <c r="AH5211" t="s">
        <v>9125</v>
      </c>
      <c r="AI5211" t="s">
        <v>31487</v>
      </c>
    </row>
    <row r="5212" spans="2:35" ht="315">
      <c r="B5212" s="1">
        <v>45338</v>
      </c>
      <c r="C5212" s="4">
        <v>45338.579861111109</v>
      </c>
      <c r="D5212" t="s">
        <v>8160</v>
      </c>
      <c r="E5212" t="s">
        <v>15636</v>
      </c>
      <c r="F5212">
        <v>11</v>
      </c>
      <c r="G5212" t="s">
        <v>1205</v>
      </c>
      <c r="H5212" t="s">
        <v>202</v>
      </c>
      <c r="I5212" t="s">
        <v>40</v>
      </c>
      <c r="J5212" t="s">
        <v>109</v>
      </c>
      <c r="K5212" t="s">
        <v>42</v>
      </c>
      <c r="L5212" t="s">
        <v>204</v>
      </c>
      <c r="N5212" t="s">
        <v>205</v>
      </c>
      <c r="Q5212">
        <v>27333</v>
      </c>
      <c r="R5212" t="s">
        <v>119</v>
      </c>
      <c r="S5212" t="s">
        <v>8162</v>
      </c>
      <c r="T5212">
        <v>28.6</v>
      </c>
      <c r="U5212" s="2" t="s">
        <v>31488</v>
      </c>
      <c r="W5212" t="s">
        <v>23237</v>
      </c>
      <c r="X5212">
        <v>838401</v>
      </c>
      <c r="Y5212" t="s">
        <v>1052</v>
      </c>
      <c r="Z5212" s="2" t="s">
        <v>1321</v>
      </c>
      <c r="AA5212" t="s">
        <v>2551</v>
      </c>
      <c r="AB5212" t="s">
        <v>1211</v>
      </c>
      <c r="AG5212" t="s">
        <v>31489</v>
      </c>
      <c r="AH5212" t="s">
        <v>16709</v>
      </c>
      <c r="AI5212" t="s">
        <v>31490</v>
      </c>
    </row>
    <row r="5213" spans="2:35" ht="330">
      <c r="B5213" s="1">
        <v>45338</v>
      </c>
      <c r="C5213" s="4">
        <v>45338.506944444445</v>
      </c>
      <c r="D5213" t="s">
        <v>25184</v>
      </c>
      <c r="E5213" t="s">
        <v>25185</v>
      </c>
      <c r="F5213">
        <v>11</v>
      </c>
      <c r="G5213" t="s">
        <v>1205</v>
      </c>
      <c r="H5213" t="s">
        <v>202</v>
      </c>
      <c r="I5213" t="s">
        <v>40</v>
      </c>
      <c r="J5213" s="2" t="s">
        <v>1006</v>
      </c>
      <c r="K5213" t="s">
        <v>42</v>
      </c>
      <c r="L5213" t="s">
        <v>204</v>
      </c>
      <c r="N5213" t="s">
        <v>205</v>
      </c>
      <c r="O5213" t="s">
        <v>25186</v>
      </c>
      <c r="Q5213">
        <v>27332</v>
      </c>
      <c r="R5213" t="s">
        <v>45</v>
      </c>
      <c r="S5213" t="s">
        <v>31491</v>
      </c>
      <c r="T5213">
        <v>25.8</v>
      </c>
      <c r="U5213" s="2" t="s">
        <v>31492</v>
      </c>
      <c r="W5213" t="s">
        <v>23237</v>
      </c>
      <c r="X5213">
        <v>838865</v>
      </c>
      <c r="Y5213" t="s">
        <v>18449</v>
      </c>
      <c r="Z5213" s="2" t="s">
        <v>31493</v>
      </c>
      <c r="AA5213" t="s">
        <v>1620</v>
      </c>
      <c r="AB5213" t="s">
        <v>31494</v>
      </c>
      <c r="AC5213" t="s">
        <v>31495</v>
      </c>
      <c r="AG5213" t="s">
        <v>31496</v>
      </c>
      <c r="AH5213" t="s">
        <v>30117</v>
      </c>
      <c r="AI5213" t="s">
        <v>31497</v>
      </c>
    </row>
    <row r="5214" spans="2:35" ht="225">
      <c r="B5214" s="1">
        <v>45338</v>
      </c>
      <c r="C5214" s="4">
        <v>45338.697222222225</v>
      </c>
      <c r="D5214" t="s">
        <v>16538</v>
      </c>
      <c r="E5214" t="s">
        <v>16539</v>
      </c>
      <c r="F5214">
        <v>7</v>
      </c>
      <c r="G5214" t="s">
        <v>432</v>
      </c>
      <c r="H5214" t="s">
        <v>608</v>
      </c>
      <c r="I5214" t="s">
        <v>40</v>
      </c>
      <c r="J5214" s="2" t="s">
        <v>190</v>
      </c>
      <c r="K5214" t="s">
        <v>42</v>
      </c>
      <c r="L5214" t="s">
        <v>610</v>
      </c>
      <c r="N5214" t="s">
        <v>611</v>
      </c>
      <c r="Q5214">
        <v>27331</v>
      </c>
      <c r="R5214" t="s">
        <v>119</v>
      </c>
      <c r="S5214" t="s">
        <v>16540</v>
      </c>
      <c r="T5214">
        <v>29</v>
      </c>
      <c r="U5214" s="2" t="s">
        <v>31498</v>
      </c>
      <c r="W5214" t="s">
        <v>360</v>
      </c>
      <c r="X5214">
        <v>838283</v>
      </c>
      <c r="Y5214" t="s">
        <v>31499</v>
      </c>
      <c r="Z5214" s="2" t="s">
        <v>31500</v>
      </c>
      <c r="AA5214" s="2" t="s">
        <v>31500</v>
      </c>
      <c r="AB5214" t="s">
        <v>1263</v>
      </c>
      <c r="AG5214" t="s">
        <v>31501</v>
      </c>
      <c r="AH5214" t="s">
        <v>31502</v>
      </c>
      <c r="AI5214" t="s">
        <v>31503</v>
      </c>
    </row>
    <row r="5215" spans="2:35" ht="270">
      <c r="B5215" s="1">
        <v>45338</v>
      </c>
      <c r="C5215" s="4">
        <v>45338.691666666666</v>
      </c>
      <c r="D5215" t="s">
        <v>30177</v>
      </c>
      <c r="E5215" t="s">
        <v>30178</v>
      </c>
      <c r="F5215">
        <v>7</v>
      </c>
      <c r="G5215" t="s">
        <v>432</v>
      </c>
      <c r="H5215" t="s">
        <v>608</v>
      </c>
      <c r="I5215" t="s">
        <v>94</v>
      </c>
      <c r="J5215" t="s">
        <v>996</v>
      </c>
      <c r="K5215" t="s">
        <v>42</v>
      </c>
      <c r="L5215" t="s">
        <v>610</v>
      </c>
      <c r="N5215" t="s">
        <v>611</v>
      </c>
      <c r="Q5215">
        <v>27330</v>
      </c>
      <c r="R5215" t="s">
        <v>45</v>
      </c>
      <c r="S5215" t="s">
        <v>30179</v>
      </c>
      <c r="T5215">
        <v>24</v>
      </c>
      <c r="U5215" s="2" t="s">
        <v>7532</v>
      </c>
      <c r="W5215" t="s">
        <v>360</v>
      </c>
      <c r="X5215">
        <v>838892</v>
      </c>
      <c r="Y5215" t="s">
        <v>31504</v>
      </c>
      <c r="Z5215" s="2" t="s">
        <v>31505</v>
      </c>
      <c r="AA5215" s="2" t="s">
        <v>31505</v>
      </c>
      <c r="AB5215" s="2" t="s">
        <v>31506</v>
      </c>
      <c r="AG5215" t="s">
        <v>31507</v>
      </c>
      <c r="AH5215" t="s">
        <v>30184</v>
      </c>
      <c r="AI5215" t="s">
        <v>31508</v>
      </c>
    </row>
    <row r="5216" spans="2:35" ht="405">
      <c r="B5216" s="1">
        <v>45338</v>
      </c>
      <c r="C5216" s="4">
        <v>45338.671527777777</v>
      </c>
      <c r="D5216" t="s">
        <v>620</v>
      </c>
      <c r="E5216" t="s">
        <v>24895</v>
      </c>
      <c r="F5216" t="s">
        <v>148</v>
      </c>
      <c r="G5216" t="s">
        <v>447</v>
      </c>
      <c r="H5216" t="s">
        <v>39</v>
      </c>
      <c r="I5216" t="s">
        <v>40</v>
      </c>
      <c r="J5216" t="s">
        <v>583</v>
      </c>
      <c r="K5216" t="s">
        <v>42</v>
      </c>
      <c r="L5216" t="s">
        <v>15532</v>
      </c>
      <c r="N5216" t="s">
        <v>15533</v>
      </c>
      <c r="Q5216">
        <v>27329</v>
      </c>
      <c r="R5216" t="s">
        <v>119</v>
      </c>
      <c r="S5216" t="s">
        <v>24896</v>
      </c>
      <c r="T5216">
        <v>29</v>
      </c>
      <c r="U5216" s="2" t="s">
        <v>31509</v>
      </c>
      <c r="W5216" t="s">
        <v>23974</v>
      </c>
      <c r="X5216">
        <v>831876</v>
      </c>
      <c r="Y5216" t="s">
        <v>31510</v>
      </c>
      <c r="Z5216" s="2" t="s">
        <v>31511</v>
      </c>
      <c r="AA5216" s="2" t="s">
        <v>31512</v>
      </c>
      <c r="AB5216" s="2" t="s">
        <v>15539</v>
      </c>
      <c r="AG5216" t="s">
        <v>31513</v>
      </c>
      <c r="AH5216" t="s">
        <v>31514</v>
      </c>
      <c r="AI5216" t="s">
        <v>31515</v>
      </c>
    </row>
    <row r="5217" spans="2:35" ht="120">
      <c r="B5217" s="1">
        <v>45338</v>
      </c>
      <c r="C5217" s="4">
        <v>45338.543749999997</v>
      </c>
      <c r="D5217" t="s">
        <v>23586</v>
      </c>
      <c r="E5217" t="s">
        <v>31516</v>
      </c>
      <c r="F5217">
        <v>5</v>
      </c>
      <c r="G5217" t="s">
        <v>839</v>
      </c>
      <c r="H5217" t="s">
        <v>39</v>
      </c>
      <c r="I5217" t="s">
        <v>40</v>
      </c>
      <c r="J5217" t="s">
        <v>321</v>
      </c>
      <c r="K5217" t="s">
        <v>42</v>
      </c>
      <c r="L5217" t="s">
        <v>761</v>
      </c>
      <c r="N5217" t="s">
        <v>762</v>
      </c>
      <c r="Q5217">
        <v>27328</v>
      </c>
      <c r="R5217" t="s">
        <v>45</v>
      </c>
      <c r="S5217" t="s">
        <v>22523</v>
      </c>
      <c r="T5217">
        <v>28</v>
      </c>
      <c r="W5217" t="s">
        <v>817</v>
      </c>
      <c r="X5217">
        <v>110019624</v>
      </c>
      <c r="Y5217" t="s">
        <v>31517</v>
      </c>
      <c r="Z5217" s="2" t="s">
        <v>31518</v>
      </c>
      <c r="AA5217" t="s">
        <v>31330</v>
      </c>
      <c r="AB5217" t="s">
        <v>70</v>
      </c>
      <c r="AG5217" t="s">
        <v>31519</v>
      </c>
      <c r="AH5217" t="s">
        <v>31520</v>
      </c>
      <c r="AI5217" t="s">
        <v>31521</v>
      </c>
    </row>
    <row r="5218" spans="2:35" ht="120">
      <c r="B5218" s="1">
        <v>45338</v>
      </c>
      <c r="C5218" s="4">
        <v>45338.538888888892</v>
      </c>
      <c r="D5218" t="s">
        <v>23586</v>
      </c>
      <c r="E5218" t="s">
        <v>23587</v>
      </c>
      <c r="F5218">
        <v>5</v>
      </c>
      <c r="G5218" t="s">
        <v>5795</v>
      </c>
      <c r="H5218" t="s">
        <v>39</v>
      </c>
      <c r="I5218" t="s">
        <v>40</v>
      </c>
      <c r="J5218" t="s">
        <v>109</v>
      </c>
      <c r="K5218" t="s">
        <v>42</v>
      </c>
      <c r="L5218" t="s">
        <v>761</v>
      </c>
      <c r="N5218" t="s">
        <v>762</v>
      </c>
      <c r="Q5218">
        <v>27327</v>
      </c>
      <c r="R5218" t="s">
        <v>45</v>
      </c>
      <c r="S5218" t="s">
        <v>22523</v>
      </c>
      <c r="T5218">
        <v>28</v>
      </c>
      <c r="U5218" s="2" t="s">
        <v>23588</v>
      </c>
      <c r="W5218" t="s">
        <v>765</v>
      </c>
      <c r="X5218">
        <v>807601</v>
      </c>
      <c r="Y5218" t="s">
        <v>1052</v>
      </c>
      <c r="Z5218" s="2" t="s">
        <v>31522</v>
      </c>
      <c r="AA5218" t="s">
        <v>820</v>
      </c>
      <c r="AB5218" t="s">
        <v>181</v>
      </c>
      <c r="AG5218" t="s">
        <v>23592</v>
      </c>
      <c r="AH5218" t="s">
        <v>23593</v>
      </c>
      <c r="AI5218" t="s">
        <v>23594</v>
      </c>
    </row>
    <row r="5219" spans="2:35" ht="409.5">
      <c r="B5219" s="1">
        <v>45338</v>
      </c>
      <c r="C5219" s="4">
        <v>45338.625694444447</v>
      </c>
      <c r="D5219" t="s">
        <v>3423</v>
      </c>
      <c r="E5219" t="s">
        <v>12017</v>
      </c>
      <c r="F5219">
        <v>7</v>
      </c>
      <c r="G5219" t="s">
        <v>432</v>
      </c>
      <c r="H5219" t="s">
        <v>10969</v>
      </c>
      <c r="I5219" t="s">
        <v>40</v>
      </c>
      <c r="J5219" s="2" t="s">
        <v>41</v>
      </c>
      <c r="K5219" t="s">
        <v>42</v>
      </c>
      <c r="L5219" t="s">
        <v>1288</v>
      </c>
      <c r="N5219" t="s">
        <v>1289</v>
      </c>
      <c r="Q5219">
        <v>27326</v>
      </c>
      <c r="R5219" t="s">
        <v>95</v>
      </c>
      <c r="S5219" t="s">
        <v>4886</v>
      </c>
      <c r="T5219">
        <v>23</v>
      </c>
      <c r="U5219" s="2" t="s">
        <v>31523</v>
      </c>
      <c r="W5219" t="s">
        <v>1292</v>
      </c>
      <c r="X5219">
        <v>110008524</v>
      </c>
      <c r="Y5219" t="s">
        <v>31524</v>
      </c>
      <c r="Z5219" t="e">
        <f ca="1">-COLLECT IQR, system _xludf.Log, _xludf.and ARCHIVE</f>
        <v>#NAME?</v>
      </c>
      <c r="AA5219" t="e">
        <f ca="1">-PERFORM self test _xludf.and Troubleshooting
-PERFORM software _xludf.restart
-PERFORM Preventive Maintenance</f>
        <v>#NAME?</v>
      </c>
      <c r="AB5219" t="s">
        <v>1293</v>
      </c>
      <c r="AG5219" t="s">
        <v>31525</v>
      </c>
      <c r="AH5219" t="s">
        <v>31526</v>
      </c>
      <c r="AI5219" t="s">
        <v>31527</v>
      </c>
    </row>
    <row r="5220" spans="2:35" ht="409.5">
      <c r="B5220" s="1">
        <v>45338</v>
      </c>
      <c r="C5220" s="4">
        <v>45338.523611111108</v>
      </c>
      <c r="D5220" t="s">
        <v>31528</v>
      </c>
      <c r="E5220" t="s">
        <v>31529</v>
      </c>
      <c r="F5220" t="s">
        <v>148</v>
      </c>
      <c r="G5220" t="s">
        <v>447</v>
      </c>
      <c r="H5220" t="s">
        <v>39</v>
      </c>
      <c r="I5220" t="s">
        <v>40</v>
      </c>
      <c r="J5220" s="2" t="s">
        <v>62</v>
      </c>
      <c r="K5220" t="s">
        <v>42</v>
      </c>
      <c r="L5220" t="s">
        <v>15532</v>
      </c>
      <c r="N5220" t="s">
        <v>15533</v>
      </c>
      <c r="Q5220">
        <v>27325</v>
      </c>
      <c r="R5220" t="s">
        <v>45</v>
      </c>
      <c r="S5220" t="s">
        <v>31530</v>
      </c>
      <c r="T5220">
        <v>28</v>
      </c>
      <c r="U5220" s="2" t="s">
        <v>31531</v>
      </c>
      <c r="V5220" s="1">
        <v>45320</v>
      </c>
      <c r="W5220" t="s">
        <v>15535</v>
      </c>
      <c r="X5220">
        <v>805254</v>
      </c>
      <c r="Y5220" t="s">
        <v>21527</v>
      </c>
      <c r="Z5220" s="2" t="s">
        <v>31532</v>
      </c>
      <c r="AA5220" t="s">
        <v>999</v>
      </c>
      <c r="AB5220" s="2" t="s">
        <v>31533</v>
      </c>
      <c r="AC5220" t="s">
        <v>31534</v>
      </c>
      <c r="AD5220" t="s">
        <v>7189</v>
      </c>
      <c r="AE5220" t="s">
        <v>31535</v>
      </c>
      <c r="AG5220" t="s">
        <v>31536</v>
      </c>
      <c r="AH5220" t="s">
        <v>31537</v>
      </c>
      <c r="AI5220" t="s">
        <v>31538</v>
      </c>
    </row>
    <row r="5221" spans="2:35" ht="300">
      <c r="B5221" s="1">
        <v>45338</v>
      </c>
      <c r="C5221" s="4">
        <v>45338.380555555559</v>
      </c>
      <c r="D5221" t="s">
        <v>31539</v>
      </c>
      <c r="E5221" t="s">
        <v>31540</v>
      </c>
      <c r="F5221" t="s">
        <v>148</v>
      </c>
      <c r="G5221" t="s">
        <v>447</v>
      </c>
      <c r="H5221" t="s">
        <v>39</v>
      </c>
      <c r="I5221" t="s">
        <v>40</v>
      </c>
      <c r="J5221" s="2" t="s">
        <v>62</v>
      </c>
      <c r="K5221" t="s">
        <v>42</v>
      </c>
      <c r="L5221" t="s">
        <v>15532</v>
      </c>
      <c r="N5221" t="s">
        <v>15533</v>
      </c>
      <c r="Q5221">
        <v>27324</v>
      </c>
      <c r="R5221" t="s">
        <v>45</v>
      </c>
      <c r="S5221" t="s">
        <v>31541</v>
      </c>
      <c r="T5221">
        <v>25</v>
      </c>
      <c r="U5221" s="2" t="s">
        <v>31542</v>
      </c>
      <c r="V5221" s="1">
        <v>45317</v>
      </c>
      <c r="W5221" t="s">
        <v>15535</v>
      </c>
      <c r="X5221">
        <v>838876</v>
      </c>
      <c r="Y5221" t="s">
        <v>21527</v>
      </c>
      <c r="Z5221" s="2" t="s">
        <v>31543</v>
      </c>
      <c r="AA5221" t="s">
        <v>999</v>
      </c>
      <c r="AB5221" s="2" t="s">
        <v>17371</v>
      </c>
      <c r="AD5221" t="s">
        <v>20036</v>
      </c>
      <c r="AE5221" t="s">
        <v>31544</v>
      </c>
      <c r="AG5221" t="s">
        <v>31545</v>
      </c>
      <c r="AH5221" t="s">
        <v>31546</v>
      </c>
      <c r="AI5221" t="s">
        <v>31547</v>
      </c>
    </row>
    <row r="5222" spans="2:35" ht="60">
      <c r="B5222" s="1">
        <v>45338</v>
      </c>
      <c r="C5222" s="4">
        <v>45338.37222222222</v>
      </c>
      <c r="D5222" t="s">
        <v>31548</v>
      </c>
      <c r="E5222" t="s">
        <v>18404</v>
      </c>
      <c r="F5222">
        <v>7</v>
      </c>
      <c r="G5222" t="s">
        <v>6529</v>
      </c>
      <c r="H5222" t="s">
        <v>39</v>
      </c>
      <c r="I5222" t="s">
        <v>40</v>
      </c>
      <c r="J5222" s="2" t="s">
        <v>28840</v>
      </c>
      <c r="K5222" t="s">
        <v>42</v>
      </c>
      <c r="L5222" t="s">
        <v>433</v>
      </c>
      <c r="N5222" t="s">
        <v>434</v>
      </c>
      <c r="Q5222">
        <v>27323</v>
      </c>
      <c r="R5222" t="s">
        <v>119</v>
      </c>
      <c r="S5222" t="s">
        <v>27886</v>
      </c>
      <c r="T5222">
        <v>28</v>
      </c>
      <c r="W5222" t="s">
        <v>1008</v>
      </c>
      <c r="X5222">
        <v>820228</v>
      </c>
      <c r="Y5222" t="s">
        <v>31549</v>
      </c>
      <c r="Z5222" t="s">
        <v>31550</v>
      </c>
      <c r="AA5222" t="s">
        <v>31550</v>
      </c>
      <c r="AB5222" t="s">
        <v>1011</v>
      </c>
      <c r="AG5222" t="s">
        <v>31551</v>
      </c>
      <c r="AH5222" t="s">
        <v>27890</v>
      </c>
      <c r="AI5222" t="s">
        <v>31552</v>
      </c>
    </row>
    <row r="5223" spans="2:35" ht="60">
      <c r="B5223" s="1">
        <v>45337</v>
      </c>
      <c r="C5223" s="4">
        <v>45337.484722222223</v>
      </c>
      <c r="D5223" t="s">
        <v>1117</v>
      </c>
      <c r="E5223" t="s">
        <v>31553</v>
      </c>
      <c r="F5223">
        <v>7</v>
      </c>
      <c r="G5223" t="s">
        <v>6529</v>
      </c>
      <c r="H5223" t="s">
        <v>39</v>
      </c>
      <c r="I5223" t="s">
        <v>40</v>
      </c>
      <c r="J5223" s="2" t="s">
        <v>760</v>
      </c>
      <c r="K5223" t="s">
        <v>42</v>
      </c>
      <c r="L5223" t="s">
        <v>433</v>
      </c>
      <c r="N5223" t="s">
        <v>434</v>
      </c>
      <c r="Q5223">
        <v>27322</v>
      </c>
      <c r="R5223" t="s">
        <v>45</v>
      </c>
      <c r="S5223" t="s">
        <v>31554</v>
      </c>
      <c r="T5223">
        <v>29</v>
      </c>
      <c r="W5223" t="s">
        <v>1008</v>
      </c>
      <c r="X5223">
        <v>807603</v>
      </c>
      <c r="Y5223" t="s">
        <v>31555</v>
      </c>
      <c r="Z5223" t="s">
        <v>31556</v>
      </c>
      <c r="AA5223" t="s">
        <v>31556</v>
      </c>
      <c r="AB5223" t="s">
        <v>1011</v>
      </c>
      <c r="AG5223" t="s">
        <v>31557</v>
      </c>
      <c r="AH5223" t="s">
        <v>31558</v>
      </c>
      <c r="AI5223" t="s">
        <v>31559</v>
      </c>
    </row>
    <row r="5224" spans="2:35" ht="240">
      <c r="B5224" s="1">
        <v>45337</v>
      </c>
      <c r="C5224" s="4">
        <v>45337.613194444442</v>
      </c>
      <c r="D5224" t="s">
        <v>31560</v>
      </c>
      <c r="E5224" t="s">
        <v>661</v>
      </c>
      <c r="F5224" t="s">
        <v>148</v>
      </c>
      <c r="G5224" t="s">
        <v>447</v>
      </c>
      <c r="H5224" t="s">
        <v>662</v>
      </c>
      <c r="I5224" t="s">
        <v>40</v>
      </c>
      <c r="J5224" s="2" t="s">
        <v>62</v>
      </c>
      <c r="K5224" t="s">
        <v>42</v>
      </c>
      <c r="L5224" t="s">
        <v>448</v>
      </c>
      <c r="N5224" t="s">
        <v>650</v>
      </c>
      <c r="Q5224">
        <v>27321</v>
      </c>
      <c r="R5224" t="s">
        <v>45</v>
      </c>
      <c r="S5224" t="s">
        <v>3987</v>
      </c>
      <c r="T5224">
        <v>26</v>
      </c>
      <c r="U5224" s="2" t="s">
        <v>31561</v>
      </c>
      <c r="V5224" s="1">
        <v>45337</v>
      </c>
      <c r="W5224" t="s">
        <v>6121</v>
      </c>
      <c r="X5224">
        <v>803109</v>
      </c>
      <c r="Y5224" t="s">
        <v>873</v>
      </c>
      <c r="Z5224" s="2" t="s">
        <v>31562</v>
      </c>
      <c r="AA5224" t="s">
        <v>24030</v>
      </c>
      <c r="AB5224" t="s">
        <v>31563</v>
      </c>
      <c r="AD5224" t="s">
        <v>11518</v>
      </c>
      <c r="AE5224" t="s">
        <v>449</v>
      </c>
      <c r="AG5224" t="s">
        <v>31564</v>
      </c>
      <c r="AH5224" t="s">
        <v>3991</v>
      </c>
      <c r="AI5224" t="s">
        <v>31565</v>
      </c>
    </row>
    <row r="5225" spans="2:35" ht="345">
      <c r="B5225" s="1">
        <v>45337</v>
      </c>
      <c r="C5225" s="4">
        <v>45337.59652777778</v>
      </c>
      <c r="D5225" t="s">
        <v>5903</v>
      </c>
      <c r="E5225" t="s">
        <v>2569</v>
      </c>
      <c r="F5225" t="s">
        <v>148</v>
      </c>
      <c r="G5225" t="s">
        <v>447</v>
      </c>
      <c r="H5225" t="s">
        <v>662</v>
      </c>
      <c r="I5225" t="s">
        <v>40</v>
      </c>
      <c r="J5225" t="s">
        <v>525</v>
      </c>
      <c r="K5225" t="s">
        <v>42</v>
      </c>
      <c r="L5225" t="s">
        <v>448</v>
      </c>
      <c r="N5225" t="s">
        <v>650</v>
      </c>
      <c r="Q5225">
        <v>27320</v>
      </c>
      <c r="R5225" t="s">
        <v>322</v>
      </c>
      <c r="S5225" t="s">
        <v>3987</v>
      </c>
      <c r="T5225">
        <v>26</v>
      </c>
      <c r="U5225" s="2" t="s">
        <v>31566</v>
      </c>
      <c r="W5225" t="s">
        <v>31567</v>
      </c>
      <c r="X5225">
        <v>110014171</v>
      </c>
      <c r="Y5225" t="s">
        <v>31568</v>
      </c>
      <c r="Z5225" s="2" t="s">
        <v>2011</v>
      </c>
      <c r="AA5225" t="s">
        <v>31569</v>
      </c>
      <c r="AB5225" t="s">
        <v>486</v>
      </c>
      <c r="AG5225" t="s">
        <v>31570</v>
      </c>
      <c r="AH5225" t="s">
        <v>3991</v>
      </c>
      <c r="AI5225" t="s">
        <v>31571</v>
      </c>
    </row>
    <row r="5226" spans="2:35" ht="409.5">
      <c r="B5226" s="1">
        <v>45337</v>
      </c>
      <c r="C5226" s="4">
        <v>45337.481249999997</v>
      </c>
      <c r="D5226" t="s">
        <v>25150</v>
      </c>
      <c r="E5226" t="s">
        <v>31572</v>
      </c>
      <c r="F5226" t="s">
        <v>148</v>
      </c>
      <c r="G5226" t="s">
        <v>406</v>
      </c>
      <c r="H5226" t="s">
        <v>2570</v>
      </c>
      <c r="I5226" t="s">
        <v>94</v>
      </c>
      <c r="J5226" t="s">
        <v>109</v>
      </c>
      <c r="K5226" t="s">
        <v>42</v>
      </c>
      <c r="L5226" t="s">
        <v>448</v>
      </c>
      <c r="N5226" t="s">
        <v>650</v>
      </c>
      <c r="O5226" t="s">
        <v>1091</v>
      </c>
      <c r="Q5226">
        <v>27319</v>
      </c>
      <c r="R5226" t="s">
        <v>95</v>
      </c>
      <c r="S5226" t="s">
        <v>5690</v>
      </c>
      <c r="T5226">
        <v>28</v>
      </c>
      <c r="U5226" s="2" t="s">
        <v>31573</v>
      </c>
      <c r="W5226" t="s">
        <v>31574</v>
      </c>
      <c r="X5226">
        <v>839231</v>
      </c>
      <c r="Y5226" t="s">
        <v>31575</v>
      </c>
      <c r="Z5226" s="2" t="s">
        <v>2011</v>
      </c>
      <c r="AA5226" t="s">
        <v>6997</v>
      </c>
      <c r="AB5226" s="2" t="s">
        <v>31576</v>
      </c>
      <c r="AG5226" t="s">
        <v>31577</v>
      </c>
      <c r="AH5226" t="s">
        <v>31578</v>
      </c>
      <c r="AI5226" t="s">
        <v>31579</v>
      </c>
    </row>
    <row r="5227" spans="2:35" ht="255">
      <c r="B5227" s="1">
        <v>45337</v>
      </c>
      <c r="C5227" s="4">
        <v>45336.576388888891</v>
      </c>
      <c r="D5227" t="s">
        <v>31580</v>
      </c>
      <c r="E5227" t="s">
        <v>14983</v>
      </c>
      <c r="F5227" t="s">
        <v>148</v>
      </c>
      <c r="G5227" t="s">
        <v>447</v>
      </c>
      <c r="H5227" t="s">
        <v>2581</v>
      </c>
      <c r="I5227" t="s">
        <v>40</v>
      </c>
      <c r="J5227" t="s">
        <v>79</v>
      </c>
      <c r="K5227" t="s">
        <v>42</v>
      </c>
      <c r="L5227" t="s">
        <v>448</v>
      </c>
      <c r="N5227" t="s">
        <v>650</v>
      </c>
      <c r="Q5227">
        <v>27318</v>
      </c>
      <c r="R5227" t="s">
        <v>45</v>
      </c>
      <c r="S5227" t="s">
        <v>31581</v>
      </c>
      <c r="T5227">
        <v>22</v>
      </c>
      <c r="U5227" s="2" t="s">
        <v>17081</v>
      </c>
      <c r="V5227" s="1">
        <v>45335</v>
      </c>
      <c r="W5227" t="s">
        <v>31582</v>
      </c>
      <c r="X5227">
        <v>707450</v>
      </c>
      <c r="Y5227" t="s">
        <v>31583</v>
      </c>
      <c r="Z5227" s="2" t="s">
        <v>2585</v>
      </c>
      <c r="AA5227" t="s">
        <v>5712</v>
      </c>
      <c r="AB5227" t="s">
        <v>486</v>
      </c>
      <c r="AD5227" t="s">
        <v>10253</v>
      </c>
      <c r="AE5227" t="s">
        <v>31584</v>
      </c>
      <c r="AG5227" t="s">
        <v>31585</v>
      </c>
      <c r="AH5227" t="s">
        <v>31586</v>
      </c>
      <c r="AI5227" t="s">
        <v>31587</v>
      </c>
    </row>
    <row r="5228" spans="2:35" ht="409.5">
      <c r="B5228" s="1">
        <v>45337</v>
      </c>
      <c r="C5228" s="4">
        <v>45337.493055555555</v>
      </c>
      <c r="D5228" t="s">
        <v>25150</v>
      </c>
      <c r="E5228" t="s">
        <v>31588</v>
      </c>
      <c r="F5228" t="s">
        <v>148</v>
      </c>
      <c r="G5228" t="s">
        <v>406</v>
      </c>
      <c r="H5228" t="s">
        <v>2570</v>
      </c>
      <c r="I5228" t="s">
        <v>94</v>
      </c>
      <c r="J5228" t="s">
        <v>525</v>
      </c>
      <c r="K5228" t="s">
        <v>42</v>
      </c>
      <c r="L5228" t="s">
        <v>448</v>
      </c>
      <c r="N5228" t="s">
        <v>650</v>
      </c>
      <c r="O5228" t="s">
        <v>1091</v>
      </c>
      <c r="Q5228">
        <v>27317</v>
      </c>
      <c r="R5228" t="s">
        <v>95</v>
      </c>
      <c r="S5228" t="s">
        <v>5690</v>
      </c>
      <c r="T5228">
        <v>28</v>
      </c>
      <c r="U5228" s="2" t="s">
        <v>31573</v>
      </c>
      <c r="W5228" t="s">
        <v>6128</v>
      </c>
      <c r="X5228">
        <v>808411</v>
      </c>
      <c r="Y5228" t="s">
        <v>31589</v>
      </c>
      <c r="Z5228" s="2" t="s">
        <v>2011</v>
      </c>
      <c r="AA5228" t="s">
        <v>4487</v>
      </c>
      <c r="AB5228" s="2" t="s">
        <v>31590</v>
      </c>
      <c r="AG5228" t="s">
        <v>31591</v>
      </c>
      <c r="AH5228" t="s">
        <v>22023</v>
      </c>
      <c r="AI5228" t="s">
        <v>31592</v>
      </c>
    </row>
    <row r="5229" spans="2:35" ht="225">
      <c r="B5229" s="1">
        <v>45337</v>
      </c>
      <c r="C5229" s="4">
        <v>45337.694444444445</v>
      </c>
      <c r="D5229" t="s">
        <v>24116</v>
      </c>
      <c r="E5229" t="s">
        <v>31593</v>
      </c>
      <c r="F5229" t="s">
        <v>148</v>
      </c>
      <c r="G5229" t="s">
        <v>310</v>
      </c>
      <c r="H5229" t="s">
        <v>39</v>
      </c>
      <c r="I5229" t="s">
        <v>40</v>
      </c>
      <c r="J5229" s="2" t="s">
        <v>1808</v>
      </c>
      <c r="K5229" t="s">
        <v>42</v>
      </c>
      <c r="L5229" t="s">
        <v>15532</v>
      </c>
      <c r="N5229" t="s">
        <v>15533</v>
      </c>
      <c r="Q5229">
        <v>27316</v>
      </c>
      <c r="R5229" t="s">
        <v>45</v>
      </c>
      <c r="S5229" t="s">
        <v>24119</v>
      </c>
      <c r="T5229">
        <v>28</v>
      </c>
      <c r="W5229" t="s">
        <v>23974</v>
      </c>
      <c r="X5229">
        <v>804702</v>
      </c>
      <c r="Y5229" s="2" t="s">
        <v>31594</v>
      </c>
      <c r="Z5229" s="2" t="s">
        <v>31595</v>
      </c>
      <c r="AA5229" t="s">
        <v>31596</v>
      </c>
      <c r="AB5229" s="2" t="s">
        <v>15539</v>
      </c>
      <c r="AG5229" t="s">
        <v>31597</v>
      </c>
      <c r="AH5229" t="s">
        <v>31598</v>
      </c>
      <c r="AI5229" t="s">
        <v>31599</v>
      </c>
    </row>
    <row r="5230" spans="2:35" ht="270">
      <c r="B5230" s="1">
        <v>45337</v>
      </c>
      <c r="C5230" s="4">
        <v>45337.638888888891</v>
      </c>
      <c r="D5230" t="s">
        <v>31600</v>
      </c>
      <c r="E5230" t="s">
        <v>31601</v>
      </c>
      <c r="F5230">
        <v>3</v>
      </c>
      <c r="G5230" t="s">
        <v>1640</v>
      </c>
      <c r="H5230" t="s">
        <v>39</v>
      </c>
      <c r="I5230" t="s">
        <v>40</v>
      </c>
      <c r="J5230" s="2" t="s">
        <v>190</v>
      </c>
      <c r="K5230" t="s">
        <v>42</v>
      </c>
      <c r="L5230" t="s">
        <v>63</v>
      </c>
      <c r="N5230" t="s">
        <v>64</v>
      </c>
      <c r="Q5230">
        <v>27315</v>
      </c>
      <c r="R5230" t="s">
        <v>45</v>
      </c>
      <c r="S5230" t="s">
        <v>31602</v>
      </c>
      <c r="T5230">
        <v>27</v>
      </c>
      <c r="U5230" s="2" t="s">
        <v>31603</v>
      </c>
      <c r="V5230" s="1">
        <v>45337</v>
      </c>
      <c r="W5230" t="s">
        <v>26915</v>
      </c>
      <c r="X5230">
        <v>807565</v>
      </c>
      <c r="Y5230" t="s">
        <v>29921</v>
      </c>
      <c r="Z5230" t="s">
        <v>31604</v>
      </c>
      <c r="AA5230" s="2" t="s">
        <v>31605</v>
      </c>
      <c r="AB5230" t="s">
        <v>70</v>
      </c>
      <c r="AC5230" t="s">
        <v>31606</v>
      </c>
      <c r="AD5230" t="s">
        <v>1716</v>
      </c>
      <c r="AE5230" t="s">
        <v>1716</v>
      </c>
      <c r="AG5230" t="s">
        <v>31607</v>
      </c>
      <c r="AH5230" t="s">
        <v>31608</v>
      </c>
      <c r="AI5230" t="s">
        <v>31609</v>
      </c>
    </row>
    <row r="5231" spans="2:35" ht="360">
      <c r="B5231" s="1">
        <v>45337</v>
      </c>
      <c r="C5231" s="4">
        <v>45337.493055555555</v>
      </c>
      <c r="D5231" t="s">
        <v>7600</v>
      </c>
      <c r="E5231" t="s">
        <v>8661</v>
      </c>
      <c r="F5231">
        <v>11</v>
      </c>
      <c r="G5231" t="s">
        <v>1205</v>
      </c>
      <c r="H5231" t="s">
        <v>202</v>
      </c>
      <c r="I5231" t="s">
        <v>40</v>
      </c>
      <c r="J5231" s="2" t="s">
        <v>62</v>
      </c>
      <c r="K5231" t="s">
        <v>42</v>
      </c>
      <c r="L5231" t="s">
        <v>204</v>
      </c>
      <c r="N5231" t="s">
        <v>205</v>
      </c>
      <c r="Q5231">
        <v>27314</v>
      </c>
      <c r="R5231" t="s">
        <v>119</v>
      </c>
      <c r="S5231" t="s">
        <v>6520</v>
      </c>
      <c r="T5231">
        <v>27.9</v>
      </c>
      <c r="U5231" s="2" t="s">
        <v>11409</v>
      </c>
      <c r="W5231" t="s">
        <v>24154</v>
      </c>
      <c r="X5231">
        <v>838505</v>
      </c>
      <c r="Y5231" t="s">
        <v>1618</v>
      </c>
      <c r="Z5231" s="2" t="s">
        <v>31610</v>
      </c>
      <c r="AA5231" t="s">
        <v>1620</v>
      </c>
      <c r="AB5231" t="s">
        <v>31611</v>
      </c>
      <c r="AC5231" t="s">
        <v>31612</v>
      </c>
      <c r="AG5231" t="s">
        <v>31613</v>
      </c>
      <c r="AH5231" t="s">
        <v>20789</v>
      </c>
      <c r="AI5231" t="s">
        <v>31614</v>
      </c>
    </row>
    <row r="5232" spans="2:35" ht="375">
      <c r="B5232" s="1">
        <v>45337</v>
      </c>
      <c r="C5232" s="4">
        <v>45337.595138888886</v>
      </c>
      <c r="D5232" t="s">
        <v>31600</v>
      </c>
      <c r="E5232" t="s">
        <v>31601</v>
      </c>
      <c r="F5232">
        <v>3</v>
      </c>
      <c r="G5232" t="s">
        <v>1640</v>
      </c>
      <c r="H5232" t="s">
        <v>39</v>
      </c>
      <c r="I5232" t="s">
        <v>40</v>
      </c>
      <c r="J5232" s="2" t="s">
        <v>1808</v>
      </c>
      <c r="K5232" t="s">
        <v>42</v>
      </c>
      <c r="L5232" t="s">
        <v>63</v>
      </c>
      <c r="N5232" t="s">
        <v>64</v>
      </c>
      <c r="Q5232">
        <v>27313</v>
      </c>
      <c r="R5232" t="s">
        <v>45</v>
      </c>
      <c r="S5232" t="s">
        <v>31602</v>
      </c>
      <c r="T5232">
        <v>27</v>
      </c>
      <c r="V5232" s="1">
        <v>45337</v>
      </c>
      <c r="W5232" t="s">
        <v>373</v>
      </c>
      <c r="X5232">
        <v>110020362</v>
      </c>
      <c r="Y5232" t="s">
        <v>1716</v>
      </c>
      <c r="Z5232" t="s">
        <v>1716</v>
      </c>
      <c r="AA5232" s="2" t="s">
        <v>31615</v>
      </c>
      <c r="AB5232" t="s">
        <v>70</v>
      </c>
      <c r="AC5232" t="s">
        <v>1716</v>
      </c>
      <c r="AD5232" t="s">
        <v>1716</v>
      </c>
      <c r="AE5232" t="s">
        <v>1716</v>
      </c>
      <c r="AG5232" t="s">
        <v>31616</v>
      </c>
      <c r="AH5232" t="s">
        <v>31617</v>
      </c>
      <c r="AI5232" t="s">
        <v>31618</v>
      </c>
    </row>
    <row r="5233" spans="2:35" ht="270">
      <c r="B5233" s="1">
        <v>45337</v>
      </c>
      <c r="C5233" s="4">
        <v>45337.554166666669</v>
      </c>
      <c r="D5233" t="s">
        <v>29395</v>
      </c>
      <c r="E5233" t="s">
        <v>29396</v>
      </c>
      <c r="F5233">
        <v>3</v>
      </c>
      <c r="G5233" t="s">
        <v>174</v>
      </c>
      <c r="H5233" t="s">
        <v>39</v>
      </c>
      <c r="I5233" t="s">
        <v>40</v>
      </c>
      <c r="J5233" s="2" t="s">
        <v>62</v>
      </c>
      <c r="K5233" t="s">
        <v>42</v>
      </c>
      <c r="L5233" t="s">
        <v>175</v>
      </c>
      <c r="N5233" t="s">
        <v>176</v>
      </c>
      <c r="Q5233">
        <v>27312</v>
      </c>
      <c r="R5233" t="s">
        <v>719</v>
      </c>
      <c r="S5233" t="s">
        <v>31619</v>
      </c>
      <c r="T5233">
        <v>25</v>
      </c>
      <c r="U5233" s="2" t="s">
        <v>28652</v>
      </c>
      <c r="V5233" s="1">
        <v>45337</v>
      </c>
      <c r="W5233" t="s">
        <v>84</v>
      </c>
      <c r="X5233">
        <v>846041</v>
      </c>
      <c r="Y5233" t="s">
        <v>998</v>
      </c>
      <c r="Z5233" t="s">
        <v>999</v>
      </c>
      <c r="AA5233" t="e">
        <f ca="1">- checked _xludf.and cleaned cartridge bay, plunger rod, _xludf.filter, icore slot
- performed XpertCheck
- generated reports</f>
        <v>#NAME?</v>
      </c>
      <c r="AB5233" s="2" t="s">
        <v>31620</v>
      </c>
      <c r="AD5233" t="s">
        <v>7189</v>
      </c>
      <c r="AE5233" t="s">
        <v>103</v>
      </c>
      <c r="AG5233" t="s">
        <v>31621</v>
      </c>
      <c r="AH5233" t="s">
        <v>29400</v>
      </c>
      <c r="AI5233" t="s">
        <v>31622</v>
      </c>
    </row>
    <row r="5234" spans="2:35" ht="135">
      <c r="B5234" s="1">
        <v>45337</v>
      </c>
      <c r="C5234" s="4">
        <v>45337.552777777775</v>
      </c>
      <c r="D5234" t="s">
        <v>31623</v>
      </c>
      <c r="E5234" t="s">
        <v>31624</v>
      </c>
      <c r="F5234">
        <v>5</v>
      </c>
      <c r="G5234" t="s">
        <v>5795</v>
      </c>
      <c r="H5234" t="s">
        <v>39</v>
      </c>
      <c r="I5234" t="s">
        <v>40</v>
      </c>
      <c r="J5234" t="s">
        <v>321</v>
      </c>
      <c r="K5234" t="s">
        <v>42</v>
      </c>
      <c r="L5234" t="s">
        <v>761</v>
      </c>
      <c r="N5234" t="s">
        <v>762</v>
      </c>
      <c r="Q5234">
        <v>27311</v>
      </c>
      <c r="R5234" t="s">
        <v>45</v>
      </c>
      <c r="S5234" t="s">
        <v>31625</v>
      </c>
      <c r="T5234">
        <v>25</v>
      </c>
      <c r="W5234" t="s">
        <v>817</v>
      </c>
      <c r="X5234">
        <v>110019621</v>
      </c>
      <c r="Y5234" t="s">
        <v>31626</v>
      </c>
      <c r="Z5234" s="2" t="s">
        <v>31627</v>
      </c>
      <c r="AA5234" t="s">
        <v>31628</v>
      </c>
      <c r="AB5234" t="s">
        <v>70</v>
      </c>
      <c r="AG5234" t="s">
        <v>31629</v>
      </c>
      <c r="AH5234" t="s">
        <v>31630</v>
      </c>
      <c r="AI5234" t="s">
        <v>31631</v>
      </c>
    </row>
    <row r="5235" spans="2:35" ht="210">
      <c r="B5235" s="1">
        <v>45337</v>
      </c>
      <c r="C5235" s="4">
        <v>45337.55</v>
      </c>
      <c r="D5235" t="s">
        <v>31623</v>
      </c>
      <c r="E5235" t="s">
        <v>31632</v>
      </c>
      <c r="F5235">
        <v>5</v>
      </c>
      <c r="G5235" t="s">
        <v>5795</v>
      </c>
      <c r="H5235" t="s">
        <v>39</v>
      </c>
      <c r="I5235" t="s">
        <v>40</v>
      </c>
      <c r="J5235" t="s">
        <v>109</v>
      </c>
      <c r="K5235" t="s">
        <v>42</v>
      </c>
      <c r="L5235" t="s">
        <v>761</v>
      </c>
      <c r="N5235" t="s">
        <v>762</v>
      </c>
      <c r="Q5235">
        <v>27310</v>
      </c>
      <c r="R5235" t="s">
        <v>45</v>
      </c>
      <c r="S5235" t="s">
        <v>31625</v>
      </c>
      <c r="T5235">
        <v>28</v>
      </c>
      <c r="U5235" s="2" t="s">
        <v>31633</v>
      </c>
      <c r="W5235" t="s">
        <v>765</v>
      </c>
      <c r="X5235">
        <v>807600</v>
      </c>
      <c r="Y5235" s="2" t="s">
        <v>31634</v>
      </c>
      <c r="Z5235" s="2" t="s">
        <v>31635</v>
      </c>
      <c r="AA5235" s="2" t="s">
        <v>31636</v>
      </c>
      <c r="AB5235" t="s">
        <v>70</v>
      </c>
      <c r="AG5235" t="s">
        <v>31637</v>
      </c>
      <c r="AH5235" t="s">
        <v>31630</v>
      </c>
      <c r="AI5235" t="s">
        <v>31638</v>
      </c>
    </row>
    <row r="5236" spans="2:35" ht="405">
      <c r="B5236" s="1">
        <v>45337</v>
      </c>
      <c r="C5236" s="4">
        <v>45337.474305555559</v>
      </c>
      <c r="D5236" t="s">
        <v>29535</v>
      </c>
      <c r="E5236" t="s">
        <v>31639</v>
      </c>
      <c r="F5236">
        <v>3</v>
      </c>
      <c r="G5236" t="s">
        <v>730</v>
      </c>
      <c r="H5236" t="s">
        <v>10969</v>
      </c>
      <c r="I5236" t="s">
        <v>40</v>
      </c>
      <c r="J5236" s="2" t="s">
        <v>62</v>
      </c>
      <c r="K5236" t="s">
        <v>42</v>
      </c>
      <c r="L5236" t="s">
        <v>135</v>
      </c>
      <c r="N5236" t="s">
        <v>136</v>
      </c>
      <c r="O5236" t="s">
        <v>136</v>
      </c>
      <c r="Q5236">
        <v>27309</v>
      </c>
      <c r="R5236" t="s">
        <v>45</v>
      </c>
      <c r="S5236" t="s">
        <v>29537</v>
      </c>
      <c r="T5236">
        <v>30</v>
      </c>
      <c r="U5236" s="2" t="s">
        <v>25359</v>
      </c>
      <c r="W5236" t="s">
        <v>2680</v>
      </c>
      <c r="X5236">
        <v>838874</v>
      </c>
      <c r="Y5236" t="s">
        <v>1751</v>
      </c>
      <c r="Z5236" s="2" t="s">
        <v>29789</v>
      </c>
      <c r="AA5236" s="2" t="s">
        <v>30132</v>
      </c>
      <c r="AB5236" s="2" t="s">
        <v>31640</v>
      </c>
      <c r="AC5236" t="s">
        <v>31641</v>
      </c>
      <c r="AG5236" t="s">
        <v>31642</v>
      </c>
      <c r="AH5236" t="s">
        <v>29543</v>
      </c>
      <c r="AI5236" t="s">
        <v>31643</v>
      </c>
    </row>
    <row r="5237" spans="2:35" ht="195">
      <c r="B5237" s="1">
        <v>45337</v>
      </c>
      <c r="C5237" s="4">
        <v>45337.462500000001</v>
      </c>
      <c r="D5237" t="s">
        <v>5793</v>
      </c>
      <c r="E5237" t="s">
        <v>31644</v>
      </c>
      <c r="F5237">
        <v>5</v>
      </c>
      <c r="G5237" t="s">
        <v>5795</v>
      </c>
      <c r="H5237" t="s">
        <v>39</v>
      </c>
      <c r="I5237" t="s">
        <v>40</v>
      </c>
      <c r="J5237" s="2" t="s">
        <v>41</v>
      </c>
      <c r="K5237" t="s">
        <v>42</v>
      </c>
      <c r="L5237" t="s">
        <v>761</v>
      </c>
      <c r="N5237" t="s">
        <v>762</v>
      </c>
      <c r="Q5237">
        <v>27308</v>
      </c>
      <c r="R5237" t="s">
        <v>119</v>
      </c>
      <c r="S5237" t="s">
        <v>5796</v>
      </c>
      <c r="T5237">
        <v>25</v>
      </c>
      <c r="U5237" s="2" t="s">
        <v>11477</v>
      </c>
      <c r="W5237" t="s">
        <v>765</v>
      </c>
      <c r="X5237">
        <v>838576</v>
      </c>
      <c r="Y5237" t="s">
        <v>11378</v>
      </c>
      <c r="Z5237" s="2" t="s">
        <v>31645</v>
      </c>
      <c r="AA5237" s="2" t="s">
        <v>31646</v>
      </c>
      <c r="AB5237" t="s">
        <v>70</v>
      </c>
      <c r="AG5237" t="s">
        <v>31647</v>
      </c>
      <c r="AH5237" t="s">
        <v>5805</v>
      </c>
      <c r="AI5237" t="s">
        <v>31648</v>
      </c>
    </row>
    <row r="5238" spans="2:35" ht="210">
      <c r="B5238" s="1">
        <v>45337</v>
      </c>
      <c r="C5238" s="4">
        <v>45337.434027777781</v>
      </c>
      <c r="D5238" t="s">
        <v>3905</v>
      </c>
      <c r="E5238" t="s">
        <v>31649</v>
      </c>
      <c r="F5238" t="s">
        <v>148</v>
      </c>
      <c r="G5238" t="s">
        <v>406</v>
      </c>
      <c r="H5238" t="s">
        <v>39</v>
      </c>
      <c r="I5238" t="s">
        <v>40</v>
      </c>
      <c r="J5238" s="2" t="s">
        <v>41</v>
      </c>
      <c r="K5238" t="s">
        <v>42</v>
      </c>
      <c r="L5238" t="s">
        <v>15532</v>
      </c>
      <c r="N5238" t="s">
        <v>15533</v>
      </c>
      <c r="Q5238">
        <v>27307</v>
      </c>
      <c r="R5238" t="s">
        <v>45</v>
      </c>
      <c r="S5238" t="s">
        <v>3906</v>
      </c>
      <c r="T5238">
        <v>24</v>
      </c>
      <c r="U5238" s="2" t="s">
        <v>31650</v>
      </c>
      <c r="V5238" s="1">
        <v>45335</v>
      </c>
      <c r="W5238" t="s">
        <v>23974</v>
      </c>
      <c r="X5238">
        <v>814372</v>
      </c>
      <c r="Y5238" t="s">
        <v>2165</v>
      </c>
      <c r="Z5238" s="2" t="s">
        <v>31651</v>
      </c>
      <c r="AA5238" s="2" t="s">
        <v>31652</v>
      </c>
      <c r="AB5238" s="2" t="s">
        <v>15539</v>
      </c>
      <c r="AD5238" t="s">
        <v>15847</v>
      </c>
      <c r="AE5238" t="s">
        <v>31653</v>
      </c>
      <c r="AG5238" t="s">
        <v>31654</v>
      </c>
      <c r="AH5238" t="s">
        <v>31655</v>
      </c>
      <c r="AI5238" t="s">
        <v>31656</v>
      </c>
    </row>
    <row r="5239" spans="2:35" ht="135">
      <c r="B5239" s="1">
        <v>45337</v>
      </c>
      <c r="C5239" s="4">
        <v>45337.404166666667</v>
      </c>
      <c r="D5239" t="s">
        <v>31657</v>
      </c>
      <c r="E5239" t="s">
        <v>31658</v>
      </c>
      <c r="F5239">
        <v>5</v>
      </c>
      <c r="G5239" t="s">
        <v>5795</v>
      </c>
      <c r="H5239" t="s">
        <v>39</v>
      </c>
      <c r="I5239" t="s">
        <v>40</v>
      </c>
      <c r="J5239" t="s">
        <v>109</v>
      </c>
      <c r="K5239" t="s">
        <v>42</v>
      </c>
      <c r="L5239" t="s">
        <v>761</v>
      </c>
      <c r="N5239" t="s">
        <v>762</v>
      </c>
      <c r="Q5239">
        <v>27306</v>
      </c>
      <c r="R5239" t="s">
        <v>45</v>
      </c>
      <c r="S5239" t="s">
        <v>31659</v>
      </c>
      <c r="T5239">
        <v>23</v>
      </c>
      <c r="U5239" s="2" t="s">
        <v>31660</v>
      </c>
      <c r="W5239" t="s">
        <v>31661</v>
      </c>
      <c r="X5239">
        <v>835188</v>
      </c>
      <c r="Y5239" t="s">
        <v>1052</v>
      </c>
      <c r="Z5239" s="2" t="s">
        <v>31662</v>
      </c>
      <c r="AA5239" t="s">
        <v>820</v>
      </c>
      <c r="AB5239" t="s">
        <v>70</v>
      </c>
      <c r="AG5239" t="s">
        <v>31663</v>
      </c>
      <c r="AH5239" t="s">
        <v>31664</v>
      </c>
      <c r="AI5239" t="s">
        <v>31665</v>
      </c>
    </row>
    <row r="5240" spans="2:35" ht="360">
      <c r="B5240" s="1">
        <v>45337</v>
      </c>
      <c r="C5240" s="4">
        <v>45336.507638888892</v>
      </c>
      <c r="D5240" t="s">
        <v>4206</v>
      </c>
      <c r="E5240" t="s">
        <v>21634</v>
      </c>
      <c r="F5240">
        <v>11</v>
      </c>
      <c r="G5240" t="s">
        <v>2836</v>
      </c>
      <c r="H5240" t="s">
        <v>202</v>
      </c>
      <c r="I5240" t="s">
        <v>40</v>
      </c>
      <c r="J5240" s="2" t="s">
        <v>4208</v>
      </c>
      <c r="K5240" t="s">
        <v>42</v>
      </c>
      <c r="L5240" t="s">
        <v>204</v>
      </c>
      <c r="N5240" t="s">
        <v>205</v>
      </c>
      <c r="Q5240">
        <v>27305</v>
      </c>
      <c r="R5240" t="s">
        <v>119</v>
      </c>
      <c r="S5240" t="s">
        <v>4209</v>
      </c>
      <c r="T5240">
        <v>25.7</v>
      </c>
      <c r="U5240" s="2" t="s">
        <v>31666</v>
      </c>
      <c r="W5240" t="s">
        <v>23237</v>
      </c>
      <c r="X5240">
        <v>838295</v>
      </c>
      <c r="Y5240" t="s">
        <v>31667</v>
      </c>
      <c r="Z5240" s="2" t="s">
        <v>31668</v>
      </c>
      <c r="AA5240" t="s">
        <v>12919</v>
      </c>
      <c r="AB5240" t="s">
        <v>1211</v>
      </c>
      <c r="AC5240" t="s">
        <v>31669</v>
      </c>
      <c r="AG5240" t="s">
        <v>31670</v>
      </c>
      <c r="AH5240" t="s">
        <v>31671</v>
      </c>
      <c r="AI5240" t="s">
        <v>31672</v>
      </c>
    </row>
    <row r="5241" spans="2:35" ht="135">
      <c r="B5241" s="1">
        <v>45337</v>
      </c>
      <c r="C5241" s="4">
        <v>45337.334722222222</v>
      </c>
      <c r="D5241" t="s">
        <v>16716</v>
      </c>
      <c r="E5241" t="s">
        <v>1128</v>
      </c>
      <c r="F5241">
        <v>8</v>
      </c>
      <c r="G5241" t="s">
        <v>342</v>
      </c>
      <c r="H5241" t="s">
        <v>39</v>
      </c>
      <c r="I5241" t="s">
        <v>40</v>
      </c>
      <c r="J5241" t="s">
        <v>109</v>
      </c>
      <c r="K5241" t="s">
        <v>42</v>
      </c>
      <c r="L5241" t="s">
        <v>259</v>
      </c>
      <c r="N5241" t="s">
        <v>260</v>
      </c>
      <c r="Q5241">
        <v>27304</v>
      </c>
      <c r="R5241" t="s">
        <v>119</v>
      </c>
      <c r="S5241" t="s">
        <v>31673</v>
      </c>
      <c r="T5241">
        <v>23</v>
      </c>
      <c r="U5241" s="2" t="s">
        <v>31674</v>
      </c>
      <c r="V5241" s="1">
        <v>45337</v>
      </c>
      <c r="W5241" t="s">
        <v>84</v>
      </c>
      <c r="X5241">
        <v>838421</v>
      </c>
      <c r="Y5241" t="s">
        <v>263</v>
      </c>
      <c r="Z5241" t="s">
        <v>263</v>
      </c>
      <c r="AA5241" t="e">
        <f ca="1">- performed Preventive Maintenance ( Cleaning cartridge bay, plunger rod _xludf.and FAN _xludf.filter)
- Generate reports</f>
        <v>#NAME?</v>
      </c>
      <c r="AB5241" s="2" t="s">
        <v>31675</v>
      </c>
      <c r="AG5241" t="s">
        <v>31676</v>
      </c>
      <c r="AH5241" t="s">
        <v>23174</v>
      </c>
      <c r="AI5241" t="s">
        <v>31677</v>
      </c>
    </row>
    <row r="5242" spans="2:35" ht="105">
      <c r="B5242" s="1">
        <v>45336</v>
      </c>
      <c r="C5242" s="4">
        <v>45336.761805555558</v>
      </c>
      <c r="D5242" t="s">
        <v>16626</v>
      </c>
      <c r="E5242" t="s">
        <v>31678</v>
      </c>
      <c r="F5242">
        <v>10</v>
      </c>
      <c r="G5242" t="s">
        <v>8359</v>
      </c>
      <c r="H5242" t="s">
        <v>2125</v>
      </c>
      <c r="I5242" t="s">
        <v>40</v>
      </c>
      <c r="J5242" s="2" t="s">
        <v>1157</v>
      </c>
      <c r="K5242" t="s">
        <v>42</v>
      </c>
      <c r="L5242" t="s">
        <v>933</v>
      </c>
      <c r="N5242" t="s">
        <v>934</v>
      </c>
      <c r="Q5242">
        <v>27303</v>
      </c>
      <c r="R5242" t="s">
        <v>119</v>
      </c>
      <c r="S5242" t="s">
        <v>16628</v>
      </c>
      <c r="T5242">
        <v>26</v>
      </c>
      <c r="U5242" s="2" t="s">
        <v>31679</v>
      </c>
      <c r="V5242" s="1">
        <v>45336</v>
      </c>
      <c r="W5242" t="s">
        <v>3662</v>
      </c>
      <c r="X5242">
        <v>838271</v>
      </c>
      <c r="Y5242" t="s">
        <v>31680</v>
      </c>
      <c r="Z5242" t="s">
        <v>24864</v>
      </c>
      <c r="AA5242" t="s">
        <v>31681</v>
      </c>
      <c r="AB5242" t="s">
        <v>31682</v>
      </c>
      <c r="AG5242" t="s">
        <v>31683</v>
      </c>
      <c r="AH5242" t="s">
        <v>31684</v>
      </c>
      <c r="AI5242" t="s">
        <v>31685</v>
      </c>
    </row>
    <row r="5243" spans="2:35" ht="180">
      <c r="B5243" s="1">
        <v>45336</v>
      </c>
      <c r="C5243" s="4">
        <v>45336.636805555558</v>
      </c>
      <c r="D5243" t="s">
        <v>27635</v>
      </c>
      <c r="E5243" t="s">
        <v>31686</v>
      </c>
      <c r="F5243" t="s">
        <v>148</v>
      </c>
      <c r="G5243" t="s">
        <v>447</v>
      </c>
      <c r="H5243" t="s">
        <v>39</v>
      </c>
      <c r="I5243" t="s">
        <v>40</v>
      </c>
      <c r="J5243" s="2" t="s">
        <v>41</v>
      </c>
      <c r="K5243" t="s">
        <v>42</v>
      </c>
      <c r="L5243" t="s">
        <v>15532</v>
      </c>
      <c r="N5243" t="s">
        <v>15533</v>
      </c>
      <c r="Q5243">
        <v>27302</v>
      </c>
      <c r="R5243" t="s">
        <v>119</v>
      </c>
      <c r="S5243" t="s">
        <v>24625</v>
      </c>
      <c r="T5243">
        <v>29</v>
      </c>
      <c r="U5243" s="2" t="s">
        <v>31687</v>
      </c>
      <c r="V5243" s="1">
        <v>45336</v>
      </c>
      <c r="W5243" t="s">
        <v>30397</v>
      </c>
      <c r="X5243">
        <v>831615</v>
      </c>
      <c r="Y5243" t="s">
        <v>31688</v>
      </c>
      <c r="Z5243" s="2" t="s">
        <v>31689</v>
      </c>
      <c r="AA5243" s="2" t="s">
        <v>31690</v>
      </c>
      <c r="AB5243" s="2" t="s">
        <v>15539</v>
      </c>
      <c r="AD5243" t="s">
        <v>31691</v>
      </c>
      <c r="AE5243" t="s">
        <v>31692</v>
      </c>
      <c r="AG5243" t="s">
        <v>31693</v>
      </c>
      <c r="AH5243" t="s">
        <v>31694</v>
      </c>
      <c r="AI5243" t="s">
        <v>31695</v>
      </c>
    </row>
    <row r="5244" spans="2:35" ht="255">
      <c r="B5244" s="1">
        <v>45336</v>
      </c>
      <c r="C5244" s="4">
        <v>45336.572916666664</v>
      </c>
      <c r="D5244" t="s">
        <v>1145</v>
      </c>
      <c r="E5244" t="s">
        <v>31696</v>
      </c>
      <c r="F5244" t="s">
        <v>148</v>
      </c>
      <c r="G5244" t="s">
        <v>447</v>
      </c>
      <c r="H5244" t="s">
        <v>2581</v>
      </c>
      <c r="I5244" t="s">
        <v>40</v>
      </c>
      <c r="J5244" t="s">
        <v>79</v>
      </c>
      <c r="K5244" t="s">
        <v>42</v>
      </c>
      <c r="L5244" t="s">
        <v>448</v>
      </c>
      <c r="N5244" t="s">
        <v>650</v>
      </c>
      <c r="Q5244">
        <v>27301</v>
      </c>
      <c r="R5244" t="s">
        <v>45</v>
      </c>
      <c r="S5244" t="s">
        <v>31581</v>
      </c>
      <c r="T5244">
        <v>21</v>
      </c>
      <c r="U5244" s="2" t="s">
        <v>4094</v>
      </c>
      <c r="V5244" s="1">
        <v>45335</v>
      </c>
      <c r="W5244" t="s">
        <v>31697</v>
      </c>
      <c r="X5244">
        <v>704584</v>
      </c>
      <c r="Y5244" t="s">
        <v>31698</v>
      </c>
      <c r="Z5244" s="2" t="s">
        <v>2585</v>
      </c>
      <c r="AA5244" t="s">
        <v>5712</v>
      </c>
      <c r="AB5244" t="s">
        <v>486</v>
      </c>
      <c r="AD5244" t="s">
        <v>10253</v>
      </c>
      <c r="AE5244" t="s">
        <v>31584</v>
      </c>
      <c r="AG5244" t="s">
        <v>31699</v>
      </c>
      <c r="AH5244" t="s">
        <v>31586</v>
      </c>
      <c r="AI5244" t="s">
        <v>31700</v>
      </c>
    </row>
    <row r="5245" spans="2:35" ht="409.5">
      <c r="B5245" s="1">
        <v>45336</v>
      </c>
      <c r="C5245" s="4">
        <v>45336.536805555559</v>
      </c>
      <c r="D5245" t="s">
        <v>369</v>
      </c>
      <c r="E5245" t="s">
        <v>29199</v>
      </c>
      <c r="F5245" t="s">
        <v>148</v>
      </c>
      <c r="G5245" t="s">
        <v>371</v>
      </c>
      <c r="H5245" t="s">
        <v>39</v>
      </c>
      <c r="I5245" t="s">
        <v>40</v>
      </c>
      <c r="J5245" s="2" t="s">
        <v>62</v>
      </c>
      <c r="K5245" t="s">
        <v>42</v>
      </c>
      <c r="L5245" t="s">
        <v>175</v>
      </c>
      <c r="N5245" t="s">
        <v>176</v>
      </c>
      <c r="Q5245">
        <v>27300</v>
      </c>
      <c r="R5245" t="s">
        <v>45</v>
      </c>
      <c r="S5245" t="s">
        <v>29200</v>
      </c>
      <c r="T5245">
        <v>25</v>
      </c>
      <c r="U5245" s="2" t="s">
        <v>31701</v>
      </c>
      <c r="V5245" s="1">
        <v>45336</v>
      </c>
      <c r="W5245" t="s">
        <v>84</v>
      </c>
      <c r="X5245">
        <v>814159</v>
      </c>
      <c r="Y5245" t="s">
        <v>998</v>
      </c>
      <c r="Z5245" t="s">
        <v>999</v>
      </c>
      <c r="AA5245" t="e">
        <f ca="1">- checked _xludf.and cleaned cartridge bay, plunger rod, _xludf.filter
- performed XpertCheck
- generated reports</f>
        <v>#NAME?</v>
      </c>
      <c r="AB5245" s="2" t="s">
        <v>31702</v>
      </c>
      <c r="AD5245" t="s">
        <v>7189</v>
      </c>
      <c r="AE5245" t="s">
        <v>103</v>
      </c>
      <c r="AG5245" t="s">
        <v>31703</v>
      </c>
      <c r="AH5245" t="s">
        <v>29202</v>
      </c>
      <c r="AI5245" t="s">
        <v>31704</v>
      </c>
    </row>
    <row r="5246" spans="2:35" ht="285">
      <c r="B5246" s="1">
        <v>45336</v>
      </c>
      <c r="C5246" s="4">
        <v>45336.535416666666</v>
      </c>
      <c r="D5246" t="s">
        <v>369</v>
      </c>
      <c r="E5246" t="s">
        <v>29199</v>
      </c>
      <c r="F5246" t="s">
        <v>148</v>
      </c>
      <c r="G5246" t="s">
        <v>371</v>
      </c>
      <c r="H5246" t="s">
        <v>39</v>
      </c>
      <c r="I5246" t="s">
        <v>40</v>
      </c>
      <c r="J5246" s="2" t="s">
        <v>62</v>
      </c>
      <c r="K5246" t="s">
        <v>42</v>
      </c>
      <c r="L5246" t="s">
        <v>175</v>
      </c>
      <c r="N5246" t="s">
        <v>176</v>
      </c>
      <c r="Q5246">
        <v>27299</v>
      </c>
      <c r="R5246" t="s">
        <v>45</v>
      </c>
      <c r="S5246" t="s">
        <v>29200</v>
      </c>
      <c r="T5246">
        <v>25</v>
      </c>
      <c r="V5246" s="1">
        <v>45336</v>
      </c>
      <c r="W5246" t="s">
        <v>84</v>
      </c>
      <c r="X5246">
        <v>707523</v>
      </c>
      <c r="Y5246" t="s">
        <v>998</v>
      </c>
      <c r="Z5246" t="s">
        <v>999</v>
      </c>
      <c r="AA5246" t="e">
        <f ca="1">- checked _xludf.and cleaned cartridge bay, plunger rod, _xludf.filter
- performed XpertCheck
- generated reports</f>
        <v>#NAME?</v>
      </c>
      <c r="AB5246" s="2" t="s">
        <v>31705</v>
      </c>
      <c r="AD5246" t="s">
        <v>7189</v>
      </c>
      <c r="AE5246" t="s">
        <v>103</v>
      </c>
      <c r="AG5246" t="s">
        <v>31706</v>
      </c>
      <c r="AH5246" t="s">
        <v>29202</v>
      </c>
      <c r="AI5246" t="s">
        <v>31707</v>
      </c>
    </row>
    <row r="5247" spans="2:35" ht="300">
      <c r="B5247" s="1">
        <v>45336</v>
      </c>
      <c r="C5247" s="4">
        <v>45336.490277777775</v>
      </c>
      <c r="D5247" t="s">
        <v>31708</v>
      </c>
      <c r="E5247" t="s">
        <v>31709</v>
      </c>
      <c r="F5247" t="s">
        <v>1181</v>
      </c>
      <c r="G5247" t="s">
        <v>3753</v>
      </c>
      <c r="H5247" t="s">
        <v>39</v>
      </c>
      <c r="I5247" t="s">
        <v>40</v>
      </c>
      <c r="J5247" s="2" t="s">
        <v>62</v>
      </c>
      <c r="K5247" t="s">
        <v>42</v>
      </c>
      <c r="L5247" t="s">
        <v>43</v>
      </c>
      <c r="N5247" t="s">
        <v>44</v>
      </c>
      <c r="Q5247">
        <v>27298</v>
      </c>
      <c r="R5247" t="s">
        <v>45</v>
      </c>
      <c r="S5247" t="s">
        <v>31710</v>
      </c>
      <c r="T5247">
        <v>25</v>
      </c>
      <c r="W5247" t="s">
        <v>48</v>
      </c>
      <c r="X5247">
        <v>834811</v>
      </c>
      <c r="Y5247" t="s">
        <v>1111</v>
      </c>
      <c r="Z5247" t="s">
        <v>1519</v>
      </c>
      <c r="AA5247" s="2" t="s">
        <v>31711</v>
      </c>
      <c r="AB5247" t="s">
        <v>24813</v>
      </c>
      <c r="AG5247" t="s">
        <v>31712</v>
      </c>
      <c r="AH5247" t="s">
        <v>31713</v>
      </c>
      <c r="AI5247" t="s">
        <v>31714</v>
      </c>
    </row>
    <row r="5248" spans="2:35" ht="300">
      <c r="B5248" s="1">
        <v>45336</v>
      </c>
      <c r="C5248" s="4">
        <v>45336.486805555556</v>
      </c>
      <c r="D5248" t="s">
        <v>31708</v>
      </c>
      <c r="E5248" t="s">
        <v>31709</v>
      </c>
      <c r="F5248" t="s">
        <v>1181</v>
      </c>
      <c r="G5248" t="s">
        <v>3753</v>
      </c>
      <c r="H5248" t="s">
        <v>39</v>
      </c>
      <c r="I5248" t="s">
        <v>40</v>
      </c>
      <c r="J5248" s="2" t="s">
        <v>62</v>
      </c>
      <c r="K5248" t="s">
        <v>42</v>
      </c>
      <c r="L5248" t="s">
        <v>43</v>
      </c>
      <c r="N5248" t="s">
        <v>44</v>
      </c>
      <c r="Q5248">
        <v>27297</v>
      </c>
      <c r="R5248" t="s">
        <v>45</v>
      </c>
      <c r="S5248" t="s">
        <v>31710</v>
      </c>
      <c r="T5248">
        <v>25</v>
      </c>
      <c r="U5248" s="2" t="s">
        <v>31715</v>
      </c>
      <c r="W5248" t="s">
        <v>48</v>
      </c>
      <c r="X5248">
        <v>834687</v>
      </c>
      <c r="Y5248" t="s">
        <v>1111</v>
      </c>
      <c r="Z5248" t="s">
        <v>1519</v>
      </c>
      <c r="AA5248" s="2" t="s">
        <v>31711</v>
      </c>
      <c r="AB5248" t="s">
        <v>24813</v>
      </c>
      <c r="AG5248" t="s">
        <v>31716</v>
      </c>
      <c r="AH5248" t="s">
        <v>31713</v>
      </c>
      <c r="AI5248" t="s">
        <v>31717</v>
      </c>
    </row>
    <row r="5249" spans="2:35" ht="345">
      <c r="B5249" s="1">
        <v>45336</v>
      </c>
      <c r="C5249" s="1">
        <v>45336</v>
      </c>
      <c r="D5249" t="s">
        <v>5028</v>
      </c>
      <c r="E5249" t="s">
        <v>3863</v>
      </c>
      <c r="F5249">
        <v>12</v>
      </c>
      <c r="G5249" t="s">
        <v>978</v>
      </c>
      <c r="H5249" t="s">
        <v>295</v>
      </c>
      <c r="I5249" t="s">
        <v>40</v>
      </c>
      <c r="J5249" s="2" t="s">
        <v>190</v>
      </c>
      <c r="K5249" t="s">
        <v>42</v>
      </c>
      <c r="L5249" t="s">
        <v>296</v>
      </c>
      <c r="N5249" t="s">
        <v>297</v>
      </c>
      <c r="O5249" t="s">
        <v>12538</v>
      </c>
      <c r="Q5249">
        <v>27296</v>
      </c>
      <c r="R5249" t="s">
        <v>95</v>
      </c>
      <c r="S5249" t="s">
        <v>31718</v>
      </c>
      <c r="T5249">
        <v>28.1</v>
      </c>
      <c r="U5249" s="2" t="s">
        <v>31719</v>
      </c>
      <c r="W5249" t="s">
        <v>12540</v>
      </c>
      <c r="X5249">
        <v>839314</v>
      </c>
      <c r="Y5249" s="2" t="s">
        <v>31720</v>
      </c>
      <c r="Z5249" s="2" t="s">
        <v>31721</v>
      </c>
      <c r="AA5249" t="s">
        <v>303</v>
      </c>
      <c r="AB5249" t="s">
        <v>6196</v>
      </c>
      <c r="AG5249" t="s">
        <v>31722</v>
      </c>
      <c r="AH5249" t="s">
        <v>31723</v>
      </c>
      <c r="AI5249" t="s">
        <v>31724</v>
      </c>
    </row>
    <row r="5250" spans="2:35" ht="300">
      <c r="B5250" s="1">
        <v>45336</v>
      </c>
      <c r="C5250" s="4">
        <v>45336.48541666667</v>
      </c>
      <c r="D5250" t="s">
        <v>17687</v>
      </c>
      <c r="E5250" t="s">
        <v>4655</v>
      </c>
      <c r="F5250">
        <v>10</v>
      </c>
      <c r="G5250" t="s">
        <v>1395</v>
      </c>
      <c r="H5250" t="s">
        <v>1047</v>
      </c>
      <c r="I5250" t="s">
        <v>40</v>
      </c>
      <c r="J5250" s="2" t="s">
        <v>41</v>
      </c>
      <c r="K5250" t="s">
        <v>42</v>
      </c>
      <c r="L5250" t="s">
        <v>1288</v>
      </c>
      <c r="N5250" t="s">
        <v>1289</v>
      </c>
      <c r="Q5250">
        <v>27295</v>
      </c>
      <c r="R5250" t="s">
        <v>119</v>
      </c>
      <c r="S5250" t="s">
        <v>10835</v>
      </c>
      <c r="T5250">
        <v>27</v>
      </c>
      <c r="U5250" s="2" t="s">
        <v>31725</v>
      </c>
      <c r="V5250" s="1">
        <v>45306</v>
      </c>
      <c r="W5250" t="s">
        <v>1292</v>
      </c>
      <c r="X5250">
        <v>838435</v>
      </c>
      <c r="Y5250" t="s">
        <v>31726</v>
      </c>
      <c r="Z5250" t="e">
        <f ca="1">-COLLECT IQR,system _xludf.Log, _xludf.and Assay stat</f>
        <v>#NAME?</v>
      </c>
      <c r="AA5250" s="2" t="s">
        <v>31727</v>
      </c>
      <c r="AB5250" t="s">
        <v>1293</v>
      </c>
      <c r="AD5250" t="s">
        <v>31728</v>
      </c>
      <c r="AE5250">
        <v>11109</v>
      </c>
      <c r="AG5250" t="s">
        <v>31729</v>
      </c>
      <c r="AH5250" t="s">
        <v>12950</v>
      </c>
      <c r="AI5250" t="s">
        <v>31730</v>
      </c>
    </row>
    <row r="5251" spans="2:35" ht="409.5">
      <c r="B5251" s="1">
        <v>45336</v>
      </c>
      <c r="C5251" s="4">
        <v>45336.430555555555</v>
      </c>
      <c r="D5251" t="s">
        <v>31731</v>
      </c>
      <c r="E5251" t="s">
        <v>31732</v>
      </c>
      <c r="F5251" t="s">
        <v>1181</v>
      </c>
      <c r="G5251" t="s">
        <v>3753</v>
      </c>
      <c r="H5251" t="s">
        <v>39</v>
      </c>
      <c r="I5251" t="s">
        <v>40</v>
      </c>
      <c r="J5251" s="2" t="s">
        <v>62</v>
      </c>
      <c r="K5251" t="s">
        <v>42</v>
      </c>
      <c r="L5251" t="s">
        <v>1943</v>
      </c>
      <c r="N5251" t="s">
        <v>1944</v>
      </c>
      <c r="Q5251">
        <v>27294</v>
      </c>
      <c r="R5251" t="s">
        <v>45</v>
      </c>
      <c r="S5251" t="s">
        <v>31733</v>
      </c>
      <c r="T5251">
        <v>25</v>
      </c>
      <c r="U5251" s="2" t="s">
        <v>31734</v>
      </c>
      <c r="V5251" s="1">
        <v>45322</v>
      </c>
      <c r="W5251" t="s">
        <v>84</v>
      </c>
      <c r="X5251">
        <v>807590</v>
      </c>
      <c r="Y5251" s="2" t="s">
        <v>23659</v>
      </c>
      <c r="Z5251" t="s">
        <v>23660</v>
      </c>
      <c r="AA5251" s="2" t="s">
        <v>29426</v>
      </c>
      <c r="AB5251" t="s">
        <v>88</v>
      </c>
      <c r="AD5251" t="s">
        <v>31735</v>
      </c>
      <c r="AE5251" t="s">
        <v>11329</v>
      </c>
      <c r="AG5251" t="s">
        <v>31736</v>
      </c>
      <c r="AH5251" t="s">
        <v>31737</v>
      </c>
      <c r="AI5251" t="s">
        <v>31738</v>
      </c>
    </row>
    <row r="5252" spans="2:35" ht="255">
      <c r="B5252" s="1">
        <v>45336</v>
      </c>
      <c r="C5252" s="4">
        <v>45336.438194444447</v>
      </c>
      <c r="D5252" t="s">
        <v>1462</v>
      </c>
      <c r="E5252" t="s">
        <v>31739</v>
      </c>
      <c r="F5252">
        <v>3</v>
      </c>
      <c r="G5252" t="s">
        <v>1722</v>
      </c>
      <c r="H5252" t="s">
        <v>39</v>
      </c>
      <c r="I5252" t="s">
        <v>40</v>
      </c>
      <c r="J5252" s="2" t="s">
        <v>62</v>
      </c>
      <c r="K5252" t="s">
        <v>42</v>
      </c>
      <c r="L5252" t="s">
        <v>63</v>
      </c>
      <c r="N5252" t="s">
        <v>64</v>
      </c>
      <c r="Q5252">
        <v>27293</v>
      </c>
      <c r="R5252" t="s">
        <v>45</v>
      </c>
      <c r="S5252" t="s">
        <v>31740</v>
      </c>
      <c r="T5252">
        <v>24</v>
      </c>
      <c r="U5252" s="2" t="s">
        <v>30148</v>
      </c>
      <c r="V5252" s="1">
        <v>45336</v>
      </c>
      <c r="W5252" t="s">
        <v>26915</v>
      </c>
      <c r="X5252">
        <v>805107</v>
      </c>
      <c r="Y5252" t="s">
        <v>1716</v>
      </c>
      <c r="Z5252" t="s">
        <v>1716</v>
      </c>
      <c r="AA5252" s="2" t="s">
        <v>31741</v>
      </c>
      <c r="AB5252" t="s">
        <v>70</v>
      </c>
      <c r="AC5252" t="s">
        <v>1716</v>
      </c>
      <c r="AD5252" t="s">
        <v>31742</v>
      </c>
      <c r="AE5252" t="s">
        <v>1716</v>
      </c>
      <c r="AG5252" t="s">
        <v>31743</v>
      </c>
      <c r="AH5252" t="s">
        <v>31744</v>
      </c>
      <c r="AI5252" t="s">
        <v>31745</v>
      </c>
    </row>
    <row r="5253" spans="2:35" ht="240">
      <c r="B5253" s="1">
        <v>45336</v>
      </c>
      <c r="C5253" s="4">
        <v>45335.468055555553</v>
      </c>
      <c r="D5253" t="s">
        <v>31746</v>
      </c>
      <c r="E5253" t="s">
        <v>31747</v>
      </c>
      <c r="F5253" t="s">
        <v>148</v>
      </c>
      <c r="G5253" t="s">
        <v>406</v>
      </c>
      <c r="H5253" t="s">
        <v>39</v>
      </c>
      <c r="I5253" t="s">
        <v>40</v>
      </c>
      <c r="J5253" t="s">
        <v>996</v>
      </c>
      <c r="K5253" t="s">
        <v>42</v>
      </c>
      <c r="L5253" t="s">
        <v>448</v>
      </c>
      <c r="N5253" t="s">
        <v>650</v>
      </c>
      <c r="Q5253">
        <v>27292</v>
      </c>
      <c r="R5253" t="s">
        <v>45</v>
      </c>
      <c r="S5253" t="s">
        <v>31748</v>
      </c>
      <c r="T5253">
        <v>26</v>
      </c>
      <c r="U5253" s="2" t="s">
        <v>31749</v>
      </c>
      <c r="V5253" s="1">
        <v>45335</v>
      </c>
      <c r="W5253" t="s">
        <v>6121</v>
      </c>
      <c r="X5253">
        <v>804702</v>
      </c>
      <c r="Y5253" t="s">
        <v>31750</v>
      </c>
      <c r="Z5253" s="2" t="s">
        <v>3071</v>
      </c>
      <c r="AA5253" t="s">
        <v>31751</v>
      </c>
      <c r="AB5253" t="s">
        <v>31752</v>
      </c>
      <c r="AC5253" t="s">
        <v>31753</v>
      </c>
      <c r="AD5253" t="s">
        <v>31754</v>
      </c>
      <c r="AE5253" t="s">
        <v>54</v>
      </c>
      <c r="AG5253" t="s">
        <v>31755</v>
      </c>
      <c r="AH5253" t="s">
        <v>31756</v>
      </c>
      <c r="AI5253" t="s">
        <v>31757</v>
      </c>
    </row>
    <row r="5254" spans="2:35" ht="150">
      <c r="B5254" s="1">
        <v>45336</v>
      </c>
      <c r="C5254" s="4">
        <v>45335.463888888888</v>
      </c>
      <c r="D5254" t="s">
        <v>31758</v>
      </c>
      <c r="E5254" t="s">
        <v>31759</v>
      </c>
      <c r="F5254" t="s">
        <v>148</v>
      </c>
      <c r="G5254" t="s">
        <v>406</v>
      </c>
      <c r="H5254" t="s">
        <v>39</v>
      </c>
      <c r="I5254" t="s">
        <v>40</v>
      </c>
      <c r="J5254" t="s">
        <v>321</v>
      </c>
      <c r="K5254" t="s">
        <v>42</v>
      </c>
      <c r="L5254" t="s">
        <v>448</v>
      </c>
      <c r="N5254" t="s">
        <v>650</v>
      </c>
      <c r="Q5254">
        <v>27291</v>
      </c>
      <c r="R5254" t="s">
        <v>45</v>
      </c>
      <c r="S5254" t="s">
        <v>31748</v>
      </c>
      <c r="T5254">
        <v>28</v>
      </c>
      <c r="U5254" s="2" t="s">
        <v>1509</v>
      </c>
      <c r="W5254" t="s">
        <v>31760</v>
      </c>
      <c r="X5254">
        <v>110013753</v>
      </c>
      <c r="Y5254" t="s">
        <v>750</v>
      </c>
      <c r="Z5254" s="2" t="s">
        <v>31761</v>
      </c>
      <c r="AA5254" t="s">
        <v>13110</v>
      </c>
      <c r="AB5254" t="s">
        <v>486</v>
      </c>
      <c r="AG5254" t="s">
        <v>31762</v>
      </c>
      <c r="AH5254" t="s">
        <v>31756</v>
      </c>
      <c r="AI5254" t="s">
        <v>31763</v>
      </c>
    </row>
    <row r="5255" spans="2:35" ht="409.5">
      <c r="B5255" s="1">
        <v>45336</v>
      </c>
      <c r="C5255" s="4">
        <v>45335.615277777775</v>
      </c>
      <c r="D5255" t="s">
        <v>9514</v>
      </c>
      <c r="E5255" t="s">
        <v>18177</v>
      </c>
      <c r="F5255" t="s">
        <v>148</v>
      </c>
      <c r="G5255" t="s">
        <v>2007</v>
      </c>
      <c r="H5255" t="s">
        <v>662</v>
      </c>
      <c r="I5255" t="s">
        <v>40</v>
      </c>
      <c r="J5255" t="s">
        <v>109</v>
      </c>
      <c r="K5255" t="s">
        <v>42</v>
      </c>
      <c r="L5255" t="s">
        <v>448</v>
      </c>
      <c r="N5255" t="s">
        <v>650</v>
      </c>
      <c r="O5255" t="s">
        <v>14456</v>
      </c>
      <c r="Q5255">
        <v>27290</v>
      </c>
      <c r="R5255" t="s">
        <v>95</v>
      </c>
      <c r="S5255" t="s">
        <v>2008</v>
      </c>
      <c r="T5255">
        <v>27</v>
      </c>
      <c r="U5255" s="2" t="s">
        <v>31764</v>
      </c>
      <c r="W5255" t="s">
        <v>18179</v>
      </c>
      <c r="X5255">
        <v>110001647</v>
      </c>
      <c r="Y5255" t="s">
        <v>485</v>
      </c>
      <c r="Z5255" s="2" t="s">
        <v>2011</v>
      </c>
      <c r="AA5255" t="s">
        <v>6997</v>
      </c>
      <c r="AB5255" t="s">
        <v>486</v>
      </c>
      <c r="AG5255" t="s">
        <v>31765</v>
      </c>
      <c r="AH5255" t="s">
        <v>2013</v>
      </c>
      <c r="AI5255" t="s">
        <v>31766</v>
      </c>
    </row>
    <row r="5256" spans="2:35" ht="300">
      <c r="B5256" s="1">
        <v>45336</v>
      </c>
      <c r="C5256" s="4">
        <v>45336.350694444445</v>
      </c>
      <c r="D5256" t="s">
        <v>31767</v>
      </c>
      <c r="E5256" t="s">
        <v>31768</v>
      </c>
      <c r="F5256" t="s">
        <v>1181</v>
      </c>
      <c r="G5256" t="s">
        <v>3753</v>
      </c>
      <c r="H5256" t="s">
        <v>39</v>
      </c>
      <c r="I5256" t="s">
        <v>40</v>
      </c>
      <c r="J5256" s="2" t="s">
        <v>62</v>
      </c>
      <c r="K5256" t="s">
        <v>42</v>
      </c>
      <c r="L5256" t="s">
        <v>43</v>
      </c>
      <c r="N5256" t="s">
        <v>44</v>
      </c>
      <c r="Q5256">
        <v>27289</v>
      </c>
      <c r="R5256" t="s">
        <v>45</v>
      </c>
      <c r="S5256" t="s">
        <v>31769</v>
      </c>
      <c r="T5256">
        <v>25</v>
      </c>
      <c r="U5256" s="2" t="s">
        <v>4347</v>
      </c>
      <c r="W5256" t="s">
        <v>31770</v>
      </c>
      <c r="X5256">
        <v>835185</v>
      </c>
      <c r="Y5256" t="s">
        <v>1111</v>
      </c>
      <c r="Z5256" t="s">
        <v>1519</v>
      </c>
      <c r="AA5256" s="2" t="s">
        <v>31711</v>
      </c>
      <c r="AB5256" t="s">
        <v>24813</v>
      </c>
      <c r="AG5256" t="s">
        <v>31771</v>
      </c>
      <c r="AH5256" t="s">
        <v>31772</v>
      </c>
      <c r="AI5256" t="s">
        <v>31773</v>
      </c>
    </row>
    <row r="5257" spans="2:35" ht="300">
      <c r="B5257" s="1">
        <v>45336</v>
      </c>
      <c r="C5257" s="4">
        <v>45335.361805555556</v>
      </c>
      <c r="D5257" t="s">
        <v>24375</v>
      </c>
      <c r="E5257" t="s">
        <v>31774</v>
      </c>
      <c r="F5257" t="s">
        <v>1181</v>
      </c>
      <c r="G5257" t="s">
        <v>7148</v>
      </c>
      <c r="H5257" t="s">
        <v>39</v>
      </c>
      <c r="I5257" t="s">
        <v>40</v>
      </c>
      <c r="J5257" s="2" t="s">
        <v>62</v>
      </c>
      <c r="K5257" t="s">
        <v>42</v>
      </c>
      <c r="L5257" t="s">
        <v>43</v>
      </c>
      <c r="N5257" t="s">
        <v>44</v>
      </c>
      <c r="Q5257">
        <v>27288</v>
      </c>
      <c r="R5257" t="s">
        <v>45</v>
      </c>
      <c r="S5257" t="s">
        <v>31775</v>
      </c>
      <c r="T5257">
        <v>24</v>
      </c>
      <c r="U5257" s="2" t="s">
        <v>31776</v>
      </c>
      <c r="W5257" t="s">
        <v>48</v>
      </c>
      <c r="X5257">
        <v>807987</v>
      </c>
      <c r="Y5257" t="s">
        <v>1111</v>
      </c>
      <c r="Z5257" t="s">
        <v>1519</v>
      </c>
      <c r="AA5257" s="2" t="s">
        <v>31711</v>
      </c>
      <c r="AB5257" t="s">
        <v>31777</v>
      </c>
      <c r="AG5257" t="s">
        <v>31778</v>
      </c>
      <c r="AH5257" t="s">
        <v>24383</v>
      </c>
      <c r="AI5257" t="s">
        <v>31779</v>
      </c>
    </row>
    <row r="5258" spans="2:35" ht="409.5">
      <c r="B5258" s="1">
        <v>45336</v>
      </c>
      <c r="C5258" s="4">
        <v>45336.402777777781</v>
      </c>
      <c r="D5258" t="s">
        <v>1127</v>
      </c>
      <c r="E5258" t="s">
        <v>31780</v>
      </c>
      <c r="F5258">
        <v>8</v>
      </c>
      <c r="G5258" t="s">
        <v>342</v>
      </c>
      <c r="H5258" t="s">
        <v>5523</v>
      </c>
      <c r="I5258" t="s">
        <v>94</v>
      </c>
      <c r="J5258" s="2" t="s">
        <v>1309</v>
      </c>
      <c r="K5258" t="s">
        <v>42</v>
      </c>
      <c r="L5258" t="s">
        <v>259</v>
      </c>
      <c r="N5258" t="s">
        <v>260</v>
      </c>
      <c r="Q5258">
        <v>27287</v>
      </c>
      <c r="R5258" t="s">
        <v>45</v>
      </c>
      <c r="S5258" t="s">
        <v>23575</v>
      </c>
      <c r="T5258">
        <v>21</v>
      </c>
      <c r="U5258" s="2" t="s">
        <v>31781</v>
      </c>
      <c r="V5258" s="1">
        <v>45336</v>
      </c>
      <c r="W5258" t="s">
        <v>84</v>
      </c>
      <c r="X5258">
        <v>808631</v>
      </c>
      <c r="Y5258" s="2" t="s">
        <v>31782</v>
      </c>
      <c r="Z5258" t="e">
        <f ca="1">- module Replacement
- Preventive Maintenance
- XpertCheck CALIBRATION</f>
        <v>#NAME?</v>
      </c>
      <c r="AA5258" s="2" t="s">
        <v>31783</v>
      </c>
      <c r="AB5258" t="s">
        <v>70</v>
      </c>
      <c r="AD5258" s="2" t="s">
        <v>31784</v>
      </c>
      <c r="AE5258" t="s">
        <v>45</v>
      </c>
      <c r="AG5258" t="s">
        <v>31785</v>
      </c>
      <c r="AH5258" t="s">
        <v>31786</v>
      </c>
      <c r="AI5258" t="s">
        <v>31787</v>
      </c>
    </row>
    <row r="5259" spans="2:35" ht="180">
      <c r="B5259" s="1">
        <v>45336</v>
      </c>
      <c r="C5259" s="4">
        <v>45336.416666666664</v>
      </c>
      <c r="D5259" t="s">
        <v>2176</v>
      </c>
      <c r="E5259" t="s">
        <v>2177</v>
      </c>
      <c r="F5259" t="s">
        <v>148</v>
      </c>
      <c r="G5259" t="s">
        <v>447</v>
      </c>
      <c r="H5259" t="s">
        <v>2581</v>
      </c>
      <c r="I5259" t="s">
        <v>40</v>
      </c>
      <c r="J5259" t="s">
        <v>109</v>
      </c>
      <c r="K5259" t="s">
        <v>42</v>
      </c>
      <c r="L5259" t="s">
        <v>448</v>
      </c>
      <c r="N5259" t="s">
        <v>650</v>
      </c>
      <c r="O5259" t="s">
        <v>650</v>
      </c>
      <c r="Q5259">
        <v>27286</v>
      </c>
      <c r="R5259" t="s">
        <v>322</v>
      </c>
      <c r="S5259" t="s">
        <v>650</v>
      </c>
      <c r="T5259">
        <v>28</v>
      </c>
      <c r="U5259" s="2" t="s">
        <v>31788</v>
      </c>
      <c r="W5259" t="s">
        <v>1573</v>
      </c>
      <c r="X5259">
        <v>110014085</v>
      </c>
      <c r="Y5259" t="s">
        <v>485</v>
      </c>
      <c r="Z5259" s="2" t="s">
        <v>2011</v>
      </c>
      <c r="AA5259" t="s">
        <v>6997</v>
      </c>
      <c r="AB5259" t="s">
        <v>486</v>
      </c>
      <c r="AG5259" t="s">
        <v>31789</v>
      </c>
      <c r="AH5259" t="s">
        <v>2588</v>
      </c>
      <c r="AI5259" t="s">
        <v>31790</v>
      </c>
    </row>
    <row r="5260" spans="2:35" ht="150">
      <c r="B5260" s="1">
        <v>45336</v>
      </c>
      <c r="C5260" s="4">
        <v>45336.414583333331</v>
      </c>
      <c r="D5260" t="s">
        <v>3139</v>
      </c>
      <c r="E5260" t="s">
        <v>3140</v>
      </c>
      <c r="F5260">
        <v>3</v>
      </c>
      <c r="G5260" t="s">
        <v>174</v>
      </c>
      <c r="H5260" t="s">
        <v>61</v>
      </c>
      <c r="I5260" t="s">
        <v>40</v>
      </c>
      <c r="J5260" s="2" t="s">
        <v>41</v>
      </c>
      <c r="K5260" t="s">
        <v>42</v>
      </c>
      <c r="L5260" t="s">
        <v>175</v>
      </c>
      <c r="N5260" t="s">
        <v>176</v>
      </c>
      <c r="Q5260">
        <v>27285</v>
      </c>
      <c r="R5260" t="s">
        <v>45</v>
      </c>
      <c r="S5260" t="s">
        <v>18595</v>
      </c>
      <c r="T5260">
        <v>20</v>
      </c>
      <c r="V5260" s="1">
        <v>45330</v>
      </c>
      <c r="W5260" t="s">
        <v>84</v>
      </c>
      <c r="X5260">
        <v>834623</v>
      </c>
      <c r="Y5260" t="s">
        <v>31791</v>
      </c>
      <c r="Z5260" t="s">
        <v>233</v>
      </c>
      <c r="AA5260" t="e">
        <f ca="1">- replaced module A1
- checked _xludf.and cleaned cartridge bay,  plunger rod, _xludf.filter
- generated reports
- scanned system _xludf.Log _xludf.For possible hardware problems (None found)</f>
        <v>#NAME?</v>
      </c>
      <c r="AB5260" s="2" t="s">
        <v>31792</v>
      </c>
      <c r="AD5260" t="s">
        <v>182</v>
      </c>
      <c r="AE5260" t="s">
        <v>103</v>
      </c>
      <c r="AG5260" t="s">
        <v>31793</v>
      </c>
      <c r="AH5260" t="s">
        <v>18598</v>
      </c>
      <c r="AI5260" t="s">
        <v>31794</v>
      </c>
    </row>
    <row r="5261" spans="2:35" ht="405">
      <c r="B5261" s="1">
        <v>45336</v>
      </c>
      <c r="C5261" s="4">
        <v>45336.385416666664</v>
      </c>
      <c r="D5261" t="s">
        <v>31795</v>
      </c>
      <c r="E5261" t="s">
        <v>31796</v>
      </c>
      <c r="F5261">
        <v>5</v>
      </c>
      <c r="G5261" t="s">
        <v>839</v>
      </c>
      <c r="H5261" t="s">
        <v>31797</v>
      </c>
      <c r="I5261" t="s">
        <v>40</v>
      </c>
      <c r="J5261" s="2" t="s">
        <v>62</v>
      </c>
      <c r="K5261" t="s">
        <v>42</v>
      </c>
      <c r="L5261" t="s">
        <v>761</v>
      </c>
      <c r="N5261" t="s">
        <v>762</v>
      </c>
      <c r="Q5261">
        <v>27284</v>
      </c>
      <c r="R5261" t="s">
        <v>719</v>
      </c>
      <c r="S5261" t="s">
        <v>31798</v>
      </c>
      <c r="T5261">
        <v>26</v>
      </c>
      <c r="U5261" s="2" t="s">
        <v>31799</v>
      </c>
      <c r="W5261" t="s">
        <v>765</v>
      </c>
      <c r="X5261">
        <v>846355</v>
      </c>
      <c r="Y5261" t="s">
        <v>31800</v>
      </c>
      <c r="Z5261" s="2" t="s">
        <v>31801</v>
      </c>
      <c r="AA5261" s="2" t="s">
        <v>4477</v>
      </c>
      <c r="AB5261" t="s">
        <v>181</v>
      </c>
      <c r="AG5261" t="s">
        <v>31802</v>
      </c>
      <c r="AH5261" t="s">
        <v>31803</v>
      </c>
      <c r="AI5261" t="s">
        <v>31804</v>
      </c>
    </row>
    <row r="5262" spans="2:35" ht="255">
      <c r="B5262" s="1">
        <v>45336</v>
      </c>
      <c r="C5262" s="4">
        <v>45336.340277777781</v>
      </c>
      <c r="D5262" t="s">
        <v>7881</v>
      </c>
      <c r="E5262" t="s">
        <v>8756</v>
      </c>
      <c r="F5262">
        <v>7</v>
      </c>
      <c r="G5262" t="s">
        <v>432</v>
      </c>
      <c r="H5262" t="s">
        <v>608</v>
      </c>
      <c r="I5262" t="s">
        <v>40</v>
      </c>
      <c r="J5262" t="s">
        <v>996</v>
      </c>
      <c r="K5262" t="s">
        <v>42</v>
      </c>
      <c r="L5262" t="s">
        <v>610</v>
      </c>
      <c r="N5262" t="s">
        <v>611</v>
      </c>
      <c r="Q5262">
        <v>27283</v>
      </c>
      <c r="R5262" t="s">
        <v>119</v>
      </c>
      <c r="S5262" t="s">
        <v>13419</v>
      </c>
      <c r="T5262">
        <v>25</v>
      </c>
      <c r="U5262" s="2" t="s">
        <v>25350</v>
      </c>
      <c r="W5262" t="s">
        <v>360</v>
      </c>
      <c r="X5262">
        <v>838512</v>
      </c>
      <c r="Y5262" t="s">
        <v>31805</v>
      </c>
      <c r="Z5262" s="2" t="s">
        <v>31806</v>
      </c>
      <c r="AA5262" s="2" t="s">
        <v>31807</v>
      </c>
      <c r="AB5262" s="2" t="s">
        <v>31808</v>
      </c>
      <c r="AG5262" t="s">
        <v>31809</v>
      </c>
      <c r="AH5262" t="s">
        <v>31810</v>
      </c>
      <c r="AI5262" t="s">
        <v>31811</v>
      </c>
    </row>
    <row r="5263" spans="2:35" ht="255">
      <c r="B5263" s="1">
        <v>45336</v>
      </c>
      <c r="C5263" s="4">
        <v>45336.340277777781</v>
      </c>
      <c r="D5263" t="s">
        <v>7881</v>
      </c>
      <c r="E5263" t="s">
        <v>8756</v>
      </c>
      <c r="F5263">
        <v>7</v>
      </c>
      <c r="G5263" t="s">
        <v>432</v>
      </c>
      <c r="H5263" t="s">
        <v>608</v>
      </c>
      <c r="I5263" t="s">
        <v>40</v>
      </c>
      <c r="J5263" t="s">
        <v>996</v>
      </c>
      <c r="K5263" t="s">
        <v>42</v>
      </c>
      <c r="L5263" t="s">
        <v>610</v>
      </c>
      <c r="N5263" t="s">
        <v>611</v>
      </c>
      <c r="Q5263">
        <v>27282</v>
      </c>
      <c r="R5263" t="s">
        <v>119</v>
      </c>
      <c r="S5263" t="s">
        <v>13419</v>
      </c>
      <c r="T5263">
        <v>25</v>
      </c>
      <c r="U5263" s="2" t="s">
        <v>25350</v>
      </c>
      <c r="W5263" t="s">
        <v>360</v>
      </c>
      <c r="X5263">
        <v>838512</v>
      </c>
      <c r="Y5263" t="s">
        <v>31805</v>
      </c>
      <c r="Z5263" s="2" t="s">
        <v>31806</v>
      </c>
      <c r="AA5263" s="2" t="s">
        <v>31807</v>
      </c>
      <c r="AB5263" s="2" t="s">
        <v>31808</v>
      </c>
      <c r="AG5263" t="s">
        <v>31812</v>
      </c>
      <c r="AH5263" t="s">
        <v>31810</v>
      </c>
      <c r="AI5263" t="s">
        <v>31813</v>
      </c>
    </row>
    <row r="5264" spans="2:35" ht="120">
      <c r="B5264" s="1">
        <v>45335</v>
      </c>
      <c r="C5264" s="4">
        <v>45335.816666666666</v>
      </c>
      <c r="D5264" t="s">
        <v>23371</v>
      </c>
      <c r="E5264" t="s">
        <v>4655</v>
      </c>
      <c r="F5264">
        <v>10</v>
      </c>
      <c r="G5264" t="s">
        <v>1395</v>
      </c>
      <c r="H5264" t="s">
        <v>39</v>
      </c>
      <c r="I5264" t="s">
        <v>40</v>
      </c>
      <c r="J5264" t="s">
        <v>31814</v>
      </c>
      <c r="K5264" t="s">
        <v>42</v>
      </c>
      <c r="L5264" t="s">
        <v>1288</v>
      </c>
      <c r="N5264" t="s">
        <v>1289</v>
      </c>
      <c r="Q5264">
        <v>27281</v>
      </c>
      <c r="R5264" t="s">
        <v>45</v>
      </c>
      <c r="S5264" t="s">
        <v>31815</v>
      </c>
      <c r="T5264">
        <v>25</v>
      </c>
      <c r="U5264" s="2" t="s">
        <v>31816</v>
      </c>
      <c r="W5264" t="s">
        <v>6776</v>
      </c>
      <c r="X5264">
        <v>804682</v>
      </c>
      <c r="Y5264" t="s">
        <v>31817</v>
      </c>
      <c r="Z5264" t="s">
        <v>16600</v>
      </c>
      <c r="AA5264" t="e">
        <f ca="1">-Inspect EQUIPMENT functionality, passed
-Pack GX EQUIPMENT _xludf.and peripherals _xludf.For transfer</f>
        <v>#NAME?</v>
      </c>
      <c r="AB5264" t="s">
        <v>1293</v>
      </c>
      <c r="AG5264" t="s">
        <v>31818</v>
      </c>
      <c r="AH5264" t="s">
        <v>31819</v>
      </c>
      <c r="AI5264" t="s">
        <v>31820</v>
      </c>
    </row>
    <row r="5265" spans="2:35" ht="375">
      <c r="B5265" s="1">
        <v>45335</v>
      </c>
      <c r="C5265" s="4">
        <v>45335.798611111109</v>
      </c>
      <c r="D5265" t="s">
        <v>23371</v>
      </c>
      <c r="E5265" t="s">
        <v>4655</v>
      </c>
      <c r="F5265">
        <v>10</v>
      </c>
      <c r="G5265" t="s">
        <v>1395</v>
      </c>
      <c r="H5265" t="s">
        <v>39</v>
      </c>
      <c r="I5265" t="s">
        <v>40</v>
      </c>
      <c r="J5265" s="2" t="s">
        <v>41</v>
      </c>
      <c r="K5265" t="s">
        <v>42</v>
      </c>
      <c r="L5265" t="s">
        <v>1288</v>
      </c>
      <c r="N5265" t="s">
        <v>1289</v>
      </c>
      <c r="Q5265">
        <v>27280</v>
      </c>
      <c r="R5265" t="s">
        <v>45</v>
      </c>
      <c r="S5265" t="s">
        <v>23373</v>
      </c>
      <c r="T5265">
        <v>24</v>
      </c>
      <c r="U5265" s="2" t="s">
        <v>31821</v>
      </c>
      <c r="W5265" t="s">
        <v>536</v>
      </c>
      <c r="X5265">
        <v>844118</v>
      </c>
      <c r="Y5265" t="s">
        <v>31822</v>
      </c>
      <c r="Z5265" t="e">
        <f ca="1">-COLLECT IQR, system _xludf.Log, _xludf.and ARCHIVE</f>
        <v>#NAME?</v>
      </c>
      <c r="AA5265" s="2" t="s">
        <v>31823</v>
      </c>
      <c r="AB5265" t="s">
        <v>1293</v>
      </c>
      <c r="AG5265" t="s">
        <v>31824</v>
      </c>
      <c r="AH5265" t="s">
        <v>31825</v>
      </c>
      <c r="AI5265" t="s">
        <v>31826</v>
      </c>
    </row>
    <row r="5266" spans="2:35" ht="75">
      <c r="B5266" s="1">
        <v>45335</v>
      </c>
      <c r="C5266" s="4">
        <v>45335.806944444441</v>
      </c>
      <c r="D5266" t="s">
        <v>31827</v>
      </c>
      <c r="E5266" t="s">
        <v>4655</v>
      </c>
      <c r="F5266">
        <v>10</v>
      </c>
      <c r="G5266" t="s">
        <v>1395</v>
      </c>
      <c r="H5266" t="s">
        <v>39</v>
      </c>
      <c r="I5266" t="s">
        <v>40</v>
      </c>
      <c r="J5266" t="s">
        <v>321</v>
      </c>
      <c r="K5266" t="s">
        <v>42</v>
      </c>
      <c r="L5266" t="s">
        <v>1288</v>
      </c>
      <c r="N5266" t="s">
        <v>1289</v>
      </c>
      <c r="Q5266">
        <v>27279</v>
      </c>
      <c r="R5266" t="s">
        <v>45</v>
      </c>
      <c r="S5266" t="s">
        <v>23373</v>
      </c>
      <c r="T5266">
        <v>26</v>
      </c>
      <c r="U5266" s="2" t="s">
        <v>29810</v>
      </c>
      <c r="W5266" t="s">
        <v>9206</v>
      </c>
      <c r="X5266">
        <v>110020363</v>
      </c>
      <c r="Y5266" t="s">
        <v>18838</v>
      </c>
      <c r="Z5266" t="e">
        <f ca="1">-COLLECT IQR _xludf.and DOCUMENTATION</f>
        <v>#NAME?</v>
      </c>
      <c r="AA5266" t="e">
        <f ca="1">-PERFORM Installation of new GX EQUIPMENT _xludf.and Set up GeneXpert workstation</f>
        <v>#NAME?</v>
      </c>
      <c r="AB5266" t="s">
        <v>1293</v>
      </c>
      <c r="AG5266" t="s">
        <v>31828</v>
      </c>
      <c r="AH5266" t="s">
        <v>31825</v>
      </c>
      <c r="AI5266" t="s">
        <v>31829</v>
      </c>
    </row>
    <row r="5267" spans="2:35" ht="375">
      <c r="B5267" s="1">
        <v>45335</v>
      </c>
      <c r="C5267" s="4">
        <v>45335.798611111109</v>
      </c>
      <c r="D5267" t="s">
        <v>23371</v>
      </c>
      <c r="E5267" t="s">
        <v>4655</v>
      </c>
      <c r="F5267">
        <v>10</v>
      </c>
      <c r="G5267" t="s">
        <v>1395</v>
      </c>
      <c r="H5267" t="s">
        <v>39</v>
      </c>
      <c r="I5267" t="s">
        <v>40</v>
      </c>
      <c r="J5267" s="2" t="s">
        <v>41</v>
      </c>
      <c r="K5267" t="s">
        <v>42</v>
      </c>
      <c r="L5267" t="s">
        <v>1288</v>
      </c>
      <c r="N5267" t="s">
        <v>1289</v>
      </c>
      <c r="Q5267">
        <v>27278</v>
      </c>
      <c r="R5267" t="s">
        <v>45</v>
      </c>
      <c r="S5267" t="s">
        <v>23373</v>
      </c>
      <c r="T5267">
        <v>24</v>
      </c>
      <c r="U5267" s="2" t="s">
        <v>31821</v>
      </c>
      <c r="W5267" t="s">
        <v>536</v>
      </c>
      <c r="X5267">
        <v>844118</v>
      </c>
      <c r="Y5267" t="s">
        <v>31822</v>
      </c>
      <c r="Z5267" t="e">
        <f ca="1">-COLLECT IQR, system _xludf.Log, _xludf.and ARCHIVE</f>
        <v>#NAME?</v>
      </c>
      <c r="AA5267" s="2" t="s">
        <v>31823</v>
      </c>
      <c r="AB5267" t="s">
        <v>1293</v>
      </c>
      <c r="AG5267" t="s">
        <v>31824</v>
      </c>
      <c r="AH5267" t="s">
        <v>31825</v>
      </c>
      <c r="AI5267" t="s">
        <v>31826</v>
      </c>
    </row>
    <row r="5268" spans="2:35" ht="120">
      <c r="B5268" s="1">
        <v>45335</v>
      </c>
      <c r="C5268" s="4">
        <v>45335.789583333331</v>
      </c>
      <c r="D5268" t="s">
        <v>31830</v>
      </c>
      <c r="E5268" t="s">
        <v>31831</v>
      </c>
      <c r="F5268">
        <v>10</v>
      </c>
      <c r="G5268" t="s">
        <v>1395</v>
      </c>
      <c r="H5268" t="s">
        <v>2125</v>
      </c>
      <c r="I5268" t="s">
        <v>40</v>
      </c>
      <c r="J5268" s="2" t="s">
        <v>41</v>
      </c>
      <c r="K5268" t="s">
        <v>42</v>
      </c>
      <c r="L5268" t="s">
        <v>933</v>
      </c>
      <c r="N5268" t="s">
        <v>934</v>
      </c>
      <c r="Q5268">
        <v>27277</v>
      </c>
      <c r="R5268" t="s">
        <v>45</v>
      </c>
      <c r="S5268" t="s">
        <v>31832</v>
      </c>
      <c r="T5268">
        <v>25</v>
      </c>
      <c r="U5268" s="2" t="s">
        <v>31816</v>
      </c>
      <c r="W5268" t="s">
        <v>360</v>
      </c>
      <c r="X5268">
        <v>804682</v>
      </c>
      <c r="Y5268" t="s">
        <v>31833</v>
      </c>
      <c r="Z5268" t="s">
        <v>301</v>
      </c>
      <c r="AA5268" t="s">
        <v>31834</v>
      </c>
      <c r="AB5268" t="s">
        <v>13650</v>
      </c>
      <c r="AG5268" t="s">
        <v>31835</v>
      </c>
      <c r="AH5268" t="s">
        <v>23377</v>
      </c>
      <c r="AI5268" t="s">
        <v>31836</v>
      </c>
    </row>
    <row r="5269" spans="2:35" ht="225">
      <c r="B5269" s="1">
        <v>45335</v>
      </c>
      <c r="C5269" s="4">
        <v>45335.679166666669</v>
      </c>
      <c r="D5269" t="s">
        <v>31837</v>
      </c>
      <c r="E5269" t="s">
        <v>31838</v>
      </c>
      <c r="F5269">
        <v>5</v>
      </c>
      <c r="G5269" t="s">
        <v>839</v>
      </c>
      <c r="H5269" t="s">
        <v>16689</v>
      </c>
      <c r="I5269" t="s">
        <v>40</v>
      </c>
      <c r="J5269" s="2" t="s">
        <v>41</v>
      </c>
      <c r="K5269" t="s">
        <v>42</v>
      </c>
      <c r="L5269" t="s">
        <v>761</v>
      </c>
      <c r="N5269" t="s">
        <v>762</v>
      </c>
      <c r="Q5269">
        <v>27276</v>
      </c>
      <c r="R5269" t="s">
        <v>45</v>
      </c>
      <c r="S5269" t="s">
        <v>31839</v>
      </c>
      <c r="T5269">
        <v>23</v>
      </c>
      <c r="U5269" s="2" t="s">
        <v>15357</v>
      </c>
      <c r="W5269" t="s">
        <v>26408</v>
      </c>
      <c r="X5269">
        <v>834808</v>
      </c>
      <c r="Y5269" t="s">
        <v>31840</v>
      </c>
      <c r="Z5269" s="2" t="s">
        <v>31841</v>
      </c>
      <c r="AA5269" s="2" t="s">
        <v>31842</v>
      </c>
      <c r="AB5269" t="s">
        <v>181</v>
      </c>
      <c r="AG5269" t="s">
        <v>31843</v>
      </c>
      <c r="AH5269" t="s">
        <v>31844</v>
      </c>
      <c r="AI5269" t="s">
        <v>31845</v>
      </c>
    </row>
    <row r="5270" spans="2:35" ht="409.5">
      <c r="B5270" s="1">
        <v>45335</v>
      </c>
      <c r="C5270" s="4">
        <v>45335.614583333336</v>
      </c>
      <c r="D5270" t="s">
        <v>31846</v>
      </c>
      <c r="E5270" t="s">
        <v>31847</v>
      </c>
      <c r="F5270" t="s">
        <v>1181</v>
      </c>
      <c r="G5270" t="s">
        <v>7148</v>
      </c>
      <c r="H5270" t="s">
        <v>39</v>
      </c>
      <c r="I5270" t="s">
        <v>40</v>
      </c>
      <c r="J5270" s="2" t="s">
        <v>62</v>
      </c>
      <c r="K5270" t="s">
        <v>42</v>
      </c>
      <c r="L5270" t="s">
        <v>1943</v>
      </c>
      <c r="N5270" t="s">
        <v>1944</v>
      </c>
      <c r="Q5270">
        <v>27275</v>
      </c>
      <c r="R5270" t="s">
        <v>45</v>
      </c>
      <c r="S5270" t="s">
        <v>31848</v>
      </c>
      <c r="T5270">
        <v>25</v>
      </c>
      <c r="W5270" t="s">
        <v>84</v>
      </c>
      <c r="X5270">
        <v>838197</v>
      </c>
      <c r="Y5270" s="2" t="s">
        <v>23659</v>
      </c>
      <c r="Z5270" t="s">
        <v>23660</v>
      </c>
      <c r="AA5270" s="2" t="s">
        <v>29426</v>
      </c>
      <c r="AB5270" t="s">
        <v>31849</v>
      </c>
      <c r="AG5270" t="s">
        <v>31850</v>
      </c>
      <c r="AH5270" t="s">
        <v>31851</v>
      </c>
      <c r="AI5270" t="s">
        <v>31852</v>
      </c>
    </row>
    <row r="5271" spans="2:35" ht="195">
      <c r="B5271" s="1">
        <v>45335</v>
      </c>
      <c r="C5271" s="4">
        <v>45335.611111111109</v>
      </c>
      <c r="D5271" t="s">
        <v>31853</v>
      </c>
      <c r="E5271" t="s">
        <v>31854</v>
      </c>
      <c r="F5271">
        <v>3</v>
      </c>
      <c r="G5271" t="s">
        <v>1722</v>
      </c>
      <c r="H5271" t="s">
        <v>39</v>
      </c>
      <c r="I5271" t="s">
        <v>40</v>
      </c>
      <c r="J5271" s="2" t="s">
        <v>62</v>
      </c>
      <c r="K5271" t="s">
        <v>42</v>
      </c>
      <c r="L5271" t="s">
        <v>63</v>
      </c>
      <c r="N5271" t="s">
        <v>64</v>
      </c>
      <c r="Q5271">
        <v>27274</v>
      </c>
      <c r="R5271" t="s">
        <v>45</v>
      </c>
      <c r="S5271" t="s">
        <v>31855</v>
      </c>
      <c r="T5271">
        <v>27</v>
      </c>
      <c r="U5271" s="2" t="s">
        <v>31856</v>
      </c>
      <c r="V5271" s="1">
        <v>45335</v>
      </c>
      <c r="W5271" t="s">
        <v>26915</v>
      </c>
      <c r="X5271">
        <v>838888</v>
      </c>
      <c r="Y5271" t="s">
        <v>31857</v>
      </c>
      <c r="Z5271" s="2" t="s">
        <v>4222</v>
      </c>
      <c r="AA5271" s="2" t="s">
        <v>31858</v>
      </c>
      <c r="AB5271" t="s">
        <v>70</v>
      </c>
      <c r="AC5271" t="s">
        <v>1716</v>
      </c>
      <c r="AD5271" t="s">
        <v>31742</v>
      </c>
      <c r="AE5271" t="s">
        <v>1716</v>
      </c>
      <c r="AG5271" t="s">
        <v>31859</v>
      </c>
      <c r="AH5271" t="s">
        <v>31860</v>
      </c>
      <c r="AI5271" t="s">
        <v>31861</v>
      </c>
    </row>
    <row r="5272" spans="2:35" ht="210">
      <c r="B5272" s="1">
        <v>45335</v>
      </c>
      <c r="C5272" s="4">
        <v>45335.597916666666</v>
      </c>
      <c r="D5272" t="s">
        <v>29975</v>
      </c>
      <c r="E5272" t="s">
        <v>31862</v>
      </c>
      <c r="F5272">
        <v>9</v>
      </c>
      <c r="G5272" t="s">
        <v>1628</v>
      </c>
      <c r="H5272" t="s">
        <v>39</v>
      </c>
      <c r="I5272" t="s">
        <v>94</v>
      </c>
      <c r="J5272" s="2" t="s">
        <v>31863</v>
      </c>
      <c r="K5272" t="s">
        <v>42</v>
      </c>
      <c r="L5272" t="s">
        <v>1257</v>
      </c>
      <c r="N5272" t="s">
        <v>2199</v>
      </c>
      <c r="O5272" t="s">
        <v>1258</v>
      </c>
      <c r="Q5272">
        <v>27273</v>
      </c>
      <c r="R5272" t="s">
        <v>45</v>
      </c>
      <c r="S5272" t="s">
        <v>1629</v>
      </c>
      <c r="T5272">
        <v>28</v>
      </c>
      <c r="U5272" s="2" t="s">
        <v>31864</v>
      </c>
      <c r="V5272" s="1">
        <v>45335</v>
      </c>
      <c r="W5272" t="s">
        <v>2384</v>
      </c>
      <c r="X5272">
        <v>808615</v>
      </c>
      <c r="Y5272" t="s">
        <v>31865</v>
      </c>
      <c r="Z5272" t="s">
        <v>31866</v>
      </c>
      <c r="AA5272" t="s">
        <v>31867</v>
      </c>
      <c r="AB5272" t="s">
        <v>31868</v>
      </c>
      <c r="AC5272" t="s">
        <v>31869</v>
      </c>
      <c r="AD5272" t="s">
        <v>54</v>
      </c>
      <c r="AE5272" t="s">
        <v>54</v>
      </c>
      <c r="AG5272" t="s">
        <v>31870</v>
      </c>
      <c r="AH5272" t="s">
        <v>31871</v>
      </c>
      <c r="AI5272" t="s">
        <v>31872</v>
      </c>
    </row>
    <row r="5273" spans="2:35" ht="225">
      <c r="B5273" s="1">
        <v>45335</v>
      </c>
      <c r="C5273" s="4">
        <v>45335.55972222222</v>
      </c>
      <c r="D5273" t="s">
        <v>7743</v>
      </c>
      <c r="E5273" t="s">
        <v>17719</v>
      </c>
      <c r="F5273">
        <v>11</v>
      </c>
      <c r="G5273" t="s">
        <v>1205</v>
      </c>
      <c r="H5273" t="s">
        <v>202</v>
      </c>
      <c r="I5273" t="s">
        <v>40</v>
      </c>
      <c r="J5273" s="2" t="s">
        <v>355</v>
      </c>
      <c r="K5273" t="s">
        <v>42</v>
      </c>
      <c r="L5273" t="s">
        <v>204</v>
      </c>
      <c r="N5273" t="s">
        <v>205</v>
      </c>
      <c r="Q5273">
        <v>27272</v>
      </c>
      <c r="R5273" t="s">
        <v>119</v>
      </c>
      <c r="S5273" t="s">
        <v>7745</v>
      </c>
      <c r="T5273">
        <v>25.7</v>
      </c>
      <c r="U5273" s="2" t="s">
        <v>18331</v>
      </c>
      <c r="W5273" t="s">
        <v>23237</v>
      </c>
      <c r="X5273">
        <v>838492</v>
      </c>
      <c r="Y5273" t="s">
        <v>31873</v>
      </c>
      <c r="Z5273" s="2" t="s">
        <v>31874</v>
      </c>
      <c r="AA5273" t="s">
        <v>31875</v>
      </c>
      <c r="AB5273" t="s">
        <v>31876</v>
      </c>
      <c r="AC5273" t="s">
        <v>31877</v>
      </c>
      <c r="AG5273" t="s">
        <v>31878</v>
      </c>
      <c r="AH5273" t="s">
        <v>31879</v>
      </c>
      <c r="AI5273" t="s">
        <v>31880</v>
      </c>
    </row>
    <row r="5274" spans="2:35" ht="360">
      <c r="B5274" s="1">
        <v>45335</v>
      </c>
      <c r="C5274" s="4">
        <v>45329.59375</v>
      </c>
      <c r="D5274" t="s">
        <v>3050</v>
      </c>
      <c r="E5274" t="s">
        <v>25459</v>
      </c>
      <c r="F5274" t="s">
        <v>148</v>
      </c>
      <c r="G5274" t="s">
        <v>371</v>
      </c>
      <c r="H5274" t="s">
        <v>39</v>
      </c>
      <c r="I5274" t="s">
        <v>40</v>
      </c>
      <c r="J5274" s="2" t="s">
        <v>190</v>
      </c>
      <c r="K5274" t="s">
        <v>42</v>
      </c>
      <c r="L5274" t="s">
        <v>15532</v>
      </c>
      <c r="N5274" t="s">
        <v>15533</v>
      </c>
      <c r="Q5274">
        <v>27271</v>
      </c>
      <c r="R5274" t="s">
        <v>45</v>
      </c>
      <c r="S5274" t="s">
        <v>3052</v>
      </c>
      <c r="T5274">
        <v>29</v>
      </c>
      <c r="W5274" t="s">
        <v>23974</v>
      </c>
      <c r="X5274">
        <v>814154</v>
      </c>
      <c r="Y5274" t="s">
        <v>31881</v>
      </c>
      <c r="Z5274" s="2" t="s">
        <v>31882</v>
      </c>
      <c r="AA5274" t="s">
        <v>2322</v>
      </c>
      <c r="AB5274" t="s">
        <v>31883</v>
      </c>
      <c r="AG5274" t="s">
        <v>31884</v>
      </c>
      <c r="AH5274" t="s">
        <v>25468</v>
      </c>
      <c r="AI5274" t="s">
        <v>31885</v>
      </c>
    </row>
    <row r="5275" spans="2:35" ht="409.5">
      <c r="B5275" s="1">
        <v>45335</v>
      </c>
      <c r="C5275" s="4">
        <v>45335.466666666667</v>
      </c>
      <c r="D5275" t="s">
        <v>31886</v>
      </c>
      <c r="E5275" t="s">
        <v>31887</v>
      </c>
      <c r="F5275" t="s">
        <v>1181</v>
      </c>
      <c r="G5275" t="s">
        <v>7148</v>
      </c>
      <c r="H5275" t="s">
        <v>31888</v>
      </c>
      <c r="I5275" t="s">
        <v>40</v>
      </c>
      <c r="J5275" s="2" t="s">
        <v>1309</v>
      </c>
      <c r="K5275" t="s">
        <v>42</v>
      </c>
      <c r="L5275" t="s">
        <v>1943</v>
      </c>
      <c r="N5275" t="s">
        <v>1944</v>
      </c>
      <c r="Q5275">
        <v>27270</v>
      </c>
      <c r="R5275" t="s">
        <v>45</v>
      </c>
      <c r="S5275" t="s">
        <v>31889</v>
      </c>
      <c r="T5275">
        <v>25</v>
      </c>
      <c r="U5275" s="2" t="s">
        <v>31890</v>
      </c>
      <c r="V5275" s="1">
        <v>45322</v>
      </c>
      <c r="W5275" t="s">
        <v>84</v>
      </c>
      <c r="X5275">
        <v>812791</v>
      </c>
      <c r="Y5275" s="2" t="s">
        <v>31891</v>
      </c>
      <c r="Z5275" t="s">
        <v>30254</v>
      </c>
      <c r="AA5275" s="2" t="s">
        <v>30255</v>
      </c>
      <c r="AB5275" t="s">
        <v>8352</v>
      </c>
      <c r="AD5275" s="2" t="s">
        <v>31892</v>
      </c>
      <c r="AE5275" t="s">
        <v>31893</v>
      </c>
      <c r="AG5275" t="s">
        <v>31894</v>
      </c>
      <c r="AH5275" t="s">
        <v>31895</v>
      </c>
      <c r="AI5275" t="s">
        <v>31896</v>
      </c>
    </row>
    <row r="5276" spans="2:35" ht="285">
      <c r="B5276" s="1">
        <v>45335</v>
      </c>
      <c r="C5276" s="4">
        <v>45335.469444444447</v>
      </c>
      <c r="D5276" t="s">
        <v>2943</v>
      </c>
      <c r="E5276" t="s">
        <v>2944</v>
      </c>
      <c r="F5276">
        <v>8</v>
      </c>
      <c r="G5276" t="s">
        <v>2945</v>
      </c>
      <c r="H5276" t="s">
        <v>39</v>
      </c>
      <c r="I5276" t="s">
        <v>94</v>
      </c>
      <c r="J5276" s="2" t="s">
        <v>30202</v>
      </c>
      <c r="K5276" t="s">
        <v>42</v>
      </c>
      <c r="L5276" t="s">
        <v>343</v>
      </c>
      <c r="N5276" t="s">
        <v>344</v>
      </c>
      <c r="Q5276">
        <v>27269</v>
      </c>
      <c r="R5276" t="s">
        <v>45</v>
      </c>
      <c r="S5276" t="s">
        <v>2947</v>
      </c>
      <c r="T5276">
        <v>26</v>
      </c>
      <c r="U5276" s="2" t="s">
        <v>31897</v>
      </c>
      <c r="V5276" s="1">
        <v>45335</v>
      </c>
      <c r="W5276" t="s">
        <v>84</v>
      </c>
      <c r="X5276">
        <v>804262</v>
      </c>
      <c r="Y5276" t="s">
        <v>31898</v>
      </c>
      <c r="Z5276" s="2" t="s">
        <v>31899</v>
      </c>
      <c r="AA5276" t="e">
        <f ca="1">-module Replacement
-Preventive Maintenance</f>
        <v>#NAME?</v>
      </c>
      <c r="AB5276" t="s">
        <v>9638</v>
      </c>
      <c r="AD5276" t="s">
        <v>31900</v>
      </c>
      <c r="AE5276" t="s">
        <v>45</v>
      </c>
      <c r="AG5276" t="s">
        <v>31901</v>
      </c>
      <c r="AH5276" t="s">
        <v>31902</v>
      </c>
      <c r="AI5276" t="s">
        <v>31903</v>
      </c>
    </row>
    <row r="5277" spans="2:35" ht="409.5">
      <c r="B5277" s="1">
        <v>45335</v>
      </c>
      <c r="C5277" s="4">
        <v>45335.415277777778</v>
      </c>
      <c r="D5277" t="s">
        <v>3119</v>
      </c>
      <c r="E5277" t="s">
        <v>21000</v>
      </c>
      <c r="F5277" t="s">
        <v>148</v>
      </c>
      <c r="G5277" t="s">
        <v>310</v>
      </c>
      <c r="H5277" t="s">
        <v>39</v>
      </c>
      <c r="I5277" t="s">
        <v>40</v>
      </c>
      <c r="J5277" t="s">
        <v>525</v>
      </c>
      <c r="K5277" t="s">
        <v>42</v>
      </c>
      <c r="L5277" t="s">
        <v>15532</v>
      </c>
      <c r="N5277" t="s">
        <v>15533</v>
      </c>
      <c r="Q5277">
        <v>27268</v>
      </c>
      <c r="R5277" t="s">
        <v>95</v>
      </c>
      <c r="S5277" t="s">
        <v>3124</v>
      </c>
      <c r="T5277">
        <v>21</v>
      </c>
      <c r="U5277" s="2" t="s">
        <v>31904</v>
      </c>
      <c r="W5277" t="s">
        <v>20940</v>
      </c>
      <c r="X5277">
        <v>110001648</v>
      </c>
      <c r="Y5277" t="s">
        <v>31905</v>
      </c>
      <c r="Z5277" s="2" t="s">
        <v>31906</v>
      </c>
      <c r="AA5277" s="2" t="s">
        <v>31907</v>
      </c>
      <c r="AB5277" s="2" t="s">
        <v>31908</v>
      </c>
      <c r="AG5277" t="s">
        <v>31909</v>
      </c>
      <c r="AH5277" t="s">
        <v>21006</v>
      </c>
      <c r="AI5277" t="s">
        <v>31910</v>
      </c>
    </row>
    <row r="5278" spans="2:35">
      <c r="B5278" s="1">
        <v>45335</v>
      </c>
      <c r="C5278" s="4">
        <v>45335.425000000003</v>
      </c>
      <c r="D5278" t="s">
        <v>3241</v>
      </c>
      <c r="E5278" t="s">
        <v>31911</v>
      </c>
      <c r="F5278">
        <v>7</v>
      </c>
      <c r="G5278" t="s">
        <v>432</v>
      </c>
      <c r="H5278" t="s">
        <v>39</v>
      </c>
      <c r="I5278" t="s">
        <v>94</v>
      </c>
      <c r="J5278" t="s">
        <v>996</v>
      </c>
      <c r="K5278" t="s">
        <v>42</v>
      </c>
      <c r="L5278" t="s">
        <v>594</v>
      </c>
      <c r="N5278" t="s">
        <v>595</v>
      </c>
      <c r="O5278" t="s">
        <v>595</v>
      </c>
      <c r="Q5278">
        <v>27267</v>
      </c>
      <c r="R5278" t="s">
        <v>45</v>
      </c>
      <c r="S5278" t="s">
        <v>23380</v>
      </c>
      <c r="T5278">
        <v>23</v>
      </c>
      <c r="W5278" t="s">
        <v>502</v>
      </c>
      <c r="X5278">
        <v>808640</v>
      </c>
      <c r="Y5278" t="s">
        <v>2060</v>
      </c>
      <c r="Z5278" t="s">
        <v>31912</v>
      </c>
      <c r="AA5278" t="s">
        <v>31912</v>
      </c>
      <c r="AB5278" t="s">
        <v>31913</v>
      </c>
      <c r="AG5278" t="s">
        <v>31914</v>
      </c>
      <c r="AH5278" t="s">
        <v>31915</v>
      </c>
      <c r="AI5278" t="s">
        <v>31916</v>
      </c>
    </row>
    <row r="5279" spans="2:35" ht="409.5">
      <c r="B5279" s="1">
        <v>45335</v>
      </c>
      <c r="C5279" s="4">
        <v>45335.42083333333</v>
      </c>
      <c r="D5279" t="s">
        <v>737</v>
      </c>
      <c r="E5279" t="s">
        <v>738</v>
      </c>
      <c r="F5279">
        <v>8</v>
      </c>
      <c r="G5279" t="s">
        <v>630</v>
      </c>
      <c r="H5279" t="s">
        <v>202</v>
      </c>
      <c r="I5279" t="s">
        <v>94</v>
      </c>
      <c r="J5279" s="2" t="s">
        <v>41</v>
      </c>
      <c r="K5279" t="s">
        <v>42</v>
      </c>
      <c r="L5279" t="s">
        <v>259</v>
      </c>
      <c r="N5279" t="s">
        <v>260</v>
      </c>
      <c r="Q5279">
        <v>27266</v>
      </c>
      <c r="R5279" t="s">
        <v>45</v>
      </c>
      <c r="S5279" t="s">
        <v>24658</v>
      </c>
      <c r="T5279">
        <v>24</v>
      </c>
      <c r="U5279" s="2" t="s">
        <v>10033</v>
      </c>
      <c r="V5279" s="1">
        <v>45335</v>
      </c>
      <c r="W5279" t="s">
        <v>84</v>
      </c>
      <c r="X5279">
        <v>835060</v>
      </c>
      <c r="Y5279" t="s">
        <v>31917</v>
      </c>
      <c r="Z5279" t="e">
        <f ca="1">-module Replacement
- Preventive Maintenance</f>
        <v>#NAME?</v>
      </c>
      <c r="AA5279" s="2" t="s">
        <v>31918</v>
      </c>
      <c r="AB5279" t="s">
        <v>70</v>
      </c>
      <c r="AD5279" t="s">
        <v>31919</v>
      </c>
      <c r="AE5279" t="s">
        <v>45</v>
      </c>
      <c r="AG5279" t="s">
        <v>31920</v>
      </c>
      <c r="AH5279" t="s">
        <v>31921</v>
      </c>
      <c r="AI5279" t="s">
        <v>31922</v>
      </c>
    </row>
    <row r="5280" spans="2:35" ht="300">
      <c r="B5280" s="1">
        <v>45335</v>
      </c>
      <c r="C5280" s="4">
        <v>45328.60833333333</v>
      </c>
      <c r="D5280" t="s">
        <v>31923</v>
      </c>
      <c r="E5280" t="s">
        <v>31924</v>
      </c>
      <c r="F5280" t="s">
        <v>37</v>
      </c>
      <c r="G5280" t="s">
        <v>748</v>
      </c>
      <c r="H5280" t="s">
        <v>39</v>
      </c>
      <c r="I5280" t="s">
        <v>40</v>
      </c>
      <c r="J5280" s="2" t="s">
        <v>30004</v>
      </c>
      <c r="K5280" t="s">
        <v>42</v>
      </c>
      <c r="L5280" t="s">
        <v>1028</v>
      </c>
      <c r="N5280" t="s">
        <v>1029</v>
      </c>
      <c r="Q5280">
        <v>27265</v>
      </c>
      <c r="R5280" t="s">
        <v>45</v>
      </c>
      <c r="S5280" t="s">
        <v>31925</v>
      </c>
      <c r="T5280">
        <v>24</v>
      </c>
      <c r="U5280" s="2" t="s">
        <v>31926</v>
      </c>
      <c r="V5280" s="1">
        <v>45327</v>
      </c>
      <c r="W5280" t="s">
        <v>1967</v>
      </c>
      <c r="X5280">
        <v>838185</v>
      </c>
      <c r="Y5280" s="2" t="s">
        <v>31927</v>
      </c>
      <c r="Z5280" s="2" t="s">
        <v>31928</v>
      </c>
      <c r="AA5280" s="2" t="s">
        <v>31929</v>
      </c>
      <c r="AB5280" s="2" t="s">
        <v>31930</v>
      </c>
      <c r="AC5280" t="s">
        <v>31931</v>
      </c>
      <c r="AD5280" t="s">
        <v>31932</v>
      </c>
      <c r="AE5280" t="s">
        <v>31933</v>
      </c>
      <c r="AG5280" t="s">
        <v>31934</v>
      </c>
      <c r="AH5280" t="s">
        <v>31935</v>
      </c>
      <c r="AI5280" t="s">
        <v>31936</v>
      </c>
    </row>
    <row r="5281" spans="2:35" ht="300">
      <c r="B5281" s="1">
        <v>45335</v>
      </c>
      <c r="C5281" s="4">
        <v>45328.60833333333</v>
      </c>
      <c r="D5281" t="s">
        <v>31923</v>
      </c>
      <c r="E5281" t="s">
        <v>31924</v>
      </c>
      <c r="F5281" t="s">
        <v>37</v>
      </c>
      <c r="G5281" t="s">
        <v>748</v>
      </c>
      <c r="H5281" t="s">
        <v>39</v>
      </c>
      <c r="I5281" t="s">
        <v>40</v>
      </c>
      <c r="J5281" s="2" t="s">
        <v>30004</v>
      </c>
      <c r="K5281" t="s">
        <v>42</v>
      </c>
      <c r="L5281" t="s">
        <v>1028</v>
      </c>
      <c r="N5281" t="s">
        <v>1029</v>
      </c>
      <c r="Q5281">
        <v>27264</v>
      </c>
      <c r="R5281" t="s">
        <v>45</v>
      </c>
      <c r="S5281" t="s">
        <v>31925</v>
      </c>
      <c r="T5281">
        <v>24</v>
      </c>
      <c r="U5281" s="2" t="s">
        <v>31926</v>
      </c>
      <c r="V5281" s="1">
        <v>45327</v>
      </c>
      <c r="W5281" t="s">
        <v>1967</v>
      </c>
      <c r="X5281">
        <v>838185</v>
      </c>
      <c r="Y5281" s="2" t="s">
        <v>31927</v>
      </c>
      <c r="Z5281" s="2" t="s">
        <v>31928</v>
      </c>
      <c r="AA5281" s="2" t="s">
        <v>31929</v>
      </c>
      <c r="AB5281" s="2" t="s">
        <v>31930</v>
      </c>
      <c r="AC5281" t="s">
        <v>31931</v>
      </c>
      <c r="AD5281" t="s">
        <v>31932</v>
      </c>
      <c r="AE5281" t="s">
        <v>31933</v>
      </c>
      <c r="AG5281" t="s">
        <v>31937</v>
      </c>
      <c r="AH5281" t="s">
        <v>31935</v>
      </c>
      <c r="AI5281" t="s">
        <v>31938</v>
      </c>
    </row>
    <row r="5282" spans="2:35" ht="285">
      <c r="B5282" s="1">
        <v>45334</v>
      </c>
      <c r="C5282" s="4">
        <v>45334.727083333331</v>
      </c>
      <c r="D5282" t="s">
        <v>23402</v>
      </c>
      <c r="E5282" t="s">
        <v>6103</v>
      </c>
      <c r="F5282" t="s">
        <v>1255</v>
      </c>
      <c r="G5282" t="s">
        <v>4685</v>
      </c>
      <c r="H5282" t="s">
        <v>10969</v>
      </c>
      <c r="I5282" t="s">
        <v>40</v>
      </c>
      <c r="J5282" s="2" t="s">
        <v>41</v>
      </c>
      <c r="K5282" t="s">
        <v>42</v>
      </c>
      <c r="L5282" t="s">
        <v>1288</v>
      </c>
      <c r="N5282" t="s">
        <v>1289</v>
      </c>
      <c r="Q5282">
        <v>27263</v>
      </c>
      <c r="R5282" t="s">
        <v>45</v>
      </c>
      <c r="S5282" t="s">
        <v>23403</v>
      </c>
      <c r="T5282">
        <v>30</v>
      </c>
      <c r="U5282" s="2" t="s">
        <v>25062</v>
      </c>
      <c r="W5282" t="s">
        <v>1292</v>
      </c>
      <c r="X5282">
        <v>807457</v>
      </c>
      <c r="Y5282" t="s">
        <v>16582</v>
      </c>
      <c r="Z5282" t="e">
        <f ca="1">-COLLECT IQR, system _xludf.Log, _xludf.and ARCHIVE</f>
        <v>#NAME?</v>
      </c>
      <c r="AA5282" s="2" t="s">
        <v>31939</v>
      </c>
      <c r="AB5282" t="s">
        <v>1293</v>
      </c>
      <c r="AG5282" t="s">
        <v>31940</v>
      </c>
      <c r="AH5282" t="s">
        <v>23407</v>
      </c>
      <c r="AI5282" t="s">
        <v>31941</v>
      </c>
    </row>
    <row r="5283" spans="2:35" ht="409.5">
      <c r="B5283" s="1">
        <v>45334</v>
      </c>
      <c r="C5283" s="4">
        <v>45334.675000000003</v>
      </c>
      <c r="D5283" t="s">
        <v>15507</v>
      </c>
      <c r="E5283" t="s">
        <v>31942</v>
      </c>
      <c r="F5283">
        <v>9</v>
      </c>
      <c r="G5283" t="s">
        <v>2197</v>
      </c>
      <c r="H5283" t="s">
        <v>39</v>
      </c>
      <c r="I5283" t="s">
        <v>94</v>
      </c>
      <c r="J5283" s="2" t="s">
        <v>17375</v>
      </c>
      <c r="K5283" t="s">
        <v>42</v>
      </c>
      <c r="L5283" t="s">
        <v>1257</v>
      </c>
      <c r="N5283" t="s">
        <v>2199</v>
      </c>
      <c r="O5283" t="s">
        <v>1258</v>
      </c>
      <c r="Q5283">
        <v>27262</v>
      </c>
      <c r="R5283" t="s">
        <v>45</v>
      </c>
      <c r="S5283" t="s">
        <v>31943</v>
      </c>
      <c r="T5283">
        <v>27</v>
      </c>
      <c r="U5283" s="2" t="s">
        <v>31944</v>
      </c>
      <c r="V5283" s="1">
        <v>45334</v>
      </c>
      <c r="W5283" t="s">
        <v>31945</v>
      </c>
      <c r="X5283">
        <v>839309</v>
      </c>
      <c r="Y5283" t="s">
        <v>31946</v>
      </c>
      <c r="Z5283" t="s">
        <v>31947</v>
      </c>
      <c r="AA5283" t="s">
        <v>31947</v>
      </c>
      <c r="AB5283" t="s">
        <v>7411</v>
      </c>
      <c r="AC5283" t="s">
        <v>301</v>
      </c>
      <c r="AD5283" t="s">
        <v>54</v>
      </c>
      <c r="AE5283" t="s">
        <v>54</v>
      </c>
      <c r="AG5283" t="s">
        <v>31948</v>
      </c>
      <c r="AH5283" t="s">
        <v>31949</v>
      </c>
      <c r="AI5283" t="s">
        <v>31950</v>
      </c>
    </row>
    <row r="5284" spans="2:35" ht="105">
      <c r="B5284" s="1">
        <v>45334</v>
      </c>
      <c r="C5284" s="4">
        <v>45334.671527777777</v>
      </c>
      <c r="D5284" t="s">
        <v>11901</v>
      </c>
      <c r="E5284" t="s">
        <v>31951</v>
      </c>
      <c r="F5284">
        <v>6</v>
      </c>
      <c r="G5284" t="s">
        <v>1234</v>
      </c>
      <c r="H5284" t="s">
        <v>1047</v>
      </c>
      <c r="I5284" t="s">
        <v>94</v>
      </c>
      <c r="J5284" t="s">
        <v>996</v>
      </c>
      <c r="K5284" t="s">
        <v>42</v>
      </c>
      <c r="L5284" t="s">
        <v>23958</v>
      </c>
      <c r="N5284" t="s">
        <v>23959</v>
      </c>
      <c r="Q5284">
        <v>27261</v>
      </c>
      <c r="R5284" t="s">
        <v>45</v>
      </c>
      <c r="S5284" t="s">
        <v>22755</v>
      </c>
      <c r="T5284">
        <v>4</v>
      </c>
      <c r="U5284" s="2" t="s">
        <v>31952</v>
      </c>
      <c r="W5284" t="s">
        <v>360</v>
      </c>
      <c r="X5284">
        <v>804267</v>
      </c>
      <c r="Y5284" t="s">
        <v>31953</v>
      </c>
      <c r="Z5284" t="s">
        <v>31954</v>
      </c>
      <c r="AA5284" t="s">
        <v>31955</v>
      </c>
      <c r="AB5284" t="s">
        <v>31956</v>
      </c>
      <c r="AG5284" t="s">
        <v>31957</v>
      </c>
      <c r="AH5284" t="s">
        <v>22761</v>
      </c>
      <c r="AI5284" t="s">
        <v>31958</v>
      </c>
    </row>
    <row r="5285" spans="2:35" ht="105">
      <c r="B5285" s="1">
        <v>45334</v>
      </c>
      <c r="C5285" s="4">
        <v>45334.665277777778</v>
      </c>
      <c r="D5285" t="s">
        <v>11901</v>
      </c>
      <c r="E5285" t="s">
        <v>31951</v>
      </c>
      <c r="F5285">
        <v>6</v>
      </c>
      <c r="G5285" t="s">
        <v>1234</v>
      </c>
      <c r="H5285" t="s">
        <v>1047</v>
      </c>
      <c r="I5285" t="s">
        <v>94</v>
      </c>
      <c r="J5285" t="s">
        <v>996</v>
      </c>
      <c r="K5285" t="s">
        <v>42</v>
      </c>
      <c r="L5285" t="s">
        <v>23958</v>
      </c>
      <c r="N5285" t="s">
        <v>23959</v>
      </c>
      <c r="Q5285">
        <v>27260</v>
      </c>
      <c r="R5285" t="s">
        <v>45</v>
      </c>
      <c r="S5285" t="s">
        <v>22755</v>
      </c>
      <c r="T5285">
        <v>4</v>
      </c>
      <c r="U5285" s="2" t="s">
        <v>31952</v>
      </c>
      <c r="W5285" t="s">
        <v>360</v>
      </c>
      <c r="X5285">
        <v>812020</v>
      </c>
      <c r="Y5285" t="s">
        <v>31959</v>
      </c>
      <c r="Z5285" t="s">
        <v>31960</v>
      </c>
      <c r="AA5285" t="s">
        <v>31961</v>
      </c>
      <c r="AB5285" t="s">
        <v>31962</v>
      </c>
      <c r="AG5285" t="s">
        <v>31963</v>
      </c>
      <c r="AH5285" t="s">
        <v>22761</v>
      </c>
      <c r="AI5285" t="s">
        <v>31964</v>
      </c>
    </row>
    <row r="5286" spans="2:35" ht="405">
      <c r="B5286" s="1">
        <v>45334</v>
      </c>
      <c r="C5286" s="4">
        <v>45334.567361111112</v>
      </c>
      <c r="D5286" t="s">
        <v>1652</v>
      </c>
      <c r="E5286" t="s">
        <v>1653</v>
      </c>
      <c r="F5286">
        <v>8</v>
      </c>
      <c r="G5286" t="s">
        <v>342</v>
      </c>
      <c r="H5286" t="s">
        <v>39</v>
      </c>
      <c r="I5286" t="s">
        <v>94</v>
      </c>
      <c r="J5286" s="2" t="s">
        <v>30202</v>
      </c>
      <c r="K5286" t="s">
        <v>42</v>
      </c>
      <c r="L5286" t="s">
        <v>343</v>
      </c>
      <c r="N5286" t="s">
        <v>344</v>
      </c>
      <c r="Q5286">
        <v>27259</v>
      </c>
      <c r="R5286" t="s">
        <v>45</v>
      </c>
      <c r="S5286" t="s">
        <v>1654</v>
      </c>
      <c r="T5286">
        <v>27</v>
      </c>
      <c r="U5286" s="2" t="s">
        <v>31965</v>
      </c>
      <c r="V5286" s="1">
        <v>45334</v>
      </c>
      <c r="W5286" t="s">
        <v>84</v>
      </c>
      <c r="X5286">
        <v>804253</v>
      </c>
      <c r="Y5286" t="s">
        <v>19239</v>
      </c>
      <c r="Z5286" t="s">
        <v>31966</v>
      </c>
      <c r="AA5286" t="e">
        <f ca="1">-module Replacement
-Preventive Maintenance</f>
        <v>#NAME?</v>
      </c>
      <c r="AB5286" t="s">
        <v>9638</v>
      </c>
      <c r="AC5286" t="s">
        <v>31967</v>
      </c>
      <c r="AD5286" t="s">
        <v>10783</v>
      </c>
      <c r="AE5286" t="s">
        <v>45</v>
      </c>
      <c r="AG5286" t="s">
        <v>31968</v>
      </c>
      <c r="AH5286" t="s">
        <v>1659</v>
      </c>
      <c r="AI5286" t="s">
        <v>31969</v>
      </c>
    </row>
    <row r="5287" spans="2:35" ht="405">
      <c r="B5287" s="1">
        <v>45334</v>
      </c>
      <c r="C5287" s="4">
        <v>45334.567361111112</v>
      </c>
      <c r="D5287" t="s">
        <v>1652</v>
      </c>
      <c r="E5287" t="s">
        <v>1653</v>
      </c>
      <c r="F5287">
        <v>8</v>
      </c>
      <c r="G5287" t="s">
        <v>342</v>
      </c>
      <c r="H5287" t="s">
        <v>39</v>
      </c>
      <c r="I5287" t="s">
        <v>94</v>
      </c>
      <c r="J5287" s="2" t="s">
        <v>30202</v>
      </c>
      <c r="K5287" t="s">
        <v>42</v>
      </c>
      <c r="L5287" t="s">
        <v>343</v>
      </c>
      <c r="N5287" t="s">
        <v>344</v>
      </c>
      <c r="Q5287">
        <v>27258</v>
      </c>
      <c r="R5287" t="s">
        <v>45</v>
      </c>
      <c r="S5287" t="s">
        <v>1654</v>
      </c>
      <c r="T5287">
        <v>27</v>
      </c>
      <c r="U5287" s="2" t="s">
        <v>31965</v>
      </c>
      <c r="V5287" s="1">
        <v>45334</v>
      </c>
      <c r="W5287" t="s">
        <v>84</v>
      </c>
      <c r="X5287">
        <v>804253</v>
      </c>
      <c r="Y5287" t="s">
        <v>19239</v>
      </c>
      <c r="Z5287" t="s">
        <v>31966</v>
      </c>
      <c r="AA5287" t="e">
        <f ca="1">-module Replacement
-Preventive Maintenance</f>
        <v>#NAME?</v>
      </c>
      <c r="AB5287" t="s">
        <v>9638</v>
      </c>
      <c r="AC5287" t="s">
        <v>31967</v>
      </c>
      <c r="AD5287" t="s">
        <v>10783</v>
      </c>
      <c r="AE5287" t="s">
        <v>45</v>
      </c>
      <c r="AG5287" t="s">
        <v>31970</v>
      </c>
      <c r="AH5287" t="s">
        <v>1659</v>
      </c>
      <c r="AI5287" t="s">
        <v>31971</v>
      </c>
    </row>
    <row r="5288" spans="2:35" ht="285">
      <c r="B5288" s="1">
        <v>45334</v>
      </c>
      <c r="C5288" s="4">
        <v>45329.585416666669</v>
      </c>
      <c r="D5288" t="s">
        <v>369</v>
      </c>
      <c r="E5288" t="s">
        <v>29199</v>
      </c>
      <c r="F5288" t="s">
        <v>148</v>
      </c>
      <c r="G5288" t="s">
        <v>371</v>
      </c>
      <c r="H5288" t="s">
        <v>39</v>
      </c>
      <c r="I5288" t="s">
        <v>40</v>
      </c>
      <c r="J5288" s="2" t="s">
        <v>30202</v>
      </c>
      <c r="K5288" t="s">
        <v>42</v>
      </c>
      <c r="L5288" t="s">
        <v>175</v>
      </c>
      <c r="N5288" t="s">
        <v>176</v>
      </c>
      <c r="Q5288">
        <v>27257</v>
      </c>
      <c r="R5288" t="s">
        <v>45</v>
      </c>
      <c r="S5288" t="s">
        <v>29200</v>
      </c>
      <c r="T5288">
        <v>25</v>
      </c>
      <c r="U5288" s="2" t="s">
        <v>31972</v>
      </c>
      <c r="V5288" s="1">
        <v>45329</v>
      </c>
      <c r="W5288" t="s">
        <v>84</v>
      </c>
      <c r="X5288">
        <v>834431</v>
      </c>
      <c r="Y5288" t="s">
        <v>31973</v>
      </c>
      <c r="Z5288" t="s">
        <v>31974</v>
      </c>
      <c r="AA5288" t="e">
        <f ca="1">- replaced module D3
- checked _xludf.and cleaned cartridge bay, plunger rod, _xludf.filter
- generated reports</f>
        <v>#NAME?</v>
      </c>
      <c r="AB5288" t="s">
        <v>181</v>
      </c>
      <c r="AD5288" s="2" t="s">
        <v>31975</v>
      </c>
      <c r="AE5288" t="s">
        <v>103</v>
      </c>
      <c r="AG5288" t="s">
        <v>31976</v>
      </c>
      <c r="AH5288" t="s">
        <v>31977</v>
      </c>
      <c r="AI5288" t="s">
        <v>31978</v>
      </c>
    </row>
    <row r="5289" spans="2:35" ht="210">
      <c r="B5289" s="1">
        <v>45334</v>
      </c>
      <c r="C5289" s="4">
        <v>45321.581944444442</v>
      </c>
      <c r="D5289" t="s">
        <v>542</v>
      </c>
      <c r="E5289" t="s">
        <v>30872</v>
      </c>
      <c r="F5289" t="s">
        <v>148</v>
      </c>
      <c r="G5289" t="s">
        <v>544</v>
      </c>
      <c r="H5289" t="s">
        <v>39</v>
      </c>
      <c r="I5289" t="s">
        <v>40</v>
      </c>
      <c r="J5289" s="2" t="s">
        <v>31979</v>
      </c>
      <c r="K5289" t="s">
        <v>42</v>
      </c>
      <c r="L5289" t="s">
        <v>43</v>
      </c>
      <c r="N5289" t="s">
        <v>44</v>
      </c>
      <c r="Q5289">
        <v>27256</v>
      </c>
      <c r="R5289" t="s">
        <v>45</v>
      </c>
      <c r="S5289" t="s">
        <v>15929</v>
      </c>
      <c r="T5289">
        <v>24</v>
      </c>
      <c r="U5289" s="2" t="s">
        <v>31980</v>
      </c>
      <c r="W5289" t="s">
        <v>48</v>
      </c>
      <c r="X5289">
        <v>805211</v>
      </c>
      <c r="Y5289" t="s">
        <v>31981</v>
      </c>
      <c r="Z5289" t="s">
        <v>122</v>
      </c>
      <c r="AA5289" s="2" t="s">
        <v>31982</v>
      </c>
      <c r="AB5289" t="s">
        <v>31983</v>
      </c>
      <c r="AG5289" t="s">
        <v>31984</v>
      </c>
      <c r="AH5289" t="s">
        <v>19310</v>
      </c>
      <c r="AI5289" t="s">
        <v>31985</v>
      </c>
    </row>
    <row r="5290" spans="2:35" ht="225">
      <c r="B5290" s="1">
        <v>45334</v>
      </c>
      <c r="C5290" s="4">
        <v>45321.588888888888</v>
      </c>
      <c r="D5290" t="s">
        <v>542</v>
      </c>
      <c r="E5290" t="s">
        <v>30872</v>
      </c>
      <c r="F5290" t="s">
        <v>148</v>
      </c>
      <c r="G5290" t="s">
        <v>544</v>
      </c>
      <c r="H5290" t="s">
        <v>39</v>
      </c>
      <c r="I5290" t="s">
        <v>40</v>
      </c>
      <c r="J5290" s="2" t="s">
        <v>31986</v>
      </c>
      <c r="K5290" t="s">
        <v>42</v>
      </c>
      <c r="L5290" t="s">
        <v>43</v>
      </c>
      <c r="N5290" t="s">
        <v>44</v>
      </c>
      <c r="Q5290">
        <v>27255</v>
      </c>
      <c r="R5290" t="s">
        <v>322</v>
      </c>
      <c r="S5290" t="s">
        <v>15929</v>
      </c>
      <c r="T5290">
        <v>24</v>
      </c>
      <c r="U5290" s="2" t="s">
        <v>3550</v>
      </c>
      <c r="W5290" t="s">
        <v>153</v>
      </c>
      <c r="X5290">
        <v>110016107</v>
      </c>
      <c r="Y5290" t="s">
        <v>121</v>
      </c>
      <c r="Z5290" t="s">
        <v>122</v>
      </c>
      <c r="AA5290" s="2" t="s">
        <v>31987</v>
      </c>
      <c r="AB5290" t="s">
        <v>88</v>
      </c>
      <c r="AG5290" t="s">
        <v>31988</v>
      </c>
      <c r="AH5290" t="s">
        <v>19310</v>
      </c>
      <c r="AI5290" t="s">
        <v>31989</v>
      </c>
    </row>
    <row r="5291" spans="2:35" ht="360">
      <c r="B5291" s="1">
        <v>45334</v>
      </c>
      <c r="C5291" s="4">
        <v>45322.455555555556</v>
      </c>
      <c r="D5291" t="s">
        <v>3604</v>
      </c>
      <c r="E5291" t="s">
        <v>31990</v>
      </c>
      <c r="F5291" t="s">
        <v>148</v>
      </c>
      <c r="G5291" t="s">
        <v>2007</v>
      </c>
      <c r="H5291" t="s">
        <v>39</v>
      </c>
      <c r="I5291" t="s">
        <v>40</v>
      </c>
      <c r="J5291" s="2" t="s">
        <v>30202</v>
      </c>
      <c r="K5291" t="s">
        <v>42</v>
      </c>
      <c r="L5291" t="s">
        <v>43</v>
      </c>
      <c r="N5291" t="s">
        <v>44</v>
      </c>
      <c r="Q5291">
        <v>27254</v>
      </c>
      <c r="R5291" t="s">
        <v>45</v>
      </c>
      <c r="S5291" t="s">
        <v>3606</v>
      </c>
      <c r="T5291">
        <v>24</v>
      </c>
      <c r="U5291" s="2" t="s">
        <v>31991</v>
      </c>
      <c r="V5291" s="1">
        <v>45320</v>
      </c>
      <c r="W5291" t="s">
        <v>48</v>
      </c>
      <c r="X5291">
        <v>838875</v>
      </c>
      <c r="Y5291" t="s">
        <v>2034</v>
      </c>
      <c r="Z5291" t="s">
        <v>712</v>
      </c>
      <c r="AA5291" s="2" t="s">
        <v>31992</v>
      </c>
      <c r="AB5291" t="s">
        <v>16412</v>
      </c>
      <c r="AD5291" s="2" t="s">
        <v>31993</v>
      </c>
      <c r="AE5291" t="s">
        <v>31994</v>
      </c>
      <c r="AG5291" t="s">
        <v>31995</v>
      </c>
      <c r="AH5291" t="s">
        <v>31996</v>
      </c>
      <c r="AI5291" t="s">
        <v>31997</v>
      </c>
    </row>
    <row r="5292" spans="2:35" ht="105">
      <c r="B5292" s="1">
        <v>45334</v>
      </c>
      <c r="C5292" s="4">
        <v>45329.374305555553</v>
      </c>
      <c r="D5292" t="s">
        <v>31998</v>
      </c>
      <c r="E5292" t="s">
        <v>31999</v>
      </c>
      <c r="F5292">
        <v>1</v>
      </c>
      <c r="G5292" t="s">
        <v>1046</v>
      </c>
      <c r="H5292" t="s">
        <v>1047</v>
      </c>
      <c r="I5292" t="s">
        <v>40</v>
      </c>
      <c r="J5292" s="2" t="s">
        <v>1309</v>
      </c>
      <c r="K5292" t="s">
        <v>42</v>
      </c>
      <c r="L5292" t="s">
        <v>1048</v>
      </c>
      <c r="N5292" t="s">
        <v>1049</v>
      </c>
      <c r="Q5292">
        <v>27253</v>
      </c>
      <c r="R5292" t="s">
        <v>45</v>
      </c>
      <c r="S5292" t="s">
        <v>32000</v>
      </c>
      <c r="T5292">
        <v>30</v>
      </c>
      <c r="U5292" s="2" t="s">
        <v>8191</v>
      </c>
      <c r="V5292" s="1">
        <v>45329</v>
      </c>
      <c r="W5292" t="s">
        <v>1051</v>
      </c>
      <c r="X5292">
        <v>834369</v>
      </c>
      <c r="Y5292" t="e">
        <f ca="1">- stuck cartridge
- _xludf.For Preventive Maintenance _xludf.and XpertCheck</f>
        <v>#NAME?</v>
      </c>
      <c r="Z5292" t="e">
        <f ca="1">- removed stuck cartridge
- cleaned cartridge Bays, plunger Rods _xludf.and I-CORE
- performed XpertCheck
- generated reports</f>
        <v>#NAME?</v>
      </c>
      <c r="AA5292" t="e">
        <f ca="1">- removed stuck cartridge
- performed Preventive Maintenance _xludf.and XpertCheck</f>
        <v>#NAME?</v>
      </c>
      <c r="AB5292" t="s">
        <v>181</v>
      </c>
      <c r="AC5292" t="s">
        <v>8019</v>
      </c>
      <c r="AD5292" t="s">
        <v>1958</v>
      </c>
      <c r="AE5292" t="s">
        <v>103</v>
      </c>
      <c r="AG5292" t="s">
        <v>32001</v>
      </c>
      <c r="AH5292" t="s">
        <v>32002</v>
      </c>
      <c r="AI5292" t="s">
        <v>32003</v>
      </c>
    </row>
    <row r="5293" spans="2:35" ht="360">
      <c r="B5293" s="1">
        <v>45334</v>
      </c>
      <c r="C5293" s="4">
        <v>45323.461805555555</v>
      </c>
      <c r="D5293" t="s">
        <v>32004</v>
      </c>
      <c r="E5293" t="s">
        <v>32005</v>
      </c>
      <c r="F5293" t="s">
        <v>37</v>
      </c>
      <c r="G5293" t="s">
        <v>78</v>
      </c>
      <c r="H5293" t="s">
        <v>39</v>
      </c>
      <c r="I5293" t="s">
        <v>40</v>
      </c>
      <c r="J5293" s="2" t="s">
        <v>6765</v>
      </c>
      <c r="K5293" t="s">
        <v>42</v>
      </c>
      <c r="L5293" t="s">
        <v>43</v>
      </c>
      <c r="N5293" t="s">
        <v>44</v>
      </c>
      <c r="Q5293">
        <v>27252</v>
      </c>
      <c r="R5293" t="s">
        <v>45</v>
      </c>
      <c r="S5293" t="s">
        <v>30897</v>
      </c>
      <c r="T5293">
        <v>24</v>
      </c>
      <c r="U5293" s="2" t="s">
        <v>22967</v>
      </c>
      <c r="W5293" t="s">
        <v>48</v>
      </c>
      <c r="X5293">
        <v>834692</v>
      </c>
      <c r="Y5293" t="s">
        <v>32006</v>
      </c>
      <c r="Z5293" t="s">
        <v>1519</v>
      </c>
      <c r="AA5293" s="2" t="s">
        <v>29031</v>
      </c>
      <c r="AB5293" t="s">
        <v>32007</v>
      </c>
      <c r="AG5293" t="s">
        <v>32008</v>
      </c>
      <c r="AH5293" t="s">
        <v>30905</v>
      </c>
      <c r="AI5293" t="s">
        <v>32009</v>
      </c>
    </row>
    <row r="5294" spans="2:35" ht="360">
      <c r="B5294" s="1">
        <v>45334</v>
      </c>
      <c r="C5294" s="4">
        <v>45323.5625</v>
      </c>
      <c r="D5294" t="s">
        <v>4927</v>
      </c>
      <c r="E5294" t="s">
        <v>32010</v>
      </c>
      <c r="F5294" t="s">
        <v>37</v>
      </c>
      <c r="G5294" t="s">
        <v>78</v>
      </c>
      <c r="H5294" t="s">
        <v>39</v>
      </c>
      <c r="I5294" t="s">
        <v>40</v>
      </c>
      <c r="J5294" s="2" t="s">
        <v>6765</v>
      </c>
      <c r="K5294" t="s">
        <v>42</v>
      </c>
      <c r="L5294" t="s">
        <v>43</v>
      </c>
      <c r="N5294" t="s">
        <v>44</v>
      </c>
      <c r="Q5294">
        <v>27251</v>
      </c>
      <c r="R5294" t="s">
        <v>45</v>
      </c>
      <c r="S5294" t="s">
        <v>29665</v>
      </c>
      <c r="T5294">
        <v>25</v>
      </c>
      <c r="U5294" s="2" t="s">
        <v>14116</v>
      </c>
      <c r="W5294" t="s">
        <v>48</v>
      </c>
      <c r="X5294">
        <v>838133</v>
      </c>
      <c r="Y5294" t="s">
        <v>1111</v>
      </c>
      <c r="Z5294" t="s">
        <v>1519</v>
      </c>
      <c r="AA5294" s="2" t="s">
        <v>29031</v>
      </c>
      <c r="AB5294" t="s">
        <v>1521</v>
      </c>
      <c r="AG5294" t="s">
        <v>32011</v>
      </c>
      <c r="AH5294" t="s">
        <v>32012</v>
      </c>
      <c r="AI5294" t="s">
        <v>32013</v>
      </c>
    </row>
    <row r="5295" spans="2:35" ht="405">
      <c r="B5295" s="1">
        <v>45334</v>
      </c>
      <c r="C5295" s="4">
        <v>45324.558333333334</v>
      </c>
      <c r="D5295" t="s">
        <v>4757</v>
      </c>
      <c r="E5295" t="s">
        <v>27342</v>
      </c>
      <c r="F5295" t="s">
        <v>148</v>
      </c>
      <c r="G5295" t="s">
        <v>785</v>
      </c>
      <c r="H5295" t="s">
        <v>39</v>
      </c>
      <c r="I5295" t="s">
        <v>40</v>
      </c>
      <c r="J5295" s="2" t="s">
        <v>31979</v>
      </c>
      <c r="K5295" t="s">
        <v>42</v>
      </c>
      <c r="L5295" t="s">
        <v>43</v>
      </c>
      <c r="N5295" t="s">
        <v>44</v>
      </c>
      <c r="Q5295">
        <v>27250</v>
      </c>
      <c r="R5295" t="s">
        <v>119</v>
      </c>
      <c r="S5295" t="s">
        <v>4759</v>
      </c>
      <c r="T5295">
        <v>24</v>
      </c>
      <c r="U5295" s="2" t="s">
        <v>32014</v>
      </c>
      <c r="W5295" t="s">
        <v>48</v>
      </c>
      <c r="X5295">
        <v>831905</v>
      </c>
      <c r="Y5295" t="s">
        <v>32015</v>
      </c>
      <c r="Z5295" t="s">
        <v>32016</v>
      </c>
      <c r="AA5295" s="2" t="s">
        <v>32017</v>
      </c>
      <c r="AB5295" t="s">
        <v>32018</v>
      </c>
      <c r="AG5295" t="s">
        <v>32019</v>
      </c>
      <c r="AH5295" t="s">
        <v>32020</v>
      </c>
      <c r="AI5295" t="s">
        <v>32021</v>
      </c>
    </row>
    <row r="5296" spans="2:35" ht="360">
      <c r="B5296" s="1">
        <v>45334</v>
      </c>
      <c r="C5296" s="4">
        <v>45321.390277777777</v>
      </c>
      <c r="D5296" t="s">
        <v>3669</v>
      </c>
      <c r="E5296" t="s">
        <v>18164</v>
      </c>
      <c r="F5296" t="s">
        <v>37</v>
      </c>
      <c r="G5296" t="s">
        <v>38</v>
      </c>
      <c r="H5296" t="s">
        <v>39</v>
      </c>
      <c r="I5296" t="s">
        <v>40</v>
      </c>
      <c r="J5296" s="2" t="s">
        <v>6765</v>
      </c>
      <c r="K5296" t="s">
        <v>42</v>
      </c>
      <c r="L5296" t="s">
        <v>43</v>
      </c>
      <c r="N5296" t="s">
        <v>44</v>
      </c>
      <c r="Q5296">
        <v>27249</v>
      </c>
      <c r="R5296" t="s">
        <v>95</v>
      </c>
      <c r="S5296" t="s">
        <v>5945</v>
      </c>
      <c r="T5296">
        <v>24</v>
      </c>
      <c r="U5296" s="2" t="s">
        <v>32022</v>
      </c>
      <c r="V5296" s="1">
        <v>45320</v>
      </c>
      <c r="W5296" t="s">
        <v>48</v>
      </c>
      <c r="X5296">
        <v>110005265</v>
      </c>
      <c r="Y5296" t="s">
        <v>1111</v>
      </c>
      <c r="Z5296" t="s">
        <v>1519</v>
      </c>
      <c r="AA5296" s="2" t="s">
        <v>32023</v>
      </c>
      <c r="AB5296" t="s">
        <v>16412</v>
      </c>
      <c r="AD5296" t="s">
        <v>21244</v>
      </c>
      <c r="AE5296" t="s">
        <v>32024</v>
      </c>
      <c r="AG5296" t="s">
        <v>32025</v>
      </c>
      <c r="AH5296" t="s">
        <v>15897</v>
      </c>
      <c r="AI5296" t="s">
        <v>32026</v>
      </c>
    </row>
    <row r="5297" spans="2:35" ht="210">
      <c r="B5297" s="1">
        <v>45334</v>
      </c>
      <c r="C5297" s="4">
        <v>45321.581944444442</v>
      </c>
      <c r="D5297" t="s">
        <v>542</v>
      </c>
      <c r="E5297" t="s">
        <v>30872</v>
      </c>
      <c r="F5297" t="s">
        <v>148</v>
      </c>
      <c r="G5297" t="s">
        <v>544</v>
      </c>
      <c r="H5297" t="s">
        <v>39</v>
      </c>
      <c r="I5297" t="s">
        <v>40</v>
      </c>
      <c r="J5297" s="2" t="s">
        <v>31979</v>
      </c>
      <c r="K5297" t="s">
        <v>42</v>
      </c>
      <c r="L5297" t="s">
        <v>43</v>
      </c>
      <c r="N5297" t="s">
        <v>44</v>
      </c>
      <c r="Q5297">
        <v>27248</v>
      </c>
      <c r="R5297" t="s">
        <v>45</v>
      </c>
      <c r="S5297" t="s">
        <v>15929</v>
      </c>
      <c r="T5297">
        <v>24</v>
      </c>
      <c r="U5297" s="2" t="s">
        <v>31980</v>
      </c>
      <c r="W5297" t="s">
        <v>48</v>
      </c>
      <c r="X5297">
        <v>805211</v>
      </c>
      <c r="Y5297" t="s">
        <v>31981</v>
      </c>
      <c r="Z5297" t="s">
        <v>122</v>
      </c>
      <c r="AA5297" s="2" t="s">
        <v>31982</v>
      </c>
      <c r="AB5297" t="s">
        <v>31983</v>
      </c>
      <c r="AG5297" t="s">
        <v>32027</v>
      </c>
      <c r="AH5297" t="s">
        <v>19310</v>
      </c>
      <c r="AI5297" t="s">
        <v>32028</v>
      </c>
    </row>
    <row r="5298" spans="2:35" ht="150">
      <c r="B5298" s="1">
        <v>45334</v>
      </c>
      <c r="C5298" s="4">
        <v>45321.585416666669</v>
      </c>
      <c r="D5298" t="s">
        <v>542</v>
      </c>
      <c r="E5298" t="s">
        <v>28594</v>
      </c>
      <c r="F5298" t="s">
        <v>148</v>
      </c>
      <c r="G5298" t="s">
        <v>544</v>
      </c>
      <c r="H5298" t="s">
        <v>39</v>
      </c>
      <c r="I5298" t="s">
        <v>40</v>
      </c>
      <c r="J5298" s="2" t="s">
        <v>31979</v>
      </c>
      <c r="K5298" t="s">
        <v>42</v>
      </c>
      <c r="L5298" t="s">
        <v>43</v>
      </c>
      <c r="N5298" t="s">
        <v>44</v>
      </c>
      <c r="Q5298">
        <v>27246</v>
      </c>
      <c r="R5298" t="s">
        <v>119</v>
      </c>
      <c r="S5298" t="s">
        <v>15929</v>
      </c>
      <c r="T5298">
        <v>24</v>
      </c>
      <c r="U5298" s="2" t="s">
        <v>32029</v>
      </c>
      <c r="W5298" t="s">
        <v>48</v>
      </c>
      <c r="X5298">
        <v>831588</v>
      </c>
      <c r="Y5298" t="s">
        <v>32030</v>
      </c>
      <c r="Z5298" t="s">
        <v>122</v>
      </c>
      <c r="AA5298" s="2" t="s">
        <v>32031</v>
      </c>
      <c r="AB5298" t="s">
        <v>32032</v>
      </c>
      <c r="AG5298" t="s">
        <v>32033</v>
      </c>
      <c r="AH5298" t="s">
        <v>19310</v>
      </c>
      <c r="AI5298" t="s">
        <v>32034</v>
      </c>
    </row>
    <row r="5299" spans="2:35" ht="150">
      <c r="B5299" s="1">
        <v>45334</v>
      </c>
      <c r="C5299" s="4">
        <v>45321.585416666669</v>
      </c>
      <c r="D5299" t="s">
        <v>542</v>
      </c>
      <c r="E5299" t="s">
        <v>28594</v>
      </c>
      <c r="F5299" t="s">
        <v>148</v>
      </c>
      <c r="G5299" t="s">
        <v>544</v>
      </c>
      <c r="H5299" t="s">
        <v>39</v>
      </c>
      <c r="I5299" t="s">
        <v>40</v>
      </c>
      <c r="J5299" s="2" t="s">
        <v>31979</v>
      </c>
      <c r="K5299" t="s">
        <v>42</v>
      </c>
      <c r="L5299" t="s">
        <v>43</v>
      </c>
      <c r="N5299" t="s">
        <v>44</v>
      </c>
      <c r="Q5299">
        <v>27247</v>
      </c>
      <c r="R5299" t="s">
        <v>119</v>
      </c>
      <c r="S5299" t="s">
        <v>15929</v>
      </c>
      <c r="T5299">
        <v>24</v>
      </c>
      <c r="U5299" s="2" t="s">
        <v>32029</v>
      </c>
      <c r="W5299" t="s">
        <v>48</v>
      </c>
      <c r="X5299">
        <v>831588</v>
      </c>
      <c r="Y5299" t="s">
        <v>32030</v>
      </c>
      <c r="Z5299" t="s">
        <v>122</v>
      </c>
      <c r="AA5299" s="2" t="s">
        <v>32031</v>
      </c>
      <c r="AB5299" t="s">
        <v>32032</v>
      </c>
      <c r="AG5299" t="s">
        <v>32035</v>
      </c>
      <c r="AH5299" t="s">
        <v>19310</v>
      </c>
      <c r="AI5299" t="s">
        <v>32036</v>
      </c>
    </row>
    <row r="5300" spans="2:35" ht="240">
      <c r="B5300" s="1">
        <v>45334</v>
      </c>
      <c r="C5300" s="4">
        <v>45330.463888888888</v>
      </c>
      <c r="D5300" t="s">
        <v>32037</v>
      </c>
      <c r="E5300" t="s">
        <v>32038</v>
      </c>
      <c r="F5300" t="s">
        <v>37</v>
      </c>
      <c r="G5300" t="s">
        <v>38</v>
      </c>
      <c r="H5300" t="s">
        <v>17343</v>
      </c>
      <c r="I5300" t="s">
        <v>40</v>
      </c>
      <c r="J5300" t="s">
        <v>996</v>
      </c>
      <c r="K5300" t="s">
        <v>42</v>
      </c>
      <c r="L5300" t="s">
        <v>448</v>
      </c>
      <c r="N5300" t="s">
        <v>650</v>
      </c>
      <c r="Q5300">
        <v>27245</v>
      </c>
      <c r="R5300" t="s">
        <v>45</v>
      </c>
      <c r="S5300" t="s">
        <v>32039</v>
      </c>
      <c r="T5300">
        <v>27</v>
      </c>
      <c r="U5300" s="2" t="s">
        <v>2367</v>
      </c>
      <c r="V5300" s="1">
        <v>45330</v>
      </c>
      <c r="W5300" t="s">
        <v>360</v>
      </c>
      <c r="X5300">
        <v>838894</v>
      </c>
      <c r="Y5300" t="s">
        <v>32040</v>
      </c>
      <c r="Z5300" s="2" t="s">
        <v>32041</v>
      </c>
      <c r="AA5300" t="s">
        <v>24030</v>
      </c>
      <c r="AB5300" t="s">
        <v>3082</v>
      </c>
      <c r="AD5300" t="s">
        <v>32042</v>
      </c>
      <c r="AE5300" t="s">
        <v>54</v>
      </c>
      <c r="AG5300" t="s">
        <v>32043</v>
      </c>
      <c r="AH5300" t="s">
        <v>32044</v>
      </c>
      <c r="AI5300" t="s">
        <v>32045</v>
      </c>
    </row>
    <row r="5301" spans="2:35" ht="225">
      <c r="B5301" s="1">
        <v>45334</v>
      </c>
      <c r="C5301" s="4">
        <v>45321.588888888888</v>
      </c>
      <c r="D5301" t="s">
        <v>542</v>
      </c>
      <c r="E5301" t="s">
        <v>30872</v>
      </c>
      <c r="F5301" t="s">
        <v>148</v>
      </c>
      <c r="G5301" t="s">
        <v>544</v>
      </c>
      <c r="H5301" t="s">
        <v>39</v>
      </c>
      <c r="I5301" t="s">
        <v>40</v>
      </c>
      <c r="J5301" s="2" t="s">
        <v>31986</v>
      </c>
      <c r="K5301" t="s">
        <v>42</v>
      </c>
      <c r="L5301" t="s">
        <v>43</v>
      </c>
      <c r="N5301" t="s">
        <v>44</v>
      </c>
      <c r="Q5301">
        <v>27244</v>
      </c>
      <c r="R5301" t="s">
        <v>322</v>
      </c>
      <c r="S5301" t="s">
        <v>15929</v>
      </c>
      <c r="T5301">
        <v>24</v>
      </c>
      <c r="U5301" s="2" t="s">
        <v>3550</v>
      </c>
      <c r="W5301" t="s">
        <v>153</v>
      </c>
      <c r="X5301">
        <v>110016107</v>
      </c>
      <c r="Y5301" t="s">
        <v>121</v>
      </c>
      <c r="Z5301" t="s">
        <v>122</v>
      </c>
      <c r="AA5301" s="2" t="s">
        <v>31987</v>
      </c>
      <c r="AB5301" t="s">
        <v>88</v>
      </c>
      <c r="AG5301" t="s">
        <v>32046</v>
      </c>
      <c r="AH5301" t="s">
        <v>19310</v>
      </c>
      <c r="AI5301" t="s">
        <v>32047</v>
      </c>
    </row>
    <row r="5302" spans="2:35" ht="225">
      <c r="B5302" s="1">
        <v>45334</v>
      </c>
      <c r="C5302" s="4">
        <v>45321.611111111109</v>
      </c>
      <c r="D5302" t="s">
        <v>542</v>
      </c>
      <c r="E5302" t="s">
        <v>30872</v>
      </c>
      <c r="F5302" t="s">
        <v>148</v>
      </c>
      <c r="G5302" t="s">
        <v>544</v>
      </c>
      <c r="H5302" t="s">
        <v>39</v>
      </c>
      <c r="I5302" t="s">
        <v>40</v>
      </c>
      <c r="J5302" s="2" t="s">
        <v>31986</v>
      </c>
      <c r="K5302" t="s">
        <v>42</v>
      </c>
      <c r="L5302" t="s">
        <v>43</v>
      </c>
      <c r="N5302" t="s">
        <v>44</v>
      </c>
      <c r="Q5302">
        <v>27243</v>
      </c>
      <c r="R5302" t="s">
        <v>322</v>
      </c>
      <c r="S5302" t="s">
        <v>15929</v>
      </c>
      <c r="T5302">
        <v>24</v>
      </c>
      <c r="W5302" t="s">
        <v>153</v>
      </c>
      <c r="X5302">
        <v>120000613</v>
      </c>
      <c r="Y5302" t="s">
        <v>121</v>
      </c>
      <c r="Z5302" t="s">
        <v>122</v>
      </c>
      <c r="AA5302" s="2" t="s">
        <v>32048</v>
      </c>
      <c r="AB5302" t="s">
        <v>181</v>
      </c>
      <c r="AG5302" t="s">
        <v>32049</v>
      </c>
      <c r="AH5302" t="s">
        <v>19310</v>
      </c>
      <c r="AI5302" t="s">
        <v>32050</v>
      </c>
    </row>
    <row r="5303" spans="2:35" ht="360">
      <c r="B5303" s="1">
        <v>45334</v>
      </c>
      <c r="C5303" s="4">
        <v>45322.455555555556</v>
      </c>
      <c r="D5303" t="s">
        <v>3604</v>
      </c>
      <c r="E5303" t="s">
        <v>31990</v>
      </c>
      <c r="F5303" t="s">
        <v>148</v>
      </c>
      <c r="G5303" t="s">
        <v>2007</v>
      </c>
      <c r="H5303" t="s">
        <v>39</v>
      </c>
      <c r="I5303" t="s">
        <v>40</v>
      </c>
      <c r="J5303" s="2" t="s">
        <v>30202</v>
      </c>
      <c r="K5303" t="s">
        <v>42</v>
      </c>
      <c r="L5303" t="s">
        <v>43</v>
      </c>
      <c r="N5303" t="s">
        <v>44</v>
      </c>
      <c r="Q5303">
        <v>27242</v>
      </c>
      <c r="R5303" t="s">
        <v>45</v>
      </c>
      <c r="S5303" t="s">
        <v>3606</v>
      </c>
      <c r="T5303">
        <v>24</v>
      </c>
      <c r="U5303" s="2" t="s">
        <v>31991</v>
      </c>
      <c r="V5303" s="1">
        <v>45320</v>
      </c>
      <c r="W5303" t="s">
        <v>48</v>
      </c>
      <c r="X5303">
        <v>838875</v>
      </c>
      <c r="Y5303" t="s">
        <v>2034</v>
      </c>
      <c r="Z5303" t="s">
        <v>712</v>
      </c>
      <c r="AA5303" s="2" t="s">
        <v>31992</v>
      </c>
      <c r="AB5303" t="s">
        <v>16412</v>
      </c>
      <c r="AD5303" s="2" t="s">
        <v>31993</v>
      </c>
      <c r="AE5303" t="s">
        <v>31994</v>
      </c>
      <c r="AG5303" t="s">
        <v>32051</v>
      </c>
      <c r="AH5303" t="s">
        <v>31996</v>
      </c>
      <c r="AI5303" t="s">
        <v>32052</v>
      </c>
    </row>
    <row r="5304" spans="2:35" ht="315">
      <c r="B5304" s="1">
        <v>45334</v>
      </c>
      <c r="C5304" s="4">
        <v>45322.554166666669</v>
      </c>
      <c r="D5304" t="s">
        <v>32053</v>
      </c>
      <c r="E5304" t="s">
        <v>32054</v>
      </c>
      <c r="F5304" t="s">
        <v>148</v>
      </c>
      <c r="G5304" t="s">
        <v>32055</v>
      </c>
      <c r="H5304" t="s">
        <v>39</v>
      </c>
      <c r="I5304" t="s">
        <v>40</v>
      </c>
      <c r="J5304" s="2" t="s">
        <v>6765</v>
      </c>
      <c r="K5304" t="s">
        <v>42</v>
      </c>
      <c r="L5304" t="s">
        <v>43</v>
      </c>
      <c r="N5304" t="s">
        <v>44</v>
      </c>
      <c r="Q5304">
        <v>27241</v>
      </c>
      <c r="R5304" t="s">
        <v>45</v>
      </c>
      <c r="S5304" t="s">
        <v>32056</v>
      </c>
      <c r="T5304">
        <v>23</v>
      </c>
      <c r="W5304" t="s">
        <v>48</v>
      </c>
      <c r="X5304">
        <v>804254</v>
      </c>
      <c r="Y5304" t="s">
        <v>1111</v>
      </c>
      <c r="Z5304" t="s">
        <v>1519</v>
      </c>
      <c r="AA5304" s="2" t="s">
        <v>32057</v>
      </c>
      <c r="AB5304" t="s">
        <v>32058</v>
      </c>
      <c r="AG5304" t="s">
        <v>32059</v>
      </c>
      <c r="AH5304" t="s">
        <v>32060</v>
      </c>
      <c r="AI5304" t="s">
        <v>32061</v>
      </c>
    </row>
    <row r="5305" spans="2:35" ht="360">
      <c r="B5305" s="1">
        <v>45334</v>
      </c>
      <c r="C5305" s="4">
        <v>45323.461805555555</v>
      </c>
      <c r="D5305" t="s">
        <v>32004</v>
      </c>
      <c r="E5305" t="s">
        <v>32005</v>
      </c>
      <c r="F5305" t="s">
        <v>37</v>
      </c>
      <c r="G5305" t="s">
        <v>78</v>
      </c>
      <c r="H5305" t="s">
        <v>39</v>
      </c>
      <c r="I5305" t="s">
        <v>40</v>
      </c>
      <c r="J5305" s="2" t="s">
        <v>6765</v>
      </c>
      <c r="K5305" t="s">
        <v>42</v>
      </c>
      <c r="L5305" t="s">
        <v>43</v>
      </c>
      <c r="N5305" t="s">
        <v>44</v>
      </c>
      <c r="Q5305">
        <v>27240</v>
      </c>
      <c r="R5305" t="s">
        <v>45</v>
      </c>
      <c r="S5305" t="s">
        <v>30897</v>
      </c>
      <c r="T5305">
        <v>24</v>
      </c>
      <c r="U5305" s="2" t="s">
        <v>22967</v>
      </c>
      <c r="W5305" t="s">
        <v>48</v>
      </c>
      <c r="X5305">
        <v>834692</v>
      </c>
      <c r="Y5305" t="s">
        <v>32006</v>
      </c>
      <c r="Z5305" t="s">
        <v>1519</v>
      </c>
      <c r="AA5305" s="2" t="s">
        <v>29031</v>
      </c>
      <c r="AB5305" t="s">
        <v>32007</v>
      </c>
      <c r="AG5305" t="s">
        <v>32062</v>
      </c>
      <c r="AH5305" t="s">
        <v>30905</v>
      </c>
      <c r="AI5305" t="s">
        <v>32063</v>
      </c>
    </row>
    <row r="5306" spans="2:35" ht="360">
      <c r="B5306" s="1">
        <v>45334</v>
      </c>
      <c r="C5306" s="4">
        <v>45323.5625</v>
      </c>
      <c r="D5306" t="s">
        <v>4927</v>
      </c>
      <c r="E5306" t="s">
        <v>32010</v>
      </c>
      <c r="F5306" t="s">
        <v>37</v>
      </c>
      <c r="G5306" t="s">
        <v>78</v>
      </c>
      <c r="H5306" t="s">
        <v>39</v>
      </c>
      <c r="I5306" t="s">
        <v>40</v>
      </c>
      <c r="J5306" s="2" t="s">
        <v>6765</v>
      </c>
      <c r="K5306" t="s">
        <v>42</v>
      </c>
      <c r="L5306" t="s">
        <v>43</v>
      </c>
      <c r="N5306" t="s">
        <v>44</v>
      </c>
      <c r="Q5306">
        <v>27239</v>
      </c>
      <c r="R5306" t="s">
        <v>45</v>
      </c>
      <c r="S5306" t="s">
        <v>29665</v>
      </c>
      <c r="T5306">
        <v>25</v>
      </c>
      <c r="U5306" s="2" t="s">
        <v>14116</v>
      </c>
      <c r="W5306" t="s">
        <v>48</v>
      </c>
      <c r="X5306">
        <v>838133</v>
      </c>
      <c r="Y5306" t="s">
        <v>1111</v>
      </c>
      <c r="Z5306" t="s">
        <v>1519</v>
      </c>
      <c r="AA5306" s="2" t="s">
        <v>29031</v>
      </c>
      <c r="AB5306" t="s">
        <v>1521</v>
      </c>
      <c r="AG5306" t="s">
        <v>32064</v>
      </c>
      <c r="AH5306" t="s">
        <v>32012</v>
      </c>
      <c r="AI5306" t="s">
        <v>32065</v>
      </c>
    </row>
    <row r="5307" spans="2:35" ht="360">
      <c r="B5307" s="1">
        <v>45334</v>
      </c>
      <c r="C5307" s="4">
        <v>45323.648611111108</v>
      </c>
      <c r="D5307" t="s">
        <v>32066</v>
      </c>
      <c r="E5307" t="s">
        <v>32067</v>
      </c>
      <c r="F5307" t="s">
        <v>37</v>
      </c>
      <c r="G5307" t="s">
        <v>78</v>
      </c>
      <c r="H5307" t="s">
        <v>39</v>
      </c>
      <c r="I5307" t="s">
        <v>40</v>
      </c>
      <c r="J5307" s="2" t="s">
        <v>6765</v>
      </c>
      <c r="K5307" t="s">
        <v>42</v>
      </c>
      <c r="L5307" t="s">
        <v>43</v>
      </c>
      <c r="N5307" t="s">
        <v>44</v>
      </c>
      <c r="Q5307">
        <v>27238</v>
      </c>
      <c r="R5307" t="s">
        <v>45</v>
      </c>
      <c r="S5307" t="s">
        <v>32068</v>
      </c>
      <c r="T5307">
        <v>24</v>
      </c>
      <c r="U5307" s="2" t="s">
        <v>14643</v>
      </c>
      <c r="W5307" t="s">
        <v>48</v>
      </c>
      <c r="X5307">
        <v>838165</v>
      </c>
      <c r="Y5307" t="s">
        <v>1111</v>
      </c>
      <c r="Z5307" t="s">
        <v>1519</v>
      </c>
      <c r="AA5307" s="2" t="s">
        <v>29031</v>
      </c>
      <c r="AB5307" t="s">
        <v>32069</v>
      </c>
      <c r="AG5307" t="s">
        <v>32070</v>
      </c>
      <c r="AH5307" t="s">
        <v>32071</v>
      </c>
      <c r="AI5307" t="s">
        <v>32072</v>
      </c>
    </row>
    <row r="5308" spans="2:35" ht="405">
      <c r="B5308" s="1">
        <v>45334</v>
      </c>
      <c r="C5308" s="4">
        <v>45324.558333333334</v>
      </c>
      <c r="D5308" t="s">
        <v>4757</v>
      </c>
      <c r="E5308" t="s">
        <v>27342</v>
      </c>
      <c r="F5308" t="s">
        <v>148</v>
      </c>
      <c r="G5308" t="s">
        <v>785</v>
      </c>
      <c r="H5308" t="s">
        <v>39</v>
      </c>
      <c r="I5308" t="s">
        <v>40</v>
      </c>
      <c r="J5308" s="2" t="s">
        <v>31979</v>
      </c>
      <c r="K5308" t="s">
        <v>42</v>
      </c>
      <c r="L5308" t="s">
        <v>43</v>
      </c>
      <c r="N5308" t="s">
        <v>44</v>
      </c>
      <c r="Q5308">
        <v>27237</v>
      </c>
      <c r="R5308" t="s">
        <v>119</v>
      </c>
      <c r="S5308" t="s">
        <v>4759</v>
      </c>
      <c r="T5308">
        <v>24</v>
      </c>
      <c r="U5308" s="2" t="s">
        <v>32014</v>
      </c>
      <c r="W5308" t="s">
        <v>48</v>
      </c>
      <c r="X5308">
        <v>831905</v>
      </c>
      <c r="Y5308" t="s">
        <v>32015</v>
      </c>
      <c r="Z5308" t="s">
        <v>32016</v>
      </c>
      <c r="AA5308" s="2" t="s">
        <v>32017</v>
      </c>
      <c r="AB5308" t="s">
        <v>32018</v>
      </c>
      <c r="AG5308" t="s">
        <v>32073</v>
      </c>
      <c r="AH5308" t="s">
        <v>32020</v>
      </c>
      <c r="AI5308" t="s">
        <v>32074</v>
      </c>
    </row>
    <row r="5309" spans="2:35" ht="360">
      <c r="B5309" s="1">
        <v>45334</v>
      </c>
      <c r="C5309" s="4">
        <v>45330.572916666664</v>
      </c>
      <c r="D5309" t="s">
        <v>25524</v>
      </c>
      <c r="E5309" t="s">
        <v>32075</v>
      </c>
      <c r="F5309" t="s">
        <v>37</v>
      </c>
      <c r="G5309" t="s">
        <v>78</v>
      </c>
      <c r="H5309" t="s">
        <v>39</v>
      </c>
      <c r="I5309" t="s">
        <v>40</v>
      </c>
      <c r="J5309" s="2" t="s">
        <v>6765</v>
      </c>
      <c r="K5309" t="s">
        <v>42</v>
      </c>
      <c r="L5309" t="s">
        <v>43</v>
      </c>
      <c r="N5309" t="s">
        <v>44</v>
      </c>
      <c r="Q5309">
        <v>27236</v>
      </c>
      <c r="R5309" t="s">
        <v>45</v>
      </c>
      <c r="S5309" t="s">
        <v>25526</v>
      </c>
      <c r="T5309">
        <v>25</v>
      </c>
      <c r="U5309" s="2" t="s">
        <v>32076</v>
      </c>
      <c r="W5309" t="s">
        <v>48</v>
      </c>
      <c r="X5309">
        <v>807568</v>
      </c>
      <c r="Y5309" t="s">
        <v>1111</v>
      </c>
      <c r="Z5309" t="s">
        <v>1519</v>
      </c>
      <c r="AA5309" s="2" t="s">
        <v>29031</v>
      </c>
      <c r="AB5309" t="s">
        <v>30915</v>
      </c>
      <c r="AG5309" t="s">
        <v>32077</v>
      </c>
      <c r="AH5309" t="s">
        <v>25532</v>
      </c>
      <c r="AI5309" t="s">
        <v>32078</v>
      </c>
    </row>
    <row r="5310" spans="2:35" ht="255">
      <c r="B5310" s="1">
        <v>45334</v>
      </c>
      <c r="C5310" s="4">
        <v>45330.613194444442</v>
      </c>
      <c r="D5310" t="s">
        <v>25324</v>
      </c>
      <c r="E5310" t="s">
        <v>27738</v>
      </c>
      <c r="F5310" t="s">
        <v>37</v>
      </c>
      <c r="G5310" t="s">
        <v>78</v>
      </c>
      <c r="H5310" t="s">
        <v>39</v>
      </c>
      <c r="I5310" t="s">
        <v>40</v>
      </c>
      <c r="J5310" s="2" t="s">
        <v>9117</v>
      </c>
      <c r="K5310" t="s">
        <v>42</v>
      </c>
      <c r="L5310" t="s">
        <v>43</v>
      </c>
      <c r="N5310" t="s">
        <v>44</v>
      </c>
      <c r="Q5310">
        <v>27235</v>
      </c>
      <c r="R5310" t="s">
        <v>119</v>
      </c>
      <c r="S5310" t="s">
        <v>27739</v>
      </c>
      <c r="T5310">
        <v>24</v>
      </c>
      <c r="W5310" t="s">
        <v>48</v>
      </c>
      <c r="X5310">
        <v>821292</v>
      </c>
      <c r="Y5310" t="s">
        <v>32079</v>
      </c>
      <c r="Z5310" t="s">
        <v>2322</v>
      </c>
      <c r="AA5310" s="2" t="s">
        <v>32080</v>
      </c>
      <c r="AB5310" t="s">
        <v>32081</v>
      </c>
      <c r="AG5310" t="s">
        <v>32082</v>
      </c>
      <c r="AH5310" t="s">
        <v>27742</v>
      </c>
      <c r="AI5310" t="s">
        <v>32083</v>
      </c>
    </row>
    <row r="5311" spans="2:35" ht="360">
      <c r="B5311" s="1">
        <v>45334</v>
      </c>
      <c r="C5311" s="4">
        <v>45330.572916666664</v>
      </c>
      <c r="D5311" t="s">
        <v>25524</v>
      </c>
      <c r="E5311" t="s">
        <v>32075</v>
      </c>
      <c r="F5311" t="s">
        <v>37</v>
      </c>
      <c r="G5311" t="s">
        <v>78</v>
      </c>
      <c r="H5311" t="s">
        <v>39</v>
      </c>
      <c r="I5311" t="s">
        <v>40</v>
      </c>
      <c r="J5311" s="2" t="s">
        <v>6765</v>
      </c>
      <c r="K5311" t="s">
        <v>42</v>
      </c>
      <c r="L5311" t="s">
        <v>43</v>
      </c>
      <c r="N5311" t="s">
        <v>44</v>
      </c>
      <c r="Q5311">
        <v>27233</v>
      </c>
      <c r="R5311" t="s">
        <v>45</v>
      </c>
      <c r="S5311" t="s">
        <v>25526</v>
      </c>
      <c r="T5311">
        <v>25</v>
      </c>
      <c r="U5311" s="2" t="s">
        <v>32076</v>
      </c>
      <c r="W5311" t="s">
        <v>48</v>
      </c>
      <c r="X5311">
        <v>807568</v>
      </c>
      <c r="Y5311" t="s">
        <v>1111</v>
      </c>
      <c r="Z5311" t="s">
        <v>1519</v>
      </c>
      <c r="AA5311" s="2" t="s">
        <v>29031</v>
      </c>
      <c r="AB5311" t="s">
        <v>30915</v>
      </c>
      <c r="AG5311" t="s">
        <v>32084</v>
      </c>
      <c r="AH5311" t="s">
        <v>25532</v>
      </c>
      <c r="AI5311" t="s">
        <v>32085</v>
      </c>
    </row>
    <row r="5312" spans="2:35" ht="255">
      <c r="B5312" s="1">
        <v>45334</v>
      </c>
      <c r="C5312" s="4">
        <v>45330.613194444442</v>
      </c>
      <c r="D5312" t="s">
        <v>25324</v>
      </c>
      <c r="E5312" t="s">
        <v>27738</v>
      </c>
      <c r="F5312" t="s">
        <v>37</v>
      </c>
      <c r="G5312" t="s">
        <v>78</v>
      </c>
      <c r="H5312" t="s">
        <v>39</v>
      </c>
      <c r="I5312" t="s">
        <v>40</v>
      </c>
      <c r="J5312" s="2" t="s">
        <v>9117</v>
      </c>
      <c r="K5312" t="s">
        <v>42</v>
      </c>
      <c r="L5312" t="s">
        <v>43</v>
      </c>
      <c r="N5312" t="s">
        <v>44</v>
      </c>
      <c r="Q5312">
        <v>27234</v>
      </c>
      <c r="R5312" t="s">
        <v>119</v>
      </c>
      <c r="S5312" t="s">
        <v>27739</v>
      </c>
      <c r="T5312">
        <v>24</v>
      </c>
      <c r="W5312" t="s">
        <v>48</v>
      </c>
      <c r="X5312">
        <v>821292</v>
      </c>
      <c r="Y5312" t="s">
        <v>32079</v>
      </c>
      <c r="Z5312" t="s">
        <v>2322</v>
      </c>
      <c r="AA5312" s="2" t="s">
        <v>32080</v>
      </c>
      <c r="AB5312" t="s">
        <v>32081</v>
      </c>
      <c r="AG5312" t="s">
        <v>32086</v>
      </c>
      <c r="AH5312" t="s">
        <v>27742</v>
      </c>
      <c r="AI5312" t="s">
        <v>32087</v>
      </c>
    </row>
    <row r="5313" spans="2:35" ht="345">
      <c r="B5313" s="1">
        <v>45334</v>
      </c>
      <c r="C5313" s="4">
        <v>45329.446527777778</v>
      </c>
      <c r="D5313" t="s">
        <v>32088</v>
      </c>
      <c r="E5313" t="s">
        <v>32089</v>
      </c>
      <c r="F5313">
        <v>12</v>
      </c>
      <c r="G5313" t="s">
        <v>5785</v>
      </c>
      <c r="H5313" t="s">
        <v>39</v>
      </c>
      <c r="I5313" t="s">
        <v>94</v>
      </c>
      <c r="J5313" s="2" t="s">
        <v>6765</v>
      </c>
      <c r="K5313" t="s">
        <v>42</v>
      </c>
      <c r="L5313" t="s">
        <v>296</v>
      </c>
      <c r="N5313" t="s">
        <v>297</v>
      </c>
      <c r="Q5313">
        <v>27232</v>
      </c>
      <c r="R5313" t="s">
        <v>45</v>
      </c>
      <c r="S5313" t="s">
        <v>32090</v>
      </c>
      <c r="T5313">
        <v>28.3</v>
      </c>
      <c r="U5313" s="2" t="s">
        <v>32091</v>
      </c>
      <c r="V5313" s="1">
        <v>45329</v>
      </c>
      <c r="W5313" t="s">
        <v>23049</v>
      </c>
      <c r="X5313">
        <v>812017</v>
      </c>
      <c r="Y5313" t="s">
        <v>54</v>
      </c>
      <c r="Z5313" s="2" t="s">
        <v>32092</v>
      </c>
      <c r="AA5313" s="2" t="s">
        <v>32093</v>
      </c>
      <c r="AB5313" t="s">
        <v>972</v>
      </c>
      <c r="AC5313" t="s">
        <v>32094</v>
      </c>
      <c r="AD5313" t="s">
        <v>3173</v>
      </c>
      <c r="AE5313" t="s">
        <v>32095</v>
      </c>
      <c r="AG5313" t="s">
        <v>32096</v>
      </c>
      <c r="AH5313" t="s">
        <v>32097</v>
      </c>
      <c r="AI5313" t="s">
        <v>32098</v>
      </c>
    </row>
    <row r="5314" spans="2:35" ht="409.5">
      <c r="B5314" s="1">
        <v>45333</v>
      </c>
      <c r="C5314" s="4">
        <v>45330.704861111109</v>
      </c>
      <c r="D5314" t="s">
        <v>4118</v>
      </c>
      <c r="E5314" t="s">
        <v>29879</v>
      </c>
      <c r="F5314">
        <v>5</v>
      </c>
      <c r="G5314" t="s">
        <v>759</v>
      </c>
      <c r="H5314" t="s">
        <v>39</v>
      </c>
      <c r="I5314" t="s">
        <v>94</v>
      </c>
      <c r="J5314" s="2" t="s">
        <v>62</v>
      </c>
      <c r="K5314" t="s">
        <v>42</v>
      </c>
      <c r="L5314" t="s">
        <v>761</v>
      </c>
      <c r="N5314" t="s">
        <v>762</v>
      </c>
      <c r="O5314" t="s">
        <v>6291</v>
      </c>
      <c r="Q5314">
        <v>27231</v>
      </c>
      <c r="R5314" t="s">
        <v>95</v>
      </c>
      <c r="S5314" t="s">
        <v>32099</v>
      </c>
      <c r="T5314">
        <v>29</v>
      </c>
      <c r="U5314" s="2" t="s">
        <v>32100</v>
      </c>
      <c r="W5314" t="s">
        <v>817</v>
      </c>
      <c r="X5314">
        <v>110017942</v>
      </c>
      <c r="Y5314" t="s">
        <v>21277</v>
      </c>
      <c r="Z5314" s="2" t="s">
        <v>32101</v>
      </c>
      <c r="AA5314" s="2" t="s">
        <v>4477</v>
      </c>
      <c r="AB5314" t="s">
        <v>181</v>
      </c>
      <c r="AG5314" t="s">
        <v>32102</v>
      </c>
      <c r="AH5314" t="s">
        <v>9094</v>
      </c>
      <c r="AI5314" t="s">
        <v>32103</v>
      </c>
    </row>
    <row r="5315" spans="2:35" ht="225">
      <c r="B5315" s="1">
        <v>45331</v>
      </c>
      <c r="C5315" s="4">
        <v>45331.464583333334</v>
      </c>
      <c r="D5315" t="s">
        <v>25636</v>
      </c>
      <c r="E5315" t="s">
        <v>30562</v>
      </c>
      <c r="F5315">
        <v>2</v>
      </c>
      <c r="G5315" t="s">
        <v>2668</v>
      </c>
      <c r="H5315" t="s">
        <v>39</v>
      </c>
      <c r="I5315" t="s">
        <v>40</v>
      </c>
      <c r="J5315" s="2" t="s">
        <v>1592</v>
      </c>
      <c r="K5315" t="s">
        <v>42</v>
      </c>
      <c r="L5315" t="s">
        <v>63</v>
      </c>
      <c r="N5315" t="s">
        <v>64</v>
      </c>
      <c r="Q5315">
        <v>27230</v>
      </c>
      <c r="R5315" t="s">
        <v>45</v>
      </c>
      <c r="S5315" t="s">
        <v>30563</v>
      </c>
      <c r="T5315">
        <v>24</v>
      </c>
      <c r="U5315" s="2" t="s">
        <v>32104</v>
      </c>
      <c r="V5315" s="1">
        <v>45331</v>
      </c>
      <c r="W5315" t="s">
        <v>26915</v>
      </c>
      <c r="X5315">
        <v>805104</v>
      </c>
      <c r="Y5315" t="s">
        <v>32105</v>
      </c>
      <c r="Z5315" s="2" t="s">
        <v>32106</v>
      </c>
      <c r="AA5315" s="2" t="s">
        <v>1727</v>
      </c>
      <c r="AB5315" t="s">
        <v>70</v>
      </c>
      <c r="AC5315" t="s">
        <v>32107</v>
      </c>
      <c r="AD5315" t="s">
        <v>1716</v>
      </c>
      <c r="AE5315" t="s">
        <v>1716</v>
      </c>
      <c r="AG5315" t="s">
        <v>32108</v>
      </c>
      <c r="AH5315" t="s">
        <v>32109</v>
      </c>
      <c r="AI5315" t="s">
        <v>32110</v>
      </c>
    </row>
    <row r="5316" spans="2:35" ht="165">
      <c r="B5316" s="1">
        <v>45330</v>
      </c>
      <c r="C5316" s="4">
        <v>45330.559027777781</v>
      </c>
      <c r="D5316" t="s">
        <v>620</v>
      </c>
      <c r="E5316" t="s">
        <v>32111</v>
      </c>
      <c r="F5316" t="s">
        <v>148</v>
      </c>
      <c r="G5316" t="s">
        <v>447</v>
      </c>
      <c r="H5316" t="s">
        <v>39</v>
      </c>
      <c r="I5316" t="s">
        <v>40</v>
      </c>
      <c r="J5316" t="s">
        <v>109</v>
      </c>
      <c r="K5316" t="s">
        <v>42</v>
      </c>
      <c r="L5316" t="s">
        <v>15532</v>
      </c>
      <c r="N5316" t="s">
        <v>15533</v>
      </c>
      <c r="Q5316">
        <v>27229</v>
      </c>
      <c r="R5316" t="s">
        <v>119</v>
      </c>
      <c r="S5316" t="s">
        <v>24896</v>
      </c>
      <c r="T5316">
        <v>29</v>
      </c>
      <c r="W5316" t="s">
        <v>32112</v>
      </c>
      <c r="X5316">
        <v>831876</v>
      </c>
      <c r="Y5316" t="s">
        <v>15536</v>
      </c>
      <c r="Z5316" s="2" t="s">
        <v>32113</v>
      </c>
      <c r="AA5316" s="2" t="s">
        <v>20881</v>
      </c>
      <c r="AB5316" s="2" t="s">
        <v>17371</v>
      </c>
      <c r="AG5316" t="s">
        <v>32114</v>
      </c>
      <c r="AH5316" t="s">
        <v>31514</v>
      </c>
      <c r="AI5316" t="s">
        <v>32115</v>
      </c>
    </row>
    <row r="5317" spans="2:35" ht="210">
      <c r="B5317" s="1">
        <v>45330</v>
      </c>
      <c r="C5317" s="4">
        <v>45330.5625</v>
      </c>
      <c r="D5317" t="s">
        <v>32116</v>
      </c>
      <c r="E5317" t="s">
        <v>32117</v>
      </c>
      <c r="F5317">
        <v>3</v>
      </c>
      <c r="G5317" t="s">
        <v>174</v>
      </c>
      <c r="H5317" t="s">
        <v>39</v>
      </c>
      <c r="I5317" t="s">
        <v>40</v>
      </c>
      <c r="J5317" s="2" t="s">
        <v>6765</v>
      </c>
      <c r="K5317" t="s">
        <v>42</v>
      </c>
      <c r="L5317" t="s">
        <v>175</v>
      </c>
      <c r="N5317" t="s">
        <v>176</v>
      </c>
      <c r="Q5317">
        <v>27228</v>
      </c>
      <c r="R5317" t="s">
        <v>719</v>
      </c>
      <c r="S5317" t="s">
        <v>32118</v>
      </c>
      <c r="T5317">
        <v>27</v>
      </c>
      <c r="U5317" s="2" t="s">
        <v>32119</v>
      </c>
      <c r="V5317" s="1">
        <v>45330</v>
      </c>
      <c r="W5317" t="s">
        <v>84</v>
      </c>
      <c r="X5317">
        <v>846037</v>
      </c>
      <c r="Y5317" t="s">
        <v>998</v>
      </c>
      <c r="Z5317" t="s">
        <v>999</v>
      </c>
      <c r="AA5317" t="e">
        <f ca="1">- checked _xludf.and cleaned cartridge bay, plunger rod, _xludf.filter, icore
- performed XpertCheck
- generated reports</f>
        <v>#NAME?</v>
      </c>
      <c r="AB5317" s="2" t="s">
        <v>3143</v>
      </c>
      <c r="AD5317" t="s">
        <v>7189</v>
      </c>
      <c r="AE5317" t="s">
        <v>103</v>
      </c>
      <c r="AG5317" t="s">
        <v>32120</v>
      </c>
      <c r="AH5317" t="s">
        <v>32121</v>
      </c>
      <c r="AI5317" t="s">
        <v>32122</v>
      </c>
    </row>
    <row r="5318" spans="2:35" ht="165">
      <c r="B5318" s="1">
        <v>45330</v>
      </c>
      <c r="C5318" s="4">
        <v>45330.573611111111</v>
      </c>
      <c r="D5318" t="s">
        <v>8570</v>
      </c>
      <c r="E5318" t="s">
        <v>19832</v>
      </c>
      <c r="F5318">
        <v>2</v>
      </c>
      <c r="G5318" t="s">
        <v>2668</v>
      </c>
      <c r="H5318" t="s">
        <v>39</v>
      </c>
      <c r="I5318" t="s">
        <v>40</v>
      </c>
      <c r="J5318" s="2" t="s">
        <v>31979</v>
      </c>
      <c r="K5318" t="s">
        <v>42</v>
      </c>
      <c r="L5318" t="s">
        <v>63</v>
      </c>
      <c r="N5318" t="s">
        <v>64</v>
      </c>
      <c r="Q5318">
        <v>27227</v>
      </c>
      <c r="R5318" t="s">
        <v>119</v>
      </c>
      <c r="S5318" t="s">
        <v>32123</v>
      </c>
      <c r="T5318">
        <v>27</v>
      </c>
      <c r="U5318" s="2" t="s">
        <v>12546</v>
      </c>
      <c r="V5318" s="1">
        <v>45330</v>
      </c>
      <c r="W5318" t="s">
        <v>26915</v>
      </c>
      <c r="X5318">
        <v>838521</v>
      </c>
      <c r="Y5318" t="s">
        <v>32124</v>
      </c>
      <c r="Z5318" t="s">
        <v>32125</v>
      </c>
      <c r="AA5318" s="2" t="s">
        <v>1727</v>
      </c>
      <c r="AB5318" t="s">
        <v>70</v>
      </c>
      <c r="AC5318" t="s">
        <v>32126</v>
      </c>
      <c r="AD5318" t="s">
        <v>32127</v>
      </c>
      <c r="AE5318" t="s">
        <v>1716</v>
      </c>
      <c r="AG5318" t="s">
        <v>32128</v>
      </c>
      <c r="AH5318" t="s">
        <v>9397</v>
      </c>
      <c r="AI5318" t="s">
        <v>32129</v>
      </c>
    </row>
    <row r="5319" spans="2:35" ht="300">
      <c r="B5319" s="1">
        <v>45330</v>
      </c>
      <c r="C5319" s="4">
        <v>45330.552777777775</v>
      </c>
      <c r="D5319" t="s">
        <v>25524</v>
      </c>
      <c r="E5319" t="s">
        <v>32075</v>
      </c>
      <c r="F5319" t="s">
        <v>37</v>
      </c>
      <c r="G5319" t="s">
        <v>78</v>
      </c>
      <c r="H5319" t="s">
        <v>39</v>
      </c>
      <c r="I5319" t="s">
        <v>40</v>
      </c>
      <c r="J5319" t="s">
        <v>321</v>
      </c>
      <c r="K5319" t="s">
        <v>42</v>
      </c>
      <c r="L5319" t="s">
        <v>43</v>
      </c>
      <c r="N5319" t="s">
        <v>44</v>
      </c>
      <c r="Q5319">
        <v>27226</v>
      </c>
      <c r="R5319" t="s">
        <v>45</v>
      </c>
      <c r="S5319" t="s">
        <v>25526</v>
      </c>
      <c r="T5319">
        <v>25</v>
      </c>
      <c r="W5319" t="s">
        <v>153</v>
      </c>
      <c r="X5319">
        <v>110013962</v>
      </c>
      <c r="Y5319" t="s">
        <v>6010</v>
      </c>
      <c r="Z5319" t="s">
        <v>751</v>
      </c>
      <c r="AA5319" s="2" t="s">
        <v>32130</v>
      </c>
      <c r="AB5319" t="s">
        <v>88</v>
      </c>
      <c r="AG5319" t="s">
        <v>32131</v>
      </c>
      <c r="AH5319" t="s">
        <v>25532</v>
      </c>
      <c r="AI5319" t="s">
        <v>32132</v>
      </c>
    </row>
    <row r="5320" spans="2:35" ht="360">
      <c r="B5320" s="1">
        <v>45330</v>
      </c>
      <c r="C5320" s="4">
        <v>45329.616666666669</v>
      </c>
      <c r="D5320" t="s">
        <v>32133</v>
      </c>
      <c r="E5320" t="s">
        <v>32134</v>
      </c>
      <c r="F5320" t="s">
        <v>37</v>
      </c>
      <c r="G5320" t="s">
        <v>38</v>
      </c>
      <c r="H5320" t="s">
        <v>39</v>
      </c>
      <c r="I5320" t="s">
        <v>40</v>
      </c>
      <c r="J5320" s="2" t="s">
        <v>6765</v>
      </c>
      <c r="K5320" t="s">
        <v>42</v>
      </c>
      <c r="L5320" t="s">
        <v>43</v>
      </c>
      <c r="N5320" t="s">
        <v>44</v>
      </c>
      <c r="Q5320">
        <v>27223</v>
      </c>
      <c r="R5320" t="s">
        <v>45</v>
      </c>
      <c r="S5320" t="s">
        <v>32135</v>
      </c>
      <c r="T5320">
        <v>25</v>
      </c>
      <c r="U5320" s="2" t="s">
        <v>6847</v>
      </c>
      <c r="W5320" t="s">
        <v>48</v>
      </c>
      <c r="X5320">
        <v>812836</v>
      </c>
      <c r="Y5320" t="s">
        <v>1111</v>
      </c>
      <c r="Z5320" t="s">
        <v>1519</v>
      </c>
      <c r="AA5320" s="2" t="s">
        <v>29031</v>
      </c>
      <c r="AB5320" t="s">
        <v>24813</v>
      </c>
      <c r="AG5320" t="s">
        <v>32136</v>
      </c>
      <c r="AH5320" t="s">
        <v>32137</v>
      </c>
      <c r="AI5320" t="s">
        <v>32138</v>
      </c>
    </row>
    <row r="5321" spans="2:35" ht="360">
      <c r="B5321" s="1">
        <v>45330</v>
      </c>
      <c r="C5321" s="4">
        <v>45328.583333333336</v>
      </c>
      <c r="D5321" t="s">
        <v>1686</v>
      </c>
      <c r="E5321" t="s">
        <v>32139</v>
      </c>
      <c r="F5321" t="s">
        <v>148</v>
      </c>
      <c r="G5321" t="s">
        <v>785</v>
      </c>
      <c r="H5321" t="s">
        <v>39</v>
      </c>
      <c r="I5321" t="s">
        <v>40</v>
      </c>
      <c r="J5321" s="2" t="s">
        <v>6765</v>
      </c>
      <c r="K5321" t="s">
        <v>42</v>
      </c>
      <c r="L5321" t="s">
        <v>43</v>
      </c>
      <c r="N5321" t="s">
        <v>44</v>
      </c>
      <c r="Q5321">
        <v>27224</v>
      </c>
      <c r="R5321" t="s">
        <v>45</v>
      </c>
      <c r="S5321" t="s">
        <v>1688</v>
      </c>
      <c r="T5321">
        <v>24</v>
      </c>
      <c r="U5321" s="2" t="s">
        <v>32140</v>
      </c>
      <c r="W5321" t="s">
        <v>48</v>
      </c>
      <c r="X5321">
        <v>838898</v>
      </c>
      <c r="Y5321" t="s">
        <v>1111</v>
      </c>
      <c r="Z5321" t="s">
        <v>1519</v>
      </c>
      <c r="AA5321" s="2" t="s">
        <v>29052</v>
      </c>
      <c r="AB5321" t="s">
        <v>32141</v>
      </c>
      <c r="AG5321" t="s">
        <v>32142</v>
      </c>
      <c r="AH5321" t="s">
        <v>8273</v>
      </c>
      <c r="AI5321" t="s">
        <v>32143</v>
      </c>
    </row>
    <row r="5322" spans="2:35" ht="360">
      <c r="B5322" s="1">
        <v>45330</v>
      </c>
      <c r="C5322" s="4">
        <v>45329.435416666667</v>
      </c>
      <c r="D5322" t="s">
        <v>4814</v>
      </c>
      <c r="E5322" t="s">
        <v>32144</v>
      </c>
      <c r="F5322" t="s">
        <v>148</v>
      </c>
      <c r="G5322" t="s">
        <v>785</v>
      </c>
      <c r="H5322" t="s">
        <v>39</v>
      </c>
      <c r="I5322" t="s">
        <v>40</v>
      </c>
      <c r="J5322" s="2" t="s">
        <v>6765</v>
      </c>
      <c r="K5322" t="s">
        <v>42</v>
      </c>
      <c r="L5322" t="s">
        <v>43</v>
      </c>
      <c r="N5322" t="s">
        <v>44</v>
      </c>
      <c r="Q5322">
        <v>27225</v>
      </c>
      <c r="R5322" t="s">
        <v>45</v>
      </c>
      <c r="S5322" t="s">
        <v>32145</v>
      </c>
      <c r="T5322">
        <v>24</v>
      </c>
      <c r="U5322" s="2" t="s">
        <v>14348</v>
      </c>
      <c r="W5322" t="s">
        <v>48</v>
      </c>
      <c r="X5322">
        <v>814163</v>
      </c>
      <c r="Y5322" t="s">
        <v>1111</v>
      </c>
      <c r="Z5322" t="s">
        <v>1519</v>
      </c>
      <c r="AA5322" s="2" t="s">
        <v>29031</v>
      </c>
      <c r="AB5322" t="s">
        <v>32146</v>
      </c>
      <c r="AG5322" t="s">
        <v>32147</v>
      </c>
      <c r="AH5322" t="s">
        <v>32148</v>
      </c>
      <c r="AI5322" t="s">
        <v>32149</v>
      </c>
    </row>
    <row r="5323" spans="2:35" ht="360">
      <c r="B5323" s="1">
        <v>45330</v>
      </c>
      <c r="C5323" s="4">
        <v>45328.44027777778</v>
      </c>
      <c r="D5323" t="s">
        <v>1678</v>
      </c>
      <c r="E5323" t="s">
        <v>32150</v>
      </c>
      <c r="F5323" t="s">
        <v>148</v>
      </c>
      <c r="G5323" t="s">
        <v>785</v>
      </c>
      <c r="H5323" t="s">
        <v>39</v>
      </c>
      <c r="I5323" t="s">
        <v>40</v>
      </c>
      <c r="J5323" s="2" t="s">
        <v>6765</v>
      </c>
      <c r="K5323" t="s">
        <v>42</v>
      </c>
      <c r="L5323" t="s">
        <v>43</v>
      </c>
      <c r="N5323" t="s">
        <v>44</v>
      </c>
      <c r="Q5323">
        <v>27222</v>
      </c>
      <c r="R5323" t="s">
        <v>719</v>
      </c>
      <c r="S5323" t="s">
        <v>18437</v>
      </c>
      <c r="T5323">
        <v>24</v>
      </c>
      <c r="U5323" s="2" t="s">
        <v>32151</v>
      </c>
      <c r="W5323" t="s">
        <v>48</v>
      </c>
      <c r="X5323">
        <v>843924</v>
      </c>
      <c r="Y5323" t="s">
        <v>1111</v>
      </c>
      <c r="Z5323" t="s">
        <v>1519</v>
      </c>
      <c r="AA5323" s="2" t="s">
        <v>29031</v>
      </c>
      <c r="AB5323" t="s">
        <v>32152</v>
      </c>
      <c r="AG5323" t="s">
        <v>32153</v>
      </c>
      <c r="AH5323" t="s">
        <v>1684</v>
      </c>
      <c r="AI5323" t="s">
        <v>32154</v>
      </c>
    </row>
    <row r="5324" spans="2:35" ht="105">
      <c r="B5324" s="1">
        <v>45330</v>
      </c>
      <c r="C5324" s="4">
        <v>45329.374305555553</v>
      </c>
      <c r="D5324" t="s">
        <v>31998</v>
      </c>
      <c r="E5324" t="s">
        <v>31999</v>
      </c>
      <c r="F5324">
        <v>1</v>
      </c>
      <c r="G5324" t="s">
        <v>1046</v>
      </c>
      <c r="H5324" t="s">
        <v>1047</v>
      </c>
      <c r="I5324" t="s">
        <v>40</v>
      </c>
      <c r="J5324" s="2" t="s">
        <v>1309</v>
      </c>
      <c r="K5324" t="s">
        <v>42</v>
      </c>
      <c r="L5324" t="s">
        <v>1048</v>
      </c>
      <c r="N5324" t="s">
        <v>1049</v>
      </c>
      <c r="Q5324">
        <v>27221</v>
      </c>
      <c r="R5324" t="s">
        <v>45</v>
      </c>
      <c r="S5324" t="s">
        <v>32000</v>
      </c>
      <c r="T5324">
        <v>30</v>
      </c>
      <c r="U5324" s="2" t="s">
        <v>8191</v>
      </c>
      <c r="V5324" s="1">
        <v>45329</v>
      </c>
      <c r="W5324" t="s">
        <v>32155</v>
      </c>
      <c r="X5324">
        <v>834369</v>
      </c>
      <c r="Y5324" t="e">
        <f ca="1">- stuck cartridge
- _xludf.For Preventive Maintenance _xludf.and XpertCheck</f>
        <v>#NAME?</v>
      </c>
      <c r="Z5324" t="e">
        <f ca="1">- removed stuck cartridge
- cleaned cartridge Bays, plunger Rods _xludf.and I-CORE
- performed XpertCheck
- generated reports</f>
        <v>#NAME?</v>
      </c>
      <c r="AA5324" t="e">
        <f ca="1">- removed stuck cartridge
- performed Preventive Maintenance _xludf.and XpertCheck</f>
        <v>#NAME?</v>
      </c>
      <c r="AB5324" t="s">
        <v>181</v>
      </c>
      <c r="AC5324" t="s">
        <v>8019</v>
      </c>
      <c r="AD5324" t="s">
        <v>1958</v>
      </c>
      <c r="AE5324" t="s">
        <v>103</v>
      </c>
      <c r="AG5324" t="s">
        <v>32156</v>
      </c>
      <c r="AH5324" t="s">
        <v>32002</v>
      </c>
      <c r="AI5324" t="s">
        <v>32157</v>
      </c>
    </row>
    <row r="5325" spans="2:35" ht="409.5">
      <c r="B5325" s="1">
        <v>45330</v>
      </c>
      <c r="C5325" s="4">
        <v>45330.494444444441</v>
      </c>
      <c r="D5325" t="s">
        <v>32158</v>
      </c>
      <c r="E5325" t="s">
        <v>32159</v>
      </c>
      <c r="F5325" t="s">
        <v>37</v>
      </c>
      <c r="G5325" t="s">
        <v>78</v>
      </c>
      <c r="H5325" t="s">
        <v>295</v>
      </c>
      <c r="I5325" t="s">
        <v>40</v>
      </c>
      <c r="J5325" s="2" t="s">
        <v>31986</v>
      </c>
      <c r="K5325" t="s">
        <v>42</v>
      </c>
      <c r="L5325" t="s">
        <v>1943</v>
      </c>
      <c r="N5325" t="s">
        <v>1944</v>
      </c>
      <c r="Q5325">
        <v>27219</v>
      </c>
      <c r="R5325" t="s">
        <v>95</v>
      </c>
      <c r="S5325" t="s">
        <v>12305</v>
      </c>
      <c r="T5325">
        <v>25</v>
      </c>
      <c r="W5325" t="s">
        <v>84</v>
      </c>
      <c r="X5325">
        <v>838519</v>
      </c>
      <c r="Y5325" t="s">
        <v>28970</v>
      </c>
      <c r="Z5325" t="s">
        <v>29419</v>
      </c>
      <c r="AA5325" s="2" t="s">
        <v>28971</v>
      </c>
      <c r="AB5325" t="s">
        <v>88</v>
      </c>
      <c r="AG5325" t="s">
        <v>32160</v>
      </c>
      <c r="AH5325" t="s">
        <v>32161</v>
      </c>
      <c r="AI5325" t="s">
        <v>32162</v>
      </c>
    </row>
    <row r="5326" spans="2:35" ht="409.5">
      <c r="B5326" s="1">
        <v>45330</v>
      </c>
      <c r="C5326" s="4">
        <v>45330.495833333334</v>
      </c>
      <c r="D5326" t="s">
        <v>32158</v>
      </c>
      <c r="E5326" t="s">
        <v>32159</v>
      </c>
      <c r="F5326" t="s">
        <v>37</v>
      </c>
      <c r="G5326" t="s">
        <v>78</v>
      </c>
      <c r="H5326" t="s">
        <v>295</v>
      </c>
      <c r="I5326" t="s">
        <v>40</v>
      </c>
      <c r="J5326" s="2" t="s">
        <v>6765</v>
      </c>
      <c r="K5326" t="s">
        <v>42</v>
      </c>
      <c r="L5326" t="s">
        <v>1943</v>
      </c>
      <c r="N5326" t="s">
        <v>1944</v>
      </c>
      <c r="Q5326">
        <v>27218</v>
      </c>
      <c r="R5326" t="s">
        <v>95</v>
      </c>
      <c r="S5326" t="s">
        <v>12305</v>
      </c>
      <c r="T5326">
        <v>25</v>
      </c>
      <c r="U5326" s="2" t="s">
        <v>32163</v>
      </c>
      <c r="V5326" s="1">
        <v>45321</v>
      </c>
      <c r="W5326" t="s">
        <v>84</v>
      </c>
      <c r="X5326">
        <v>838522</v>
      </c>
      <c r="Y5326" s="2" t="s">
        <v>23659</v>
      </c>
      <c r="Z5326" t="s">
        <v>23660</v>
      </c>
      <c r="AA5326" s="2" t="s">
        <v>29426</v>
      </c>
      <c r="AB5326" t="s">
        <v>32164</v>
      </c>
      <c r="AD5326" t="s">
        <v>20934</v>
      </c>
      <c r="AE5326" t="s">
        <v>11329</v>
      </c>
      <c r="AG5326" t="s">
        <v>32165</v>
      </c>
      <c r="AH5326" t="s">
        <v>32161</v>
      </c>
      <c r="AI5326" t="s">
        <v>32166</v>
      </c>
    </row>
    <row r="5327" spans="2:35" ht="409.5">
      <c r="B5327" s="1">
        <v>45330</v>
      </c>
      <c r="C5327" s="4">
        <v>45330.492361111108</v>
      </c>
      <c r="D5327" t="s">
        <v>32158</v>
      </c>
      <c r="E5327" t="s">
        <v>32159</v>
      </c>
      <c r="F5327" t="s">
        <v>37</v>
      </c>
      <c r="G5327" t="s">
        <v>78</v>
      </c>
      <c r="H5327" t="s">
        <v>295</v>
      </c>
      <c r="I5327" t="s">
        <v>40</v>
      </c>
      <c r="J5327" s="2" t="s">
        <v>31986</v>
      </c>
      <c r="K5327" t="s">
        <v>42</v>
      </c>
      <c r="L5327" t="s">
        <v>1943</v>
      </c>
      <c r="N5327" t="s">
        <v>1944</v>
      </c>
      <c r="Q5327">
        <v>27220</v>
      </c>
      <c r="R5327" t="s">
        <v>95</v>
      </c>
      <c r="S5327" t="s">
        <v>12305</v>
      </c>
      <c r="T5327">
        <v>25</v>
      </c>
      <c r="U5327" s="2" t="s">
        <v>32167</v>
      </c>
      <c r="W5327" t="s">
        <v>895</v>
      </c>
      <c r="X5327">
        <v>844981</v>
      </c>
      <c r="Y5327" t="s">
        <v>28970</v>
      </c>
      <c r="Z5327" t="s">
        <v>29419</v>
      </c>
      <c r="AA5327" s="2" t="s">
        <v>28971</v>
      </c>
      <c r="AB5327" t="s">
        <v>88</v>
      </c>
      <c r="AG5327" t="s">
        <v>32168</v>
      </c>
      <c r="AH5327" t="s">
        <v>32161</v>
      </c>
      <c r="AI5327" t="s">
        <v>32169</v>
      </c>
    </row>
    <row r="5328" spans="2:35" ht="409.5">
      <c r="B5328" s="1">
        <v>45330</v>
      </c>
      <c r="C5328" s="4">
        <v>45330.453472222223</v>
      </c>
      <c r="D5328" t="s">
        <v>32158</v>
      </c>
      <c r="E5328" t="s">
        <v>32170</v>
      </c>
      <c r="F5328" t="s">
        <v>37</v>
      </c>
      <c r="G5328" t="s">
        <v>78</v>
      </c>
      <c r="H5328" t="s">
        <v>39</v>
      </c>
      <c r="I5328" t="s">
        <v>40</v>
      </c>
      <c r="J5328" s="2" t="s">
        <v>6765</v>
      </c>
      <c r="K5328" t="s">
        <v>42</v>
      </c>
      <c r="L5328" t="s">
        <v>1943</v>
      </c>
      <c r="N5328" t="s">
        <v>1944</v>
      </c>
      <c r="Q5328">
        <v>27217</v>
      </c>
      <c r="R5328" t="s">
        <v>45</v>
      </c>
      <c r="S5328" t="s">
        <v>5107</v>
      </c>
      <c r="T5328">
        <v>25</v>
      </c>
      <c r="V5328" s="1">
        <v>45322</v>
      </c>
      <c r="W5328" t="s">
        <v>84</v>
      </c>
      <c r="X5328">
        <v>804839</v>
      </c>
      <c r="Y5328" s="2" t="s">
        <v>32171</v>
      </c>
      <c r="Z5328" t="s">
        <v>23660</v>
      </c>
      <c r="AA5328" s="2" t="s">
        <v>28979</v>
      </c>
      <c r="AB5328" t="s">
        <v>88</v>
      </c>
      <c r="AD5328" s="2" t="s">
        <v>32172</v>
      </c>
      <c r="AE5328" t="s">
        <v>32173</v>
      </c>
      <c r="AG5328" t="s">
        <v>32174</v>
      </c>
      <c r="AH5328" t="s">
        <v>22323</v>
      </c>
      <c r="AI5328" t="s">
        <v>32175</v>
      </c>
    </row>
    <row r="5329" spans="2:35" ht="409.5">
      <c r="B5329" s="1">
        <v>45330</v>
      </c>
      <c r="C5329" s="4">
        <v>45330.444444444445</v>
      </c>
      <c r="D5329" t="s">
        <v>3119</v>
      </c>
      <c r="E5329" t="s">
        <v>32176</v>
      </c>
      <c r="F5329" t="s">
        <v>148</v>
      </c>
      <c r="G5329" t="s">
        <v>310</v>
      </c>
      <c r="H5329" t="s">
        <v>39</v>
      </c>
      <c r="I5329" t="s">
        <v>94</v>
      </c>
      <c r="J5329" s="2" t="s">
        <v>41</v>
      </c>
      <c r="K5329" t="s">
        <v>42</v>
      </c>
      <c r="L5329" t="s">
        <v>15532</v>
      </c>
      <c r="N5329" t="s">
        <v>15533</v>
      </c>
      <c r="O5329" t="s">
        <v>5841</v>
      </c>
      <c r="Q5329">
        <v>27216</v>
      </c>
      <c r="R5329" t="s">
        <v>95</v>
      </c>
      <c r="S5329" t="s">
        <v>3124</v>
      </c>
      <c r="T5329">
        <v>20</v>
      </c>
      <c r="U5329" s="2" t="s">
        <v>32177</v>
      </c>
      <c r="V5329" s="1">
        <v>45329</v>
      </c>
      <c r="W5329" t="s">
        <v>24467</v>
      </c>
      <c r="X5329">
        <v>110001648</v>
      </c>
      <c r="Y5329" t="s">
        <v>424</v>
      </c>
      <c r="Z5329" s="2" t="s">
        <v>32178</v>
      </c>
      <c r="AA5329" s="2" t="s">
        <v>32179</v>
      </c>
      <c r="AB5329" s="2" t="s">
        <v>15539</v>
      </c>
      <c r="AD5329" t="s">
        <v>32180</v>
      </c>
      <c r="AE5329" t="s">
        <v>32181</v>
      </c>
      <c r="AG5329" t="s">
        <v>32182</v>
      </c>
      <c r="AH5329" t="s">
        <v>32183</v>
      </c>
      <c r="AI5329" t="s">
        <v>32184</v>
      </c>
    </row>
    <row r="5330" spans="2:35" ht="409.5">
      <c r="B5330" s="1">
        <v>45330</v>
      </c>
      <c r="C5330" s="4">
        <v>45330.37777777778</v>
      </c>
      <c r="D5330" t="s">
        <v>24830</v>
      </c>
      <c r="E5330" t="s">
        <v>32185</v>
      </c>
      <c r="F5330" t="s">
        <v>37</v>
      </c>
      <c r="G5330" t="s">
        <v>78</v>
      </c>
      <c r="H5330" t="s">
        <v>39</v>
      </c>
      <c r="I5330" t="s">
        <v>40</v>
      </c>
      <c r="J5330" s="2" t="s">
        <v>6765</v>
      </c>
      <c r="K5330" t="s">
        <v>42</v>
      </c>
      <c r="L5330" t="s">
        <v>1943</v>
      </c>
      <c r="N5330" t="s">
        <v>1944</v>
      </c>
      <c r="Q5330">
        <v>27215</v>
      </c>
      <c r="R5330" t="s">
        <v>45</v>
      </c>
      <c r="S5330" t="s">
        <v>30685</v>
      </c>
      <c r="T5330">
        <v>25</v>
      </c>
      <c r="U5330" s="2" t="s">
        <v>32186</v>
      </c>
      <c r="V5330" s="1">
        <v>45322</v>
      </c>
      <c r="W5330" t="s">
        <v>84</v>
      </c>
      <c r="X5330">
        <v>812780</v>
      </c>
      <c r="Y5330" s="2" t="s">
        <v>23659</v>
      </c>
      <c r="Z5330" t="s">
        <v>23660</v>
      </c>
      <c r="AA5330" s="2" t="s">
        <v>29426</v>
      </c>
      <c r="AB5330" t="s">
        <v>32187</v>
      </c>
      <c r="AD5330" t="s">
        <v>20934</v>
      </c>
      <c r="AE5330" t="s">
        <v>11329</v>
      </c>
      <c r="AG5330" t="s">
        <v>32188</v>
      </c>
      <c r="AH5330" t="s">
        <v>32189</v>
      </c>
      <c r="AI5330" t="s">
        <v>32190</v>
      </c>
    </row>
    <row r="5331" spans="2:35" ht="330">
      <c r="B5331" s="1">
        <v>45330</v>
      </c>
      <c r="C5331" s="4">
        <v>45330.370833333334</v>
      </c>
      <c r="D5331" t="s">
        <v>32191</v>
      </c>
      <c r="E5331" t="s">
        <v>32192</v>
      </c>
      <c r="F5331">
        <v>2</v>
      </c>
      <c r="G5331" t="s">
        <v>2723</v>
      </c>
      <c r="H5331" t="s">
        <v>39</v>
      </c>
      <c r="I5331" t="s">
        <v>40</v>
      </c>
      <c r="J5331" s="2" t="s">
        <v>41</v>
      </c>
      <c r="K5331" t="s">
        <v>42</v>
      </c>
      <c r="L5331" t="s">
        <v>63</v>
      </c>
      <c r="N5331" t="s">
        <v>64</v>
      </c>
      <c r="Q5331">
        <v>27214</v>
      </c>
      <c r="R5331" t="s">
        <v>45</v>
      </c>
      <c r="S5331" t="s">
        <v>32193</v>
      </c>
      <c r="T5331">
        <v>29</v>
      </c>
      <c r="U5331" s="2" t="s">
        <v>32194</v>
      </c>
      <c r="V5331" s="1">
        <v>45330</v>
      </c>
      <c r="W5331" t="s">
        <v>26915</v>
      </c>
      <c r="X5331">
        <v>808632</v>
      </c>
      <c r="Y5331" t="s">
        <v>32195</v>
      </c>
      <c r="Z5331" t="s">
        <v>1716</v>
      </c>
      <c r="AA5331" s="2" t="s">
        <v>32196</v>
      </c>
      <c r="AB5331" t="s">
        <v>70</v>
      </c>
      <c r="AC5331" t="s">
        <v>32197</v>
      </c>
      <c r="AD5331" t="s">
        <v>32198</v>
      </c>
      <c r="AE5331" t="s">
        <v>1716</v>
      </c>
      <c r="AG5331" t="s">
        <v>32199</v>
      </c>
      <c r="AH5331" t="s">
        <v>32200</v>
      </c>
      <c r="AI5331" t="s">
        <v>32201</v>
      </c>
    </row>
    <row r="5332" spans="2:35" ht="315">
      <c r="B5332" s="1">
        <v>45330</v>
      </c>
      <c r="C5332" s="4">
        <v>45330.359027777777</v>
      </c>
      <c r="D5332" t="s">
        <v>32202</v>
      </c>
      <c r="E5332" t="s">
        <v>32203</v>
      </c>
      <c r="F5332" t="s">
        <v>37</v>
      </c>
      <c r="G5332" t="s">
        <v>38</v>
      </c>
      <c r="H5332" t="s">
        <v>39</v>
      </c>
      <c r="I5332" t="s">
        <v>40</v>
      </c>
      <c r="J5332" s="2" t="s">
        <v>1444</v>
      </c>
      <c r="K5332" t="s">
        <v>42</v>
      </c>
      <c r="L5332" t="s">
        <v>448</v>
      </c>
      <c r="N5332" t="s">
        <v>650</v>
      </c>
      <c r="Q5332">
        <v>27213</v>
      </c>
      <c r="R5332" t="s">
        <v>45</v>
      </c>
      <c r="S5332" t="s">
        <v>29171</v>
      </c>
      <c r="T5332">
        <v>28</v>
      </c>
      <c r="U5332" s="2" t="s">
        <v>32204</v>
      </c>
      <c r="V5332" s="1">
        <v>45330</v>
      </c>
      <c r="W5332" t="s">
        <v>360</v>
      </c>
      <c r="X5332">
        <v>807580</v>
      </c>
      <c r="Y5332" t="s">
        <v>32205</v>
      </c>
      <c r="Z5332" s="2" t="s">
        <v>32206</v>
      </c>
      <c r="AA5332" t="s">
        <v>32207</v>
      </c>
      <c r="AB5332" s="2" t="s">
        <v>32208</v>
      </c>
      <c r="AD5332" t="s">
        <v>32042</v>
      </c>
      <c r="AE5332" t="s">
        <v>54</v>
      </c>
      <c r="AG5332" t="s">
        <v>32209</v>
      </c>
      <c r="AH5332" t="s">
        <v>32210</v>
      </c>
      <c r="AI5332" t="s">
        <v>32211</v>
      </c>
    </row>
    <row r="5333" spans="2:35" ht="409.5">
      <c r="B5333" s="1">
        <v>45329</v>
      </c>
      <c r="C5333" s="4">
        <v>45329.831944444442</v>
      </c>
      <c r="D5333" t="s">
        <v>1757</v>
      </c>
      <c r="E5333" t="s">
        <v>32212</v>
      </c>
      <c r="F5333">
        <v>11</v>
      </c>
      <c r="G5333" t="s">
        <v>1759</v>
      </c>
      <c r="H5333" t="s">
        <v>202</v>
      </c>
      <c r="I5333" t="s">
        <v>94</v>
      </c>
      <c r="J5333" s="2" t="s">
        <v>1592</v>
      </c>
      <c r="K5333" t="s">
        <v>42</v>
      </c>
      <c r="L5333" t="s">
        <v>204</v>
      </c>
      <c r="N5333" t="s">
        <v>205</v>
      </c>
      <c r="Q5333">
        <v>27212</v>
      </c>
      <c r="R5333" t="s">
        <v>45</v>
      </c>
      <c r="S5333" t="s">
        <v>1760</v>
      </c>
      <c r="T5333">
        <v>25.9</v>
      </c>
      <c r="W5333" t="s">
        <v>32213</v>
      </c>
      <c r="X5333">
        <v>808624</v>
      </c>
      <c r="Y5333" s="2" t="s">
        <v>32214</v>
      </c>
      <c r="Z5333" s="2" t="s">
        <v>32215</v>
      </c>
      <c r="AA5333" t="s">
        <v>32216</v>
      </c>
      <c r="AB5333" t="s">
        <v>32217</v>
      </c>
      <c r="AG5333" t="s">
        <v>32218</v>
      </c>
      <c r="AH5333" t="s">
        <v>32219</v>
      </c>
      <c r="AI5333" t="s">
        <v>32220</v>
      </c>
    </row>
    <row r="5334" spans="2:35" ht="240">
      <c r="B5334" s="1">
        <v>45329</v>
      </c>
      <c r="C5334" s="4">
        <v>45329.640277777777</v>
      </c>
      <c r="D5334" t="s">
        <v>2176</v>
      </c>
      <c r="E5334" t="s">
        <v>26724</v>
      </c>
      <c r="F5334" t="s">
        <v>148</v>
      </c>
      <c r="G5334" t="s">
        <v>447</v>
      </c>
      <c r="H5334" t="s">
        <v>2581</v>
      </c>
      <c r="I5334" t="s">
        <v>40</v>
      </c>
      <c r="J5334" s="2" t="s">
        <v>62</v>
      </c>
      <c r="K5334" t="s">
        <v>42</v>
      </c>
      <c r="L5334" t="s">
        <v>448</v>
      </c>
      <c r="N5334" t="s">
        <v>650</v>
      </c>
      <c r="Q5334">
        <v>27211</v>
      </c>
      <c r="R5334" t="s">
        <v>45</v>
      </c>
      <c r="S5334" t="s">
        <v>2582</v>
      </c>
      <c r="T5334">
        <v>28</v>
      </c>
      <c r="U5334" s="2" t="s">
        <v>31788</v>
      </c>
      <c r="V5334" s="1">
        <v>45329</v>
      </c>
      <c r="W5334" t="s">
        <v>6121</v>
      </c>
      <c r="X5334">
        <v>803087</v>
      </c>
      <c r="Y5334" t="s">
        <v>873</v>
      </c>
      <c r="Z5334" s="2" t="s">
        <v>32041</v>
      </c>
      <c r="AA5334" t="s">
        <v>24030</v>
      </c>
      <c r="AB5334" s="2" t="s">
        <v>32221</v>
      </c>
      <c r="AD5334" t="s">
        <v>32042</v>
      </c>
      <c r="AE5334" t="s">
        <v>1716</v>
      </c>
      <c r="AG5334" t="s">
        <v>32222</v>
      </c>
      <c r="AH5334" t="s">
        <v>15742</v>
      </c>
      <c r="AI5334" t="s">
        <v>32223</v>
      </c>
    </row>
    <row r="5335" spans="2:35" ht="409.5">
      <c r="B5335" s="1">
        <v>45329</v>
      </c>
      <c r="C5335" s="4">
        <v>45329.390277777777</v>
      </c>
      <c r="D5335" t="s">
        <v>11509</v>
      </c>
      <c r="E5335" t="s">
        <v>32224</v>
      </c>
      <c r="F5335" t="s">
        <v>148</v>
      </c>
      <c r="G5335" t="s">
        <v>447</v>
      </c>
      <c r="H5335" t="s">
        <v>39</v>
      </c>
      <c r="I5335" t="s">
        <v>94</v>
      </c>
      <c r="J5335" s="2" t="s">
        <v>62</v>
      </c>
      <c r="K5335" t="s">
        <v>42</v>
      </c>
      <c r="L5335" t="s">
        <v>448</v>
      </c>
      <c r="N5335" t="s">
        <v>650</v>
      </c>
      <c r="Q5335">
        <v>27210</v>
      </c>
      <c r="R5335" t="s">
        <v>95</v>
      </c>
      <c r="S5335" t="s">
        <v>17232</v>
      </c>
      <c r="T5335">
        <v>29</v>
      </c>
      <c r="U5335" s="2" t="s">
        <v>32225</v>
      </c>
      <c r="V5335" s="1">
        <v>45321</v>
      </c>
      <c r="W5335" t="s">
        <v>360</v>
      </c>
      <c r="X5335">
        <v>110008529</v>
      </c>
      <c r="Y5335" t="s">
        <v>873</v>
      </c>
      <c r="Z5335" s="2" t="s">
        <v>32041</v>
      </c>
      <c r="AA5335" t="s">
        <v>28936</v>
      </c>
      <c r="AB5335" s="2" t="s">
        <v>32226</v>
      </c>
      <c r="AD5335" t="s">
        <v>32042</v>
      </c>
      <c r="AE5335">
        <v>11171</v>
      </c>
      <c r="AG5335" t="s">
        <v>32227</v>
      </c>
      <c r="AH5335" t="s">
        <v>4501</v>
      </c>
      <c r="AI5335" t="s">
        <v>32228</v>
      </c>
    </row>
    <row r="5336" spans="2:35" ht="150">
      <c r="B5336" s="1">
        <v>45329</v>
      </c>
      <c r="C5336" s="4">
        <v>45328.554861111108</v>
      </c>
      <c r="D5336" t="s">
        <v>4259</v>
      </c>
      <c r="E5336" t="s">
        <v>4260</v>
      </c>
      <c r="F5336" t="s">
        <v>148</v>
      </c>
      <c r="G5336" t="s">
        <v>2007</v>
      </c>
      <c r="H5336" t="s">
        <v>39</v>
      </c>
      <c r="I5336" t="s">
        <v>40</v>
      </c>
      <c r="J5336" t="s">
        <v>32229</v>
      </c>
      <c r="K5336" t="s">
        <v>42</v>
      </c>
      <c r="L5336" t="s">
        <v>448</v>
      </c>
      <c r="N5336" t="s">
        <v>650</v>
      </c>
      <c r="O5336" t="s">
        <v>6185</v>
      </c>
      <c r="Q5336">
        <v>27209</v>
      </c>
      <c r="R5336" t="s">
        <v>703</v>
      </c>
      <c r="S5336" t="s">
        <v>4261</v>
      </c>
      <c r="T5336">
        <v>26</v>
      </c>
      <c r="U5336" s="2" t="s">
        <v>32230</v>
      </c>
      <c r="W5336" t="s">
        <v>6121</v>
      </c>
      <c r="X5336">
        <v>812560</v>
      </c>
      <c r="Y5336" t="s">
        <v>32231</v>
      </c>
      <c r="Z5336" s="2" t="s">
        <v>32232</v>
      </c>
      <c r="AA5336" t="s">
        <v>32233</v>
      </c>
      <c r="AB5336" t="s">
        <v>486</v>
      </c>
      <c r="AC5336" t="s">
        <v>32234</v>
      </c>
      <c r="AG5336" t="s">
        <v>32235</v>
      </c>
      <c r="AH5336" t="s">
        <v>6202</v>
      </c>
      <c r="AI5336" t="s">
        <v>32236</v>
      </c>
    </row>
    <row r="5337" spans="2:35" ht="345">
      <c r="B5337" s="1">
        <v>45329</v>
      </c>
      <c r="C5337" s="4">
        <v>45327.665972222225</v>
      </c>
      <c r="D5337" t="s">
        <v>3679</v>
      </c>
      <c r="E5337" t="s">
        <v>32237</v>
      </c>
      <c r="F5337" t="s">
        <v>148</v>
      </c>
      <c r="G5337" t="s">
        <v>447</v>
      </c>
      <c r="H5337" t="s">
        <v>662</v>
      </c>
      <c r="I5337" t="s">
        <v>40</v>
      </c>
      <c r="J5337" t="s">
        <v>525</v>
      </c>
      <c r="K5337" t="s">
        <v>42</v>
      </c>
      <c r="L5337" t="s">
        <v>448</v>
      </c>
      <c r="N5337" t="s">
        <v>650</v>
      </c>
      <c r="Q5337">
        <v>27208</v>
      </c>
      <c r="R5337" t="s">
        <v>45</v>
      </c>
      <c r="S5337" t="s">
        <v>6492</v>
      </c>
      <c r="T5337">
        <v>25</v>
      </c>
      <c r="U5337" s="2" t="s">
        <v>32238</v>
      </c>
      <c r="W5337" t="s">
        <v>360</v>
      </c>
      <c r="X5337">
        <v>834443</v>
      </c>
      <c r="Y5337" t="s">
        <v>32239</v>
      </c>
      <c r="Z5337" s="2" t="s">
        <v>32240</v>
      </c>
      <c r="AA5337" t="s">
        <v>4487</v>
      </c>
      <c r="AB5337" t="s">
        <v>486</v>
      </c>
      <c r="AG5337" t="s">
        <v>32241</v>
      </c>
      <c r="AH5337" t="s">
        <v>32242</v>
      </c>
      <c r="AI5337" t="s">
        <v>32243</v>
      </c>
    </row>
    <row r="5338" spans="2:35" ht="90">
      <c r="B5338" s="1">
        <v>45329</v>
      </c>
      <c r="C5338" s="4">
        <v>45329.657638888886</v>
      </c>
      <c r="D5338" t="s">
        <v>6981</v>
      </c>
      <c r="E5338" t="s">
        <v>6982</v>
      </c>
      <c r="F5338">
        <v>6</v>
      </c>
      <c r="G5338" t="s">
        <v>342</v>
      </c>
      <c r="H5338" t="s">
        <v>39</v>
      </c>
      <c r="I5338" t="s">
        <v>94</v>
      </c>
      <c r="J5338" s="2" t="s">
        <v>30004</v>
      </c>
      <c r="K5338" t="s">
        <v>387</v>
      </c>
      <c r="L5338" t="s">
        <v>433</v>
      </c>
      <c r="N5338" t="s">
        <v>434</v>
      </c>
      <c r="Q5338">
        <v>27207</v>
      </c>
      <c r="R5338" t="s">
        <v>95</v>
      </c>
      <c r="S5338" t="s">
        <v>32244</v>
      </c>
      <c r="T5338">
        <v>28</v>
      </c>
      <c r="W5338" t="s">
        <v>436</v>
      </c>
      <c r="X5338" t="s">
        <v>6986</v>
      </c>
      <c r="Y5338" t="s">
        <v>32245</v>
      </c>
      <c r="Z5338" t="s">
        <v>32246</v>
      </c>
      <c r="AA5338" t="s">
        <v>32246</v>
      </c>
      <c r="AB5338" t="s">
        <v>1011</v>
      </c>
      <c r="AG5338" t="s">
        <v>32247</v>
      </c>
      <c r="AH5338" t="s">
        <v>32248</v>
      </c>
      <c r="AI5338" t="s">
        <v>32249</v>
      </c>
    </row>
    <row r="5339" spans="2:35" ht="75">
      <c r="B5339" s="1">
        <v>45329</v>
      </c>
      <c r="C5339" s="4">
        <v>45329.657638888886</v>
      </c>
      <c r="D5339" t="s">
        <v>6981</v>
      </c>
      <c r="E5339" t="s">
        <v>6982</v>
      </c>
      <c r="F5339">
        <v>6</v>
      </c>
      <c r="G5339" t="s">
        <v>342</v>
      </c>
      <c r="H5339" t="s">
        <v>39</v>
      </c>
      <c r="I5339" t="s">
        <v>94</v>
      </c>
      <c r="J5339" s="2" t="s">
        <v>1309</v>
      </c>
      <c r="K5339" t="s">
        <v>387</v>
      </c>
      <c r="L5339" t="s">
        <v>433</v>
      </c>
      <c r="N5339" t="s">
        <v>434</v>
      </c>
      <c r="Q5339">
        <v>27206</v>
      </c>
      <c r="R5339" t="s">
        <v>95</v>
      </c>
      <c r="S5339" t="s">
        <v>32244</v>
      </c>
      <c r="T5339">
        <v>28</v>
      </c>
      <c r="W5339" t="s">
        <v>436</v>
      </c>
      <c r="X5339" t="s">
        <v>6986</v>
      </c>
      <c r="Y5339" t="s">
        <v>32245</v>
      </c>
      <c r="Z5339" t="s">
        <v>32246</v>
      </c>
      <c r="AA5339" t="s">
        <v>32246</v>
      </c>
      <c r="AB5339" t="s">
        <v>1011</v>
      </c>
      <c r="AG5339" t="s">
        <v>32250</v>
      </c>
      <c r="AH5339" t="s">
        <v>32248</v>
      </c>
      <c r="AI5339" t="s">
        <v>32251</v>
      </c>
    </row>
    <row r="5340" spans="2:35" ht="90">
      <c r="B5340" s="1">
        <v>45329</v>
      </c>
      <c r="C5340" s="4">
        <v>45329.657638888886</v>
      </c>
      <c r="D5340" t="s">
        <v>6981</v>
      </c>
      <c r="E5340" t="s">
        <v>6982</v>
      </c>
      <c r="F5340">
        <v>6</v>
      </c>
      <c r="G5340" t="s">
        <v>342</v>
      </c>
      <c r="H5340" t="s">
        <v>39</v>
      </c>
      <c r="I5340" t="s">
        <v>94</v>
      </c>
      <c r="J5340" s="2" t="s">
        <v>30004</v>
      </c>
      <c r="K5340" t="s">
        <v>387</v>
      </c>
      <c r="L5340" t="s">
        <v>433</v>
      </c>
      <c r="N5340" t="s">
        <v>434</v>
      </c>
      <c r="Q5340">
        <v>27205</v>
      </c>
      <c r="R5340" t="s">
        <v>95</v>
      </c>
      <c r="S5340" t="s">
        <v>32244</v>
      </c>
      <c r="T5340">
        <v>28</v>
      </c>
      <c r="W5340" t="s">
        <v>436</v>
      </c>
      <c r="X5340" t="s">
        <v>6986</v>
      </c>
      <c r="Y5340" t="s">
        <v>32245</v>
      </c>
      <c r="Z5340" t="s">
        <v>32246</v>
      </c>
      <c r="AA5340" t="s">
        <v>32246</v>
      </c>
      <c r="AB5340" t="s">
        <v>1011</v>
      </c>
      <c r="AG5340" t="s">
        <v>32252</v>
      </c>
      <c r="AH5340" t="s">
        <v>32248</v>
      </c>
      <c r="AI5340" t="s">
        <v>32253</v>
      </c>
    </row>
    <row r="5341" spans="2:35" ht="105">
      <c r="B5341" s="1">
        <v>45329</v>
      </c>
      <c r="C5341" s="4">
        <v>45329.629861111112</v>
      </c>
      <c r="D5341" t="s">
        <v>8684</v>
      </c>
      <c r="E5341" t="s">
        <v>8685</v>
      </c>
      <c r="F5341">
        <v>5</v>
      </c>
      <c r="G5341" t="s">
        <v>814</v>
      </c>
      <c r="H5341" t="s">
        <v>16689</v>
      </c>
      <c r="I5341" t="s">
        <v>94</v>
      </c>
      <c r="J5341" t="s">
        <v>525</v>
      </c>
      <c r="K5341" t="s">
        <v>42</v>
      </c>
      <c r="L5341" t="s">
        <v>761</v>
      </c>
      <c r="N5341" t="s">
        <v>762</v>
      </c>
      <c r="Q5341">
        <v>27204</v>
      </c>
      <c r="R5341" t="s">
        <v>119</v>
      </c>
      <c r="S5341" t="s">
        <v>14253</v>
      </c>
      <c r="T5341">
        <v>24</v>
      </c>
      <c r="U5341" s="2" t="s">
        <v>32254</v>
      </c>
      <c r="W5341" t="s">
        <v>765</v>
      </c>
      <c r="X5341">
        <v>838266</v>
      </c>
      <c r="Y5341" t="s">
        <v>32255</v>
      </c>
      <c r="Z5341" t="s">
        <v>32256</v>
      </c>
      <c r="AA5341" t="s">
        <v>32257</v>
      </c>
      <c r="AB5341" t="s">
        <v>181</v>
      </c>
      <c r="AG5341" t="s">
        <v>32258</v>
      </c>
      <c r="AH5341" t="s">
        <v>8693</v>
      </c>
      <c r="AI5341" t="s">
        <v>32259</v>
      </c>
    </row>
    <row r="5342" spans="2:35" ht="105">
      <c r="B5342" s="1">
        <v>45329</v>
      </c>
      <c r="C5342" s="4">
        <v>45329.618055555555</v>
      </c>
      <c r="D5342" t="s">
        <v>32260</v>
      </c>
      <c r="E5342" t="s">
        <v>32261</v>
      </c>
      <c r="F5342" t="s">
        <v>148</v>
      </c>
      <c r="G5342" t="s">
        <v>371</v>
      </c>
      <c r="H5342" t="s">
        <v>39</v>
      </c>
      <c r="I5342" t="s">
        <v>40</v>
      </c>
      <c r="J5342" s="2" t="s">
        <v>41</v>
      </c>
      <c r="K5342" t="s">
        <v>42</v>
      </c>
      <c r="L5342" t="s">
        <v>15532</v>
      </c>
      <c r="N5342" t="s">
        <v>15533</v>
      </c>
      <c r="Q5342">
        <v>27203</v>
      </c>
      <c r="R5342" t="s">
        <v>45</v>
      </c>
      <c r="S5342" t="s">
        <v>32262</v>
      </c>
      <c r="T5342">
        <v>21</v>
      </c>
      <c r="U5342" s="2" t="s">
        <v>10371</v>
      </c>
      <c r="V5342" s="1">
        <v>45327</v>
      </c>
      <c r="W5342" t="s">
        <v>23974</v>
      </c>
      <c r="X5342">
        <v>838884</v>
      </c>
      <c r="Y5342" t="s">
        <v>424</v>
      </c>
      <c r="Z5342" s="2" t="s">
        <v>32263</v>
      </c>
      <c r="AA5342" s="2" t="s">
        <v>32264</v>
      </c>
      <c r="AB5342" s="2" t="s">
        <v>15539</v>
      </c>
      <c r="AD5342" t="s">
        <v>15847</v>
      </c>
      <c r="AE5342" t="s">
        <v>32265</v>
      </c>
      <c r="AG5342" t="s">
        <v>32266</v>
      </c>
      <c r="AH5342" t="s">
        <v>32267</v>
      </c>
      <c r="AI5342" t="s">
        <v>32268</v>
      </c>
    </row>
    <row r="5343" spans="2:35" ht="409.5">
      <c r="B5343" s="1">
        <v>45329</v>
      </c>
      <c r="C5343" s="4">
        <v>45329.59652777778</v>
      </c>
      <c r="D5343" t="s">
        <v>25621</v>
      </c>
      <c r="E5343" t="s">
        <v>32269</v>
      </c>
      <c r="F5343" t="s">
        <v>37</v>
      </c>
      <c r="G5343" t="s">
        <v>189</v>
      </c>
      <c r="H5343" t="s">
        <v>39</v>
      </c>
      <c r="I5343" t="s">
        <v>40</v>
      </c>
      <c r="J5343" s="2" t="s">
        <v>1157</v>
      </c>
      <c r="K5343" t="s">
        <v>42</v>
      </c>
      <c r="L5343" t="s">
        <v>1943</v>
      </c>
      <c r="N5343" t="s">
        <v>1944</v>
      </c>
      <c r="Q5343">
        <v>27202</v>
      </c>
      <c r="R5343" t="s">
        <v>45</v>
      </c>
      <c r="S5343" t="s">
        <v>25623</v>
      </c>
      <c r="T5343">
        <v>25</v>
      </c>
      <c r="U5343" s="2" t="s">
        <v>24452</v>
      </c>
      <c r="V5343" s="1">
        <v>45322</v>
      </c>
      <c r="W5343" t="s">
        <v>84</v>
      </c>
      <c r="X5343">
        <v>804683</v>
      </c>
      <c r="Y5343" s="2" t="s">
        <v>32270</v>
      </c>
      <c r="Z5343" t="s">
        <v>32271</v>
      </c>
      <c r="AA5343" s="2" t="s">
        <v>32272</v>
      </c>
      <c r="AB5343" t="s">
        <v>32273</v>
      </c>
      <c r="AD5343" t="s">
        <v>948</v>
      </c>
      <c r="AE5343" t="s">
        <v>11329</v>
      </c>
      <c r="AG5343" t="s">
        <v>32274</v>
      </c>
      <c r="AH5343" t="s">
        <v>30032</v>
      </c>
      <c r="AI5343" t="s">
        <v>32275</v>
      </c>
    </row>
    <row r="5344" spans="2:35" ht="409.5">
      <c r="B5344" s="1">
        <v>45329</v>
      </c>
      <c r="C5344" s="4">
        <v>45329.594444444447</v>
      </c>
      <c r="D5344" t="s">
        <v>25621</v>
      </c>
      <c r="E5344" t="s">
        <v>32269</v>
      </c>
      <c r="F5344" t="s">
        <v>37</v>
      </c>
      <c r="G5344" t="s">
        <v>189</v>
      </c>
      <c r="H5344" t="s">
        <v>39</v>
      </c>
      <c r="I5344" t="s">
        <v>40</v>
      </c>
      <c r="J5344" s="2" t="s">
        <v>62</v>
      </c>
      <c r="K5344" t="s">
        <v>42</v>
      </c>
      <c r="L5344" t="s">
        <v>1943</v>
      </c>
      <c r="N5344" t="s">
        <v>1944</v>
      </c>
      <c r="Q5344">
        <v>27201</v>
      </c>
      <c r="R5344" t="s">
        <v>45</v>
      </c>
      <c r="S5344" t="s">
        <v>25623</v>
      </c>
      <c r="T5344">
        <v>25</v>
      </c>
      <c r="U5344" s="2" t="s">
        <v>32276</v>
      </c>
      <c r="V5344" s="1">
        <v>45322</v>
      </c>
      <c r="W5344" t="s">
        <v>84</v>
      </c>
      <c r="X5344">
        <v>834627</v>
      </c>
      <c r="Y5344" s="2" t="s">
        <v>23659</v>
      </c>
      <c r="Z5344" t="s">
        <v>23660</v>
      </c>
      <c r="AA5344" s="2" t="s">
        <v>29426</v>
      </c>
      <c r="AB5344" t="s">
        <v>8352</v>
      </c>
      <c r="AD5344" t="s">
        <v>948</v>
      </c>
      <c r="AE5344" t="s">
        <v>11329</v>
      </c>
      <c r="AG5344" t="s">
        <v>32277</v>
      </c>
      <c r="AH5344" t="s">
        <v>30032</v>
      </c>
      <c r="AI5344" t="s">
        <v>32278</v>
      </c>
    </row>
    <row r="5345" spans="2:35" ht="409.5">
      <c r="B5345" s="1">
        <v>45329</v>
      </c>
      <c r="C5345" s="4">
        <v>45329.59097222222</v>
      </c>
      <c r="D5345" t="s">
        <v>25621</v>
      </c>
      <c r="E5345" t="s">
        <v>32269</v>
      </c>
      <c r="F5345" t="s">
        <v>37</v>
      </c>
      <c r="G5345" t="s">
        <v>189</v>
      </c>
      <c r="H5345" t="s">
        <v>39</v>
      </c>
      <c r="I5345" t="s">
        <v>40</v>
      </c>
      <c r="J5345" s="2" t="s">
        <v>62</v>
      </c>
      <c r="K5345" t="s">
        <v>42</v>
      </c>
      <c r="L5345" t="s">
        <v>1943</v>
      </c>
      <c r="N5345" t="s">
        <v>1944</v>
      </c>
      <c r="Q5345">
        <v>27200</v>
      </c>
      <c r="R5345" t="s">
        <v>45</v>
      </c>
      <c r="S5345" t="s">
        <v>25623</v>
      </c>
      <c r="T5345">
        <v>25</v>
      </c>
      <c r="U5345" s="2" t="s">
        <v>32279</v>
      </c>
      <c r="V5345" s="1">
        <v>45322</v>
      </c>
      <c r="W5345" t="s">
        <v>32280</v>
      </c>
      <c r="X5345">
        <v>844120</v>
      </c>
      <c r="Y5345" s="2" t="s">
        <v>23659</v>
      </c>
      <c r="Z5345" t="s">
        <v>32281</v>
      </c>
      <c r="AA5345" s="2" t="s">
        <v>29426</v>
      </c>
      <c r="AB5345" t="s">
        <v>32282</v>
      </c>
      <c r="AD5345" t="s">
        <v>20934</v>
      </c>
      <c r="AE5345" t="s">
        <v>11329</v>
      </c>
      <c r="AG5345" t="s">
        <v>32283</v>
      </c>
      <c r="AH5345" t="s">
        <v>30032</v>
      </c>
      <c r="AI5345" t="s">
        <v>32284</v>
      </c>
    </row>
    <row r="5346" spans="2:35" ht="409.5">
      <c r="B5346" s="1">
        <v>45329</v>
      </c>
      <c r="C5346" s="4">
        <v>45329.599305555559</v>
      </c>
      <c r="D5346" t="s">
        <v>25621</v>
      </c>
      <c r="E5346" t="s">
        <v>32269</v>
      </c>
      <c r="F5346" t="s">
        <v>37</v>
      </c>
      <c r="G5346" t="s">
        <v>189</v>
      </c>
      <c r="H5346" t="s">
        <v>39</v>
      </c>
      <c r="I5346" t="s">
        <v>40</v>
      </c>
      <c r="J5346" s="2" t="s">
        <v>62</v>
      </c>
      <c r="K5346" t="s">
        <v>42</v>
      </c>
      <c r="L5346" t="s">
        <v>1943</v>
      </c>
      <c r="N5346" t="s">
        <v>1944</v>
      </c>
      <c r="Q5346">
        <v>27199</v>
      </c>
      <c r="R5346" t="s">
        <v>45</v>
      </c>
      <c r="S5346" t="s">
        <v>25623</v>
      </c>
      <c r="T5346">
        <v>25</v>
      </c>
      <c r="U5346" s="2" t="s">
        <v>32285</v>
      </c>
      <c r="V5346" s="1">
        <v>45322</v>
      </c>
      <c r="W5346" t="s">
        <v>373</v>
      </c>
      <c r="X5346">
        <v>110016955</v>
      </c>
      <c r="Y5346" s="2" t="s">
        <v>23659</v>
      </c>
      <c r="Z5346" t="s">
        <v>23660</v>
      </c>
      <c r="AA5346" s="2" t="s">
        <v>29426</v>
      </c>
      <c r="AB5346" t="s">
        <v>8352</v>
      </c>
      <c r="AD5346" t="s">
        <v>20934</v>
      </c>
      <c r="AE5346" t="s">
        <v>11329</v>
      </c>
      <c r="AG5346" t="s">
        <v>32286</v>
      </c>
      <c r="AH5346" t="s">
        <v>30032</v>
      </c>
      <c r="AI5346" t="s">
        <v>32287</v>
      </c>
    </row>
    <row r="5347" spans="2:35" ht="409.5">
      <c r="B5347" s="1">
        <v>45329</v>
      </c>
      <c r="C5347" s="4">
        <v>45329.602777777778</v>
      </c>
      <c r="D5347" t="s">
        <v>25621</v>
      </c>
      <c r="E5347" t="s">
        <v>32269</v>
      </c>
      <c r="F5347" t="s">
        <v>37</v>
      </c>
      <c r="G5347" t="s">
        <v>189</v>
      </c>
      <c r="H5347" t="s">
        <v>39</v>
      </c>
      <c r="I5347" t="s">
        <v>40</v>
      </c>
      <c r="J5347" s="2" t="s">
        <v>62</v>
      </c>
      <c r="K5347" t="s">
        <v>42</v>
      </c>
      <c r="L5347" t="s">
        <v>1943</v>
      </c>
      <c r="N5347" t="s">
        <v>1944</v>
      </c>
      <c r="Q5347">
        <v>27198</v>
      </c>
      <c r="R5347" t="s">
        <v>45</v>
      </c>
      <c r="S5347" t="s">
        <v>25623</v>
      </c>
      <c r="T5347">
        <v>25</v>
      </c>
      <c r="U5347" s="2" t="s">
        <v>32288</v>
      </c>
      <c r="V5347" s="1">
        <v>45322</v>
      </c>
      <c r="W5347" t="s">
        <v>84</v>
      </c>
      <c r="X5347">
        <v>814153</v>
      </c>
      <c r="Y5347" s="2" t="s">
        <v>23659</v>
      </c>
      <c r="Z5347" t="s">
        <v>23660</v>
      </c>
      <c r="AA5347" s="2" t="s">
        <v>29426</v>
      </c>
      <c r="AB5347" t="s">
        <v>32289</v>
      </c>
      <c r="AD5347" t="s">
        <v>948</v>
      </c>
      <c r="AE5347" t="s">
        <v>11329</v>
      </c>
      <c r="AG5347" t="s">
        <v>32290</v>
      </c>
      <c r="AH5347" t="s">
        <v>30032</v>
      </c>
      <c r="AI5347" t="s">
        <v>32291</v>
      </c>
    </row>
    <row r="5348" spans="2:35" ht="409.5">
      <c r="B5348" s="1">
        <v>45329</v>
      </c>
      <c r="C5348" s="4">
        <v>45328.415277777778</v>
      </c>
      <c r="D5348" t="s">
        <v>30675</v>
      </c>
      <c r="E5348" t="s">
        <v>30676</v>
      </c>
      <c r="F5348">
        <v>3</v>
      </c>
      <c r="G5348" t="s">
        <v>134</v>
      </c>
      <c r="H5348" t="s">
        <v>39</v>
      </c>
      <c r="I5348" t="s">
        <v>40</v>
      </c>
      <c r="J5348" s="2" t="s">
        <v>62</v>
      </c>
      <c r="K5348" t="s">
        <v>42</v>
      </c>
      <c r="L5348" t="s">
        <v>135</v>
      </c>
      <c r="N5348" t="s">
        <v>136</v>
      </c>
      <c r="Q5348">
        <v>27197</v>
      </c>
      <c r="R5348" t="s">
        <v>45</v>
      </c>
      <c r="S5348" t="s">
        <v>30677</v>
      </c>
      <c r="T5348">
        <v>25</v>
      </c>
      <c r="U5348" s="2" t="s">
        <v>2959</v>
      </c>
      <c r="W5348" t="s">
        <v>2680</v>
      </c>
      <c r="X5348">
        <v>838879</v>
      </c>
      <c r="Y5348" t="s">
        <v>1751</v>
      </c>
      <c r="Z5348" s="2" t="s">
        <v>29789</v>
      </c>
      <c r="AA5348" s="2" t="s">
        <v>31375</v>
      </c>
      <c r="AB5348" s="2" t="s">
        <v>32292</v>
      </c>
      <c r="AC5348" t="s">
        <v>32293</v>
      </c>
      <c r="AG5348" t="s">
        <v>32294</v>
      </c>
      <c r="AH5348" t="s">
        <v>32295</v>
      </c>
      <c r="AI5348" t="s">
        <v>32296</v>
      </c>
    </row>
    <row r="5349" spans="2:35" ht="409.5">
      <c r="B5349" s="1">
        <v>45329</v>
      </c>
      <c r="C5349" s="4">
        <v>45328.415277777778</v>
      </c>
      <c r="D5349" t="s">
        <v>30675</v>
      </c>
      <c r="E5349" t="s">
        <v>30676</v>
      </c>
      <c r="F5349">
        <v>3</v>
      </c>
      <c r="G5349" t="s">
        <v>134</v>
      </c>
      <c r="H5349" t="s">
        <v>39</v>
      </c>
      <c r="I5349" t="s">
        <v>40</v>
      </c>
      <c r="J5349" s="2" t="s">
        <v>62</v>
      </c>
      <c r="K5349" t="s">
        <v>42</v>
      </c>
      <c r="L5349" t="s">
        <v>135</v>
      </c>
      <c r="N5349" t="s">
        <v>136</v>
      </c>
      <c r="Q5349">
        <v>27196</v>
      </c>
      <c r="R5349" t="s">
        <v>45</v>
      </c>
      <c r="S5349" t="s">
        <v>30677</v>
      </c>
      <c r="T5349">
        <v>25</v>
      </c>
      <c r="U5349" s="2" t="s">
        <v>2959</v>
      </c>
      <c r="W5349" t="s">
        <v>2680</v>
      </c>
      <c r="X5349">
        <v>838879</v>
      </c>
      <c r="Y5349" t="s">
        <v>1751</v>
      </c>
      <c r="Z5349" s="2" t="s">
        <v>29789</v>
      </c>
      <c r="AA5349" s="2" t="s">
        <v>31375</v>
      </c>
      <c r="AB5349" s="2" t="s">
        <v>32292</v>
      </c>
      <c r="AC5349" t="s">
        <v>32293</v>
      </c>
      <c r="AG5349" t="s">
        <v>32297</v>
      </c>
      <c r="AH5349" t="s">
        <v>32295</v>
      </c>
      <c r="AI5349" t="s">
        <v>32298</v>
      </c>
    </row>
    <row r="5350" spans="2:35" ht="255">
      <c r="B5350" s="1">
        <v>45329</v>
      </c>
      <c r="C5350" s="4">
        <v>45329.479166666664</v>
      </c>
      <c r="D5350" t="s">
        <v>32299</v>
      </c>
      <c r="E5350" t="s">
        <v>32300</v>
      </c>
      <c r="F5350">
        <v>3</v>
      </c>
      <c r="G5350" t="s">
        <v>219</v>
      </c>
      <c r="H5350" t="s">
        <v>39</v>
      </c>
      <c r="I5350" t="s">
        <v>40</v>
      </c>
      <c r="J5350" s="2" t="s">
        <v>220</v>
      </c>
      <c r="K5350" t="s">
        <v>42</v>
      </c>
      <c r="L5350" t="s">
        <v>135</v>
      </c>
      <c r="N5350" t="s">
        <v>136</v>
      </c>
      <c r="Q5350">
        <v>27195</v>
      </c>
      <c r="R5350" t="s">
        <v>45</v>
      </c>
      <c r="S5350" t="s">
        <v>221</v>
      </c>
      <c r="T5350">
        <v>25</v>
      </c>
      <c r="U5350" s="2" t="s">
        <v>32301</v>
      </c>
      <c r="W5350" t="s">
        <v>32302</v>
      </c>
      <c r="X5350">
        <v>804700</v>
      </c>
      <c r="Y5350" t="s">
        <v>32303</v>
      </c>
      <c r="Z5350" s="2" t="s">
        <v>29539</v>
      </c>
      <c r="AA5350" s="2" t="s">
        <v>32304</v>
      </c>
      <c r="AB5350" s="2" t="s">
        <v>32305</v>
      </c>
      <c r="AG5350" t="s">
        <v>32306</v>
      </c>
      <c r="AH5350" t="s">
        <v>402</v>
      </c>
      <c r="AI5350" t="s">
        <v>32307</v>
      </c>
    </row>
    <row r="5351" spans="2:35" ht="180">
      <c r="B5351" s="1">
        <v>45329</v>
      </c>
      <c r="C5351" s="4">
        <v>45329.511805555558</v>
      </c>
      <c r="D5351" t="s">
        <v>217</v>
      </c>
      <c r="E5351" t="s">
        <v>32308</v>
      </c>
      <c r="F5351">
        <v>3</v>
      </c>
      <c r="G5351" t="s">
        <v>219</v>
      </c>
      <c r="H5351" t="s">
        <v>39</v>
      </c>
      <c r="I5351" t="s">
        <v>40</v>
      </c>
      <c r="J5351" t="s">
        <v>321</v>
      </c>
      <c r="K5351" t="s">
        <v>42</v>
      </c>
      <c r="L5351" t="s">
        <v>135</v>
      </c>
      <c r="N5351" t="s">
        <v>136</v>
      </c>
      <c r="Q5351">
        <v>27194</v>
      </c>
      <c r="R5351" t="s">
        <v>45</v>
      </c>
      <c r="S5351" t="s">
        <v>221</v>
      </c>
      <c r="T5351">
        <v>25</v>
      </c>
      <c r="U5351" s="2" t="s">
        <v>1509</v>
      </c>
      <c r="W5351" t="s">
        <v>3335</v>
      </c>
      <c r="X5351">
        <v>120000606</v>
      </c>
      <c r="Y5351" t="s">
        <v>32309</v>
      </c>
      <c r="Z5351" t="s">
        <v>13110</v>
      </c>
      <c r="AA5351" s="2" t="s">
        <v>32310</v>
      </c>
      <c r="AB5351" t="s">
        <v>181</v>
      </c>
      <c r="AG5351" t="s">
        <v>32311</v>
      </c>
      <c r="AH5351" t="s">
        <v>32312</v>
      </c>
      <c r="AI5351" t="s">
        <v>32313</v>
      </c>
    </row>
    <row r="5352" spans="2:35" ht="360">
      <c r="B5352" s="1">
        <v>45329</v>
      </c>
      <c r="C5352" s="4">
        <v>45329.546527777777</v>
      </c>
      <c r="D5352" t="s">
        <v>29917</v>
      </c>
      <c r="E5352" t="s">
        <v>32314</v>
      </c>
      <c r="F5352" t="s">
        <v>511</v>
      </c>
      <c r="G5352" t="s">
        <v>20778</v>
      </c>
      <c r="H5352" t="s">
        <v>39</v>
      </c>
      <c r="I5352" t="s">
        <v>40</v>
      </c>
      <c r="J5352" t="s">
        <v>321</v>
      </c>
      <c r="K5352" t="s">
        <v>42</v>
      </c>
      <c r="L5352" t="s">
        <v>63</v>
      </c>
      <c r="N5352" t="s">
        <v>64</v>
      </c>
      <c r="Q5352">
        <v>27193</v>
      </c>
      <c r="R5352" t="s">
        <v>45</v>
      </c>
      <c r="S5352" t="s">
        <v>29919</v>
      </c>
      <c r="T5352">
        <v>24</v>
      </c>
      <c r="V5352" s="1">
        <v>45329</v>
      </c>
      <c r="W5352" t="s">
        <v>32315</v>
      </c>
      <c r="X5352">
        <v>120000598</v>
      </c>
      <c r="Y5352" t="s">
        <v>1716</v>
      </c>
      <c r="Z5352" t="s">
        <v>1716</v>
      </c>
      <c r="AA5352" s="2" t="s">
        <v>32316</v>
      </c>
      <c r="AB5352" t="s">
        <v>70</v>
      </c>
      <c r="AC5352" t="s">
        <v>1716</v>
      </c>
      <c r="AD5352" t="s">
        <v>1716</v>
      </c>
      <c r="AE5352" t="s">
        <v>1716</v>
      </c>
      <c r="AG5352" t="s">
        <v>32317</v>
      </c>
      <c r="AH5352" t="s">
        <v>32318</v>
      </c>
      <c r="AI5352" t="s">
        <v>32319</v>
      </c>
    </row>
    <row r="5353" spans="2:35" ht="270">
      <c r="B5353" s="1">
        <v>45329</v>
      </c>
      <c r="C5353" s="4">
        <v>45329.535416666666</v>
      </c>
      <c r="D5353" t="s">
        <v>29917</v>
      </c>
      <c r="E5353" t="s">
        <v>32314</v>
      </c>
      <c r="F5353" t="s">
        <v>511</v>
      </c>
      <c r="G5353" t="s">
        <v>20778</v>
      </c>
      <c r="H5353" t="s">
        <v>39</v>
      </c>
      <c r="I5353" t="s">
        <v>40</v>
      </c>
      <c r="J5353" s="2" t="s">
        <v>32320</v>
      </c>
      <c r="K5353" t="s">
        <v>42</v>
      </c>
      <c r="L5353" t="s">
        <v>63</v>
      </c>
      <c r="N5353" t="s">
        <v>64</v>
      </c>
      <c r="Q5353">
        <v>27192</v>
      </c>
      <c r="R5353" t="s">
        <v>45</v>
      </c>
      <c r="S5353" t="s">
        <v>29919</v>
      </c>
      <c r="T5353">
        <v>22</v>
      </c>
      <c r="U5353" s="2" t="s">
        <v>32321</v>
      </c>
      <c r="V5353" s="1">
        <v>45329</v>
      </c>
      <c r="W5353" t="s">
        <v>26915</v>
      </c>
      <c r="X5353">
        <v>807609</v>
      </c>
      <c r="Y5353" t="s">
        <v>32322</v>
      </c>
      <c r="Z5353" t="s">
        <v>1716</v>
      </c>
      <c r="AA5353" s="2" t="s">
        <v>32323</v>
      </c>
      <c r="AB5353" t="s">
        <v>70</v>
      </c>
      <c r="AC5353" t="s">
        <v>1716</v>
      </c>
      <c r="AD5353" t="s">
        <v>32324</v>
      </c>
      <c r="AE5353" t="s">
        <v>1716</v>
      </c>
      <c r="AG5353" t="s">
        <v>32325</v>
      </c>
      <c r="AH5353" t="s">
        <v>29925</v>
      </c>
      <c r="AI5353" t="s">
        <v>32326</v>
      </c>
    </row>
    <row r="5354" spans="2:35" ht="315">
      <c r="B5354" s="1">
        <v>45329</v>
      </c>
      <c r="C5354" s="4">
        <v>45329.512499999997</v>
      </c>
      <c r="D5354" t="s">
        <v>32327</v>
      </c>
      <c r="E5354" t="s">
        <v>32328</v>
      </c>
      <c r="F5354" t="s">
        <v>37</v>
      </c>
      <c r="G5354" t="s">
        <v>748</v>
      </c>
      <c r="H5354" t="s">
        <v>39</v>
      </c>
      <c r="I5354" t="s">
        <v>40</v>
      </c>
      <c r="J5354" s="2" t="s">
        <v>6765</v>
      </c>
      <c r="K5354" t="s">
        <v>42</v>
      </c>
      <c r="L5354" t="s">
        <v>1028</v>
      </c>
      <c r="N5354" t="s">
        <v>1029</v>
      </c>
      <c r="Q5354">
        <v>27190</v>
      </c>
      <c r="R5354" t="s">
        <v>45</v>
      </c>
      <c r="S5354" t="s">
        <v>32329</v>
      </c>
      <c r="T5354">
        <v>28</v>
      </c>
      <c r="U5354" s="2" t="s">
        <v>32330</v>
      </c>
      <c r="W5354" t="s">
        <v>1967</v>
      </c>
      <c r="X5354">
        <v>807567</v>
      </c>
      <c r="Y5354" t="s">
        <v>18140</v>
      </c>
      <c r="Z5354" t="s">
        <v>21244</v>
      </c>
      <c r="AA5354" s="2" t="s">
        <v>32331</v>
      </c>
      <c r="AB5354" t="s">
        <v>32332</v>
      </c>
      <c r="AG5354" t="s">
        <v>32333</v>
      </c>
      <c r="AH5354" t="s">
        <v>32334</v>
      </c>
      <c r="AI5354" t="s">
        <v>32335</v>
      </c>
    </row>
    <row r="5355" spans="2:35" ht="315">
      <c r="B5355" s="1">
        <v>45329</v>
      </c>
      <c r="C5355" s="4">
        <v>45329.515277777777</v>
      </c>
      <c r="D5355" t="s">
        <v>32327</v>
      </c>
      <c r="E5355" t="s">
        <v>32336</v>
      </c>
      <c r="F5355" t="s">
        <v>37</v>
      </c>
      <c r="G5355" t="s">
        <v>748</v>
      </c>
      <c r="H5355" t="s">
        <v>39</v>
      </c>
      <c r="I5355" t="s">
        <v>40</v>
      </c>
      <c r="J5355" s="2" t="s">
        <v>6765</v>
      </c>
      <c r="K5355" t="s">
        <v>42</v>
      </c>
      <c r="L5355" t="s">
        <v>1028</v>
      </c>
      <c r="N5355" t="s">
        <v>1029</v>
      </c>
      <c r="Q5355">
        <v>27191</v>
      </c>
      <c r="R5355" t="s">
        <v>45</v>
      </c>
      <c r="S5355" t="s">
        <v>32329</v>
      </c>
      <c r="T5355">
        <v>28</v>
      </c>
      <c r="U5355" s="2" t="s">
        <v>32330</v>
      </c>
      <c r="W5355" t="s">
        <v>1967</v>
      </c>
      <c r="X5355">
        <v>812006</v>
      </c>
      <c r="Y5355" t="s">
        <v>18140</v>
      </c>
      <c r="Z5355" t="s">
        <v>21244</v>
      </c>
      <c r="AA5355" s="2" t="s">
        <v>32331</v>
      </c>
      <c r="AB5355" t="s">
        <v>32332</v>
      </c>
      <c r="AG5355" t="s">
        <v>32337</v>
      </c>
      <c r="AH5355" t="s">
        <v>32338</v>
      </c>
      <c r="AI5355" t="s">
        <v>32339</v>
      </c>
    </row>
    <row r="5356" spans="2:35" ht="75">
      <c r="B5356" s="1">
        <v>45329</v>
      </c>
      <c r="C5356" s="4">
        <v>45329.49722222222</v>
      </c>
      <c r="D5356" t="s">
        <v>3067</v>
      </c>
      <c r="E5356" t="s">
        <v>582</v>
      </c>
      <c r="F5356" t="s">
        <v>148</v>
      </c>
      <c r="G5356" t="s">
        <v>447</v>
      </c>
      <c r="H5356" t="s">
        <v>39</v>
      </c>
      <c r="I5356" t="s">
        <v>40</v>
      </c>
      <c r="J5356" s="2" t="s">
        <v>41</v>
      </c>
      <c r="K5356" t="s">
        <v>42</v>
      </c>
      <c r="L5356" t="s">
        <v>175</v>
      </c>
      <c r="N5356" t="s">
        <v>176</v>
      </c>
      <c r="Q5356">
        <v>27189</v>
      </c>
      <c r="R5356" t="s">
        <v>45</v>
      </c>
      <c r="S5356" t="s">
        <v>3069</v>
      </c>
      <c r="T5356">
        <v>25</v>
      </c>
      <c r="V5356" s="1">
        <v>45329</v>
      </c>
      <c r="W5356" t="s">
        <v>84</v>
      </c>
      <c r="X5356">
        <v>803089</v>
      </c>
      <c r="Y5356" t="s">
        <v>570</v>
      </c>
      <c r="Z5356" t="s">
        <v>32340</v>
      </c>
      <c r="AA5356" t="e">
        <f ca="1">- replaced B2
- checked _xludf.and cleaned cartridge bay, plunger rod, _xludf.filter
- generated reports</f>
        <v>#NAME?</v>
      </c>
      <c r="AB5356" t="s">
        <v>181</v>
      </c>
      <c r="AD5356" s="2" t="s">
        <v>32341</v>
      </c>
      <c r="AE5356" t="s">
        <v>32342</v>
      </c>
      <c r="AG5356" t="s">
        <v>32343</v>
      </c>
      <c r="AH5356" t="s">
        <v>32344</v>
      </c>
      <c r="AI5356" t="s">
        <v>32345</v>
      </c>
    </row>
    <row r="5357" spans="2:35" ht="195">
      <c r="B5357" s="1">
        <v>45329</v>
      </c>
      <c r="C5357" s="4">
        <v>45328.631944444445</v>
      </c>
      <c r="D5357" t="s">
        <v>3569</v>
      </c>
      <c r="E5357" t="s">
        <v>3570</v>
      </c>
      <c r="F5357">
        <v>3</v>
      </c>
      <c r="G5357" t="s">
        <v>174</v>
      </c>
      <c r="H5357" t="s">
        <v>39</v>
      </c>
      <c r="I5357" t="s">
        <v>40</v>
      </c>
      <c r="J5357" s="2" t="s">
        <v>32346</v>
      </c>
      <c r="K5357" t="s">
        <v>42</v>
      </c>
      <c r="L5357" t="s">
        <v>175</v>
      </c>
      <c r="N5357" t="s">
        <v>176</v>
      </c>
      <c r="Q5357">
        <v>27188</v>
      </c>
      <c r="R5357" t="s">
        <v>45</v>
      </c>
      <c r="S5357" t="s">
        <v>535</v>
      </c>
      <c r="T5357">
        <v>24</v>
      </c>
      <c r="U5357" s="2" t="s">
        <v>32347</v>
      </c>
      <c r="V5357" s="1">
        <v>45327</v>
      </c>
      <c r="W5357" t="s">
        <v>84</v>
      </c>
      <c r="X5357">
        <v>807623</v>
      </c>
      <c r="Y5357" s="2" t="s">
        <v>32348</v>
      </c>
      <c r="Z5357" s="2" t="s">
        <v>32349</v>
      </c>
      <c r="AA5357" t="e">
        <f ca="1">- replaced module B1
- checked _xludf.and cleaned cartridge bay, plunger rod, _xludf.filter, icore
- performed XpertCheck
- generated reports</f>
        <v>#NAME?</v>
      </c>
      <c r="AB5357" s="2" t="s">
        <v>32350</v>
      </c>
      <c r="AD5357" s="2" t="s">
        <v>32351</v>
      </c>
      <c r="AE5357" t="s">
        <v>32352</v>
      </c>
      <c r="AG5357" t="s">
        <v>32353</v>
      </c>
      <c r="AH5357" t="s">
        <v>540</v>
      </c>
      <c r="AI5357" t="s">
        <v>32354</v>
      </c>
    </row>
    <row r="5358" spans="2:35" ht="285">
      <c r="B5358" s="1">
        <v>45329</v>
      </c>
      <c r="C5358" s="4">
        <v>45329.48541666667</v>
      </c>
      <c r="D5358" t="s">
        <v>32355</v>
      </c>
      <c r="E5358" t="s">
        <v>1285</v>
      </c>
      <c r="F5358">
        <v>6</v>
      </c>
      <c r="G5358" t="s">
        <v>1286</v>
      </c>
      <c r="H5358" t="s">
        <v>258</v>
      </c>
      <c r="I5358" t="s">
        <v>94</v>
      </c>
      <c r="J5358" s="2" t="s">
        <v>1808</v>
      </c>
      <c r="K5358" t="s">
        <v>42</v>
      </c>
      <c r="L5358" t="s">
        <v>23958</v>
      </c>
      <c r="N5358" t="s">
        <v>23959</v>
      </c>
      <c r="Q5358">
        <v>27187</v>
      </c>
      <c r="R5358" t="s">
        <v>45</v>
      </c>
      <c r="S5358" t="s">
        <v>31167</v>
      </c>
      <c r="T5358">
        <v>25</v>
      </c>
      <c r="U5358" s="2" t="s">
        <v>32356</v>
      </c>
      <c r="W5358" t="s">
        <v>31079</v>
      </c>
      <c r="X5358">
        <v>706910</v>
      </c>
      <c r="Y5358" t="s">
        <v>32357</v>
      </c>
      <c r="Z5358" t="s">
        <v>4315</v>
      </c>
      <c r="AA5358" t="s">
        <v>32358</v>
      </c>
      <c r="AB5358" t="s">
        <v>32359</v>
      </c>
      <c r="AG5358" t="s">
        <v>32360</v>
      </c>
      <c r="AH5358" t="s">
        <v>31171</v>
      </c>
      <c r="AI5358" t="s">
        <v>32361</v>
      </c>
    </row>
    <row r="5359" spans="2:35" ht="105">
      <c r="B5359" s="1">
        <v>45329</v>
      </c>
      <c r="C5359" s="4">
        <v>45329.480555555558</v>
      </c>
      <c r="D5359" t="s">
        <v>32355</v>
      </c>
      <c r="E5359" t="s">
        <v>1285</v>
      </c>
      <c r="F5359">
        <v>6</v>
      </c>
      <c r="G5359" t="s">
        <v>1286</v>
      </c>
      <c r="H5359" t="s">
        <v>258</v>
      </c>
      <c r="I5359" t="s">
        <v>94</v>
      </c>
      <c r="J5359" s="2" t="s">
        <v>41</v>
      </c>
      <c r="K5359" t="s">
        <v>42</v>
      </c>
      <c r="L5359" t="s">
        <v>270</v>
      </c>
      <c r="N5359" t="s">
        <v>2481</v>
      </c>
      <c r="Q5359">
        <v>27186</v>
      </c>
      <c r="R5359" t="s">
        <v>45</v>
      </c>
      <c r="S5359" t="s">
        <v>31167</v>
      </c>
      <c r="T5359">
        <v>25</v>
      </c>
      <c r="U5359" s="2" t="s">
        <v>32362</v>
      </c>
      <c r="W5359" t="s">
        <v>31945</v>
      </c>
      <c r="X5359">
        <v>839316</v>
      </c>
      <c r="Y5359" t="s">
        <v>32363</v>
      </c>
      <c r="Z5359" t="s">
        <v>3128</v>
      </c>
      <c r="AA5359" t="s">
        <v>32364</v>
      </c>
      <c r="AB5359" t="s">
        <v>15066</v>
      </c>
      <c r="AG5359" t="s">
        <v>32365</v>
      </c>
      <c r="AH5359" t="s">
        <v>31171</v>
      </c>
      <c r="AI5359" t="s">
        <v>32366</v>
      </c>
    </row>
    <row r="5360" spans="2:35" ht="409.5">
      <c r="B5360" s="1">
        <v>45329</v>
      </c>
      <c r="C5360" s="4">
        <v>45329.434027777781</v>
      </c>
      <c r="D5360" t="s">
        <v>32367</v>
      </c>
      <c r="E5360" t="s">
        <v>32368</v>
      </c>
      <c r="F5360" t="s">
        <v>37</v>
      </c>
      <c r="G5360" t="s">
        <v>189</v>
      </c>
      <c r="H5360" t="s">
        <v>39</v>
      </c>
      <c r="I5360" t="s">
        <v>40</v>
      </c>
      <c r="J5360" s="2" t="s">
        <v>62</v>
      </c>
      <c r="K5360" t="s">
        <v>42</v>
      </c>
      <c r="L5360" t="s">
        <v>1943</v>
      </c>
      <c r="N5360" t="s">
        <v>1944</v>
      </c>
      <c r="Q5360">
        <v>27185</v>
      </c>
      <c r="R5360" t="s">
        <v>45</v>
      </c>
      <c r="S5360" t="s">
        <v>32369</v>
      </c>
      <c r="T5360">
        <v>25</v>
      </c>
      <c r="U5360" s="2" t="s">
        <v>32370</v>
      </c>
      <c r="V5360" s="1">
        <v>45322</v>
      </c>
      <c r="W5360" t="s">
        <v>84</v>
      </c>
      <c r="X5360">
        <v>838867</v>
      </c>
      <c r="Y5360" s="2" t="s">
        <v>23659</v>
      </c>
      <c r="Z5360" t="s">
        <v>23660</v>
      </c>
      <c r="AA5360" s="2" t="s">
        <v>29426</v>
      </c>
      <c r="AB5360" t="s">
        <v>88</v>
      </c>
      <c r="AD5360" t="s">
        <v>5056</v>
      </c>
      <c r="AE5360" t="s">
        <v>11329</v>
      </c>
      <c r="AG5360" t="s">
        <v>32371</v>
      </c>
      <c r="AH5360" t="s">
        <v>32372</v>
      </c>
      <c r="AI5360" t="s">
        <v>32373</v>
      </c>
    </row>
    <row r="5361" spans="2:35" ht="409.5">
      <c r="B5361" s="1">
        <v>45329</v>
      </c>
      <c r="C5361" s="4">
        <v>45328.671527777777</v>
      </c>
      <c r="D5361" t="s">
        <v>30119</v>
      </c>
      <c r="E5361" t="s">
        <v>32374</v>
      </c>
      <c r="F5361">
        <v>12</v>
      </c>
      <c r="G5361" t="s">
        <v>294</v>
      </c>
      <c r="H5361" t="s">
        <v>39</v>
      </c>
      <c r="I5361" t="s">
        <v>94</v>
      </c>
      <c r="J5361" s="2" t="s">
        <v>30004</v>
      </c>
      <c r="K5361" t="s">
        <v>42</v>
      </c>
      <c r="L5361" t="s">
        <v>296</v>
      </c>
      <c r="N5361" t="s">
        <v>297</v>
      </c>
      <c r="Q5361">
        <v>27184</v>
      </c>
      <c r="R5361" t="s">
        <v>719</v>
      </c>
      <c r="S5361" t="s">
        <v>30121</v>
      </c>
      <c r="T5361">
        <v>23.9</v>
      </c>
      <c r="U5361" s="2" t="s">
        <v>32375</v>
      </c>
      <c r="V5361" s="1">
        <v>45328</v>
      </c>
      <c r="W5361" t="s">
        <v>23049</v>
      </c>
      <c r="X5361">
        <v>847257</v>
      </c>
      <c r="Y5361" s="2" t="s">
        <v>32376</v>
      </c>
      <c r="Z5361" s="2" t="s">
        <v>32377</v>
      </c>
      <c r="AA5361" s="2" t="s">
        <v>30722</v>
      </c>
      <c r="AB5361" t="s">
        <v>972</v>
      </c>
      <c r="AD5361" s="2" t="s">
        <v>32378</v>
      </c>
      <c r="AE5361" t="s">
        <v>10783</v>
      </c>
      <c r="AG5361" t="s">
        <v>32379</v>
      </c>
      <c r="AH5361" t="s">
        <v>30128</v>
      </c>
      <c r="AI5361" t="s">
        <v>32380</v>
      </c>
    </row>
    <row r="5362" spans="2:35" ht="195">
      <c r="B5362" s="1">
        <v>45329</v>
      </c>
      <c r="C5362" s="4">
        <v>45329.363194444442</v>
      </c>
      <c r="D5362" t="s">
        <v>32381</v>
      </c>
      <c r="E5362" t="s">
        <v>32382</v>
      </c>
      <c r="F5362" t="s">
        <v>37</v>
      </c>
      <c r="G5362" t="s">
        <v>748</v>
      </c>
      <c r="H5362" t="s">
        <v>39</v>
      </c>
      <c r="I5362" t="s">
        <v>40</v>
      </c>
      <c r="J5362" s="2" t="s">
        <v>9117</v>
      </c>
      <c r="K5362" t="s">
        <v>42</v>
      </c>
      <c r="L5362" t="s">
        <v>1028</v>
      </c>
      <c r="N5362" t="s">
        <v>1029</v>
      </c>
      <c r="Q5362">
        <v>27183</v>
      </c>
      <c r="R5362" t="s">
        <v>45</v>
      </c>
      <c r="S5362" t="s">
        <v>32383</v>
      </c>
      <c r="T5362">
        <v>25</v>
      </c>
      <c r="U5362" s="2" t="s">
        <v>32384</v>
      </c>
      <c r="W5362" t="s">
        <v>1967</v>
      </c>
      <c r="X5362">
        <v>814152</v>
      </c>
      <c r="Y5362" t="s">
        <v>32385</v>
      </c>
      <c r="Z5362" t="s">
        <v>10920</v>
      </c>
      <c r="AA5362" s="2" t="s">
        <v>32386</v>
      </c>
      <c r="AB5362" t="s">
        <v>32387</v>
      </c>
      <c r="AC5362" t="s">
        <v>32388</v>
      </c>
      <c r="AG5362" t="s">
        <v>32389</v>
      </c>
      <c r="AH5362" t="s">
        <v>32390</v>
      </c>
      <c r="AI5362" t="s">
        <v>32391</v>
      </c>
    </row>
    <row r="5363" spans="2:35" ht="195">
      <c r="B5363" s="1">
        <v>45329</v>
      </c>
      <c r="C5363" s="4">
        <v>45323.342361111114</v>
      </c>
      <c r="D5363" t="s">
        <v>32392</v>
      </c>
      <c r="E5363" t="s">
        <v>32393</v>
      </c>
      <c r="F5363" t="s">
        <v>1181</v>
      </c>
      <c r="G5363" t="s">
        <v>6612</v>
      </c>
      <c r="H5363" t="s">
        <v>39</v>
      </c>
      <c r="I5363" t="s">
        <v>40</v>
      </c>
      <c r="J5363" s="2" t="s">
        <v>30202</v>
      </c>
      <c r="K5363" t="s">
        <v>42</v>
      </c>
      <c r="L5363" t="s">
        <v>1028</v>
      </c>
      <c r="N5363" t="s">
        <v>1029</v>
      </c>
      <c r="Q5363">
        <v>27182</v>
      </c>
      <c r="R5363" t="s">
        <v>45</v>
      </c>
      <c r="S5363" t="s">
        <v>32394</v>
      </c>
      <c r="T5363">
        <v>24</v>
      </c>
      <c r="W5363" t="s">
        <v>32155</v>
      </c>
      <c r="X5363">
        <v>835088</v>
      </c>
      <c r="Y5363" t="s">
        <v>32395</v>
      </c>
      <c r="Z5363" t="s">
        <v>1372</v>
      </c>
      <c r="AA5363" s="2" t="s">
        <v>32396</v>
      </c>
      <c r="AB5363" t="s">
        <v>32397</v>
      </c>
      <c r="AC5363" t="s">
        <v>32398</v>
      </c>
      <c r="AG5363" t="s">
        <v>32399</v>
      </c>
      <c r="AH5363" t="s">
        <v>32400</v>
      </c>
      <c r="AI5363" t="s">
        <v>32401</v>
      </c>
    </row>
    <row r="5364" spans="2:35" ht="210">
      <c r="B5364" s="1">
        <v>45329</v>
      </c>
      <c r="C5364" s="4">
        <v>45321.5625</v>
      </c>
      <c r="D5364" t="s">
        <v>32402</v>
      </c>
      <c r="E5364" t="s">
        <v>32403</v>
      </c>
      <c r="F5364" t="s">
        <v>148</v>
      </c>
      <c r="G5364" t="s">
        <v>4786</v>
      </c>
      <c r="H5364" t="s">
        <v>39</v>
      </c>
      <c r="I5364" t="s">
        <v>40</v>
      </c>
      <c r="J5364" s="2" t="s">
        <v>30202</v>
      </c>
      <c r="K5364" t="s">
        <v>42</v>
      </c>
      <c r="L5364" t="s">
        <v>1028</v>
      </c>
      <c r="N5364" t="s">
        <v>1029</v>
      </c>
      <c r="Q5364">
        <v>27181</v>
      </c>
      <c r="R5364" t="s">
        <v>45</v>
      </c>
      <c r="S5364" t="s">
        <v>32404</v>
      </c>
      <c r="T5364">
        <v>24</v>
      </c>
      <c r="U5364" s="2" t="s">
        <v>17236</v>
      </c>
      <c r="V5364" s="1">
        <v>45320</v>
      </c>
      <c r="W5364" t="s">
        <v>1967</v>
      </c>
      <c r="X5364">
        <v>838183</v>
      </c>
      <c r="Y5364" t="s">
        <v>32405</v>
      </c>
      <c r="Z5364" t="s">
        <v>2129</v>
      </c>
      <c r="AA5364" s="2" t="s">
        <v>32406</v>
      </c>
      <c r="AB5364" t="s">
        <v>3063</v>
      </c>
      <c r="AC5364" t="s">
        <v>32407</v>
      </c>
      <c r="AD5364" t="s">
        <v>18642</v>
      </c>
      <c r="AE5364" t="s">
        <v>32408</v>
      </c>
      <c r="AG5364" t="s">
        <v>32409</v>
      </c>
      <c r="AH5364" t="s">
        <v>32410</v>
      </c>
      <c r="AI5364" t="s">
        <v>32411</v>
      </c>
    </row>
    <row r="5365" spans="2:35" ht="135">
      <c r="B5365" s="1">
        <v>45329</v>
      </c>
      <c r="C5365" s="4">
        <v>45316.683333333334</v>
      </c>
      <c r="D5365" t="s">
        <v>23423</v>
      </c>
      <c r="E5365" t="s">
        <v>23424</v>
      </c>
      <c r="F5365" t="s">
        <v>37</v>
      </c>
      <c r="G5365" t="s">
        <v>189</v>
      </c>
      <c r="H5365" t="s">
        <v>39</v>
      </c>
      <c r="I5365" t="s">
        <v>40</v>
      </c>
      <c r="J5365" s="2" t="s">
        <v>32412</v>
      </c>
      <c r="K5365" t="s">
        <v>42</v>
      </c>
      <c r="L5365" t="s">
        <v>1028</v>
      </c>
      <c r="N5365" t="s">
        <v>1029</v>
      </c>
      <c r="Q5365">
        <v>27180</v>
      </c>
      <c r="R5365" t="s">
        <v>45</v>
      </c>
      <c r="S5365" t="s">
        <v>32413</v>
      </c>
      <c r="T5365">
        <v>24</v>
      </c>
      <c r="V5365" s="1">
        <v>45315</v>
      </c>
      <c r="W5365" t="s">
        <v>1967</v>
      </c>
      <c r="X5365">
        <v>838131</v>
      </c>
      <c r="Y5365" t="s">
        <v>32414</v>
      </c>
      <c r="Z5365" t="s">
        <v>32415</v>
      </c>
      <c r="AA5365" s="2" t="s">
        <v>32416</v>
      </c>
      <c r="AB5365" t="s">
        <v>3063</v>
      </c>
      <c r="AD5365" t="s">
        <v>32417</v>
      </c>
      <c r="AE5365" t="s">
        <v>32418</v>
      </c>
      <c r="AG5365" t="s">
        <v>32419</v>
      </c>
      <c r="AH5365" t="s">
        <v>25945</v>
      </c>
      <c r="AI5365" t="s">
        <v>32420</v>
      </c>
    </row>
    <row r="5366" spans="2:35" ht="285">
      <c r="B5366" s="1">
        <v>45329</v>
      </c>
      <c r="C5366" s="4">
        <v>45314.411805555559</v>
      </c>
      <c r="D5366" t="s">
        <v>919</v>
      </c>
      <c r="E5366" t="s">
        <v>5897</v>
      </c>
      <c r="F5366" t="s">
        <v>148</v>
      </c>
      <c r="G5366" t="s">
        <v>310</v>
      </c>
      <c r="H5366" t="s">
        <v>513</v>
      </c>
      <c r="I5366" t="s">
        <v>40</v>
      </c>
      <c r="J5366" s="2" t="s">
        <v>31986</v>
      </c>
      <c r="K5366" t="s">
        <v>387</v>
      </c>
      <c r="L5366" t="s">
        <v>1028</v>
      </c>
      <c r="N5366" t="s">
        <v>1029</v>
      </c>
      <c r="Q5366">
        <v>27178</v>
      </c>
      <c r="R5366" t="s">
        <v>322</v>
      </c>
      <c r="S5366" t="s">
        <v>16290</v>
      </c>
      <c r="T5366">
        <v>24</v>
      </c>
      <c r="W5366" t="s">
        <v>390</v>
      </c>
      <c r="X5366" t="s">
        <v>922</v>
      </c>
      <c r="Y5366" t="s">
        <v>3127</v>
      </c>
      <c r="Z5366" t="s">
        <v>3128</v>
      </c>
      <c r="AA5366" s="2" t="s">
        <v>32421</v>
      </c>
      <c r="AB5366" t="s">
        <v>32422</v>
      </c>
      <c r="AG5366" t="s">
        <v>32423</v>
      </c>
      <c r="AH5366" t="s">
        <v>5901</v>
      </c>
      <c r="AI5366" t="s">
        <v>32424</v>
      </c>
    </row>
    <row r="5367" spans="2:35" ht="315">
      <c r="B5367" s="1">
        <v>45329</v>
      </c>
      <c r="C5367" s="4">
        <v>45327.584027777775</v>
      </c>
      <c r="D5367" t="s">
        <v>919</v>
      </c>
      <c r="E5367" t="s">
        <v>1976</v>
      </c>
      <c r="F5367" t="s">
        <v>148</v>
      </c>
      <c r="G5367" t="s">
        <v>310</v>
      </c>
      <c r="H5367" t="s">
        <v>39</v>
      </c>
      <c r="I5367" t="s">
        <v>40</v>
      </c>
      <c r="J5367" s="2" t="s">
        <v>31986</v>
      </c>
      <c r="K5367" t="s">
        <v>42</v>
      </c>
      <c r="L5367" t="s">
        <v>1028</v>
      </c>
      <c r="N5367" t="s">
        <v>1029</v>
      </c>
      <c r="Q5367">
        <v>27179</v>
      </c>
      <c r="R5367" t="s">
        <v>703</v>
      </c>
      <c r="S5367" t="s">
        <v>942</v>
      </c>
      <c r="T5367">
        <v>25</v>
      </c>
      <c r="U5367" s="2" t="s">
        <v>32425</v>
      </c>
      <c r="W5367" t="s">
        <v>1967</v>
      </c>
      <c r="X5367">
        <v>1100000711</v>
      </c>
      <c r="Y5367" t="s">
        <v>3127</v>
      </c>
      <c r="Z5367" t="s">
        <v>3128</v>
      </c>
      <c r="AA5367" s="2" t="s">
        <v>32426</v>
      </c>
      <c r="AB5367" t="s">
        <v>3063</v>
      </c>
      <c r="AG5367" t="s">
        <v>32427</v>
      </c>
      <c r="AH5367" t="s">
        <v>32428</v>
      </c>
      <c r="AI5367" t="s">
        <v>32429</v>
      </c>
    </row>
    <row r="5368" spans="2:35" ht="315">
      <c r="B5368" s="1">
        <v>45328</v>
      </c>
      <c r="C5368" s="4">
        <v>45327.584027777775</v>
      </c>
      <c r="D5368" t="s">
        <v>919</v>
      </c>
      <c r="E5368" t="s">
        <v>1976</v>
      </c>
      <c r="F5368" t="s">
        <v>148</v>
      </c>
      <c r="G5368" t="s">
        <v>310</v>
      </c>
      <c r="H5368" t="s">
        <v>39</v>
      </c>
      <c r="I5368" t="s">
        <v>40</v>
      </c>
      <c r="J5368" s="2" t="s">
        <v>31986</v>
      </c>
      <c r="K5368" t="s">
        <v>42</v>
      </c>
      <c r="L5368" t="s">
        <v>1028</v>
      </c>
      <c r="N5368" t="s">
        <v>1029</v>
      </c>
      <c r="Q5368">
        <v>27176</v>
      </c>
      <c r="R5368" t="s">
        <v>703</v>
      </c>
      <c r="S5368" t="s">
        <v>942</v>
      </c>
      <c r="T5368">
        <v>25</v>
      </c>
      <c r="U5368" s="2" t="s">
        <v>32425</v>
      </c>
      <c r="W5368" t="s">
        <v>1967</v>
      </c>
      <c r="X5368">
        <v>1100000711</v>
      </c>
      <c r="Y5368" t="s">
        <v>3127</v>
      </c>
      <c r="Z5368" t="s">
        <v>3128</v>
      </c>
      <c r="AA5368" s="2" t="s">
        <v>32426</v>
      </c>
      <c r="AB5368" t="s">
        <v>3063</v>
      </c>
      <c r="AG5368" t="s">
        <v>32430</v>
      </c>
      <c r="AH5368" t="s">
        <v>32428</v>
      </c>
      <c r="AI5368" t="s">
        <v>32431</v>
      </c>
    </row>
    <row r="5369" spans="2:35" ht="285">
      <c r="B5369" s="1">
        <v>45328</v>
      </c>
      <c r="C5369" s="4">
        <v>45314.411805555559</v>
      </c>
      <c r="D5369" t="s">
        <v>919</v>
      </c>
      <c r="E5369" t="s">
        <v>5897</v>
      </c>
      <c r="F5369" t="s">
        <v>148</v>
      </c>
      <c r="G5369" t="s">
        <v>310</v>
      </c>
      <c r="H5369" t="s">
        <v>513</v>
      </c>
      <c r="I5369" t="s">
        <v>40</v>
      </c>
      <c r="J5369" s="2" t="s">
        <v>31986</v>
      </c>
      <c r="K5369" t="s">
        <v>387</v>
      </c>
      <c r="L5369" t="s">
        <v>1028</v>
      </c>
      <c r="N5369" t="s">
        <v>1029</v>
      </c>
      <c r="Q5369">
        <v>27175</v>
      </c>
      <c r="R5369" t="s">
        <v>322</v>
      </c>
      <c r="S5369" t="s">
        <v>16290</v>
      </c>
      <c r="T5369">
        <v>24</v>
      </c>
      <c r="W5369" t="s">
        <v>390</v>
      </c>
      <c r="X5369" t="s">
        <v>922</v>
      </c>
      <c r="Y5369" t="s">
        <v>3127</v>
      </c>
      <c r="Z5369" t="s">
        <v>3128</v>
      </c>
      <c r="AA5369" s="2" t="s">
        <v>32421</v>
      </c>
      <c r="AB5369" t="s">
        <v>32422</v>
      </c>
      <c r="AG5369" t="s">
        <v>32432</v>
      </c>
      <c r="AH5369" t="s">
        <v>5901</v>
      </c>
      <c r="AI5369" t="s">
        <v>32433</v>
      </c>
    </row>
    <row r="5370" spans="2:35" ht="195">
      <c r="B5370" s="1">
        <v>45328</v>
      </c>
      <c r="C5370" s="4">
        <v>45323.342361111114</v>
      </c>
      <c r="D5370" t="s">
        <v>32392</v>
      </c>
      <c r="E5370" t="s">
        <v>32393</v>
      </c>
      <c r="F5370" t="s">
        <v>1181</v>
      </c>
      <c r="G5370" t="s">
        <v>6612</v>
      </c>
      <c r="H5370" t="s">
        <v>39</v>
      </c>
      <c r="I5370" t="s">
        <v>40</v>
      </c>
      <c r="J5370" s="2" t="s">
        <v>30202</v>
      </c>
      <c r="K5370" t="s">
        <v>42</v>
      </c>
      <c r="L5370" t="s">
        <v>1028</v>
      </c>
      <c r="N5370" t="s">
        <v>1029</v>
      </c>
      <c r="Q5370">
        <v>27177</v>
      </c>
      <c r="R5370" t="s">
        <v>45</v>
      </c>
      <c r="S5370" t="s">
        <v>32394</v>
      </c>
      <c r="T5370">
        <v>24</v>
      </c>
      <c r="W5370" t="s">
        <v>32155</v>
      </c>
      <c r="X5370">
        <v>835088</v>
      </c>
      <c r="Y5370" t="s">
        <v>32395</v>
      </c>
      <c r="Z5370" t="s">
        <v>1372</v>
      </c>
      <c r="AA5370" s="2" t="s">
        <v>32396</v>
      </c>
      <c r="AB5370" t="s">
        <v>32397</v>
      </c>
      <c r="AC5370" t="s">
        <v>32398</v>
      </c>
      <c r="AG5370" t="s">
        <v>32434</v>
      </c>
      <c r="AH5370" t="s">
        <v>32400</v>
      </c>
      <c r="AI5370" t="s">
        <v>32435</v>
      </c>
    </row>
    <row r="5371" spans="2:35" ht="240">
      <c r="B5371" s="1">
        <v>45328</v>
      </c>
      <c r="C5371" s="4">
        <v>45328.69027777778</v>
      </c>
      <c r="D5371" t="s">
        <v>32436</v>
      </c>
      <c r="E5371" t="s">
        <v>32437</v>
      </c>
      <c r="F5371">
        <v>5</v>
      </c>
      <c r="G5371" t="s">
        <v>759</v>
      </c>
      <c r="H5371" t="s">
        <v>39</v>
      </c>
      <c r="I5371" t="s">
        <v>94</v>
      </c>
      <c r="J5371" s="2" t="s">
        <v>41</v>
      </c>
      <c r="K5371" t="s">
        <v>42</v>
      </c>
      <c r="L5371" t="s">
        <v>761</v>
      </c>
      <c r="N5371" t="s">
        <v>762</v>
      </c>
      <c r="Q5371">
        <v>27174</v>
      </c>
      <c r="R5371" t="s">
        <v>119</v>
      </c>
      <c r="S5371" t="s">
        <v>11128</v>
      </c>
      <c r="T5371">
        <v>26</v>
      </c>
      <c r="U5371" s="2" t="s">
        <v>32438</v>
      </c>
      <c r="W5371" t="s">
        <v>765</v>
      </c>
      <c r="X5371">
        <v>838565</v>
      </c>
      <c r="Y5371" t="s">
        <v>32439</v>
      </c>
      <c r="Z5371" s="2" t="s">
        <v>32440</v>
      </c>
      <c r="AA5371" s="2" t="s">
        <v>32441</v>
      </c>
      <c r="AB5371" t="s">
        <v>181</v>
      </c>
      <c r="AG5371" t="s">
        <v>32442</v>
      </c>
      <c r="AH5371" t="s">
        <v>11133</v>
      </c>
      <c r="AI5371" t="s">
        <v>32443</v>
      </c>
    </row>
    <row r="5372" spans="2:35" ht="409.5">
      <c r="B5372" s="1">
        <v>45328</v>
      </c>
      <c r="C5372" s="4">
        <v>45328.381249999999</v>
      </c>
      <c r="D5372" t="s">
        <v>31363</v>
      </c>
      <c r="E5372" t="s">
        <v>31364</v>
      </c>
      <c r="F5372">
        <v>11</v>
      </c>
      <c r="G5372" t="s">
        <v>1205</v>
      </c>
      <c r="H5372" t="s">
        <v>202</v>
      </c>
      <c r="I5372" t="s">
        <v>94</v>
      </c>
      <c r="J5372" s="2" t="s">
        <v>41</v>
      </c>
      <c r="K5372" t="s">
        <v>42</v>
      </c>
      <c r="L5372" t="s">
        <v>204</v>
      </c>
      <c r="N5372" t="s">
        <v>205</v>
      </c>
      <c r="Q5372">
        <v>27173</v>
      </c>
      <c r="R5372" t="s">
        <v>45</v>
      </c>
      <c r="S5372" t="s">
        <v>31365</v>
      </c>
      <c r="T5372">
        <v>25.9</v>
      </c>
      <c r="U5372" s="2" t="s">
        <v>32444</v>
      </c>
      <c r="W5372" t="s">
        <v>23237</v>
      </c>
      <c r="X5372">
        <v>807464</v>
      </c>
      <c r="Y5372" t="s">
        <v>32445</v>
      </c>
      <c r="Z5372" s="2" t="s">
        <v>32446</v>
      </c>
      <c r="AA5372" t="s">
        <v>2560</v>
      </c>
      <c r="AB5372" t="s">
        <v>27270</v>
      </c>
      <c r="AC5372" t="s">
        <v>32447</v>
      </c>
      <c r="AG5372" t="s">
        <v>32448</v>
      </c>
      <c r="AH5372" t="s">
        <v>32449</v>
      </c>
      <c r="AI5372" t="s">
        <v>32450</v>
      </c>
    </row>
    <row r="5373" spans="2:35" ht="409.5">
      <c r="B5373" s="1">
        <v>45328</v>
      </c>
      <c r="C5373" s="4">
        <v>45328.415277777778</v>
      </c>
      <c r="D5373" t="s">
        <v>30675</v>
      </c>
      <c r="E5373" t="s">
        <v>30676</v>
      </c>
      <c r="F5373">
        <v>3</v>
      </c>
      <c r="G5373" t="s">
        <v>134</v>
      </c>
      <c r="H5373" t="s">
        <v>39</v>
      </c>
      <c r="I5373" t="s">
        <v>40</v>
      </c>
      <c r="J5373" s="2" t="s">
        <v>62</v>
      </c>
      <c r="K5373" t="s">
        <v>42</v>
      </c>
      <c r="L5373" t="s">
        <v>135</v>
      </c>
      <c r="N5373" t="s">
        <v>136</v>
      </c>
      <c r="Q5373">
        <v>27172</v>
      </c>
      <c r="R5373" t="s">
        <v>45</v>
      </c>
      <c r="S5373" t="s">
        <v>30677</v>
      </c>
      <c r="T5373">
        <v>25</v>
      </c>
      <c r="U5373" s="2" t="s">
        <v>2959</v>
      </c>
      <c r="W5373" t="s">
        <v>2680</v>
      </c>
      <c r="X5373">
        <v>838879</v>
      </c>
      <c r="Y5373" t="s">
        <v>1751</v>
      </c>
      <c r="Z5373" s="2" t="s">
        <v>29789</v>
      </c>
      <c r="AA5373" s="2" t="s">
        <v>31375</v>
      </c>
      <c r="AB5373" s="2" t="s">
        <v>32292</v>
      </c>
      <c r="AC5373" t="s">
        <v>32293</v>
      </c>
      <c r="AG5373" t="s">
        <v>32451</v>
      </c>
      <c r="AH5373" t="s">
        <v>32295</v>
      </c>
      <c r="AI5373" t="s">
        <v>32452</v>
      </c>
    </row>
    <row r="5374" spans="2:35" ht="285">
      <c r="B5374" s="1">
        <v>45328</v>
      </c>
      <c r="C5374" s="4">
        <v>45328.631944444445</v>
      </c>
      <c r="D5374" t="s">
        <v>1335</v>
      </c>
      <c r="E5374" t="s">
        <v>32453</v>
      </c>
      <c r="F5374" t="s">
        <v>148</v>
      </c>
      <c r="G5374" t="s">
        <v>447</v>
      </c>
      <c r="H5374" t="s">
        <v>39</v>
      </c>
      <c r="I5374" t="s">
        <v>40</v>
      </c>
      <c r="J5374" s="2" t="s">
        <v>62</v>
      </c>
      <c r="K5374" t="s">
        <v>42</v>
      </c>
      <c r="L5374" t="s">
        <v>15532</v>
      </c>
      <c r="N5374" t="s">
        <v>15533</v>
      </c>
      <c r="Q5374">
        <v>27171</v>
      </c>
      <c r="R5374" t="s">
        <v>45</v>
      </c>
      <c r="S5374" t="s">
        <v>1336</v>
      </c>
      <c r="T5374">
        <v>22</v>
      </c>
      <c r="V5374" s="1">
        <v>45321</v>
      </c>
      <c r="W5374" t="s">
        <v>23974</v>
      </c>
      <c r="X5374">
        <v>808618</v>
      </c>
      <c r="Y5374" s="2" t="s">
        <v>32454</v>
      </c>
      <c r="Z5374" s="2" t="s">
        <v>32455</v>
      </c>
      <c r="AA5374" s="2" t="s">
        <v>32456</v>
      </c>
      <c r="AB5374" s="2" t="s">
        <v>32457</v>
      </c>
      <c r="AC5374" t="s">
        <v>32458</v>
      </c>
      <c r="AD5374" t="s">
        <v>7189</v>
      </c>
      <c r="AE5374" t="s">
        <v>32459</v>
      </c>
      <c r="AG5374" t="s">
        <v>32460</v>
      </c>
      <c r="AH5374" t="s">
        <v>31277</v>
      </c>
      <c r="AI5374" t="s">
        <v>32461</v>
      </c>
    </row>
    <row r="5375" spans="2:35" ht="409.5">
      <c r="B5375" s="1">
        <v>45328</v>
      </c>
      <c r="C5375" s="4">
        <v>45328.612500000003</v>
      </c>
      <c r="D5375" t="s">
        <v>21845</v>
      </c>
      <c r="E5375" t="s">
        <v>21846</v>
      </c>
      <c r="F5375">
        <v>3</v>
      </c>
      <c r="G5375" t="s">
        <v>219</v>
      </c>
      <c r="H5375" t="s">
        <v>39</v>
      </c>
      <c r="I5375" t="s">
        <v>40</v>
      </c>
      <c r="J5375" s="2" t="s">
        <v>1157</v>
      </c>
      <c r="K5375" t="s">
        <v>42</v>
      </c>
      <c r="L5375" t="s">
        <v>135</v>
      </c>
      <c r="N5375" t="s">
        <v>136</v>
      </c>
      <c r="Q5375">
        <v>27170</v>
      </c>
      <c r="R5375" t="s">
        <v>119</v>
      </c>
      <c r="S5375" t="s">
        <v>21847</v>
      </c>
      <c r="T5375">
        <v>26</v>
      </c>
      <c r="U5375" s="2" t="s">
        <v>32462</v>
      </c>
      <c r="W5375" t="s">
        <v>2680</v>
      </c>
      <c r="X5375">
        <v>831608</v>
      </c>
      <c r="Y5375" t="s">
        <v>32463</v>
      </c>
      <c r="Z5375" s="2" t="s">
        <v>32464</v>
      </c>
      <c r="AA5375" s="2" t="s">
        <v>31375</v>
      </c>
      <c r="AB5375" t="s">
        <v>181</v>
      </c>
      <c r="AC5375" t="s">
        <v>32465</v>
      </c>
      <c r="AG5375" t="s">
        <v>32466</v>
      </c>
      <c r="AH5375" t="s">
        <v>26191</v>
      </c>
      <c r="AI5375" t="s">
        <v>32467</v>
      </c>
    </row>
    <row r="5376" spans="2:35" ht="105">
      <c r="B5376" s="1">
        <v>45328</v>
      </c>
      <c r="C5376" s="4">
        <v>45328.549305555556</v>
      </c>
      <c r="D5376" t="s">
        <v>1731</v>
      </c>
      <c r="E5376" t="s">
        <v>32468</v>
      </c>
      <c r="F5376" t="s">
        <v>148</v>
      </c>
      <c r="G5376" t="s">
        <v>371</v>
      </c>
      <c r="H5376" t="s">
        <v>39</v>
      </c>
      <c r="I5376" t="s">
        <v>40</v>
      </c>
      <c r="J5376" s="2" t="s">
        <v>41</v>
      </c>
      <c r="K5376" t="s">
        <v>42</v>
      </c>
      <c r="L5376" t="s">
        <v>175</v>
      </c>
      <c r="N5376" t="s">
        <v>176</v>
      </c>
      <c r="Q5376">
        <v>27169</v>
      </c>
      <c r="R5376" t="s">
        <v>45</v>
      </c>
      <c r="S5376" t="s">
        <v>32469</v>
      </c>
      <c r="T5376">
        <v>22</v>
      </c>
      <c r="U5376" s="2" t="s">
        <v>17236</v>
      </c>
      <c r="V5376" s="1">
        <v>45327</v>
      </c>
      <c r="W5376" t="s">
        <v>84</v>
      </c>
      <c r="X5376">
        <v>838873</v>
      </c>
      <c r="Y5376" t="s">
        <v>32470</v>
      </c>
      <c r="Z5376" t="s">
        <v>32471</v>
      </c>
      <c r="AA5376" t="e">
        <f ca="1">- replaced modules B1, B2
- checked _xludf.and cleaned cartridge bay, plunger rod, _xludf.filter
- generated reports</f>
        <v>#NAME?</v>
      </c>
      <c r="AB5376" t="s">
        <v>181</v>
      </c>
      <c r="AD5376" s="2" t="s">
        <v>32472</v>
      </c>
      <c r="AE5376" t="s">
        <v>32473</v>
      </c>
      <c r="AG5376" t="s">
        <v>32474</v>
      </c>
      <c r="AH5376" t="s">
        <v>32475</v>
      </c>
      <c r="AI5376" t="s">
        <v>32476</v>
      </c>
    </row>
    <row r="5377" spans="2:35" ht="390">
      <c r="B5377" s="1">
        <v>45328</v>
      </c>
      <c r="C5377" s="4">
        <v>45328.541666666664</v>
      </c>
      <c r="D5377" t="s">
        <v>2773</v>
      </c>
      <c r="E5377" t="s">
        <v>2722</v>
      </c>
      <c r="F5377">
        <v>2</v>
      </c>
      <c r="G5377" t="s">
        <v>2723</v>
      </c>
      <c r="H5377" t="s">
        <v>39</v>
      </c>
      <c r="I5377" t="s">
        <v>40</v>
      </c>
      <c r="J5377" s="2" t="s">
        <v>32477</v>
      </c>
      <c r="K5377" t="s">
        <v>42</v>
      </c>
      <c r="L5377" t="s">
        <v>63</v>
      </c>
      <c r="N5377" t="s">
        <v>64</v>
      </c>
      <c r="Q5377">
        <v>27168</v>
      </c>
      <c r="R5377" t="s">
        <v>45</v>
      </c>
      <c r="S5377" t="s">
        <v>29793</v>
      </c>
      <c r="T5377">
        <v>27</v>
      </c>
      <c r="V5377" s="1">
        <v>45328</v>
      </c>
      <c r="W5377" t="s">
        <v>29795</v>
      </c>
      <c r="X5377">
        <v>842894</v>
      </c>
      <c r="Y5377" t="s">
        <v>32478</v>
      </c>
      <c r="Z5377" t="s">
        <v>1716</v>
      </c>
      <c r="AA5377" s="2" t="s">
        <v>32479</v>
      </c>
      <c r="AB5377" t="s">
        <v>70</v>
      </c>
      <c r="AC5377" t="s">
        <v>32480</v>
      </c>
      <c r="AD5377" t="s">
        <v>32481</v>
      </c>
      <c r="AE5377" t="s">
        <v>1716</v>
      </c>
      <c r="AG5377" t="s">
        <v>32482</v>
      </c>
      <c r="AH5377" t="s">
        <v>32483</v>
      </c>
      <c r="AI5377" t="s">
        <v>32484</v>
      </c>
    </row>
    <row r="5378" spans="2:35" ht="409.5">
      <c r="B5378" s="1">
        <v>45328</v>
      </c>
      <c r="C5378" s="4">
        <v>45328.543749999997</v>
      </c>
      <c r="D5378" t="s">
        <v>22463</v>
      </c>
      <c r="E5378" t="s">
        <v>32485</v>
      </c>
      <c r="F5378" t="s">
        <v>148</v>
      </c>
      <c r="G5378" t="s">
        <v>310</v>
      </c>
      <c r="H5378" t="s">
        <v>39</v>
      </c>
      <c r="I5378" t="s">
        <v>40</v>
      </c>
      <c r="J5378" s="2" t="s">
        <v>41</v>
      </c>
      <c r="K5378" t="s">
        <v>42</v>
      </c>
      <c r="L5378" t="s">
        <v>1943</v>
      </c>
      <c r="N5378" t="s">
        <v>1944</v>
      </c>
      <c r="Q5378">
        <v>27167</v>
      </c>
      <c r="R5378" t="s">
        <v>45</v>
      </c>
      <c r="S5378" t="s">
        <v>32486</v>
      </c>
      <c r="T5378">
        <v>25</v>
      </c>
      <c r="U5378" s="2" t="s">
        <v>32487</v>
      </c>
      <c r="V5378" s="1">
        <v>45327</v>
      </c>
      <c r="W5378" t="s">
        <v>84</v>
      </c>
      <c r="X5378">
        <v>814376</v>
      </c>
      <c r="Y5378" s="2" t="s">
        <v>25566</v>
      </c>
      <c r="Z5378" t="s">
        <v>22330</v>
      </c>
      <c r="AA5378" s="2" t="s">
        <v>29551</v>
      </c>
      <c r="AB5378" t="s">
        <v>88</v>
      </c>
      <c r="AD5378" t="s">
        <v>32488</v>
      </c>
      <c r="AE5378" t="s">
        <v>32489</v>
      </c>
      <c r="AG5378" t="s">
        <v>32490</v>
      </c>
      <c r="AH5378" t="s">
        <v>32491</v>
      </c>
      <c r="AI5378" t="s">
        <v>32492</v>
      </c>
    </row>
    <row r="5379" spans="2:35" ht="300">
      <c r="B5379" s="1">
        <v>45328</v>
      </c>
      <c r="C5379" s="4">
        <v>45328.490277777775</v>
      </c>
      <c r="D5379" t="s">
        <v>2721</v>
      </c>
      <c r="E5379" t="s">
        <v>2722</v>
      </c>
      <c r="F5379">
        <v>2</v>
      </c>
      <c r="G5379" t="s">
        <v>2723</v>
      </c>
      <c r="H5379" t="s">
        <v>39</v>
      </c>
      <c r="I5379" t="s">
        <v>40</v>
      </c>
      <c r="J5379" s="2" t="s">
        <v>30202</v>
      </c>
      <c r="K5379" t="s">
        <v>42</v>
      </c>
      <c r="L5379" t="s">
        <v>63</v>
      </c>
      <c r="N5379" t="s">
        <v>64</v>
      </c>
      <c r="Q5379">
        <v>27166</v>
      </c>
      <c r="R5379" t="s">
        <v>45</v>
      </c>
      <c r="S5379" t="s">
        <v>2724</v>
      </c>
      <c r="T5379">
        <v>24</v>
      </c>
      <c r="U5379" s="2" t="s">
        <v>32493</v>
      </c>
      <c r="V5379" s="1">
        <v>45328</v>
      </c>
      <c r="W5379" t="s">
        <v>32494</v>
      </c>
      <c r="X5379">
        <v>120000178</v>
      </c>
      <c r="Y5379" t="s">
        <v>1716</v>
      </c>
      <c r="Z5379" t="s">
        <v>1716</v>
      </c>
      <c r="AA5379" s="2" t="s">
        <v>32495</v>
      </c>
      <c r="AB5379" t="s">
        <v>70</v>
      </c>
      <c r="AC5379" t="s">
        <v>1716</v>
      </c>
      <c r="AD5379" t="s">
        <v>32496</v>
      </c>
      <c r="AE5379" t="s">
        <v>1716</v>
      </c>
      <c r="AG5379" t="s">
        <v>32497</v>
      </c>
      <c r="AH5379" t="s">
        <v>29783</v>
      </c>
      <c r="AI5379" t="s">
        <v>32498</v>
      </c>
    </row>
    <row r="5380" spans="2:35" ht="105">
      <c r="B5380" s="1">
        <v>45328</v>
      </c>
      <c r="C5380" s="4">
        <v>45328.488194444442</v>
      </c>
      <c r="D5380" t="s">
        <v>10074</v>
      </c>
      <c r="E5380" t="s">
        <v>10075</v>
      </c>
      <c r="F5380">
        <v>6</v>
      </c>
      <c r="G5380" t="s">
        <v>1234</v>
      </c>
      <c r="H5380" t="s">
        <v>39</v>
      </c>
      <c r="I5380" t="s">
        <v>94</v>
      </c>
      <c r="J5380" s="2" t="s">
        <v>41</v>
      </c>
      <c r="K5380" t="s">
        <v>42</v>
      </c>
      <c r="L5380" t="s">
        <v>23958</v>
      </c>
      <c r="N5380" t="s">
        <v>23959</v>
      </c>
      <c r="Q5380">
        <v>27165</v>
      </c>
      <c r="R5380" t="s">
        <v>45</v>
      </c>
      <c r="S5380" t="s">
        <v>10076</v>
      </c>
      <c r="T5380">
        <v>25</v>
      </c>
      <c r="U5380" s="2" t="s">
        <v>32499</v>
      </c>
      <c r="W5380" t="s">
        <v>360</v>
      </c>
      <c r="X5380">
        <v>815433</v>
      </c>
      <c r="Y5380" t="s">
        <v>32500</v>
      </c>
      <c r="Z5380" t="s">
        <v>32501</v>
      </c>
      <c r="AA5380" t="s">
        <v>32502</v>
      </c>
      <c r="AB5380" t="s">
        <v>32503</v>
      </c>
      <c r="AG5380" t="s">
        <v>32504</v>
      </c>
      <c r="AH5380" t="s">
        <v>32505</v>
      </c>
      <c r="AI5380" t="s">
        <v>32506</v>
      </c>
    </row>
    <row r="5381" spans="2:35" ht="409.5">
      <c r="B5381" s="1">
        <v>45328</v>
      </c>
      <c r="C5381" s="4">
        <v>45328.469444444447</v>
      </c>
      <c r="D5381" t="s">
        <v>14718</v>
      </c>
      <c r="E5381" t="s">
        <v>32507</v>
      </c>
      <c r="F5381" t="s">
        <v>148</v>
      </c>
      <c r="G5381" t="s">
        <v>310</v>
      </c>
      <c r="H5381" t="s">
        <v>61</v>
      </c>
      <c r="I5381" t="s">
        <v>40</v>
      </c>
      <c r="J5381" s="2" t="s">
        <v>62</v>
      </c>
      <c r="K5381" t="s">
        <v>42</v>
      </c>
      <c r="L5381" t="s">
        <v>1943</v>
      </c>
      <c r="N5381" t="s">
        <v>1944</v>
      </c>
      <c r="Q5381">
        <v>27164</v>
      </c>
      <c r="R5381" t="s">
        <v>95</v>
      </c>
      <c r="S5381" t="s">
        <v>14719</v>
      </c>
      <c r="T5381">
        <v>25</v>
      </c>
      <c r="U5381" s="2" t="s">
        <v>32508</v>
      </c>
      <c r="V5381" s="1">
        <v>45317</v>
      </c>
      <c r="W5381" t="s">
        <v>895</v>
      </c>
      <c r="X5381">
        <v>844418</v>
      </c>
      <c r="Y5381" s="2" t="s">
        <v>23659</v>
      </c>
      <c r="Z5381" t="s">
        <v>23660</v>
      </c>
      <c r="AA5381" s="2" t="s">
        <v>29426</v>
      </c>
      <c r="AB5381" t="s">
        <v>32509</v>
      </c>
      <c r="AD5381" t="s">
        <v>5056</v>
      </c>
      <c r="AE5381" t="s">
        <v>11329</v>
      </c>
      <c r="AG5381" t="s">
        <v>32510</v>
      </c>
      <c r="AH5381" t="s">
        <v>27282</v>
      </c>
      <c r="AI5381" t="s">
        <v>32511</v>
      </c>
    </row>
    <row r="5382" spans="2:35" ht="195">
      <c r="B5382" s="1">
        <v>45328</v>
      </c>
      <c r="C5382" s="4">
        <v>45328.407638888886</v>
      </c>
      <c r="D5382" t="s">
        <v>4561</v>
      </c>
      <c r="E5382" t="s">
        <v>32512</v>
      </c>
      <c r="F5382" t="s">
        <v>148</v>
      </c>
      <c r="G5382" t="s">
        <v>447</v>
      </c>
      <c r="H5382" t="s">
        <v>39</v>
      </c>
      <c r="I5382" t="s">
        <v>40</v>
      </c>
      <c r="J5382" s="2" t="s">
        <v>62</v>
      </c>
      <c r="K5382" t="s">
        <v>42</v>
      </c>
      <c r="L5382" t="s">
        <v>15532</v>
      </c>
      <c r="N5382" t="s">
        <v>15533</v>
      </c>
      <c r="Q5382">
        <v>27163</v>
      </c>
      <c r="R5382" t="s">
        <v>45</v>
      </c>
      <c r="S5382" t="s">
        <v>31224</v>
      </c>
      <c r="T5382">
        <v>29</v>
      </c>
      <c r="U5382" s="2" t="s">
        <v>32513</v>
      </c>
      <c r="V5382" s="1">
        <v>45317</v>
      </c>
      <c r="W5382" t="s">
        <v>23974</v>
      </c>
      <c r="X5382">
        <v>804688</v>
      </c>
      <c r="Y5382" t="s">
        <v>21527</v>
      </c>
      <c r="Z5382" s="2" t="s">
        <v>32514</v>
      </c>
      <c r="AA5382" s="2" t="s">
        <v>32515</v>
      </c>
      <c r="AB5382" s="2" t="s">
        <v>32516</v>
      </c>
      <c r="AC5382" t="s">
        <v>32517</v>
      </c>
      <c r="AD5382" t="s">
        <v>7189</v>
      </c>
      <c r="AE5382" t="s">
        <v>32518</v>
      </c>
      <c r="AG5382" t="s">
        <v>32519</v>
      </c>
      <c r="AH5382" t="s">
        <v>32520</v>
      </c>
      <c r="AI5382" t="s">
        <v>32521</v>
      </c>
    </row>
    <row r="5383" spans="2:35" ht="300">
      <c r="B5383" s="1">
        <v>45327</v>
      </c>
      <c r="C5383" s="4">
        <v>45327.709722222222</v>
      </c>
      <c r="D5383" t="s">
        <v>32522</v>
      </c>
      <c r="E5383" t="s">
        <v>32523</v>
      </c>
      <c r="F5383">
        <v>2</v>
      </c>
      <c r="G5383" t="s">
        <v>2723</v>
      </c>
      <c r="H5383" t="s">
        <v>39</v>
      </c>
      <c r="I5383" t="s">
        <v>40</v>
      </c>
      <c r="J5383" s="2" t="s">
        <v>30202</v>
      </c>
      <c r="K5383" t="s">
        <v>42</v>
      </c>
      <c r="L5383" t="s">
        <v>63</v>
      </c>
      <c r="N5383" t="s">
        <v>64</v>
      </c>
      <c r="Q5383">
        <v>27162</v>
      </c>
      <c r="R5383" t="s">
        <v>45</v>
      </c>
      <c r="S5383" t="s">
        <v>32524</v>
      </c>
      <c r="T5383">
        <v>27</v>
      </c>
      <c r="U5383" s="2" t="s">
        <v>23334</v>
      </c>
      <c r="V5383" s="1">
        <v>45327</v>
      </c>
      <c r="W5383" t="s">
        <v>26915</v>
      </c>
      <c r="X5383">
        <v>835091</v>
      </c>
      <c r="Y5383" t="s">
        <v>1716</v>
      </c>
      <c r="Z5383" t="s">
        <v>1716</v>
      </c>
      <c r="AA5383" s="2" t="s">
        <v>32525</v>
      </c>
      <c r="AB5383" t="s">
        <v>70</v>
      </c>
      <c r="AC5383" t="s">
        <v>1716</v>
      </c>
      <c r="AD5383" t="s">
        <v>6397</v>
      </c>
      <c r="AE5383" t="s">
        <v>1716</v>
      </c>
      <c r="AG5383" t="s">
        <v>32526</v>
      </c>
      <c r="AH5383" t="s">
        <v>32527</v>
      </c>
      <c r="AI5383" t="s">
        <v>32528</v>
      </c>
    </row>
    <row r="5384" spans="2:35" ht="409.5">
      <c r="B5384" s="1">
        <v>45327</v>
      </c>
      <c r="C5384" s="4">
        <v>45327.661805555559</v>
      </c>
      <c r="D5384" t="s">
        <v>32529</v>
      </c>
      <c r="E5384" t="s">
        <v>32530</v>
      </c>
      <c r="F5384">
        <v>3</v>
      </c>
      <c r="G5384" t="s">
        <v>730</v>
      </c>
      <c r="H5384" t="s">
        <v>39</v>
      </c>
      <c r="I5384" t="s">
        <v>40</v>
      </c>
      <c r="J5384" s="2" t="s">
        <v>62</v>
      </c>
      <c r="K5384" t="s">
        <v>42</v>
      </c>
      <c r="L5384" t="s">
        <v>135</v>
      </c>
      <c r="N5384" t="s">
        <v>136</v>
      </c>
      <c r="Q5384">
        <v>27161</v>
      </c>
      <c r="R5384" t="s">
        <v>45</v>
      </c>
      <c r="S5384" t="s">
        <v>32531</v>
      </c>
      <c r="T5384">
        <v>27</v>
      </c>
      <c r="U5384" s="2" t="s">
        <v>32532</v>
      </c>
      <c r="W5384" t="s">
        <v>2680</v>
      </c>
      <c r="X5384">
        <v>812792</v>
      </c>
      <c r="Y5384" t="s">
        <v>1751</v>
      </c>
      <c r="Z5384" s="2" t="s">
        <v>29789</v>
      </c>
      <c r="AA5384" s="2" t="s">
        <v>31375</v>
      </c>
      <c r="AB5384" s="2" t="s">
        <v>32533</v>
      </c>
      <c r="AG5384" t="s">
        <v>32534</v>
      </c>
      <c r="AH5384" t="s">
        <v>32535</v>
      </c>
      <c r="AI5384" t="s">
        <v>32536</v>
      </c>
    </row>
    <row r="5385" spans="2:35" ht="409.5">
      <c r="B5385" s="1">
        <v>45327</v>
      </c>
      <c r="C5385" s="4">
        <v>45327.54583333333</v>
      </c>
      <c r="D5385" t="s">
        <v>32537</v>
      </c>
      <c r="E5385" t="s">
        <v>32538</v>
      </c>
      <c r="F5385">
        <v>11</v>
      </c>
      <c r="G5385" t="s">
        <v>1205</v>
      </c>
      <c r="H5385" t="s">
        <v>202</v>
      </c>
      <c r="I5385" t="s">
        <v>94</v>
      </c>
      <c r="J5385" s="2" t="s">
        <v>30004</v>
      </c>
      <c r="K5385" t="s">
        <v>42</v>
      </c>
      <c r="L5385" t="s">
        <v>204</v>
      </c>
      <c r="N5385" t="s">
        <v>205</v>
      </c>
      <c r="Q5385">
        <v>27160</v>
      </c>
      <c r="R5385" t="s">
        <v>45</v>
      </c>
      <c r="S5385" t="s">
        <v>32539</v>
      </c>
      <c r="T5385">
        <v>27.5</v>
      </c>
      <c r="U5385" s="2" t="s">
        <v>32540</v>
      </c>
      <c r="W5385" t="s">
        <v>23237</v>
      </c>
      <c r="X5385">
        <v>815385</v>
      </c>
      <c r="Y5385" t="s">
        <v>32541</v>
      </c>
      <c r="Z5385" s="2" t="s">
        <v>32542</v>
      </c>
      <c r="AA5385" t="s">
        <v>32543</v>
      </c>
      <c r="AB5385" t="s">
        <v>1211</v>
      </c>
      <c r="AG5385" t="s">
        <v>32544</v>
      </c>
      <c r="AH5385" t="s">
        <v>32545</v>
      </c>
      <c r="AI5385" t="s">
        <v>32546</v>
      </c>
    </row>
    <row r="5386" spans="2:35" ht="409.5">
      <c r="B5386" s="1">
        <v>45327</v>
      </c>
      <c r="C5386" s="4">
        <v>45327.567361111112</v>
      </c>
      <c r="D5386" t="s">
        <v>29843</v>
      </c>
      <c r="E5386" t="s">
        <v>4102</v>
      </c>
      <c r="F5386">
        <v>3</v>
      </c>
      <c r="G5386" t="s">
        <v>730</v>
      </c>
      <c r="H5386" t="s">
        <v>39</v>
      </c>
      <c r="I5386" t="s">
        <v>40</v>
      </c>
      <c r="J5386" s="2" t="s">
        <v>62</v>
      </c>
      <c r="K5386" t="s">
        <v>42</v>
      </c>
      <c r="L5386" t="s">
        <v>135</v>
      </c>
      <c r="N5386" t="s">
        <v>136</v>
      </c>
      <c r="Q5386">
        <v>27159</v>
      </c>
      <c r="R5386" t="s">
        <v>45</v>
      </c>
      <c r="S5386" t="s">
        <v>29845</v>
      </c>
      <c r="T5386">
        <v>26</v>
      </c>
      <c r="U5386" s="2" t="s">
        <v>32547</v>
      </c>
      <c r="W5386" t="s">
        <v>2680</v>
      </c>
      <c r="X5386">
        <v>805108</v>
      </c>
      <c r="Y5386" t="s">
        <v>1751</v>
      </c>
      <c r="Z5386" s="2" t="s">
        <v>29789</v>
      </c>
      <c r="AA5386" s="2" t="s">
        <v>31375</v>
      </c>
      <c r="AB5386" t="s">
        <v>32548</v>
      </c>
      <c r="AC5386" t="s">
        <v>32549</v>
      </c>
      <c r="AG5386" t="s">
        <v>32550</v>
      </c>
      <c r="AH5386" t="s">
        <v>32551</v>
      </c>
      <c r="AI5386" t="s">
        <v>32552</v>
      </c>
    </row>
    <row r="5387" spans="2:35" ht="409.5">
      <c r="B5387" s="1">
        <v>45327</v>
      </c>
      <c r="C5387" s="4">
        <v>45327.570833333331</v>
      </c>
      <c r="D5387" t="s">
        <v>29843</v>
      </c>
      <c r="E5387" t="s">
        <v>4320</v>
      </c>
      <c r="F5387">
        <v>3</v>
      </c>
      <c r="G5387" t="s">
        <v>730</v>
      </c>
      <c r="H5387" t="s">
        <v>39</v>
      </c>
      <c r="I5387" t="s">
        <v>40</v>
      </c>
      <c r="J5387" s="2" t="s">
        <v>62</v>
      </c>
      <c r="K5387" t="s">
        <v>42</v>
      </c>
      <c r="L5387" t="s">
        <v>135</v>
      </c>
      <c r="N5387" t="s">
        <v>136</v>
      </c>
      <c r="Q5387">
        <v>27158</v>
      </c>
      <c r="R5387" t="s">
        <v>45</v>
      </c>
      <c r="S5387" t="s">
        <v>29845</v>
      </c>
      <c r="T5387">
        <v>25</v>
      </c>
      <c r="U5387" s="2" t="s">
        <v>32553</v>
      </c>
      <c r="W5387" t="s">
        <v>2680</v>
      </c>
      <c r="X5387">
        <v>838142</v>
      </c>
      <c r="Y5387" t="s">
        <v>1751</v>
      </c>
      <c r="Z5387" s="2" t="s">
        <v>29789</v>
      </c>
      <c r="AA5387" s="2" t="s">
        <v>31375</v>
      </c>
      <c r="AB5387" s="2" t="s">
        <v>32554</v>
      </c>
      <c r="AG5387" t="s">
        <v>32555</v>
      </c>
      <c r="AH5387" t="s">
        <v>32551</v>
      </c>
      <c r="AI5387" t="s">
        <v>32556</v>
      </c>
    </row>
    <row r="5388" spans="2:35" ht="255">
      <c r="B5388" s="1">
        <v>45327</v>
      </c>
      <c r="C5388" s="4">
        <v>45266.560416666667</v>
      </c>
      <c r="D5388" t="s">
        <v>29843</v>
      </c>
      <c r="E5388" t="s">
        <v>9296</v>
      </c>
      <c r="F5388">
        <v>3</v>
      </c>
      <c r="G5388" t="s">
        <v>730</v>
      </c>
      <c r="H5388" t="s">
        <v>4885</v>
      </c>
      <c r="I5388" t="s">
        <v>40</v>
      </c>
      <c r="J5388" s="2" t="s">
        <v>30202</v>
      </c>
      <c r="K5388" t="s">
        <v>42</v>
      </c>
      <c r="L5388" t="s">
        <v>135</v>
      </c>
      <c r="N5388" t="s">
        <v>136</v>
      </c>
      <c r="Q5388">
        <v>27157</v>
      </c>
      <c r="R5388" t="s">
        <v>45</v>
      </c>
      <c r="S5388" t="s">
        <v>32557</v>
      </c>
      <c r="T5388">
        <v>25</v>
      </c>
      <c r="U5388" s="2" t="s">
        <v>32558</v>
      </c>
      <c r="W5388" t="s">
        <v>2680</v>
      </c>
      <c r="X5388">
        <v>838142</v>
      </c>
      <c r="Y5388" t="s">
        <v>32559</v>
      </c>
      <c r="Z5388" s="2" t="s">
        <v>29539</v>
      </c>
      <c r="AA5388" s="2" t="s">
        <v>32560</v>
      </c>
      <c r="AB5388" t="s">
        <v>181</v>
      </c>
      <c r="AC5388" t="s">
        <v>32561</v>
      </c>
      <c r="AG5388" t="s">
        <v>32562</v>
      </c>
      <c r="AH5388" t="s">
        <v>32551</v>
      </c>
      <c r="AI5388" t="s">
        <v>32563</v>
      </c>
    </row>
    <row r="5389" spans="2:35" ht="105">
      <c r="B5389" s="1">
        <v>45327</v>
      </c>
      <c r="C5389" s="4">
        <v>45327.477083333331</v>
      </c>
      <c r="D5389" t="s">
        <v>32564</v>
      </c>
      <c r="E5389" t="s">
        <v>1555</v>
      </c>
      <c r="F5389">
        <v>7</v>
      </c>
      <c r="G5389" t="s">
        <v>432</v>
      </c>
      <c r="H5389" t="s">
        <v>39</v>
      </c>
      <c r="I5389" t="s">
        <v>94</v>
      </c>
      <c r="J5389" s="2" t="s">
        <v>1157</v>
      </c>
      <c r="K5389" t="s">
        <v>42</v>
      </c>
      <c r="L5389" t="s">
        <v>594</v>
      </c>
      <c r="N5389" t="s">
        <v>595</v>
      </c>
      <c r="O5389" t="s">
        <v>595</v>
      </c>
      <c r="Q5389">
        <v>27156</v>
      </c>
      <c r="R5389" t="s">
        <v>95</v>
      </c>
      <c r="S5389" t="s">
        <v>7735</v>
      </c>
      <c r="T5389">
        <v>24</v>
      </c>
      <c r="V5389" s="1">
        <v>45292</v>
      </c>
      <c r="W5389" t="s">
        <v>502</v>
      </c>
      <c r="X5389">
        <v>814150</v>
      </c>
      <c r="Y5389" t="s">
        <v>32565</v>
      </c>
      <c r="Z5389" t="s">
        <v>32566</v>
      </c>
      <c r="AA5389" t="s">
        <v>32567</v>
      </c>
      <c r="AB5389" t="s">
        <v>32568</v>
      </c>
      <c r="AG5389" t="s">
        <v>32569</v>
      </c>
      <c r="AH5389" t="s">
        <v>7741</v>
      </c>
      <c r="AI5389" t="s">
        <v>32570</v>
      </c>
    </row>
    <row r="5390" spans="2:35" ht="300">
      <c r="B5390" s="1">
        <v>45327</v>
      </c>
      <c r="C5390" s="4">
        <v>45324.361805555556</v>
      </c>
      <c r="D5390" t="s">
        <v>3010</v>
      </c>
      <c r="E5390" t="s">
        <v>3011</v>
      </c>
      <c r="F5390">
        <v>1</v>
      </c>
      <c r="G5390" t="s">
        <v>1046</v>
      </c>
      <c r="H5390" t="s">
        <v>39</v>
      </c>
      <c r="I5390" t="s">
        <v>40</v>
      </c>
      <c r="J5390" s="2" t="s">
        <v>62</v>
      </c>
      <c r="K5390" t="s">
        <v>42</v>
      </c>
      <c r="L5390" t="s">
        <v>1048</v>
      </c>
      <c r="N5390" t="s">
        <v>1049</v>
      </c>
      <c r="Q5390">
        <v>27155</v>
      </c>
      <c r="R5390" t="s">
        <v>45</v>
      </c>
      <c r="S5390" t="s">
        <v>3012</v>
      </c>
      <c r="T5390">
        <v>30</v>
      </c>
      <c r="U5390" s="2" t="s">
        <v>32571</v>
      </c>
      <c r="V5390" s="1">
        <v>45324</v>
      </c>
      <c r="W5390" t="s">
        <v>1051</v>
      </c>
      <c r="X5390">
        <v>804726</v>
      </c>
      <c r="Y5390" t="s">
        <v>32572</v>
      </c>
      <c r="Z5390" t="e">
        <f ca="1">- cleaned cartridge Bays, plunger Rods _xludf.and I-CORE
- performed XpertCheck
- generated reports</f>
        <v>#NAME?</v>
      </c>
      <c r="AA5390" t="s">
        <v>4930</v>
      </c>
      <c r="AB5390" t="s">
        <v>181</v>
      </c>
      <c r="AC5390" t="s">
        <v>2610</v>
      </c>
      <c r="AD5390" t="s">
        <v>1958</v>
      </c>
      <c r="AE5390" t="s">
        <v>103</v>
      </c>
      <c r="AG5390" t="s">
        <v>32573</v>
      </c>
      <c r="AH5390" t="s">
        <v>32574</v>
      </c>
      <c r="AI5390" t="s">
        <v>32575</v>
      </c>
    </row>
    <row r="5391" spans="2:35" ht="195">
      <c r="B5391" s="1">
        <v>45327</v>
      </c>
      <c r="C5391" s="4">
        <v>45324.421527777777</v>
      </c>
      <c r="D5391" t="s">
        <v>3010</v>
      </c>
      <c r="E5391" t="s">
        <v>3011</v>
      </c>
      <c r="F5391">
        <v>1</v>
      </c>
      <c r="G5391" t="s">
        <v>1046</v>
      </c>
      <c r="H5391" t="s">
        <v>61</v>
      </c>
      <c r="I5391" t="s">
        <v>40</v>
      </c>
      <c r="J5391" s="2" t="s">
        <v>62</v>
      </c>
      <c r="K5391" t="s">
        <v>42</v>
      </c>
      <c r="L5391" t="s">
        <v>1048</v>
      </c>
      <c r="N5391" t="s">
        <v>1049</v>
      </c>
      <c r="Q5391">
        <v>27154</v>
      </c>
      <c r="R5391" t="s">
        <v>45</v>
      </c>
      <c r="S5391" t="s">
        <v>30964</v>
      </c>
      <c r="T5391">
        <v>28</v>
      </c>
      <c r="U5391" s="2" t="s">
        <v>32576</v>
      </c>
      <c r="V5391" s="1">
        <v>45324</v>
      </c>
      <c r="W5391" t="s">
        <v>31945</v>
      </c>
      <c r="X5391">
        <v>842230</v>
      </c>
      <c r="Y5391" t="s">
        <v>4546</v>
      </c>
      <c r="Z5391" t="e">
        <f ca="1">- cleaned cartridge Bays, plunger Rods _xludf.and I-CORE
- performed XpertCheck
- generated reports</f>
        <v>#NAME?</v>
      </c>
      <c r="AA5391" t="s">
        <v>4930</v>
      </c>
      <c r="AB5391" t="s">
        <v>181</v>
      </c>
      <c r="AC5391" t="s">
        <v>32577</v>
      </c>
      <c r="AD5391" t="s">
        <v>1958</v>
      </c>
      <c r="AE5391" t="s">
        <v>103</v>
      </c>
      <c r="AG5391" t="s">
        <v>32578</v>
      </c>
      <c r="AH5391" t="s">
        <v>32579</v>
      </c>
      <c r="AI5391" t="s">
        <v>32580</v>
      </c>
    </row>
    <row r="5392" spans="2:35">
      <c r="B5392" s="1">
        <v>45326</v>
      </c>
      <c r="C5392" s="4">
        <v>45324.361805555556</v>
      </c>
      <c r="D5392" t="s">
        <v>3679</v>
      </c>
      <c r="E5392" t="s">
        <v>2177</v>
      </c>
      <c r="F5392" t="s">
        <v>148</v>
      </c>
      <c r="G5392" t="s">
        <v>447</v>
      </c>
      <c r="H5392" t="s">
        <v>662</v>
      </c>
      <c r="I5392" t="s">
        <v>40</v>
      </c>
      <c r="J5392" t="s">
        <v>32581</v>
      </c>
      <c r="K5392" t="s">
        <v>42</v>
      </c>
      <c r="L5392" t="s">
        <v>448</v>
      </c>
      <c r="N5392" t="s">
        <v>650</v>
      </c>
      <c r="Q5392">
        <v>27153</v>
      </c>
      <c r="R5392" t="s">
        <v>322</v>
      </c>
      <c r="S5392" t="s">
        <v>17810</v>
      </c>
      <c r="T5392">
        <v>28</v>
      </c>
      <c r="W5392" t="s">
        <v>6128</v>
      </c>
      <c r="X5392">
        <v>804260</v>
      </c>
      <c r="Y5392" t="s">
        <v>54</v>
      </c>
      <c r="Z5392" t="s">
        <v>54</v>
      </c>
      <c r="AA5392" t="s">
        <v>32582</v>
      </c>
      <c r="AB5392" t="s">
        <v>32581</v>
      </c>
      <c r="AC5392" t="s">
        <v>32583</v>
      </c>
      <c r="AG5392" t="s">
        <v>32584</v>
      </c>
      <c r="AH5392" t="s">
        <v>32585</v>
      </c>
      <c r="AI5392" t="s">
        <v>32586</v>
      </c>
    </row>
    <row r="5393" spans="2:35" ht="210">
      <c r="B5393" s="1">
        <v>45324</v>
      </c>
      <c r="C5393" s="4">
        <v>45324.649305555555</v>
      </c>
      <c r="D5393" t="s">
        <v>30323</v>
      </c>
      <c r="E5393" t="s">
        <v>32587</v>
      </c>
      <c r="F5393" t="s">
        <v>37</v>
      </c>
      <c r="G5393" t="s">
        <v>38</v>
      </c>
      <c r="H5393" t="s">
        <v>39</v>
      </c>
      <c r="I5393" t="s">
        <v>40</v>
      </c>
      <c r="J5393" s="2" t="s">
        <v>41</v>
      </c>
      <c r="K5393" t="s">
        <v>42</v>
      </c>
      <c r="L5393" t="s">
        <v>448</v>
      </c>
      <c r="N5393" t="s">
        <v>650</v>
      </c>
      <c r="Q5393">
        <v>27152</v>
      </c>
      <c r="R5393" t="s">
        <v>45</v>
      </c>
      <c r="S5393" t="s">
        <v>29171</v>
      </c>
      <c r="T5393">
        <v>27</v>
      </c>
      <c r="U5393" s="2" t="s">
        <v>30325</v>
      </c>
      <c r="V5393" s="1">
        <v>45324</v>
      </c>
      <c r="W5393" t="s">
        <v>360</v>
      </c>
      <c r="X5393">
        <v>807580</v>
      </c>
      <c r="Y5393" t="s">
        <v>7168</v>
      </c>
      <c r="Z5393" s="2" t="s">
        <v>2011</v>
      </c>
      <c r="AA5393" t="s">
        <v>24030</v>
      </c>
      <c r="AB5393" t="s">
        <v>32588</v>
      </c>
      <c r="AD5393" t="s">
        <v>11518</v>
      </c>
      <c r="AE5393" t="s">
        <v>449</v>
      </c>
      <c r="AG5393" t="s">
        <v>32589</v>
      </c>
      <c r="AH5393" t="s">
        <v>32210</v>
      </c>
      <c r="AI5393" t="s">
        <v>32590</v>
      </c>
    </row>
    <row r="5394" spans="2:35" ht="225">
      <c r="B5394" s="1">
        <v>45324</v>
      </c>
      <c r="C5394" s="4">
        <v>45324.640277777777</v>
      </c>
      <c r="D5394" t="s">
        <v>8698</v>
      </c>
      <c r="E5394" t="s">
        <v>32591</v>
      </c>
      <c r="F5394">
        <v>5</v>
      </c>
      <c r="G5394" t="s">
        <v>839</v>
      </c>
      <c r="H5394" t="s">
        <v>39</v>
      </c>
      <c r="I5394" t="s">
        <v>94</v>
      </c>
      <c r="J5394" s="2" t="s">
        <v>41</v>
      </c>
      <c r="K5394" t="s">
        <v>42</v>
      </c>
      <c r="L5394" t="s">
        <v>761</v>
      </c>
      <c r="N5394" t="s">
        <v>762</v>
      </c>
      <c r="Q5394">
        <v>27151</v>
      </c>
      <c r="R5394" t="s">
        <v>119</v>
      </c>
      <c r="S5394" t="s">
        <v>8700</v>
      </c>
      <c r="T5394">
        <v>23</v>
      </c>
      <c r="U5394" s="2" t="s">
        <v>32592</v>
      </c>
      <c r="W5394" t="s">
        <v>765</v>
      </c>
      <c r="X5394">
        <v>838560</v>
      </c>
      <c r="Y5394" t="s">
        <v>32593</v>
      </c>
      <c r="Z5394" s="2" t="s">
        <v>32594</v>
      </c>
      <c r="AA5394" s="2" t="s">
        <v>32595</v>
      </c>
      <c r="AB5394" t="s">
        <v>181</v>
      </c>
      <c r="AG5394" t="s">
        <v>32596</v>
      </c>
      <c r="AH5394" t="s">
        <v>14160</v>
      </c>
      <c r="AI5394" t="s">
        <v>32597</v>
      </c>
    </row>
    <row r="5395" spans="2:35" ht="360">
      <c r="B5395" s="1">
        <v>45324</v>
      </c>
      <c r="C5395" s="4">
        <v>45324.636111111111</v>
      </c>
      <c r="D5395" t="s">
        <v>21829</v>
      </c>
      <c r="E5395" t="s">
        <v>3140</v>
      </c>
      <c r="F5395">
        <v>3</v>
      </c>
      <c r="G5395" t="s">
        <v>174</v>
      </c>
      <c r="H5395" t="s">
        <v>39</v>
      </c>
      <c r="I5395" t="s">
        <v>40</v>
      </c>
      <c r="J5395" s="2" t="s">
        <v>190</v>
      </c>
      <c r="K5395" t="s">
        <v>42</v>
      </c>
      <c r="L5395" t="s">
        <v>175</v>
      </c>
      <c r="N5395" t="s">
        <v>176</v>
      </c>
      <c r="Q5395">
        <v>27150</v>
      </c>
      <c r="R5395" t="s">
        <v>95</v>
      </c>
      <c r="S5395" t="s">
        <v>3898</v>
      </c>
      <c r="T5395">
        <v>19</v>
      </c>
      <c r="U5395" s="2" t="s">
        <v>32598</v>
      </c>
      <c r="W5395" t="s">
        <v>84</v>
      </c>
      <c r="X5395">
        <v>110008530</v>
      </c>
      <c r="Y5395" t="s">
        <v>32599</v>
      </c>
      <c r="Z5395" s="2" t="s">
        <v>32600</v>
      </c>
      <c r="AA5395" t="s">
        <v>32601</v>
      </c>
      <c r="AB5395" s="2" t="s">
        <v>32602</v>
      </c>
      <c r="AG5395" t="s">
        <v>32603</v>
      </c>
      <c r="AH5395" t="s">
        <v>8887</v>
      </c>
      <c r="AI5395" t="s">
        <v>32604</v>
      </c>
    </row>
    <row r="5396" spans="2:35" ht="225">
      <c r="B5396" s="1">
        <v>45324</v>
      </c>
      <c r="C5396" s="4">
        <v>45324.583333333336</v>
      </c>
      <c r="D5396" t="s">
        <v>32260</v>
      </c>
      <c r="E5396" t="s">
        <v>32605</v>
      </c>
      <c r="F5396" t="s">
        <v>148</v>
      </c>
      <c r="G5396" t="s">
        <v>371</v>
      </c>
      <c r="H5396" t="s">
        <v>39</v>
      </c>
      <c r="I5396" t="s">
        <v>40</v>
      </c>
      <c r="J5396" s="2" t="s">
        <v>62</v>
      </c>
      <c r="K5396" t="s">
        <v>42</v>
      </c>
      <c r="L5396" t="s">
        <v>15532</v>
      </c>
      <c r="N5396" t="s">
        <v>15533</v>
      </c>
      <c r="Q5396">
        <v>27149</v>
      </c>
      <c r="R5396" t="s">
        <v>45</v>
      </c>
      <c r="S5396" t="s">
        <v>32262</v>
      </c>
      <c r="T5396">
        <v>20</v>
      </c>
      <c r="U5396" s="2" t="s">
        <v>32606</v>
      </c>
      <c r="V5396" s="1">
        <v>45317</v>
      </c>
      <c r="W5396" t="s">
        <v>32607</v>
      </c>
      <c r="X5396">
        <v>838884</v>
      </c>
      <c r="Y5396" t="s">
        <v>6766</v>
      </c>
      <c r="Z5396" s="2" t="s">
        <v>32608</v>
      </c>
      <c r="AA5396" s="2" t="s">
        <v>32609</v>
      </c>
      <c r="AB5396" s="2" t="s">
        <v>32610</v>
      </c>
      <c r="AC5396" t="s">
        <v>32611</v>
      </c>
      <c r="AD5396" t="s">
        <v>7189</v>
      </c>
      <c r="AE5396" t="s">
        <v>32612</v>
      </c>
      <c r="AG5396" t="s">
        <v>32613</v>
      </c>
      <c r="AH5396" t="s">
        <v>32614</v>
      </c>
      <c r="AI5396" t="s">
        <v>32615</v>
      </c>
    </row>
    <row r="5397" spans="2:35">
      <c r="B5397" s="1">
        <v>45324</v>
      </c>
      <c r="C5397" s="4">
        <v>45324.566666666666</v>
      </c>
      <c r="D5397" t="s">
        <v>32616</v>
      </c>
      <c r="E5397" t="s">
        <v>29745</v>
      </c>
      <c r="F5397">
        <v>3</v>
      </c>
      <c r="G5397" t="s">
        <v>174</v>
      </c>
      <c r="H5397" t="s">
        <v>39</v>
      </c>
      <c r="I5397" t="s">
        <v>40</v>
      </c>
      <c r="J5397" t="s">
        <v>321</v>
      </c>
      <c r="K5397" t="s">
        <v>42</v>
      </c>
      <c r="L5397" t="s">
        <v>175</v>
      </c>
      <c r="N5397" t="s">
        <v>176</v>
      </c>
      <c r="Q5397">
        <v>27148</v>
      </c>
      <c r="R5397" t="s">
        <v>45</v>
      </c>
      <c r="S5397" t="s">
        <v>29746</v>
      </c>
      <c r="T5397">
        <v>23</v>
      </c>
      <c r="W5397" t="s">
        <v>423</v>
      </c>
      <c r="X5397">
        <v>120000608</v>
      </c>
      <c r="Y5397" t="s">
        <v>8338</v>
      </c>
      <c r="Z5397" t="e">
        <f ca="1">- installed Unit
- configured user _xludf.and system administration
- imported MTB ultra Assay
- generated reports
- performed functionality test</f>
        <v>#NAME?</v>
      </c>
      <c r="AA5397" t="s">
        <v>6430</v>
      </c>
      <c r="AB5397" t="s">
        <v>23968</v>
      </c>
      <c r="AG5397" t="s">
        <v>32617</v>
      </c>
      <c r="AH5397" t="s">
        <v>29751</v>
      </c>
      <c r="AI5397" t="s">
        <v>32618</v>
      </c>
    </row>
    <row r="5398" spans="2:35" ht="409.5">
      <c r="B5398" s="1">
        <v>45324</v>
      </c>
      <c r="C5398" s="4">
        <v>45324.549305555556</v>
      </c>
      <c r="D5398" t="s">
        <v>32619</v>
      </c>
      <c r="E5398" t="s">
        <v>32620</v>
      </c>
      <c r="F5398" t="s">
        <v>37</v>
      </c>
      <c r="G5398" t="s">
        <v>78</v>
      </c>
      <c r="H5398" t="s">
        <v>39</v>
      </c>
      <c r="I5398" t="s">
        <v>40</v>
      </c>
      <c r="J5398" s="2" t="s">
        <v>62</v>
      </c>
      <c r="K5398" t="s">
        <v>42</v>
      </c>
      <c r="L5398" t="s">
        <v>1943</v>
      </c>
      <c r="N5398" t="s">
        <v>1944</v>
      </c>
      <c r="O5398" t="s">
        <v>32621</v>
      </c>
      <c r="Q5398">
        <v>27147</v>
      </c>
      <c r="R5398" t="s">
        <v>45</v>
      </c>
      <c r="S5398" t="s">
        <v>32622</v>
      </c>
      <c r="T5398">
        <v>25</v>
      </c>
      <c r="U5398" s="2" t="s">
        <v>12652</v>
      </c>
      <c r="W5398" t="s">
        <v>84</v>
      </c>
      <c r="X5398">
        <v>838132</v>
      </c>
      <c r="Y5398" s="2" t="s">
        <v>23659</v>
      </c>
      <c r="Z5398" s="2" t="s">
        <v>29426</v>
      </c>
      <c r="AA5398" t="s">
        <v>32281</v>
      </c>
      <c r="AB5398" t="s">
        <v>88</v>
      </c>
      <c r="AG5398" t="s">
        <v>32623</v>
      </c>
      <c r="AH5398" t="s">
        <v>32624</v>
      </c>
      <c r="AI5398" t="s">
        <v>32625</v>
      </c>
    </row>
    <row r="5399" spans="2:35" ht="225">
      <c r="B5399" s="1">
        <v>45324</v>
      </c>
      <c r="C5399" s="4">
        <v>45324.529861111114</v>
      </c>
      <c r="D5399" t="s">
        <v>32626</v>
      </c>
      <c r="E5399" t="s">
        <v>32627</v>
      </c>
      <c r="F5399">
        <v>5</v>
      </c>
      <c r="G5399" t="s">
        <v>839</v>
      </c>
      <c r="H5399" t="s">
        <v>39</v>
      </c>
      <c r="I5399" t="s">
        <v>40</v>
      </c>
      <c r="J5399" s="2" t="s">
        <v>30202</v>
      </c>
      <c r="K5399" t="s">
        <v>42</v>
      </c>
      <c r="L5399" t="s">
        <v>761</v>
      </c>
      <c r="N5399" t="s">
        <v>762</v>
      </c>
      <c r="Q5399">
        <v>27146</v>
      </c>
      <c r="R5399" t="s">
        <v>45</v>
      </c>
      <c r="S5399" t="s">
        <v>23498</v>
      </c>
      <c r="T5399">
        <v>22</v>
      </c>
      <c r="U5399" s="2" t="s">
        <v>12736</v>
      </c>
      <c r="W5399" t="s">
        <v>19970</v>
      </c>
      <c r="X5399">
        <v>805260</v>
      </c>
      <c r="Y5399" t="s">
        <v>32628</v>
      </c>
      <c r="Z5399" s="2" t="s">
        <v>32629</v>
      </c>
      <c r="AA5399" s="2" t="s">
        <v>32630</v>
      </c>
      <c r="AB5399" t="s">
        <v>181</v>
      </c>
      <c r="AG5399" t="s">
        <v>32631</v>
      </c>
      <c r="AH5399" t="s">
        <v>23501</v>
      </c>
      <c r="AI5399" t="s">
        <v>32632</v>
      </c>
    </row>
    <row r="5400" spans="2:35" ht="409.5">
      <c r="B5400" s="1">
        <v>45324</v>
      </c>
      <c r="C5400" s="4">
        <v>45324.505555555559</v>
      </c>
      <c r="D5400" t="s">
        <v>27494</v>
      </c>
      <c r="E5400" t="s">
        <v>27495</v>
      </c>
      <c r="F5400" t="s">
        <v>37</v>
      </c>
      <c r="G5400" t="s">
        <v>78</v>
      </c>
      <c r="H5400" t="s">
        <v>39</v>
      </c>
      <c r="I5400" t="s">
        <v>40</v>
      </c>
      <c r="J5400" t="s">
        <v>109</v>
      </c>
      <c r="K5400" t="s">
        <v>42</v>
      </c>
      <c r="L5400" t="s">
        <v>1943</v>
      </c>
      <c r="N5400" t="s">
        <v>1944</v>
      </c>
      <c r="Q5400">
        <v>27145</v>
      </c>
      <c r="R5400" t="s">
        <v>119</v>
      </c>
      <c r="S5400" t="s">
        <v>32633</v>
      </c>
      <c r="T5400">
        <v>25</v>
      </c>
      <c r="U5400" s="2" t="s">
        <v>26911</v>
      </c>
      <c r="W5400" t="s">
        <v>84</v>
      </c>
      <c r="X5400">
        <v>821163</v>
      </c>
      <c r="Y5400" s="2" t="s">
        <v>32634</v>
      </c>
      <c r="Z5400" s="2" t="s">
        <v>32635</v>
      </c>
      <c r="AA5400" t="s">
        <v>32636</v>
      </c>
      <c r="AB5400" t="s">
        <v>32637</v>
      </c>
      <c r="AC5400" t="s">
        <v>32638</v>
      </c>
      <c r="AG5400" t="s">
        <v>32639</v>
      </c>
      <c r="AH5400" t="s">
        <v>32640</v>
      </c>
      <c r="AI5400" t="s">
        <v>32641</v>
      </c>
    </row>
    <row r="5401" spans="2:35" ht="315">
      <c r="B5401" s="1">
        <v>45324</v>
      </c>
      <c r="C5401" s="4">
        <v>45324.482638888891</v>
      </c>
      <c r="D5401" t="s">
        <v>4218</v>
      </c>
      <c r="E5401" t="s">
        <v>4219</v>
      </c>
      <c r="F5401">
        <v>3</v>
      </c>
      <c r="G5401" t="s">
        <v>1722</v>
      </c>
      <c r="H5401" t="s">
        <v>39</v>
      </c>
      <c r="I5401" t="s">
        <v>40</v>
      </c>
      <c r="J5401" s="2" t="s">
        <v>32320</v>
      </c>
      <c r="K5401" t="s">
        <v>42</v>
      </c>
      <c r="L5401" t="s">
        <v>63</v>
      </c>
      <c r="N5401" t="s">
        <v>64</v>
      </c>
      <c r="Q5401">
        <v>27144</v>
      </c>
      <c r="R5401" t="s">
        <v>119</v>
      </c>
      <c r="S5401" t="s">
        <v>4220</v>
      </c>
      <c r="T5401">
        <v>27</v>
      </c>
      <c r="U5401" s="2" t="s">
        <v>32642</v>
      </c>
      <c r="V5401" s="1">
        <v>45324</v>
      </c>
      <c r="W5401" t="s">
        <v>26915</v>
      </c>
      <c r="X5401">
        <v>831637</v>
      </c>
      <c r="Y5401" t="s">
        <v>32643</v>
      </c>
      <c r="Z5401" s="2" t="s">
        <v>32644</v>
      </c>
      <c r="AA5401" s="2" t="s">
        <v>32645</v>
      </c>
      <c r="AB5401" t="s">
        <v>70</v>
      </c>
      <c r="AC5401" t="s">
        <v>32646</v>
      </c>
      <c r="AD5401" t="s">
        <v>32647</v>
      </c>
      <c r="AE5401">
        <v>11117</v>
      </c>
      <c r="AG5401" t="s">
        <v>32648</v>
      </c>
      <c r="AH5401" t="s">
        <v>26856</v>
      </c>
      <c r="AI5401" t="s">
        <v>32649</v>
      </c>
    </row>
    <row r="5402" spans="2:35" ht="285">
      <c r="B5402" s="1">
        <v>45324</v>
      </c>
      <c r="C5402" s="4">
        <v>45324.470833333333</v>
      </c>
      <c r="D5402" t="s">
        <v>32650</v>
      </c>
      <c r="E5402" t="s">
        <v>32651</v>
      </c>
      <c r="F5402" t="s">
        <v>148</v>
      </c>
      <c r="G5402" t="s">
        <v>20126</v>
      </c>
      <c r="H5402" t="s">
        <v>39</v>
      </c>
      <c r="I5402" t="s">
        <v>40</v>
      </c>
      <c r="J5402" s="2" t="s">
        <v>62</v>
      </c>
      <c r="K5402" t="s">
        <v>42</v>
      </c>
      <c r="L5402" t="s">
        <v>15532</v>
      </c>
      <c r="N5402" t="s">
        <v>15533</v>
      </c>
      <c r="Q5402">
        <v>27143</v>
      </c>
      <c r="R5402" t="s">
        <v>45</v>
      </c>
      <c r="S5402" t="s">
        <v>32652</v>
      </c>
      <c r="T5402">
        <v>29</v>
      </c>
      <c r="U5402" s="2" t="s">
        <v>32653</v>
      </c>
      <c r="V5402" s="1">
        <v>45317</v>
      </c>
      <c r="W5402" t="s">
        <v>16496</v>
      </c>
      <c r="X5402">
        <v>838886</v>
      </c>
      <c r="Y5402" t="s">
        <v>21236</v>
      </c>
      <c r="Z5402" s="2" t="s">
        <v>32654</v>
      </c>
      <c r="AA5402" t="s">
        <v>999</v>
      </c>
      <c r="AB5402" s="2" t="s">
        <v>15539</v>
      </c>
      <c r="AC5402" t="s">
        <v>30399</v>
      </c>
      <c r="AD5402" t="s">
        <v>7189</v>
      </c>
      <c r="AE5402" t="s">
        <v>32655</v>
      </c>
      <c r="AG5402" t="s">
        <v>32656</v>
      </c>
      <c r="AH5402" t="s">
        <v>32657</v>
      </c>
      <c r="AI5402" t="s">
        <v>32658</v>
      </c>
    </row>
    <row r="5403" spans="2:35" ht="409.5">
      <c r="B5403" s="1">
        <v>45324</v>
      </c>
      <c r="C5403" s="4">
        <v>45324.397222222222</v>
      </c>
      <c r="D5403" t="s">
        <v>29989</v>
      </c>
      <c r="E5403" t="s">
        <v>32659</v>
      </c>
      <c r="F5403" t="s">
        <v>37</v>
      </c>
      <c r="G5403" t="s">
        <v>189</v>
      </c>
      <c r="H5403" t="s">
        <v>39</v>
      </c>
      <c r="I5403" t="s">
        <v>40</v>
      </c>
      <c r="J5403" s="2" t="s">
        <v>1309</v>
      </c>
      <c r="K5403" t="s">
        <v>42</v>
      </c>
      <c r="L5403" t="s">
        <v>1943</v>
      </c>
      <c r="N5403" t="s">
        <v>1944</v>
      </c>
      <c r="Q5403">
        <v>27142</v>
      </c>
      <c r="R5403" t="s">
        <v>45</v>
      </c>
      <c r="S5403" t="s">
        <v>32660</v>
      </c>
      <c r="T5403">
        <v>25</v>
      </c>
      <c r="U5403" s="2" t="s">
        <v>2330</v>
      </c>
      <c r="V5403" s="1">
        <v>45320</v>
      </c>
      <c r="W5403" t="s">
        <v>84</v>
      </c>
      <c r="X5403">
        <v>838191</v>
      </c>
      <c r="Y5403" s="2" t="s">
        <v>28977</v>
      </c>
      <c r="Z5403" s="2" t="s">
        <v>30255</v>
      </c>
      <c r="AA5403" t="s">
        <v>30254</v>
      </c>
      <c r="AB5403" t="s">
        <v>88</v>
      </c>
      <c r="AD5403" t="s">
        <v>32661</v>
      </c>
      <c r="AE5403" t="s">
        <v>32662</v>
      </c>
      <c r="AG5403" t="s">
        <v>32663</v>
      </c>
      <c r="AH5403" t="s">
        <v>32664</v>
      </c>
      <c r="AI5403" t="s">
        <v>32665</v>
      </c>
    </row>
    <row r="5404" spans="2:35" ht="135">
      <c r="B5404" s="1">
        <v>45324</v>
      </c>
      <c r="C5404" s="4">
        <v>45316.683333333334</v>
      </c>
      <c r="D5404" t="s">
        <v>23423</v>
      </c>
      <c r="E5404" t="s">
        <v>23424</v>
      </c>
      <c r="F5404" t="s">
        <v>37</v>
      </c>
      <c r="G5404" t="s">
        <v>189</v>
      </c>
      <c r="H5404" t="s">
        <v>39</v>
      </c>
      <c r="I5404" t="s">
        <v>40</v>
      </c>
      <c r="J5404" s="2" t="s">
        <v>32412</v>
      </c>
      <c r="K5404" t="s">
        <v>42</v>
      </c>
      <c r="L5404" t="s">
        <v>1028</v>
      </c>
      <c r="N5404" t="s">
        <v>1029</v>
      </c>
      <c r="Q5404">
        <v>27138</v>
      </c>
      <c r="R5404" t="s">
        <v>45</v>
      </c>
      <c r="S5404" t="s">
        <v>32413</v>
      </c>
      <c r="T5404">
        <v>24</v>
      </c>
      <c r="V5404" s="1">
        <v>45315</v>
      </c>
      <c r="W5404" t="s">
        <v>1967</v>
      </c>
      <c r="X5404">
        <v>838131</v>
      </c>
      <c r="Y5404" t="s">
        <v>32414</v>
      </c>
      <c r="Z5404" t="s">
        <v>32415</v>
      </c>
      <c r="AA5404" s="2" t="s">
        <v>32416</v>
      </c>
      <c r="AB5404" t="s">
        <v>3063</v>
      </c>
      <c r="AD5404" t="s">
        <v>32417</v>
      </c>
      <c r="AE5404" t="s">
        <v>32418</v>
      </c>
      <c r="AG5404" t="s">
        <v>32666</v>
      </c>
      <c r="AH5404" t="s">
        <v>25945</v>
      </c>
      <c r="AI5404" t="s">
        <v>32667</v>
      </c>
    </row>
    <row r="5405" spans="2:35" ht="285">
      <c r="B5405" s="1">
        <v>45324</v>
      </c>
      <c r="C5405" s="4">
        <v>45314.411805555559</v>
      </c>
      <c r="D5405" t="s">
        <v>919</v>
      </c>
      <c r="E5405" t="s">
        <v>5897</v>
      </c>
      <c r="F5405" t="s">
        <v>148</v>
      </c>
      <c r="G5405" t="s">
        <v>310</v>
      </c>
      <c r="H5405" t="s">
        <v>513</v>
      </c>
      <c r="I5405" t="s">
        <v>40</v>
      </c>
      <c r="J5405" s="2" t="s">
        <v>31986</v>
      </c>
      <c r="K5405" t="s">
        <v>387</v>
      </c>
      <c r="L5405" t="s">
        <v>1028</v>
      </c>
      <c r="N5405" t="s">
        <v>1029</v>
      </c>
      <c r="Q5405">
        <v>27139</v>
      </c>
      <c r="R5405" t="s">
        <v>322</v>
      </c>
      <c r="S5405" t="s">
        <v>16290</v>
      </c>
      <c r="T5405">
        <v>24</v>
      </c>
      <c r="W5405" t="s">
        <v>390</v>
      </c>
      <c r="X5405" t="s">
        <v>922</v>
      </c>
      <c r="Y5405" t="s">
        <v>3127</v>
      </c>
      <c r="Z5405" t="s">
        <v>3128</v>
      </c>
      <c r="AA5405" s="2" t="s">
        <v>32421</v>
      </c>
      <c r="AB5405" t="s">
        <v>32422</v>
      </c>
      <c r="AG5405" t="s">
        <v>32668</v>
      </c>
      <c r="AH5405" t="s">
        <v>5901</v>
      </c>
      <c r="AI5405" t="s">
        <v>32669</v>
      </c>
    </row>
    <row r="5406" spans="2:35" ht="210">
      <c r="B5406" s="1">
        <v>45324</v>
      </c>
      <c r="C5406" s="4">
        <v>45321.5625</v>
      </c>
      <c r="D5406" t="s">
        <v>32402</v>
      </c>
      <c r="E5406" t="s">
        <v>32403</v>
      </c>
      <c r="F5406" t="s">
        <v>148</v>
      </c>
      <c r="G5406" t="s">
        <v>4786</v>
      </c>
      <c r="H5406" t="s">
        <v>39</v>
      </c>
      <c r="I5406" t="s">
        <v>40</v>
      </c>
      <c r="J5406" s="2" t="s">
        <v>30202</v>
      </c>
      <c r="K5406" t="s">
        <v>42</v>
      </c>
      <c r="L5406" t="s">
        <v>1028</v>
      </c>
      <c r="N5406" t="s">
        <v>1029</v>
      </c>
      <c r="Q5406">
        <v>27141</v>
      </c>
      <c r="R5406" t="s">
        <v>45</v>
      </c>
      <c r="S5406" t="s">
        <v>32404</v>
      </c>
      <c r="T5406">
        <v>24</v>
      </c>
      <c r="U5406" s="2" t="s">
        <v>17236</v>
      </c>
      <c r="V5406" s="1">
        <v>45320</v>
      </c>
      <c r="W5406" t="s">
        <v>1967</v>
      </c>
      <c r="X5406">
        <v>838183</v>
      </c>
      <c r="Y5406" t="s">
        <v>32405</v>
      </c>
      <c r="Z5406" t="s">
        <v>2129</v>
      </c>
      <c r="AA5406" s="2" t="s">
        <v>32406</v>
      </c>
      <c r="AB5406" t="s">
        <v>3063</v>
      </c>
      <c r="AC5406" t="s">
        <v>32407</v>
      </c>
      <c r="AD5406" t="s">
        <v>18642</v>
      </c>
      <c r="AE5406" t="s">
        <v>32408</v>
      </c>
      <c r="AG5406" t="s">
        <v>32670</v>
      </c>
      <c r="AH5406" t="s">
        <v>32410</v>
      </c>
      <c r="AI5406" t="s">
        <v>32671</v>
      </c>
    </row>
    <row r="5407" spans="2:35" ht="195">
      <c r="B5407" s="1">
        <v>45324</v>
      </c>
      <c r="C5407" s="4">
        <v>45323.342361111114</v>
      </c>
      <c r="D5407" t="s">
        <v>32392</v>
      </c>
      <c r="E5407" t="s">
        <v>32393</v>
      </c>
      <c r="F5407" t="s">
        <v>1181</v>
      </c>
      <c r="G5407" t="s">
        <v>6612</v>
      </c>
      <c r="H5407" t="s">
        <v>39</v>
      </c>
      <c r="I5407" t="s">
        <v>40</v>
      </c>
      <c r="J5407" s="2" t="s">
        <v>30202</v>
      </c>
      <c r="K5407" t="s">
        <v>42</v>
      </c>
      <c r="L5407" t="s">
        <v>1028</v>
      </c>
      <c r="N5407" t="s">
        <v>1029</v>
      </c>
      <c r="Q5407">
        <v>27140</v>
      </c>
      <c r="R5407" t="s">
        <v>45</v>
      </c>
      <c r="S5407" t="s">
        <v>32394</v>
      </c>
      <c r="T5407">
        <v>24</v>
      </c>
      <c r="W5407" t="s">
        <v>32155</v>
      </c>
      <c r="X5407">
        <v>835088</v>
      </c>
      <c r="Y5407" t="s">
        <v>32395</v>
      </c>
      <c r="Z5407" t="s">
        <v>1372</v>
      </c>
      <c r="AA5407" s="2" t="s">
        <v>32396</v>
      </c>
      <c r="AB5407" t="s">
        <v>32397</v>
      </c>
      <c r="AC5407" t="s">
        <v>32398</v>
      </c>
      <c r="AG5407" t="s">
        <v>32672</v>
      </c>
      <c r="AH5407" t="s">
        <v>32400</v>
      </c>
      <c r="AI5407" t="s">
        <v>32673</v>
      </c>
    </row>
    <row r="5408" spans="2:35" ht="285">
      <c r="B5408" s="1">
        <v>45323</v>
      </c>
      <c r="C5408" s="4">
        <v>45322.581944444442</v>
      </c>
      <c r="D5408" t="s">
        <v>22763</v>
      </c>
      <c r="E5408" t="s">
        <v>32674</v>
      </c>
      <c r="F5408" t="s">
        <v>148</v>
      </c>
      <c r="G5408" t="s">
        <v>22765</v>
      </c>
      <c r="H5408" t="s">
        <v>39</v>
      </c>
      <c r="I5408" t="s">
        <v>40</v>
      </c>
      <c r="J5408" s="2" t="s">
        <v>32675</v>
      </c>
      <c r="K5408" t="s">
        <v>42</v>
      </c>
      <c r="L5408" t="s">
        <v>175</v>
      </c>
      <c r="N5408" t="s">
        <v>176</v>
      </c>
      <c r="Q5408">
        <v>27137</v>
      </c>
      <c r="R5408" t="s">
        <v>45</v>
      </c>
      <c r="S5408" t="s">
        <v>22766</v>
      </c>
      <c r="T5408">
        <v>25</v>
      </c>
      <c r="U5408" s="2" t="s">
        <v>32676</v>
      </c>
      <c r="V5408" s="1">
        <v>45322</v>
      </c>
      <c r="W5408" t="s">
        <v>84</v>
      </c>
      <c r="X5408">
        <v>804715</v>
      </c>
      <c r="Y5408" s="2" t="s">
        <v>32677</v>
      </c>
      <c r="Z5408" t="e">
        <f ca="1">- checked _xludf.and cleaned cartridge bay, plunger rod, _xludf.filter, icore slot
- performed XpertCheck
- installed printer
- generated reports</f>
        <v>#NAME?</v>
      </c>
      <c r="AA5408" s="2" t="s">
        <v>32678</v>
      </c>
      <c r="AB5408" s="2" t="s">
        <v>3143</v>
      </c>
      <c r="AD5408" t="s">
        <v>7189</v>
      </c>
      <c r="AE5408" t="s">
        <v>32342</v>
      </c>
      <c r="AG5408" t="s">
        <v>32679</v>
      </c>
      <c r="AH5408" t="s">
        <v>22771</v>
      </c>
      <c r="AI5408" t="s">
        <v>32680</v>
      </c>
    </row>
    <row r="5409" spans="2:35" ht="105">
      <c r="B5409" s="1">
        <v>45323</v>
      </c>
      <c r="C5409" s="4">
        <v>45323.589583333334</v>
      </c>
      <c r="D5409" t="s">
        <v>8539</v>
      </c>
      <c r="E5409" t="s">
        <v>8540</v>
      </c>
      <c r="F5409">
        <v>9</v>
      </c>
      <c r="G5409" t="s">
        <v>2197</v>
      </c>
      <c r="H5409" t="s">
        <v>39</v>
      </c>
      <c r="I5409" t="s">
        <v>94</v>
      </c>
      <c r="J5409" s="2" t="s">
        <v>17375</v>
      </c>
      <c r="K5409" t="s">
        <v>42</v>
      </c>
      <c r="L5409" t="s">
        <v>1257</v>
      </c>
      <c r="N5409" t="s">
        <v>2199</v>
      </c>
      <c r="O5409" t="s">
        <v>1258</v>
      </c>
      <c r="Q5409">
        <v>27136</v>
      </c>
      <c r="R5409" t="s">
        <v>119</v>
      </c>
      <c r="S5409" t="s">
        <v>8542</v>
      </c>
      <c r="T5409">
        <v>27</v>
      </c>
      <c r="U5409" s="2" t="s">
        <v>32681</v>
      </c>
      <c r="V5409" s="1">
        <v>45280</v>
      </c>
      <c r="W5409" t="s">
        <v>2384</v>
      </c>
      <c r="X5409">
        <v>838533</v>
      </c>
      <c r="Y5409" t="s">
        <v>32682</v>
      </c>
      <c r="Z5409" t="s">
        <v>32683</v>
      </c>
      <c r="AA5409" t="s">
        <v>32684</v>
      </c>
      <c r="AB5409" t="s">
        <v>32685</v>
      </c>
      <c r="AC5409" t="s">
        <v>32686</v>
      </c>
      <c r="AD5409" t="s">
        <v>10783</v>
      </c>
      <c r="AE5409">
        <v>10992</v>
      </c>
      <c r="AG5409" t="s">
        <v>32687</v>
      </c>
      <c r="AH5409" t="s">
        <v>8550</v>
      </c>
      <c r="AI5409" t="s">
        <v>32688</v>
      </c>
    </row>
    <row r="5410" spans="2:35" ht="270">
      <c r="B5410" s="1">
        <v>45323</v>
      </c>
      <c r="C5410" s="4">
        <v>45323.579861111109</v>
      </c>
      <c r="D5410" t="s">
        <v>27679</v>
      </c>
      <c r="E5410" t="s">
        <v>32689</v>
      </c>
      <c r="F5410">
        <v>3</v>
      </c>
      <c r="G5410" t="s">
        <v>134</v>
      </c>
      <c r="H5410" t="s">
        <v>39</v>
      </c>
      <c r="I5410" t="s">
        <v>40</v>
      </c>
      <c r="J5410" s="2" t="s">
        <v>62</v>
      </c>
      <c r="K5410" t="s">
        <v>42</v>
      </c>
      <c r="L5410" t="s">
        <v>63</v>
      </c>
      <c r="N5410" t="s">
        <v>64</v>
      </c>
      <c r="Q5410">
        <v>27135</v>
      </c>
      <c r="R5410" t="s">
        <v>322</v>
      </c>
      <c r="S5410" t="s">
        <v>32690</v>
      </c>
      <c r="T5410">
        <v>27</v>
      </c>
      <c r="U5410" s="2" t="s">
        <v>7554</v>
      </c>
      <c r="V5410" s="1">
        <v>45323</v>
      </c>
      <c r="W5410" t="s">
        <v>32691</v>
      </c>
      <c r="X5410">
        <v>110018556</v>
      </c>
      <c r="Y5410" t="s">
        <v>1716</v>
      </c>
      <c r="Z5410" t="s">
        <v>1716</v>
      </c>
      <c r="AA5410" s="2" t="s">
        <v>28364</v>
      </c>
      <c r="AB5410" t="s">
        <v>32692</v>
      </c>
      <c r="AC5410" t="s">
        <v>1716</v>
      </c>
      <c r="AD5410" t="s">
        <v>948</v>
      </c>
      <c r="AE5410">
        <v>11079</v>
      </c>
      <c r="AG5410" t="s">
        <v>32693</v>
      </c>
      <c r="AH5410" t="s">
        <v>32694</v>
      </c>
      <c r="AI5410" t="s">
        <v>32695</v>
      </c>
    </row>
    <row r="5411" spans="2:35" ht="285">
      <c r="B5411" s="1">
        <v>45323</v>
      </c>
      <c r="C5411" s="4">
        <v>45323.424305555556</v>
      </c>
      <c r="D5411" t="s">
        <v>27635</v>
      </c>
      <c r="E5411" t="s">
        <v>32696</v>
      </c>
      <c r="F5411" t="s">
        <v>148</v>
      </c>
      <c r="G5411" t="s">
        <v>447</v>
      </c>
      <c r="H5411" t="s">
        <v>39</v>
      </c>
      <c r="I5411" t="s">
        <v>40</v>
      </c>
      <c r="J5411" s="2" t="s">
        <v>190</v>
      </c>
      <c r="K5411" t="s">
        <v>42</v>
      </c>
      <c r="L5411" t="s">
        <v>15532</v>
      </c>
      <c r="N5411" t="s">
        <v>15533</v>
      </c>
      <c r="Q5411">
        <v>27134</v>
      </c>
      <c r="R5411" t="s">
        <v>119</v>
      </c>
      <c r="S5411" t="s">
        <v>32697</v>
      </c>
      <c r="T5411">
        <v>27</v>
      </c>
      <c r="U5411" s="2" t="s">
        <v>32698</v>
      </c>
      <c r="W5411" t="s">
        <v>3244</v>
      </c>
      <c r="X5411">
        <v>831615</v>
      </c>
      <c r="Y5411" t="s">
        <v>32699</v>
      </c>
      <c r="Z5411" s="2" t="s">
        <v>32700</v>
      </c>
      <c r="AA5411" t="s">
        <v>32701</v>
      </c>
      <c r="AB5411" s="2" t="s">
        <v>32702</v>
      </c>
      <c r="AG5411" t="s">
        <v>32703</v>
      </c>
      <c r="AH5411" t="s">
        <v>24632</v>
      </c>
      <c r="AI5411" t="s">
        <v>32704</v>
      </c>
    </row>
    <row r="5412" spans="2:35" ht="409.5">
      <c r="B5412" s="1">
        <v>45323</v>
      </c>
      <c r="C5412" s="4">
        <v>45323.530555555553</v>
      </c>
      <c r="D5412" t="s">
        <v>23635</v>
      </c>
      <c r="E5412" t="s">
        <v>32705</v>
      </c>
      <c r="F5412" t="s">
        <v>148</v>
      </c>
      <c r="G5412" t="s">
        <v>310</v>
      </c>
      <c r="H5412" t="s">
        <v>39</v>
      </c>
      <c r="I5412" t="s">
        <v>40</v>
      </c>
      <c r="J5412" t="s">
        <v>109</v>
      </c>
      <c r="K5412" t="s">
        <v>42</v>
      </c>
      <c r="L5412" t="s">
        <v>1943</v>
      </c>
      <c r="N5412" t="s">
        <v>1944</v>
      </c>
      <c r="Q5412">
        <v>27133</v>
      </c>
      <c r="R5412" t="s">
        <v>119</v>
      </c>
      <c r="S5412" t="s">
        <v>27717</v>
      </c>
      <c r="T5412">
        <v>25</v>
      </c>
      <c r="U5412" s="2" t="s">
        <v>32706</v>
      </c>
      <c r="W5412" t="s">
        <v>84</v>
      </c>
      <c r="X5412">
        <v>831620</v>
      </c>
      <c r="Y5412" s="2" t="s">
        <v>32707</v>
      </c>
      <c r="Z5412" s="2" t="s">
        <v>32635</v>
      </c>
      <c r="AA5412" t="s">
        <v>32708</v>
      </c>
      <c r="AB5412" t="s">
        <v>32709</v>
      </c>
      <c r="AC5412" t="s">
        <v>32710</v>
      </c>
      <c r="AG5412" t="s">
        <v>32711</v>
      </c>
      <c r="AH5412" t="s">
        <v>32712</v>
      </c>
      <c r="AI5412" t="s">
        <v>32713</v>
      </c>
    </row>
    <row r="5413" spans="2:35" ht="345">
      <c r="B5413" s="1">
        <v>45323</v>
      </c>
      <c r="C5413" s="4">
        <v>45323.46875</v>
      </c>
      <c r="D5413" t="s">
        <v>4995</v>
      </c>
      <c r="E5413" t="s">
        <v>32714</v>
      </c>
      <c r="F5413">
        <v>5</v>
      </c>
      <c r="G5413" t="s">
        <v>759</v>
      </c>
      <c r="H5413" t="s">
        <v>16689</v>
      </c>
      <c r="I5413" t="s">
        <v>40</v>
      </c>
      <c r="J5413" s="2" t="s">
        <v>62</v>
      </c>
      <c r="K5413" t="s">
        <v>42</v>
      </c>
      <c r="L5413" t="s">
        <v>761</v>
      </c>
      <c r="N5413" t="s">
        <v>762</v>
      </c>
      <c r="Q5413">
        <v>27132</v>
      </c>
      <c r="R5413" t="s">
        <v>719</v>
      </c>
      <c r="S5413" t="s">
        <v>23483</v>
      </c>
      <c r="T5413">
        <v>26</v>
      </c>
      <c r="U5413" s="2" t="s">
        <v>32715</v>
      </c>
      <c r="W5413" t="s">
        <v>765</v>
      </c>
      <c r="X5413">
        <v>846354</v>
      </c>
      <c r="Y5413" t="s">
        <v>21277</v>
      </c>
      <c r="Z5413" s="2" t="s">
        <v>32716</v>
      </c>
      <c r="AA5413" s="2" t="s">
        <v>4477</v>
      </c>
      <c r="AB5413" t="s">
        <v>70</v>
      </c>
      <c r="AG5413" t="s">
        <v>32717</v>
      </c>
      <c r="AH5413" t="s">
        <v>23486</v>
      </c>
      <c r="AI5413" t="s">
        <v>32718</v>
      </c>
    </row>
    <row r="5414" spans="2:35" ht="409.5">
      <c r="B5414" s="1">
        <v>45323</v>
      </c>
      <c r="C5414" s="4">
        <v>45322.508333333331</v>
      </c>
      <c r="D5414" t="s">
        <v>32719</v>
      </c>
      <c r="E5414" t="s">
        <v>3011</v>
      </c>
      <c r="F5414">
        <v>1</v>
      </c>
      <c r="G5414" t="s">
        <v>1046</v>
      </c>
      <c r="H5414" t="s">
        <v>386</v>
      </c>
      <c r="I5414" t="s">
        <v>40</v>
      </c>
      <c r="J5414" s="2" t="s">
        <v>41</v>
      </c>
      <c r="K5414" t="s">
        <v>387</v>
      </c>
      <c r="L5414" t="s">
        <v>448</v>
      </c>
      <c r="N5414" t="s">
        <v>650</v>
      </c>
      <c r="Q5414">
        <v>27131</v>
      </c>
      <c r="R5414" t="s">
        <v>322</v>
      </c>
      <c r="S5414" t="s">
        <v>29364</v>
      </c>
      <c r="T5414">
        <v>26</v>
      </c>
      <c r="V5414" s="1">
        <v>45315</v>
      </c>
      <c r="W5414" t="s">
        <v>476</v>
      </c>
      <c r="X5414" t="s">
        <v>12499</v>
      </c>
      <c r="Y5414" t="s">
        <v>32720</v>
      </c>
      <c r="Z5414" s="2" t="s">
        <v>32721</v>
      </c>
      <c r="AA5414" t="s">
        <v>14151</v>
      </c>
      <c r="AB5414" t="s">
        <v>486</v>
      </c>
      <c r="AC5414" t="s">
        <v>32722</v>
      </c>
      <c r="AD5414" t="s">
        <v>32723</v>
      </c>
      <c r="AE5414">
        <v>11148</v>
      </c>
      <c r="AG5414" t="s">
        <v>32724</v>
      </c>
      <c r="AH5414" t="s">
        <v>32725</v>
      </c>
      <c r="AI5414" t="s">
        <v>32726</v>
      </c>
    </row>
    <row r="5415" spans="2:35" ht="270">
      <c r="B5415" s="1">
        <v>45322</v>
      </c>
      <c r="C5415" s="4">
        <v>45322.65</v>
      </c>
      <c r="D5415" t="s">
        <v>1203</v>
      </c>
      <c r="E5415" t="s">
        <v>32727</v>
      </c>
      <c r="F5415">
        <v>11</v>
      </c>
      <c r="G5415" t="s">
        <v>1205</v>
      </c>
      <c r="H5415" t="s">
        <v>1317</v>
      </c>
      <c r="I5415" t="s">
        <v>94</v>
      </c>
      <c r="J5415" t="s">
        <v>79</v>
      </c>
      <c r="K5415" t="s">
        <v>42</v>
      </c>
      <c r="L5415" t="s">
        <v>204</v>
      </c>
      <c r="N5415" t="s">
        <v>205</v>
      </c>
      <c r="Q5415">
        <v>27130</v>
      </c>
      <c r="R5415" t="s">
        <v>45</v>
      </c>
      <c r="S5415" t="s">
        <v>1206</v>
      </c>
      <c r="T5415">
        <v>24.6</v>
      </c>
      <c r="U5415" s="2" t="s">
        <v>32728</v>
      </c>
      <c r="W5415" t="s">
        <v>23237</v>
      </c>
      <c r="X5415">
        <v>808298</v>
      </c>
      <c r="Y5415" t="s">
        <v>2165</v>
      </c>
      <c r="Z5415" s="2" t="s">
        <v>32729</v>
      </c>
      <c r="AA5415" t="s">
        <v>12182</v>
      </c>
      <c r="AB5415" t="s">
        <v>32730</v>
      </c>
      <c r="AC5415" t="s">
        <v>32731</v>
      </c>
      <c r="AG5415" t="s">
        <v>32732</v>
      </c>
      <c r="AH5415" t="s">
        <v>32733</v>
      </c>
      <c r="AI5415" t="s">
        <v>32734</v>
      </c>
    </row>
    <row r="5416" spans="2:35" ht="210">
      <c r="B5416" s="1">
        <v>45322</v>
      </c>
      <c r="C5416" s="4">
        <v>45322.586111111108</v>
      </c>
      <c r="D5416" t="s">
        <v>1203</v>
      </c>
      <c r="E5416" t="s">
        <v>32735</v>
      </c>
      <c r="F5416">
        <v>11</v>
      </c>
      <c r="G5416" t="s">
        <v>1205</v>
      </c>
      <c r="H5416" t="s">
        <v>1317</v>
      </c>
      <c r="I5416" t="s">
        <v>40</v>
      </c>
      <c r="J5416" t="s">
        <v>525</v>
      </c>
      <c r="K5416" t="s">
        <v>42</v>
      </c>
      <c r="L5416" t="s">
        <v>204</v>
      </c>
      <c r="N5416" t="s">
        <v>205</v>
      </c>
      <c r="Q5416">
        <v>27129</v>
      </c>
      <c r="R5416" t="s">
        <v>322</v>
      </c>
      <c r="S5416" t="s">
        <v>1206</v>
      </c>
      <c r="T5416">
        <v>18.600000000000001</v>
      </c>
      <c r="U5416" s="2" t="s">
        <v>32736</v>
      </c>
      <c r="W5416" t="s">
        <v>23237</v>
      </c>
      <c r="X5416">
        <v>839152</v>
      </c>
      <c r="Y5416" t="s">
        <v>32737</v>
      </c>
      <c r="Z5416" t="s">
        <v>32738</v>
      </c>
      <c r="AA5416" t="s">
        <v>32739</v>
      </c>
      <c r="AB5416" t="s">
        <v>32740</v>
      </c>
      <c r="AG5416" t="s">
        <v>32741</v>
      </c>
      <c r="AH5416" t="s">
        <v>32733</v>
      </c>
      <c r="AI5416" t="s">
        <v>32742</v>
      </c>
    </row>
    <row r="5417" spans="2:35" ht="240">
      <c r="B5417" s="1">
        <v>45322</v>
      </c>
      <c r="C5417" s="4">
        <v>45316.629861111112</v>
      </c>
      <c r="D5417" t="s">
        <v>32743</v>
      </c>
      <c r="E5417" t="s">
        <v>8915</v>
      </c>
      <c r="F5417">
        <v>5</v>
      </c>
      <c r="G5417" t="s">
        <v>839</v>
      </c>
      <c r="H5417" t="s">
        <v>32744</v>
      </c>
      <c r="I5417" t="s">
        <v>94</v>
      </c>
      <c r="J5417" s="2" t="s">
        <v>190</v>
      </c>
      <c r="K5417" t="s">
        <v>42</v>
      </c>
      <c r="L5417" t="s">
        <v>761</v>
      </c>
      <c r="N5417" t="s">
        <v>762</v>
      </c>
      <c r="Q5417">
        <v>27128</v>
      </c>
      <c r="R5417" t="s">
        <v>119</v>
      </c>
      <c r="S5417" t="s">
        <v>8916</v>
      </c>
      <c r="T5417">
        <v>27</v>
      </c>
      <c r="U5417" s="2" t="s">
        <v>32745</v>
      </c>
      <c r="W5417" t="s">
        <v>3662</v>
      </c>
      <c r="X5417">
        <v>838558</v>
      </c>
      <c r="Y5417" t="s">
        <v>32746</v>
      </c>
      <c r="Z5417" s="2" t="s">
        <v>32747</v>
      </c>
      <c r="AA5417" s="2" t="s">
        <v>32748</v>
      </c>
      <c r="AB5417" s="2" t="s">
        <v>32749</v>
      </c>
      <c r="AC5417" t="s">
        <v>32750</v>
      </c>
      <c r="AG5417" t="s">
        <v>32751</v>
      </c>
      <c r="AH5417" t="s">
        <v>17130</v>
      </c>
      <c r="AI5417" t="s">
        <v>32752</v>
      </c>
    </row>
    <row r="5418" spans="2:35" ht="210">
      <c r="B5418" s="1">
        <v>45322</v>
      </c>
      <c r="C5418" s="4">
        <v>45316.705555555556</v>
      </c>
      <c r="D5418" t="s">
        <v>2106</v>
      </c>
      <c r="E5418" t="s">
        <v>8908</v>
      </c>
      <c r="F5418">
        <v>5</v>
      </c>
      <c r="G5418" t="s">
        <v>839</v>
      </c>
      <c r="H5418" t="s">
        <v>39</v>
      </c>
      <c r="I5418" t="s">
        <v>94</v>
      </c>
      <c r="J5418" s="2" t="s">
        <v>190</v>
      </c>
      <c r="K5418" t="s">
        <v>42</v>
      </c>
      <c r="L5418" t="s">
        <v>761</v>
      </c>
      <c r="N5418" t="s">
        <v>762</v>
      </c>
      <c r="Q5418">
        <v>27127</v>
      </c>
      <c r="R5418" t="s">
        <v>119</v>
      </c>
      <c r="S5418" t="s">
        <v>8909</v>
      </c>
      <c r="T5418">
        <v>28</v>
      </c>
      <c r="U5418" s="2" t="s">
        <v>32753</v>
      </c>
      <c r="W5418" t="s">
        <v>3662</v>
      </c>
      <c r="X5418">
        <v>838389</v>
      </c>
      <c r="Y5418" t="s">
        <v>32754</v>
      </c>
      <c r="Z5418" s="2" t="s">
        <v>32755</v>
      </c>
      <c r="AA5418" t="s">
        <v>32756</v>
      </c>
      <c r="AB5418" s="2" t="s">
        <v>32757</v>
      </c>
      <c r="AG5418" t="s">
        <v>32758</v>
      </c>
      <c r="AH5418" t="s">
        <v>10753</v>
      </c>
      <c r="AI5418" t="s">
        <v>32759</v>
      </c>
    </row>
    <row r="5419" spans="2:35" ht="409.5">
      <c r="B5419" s="1">
        <v>45322</v>
      </c>
      <c r="C5419" s="4">
        <v>45322.479166666664</v>
      </c>
      <c r="D5419" t="s">
        <v>23134</v>
      </c>
      <c r="E5419" t="s">
        <v>32760</v>
      </c>
      <c r="F5419" t="s">
        <v>148</v>
      </c>
      <c r="G5419" t="s">
        <v>310</v>
      </c>
      <c r="H5419" t="s">
        <v>61</v>
      </c>
      <c r="I5419" t="s">
        <v>40</v>
      </c>
      <c r="J5419" s="2" t="s">
        <v>62</v>
      </c>
      <c r="K5419" t="s">
        <v>42</v>
      </c>
      <c r="L5419" t="s">
        <v>1943</v>
      </c>
      <c r="N5419" t="s">
        <v>1944</v>
      </c>
      <c r="Q5419">
        <v>27126</v>
      </c>
      <c r="R5419" t="s">
        <v>45</v>
      </c>
      <c r="S5419" t="s">
        <v>23136</v>
      </c>
      <c r="T5419">
        <v>25</v>
      </c>
      <c r="U5419" s="2" t="s">
        <v>32761</v>
      </c>
      <c r="W5419" t="s">
        <v>895</v>
      </c>
      <c r="X5419">
        <v>844121</v>
      </c>
      <c r="Y5419" s="2" t="s">
        <v>23659</v>
      </c>
      <c r="Z5419" s="2" t="s">
        <v>29426</v>
      </c>
      <c r="AA5419" t="s">
        <v>23660</v>
      </c>
      <c r="AB5419" t="s">
        <v>32762</v>
      </c>
      <c r="AG5419" t="s">
        <v>32763</v>
      </c>
      <c r="AH5419" t="s">
        <v>23141</v>
      </c>
      <c r="AI5419" t="s">
        <v>32764</v>
      </c>
    </row>
    <row r="5420" spans="2:35" ht="409.5">
      <c r="B5420" s="1">
        <v>45322</v>
      </c>
      <c r="C5420" s="4">
        <v>45322.477083333331</v>
      </c>
      <c r="D5420" t="s">
        <v>23134</v>
      </c>
      <c r="E5420" t="s">
        <v>32760</v>
      </c>
      <c r="F5420" t="s">
        <v>148</v>
      </c>
      <c r="G5420" t="s">
        <v>310</v>
      </c>
      <c r="H5420" t="s">
        <v>61</v>
      </c>
      <c r="I5420" t="s">
        <v>40</v>
      </c>
      <c r="J5420" s="2" t="s">
        <v>62</v>
      </c>
      <c r="K5420" t="s">
        <v>42</v>
      </c>
      <c r="L5420" t="s">
        <v>1943</v>
      </c>
      <c r="N5420" t="s">
        <v>1944</v>
      </c>
      <c r="Q5420">
        <v>27125</v>
      </c>
      <c r="R5420" t="s">
        <v>45</v>
      </c>
      <c r="S5420" t="s">
        <v>23136</v>
      </c>
      <c r="T5420">
        <v>25</v>
      </c>
      <c r="U5420" s="2" t="s">
        <v>32765</v>
      </c>
      <c r="W5420" t="s">
        <v>84</v>
      </c>
      <c r="X5420">
        <v>834430</v>
      </c>
      <c r="Y5420" s="2" t="s">
        <v>23659</v>
      </c>
      <c r="Z5420" s="2" t="s">
        <v>29426</v>
      </c>
      <c r="AA5420" t="s">
        <v>23660</v>
      </c>
      <c r="AB5420" t="s">
        <v>32766</v>
      </c>
      <c r="AG5420" t="s">
        <v>32767</v>
      </c>
      <c r="AH5420" t="s">
        <v>23141</v>
      </c>
      <c r="AI5420" t="s">
        <v>32768</v>
      </c>
    </row>
    <row r="5421" spans="2:35" ht="105">
      <c r="B5421" s="1">
        <v>45322</v>
      </c>
      <c r="C5421" s="4">
        <v>45322.45</v>
      </c>
      <c r="D5421" t="s">
        <v>9762</v>
      </c>
      <c r="E5421" t="s">
        <v>9763</v>
      </c>
      <c r="F5421">
        <v>8</v>
      </c>
      <c r="G5421" t="s">
        <v>2945</v>
      </c>
      <c r="H5421" t="s">
        <v>39</v>
      </c>
      <c r="I5421" t="s">
        <v>40</v>
      </c>
      <c r="J5421" t="s">
        <v>109</v>
      </c>
      <c r="K5421" t="s">
        <v>42</v>
      </c>
      <c r="L5421" t="s">
        <v>259</v>
      </c>
      <c r="N5421" t="s">
        <v>260</v>
      </c>
      <c r="Q5421">
        <v>27124</v>
      </c>
      <c r="R5421" t="s">
        <v>119</v>
      </c>
      <c r="S5421" t="s">
        <v>22401</v>
      </c>
      <c r="T5421">
        <v>27</v>
      </c>
      <c r="U5421" s="2" t="s">
        <v>32769</v>
      </c>
      <c r="V5421" s="1">
        <v>45322</v>
      </c>
      <c r="W5421" t="s">
        <v>84</v>
      </c>
      <c r="X5421">
        <v>838548</v>
      </c>
      <c r="Y5421" t="s">
        <v>1716</v>
      </c>
      <c r="Z5421" t="s">
        <v>1716</v>
      </c>
      <c r="AA5421" t="s">
        <v>32770</v>
      </c>
      <c r="AB5421" t="s">
        <v>7675</v>
      </c>
      <c r="AG5421" t="s">
        <v>32771</v>
      </c>
      <c r="AH5421" t="s">
        <v>12062</v>
      </c>
      <c r="AI5421" t="s">
        <v>32772</v>
      </c>
    </row>
    <row r="5422" spans="2:35" ht="105">
      <c r="B5422" s="1">
        <v>45322</v>
      </c>
      <c r="C5422" s="4">
        <v>45322.340277777781</v>
      </c>
      <c r="D5422" t="s">
        <v>340</v>
      </c>
      <c r="E5422" t="s">
        <v>341</v>
      </c>
      <c r="F5422">
        <v>8</v>
      </c>
      <c r="G5422" t="s">
        <v>342</v>
      </c>
      <c r="H5422" t="s">
        <v>1498</v>
      </c>
      <c r="I5422" t="s">
        <v>40</v>
      </c>
      <c r="J5422" t="s">
        <v>79</v>
      </c>
      <c r="K5422" t="s">
        <v>42</v>
      </c>
      <c r="L5422" t="s">
        <v>343</v>
      </c>
      <c r="N5422" t="s">
        <v>344</v>
      </c>
      <c r="Q5422">
        <v>27123</v>
      </c>
      <c r="R5422" t="s">
        <v>119</v>
      </c>
      <c r="S5422" t="s">
        <v>345</v>
      </c>
      <c r="T5422">
        <v>21</v>
      </c>
      <c r="U5422" s="2" t="s">
        <v>32773</v>
      </c>
      <c r="V5422" s="1">
        <v>45307</v>
      </c>
      <c r="W5422" t="s">
        <v>84</v>
      </c>
      <c r="X5422">
        <v>838555</v>
      </c>
      <c r="Y5422" t="s">
        <v>32774</v>
      </c>
      <c r="Z5422" t="s">
        <v>32775</v>
      </c>
      <c r="AA5422" t="e">
        <f ca="1">-module Replacement</f>
        <v>#NAME?</v>
      </c>
      <c r="AB5422" t="s">
        <v>9638</v>
      </c>
      <c r="AD5422" t="s">
        <v>10783</v>
      </c>
      <c r="AE5422" t="s">
        <v>32776</v>
      </c>
      <c r="AG5422" t="s">
        <v>32777</v>
      </c>
      <c r="AH5422" t="s">
        <v>20975</v>
      </c>
      <c r="AI5422" t="s">
        <v>32778</v>
      </c>
    </row>
    <row r="5423" spans="2:35" ht="105">
      <c r="B5423" s="1">
        <v>45322</v>
      </c>
      <c r="C5423" s="4">
        <v>45322.438194444447</v>
      </c>
      <c r="D5423" t="s">
        <v>3970</v>
      </c>
      <c r="E5423" t="s">
        <v>11158</v>
      </c>
      <c r="F5423">
        <v>9</v>
      </c>
      <c r="G5423" t="s">
        <v>2197</v>
      </c>
      <c r="H5423" t="s">
        <v>39</v>
      </c>
      <c r="I5423" t="s">
        <v>94</v>
      </c>
      <c r="J5423" s="2" t="s">
        <v>17375</v>
      </c>
      <c r="K5423" t="s">
        <v>42</v>
      </c>
      <c r="L5423" t="s">
        <v>1257</v>
      </c>
      <c r="N5423" t="s">
        <v>2199</v>
      </c>
      <c r="O5423" t="s">
        <v>1258</v>
      </c>
      <c r="Q5423">
        <v>27122</v>
      </c>
      <c r="R5423" t="s">
        <v>119</v>
      </c>
      <c r="S5423" t="s">
        <v>3972</v>
      </c>
      <c r="T5423">
        <v>16</v>
      </c>
      <c r="U5423" s="2" t="s">
        <v>32779</v>
      </c>
      <c r="V5423" s="1">
        <v>45646</v>
      </c>
      <c r="W5423" t="s">
        <v>2384</v>
      </c>
      <c r="X5423">
        <v>838233</v>
      </c>
      <c r="Y5423" t="s">
        <v>28696</v>
      </c>
      <c r="Z5423" t="s">
        <v>32780</v>
      </c>
      <c r="AA5423" t="s">
        <v>22443</v>
      </c>
      <c r="AB5423" t="s">
        <v>7411</v>
      </c>
      <c r="AC5423" t="s">
        <v>301</v>
      </c>
      <c r="AD5423" t="s">
        <v>10783</v>
      </c>
      <c r="AE5423">
        <v>10991</v>
      </c>
      <c r="AG5423" t="s">
        <v>32781</v>
      </c>
      <c r="AH5423" t="s">
        <v>32782</v>
      </c>
      <c r="AI5423" t="s">
        <v>32783</v>
      </c>
    </row>
    <row r="5424" spans="2:35" ht="409.5">
      <c r="B5424" s="1">
        <v>45322</v>
      </c>
      <c r="C5424" s="4">
        <v>45322.390277777777</v>
      </c>
      <c r="D5424" t="s">
        <v>23619</v>
      </c>
      <c r="E5424" t="s">
        <v>32784</v>
      </c>
      <c r="F5424" t="s">
        <v>148</v>
      </c>
      <c r="G5424" t="s">
        <v>23621</v>
      </c>
      <c r="H5424" t="s">
        <v>39</v>
      </c>
      <c r="I5424" t="s">
        <v>40</v>
      </c>
      <c r="J5424" t="s">
        <v>109</v>
      </c>
      <c r="K5424" t="s">
        <v>42</v>
      </c>
      <c r="L5424" t="s">
        <v>1943</v>
      </c>
      <c r="N5424" t="s">
        <v>1944</v>
      </c>
      <c r="Q5424">
        <v>27121</v>
      </c>
      <c r="R5424" t="s">
        <v>119</v>
      </c>
      <c r="S5424" t="s">
        <v>23622</v>
      </c>
      <c r="T5424">
        <v>25</v>
      </c>
      <c r="U5424" s="2" t="s">
        <v>32785</v>
      </c>
      <c r="W5424" t="s">
        <v>84</v>
      </c>
      <c r="X5424">
        <v>831626</v>
      </c>
      <c r="Y5424" t="s">
        <v>28970</v>
      </c>
      <c r="Z5424" s="2" t="s">
        <v>28971</v>
      </c>
      <c r="AA5424" t="s">
        <v>17928</v>
      </c>
      <c r="AB5424" t="s">
        <v>88</v>
      </c>
      <c r="AG5424" t="s">
        <v>32786</v>
      </c>
      <c r="AH5424" t="s">
        <v>23626</v>
      </c>
      <c r="AI5424" t="s">
        <v>32787</v>
      </c>
    </row>
    <row r="5425" spans="2:35" ht="409.5">
      <c r="B5425" s="1">
        <v>45322</v>
      </c>
      <c r="C5425" s="4">
        <v>45322.384027777778</v>
      </c>
      <c r="D5425" t="s">
        <v>23619</v>
      </c>
      <c r="E5425" t="s">
        <v>32784</v>
      </c>
      <c r="F5425" t="s">
        <v>148</v>
      </c>
      <c r="G5425" t="s">
        <v>23621</v>
      </c>
      <c r="H5425" t="s">
        <v>39</v>
      </c>
      <c r="I5425" t="s">
        <v>40</v>
      </c>
      <c r="J5425" s="2" t="s">
        <v>62</v>
      </c>
      <c r="K5425" t="s">
        <v>42</v>
      </c>
      <c r="L5425" t="s">
        <v>1943</v>
      </c>
      <c r="N5425" t="s">
        <v>1944</v>
      </c>
      <c r="Q5425">
        <v>27120</v>
      </c>
      <c r="R5425" t="s">
        <v>45</v>
      </c>
      <c r="S5425" t="s">
        <v>23622</v>
      </c>
      <c r="T5425">
        <v>25</v>
      </c>
      <c r="U5425" s="2" t="s">
        <v>32788</v>
      </c>
      <c r="W5425" t="s">
        <v>84</v>
      </c>
      <c r="X5425">
        <v>807592</v>
      </c>
      <c r="Y5425" s="2" t="s">
        <v>23659</v>
      </c>
      <c r="Z5425" s="2" t="s">
        <v>29426</v>
      </c>
      <c r="AA5425" t="s">
        <v>23660</v>
      </c>
      <c r="AB5425" t="s">
        <v>32789</v>
      </c>
      <c r="AG5425" t="s">
        <v>32790</v>
      </c>
      <c r="AH5425" t="s">
        <v>23626</v>
      </c>
      <c r="AI5425" t="s">
        <v>32791</v>
      </c>
    </row>
    <row r="5426" spans="2:35" ht="240">
      <c r="B5426" s="1">
        <v>45321</v>
      </c>
      <c r="C5426" s="4">
        <v>45321.686805555553</v>
      </c>
      <c r="D5426" t="s">
        <v>1145</v>
      </c>
      <c r="E5426" t="s">
        <v>473</v>
      </c>
      <c r="F5426" t="s">
        <v>148</v>
      </c>
      <c r="G5426" t="s">
        <v>447</v>
      </c>
      <c r="H5426" t="s">
        <v>2581</v>
      </c>
      <c r="I5426" t="s">
        <v>40</v>
      </c>
      <c r="J5426" s="2" t="s">
        <v>62</v>
      </c>
      <c r="K5426" t="s">
        <v>42</v>
      </c>
      <c r="L5426" t="s">
        <v>448</v>
      </c>
      <c r="N5426" t="s">
        <v>650</v>
      </c>
      <c r="Q5426">
        <v>27119</v>
      </c>
      <c r="R5426" t="s">
        <v>45</v>
      </c>
      <c r="S5426" t="s">
        <v>31581</v>
      </c>
      <c r="T5426">
        <v>25</v>
      </c>
      <c r="U5426" s="2" t="s">
        <v>27732</v>
      </c>
      <c r="V5426" s="1">
        <v>45321</v>
      </c>
      <c r="W5426" t="s">
        <v>31582</v>
      </c>
      <c r="X5426">
        <v>704584</v>
      </c>
      <c r="Y5426" t="s">
        <v>873</v>
      </c>
      <c r="Z5426" s="2" t="s">
        <v>3071</v>
      </c>
      <c r="AA5426" t="s">
        <v>24030</v>
      </c>
      <c r="AB5426" t="s">
        <v>32792</v>
      </c>
      <c r="AD5426" t="s">
        <v>11518</v>
      </c>
      <c r="AE5426" t="s">
        <v>449</v>
      </c>
      <c r="AG5426" t="s">
        <v>32793</v>
      </c>
      <c r="AH5426" t="s">
        <v>32794</v>
      </c>
      <c r="AI5426" t="s">
        <v>32795</v>
      </c>
    </row>
    <row r="5427" spans="2:35" ht="240">
      <c r="B5427" s="1">
        <v>45321</v>
      </c>
      <c r="C5427" s="4">
        <v>45321.690972222219</v>
      </c>
      <c r="D5427" t="s">
        <v>1145</v>
      </c>
      <c r="E5427" t="s">
        <v>473</v>
      </c>
      <c r="F5427" t="s">
        <v>148</v>
      </c>
      <c r="G5427" t="s">
        <v>447</v>
      </c>
      <c r="H5427" t="s">
        <v>2581</v>
      </c>
      <c r="I5427" t="s">
        <v>40</v>
      </c>
      <c r="J5427" s="2" t="s">
        <v>62</v>
      </c>
      <c r="K5427" t="s">
        <v>42</v>
      </c>
      <c r="L5427" t="s">
        <v>448</v>
      </c>
      <c r="N5427" t="s">
        <v>650</v>
      </c>
      <c r="Q5427">
        <v>27118</v>
      </c>
      <c r="R5427" t="s">
        <v>45</v>
      </c>
      <c r="S5427" t="s">
        <v>31581</v>
      </c>
      <c r="T5427">
        <v>26</v>
      </c>
      <c r="U5427" s="2" t="s">
        <v>17327</v>
      </c>
      <c r="V5427" s="1">
        <v>45321</v>
      </c>
      <c r="W5427" t="s">
        <v>31582</v>
      </c>
      <c r="X5427">
        <v>707450</v>
      </c>
      <c r="Y5427" t="s">
        <v>32796</v>
      </c>
      <c r="Z5427" s="2" t="s">
        <v>3071</v>
      </c>
      <c r="AA5427" t="s">
        <v>24030</v>
      </c>
      <c r="AB5427" t="s">
        <v>32797</v>
      </c>
      <c r="AD5427" t="s">
        <v>11518</v>
      </c>
      <c r="AE5427" t="s">
        <v>449</v>
      </c>
      <c r="AG5427" t="s">
        <v>32798</v>
      </c>
      <c r="AH5427" t="s">
        <v>32794</v>
      </c>
      <c r="AI5427" t="s">
        <v>32799</v>
      </c>
    </row>
    <row r="5428" spans="2:35" ht="135">
      <c r="B5428" s="1">
        <v>45321</v>
      </c>
      <c r="C5428" s="4">
        <v>45321.575694444444</v>
      </c>
      <c r="D5428" t="s">
        <v>29524</v>
      </c>
      <c r="E5428" t="s">
        <v>8465</v>
      </c>
      <c r="F5428">
        <v>7</v>
      </c>
      <c r="G5428" t="s">
        <v>432</v>
      </c>
      <c r="H5428" t="s">
        <v>39</v>
      </c>
      <c r="I5428" t="s">
        <v>40</v>
      </c>
      <c r="J5428" s="2" t="s">
        <v>4571</v>
      </c>
      <c r="K5428" t="s">
        <v>42</v>
      </c>
      <c r="L5428" t="s">
        <v>433</v>
      </c>
      <c r="N5428" t="s">
        <v>434</v>
      </c>
      <c r="Q5428">
        <v>27117</v>
      </c>
      <c r="R5428" t="s">
        <v>119</v>
      </c>
      <c r="S5428" t="s">
        <v>13201</v>
      </c>
      <c r="T5428">
        <v>30</v>
      </c>
      <c r="W5428" t="s">
        <v>502</v>
      </c>
      <c r="X5428">
        <v>838509</v>
      </c>
      <c r="Y5428" t="s">
        <v>7765</v>
      </c>
      <c r="Z5428" t="s">
        <v>29525</v>
      </c>
      <c r="AA5428" t="s">
        <v>29526</v>
      </c>
      <c r="AB5428" t="s">
        <v>29527</v>
      </c>
      <c r="AG5428" t="s">
        <v>29528</v>
      </c>
      <c r="AH5428" t="s">
        <v>8469</v>
      </c>
      <c r="AI5428" t="s">
        <v>29529</v>
      </c>
    </row>
    <row r="5429" spans="2:35" ht="135">
      <c r="B5429" s="1">
        <v>45321</v>
      </c>
      <c r="C5429" s="4">
        <v>45321.563888888886</v>
      </c>
      <c r="D5429" t="s">
        <v>1941</v>
      </c>
      <c r="E5429" t="s">
        <v>23642</v>
      </c>
      <c r="F5429" t="s">
        <v>148</v>
      </c>
      <c r="G5429" t="s">
        <v>310</v>
      </c>
      <c r="H5429" t="s">
        <v>39</v>
      </c>
      <c r="I5429" t="s">
        <v>40</v>
      </c>
      <c r="J5429" s="2" t="s">
        <v>62</v>
      </c>
      <c r="K5429" t="s">
        <v>42</v>
      </c>
      <c r="L5429" t="s">
        <v>1943</v>
      </c>
      <c r="N5429" t="s">
        <v>1944</v>
      </c>
      <c r="Q5429">
        <v>27116</v>
      </c>
      <c r="R5429" t="s">
        <v>45</v>
      </c>
      <c r="S5429" t="s">
        <v>23643</v>
      </c>
      <c r="T5429">
        <v>25</v>
      </c>
      <c r="U5429" s="2" t="s">
        <v>32800</v>
      </c>
      <c r="W5429" t="s">
        <v>84</v>
      </c>
      <c r="X5429">
        <v>805060</v>
      </c>
      <c r="Y5429" s="2" t="s">
        <v>23659</v>
      </c>
      <c r="Z5429" s="2" t="s">
        <v>32801</v>
      </c>
      <c r="AA5429" t="s">
        <v>23660</v>
      </c>
      <c r="AB5429" t="s">
        <v>88</v>
      </c>
      <c r="AG5429" t="s">
        <v>32802</v>
      </c>
      <c r="AH5429" t="s">
        <v>1951</v>
      </c>
      <c r="AI5429" t="s">
        <v>32803</v>
      </c>
    </row>
    <row r="5430" spans="2:35" ht="150">
      <c r="B5430" s="1">
        <v>45321</v>
      </c>
      <c r="C5430" s="4">
        <v>45321.502083333333</v>
      </c>
      <c r="D5430" t="s">
        <v>14010</v>
      </c>
      <c r="E5430" t="s">
        <v>32804</v>
      </c>
      <c r="F5430" t="s">
        <v>148</v>
      </c>
      <c r="G5430" t="s">
        <v>774</v>
      </c>
      <c r="H5430" t="s">
        <v>32805</v>
      </c>
      <c r="I5430" t="s">
        <v>94</v>
      </c>
      <c r="J5430" s="2" t="s">
        <v>32806</v>
      </c>
      <c r="K5430" t="s">
        <v>42</v>
      </c>
      <c r="L5430" t="s">
        <v>32807</v>
      </c>
      <c r="N5430" t="s">
        <v>32808</v>
      </c>
      <c r="O5430" t="s">
        <v>32809</v>
      </c>
      <c r="Q5430">
        <v>27115</v>
      </c>
      <c r="R5430" t="s">
        <v>45</v>
      </c>
      <c r="S5430" t="s">
        <v>32810</v>
      </c>
      <c r="T5430">
        <v>24</v>
      </c>
      <c r="U5430" s="2" t="s">
        <v>32811</v>
      </c>
      <c r="V5430" s="1">
        <v>45321</v>
      </c>
      <c r="W5430" t="s">
        <v>20306</v>
      </c>
      <c r="X5430">
        <v>707527</v>
      </c>
      <c r="Y5430" t="s">
        <v>13110</v>
      </c>
      <c r="Z5430" t="s">
        <v>301</v>
      </c>
      <c r="AA5430" t="s">
        <v>32812</v>
      </c>
      <c r="AB5430" t="s">
        <v>32813</v>
      </c>
      <c r="AD5430" t="s">
        <v>301</v>
      </c>
      <c r="AE5430" t="s">
        <v>301</v>
      </c>
      <c r="AG5430" t="s">
        <v>32814</v>
      </c>
      <c r="AH5430" t="s">
        <v>32815</v>
      </c>
      <c r="AI5430" t="s">
        <v>32816</v>
      </c>
    </row>
    <row r="5431" spans="2:35" ht="105">
      <c r="B5431" s="1">
        <v>45321</v>
      </c>
      <c r="C5431" s="4">
        <v>45321.438194444447</v>
      </c>
      <c r="D5431" t="s">
        <v>7662</v>
      </c>
      <c r="E5431" t="s">
        <v>14902</v>
      </c>
      <c r="F5431">
        <v>9</v>
      </c>
      <c r="G5431" t="s">
        <v>2903</v>
      </c>
      <c r="H5431" t="s">
        <v>39</v>
      </c>
      <c r="I5431" t="s">
        <v>94</v>
      </c>
      <c r="J5431" s="2" t="s">
        <v>17375</v>
      </c>
      <c r="K5431" t="s">
        <v>42</v>
      </c>
      <c r="L5431" t="s">
        <v>1257</v>
      </c>
      <c r="N5431" t="s">
        <v>2199</v>
      </c>
      <c r="Q5431">
        <v>27114</v>
      </c>
      <c r="R5431" t="s">
        <v>119</v>
      </c>
      <c r="S5431" t="s">
        <v>17994</v>
      </c>
      <c r="T5431">
        <v>27</v>
      </c>
      <c r="U5431" s="2" t="s">
        <v>32817</v>
      </c>
      <c r="V5431" s="1">
        <v>45280</v>
      </c>
      <c r="W5431" t="s">
        <v>2384</v>
      </c>
      <c r="X5431">
        <v>838536</v>
      </c>
      <c r="Y5431" t="s">
        <v>32818</v>
      </c>
      <c r="Z5431" t="s">
        <v>32819</v>
      </c>
      <c r="AA5431" t="s">
        <v>22443</v>
      </c>
      <c r="AB5431" t="s">
        <v>7411</v>
      </c>
      <c r="AC5431" t="s">
        <v>301</v>
      </c>
      <c r="AD5431" t="s">
        <v>10783</v>
      </c>
      <c r="AE5431">
        <v>10990</v>
      </c>
      <c r="AG5431" t="s">
        <v>32820</v>
      </c>
      <c r="AH5431" t="s">
        <v>32821</v>
      </c>
      <c r="AI5431" t="s">
        <v>32822</v>
      </c>
    </row>
    <row r="5432" spans="2:35" ht="409.5">
      <c r="B5432" s="1">
        <v>45320</v>
      </c>
      <c r="C5432" s="4">
        <v>45314.539583333331</v>
      </c>
      <c r="D5432" t="s">
        <v>5783</v>
      </c>
      <c r="E5432" t="s">
        <v>32823</v>
      </c>
      <c r="F5432">
        <v>12</v>
      </c>
      <c r="G5432" t="s">
        <v>5785</v>
      </c>
      <c r="H5432" t="s">
        <v>1473</v>
      </c>
      <c r="I5432" t="s">
        <v>40</v>
      </c>
      <c r="J5432" s="2" t="s">
        <v>30202</v>
      </c>
      <c r="K5432" t="s">
        <v>42</v>
      </c>
      <c r="L5432" t="s">
        <v>296</v>
      </c>
      <c r="N5432" t="s">
        <v>297</v>
      </c>
      <c r="Q5432">
        <v>27113</v>
      </c>
      <c r="R5432" t="s">
        <v>119</v>
      </c>
      <c r="S5432" t="s">
        <v>32824</v>
      </c>
      <c r="T5432">
        <v>25.1</v>
      </c>
      <c r="U5432" s="2" t="s">
        <v>14643</v>
      </c>
      <c r="V5432" s="1">
        <v>45314</v>
      </c>
      <c r="W5432" t="s">
        <v>23049</v>
      </c>
      <c r="X5432">
        <v>838546</v>
      </c>
      <c r="Y5432" t="s">
        <v>15200</v>
      </c>
      <c r="Z5432" s="2" t="s">
        <v>32825</v>
      </c>
      <c r="AA5432" s="2" t="s">
        <v>22231</v>
      </c>
      <c r="AB5432" t="s">
        <v>972</v>
      </c>
      <c r="AD5432" t="s">
        <v>32826</v>
      </c>
      <c r="AE5432" t="s">
        <v>32827</v>
      </c>
      <c r="AG5432" t="s">
        <v>32828</v>
      </c>
      <c r="AH5432" t="s">
        <v>5791</v>
      </c>
      <c r="AI5432" t="s">
        <v>32829</v>
      </c>
    </row>
    <row r="5433" spans="2:35" ht="409.5">
      <c r="B5433" s="1">
        <v>45320</v>
      </c>
      <c r="C5433" s="4">
        <v>45315.46875</v>
      </c>
      <c r="D5433" t="s">
        <v>7200</v>
      </c>
      <c r="E5433" t="s">
        <v>9165</v>
      </c>
      <c r="F5433">
        <v>12</v>
      </c>
      <c r="G5433" t="s">
        <v>978</v>
      </c>
      <c r="H5433" t="s">
        <v>1473</v>
      </c>
      <c r="I5433" t="s">
        <v>40</v>
      </c>
      <c r="J5433" s="2" t="s">
        <v>30202</v>
      </c>
      <c r="K5433" t="s">
        <v>42</v>
      </c>
      <c r="L5433" t="s">
        <v>296</v>
      </c>
      <c r="N5433" t="s">
        <v>297</v>
      </c>
      <c r="Q5433">
        <v>27113</v>
      </c>
      <c r="R5433" t="s">
        <v>119</v>
      </c>
      <c r="S5433" t="s">
        <v>7202</v>
      </c>
      <c r="T5433">
        <v>24.8</v>
      </c>
      <c r="U5433" s="2" t="s">
        <v>23948</v>
      </c>
      <c r="V5433" s="1">
        <v>45315</v>
      </c>
      <c r="W5433" t="s">
        <v>23049</v>
      </c>
      <c r="X5433">
        <v>838504</v>
      </c>
      <c r="Y5433" t="s">
        <v>32830</v>
      </c>
      <c r="Z5433" s="2" t="s">
        <v>32831</v>
      </c>
      <c r="AA5433" s="2" t="s">
        <v>22231</v>
      </c>
      <c r="AB5433" t="s">
        <v>972</v>
      </c>
      <c r="AD5433" t="s">
        <v>32832</v>
      </c>
      <c r="AE5433" t="s">
        <v>32833</v>
      </c>
      <c r="AG5433" t="s">
        <v>32834</v>
      </c>
      <c r="AH5433" t="s">
        <v>32835</v>
      </c>
      <c r="AI5433" t="s">
        <v>32836</v>
      </c>
    </row>
    <row r="5434" spans="2:35" ht="409.5">
      <c r="B5434" s="1">
        <v>45320</v>
      </c>
      <c r="C5434" s="4">
        <v>45316.432638888888</v>
      </c>
      <c r="D5434" t="s">
        <v>837</v>
      </c>
      <c r="E5434" t="s">
        <v>27098</v>
      </c>
      <c r="F5434">
        <v>5</v>
      </c>
      <c r="G5434" t="s">
        <v>839</v>
      </c>
      <c r="H5434" t="s">
        <v>39</v>
      </c>
      <c r="I5434" t="s">
        <v>40</v>
      </c>
      <c r="J5434" s="2" t="s">
        <v>41</v>
      </c>
      <c r="K5434" t="s">
        <v>42</v>
      </c>
      <c r="L5434" t="s">
        <v>761</v>
      </c>
      <c r="N5434" t="s">
        <v>762</v>
      </c>
      <c r="Q5434">
        <v>27112</v>
      </c>
      <c r="R5434" t="s">
        <v>45</v>
      </c>
      <c r="S5434" t="s">
        <v>21302</v>
      </c>
      <c r="T5434">
        <v>25</v>
      </c>
      <c r="U5434" s="2" t="s">
        <v>32837</v>
      </c>
      <c r="W5434" t="s">
        <v>3158</v>
      </c>
      <c r="X5434">
        <v>842225</v>
      </c>
      <c r="Y5434" s="2" t="s">
        <v>32838</v>
      </c>
      <c r="Z5434" s="2" t="s">
        <v>32839</v>
      </c>
      <c r="AA5434" s="2" t="s">
        <v>32840</v>
      </c>
      <c r="AB5434" t="s">
        <v>181</v>
      </c>
      <c r="AG5434" t="s">
        <v>32841</v>
      </c>
      <c r="AH5434" t="s">
        <v>32842</v>
      </c>
      <c r="AI5434" t="s">
        <v>32843</v>
      </c>
    </row>
    <row r="5435" spans="2:35" ht="90">
      <c r="B5435" s="1">
        <v>45320</v>
      </c>
      <c r="C5435" s="4">
        <v>45316.554166666669</v>
      </c>
      <c r="D5435" t="s">
        <v>32844</v>
      </c>
      <c r="E5435" t="s">
        <v>32845</v>
      </c>
      <c r="F5435">
        <v>6</v>
      </c>
      <c r="G5435" t="s">
        <v>9400</v>
      </c>
      <c r="H5435" t="s">
        <v>39</v>
      </c>
      <c r="I5435" t="s">
        <v>40</v>
      </c>
      <c r="J5435" s="2" t="s">
        <v>1592</v>
      </c>
      <c r="K5435" t="s">
        <v>42</v>
      </c>
      <c r="L5435" t="s">
        <v>433</v>
      </c>
      <c r="N5435" t="s">
        <v>434</v>
      </c>
      <c r="Q5435">
        <v>27111</v>
      </c>
      <c r="R5435" t="s">
        <v>45</v>
      </c>
      <c r="S5435" t="s">
        <v>32846</v>
      </c>
      <c r="T5435">
        <v>30</v>
      </c>
      <c r="W5435" t="s">
        <v>1008</v>
      </c>
      <c r="X5435">
        <v>815427</v>
      </c>
      <c r="Y5435" t="s">
        <v>32847</v>
      </c>
      <c r="Z5435" t="s">
        <v>32848</v>
      </c>
      <c r="AA5435" t="s">
        <v>32848</v>
      </c>
      <c r="AB5435" t="s">
        <v>1011</v>
      </c>
      <c r="AG5435" t="s">
        <v>32849</v>
      </c>
      <c r="AH5435" t="s">
        <v>32850</v>
      </c>
      <c r="AI5435" t="s">
        <v>32851</v>
      </c>
    </row>
    <row r="5436" spans="2:35" ht="150">
      <c r="B5436" s="1">
        <v>45320</v>
      </c>
      <c r="C5436" s="4">
        <v>45316.576388888891</v>
      </c>
      <c r="D5436" t="s">
        <v>1222</v>
      </c>
      <c r="E5436" t="s">
        <v>27730</v>
      </c>
      <c r="F5436" t="s">
        <v>37</v>
      </c>
      <c r="G5436" t="s">
        <v>38</v>
      </c>
      <c r="H5436" t="s">
        <v>39</v>
      </c>
      <c r="I5436" t="s">
        <v>40</v>
      </c>
      <c r="J5436" s="2" t="s">
        <v>30202</v>
      </c>
      <c r="K5436" t="s">
        <v>42</v>
      </c>
      <c r="L5436" t="s">
        <v>43</v>
      </c>
      <c r="N5436" t="s">
        <v>44</v>
      </c>
      <c r="Q5436">
        <v>27110</v>
      </c>
      <c r="R5436" t="s">
        <v>119</v>
      </c>
      <c r="S5436" t="s">
        <v>27731</v>
      </c>
      <c r="T5436">
        <v>26</v>
      </c>
      <c r="U5436" s="2" t="s">
        <v>2523</v>
      </c>
      <c r="V5436" s="1">
        <v>45299</v>
      </c>
      <c r="W5436" t="s">
        <v>48</v>
      </c>
      <c r="X5436">
        <v>821213</v>
      </c>
      <c r="Y5436" t="s">
        <v>2514</v>
      </c>
      <c r="Z5436" t="s">
        <v>233</v>
      </c>
      <c r="AA5436" s="2" t="s">
        <v>32852</v>
      </c>
      <c r="AB5436" t="s">
        <v>7543</v>
      </c>
      <c r="AD5436" s="2" t="s">
        <v>32853</v>
      </c>
      <c r="AE5436" t="s">
        <v>32854</v>
      </c>
      <c r="AG5436" t="s">
        <v>32855</v>
      </c>
      <c r="AH5436" t="s">
        <v>32856</v>
      </c>
      <c r="AI5436" t="s">
        <v>32857</v>
      </c>
    </row>
    <row r="5437" spans="2:35" ht="409.5">
      <c r="B5437" s="1">
        <v>45320</v>
      </c>
      <c r="C5437" s="4">
        <v>45317.461805555555</v>
      </c>
      <c r="D5437" t="s">
        <v>1081</v>
      </c>
      <c r="E5437" t="s">
        <v>27369</v>
      </c>
      <c r="F5437" t="s">
        <v>148</v>
      </c>
      <c r="G5437" t="s">
        <v>785</v>
      </c>
      <c r="H5437" t="s">
        <v>39</v>
      </c>
      <c r="I5437" t="s">
        <v>40</v>
      </c>
      <c r="J5437" s="2" t="s">
        <v>31986</v>
      </c>
      <c r="K5437" t="s">
        <v>42</v>
      </c>
      <c r="L5437" t="s">
        <v>43</v>
      </c>
      <c r="N5437" t="s">
        <v>44</v>
      </c>
      <c r="Q5437">
        <v>27109</v>
      </c>
      <c r="R5437" t="s">
        <v>95</v>
      </c>
      <c r="S5437" t="s">
        <v>2016</v>
      </c>
      <c r="T5437">
        <v>27</v>
      </c>
      <c r="U5437" s="2" t="s">
        <v>29051</v>
      </c>
      <c r="W5437" t="s">
        <v>5136</v>
      </c>
      <c r="X5437">
        <v>110015767</v>
      </c>
      <c r="Y5437" t="s">
        <v>121</v>
      </c>
      <c r="Z5437" t="s">
        <v>122</v>
      </c>
      <c r="AA5437" s="2" t="s">
        <v>32858</v>
      </c>
      <c r="AB5437" t="s">
        <v>16412</v>
      </c>
      <c r="AG5437" t="s">
        <v>32859</v>
      </c>
      <c r="AH5437" t="s">
        <v>24110</v>
      </c>
      <c r="AI5437" t="s">
        <v>32860</v>
      </c>
    </row>
    <row r="5438" spans="2:35" ht="240">
      <c r="B5438" s="1">
        <v>45320</v>
      </c>
      <c r="C5438" s="4">
        <v>45317.563888888886</v>
      </c>
      <c r="D5438" t="s">
        <v>1081</v>
      </c>
      <c r="E5438" t="s">
        <v>27369</v>
      </c>
      <c r="F5438" t="s">
        <v>148</v>
      </c>
      <c r="G5438" t="s">
        <v>785</v>
      </c>
      <c r="H5438" t="s">
        <v>1083</v>
      </c>
      <c r="I5438" t="s">
        <v>40</v>
      </c>
      <c r="J5438" s="2" t="s">
        <v>31986</v>
      </c>
      <c r="K5438" t="s">
        <v>387</v>
      </c>
      <c r="L5438" t="s">
        <v>43</v>
      </c>
      <c r="N5438" t="s">
        <v>44</v>
      </c>
      <c r="Q5438">
        <v>27108</v>
      </c>
      <c r="R5438" t="s">
        <v>95</v>
      </c>
      <c r="S5438" t="s">
        <v>1084</v>
      </c>
      <c r="T5438">
        <v>24</v>
      </c>
      <c r="W5438" t="s">
        <v>390</v>
      </c>
      <c r="X5438" t="s">
        <v>5969</v>
      </c>
      <c r="Y5438" t="s">
        <v>121</v>
      </c>
      <c r="Z5438" t="s">
        <v>122</v>
      </c>
      <c r="AA5438" s="2" t="s">
        <v>32861</v>
      </c>
      <c r="AB5438" t="s">
        <v>181</v>
      </c>
      <c r="AG5438" t="s">
        <v>32862</v>
      </c>
      <c r="AH5438" t="s">
        <v>32863</v>
      </c>
      <c r="AI5438" t="s">
        <v>32864</v>
      </c>
    </row>
    <row r="5439" spans="2:35" ht="240">
      <c r="B5439" s="1">
        <v>45320</v>
      </c>
      <c r="C5439" s="4">
        <v>45317.649305555555</v>
      </c>
      <c r="D5439" t="s">
        <v>4379</v>
      </c>
      <c r="E5439" t="s">
        <v>18288</v>
      </c>
      <c r="F5439" t="s">
        <v>148</v>
      </c>
      <c r="G5439" t="s">
        <v>785</v>
      </c>
      <c r="H5439" t="s">
        <v>386</v>
      </c>
      <c r="I5439" t="s">
        <v>40</v>
      </c>
      <c r="J5439" s="2" t="s">
        <v>31986</v>
      </c>
      <c r="K5439" t="s">
        <v>387</v>
      </c>
      <c r="L5439" t="s">
        <v>43</v>
      </c>
      <c r="N5439" t="s">
        <v>44</v>
      </c>
      <c r="Q5439">
        <v>27107</v>
      </c>
      <c r="R5439" t="s">
        <v>95</v>
      </c>
      <c r="S5439" t="s">
        <v>4389</v>
      </c>
      <c r="T5439">
        <v>24</v>
      </c>
      <c r="W5439" t="s">
        <v>390</v>
      </c>
      <c r="X5439" t="s">
        <v>4390</v>
      </c>
      <c r="Y5439" t="s">
        <v>19210</v>
      </c>
      <c r="Z5439" t="s">
        <v>122</v>
      </c>
      <c r="AA5439" s="2" t="s">
        <v>32865</v>
      </c>
      <c r="AB5439" t="s">
        <v>88</v>
      </c>
      <c r="AG5439" t="s">
        <v>32866</v>
      </c>
      <c r="AH5439" t="s">
        <v>32867</v>
      </c>
      <c r="AI5439" t="s">
        <v>32868</v>
      </c>
    </row>
    <row r="5440" spans="2:35" ht="240">
      <c r="B5440" s="1">
        <v>45320</v>
      </c>
      <c r="C5440" s="4">
        <v>45317.481944444444</v>
      </c>
      <c r="D5440" t="s">
        <v>1081</v>
      </c>
      <c r="E5440" t="s">
        <v>27369</v>
      </c>
      <c r="F5440" t="s">
        <v>148</v>
      </c>
      <c r="G5440" t="s">
        <v>785</v>
      </c>
      <c r="H5440" t="s">
        <v>386</v>
      </c>
      <c r="I5440" t="s">
        <v>40</v>
      </c>
      <c r="J5440" s="2" t="s">
        <v>31986</v>
      </c>
      <c r="K5440" t="s">
        <v>387</v>
      </c>
      <c r="L5440" t="s">
        <v>43</v>
      </c>
      <c r="N5440" t="s">
        <v>44</v>
      </c>
      <c r="Q5440">
        <v>27106</v>
      </c>
      <c r="R5440" t="s">
        <v>95</v>
      </c>
      <c r="S5440" t="s">
        <v>8281</v>
      </c>
      <c r="T5440">
        <v>24</v>
      </c>
      <c r="W5440" t="s">
        <v>390</v>
      </c>
      <c r="X5440" t="s">
        <v>2075</v>
      </c>
      <c r="Y5440" t="s">
        <v>121</v>
      </c>
      <c r="Z5440" t="s">
        <v>122</v>
      </c>
      <c r="AA5440" s="2" t="s">
        <v>32869</v>
      </c>
      <c r="AB5440" t="s">
        <v>181</v>
      </c>
      <c r="AG5440" t="s">
        <v>32870</v>
      </c>
      <c r="AH5440" t="s">
        <v>8286</v>
      </c>
      <c r="AI5440" t="s">
        <v>32871</v>
      </c>
    </row>
    <row r="5441" spans="2:35" ht="409.5">
      <c r="B5441" s="1">
        <v>45320</v>
      </c>
      <c r="C5441" s="4">
        <v>45317.461805555555</v>
      </c>
      <c r="D5441" t="s">
        <v>1081</v>
      </c>
      <c r="E5441" t="s">
        <v>27369</v>
      </c>
      <c r="F5441" t="s">
        <v>148</v>
      </c>
      <c r="G5441" t="s">
        <v>785</v>
      </c>
      <c r="H5441" t="s">
        <v>39</v>
      </c>
      <c r="I5441" t="s">
        <v>40</v>
      </c>
      <c r="J5441" s="2" t="s">
        <v>31986</v>
      </c>
      <c r="K5441" t="s">
        <v>42</v>
      </c>
      <c r="L5441" t="s">
        <v>43</v>
      </c>
      <c r="N5441" t="s">
        <v>44</v>
      </c>
      <c r="Q5441">
        <v>27104</v>
      </c>
      <c r="R5441" t="s">
        <v>95</v>
      </c>
      <c r="S5441" t="s">
        <v>2016</v>
      </c>
      <c r="T5441">
        <v>27</v>
      </c>
      <c r="U5441" s="2" t="s">
        <v>29051</v>
      </c>
      <c r="W5441" t="s">
        <v>5136</v>
      </c>
      <c r="X5441">
        <v>110015767</v>
      </c>
      <c r="Y5441" t="s">
        <v>121</v>
      </c>
      <c r="Z5441" t="s">
        <v>122</v>
      </c>
      <c r="AA5441" s="2" t="s">
        <v>32858</v>
      </c>
      <c r="AB5441" t="s">
        <v>16412</v>
      </c>
      <c r="AG5441" t="s">
        <v>32872</v>
      </c>
      <c r="AH5441" t="s">
        <v>24110</v>
      </c>
      <c r="AI5441" t="s">
        <v>32873</v>
      </c>
    </row>
    <row r="5442" spans="2:35" ht="150">
      <c r="B5442" s="1">
        <v>45320</v>
      </c>
      <c r="C5442" s="4">
        <v>45316.576388888891</v>
      </c>
      <c r="D5442" t="s">
        <v>1222</v>
      </c>
      <c r="E5442" t="s">
        <v>27730</v>
      </c>
      <c r="F5442" t="s">
        <v>37</v>
      </c>
      <c r="G5442" t="s">
        <v>38</v>
      </c>
      <c r="H5442" t="s">
        <v>39</v>
      </c>
      <c r="I5442" t="s">
        <v>40</v>
      </c>
      <c r="J5442" s="2" t="s">
        <v>30202</v>
      </c>
      <c r="K5442" t="s">
        <v>42</v>
      </c>
      <c r="L5442" t="s">
        <v>43</v>
      </c>
      <c r="N5442" t="s">
        <v>44</v>
      </c>
      <c r="Q5442">
        <v>27105</v>
      </c>
      <c r="R5442" t="s">
        <v>119</v>
      </c>
      <c r="S5442" t="s">
        <v>27731</v>
      </c>
      <c r="T5442">
        <v>26</v>
      </c>
      <c r="U5442" s="2" t="s">
        <v>2523</v>
      </c>
      <c r="V5442" s="1">
        <v>45299</v>
      </c>
      <c r="W5442" t="s">
        <v>48</v>
      </c>
      <c r="X5442">
        <v>821213</v>
      </c>
      <c r="Y5442" t="s">
        <v>2514</v>
      </c>
      <c r="Z5442" t="s">
        <v>233</v>
      </c>
      <c r="AA5442" s="2" t="s">
        <v>32852</v>
      </c>
      <c r="AB5442" t="s">
        <v>7543</v>
      </c>
      <c r="AD5442" s="2" t="s">
        <v>32853</v>
      </c>
      <c r="AE5442" t="s">
        <v>32854</v>
      </c>
      <c r="AG5442" t="s">
        <v>32874</v>
      </c>
      <c r="AH5442" t="s">
        <v>32856</v>
      </c>
      <c r="AI5442" t="s">
        <v>32875</v>
      </c>
    </row>
    <row r="5443" spans="2:35" ht="255">
      <c r="B5443" s="1">
        <v>45320</v>
      </c>
      <c r="C5443" s="4">
        <v>45314.454861111109</v>
      </c>
      <c r="D5443" t="s">
        <v>32876</v>
      </c>
      <c r="E5443" t="s">
        <v>32877</v>
      </c>
      <c r="F5443" t="s">
        <v>148</v>
      </c>
      <c r="G5443" t="s">
        <v>406</v>
      </c>
      <c r="H5443" t="s">
        <v>39</v>
      </c>
      <c r="I5443" t="s">
        <v>40</v>
      </c>
      <c r="J5443" s="2" t="s">
        <v>31979</v>
      </c>
      <c r="K5443" t="s">
        <v>42</v>
      </c>
      <c r="L5443" t="s">
        <v>43</v>
      </c>
      <c r="N5443" t="s">
        <v>44</v>
      </c>
      <c r="Q5443">
        <v>27103</v>
      </c>
      <c r="R5443" t="s">
        <v>45</v>
      </c>
      <c r="S5443" t="s">
        <v>32878</v>
      </c>
      <c r="T5443">
        <v>25</v>
      </c>
      <c r="U5443" s="2" t="s">
        <v>32879</v>
      </c>
      <c r="W5443" t="s">
        <v>48</v>
      </c>
      <c r="X5443">
        <v>807452</v>
      </c>
      <c r="Y5443" t="s">
        <v>32880</v>
      </c>
      <c r="Z5443" t="s">
        <v>32881</v>
      </c>
      <c r="AA5443" s="2" t="s">
        <v>32882</v>
      </c>
      <c r="AB5443" t="s">
        <v>32883</v>
      </c>
      <c r="AC5443" t="s">
        <v>32884</v>
      </c>
      <c r="AG5443" t="s">
        <v>32885</v>
      </c>
      <c r="AH5443" t="s">
        <v>32886</v>
      </c>
      <c r="AI5443" t="s">
        <v>32887</v>
      </c>
    </row>
    <row r="5444" spans="2:35" ht="210">
      <c r="B5444" s="1">
        <v>45320</v>
      </c>
      <c r="C5444" s="4">
        <v>45316.405555555553</v>
      </c>
      <c r="D5444" t="s">
        <v>4197</v>
      </c>
      <c r="E5444" t="s">
        <v>29029</v>
      </c>
      <c r="F5444" t="s">
        <v>37</v>
      </c>
      <c r="G5444" t="s">
        <v>38</v>
      </c>
      <c r="H5444" t="s">
        <v>39</v>
      </c>
      <c r="I5444" t="s">
        <v>40</v>
      </c>
      <c r="J5444" s="2" t="s">
        <v>30202</v>
      </c>
      <c r="K5444" t="s">
        <v>42</v>
      </c>
      <c r="L5444" t="s">
        <v>43</v>
      </c>
      <c r="N5444" t="s">
        <v>44</v>
      </c>
      <c r="Q5444">
        <v>27102</v>
      </c>
      <c r="R5444" t="s">
        <v>119</v>
      </c>
      <c r="S5444" t="s">
        <v>32888</v>
      </c>
      <c r="T5444">
        <v>25</v>
      </c>
      <c r="U5444" s="2" t="s">
        <v>32889</v>
      </c>
      <c r="V5444" s="1">
        <v>45307</v>
      </c>
      <c r="W5444" t="s">
        <v>48</v>
      </c>
      <c r="X5444">
        <v>831623</v>
      </c>
      <c r="Y5444" t="s">
        <v>570</v>
      </c>
      <c r="Z5444" t="s">
        <v>571</v>
      </c>
      <c r="AA5444" s="2" t="s">
        <v>32890</v>
      </c>
      <c r="AB5444" t="s">
        <v>32891</v>
      </c>
      <c r="AD5444" s="2" t="s">
        <v>32892</v>
      </c>
      <c r="AE5444" t="s">
        <v>32893</v>
      </c>
      <c r="AG5444" t="s">
        <v>32894</v>
      </c>
      <c r="AH5444" t="s">
        <v>117</v>
      </c>
      <c r="AI5444" t="s">
        <v>32895</v>
      </c>
    </row>
    <row r="5445" spans="2:35" ht="210">
      <c r="B5445" s="1">
        <v>45320</v>
      </c>
      <c r="C5445" s="4">
        <v>45314.591666666667</v>
      </c>
      <c r="D5445" t="s">
        <v>556</v>
      </c>
      <c r="E5445" t="s">
        <v>32896</v>
      </c>
      <c r="F5445" t="s">
        <v>148</v>
      </c>
      <c r="G5445" t="s">
        <v>406</v>
      </c>
      <c r="H5445" t="s">
        <v>39</v>
      </c>
      <c r="I5445" t="s">
        <v>40</v>
      </c>
      <c r="J5445" s="2" t="s">
        <v>31979</v>
      </c>
      <c r="K5445" t="s">
        <v>42</v>
      </c>
      <c r="L5445" t="s">
        <v>43</v>
      </c>
      <c r="N5445" t="s">
        <v>44</v>
      </c>
      <c r="Q5445">
        <v>27104</v>
      </c>
      <c r="R5445" t="s">
        <v>119</v>
      </c>
      <c r="S5445" t="s">
        <v>25196</v>
      </c>
      <c r="T5445">
        <v>25</v>
      </c>
      <c r="U5445" s="2" t="s">
        <v>32897</v>
      </c>
      <c r="W5445" t="s">
        <v>48</v>
      </c>
      <c r="X5445">
        <v>831638</v>
      </c>
      <c r="Y5445" t="s">
        <v>32898</v>
      </c>
      <c r="Z5445" t="s">
        <v>32899</v>
      </c>
      <c r="AA5445" s="2" t="s">
        <v>32900</v>
      </c>
      <c r="AB5445" t="s">
        <v>32901</v>
      </c>
      <c r="AG5445" t="s">
        <v>32902</v>
      </c>
      <c r="AH5445" t="s">
        <v>25202</v>
      </c>
      <c r="AI5445" t="s">
        <v>32903</v>
      </c>
    </row>
    <row r="5446" spans="2:35" ht="330">
      <c r="B5446" s="1">
        <v>45319</v>
      </c>
      <c r="C5446" s="4">
        <v>45317.504166666666</v>
      </c>
      <c r="D5446" t="s">
        <v>9805</v>
      </c>
      <c r="E5446" t="s">
        <v>510</v>
      </c>
      <c r="F5446" t="s">
        <v>511</v>
      </c>
      <c r="G5446" t="s">
        <v>512</v>
      </c>
      <c r="H5446" t="s">
        <v>1047</v>
      </c>
      <c r="I5446" t="s">
        <v>40</v>
      </c>
      <c r="J5446" s="2" t="s">
        <v>41</v>
      </c>
      <c r="K5446" t="s">
        <v>42</v>
      </c>
      <c r="L5446" t="s">
        <v>1048</v>
      </c>
      <c r="N5446" t="s">
        <v>1049</v>
      </c>
      <c r="Q5446">
        <v>27101</v>
      </c>
      <c r="R5446" t="s">
        <v>45</v>
      </c>
      <c r="S5446" t="s">
        <v>29628</v>
      </c>
      <c r="T5446">
        <v>22</v>
      </c>
      <c r="U5446" s="2" t="s">
        <v>32904</v>
      </c>
      <c r="V5446" s="1">
        <v>45317</v>
      </c>
      <c r="W5446" t="s">
        <v>1424</v>
      </c>
      <c r="X5446">
        <v>120000171</v>
      </c>
      <c r="Y5446" t="s">
        <v>1924</v>
      </c>
      <c r="Z5446" s="2" t="s">
        <v>32905</v>
      </c>
      <c r="AA5446" t="s">
        <v>1926</v>
      </c>
      <c r="AB5446" t="s">
        <v>181</v>
      </c>
      <c r="AD5446" t="s">
        <v>32906</v>
      </c>
      <c r="AE5446" t="s">
        <v>103</v>
      </c>
      <c r="AG5446" t="s">
        <v>32907</v>
      </c>
      <c r="AH5446" t="s">
        <v>29632</v>
      </c>
      <c r="AI5446" t="s">
        <v>32908</v>
      </c>
    </row>
    <row r="5447" spans="2:35" ht="180">
      <c r="B5447" s="1">
        <v>45319</v>
      </c>
      <c r="C5447" s="4">
        <v>45317.40347222222</v>
      </c>
      <c r="D5447" t="s">
        <v>9805</v>
      </c>
      <c r="E5447" t="s">
        <v>510</v>
      </c>
      <c r="F5447" t="s">
        <v>511</v>
      </c>
      <c r="G5447" t="s">
        <v>512</v>
      </c>
      <c r="H5447" t="s">
        <v>1047</v>
      </c>
      <c r="I5447" t="s">
        <v>40</v>
      </c>
      <c r="J5447" s="2" t="s">
        <v>190</v>
      </c>
      <c r="K5447" t="s">
        <v>42</v>
      </c>
      <c r="L5447" t="s">
        <v>1048</v>
      </c>
      <c r="N5447" t="s">
        <v>1049</v>
      </c>
      <c r="Q5447">
        <v>27100</v>
      </c>
      <c r="R5447" t="s">
        <v>45</v>
      </c>
      <c r="S5447" t="s">
        <v>29628</v>
      </c>
      <c r="T5447">
        <v>21</v>
      </c>
      <c r="U5447" s="2" t="s">
        <v>31443</v>
      </c>
      <c r="W5447" t="s">
        <v>1051</v>
      </c>
      <c r="X5447">
        <v>834685</v>
      </c>
      <c r="Y5447" t="s">
        <v>12082</v>
      </c>
      <c r="Z5447" t="e">
        <f ca="1">- run reliability tests on module B3 _xludf.and B4
- cleaned cartridge Bays, plunger Rods _xludf.and I-CORE
- generated reports</f>
        <v>#NAME?</v>
      </c>
      <c r="AA5447" t="e">
        <f ca="1">- performed Troubleshooting on modules B3 _xludf.and B4
- performed Preventive Maintenence</f>
        <v>#NAME?</v>
      </c>
      <c r="AB5447" t="s">
        <v>181</v>
      </c>
      <c r="AG5447" t="s">
        <v>32909</v>
      </c>
      <c r="AH5447" t="s">
        <v>29632</v>
      </c>
      <c r="AI5447" t="s">
        <v>32910</v>
      </c>
    </row>
    <row r="5448" spans="2:35" ht="105">
      <c r="B5448" s="1">
        <v>45319</v>
      </c>
      <c r="C5448" s="4">
        <v>45317.395833333336</v>
      </c>
      <c r="D5448" t="s">
        <v>6919</v>
      </c>
      <c r="E5448" t="s">
        <v>510</v>
      </c>
      <c r="F5448">
        <v>1</v>
      </c>
      <c r="G5448" t="s">
        <v>512</v>
      </c>
      <c r="H5448" t="s">
        <v>39</v>
      </c>
      <c r="I5448" t="s">
        <v>40</v>
      </c>
      <c r="J5448" t="s">
        <v>109</v>
      </c>
      <c r="K5448" t="s">
        <v>42</v>
      </c>
      <c r="L5448" t="s">
        <v>1048</v>
      </c>
      <c r="N5448" t="s">
        <v>1049</v>
      </c>
      <c r="Q5448">
        <v>27099</v>
      </c>
      <c r="R5448" t="s">
        <v>119</v>
      </c>
      <c r="S5448" t="s">
        <v>6920</v>
      </c>
      <c r="T5448">
        <v>21</v>
      </c>
      <c r="U5448" s="2" t="s">
        <v>32911</v>
      </c>
      <c r="W5448" t="s">
        <v>1051</v>
      </c>
      <c r="X5448">
        <v>838281</v>
      </c>
      <c r="Y5448" t="s">
        <v>1052</v>
      </c>
      <c r="Z5448" t="e">
        <f ca="1">- cleaned cartridge Bays, plunger Rods _xludf.and I-CORE
- generated reports</f>
        <v>#NAME?</v>
      </c>
      <c r="AA5448" t="s">
        <v>820</v>
      </c>
      <c r="AB5448" t="s">
        <v>181</v>
      </c>
      <c r="AG5448" t="s">
        <v>32912</v>
      </c>
      <c r="AH5448" t="s">
        <v>6925</v>
      </c>
      <c r="AI5448" t="s">
        <v>32913</v>
      </c>
    </row>
    <row r="5449" spans="2:35">
      <c r="B5449" s="1">
        <v>45319</v>
      </c>
      <c r="C5449" s="4">
        <v>45315.368750000001</v>
      </c>
      <c r="D5449" t="s">
        <v>11077</v>
      </c>
      <c r="E5449" t="s">
        <v>2598</v>
      </c>
      <c r="F5449">
        <v>1</v>
      </c>
      <c r="G5449" t="s">
        <v>2599</v>
      </c>
      <c r="H5449" t="s">
        <v>32914</v>
      </c>
      <c r="I5449" t="s">
        <v>40</v>
      </c>
      <c r="J5449" t="s">
        <v>321</v>
      </c>
      <c r="K5449" t="s">
        <v>42</v>
      </c>
      <c r="L5449" t="s">
        <v>1048</v>
      </c>
      <c r="N5449" t="s">
        <v>1049</v>
      </c>
      <c r="Q5449">
        <v>27098</v>
      </c>
      <c r="R5449" t="s">
        <v>322</v>
      </c>
      <c r="S5449" t="s">
        <v>21071</v>
      </c>
      <c r="T5449">
        <v>23</v>
      </c>
      <c r="V5449" s="1">
        <v>45301</v>
      </c>
      <c r="W5449" t="s">
        <v>2591</v>
      </c>
      <c r="X5449">
        <v>110022474</v>
      </c>
      <c r="Y5449" t="s">
        <v>6010</v>
      </c>
      <c r="Z5449" t="e">
        <f ca="1">- installed GeneXpert
- generated reports</f>
        <v>#NAME?</v>
      </c>
      <c r="AA5449" t="s">
        <v>6174</v>
      </c>
      <c r="AB5449" t="s">
        <v>70</v>
      </c>
      <c r="AD5449" t="s">
        <v>1424</v>
      </c>
      <c r="AE5449" t="s">
        <v>32915</v>
      </c>
      <c r="AG5449" t="s">
        <v>32916</v>
      </c>
      <c r="AH5449" t="s">
        <v>32917</v>
      </c>
      <c r="AI5449" t="s">
        <v>32918</v>
      </c>
    </row>
    <row r="5450" spans="2:35" ht="270">
      <c r="B5450" s="1">
        <v>45317</v>
      </c>
      <c r="C5450" s="4">
        <v>45317.630555555559</v>
      </c>
      <c r="D5450" t="s">
        <v>7449</v>
      </c>
      <c r="E5450" t="s">
        <v>32919</v>
      </c>
      <c r="F5450" t="s">
        <v>148</v>
      </c>
      <c r="G5450" t="s">
        <v>447</v>
      </c>
      <c r="H5450" t="s">
        <v>61</v>
      </c>
      <c r="I5450" t="s">
        <v>40</v>
      </c>
      <c r="J5450" s="2" t="s">
        <v>41</v>
      </c>
      <c r="K5450" t="s">
        <v>42</v>
      </c>
      <c r="L5450" t="s">
        <v>80</v>
      </c>
      <c r="N5450" t="s">
        <v>81</v>
      </c>
      <c r="O5450" t="s">
        <v>3698</v>
      </c>
      <c r="Q5450">
        <v>27097</v>
      </c>
      <c r="R5450" t="s">
        <v>703</v>
      </c>
      <c r="S5450" t="s">
        <v>16923</v>
      </c>
      <c r="T5450">
        <v>26</v>
      </c>
      <c r="U5450" s="2" t="s">
        <v>32920</v>
      </c>
      <c r="V5450" s="1">
        <v>45317</v>
      </c>
      <c r="W5450" t="s">
        <v>360</v>
      </c>
      <c r="X5450">
        <v>835601</v>
      </c>
      <c r="Y5450" t="s">
        <v>32921</v>
      </c>
      <c r="Z5450" t="s">
        <v>32922</v>
      </c>
      <c r="AA5450" s="2" t="s">
        <v>32923</v>
      </c>
      <c r="AB5450" t="s">
        <v>32359</v>
      </c>
      <c r="AC5450" t="s">
        <v>103</v>
      </c>
      <c r="AD5450" t="s">
        <v>32924</v>
      </c>
      <c r="AE5450" t="s">
        <v>32925</v>
      </c>
      <c r="AG5450" t="s">
        <v>32926</v>
      </c>
      <c r="AH5450" t="s">
        <v>32927</v>
      </c>
      <c r="AI5450" t="s">
        <v>32928</v>
      </c>
    </row>
    <row r="5451" spans="2:35" ht="210">
      <c r="B5451" s="1">
        <v>45317</v>
      </c>
      <c r="C5451" s="4">
        <v>45317.561111111114</v>
      </c>
      <c r="D5451" t="s">
        <v>3050</v>
      </c>
      <c r="E5451" t="s">
        <v>25459</v>
      </c>
      <c r="F5451" t="s">
        <v>148</v>
      </c>
      <c r="G5451" t="s">
        <v>371</v>
      </c>
      <c r="H5451" t="s">
        <v>39</v>
      </c>
      <c r="I5451" t="s">
        <v>40</v>
      </c>
      <c r="J5451" s="2" t="s">
        <v>41</v>
      </c>
      <c r="K5451" t="s">
        <v>42</v>
      </c>
      <c r="L5451" t="s">
        <v>15532</v>
      </c>
      <c r="N5451" t="s">
        <v>15533</v>
      </c>
      <c r="Q5451">
        <v>27096</v>
      </c>
      <c r="R5451" t="s">
        <v>45</v>
      </c>
      <c r="S5451" t="s">
        <v>3052</v>
      </c>
      <c r="T5451">
        <v>29</v>
      </c>
      <c r="U5451" s="2" t="s">
        <v>32929</v>
      </c>
      <c r="V5451" s="1">
        <v>45315</v>
      </c>
      <c r="W5451" t="s">
        <v>23974</v>
      </c>
      <c r="X5451">
        <v>805271</v>
      </c>
      <c r="Y5451" t="s">
        <v>49</v>
      </c>
      <c r="Z5451" s="2" t="s">
        <v>32930</v>
      </c>
      <c r="AA5451" s="2" t="s">
        <v>32931</v>
      </c>
      <c r="AB5451" s="2" t="s">
        <v>15539</v>
      </c>
      <c r="AD5451" t="s">
        <v>19400</v>
      </c>
      <c r="AE5451" t="s">
        <v>32932</v>
      </c>
      <c r="AG5451" t="s">
        <v>32933</v>
      </c>
      <c r="AH5451" t="s">
        <v>25468</v>
      </c>
      <c r="AI5451" t="s">
        <v>32934</v>
      </c>
    </row>
    <row r="5452" spans="2:35" ht="165">
      <c r="B5452" s="1">
        <v>45317</v>
      </c>
      <c r="C5452" s="4">
        <v>45317.555555555555</v>
      </c>
      <c r="D5452" t="s">
        <v>23687</v>
      </c>
      <c r="E5452" t="s">
        <v>27966</v>
      </c>
      <c r="F5452">
        <v>3</v>
      </c>
      <c r="G5452" t="s">
        <v>1722</v>
      </c>
      <c r="H5452" t="s">
        <v>39</v>
      </c>
      <c r="I5452" t="s">
        <v>40</v>
      </c>
      <c r="J5452" t="s">
        <v>109</v>
      </c>
      <c r="K5452" t="s">
        <v>42</v>
      </c>
      <c r="L5452" t="s">
        <v>63</v>
      </c>
      <c r="N5452" t="s">
        <v>64</v>
      </c>
      <c r="Q5452">
        <v>27095</v>
      </c>
      <c r="R5452" t="s">
        <v>119</v>
      </c>
      <c r="S5452" t="s">
        <v>32935</v>
      </c>
      <c r="T5452">
        <v>27</v>
      </c>
      <c r="U5452" s="2" t="s">
        <v>32936</v>
      </c>
      <c r="V5452" s="1">
        <v>45317</v>
      </c>
      <c r="W5452" t="s">
        <v>26915</v>
      </c>
      <c r="X5452">
        <v>831592</v>
      </c>
      <c r="Y5452" t="s">
        <v>1716</v>
      </c>
      <c r="Z5452" t="s">
        <v>1716</v>
      </c>
      <c r="AA5452" s="2" t="s">
        <v>1727</v>
      </c>
      <c r="AB5452" t="s">
        <v>70</v>
      </c>
      <c r="AC5452" t="s">
        <v>1716</v>
      </c>
      <c r="AD5452" t="s">
        <v>1716</v>
      </c>
      <c r="AE5452" t="s">
        <v>1716</v>
      </c>
      <c r="AG5452" t="s">
        <v>32937</v>
      </c>
      <c r="AH5452" t="s">
        <v>23694</v>
      </c>
      <c r="AI5452" t="s">
        <v>32938</v>
      </c>
    </row>
    <row r="5453" spans="2:35" ht="180">
      <c r="B5453" s="1">
        <v>45317</v>
      </c>
      <c r="C5453" s="4">
        <v>45317.543055555558</v>
      </c>
      <c r="D5453" t="s">
        <v>6667</v>
      </c>
      <c r="E5453" t="s">
        <v>2817</v>
      </c>
      <c r="F5453" t="s">
        <v>148</v>
      </c>
      <c r="G5453" t="s">
        <v>371</v>
      </c>
      <c r="H5453" t="s">
        <v>39</v>
      </c>
      <c r="I5453" t="s">
        <v>94</v>
      </c>
      <c r="J5453" s="2" t="s">
        <v>190</v>
      </c>
      <c r="K5453" t="s">
        <v>42</v>
      </c>
      <c r="L5453" t="s">
        <v>175</v>
      </c>
      <c r="N5453" t="s">
        <v>176</v>
      </c>
      <c r="Q5453">
        <v>27094</v>
      </c>
      <c r="R5453" t="s">
        <v>703</v>
      </c>
      <c r="S5453" t="s">
        <v>32939</v>
      </c>
      <c r="T5453">
        <v>21</v>
      </c>
      <c r="U5453" s="2" t="s">
        <v>32940</v>
      </c>
      <c r="W5453" t="s">
        <v>84</v>
      </c>
      <c r="X5453">
        <v>110018008</v>
      </c>
      <c r="Y5453" t="s">
        <v>8841</v>
      </c>
      <c r="Z5453" t="e">
        <f ca="1">- checked _xludf.and scanned system _xludf.Log _xludf.For errors (temp. _xludf.error found)
- checked _xludf.and cleaned cartridge bay, plunger rod, _xludf.filter
- generated reports</f>
        <v>#NAME?</v>
      </c>
      <c r="AA5453" t="s">
        <v>122</v>
      </c>
      <c r="AB5453" s="2" t="s">
        <v>376</v>
      </c>
      <c r="AG5453" t="s">
        <v>32941</v>
      </c>
      <c r="AH5453" t="s">
        <v>5521</v>
      </c>
      <c r="AI5453" t="s">
        <v>32942</v>
      </c>
    </row>
    <row r="5454" spans="2:35" ht="45">
      <c r="B5454" s="1">
        <v>45317</v>
      </c>
      <c r="C5454" s="4">
        <v>45317.522222222222</v>
      </c>
      <c r="D5454" t="s">
        <v>7050</v>
      </c>
      <c r="E5454" t="s">
        <v>3155</v>
      </c>
      <c r="F5454">
        <v>9</v>
      </c>
      <c r="G5454" t="s">
        <v>2197</v>
      </c>
      <c r="H5454" t="s">
        <v>39</v>
      </c>
      <c r="I5454" t="s">
        <v>40</v>
      </c>
      <c r="J5454" s="2" t="s">
        <v>9961</v>
      </c>
      <c r="K5454" t="s">
        <v>387</v>
      </c>
      <c r="L5454" t="s">
        <v>1257</v>
      </c>
      <c r="N5454" t="s">
        <v>2199</v>
      </c>
      <c r="O5454" t="s">
        <v>1258</v>
      </c>
      <c r="Q5454">
        <v>27093</v>
      </c>
      <c r="R5454" t="s">
        <v>95</v>
      </c>
      <c r="S5454" t="s">
        <v>7052</v>
      </c>
      <c r="T5454">
        <v>0</v>
      </c>
      <c r="V5454" s="1">
        <v>45317</v>
      </c>
      <c r="W5454" t="s">
        <v>476</v>
      </c>
      <c r="X5454" t="s">
        <v>7053</v>
      </c>
      <c r="Y5454" t="s">
        <v>301</v>
      </c>
      <c r="Z5454" t="s">
        <v>32943</v>
      </c>
      <c r="AA5454" t="s">
        <v>32943</v>
      </c>
      <c r="AB5454" t="s">
        <v>21341</v>
      </c>
      <c r="AC5454" t="s">
        <v>301</v>
      </c>
      <c r="AD5454" t="s">
        <v>54</v>
      </c>
      <c r="AE5454" t="s">
        <v>54</v>
      </c>
      <c r="AG5454" t="s">
        <v>32944</v>
      </c>
      <c r="AH5454" t="s">
        <v>32945</v>
      </c>
      <c r="AI5454" t="s">
        <v>32946</v>
      </c>
    </row>
    <row r="5455" spans="2:35">
      <c r="B5455" s="1">
        <v>45317</v>
      </c>
      <c r="C5455" s="4">
        <v>45316.425694444442</v>
      </c>
      <c r="D5455" t="s">
        <v>1145</v>
      </c>
      <c r="E5455" t="s">
        <v>4267</v>
      </c>
      <c r="F5455" t="s">
        <v>148</v>
      </c>
      <c r="G5455" t="s">
        <v>447</v>
      </c>
      <c r="H5455" t="s">
        <v>9616</v>
      </c>
      <c r="I5455" t="s">
        <v>94</v>
      </c>
      <c r="J5455" t="s">
        <v>32947</v>
      </c>
      <c r="K5455" t="s">
        <v>408</v>
      </c>
      <c r="L5455" t="s">
        <v>448</v>
      </c>
      <c r="N5455" t="s">
        <v>650</v>
      </c>
      <c r="P5455" t="s">
        <v>21432</v>
      </c>
      <c r="Q5455">
        <v>27092</v>
      </c>
      <c r="R5455" t="s">
        <v>322</v>
      </c>
      <c r="S5455" t="s">
        <v>9617</v>
      </c>
      <c r="T5455">
        <v>25</v>
      </c>
      <c r="W5455" t="s">
        <v>32948</v>
      </c>
      <c r="X5455">
        <v>1188</v>
      </c>
      <c r="Y5455" t="s">
        <v>32949</v>
      </c>
      <c r="Z5455" t="s">
        <v>32950</v>
      </c>
      <c r="AA5455" t="s">
        <v>32947</v>
      </c>
      <c r="AB5455" t="s">
        <v>486</v>
      </c>
      <c r="AC5455" t="s">
        <v>32951</v>
      </c>
      <c r="AG5455" t="s">
        <v>32952</v>
      </c>
      <c r="AH5455" t="s">
        <v>32953</v>
      </c>
      <c r="AI5455" t="s">
        <v>32954</v>
      </c>
    </row>
    <row r="5456" spans="2:35" ht="409.5">
      <c r="B5456" s="1">
        <v>45317</v>
      </c>
      <c r="C5456" s="4">
        <v>45316.624305555553</v>
      </c>
      <c r="D5456" t="s">
        <v>5602</v>
      </c>
      <c r="E5456" t="s">
        <v>32955</v>
      </c>
      <c r="F5456" t="s">
        <v>148</v>
      </c>
      <c r="G5456" t="s">
        <v>447</v>
      </c>
      <c r="H5456" t="s">
        <v>662</v>
      </c>
      <c r="I5456" t="s">
        <v>40</v>
      </c>
      <c r="J5456" s="2" t="s">
        <v>41</v>
      </c>
      <c r="K5456" t="s">
        <v>42</v>
      </c>
      <c r="L5456" t="s">
        <v>448</v>
      </c>
      <c r="N5456" t="s">
        <v>650</v>
      </c>
      <c r="Q5456">
        <v>27091</v>
      </c>
      <c r="R5456" t="s">
        <v>322</v>
      </c>
      <c r="S5456" t="s">
        <v>5604</v>
      </c>
      <c r="T5456">
        <v>28</v>
      </c>
      <c r="U5456" s="2" t="s">
        <v>32956</v>
      </c>
      <c r="V5456" s="1">
        <v>45315</v>
      </c>
      <c r="W5456" t="s">
        <v>7420</v>
      </c>
      <c r="X5456">
        <v>110005587</v>
      </c>
      <c r="Y5456" t="s">
        <v>32957</v>
      </c>
      <c r="Z5456" s="2" t="s">
        <v>2585</v>
      </c>
      <c r="AA5456" t="s">
        <v>20643</v>
      </c>
      <c r="AB5456" t="s">
        <v>32958</v>
      </c>
      <c r="AD5456" t="s">
        <v>10253</v>
      </c>
      <c r="AE5456">
        <v>11149</v>
      </c>
      <c r="AG5456" t="s">
        <v>32959</v>
      </c>
      <c r="AH5456" t="s">
        <v>7424</v>
      </c>
      <c r="AI5456" t="s">
        <v>32960</v>
      </c>
    </row>
    <row r="5457" spans="2:35" ht="105">
      <c r="B5457" s="1">
        <v>45317</v>
      </c>
      <c r="C5457" s="4">
        <v>45317.50277777778</v>
      </c>
      <c r="D5457" t="s">
        <v>32961</v>
      </c>
      <c r="E5457" t="s">
        <v>32962</v>
      </c>
      <c r="F5457" t="s">
        <v>37</v>
      </c>
      <c r="G5457" t="s">
        <v>189</v>
      </c>
      <c r="H5457" t="s">
        <v>39</v>
      </c>
      <c r="I5457" t="s">
        <v>40</v>
      </c>
      <c r="J5457" t="s">
        <v>321</v>
      </c>
      <c r="K5457" t="s">
        <v>42</v>
      </c>
      <c r="L5457" t="s">
        <v>1943</v>
      </c>
      <c r="N5457" t="s">
        <v>1944</v>
      </c>
      <c r="Q5457">
        <v>27090</v>
      </c>
      <c r="R5457" t="s">
        <v>45</v>
      </c>
      <c r="S5457" t="s">
        <v>32963</v>
      </c>
      <c r="T5457">
        <v>25</v>
      </c>
      <c r="W5457" t="s">
        <v>423</v>
      </c>
      <c r="X5457">
        <v>120000605</v>
      </c>
      <c r="Y5457" t="s">
        <v>23623</v>
      </c>
      <c r="Z5457" s="2" t="s">
        <v>32964</v>
      </c>
      <c r="AA5457" t="s">
        <v>13110</v>
      </c>
      <c r="AB5457" t="s">
        <v>88</v>
      </c>
      <c r="AG5457" t="s">
        <v>32965</v>
      </c>
      <c r="AH5457" t="s">
        <v>32966</v>
      </c>
      <c r="AI5457" t="s">
        <v>32967</v>
      </c>
    </row>
    <row r="5458" spans="2:35" ht="409.5">
      <c r="B5458" s="1">
        <v>45317</v>
      </c>
      <c r="C5458" s="4">
        <v>45317.486111111109</v>
      </c>
      <c r="D5458" t="s">
        <v>11265</v>
      </c>
      <c r="E5458" t="s">
        <v>32968</v>
      </c>
      <c r="F5458">
        <v>3</v>
      </c>
      <c r="G5458" t="s">
        <v>1722</v>
      </c>
      <c r="H5458" t="s">
        <v>39</v>
      </c>
      <c r="I5458" t="s">
        <v>40</v>
      </c>
      <c r="J5458" s="2" t="s">
        <v>31986</v>
      </c>
      <c r="K5458" t="s">
        <v>42</v>
      </c>
      <c r="L5458" t="s">
        <v>63</v>
      </c>
      <c r="N5458" t="s">
        <v>64</v>
      </c>
      <c r="Q5458">
        <v>27089</v>
      </c>
      <c r="R5458" t="s">
        <v>322</v>
      </c>
      <c r="S5458" t="s">
        <v>32969</v>
      </c>
      <c r="T5458">
        <v>28</v>
      </c>
      <c r="U5458" s="2" t="s">
        <v>32970</v>
      </c>
      <c r="V5458" s="1">
        <v>45317</v>
      </c>
      <c r="W5458" t="s">
        <v>26915</v>
      </c>
      <c r="X5458">
        <v>110013774</v>
      </c>
      <c r="Y5458" t="s">
        <v>1716</v>
      </c>
      <c r="Z5458" t="s">
        <v>1716</v>
      </c>
      <c r="AA5458" s="2" t="s">
        <v>1727</v>
      </c>
      <c r="AB5458" t="s">
        <v>70</v>
      </c>
      <c r="AC5458" t="s">
        <v>32971</v>
      </c>
      <c r="AD5458" t="s">
        <v>1716</v>
      </c>
      <c r="AE5458" t="s">
        <v>1716</v>
      </c>
      <c r="AG5458" t="s">
        <v>32972</v>
      </c>
      <c r="AH5458" t="s">
        <v>32973</v>
      </c>
      <c r="AI5458" t="s">
        <v>32974</v>
      </c>
    </row>
    <row r="5459" spans="2:35" ht="165">
      <c r="B5459" s="1">
        <v>45317</v>
      </c>
      <c r="C5459" s="4">
        <v>45317.438194444447</v>
      </c>
      <c r="D5459" t="s">
        <v>29075</v>
      </c>
      <c r="E5459" t="s">
        <v>32975</v>
      </c>
      <c r="F5459">
        <v>3</v>
      </c>
      <c r="G5459" t="s">
        <v>1722</v>
      </c>
      <c r="H5459" t="s">
        <v>39</v>
      </c>
      <c r="I5459" t="s">
        <v>40</v>
      </c>
      <c r="J5459" s="2" t="s">
        <v>32976</v>
      </c>
      <c r="K5459" t="s">
        <v>42</v>
      </c>
      <c r="L5459" t="s">
        <v>63</v>
      </c>
      <c r="N5459" t="s">
        <v>64</v>
      </c>
      <c r="Q5459">
        <v>27088</v>
      </c>
      <c r="R5459" t="s">
        <v>119</v>
      </c>
      <c r="S5459" t="s">
        <v>29077</v>
      </c>
      <c r="T5459">
        <v>26</v>
      </c>
      <c r="U5459" s="2" t="s">
        <v>32977</v>
      </c>
      <c r="V5459" s="1">
        <v>45317</v>
      </c>
      <c r="W5459" t="s">
        <v>26915</v>
      </c>
      <c r="X5459">
        <v>831582</v>
      </c>
      <c r="Y5459" t="s">
        <v>32978</v>
      </c>
      <c r="Z5459" t="s">
        <v>31604</v>
      </c>
      <c r="AA5459" s="2" t="s">
        <v>1727</v>
      </c>
      <c r="AB5459" t="s">
        <v>70</v>
      </c>
      <c r="AC5459" t="s">
        <v>31606</v>
      </c>
      <c r="AD5459" t="s">
        <v>1716</v>
      </c>
      <c r="AE5459" t="s">
        <v>1716</v>
      </c>
      <c r="AG5459" t="s">
        <v>32979</v>
      </c>
      <c r="AH5459" t="s">
        <v>32980</v>
      </c>
      <c r="AI5459" t="s">
        <v>32981</v>
      </c>
    </row>
    <row r="5460" spans="2:35" ht="210">
      <c r="B5460" s="1">
        <v>45317</v>
      </c>
      <c r="C5460" s="4">
        <v>45317.381249999999</v>
      </c>
      <c r="D5460" t="s">
        <v>5636</v>
      </c>
      <c r="E5460" t="s">
        <v>32982</v>
      </c>
      <c r="F5460">
        <v>9</v>
      </c>
      <c r="G5460" t="s">
        <v>2903</v>
      </c>
      <c r="H5460" t="s">
        <v>22505</v>
      </c>
      <c r="I5460" t="s">
        <v>40</v>
      </c>
      <c r="J5460" s="2" t="s">
        <v>355</v>
      </c>
      <c r="K5460" t="s">
        <v>42</v>
      </c>
      <c r="L5460" t="s">
        <v>343</v>
      </c>
      <c r="N5460" t="s">
        <v>344</v>
      </c>
      <c r="Q5460">
        <v>27087</v>
      </c>
      <c r="R5460" t="s">
        <v>45</v>
      </c>
      <c r="S5460" t="s">
        <v>6477</v>
      </c>
      <c r="T5460">
        <v>28</v>
      </c>
      <c r="U5460" s="2" t="s">
        <v>32983</v>
      </c>
      <c r="W5460" t="s">
        <v>32984</v>
      </c>
      <c r="X5460">
        <v>834826</v>
      </c>
      <c r="Y5460" t="s">
        <v>32985</v>
      </c>
      <c r="Z5460" t="s">
        <v>301</v>
      </c>
      <c r="AA5460" t="e">
        <f ca="1">-PERFORM self test on module B2
-Troubleshoot _xludf.error</f>
        <v>#NAME?</v>
      </c>
      <c r="AB5460" t="s">
        <v>32986</v>
      </c>
      <c r="AC5460" t="s">
        <v>32987</v>
      </c>
      <c r="AG5460" t="s">
        <v>32988</v>
      </c>
      <c r="AH5460" t="s">
        <v>6479</v>
      </c>
      <c r="AI5460" t="s">
        <v>32989</v>
      </c>
    </row>
    <row r="5461" spans="2:35" ht="285">
      <c r="B5461" s="1">
        <v>45317</v>
      </c>
      <c r="C5461" s="4">
        <v>45317.374305555553</v>
      </c>
      <c r="D5461" t="s">
        <v>24708</v>
      </c>
      <c r="E5461" t="s">
        <v>32990</v>
      </c>
      <c r="F5461" t="s">
        <v>148</v>
      </c>
      <c r="G5461" t="s">
        <v>447</v>
      </c>
      <c r="H5461" t="s">
        <v>39</v>
      </c>
      <c r="I5461" t="s">
        <v>40</v>
      </c>
      <c r="J5461" s="2" t="s">
        <v>41</v>
      </c>
      <c r="K5461" t="s">
        <v>42</v>
      </c>
      <c r="L5461" t="s">
        <v>15532</v>
      </c>
      <c r="N5461" t="s">
        <v>15533</v>
      </c>
      <c r="Q5461">
        <v>27086</v>
      </c>
      <c r="R5461" t="s">
        <v>45</v>
      </c>
      <c r="S5461" t="s">
        <v>32991</v>
      </c>
      <c r="T5461">
        <v>20</v>
      </c>
      <c r="U5461" s="2" t="s">
        <v>32992</v>
      </c>
      <c r="V5461" s="1">
        <v>45315</v>
      </c>
      <c r="W5461" t="s">
        <v>23974</v>
      </c>
      <c r="X5461">
        <v>814162</v>
      </c>
      <c r="Y5461" t="s">
        <v>424</v>
      </c>
      <c r="Z5461" s="2" t="s">
        <v>32993</v>
      </c>
      <c r="AA5461" s="2" t="s">
        <v>32994</v>
      </c>
      <c r="AB5461" s="2" t="s">
        <v>32995</v>
      </c>
      <c r="AD5461" t="s">
        <v>32996</v>
      </c>
      <c r="AE5461" t="s">
        <v>32997</v>
      </c>
      <c r="AG5461" t="s">
        <v>32998</v>
      </c>
      <c r="AH5461" t="s">
        <v>32999</v>
      </c>
      <c r="AI5461" t="s">
        <v>33000</v>
      </c>
    </row>
    <row r="5462" spans="2:35" ht="240">
      <c r="B5462" s="1">
        <v>45316</v>
      </c>
      <c r="C5462" s="4">
        <v>45316.67291666667</v>
      </c>
      <c r="D5462" t="s">
        <v>9251</v>
      </c>
      <c r="E5462" t="s">
        <v>33001</v>
      </c>
      <c r="F5462">
        <v>2</v>
      </c>
      <c r="G5462" t="s">
        <v>60</v>
      </c>
      <c r="H5462" t="s">
        <v>39</v>
      </c>
      <c r="I5462" t="s">
        <v>40</v>
      </c>
      <c r="J5462" s="2" t="s">
        <v>190</v>
      </c>
      <c r="K5462" t="s">
        <v>42</v>
      </c>
      <c r="L5462" t="s">
        <v>63</v>
      </c>
      <c r="N5462" t="s">
        <v>64</v>
      </c>
      <c r="O5462" t="s">
        <v>9253</v>
      </c>
      <c r="Q5462">
        <v>27085</v>
      </c>
      <c r="R5462" t="s">
        <v>119</v>
      </c>
      <c r="S5462" t="s">
        <v>9253</v>
      </c>
      <c r="T5462">
        <v>24</v>
      </c>
      <c r="U5462" s="2" t="s">
        <v>33002</v>
      </c>
      <c r="V5462" s="1">
        <v>45316</v>
      </c>
      <c r="W5462" t="s">
        <v>26915</v>
      </c>
      <c r="X5462">
        <v>838272</v>
      </c>
      <c r="Y5462" s="2" t="s">
        <v>33003</v>
      </c>
      <c r="Z5462" s="2" t="s">
        <v>33004</v>
      </c>
      <c r="AA5462" s="2" t="s">
        <v>1727</v>
      </c>
      <c r="AB5462" t="s">
        <v>70</v>
      </c>
      <c r="AC5462" t="s">
        <v>33005</v>
      </c>
      <c r="AD5462" t="s">
        <v>29263</v>
      </c>
      <c r="AE5462" t="s">
        <v>1716</v>
      </c>
      <c r="AG5462" t="s">
        <v>33006</v>
      </c>
      <c r="AH5462" t="s">
        <v>11348</v>
      </c>
      <c r="AI5462" t="s">
        <v>33007</v>
      </c>
    </row>
    <row r="5463" spans="2:35" ht="360">
      <c r="B5463" s="1">
        <v>45316</v>
      </c>
      <c r="C5463" s="4">
        <v>45316.658333333333</v>
      </c>
      <c r="D5463" t="s">
        <v>25030</v>
      </c>
      <c r="E5463" t="s">
        <v>33008</v>
      </c>
      <c r="F5463" t="s">
        <v>148</v>
      </c>
      <c r="G5463" t="s">
        <v>20126</v>
      </c>
      <c r="H5463" t="s">
        <v>39</v>
      </c>
      <c r="I5463" t="s">
        <v>40</v>
      </c>
      <c r="J5463" s="2" t="s">
        <v>31979</v>
      </c>
      <c r="K5463" t="s">
        <v>42</v>
      </c>
      <c r="L5463" t="s">
        <v>15532</v>
      </c>
      <c r="N5463" t="s">
        <v>15533</v>
      </c>
      <c r="Q5463">
        <v>27084</v>
      </c>
      <c r="R5463" t="s">
        <v>119</v>
      </c>
      <c r="S5463" t="s">
        <v>33009</v>
      </c>
      <c r="T5463">
        <v>25</v>
      </c>
      <c r="U5463" s="2" t="s">
        <v>25434</v>
      </c>
      <c r="W5463" t="s">
        <v>33010</v>
      </c>
      <c r="X5463">
        <v>831700</v>
      </c>
      <c r="Y5463" t="s">
        <v>33011</v>
      </c>
      <c r="Z5463" s="2" t="s">
        <v>33012</v>
      </c>
      <c r="AA5463" t="s">
        <v>33013</v>
      </c>
      <c r="AB5463" s="2" t="s">
        <v>15539</v>
      </c>
      <c r="AG5463" t="s">
        <v>33014</v>
      </c>
      <c r="AH5463" t="s">
        <v>33015</v>
      </c>
      <c r="AI5463" t="s">
        <v>33016</v>
      </c>
    </row>
    <row r="5464" spans="2:35" ht="105">
      <c r="B5464" s="1">
        <v>45316</v>
      </c>
      <c r="C5464" s="4">
        <v>45316.622916666667</v>
      </c>
      <c r="D5464" t="s">
        <v>2901</v>
      </c>
      <c r="E5464" t="s">
        <v>33017</v>
      </c>
      <c r="F5464">
        <v>9</v>
      </c>
      <c r="G5464" t="s">
        <v>2903</v>
      </c>
      <c r="H5464" t="s">
        <v>22505</v>
      </c>
      <c r="I5464" t="s">
        <v>94</v>
      </c>
      <c r="J5464" s="2" t="s">
        <v>41</v>
      </c>
      <c r="K5464" t="s">
        <v>42</v>
      </c>
      <c r="L5464" t="s">
        <v>343</v>
      </c>
      <c r="N5464" t="s">
        <v>344</v>
      </c>
      <c r="Q5464">
        <v>27083</v>
      </c>
      <c r="R5464" t="s">
        <v>45</v>
      </c>
      <c r="S5464" t="s">
        <v>2904</v>
      </c>
      <c r="T5464">
        <v>20</v>
      </c>
      <c r="U5464" s="2" t="s">
        <v>24807</v>
      </c>
      <c r="V5464" s="1">
        <v>45316</v>
      </c>
      <c r="W5464" t="s">
        <v>84</v>
      </c>
      <c r="X5464">
        <v>804698</v>
      </c>
      <c r="Y5464" t="s">
        <v>33018</v>
      </c>
      <c r="Z5464" t="s">
        <v>33019</v>
      </c>
      <c r="AA5464" t="e">
        <f ca="1">-module Replacement
-Preventive Maintenance</f>
        <v>#NAME?</v>
      </c>
      <c r="AB5464" t="s">
        <v>9638</v>
      </c>
      <c r="AD5464" t="s">
        <v>10783</v>
      </c>
      <c r="AE5464" t="s">
        <v>45</v>
      </c>
      <c r="AG5464" t="s">
        <v>33020</v>
      </c>
      <c r="AH5464" t="s">
        <v>33021</v>
      </c>
      <c r="AI5464" t="s">
        <v>33022</v>
      </c>
    </row>
    <row r="5465" spans="2:35" ht="409.5">
      <c r="B5465" s="1">
        <v>45316</v>
      </c>
      <c r="C5465" s="4">
        <v>45316.594444444447</v>
      </c>
      <c r="D5465" t="s">
        <v>33023</v>
      </c>
      <c r="E5465" t="s">
        <v>33024</v>
      </c>
      <c r="F5465">
        <v>11</v>
      </c>
      <c r="G5465" t="s">
        <v>1759</v>
      </c>
      <c r="H5465" t="s">
        <v>202</v>
      </c>
      <c r="I5465" t="s">
        <v>94</v>
      </c>
      <c r="J5465" s="2" t="s">
        <v>30202</v>
      </c>
      <c r="K5465" t="s">
        <v>42</v>
      </c>
      <c r="L5465" t="s">
        <v>204</v>
      </c>
      <c r="N5465" t="s">
        <v>205</v>
      </c>
      <c r="O5465" t="s">
        <v>33025</v>
      </c>
      <c r="Q5465">
        <v>27082</v>
      </c>
      <c r="R5465" t="s">
        <v>45</v>
      </c>
      <c r="S5465" t="s">
        <v>33026</v>
      </c>
      <c r="T5465">
        <v>27.6</v>
      </c>
      <c r="U5465" s="2" t="s">
        <v>33027</v>
      </c>
      <c r="W5465" t="s">
        <v>23237</v>
      </c>
      <c r="X5465">
        <v>807360</v>
      </c>
      <c r="Y5465" t="s">
        <v>33028</v>
      </c>
      <c r="Z5465" s="2" t="s">
        <v>33029</v>
      </c>
      <c r="AA5465" t="s">
        <v>33030</v>
      </c>
      <c r="AB5465" t="s">
        <v>33031</v>
      </c>
      <c r="AC5465" t="s">
        <v>33032</v>
      </c>
      <c r="AG5465" t="s">
        <v>33033</v>
      </c>
      <c r="AH5465" t="s">
        <v>33034</v>
      </c>
      <c r="AI5465" t="s">
        <v>33035</v>
      </c>
    </row>
    <row r="5466" spans="2:35" ht="45">
      <c r="B5466" s="1">
        <v>45316</v>
      </c>
      <c r="C5466" s="4">
        <v>45316.59652777778</v>
      </c>
      <c r="D5466" t="s">
        <v>33036</v>
      </c>
      <c r="E5466" t="s">
        <v>1555</v>
      </c>
      <c r="F5466">
        <v>7</v>
      </c>
      <c r="G5466" t="s">
        <v>432</v>
      </c>
      <c r="H5466" t="s">
        <v>39</v>
      </c>
      <c r="I5466" t="s">
        <v>94</v>
      </c>
      <c r="J5466" s="2" t="s">
        <v>1370</v>
      </c>
      <c r="K5466" t="s">
        <v>42</v>
      </c>
      <c r="L5466" t="s">
        <v>594</v>
      </c>
      <c r="N5466" t="s">
        <v>595</v>
      </c>
      <c r="O5466" t="s">
        <v>595</v>
      </c>
      <c r="Q5466">
        <v>27081</v>
      </c>
      <c r="R5466" t="s">
        <v>45</v>
      </c>
      <c r="S5466" t="s">
        <v>1818</v>
      </c>
      <c r="T5466">
        <v>23</v>
      </c>
      <c r="V5466" s="1">
        <v>45316</v>
      </c>
      <c r="W5466" t="s">
        <v>502</v>
      </c>
      <c r="X5466">
        <v>838882</v>
      </c>
      <c r="Y5466" t="s">
        <v>33037</v>
      </c>
      <c r="Z5466" t="s">
        <v>20217</v>
      </c>
      <c r="AA5466" t="s">
        <v>33038</v>
      </c>
      <c r="AB5466" t="s">
        <v>13650</v>
      </c>
      <c r="AG5466" t="s">
        <v>33039</v>
      </c>
      <c r="AH5466" t="s">
        <v>33040</v>
      </c>
      <c r="AI5466" t="s">
        <v>33041</v>
      </c>
    </row>
    <row r="5467" spans="2:35" ht="105">
      <c r="B5467" s="1">
        <v>45316</v>
      </c>
      <c r="C5467" s="4">
        <v>45316.586111111108</v>
      </c>
      <c r="D5467" t="s">
        <v>25967</v>
      </c>
      <c r="E5467" t="s">
        <v>25968</v>
      </c>
      <c r="F5467">
        <v>3</v>
      </c>
      <c r="G5467" t="s">
        <v>174</v>
      </c>
      <c r="H5467" t="s">
        <v>39</v>
      </c>
      <c r="I5467" t="s">
        <v>40</v>
      </c>
      <c r="J5467" t="s">
        <v>79</v>
      </c>
      <c r="K5467" t="s">
        <v>42</v>
      </c>
      <c r="L5467" t="s">
        <v>175</v>
      </c>
      <c r="N5467" t="s">
        <v>176</v>
      </c>
      <c r="Q5467">
        <v>27080</v>
      </c>
      <c r="R5467" t="s">
        <v>119</v>
      </c>
      <c r="S5467" t="s">
        <v>25969</v>
      </c>
      <c r="T5467">
        <v>25</v>
      </c>
      <c r="U5467" s="2" t="s">
        <v>32745</v>
      </c>
      <c r="V5467" s="1">
        <v>45307</v>
      </c>
      <c r="W5467" t="s">
        <v>84</v>
      </c>
      <c r="X5467">
        <v>831691</v>
      </c>
      <c r="Y5467" t="s">
        <v>9897</v>
      </c>
      <c r="Z5467" t="e">
        <f ca="1">- replaced monitor
- performed functionality test
- generated reports</f>
        <v>#NAME?</v>
      </c>
      <c r="AA5467" t="s">
        <v>9899</v>
      </c>
      <c r="AB5467" t="s">
        <v>181</v>
      </c>
      <c r="AD5467" s="2" t="s">
        <v>33042</v>
      </c>
      <c r="AE5467">
        <v>11124</v>
      </c>
      <c r="AG5467" t="s">
        <v>33043</v>
      </c>
      <c r="AH5467" t="s">
        <v>25971</v>
      </c>
      <c r="AI5467" t="s">
        <v>33044</v>
      </c>
    </row>
    <row r="5468" spans="2:35" ht="120">
      <c r="B5468" s="1">
        <v>45316</v>
      </c>
      <c r="C5468" s="4">
        <v>45314.604861111111</v>
      </c>
      <c r="D5468" t="s">
        <v>22944</v>
      </c>
      <c r="E5468" t="s">
        <v>22945</v>
      </c>
      <c r="F5468" t="s">
        <v>148</v>
      </c>
      <c r="G5468" t="s">
        <v>22765</v>
      </c>
      <c r="H5468" t="s">
        <v>39</v>
      </c>
      <c r="I5468" t="s">
        <v>40</v>
      </c>
      <c r="J5468" s="2" t="s">
        <v>6765</v>
      </c>
      <c r="K5468" t="s">
        <v>42</v>
      </c>
      <c r="L5468" t="s">
        <v>175</v>
      </c>
      <c r="N5468" t="s">
        <v>176</v>
      </c>
      <c r="Q5468">
        <v>27077</v>
      </c>
      <c r="R5468" t="s">
        <v>119</v>
      </c>
      <c r="S5468" t="s">
        <v>22946</v>
      </c>
      <c r="T5468">
        <v>25</v>
      </c>
      <c r="U5468" s="2" t="s">
        <v>2367</v>
      </c>
      <c r="V5468" s="1">
        <v>45314</v>
      </c>
      <c r="W5468" t="s">
        <v>84</v>
      </c>
      <c r="X5468">
        <v>831903</v>
      </c>
      <c r="Y5468" t="s">
        <v>998</v>
      </c>
      <c r="Z5468" t="e">
        <f ca="1">- performed XpertCheck on C1, C3 (C2, C4 newly replaced)
- generated reports</f>
        <v>#NAME?</v>
      </c>
      <c r="AA5468" t="s">
        <v>999</v>
      </c>
      <c r="AB5468" s="2" t="s">
        <v>33045</v>
      </c>
      <c r="AD5468" t="s">
        <v>7189</v>
      </c>
      <c r="AE5468" t="s">
        <v>32342</v>
      </c>
      <c r="AG5468" t="s">
        <v>33046</v>
      </c>
      <c r="AH5468" t="s">
        <v>33047</v>
      </c>
      <c r="AI5468" t="s">
        <v>33048</v>
      </c>
    </row>
    <row r="5469" spans="2:35" ht="195">
      <c r="B5469" s="1">
        <v>45316</v>
      </c>
      <c r="C5469" s="4">
        <v>45316.509722222225</v>
      </c>
      <c r="D5469" t="s">
        <v>1769</v>
      </c>
      <c r="E5469" t="s">
        <v>33049</v>
      </c>
      <c r="F5469">
        <v>3</v>
      </c>
      <c r="G5469" t="s">
        <v>174</v>
      </c>
      <c r="H5469" t="s">
        <v>39</v>
      </c>
      <c r="I5469" t="s">
        <v>40</v>
      </c>
      <c r="J5469" s="2" t="s">
        <v>6765</v>
      </c>
      <c r="K5469" t="s">
        <v>42</v>
      </c>
      <c r="L5469" t="s">
        <v>175</v>
      </c>
      <c r="N5469" t="s">
        <v>176</v>
      </c>
      <c r="Q5469">
        <v>27079</v>
      </c>
      <c r="R5469" t="s">
        <v>45</v>
      </c>
      <c r="S5469" t="s">
        <v>1771</v>
      </c>
      <c r="T5469">
        <v>25</v>
      </c>
      <c r="U5469" s="2" t="s">
        <v>33050</v>
      </c>
      <c r="V5469" s="1">
        <v>45316</v>
      </c>
      <c r="W5469" t="s">
        <v>84</v>
      </c>
      <c r="X5469">
        <v>838167</v>
      </c>
      <c r="Y5469" t="s">
        <v>998</v>
      </c>
      <c r="Z5469" t="e">
        <f ca="1">- checked _xludf.and cleaned cartridge bay, plunger rod, _xludf.filter
- performed XpertCheck (except B2 since newly replaced)
- generated reports</f>
        <v>#NAME?</v>
      </c>
      <c r="AA5469" t="s">
        <v>999</v>
      </c>
      <c r="AB5469" s="2" t="s">
        <v>33051</v>
      </c>
      <c r="AD5469" t="s">
        <v>7189</v>
      </c>
      <c r="AE5469" t="s">
        <v>32342</v>
      </c>
      <c r="AG5469" t="s">
        <v>33052</v>
      </c>
      <c r="AH5469" t="s">
        <v>33053</v>
      </c>
      <c r="AI5469" t="s">
        <v>33054</v>
      </c>
    </row>
    <row r="5470" spans="2:35" ht="405">
      <c r="B5470" s="1">
        <v>45316</v>
      </c>
      <c r="C5470" s="4">
        <v>45315.65625</v>
      </c>
      <c r="D5470" t="s">
        <v>228</v>
      </c>
      <c r="E5470" t="s">
        <v>5856</v>
      </c>
      <c r="F5470" t="s">
        <v>148</v>
      </c>
      <c r="G5470" t="s">
        <v>230</v>
      </c>
      <c r="H5470" t="s">
        <v>39</v>
      </c>
      <c r="I5470" t="s">
        <v>40</v>
      </c>
      <c r="J5470" s="2" t="s">
        <v>32477</v>
      </c>
      <c r="K5470" t="s">
        <v>42</v>
      </c>
      <c r="L5470" t="s">
        <v>175</v>
      </c>
      <c r="N5470" t="s">
        <v>176</v>
      </c>
      <c r="Q5470">
        <v>27075</v>
      </c>
      <c r="R5470" t="s">
        <v>45</v>
      </c>
      <c r="S5470" t="s">
        <v>23986</v>
      </c>
      <c r="T5470">
        <v>23</v>
      </c>
      <c r="U5470" s="2" t="s">
        <v>33055</v>
      </c>
      <c r="V5470" s="1">
        <v>45315</v>
      </c>
      <c r="W5470" t="s">
        <v>84</v>
      </c>
      <c r="X5470">
        <v>805062</v>
      </c>
      <c r="Y5470" s="2" t="s">
        <v>33056</v>
      </c>
      <c r="Z5470" t="e">
        <f ca="1">- performed XpertCheck
- generated reports
- checked UPS Back up _xludf.mode</f>
        <v>#NAME?</v>
      </c>
      <c r="AA5470" t="s">
        <v>999</v>
      </c>
      <c r="AB5470" s="2" t="s">
        <v>33057</v>
      </c>
      <c r="AD5470" t="s">
        <v>7189</v>
      </c>
      <c r="AE5470" t="s">
        <v>32342</v>
      </c>
      <c r="AG5470" t="s">
        <v>33058</v>
      </c>
      <c r="AH5470" t="s">
        <v>33059</v>
      </c>
      <c r="AI5470" t="s">
        <v>33060</v>
      </c>
    </row>
    <row r="5471" spans="2:35" ht="120">
      <c r="B5471" s="1">
        <v>45316</v>
      </c>
      <c r="C5471" s="4">
        <v>45314.602083333331</v>
      </c>
      <c r="D5471" t="s">
        <v>22944</v>
      </c>
      <c r="E5471" t="s">
        <v>22945</v>
      </c>
      <c r="F5471" t="s">
        <v>148</v>
      </c>
      <c r="G5471" t="s">
        <v>22765</v>
      </c>
      <c r="H5471" t="s">
        <v>39</v>
      </c>
      <c r="I5471" t="s">
        <v>40</v>
      </c>
      <c r="J5471" s="2" t="s">
        <v>6765</v>
      </c>
      <c r="K5471" t="s">
        <v>42</v>
      </c>
      <c r="L5471" t="s">
        <v>175</v>
      </c>
      <c r="N5471" t="s">
        <v>176</v>
      </c>
      <c r="Q5471">
        <v>27076</v>
      </c>
      <c r="R5471" t="s">
        <v>45</v>
      </c>
      <c r="S5471" t="s">
        <v>22946</v>
      </c>
      <c r="T5471">
        <v>25</v>
      </c>
      <c r="V5471" s="1">
        <v>45314</v>
      </c>
      <c r="W5471" t="s">
        <v>84</v>
      </c>
      <c r="X5471">
        <v>838880</v>
      </c>
      <c r="Y5471" t="s">
        <v>998</v>
      </c>
      <c r="Z5471" t="e">
        <f ca="1">- performed XpertCheck on module B4 (B1, B2, B3 newly replaced)
- generated reports</f>
        <v>#NAME?</v>
      </c>
      <c r="AA5471" t="s">
        <v>5230</v>
      </c>
      <c r="AB5471" s="2" t="s">
        <v>33061</v>
      </c>
      <c r="AD5471" t="s">
        <v>7189</v>
      </c>
      <c r="AE5471" t="s">
        <v>103</v>
      </c>
      <c r="AG5471" t="s">
        <v>33062</v>
      </c>
      <c r="AH5471" t="s">
        <v>33047</v>
      </c>
      <c r="AI5471" t="s">
        <v>33063</v>
      </c>
    </row>
    <row r="5472" spans="2:35" ht="210">
      <c r="B5472" s="1">
        <v>45316</v>
      </c>
      <c r="C5472" s="4">
        <v>45315.65902777778</v>
      </c>
      <c r="D5472" t="s">
        <v>228</v>
      </c>
      <c r="E5472" t="s">
        <v>5856</v>
      </c>
      <c r="F5472" t="s">
        <v>148</v>
      </c>
      <c r="G5472" t="s">
        <v>230</v>
      </c>
      <c r="H5472" t="s">
        <v>39</v>
      </c>
      <c r="I5472" t="s">
        <v>40</v>
      </c>
      <c r="J5472" s="2" t="s">
        <v>31979</v>
      </c>
      <c r="K5472" t="s">
        <v>42</v>
      </c>
      <c r="L5472" t="s">
        <v>175</v>
      </c>
      <c r="N5472" t="s">
        <v>176</v>
      </c>
      <c r="Q5472">
        <v>27078</v>
      </c>
      <c r="R5472" t="s">
        <v>119</v>
      </c>
      <c r="S5472" t="s">
        <v>23986</v>
      </c>
      <c r="T5472">
        <v>23</v>
      </c>
      <c r="U5472" s="2" t="s">
        <v>33064</v>
      </c>
      <c r="W5472" t="s">
        <v>84</v>
      </c>
      <c r="X5472">
        <v>831596</v>
      </c>
      <c r="Y5472" t="s">
        <v>33065</v>
      </c>
      <c r="Z5472" t="e">
        <f ca="1">- performed XpertCheck on C3
- generated reports</f>
        <v>#NAME?</v>
      </c>
      <c r="AA5472" t="s">
        <v>33066</v>
      </c>
      <c r="AB5472" s="2" t="s">
        <v>33067</v>
      </c>
      <c r="AG5472" t="s">
        <v>33068</v>
      </c>
      <c r="AH5472" t="s">
        <v>23990</v>
      </c>
      <c r="AI5472" t="s">
        <v>33069</v>
      </c>
    </row>
    <row r="5473" spans="2:35" ht="270">
      <c r="B5473" s="1">
        <v>45316</v>
      </c>
      <c r="C5473" s="4">
        <v>45316.518750000003</v>
      </c>
      <c r="D5473" t="s">
        <v>25636</v>
      </c>
      <c r="E5473" t="s">
        <v>30562</v>
      </c>
      <c r="F5473">
        <v>2</v>
      </c>
      <c r="G5473" t="s">
        <v>2668</v>
      </c>
      <c r="H5473" t="s">
        <v>39</v>
      </c>
      <c r="I5473" t="s">
        <v>40</v>
      </c>
      <c r="J5473" s="2" t="s">
        <v>1592</v>
      </c>
      <c r="K5473" t="s">
        <v>42</v>
      </c>
      <c r="L5473" t="s">
        <v>63</v>
      </c>
      <c r="N5473" t="s">
        <v>64</v>
      </c>
      <c r="Q5473">
        <v>27074</v>
      </c>
      <c r="R5473" t="s">
        <v>45</v>
      </c>
      <c r="S5473" t="s">
        <v>30563</v>
      </c>
      <c r="T5473">
        <v>22</v>
      </c>
      <c r="U5473" s="2" t="s">
        <v>33070</v>
      </c>
      <c r="V5473" s="1">
        <v>45316</v>
      </c>
      <c r="W5473" t="s">
        <v>26915</v>
      </c>
      <c r="X5473">
        <v>805104</v>
      </c>
      <c r="Y5473" t="s">
        <v>33071</v>
      </c>
      <c r="Z5473" s="2" t="s">
        <v>33072</v>
      </c>
      <c r="AA5473" s="2" t="s">
        <v>33073</v>
      </c>
      <c r="AB5473" t="s">
        <v>70</v>
      </c>
      <c r="AC5473" t="s">
        <v>33074</v>
      </c>
      <c r="AD5473" t="s">
        <v>33075</v>
      </c>
      <c r="AE5473" t="s">
        <v>1716</v>
      </c>
      <c r="AG5473" t="s">
        <v>33076</v>
      </c>
      <c r="AH5473" t="s">
        <v>33077</v>
      </c>
      <c r="AI5473" t="s">
        <v>33078</v>
      </c>
    </row>
    <row r="5474" spans="2:35" ht="150">
      <c r="B5474" s="1">
        <v>45316</v>
      </c>
      <c r="C5474" s="4">
        <v>45316.502083333333</v>
      </c>
      <c r="D5474" t="s">
        <v>22463</v>
      </c>
      <c r="E5474" t="s">
        <v>33079</v>
      </c>
      <c r="F5474" t="s">
        <v>148</v>
      </c>
      <c r="G5474" t="s">
        <v>310</v>
      </c>
      <c r="H5474" t="s">
        <v>39</v>
      </c>
      <c r="I5474" t="s">
        <v>40</v>
      </c>
      <c r="J5474" s="2" t="s">
        <v>41</v>
      </c>
      <c r="K5474" t="s">
        <v>42</v>
      </c>
      <c r="L5474" t="s">
        <v>1943</v>
      </c>
      <c r="N5474" t="s">
        <v>1944</v>
      </c>
      <c r="Q5474">
        <v>27073</v>
      </c>
      <c r="R5474" t="s">
        <v>45</v>
      </c>
      <c r="S5474" t="s">
        <v>32486</v>
      </c>
      <c r="T5474">
        <v>25</v>
      </c>
      <c r="U5474" s="2" t="s">
        <v>16507</v>
      </c>
      <c r="V5474" s="1">
        <v>45313</v>
      </c>
      <c r="W5474" t="s">
        <v>84</v>
      </c>
      <c r="X5474">
        <v>814376</v>
      </c>
      <c r="Y5474" s="2" t="s">
        <v>33080</v>
      </c>
      <c r="Z5474" s="2" t="s">
        <v>33081</v>
      </c>
      <c r="AA5474" t="s">
        <v>22330</v>
      </c>
      <c r="AB5474" t="s">
        <v>88</v>
      </c>
      <c r="AD5474" t="s">
        <v>33082</v>
      </c>
      <c r="AE5474" t="s">
        <v>8904</v>
      </c>
      <c r="AG5474" t="s">
        <v>33083</v>
      </c>
      <c r="AH5474" t="s">
        <v>32491</v>
      </c>
      <c r="AI5474" t="s">
        <v>33084</v>
      </c>
    </row>
    <row r="5475" spans="2:35" ht="150">
      <c r="B5475" s="1">
        <v>45316</v>
      </c>
      <c r="C5475" s="4">
        <v>45316.496527777781</v>
      </c>
      <c r="D5475" t="s">
        <v>22463</v>
      </c>
      <c r="E5475" t="s">
        <v>33079</v>
      </c>
      <c r="F5475" t="s">
        <v>148</v>
      </c>
      <c r="G5475" t="s">
        <v>310</v>
      </c>
      <c r="H5475" t="s">
        <v>39</v>
      </c>
      <c r="I5475" t="s">
        <v>40</v>
      </c>
      <c r="J5475" s="2" t="s">
        <v>41</v>
      </c>
      <c r="K5475" t="s">
        <v>42</v>
      </c>
      <c r="L5475" t="s">
        <v>1943</v>
      </c>
      <c r="N5475" t="s">
        <v>1944</v>
      </c>
      <c r="Q5475">
        <v>27072</v>
      </c>
      <c r="R5475" t="s">
        <v>45</v>
      </c>
      <c r="S5475" t="s">
        <v>32486</v>
      </c>
      <c r="T5475">
        <v>25</v>
      </c>
      <c r="U5475" s="2" t="s">
        <v>16507</v>
      </c>
      <c r="V5475" s="1">
        <v>45313</v>
      </c>
      <c r="W5475" t="s">
        <v>84</v>
      </c>
      <c r="X5475">
        <v>808619</v>
      </c>
      <c r="Y5475" s="2" t="s">
        <v>30687</v>
      </c>
      <c r="Z5475" s="2" t="s">
        <v>33081</v>
      </c>
      <c r="AA5475" t="s">
        <v>22330</v>
      </c>
      <c r="AB5475" t="s">
        <v>88</v>
      </c>
      <c r="AD5475" t="s">
        <v>33085</v>
      </c>
      <c r="AE5475" t="s">
        <v>8904</v>
      </c>
      <c r="AG5475" t="s">
        <v>33086</v>
      </c>
      <c r="AH5475" t="s">
        <v>33087</v>
      </c>
      <c r="AI5475" t="s">
        <v>33088</v>
      </c>
    </row>
    <row r="5476" spans="2:35" ht="409.5">
      <c r="B5476" s="1">
        <v>45316</v>
      </c>
      <c r="C5476" s="4">
        <v>45316.490972222222</v>
      </c>
      <c r="D5476" t="s">
        <v>1335</v>
      </c>
      <c r="E5476" t="s">
        <v>33089</v>
      </c>
      <c r="F5476" t="s">
        <v>148</v>
      </c>
      <c r="G5476" t="s">
        <v>447</v>
      </c>
      <c r="H5476" t="s">
        <v>39</v>
      </c>
      <c r="I5476" t="s">
        <v>40</v>
      </c>
      <c r="J5476" s="2" t="s">
        <v>1006</v>
      </c>
      <c r="K5476" t="s">
        <v>42</v>
      </c>
      <c r="L5476" t="s">
        <v>15532</v>
      </c>
      <c r="N5476" t="s">
        <v>15533</v>
      </c>
      <c r="Q5476">
        <v>27071</v>
      </c>
      <c r="R5476" t="s">
        <v>45</v>
      </c>
      <c r="S5476" t="s">
        <v>1336</v>
      </c>
      <c r="T5476">
        <v>28</v>
      </c>
      <c r="U5476" s="2" t="s">
        <v>33090</v>
      </c>
      <c r="W5476" t="s">
        <v>3244</v>
      </c>
      <c r="X5476">
        <v>808618</v>
      </c>
      <c r="Y5476" s="2" t="s">
        <v>33091</v>
      </c>
      <c r="Z5476" s="2" t="s">
        <v>33092</v>
      </c>
      <c r="AA5476" s="2" t="s">
        <v>33093</v>
      </c>
      <c r="AB5476" s="2" t="s">
        <v>33094</v>
      </c>
      <c r="AC5476" t="s">
        <v>33095</v>
      </c>
      <c r="AG5476" t="s">
        <v>33096</v>
      </c>
      <c r="AH5476" t="s">
        <v>33097</v>
      </c>
      <c r="AI5476" t="s">
        <v>33098</v>
      </c>
    </row>
    <row r="5477" spans="2:35" ht="105">
      <c r="B5477" s="1">
        <v>45315</v>
      </c>
      <c r="C5477" s="4">
        <v>45315.934027777781</v>
      </c>
      <c r="D5477" t="s">
        <v>2327</v>
      </c>
      <c r="E5477" t="s">
        <v>2328</v>
      </c>
      <c r="F5477">
        <v>7</v>
      </c>
      <c r="G5477" t="s">
        <v>432</v>
      </c>
      <c r="H5477" t="s">
        <v>608</v>
      </c>
      <c r="I5477" t="s">
        <v>40</v>
      </c>
      <c r="J5477" t="s">
        <v>79</v>
      </c>
      <c r="K5477" t="s">
        <v>42</v>
      </c>
      <c r="L5477" t="s">
        <v>610</v>
      </c>
      <c r="N5477" t="s">
        <v>611</v>
      </c>
      <c r="Q5477">
        <v>27070</v>
      </c>
      <c r="R5477" t="s">
        <v>119</v>
      </c>
      <c r="S5477" t="s">
        <v>2329</v>
      </c>
      <c r="T5477">
        <v>28</v>
      </c>
      <c r="U5477" s="2" t="s">
        <v>16541</v>
      </c>
      <c r="W5477" t="s">
        <v>360</v>
      </c>
      <c r="X5477">
        <v>838506</v>
      </c>
      <c r="Y5477" t="s">
        <v>33099</v>
      </c>
      <c r="Z5477" t="s">
        <v>33100</v>
      </c>
      <c r="AA5477" t="s">
        <v>33100</v>
      </c>
      <c r="AB5477" t="s">
        <v>1263</v>
      </c>
      <c r="AG5477" t="s">
        <v>33101</v>
      </c>
      <c r="AH5477" t="s">
        <v>13462</v>
      </c>
      <c r="AI5477" t="s">
        <v>33102</v>
      </c>
    </row>
    <row r="5478" spans="2:35" ht="345">
      <c r="B5478" s="1">
        <v>45315</v>
      </c>
      <c r="C5478" s="4">
        <v>45314.64166666667</v>
      </c>
      <c r="D5478" t="s">
        <v>5903</v>
      </c>
      <c r="E5478" t="s">
        <v>33103</v>
      </c>
      <c r="F5478" t="s">
        <v>148</v>
      </c>
      <c r="G5478" t="s">
        <v>447</v>
      </c>
      <c r="H5478" t="s">
        <v>662</v>
      </c>
      <c r="I5478" t="s">
        <v>40</v>
      </c>
      <c r="J5478" t="s">
        <v>109</v>
      </c>
      <c r="K5478" t="s">
        <v>42</v>
      </c>
      <c r="L5478" t="s">
        <v>448</v>
      </c>
      <c r="N5478" t="s">
        <v>650</v>
      </c>
      <c r="Q5478">
        <v>27069</v>
      </c>
      <c r="R5478" t="s">
        <v>322</v>
      </c>
      <c r="S5478" t="s">
        <v>3987</v>
      </c>
      <c r="T5478">
        <v>27</v>
      </c>
      <c r="U5478" s="2" t="s">
        <v>33104</v>
      </c>
      <c r="W5478" t="s">
        <v>4275</v>
      </c>
      <c r="X5478">
        <v>110014171</v>
      </c>
      <c r="Y5478" t="s">
        <v>485</v>
      </c>
      <c r="Z5478" s="2" t="s">
        <v>2011</v>
      </c>
      <c r="AA5478" t="s">
        <v>6997</v>
      </c>
      <c r="AB5478" t="s">
        <v>486</v>
      </c>
      <c r="AG5478" t="s">
        <v>33105</v>
      </c>
      <c r="AH5478" t="s">
        <v>12852</v>
      </c>
      <c r="AI5478" t="s">
        <v>33106</v>
      </c>
    </row>
    <row r="5479" spans="2:35" ht="180">
      <c r="B5479" s="1">
        <v>45315</v>
      </c>
      <c r="C5479" s="4">
        <v>45314.408333333333</v>
      </c>
      <c r="D5479" t="s">
        <v>30354</v>
      </c>
      <c r="E5479" t="s">
        <v>30355</v>
      </c>
      <c r="F5479" t="s">
        <v>148</v>
      </c>
      <c r="G5479" t="s">
        <v>447</v>
      </c>
      <c r="H5479" t="s">
        <v>39</v>
      </c>
      <c r="I5479" t="s">
        <v>40</v>
      </c>
      <c r="J5479" t="s">
        <v>109</v>
      </c>
      <c r="K5479" t="s">
        <v>42</v>
      </c>
      <c r="L5479" t="s">
        <v>448</v>
      </c>
      <c r="N5479" t="s">
        <v>650</v>
      </c>
      <c r="Q5479">
        <v>27068</v>
      </c>
      <c r="R5479" t="s">
        <v>322</v>
      </c>
      <c r="S5479" t="s">
        <v>33107</v>
      </c>
      <c r="T5479">
        <v>28</v>
      </c>
      <c r="U5479" s="2" t="s">
        <v>10764</v>
      </c>
      <c r="W5479" t="s">
        <v>6121</v>
      </c>
      <c r="X5479">
        <v>831610</v>
      </c>
      <c r="Y5479" t="s">
        <v>485</v>
      </c>
      <c r="Z5479" s="2" t="s">
        <v>2011</v>
      </c>
      <c r="AA5479" t="s">
        <v>6997</v>
      </c>
      <c r="AB5479" t="s">
        <v>486</v>
      </c>
      <c r="AG5479" t="s">
        <v>33108</v>
      </c>
      <c r="AH5479" t="s">
        <v>33109</v>
      </c>
      <c r="AI5479" t="s">
        <v>33110</v>
      </c>
    </row>
    <row r="5480" spans="2:35" ht="255">
      <c r="B5480" s="1">
        <v>45315</v>
      </c>
      <c r="C5480" s="4">
        <v>45313.672222222223</v>
      </c>
      <c r="D5480" t="s">
        <v>3679</v>
      </c>
      <c r="E5480" t="s">
        <v>33111</v>
      </c>
      <c r="F5480" t="s">
        <v>148</v>
      </c>
      <c r="G5480" t="s">
        <v>447</v>
      </c>
      <c r="H5480" t="s">
        <v>662</v>
      </c>
      <c r="I5480" t="s">
        <v>94</v>
      </c>
      <c r="J5480" s="2" t="s">
        <v>41</v>
      </c>
      <c r="K5480" t="s">
        <v>42</v>
      </c>
      <c r="L5480" t="s">
        <v>448</v>
      </c>
      <c r="N5480" t="s">
        <v>650</v>
      </c>
      <c r="Q5480">
        <v>27067</v>
      </c>
      <c r="R5480" t="s">
        <v>322</v>
      </c>
      <c r="S5480" t="s">
        <v>3680</v>
      </c>
      <c r="T5480">
        <v>27</v>
      </c>
      <c r="U5480" s="2" t="s">
        <v>33112</v>
      </c>
      <c r="W5480" t="s">
        <v>895</v>
      </c>
      <c r="X5480">
        <v>838655</v>
      </c>
      <c r="Y5480" t="s">
        <v>33113</v>
      </c>
      <c r="Z5480" s="2" t="s">
        <v>2585</v>
      </c>
      <c r="AA5480" t="s">
        <v>20643</v>
      </c>
      <c r="AB5480" t="s">
        <v>486</v>
      </c>
      <c r="AG5480" t="s">
        <v>33114</v>
      </c>
      <c r="AH5480" t="s">
        <v>24218</v>
      </c>
      <c r="AI5480" t="s">
        <v>33115</v>
      </c>
    </row>
    <row r="5481" spans="2:35" ht="255">
      <c r="B5481" s="1">
        <v>45315</v>
      </c>
      <c r="C5481" s="4">
        <v>45315.65625</v>
      </c>
      <c r="D5481" t="s">
        <v>2176</v>
      </c>
      <c r="E5481" t="s">
        <v>33116</v>
      </c>
      <c r="F5481" t="s">
        <v>148</v>
      </c>
      <c r="G5481" t="s">
        <v>447</v>
      </c>
      <c r="H5481" t="s">
        <v>2581</v>
      </c>
      <c r="I5481" t="s">
        <v>40</v>
      </c>
      <c r="J5481" t="s">
        <v>33117</v>
      </c>
      <c r="K5481" t="s">
        <v>42</v>
      </c>
      <c r="L5481" t="s">
        <v>448</v>
      </c>
      <c r="N5481" t="s">
        <v>650</v>
      </c>
      <c r="Q5481">
        <v>27066</v>
      </c>
      <c r="R5481" t="s">
        <v>322</v>
      </c>
      <c r="S5481" t="s">
        <v>2582</v>
      </c>
      <c r="T5481">
        <v>28</v>
      </c>
      <c r="U5481" s="2" t="s">
        <v>33118</v>
      </c>
      <c r="W5481" t="s">
        <v>6804</v>
      </c>
      <c r="X5481">
        <v>110014085</v>
      </c>
      <c r="Y5481" t="s">
        <v>33119</v>
      </c>
      <c r="Z5481" s="2" t="s">
        <v>33120</v>
      </c>
      <c r="AA5481" t="s">
        <v>33121</v>
      </c>
      <c r="AB5481" t="s">
        <v>486</v>
      </c>
      <c r="AC5481" t="s">
        <v>33122</v>
      </c>
      <c r="AG5481" t="s">
        <v>33123</v>
      </c>
      <c r="AH5481" t="s">
        <v>15742</v>
      </c>
      <c r="AI5481" t="s">
        <v>33124</v>
      </c>
    </row>
    <row r="5482" spans="2:35" ht="225">
      <c r="B5482" s="1">
        <v>45315</v>
      </c>
      <c r="C5482" s="4">
        <v>45315.640277777777</v>
      </c>
      <c r="D5482" t="s">
        <v>33125</v>
      </c>
      <c r="E5482" t="s">
        <v>33126</v>
      </c>
      <c r="F5482" t="s">
        <v>148</v>
      </c>
      <c r="G5482" t="s">
        <v>447</v>
      </c>
      <c r="H5482" t="s">
        <v>39</v>
      </c>
      <c r="I5482" t="s">
        <v>40</v>
      </c>
      <c r="J5482" s="2" t="s">
        <v>190</v>
      </c>
      <c r="K5482" t="s">
        <v>42</v>
      </c>
      <c r="L5482" t="s">
        <v>15532</v>
      </c>
      <c r="N5482" t="s">
        <v>15533</v>
      </c>
      <c r="Q5482">
        <v>27065</v>
      </c>
      <c r="R5482" t="s">
        <v>119</v>
      </c>
      <c r="S5482" t="s">
        <v>22606</v>
      </c>
      <c r="T5482">
        <v>24</v>
      </c>
      <c r="W5482" t="s">
        <v>15535</v>
      </c>
      <c r="X5482">
        <v>831586</v>
      </c>
      <c r="Y5482" s="2" t="s">
        <v>33127</v>
      </c>
      <c r="Z5482" s="2" t="s">
        <v>33128</v>
      </c>
      <c r="AA5482" s="2" t="s">
        <v>33129</v>
      </c>
      <c r="AB5482" s="2" t="s">
        <v>30391</v>
      </c>
      <c r="AG5482" t="s">
        <v>33130</v>
      </c>
      <c r="AH5482" t="s">
        <v>33131</v>
      </c>
      <c r="AI5482" t="s">
        <v>33132</v>
      </c>
    </row>
    <row r="5483" spans="2:35" ht="345">
      <c r="B5483" s="1">
        <v>45315</v>
      </c>
      <c r="C5483" s="4">
        <v>45315.636111111111</v>
      </c>
      <c r="D5483" t="s">
        <v>17651</v>
      </c>
      <c r="E5483" t="s">
        <v>16554</v>
      </c>
      <c r="F5483">
        <v>10</v>
      </c>
      <c r="G5483" t="s">
        <v>1395</v>
      </c>
      <c r="H5483" t="s">
        <v>1047</v>
      </c>
      <c r="I5483" t="s">
        <v>40</v>
      </c>
      <c r="J5483" s="2" t="s">
        <v>62</v>
      </c>
      <c r="K5483" t="s">
        <v>42</v>
      </c>
      <c r="L5483" t="s">
        <v>1288</v>
      </c>
      <c r="N5483" t="s">
        <v>1289</v>
      </c>
      <c r="Q5483">
        <v>27064</v>
      </c>
      <c r="R5483" t="s">
        <v>119</v>
      </c>
      <c r="S5483" t="s">
        <v>10801</v>
      </c>
      <c r="T5483">
        <v>26</v>
      </c>
      <c r="U5483" s="2" t="s">
        <v>33133</v>
      </c>
      <c r="W5483" t="s">
        <v>1292</v>
      </c>
      <c r="X5483">
        <v>838269</v>
      </c>
      <c r="Y5483" t="s">
        <v>33134</v>
      </c>
      <c r="Z5483" t="e">
        <f ca="1">-COLLECT IQR, system _xludf.Log, CALIBRATION Data, _xludf.and ARCHIVE</f>
        <v>#NAME?</v>
      </c>
      <c r="AA5483" s="2" t="s">
        <v>33135</v>
      </c>
      <c r="AB5483" t="s">
        <v>1293</v>
      </c>
      <c r="AG5483" t="s">
        <v>33136</v>
      </c>
      <c r="AH5483" t="s">
        <v>17658</v>
      </c>
      <c r="AI5483" t="s">
        <v>33137</v>
      </c>
    </row>
    <row r="5484" spans="2:35">
      <c r="B5484" s="1">
        <v>45315</v>
      </c>
      <c r="C5484" s="4">
        <v>45314.54791666667</v>
      </c>
      <c r="D5484" t="s">
        <v>33138</v>
      </c>
      <c r="E5484" t="s">
        <v>1555</v>
      </c>
      <c r="F5484">
        <v>7</v>
      </c>
      <c r="G5484" t="s">
        <v>432</v>
      </c>
      <c r="H5484" t="s">
        <v>39</v>
      </c>
      <c r="I5484" t="s">
        <v>40</v>
      </c>
      <c r="J5484" t="s">
        <v>79</v>
      </c>
      <c r="K5484" t="s">
        <v>42</v>
      </c>
      <c r="L5484" t="s">
        <v>433</v>
      </c>
      <c r="N5484" t="s">
        <v>434</v>
      </c>
      <c r="Q5484">
        <v>27063</v>
      </c>
      <c r="R5484" t="s">
        <v>45</v>
      </c>
      <c r="S5484" t="s">
        <v>33139</v>
      </c>
      <c r="T5484">
        <v>24</v>
      </c>
      <c r="W5484" t="s">
        <v>1008</v>
      </c>
      <c r="X5484">
        <v>120000180</v>
      </c>
      <c r="Y5484" t="s">
        <v>33140</v>
      </c>
      <c r="Z5484" t="s">
        <v>33141</v>
      </c>
      <c r="AA5484" t="s">
        <v>33141</v>
      </c>
      <c r="AB5484" t="s">
        <v>33142</v>
      </c>
      <c r="AG5484" t="s">
        <v>33143</v>
      </c>
      <c r="AH5484" t="s">
        <v>33144</v>
      </c>
      <c r="AI5484" t="s">
        <v>33145</v>
      </c>
    </row>
    <row r="5485" spans="2:35" ht="120">
      <c r="B5485" s="1">
        <v>45315</v>
      </c>
      <c r="C5485" s="4">
        <v>45315.537499999999</v>
      </c>
      <c r="D5485" t="s">
        <v>26323</v>
      </c>
      <c r="E5485" t="s">
        <v>33146</v>
      </c>
      <c r="F5485" t="s">
        <v>148</v>
      </c>
      <c r="G5485" t="s">
        <v>447</v>
      </c>
      <c r="H5485" t="s">
        <v>39</v>
      </c>
      <c r="I5485" t="s">
        <v>94</v>
      </c>
      <c r="J5485" s="2" t="s">
        <v>41</v>
      </c>
      <c r="K5485" t="s">
        <v>42</v>
      </c>
      <c r="L5485" t="s">
        <v>15532</v>
      </c>
      <c r="N5485" t="s">
        <v>15533</v>
      </c>
      <c r="Q5485">
        <v>27062</v>
      </c>
      <c r="R5485" t="s">
        <v>119</v>
      </c>
      <c r="S5485" t="s">
        <v>33147</v>
      </c>
      <c r="T5485">
        <v>24</v>
      </c>
      <c r="U5485" s="2" t="s">
        <v>21122</v>
      </c>
      <c r="V5485" s="1">
        <v>45315</v>
      </c>
      <c r="W5485" t="s">
        <v>15535</v>
      </c>
      <c r="X5485">
        <v>831597</v>
      </c>
      <c r="Y5485" t="s">
        <v>570</v>
      </c>
      <c r="Z5485" s="2" t="s">
        <v>33148</v>
      </c>
      <c r="AA5485" s="2" t="s">
        <v>33149</v>
      </c>
      <c r="AB5485" s="2" t="s">
        <v>30391</v>
      </c>
      <c r="AD5485" t="s">
        <v>15847</v>
      </c>
      <c r="AE5485" t="s">
        <v>33150</v>
      </c>
      <c r="AG5485" t="s">
        <v>33151</v>
      </c>
      <c r="AH5485" t="s">
        <v>33152</v>
      </c>
      <c r="AI5485" t="s">
        <v>33153</v>
      </c>
    </row>
    <row r="5486" spans="2:35" ht="180">
      <c r="B5486" s="1">
        <v>45315</v>
      </c>
      <c r="C5486" s="4">
        <v>45315.45208333333</v>
      </c>
      <c r="D5486" t="s">
        <v>11255</v>
      </c>
      <c r="E5486" t="s">
        <v>16661</v>
      </c>
      <c r="F5486">
        <v>10</v>
      </c>
      <c r="G5486" t="s">
        <v>8359</v>
      </c>
      <c r="H5486" t="s">
        <v>2125</v>
      </c>
      <c r="I5486" t="s">
        <v>40</v>
      </c>
      <c r="J5486" s="2" t="s">
        <v>41</v>
      </c>
      <c r="K5486" t="s">
        <v>42</v>
      </c>
      <c r="L5486" t="s">
        <v>933</v>
      </c>
      <c r="N5486" t="s">
        <v>934</v>
      </c>
      <c r="Q5486">
        <v>27061</v>
      </c>
      <c r="R5486" t="s">
        <v>119</v>
      </c>
      <c r="S5486" t="s">
        <v>16662</v>
      </c>
      <c r="T5486">
        <v>28</v>
      </c>
      <c r="U5486" s="2" t="s">
        <v>12916</v>
      </c>
      <c r="V5486" s="1">
        <v>45296</v>
      </c>
      <c r="W5486" t="s">
        <v>3662</v>
      </c>
      <c r="X5486">
        <v>838440</v>
      </c>
      <c r="Y5486" t="s">
        <v>17783</v>
      </c>
      <c r="Z5486" t="s">
        <v>301</v>
      </c>
      <c r="AA5486" s="2" t="s">
        <v>33154</v>
      </c>
      <c r="AB5486" t="s">
        <v>2131</v>
      </c>
      <c r="AD5486" t="s">
        <v>17656</v>
      </c>
      <c r="AE5486">
        <v>11035</v>
      </c>
      <c r="AG5486" t="s">
        <v>33155</v>
      </c>
      <c r="AH5486" t="s">
        <v>11263</v>
      </c>
      <c r="AI5486" t="s">
        <v>33156</v>
      </c>
    </row>
    <row r="5487" spans="2:35" ht="240">
      <c r="B5487" s="1">
        <v>45315</v>
      </c>
      <c r="C5487" s="4">
        <v>45308.424305555556</v>
      </c>
      <c r="D5487" t="s">
        <v>4197</v>
      </c>
      <c r="E5487" t="s">
        <v>33157</v>
      </c>
      <c r="F5487" t="s">
        <v>37</v>
      </c>
      <c r="G5487" t="s">
        <v>38</v>
      </c>
      <c r="H5487" t="s">
        <v>39</v>
      </c>
      <c r="I5487" t="s">
        <v>40</v>
      </c>
      <c r="J5487" s="2" t="s">
        <v>31986</v>
      </c>
      <c r="K5487" t="s">
        <v>42</v>
      </c>
      <c r="L5487" t="s">
        <v>43</v>
      </c>
      <c r="N5487" t="s">
        <v>44</v>
      </c>
      <c r="Q5487">
        <v>27060</v>
      </c>
      <c r="R5487" t="s">
        <v>45</v>
      </c>
      <c r="S5487" t="s">
        <v>111</v>
      </c>
      <c r="T5487">
        <v>24</v>
      </c>
      <c r="W5487" t="s">
        <v>48</v>
      </c>
      <c r="X5487">
        <v>838182</v>
      </c>
      <c r="Y5487" t="s">
        <v>121</v>
      </c>
      <c r="Z5487" t="s">
        <v>122</v>
      </c>
      <c r="AA5487" s="2" t="s">
        <v>33158</v>
      </c>
      <c r="AB5487" t="s">
        <v>16412</v>
      </c>
      <c r="AG5487" t="s">
        <v>33159</v>
      </c>
      <c r="AH5487" t="s">
        <v>117</v>
      </c>
      <c r="AI5487" t="s">
        <v>33160</v>
      </c>
    </row>
    <row r="5488" spans="2:35" ht="240">
      <c r="B5488" s="1">
        <v>45315</v>
      </c>
      <c r="C5488" s="4">
        <v>45308.424305555556</v>
      </c>
      <c r="D5488" t="s">
        <v>4197</v>
      </c>
      <c r="E5488" t="s">
        <v>33157</v>
      </c>
      <c r="F5488" t="s">
        <v>37</v>
      </c>
      <c r="G5488" t="s">
        <v>38</v>
      </c>
      <c r="H5488" t="s">
        <v>39</v>
      </c>
      <c r="I5488" t="s">
        <v>40</v>
      </c>
      <c r="J5488" s="2" t="s">
        <v>31986</v>
      </c>
      <c r="K5488" t="s">
        <v>42</v>
      </c>
      <c r="L5488" t="s">
        <v>43</v>
      </c>
      <c r="N5488" t="s">
        <v>44</v>
      </c>
      <c r="Q5488">
        <v>27059</v>
      </c>
      <c r="R5488" t="s">
        <v>45</v>
      </c>
      <c r="S5488" t="s">
        <v>111</v>
      </c>
      <c r="T5488">
        <v>24</v>
      </c>
      <c r="W5488" t="s">
        <v>48</v>
      </c>
      <c r="X5488">
        <v>838182</v>
      </c>
      <c r="Y5488" t="s">
        <v>121</v>
      </c>
      <c r="Z5488" t="s">
        <v>122</v>
      </c>
      <c r="AA5488" s="2" t="s">
        <v>33158</v>
      </c>
      <c r="AB5488" t="s">
        <v>16412</v>
      </c>
      <c r="AG5488" t="s">
        <v>33161</v>
      </c>
      <c r="AH5488" t="s">
        <v>117</v>
      </c>
      <c r="AI5488" t="s">
        <v>33162</v>
      </c>
    </row>
    <row r="5489" spans="2:35" ht="240">
      <c r="B5489" s="1">
        <v>45315</v>
      </c>
      <c r="C5489" s="4">
        <v>45308.424305555556</v>
      </c>
      <c r="D5489" t="s">
        <v>4197</v>
      </c>
      <c r="E5489" t="s">
        <v>33157</v>
      </c>
      <c r="F5489" t="s">
        <v>37</v>
      </c>
      <c r="G5489" t="s">
        <v>38</v>
      </c>
      <c r="H5489" t="s">
        <v>39</v>
      </c>
      <c r="I5489" t="s">
        <v>40</v>
      </c>
      <c r="J5489" s="2" t="s">
        <v>31986</v>
      </c>
      <c r="K5489" t="s">
        <v>42</v>
      </c>
      <c r="L5489" t="s">
        <v>43</v>
      </c>
      <c r="N5489" t="s">
        <v>44</v>
      </c>
      <c r="Q5489">
        <v>27058</v>
      </c>
      <c r="R5489" t="s">
        <v>45</v>
      </c>
      <c r="S5489" t="s">
        <v>111</v>
      </c>
      <c r="T5489">
        <v>24</v>
      </c>
      <c r="W5489" t="s">
        <v>48</v>
      </c>
      <c r="X5489">
        <v>838182</v>
      </c>
      <c r="Y5489" t="s">
        <v>121</v>
      </c>
      <c r="Z5489" t="s">
        <v>122</v>
      </c>
      <c r="AA5489" s="2" t="s">
        <v>33158</v>
      </c>
      <c r="AB5489" t="s">
        <v>16412</v>
      </c>
      <c r="AG5489" t="s">
        <v>33163</v>
      </c>
      <c r="AH5489" t="s">
        <v>117</v>
      </c>
      <c r="AI5489" t="s">
        <v>33164</v>
      </c>
    </row>
    <row r="5490" spans="2:35" ht="240">
      <c r="B5490" s="1">
        <v>45315</v>
      </c>
      <c r="C5490" s="4">
        <v>45308.418749999997</v>
      </c>
      <c r="D5490" t="s">
        <v>4197</v>
      </c>
      <c r="E5490" t="s">
        <v>33157</v>
      </c>
      <c r="F5490" t="s">
        <v>37</v>
      </c>
      <c r="G5490" t="s">
        <v>38</v>
      </c>
      <c r="H5490" t="s">
        <v>39</v>
      </c>
      <c r="I5490" t="s">
        <v>40</v>
      </c>
      <c r="J5490" s="2" t="s">
        <v>31986</v>
      </c>
      <c r="K5490" t="s">
        <v>42</v>
      </c>
      <c r="L5490" t="s">
        <v>43</v>
      </c>
      <c r="N5490" t="s">
        <v>44</v>
      </c>
      <c r="Q5490">
        <v>27057</v>
      </c>
      <c r="R5490" t="s">
        <v>45</v>
      </c>
      <c r="S5490" t="s">
        <v>111</v>
      </c>
      <c r="T5490">
        <v>24</v>
      </c>
      <c r="W5490" t="s">
        <v>48</v>
      </c>
      <c r="X5490">
        <v>804687</v>
      </c>
      <c r="Y5490" t="s">
        <v>121</v>
      </c>
      <c r="Z5490" t="s">
        <v>122</v>
      </c>
      <c r="AA5490" s="2" t="s">
        <v>33158</v>
      </c>
      <c r="AB5490" t="s">
        <v>16412</v>
      </c>
      <c r="AG5490" t="s">
        <v>33165</v>
      </c>
      <c r="AH5490" t="s">
        <v>117</v>
      </c>
      <c r="AI5490" t="s">
        <v>33166</v>
      </c>
    </row>
    <row r="5491" spans="2:35" ht="255">
      <c r="B5491" s="1">
        <v>45314</v>
      </c>
      <c r="C5491" s="4">
        <v>45314.740972222222</v>
      </c>
      <c r="D5491" t="s">
        <v>23371</v>
      </c>
      <c r="E5491" t="s">
        <v>4655</v>
      </c>
      <c r="F5491">
        <v>10</v>
      </c>
      <c r="G5491" t="s">
        <v>1395</v>
      </c>
      <c r="H5491" t="s">
        <v>33167</v>
      </c>
      <c r="I5491" t="s">
        <v>40</v>
      </c>
      <c r="J5491" s="2" t="s">
        <v>190</v>
      </c>
      <c r="K5491" t="s">
        <v>42</v>
      </c>
      <c r="L5491" t="s">
        <v>1288</v>
      </c>
      <c r="N5491" t="s">
        <v>1289</v>
      </c>
      <c r="Q5491">
        <v>27056</v>
      </c>
      <c r="R5491" t="s">
        <v>45</v>
      </c>
      <c r="S5491" t="s">
        <v>31815</v>
      </c>
      <c r="T5491">
        <v>26</v>
      </c>
      <c r="U5491" s="2" t="s">
        <v>33168</v>
      </c>
      <c r="W5491" t="s">
        <v>1292</v>
      </c>
      <c r="X5491">
        <v>804682</v>
      </c>
      <c r="Y5491" t="e">
        <f ca="1">-module B4 H/W Failed</f>
        <v>#NAME?</v>
      </c>
      <c r="Z5491" t="e">
        <f ca="1">-COLLECT IQR, system _xludf.Log, _xludf.and ARCHIVE</f>
        <v>#NAME?</v>
      </c>
      <c r="AA5491" s="2" t="s">
        <v>33169</v>
      </c>
      <c r="AB5491" t="s">
        <v>1293</v>
      </c>
      <c r="AG5491" t="s">
        <v>33170</v>
      </c>
      <c r="AH5491" t="s">
        <v>31819</v>
      </c>
      <c r="AI5491" t="s">
        <v>33171</v>
      </c>
    </row>
    <row r="5492" spans="2:35" ht="409.5">
      <c r="B5492" s="1">
        <v>45314</v>
      </c>
      <c r="C5492" s="4">
        <v>45314.731944444444</v>
      </c>
      <c r="D5492" t="s">
        <v>23371</v>
      </c>
      <c r="E5492" t="s">
        <v>4655</v>
      </c>
      <c r="F5492">
        <v>10</v>
      </c>
      <c r="G5492" t="s">
        <v>1395</v>
      </c>
      <c r="H5492" t="s">
        <v>10969</v>
      </c>
      <c r="I5492" t="s">
        <v>40</v>
      </c>
      <c r="J5492" s="2" t="s">
        <v>1592</v>
      </c>
      <c r="K5492" t="s">
        <v>42</v>
      </c>
      <c r="L5492" t="s">
        <v>1288</v>
      </c>
      <c r="N5492" t="s">
        <v>1289</v>
      </c>
      <c r="Q5492">
        <v>27055</v>
      </c>
      <c r="R5492" t="s">
        <v>45</v>
      </c>
      <c r="S5492" t="s">
        <v>23373</v>
      </c>
      <c r="T5492">
        <v>27</v>
      </c>
      <c r="U5492" s="2" t="s">
        <v>33172</v>
      </c>
      <c r="W5492" t="s">
        <v>16722</v>
      </c>
      <c r="X5492">
        <v>844118</v>
      </c>
      <c r="Y5492" t="e">
        <f ca="1">-module Replacement _xludf.For module A3 _xludf.and module B2</f>
        <v>#NAME?</v>
      </c>
      <c r="Z5492" t="s">
        <v>9107</v>
      </c>
      <c r="AA5492" s="2" t="s">
        <v>33173</v>
      </c>
      <c r="AB5492" t="s">
        <v>1293</v>
      </c>
      <c r="AC5492" t="s">
        <v>33174</v>
      </c>
      <c r="AG5492" t="s">
        <v>33175</v>
      </c>
      <c r="AH5492" t="s">
        <v>23377</v>
      </c>
      <c r="AI5492" t="s">
        <v>33176</v>
      </c>
    </row>
    <row r="5493" spans="2:35" ht="300">
      <c r="B5493" s="1">
        <v>45314</v>
      </c>
      <c r="C5493" s="4">
        <v>45314.726388888892</v>
      </c>
      <c r="D5493" t="s">
        <v>17706</v>
      </c>
      <c r="E5493" t="s">
        <v>33177</v>
      </c>
      <c r="F5493">
        <v>10</v>
      </c>
      <c r="G5493" t="s">
        <v>1395</v>
      </c>
      <c r="H5493" t="s">
        <v>10969</v>
      </c>
      <c r="I5493" t="s">
        <v>40</v>
      </c>
      <c r="J5493" s="2" t="s">
        <v>62</v>
      </c>
      <c r="K5493" t="s">
        <v>42</v>
      </c>
      <c r="L5493" t="s">
        <v>1288</v>
      </c>
      <c r="N5493" t="s">
        <v>1289</v>
      </c>
      <c r="Q5493">
        <v>27054</v>
      </c>
      <c r="R5493" t="s">
        <v>119</v>
      </c>
      <c r="S5493" t="s">
        <v>7078</v>
      </c>
      <c r="T5493">
        <v>27</v>
      </c>
      <c r="U5493" s="2" t="s">
        <v>17780</v>
      </c>
      <c r="W5493" t="s">
        <v>1292</v>
      </c>
      <c r="X5493">
        <v>838575</v>
      </c>
      <c r="Y5493" t="s">
        <v>33178</v>
      </c>
      <c r="Z5493" t="e">
        <f ca="1">-COLLECT IQR,system _xludf.Log, _xludf.and ARCHIVE</f>
        <v>#NAME?</v>
      </c>
      <c r="AA5493" s="2" t="s">
        <v>33179</v>
      </c>
      <c r="AB5493" t="s">
        <v>1293</v>
      </c>
      <c r="AG5493" t="s">
        <v>33180</v>
      </c>
      <c r="AH5493" t="s">
        <v>17710</v>
      </c>
      <c r="AI5493" t="s">
        <v>33181</v>
      </c>
    </row>
    <row r="5494" spans="2:35" ht="225">
      <c r="B5494" s="1">
        <v>45314</v>
      </c>
      <c r="C5494" s="4">
        <v>45314.676388888889</v>
      </c>
      <c r="D5494" t="s">
        <v>1412</v>
      </c>
      <c r="E5494" t="s">
        <v>33182</v>
      </c>
      <c r="F5494">
        <v>5</v>
      </c>
      <c r="G5494" t="s">
        <v>814</v>
      </c>
      <c r="H5494" t="s">
        <v>39</v>
      </c>
      <c r="I5494" t="s">
        <v>40</v>
      </c>
      <c r="J5494" s="2" t="s">
        <v>41</v>
      </c>
      <c r="K5494" t="s">
        <v>42</v>
      </c>
      <c r="L5494" t="s">
        <v>761</v>
      </c>
      <c r="N5494" t="s">
        <v>762</v>
      </c>
      <c r="Q5494">
        <v>27053</v>
      </c>
      <c r="R5494" t="s">
        <v>45</v>
      </c>
      <c r="S5494" t="s">
        <v>1414</v>
      </c>
      <c r="T5494">
        <v>20</v>
      </c>
      <c r="U5494" s="2" t="s">
        <v>33183</v>
      </c>
      <c r="W5494" t="s">
        <v>3662</v>
      </c>
      <c r="X5494">
        <v>807983</v>
      </c>
      <c r="Y5494" t="s">
        <v>33184</v>
      </c>
      <c r="Z5494" s="2" t="s">
        <v>33185</v>
      </c>
      <c r="AA5494" s="2" t="s">
        <v>33186</v>
      </c>
      <c r="AB5494" t="s">
        <v>181</v>
      </c>
      <c r="AG5494" t="s">
        <v>33187</v>
      </c>
      <c r="AH5494" t="s">
        <v>24585</v>
      </c>
      <c r="AI5494" t="s">
        <v>33188</v>
      </c>
    </row>
    <row r="5495" spans="2:35" ht="150">
      <c r="B5495" s="1">
        <v>45314</v>
      </c>
      <c r="C5495" s="4">
        <v>45314.602777777778</v>
      </c>
      <c r="D5495" t="s">
        <v>33189</v>
      </c>
      <c r="E5495" t="s">
        <v>33190</v>
      </c>
      <c r="F5495" t="s">
        <v>148</v>
      </c>
      <c r="G5495" t="s">
        <v>310</v>
      </c>
      <c r="H5495" t="s">
        <v>39</v>
      </c>
      <c r="I5495" t="s">
        <v>40</v>
      </c>
      <c r="J5495" s="2" t="s">
        <v>1808</v>
      </c>
      <c r="K5495" t="s">
        <v>42</v>
      </c>
      <c r="L5495" t="s">
        <v>15532</v>
      </c>
      <c r="N5495" t="s">
        <v>15533</v>
      </c>
      <c r="Q5495">
        <v>27052</v>
      </c>
      <c r="R5495" t="s">
        <v>703</v>
      </c>
      <c r="S5495" t="s">
        <v>33191</v>
      </c>
      <c r="T5495">
        <v>27</v>
      </c>
      <c r="V5495" s="1">
        <v>45282</v>
      </c>
      <c r="W5495" t="s">
        <v>24467</v>
      </c>
      <c r="X5495">
        <v>110022622</v>
      </c>
      <c r="Y5495" t="s">
        <v>8338</v>
      </c>
      <c r="Z5495" s="2" t="s">
        <v>33192</v>
      </c>
      <c r="AA5495" t="s">
        <v>33193</v>
      </c>
      <c r="AB5495" s="2" t="s">
        <v>33194</v>
      </c>
      <c r="AD5495" s="2" t="s">
        <v>33195</v>
      </c>
      <c r="AE5495" t="s">
        <v>33196</v>
      </c>
      <c r="AG5495" t="s">
        <v>33197</v>
      </c>
      <c r="AH5495" t="s">
        <v>33198</v>
      </c>
      <c r="AI5495" t="s">
        <v>33199</v>
      </c>
    </row>
    <row r="5496" spans="2:35" ht="285">
      <c r="B5496" s="1">
        <v>45314</v>
      </c>
      <c r="C5496" s="4">
        <v>45314.583333333336</v>
      </c>
      <c r="D5496" t="s">
        <v>16716</v>
      </c>
      <c r="E5496" t="s">
        <v>1128</v>
      </c>
      <c r="F5496">
        <v>8</v>
      </c>
      <c r="G5496" t="s">
        <v>342</v>
      </c>
      <c r="H5496" t="s">
        <v>202</v>
      </c>
      <c r="I5496" t="s">
        <v>40</v>
      </c>
      <c r="J5496" s="2" t="s">
        <v>62</v>
      </c>
      <c r="K5496" t="s">
        <v>42</v>
      </c>
      <c r="L5496" t="s">
        <v>259</v>
      </c>
      <c r="N5496" t="s">
        <v>260</v>
      </c>
      <c r="Q5496">
        <v>27051</v>
      </c>
      <c r="R5496" t="s">
        <v>119</v>
      </c>
      <c r="S5496" t="s">
        <v>17749</v>
      </c>
      <c r="T5496">
        <v>20</v>
      </c>
      <c r="U5496" s="2" t="s">
        <v>21084</v>
      </c>
      <c r="V5496" s="1">
        <v>45314</v>
      </c>
      <c r="W5496" t="s">
        <v>84</v>
      </c>
      <c r="X5496">
        <v>838421</v>
      </c>
      <c r="Y5496" t="s">
        <v>33200</v>
      </c>
      <c r="Z5496" t="e">
        <f ca="1">- CALIBRATION on B2/617811
- Preventive Maintenance</f>
        <v>#NAME?</v>
      </c>
      <c r="AA5496" s="2" t="s">
        <v>33201</v>
      </c>
      <c r="AB5496" t="s">
        <v>70</v>
      </c>
      <c r="AC5496" t="s">
        <v>24418</v>
      </c>
      <c r="AG5496" t="s">
        <v>33202</v>
      </c>
      <c r="AH5496" t="s">
        <v>17752</v>
      </c>
      <c r="AI5496" t="s">
        <v>33203</v>
      </c>
    </row>
    <row r="5497" spans="2:35" ht="409.5">
      <c r="B5497" s="1">
        <v>45314</v>
      </c>
      <c r="C5497" s="4">
        <v>45314.549305555556</v>
      </c>
      <c r="D5497" t="s">
        <v>6226</v>
      </c>
      <c r="E5497" t="s">
        <v>33204</v>
      </c>
      <c r="F5497">
        <v>11</v>
      </c>
      <c r="G5497" t="s">
        <v>201</v>
      </c>
      <c r="H5497" t="s">
        <v>202</v>
      </c>
      <c r="I5497" t="s">
        <v>40</v>
      </c>
      <c r="J5497" s="2" t="s">
        <v>41</v>
      </c>
      <c r="K5497" t="s">
        <v>42</v>
      </c>
      <c r="L5497" t="s">
        <v>204</v>
      </c>
      <c r="N5497" t="s">
        <v>205</v>
      </c>
      <c r="Q5497">
        <v>27050</v>
      </c>
      <c r="R5497" t="s">
        <v>119</v>
      </c>
      <c r="S5497" t="s">
        <v>6228</v>
      </c>
      <c r="T5497">
        <v>30.5</v>
      </c>
      <c r="U5497" s="2" t="s">
        <v>33205</v>
      </c>
      <c r="V5497" s="1">
        <v>45278</v>
      </c>
      <c r="W5497" t="s">
        <v>23237</v>
      </c>
      <c r="X5497">
        <v>838395</v>
      </c>
      <c r="Y5497" t="s">
        <v>33206</v>
      </c>
      <c r="Z5497" s="2" t="s">
        <v>33207</v>
      </c>
      <c r="AA5497" t="s">
        <v>2560</v>
      </c>
      <c r="AB5497" t="s">
        <v>1211</v>
      </c>
      <c r="AC5497" t="s">
        <v>33208</v>
      </c>
      <c r="AD5497" t="s">
        <v>10253</v>
      </c>
      <c r="AE5497" t="s">
        <v>33209</v>
      </c>
      <c r="AG5497" t="s">
        <v>33210</v>
      </c>
      <c r="AH5497" t="s">
        <v>33211</v>
      </c>
      <c r="AI5497" t="s">
        <v>33212</v>
      </c>
    </row>
    <row r="5498" spans="2:35" ht="409.5">
      <c r="B5498" s="1">
        <v>45314</v>
      </c>
      <c r="C5498" s="4">
        <v>45313.54583333333</v>
      </c>
      <c r="D5498" t="s">
        <v>25306</v>
      </c>
      <c r="E5498" t="s">
        <v>33213</v>
      </c>
      <c r="F5498">
        <v>11</v>
      </c>
      <c r="G5498" t="s">
        <v>2836</v>
      </c>
      <c r="H5498" t="s">
        <v>202</v>
      </c>
      <c r="I5498" t="s">
        <v>94</v>
      </c>
      <c r="J5498" s="2" t="s">
        <v>41</v>
      </c>
      <c r="K5498" t="s">
        <v>42</v>
      </c>
      <c r="L5498" t="s">
        <v>204</v>
      </c>
      <c r="N5498" t="s">
        <v>205</v>
      </c>
      <c r="Q5498">
        <v>27049</v>
      </c>
      <c r="R5498" t="s">
        <v>45</v>
      </c>
      <c r="S5498" t="s">
        <v>31039</v>
      </c>
      <c r="T5498">
        <v>25.7</v>
      </c>
      <c r="U5498" s="2" t="s">
        <v>33214</v>
      </c>
      <c r="W5498" t="s">
        <v>23237</v>
      </c>
      <c r="X5498">
        <v>815270</v>
      </c>
      <c r="Y5498" t="s">
        <v>33215</v>
      </c>
      <c r="Z5498" s="2" t="s">
        <v>33216</v>
      </c>
      <c r="AA5498" t="s">
        <v>10252</v>
      </c>
      <c r="AB5498" t="s">
        <v>33217</v>
      </c>
      <c r="AG5498" t="s">
        <v>33218</v>
      </c>
      <c r="AH5498" t="s">
        <v>31044</v>
      </c>
      <c r="AI5498" t="s">
        <v>33219</v>
      </c>
    </row>
    <row r="5499" spans="2:35" ht="120">
      <c r="B5499" s="1">
        <v>45314</v>
      </c>
      <c r="C5499" s="4">
        <v>45314.444444444445</v>
      </c>
      <c r="D5499" t="s">
        <v>24248</v>
      </c>
      <c r="E5499" t="s">
        <v>33220</v>
      </c>
      <c r="F5499">
        <v>5</v>
      </c>
      <c r="G5499" t="s">
        <v>759</v>
      </c>
      <c r="H5499" t="s">
        <v>39</v>
      </c>
      <c r="I5499" t="s">
        <v>40</v>
      </c>
      <c r="J5499" s="2" t="s">
        <v>41</v>
      </c>
      <c r="K5499" t="s">
        <v>42</v>
      </c>
      <c r="L5499" t="s">
        <v>761</v>
      </c>
      <c r="N5499" t="s">
        <v>762</v>
      </c>
      <c r="Q5499">
        <v>27048</v>
      </c>
      <c r="R5499" t="s">
        <v>45</v>
      </c>
      <c r="S5499" t="s">
        <v>26598</v>
      </c>
      <c r="T5499">
        <v>25</v>
      </c>
      <c r="W5499" t="s">
        <v>3662</v>
      </c>
      <c r="X5499">
        <v>814371</v>
      </c>
      <c r="Y5499" t="s">
        <v>19339</v>
      </c>
      <c r="Z5499" t="s">
        <v>33221</v>
      </c>
      <c r="AA5499" s="2" t="s">
        <v>21579</v>
      </c>
      <c r="AB5499" t="s">
        <v>181</v>
      </c>
      <c r="AG5499" t="s">
        <v>33222</v>
      </c>
      <c r="AH5499" t="s">
        <v>33223</v>
      </c>
      <c r="AI5499" t="s">
        <v>33224</v>
      </c>
    </row>
    <row r="5500" spans="2:35" ht="210">
      <c r="B5500" s="1">
        <v>45313</v>
      </c>
      <c r="C5500" s="4">
        <v>45310.491666666669</v>
      </c>
      <c r="D5500" t="s">
        <v>33225</v>
      </c>
      <c r="E5500" t="s">
        <v>33226</v>
      </c>
      <c r="F5500" t="s">
        <v>37</v>
      </c>
      <c r="G5500" t="s">
        <v>748</v>
      </c>
      <c r="H5500" t="s">
        <v>39</v>
      </c>
      <c r="I5500" t="s">
        <v>40</v>
      </c>
      <c r="J5500" s="2" t="s">
        <v>30202</v>
      </c>
      <c r="K5500" t="s">
        <v>42</v>
      </c>
      <c r="L5500" t="s">
        <v>1028</v>
      </c>
      <c r="N5500" t="s">
        <v>1029</v>
      </c>
      <c r="Q5500">
        <v>27047</v>
      </c>
      <c r="R5500" t="s">
        <v>45</v>
      </c>
      <c r="S5500" t="s">
        <v>33227</v>
      </c>
      <c r="T5500">
        <v>23</v>
      </c>
      <c r="U5500" s="2" t="s">
        <v>33228</v>
      </c>
      <c r="V5500" s="1">
        <v>45306</v>
      </c>
      <c r="W5500" t="s">
        <v>1967</v>
      </c>
      <c r="X5500">
        <v>838139</v>
      </c>
      <c r="Y5500" t="s">
        <v>33229</v>
      </c>
      <c r="Z5500" t="s">
        <v>2129</v>
      </c>
      <c r="AA5500" s="2" t="s">
        <v>33230</v>
      </c>
      <c r="AB5500" t="s">
        <v>33231</v>
      </c>
      <c r="AC5500" t="s">
        <v>33232</v>
      </c>
      <c r="AD5500" t="s">
        <v>18642</v>
      </c>
      <c r="AE5500" t="s">
        <v>33233</v>
      </c>
      <c r="AG5500" t="s">
        <v>33234</v>
      </c>
      <c r="AH5500" t="s">
        <v>33235</v>
      </c>
      <c r="AI5500" t="s">
        <v>33236</v>
      </c>
    </row>
    <row r="5501" spans="2:35" ht="210">
      <c r="B5501" s="1">
        <v>45313</v>
      </c>
      <c r="C5501" s="4">
        <v>45309.37777777778</v>
      </c>
      <c r="D5501" t="s">
        <v>31470</v>
      </c>
      <c r="E5501" t="s">
        <v>33237</v>
      </c>
      <c r="F5501" t="s">
        <v>148</v>
      </c>
      <c r="G5501" t="s">
        <v>4786</v>
      </c>
      <c r="H5501" t="s">
        <v>39</v>
      </c>
      <c r="I5501" t="s">
        <v>40</v>
      </c>
      <c r="J5501" s="2" t="s">
        <v>33238</v>
      </c>
      <c r="K5501" t="s">
        <v>42</v>
      </c>
      <c r="L5501" t="s">
        <v>1028</v>
      </c>
      <c r="N5501" t="s">
        <v>1029</v>
      </c>
      <c r="Q5501">
        <v>27044</v>
      </c>
      <c r="R5501" t="s">
        <v>45</v>
      </c>
      <c r="S5501" t="s">
        <v>32404</v>
      </c>
      <c r="T5501">
        <v>24</v>
      </c>
      <c r="U5501" s="2" t="s">
        <v>33239</v>
      </c>
      <c r="W5501" t="s">
        <v>1967</v>
      </c>
      <c r="X5501">
        <v>804261</v>
      </c>
      <c r="Y5501" t="s">
        <v>33240</v>
      </c>
      <c r="Z5501" t="s">
        <v>33241</v>
      </c>
      <c r="AA5501" s="2" t="s">
        <v>33242</v>
      </c>
      <c r="AB5501" t="s">
        <v>33243</v>
      </c>
      <c r="AG5501" t="s">
        <v>33244</v>
      </c>
      <c r="AH5501" t="s">
        <v>32410</v>
      </c>
      <c r="AI5501" t="s">
        <v>33245</v>
      </c>
    </row>
    <row r="5502" spans="2:35" ht="195">
      <c r="B5502" s="1">
        <v>45313</v>
      </c>
      <c r="C5502" s="4">
        <v>45309.545138888891</v>
      </c>
      <c r="D5502" t="s">
        <v>33246</v>
      </c>
      <c r="E5502" t="s">
        <v>29598</v>
      </c>
      <c r="F5502" t="s">
        <v>37</v>
      </c>
      <c r="G5502" t="s">
        <v>748</v>
      </c>
      <c r="H5502" t="s">
        <v>39</v>
      </c>
      <c r="I5502" t="s">
        <v>40</v>
      </c>
      <c r="J5502" s="2" t="s">
        <v>30202</v>
      </c>
      <c r="K5502" t="s">
        <v>42</v>
      </c>
      <c r="L5502" t="s">
        <v>1028</v>
      </c>
      <c r="N5502" t="s">
        <v>1029</v>
      </c>
      <c r="Q5502">
        <v>27046</v>
      </c>
      <c r="R5502" t="s">
        <v>45</v>
      </c>
      <c r="S5502" t="s">
        <v>29599</v>
      </c>
      <c r="T5502">
        <v>24</v>
      </c>
      <c r="U5502" s="2" t="s">
        <v>33247</v>
      </c>
      <c r="V5502" s="1">
        <v>45306</v>
      </c>
      <c r="W5502" t="s">
        <v>1967</v>
      </c>
      <c r="X5502">
        <v>838166</v>
      </c>
      <c r="Y5502" t="s">
        <v>33248</v>
      </c>
      <c r="Z5502" t="s">
        <v>2129</v>
      </c>
      <c r="AA5502" s="2" t="s">
        <v>33249</v>
      </c>
      <c r="AB5502" t="s">
        <v>33250</v>
      </c>
      <c r="AC5502" t="s">
        <v>33251</v>
      </c>
      <c r="AD5502" t="s">
        <v>182</v>
      </c>
      <c r="AE5502" t="s">
        <v>33252</v>
      </c>
      <c r="AG5502" t="s">
        <v>33253</v>
      </c>
      <c r="AH5502" t="s">
        <v>29602</v>
      </c>
      <c r="AI5502" t="s">
        <v>33254</v>
      </c>
    </row>
    <row r="5503" spans="2:35" ht="195">
      <c r="B5503" s="1">
        <v>45313</v>
      </c>
      <c r="C5503" s="4">
        <v>45309.449305555558</v>
      </c>
      <c r="D5503" t="s">
        <v>26808</v>
      </c>
      <c r="E5503" t="s">
        <v>33255</v>
      </c>
      <c r="F5503" t="s">
        <v>37</v>
      </c>
      <c r="G5503" t="s">
        <v>748</v>
      </c>
      <c r="H5503" t="s">
        <v>39</v>
      </c>
      <c r="I5503" t="s">
        <v>40</v>
      </c>
      <c r="J5503" s="2" t="s">
        <v>30202</v>
      </c>
      <c r="K5503" t="s">
        <v>42</v>
      </c>
      <c r="L5503" t="s">
        <v>1028</v>
      </c>
      <c r="N5503" t="s">
        <v>1029</v>
      </c>
      <c r="Q5503">
        <v>27045</v>
      </c>
      <c r="R5503" t="s">
        <v>119</v>
      </c>
      <c r="S5503" t="s">
        <v>33256</v>
      </c>
      <c r="T5503">
        <v>24</v>
      </c>
      <c r="U5503" s="2" t="s">
        <v>24370</v>
      </c>
      <c r="V5503" s="1">
        <v>45299</v>
      </c>
      <c r="W5503" t="s">
        <v>1967</v>
      </c>
      <c r="X5503">
        <v>820705</v>
      </c>
      <c r="Y5503" t="s">
        <v>33257</v>
      </c>
      <c r="Z5503" t="s">
        <v>2129</v>
      </c>
      <c r="AA5503" s="2" t="s">
        <v>33258</v>
      </c>
      <c r="AB5503" t="s">
        <v>3063</v>
      </c>
      <c r="AC5503" t="s">
        <v>33259</v>
      </c>
      <c r="AD5503" t="s">
        <v>18642</v>
      </c>
      <c r="AE5503">
        <v>11061</v>
      </c>
      <c r="AG5503" t="s">
        <v>33260</v>
      </c>
      <c r="AH5503" t="s">
        <v>33261</v>
      </c>
      <c r="AI5503" t="s">
        <v>33262</v>
      </c>
    </row>
    <row r="5504" spans="2:35" ht="405">
      <c r="B5504" s="1">
        <v>45313</v>
      </c>
      <c r="C5504" s="4">
        <v>45310.390972222223</v>
      </c>
      <c r="D5504" t="s">
        <v>31460</v>
      </c>
      <c r="E5504" t="s">
        <v>33263</v>
      </c>
      <c r="F5504" t="s">
        <v>37</v>
      </c>
      <c r="G5504" t="s">
        <v>748</v>
      </c>
      <c r="H5504" t="s">
        <v>39</v>
      </c>
      <c r="I5504" t="s">
        <v>40</v>
      </c>
      <c r="J5504" s="2" t="s">
        <v>6765</v>
      </c>
      <c r="K5504" t="s">
        <v>42</v>
      </c>
      <c r="L5504" t="s">
        <v>1028</v>
      </c>
      <c r="N5504" t="s">
        <v>1029</v>
      </c>
      <c r="Q5504">
        <v>27043</v>
      </c>
      <c r="R5504" t="s">
        <v>45</v>
      </c>
      <c r="S5504" t="s">
        <v>31462</v>
      </c>
      <c r="T5504">
        <v>25</v>
      </c>
      <c r="U5504" s="2" t="s">
        <v>33264</v>
      </c>
      <c r="W5504" t="s">
        <v>1967</v>
      </c>
      <c r="X5504">
        <v>838893</v>
      </c>
      <c r="Y5504" t="s">
        <v>18140</v>
      </c>
      <c r="Z5504" s="2" t="s">
        <v>28002</v>
      </c>
      <c r="AA5504" s="2" t="s">
        <v>33265</v>
      </c>
      <c r="AB5504" t="s">
        <v>30229</v>
      </c>
      <c r="AC5504" t="s">
        <v>33266</v>
      </c>
      <c r="AG5504" t="s">
        <v>33267</v>
      </c>
      <c r="AH5504" t="s">
        <v>31468</v>
      </c>
      <c r="AI5504" t="s">
        <v>33268</v>
      </c>
    </row>
    <row r="5505" spans="2:35" ht="210">
      <c r="B5505" s="1">
        <v>45313</v>
      </c>
      <c r="C5505" s="4">
        <v>45309.374305555553</v>
      </c>
      <c r="D5505" t="s">
        <v>32402</v>
      </c>
      <c r="E5505" t="s">
        <v>33237</v>
      </c>
      <c r="F5505" t="s">
        <v>148</v>
      </c>
      <c r="G5505" t="s">
        <v>4786</v>
      </c>
      <c r="H5505" t="s">
        <v>39</v>
      </c>
      <c r="I5505" t="s">
        <v>40</v>
      </c>
      <c r="J5505" s="2" t="s">
        <v>6765</v>
      </c>
      <c r="K5505" t="s">
        <v>42</v>
      </c>
      <c r="L5505" t="s">
        <v>1028</v>
      </c>
      <c r="N5505" t="s">
        <v>1029</v>
      </c>
      <c r="Q5505">
        <v>27042</v>
      </c>
      <c r="R5505" t="s">
        <v>45</v>
      </c>
      <c r="S5505" t="s">
        <v>32404</v>
      </c>
      <c r="T5505">
        <v>24</v>
      </c>
      <c r="U5505" s="2" t="s">
        <v>33269</v>
      </c>
      <c r="W5505" t="s">
        <v>1967</v>
      </c>
      <c r="X5505">
        <v>838183</v>
      </c>
      <c r="Y5505" t="s">
        <v>18140</v>
      </c>
      <c r="Z5505" t="s">
        <v>21244</v>
      </c>
      <c r="AA5505" s="2" t="s">
        <v>33270</v>
      </c>
      <c r="AB5505" t="s">
        <v>33271</v>
      </c>
      <c r="AC5505" t="s">
        <v>33272</v>
      </c>
      <c r="AG5505" t="s">
        <v>33273</v>
      </c>
      <c r="AH5505" t="s">
        <v>32410</v>
      </c>
      <c r="AI5505" t="s">
        <v>33274</v>
      </c>
    </row>
    <row r="5506" spans="2:35" ht="240">
      <c r="B5506" s="1">
        <v>45313</v>
      </c>
      <c r="C5506" s="4">
        <v>45308.415277777778</v>
      </c>
      <c r="D5506" t="s">
        <v>4197</v>
      </c>
      <c r="E5506" t="s">
        <v>29029</v>
      </c>
      <c r="F5506" t="s">
        <v>37</v>
      </c>
      <c r="G5506" t="s">
        <v>38</v>
      </c>
      <c r="H5506" t="s">
        <v>39</v>
      </c>
      <c r="I5506" t="s">
        <v>40</v>
      </c>
      <c r="J5506" s="2" t="s">
        <v>31986</v>
      </c>
      <c r="K5506" t="s">
        <v>42</v>
      </c>
      <c r="L5506" t="s">
        <v>43</v>
      </c>
      <c r="N5506" t="s">
        <v>44</v>
      </c>
      <c r="Q5506">
        <v>27041</v>
      </c>
      <c r="R5506" t="s">
        <v>119</v>
      </c>
      <c r="S5506" t="s">
        <v>111</v>
      </c>
      <c r="T5506">
        <v>24</v>
      </c>
      <c r="W5506" t="s">
        <v>48</v>
      </c>
      <c r="X5506">
        <v>831623</v>
      </c>
      <c r="Y5506" t="s">
        <v>121</v>
      </c>
      <c r="Z5506" t="s">
        <v>122</v>
      </c>
      <c r="AA5506" s="2" t="s">
        <v>33158</v>
      </c>
      <c r="AB5506" t="s">
        <v>33275</v>
      </c>
      <c r="AG5506" t="s">
        <v>33276</v>
      </c>
      <c r="AH5506" t="s">
        <v>117</v>
      </c>
      <c r="AI5506" t="s">
        <v>33277</v>
      </c>
    </row>
    <row r="5507" spans="2:35" ht="135">
      <c r="B5507" s="1">
        <v>45313</v>
      </c>
      <c r="C5507" s="4">
        <v>45308.572916666664</v>
      </c>
      <c r="D5507" t="s">
        <v>3719</v>
      </c>
      <c r="E5507" t="s">
        <v>33278</v>
      </c>
      <c r="F5507" t="s">
        <v>148</v>
      </c>
      <c r="G5507" t="s">
        <v>310</v>
      </c>
      <c r="H5507" t="s">
        <v>39</v>
      </c>
      <c r="I5507" t="s">
        <v>40</v>
      </c>
      <c r="J5507" s="2" t="s">
        <v>30202</v>
      </c>
      <c r="K5507" t="s">
        <v>42</v>
      </c>
      <c r="L5507" t="s">
        <v>1943</v>
      </c>
      <c r="N5507" t="s">
        <v>1944</v>
      </c>
      <c r="Q5507">
        <v>27040</v>
      </c>
      <c r="R5507" t="s">
        <v>119</v>
      </c>
      <c r="S5507" t="s">
        <v>3721</v>
      </c>
      <c r="T5507">
        <v>25</v>
      </c>
      <c r="U5507" s="2" t="s">
        <v>33279</v>
      </c>
      <c r="W5507" t="s">
        <v>84</v>
      </c>
      <c r="X5507">
        <v>831644</v>
      </c>
      <c r="Y5507" s="2" t="s">
        <v>33280</v>
      </c>
      <c r="Z5507" s="2" t="s">
        <v>33281</v>
      </c>
      <c r="AA5507" t="s">
        <v>33282</v>
      </c>
      <c r="AB5507" t="s">
        <v>88</v>
      </c>
      <c r="AG5507" t="s">
        <v>33283</v>
      </c>
      <c r="AH5507" t="s">
        <v>27633</v>
      </c>
      <c r="AI5507" t="s">
        <v>33284</v>
      </c>
    </row>
    <row r="5508" spans="2:35" ht="165">
      <c r="B5508" s="1">
        <v>45313</v>
      </c>
      <c r="C5508" s="4">
        <v>45313.623611111114</v>
      </c>
      <c r="D5508" t="s">
        <v>23601</v>
      </c>
      <c r="E5508" t="s">
        <v>23602</v>
      </c>
      <c r="F5508">
        <v>2</v>
      </c>
      <c r="G5508" t="s">
        <v>134</v>
      </c>
      <c r="H5508" t="s">
        <v>39</v>
      </c>
      <c r="I5508" t="s">
        <v>40</v>
      </c>
      <c r="J5508" t="s">
        <v>109</v>
      </c>
      <c r="K5508" t="s">
        <v>42</v>
      </c>
      <c r="L5508" t="s">
        <v>63</v>
      </c>
      <c r="N5508" t="s">
        <v>64</v>
      </c>
      <c r="Q5508">
        <v>27039</v>
      </c>
      <c r="R5508" t="s">
        <v>119</v>
      </c>
      <c r="S5508" t="s">
        <v>23603</v>
      </c>
      <c r="T5508">
        <v>23</v>
      </c>
      <c r="U5508" s="2" t="s">
        <v>33285</v>
      </c>
      <c r="V5508" s="1">
        <v>45313</v>
      </c>
      <c r="W5508" t="s">
        <v>26915</v>
      </c>
      <c r="X5508">
        <v>831902</v>
      </c>
      <c r="Y5508" t="s">
        <v>32195</v>
      </c>
      <c r="Z5508" t="s">
        <v>1716</v>
      </c>
      <c r="AA5508" s="2" t="s">
        <v>1727</v>
      </c>
      <c r="AB5508" t="s">
        <v>70</v>
      </c>
      <c r="AC5508" t="s">
        <v>10841</v>
      </c>
      <c r="AD5508" t="s">
        <v>1716</v>
      </c>
      <c r="AE5508" t="s">
        <v>1716</v>
      </c>
      <c r="AG5508" t="s">
        <v>33286</v>
      </c>
      <c r="AH5508" t="s">
        <v>23608</v>
      </c>
      <c r="AI5508" t="s">
        <v>33287</v>
      </c>
    </row>
    <row r="5509" spans="2:35" ht="120">
      <c r="B5509" s="1">
        <v>45313</v>
      </c>
      <c r="C5509" s="4">
        <v>45313.540277777778</v>
      </c>
      <c r="D5509" t="s">
        <v>10465</v>
      </c>
      <c r="E5509" t="s">
        <v>9173</v>
      </c>
      <c r="F5509">
        <v>13</v>
      </c>
      <c r="G5509" t="s">
        <v>1395</v>
      </c>
      <c r="H5509" t="s">
        <v>2125</v>
      </c>
      <c r="I5509" t="s">
        <v>40</v>
      </c>
      <c r="J5509" s="2" t="s">
        <v>190</v>
      </c>
      <c r="K5509" t="s">
        <v>42</v>
      </c>
      <c r="L5509" t="s">
        <v>933</v>
      </c>
      <c r="N5509" t="s">
        <v>934</v>
      </c>
      <c r="Q5509">
        <v>27038</v>
      </c>
      <c r="R5509" t="s">
        <v>119</v>
      </c>
      <c r="S5509" t="s">
        <v>9174</v>
      </c>
      <c r="T5509">
        <v>27</v>
      </c>
      <c r="U5509" s="2" t="s">
        <v>2483</v>
      </c>
      <c r="W5509" t="s">
        <v>3662</v>
      </c>
      <c r="X5509">
        <v>838557</v>
      </c>
      <c r="Y5509" t="s">
        <v>33288</v>
      </c>
      <c r="Z5509" t="s">
        <v>301</v>
      </c>
      <c r="AA5509" s="2" t="s">
        <v>33289</v>
      </c>
      <c r="AB5509" t="s">
        <v>2131</v>
      </c>
      <c r="AG5509" t="s">
        <v>33290</v>
      </c>
      <c r="AH5509" t="s">
        <v>10469</v>
      </c>
      <c r="AI5509" t="s">
        <v>33291</v>
      </c>
    </row>
    <row r="5510" spans="2:35" ht="360">
      <c r="B5510" s="1">
        <v>45313</v>
      </c>
      <c r="C5510" s="4">
        <v>45306.734722222223</v>
      </c>
      <c r="D5510" t="s">
        <v>10967</v>
      </c>
      <c r="E5510" t="s">
        <v>14481</v>
      </c>
      <c r="F5510">
        <v>7</v>
      </c>
      <c r="G5510" t="s">
        <v>432</v>
      </c>
      <c r="H5510" t="s">
        <v>10969</v>
      </c>
      <c r="I5510" t="s">
        <v>40</v>
      </c>
      <c r="J5510" t="s">
        <v>996</v>
      </c>
      <c r="K5510" t="s">
        <v>42</v>
      </c>
      <c r="L5510" t="s">
        <v>1288</v>
      </c>
      <c r="N5510" t="s">
        <v>1289</v>
      </c>
      <c r="Q5510">
        <v>27037</v>
      </c>
      <c r="R5510" t="s">
        <v>119</v>
      </c>
      <c r="S5510" t="s">
        <v>33292</v>
      </c>
      <c r="T5510">
        <v>25</v>
      </c>
      <c r="U5510" s="2" t="s">
        <v>33293</v>
      </c>
      <c r="W5510" t="s">
        <v>1292</v>
      </c>
      <c r="X5510">
        <v>838508</v>
      </c>
      <c r="Y5510" t="s">
        <v>33294</v>
      </c>
      <c r="Z5510" t="e">
        <f ca="1">-COLLECT IQR, system _xludf.Log, _xludf.and ARCHIVE</f>
        <v>#NAME?</v>
      </c>
      <c r="AA5510" s="2" t="s">
        <v>33295</v>
      </c>
      <c r="AB5510" t="e">
        <f ca="1">-EQUIPMENT is operational</f>
        <v>#NAME?</v>
      </c>
      <c r="AG5510" t="s">
        <v>33296</v>
      </c>
      <c r="AH5510" t="s">
        <v>33297</v>
      </c>
      <c r="AI5510" t="s">
        <v>33298</v>
      </c>
    </row>
    <row r="5511" spans="2:35" ht="135">
      <c r="B5511" s="1">
        <v>45312</v>
      </c>
      <c r="C5511" s="4">
        <v>45310.629166666666</v>
      </c>
      <c r="D5511" t="s">
        <v>30386</v>
      </c>
      <c r="E5511" t="s">
        <v>33299</v>
      </c>
      <c r="F5511" t="s">
        <v>37</v>
      </c>
      <c r="G5511" t="s">
        <v>2499</v>
      </c>
      <c r="H5511" t="s">
        <v>39</v>
      </c>
      <c r="I5511" t="s">
        <v>40</v>
      </c>
      <c r="J5511" s="2" t="s">
        <v>41</v>
      </c>
      <c r="K5511" t="s">
        <v>42</v>
      </c>
      <c r="L5511" t="s">
        <v>15532</v>
      </c>
      <c r="N5511" t="s">
        <v>15533</v>
      </c>
      <c r="Q5511">
        <v>27036</v>
      </c>
      <c r="R5511" t="s">
        <v>45</v>
      </c>
      <c r="S5511" t="s">
        <v>23801</v>
      </c>
      <c r="T5511">
        <v>29</v>
      </c>
      <c r="V5511" s="1">
        <v>45299</v>
      </c>
      <c r="W5511" t="s">
        <v>23974</v>
      </c>
      <c r="X5511">
        <v>808268</v>
      </c>
      <c r="Y5511" t="s">
        <v>962</v>
      </c>
      <c r="Z5511" s="2" t="s">
        <v>33300</v>
      </c>
      <c r="AA5511" s="2" t="s">
        <v>33301</v>
      </c>
      <c r="AB5511" s="2" t="s">
        <v>33302</v>
      </c>
      <c r="AD5511" t="s">
        <v>33303</v>
      </c>
      <c r="AE5511" t="s">
        <v>33304</v>
      </c>
      <c r="AG5511" t="s">
        <v>33305</v>
      </c>
      <c r="AH5511" t="s">
        <v>23806</v>
      </c>
      <c r="AI5511" t="s">
        <v>33306</v>
      </c>
    </row>
    <row r="5512" spans="2:35" ht="195">
      <c r="B5512" s="1">
        <v>45312</v>
      </c>
      <c r="C5512" s="4">
        <v>45309.509027777778</v>
      </c>
      <c r="D5512" t="s">
        <v>2883</v>
      </c>
      <c r="E5512" t="s">
        <v>33307</v>
      </c>
      <c r="F5512" t="s">
        <v>37</v>
      </c>
      <c r="G5512" t="s">
        <v>2499</v>
      </c>
      <c r="H5512" t="s">
        <v>39</v>
      </c>
      <c r="I5512" t="s">
        <v>40</v>
      </c>
      <c r="J5512" s="2" t="s">
        <v>62</v>
      </c>
      <c r="K5512" t="s">
        <v>42</v>
      </c>
      <c r="L5512" t="s">
        <v>15532</v>
      </c>
      <c r="N5512" t="s">
        <v>15533</v>
      </c>
      <c r="Q5512">
        <v>27035</v>
      </c>
      <c r="R5512" t="s">
        <v>119</v>
      </c>
      <c r="S5512" t="s">
        <v>33308</v>
      </c>
      <c r="T5512">
        <v>26</v>
      </c>
      <c r="U5512" s="2" t="s">
        <v>12074</v>
      </c>
      <c r="V5512" s="1">
        <v>45224</v>
      </c>
      <c r="W5512" t="s">
        <v>32112</v>
      </c>
      <c r="X5512">
        <v>831698</v>
      </c>
      <c r="Y5512" t="s">
        <v>998</v>
      </c>
      <c r="Z5512" s="2" t="s">
        <v>33309</v>
      </c>
      <c r="AA5512" t="s">
        <v>999</v>
      </c>
      <c r="AB5512" s="2" t="s">
        <v>23089</v>
      </c>
      <c r="AC5512" t="s">
        <v>33310</v>
      </c>
      <c r="AD5512" t="s">
        <v>7189</v>
      </c>
      <c r="AE5512" t="s">
        <v>33311</v>
      </c>
      <c r="AG5512" t="s">
        <v>33312</v>
      </c>
      <c r="AH5512" t="s">
        <v>33313</v>
      </c>
      <c r="AI5512" t="s">
        <v>33314</v>
      </c>
    </row>
    <row r="5513" spans="2:35" ht="285">
      <c r="B5513" s="1">
        <v>45312</v>
      </c>
      <c r="C5513" s="4">
        <v>45310.775000000001</v>
      </c>
      <c r="D5513" t="s">
        <v>2529</v>
      </c>
      <c r="E5513" t="s">
        <v>33315</v>
      </c>
      <c r="F5513" t="s">
        <v>37</v>
      </c>
      <c r="G5513" t="s">
        <v>2499</v>
      </c>
      <c r="H5513" t="s">
        <v>39</v>
      </c>
      <c r="I5513" t="s">
        <v>40</v>
      </c>
      <c r="J5513" s="2" t="s">
        <v>41</v>
      </c>
      <c r="K5513" t="s">
        <v>42</v>
      </c>
      <c r="L5513" t="s">
        <v>15532</v>
      </c>
      <c r="N5513" t="s">
        <v>15533</v>
      </c>
      <c r="Q5513">
        <v>27034</v>
      </c>
      <c r="R5513" t="s">
        <v>45</v>
      </c>
      <c r="S5513" t="s">
        <v>24036</v>
      </c>
      <c r="T5513">
        <v>29</v>
      </c>
      <c r="V5513" s="1">
        <v>45302</v>
      </c>
      <c r="W5513" t="s">
        <v>33316</v>
      </c>
      <c r="X5513">
        <v>804692</v>
      </c>
      <c r="Y5513" t="s">
        <v>962</v>
      </c>
      <c r="Z5513" s="2" t="s">
        <v>33317</v>
      </c>
      <c r="AA5513" s="2" t="s">
        <v>33318</v>
      </c>
      <c r="AB5513" s="2" t="s">
        <v>15539</v>
      </c>
      <c r="AD5513" t="s">
        <v>21596</v>
      </c>
      <c r="AE5513" t="s">
        <v>33319</v>
      </c>
      <c r="AG5513" t="s">
        <v>33320</v>
      </c>
      <c r="AH5513" t="s">
        <v>33321</v>
      </c>
      <c r="AI5513" t="s">
        <v>33322</v>
      </c>
    </row>
    <row r="5514" spans="2:35" ht="285">
      <c r="B5514" s="1">
        <v>45312</v>
      </c>
      <c r="C5514" s="4">
        <v>45312.888194444444</v>
      </c>
      <c r="D5514" t="s">
        <v>2529</v>
      </c>
      <c r="E5514" t="s">
        <v>33315</v>
      </c>
      <c r="F5514" t="s">
        <v>37</v>
      </c>
      <c r="G5514" t="s">
        <v>2499</v>
      </c>
      <c r="H5514" t="s">
        <v>39</v>
      </c>
      <c r="I5514" t="s">
        <v>40</v>
      </c>
      <c r="J5514" s="2" t="s">
        <v>41</v>
      </c>
      <c r="K5514" t="s">
        <v>42</v>
      </c>
      <c r="L5514" t="s">
        <v>15532</v>
      </c>
      <c r="N5514" t="s">
        <v>15533</v>
      </c>
      <c r="Q5514">
        <v>27033</v>
      </c>
      <c r="R5514" t="s">
        <v>45</v>
      </c>
      <c r="S5514" t="s">
        <v>24036</v>
      </c>
      <c r="T5514">
        <v>29</v>
      </c>
      <c r="U5514" s="2" t="s">
        <v>33323</v>
      </c>
      <c r="V5514" s="1">
        <v>45299</v>
      </c>
      <c r="W5514" t="s">
        <v>33324</v>
      </c>
      <c r="X5514">
        <v>807462</v>
      </c>
      <c r="Y5514" t="s">
        <v>25548</v>
      </c>
      <c r="Z5514" s="2" t="s">
        <v>33325</v>
      </c>
      <c r="AA5514" s="2" t="s">
        <v>33326</v>
      </c>
      <c r="AB5514" s="2" t="s">
        <v>31008</v>
      </c>
      <c r="AC5514" t="s">
        <v>33327</v>
      </c>
      <c r="AD5514" t="s">
        <v>19400</v>
      </c>
      <c r="AE5514" t="s">
        <v>33328</v>
      </c>
      <c r="AG5514" t="s">
        <v>33329</v>
      </c>
      <c r="AH5514" t="s">
        <v>25684</v>
      </c>
      <c r="AI5514" t="s">
        <v>33330</v>
      </c>
    </row>
    <row r="5515" spans="2:35" ht="105">
      <c r="B5515" s="1">
        <v>45312</v>
      </c>
      <c r="C5515" s="4">
        <v>45308.569444444445</v>
      </c>
      <c r="D5515" t="s">
        <v>22119</v>
      </c>
      <c r="E5515" t="s">
        <v>33331</v>
      </c>
      <c r="F5515" t="s">
        <v>37</v>
      </c>
      <c r="G5515" t="s">
        <v>2499</v>
      </c>
      <c r="H5515" t="s">
        <v>39</v>
      </c>
      <c r="I5515" t="s">
        <v>40</v>
      </c>
      <c r="J5515" s="2" t="s">
        <v>41</v>
      </c>
      <c r="K5515" t="s">
        <v>42</v>
      </c>
      <c r="L5515" t="s">
        <v>15532</v>
      </c>
      <c r="N5515" t="s">
        <v>15533</v>
      </c>
      <c r="Q5515">
        <v>27032</v>
      </c>
      <c r="R5515" t="s">
        <v>45</v>
      </c>
      <c r="S5515" t="s">
        <v>22121</v>
      </c>
      <c r="T5515">
        <v>28</v>
      </c>
      <c r="U5515" s="2" t="s">
        <v>33332</v>
      </c>
      <c r="V5515" s="1">
        <v>45300</v>
      </c>
      <c r="W5515" t="s">
        <v>32112</v>
      </c>
      <c r="X5515">
        <v>814155</v>
      </c>
      <c r="Y5515" t="s">
        <v>9897</v>
      </c>
      <c r="Z5515" s="2" t="s">
        <v>33333</v>
      </c>
      <c r="AA5515" s="2" t="s">
        <v>33334</v>
      </c>
      <c r="AB5515" s="2" t="s">
        <v>15539</v>
      </c>
      <c r="AD5515" t="s">
        <v>33335</v>
      </c>
      <c r="AE5515" t="s">
        <v>33336</v>
      </c>
      <c r="AG5515" t="s">
        <v>33337</v>
      </c>
      <c r="AH5515" t="s">
        <v>33338</v>
      </c>
      <c r="AI5515" t="s">
        <v>33339</v>
      </c>
    </row>
    <row r="5516" spans="2:35" ht="330">
      <c r="B5516" s="1">
        <v>45312</v>
      </c>
      <c r="C5516" s="4">
        <v>45310.458333333336</v>
      </c>
      <c r="D5516" t="s">
        <v>22725</v>
      </c>
      <c r="E5516" t="s">
        <v>25094</v>
      </c>
      <c r="F5516">
        <v>1</v>
      </c>
      <c r="G5516" t="s">
        <v>1046</v>
      </c>
      <c r="H5516" t="s">
        <v>1047</v>
      </c>
      <c r="I5516" t="s">
        <v>40</v>
      </c>
      <c r="J5516" s="2" t="s">
        <v>41</v>
      </c>
      <c r="K5516" t="s">
        <v>42</v>
      </c>
      <c r="L5516" t="s">
        <v>1048</v>
      </c>
      <c r="N5516" t="s">
        <v>1049</v>
      </c>
      <c r="Q5516">
        <v>27031</v>
      </c>
      <c r="R5516" t="s">
        <v>45</v>
      </c>
      <c r="S5516" t="s">
        <v>25095</v>
      </c>
      <c r="T5516">
        <v>29</v>
      </c>
      <c r="V5516" s="1">
        <v>45310</v>
      </c>
      <c r="W5516" t="s">
        <v>360</v>
      </c>
      <c r="X5516">
        <v>815394</v>
      </c>
      <c r="Y5516" t="s">
        <v>19339</v>
      </c>
      <c r="Z5516" s="2" t="s">
        <v>33340</v>
      </c>
      <c r="AA5516" t="s">
        <v>19341</v>
      </c>
      <c r="AB5516" t="s">
        <v>181</v>
      </c>
      <c r="AD5516" t="s">
        <v>33341</v>
      </c>
      <c r="AE5516" t="s">
        <v>103</v>
      </c>
      <c r="AG5516" t="s">
        <v>33342</v>
      </c>
      <c r="AH5516" t="s">
        <v>22732</v>
      </c>
      <c r="AI5516" t="s">
        <v>33343</v>
      </c>
    </row>
    <row r="5517" spans="2:35" ht="195">
      <c r="B5517" s="1">
        <v>45312</v>
      </c>
      <c r="C5517" s="4">
        <v>45308.618055555555</v>
      </c>
      <c r="D5517" t="s">
        <v>3030</v>
      </c>
      <c r="E5517" t="s">
        <v>33344</v>
      </c>
      <c r="F5517" t="s">
        <v>37</v>
      </c>
      <c r="G5517" t="s">
        <v>38</v>
      </c>
      <c r="H5517" t="s">
        <v>39</v>
      </c>
      <c r="I5517" t="s">
        <v>40</v>
      </c>
      <c r="J5517" s="2" t="s">
        <v>30202</v>
      </c>
      <c r="K5517" t="s">
        <v>42</v>
      </c>
      <c r="L5517" t="s">
        <v>43</v>
      </c>
      <c r="N5517" t="s">
        <v>44</v>
      </c>
      <c r="Q5517">
        <v>27030</v>
      </c>
      <c r="R5517" t="s">
        <v>45</v>
      </c>
      <c r="S5517" t="s">
        <v>3032</v>
      </c>
      <c r="T5517">
        <v>24</v>
      </c>
      <c r="V5517" s="1">
        <v>45306</v>
      </c>
      <c r="W5517" t="s">
        <v>3178</v>
      </c>
      <c r="X5517">
        <v>842226</v>
      </c>
      <c r="Y5517" s="2" t="s">
        <v>33345</v>
      </c>
      <c r="Z5517" t="s">
        <v>33346</v>
      </c>
      <c r="AA5517" s="2" t="s">
        <v>33347</v>
      </c>
      <c r="AB5517" t="s">
        <v>16412</v>
      </c>
      <c r="AD5517" s="2" t="s">
        <v>33348</v>
      </c>
      <c r="AE5517" t="s">
        <v>33349</v>
      </c>
      <c r="AG5517" t="s">
        <v>33350</v>
      </c>
      <c r="AH5517" t="s">
        <v>3035</v>
      </c>
      <c r="AI5517" t="s">
        <v>33351</v>
      </c>
    </row>
    <row r="5518" spans="2:35" ht="150">
      <c r="B5518" s="1">
        <v>45312</v>
      </c>
      <c r="C5518" s="4">
        <v>45309.529861111114</v>
      </c>
      <c r="D5518" t="s">
        <v>33352</v>
      </c>
      <c r="E5518" t="s">
        <v>29043</v>
      </c>
      <c r="F5518" t="s">
        <v>37</v>
      </c>
      <c r="G5518" t="s">
        <v>2499</v>
      </c>
      <c r="H5518" t="s">
        <v>39</v>
      </c>
      <c r="I5518" t="s">
        <v>40</v>
      </c>
      <c r="J5518" s="2" t="s">
        <v>30202</v>
      </c>
      <c r="K5518" t="s">
        <v>42</v>
      </c>
      <c r="L5518" t="s">
        <v>43</v>
      </c>
      <c r="N5518" t="s">
        <v>44</v>
      </c>
      <c r="Q5518">
        <v>27028</v>
      </c>
      <c r="R5518" t="s">
        <v>45</v>
      </c>
      <c r="S5518" t="s">
        <v>29044</v>
      </c>
      <c r="T5518">
        <v>24</v>
      </c>
      <c r="U5518" s="2" t="s">
        <v>33353</v>
      </c>
      <c r="V5518" s="1">
        <v>45309</v>
      </c>
      <c r="W5518" t="s">
        <v>48</v>
      </c>
      <c r="X5518">
        <v>807608</v>
      </c>
      <c r="Y5518" t="s">
        <v>33354</v>
      </c>
      <c r="Z5518" t="s">
        <v>14377</v>
      </c>
      <c r="AA5518" s="2" t="s">
        <v>33355</v>
      </c>
      <c r="AB5518" t="s">
        <v>16412</v>
      </c>
      <c r="AD5518" s="2" t="s">
        <v>33356</v>
      </c>
      <c r="AE5518" t="s">
        <v>54</v>
      </c>
      <c r="AG5518" t="s">
        <v>33357</v>
      </c>
      <c r="AH5518" t="s">
        <v>29049</v>
      </c>
      <c r="AI5518" t="s">
        <v>33358</v>
      </c>
    </row>
    <row r="5519" spans="2:35" ht="150">
      <c r="B5519" s="1">
        <v>45312</v>
      </c>
      <c r="C5519" s="4">
        <v>45310.576388888891</v>
      </c>
      <c r="D5519" t="s">
        <v>4190</v>
      </c>
      <c r="E5519" t="s">
        <v>33359</v>
      </c>
      <c r="F5519" t="s">
        <v>37</v>
      </c>
      <c r="G5519" t="s">
        <v>38</v>
      </c>
      <c r="H5519" t="s">
        <v>39</v>
      </c>
      <c r="I5519" t="s">
        <v>40</v>
      </c>
      <c r="J5519" s="2" t="s">
        <v>30202</v>
      </c>
      <c r="K5519" t="s">
        <v>42</v>
      </c>
      <c r="L5519" t="s">
        <v>43</v>
      </c>
      <c r="N5519" t="s">
        <v>44</v>
      </c>
      <c r="Q5519">
        <v>27029</v>
      </c>
      <c r="R5519" t="s">
        <v>119</v>
      </c>
      <c r="S5519" t="s">
        <v>4192</v>
      </c>
      <c r="T5519">
        <v>25</v>
      </c>
      <c r="U5519" s="2" t="s">
        <v>11477</v>
      </c>
      <c r="V5519" s="1">
        <v>45299</v>
      </c>
      <c r="W5519" t="s">
        <v>48</v>
      </c>
      <c r="X5519">
        <v>821293</v>
      </c>
      <c r="Y5519" t="s">
        <v>2165</v>
      </c>
      <c r="Z5519" t="s">
        <v>2166</v>
      </c>
      <c r="AA5519" s="2" t="s">
        <v>29992</v>
      </c>
      <c r="AB5519" t="s">
        <v>16412</v>
      </c>
      <c r="AD5519" s="2" t="s">
        <v>33360</v>
      </c>
      <c r="AE5519" t="s">
        <v>33361</v>
      </c>
      <c r="AG5519" t="s">
        <v>33362</v>
      </c>
      <c r="AH5519" t="s">
        <v>27976</v>
      </c>
      <c r="AI5519" t="s">
        <v>33363</v>
      </c>
    </row>
    <row r="5520" spans="2:35" ht="180">
      <c r="B5520" s="1">
        <v>45312</v>
      </c>
      <c r="C5520" s="4">
        <v>45310.476388888892</v>
      </c>
      <c r="D5520" t="s">
        <v>3547</v>
      </c>
      <c r="E5520" t="s">
        <v>27793</v>
      </c>
      <c r="F5520" t="s">
        <v>37</v>
      </c>
      <c r="G5520" t="s">
        <v>38</v>
      </c>
      <c r="H5520" t="s">
        <v>39</v>
      </c>
      <c r="I5520" t="s">
        <v>40</v>
      </c>
      <c r="J5520" s="2" t="s">
        <v>30202</v>
      </c>
      <c r="K5520" t="s">
        <v>42</v>
      </c>
      <c r="L5520" t="s">
        <v>43</v>
      </c>
      <c r="N5520" t="s">
        <v>44</v>
      </c>
      <c r="Q5520">
        <v>27028</v>
      </c>
      <c r="R5520" t="s">
        <v>119</v>
      </c>
      <c r="S5520" t="s">
        <v>33364</v>
      </c>
      <c r="T5520">
        <v>25</v>
      </c>
      <c r="U5520" s="2" t="s">
        <v>33365</v>
      </c>
      <c r="V5520" s="1">
        <v>45299</v>
      </c>
      <c r="W5520" t="s">
        <v>48</v>
      </c>
      <c r="X5520">
        <v>820184</v>
      </c>
      <c r="Y5520" t="s">
        <v>33366</v>
      </c>
      <c r="Z5520" t="s">
        <v>33367</v>
      </c>
      <c r="AA5520" s="2" t="s">
        <v>33368</v>
      </c>
      <c r="AB5520" t="s">
        <v>7543</v>
      </c>
      <c r="AD5520" s="2" t="s">
        <v>33369</v>
      </c>
      <c r="AE5520" t="s">
        <v>33370</v>
      </c>
      <c r="AG5520" t="s">
        <v>33371</v>
      </c>
      <c r="AH5520" t="s">
        <v>3553</v>
      </c>
      <c r="AI5520" t="s">
        <v>33372</v>
      </c>
    </row>
    <row r="5521" spans="2:35" ht="255">
      <c r="B5521" s="1">
        <v>45311</v>
      </c>
      <c r="C5521" s="4">
        <v>45310.616666666669</v>
      </c>
      <c r="D5521" t="s">
        <v>1135</v>
      </c>
      <c r="E5521" t="s">
        <v>23559</v>
      </c>
      <c r="F5521" t="s">
        <v>37</v>
      </c>
      <c r="G5521" t="s">
        <v>38</v>
      </c>
      <c r="H5521" t="s">
        <v>39</v>
      </c>
      <c r="I5521" t="s">
        <v>40</v>
      </c>
      <c r="J5521" s="2" t="s">
        <v>41</v>
      </c>
      <c r="K5521" t="s">
        <v>42</v>
      </c>
      <c r="L5521" t="s">
        <v>448</v>
      </c>
      <c r="N5521" t="s">
        <v>650</v>
      </c>
      <c r="Q5521">
        <v>27027</v>
      </c>
      <c r="R5521" t="s">
        <v>45</v>
      </c>
      <c r="S5521" t="s">
        <v>23555</v>
      </c>
      <c r="T5521">
        <v>27</v>
      </c>
      <c r="U5521" s="2" t="s">
        <v>9200</v>
      </c>
      <c r="V5521" s="1">
        <v>45306</v>
      </c>
      <c r="W5521" t="s">
        <v>1139</v>
      </c>
      <c r="X5521">
        <v>808616</v>
      </c>
      <c r="Y5521" t="s">
        <v>33373</v>
      </c>
      <c r="Z5521" s="2" t="s">
        <v>2585</v>
      </c>
      <c r="AA5521" t="s">
        <v>20643</v>
      </c>
      <c r="AB5521" t="s">
        <v>486</v>
      </c>
      <c r="AD5521" t="s">
        <v>10783</v>
      </c>
      <c r="AE5521" t="s">
        <v>33374</v>
      </c>
      <c r="AG5521" t="s">
        <v>33375</v>
      </c>
      <c r="AH5521" t="s">
        <v>33376</v>
      </c>
      <c r="AI5521" t="s">
        <v>33377</v>
      </c>
    </row>
    <row r="5522" spans="2:35" ht="409.5">
      <c r="B5522" s="1">
        <v>45310</v>
      </c>
      <c r="C5522" s="4">
        <v>45310.500694444447</v>
      </c>
      <c r="D5522" t="s">
        <v>5017</v>
      </c>
      <c r="E5522" t="s">
        <v>33378</v>
      </c>
      <c r="F5522">
        <v>12</v>
      </c>
      <c r="G5522" t="s">
        <v>978</v>
      </c>
      <c r="H5522" t="s">
        <v>1473</v>
      </c>
      <c r="I5522" t="s">
        <v>40</v>
      </c>
      <c r="J5522" s="2" t="s">
        <v>30202</v>
      </c>
      <c r="K5522" t="s">
        <v>42</v>
      </c>
      <c r="L5522" t="s">
        <v>296</v>
      </c>
      <c r="N5522" t="s">
        <v>297</v>
      </c>
      <c r="Q5522">
        <v>27026</v>
      </c>
      <c r="R5522" t="s">
        <v>119</v>
      </c>
      <c r="S5522" t="s">
        <v>5019</v>
      </c>
      <c r="T5522">
        <v>28.2</v>
      </c>
      <c r="U5522" s="2" t="s">
        <v>33379</v>
      </c>
      <c r="V5522" s="1">
        <v>45310</v>
      </c>
      <c r="W5522" t="s">
        <v>23049</v>
      </c>
      <c r="X5522">
        <v>838569</v>
      </c>
      <c r="Y5522" t="s">
        <v>14904</v>
      </c>
      <c r="Z5522" s="2" t="s">
        <v>33380</v>
      </c>
      <c r="AA5522" s="2" t="s">
        <v>25659</v>
      </c>
      <c r="AB5522" t="s">
        <v>972</v>
      </c>
      <c r="AD5522" t="s">
        <v>33381</v>
      </c>
      <c r="AE5522" t="s">
        <v>33382</v>
      </c>
      <c r="AG5522" t="s">
        <v>33383</v>
      </c>
      <c r="AH5522" t="s">
        <v>7713</v>
      </c>
      <c r="AI5522" t="s">
        <v>33384</v>
      </c>
    </row>
    <row r="5523" spans="2:35" ht="75">
      <c r="B5523" s="1">
        <v>45310</v>
      </c>
      <c r="C5523" s="4">
        <v>45310.796527777777</v>
      </c>
      <c r="D5523" t="s">
        <v>6102</v>
      </c>
      <c r="E5523" t="s">
        <v>6103</v>
      </c>
      <c r="F5523">
        <v>8</v>
      </c>
      <c r="G5523" t="s">
        <v>2392</v>
      </c>
      <c r="H5523" t="s">
        <v>39</v>
      </c>
      <c r="I5523" t="s">
        <v>94</v>
      </c>
      <c r="J5523" s="2" t="s">
        <v>220</v>
      </c>
      <c r="K5523" t="s">
        <v>42</v>
      </c>
      <c r="L5523" t="s">
        <v>594</v>
      </c>
      <c r="N5523" t="s">
        <v>595</v>
      </c>
      <c r="O5523" t="s">
        <v>595</v>
      </c>
      <c r="Q5523">
        <v>27025</v>
      </c>
      <c r="R5523" t="s">
        <v>119</v>
      </c>
      <c r="S5523" t="s">
        <v>33385</v>
      </c>
      <c r="T5523">
        <v>23</v>
      </c>
      <c r="V5523" s="1">
        <v>45309</v>
      </c>
      <c r="W5523" t="s">
        <v>502</v>
      </c>
      <c r="X5523">
        <v>838549</v>
      </c>
      <c r="Y5523" t="s">
        <v>33386</v>
      </c>
      <c r="Z5523" t="s">
        <v>33387</v>
      </c>
      <c r="AA5523" t="s">
        <v>33388</v>
      </c>
      <c r="AB5523" t="s">
        <v>9638</v>
      </c>
      <c r="AC5523" t="s">
        <v>33389</v>
      </c>
      <c r="AG5523" t="s">
        <v>33390</v>
      </c>
      <c r="AH5523" t="s">
        <v>33391</v>
      </c>
      <c r="AI5523" t="s">
        <v>33392</v>
      </c>
    </row>
    <row r="5524" spans="2:35" ht="75">
      <c r="B5524" s="1">
        <v>45310</v>
      </c>
      <c r="C5524" s="4">
        <v>45310.786111111112</v>
      </c>
      <c r="D5524" t="s">
        <v>23402</v>
      </c>
      <c r="E5524" t="s">
        <v>6103</v>
      </c>
      <c r="F5524">
        <v>8</v>
      </c>
      <c r="G5524" t="s">
        <v>2392</v>
      </c>
      <c r="H5524" t="s">
        <v>39</v>
      </c>
      <c r="I5524" t="s">
        <v>94</v>
      </c>
      <c r="J5524" s="2" t="s">
        <v>190</v>
      </c>
      <c r="K5524" t="s">
        <v>42</v>
      </c>
      <c r="L5524" t="s">
        <v>594</v>
      </c>
      <c r="N5524" t="s">
        <v>595</v>
      </c>
      <c r="O5524" t="s">
        <v>595</v>
      </c>
      <c r="Q5524">
        <v>27024</v>
      </c>
      <c r="R5524" t="s">
        <v>45</v>
      </c>
      <c r="S5524" t="s">
        <v>23403</v>
      </c>
      <c r="T5524">
        <v>23</v>
      </c>
      <c r="V5524" s="1">
        <v>45309</v>
      </c>
      <c r="W5524" t="s">
        <v>502</v>
      </c>
      <c r="X5524">
        <v>807457</v>
      </c>
      <c r="Y5524" t="s">
        <v>33393</v>
      </c>
      <c r="Z5524" t="s">
        <v>33394</v>
      </c>
      <c r="AA5524" t="s">
        <v>33395</v>
      </c>
      <c r="AB5524" t="s">
        <v>33396</v>
      </c>
      <c r="AC5524" t="s">
        <v>33397</v>
      </c>
      <c r="AG5524" t="s">
        <v>33398</v>
      </c>
      <c r="AH5524" t="s">
        <v>23407</v>
      </c>
      <c r="AI5524" t="s">
        <v>33399</v>
      </c>
    </row>
    <row r="5525" spans="2:35" ht="180">
      <c r="B5525" s="1">
        <v>45310</v>
      </c>
      <c r="C5525" s="4">
        <v>45310.78125</v>
      </c>
      <c r="D5525" t="s">
        <v>23402</v>
      </c>
      <c r="E5525" t="s">
        <v>33400</v>
      </c>
      <c r="F5525">
        <v>8</v>
      </c>
      <c r="G5525" t="s">
        <v>2392</v>
      </c>
      <c r="H5525" t="s">
        <v>39</v>
      </c>
      <c r="I5525" t="s">
        <v>94</v>
      </c>
      <c r="J5525" s="2" t="s">
        <v>220</v>
      </c>
      <c r="K5525" t="s">
        <v>42</v>
      </c>
      <c r="L5525" t="s">
        <v>594</v>
      </c>
      <c r="N5525" t="s">
        <v>595</v>
      </c>
      <c r="O5525" t="s">
        <v>595</v>
      </c>
      <c r="Q5525">
        <v>27023</v>
      </c>
      <c r="R5525" t="s">
        <v>119</v>
      </c>
      <c r="S5525" t="s">
        <v>23403</v>
      </c>
      <c r="T5525">
        <v>23</v>
      </c>
      <c r="V5525" s="1">
        <v>45309</v>
      </c>
      <c r="W5525" t="s">
        <v>502</v>
      </c>
      <c r="X5525">
        <v>838293</v>
      </c>
      <c r="Y5525" s="2" t="s">
        <v>33401</v>
      </c>
      <c r="Z5525" t="s">
        <v>33402</v>
      </c>
      <c r="AA5525" t="s">
        <v>33403</v>
      </c>
      <c r="AB5525" s="2" t="s">
        <v>33404</v>
      </c>
      <c r="AG5525" t="s">
        <v>33405</v>
      </c>
      <c r="AH5525" t="s">
        <v>23407</v>
      </c>
      <c r="AI5525" t="s">
        <v>33406</v>
      </c>
    </row>
    <row r="5526" spans="2:35" ht="210">
      <c r="B5526" s="1">
        <v>45310</v>
      </c>
      <c r="C5526" s="4">
        <v>45310.554166666669</v>
      </c>
      <c r="D5526" t="s">
        <v>1203</v>
      </c>
      <c r="E5526" t="s">
        <v>33407</v>
      </c>
      <c r="F5526">
        <v>11</v>
      </c>
      <c r="G5526" t="s">
        <v>1205</v>
      </c>
      <c r="H5526" t="s">
        <v>1317</v>
      </c>
      <c r="I5526" t="s">
        <v>40</v>
      </c>
      <c r="J5526" s="2" t="s">
        <v>190</v>
      </c>
      <c r="K5526" t="s">
        <v>42</v>
      </c>
      <c r="L5526" t="s">
        <v>204</v>
      </c>
      <c r="N5526" t="s">
        <v>205</v>
      </c>
      <c r="Q5526">
        <v>27022</v>
      </c>
      <c r="R5526" t="s">
        <v>322</v>
      </c>
      <c r="S5526" t="s">
        <v>1206</v>
      </c>
      <c r="T5526">
        <v>23.7</v>
      </c>
      <c r="U5526" s="2" t="s">
        <v>33408</v>
      </c>
      <c r="W5526" t="s">
        <v>23237</v>
      </c>
      <c r="X5526">
        <v>839152</v>
      </c>
      <c r="Y5526" t="s">
        <v>33409</v>
      </c>
      <c r="Z5526" t="s">
        <v>33410</v>
      </c>
      <c r="AA5526" t="s">
        <v>33411</v>
      </c>
      <c r="AB5526" t="s">
        <v>33412</v>
      </c>
      <c r="AC5526" t="s">
        <v>33413</v>
      </c>
      <c r="AG5526" t="s">
        <v>33414</v>
      </c>
      <c r="AH5526" t="s">
        <v>33415</v>
      </c>
      <c r="AI5526" t="s">
        <v>33416</v>
      </c>
    </row>
    <row r="5527" spans="2:35" ht="210">
      <c r="B5527" s="1">
        <v>45310</v>
      </c>
      <c r="C5527" s="4">
        <v>45310.561805555553</v>
      </c>
      <c r="D5527" t="s">
        <v>1203</v>
      </c>
      <c r="E5527" t="s">
        <v>32727</v>
      </c>
      <c r="F5527">
        <v>11</v>
      </c>
      <c r="G5527" t="s">
        <v>1205</v>
      </c>
      <c r="H5527" t="s">
        <v>1317</v>
      </c>
      <c r="I5527" t="s">
        <v>94</v>
      </c>
      <c r="J5527" s="2" t="s">
        <v>190</v>
      </c>
      <c r="K5527" t="s">
        <v>42</v>
      </c>
      <c r="L5527" t="s">
        <v>204</v>
      </c>
      <c r="N5527" t="s">
        <v>205</v>
      </c>
      <c r="Q5527">
        <v>27021</v>
      </c>
      <c r="R5527" t="s">
        <v>45</v>
      </c>
      <c r="S5527" t="s">
        <v>1206</v>
      </c>
      <c r="T5527">
        <v>28.9</v>
      </c>
      <c r="U5527" s="2" t="s">
        <v>33417</v>
      </c>
      <c r="W5527" t="s">
        <v>23237</v>
      </c>
      <c r="X5527">
        <v>808298</v>
      </c>
      <c r="Y5527" t="s">
        <v>33418</v>
      </c>
      <c r="Z5527" t="s">
        <v>33419</v>
      </c>
      <c r="AA5527" t="s">
        <v>33420</v>
      </c>
      <c r="AB5527" t="s">
        <v>33421</v>
      </c>
      <c r="AC5527" t="s">
        <v>33422</v>
      </c>
      <c r="AG5527" t="s">
        <v>33423</v>
      </c>
      <c r="AH5527" t="s">
        <v>33424</v>
      </c>
      <c r="AI5527" t="s">
        <v>33425</v>
      </c>
    </row>
    <row r="5528" spans="2:35" ht="75">
      <c r="B5528" s="1">
        <v>45310</v>
      </c>
      <c r="C5528" s="4">
        <v>45310.597916666666</v>
      </c>
      <c r="D5528" t="s">
        <v>9682</v>
      </c>
      <c r="E5528" t="s">
        <v>13246</v>
      </c>
      <c r="F5528">
        <v>9</v>
      </c>
      <c r="G5528" t="s">
        <v>2197</v>
      </c>
      <c r="H5528" t="s">
        <v>39</v>
      </c>
      <c r="I5528" t="s">
        <v>94</v>
      </c>
      <c r="J5528" s="2" t="s">
        <v>17375</v>
      </c>
      <c r="K5528" t="s">
        <v>42</v>
      </c>
      <c r="L5528" t="s">
        <v>1257</v>
      </c>
      <c r="N5528" t="s">
        <v>2199</v>
      </c>
      <c r="O5528" t="s">
        <v>1258</v>
      </c>
      <c r="Q5528">
        <v>27020</v>
      </c>
      <c r="R5528" t="s">
        <v>119</v>
      </c>
      <c r="S5528" t="s">
        <v>13247</v>
      </c>
      <c r="T5528">
        <v>27</v>
      </c>
      <c r="V5528" s="1">
        <v>45280</v>
      </c>
      <c r="W5528" t="s">
        <v>2384</v>
      </c>
      <c r="X5528">
        <v>838568</v>
      </c>
      <c r="Y5528" t="s">
        <v>28696</v>
      </c>
      <c r="Z5528" t="s">
        <v>33426</v>
      </c>
      <c r="AA5528" t="s">
        <v>33427</v>
      </c>
      <c r="AB5528" t="s">
        <v>15310</v>
      </c>
      <c r="AC5528" t="s">
        <v>301</v>
      </c>
      <c r="AD5528" t="s">
        <v>10783</v>
      </c>
      <c r="AE5528">
        <v>10993</v>
      </c>
      <c r="AG5528" t="s">
        <v>33428</v>
      </c>
      <c r="AH5528" t="s">
        <v>13254</v>
      </c>
      <c r="AI5528" t="s">
        <v>33429</v>
      </c>
    </row>
    <row r="5529" spans="2:35" ht="75">
      <c r="B5529" s="1">
        <v>45310</v>
      </c>
      <c r="C5529" s="4">
        <v>45310.597916666666</v>
      </c>
      <c r="D5529" t="s">
        <v>9682</v>
      </c>
      <c r="E5529" t="s">
        <v>13246</v>
      </c>
      <c r="F5529">
        <v>9</v>
      </c>
      <c r="G5529" t="s">
        <v>2197</v>
      </c>
      <c r="H5529" t="s">
        <v>39</v>
      </c>
      <c r="I5529" t="s">
        <v>94</v>
      </c>
      <c r="J5529" s="2" t="s">
        <v>17375</v>
      </c>
      <c r="K5529" t="s">
        <v>42</v>
      </c>
      <c r="L5529" t="s">
        <v>1257</v>
      </c>
      <c r="N5529" t="s">
        <v>2199</v>
      </c>
      <c r="O5529" t="s">
        <v>1258</v>
      </c>
      <c r="Q5529">
        <v>27019</v>
      </c>
      <c r="R5529" t="s">
        <v>119</v>
      </c>
      <c r="S5529" t="s">
        <v>13247</v>
      </c>
      <c r="T5529">
        <v>27</v>
      </c>
      <c r="V5529" s="1">
        <v>45280</v>
      </c>
      <c r="W5529" t="s">
        <v>2384</v>
      </c>
      <c r="X5529">
        <v>838568</v>
      </c>
      <c r="Y5529" t="s">
        <v>28696</v>
      </c>
      <c r="Z5529" t="s">
        <v>33426</v>
      </c>
      <c r="AA5529" t="s">
        <v>33427</v>
      </c>
      <c r="AB5529" t="s">
        <v>15310</v>
      </c>
      <c r="AC5529" t="s">
        <v>301</v>
      </c>
      <c r="AD5529" t="s">
        <v>10783</v>
      </c>
      <c r="AE5529">
        <v>10993</v>
      </c>
      <c r="AG5529" t="s">
        <v>33430</v>
      </c>
      <c r="AH5529" t="s">
        <v>13254</v>
      </c>
      <c r="AI5529" t="s">
        <v>33431</v>
      </c>
    </row>
    <row r="5530" spans="2:35" ht="255">
      <c r="B5530" s="1">
        <v>45310</v>
      </c>
      <c r="C5530" s="4">
        <v>45307.536805555559</v>
      </c>
      <c r="D5530" t="s">
        <v>3279</v>
      </c>
      <c r="E5530" t="s">
        <v>3280</v>
      </c>
      <c r="F5530">
        <v>3</v>
      </c>
      <c r="G5530" t="s">
        <v>730</v>
      </c>
      <c r="H5530" t="s">
        <v>39</v>
      </c>
      <c r="I5530" t="s">
        <v>40</v>
      </c>
      <c r="J5530" s="2" t="s">
        <v>41</v>
      </c>
      <c r="K5530" t="s">
        <v>42</v>
      </c>
      <c r="L5530" t="s">
        <v>135</v>
      </c>
      <c r="N5530" t="s">
        <v>136</v>
      </c>
      <c r="Q5530">
        <v>27018</v>
      </c>
      <c r="R5530" t="s">
        <v>119</v>
      </c>
      <c r="S5530" t="s">
        <v>3281</v>
      </c>
      <c r="T5530">
        <v>29</v>
      </c>
      <c r="U5530" s="2" t="s">
        <v>33432</v>
      </c>
      <c r="V5530" s="1">
        <v>45296</v>
      </c>
      <c r="W5530" t="s">
        <v>2680</v>
      </c>
      <c r="X5530">
        <v>831672</v>
      </c>
      <c r="Y5530" t="s">
        <v>33433</v>
      </c>
      <c r="Z5530" s="2" t="s">
        <v>29539</v>
      </c>
      <c r="AA5530" s="2" t="s">
        <v>33434</v>
      </c>
      <c r="AB5530" t="s">
        <v>181</v>
      </c>
      <c r="AD5530" t="s">
        <v>33435</v>
      </c>
      <c r="AE5530">
        <v>11048</v>
      </c>
      <c r="AG5530" t="s">
        <v>33436</v>
      </c>
      <c r="AH5530" t="s">
        <v>3284</v>
      </c>
      <c r="AI5530" t="s">
        <v>33437</v>
      </c>
    </row>
    <row r="5531" spans="2:35" ht="255">
      <c r="B5531" s="1">
        <v>45310</v>
      </c>
      <c r="C5531" s="4">
        <v>45307.536805555559</v>
      </c>
      <c r="D5531" t="s">
        <v>3279</v>
      </c>
      <c r="E5531" t="s">
        <v>3280</v>
      </c>
      <c r="F5531">
        <v>3</v>
      </c>
      <c r="G5531" t="s">
        <v>730</v>
      </c>
      <c r="H5531" t="s">
        <v>39</v>
      </c>
      <c r="I5531" t="s">
        <v>40</v>
      </c>
      <c r="J5531" s="2" t="s">
        <v>30202</v>
      </c>
      <c r="K5531" t="s">
        <v>42</v>
      </c>
      <c r="L5531" t="s">
        <v>135</v>
      </c>
      <c r="N5531" t="s">
        <v>136</v>
      </c>
      <c r="Q5531">
        <v>27017</v>
      </c>
      <c r="R5531" t="s">
        <v>119</v>
      </c>
      <c r="S5531" t="s">
        <v>3281</v>
      </c>
      <c r="T5531">
        <v>29</v>
      </c>
      <c r="U5531" s="2" t="s">
        <v>33432</v>
      </c>
      <c r="V5531" s="1">
        <v>45296</v>
      </c>
      <c r="W5531" t="s">
        <v>2680</v>
      </c>
      <c r="X5531">
        <v>831672</v>
      </c>
      <c r="Y5531" t="s">
        <v>33433</v>
      </c>
      <c r="Z5531" s="2" t="s">
        <v>29539</v>
      </c>
      <c r="AA5531" s="2" t="s">
        <v>33434</v>
      </c>
      <c r="AB5531" t="s">
        <v>181</v>
      </c>
      <c r="AD5531" t="s">
        <v>33435</v>
      </c>
      <c r="AE5531">
        <v>11048</v>
      </c>
      <c r="AG5531" t="s">
        <v>33438</v>
      </c>
      <c r="AH5531" t="s">
        <v>3284</v>
      </c>
      <c r="AI5531" t="s">
        <v>33439</v>
      </c>
    </row>
    <row r="5532" spans="2:35" ht="105">
      <c r="B5532" s="1">
        <v>45310</v>
      </c>
      <c r="C5532" s="4">
        <v>45310.539583333331</v>
      </c>
      <c r="D5532" t="s">
        <v>10170</v>
      </c>
      <c r="E5532" t="s">
        <v>10171</v>
      </c>
      <c r="F5532">
        <v>7</v>
      </c>
      <c r="G5532" t="s">
        <v>432</v>
      </c>
      <c r="H5532" t="s">
        <v>608</v>
      </c>
      <c r="I5532" t="s">
        <v>40</v>
      </c>
      <c r="J5532" t="s">
        <v>109</v>
      </c>
      <c r="K5532" t="s">
        <v>42</v>
      </c>
      <c r="L5532" t="s">
        <v>610</v>
      </c>
      <c r="N5532" t="s">
        <v>611</v>
      </c>
      <c r="Q5532">
        <v>27016</v>
      </c>
      <c r="R5532" t="s">
        <v>119</v>
      </c>
      <c r="S5532" t="s">
        <v>6211</v>
      </c>
      <c r="T5532">
        <v>28</v>
      </c>
      <c r="U5532" s="2" t="s">
        <v>33440</v>
      </c>
      <c r="W5532" t="s">
        <v>360</v>
      </c>
      <c r="X5532">
        <v>838534</v>
      </c>
      <c r="Y5532" t="s">
        <v>33441</v>
      </c>
      <c r="Z5532" t="s">
        <v>33442</v>
      </c>
      <c r="AA5532" t="s">
        <v>33443</v>
      </c>
      <c r="AB5532" t="s">
        <v>1263</v>
      </c>
      <c r="AG5532" t="s">
        <v>33444</v>
      </c>
      <c r="AH5532" t="s">
        <v>10175</v>
      </c>
      <c r="AI5532" t="s">
        <v>33445</v>
      </c>
    </row>
    <row r="5533" spans="2:35">
      <c r="B5533" s="1">
        <v>45310</v>
      </c>
      <c r="C5533" s="4">
        <v>45310.536111111112</v>
      </c>
      <c r="D5533" t="s">
        <v>31107</v>
      </c>
      <c r="E5533" t="s">
        <v>1298</v>
      </c>
      <c r="F5533">
        <v>6</v>
      </c>
      <c r="G5533" t="s">
        <v>1286</v>
      </c>
      <c r="H5533" t="s">
        <v>12018</v>
      </c>
      <c r="I5533" t="s">
        <v>40</v>
      </c>
      <c r="J5533" t="s">
        <v>79</v>
      </c>
      <c r="K5533" t="s">
        <v>387</v>
      </c>
      <c r="L5533" t="s">
        <v>1288</v>
      </c>
      <c r="N5533" t="s">
        <v>1289</v>
      </c>
      <c r="Q5533">
        <v>27015</v>
      </c>
      <c r="R5533" t="s">
        <v>95</v>
      </c>
      <c r="S5533" t="s">
        <v>31108</v>
      </c>
      <c r="T5533">
        <v>22</v>
      </c>
      <c r="W5533" t="s">
        <v>390</v>
      </c>
      <c r="X5533" t="s">
        <v>14171</v>
      </c>
      <c r="Y5533" t="e">
        <f ca="1">-centrifuge WINDOW noise during operation</f>
        <v>#NAME?</v>
      </c>
      <c r="Z5533" t="e">
        <f ca="1">-PERFORM functionality test, passed</f>
        <v>#NAME?</v>
      </c>
      <c r="AA5533" t="e">
        <f ca="1">-PERFORM centrifuge cover adjustment</f>
        <v>#NAME?</v>
      </c>
      <c r="AB5533" t="s">
        <v>1293</v>
      </c>
      <c r="AG5533" t="s">
        <v>33446</v>
      </c>
      <c r="AH5533" t="s">
        <v>31111</v>
      </c>
      <c r="AI5533" t="s">
        <v>33447</v>
      </c>
    </row>
    <row r="5534" spans="2:35" ht="105">
      <c r="B5534" s="1">
        <v>45310</v>
      </c>
      <c r="C5534" s="4">
        <v>45310.529166666667</v>
      </c>
      <c r="D5534" t="s">
        <v>16538</v>
      </c>
      <c r="E5534" t="s">
        <v>16539</v>
      </c>
      <c r="F5534">
        <v>7</v>
      </c>
      <c r="G5534" t="s">
        <v>432</v>
      </c>
      <c r="H5534" t="s">
        <v>608</v>
      </c>
      <c r="I5534" t="s">
        <v>40</v>
      </c>
      <c r="J5534" s="2" t="s">
        <v>190</v>
      </c>
      <c r="K5534" t="s">
        <v>42</v>
      </c>
      <c r="L5534" t="s">
        <v>610</v>
      </c>
      <c r="N5534" t="s">
        <v>611</v>
      </c>
      <c r="Q5534">
        <v>27014</v>
      </c>
      <c r="R5534" t="s">
        <v>119</v>
      </c>
      <c r="S5534" t="s">
        <v>16540</v>
      </c>
      <c r="T5534">
        <v>28</v>
      </c>
      <c r="U5534" s="2" t="s">
        <v>33448</v>
      </c>
      <c r="W5534" t="s">
        <v>360</v>
      </c>
      <c r="X5534">
        <v>838283</v>
      </c>
      <c r="Y5534" t="s">
        <v>33449</v>
      </c>
      <c r="Z5534" t="s">
        <v>33450</v>
      </c>
      <c r="AA5534" t="s">
        <v>33451</v>
      </c>
      <c r="AB5534" t="s">
        <v>17475</v>
      </c>
      <c r="AG5534" t="s">
        <v>33452</v>
      </c>
      <c r="AH5534" t="s">
        <v>31502</v>
      </c>
      <c r="AI5534" t="s">
        <v>33453</v>
      </c>
    </row>
    <row r="5535" spans="2:35" ht="180">
      <c r="B5535" s="1">
        <v>45310</v>
      </c>
      <c r="C5535" s="4">
        <v>45310.387499999997</v>
      </c>
      <c r="D5535" t="s">
        <v>33454</v>
      </c>
      <c r="E5535" t="s">
        <v>33455</v>
      </c>
      <c r="F5535" t="s">
        <v>37</v>
      </c>
      <c r="G5535" t="s">
        <v>2499</v>
      </c>
      <c r="H5535" t="s">
        <v>39</v>
      </c>
      <c r="I5535" t="s">
        <v>94</v>
      </c>
      <c r="J5535" s="2" t="s">
        <v>41</v>
      </c>
      <c r="K5535" t="s">
        <v>42</v>
      </c>
      <c r="L5535" t="s">
        <v>15532</v>
      </c>
      <c r="N5535" t="s">
        <v>15533</v>
      </c>
      <c r="Q5535">
        <v>27013</v>
      </c>
      <c r="R5535" t="s">
        <v>119</v>
      </c>
      <c r="S5535" t="s">
        <v>33456</v>
      </c>
      <c r="T5535">
        <v>25</v>
      </c>
      <c r="U5535" s="2" t="s">
        <v>9714</v>
      </c>
      <c r="V5535" s="1">
        <v>45303</v>
      </c>
      <c r="W5535" t="s">
        <v>32112</v>
      </c>
      <c r="X5535">
        <v>831889</v>
      </c>
      <c r="Y5535" t="s">
        <v>26556</v>
      </c>
      <c r="Z5535" s="2" t="s">
        <v>33457</v>
      </c>
      <c r="AA5535" s="2" t="s">
        <v>33458</v>
      </c>
      <c r="AB5535" s="2" t="s">
        <v>15539</v>
      </c>
      <c r="AD5535" t="s">
        <v>19400</v>
      </c>
      <c r="AE5535" t="s">
        <v>33459</v>
      </c>
      <c r="AG5535" t="s">
        <v>33460</v>
      </c>
      <c r="AH5535" t="s">
        <v>33461</v>
      </c>
      <c r="AI5535" t="s">
        <v>33462</v>
      </c>
    </row>
    <row r="5536" spans="2:35" ht="409.5">
      <c r="B5536" s="1">
        <v>45310</v>
      </c>
      <c r="C5536" s="4">
        <v>45309.497916666667</v>
      </c>
      <c r="D5536" t="s">
        <v>5474</v>
      </c>
      <c r="E5536" t="s">
        <v>33463</v>
      </c>
      <c r="F5536" t="s">
        <v>148</v>
      </c>
      <c r="G5536" t="s">
        <v>2007</v>
      </c>
      <c r="H5536" t="s">
        <v>386</v>
      </c>
      <c r="I5536" t="s">
        <v>94</v>
      </c>
      <c r="J5536" t="s">
        <v>525</v>
      </c>
      <c r="K5536" t="s">
        <v>387</v>
      </c>
      <c r="L5536" t="s">
        <v>448</v>
      </c>
      <c r="N5536" t="s">
        <v>650</v>
      </c>
      <c r="O5536" t="s">
        <v>27082</v>
      </c>
      <c r="Q5536">
        <v>27012</v>
      </c>
      <c r="R5536" t="s">
        <v>95</v>
      </c>
      <c r="S5536" t="s">
        <v>5487</v>
      </c>
      <c r="T5536">
        <v>27</v>
      </c>
      <c r="V5536" s="1">
        <v>45307</v>
      </c>
      <c r="W5536" t="s">
        <v>476</v>
      </c>
      <c r="X5536" t="s">
        <v>5488</v>
      </c>
      <c r="Y5536" t="s">
        <v>33464</v>
      </c>
      <c r="Z5536" s="2" t="s">
        <v>33465</v>
      </c>
      <c r="AA5536" t="s">
        <v>4487</v>
      </c>
      <c r="AB5536" t="s">
        <v>33466</v>
      </c>
      <c r="AC5536" t="s">
        <v>33467</v>
      </c>
      <c r="AD5536" t="s">
        <v>27602</v>
      </c>
      <c r="AE5536">
        <v>11125</v>
      </c>
      <c r="AG5536" t="s">
        <v>33468</v>
      </c>
      <c r="AH5536" t="s">
        <v>513</v>
      </c>
      <c r="AI5536" t="s">
        <v>33469</v>
      </c>
    </row>
    <row r="5537" spans="2:35" ht="210">
      <c r="B5537" s="1">
        <v>45309</v>
      </c>
      <c r="C5537" s="4">
        <v>45309.660416666666</v>
      </c>
      <c r="D5537" t="s">
        <v>33470</v>
      </c>
      <c r="E5537" t="s">
        <v>33471</v>
      </c>
      <c r="F5537" t="s">
        <v>148</v>
      </c>
      <c r="G5537" t="s">
        <v>447</v>
      </c>
      <c r="H5537" t="s">
        <v>5042</v>
      </c>
      <c r="I5537" t="s">
        <v>94</v>
      </c>
      <c r="J5537" t="s">
        <v>109</v>
      </c>
      <c r="K5537" t="s">
        <v>2629</v>
      </c>
      <c r="L5537" t="s">
        <v>857</v>
      </c>
      <c r="N5537" t="s">
        <v>858</v>
      </c>
      <c r="Q5537">
        <v>27011</v>
      </c>
      <c r="R5537" t="s">
        <v>95</v>
      </c>
      <c r="S5537" t="s">
        <v>33472</v>
      </c>
      <c r="T5537">
        <v>23</v>
      </c>
      <c r="W5537" t="s">
        <v>33473</v>
      </c>
      <c r="X5537">
        <v>8589</v>
      </c>
      <c r="Y5537" t="s">
        <v>33474</v>
      </c>
      <c r="Z5537" t="s">
        <v>301</v>
      </c>
      <c r="AA5537" s="2" t="s">
        <v>33475</v>
      </c>
      <c r="AB5537" t="s">
        <v>33476</v>
      </c>
      <c r="AC5537" t="s">
        <v>33477</v>
      </c>
      <c r="AG5537" t="s">
        <v>33478</v>
      </c>
      <c r="AH5537" t="s">
        <v>33479</v>
      </c>
      <c r="AI5537" t="s">
        <v>33480</v>
      </c>
    </row>
    <row r="5538" spans="2:35" ht="105">
      <c r="B5538" s="1">
        <v>45309</v>
      </c>
      <c r="C5538" s="4">
        <v>45309.631249999999</v>
      </c>
      <c r="D5538" t="s">
        <v>3067</v>
      </c>
      <c r="E5538" t="s">
        <v>582</v>
      </c>
      <c r="F5538" t="s">
        <v>148</v>
      </c>
      <c r="G5538" t="s">
        <v>447</v>
      </c>
      <c r="H5538" t="s">
        <v>39</v>
      </c>
      <c r="I5538" t="s">
        <v>40</v>
      </c>
      <c r="J5538" s="2" t="s">
        <v>20305</v>
      </c>
      <c r="K5538" t="s">
        <v>42</v>
      </c>
      <c r="L5538" t="s">
        <v>175</v>
      </c>
      <c r="N5538" t="s">
        <v>176</v>
      </c>
      <c r="Q5538">
        <v>27010</v>
      </c>
      <c r="R5538" t="s">
        <v>45</v>
      </c>
      <c r="S5538" t="s">
        <v>33481</v>
      </c>
      <c r="T5538">
        <v>25</v>
      </c>
      <c r="U5538" s="2" t="s">
        <v>33482</v>
      </c>
      <c r="W5538" t="s">
        <v>84</v>
      </c>
      <c r="X5538">
        <v>838881</v>
      </c>
      <c r="Y5538" t="s">
        <v>998</v>
      </c>
      <c r="Z5538" t="e">
        <f ca="1">- performed XpertCheck
- generated reports</f>
        <v>#NAME?</v>
      </c>
      <c r="AA5538" t="s">
        <v>999</v>
      </c>
      <c r="AB5538" s="2" t="s">
        <v>3143</v>
      </c>
      <c r="AG5538" t="s">
        <v>33483</v>
      </c>
      <c r="AH5538" t="s">
        <v>23675</v>
      </c>
      <c r="AI5538" t="s">
        <v>33484</v>
      </c>
    </row>
    <row r="5539" spans="2:35" ht="105">
      <c r="B5539" s="1">
        <v>45309</v>
      </c>
      <c r="C5539" s="4">
        <v>45309.632638888892</v>
      </c>
      <c r="D5539" t="s">
        <v>3067</v>
      </c>
      <c r="E5539" t="s">
        <v>582</v>
      </c>
      <c r="F5539" t="s">
        <v>148</v>
      </c>
      <c r="G5539" t="s">
        <v>447</v>
      </c>
      <c r="H5539" t="s">
        <v>39</v>
      </c>
      <c r="I5539" t="s">
        <v>40</v>
      </c>
      <c r="J5539" s="2" t="s">
        <v>20305</v>
      </c>
      <c r="K5539" t="s">
        <v>42</v>
      </c>
      <c r="L5539" t="s">
        <v>175</v>
      </c>
      <c r="N5539" t="s">
        <v>176</v>
      </c>
      <c r="Q5539">
        <v>27010</v>
      </c>
      <c r="R5539" t="s">
        <v>45</v>
      </c>
      <c r="S5539" t="s">
        <v>3069</v>
      </c>
      <c r="T5539">
        <v>25</v>
      </c>
      <c r="U5539" s="2" t="s">
        <v>33482</v>
      </c>
      <c r="W5539" t="s">
        <v>84</v>
      </c>
      <c r="X5539">
        <v>803089</v>
      </c>
      <c r="Y5539" t="s">
        <v>998</v>
      </c>
      <c r="Z5539" t="e">
        <f ca="1">- performed XpertCheck
- generated reports</f>
        <v>#NAME?</v>
      </c>
      <c r="AA5539" t="s">
        <v>999</v>
      </c>
      <c r="AB5539" s="2" t="s">
        <v>33485</v>
      </c>
      <c r="AG5539" t="s">
        <v>33486</v>
      </c>
      <c r="AH5539" t="s">
        <v>23675</v>
      </c>
      <c r="AI5539" t="s">
        <v>33487</v>
      </c>
    </row>
    <row r="5540" spans="2:35">
      <c r="B5540" s="1">
        <v>45309</v>
      </c>
      <c r="C5540" s="4">
        <v>45309.628472222219</v>
      </c>
      <c r="D5540" t="s">
        <v>33470</v>
      </c>
      <c r="E5540" t="s">
        <v>33471</v>
      </c>
      <c r="F5540" t="s">
        <v>148</v>
      </c>
      <c r="G5540" t="s">
        <v>447</v>
      </c>
      <c r="H5540" t="s">
        <v>33488</v>
      </c>
      <c r="I5540" t="s">
        <v>40</v>
      </c>
      <c r="J5540" t="s">
        <v>525</v>
      </c>
      <c r="K5540" t="s">
        <v>2629</v>
      </c>
      <c r="L5540" t="s">
        <v>857</v>
      </c>
      <c r="N5540" t="s">
        <v>858</v>
      </c>
      <c r="Q5540">
        <v>27009</v>
      </c>
      <c r="R5540" t="s">
        <v>95</v>
      </c>
      <c r="S5540" t="s">
        <v>33489</v>
      </c>
      <c r="T5540">
        <v>24</v>
      </c>
      <c r="W5540" t="s">
        <v>18040</v>
      </c>
      <c r="X5540">
        <v>3144017776</v>
      </c>
      <c r="Y5540" t="s">
        <v>33490</v>
      </c>
      <c r="Z5540" t="s">
        <v>33491</v>
      </c>
      <c r="AA5540" t="s">
        <v>33492</v>
      </c>
      <c r="AB5540" t="s">
        <v>33493</v>
      </c>
      <c r="AG5540" t="s">
        <v>33494</v>
      </c>
      <c r="AH5540" t="s">
        <v>33495</v>
      </c>
      <c r="AI5540" t="s">
        <v>33496</v>
      </c>
    </row>
    <row r="5541" spans="2:35" ht="105">
      <c r="B5541" s="1">
        <v>45309</v>
      </c>
      <c r="C5541" s="4">
        <v>45309.570138888892</v>
      </c>
      <c r="D5541" t="s">
        <v>33497</v>
      </c>
      <c r="E5541" t="s">
        <v>33498</v>
      </c>
      <c r="F5541" t="s">
        <v>148</v>
      </c>
      <c r="G5541" t="s">
        <v>447</v>
      </c>
      <c r="H5541" t="s">
        <v>33499</v>
      </c>
      <c r="I5541" t="s">
        <v>40</v>
      </c>
      <c r="J5541" s="2" t="s">
        <v>1170</v>
      </c>
      <c r="K5541" t="s">
        <v>26778</v>
      </c>
      <c r="L5541" t="s">
        <v>857</v>
      </c>
      <c r="N5541" t="s">
        <v>858</v>
      </c>
      <c r="Q5541">
        <v>27008</v>
      </c>
      <c r="R5541" t="s">
        <v>95</v>
      </c>
      <c r="S5541" t="s">
        <v>33500</v>
      </c>
      <c r="T5541">
        <v>22</v>
      </c>
      <c r="W5541" t="s">
        <v>31284</v>
      </c>
      <c r="X5541" t="s">
        <v>31285</v>
      </c>
      <c r="Y5541" t="s">
        <v>33501</v>
      </c>
      <c r="Z5541" t="s">
        <v>33502</v>
      </c>
      <c r="AA5541" s="2" t="s">
        <v>33503</v>
      </c>
      <c r="AB5541" t="s">
        <v>181</v>
      </c>
      <c r="AC5541" t="s">
        <v>33504</v>
      </c>
      <c r="AG5541" t="s">
        <v>33505</v>
      </c>
      <c r="AH5541" t="s">
        <v>33506</v>
      </c>
      <c r="AI5541" t="s">
        <v>33507</v>
      </c>
    </row>
    <row r="5542" spans="2:35" ht="270">
      <c r="B5542" s="1">
        <v>45309</v>
      </c>
      <c r="C5542" s="4">
        <v>45309.5625</v>
      </c>
      <c r="D5542" t="s">
        <v>33508</v>
      </c>
      <c r="E5542" t="s">
        <v>33509</v>
      </c>
      <c r="F5542">
        <v>3</v>
      </c>
      <c r="G5542" t="s">
        <v>1640</v>
      </c>
      <c r="H5542" t="s">
        <v>39</v>
      </c>
      <c r="I5542" t="s">
        <v>40</v>
      </c>
      <c r="J5542" s="2" t="s">
        <v>41</v>
      </c>
      <c r="K5542" t="s">
        <v>42</v>
      </c>
      <c r="L5542" t="s">
        <v>63</v>
      </c>
      <c r="N5542" t="s">
        <v>64</v>
      </c>
      <c r="Q5542">
        <v>27007</v>
      </c>
      <c r="R5542" t="s">
        <v>119</v>
      </c>
      <c r="S5542" t="s">
        <v>1642</v>
      </c>
      <c r="T5542">
        <v>25</v>
      </c>
      <c r="U5542" s="2" t="s">
        <v>33510</v>
      </c>
      <c r="V5542" s="1">
        <v>45272</v>
      </c>
      <c r="W5542" t="s">
        <v>26915</v>
      </c>
      <c r="X5542">
        <v>831844</v>
      </c>
      <c r="Y5542" t="s">
        <v>1716</v>
      </c>
      <c r="Z5542" t="s">
        <v>1716</v>
      </c>
      <c r="AA5542" s="2" t="s">
        <v>33511</v>
      </c>
      <c r="AB5542" t="s">
        <v>70</v>
      </c>
      <c r="AC5542" t="s">
        <v>1716</v>
      </c>
      <c r="AD5542" t="s">
        <v>33512</v>
      </c>
      <c r="AE5542">
        <v>10902</v>
      </c>
      <c r="AG5542" t="s">
        <v>33513</v>
      </c>
      <c r="AH5542" t="s">
        <v>33514</v>
      </c>
      <c r="AI5542" t="s">
        <v>33515</v>
      </c>
    </row>
    <row r="5543" spans="2:35" ht="105">
      <c r="B5543" s="1">
        <v>45309</v>
      </c>
      <c r="C5543" s="4">
        <v>45309.554861111108</v>
      </c>
      <c r="D5543" t="s">
        <v>3154</v>
      </c>
      <c r="E5543" t="s">
        <v>3155</v>
      </c>
      <c r="F5543">
        <v>9</v>
      </c>
      <c r="G5543" t="s">
        <v>2197</v>
      </c>
      <c r="H5543" t="s">
        <v>39</v>
      </c>
      <c r="I5543" t="s">
        <v>94</v>
      </c>
      <c r="J5543" s="2" t="s">
        <v>31986</v>
      </c>
      <c r="K5543" t="s">
        <v>42</v>
      </c>
      <c r="L5543" t="s">
        <v>1257</v>
      </c>
      <c r="N5543" t="s">
        <v>2199</v>
      </c>
      <c r="O5543" t="s">
        <v>1258</v>
      </c>
      <c r="Q5543">
        <v>27006</v>
      </c>
      <c r="R5543" t="s">
        <v>45</v>
      </c>
      <c r="S5543" t="s">
        <v>33516</v>
      </c>
      <c r="T5543">
        <v>28</v>
      </c>
      <c r="U5543" s="2" t="s">
        <v>33517</v>
      </c>
      <c r="V5543" s="1">
        <v>45309</v>
      </c>
      <c r="W5543" t="s">
        <v>2384</v>
      </c>
      <c r="X5543">
        <v>807599</v>
      </c>
      <c r="Y5543" t="s">
        <v>33518</v>
      </c>
      <c r="Z5543" t="s">
        <v>33519</v>
      </c>
      <c r="AA5543" t="s">
        <v>22443</v>
      </c>
      <c r="AB5543" t="s">
        <v>7411</v>
      </c>
      <c r="AC5543" t="s">
        <v>301</v>
      </c>
      <c r="AD5543" t="s">
        <v>54</v>
      </c>
      <c r="AE5543" t="s">
        <v>54</v>
      </c>
      <c r="AG5543" t="s">
        <v>33520</v>
      </c>
      <c r="AH5543" t="s">
        <v>3163</v>
      </c>
      <c r="AI5543" t="s">
        <v>33521</v>
      </c>
    </row>
    <row r="5544" spans="2:35" ht="210">
      <c r="B5544" s="1">
        <v>45309</v>
      </c>
      <c r="C5544" s="4">
        <v>45309.468055555553</v>
      </c>
      <c r="D5544" t="s">
        <v>33470</v>
      </c>
      <c r="E5544" t="s">
        <v>33471</v>
      </c>
      <c r="F5544" t="s">
        <v>148</v>
      </c>
      <c r="G5544" t="s">
        <v>447</v>
      </c>
      <c r="H5544" t="s">
        <v>33522</v>
      </c>
      <c r="I5544" t="s">
        <v>94</v>
      </c>
      <c r="J5544" t="s">
        <v>109</v>
      </c>
      <c r="K5544" t="s">
        <v>2629</v>
      </c>
      <c r="L5544" t="s">
        <v>857</v>
      </c>
      <c r="N5544" t="s">
        <v>858</v>
      </c>
      <c r="Q5544">
        <v>27005</v>
      </c>
      <c r="R5544" t="s">
        <v>95</v>
      </c>
      <c r="S5544" t="s">
        <v>33523</v>
      </c>
      <c r="T5544">
        <v>28</v>
      </c>
      <c r="W5544" t="s">
        <v>18040</v>
      </c>
      <c r="X5544">
        <v>3116006792</v>
      </c>
      <c r="Y5544" t="s">
        <v>33524</v>
      </c>
      <c r="Z5544" t="s">
        <v>301</v>
      </c>
      <c r="AA5544" s="2" t="s">
        <v>33475</v>
      </c>
      <c r="AB5544" t="s">
        <v>181</v>
      </c>
      <c r="AC5544" t="s">
        <v>33525</v>
      </c>
      <c r="AG5544" t="s">
        <v>33526</v>
      </c>
      <c r="AH5544" t="s">
        <v>33527</v>
      </c>
      <c r="AI5544" t="s">
        <v>33528</v>
      </c>
    </row>
    <row r="5545" spans="2:35" ht="195">
      <c r="B5545" s="1">
        <v>45309</v>
      </c>
      <c r="C5545" s="4">
        <v>45309.459027777775</v>
      </c>
      <c r="D5545" t="s">
        <v>9204</v>
      </c>
      <c r="E5545" t="s">
        <v>33529</v>
      </c>
      <c r="F5545">
        <v>6</v>
      </c>
      <c r="G5545" t="s">
        <v>1286</v>
      </c>
      <c r="H5545" t="s">
        <v>1047</v>
      </c>
      <c r="I5545" t="s">
        <v>40</v>
      </c>
      <c r="J5545" t="s">
        <v>109</v>
      </c>
      <c r="K5545" t="s">
        <v>42</v>
      </c>
      <c r="L5545" t="s">
        <v>1288</v>
      </c>
      <c r="N5545" t="s">
        <v>1289</v>
      </c>
      <c r="Q5545">
        <v>27004</v>
      </c>
      <c r="R5545" t="s">
        <v>45</v>
      </c>
      <c r="S5545" t="s">
        <v>22494</v>
      </c>
      <c r="T5545">
        <v>25</v>
      </c>
      <c r="U5545" s="2" t="s">
        <v>33530</v>
      </c>
      <c r="W5545" t="s">
        <v>1292</v>
      </c>
      <c r="X5545">
        <v>804699</v>
      </c>
      <c r="Y5545" s="2" t="s">
        <v>33531</v>
      </c>
      <c r="Z5545" t="e">
        <f ca="1">-COLLECT IQR, system _xludf.Log, _xludf.and ARCHIVE</f>
        <v>#NAME?</v>
      </c>
      <c r="AA5545" t="e">
        <f ca="1">-PERFORM Preventive Maintenance PROCEDURE</f>
        <v>#NAME?</v>
      </c>
      <c r="AB5545" t="s">
        <v>1293</v>
      </c>
      <c r="AC5545" t="s">
        <v>33532</v>
      </c>
      <c r="AG5545" t="s">
        <v>33533</v>
      </c>
      <c r="AH5545" t="s">
        <v>33534</v>
      </c>
      <c r="AI5545" t="s">
        <v>33535</v>
      </c>
    </row>
    <row r="5546" spans="2:35" ht="105">
      <c r="B5546" s="1">
        <v>45309</v>
      </c>
      <c r="C5546" s="4">
        <v>45309.456250000003</v>
      </c>
      <c r="D5546" t="s">
        <v>9204</v>
      </c>
      <c r="E5546" t="s">
        <v>33529</v>
      </c>
      <c r="F5546">
        <v>6</v>
      </c>
      <c r="G5546" t="s">
        <v>1286</v>
      </c>
      <c r="H5546" t="s">
        <v>10969</v>
      </c>
      <c r="I5546" t="s">
        <v>40</v>
      </c>
      <c r="J5546" t="s">
        <v>525</v>
      </c>
      <c r="K5546" t="s">
        <v>42</v>
      </c>
      <c r="L5546" t="s">
        <v>1288</v>
      </c>
      <c r="N5546" t="s">
        <v>1289</v>
      </c>
      <c r="Q5546">
        <v>27003</v>
      </c>
      <c r="R5546" t="s">
        <v>45</v>
      </c>
      <c r="S5546" t="s">
        <v>22494</v>
      </c>
      <c r="T5546">
        <v>22</v>
      </c>
      <c r="U5546" s="2" t="s">
        <v>33530</v>
      </c>
      <c r="W5546" t="s">
        <v>1292</v>
      </c>
      <c r="X5546">
        <v>707531</v>
      </c>
      <c r="Y5546" t="e">
        <f ca="1">-GX FAN DOES _xludf.not FUNCTION</f>
        <v>#NAME?</v>
      </c>
      <c r="Z5546" t="e">
        <f ca="1">-COLLECT IQR, system _xludf.Log, _xludf.and ARCHIVE</f>
        <v>#NAME?</v>
      </c>
      <c r="AA5546" t="e">
        <f ca="1">-PERFORM Preventive Maintenance PROCEDURE
-Check GX _xludf.Power SUPPLY functionality
-FAN is defective</f>
        <v>#NAME?</v>
      </c>
      <c r="AB5546" t="s">
        <v>33536</v>
      </c>
      <c r="AG5546" t="s">
        <v>33537</v>
      </c>
      <c r="AH5546" t="s">
        <v>33534</v>
      </c>
      <c r="AI5546" t="s">
        <v>33538</v>
      </c>
    </row>
    <row r="5547" spans="2:35" ht="409.5">
      <c r="B5547" s="1">
        <v>45309</v>
      </c>
      <c r="C5547" s="4">
        <v>45309.408333333333</v>
      </c>
      <c r="D5547" t="s">
        <v>33470</v>
      </c>
      <c r="E5547" t="s">
        <v>33539</v>
      </c>
      <c r="F5547" t="s">
        <v>148</v>
      </c>
      <c r="G5547" t="s">
        <v>447</v>
      </c>
      <c r="H5547" t="s">
        <v>33540</v>
      </c>
      <c r="I5547" t="s">
        <v>94</v>
      </c>
      <c r="J5547" s="2" t="s">
        <v>31986</v>
      </c>
      <c r="K5547" t="s">
        <v>2629</v>
      </c>
      <c r="L5547" t="s">
        <v>409</v>
      </c>
      <c r="N5547" t="s">
        <v>410</v>
      </c>
      <c r="Q5547">
        <v>27002</v>
      </c>
      <c r="R5547" t="s">
        <v>95</v>
      </c>
      <c r="S5547" t="s">
        <v>33541</v>
      </c>
      <c r="T5547">
        <v>25</v>
      </c>
      <c r="W5547" t="s">
        <v>17621</v>
      </c>
      <c r="X5547">
        <v>3335000463</v>
      </c>
      <c r="Y5547" t="s">
        <v>301</v>
      </c>
      <c r="Z5547" t="s">
        <v>301</v>
      </c>
      <c r="AA5547" s="2" t="s">
        <v>33542</v>
      </c>
      <c r="AB5547" t="s">
        <v>181</v>
      </c>
      <c r="AG5547" t="s">
        <v>33543</v>
      </c>
      <c r="AH5547" t="s">
        <v>33544</v>
      </c>
      <c r="AI5547" t="s">
        <v>33545</v>
      </c>
    </row>
    <row r="5548" spans="2:35" ht="180">
      <c r="B5548" s="1">
        <v>45309</v>
      </c>
      <c r="C5548" s="4">
        <v>45309.352083333331</v>
      </c>
      <c r="D5548" t="s">
        <v>1885</v>
      </c>
      <c r="E5548" t="s">
        <v>2136</v>
      </c>
      <c r="F5548" t="s">
        <v>1255</v>
      </c>
      <c r="G5548" t="s">
        <v>1887</v>
      </c>
      <c r="H5548" t="s">
        <v>386</v>
      </c>
      <c r="I5548" t="s">
        <v>40</v>
      </c>
      <c r="J5548" t="s">
        <v>109</v>
      </c>
      <c r="K5548" t="s">
        <v>387</v>
      </c>
      <c r="L5548" t="s">
        <v>296</v>
      </c>
      <c r="N5548" t="s">
        <v>297</v>
      </c>
      <c r="Q5548">
        <v>27001</v>
      </c>
      <c r="R5548" t="s">
        <v>95</v>
      </c>
      <c r="S5548" t="s">
        <v>28101</v>
      </c>
      <c r="T5548">
        <v>23</v>
      </c>
      <c r="W5548" t="s">
        <v>2140</v>
      </c>
      <c r="X5548" t="s">
        <v>6963</v>
      </c>
      <c r="Y5548" t="s">
        <v>54</v>
      </c>
      <c r="Z5548" s="2" t="s">
        <v>33546</v>
      </c>
      <c r="AA5548" t="s">
        <v>33547</v>
      </c>
      <c r="AB5548" t="s">
        <v>33548</v>
      </c>
      <c r="AG5548" t="s">
        <v>33549</v>
      </c>
      <c r="AH5548" t="s">
        <v>33550</v>
      </c>
      <c r="AI5548" t="s">
        <v>33551</v>
      </c>
    </row>
    <row r="5549" spans="2:35" ht="60">
      <c r="B5549" s="1">
        <v>45309</v>
      </c>
      <c r="C5549" s="4">
        <v>45309.37777777778</v>
      </c>
      <c r="D5549" t="s">
        <v>33552</v>
      </c>
      <c r="E5549" t="s">
        <v>33529</v>
      </c>
      <c r="F5549">
        <v>6</v>
      </c>
      <c r="G5549" t="s">
        <v>1286</v>
      </c>
      <c r="H5549" t="s">
        <v>11359</v>
      </c>
      <c r="I5549" t="s">
        <v>40</v>
      </c>
      <c r="J5549" t="s">
        <v>525</v>
      </c>
      <c r="K5549" t="s">
        <v>42</v>
      </c>
      <c r="L5549" t="s">
        <v>1288</v>
      </c>
      <c r="N5549" t="s">
        <v>1289</v>
      </c>
      <c r="Q5549">
        <v>27000</v>
      </c>
      <c r="R5549" t="s">
        <v>95</v>
      </c>
      <c r="S5549" t="s">
        <v>33553</v>
      </c>
      <c r="T5549">
        <v>26</v>
      </c>
      <c r="U5549" s="2" t="s">
        <v>33554</v>
      </c>
      <c r="W5549" t="s">
        <v>1292</v>
      </c>
      <c r="X5549">
        <v>110021716</v>
      </c>
      <c r="Y5549" t="s">
        <v>33555</v>
      </c>
      <c r="Z5549" t="e">
        <f ca="1">-COLLECT IQR _xludf.and system _xludf.Log</f>
        <v>#NAME?</v>
      </c>
      <c r="AA5549" t="e">
        <f ca="1">-PERFORM network Troubleshooting, issue resolved</f>
        <v>#NAME?</v>
      </c>
      <c r="AB5549" t="s">
        <v>1293</v>
      </c>
      <c r="AG5549" t="s">
        <v>33556</v>
      </c>
      <c r="AH5549" t="s">
        <v>33557</v>
      </c>
      <c r="AI5549" t="s">
        <v>33558</v>
      </c>
    </row>
    <row r="5550" spans="2:35" ht="240">
      <c r="B5550" s="1">
        <v>45309</v>
      </c>
      <c r="C5550" s="4">
        <v>45309.368750000001</v>
      </c>
      <c r="D5550" t="s">
        <v>31731</v>
      </c>
      <c r="E5550" t="s">
        <v>33559</v>
      </c>
      <c r="F5550" t="s">
        <v>1181</v>
      </c>
      <c r="G5550" t="s">
        <v>3753</v>
      </c>
      <c r="H5550" t="s">
        <v>39</v>
      </c>
      <c r="I5550" t="s">
        <v>40</v>
      </c>
      <c r="J5550" s="2" t="s">
        <v>41</v>
      </c>
      <c r="K5550" t="s">
        <v>42</v>
      </c>
      <c r="L5550" t="s">
        <v>1943</v>
      </c>
      <c r="N5550" t="s">
        <v>1944</v>
      </c>
      <c r="Q5550">
        <v>26999</v>
      </c>
      <c r="R5550" t="s">
        <v>45</v>
      </c>
      <c r="S5550" t="s">
        <v>33560</v>
      </c>
      <c r="T5550">
        <v>25</v>
      </c>
      <c r="U5550" s="2" t="s">
        <v>33561</v>
      </c>
      <c r="V5550" s="1">
        <v>45309</v>
      </c>
      <c r="W5550" t="s">
        <v>84</v>
      </c>
      <c r="X5550">
        <v>807590</v>
      </c>
      <c r="Y5550" s="2" t="s">
        <v>33562</v>
      </c>
      <c r="Z5550" s="2" t="s">
        <v>33563</v>
      </c>
      <c r="AA5550" t="s">
        <v>33564</v>
      </c>
      <c r="AB5550" t="s">
        <v>88</v>
      </c>
      <c r="AD5550" t="s">
        <v>33565</v>
      </c>
      <c r="AE5550" t="s">
        <v>33566</v>
      </c>
      <c r="AG5550" t="s">
        <v>33567</v>
      </c>
      <c r="AH5550" t="s">
        <v>33568</v>
      </c>
      <c r="AI5550" t="s">
        <v>33569</v>
      </c>
    </row>
    <row r="5551" spans="2:35" ht="409.5">
      <c r="B5551" s="1">
        <v>45309</v>
      </c>
      <c r="C5551" s="4">
        <v>45308.390972222223</v>
      </c>
      <c r="D5551" t="s">
        <v>5645</v>
      </c>
      <c r="E5551" t="s">
        <v>2136</v>
      </c>
      <c r="F5551" t="s">
        <v>1255</v>
      </c>
      <c r="G5551" t="s">
        <v>1887</v>
      </c>
      <c r="H5551" t="s">
        <v>1473</v>
      </c>
      <c r="I5551" t="s">
        <v>40</v>
      </c>
      <c r="J5551" s="2" t="s">
        <v>30202</v>
      </c>
      <c r="K5551" t="s">
        <v>42</v>
      </c>
      <c r="L5551" t="s">
        <v>296</v>
      </c>
      <c r="N5551" t="s">
        <v>297</v>
      </c>
      <c r="Q5551">
        <v>26998</v>
      </c>
      <c r="R5551" t="s">
        <v>119</v>
      </c>
      <c r="S5551" t="s">
        <v>33570</v>
      </c>
      <c r="T5551">
        <v>25.9</v>
      </c>
      <c r="U5551" s="2" t="s">
        <v>33571</v>
      </c>
      <c r="V5551" s="1">
        <v>45308</v>
      </c>
      <c r="W5551" t="s">
        <v>23049</v>
      </c>
      <c r="X5551">
        <v>838528</v>
      </c>
      <c r="Y5551" t="s">
        <v>33572</v>
      </c>
      <c r="Z5551" s="2" t="s">
        <v>33573</v>
      </c>
      <c r="AA5551" s="2" t="s">
        <v>25659</v>
      </c>
      <c r="AB5551" t="s">
        <v>972</v>
      </c>
      <c r="AD5551" t="s">
        <v>33574</v>
      </c>
      <c r="AE5551" t="s">
        <v>33575</v>
      </c>
      <c r="AG5551" t="s">
        <v>33576</v>
      </c>
      <c r="AH5551" t="s">
        <v>33577</v>
      </c>
      <c r="AI5551" t="s">
        <v>33578</v>
      </c>
    </row>
    <row r="5552" spans="2:35" ht="409.5">
      <c r="B5552" s="1">
        <v>45309</v>
      </c>
      <c r="C5552" s="4">
        <v>45308.581250000003</v>
      </c>
      <c r="D5552" t="s">
        <v>33579</v>
      </c>
      <c r="E5552" t="s">
        <v>23451</v>
      </c>
      <c r="F5552" t="s">
        <v>1255</v>
      </c>
      <c r="G5552" t="s">
        <v>1887</v>
      </c>
      <c r="H5552" t="s">
        <v>39</v>
      </c>
      <c r="I5552" t="s">
        <v>94</v>
      </c>
      <c r="J5552" s="2" t="s">
        <v>30202</v>
      </c>
      <c r="K5552" t="s">
        <v>42</v>
      </c>
      <c r="L5552" t="s">
        <v>296</v>
      </c>
      <c r="N5552" t="s">
        <v>297</v>
      </c>
      <c r="Q5552">
        <v>26998</v>
      </c>
      <c r="R5552" t="s">
        <v>45</v>
      </c>
      <c r="S5552" t="s">
        <v>33580</v>
      </c>
      <c r="T5552">
        <v>29.1</v>
      </c>
      <c r="U5552" s="2" t="s">
        <v>33581</v>
      </c>
      <c r="W5552" t="s">
        <v>23049</v>
      </c>
      <c r="X5552">
        <v>815277</v>
      </c>
      <c r="Y5552" t="s">
        <v>33582</v>
      </c>
      <c r="Z5552" s="2" t="s">
        <v>33583</v>
      </c>
      <c r="AA5552" s="2" t="s">
        <v>33584</v>
      </c>
      <c r="AB5552" t="s">
        <v>972</v>
      </c>
      <c r="AG5552" t="s">
        <v>33585</v>
      </c>
      <c r="AH5552" t="s">
        <v>33586</v>
      </c>
      <c r="AI5552" t="s">
        <v>33587</v>
      </c>
    </row>
    <row r="5553" spans="2:35" ht="75">
      <c r="B5553" s="1">
        <v>45308</v>
      </c>
      <c r="C5553" s="4">
        <v>45308.511111111111</v>
      </c>
      <c r="D5553" t="s">
        <v>19660</v>
      </c>
      <c r="E5553" t="s">
        <v>10227</v>
      </c>
      <c r="F5553">
        <v>7</v>
      </c>
      <c r="G5553" t="s">
        <v>6529</v>
      </c>
      <c r="H5553" t="s">
        <v>39</v>
      </c>
      <c r="I5553" t="s">
        <v>40</v>
      </c>
      <c r="J5553" s="2" t="s">
        <v>220</v>
      </c>
      <c r="K5553" t="s">
        <v>42</v>
      </c>
      <c r="L5553" t="s">
        <v>433</v>
      </c>
      <c r="N5553" t="s">
        <v>434</v>
      </c>
      <c r="Q5553">
        <v>26997</v>
      </c>
      <c r="R5553" t="s">
        <v>119</v>
      </c>
      <c r="S5553" t="s">
        <v>19662</v>
      </c>
      <c r="T5553">
        <v>29</v>
      </c>
      <c r="W5553" t="s">
        <v>1008</v>
      </c>
      <c r="X5553">
        <v>838292</v>
      </c>
      <c r="Y5553" t="s">
        <v>33588</v>
      </c>
      <c r="Z5553" t="s">
        <v>33589</v>
      </c>
      <c r="AA5553" t="s">
        <v>33590</v>
      </c>
      <c r="AB5553" t="s">
        <v>1011</v>
      </c>
      <c r="AG5553" t="s">
        <v>33591</v>
      </c>
      <c r="AH5553" t="s">
        <v>27964</v>
      </c>
      <c r="AI5553" t="s">
        <v>33592</v>
      </c>
    </row>
    <row r="5554" spans="2:35" ht="75">
      <c r="B5554" s="1">
        <v>45308</v>
      </c>
      <c r="C5554" s="4">
        <v>45308.425694444442</v>
      </c>
      <c r="D5554" t="s">
        <v>10218</v>
      </c>
      <c r="E5554" t="s">
        <v>13850</v>
      </c>
      <c r="F5554">
        <v>7</v>
      </c>
      <c r="G5554" t="s">
        <v>6529</v>
      </c>
      <c r="H5554" t="s">
        <v>39</v>
      </c>
      <c r="I5554" t="s">
        <v>40</v>
      </c>
      <c r="J5554" s="2" t="s">
        <v>220</v>
      </c>
      <c r="K5554" t="s">
        <v>42</v>
      </c>
      <c r="L5554" t="s">
        <v>433</v>
      </c>
      <c r="N5554" t="s">
        <v>434</v>
      </c>
      <c r="Q5554">
        <v>26996</v>
      </c>
      <c r="R5554" t="s">
        <v>119</v>
      </c>
      <c r="S5554" t="s">
        <v>10220</v>
      </c>
      <c r="T5554">
        <v>28</v>
      </c>
      <c r="W5554" t="s">
        <v>502</v>
      </c>
      <c r="X5554">
        <v>838396</v>
      </c>
      <c r="Y5554" t="s">
        <v>33593</v>
      </c>
      <c r="Z5554" t="s">
        <v>33594</v>
      </c>
      <c r="AA5554" t="s">
        <v>33594</v>
      </c>
      <c r="AB5554" t="s">
        <v>33595</v>
      </c>
      <c r="AG5554" t="s">
        <v>33596</v>
      </c>
      <c r="AH5554" t="s">
        <v>19684</v>
      </c>
      <c r="AI5554" t="s">
        <v>33597</v>
      </c>
    </row>
    <row r="5555" spans="2:35" ht="210">
      <c r="B5555" s="1">
        <v>45308</v>
      </c>
      <c r="C5555" s="4">
        <v>45308.65347222222</v>
      </c>
      <c r="D5555" t="s">
        <v>2510</v>
      </c>
      <c r="E5555" t="s">
        <v>33598</v>
      </c>
      <c r="F5555" t="s">
        <v>148</v>
      </c>
      <c r="G5555" t="s">
        <v>2499</v>
      </c>
      <c r="H5555" t="s">
        <v>39</v>
      </c>
      <c r="I5555" t="s">
        <v>94</v>
      </c>
      <c r="J5555" s="2" t="s">
        <v>41</v>
      </c>
      <c r="K5555" t="s">
        <v>42</v>
      </c>
      <c r="L5555" t="s">
        <v>15532</v>
      </c>
      <c r="N5555" t="s">
        <v>15533</v>
      </c>
      <c r="Q5555">
        <v>26995</v>
      </c>
      <c r="R5555" t="s">
        <v>119</v>
      </c>
      <c r="S5555" t="s">
        <v>2512</v>
      </c>
      <c r="T5555">
        <v>22</v>
      </c>
      <c r="U5555" s="2" t="s">
        <v>33599</v>
      </c>
      <c r="V5555" s="1">
        <v>45303</v>
      </c>
      <c r="W5555" t="s">
        <v>32112</v>
      </c>
      <c r="X5555">
        <v>831890</v>
      </c>
      <c r="Y5555" t="s">
        <v>23076</v>
      </c>
      <c r="Z5555" s="2" t="s">
        <v>33600</v>
      </c>
      <c r="AA5555" s="2" t="s">
        <v>33601</v>
      </c>
      <c r="AB5555" s="2" t="s">
        <v>23089</v>
      </c>
      <c r="AD5555" t="s">
        <v>27573</v>
      </c>
      <c r="AE5555" t="s">
        <v>33602</v>
      </c>
      <c r="AG5555" t="s">
        <v>33603</v>
      </c>
      <c r="AH5555" t="s">
        <v>26793</v>
      </c>
      <c r="AI5555" t="s">
        <v>33604</v>
      </c>
    </row>
    <row r="5556" spans="2:35" ht="270">
      <c r="B5556" s="1">
        <v>45308</v>
      </c>
      <c r="C5556" s="4">
        <v>45308.484722222223</v>
      </c>
      <c r="D5556" t="s">
        <v>2427</v>
      </c>
      <c r="E5556" t="s">
        <v>33605</v>
      </c>
      <c r="F5556" t="s">
        <v>148</v>
      </c>
      <c r="G5556" t="s">
        <v>447</v>
      </c>
      <c r="H5556" t="s">
        <v>513</v>
      </c>
      <c r="I5556" t="s">
        <v>40</v>
      </c>
      <c r="J5556" s="2" t="s">
        <v>31986</v>
      </c>
      <c r="K5556" t="s">
        <v>387</v>
      </c>
      <c r="L5556" t="s">
        <v>1028</v>
      </c>
      <c r="N5556" t="s">
        <v>1029</v>
      </c>
      <c r="Q5556">
        <v>26994</v>
      </c>
      <c r="R5556" t="s">
        <v>95</v>
      </c>
      <c r="S5556" t="s">
        <v>11795</v>
      </c>
      <c r="T5556">
        <v>24</v>
      </c>
      <c r="W5556" t="s">
        <v>390</v>
      </c>
      <c r="X5556" t="s">
        <v>2430</v>
      </c>
      <c r="Y5556" t="s">
        <v>33606</v>
      </c>
      <c r="Z5556" t="s">
        <v>3128</v>
      </c>
      <c r="AA5556" s="2" t="s">
        <v>33607</v>
      </c>
      <c r="AB5556" t="s">
        <v>70</v>
      </c>
      <c r="AC5556" t="s">
        <v>33608</v>
      </c>
      <c r="AG5556" t="s">
        <v>33609</v>
      </c>
      <c r="AH5556" t="s">
        <v>33610</v>
      </c>
      <c r="AI5556" t="s">
        <v>33611</v>
      </c>
    </row>
    <row r="5557" spans="2:35" ht="285">
      <c r="B5557" s="1">
        <v>45308</v>
      </c>
      <c r="C5557" s="4">
        <v>45307.527083333334</v>
      </c>
      <c r="D5557" t="s">
        <v>1026</v>
      </c>
      <c r="E5557" t="s">
        <v>33612</v>
      </c>
      <c r="F5557" t="s">
        <v>148</v>
      </c>
      <c r="G5557" t="s">
        <v>774</v>
      </c>
      <c r="H5557" t="s">
        <v>513</v>
      </c>
      <c r="I5557" t="s">
        <v>40</v>
      </c>
      <c r="J5557" s="2" t="s">
        <v>31986</v>
      </c>
      <c r="K5557" t="s">
        <v>387</v>
      </c>
      <c r="L5557" t="s">
        <v>1028</v>
      </c>
      <c r="N5557" t="s">
        <v>1029</v>
      </c>
      <c r="O5557" t="s">
        <v>12290</v>
      </c>
      <c r="Q5557">
        <v>26993</v>
      </c>
      <c r="R5557" t="s">
        <v>95</v>
      </c>
      <c r="S5557" t="s">
        <v>10944</v>
      </c>
      <c r="T5557">
        <v>24</v>
      </c>
      <c r="W5557" t="s">
        <v>390</v>
      </c>
      <c r="X5557" t="s">
        <v>5184</v>
      </c>
      <c r="Y5557" t="s">
        <v>33606</v>
      </c>
      <c r="Z5557" t="s">
        <v>3128</v>
      </c>
      <c r="AA5557" s="2" t="s">
        <v>33613</v>
      </c>
      <c r="AB5557" t="s">
        <v>70</v>
      </c>
      <c r="AG5557" t="s">
        <v>33614</v>
      </c>
      <c r="AH5557" t="s">
        <v>10923</v>
      </c>
      <c r="AI5557" t="s">
        <v>33615</v>
      </c>
    </row>
    <row r="5558" spans="2:35" ht="285">
      <c r="B5558" s="1">
        <v>45308</v>
      </c>
      <c r="C5558" s="4">
        <v>45307.521527777775</v>
      </c>
      <c r="D5558" t="s">
        <v>1026</v>
      </c>
      <c r="E5558" t="s">
        <v>1027</v>
      </c>
      <c r="F5558" t="s">
        <v>148</v>
      </c>
      <c r="G5558" t="s">
        <v>774</v>
      </c>
      <c r="H5558" t="s">
        <v>513</v>
      </c>
      <c r="I5558" t="s">
        <v>40</v>
      </c>
      <c r="J5558" s="2" t="s">
        <v>31986</v>
      </c>
      <c r="K5558" t="s">
        <v>387</v>
      </c>
      <c r="L5558" t="s">
        <v>1028</v>
      </c>
      <c r="N5558" t="s">
        <v>1029</v>
      </c>
      <c r="O5558" t="s">
        <v>33616</v>
      </c>
      <c r="Q5558">
        <v>26992</v>
      </c>
      <c r="R5558" t="s">
        <v>95</v>
      </c>
      <c r="S5558" t="s">
        <v>10944</v>
      </c>
      <c r="T5558">
        <v>24</v>
      </c>
      <c r="W5558" t="s">
        <v>390</v>
      </c>
      <c r="X5558" t="s">
        <v>3773</v>
      </c>
      <c r="Y5558" t="s">
        <v>33606</v>
      </c>
      <c r="Z5558" t="s">
        <v>3128</v>
      </c>
      <c r="AA5558" s="2" t="s">
        <v>33617</v>
      </c>
      <c r="AB5558" t="s">
        <v>3777</v>
      </c>
      <c r="AG5558" t="s">
        <v>33618</v>
      </c>
      <c r="AH5558" t="s">
        <v>10923</v>
      </c>
      <c r="AI5558" t="s">
        <v>33619</v>
      </c>
    </row>
    <row r="5559" spans="2:35" ht="409.5">
      <c r="B5559" s="1">
        <v>45308</v>
      </c>
      <c r="C5559" s="4">
        <v>45307.428472222222</v>
      </c>
      <c r="D5559" t="s">
        <v>12261</v>
      </c>
      <c r="E5559" t="s">
        <v>8231</v>
      </c>
      <c r="F5559" t="s">
        <v>148</v>
      </c>
      <c r="G5559" t="s">
        <v>774</v>
      </c>
      <c r="H5559" t="s">
        <v>33620</v>
      </c>
      <c r="I5559" t="s">
        <v>40</v>
      </c>
      <c r="J5559" s="2" t="s">
        <v>31986</v>
      </c>
      <c r="K5559" t="s">
        <v>42</v>
      </c>
      <c r="L5559" t="s">
        <v>1028</v>
      </c>
      <c r="N5559" t="s">
        <v>1029</v>
      </c>
      <c r="O5559" t="s">
        <v>12290</v>
      </c>
      <c r="Q5559">
        <v>26991</v>
      </c>
      <c r="R5559" t="s">
        <v>95</v>
      </c>
      <c r="S5559" t="s">
        <v>4609</v>
      </c>
      <c r="T5559">
        <v>24</v>
      </c>
      <c r="U5559" s="2" t="s">
        <v>33621</v>
      </c>
      <c r="W5559" t="s">
        <v>1032</v>
      </c>
      <c r="X5559">
        <v>110014996</v>
      </c>
      <c r="Y5559" t="s">
        <v>33606</v>
      </c>
      <c r="Z5559" t="s">
        <v>3128</v>
      </c>
      <c r="AA5559" s="2" t="s">
        <v>33622</v>
      </c>
      <c r="AB5559" t="s">
        <v>33623</v>
      </c>
      <c r="AG5559" t="s">
        <v>33624</v>
      </c>
      <c r="AH5559" t="s">
        <v>6608</v>
      </c>
      <c r="AI5559" t="s">
        <v>33625</v>
      </c>
    </row>
    <row r="5560" spans="2:35" ht="210">
      <c r="B5560" s="1">
        <v>45308</v>
      </c>
      <c r="C5560" s="4">
        <v>45308.617361111108</v>
      </c>
      <c r="D5560" t="s">
        <v>25498</v>
      </c>
      <c r="E5560" t="s">
        <v>30137</v>
      </c>
      <c r="F5560">
        <v>3</v>
      </c>
      <c r="G5560" t="s">
        <v>134</v>
      </c>
      <c r="H5560" t="s">
        <v>39</v>
      </c>
      <c r="I5560" t="s">
        <v>40</v>
      </c>
      <c r="J5560" s="2" t="s">
        <v>1808</v>
      </c>
      <c r="K5560" t="s">
        <v>42</v>
      </c>
      <c r="L5560" t="s">
        <v>135</v>
      </c>
      <c r="N5560" t="s">
        <v>136</v>
      </c>
      <c r="Q5560">
        <v>26990</v>
      </c>
      <c r="R5560" t="s">
        <v>45</v>
      </c>
      <c r="S5560" t="s">
        <v>25500</v>
      </c>
      <c r="T5560">
        <v>28</v>
      </c>
      <c r="U5560" s="2" t="s">
        <v>33626</v>
      </c>
      <c r="V5560" s="1">
        <v>45299</v>
      </c>
      <c r="W5560" t="s">
        <v>3418</v>
      </c>
      <c r="X5560">
        <v>835104</v>
      </c>
      <c r="Y5560" s="2" t="s">
        <v>33627</v>
      </c>
      <c r="Z5560" t="s">
        <v>4800</v>
      </c>
      <c r="AA5560" s="2" t="s">
        <v>33628</v>
      </c>
      <c r="AB5560" t="s">
        <v>33629</v>
      </c>
      <c r="AD5560" t="s">
        <v>33630</v>
      </c>
      <c r="AE5560">
        <v>45916</v>
      </c>
      <c r="AG5560" t="s">
        <v>33631</v>
      </c>
      <c r="AH5560" t="s">
        <v>33632</v>
      </c>
      <c r="AI5560" t="s">
        <v>33633</v>
      </c>
    </row>
    <row r="5561" spans="2:35" ht="240">
      <c r="B5561" s="1">
        <v>45308</v>
      </c>
      <c r="C5561" s="4">
        <v>45308.613888888889</v>
      </c>
      <c r="D5561" t="s">
        <v>25498</v>
      </c>
      <c r="E5561" t="s">
        <v>30137</v>
      </c>
      <c r="F5561">
        <v>3</v>
      </c>
      <c r="G5561" t="s">
        <v>134</v>
      </c>
      <c r="H5561" t="s">
        <v>39</v>
      </c>
      <c r="I5561" t="s">
        <v>40</v>
      </c>
      <c r="J5561" s="2" t="s">
        <v>1808</v>
      </c>
      <c r="K5561" t="s">
        <v>42</v>
      </c>
      <c r="L5561" t="s">
        <v>135</v>
      </c>
      <c r="N5561" t="s">
        <v>136</v>
      </c>
      <c r="Q5561">
        <v>26989</v>
      </c>
      <c r="R5561" t="s">
        <v>45</v>
      </c>
      <c r="S5561" t="s">
        <v>25500</v>
      </c>
      <c r="T5561">
        <v>28</v>
      </c>
      <c r="U5561" s="2" t="s">
        <v>14410</v>
      </c>
      <c r="V5561" s="1">
        <v>45302</v>
      </c>
      <c r="W5561" t="s">
        <v>2680</v>
      </c>
      <c r="X5561">
        <v>807564</v>
      </c>
      <c r="Y5561" s="2" t="s">
        <v>33634</v>
      </c>
      <c r="Z5561" t="s">
        <v>25800</v>
      </c>
      <c r="AA5561" s="2" t="s">
        <v>33635</v>
      </c>
      <c r="AB5561" t="s">
        <v>181</v>
      </c>
      <c r="AD5561" t="s">
        <v>33636</v>
      </c>
      <c r="AE5561">
        <v>46019</v>
      </c>
      <c r="AG5561" t="s">
        <v>33637</v>
      </c>
      <c r="AH5561" t="s">
        <v>33632</v>
      </c>
      <c r="AI5561" t="s">
        <v>33638</v>
      </c>
    </row>
    <row r="5562" spans="2:35" ht="180">
      <c r="B5562" s="1">
        <v>45308</v>
      </c>
      <c r="C5562" s="4">
        <v>45308.611111111109</v>
      </c>
      <c r="D5562" t="s">
        <v>4875</v>
      </c>
      <c r="E5562" t="s">
        <v>229</v>
      </c>
      <c r="F5562" t="s">
        <v>148</v>
      </c>
      <c r="G5562" t="s">
        <v>230</v>
      </c>
      <c r="H5562" t="s">
        <v>39</v>
      </c>
      <c r="I5562" t="s">
        <v>40</v>
      </c>
      <c r="J5562" s="2" t="s">
        <v>41</v>
      </c>
      <c r="K5562" t="s">
        <v>42</v>
      </c>
      <c r="L5562" t="s">
        <v>175</v>
      </c>
      <c r="N5562" t="s">
        <v>176</v>
      </c>
      <c r="Q5562">
        <v>26988</v>
      </c>
      <c r="R5562" t="s">
        <v>45</v>
      </c>
      <c r="S5562" t="s">
        <v>4880</v>
      </c>
      <c r="T5562">
        <v>33</v>
      </c>
      <c r="U5562" s="2" t="s">
        <v>33639</v>
      </c>
      <c r="V5562" s="1">
        <v>45306</v>
      </c>
      <c r="W5562" t="s">
        <v>84</v>
      </c>
      <c r="X5562">
        <v>808625</v>
      </c>
      <c r="Y5562" t="s">
        <v>424</v>
      </c>
      <c r="Z5562" t="e">
        <f ca="1">- replaced module B3
- checked _xludf.and cleaned cartridge bay, plunger rod, _xludf.filter
- generated reports</f>
        <v>#NAME?</v>
      </c>
      <c r="AA5562" t="s">
        <v>33640</v>
      </c>
      <c r="AB5562" s="2" t="s">
        <v>33641</v>
      </c>
      <c r="AE5562" t="s">
        <v>33642</v>
      </c>
      <c r="AG5562" t="s">
        <v>33643</v>
      </c>
      <c r="AH5562" t="s">
        <v>4878</v>
      </c>
      <c r="AI5562" t="s">
        <v>33644</v>
      </c>
    </row>
    <row r="5563" spans="2:35" ht="135">
      <c r="B5563" s="1">
        <v>45308</v>
      </c>
      <c r="C5563" s="4">
        <v>45308.572916666664</v>
      </c>
      <c r="D5563" t="s">
        <v>3719</v>
      </c>
      <c r="E5563" t="s">
        <v>33278</v>
      </c>
      <c r="F5563" t="s">
        <v>148</v>
      </c>
      <c r="G5563" t="s">
        <v>310</v>
      </c>
      <c r="H5563" t="s">
        <v>39</v>
      </c>
      <c r="I5563" t="s">
        <v>40</v>
      </c>
      <c r="J5563" s="2" t="s">
        <v>30202</v>
      </c>
      <c r="K5563" t="s">
        <v>42</v>
      </c>
      <c r="L5563" t="s">
        <v>1943</v>
      </c>
      <c r="N5563" t="s">
        <v>1944</v>
      </c>
      <c r="Q5563">
        <v>26987</v>
      </c>
      <c r="R5563" t="s">
        <v>119</v>
      </c>
      <c r="S5563" t="s">
        <v>3721</v>
      </c>
      <c r="T5563">
        <v>25</v>
      </c>
      <c r="U5563" s="2" t="s">
        <v>33279</v>
      </c>
      <c r="W5563" t="s">
        <v>84</v>
      </c>
      <c r="X5563">
        <v>831644</v>
      </c>
      <c r="Y5563" s="2" t="s">
        <v>33280</v>
      </c>
      <c r="Z5563" s="2" t="s">
        <v>33281</v>
      </c>
      <c r="AA5563" t="s">
        <v>33282</v>
      </c>
      <c r="AB5563" t="s">
        <v>88</v>
      </c>
      <c r="AG5563" t="s">
        <v>33645</v>
      </c>
      <c r="AH5563" t="s">
        <v>27633</v>
      </c>
      <c r="AI5563" t="s">
        <v>33646</v>
      </c>
    </row>
    <row r="5564" spans="2:35" ht="135">
      <c r="B5564" s="1">
        <v>45308</v>
      </c>
      <c r="C5564" s="4">
        <v>45308.572916666664</v>
      </c>
      <c r="D5564" t="s">
        <v>3719</v>
      </c>
      <c r="E5564" t="s">
        <v>33278</v>
      </c>
      <c r="F5564" t="s">
        <v>148</v>
      </c>
      <c r="G5564" t="s">
        <v>310</v>
      </c>
      <c r="H5564" t="s">
        <v>39</v>
      </c>
      <c r="I5564" t="s">
        <v>40</v>
      </c>
      <c r="J5564" s="2" t="s">
        <v>30202</v>
      </c>
      <c r="K5564" t="s">
        <v>42</v>
      </c>
      <c r="L5564" t="s">
        <v>1943</v>
      </c>
      <c r="N5564" t="s">
        <v>1944</v>
      </c>
      <c r="Q5564">
        <v>26986</v>
      </c>
      <c r="R5564" t="s">
        <v>119</v>
      </c>
      <c r="S5564" t="s">
        <v>3721</v>
      </c>
      <c r="T5564">
        <v>25</v>
      </c>
      <c r="U5564" s="2" t="s">
        <v>33279</v>
      </c>
      <c r="W5564" t="s">
        <v>84</v>
      </c>
      <c r="X5564">
        <v>831644</v>
      </c>
      <c r="Y5564" s="2" t="s">
        <v>33280</v>
      </c>
      <c r="Z5564" s="2" t="s">
        <v>33281</v>
      </c>
      <c r="AA5564" t="s">
        <v>33282</v>
      </c>
      <c r="AB5564" t="s">
        <v>88</v>
      </c>
      <c r="AG5564" t="s">
        <v>33647</v>
      </c>
      <c r="AH5564" t="s">
        <v>27633</v>
      </c>
      <c r="AI5564" t="s">
        <v>33648</v>
      </c>
    </row>
    <row r="5565" spans="2:35" ht="409.5">
      <c r="B5565" s="1">
        <v>45308</v>
      </c>
      <c r="C5565" s="4">
        <v>45308.527777777781</v>
      </c>
      <c r="D5565" t="s">
        <v>33649</v>
      </c>
      <c r="E5565" t="s">
        <v>15650</v>
      </c>
      <c r="F5565" t="s">
        <v>148</v>
      </c>
      <c r="G5565" t="s">
        <v>447</v>
      </c>
      <c r="H5565" t="s">
        <v>39</v>
      </c>
      <c r="I5565" t="s">
        <v>40</v>
      </c>
      <c r="J5565" s="2" t="s">
        <v>30202</v>
      </c>
      <c r="K5565" t="s">
        <v>42</v>
      </c>
      <c r="L5565" t="s">
        <v>175</v>
      </c>
      <c r="N5565" t="s">
        <v>176</v>
      </c>
      <c r="Q5565">
        <v>26985</v>
      </c>
      <c r="R5565" t="s">
        <v>322</v>
      </c>
      <c r="S5565" t="s">
        <v>15652</v>
      </c>
      <c r="T5565">
        <v>30</v>
      </c>
      <c r="U5565" s="2" t="s">
        <v>33650</v>
      </c>
      <c r="W5565" t="s">
        <v>84</v>
      </c>
      <c r="X5565">
        <v>845462</v>
      </c>
      <c r="Y5565" t="s">
        <v>33651</v>
      </c>
      <c r="Z5565" t="e">
        <f ca="1">- performed self test on B1, B2, B3 repeatedly
- removed stuck cartridges
- checked _xludf.and cleaned cartridge bay, plunger rod, _xludf.filter
- generated reports</f>
        <v>#NAME?</v>
      </c>
      <c r="AA5565" t="s">
        <v>13395</v>
      </c>
      <c r="AB5565" t="s">
        <v>181</v>
      </c>
      <c r="AG5565" t="s">
        <v>33652</v>
      </c>
      <c r="AH5565" t="s">
        <v>33653</v>
      </c>
      <c r="AI5565" t="s">
        <v>33654</v>
      </c>
    </row>
    <row r="5566" spans="2:35" ht="409.5">
      <c r="B5566" s="1">
        <v>45308</v>
      </c>
      <c r="C5566" s="4">
        <v>45308.470833333333</v>
      </c>
      <c r="D5566" t="s">
        <v>8684</v>
      </c>
      <c r="E5566" t="s">
        <v>27512</v>
      </c>
      <c r="F5566">
        <v>3</v>
      </c>
      <c r="G5566" t="s">
        <v>284</v>
      </c>
      <c r="H5566" t="s">
        <v>39</v>
      </c>
      <c r="I5566" t="s">
        <v>40</v>
      </c>
      <c r="J5566" s="2" t="s">
        <v>190</v>
      </c>
      <c r="K5566" t="s">
        <v>42</v>
      </c>
      <c r="L5566" t="s">
        <v>135</v>
      </c>
      <c r="N5566" t="s">
        <v>136</v>
      </c>
      <c r="Q5566">
        <v>26984</v>
      </c>
      <c r="R5566" t="s">
        <v>119</v>
      </c>
      <c r="S5566" t="s">
        <v>27513</v>
      </c>
      <c r="T5566">
        <v>28</v>
      </c>
      <c r="U5566" s="2" t="s">
        <v>33655</v>
      </c>
      <c r="W5566" t="s">
        <v>2680</v>
      </c>
      <c r="X5566">
        <v>831613</v>
      </c>
      <c r="Y5566" t="s">
        <v>33656</v>
      </c>
      <c r="Z5566" s="2" t="s">
        <v>28879</v>
      </c>
      <c r="AA5566" s="2" t="s">
        <v>31375</v>
      </c>
      <c r="AB5566" t="s">
        <v>33657</v>
      </c>
      <c r="AC5566" t="s">
        <v>33658</v>
      </c>
      <c r="AG5566" t="s">
        <v>33659</v>
      </c>
      <c r="AH5566" t="s">
        <v>33660</v>
      </c>
      <c r="AI5566" t="s">
        <v>33661</v>
      </c>
    </row>
    <row r="5567" spans="2:35" ht="255">
      <c r="B5567" s="1">
        <v>45308</v>
      </c>
      <c r="C5567" s="4">
        <v>45266.560416666667</v>
      </c>
      <c r="D5567" t="s">
        <v>29843</v>
      </c>
      <c r="E5567" t="s">
        <v>9296</v>
      </c>
      <c r="F5567">
        <v>3</v>
      </c>
      <c r="G5567" t="s">
        <v>730</v>
      </c>
      <c r="H5567" t="s">
        <v>4885</v>
      </c>
      <c r="I5567" t="s">
        <v>40</v>
      </c>
      <c r="J5567" s="2" t="s">
        <v>41</v>
      </c>
      <c r="K5567" t="s">
        <v>42</v>
      </c>
      <c r="L5567" t="s">
        <v>135</v>
      </c>
      <c r="N5567" t="s">
        <v>136</v>
      </c>
      <c r="Q5567">
        <v>26983</v>
      </c>
      <c r="R5567" t="s">
        <v>45</v>
      </c>
      <c r="S5567" t="s">
        <v>32557</v>
      </c>
      <c r="T5567">
        <v>25</v>
      </c>
      <c r="U5567" s="2" t="s">
        <v>32558</v>
      </c>
      <c r="W5567" t="s">
        <v>2680</v>
      </c>
      <c r="X5567">
        <v>838142</v>
      </c>
      <c r="Y5567" t="s">
        <v>32559</v>
      </c>
      <c r="Z5567" s="2" t="s">
        <v>29539</v>
      </c>
      <c r="AA5567" s="2" t="s">
        <v>32560</v>
      </c>
      <c r="AB5567" t="s">
        <v>181</v>
      </c>
      <c r="AC5567" t="s">
        <v>32561</v>
      </c>
      <c r="AG5567" t="s">
        <v>33662</v>
      </c>
      <c r="AH5567" t="s">
        <v>32551</v>
      </c>
      <c r="AI5567" t="s">
        <v>33663</v>
      </c>
    </row>
    <row r="5568" spans="2:35" ht="195">
      <c r="B5568" s="1">
        <v>45308</v>
      </c>
      <c r="C5568" s="4">
        <v>45308.438888888886</v>
      </c>
      <c r="D5568" t="s">
        <v>5546</v>
      </c>
      <c r="E5568" t="s">
        <v>1555</v>
      </c>
      <c r="F5568">
        <v>7</v>
      </c>
      <c r="G5568" t="s">
        <v>432</v>
      </c>
      <c r="H5568" t="s">
        <v>39</v>
      </c>
      <c r="I5568" t="s">
        <v>94</v>
      </c>
      <c r="J5568" s="2" t="s">
        <v>4208</v>
      </c>
      <c r="K5568" t="s">
        <v>42</v>
      </c>
      <c r="L5568" t="s">
        <v>594</v>
      </c>
      <c r="N5568" t="s">
        <v>595</v>
      </c>
      <c r="Q5568">
        <v>26982</v>
      </c>
      <c r="R5568" t="s">
        <v>119</v>
      </c>
      <c r="S5568" t="s">
        <v>28609</v>
      </c>
      <c r="T5568">
        <v>23</v>
      </c>
      <c r="U5568" s="2" t="s">
        <v>33664</v>
      </c>
      <c r="V5568" s="1">
        <v>45308</v>
      </c>
      <c r="W5568" t="s">
        <v>502</v>
      </c>
      <c r="X5568">
        <v>829419</v>
      </c>
      <c r="Y5568" t="s">
        <v>33665</v>
      </c>
      <c r="Z5568" t="s">
        <v>13318</v>
      </c>
      <c r="AA5568" t="s">
        <v>33666</v>
      </c>
      <c r="AB5568" t="s">
        <v>13650</v>
      </c>
      <c r="AG5568" t="s">
        <v>33667</v>
      </c>
      <c r="AH5568" t="s">
        <v>33668</v>
      </c>
      <c r="AI5568" t="s">
        <v>33669</v>
      </c>
    </row>
    <row r="5569" spans="2:35" ht="240">
      <c r="B5569" s="1">
        <v>45308</v>
      </c>
      <c r="C5569" s="4">
        <v>45308.427777777775</v>
      </c>
      <c r="D5569" t="s">
        <v>9139</v>
      </c>
      <c r="E5569" t="s">
        <v>33670</v>
      </c>
      <c r="F5569">
        <v>6</v>
      </c>
      <c r="G5569" t="s">
        <v>1286</v>
      </c>
      <c r="H5569" t="s">
        <v>10969</v>
      </c>
      <c r="I5569" t="s">
        <v>40</v>
      </c>
      <c r="J5569" t="s">
        <v>109</v>
      </c>
      <c r="K5569" t="s">
        <v>42</v>
      </c>
      <c r="L5569" t="s">
        <v>1288</v>
      </c>
      <c r="N5569" t="s">
        <v>1289</v>
      </c>
      <c r="Q5569">
        <v>26981</v>
      </c>
      <c r="R5569" t="s">
        <v>45</v>
      </c>
      <c r="S5569" t="s">
        <v>31167</v>
      </c>
      <c r="T5569">
        <v>28</v>
      </c>
      <c r="U5569" s="2" t="s">
        <v>33671</v>
      </c>
      <c r="W5569" t="s">
        <v>16722</v>
      </c>
      <c r="X5569">
        <v>839316</v>
      </c>
      <c r="Y5569" t="s">
        <v>33672</v>
      </c>
      <c r="Z5569" t="e">
        <f ca="1">-COLLECT IQR, system _xludf.Log, _xludf.and ARCHIVE</f>
        <v>#NAME?</v>
      </c>
      <c r="AA5569" s="2" t="s">
        <v>33673</v>
      </c>
      <c r="AB5569" t="s">
        <v>1293</v>
      </c>
      <c r="AG5569" t="s">
        <v>33674</v>
      </c>
      <c r="AH5569" t="s">
        <v>31171</v>
      </c>
      <c r="AI5569" t="s">
        <v>33675</v>
      </c>
    </row>
    <row r="5570" spans="2:35" ht="285">
      <c r="B5570" s="1">
        <v>45308</v>
      </c>
      <c r="C5570" s="4">
        <v>45308.423611111109</v>
      </c>
      <c r="D5570" t="s">
        <v>9139</v>
      </c>
      <c r="E5570" t="s">
        <v>33670</v>
      </c>
      <c r="F5570">
        <v>6</v>
      </c>
      <c r="G5570" t="s">
        <v>1286</v>
      </c>
      <c r="H5570" t="s">
        <v>10969</v>
      </c>
      <c r="I5570" t="s">
        <v>40</v>
      </c>
      <c r="J5570" t="s">
        <v>109</v>
      </c>
      <c r="K5570" t="s">
        <v>42</v>
      </c>
      <c r="L5570" t="s">
        <v>1288</v>
      </c>
      <c r="N5570" t="s">
        <v>1289</v>
      </c>
      <c r="Q5570">
        <v>26980</v>
      </c>
      <c r="R5570" t="s">
        <v>45</v>
      </c>
      <c r="S5570" t="s">
        <v>31167</v>
      </c>
      <c r="T5570">
        <v>29</v>
      </c>
      <c r="U5570" s="2" t="s">
        <v>33676</v>
      </c>
      <c r="W5570" t="s">
        <v>1292</v>
      </c>
      <c r="X5570">
        <v>706910</v>
      </c>
      <c r="Y5570" t="s">
        <v>33677</v>
      </c>
      <c r="Z5570" t="e">
        <f ca="1">-COLLECT IQR,system _xludf.Log, _xludf.and ARCHIVE</f>
        <v>#NAME?</v>
      </c>
      <c r="AA5570" t="e">
        <f ca="1">-PERFORM Preventive Maintenance
-Data Collection _xludf.For Reported module</f>
        <v>#NAME?</v>
      </c>
      <c r="AB5570" t="s">
        <v>1293</v>
      </c>
      <c r="AG5570" t="s">
        <v>33678</v>
      </c>
      <c r="AH5570" t="s">
        <v>31171</v>
      </c>
      <c r="AI5570" t="s">
        <v>33679</v>
      </c>
    </row>
    <row r="5571" spans="2:35" ht="330">
      <c r="B5571" s="1">
        <v>45308</v>
      </c>
      <c r="C5571" s="4">
        <v>45308.418055555558</v>
      </c>
      <c r="D5571" t="s">
        <v>9139</v>
      </c>
      <c r="E5571" t="s">
        <v>33670</v>
      </c>
      <c r="F5571">
        <v>6</v>
      </c>
      <c r="G5571" t="s">
        <v>1286</v>
      </c>
      <c r="H5571" t="s">
        <v>10969</v>
      </c>
      <c r="I5571" t="s">
        <v>40</v>
      </c>
      <c r="J5571" s="2" t="s">
        <v>41</v>
      </c>
      <c r="K5571" t="s">
        <v>42</v>
      </c>
      <c r="L5571" t="s">
        <v>1288</v>
      </c>
      <c r="N5571" t="s">
        <v>1289</v>
      </c>
      <c r="Q5571">
        <v>26979</v>
      </c>
      <c r="R5571" t="s">
        <v>719</v>
      </c>
      <c r="S5571" t="s">
        <v>31167</v>
      </c>
      <c r="T5571">
        <v>26</v>
      </c>
      <c r="U5571" s="2" t="s">
        <v>33680</v>
      </c>
      <c r="W5571" t="s">
        <v>1292</v>
      </c>
      <c r="X5571">
        <v>848241</v>
      </c>
      <c r="Y5571" t="e">
        <f ca="1">-_xludf.For module B4 Replacement</f>
        <v>#NAME?</v>
      </c>
      <c r="Z5571" t="e">
        <f ca="1">-COLLECT IQR, system _xludf.Log, _xludf.and ARCHIVE</f>
        <v>#NAME?</v>
      </c>
      <c r="AA5571" s="2" t="s">
        <v>33681</v>
      </c>
      <c r="AB5571" t="s">
        <v>1293</v>
      </c>
      <c r="AG5571" t="s">
        <v>33682</v>
      </c>
      <c r="AH5571" t="s">
        <v>31171</v>
      </c>
      <c r="AI5571" t="s">
        <v>33683</v>
      </c>
    </row>
    <row r="5572" spans="2:35" ht="255">
      <c r="B5572" s="1">
        <v>45308</v>
      </c>
      <c r="C5572" s="4">
        <v>45307.633333333331</v>
      </c>
      <c r="D5572" t="s">
        <v>33684</v>
      </c>
      <c r="E5572" t="s">
        <v>33685</v>
      </c>
      <c r="F5572" t="s">
        <v>37</v>
      </c>
      <c r="G5572" t="s">
        <v>2499</v>
      </c>
      <c r="H5572" t="s">
        <v>39</v>
      </c>
      <c r="I5572" t="s">
        <v>40</v>
      </c>
      <c r="J5572" s="2" t="s">
        <v>31986</v>
      </c>
      <c r="K5572" t="s">
        <v>42</v>
      </c>
      <c r="L5572" t="s">
        <v>43</v>
      </c>
      <c r="N5572" t="s">
        <v>44</v>
      </c>
      <c r="Q5572">
        <v>26978</v>
      </c>
      <c r="R5572" t="s">
        <v>322</v>
      </c>
      <c r="S5572" t="s">
        <v>33686</v>
      </c>
      <c r="T5572">
        <v>24</v>
      </c>
      <c r="U5572" s="2" t="s">
        <v>33687</v>
      </c>
      <c r="W5572" t="s">
        <v>48</v>
      </c>
      <c r="X5572">
        <v>110015487</v>
      </c>
      <c r="Y5572" t="s">
        <v>121</v>
      </c>
      <c r="Z5572" t="s">
        <v>122</v>
      </c>
      <c r="AA5572" s="2" t="s">
        <v>33688</v>
      </c>
      <c r="AB5572" t="s">
        <v>181</v>
      </c>
      <c r="AG5572" t="s">
        <v>33689</v>
      </c>
      <c r="AH5572" t="s">
        <v>33690</v>
      </c>
      <c r="AI5572" t="s">
        <v>33691</v>
      </c>
    </row>
    <row r="5573" spans="2:35" ht="45">
      <c r="B5573" s="1">
        <v>45308</v>
      </c>
      <c r="C5573" s="4">
        <v>45308.306944444441</v>
      </c>
      <c r="D5573" t="s">
        <v>33692</v>
      </c>
      <c r="E5573" t="s">
        <v>12984</v>
      </c>
      <c r="F5573">
        <v>7</v>
      </c>
      <c r="G5573" t="s">
        <v>6529</v>
      </c>
      <c r="H5573" t="s">
        <v>39</v>
      </c>
      <c r="I5573" t="s">
        <v>40</v>
      </c>
      <c r="J5573" s="2" t="s">
        <v>1370</v>
      </c>
      <c r="K5573" t="s">
        <v>42</v>
      </c>
      <c r="L5573" t="s">
        <v>433</v>
      </c>
      <c r="N5573" t="s">
        <v>434</v>
      </c>
      <c r="Q5573">
        <v>26977</v>
      </c>
      <c r="R5573" t="s">
        <v>119</v>
      </c>
      <c r="S5573" t="s">
        <v>27956</v>
      </c>
      <c r="T5573">
        <v>28</v>
      </c>
      <c r="W5573" t="s">
        <v>1008</v>
      </c>
      <c r="X5573">
        <v>838394</v>
      </c>
      <c r="Y5573" t="s">
        <v>33693</v>
      </c>
      <c r="Z5573" t="s">
        <v>33694</v>
      </c>
      <c r="AA5573" t="s">
        <v>33694</v>
      </c>
      <c r="AB5573" t="s">
        <v>1011</v>
      </c>
      <c r="AG5573" t="s">
        <v>33695</v>
      </c>
      <c r="AH5573" t="s">
        <v>33696</v>
      </c>
      <c r="AI5573" t="s">
        <v>33697</v>
      </c>
    </row>
    <row r="5574" spans="2:35" ht="105">
      <c r="B5574" s="1">
        <v>45308</v>
      </c>
      <c r="C5574" s="4">
        <v>45308.379166666666</v>
      </c>
      <c r="D5574" t="s">
        <v>8067</v>
      </c>
      <c r="E5574" t="s">
        <v>8068</v>
      </c>
      <c r="F5574">
        <v>8</v>
      </c>
      <c r="G5574" t="s">
        <v>257</v>
      </c>
      <c r="H5574" t="s">
        <v>202</v>
      </c>
      <c r="I5574" t="s">
        <v>40</v>
      </c>
      <c r="J5574" t="s">
        <v>109</v>
      </c>
      <c r="K5574" t="s">
        <v>42</v>
      </c>
      <c r="L5574" t="s">
        <v>259</v>
      </c>
      <c r="N5574" t="s">
        <v>260</v>
      </c>
      <c r="Q5574">
        <v>26976</v>
      </c>
      <c r="R5574" t="s">
        <v>119</v>
      </c>
      <c r="S5574" t="s">
        <v>9419</v>
      </c>
      <c r="T5574">
        <v>24</v>
      </c>
      <c r="U5574" s="2" t="s">
        <v>33698</v>
      </c>
      <c r="V5574" s="1">
        <v>45308</v>
      </c>
      <c r="W5574" t="s">
        <v>84</v>
      </c>
      <c r="X5574">
        <v>838406</v>
      </c>
      <c r="Y5574" t="s">
        <v>263</v>
      </c>
      <c r="Z5574" t="s">
        <v>263</v>
      </c>
      <c r="AA5574" t="e">
        <f ca="1">- performed Preventive Maintenance
- cleaned cartridge bay, plunger rod, FAN _xludf.filter
- ARCHIVE Data
- Generate reports</f>
        <v>#NAME?</v>
      </c>
      <c r="AB5574" t="s">
        <v>181</v>
      </c>
      <c r="AG5574" t="s">
        <v>33699</v>
      </c>
      <c r="AH5574" t="s">
        <v>33700</v>
      </c>
      <c r="AI5574" t="s">
        <v>33701</v>
      </c>
    </row>
    <row r="5575" spans="2:35" ht="225">
      <c r="B5575" s="1">
        <v>45308</v>
      </c>
      <c r="C5575" s="4">
        <v>45307.515972222223</v>
      </c>
      <c r="D5575" t="s">
        <v>6672</v>
      </c>
      <c r="E5575" t="s">
        <v>9442</v>
      </c>
      <c r="F5575">
        <v>8</v>
      </c>
      <c r="G5575" t="s">
        <v>1663</v>
      </c>
      <c r="H5575" t="s">
        <v>202</v>
      </c>
      <c r="I5575" t="s">
        <v>40</v>
      </c>
      <c r="J5575" s="2" t="s">
        <v>31986</v>
      </c>
      <c r="K5575" t="s">
        <v>42</v>
      </c>
      <c r="L5575" t="s">
        <v>259</v>
      </c>
      <c r="N5575" t="s">
        <v>260</v>
      </c>
      <c r="O5575" t="s">
        <v>260</v>
      </c>
      <c r="Q5575">
        <v>26975</v>
      </c>
      <c r="R5575" t="s">
        <v>119</v>
      </c>
      <c r="S5575" t="s">
        <v>33702</v>
      </c>
      <c r="T5575">
        <v>26</v>
      </c>
      <c r="U5575" s="2" t="s">
        <v>27466</v>
      </c>
      <c r="V5575" s="1">
        <v>45307</v>
      </c>
      <c r="W5575" t="s">
        <v>84</v>
      </c>
      <c r="X5575">
        <v>838202</v>
      </c>
      <c r="Y5575" t="s">
        <v>1716</v>
      </c>
      <c r="Z5575" t="s">
        <v>33703</v>
      </c>
      <c r="AA5575" s="2" t="s">
        <v>33704</v>
      </c>
      <c r="AB5575" t="s">
        <v>10222</v>
      </c>
      <c r="AG5575" t="s">
        <v>33705</v>
      </c>
      <c r="AH5575" t="s">
        <v>33706</v>
      </c>
      <c r="AI5575" t="s">
        <v>33707</v>
      </c>
    </row>
    <row r="5576" spans="2:35" ht="315">
      <c r="B5576" s="1">
        <v>45307</v>
      </c>
      <c r="C5576" s="4">
        <v>45307.343055555553</v>
      </c>
      <c r="D5576" t="s">
        <v>4523</v>
      </c>
      <c r="E5576" t="s">
        <v>14119</v>
      </c>
      <c r="F5576">
        <v>1</v>
      </c>
      <c r="G5576" t="s">
        <v>1046</v>
      </c>
      <c r="H5576" t="s">
        <v>1047</v>
      </c>
      <c r="I5576" t="s">
        <v>40</v>
      </c>
      <c r="J5576" s="2" t="s">
        <v>41</v>
      </c>
      <c r="K5576" t="s">
        <v>42</v>
      </c>
      <c r="L5576" t="s">
        <v>1048</v>
      </c>
      <c r="N5576" t="s">
        <v>1049</v>
      </c>
      <c r="Q5576">
        <v>26974</v>
      </c>
      <c r="R5576" t="s">
        <v>119</v>
      </c>
      <c r="S5576" t="s">
        <v>7964</v>
      </c>
      <c r="T5576">
        <v>25</v>
      </c>
      <c r="U5576" s="2" t="s">
        <v>33708</v>
      </c>
      <c r="V5576" s="1">
        <v>45295</v>
      </c>
      <c r="W5576" t="s">
        <v>360</v>
      </c>
      <c r="X5576">
        <v>838286</v>
      </c>
      <c r="Y5576" t="s">
        <v>1924</v>
      </c>
      <c r="Z5576" s="2" t="s">
        <v>33709</v>
      </c>
      <c r="AA5576" t="s">
        <v>1926</v>
      </c>
      <c r="AB5576" t="s">
        <v>181</v>
      </c>
      <c r="AD5576" t="s">
        <v>33710</v>
      </c>
      <c r="AE5576" t="s">
        <v>33711</v>
      </c>
      <c r="AG5576" t="s">
        <v>33712</v>
      </c>
      <c r="AH5576" t="s">
        <v>8788</v>
      </c>
      <c r="AI5576" t="s">
        <v>33713</v>
      </c>
    </row>
    <row r="5577" spans="2:35" ht="315">
      <c r="B5577" s="1">
        <v>45307</v>
      </c>
      <c r="C5577" s="4">
        <v>45307.339583333334</v>
      </c>
      <c r="D5577" t="s">
        <v>4511</v>
      </c>
      <c r="E5577" t="s">
        <v>4512</v>
      </c>
      <c r="F5577">
        <v>1</v>
      </c>
      <c r="G5577" t="s">
        <v>1046</v>
      </c>
      <c r="H5577" t="s">
        <v>1047</v>
      </c>
      <c r="I5577" t="s">
        <v>40</v>
      </c>
      <c r="J5577" s="2" t="s">
        <v>41</v>
      </c>
      <c r="K5577" t="s">
        <v>42</v>
      </c>
      <c r="L5577" t="s">
        <v>1048</v>
      </c>
      <c r="N5577" t="s">
        <v>1049</v>
      </c>
      <c r="Q5577">
        <v>26973</v>
      </c>
      <c r="R5577" t="s">
        <v>119</v>
      </c>
      <c r="S5577" t="s">
        <v>4513</v>
      </c>
      <c r="T5577">
        <v>28</v>
      </c>
      <c r="U5577" s="2" t="s">
        <v>33571</v>
      </c>
      <c r="V5577" s="1">
        <v>45295</v>
      </c>
      <c r="W5577" t="s">
        <v>360</v>
      </c>
      <c r="X5577">
        <v>838288</v>
      </c>
      <c r="Y5577" t="s">
        <v>1924</v>
      </c>
      <c r="Z5577" s="2" t="s">
        <v>33714</v>
      </c>
      <c r="AA5577" t="s">
        <v>1926</v>
      </c>
      <c r="AB5577" t="s">
        <v>181</v>
      </c>
      <c r="AD5577" t="s">
        <v>182</v>
      </c>
      <c r="AE5577" t="s">
        <v>33715</v>
      </c>
      <c r="AG5577" t="s">
        <v>33716</v>
      </c>
      <c r="AH5577" t="s">
        <v>33717</v>
      </c>
      <c r="AI5577" t="s">
        <v>33718</v>
      </c>
    </row>
    <row r="5578" spans="2:35" ht="409.5">
      <c r="B5578" s="1">
        <v>45307</v>
      </c>
      <c r="C5578" s="4">
        <v>45307.657638888886</v>
      </c>
      <c r="D5578" t="s">
        <v>12670</v>
      </c>
      <c r="E5578" t="s">
        <v>6810</v>
      </c>
      <c r="F5578">
        <v>11</v>
      </c>
      <c r="G5578" t="s">
        <v>201</v>
      </c>
      <c r="H5578" t="s">
        <v>202</v>
      </c>
      <c r="I5578" t="s">
        <v>40</v>
      </c>
      <c r="J5578" s="2" t="s">
        <v>41</v>
      </c>
      <c r="K5578" t="s">
        <v>42</v>
      </c>
      <c r="L5578" t="s">
        <v>204</v>
      </c>
      <c r="N5578" t="s">
        <v>205</v>
      </c>
      <c r="Q5578">
        <v>26972</v>
      </c>
      <c r="R5578" t="s">
        <v>119</v>
      </c>
      <c r="S5578" t="s">
        <v>6811</v>
      </c>
      <c r="T5578">
        <v>25.6</v>
      </c>
      <c r="U5578" s="2" t="s">
        <v>33719</v>
      </c>
      <c r="V5578" s="1">
        <v>45296</v>
      </c>
      <c r="W5578" t="s">
        <v>23237</v>
      </c>
      <c r="X5578">
        <v>838490</v>
      </c>
      <c r="Y5578" t="s">
        <v>33720</v>
      </c>
      <c r="Z5578" s="2" t="s">
        <v>33721</v>
      </c>
      <c r="AA5578" t="s">
        <v>2560</v>
      </c>
      <c r="AB5578" t="s">
        <v>1211</v>
      </c>
      <c r="AD5578" t="s">
        <v>10253</v>
      </c>
      <c r="AE5578" t="s">
        <v>33722</v>
      </c>
      <c r="AG5578" t="s">
        <v>33723</v>
      </c>
      <c r="AH5578" t="s">
        <v>33724</v>
      </c>
      <c r="AI5578" t="s">
        <v>33725</v>
      </c>
    </row>
    <row r="5579" spans="2:35" ht="270">
      <c r="B5579" s="1">
        <v>45307</v>
      </c>
      <c r="C5579" s="4">
        <v>45307.652083333334</v>
      </c>
      <c r="D5579" t="s">
        <v>33125</v>
      </c>
      <c r="E5579" t="s">
        <v>33726</v>
      </c>
      <c r="F5579" t="s">
        <v>148</v>
      </c>
      <c r="G5579" t="s">
        <v>447</v>
      </c>
      <c r="H5579" t="s">
        <v>39</v>
      </c>
      <c r="I5579" t="s">
        <v>94</v>
      </c>
      <c r="J5579" s="2" t="s">
        <v>1592</v>
      </c>
      <c r="K5579" t="s">
        <v>42</v>
      </c>
      <c r="L5579" t="s">
        <v>15532</v>
      </c>
      <c r="N5579" t="s">
        <v>15533</v>
      </c>
      <c r="Q5579">
        <v>26971</v>
      </c>
      <c r="R5579" t="s">
        <v>119</v>
      </c>
      <c r="S5579" t="s">
        <v>22606</v>
      </c>
      <c r="T5579">
        <v>25</v>
      </c>
      <c r="V5579" s="1">
        <v>45303</v>
      </c>
      <c r="W5579" t="s">
        <v>23974</v>
      </c>
      <c r="X5579">
        <v>831586</v>
      </c>
      <c r="Y5579" s="2" t="s">
        <v>33727</v>
      </c>
      <c r="Z5579" s="2" t="s">
        <v>33728</v>
      </c>
      <c r="AA5579" s="2" t="s">
        <v>33729</v>
      </c>
      <c r="AB5579" s="2" t="s">
        <v>30391</v>
      </c>
      <c r="AD5579" t="s">
        <v>15847</v>
      </c>
      <c r="AE5579" t="s">
        <v>33730</v>
      </c>
      <c r="AG5579" t="s">
        <v>33731</v>
      </c>
      <c r="AH5579" t="s">
        <v>33732</v>
      </c>
      <c r="AI5579" t="s">
        <v>33733</v>
      </c>
    </row>
    <row r="5580" spans="2:35" ht="165">
      <c r="B5580" s="1">
        <v>45307</v>
      </c>
      <c r="C5580" s="4">
        <v>45307.6875</v>
      </c>
      <c r="D5580" t="s">
        <v>31187</v>
      </c>
      <c r="E5580" t="s">
        <v>31188</v>
      </c>
      <c r="F5580">
        <v>13</v>
      </c>
      <c r="G5580" t="s">
        <v>8524</v>
      </c>
      <c r="H5580" t="s">
        <v>2125</v>
      </c>
      <c r="I5580" t="s">
        <v>40</v>
      </c>
      <c r="J5580" s="2" t="s">
        <v>17874</v>
      </c>
      <c r="K5580" t="s">
        <v>42</v>
      </c>
      <c r="L5580" t="s">
        <v>933</v>
      </c>
      <c r="N5580" t="s">
        <v>934</v>
      </c>
      <c r="Q5580">
        <v>26970</v>
      </c>
      <c r="R5580" t="s">
        <v>45</v>
      </c>
      <c r="S5580" t="s">
        <v>31190</v>
      </c>
      <c r="T5580">
        <v>28</v>
      </c>
      <c r="W5580" t="s">
        <v>3662</v>
      </c>
      <c r="X5580">
        <v>804255</v>
      </c>
      <c r="Y5580" s="2" t="s">
        <v>33734</v>
      </c>
      <c r="Z5580" t="s">
        <v>301</v>
      </c>
      <c r="AA5580" t="s">
        <v>33735</v>
      </c>
      <c r="AB5580" s="2" t="s">
        <v>33736</v>
      </c>
      <c r="AG5580" t="s">
        <v>33737</v>
      </c>
      <c r="AH5580" t="s">
        <v>33738</v>
      </c>
      <c r="AI5580" t="s">
        <v>33739</v>
      </c>
    </row>
    <row r="5581" spans="2:35" ht="105">
      <c r="B5581" s="1">
        <v>45307</v>
      </c>
      <c r="C5581" s="4">
        <v>45307.683333333334</v>
      </c>
      <c r="D5581" t="s">
        <v>33740</v>
      </c>
      <c r="E5581" t="s">
        <v>33741</v>
      </c>
      <c r="F5581">
        <v>6</v>
      </c>
      <c r="G5581" t="s">
        <v>1286</v>
      </c>
      <c r="H5581" t="s">
        <v>10969</v>
      </c>
      <c r="I5581" t="s">
        <v>40</v>
      </c>
      <c r="J5581" t="s">
        <v>79</v>
      </c>
      <c r="K5581" t="s">
        <v>42</v>
      </c>
      <c r="L5581" t="s">
        <v>1288</v>
      </c>
      <c r="N5581" t="s">
        <v>1289</v>
      </c>
      <c r="Q5581">
        <v>26969</v>
      </c>
      <c r="R5581" t="s">
        <v>45</v>
      </c>
      <c r="S5581" t="s">
        <v>33742</v>
      </c>
      <c r="T5581">
        <v>26</v>
      </c>
      <c r="U5581" s="2" t="s">
        <v>33743</v>
      </c>
      <c r="W5581" t="s">
        <v>1292</v>
      </c>
      <c r="X5581">
        <v>838200</v>
      </c>
      <c r="Y5581" t="s">
        <v>16599</v>
      </c>
      <c r="Z5581" t="e">
        <f ca="1">-COLLECT IQR,system _xludf.Log, _xludf.and ARCHIVE</f>
        <v>#NAME?</v>
      </c>
      <c r="AA5581" t="s">
        <v>33744</v>
      </c>
      <c r="AB5581" t="s">
        <v>1293</v>
      </c>
      <c r="AG5581" t="s">
        <v>33745</v>
      </c>
      <c r="AH5581" t="s">
        <v>33746</v>
      </c>
      <c r="AI5581" t="s">
        <v>33747</v>
      </c>
    </row>
    <row r="5582" spans="2:35" ht="105">
      <c r="B5582" s="1">
        <v>45307</v>
      </c>
      <c r="C5582" s="4">
        <v>45307.618055555555</v>
      </c>
      <c r="D5582" t="s">
        <v>3139</v>
      </c>
      <c r="E5582" t="s">
        <v>3140</v>
      </c>
      <c r="F5582">
        <v>3</v>
      </c>
      <c r="G5582" t="s">
        <v>174</v>
      </c>
      <c r="H5582" t="s">
        <v>39</v>
      </c>
      <c r="I5582" t="s">
        <v>40</v>
      </c>
      <c r="J5582" s="2" t="s">
        <v>41</v>
      </c>
      <c r="K5582" t="s">
        <v>42</v>
      </c>
      <c r="L5582" t="s">
        <v>175</v>
      </c>
      <c r="N5582" t="s">
        <v>176</v>
      </c>
      <c r="Q5582">
        <v>26968</v>
      </c>
      <c r="R5582" t="s">
        <v>45</v>
      </c>
      <c r="S5582" t="s">
        <v>18595</v>
      </c>
      <c r="T5582">
        <v>25</v>
      </c>
      <c r="U5582" s="2" t="s">
        <v>24107</v>
      </c>
      <c r="V5582" s="1">
        <v>45307</v>
      </c>
      <c r="W5582" t="s">
        <v>84</v>
      </c>
      <c r="X5582">
        <v>834623</v>
      </c>
      <c r="Y5582" t="s">
        <v>33748</v>
      </c>
      <c r="Z5582" t="e">
        <f ca="1">- installed CPU
- imported Assays _xludf.and archived _xludf.files
- installed printer drivers
- generated reports</f>
        <v>#NAME?</v>
      </c>
      <c r="AA5582" t="s">
        <v>33749</v>
      </c>
      <c r="AB5582" s="2" t="s">
        <v>33750</v>
      </c>
      <c r="AD5582" s="2" t="s">
        <v>33751</v>
      </c>
      <c r="AE5582" t="s">
        <v>103</v>
      </c>
      <c r="AG5582" t="s">
        <v>33752</v>
      </c>
      <c r="AH5582" t="s">
        <v>18598</v>
      </c>
      <c r="AI5582" t="s">
        <v>33753</v>
      </c>
    </row>
    <row r="5583" spans="2:35" ht="195">
      <c r="B5583" s="1">
        <v>45307</v>
      </c>
      <c r="C5583" s="4">
        <v>45307.605555555558</v>
      </c>
      <c r="D5583" t="s">
        <v>3220</v>
      </c>
      <c r="E5583" t="s">
        <v>33754</v>
      </c>
      <c r="F5583" t="s">
        <v>37</v>
      </c>
      <c r="G5583" t="s">
        <v>2499</v>
      </c>
      <c r="H5583" t="s">
        <v>39</v>
      </c>
      <c r="I5583" t="s">
        <v>40</v>
      </c>
      <c r="J5583" s="2" t="s">
        <v>30202</v>
      </c>
      <c r="K5583" t="s">
        <v>42</v>
      </c>
      <c r="L5583" t="s">
        <v>43</v>
      </c>
      <c r="N5583" t="s">
        <v>44</v>
      </c>
      <c r="Q5583">
        <v>26967</v>
      </c>
      <c r="R5583" t="s">
        <v>45</v>
      </c>
      <c r="S5583" t="s">
        <v>3222</v>
      </c>
      <c r="T5583">
        <v>24</v>
      </c>
      <c r="U5583" s="2" t="s">
        <v>33755</v>
      </c>
      <c r="V5583" s="1">
        <v>45307</v>
      </c>
      <c r="W5583" t="s">
        <v>48</v>
      </c>
      <c r="X5583">
        <v>814375</v>
      </c>
      <c r="Y5583" t="s">
        <v>19339</v>
      </c>
      <c r="Z5583" t="s">
        <v>777</v>
      </c>
      <c r="AA5583" s="2" t="s">
        <v>33756</v>
      </c>
      <c r="AB5583" t="s">
        <v>88</v>
      </c>
      <c r="AD5583" s="2" t="s">
        <v>33757</v>
      </c>
      <c r="AE5583" t="s">
        <v>54</v>
      </c>
      <c r="AG5583" t="s">
        <v>33758</v>
      </c>
      <c r="AH5583" t="s">
        <v>33759</v>
      </c>
      <c r="AI5583" t="s">
        <v>33760</v>
      </c>
    </row>
    <row r="5584" spans="2:35" ht="300">
      <c r="B5584" s="1">
        <v>45307</v>
      </c>
      <c r="C5584" s="4">
        <v>45307.611111111109</v>
      </c>
      <c r="D5584" t="s">
        <v>26116</v>
      </c>
      <c r="E5584" t="s">
        <v>26117</v>
      </c>
      <c r="F5584">
        <v>3</v>
      </c>
      <c r="G5584" t="s">
        <v>1640</v>
      </c>
      <c r="H5584" t="s">
        <v>39</v>
      </c>
      <c r="I5584" t="s">
        <v>40</v>
      </c>
      <c r="J5584" s="2" t="s">
        <v>41</v>
      </c>
      <c r="K5584" t="s">
        <v>42</v>
      </c>
      <c r="L5584" t="s">
        <v>63</v>
      </c>
      <c r="N5584" t="s">
        <v>64</v>
      </c>
      <c r="Q5584">
        <v>26966</v>
      </c>
      <c r="R5584" t="s">
        <v>119</v>
      </c>
      <c r="S5584" t="s">
        <v>33761</v>
      </c>
      <c r="T5584">
        <v>27</v>
      </c>
      <c r="U5584" s="2" t="s">
        <v>33762</v>
      </c>
      <c r="V5584" s="1">
        <v>45296</v>
      </c>
      <c r="W5584" t="s">
        <v>26915</v>
      </c>
      <c r="X5584">
        <v>831621</v>
      </c>
      <c r="Y5584" t="s">
        <v>1716</v>
      </c>
      <c r="Z5584" t="s">
        <v>1716</v>
      </c>
      <c r="AA5584" s="2" t="s">
        <v>33763</v>
      </c>
      <c r="AB5584" t="s">
        <v>70</v>
      </c>
      <c r="AC5584" t="s">
        <v>1716</v>
      </c>
      <c r="AD5584" t="s">
        <v>6397</v>
      </c>
      <c r="AE5584" t="s">
        <v>33764</v>
      </c>
      <c r="AG5584" t="s">
        <v>33765</v>
      </c>
      <c r="AH5584" t="s">
        <v>33766</v>
      </c>
      <c r="AI5584" t="s">
        <v>33767</v>
      </c>
    </row>
    <row r="5585" spans="2:35" ht="240">
      <c r="B5585" s="1">
        <v>45307</v>
      </c>
      <c r="C5585" s="4">
        <v>45307.6</v>
      </c>
      <c r="D5585" t="s">
        <v>33768</v>
      </c>
      <c r="E5585" t="s">
        <v>33769</v>
      </c>
      <c r="F5585">
        <v>5</v>
      </c>
      <c r="G5585" t="s">
        <v>839</v>
      </c>
      <c r="H5585" t="s">
        <v>39</v>
      </c>
      <c r="I5585" t="s">
        <v>40</v>
      </c>
      <c r="J5585" s="2" t="s">
        <v>609</v>
      </c>
      <c r="K5585" t="s">
        <v>42</v>
      </c>
      <c r="L5585" t="s">
        <v>761</v>
      </c>
      <c r="N5585" t="s">
        <v>762</v>
      </c>
      <c r="Q5585">
        <v>26965</v>
      </c>
      <c r="R5585" t="s">
        <v>45</v>
      </c>
      <c r="S5585" t="s">
        <v>33770</v>
      </c>
      <c r="T5585">
        <v>26</v>
      </c>
      <c r="U5585" s="2" t="s">
        <v>17493</v>
      </c>
      <c r="W5585" t="s">
        <v>3662</v>
      </c>
      <c r="X5585">
        <v>834620</v>
      </c>
      <c r="Y5585" t="s">
        <v>33771</v>
      </c>
      <c r="Z5585" s="2" t="s">
        <v>33772</v>
      </c>
      <c r="AA5585" s="2" t="s">
        <v>33773</v>
      </c>
      <c r="AB5585" t="s">
        <v>181</v>
      </c>
      <c r="AG5585" t="s">
        <v>33774</v>
      </c>
      <c r="AH5585" t="s">
        <v>33775</v>
      </c>
      <c r="AI5585" t="s">
        <v>33776</v>
      </c>
    </row>
    <row r="5586" spans="2:35" ht="390">
      <c r="B5586" s="1">
        <v>45307</v>
      </c>
      <c r="C5586" s="4">
        <v>45307.543055555558</v>
      </c>
      <c r="D5586" t="s">
        <v>524</v>
      </c>
      <c r="E5586" t="s">
        <v>25790</v>
      </c>
      <c r="F5586" t="s">
        <v>148</v>
      </c>
      <c r="G5586" t="s">
        <v>371</v>
      </c>
      <c r="H5586" t="s">
        <v>39</v>
      </c>
      <c r="I5586" t="s">
        <v>40</v>
      </c>
      <c r="J5586" s="2" t="s">
        <v>1808</v>
      </c>
      <c r="K5586" t="s">
        <v>42</v>
      </c>
      <c r="L5586" t="s">
        <v>1943</v>
      </c>
      <c r="N5586" t="s">
        <v>1944</v>
      </c>
      <c r="Q5586">
        <v>26964</v>
      </c>
      <c r="R5586" t="s">
        <v>119</v>
      </c>
      <c r="S5586" t="s">
        <v>33777</v>
      </c>
      <c r="T5586">
        <v>25</v>
      </c>
      <c r="U5586" s="2" t="s">
        <v>23398</v>
      </c>
      <c r="V5586" s="1">
        <v>45306</v>
      </c>
      <c r="W5586" t="s">
        <v>84</v>
      </c>
      <c r="X5586">
        <v>831892</v>
      </c>
      <c r="Y5586" s="2" t="s">
        <v>33778</v>
      </c>
      <c r="Z5586" s="2" t="s">
        <v>33779</v>
      </c>
      <c r="AA5586" t="s">
        <v>29208</v>
      </c>
      <c r="AB5586" t="s">
        <v>88</v>
      </c>
      <c r="AD5586" s="2" t="s">
        <v>33780</v>
      </c>
      <c r="AE5586" t="s">
        <v>33781</v>
      </c>
      <c r="AG5586" t="s">
        <v>33782</v>
      </c>
      <c r="AH5586" t="s">
        <v>33783</v>
      </c>
      <c r="AI5586" t="s">
        <v>33784</v>
      </c>
    </row>
    <row r="5587" spans="2:35" ht="270">
      <c r="B5587" s="1">
        <v>45307</v>
      </c>
      <c r="C5587" s="4">
        <v>45307.524305555555</v>
      </c>
      <c r="D5587" t="s">
        <v>4363</v>
      </c>
      <c r="E5587" t="s">
        <v>2569</v>
      </c>
      <c r="F5587" t="s">
        <v>148</v>
      </c>
      <c r="G5587" t="s">
        <v>447</v>
      </c>
      <c r="H5587" t="s">
        <v>2570</v>
      </c>
      <c r="I5587" t="s">
        <v>40</v>
      </c>
      <c r="J5587" t="s">
        <v>33785</v>
      </c>
      <c r="K5587" t="s">
        <v>42</v>
      </c>
      <c r="L5587" t="s">
        <v>448</v>
      </c>
      <c r="N5587" t="s">
        <v>650</v>
      </c>
      <c r="O5587" t="s">
        <v>2808</v>
      </c>
      <c r="Q5587">
        <v>26963</v>
      </c>
      <c r="R5587" t="s">
        <v>95</v>
      </c>
      <c r="S5587" t="s">
        <v>2571</v>
      </c>
      <c r="T5587">
        <v>28</v>
      </c>
      <c r="V5587" s="1">
        <v>45306</v>
      </c>
      <c r="W5587" t="s">
        <v>6128</v>
      </c>
      <c r="X5587">
        <v>807155</v>
      </c>
      <c r="Y5587" t="s">
        <v>33786</v>
      </c>
      <c r="Z5587" s="2" t="s">
        <v>33787</v>
      </c>
      <c r="AA5587" t="s">
        <v>33785</v>
      </c>
      <c r="AB5587" t="s">
        <v>486</v>
      </c>
      <c r="AC5587" t="s">
        <v>33788</v>
      </c>
      <c r="AD5587" t="s">
        <v>33789</v>
      </c>
      <c r="AE5587">
        <v>1111</v>
      </c>
      <c r="AG5587" t="s">
        <v>33790</v>
      </c>
      <c r="AH5587" t="s">
        <v>2578</v>
      </c>
      <c r="AI5587" t="s">
        <v>33791</v>
      </c>
    </row>
    <row r="5588" spans="2:35" ht="120">
      <c r="B5588" s="1">
        <v>45307</v>
      </c>
      <c r="C5588" s="4">
        <v>45307.495138888888</v>
      </c>
      <c r="D5588" t="s">
        <v>21926</v>
      </c>
      <c r="E5588" t="s">
        <v>33792</v>
      </c>
      <c r="F5588" t="s">
        <v>148</v>
      </c>
      <c r="G5588" t="s">
        <v>447</v>
      </c>
      <c r="H5588" t="s">
        <v>39</v>
      </c>
      <c r="I5588" t="s">
        <v>94</v>
      </c>
      <c r="J5588" s="2" t="s">
        <v>41</v>
      </c>
      <c r="K5588" t="s">
        <v>42</v>
      </c>
      <c r="L5588" t="s">
        <v>15532</v>
      </c>
      <c r="N5588" t="s">
        <v>15533</v>
      </c>
      <c r="Q5588">
        <v>26962</v>
      </c>
      <c r="R5588" t="s">
        <v>119</v>
      </c>
      <c r="S5588" t="s">
        <v>33793</v>
      </c>
      <c r="T5588">
        <v>27</v>
      </c>
      <c r="U5588" s="2" t="s">
        <v>20824</v>
      </c>
      <c r="V5588" s="1">
        <v>45303</v>
      </c>
      <c r="W5588" t="s">
        <v>32112</v>
      </c>
      <c r="X5588">
        <v>831597</v>
      </c>
      <c r="Y5588" t="s">
        <v>2514</v>
      </c>
      <c r="Z5588" s="2" t="s">
        <v>33794</v>
      </c>
      <c r="AA5588" s="2" t="s">
        <v>33795</v>
      </c>
      <c r="AB5588" s="2" t="s">
        <v>33796</v>
      </c>
      <c r="AD5588" t="s">
        <v>15847</v>
      </c>
      <c r="AE5588" t="s">
        <v>33797</v>
      </c>
      <c r="AG5588" t="s">
        <v>33798</v>
      </c>
      <c r="AH5588" t="s">
        <v>33152</v>
      </c>
      <c r="AI5588" t="s">
        <v>33799</v>
      </c>
    </row>
    <row r="5589" spans="2:35" ht="150">
      <c r="B5589" s="1">
        <v>45307</v>
      </c>
      <c r="C5589" s="4">
        <v>45307.5</v>
      </c>
      <c r="D5589" t="s">
        <v>22463</v>
      </c>
      <c r="E5589" t="s">
        <v>33079</v>
      </c>
      <c r="F5589" t="s">
        <v>148</v>
      </c>
      <c r="G5589" t="s">
        <v>310</v>
      </c>
      <c r="H5589" t="s">
        <v>39</v>
      </c>
      <c r="I5589" t="s">
        <v>40</v>
      </c>
      <c r="J5589" s="2" t="s">
        <v>41</v>
      </c>
      <c r="K5589" t="s">
        <v>42</v>
      </c>
      <c r="L5589" t="s">
        <v>1943</v>
      </c>
      <c r="N5589" t="s">
        <v>1944</v>
      </c>
      <c r="Q5589">
        <v>26961</v>
      </c>
      <c r="R5589" t="s">
        <v>45</v>
      </c>
      <c r="S5589" t="s">
        <v>32486</v>
      </c>
      <c r="T5589">
        <v>25</v>
      </c>
      <c r="U5589" s="2" t="s">
        <v>16507</v>
      </c>
      <c r="V5589" s="1">
        <v>45306</v>
      </c>
      <c r="W5589" t="s">
        <v>84</v>
      </c>
      <c r="X5589">
        <v>808619</v>
      </c>
      <c r="Y5589" s="2" t="s">
        <v>33800</v>
      </c>
      <c r="Z5589" s="2" t="s">
        <v>33801</v>
      </c>
      <c r="AA5589" t="s">
        <v>22330</v>
      </c>
      <c r="AB5589" t="s">
        <v>88</v>
      </c>
      <c r="AD5589" t="s">
        <v>33802</v>
      </c>
      <c r="AE5589" t="s">
        <v>33803</v>
      </c>
      <c r="AG5589" t="s">
        <v>33804</v>
      </c>
      <c r="AH5589" t="s">
        <v>33805</v>
      </c>
      <c r="AI5589" t="s">
        <v>33806</v>
      </c>
    </row>
    <row r="5590" spans="2:35" ht="105">
      <c r="B5590" s="1">
        <v>45307</v>
      </c>
      <c r="C5590" s="4">
        <v>45307.486111111109</v>
      </c>
      <c r="D5590" t="s">
        <v>23295</v>
      </c>
      <c r="E5590" t="s">
        <v>33807</v>
      </c>
      <c r="F5590">
        <v>3</v>
      </c>
      <c r="G5590" t="s">
        <v>174</v>
      </c>
      <c r="H5590" t="s">
        <v>39</v>
      </c>
      <c r="I5590" t="s">
        <v>40</v>
      </c>
      <c r="J5590" s="2" t="s">
        <v>41</v>
      </c>
      <c r="K5590" t="s">
        <v>42</v>
      </c>
      <c r="L5590" t="s">
        <v>175</v>
      </c>
      <c r="N5590" t="s">
        <v>176</v>
      </c>
      <c r="Q5590">
        <v>26960</v>
      </c>
      <c r="R5590" t="s">
        <v>45</v>
      </c>
      <c r="S5590" t="s">
        <v>23297</v>
      </c>
      <c r="T5590">
        <v>25</v>
      </c>
      <c r="U5590" s="2" t="s">
        <v>24107</v>
      </c>
      <c r="V5590" s="1">
        <v>45307</v>
      </c>
      <c r="W5590" t="s">
        <v>84</v>
      </c>
      <c r="X5590">
        <v>814165</v>
      </c>
      <c r="Y5590" t="s">
        <v>33808</v>
      </c>
      <c r="Z5590" t="e">
        <f ca="1">- replaced workstation
- installed printer drivers
- imported Assay definition _xludf.files
- generated reports</f>
        <v>#NAME?</v>
      </c>
      <c r="AA5590" t="s">
        <v>33809</v>
      </c>
      <c r="AB5590" t="s">
        <v>181</v>
      </c>
      <c r="AD5590" s="2" t="s">
        <v>33810</v>
      </c>
      <c r="AE5590" t="s">
        <v>103</v>
      </c>
      <c r="AG5590" t="s">
        <v>33811</v>
      </c>
      <c r="AH5590" t="s">
        <v>23303</v>
      </c>
      <c r="AI5590" t="s">
        <v>33812</v>
      </c>
    </row>
    <row r="5591" spans="2:35" ht="409.5">
      <c r="B5591" s="1">
        <v>45307</v>
      </c>
      <c r="C5591" s="4">
        <v>45307.456944444442</v>
      </c>
      <c r="D5591" t="s">
        <v>33813</v>
      </c>
      <c r="E5591" t="s">
        <v>33814</v>
      </c>
      <c r="F5591">
        <v>3</v>
      </c>
      <c r="G5591" t="s">
        <v>1722</v>
      </c>
      <c r="H5591" t="s">
        <v>39</v>
      </c>
      <c r="I5591" t="s">
        <v>40</v>
      </c>
      <c r="J5591" s="2" t="s">
        <v>62</v>
      </c>
      <c r="K5591" t="s">
        <v>42</v>
      </c>
      <c r="L5591" t="s">
        <v>135</v>
      </c>
      <c r="N5591" t="s">
        <v>136</v>
      </c>
      <c r="O5591" t="s">
        <v>33815</v>
      </c>
      <c r="Q5591">
        <v>26959</v>
      </c>
      <c r="R5591" t="s">
        <v>45</v>
      </c>
      <c r="S5591" t="s">
        <v>33816</v>
      </c>
      <c r="T5591">
        <v>30</v>
      </c>
      <c r="U5591" s="2" t="s">
        <v>33817</v>
      </c>
      <c r="W5591" t="s">
        <v>2680</v>
      </c>
      <c r="X5591">
        <v>807560</v>
      </c>
      <c r="Y5591" t="s">
        <v>1751</v>
      </c>
      <c r="Z5591" s="2" t="s">
        <v>29789</v>
      </c>
      <c r="AA5591" s="2" t="s">
        <v>31375</v>
      </c>
      <c r="AB5591" s="2" t="s">
        <v>33818</v>
      </c>
      <c r="AC5591" t="s">
        <v>27172</v>
      </c>
      <c r="AG5591" t="s">
        <v>33819</v>
      </c>
      <c r="AH5591" t="s">
        <v>33820</v>
      </c>
      <c r="AI5591" t="s">
        <v>33821</v>
      </c>
    </row>
    <row r="5592" spans="2:35" ht="105">
      <c r="B5592" s="1">
        <v>45307</v>
      </c>
      <c r="C5592" s="4">
        <v>45307.448611111111</v>
      </c>
      <c r="D5592" t="s">
        <v>9469</v>
      </c>
      <c r="E5592" t="s">
        <v>9470</v>
      </c>
      <c r="F5592">
        <v>8</v>
      </c>
      <c r="G5592" t="s">
        <v>1663</v>
      </c>
      <c r="H5592" t="s">
        <v>39</v>
      </c>
      <c r="I5592" t="s">
        <v>40</v>
      </c>
      <c r="J5592" s="2" t="s">
        <v>30202</v>
      </c>
      <c r="K5592" t="s">
        <v>42</v>
      </c>
      <c r="L5592" t="s">
        <v>259</v>
      </c>
      <c r="N5592" t="s">
        <v>260</v>
      </c>
      <c r="O5592" t="s">
        <v>260</v>
      </c>
      <c r="Q5592">
        <v>26958</v>
      </c>
      <c r="R5592" t="s">
        <v>119</v>
      </c>
      <c r="S5592" t="s">
        <v>9471</v>
      </c>
      <c r="T5592">
        <v>25</v>
      </c>
      <c r="U5592" s="2" t="s">
        <v>33822</v>
      </c>
      <c r="V5592" s="1">
        <v>45307</v>
      </c>
      <c r="W5592" t="s">
        <v>84</v>
      </c>
      <c r="X5592">
        <v>838498</v>
      </c>
      <c r="Y5592" t="s">
        <v>33823</v>
      </c>
      <c r="Z5592" t="e">
        <f ca="1">- module Replacement
- Preventive Maintenance</f>
        <v>#NAME?</v>
      </c>
      <c r="AA5592" t="e">
        <f ca="1">- module Replacement
- Install new module on B4(SN/905745)
- performed functionality test
- performed Preventive Maintenance
- Generate reports
- Pullout defective module</f>
        <v>#NAME?</v>
      </c>
      <c r="AB5592" t="s">
        <v>70</v>
      </c>
      <c r="AD5592" t="s">
        <v>33824</v>
      </c>
      <c r="AE5592" t="s">
        <v>33825</v>
      </c>
      <c r="AG5592" t="s">
        <v>33826</v>
      </c>
      <c r="AH5592" t="s">
        <v>18282</v>
      </c>
      <c r="AI5592" t="s">
        <v>33827</v>
      </c>
    </row>
    <row r="5593" spans="2:35" ht="240">
      <c r="B5593" s="1">
        <v>45307</v>
      </c>
      <c r="C5593" s="4">
        <v>45307.42291666667</v>
      </c>
      <c r="D5593" t="s">
        <v>33828</v>
      </c>
      <c r="E5593" t="s">
        <v>33829</v>
      </c>
      <c r="F5593">
        <v>3</v>
      </c>
      <c r="G5593" t="s">
        <v>730</v>
      </c>
      <c r="H5593" t="s">
        <v>39</v>
      </c>
      <c r="I5593" t="s">
        <v>40</v>
      </c>
      <c r="J5593" s="2" t="s">
        <v>30202</v>
      </c>
      <c r="K5593" t="s">
        <v>42</v>
      </c>
      <c r="L5593" t="s">
        <v>135</v>
      </c>
      <c r="N5593" t="s">
        <v>136</v>
      </c>
      <c r="Q5593">
        <v>26957</v>
      </c>
      <c r="R5593" t="s">
        <v>119</v>
      </c>
      <c r="S5593" t="s">
        <v>24890</v>
      </c>
      <c r="T5593">
        <v>25</v>
      </c>
      <c r="U5593" s="2" t="s">
        <v>21276</v>
      </c>
      <c r="W5593" t="s">
        <v>2680</v>
      </c>
      <c r="X5593">
        <v>831669</v>
      </c>
      <c r="Y5593" t="s">
        <v>33830</v>
      </c>
      <c r="Z5593" s="2" t="s">
        <v>33831</v>
      </c>
      <c r="AA5593" s="2" t="s">
        <v>33832</v>
      </c>
      <c r="AB5593" t="s">
        <v>181</v>
      </c>
      <c r="AG5593" t="s">
        <v>33833</v>
      </c>
      <c r="AH5593" t="s">
        <v>24893</v>
      </c>
      <c r="AI5593" t="s">
        <v>33834</v>
      </c>
    </row>
    <row r="5594" spans="2:35" ht="150">
      <c r="B5594" s="1">
        <v>45307</v>
      </c>
      <c r="C5594" s="4">
        <v>45302.680555555555</v>
      </c>
      <c r="D5594" t="s">
        <v>33835</v>
      </c>
      <c r="E5594" t="s">
        <v>33836</v>
      </c>
      <c r="F5594" t="s">
        <v>148</v>
      </c>
      <c r="G5594" t="s">
        <v>20126</v>
      </c>
      <c r="H5594" t="s">
        <v>39</v>
      </c>
      <c r="I5594" t="s">
        <v>40</v>
      </c>
      <c r="J5594" s="2" t="s">
        <v>190</v>
      </c>
      <c r="K5594" t="s">
        <v>42</v>
      </c>
      <c r="L5594" t="s">
        <v>15532</v>
      </c>
      <c r="N5594" t="s">
        <v>15533</v>
      </c>
      <c r="Q5594">
        <v>26956</v>
      </c>
      <c r="R5594" t="s">
        <v>45</v>
      </c>
      <c r="S5594" t="s">
        <v>33837</v>
      </c>
      <c r="T5594">
        <v>29</v>
      </c>
      <c r="U5594" s="2" t="s">
        <v>33838</v>
      </c>
      <c r="W5594" t="s">
        <v>33324</v>
      </c>
      <c r="X5594">
        <v>812833</v>
      </c>
      <c r="Y5594" t="s">
        <v>33839</v>
      </c>
      <c r="Z5594" s="2" t="s">
        <v>33840</v>
      </c>
      <c r="AA5594" s="2" t="s">
        <v>33841</v>
      </c>
      <c r="AB5594" t="s">
        <v>7445</v>
      </c>
      <c r="AG5594" t="s">
        <v>33842</v>
      </c>
      <c r="AH5594" t="s">
        <v>33843</v>
      </c>
      <c r="AI5594" t="s">
        <v>33844</v>
      </c>
    </row>
    <row r="5595" spans="2:35" ht="165">
      <c r="B5595" s="1">
        <v>45307</v>
      </c>
      <c r="C5595" s="4">
        <v>45302.566666666666</v>
      </c>
      <c r="D5595" t="s">
        <v>33845</v>
      </c>
      <c r="E5595" t="s">
        <v>33846</v>
      </c>
      <c r="F5595" t="s">
        <v>148</v>
      </c>
      <c r="G5595" t="s">
        <v>447</v>
      </c>
      <c r="H5595" t="s">
        <v>39</v>
      </c>
      <c r="I5595" t="s">
        <v>40</v>
      </c>
      <c r="J5595" s="2" t="s">
        <v>609</v>
      </c>
      <c r="K5595" t="s">
        <v>42</v>
      </c>
      <c r="L5595" t="s">
        <v>15532</v>
      </c>
      <c r="N5595" t="s">
        <v>15533</v>
      </c>
      <c r="Q5595">
        <v>26955</v>
      </c>
      <c r="R5595" t="s">
        <v>45</v>
      </c>
      <c r="S5595" t="s">
        <v>675</v>
      </c>
      <c r="T5595">
        <v>20</v>
      </c>
      <c r="U5595" s="2" t="s">
        <v>33847</v>
      </c>
      <c r="W5595" t="s">
        <v>23974</v>
      </c>
      <c r="X5595">
        <v>707527</v>
      </c>
      <c r="Y5595" s="2" t="s">
        <v>33848</v>
      </c>
      <c r="Z5595" s="2" t="s">
        <v>33849</v>
      </c>
      <c r="AA5595" s="2" t="s">
        <v>33850</v>
      </c>
      <c r="AB5595" t="s">
        <v>7445</v>
      </c>
      <c r="AG5595" t="s">
        <v>33851</v>
      </c>
      <c r="AH5595" t="s">
        <v>33852</v>
      </c>
      <c r="AI5595" t="s">
        <v>33853</v>
      </c>
    </row>
    <row r="5596" spans="2:35" ht="409.5">
      <c r="B5596" s="1">
        <v>45306</v>
      </c>
      <c r="C5596" s="4">
        <v>45306.623611111114</v>
      </c>
      <c r="D5596" t="s">
        <v>27323</v>
      </c>
      <c r="E5596" t="s">
        <v>33854</v>
      </c>
      <c r="F5596">
        <v>3</v>
      </c>
      <c r="G5596" t="s">
        <v>730</v>
      </c>
      <c r="H5596" t="s">
        <v>39</v>
      </c>
      <c r="I5596" t="s">
        <v>40</v>
      </c>
      <c r="J5596" s="2" t="s">
        <v>1309</v>
      </c>
      <c r="K5596" t="s">
        <v>42</v>
      </c>
      <c r="L5596" t="s">
        <v>135</v>
      </c>
      <c r="N5596" t="s">
        <v>136</v>
      </c>
      <c r="O5596" t="s">
        <v>136</v>
      </c>
      <c r="Q5596">
        <v>26954</v>
      </c>
      <c r="R5596" t="s">
        <v>119</v>
      </c>
      <c r="S5596" t="s">
        <v>24877</v>
      </c>
      <c r="T5596">
        <v>26</v>
      </c>
      <c r="U5596" s="2" t="s">
        <v>33855</v>
      </c>
      <c r="V5596" s="1">
        <v>45296</v>
      </c>
      <c r="W5596" t="s">
        <v>2680</v>
      </c>
      <c r="X5596">
        <v>831909</v>
      </c>
      <c r="Y5596" s="2" t="s">
        <v>33856</v>
      </c>
      <c r="Z5596" s="2" t="s">
        <v>33857</v>
      </c>
      <c r="AA5596" s="2" t="s">
        <v>33858</v>
      </c>
      <c r="AB5596" t="s">
        <v>181</v>
      </c>
      <c r="AC5596" t="s">
        <v>33859</v>
      </c>
      <c r="AD5596" s="2" t="s">
        <v>33860</v>
      </c>
      <c r="AE5596">
        <v>11047</v>
      </c>
      <c r="AG5596" t="s">
        <v>33861</v>
      </c>
      <c r="AH5596" t="s">
        <v>31361</v>
      </c>
      <c r="AI5596" t="s">
        <v>33862</v>
      </c>
    </row>
    <row r="5597" spans="2:35" ht="105">
      <c r="B5597" s="1">
        <v>45306</v>
      </c>
      <c r="C5597" s="4">
        <v>45306.748611111114</v>
      </c>
      <c r="D5597" t="s">
        <v>2327</v>
      </c>
      <c r="E5597" t="s">
        <v>2328</v>
      </c>
      <c r="F5597">
        <v>7</v>
      </c>
      <c r="G5597" t="s">
        <v>432</v>
      </c>
      <c r="H5597" t="s">
        <v>608</v>
      </c>
      <c r="I5597" t="s">
        <v>40</v>
      </c>
      <c r="J5597" t="s">
        <v>79</v>
      </c>
      <c r="K5597" t="s">
        <v>42</v>
      </c>
      <c r="L5597" t="s">
        <v>610</v>
      </c>
      <c r="N5597" t="s">
        <v>611</v>
      </c>
      <c r="Q5597">
        <v>26953</v>
      </c>
      <c r="R5597" t="s">
        <v>119</v>
      </c>
      <c r="S5597" t="s">
        <v>2329</v>
      </c>
      <c r="T5597">
        <v>28</v>
      </c>
      <c r="U5597" s="2" t="s">
        <v>33863</v>
      </c>
      <c r="W5597" t="s">
        <v>360</v>
      </c>
      <c r="X5597">
        <v>838506</v>
      </c>
      <c r="Y5597" t="s">
        <v>33864</v>
      </c>
      <c r="Z5597" t="s">
        <v>33865</v>
      </c>
      <c r="AA5597" t="s">
        <v>33866</v>
      </c>
      <c r="AB5597" t="s">
        <v>1263</v>
      </c>
      <c r="AG5597" t="s">
        <v>33867</v>
      </c>
      <c r="AH5597" t="s">
        <v>13462</v>
      </c>
      <c r="AI5597" t="s">
        <v>33868</v>
      </c>
    </row>
    <row r="5598" spans="2:35" ht="409.5">
      <c r="B5598" s="1">
        <v>45306</v>
      </c>
      <c r="C5598" s="4">
        <v>45306.686805555553</v>
      </c>
      <c r="D5598" t="s">
        <v>33869</v>
      </c>
      <c r="E5598" t="s">
        <v>33870</v>
      </c>
      <c r="F5598">
        <v>11</v>
      </c>
      <c r="G5598" t="s">
        <v>1205</v>
      </c>
      <c r="H5598" t="s">
        <v>202</v>
      </c>
      <c r="I5598" t="s">
        <v>40</v>
      </c>
      <c r="J5598" s="2" t="s">
        <v>41</v>
      </c>
      <c r="K5598" t="s">
        <v>42</v>
      </c>
      <c r="L5598" t="s">
        <v>204</v>
      </c>
      <c r="N5598" t="s">
        <v>205</v>
      </c>
      <c r="Q5598">
        <v>26952</v>
      </c>
      <c r="R5598" t="s">
        <v>119</v>
      </c>
      <c r="S5598" t="s">
        <v>7745</v>
      </c>
      <c r="T5598">
        <v>26.5</v>
      </c>
      <c r="U5598" s="2" t="s">
        <v>18993</v>
      </c>
      <c r="V5598" s="1">
        <v>45278</v>
      </c>
      <c r="W5598" t="s">
        <v>23237</v>
      </c>
      <c r="X5598">
        <v>838492</v>
      </c>
      <c r="Y5598" t="s">
        <v>33871</v>
      </c>
      <c r="Z5598" s="2" t="s">
        <v>33872</v>
      </c>
      <c r="AA5598" t="s">
        <v>2560</v>
      </c>
      <c r="AB5598" t="s">
        <v>1211</v>
      </c>
      <c r="AD5598" t="s">
        <v>10783</v>
      </c>
      <c r="AE5598" t="s">
        <v>33873</v>
      </c>
      <c r="AG5598" t="s">
        <v>33874</v>
      </c>
      <c r="AH5598" t="s">
        <v>33875</v>
      </c>
      <c r="AI5598" t="s">
        <v>33876</v>
      </c>
    </row>
    <row r="5599" spans="2:35" ht="255">
      <c r="B5599" s="1">
        <v>45306</v>
      </c>
      <c r="C5599" s="4">
        <v>45306.544444444444</v>
      </c>
      <c r="D5599" t="s">
        <v>29843</v>
      </c>
      <c r="E5599" t="s">
        <v>33877</v>
      </c>
      <c r="F5599">
        <v>3</v>
      </c>
      <c r="G5599" t="s">
        <v>730</v>
      </c>
      <c r="H5599" t="s">
        <v>30500</v>
      </c>
      <c r="I5599" t="s">
        <v>40</v>
      </c>
      <c r="J5599" s="2" t="s">
        <v>30202</v>
      </c>
      <c r="K5599" t="s">
        <v>42</v>
      </c>
      <c r="L5599" t="s">
        <v>135</v>
      </c>
      <c r="N5599" t="s">
        <v>136</v>
      </c>
      <c r="O5599" t="s">
        <v>136</v>
      </c>
      <c r="Q5599">
        <v>26951</v>
      </c>
      <c r="R5599" t="s">
        <v>45</v>
      </c>
      <c r="S5599" t="s">
        <v>29845</v>
      </c>
      <c r="T5599">
        <v>26</v>
      </c>
      <c r="U5599" s="2" t="s">
        <v>33878</v>
      </c>
      <c r="W5599" t="s">
        <v>2680</v>
      </c>
      <c r="X5599">
        <v>838142</v>
      </c>
      <c r="Y5599" t="s">
        <v>33879</v>
      </c>
      <c r="Z5599" s="2" t="s">
        <v>29539</v>
      </c>
      <c r="AA5599" s="2" t="s">
        <v>32304</v>
      </c>
      <c r="AB5599" t="s">
        <v>181</v>
      </c>
      <c r="AC5599" t="s">
        <v>33880</v>
      </c>
      <c r="AG5599" t="s">
        <v>33881</v>
      </c>
      <c r="AH5599" t="s">
        <v>33882</v>
      </c>
      <c r="AI5599" t="s">
        <v>33883</v>
      </c>
    </row>
    <row r="5600" spans="2:35" ht="195">
      <c r="B5600" s="1">
        <v>45306</v>
      </c>
      <c r="C5600" s="4">
        <v>45302.48333333333</v>
      </c>
      <c r="D5600" t="s">
        <v>23772</v>
      </c>
      <c r="E5600" t="s">
        <v>23773</v>
      </c>
      <c r="F5600" t="s">
        <v>37</v>
      </c>
      <c r="G5600" t="s">
        <v>748</v>
      </c>
      <c r="H5600" t="s">
        <v>39</v>
      </c>
      <c r="I5600" t="s">
        <v>40</v>
      </c>
      <c r="J5600" s="2" t="s">
        <v>30202</v>
      </c>
      <c r="K5600" t="s">
        <v>42</v>
      </c>
      <c r="L5600" t="s">
        <v>1028</v>
      </c>
      <c r="N5600" t="s">
        <v>1029</v>
      </c>
      <c r="Q5600">
        <v>26950</v>
      </c>
      <c r="R5600" t="s">
        <v>119</v>
      </c>
      <c r="S5600" t="s">
        <v>30203</v>
      </c>
      <c r="T5600">
        <v>24</v>
      </c>
      <c r="U5600" s="2" t="s">
        <v>30204</v>
      </c>
      <c r="V5600" s="1">
        <v>45299</v>
      </c>
      <c r="W5600" t="s">
        <v>1967</v>
      </c>
      <c r="X5600">
        <v>821279</v>
      </c>
      <c r="Y5600" t="s">
        <v>30205</v>
      </c>
      <c r="Z5600" t="s">
        <v>2129</v>
      </c>
      <c r="AA5600" s="2" t="s">
        <v>30206</v>
      </c>
      <c r="AB5600" t="s">
        <v>3063</v>
      </c>
      <c r="AC5600" t="s">
        <v>30207</v>
      </c>
      <c r="AD5600" t="s">
        <v>6815</v>
      </c>
      <c r="AE5600">
        <v>11062</v>
      </c>
      <c r="AG5600" t="s">
        <v>33884</v>
      </c>
      <c r="AH5600" t="s">
        <v>30209</v>
      </c>
      <c r="AI5600" t="s">
        <v>33885</v>
      </c>
    </row>
    <row r="5601" spans="2:35" ht="345">
      <c r="B5601" s="1">
        <v>45306</v>
      </c>
      <c r="C5601" s="4">
        <v>45303.415972222225</v>
      </c>
      <c r="D5601" t="s">
        <v>3782</v>
      </c>
      <c r="E5601" t="s">
        <v>33886</v>
      </c>
      <c r="F5601" t="s">
        <v>37</v>
      </c>
      <c r="G5601" t="s">
        <v>748</v>
      </c>
      <c r="H5601" t="s">
        <v>39</v>
      </c>
      <c r="I5601" t="s">
        <v>40</v>
      </c>
      <c r="J5601" s="2" t="s">
        <v>30202</v>
      </c>
      <c r="K5601" t="s">
        <v>42</v>
      </c>
      <c r="L5601" t="s">
        <v>1028</v>
      </c>
      <c r="N5601" t="s">
        <v>1029</v>
      </c>
      <c r="Q5601">
        <v>26949</v>
      </c>
      <c r="R5601" t="s">
        <v>119</v>
      </c>
      <c r="S5601" t="s">
        <v>33887</v>
      </c>
      <c r="T5601">
        <v>24</v>
      </c>
      <c r="U5601" s="2" t="s">
        <v>33888</v>
      </c>
      <c r="V5601" s="1">
        <v>45299</v>
      </c>
      <c r="W5601" t="s">
        <v>1967</v>
      </c>
      <c r="X5601">
        <v>821340</v>
      </c>
      <c r="Y5601" s="2" t="s">
        <v>33889</v>
      </c>
      <c r="Z5601" t="s">
        <v>2129</v>
      </c>
      <c r="AA5601" s="2" t="s">
        <v>33890</v>
      </c>
      <c r="AB5601" t="s">
        <v>3063</v>
      </c>
      <c r="AC5601" t="s">
        <v>33891</v>
      </c>
      <c r="AD5601" t="s">
        <v>182</v>
      </c>
      <c r="AE5601">
        <v>11063</v>
      </c>
      <c r="AG5601" t="s">
        <v>33892</v>
      </c>
      <c r="AH5601" t="s">
        <v>33893</v>
      </c>
      <c r="AI5601" t="s">
        <v>33894</v>
      </c>
    </row>
    <row r="5602" spans="2:35" ht="195">
      <c r="B5602" s="1">
        <v>45306</v>
      </c>
      <c r="C5602" s="4">
        <v>45300.54791666667</v>
      </c>
      <c r="D5602" t="s">
        <v>27396</v>
      </c>
      <c r="E5602" t="s">
        <v>33895</v>
      </c>
      <c r="F5602" t="s">
        <v>37</v>
      </c>
      <c r="G5602" t="s">
        <v>748</v>
      </c>
      <c r="H5602" t="s">
        <v>39</v>
      </c>
      <c r="I5602" t="s">
        <v>40</v>
      </c>
      <c r="J5602" s="2" t="s">
        <v>30202</v>
      </c>
      <c r="K5602" t="s">
        <v>42</v>
      </c>
      <c r="L5602" t="s">
        <v>1028</v>
      </c>
      <c r="N5602" t="s">
        <v>1029</v>
      </c>
      <c r="Q5602">
        <v>26947</v>
      </c>
      <c r="R5602" t="s">
        <v>119</v>
      </c>
      <c r="S5602" t="s">
        <v>25157</v>
      </c>
      <c r="T5602">
        <v>24</v>
      </c>
      <c r="U5602" s="2" t="s">
        <v>33896</v>
      </c>
      <c r="V5602" s="1">
        <v>45299</v>
      </c>
      <c r="W5602" t="s">
        <v>1967</v>
      </c>
      <c r="X5602">
        <v>821221</v>
      </c>
      <c r="Y5602" t="s">
        <v>33229</v>
      </c>
      <c r="Z5602" t="s">
        <v>2129</v>
      </c>
      <c r="AA5602" s="2" t="s">
        <v>33897</v>
      </c>
      <c r="AB5602" t="s">
        <v>3063</v>
      </c>
      <c r="AC5602" t="s">
        <v>33898</v>
      </c>
      <c r="AD5602" t="s">
        <v>182</v>
      </c>
      <c r="AE5602">
        <v>11060</v>
      </c>
      <c r="AG5602" t="s">
        <v>33899</v>
      </c>
      <c r="AH5602" t="s">
        <v>25162</v>
      </c>
      <c r="AI5602" t="s">
        <v>33900</v>
      </c>
    </row>
    <row r="5603" spans="2:35" ht="195">
      <c r="B5603" s="1">
        <v>45306</v>
      </c>
      <c r="C5603" s="4">
        <v>45295.57708333333</v>
      </c>
      <c r="D5603" t="s">
        <v>5097</v>
      </c>
      <c r="E5603" t="s">
        <v>33901</v>
      </c>
      <c r="F5603" t="s">
        <v>37</v>
      </c>
      <c r="G5603" t="s">
        <v>748</v>
      </c>
      <c r="H5603" t="s">
        <v>39</v>
      </c>
      <c r="I5603" t="s">
        <v>40</v>
      </c>
      <c r="J5603" s="2" t="s">
        <v>30202</v>
      </c>
      <c r="K5603" t="s">
        <v>42</v>
      </c>
      <c r="L5603" t="s">
        <v>1028</v>
      </c>
      <c r="N5603" t="s">
        <v>1029</v>
      </c>
      <c r="Q5603">
        <v>26948</v>
      </c>
      <c r="R5603" t="s">
        <v>119</v>
      </c>
      <c r="S5603" t="s">
        <v>33902</v>
      </c>
      <c r="T5603">
        <v>24</v>
      </c>
      <c r="U5603" s="2" t="s">
        <v>33903</v>
      </c>
      <c r="V5603" s="1">
        <v>45280</v>
      </c>
      <c r="W5603" t="s">
        <v>1967</v>
      </c>
      <c r="X5603">
        <v>820708</v>
      </c>
      <c r="Y5603" t="s">
        <v>33904</v>
      </c>
      <c r="Z5603" t="s">
        <v>2129</v>
      </c>
      <c r="AA5603" s="2" t="s">
        <v>33905</v>
      </c>
      <c r="AB5603" t="s">
        <v>3063</v>
      </c>
      <c r="AC5603" t="s">
        <v>33906</v>
      </c>
      <c r="AD5603" t="s">
        <v>19400</v>
      </c>
      <c r="AE5603">
        <v>10994</v>
      </c>
      <c r="AG5603" t="s">
        <v>33907</v>
      </c>
      <c r="AH5603" t="s">
        <v>33908</v>
      </c>
      <c r="AI5603" t="s">
        <v>33909</v>
      </c>
    </row>
    <row r="5604" spans="2:35" ht="195">
      <c r="B5604" s="1">
        <v>45306</v>
      </c>
      <c r="C5604" s="4">
        <v>45306.398611111108</v>
      </c>
      <c r="D5604" t="s">
        <v>1496</v>
      </c>
      <c r="E5604" t="s">
        <v>1497</v>
      </c>
      <c r="F5604">
        <v>8</v>
      </c>
      <c r="G5604" t="s">
        <v>342</v>
      </c>
      <c r="H5604" t="s">
        <v>1498</v>
      </c>
      <c r="I5604" t="s">
        <v>40</v>
      </c>
      <c r="J5604" s="2" t="s">
        <v>41</v>
      </c>
      <c r="K5604" t="s">
        <v>42</v>
      </c>
      <c r="L5604" t="s">
        <v>343</v>
      </c>
      <c r="N5604" t="s">
        <v>344</v>
      </c>
      <c r="Q5604">
        <v>26946</v>
      </c>
      <c r="R5604" t="s">
        <v>119</v>
      </c>
      <c r="S5604" t="s">
        <v>7820</v>
      </c>
      <c r="T5604">
        <v>29</v>
      </c>
      <c r="U5604" s="2" t="s">
        <v>33910</v>
      </c>
      <c r="V5604" s="1">
        <v>45274</v>
      </c>
      <c r="W5604" t="s">
        <v>84</v>
      </c>
      <c r="X5604">
        <v>838297</v>
      </c>
      <c r="Y5604" t="s">
        <v>33911</v>
      </c>
      <c r="Z5604" t="s">
        <v>33912</v>
      </c>
      <c r="AA5604" t="e">
        <f ca="1">-module Replacement
-Preventive Maintenance</f>
        <v>#NAME?</v>
      </c>
      <c r="AB5604" t="s">
        <v>9638</v>
      </c>
      <c r="AD5604" t="s">
        <v>10783</v>
      </c>
      <c r="AE5604" t="s">
        <v>33913</v>
      </c>
      <c r="AG5604" t="s">
        <v>33914</v>
      </c>
      <c r="AH5604" t="s">
        <v>12926</v>
      </c>
      <c r="AI5604" t="s">
        <v>33915</v>
      </c>
    </row>
    <row r="5605" spans="2:35" ht="195">
      <c r="B5605" s="1">
        <v>45306</v>
      </c>
      <c r="C5605" s="4">
        <v>45306.398611111108</v>
      </c>
      <c r="D5605" t="s">
        <v>1496</v>
      </c>
      <c r="E5605" t="s">
        <v>1497</v>
      </c>
      <c r="F5605">
        <v>8</v>
      </c>
      <c r="G5605" t="s">
        <v>342</v>
      </c>
      <c r="H5605" t="s">
        <v>1498</v>
      </c>
      <c r="I5605" t="s">
        <v>40</v>
      </c>
      <c r="J5605" s="2" t="s">
        <v>41</v>
      </c>
      <c r="K5605" t="s">
        <v>42</v>
      </c>
      <c r="L5605" t="s">
        <v>343</v>
      </c>
      <c r="N5605" t="s">
        <v>344</v>
      </c>
      <c r="Q5605">
        <v>26945</v>
      </c>
      <c r="R5605" t="s">
        <v>119</v>
      </c>
      <c r="S5605" t="s">
        <v>7820</v>
      </c>
      <c r="T5605">
        <v>29</v>
      </c>
      <c r="U5605" s="2" t="s">
        <v>33910</v>
      </c>
      <c r="V5605" s="1">
        <v>45274</v>
      </c>
      <c r="W5605" t="s">
        <v>84</v>
      </c>
      <c r="X5605">
        <v>838297</v>
      </c>
      <c r="Y5605" t="s">
        <v>33911</v>
      </c>
      <c r="Z5605" t="s">
        <v>33912</v>
      </c>
      <c r="AA5605" t="e">
        <f ca="1">-module Replacement
-Preventive Maintenance</f>
        <v>#NAME?</v>
      </c>
      <c r="AB5605" t="s">
        <v>9638</v>
      </c>
      <c r="AD5605" t="s">
        <v>10783</v>
      </c>
      <c r="AE5605" t="s">
        <v>33913</v>
      </c>
      <c r="AG5605" t="s">
        <v>33916</v>
      </c>
      <c r="AH5605" t="s">
        <v>12926</v>
      </c>
      <c r="AI5605" t="s">
        <v>33917</v>
      </c>
    </row>
    <row r="5606" spans="2:35" ht="45">
      <c r="B5606" s="1">
        <v>45306</v>
      </c>
      <c r="C5606" s="4">
        <v>45301.579861111109</v>
      </c>
      <c r="D5606" t="s">
        <v>5546</v>
      </c>
      <c r="E5606" t="s">
        <v>1555</v>
      </c>
      <c r="F5606">
        <v>7</v>
      </c>
      <c r="G5606" t="s">
        <v>432</v>
      </c>
      <c r="H5606" t="s">
        <v>39</v>
      </c>
      <c r="I5606" t="s">
        <v>40</v>
      </c>
      <c r="J5606" s="2" t="s">
        <v>1370</v>
      </c>
      <c r="K5606" t="s">
        <v>42</v>
      </c>
      <c r="L5606" t="s">
        <v>433</v>
      </c>
      <c r="N5606" t="s">
        <v>434</v>
      </c>
      <c r="Q5606">
        <v>26944</v>
      </c>
      <c r="R5606" t="s">
        <v>119</v>
      </c>
      <c r="S5606" t="s">
        <v>5548</v>
      </c>
      <c r="T5606">
        <v>29</v>
      </c>
      <c r="W5606" t="s">
        <v>1008</v>
      </c>
      <c r="X5606">
        <v>838527</v>
      </c>
      <c r="Y5606" t="s">
        <v>33918</v>
      </c>
      <c r="Z5606" t="s">
        <v>33919</v>
      </c>
      <c r="AA5606" t="s">
        <v>33920</v>
      </c>
      <c r="AB5606" t="s">
        <v>1011</v>
      </c>
      <c r="AG5606" t="s">
        <v>33921</v>
      </c>
      <c r="AH5606" t="s">
        <v>5551</v>
      </c>
      <c r="AI5606" t="s">
        <v>33922</v>
      </c>
    </row>
    <row r="5607" spans="2:35" ht="45">
      <c r="B5607" s="1">
        <v>45306</v>
      </c>
      <c r="C5607" s="4">
        <v>45301.579861111109</v>
      </c>
      <c r="D5607" t="s">
        <v>5546</v>
      </c>
      <c r="E5607" t="s">
        <v>1555</v>
      </c>
      <c r="F5607">
        <v>7</v>
      </c>
      <c r="G5607" t="s">
        <v>432</v>
      </c>
      <c r="H5607" t="s">
        <v>39</v>
      </c>
      <c r="I5607" t="s">
        <v>40</v>
      </c>
      <c r="J5607" s="2" t="s">
        <v>1370</v>
      </c>
      <c r="K5607" t="s">
        <v>42</v>
      </c>
      <c r="L5607" t="s">
        <v>433</v>
      </c>
      <c r="N5607" t="s">
        <v>434</v>
      </c>
      <c r="Q5607">
        <v>26943</v>
      </c>
      <c r="R5607" t="s">
        <v>119</v>
      </c>
      <c r="S5607" t="s">
        <v>5548</v>
      </c>
      <c r="T5607">
        <v>29</v>
      </c>
      <c r="W5607" t="s">
        <v>1008</v>
      </c>
      <c r="X5607">
        <v>838527</v>
      </c>
      <c r="Y5607" t="s">
        <v>33918</v>
      </c>
      <c r="Z5607" t="s">
        <v>33919</v>
      </c>
      <c r="AA5607" t="s">
        <v>33920</v>
      </c>
      <c r="AB5607" t="s">
        <v>1011</v>
      </c>
      <c r="AG5607" t="s">
        <v>33923</v>
      </c>
      <c r="AH5607" t="s">
        <v>5551</v>
      </c>
      <c r="AI5607" t="s">
        <v>33924</v>
      </c>
    </row>
    <row r="5608" spans="2:35" ht="75">
      <c r="B5608" s="1">
        <v>45306</v>
      </c>
      <c r="C5608" s="4">
        <v>45306.383333333331</v>
      </c>
      <c r="D5608" t="s">
        <v>24073</v>
      </c>
      <c r="E5608" t="s">
        <v>33925</v>
      </c>
      <c r="F5608">
        <v>7</v>
      </c>
      <c r="G5608" t="s">
        <v>432</v>
      </c>
      <c r="H5608" t="s">
        <v>39</v>
      </c>
      <c r="I5608" t="s">
        <v>40</v>
      </c>
      <c r="J5608" s="2" t="s">
        <v>220</v>
      </c>
      <c r="K5608" t="s">
        <v>42</v>
      </c>
      <c r="L5608" t="s">
        <v>433</v>
      </c>
      <c r="N5608" t="s">
        <v>434</v>
      </c>
      <c r="Q5608">
        <v>26942</v>
      </c>
      <c r="R5608" t="s">
        <v>119</v>
      </c>
      <c r="S5608" t="s">
        <v>1818</v>
      </c>
      <c r="T5608">
        <v>25</v>
      </c>
      <c r="W5608" t="s">
        <v>502</v>
      </c>
      <c r="X5608">
        <v>838263</v>
      </c>
      <c r="Y5608" t="s">
        <v>33926</v>
      </c>
      <c r="Z5608" t="s">
        <v>33927</v>
      </c>
      <c r="AA5608" t="s">
        <v>33927</v>
      </c>
      <c r="AB5608" t="s">
        <v>1011</v>
      </c>
      <c r="AG5608" t="s">
        <v>33928</v>
      </c>
      <c r="AH5608" t="s">
        <v>1823</v>
      </c>
      <c r="AI5608" t="s">
        <v>33929</v>
      </c>
    </row>
    <row r="5609" spans="2:35" ht="255">
      <c r="B5609" s="1">
        <v>45305</v>
      </c>
      <c r="C5609" s="4">
        <v>45302.612500000003</v>
      </c>
      <c r="D5609" t="s">
        <v>9805</v>
      </c>
      <c r="E5609" t="s">
        <v>510</v>
      </c>
      <c r="F5609" t="s">
        <v>511</v>
      </c>
      <c r="G5609" t="s">
        <v>512</v>
      </c>
      <c r="H5609" t="s">
        <v>61</v>
      </c>
      <c r="I5609" t="s">
        <v>40</v>
      </c>
      <c r="J5609" s="2" t="s">
        <v>62</v>
      </c>
      <c r="K5609" t="s">
        <v>42</v>
      </c>
      <c r="L5609" t="s">
        <v>1048</v>
      </c>
      <c r="N5609" t="s">
        <v>1049</v>
      </c>
      <c r="Q5609">
        <v>26941</v>
      </c>
      <c r="R5609" t="s">
        <v>322</v>
      </c>
      <c r="S5609" t="s">
        <v>9806</v>
      </c>
      <c r="T5609">
        <v>20</v>
      </c>
      <c r="U5609" s="2" t="s">
        <v>33930</v>
      </c>
      <c r="W5609" t="s">
        <v>33931</v>
      </c>
      <c r="X5609">
        <v>110016112</v>
      </c>
      <c r="Y5609" t="s">
        <v>32572</v>
      </c>
      <c r="Z5609" t="e">
        <f ca="1">- cleaned cartridge Bays, plunger Rods _xludf.and I-CORE
- checked _xludf.and cleaned _xludf.filter
- performed XpertCheck
- generated reports</f>
        <v>#NAME?</v>
      </c>
      <c r="AA5609" t="s">
        <v>33932</v>
      </c>
      <c r="AB5609" t="s">
        <v>181</v>
      </c>
      <c r="AC5609" t="s">
        <v>11073</v>
      </c>
      <c r="AG5609" t="s">
        <v>33933</v>
      </c>
      <c r="AH5609" t="s">
        <v>33934</v>
      </c>
      <c r="AI5609" t="s">
        <v>33935</v>
      </c>
    </row>
    <row r="5610" spans="2:35" ht="315">
      <c r="B5610" s="1">
        <v>45305</v>
      </c>
      <c r="C5610" s="4">
        <v>45302.508333333331</v>
      </c>
      <c r="D5610" t="s">
        <v>11102</v>
      </c>
      <c r="E5610" t="s">
        <v>11103</v>
      </c>
      <c r="F5610" t="s">
        <v>511</v>
      </c>
      <c r="G5610" t="s">
        <v>512</v>
      </c>
      <c r="H5610" t="s">
        <v>1047</v>
      </c>
      <c r="I5610" t="s">
        <v>40</v>
      </c>
      <c r="J5610" s="2" t="s">
        <v>41</v>
      </c>
      <c r="K5610" t="s">
        <v>42</v>
      </c>
      <c r="L5610" t="s">
        <v>1048</v>
      </c>
      <c r="N5610" t="s">
        <v>1049</v>
      </c>
      <c r="Q5610">
        <v>26940</v>
      </c>
      <c r="R5610" t="s">
        <v>119</v>
      </c>
      <c r="S5610" t="s">
        <v>11104</v>
      </c>
      <c r="T5610">
        <v>24</v>
      </c>
      <c r="U5610" s="2" t="s">
        <v>7540</v>
      </c>
      <c r="V5610" s="1">
        <v>45274</v>
      </c>
      <c r="W5610" t="s">
        <v>360</v>
      </c>
      <c r="X5610">
        <v>838282</v>
      </c>
      <c r="Y5610" t="s">
        <v>1924</v>
      </c>
      <c r="Z5610" s="2" t="s">
        <v>33936</v>
      </c>
      <c r="AA5610" t="e">
        <f ca="1">- performed module Replacement</f>
        <v>#NAME?</v>
      </c>
      <c r="AB5610" t="s">
        <v>33937</v>
      </c>
      <c r="AC5610" t="s">
        <v>11073</v>
      </c>
      <c r="AD5610" t="s">
        <v>33938</v>
      </c>
      <c r="AE5610" t="s">
        <v>33939</v>
      </c>
      <c r="AG5610" t="s">
        <v>33940</v>
      </c>
      <c r="AH5610" t="s">
        <v>11108</v>
      </c>
      <c r="AI5610" t="s">
        <v>33941</v>
      </c>
    </row>
    <row r="5611" spans="2:35" ht="409.5">
      <c r="B5611" s="1">
        <v>45305</v>
      </c>
      <c r="C5611" s="4">
        <v>45301.634027777778</v>
      </c>
      <c r="D5611" t="s">
        <v>31424</v>
      </c>
      <c r="E5611" t="s">
        <v>33942</v>
      </c>
      <c r="F5611" t="s">
        <v>511</v>
      </c>
      <c r="G5611" t="s">
        <v>31426</v>
      </c>
      <c r="H5611" t="s">
        <v>39</v>
      </c>
      <c r="I5611" t="s">
        <v>40</v>
      </c>
      <c r="J5611" s="2" t="s">
        <v>41</v>
      </c>
      <c r="K5611" t="s">
        <v>42</v>
      </c>
      <c r="L5611" t="s">
        <v>1048</v>
      </c>
      <c r="N5611" t="s">
        <v>1049</v>
      </c>
      <c r="Q5611">
        <v>26939</v>
      </c>
      <c r="R5611" t="s">
        <v>45</v>
      </c>
      <c r="S5611" t="s">
        <v>33943</v>
      </c>
      <c r="T5611">
        <v>29</v>
      </c>
      <c r="U5611" s="2" t="s">
        <v>28376</v>
      </c>
      <c r="V5611" s="1">
        <v>45301</v>
      </c>
      <c r="W5611" t="s">
        <v>360</v>
      </c>
      <c r="X5611">
        <v>807582</v>
      </c>
      <c r="Y5611" t="s">
        <v>33944</v>
      </c>
      <c r="Z5611" s="2" t="s">
        <v>33945</v>
      </c>
      <c r="AA5611" t="s">
        <v>33946</v>
      </c>
      <c r="AB5611" t="s">
        <v>181</v>
      </c>
      <c r="AC5611" t="s">
        <v>33947</v>
      </c>
      <c r="AD5611" t="s">
        <v>33948</v>
      </c>
      <c r="AE5611" t="s">
        <v>103</v>
      </c>
      <c r="AG5611" t="s">
        <v>33949</v>
      </c>
      <c r="AH5611" t="s">
        <v>33950</v>
      </c>
      <c r="AI5611" t="s">
        <v>33951</v>
      </c>
    </row>
    <row r="5612" spans="2:35" ht="150">
      <c r="B5612" s="1">
        <v>45305</v>
      </c>
      <c r="C5612" s="4">
        <v>45303.604861111111</v>
      </c>
      <c r="D5612" t="s">
        <v>1107</v>
      </c>
      <c r="E5612" t="s">
        <v>33952</v>
      </c>
      <c r="F5612" t="s">
        <v>37</v>
      </c>
      <c r="G5612" t="s">
        <v>38</v>
      </c>
      <c r="H5612" t="s">
        <v>39</v>
      </c>
      <c r="I5612" t="s">
        <v>40</v>
      </c>
      <c r="J5612" s="2" t="s">
        <v>30202</v>
      </c>
      <c r="K5612" t="s">
        <v>42</v>
      </c>
      <c r="L5612" t="s">
        <v>43</v>
      </c>
      <c r="N5612" t="s">
        <v>44</v>
      </c>
      <c r="Q5612">
        <v>26938</v>
      </c>
      <c r="R5612" t="s">
        <v>119</v>
      </c>
      <c r="S5612" t="s">
        <v>26768</v>
      </c>
      <c r="T5612">
        <v>24</v>
      </c>
      <c r="U5612" s="2" t="s">
        <v>33953</v>
      </c>
      <c r="V5612" s="1">
        <v>45299</v>
      </c>
      <c r="W5612" t="s">
        <v>48</v>
      </c>
      <c r="X5612">
        <v>819864</v>
      </c>
      <c r="Y5612" t="s">
        <v>570</v>
      </c>
      <c r="Z5612" t="s">
        <v>571</v>
      </c>
      <c r="AA5612" s="2" t="s">
        <v>33954</v>
      </c>
      <c r="AB5612" t="s">
        <v>16412</v>
      </c>
      <c r="AD5612" s="2" t="s">
        <v>33955</v>
      </c>
      <c r="AE5612" t="s">
        <v>33956</v>
      </c>
      <c r="AG5612" t="s">
        <v>33957</v>
      </c>
      <c r="AH5612" t="s">
        <v>26770</v>
      </c>
      <c r="AI5612" t="s">
        <v>33958</v>
      </c>
    </row>
    <row r="5613" spans="2:35" ht="300">
      <c r="B5613" s="1">
        <v>45305</v>
      </c>
      <c r="C5613" s="4">
        <v>45300.665972222225</v>
      </c>
      <c r="D5613" t="s">
        <v>7254</v>
      </c>
      <c r="E5613" t="s">
        <v>33959</v>
      </c>
      <c r="F5613">
        <v>1</v>
      </c>
      <c r="G5613" t="s">
        <v>2599</v>
      </c>
      <c r="H5613" t="s">
        <v>1047</v>
      </c>
      <c r="I5613" t="s">
        <v>40</v>
      </c>
      <c r="J5613" s="2" t="s">
        <v>41</v>
      </c>
      <c r="K5613" t="s">
        <v>42</v>
      </c>
      <c r="L5613" t="s">
        <v>1048</v>
      </c>
      <c r="N5613" t="s">
        <v>1049</v>
      </c>
      <c r="Q5613">
        <v>26937</v>
      </c>
      <c r="R5613" t="s">
        <v>119</v>
      </c>
      <c r="S5613" t="s">
        <v>7256</v>
      </c>
      <c r="T5613">
        <v>27</v>
      </c>
      <c r="U5613" s="2" t="s">
        <v>33960</v>
      </c>
      <c r="V5613" s="1">
        <v>45296</v>
      </c>
      <c r="W5613" t="s">
        <v>360</v>
      </c>
      <c r="X5613">
        <v>838416</v>
      </c>
      <c r="Y5613" t="s">
        <v>1924</v>
      </c>
      <c r="Z5613" s="2" t="s">
        <v>33961</v>
      </c>
      <c r="AA5613" t="s">
        <v>1926</v>
      </c>
      <c r="AB5613" t="s">
        <v>181</v>
      </c>
      <c r="AC5613" t="s">
        <v>11073</v>
      </c>
      <c r="AD5613" t="s">
        <v>33962</v>
      </c>
      <c r="AE5613" t="s">
        <v>33963</v>
      </c>
      <c r="AG5613" t="s">
        <v>33964</v>
      </c>
      <c r="AH5613" t="s">
        <v>21080</v>
      </c>
      <c r="AI5613" t="s">
        <v>33965</v>
      </c>
    </row>
    <row r="5614" spans="2:35" ht="330">
      <c r="B5614" s="1">
        <v>45305</v>
      </c>
      <c r="C5614" s="4">
        <v>45300.624305555553</v>
      </c>
      <c r="D5614" t="s">
        <v>25902</v>
      </c>
      <c r="E5614" t="s">
        <v>25903</v>
      </c>
      <c r="F5614">
        <v>1</v>
      </c>
      <c r="G5614" t="s">
        <v>2599</v>
      </c>
      <c r="H5614" t="s">
        <v>39</v>
      </c>
      <c r="I5614" t="s">
        <v>40</v>
      </c>
      <c r="J5614" s="2" t="s">
        <v>41</v>
      </c>
      <c r="K5614" t="s">
        <v>42</v>
      </c>
      <c r="L5614" t="s">
        <v>1048</v>
      </c>
      <c r="N5614" t="s">
        <v>1049</v>
      </c>
      <c r="Q5614">
        <v>26936</v>
      </c>
      <c r="R5614" t="s">
        <v>45</v>
      </c>
      <c r="S5614" t="s">
        <v>25904</v>
      </c>
      <c r="T5614">
        <v>27</v>
      </c>
      <c r="U5614" s="2" t="s">
        <v>33966</v>
      </c>
      <c r="V5614" s="1">
        <v>45300</v>
      </c>
      <c r="W5614" t="s">
        <v>360</v>
      </c>
      <c r="X5614">
        <v>807597</v>
      </c>
      <c r="Y5614" t="s">
        <v>1924</v>
      </c>
      <c r="Z5614" s="2" t="s">
        <v>33967</v>
      </c>
      <c r="AA5614" t="s">
        <v>1926</v>
      </c>
      <c r="AB5614" t="s">
        <v>181</v>
      </c>
      <c r="AC5614" t="s">
        <v>11073</v>
      </c>
      <c r="AD5614" t="s">
        <v>33968</v>
      </c>
      <c r="AE5614" t="s">
        <v>103</v>
      </c>
      <c r="AG5614" t="s">
        <v>33969</v>
      </c>
      <c r="AH5614" t="s">
        <v>33970</v>
      </c>
      <c r="AI5614" t="s">
        <v>33971</v>
      </c>
    </row>
    <row r="5615" spans="2:35" ht="409.5">
      <c r="B5615" s="1">
        <v>45305</v>
      </c>
      <c r="C5615" s="4">
        <v>45300.533333333333</v>
      </c>
      <c r="D5615" t="s">
        <v>2608</v>
      </c>
      <c r="E5615" t="s">
        <v>2598</v>
      </c>
      <c r="F5615">
        <v>1</v>
      </c>
      <c r="G5615" t="s">
        <v>2599</v>
      </c>
      <c r="H5615" t="s">
        <v>61</v>
      </c>
      <c r="I5615" t="s">
        <v>40</v>
      </c>
      <c r="J5615" t="s">
        <v>109</v>
      </c>
      <c r="K5615" t="s">
        <v>42</v>
      </c>
      <c r="L5615" t="s">
        <v>1048</v>
      </c>
      <c r="N5615" t="s">
        <v>1049</v>
      </c>
      <c r="Q5615">
        <v>26935</v>
      </c>
      <c r="R5615" t="s">
        <v>45</v>
      </c>
      <c r="S5615" t="s">
        <v>6402</v>
      </c>
      <c r="T5615">
        <v>28</v>
      </c>
      <c r="U5615" s="2" t="s">
        <v>33972</v>
      </c>
      <c r="W5615" t="s">
        <v>360</v>
      </c>
      <c r="X5615">
        <v>838168</v>
      </c>
      <c r="Y5615" t="s">
        <v>1052</v>
      </c>
      <c r="Z5615" t="e">
        <f ca="1">- cleaned cartridge Bays, plunger Rods _xludf.and I-CORE
- generated reports</f>
        <v>#NAME?</v>
      </c>
      <c r="AA5615" t="s">
        <v>820</v>
      </c>
      <c r="AB5615" t="s">
        <v>181</v>
      </c>
      <c r="AC5615" t="s">
        <v>11073</v>
      </c>
      <c r="AG5615" t="s">
        <v>33973</v>
      </c>
      <c r="AH5615" t="s">
        <v>2612</v>
      </c>
      <c r="AI5615" t="s">
        <v>33974</v>
      </c>
    </row>
    <row r="5616" spans="2:35" ht="409.5">
      <c r="B5616" s="1">
        <v>45305</v>
      </c>
      <c r="C5616" s="4">
        <v>45300.533333333333</v>
      </c>
      <c r="D5616" t="s">
        <v>2608</v>
      </c>
      <c r="E5616" t="s">
        <v>2598</v>
      </c>
      <c r="F5616">
        <v>1</v>
      </c>
      <c r="G5616" t="s">
        <v>2599</v>
      </c>
      <c r="H5616" t="s">
        <v>61</v>
      </c>
      <c r="I5616" t="s">
        <v>40</v>
      </c>
      <c r="J5616" t="s">
        <v>109</v>
      </c>
      <c r="K5616" t="s">
        <v>42</v>
      </c>
      <c r="L5616" t="s">
        <v>1048</v>
      </c>
      <c r="N5616" t="s">
        <v>1049</v>
      </c>
      <c r="Q5616">
        <v>26934</v>
      </c>
      <c r="R5616" t="s">
        <v>45</v>
      </c>
      <c r="S5616" t="s">
        <v>6402</v>
      </c>
      <c r="T5616">
        <v>28</v>
      </c>
      <c r="U5616" s="2" t="s">
        <v>33972</v>
      </c>
      <c r="W5616" t="s">
        <v>360</v>
      </c>
      <c r="X5616">
        <v>838168</v>
      </c>
      <c r="Y5616" t="s">
        <v>1052</v>
      </c>
      <c r="Z5616" t="e">
        <f ca="1">- cleaned cartridge Bays, plunger Rods _xludf.and I-CORE
- generated reports</f>
        <v>#NAME?</v>
      </c>
      <c r="AA5616" t="s">
        <v>820</v>
      </c>
      <c r="AB5616" t="s">
        <v>181</v>
      </c>
      <c r="AC5616" t="s">
        <v>11073</v>
      </c>
      <c r="AG5616" t="s">
        <v>33975</v>
      </c>
      <c r="AH5616" t="s">
        <v>2612</v>
      </c>
      <c r="AI5616" t="s">
        <v>33976</v>
      </c>
    </row>
    <row r="5617" spans="2:35" ht="409.5">
      <c r="B5617" s="1">
        <v>45305</v>
      </c>
      <c r="C5617" s="4">
        <v>45300.526388888888</v>
      </c>
      <c r="D5617" t="s">
        <v>2608</v>
      </c>
      <c r="E5617" t="s">
        <v>2598</v>
      </c>
      <c r="F5617">
        <v>1</v>
      </c>
      <c r="G5617" t="s">
        <v>2599</v>
      </c>
      <c r="H5617" t="s">
        <v>61</v>
      </c>
      <c r="I5617" t="s">
        <v>40</v>
      </c>
      <c r="J5617" s="2" t="s">
        <v>41</v>
      </c>
      <c r="K5617" t="s">
        <v>42</v>
      </c>
      <c r="L5617" t="s">
        <v>1048</v>
      </c>
      <c r="N5617" t="s">
        <v>1049</v>
      </c>
      <c r="Q5617">
        <v>26933</v>
      </c>
      <c r="R5617" t="s">
        <v>119</v>
      </c>
      <c r="S5617" t="s">
        <v>6402</v>
      </c>
      <c r="T5617">
        <v>29</v>
      </c>
      <c r="U5617" s="2" t="s">
        <v>33977</v>
      </c>
      <c r="V5617" s="1">
        <v>45272</v>
      </c>
      <c r="W5617" t="s">
        <v>360</v>
      </c>
      <c r="X5617">
        <v>831908</v>
      </c>
      <c r="Y5617" t="s">
        <v>1924</v>
      </c>
      <c r="Z5617" s="2" t="s">
        <v>33978</v>
      </c>
      <c r="AA5617" t="s">
        <v>1926</v>
      </c>
      <c r="AB5617" t="s">
        <v>181</v>
      </c>
      <c r="AC5617" t="s">
        <v>12618</v>
      </c>
      <c r="AD5617" t="s">
        <v>33979</v>
      </c>
      <c r="AE5617" t="s">
        <v>33980</v>
      </c>
      <c r="AG5617" t="s">
        <v>33981</v>
      </c>
      <c r="AH5617" t="s">
        <v>2612</v>
      </c>
      <c r="AI5617" t="s">
        <v>33982</v>
      </c>
    </row>
    <row r="5618" spans="2:35" ht="315">
      <c r="B5618" s="1">
        <v>45305</v>
      </c>
      <c r="C5618" s="4">
        <v>45300.425694444442</v>
      </c>
      <c r="D5618" t="s">
        <v>29447</v>
      </c>
      <c r="E5618" t="s">
        <v>1921</v>
      </c>
      <c r="F5618">
        <v>1</v>
      </c>
      <c r="G5618" t="s">
        <v>1922</v>
      </c>
      <c r="H5618" t="s">
        <v>61</v>
      </c>
      <c r="I5618" t="s">
        <v>40</v>
      </c>
      <c r="J5618" s="2" t="s">
        <v>41</v>
      </c>
      <c r="K5618" t="s">
        <v>42</v>
      </c>
      <c r="L5618" t="s">
        <v>1048</v>
      </c>
      <c r="N5618" t="s">
        <v>1049</v>
      </c>
      <c r="Q5618">
        <v>26932</v>
      </c>
      <c r="R5618" t="s">
        <v>45</v>
      </c>
      <c r="S5618" t="s">
        <v>29449</v>
      </c>
      <c r="T5618">
        <v>28</v>
      </c>
      <c r="U5618" s="2" t="s">
        <v>33983</v>
      </c>
      <c r="V5618" s="1">
        <v>45300</v>
      </c>
      <c r="W5618" t="s">
        <v>360</v>
      </c>
      <c r="X5618">
        <v>807578</v>
      </c>
      <c r="Y5618" t="s">
        <v>1924</v>
      </c>
      <c r="Z5618" s="2" t="s">
        <v>33984</v>
      </c>
      <c r="AA5618" t="s">
        <v>33985</v>
      </c>
      <c r="AB5618" t="s">
        <v>181</v>
      </c>
      <c r="AC5618" t="s">
        <v>11073</v>
      </c>
      <c r="AD5618" t="s">
        <v>182</v>
      </c>
      <c r="AE5618" t="s">
        <v>103</v>
      </c>
      <c r="AG5618" t="s">
        <v>33986</v>
      </c>
      <c r="AH5618" t="s">
        <v>33987</v>
      </c>
      <c r="AI5618" t="s">
        <v>33988</v>
      </c>
    </row>
    <row r="5619" spans="2:35" ht="390">
      <c r="B5619" s="1">
        <v>45305</v>
      </c>
      <c r="C5619" s="4">
        <v>45300.359027777777</v>
      </c>
      <c r="D5619" t="s">
        <v>7264</v>
      </c>
      <c r="E5619" t="s">
        <v>7265</v>
      </c>
      <c r="F5619">
        <v>1</v>
      </c>
      <c r="G5619" t="s">
        <v>1909</v>
      </c>
      <c r="H5619" t="s">
        <v>1047</v>
      </c>
      <c r="I5619" t="s">
        <v>40</v>
      </c>
      <c r="J5619" s="2" t="s">
        <v>41</v>
      </c>
      <c r="K5619" t="s">
        <v>42</v>
      </c>
      <c r="L5619" t="s">
        <v>1048</v>
      </c>
      <c r="N5619" t="s">
        <v>1049</v>
      </c>
      <c r="Q5619">
        <v>26931</v>
      </c>
      <c r="R5619" t="s">
        <v>119</v>
      </c>
      <c r="S5619" t="s">
        <v>7266</v>
      </c>
      <c r="T5619">
        <v>28</v>
      </c>
      <c r="U5619" s="2" t="s">
        <v>33989</v>
      </c>
      <c r="V5619" s="1">
        <v>45274</v>
      </c>
      <c r="W5619" t="s">
        <v>360</v>
      </c>
      <c r="X5619">
        <v>838270</v>
      </c>
      <c r="Y5619" t="s">
        <v>1924</v>
      </c>
      <c r="Z5619" s="2" t="s">
        <v>33990</v>
      </c>
      <c r="AA5619" t="s">
        <v>19910</v>
      </c>
      <c r="AB5619" t="s">
        <v>181</v>
      </c>
      <c r="AC5619" t="s">
        <v>11073</v>
      </c>
      <c r="AD5619" t="s">
        <v>5732</v>
      </c>
      <c r="AE5619" t="s">
        <v>33991</v>
      </c>
      <c r="AG5619" t="s">
        <v>33992</v>
      </c>
      <c r="AH5619" t="s">
        <v>7268</v>
      </c>
      <c r="AI5619" t="s">
        <v>33993</v>
      </c>
    </row>
    <row r="5620" spans="2:35" ht="390">
      <c r="B5620" s="1">
        <v>45305</v>
      </c>
      <c r="C5620" s="4">
        <v>45300.359027777777</v>
      </c>
      <c r="D5620" t="s">
        <v>7264</v>
      </c>
      <c r="E5620" t="s">
        <v>7265</v>
      </c>
      <c r="F5620">
        <v>1</v>
      </c>
      <c r="G5620" t="s">
        <v>1909</v>
      </c>
      <c r="H5620" t="s">
        <v>1047</v>
      </c>
      <c r="I5620" t="s">
        <v>40</v>
      </c>
      <c r="J5620" s="2" t="s">
        <v>41</v>
      </c>
      <c r="K5620" t="s">
        <v>42</v>
      </c>
      <c r="L5620" t="s">
        <v>1048</v>
      </c>
      <c r="N5620" t="s">
        <v>1049</v>
      </c>
      <c r="Q5620">
        <v>26930</v>
      </c>
      <c r="R5620" t="s">
        <v>119</v>
      </c>
      <c r="S5620" t="s">
        <v>7266</v>
      </c>
      <c r="T5620">
        <v>28</v>
      </c>
      <c r="U5620" s="2" t="s">
        <v>33989</v>
      </c>
      <c r="V5620" s="1">
        <v>45274</v>
      </c>
      <c r="W5620" t="s">
        <v>360</v>
      </c>
      <c r="X5620">
        <v>838270</v>
      </c>
      <c r="Y5620" t="s">
        <v>1924</v>
      </c>
      <c r="Z5620" s="2" t="s">
        <v>33990</v>
      </c>
      <c r="AA5620" t="s">
        <v>19910</v>
      </c>
      <c r="AB5620" t="s">
        <v>181</v>
      </c>
      <c r="AC5620" t="s">
        <v>11073</v>
      </c>
      <c r="AD5620" t="s">
        <v>5732</v>
      </c>
      <c r="AE5620" t="s">
        <v>33991</v>
      </c>
      <c r="AG5620" t="s">
        <v>33994</v>
      </c>
      <c r="AH5620" t="s">
        <v>7268</v>
      </c>
      <c r="AI5620" t="s">
        <v>33995</v>
      </c>
    </row>
    <row r="5621" spans="2:35" ht="195">
      <c r="B5621" s="1">
        <v>45303</v>
      </c>
      <c r="C5621" s="4">
        <v>45303.660416666666</v>
      </c>
      <c r="D5621" t="s">
        <v>7803</v>
      </c>
      <c r="E5621" t="s">
        <v>16711</v>
      </c>
      <c r="F5621" t="s">
        <v>148</v>
      </c>
      <c r="G5621" t="s">
        <v>447</v>
      </c>
      <c r="H5621" t="s">
        <v>39</v>
      </c>
      <c r="I5621" t="s">
        <v>40</v>
      </c>
      <c r="J5621" s="2" t="s">
        <v>41</v>
      </c>
      <c r="K5621" t="s">
        <v>42</v>
      </c>
      <c r="L5621" t="s">
        <v>15532</v>
      </c>
      <c r="N5621" t="s">
        <v>15533</v>
      </c>
      <c r="Q5621">
        <v>26929</v>
      </c>
      <c r="R5621" t="s">
        <v>45</v>
      </c>
      <c r="S5621" t="s">
        <v>997</v>
      </c>
      <c r="T5621">
        <v>25</v>
      </c>
      <c r="U5621" s="2" t="s">
        <v>33996</v>
      </c>
      <c r="V5621" s="1">
        <v>45303</v>
      </c>
      <c r="W5621" t="s">
        <v>24467</v>
      </c>
      <c r="X5621">
        <v>845446</v>
      </c>
      <c r="Y5621" t="s">
        <v>33997</v>
      </c>
      <c r="Z5621" s="2" t="s">
        <v>33998</v>
      </c>
      <c r="AA5621" s="2" t="s">
        <v>33999</v>
      </c>
      <c r="AB5621" s="2" t="s">
        <v>15539</v>
      </c>
      <c r="AD5621" t="s">
        <v>34000</v>
      </c>
      <c r="AE5621" t="s">
        <v>34001</v>
      </c>
      <c r="AG5621" t="s">
        <v>34002</v>
      </c>
      <c r="AH5621" t="s">
        <v>34003</v>
      </c>
      <c r="AI5621" t="s">
        <v>34004</v>
      </c>
    </row>
    <row r="5622" spans="2:35" ht="360">
      <c r="B5622" s="1">
        <v>45303</v>
      </c>
      <c r="C5622" s="4">
        <v>45303.622916666667</v>
      </c>
      <c r="D5622" t="s">
        <v>21829</v>
      </c>
      <c r="E5622" t="s">
        <v>3140</v>
      </c>
      <c r="F5622">
        <v>3</v>
      </c>
      <c r="G5622" t="s">
        <v>174</v>
      </c>
      <c r="H5622" t="s">
        <v>61</v>
      </c>
      <c r="I5622" t="s">
        <v>40</v>
      </c>
      <c r="J5622" s="2" t="s">
        <v>34005</v>
      </c>
      <c r="K5622" t="s">
        <v>42</v>
      </c>
      <c r="L5622" t="s">
        <v>80</v>
      </c>
      <c r="N5622" t="s">
        <v>81</v>
      </c>
      <c r="Q5622">
        <v>26928</v>
      </c>
      <c r="R5622" t="s">
        <v>95</v>
      </c>
      <c r="S5622" t="s">
        <v>3898</v>
      </c>
      <c r="T5622">
        <v>20</v>
      </c>
      <c r="U5622" s="2" t="s">
        <v>34006</v>
      </c>
      <c r="V5622" s="1">
        <v>45303</v>
      </c>
      <c r="W5622" t="s">
        <v>666</v>
      </c>
      <c r="X5622">
        <v>110008530</v>
      </c>
      <c r="Y5622" t="s">
        <v>34007</v>
      </c>
      <c r="Z5622" t="s">
        <v>34008</v>
      </c>
      <c r="AA5622" s="2" t="s">
        <v>34009</v>
      </c>
      <c r="AB5622" t="s">
        <v>1188</v>
      </c>
      <c r="AC5622" t="s">
        <v>103</v>
      </c>
      <c r="AD5622" t="s">
        <v>103</v>
      </c>
      <c r="AE5622" t="s">
        <v>103</v>
      </c>
      <c r="AG5622" t="s">
        <v>34010</v>
      </c>
      <c r="AH5622" t="s">
        <v>34011</v>
      </c>
      <c r="AI5622" t="s">
        <v>34012</v>
      </c>
    </row>
    <row r="5623" spans="2:35" ht="210">
      <c r="B5623" s="1">
        <v>45303</v>
      </c>
      <c r="C5623" s="4">
        <v>45303.626388888886</v>
      </c>
      <c r="D5623" t="s">
        <v>20529</v>
      </c>
      <c r="E5623" t="s">
        <v>34013</v>
      </c>
      <c r="F5623" t="s">
        <v>148</v>
      </c>
      <c r="G5623" t="s">
        <v>371</v>
      </c>
      <c r="H5623" t="s">
        <v>39</v>
      </c>
      <c r="I5623" t="s">
        <v>40</v>
      </c>
      <c r="J5623" s="2" t="s">
        <v>41</v>
      </c>
      <c r="K5623" t="s">
        <v>42</v>
      </c>
      <c r="L5623" t="s">
        <v>175</v>
      </c>
      <c r="N5623" t="s">
        <v>176</v>
      </c>
      <c r="Q5623">
        <v>26927</v>
      </c>
      <c r="R5623" t="s">
        <v>119</v>
      </c>
      <c r="S5623" t="s">
        <v>20530</v>
      </c>
      <c r="T5623">
        <v>26</v>
      </c>
      <c r="U5623" s="2" t="s">
        <v>34014</v>
      </c>
      <c r="V5623" s="1">
        <v>45299</v>
      </c>
      <c r="W5623" t="s">
        <v>84</v>
      </c>
      <c r="X5623">
        <v>831906</v>
      </c>
      <c r="Y5623" t="s">
        <v>34015</v>
      </c>
      <c r="Z5623" s="2" t="s">
        <v>34016</v>
      </c>
      <c r="AA5623" t="s">
        <v>34017</v>
      </c>
      <c r="AB5623" t="s">
        <v>181</v>
      </c>
      <c r="AD5623" s="2" t="s">
        <v>34018</v>
      </c>
      <c r="AE5623">
        <v>11085</v>
      </c>
      <c r="AG5623" t="s">
        <v>34019</v>
      </c>
      <c r="AH5623" t="s">
        <v>28277</v>
      </c>
      <c r="AI5623" t="s">
        <v>34020</v>
      </c>
    </row>
    <row r="5624" spans="2:35" ht="409.5">
      <c r="B5624" s="1">
        <v>45303</v>
      </c>
      <c r="C5624" s="4">
        <v>45303.581944444442</v>
      </c>
      <c r="D5624" t="s">
        <v>3050</v>
      </c>
      <c r="E5624" t="s">
        <v>25459</v>
      </c>
      <c r="F5624" t="s">
        <v>148</v>
      </c>
      <c r="G5624" t="s">
        <v>371</v>
      </c>
      <c r="H5624" t="s">
        <v>5523</v>
      </c>
      <c r="I5624" t="s">
        <v>40</v>
      </c>
      <c r="J5624" s="2" t="s">
        <v>41</v>
      </c>
      <c r="K5624" t="s">
        <v>42</v>
      </c>
      <c r="L5624" t="s">
        <v>15532</v>
      </c>
      <c r="N5624" t="s">
        <v>15533</v>
      </c>
      <c r="Q5624">
        <v>26926</v>
      </c>
      <c r="R5624" t="s">
        <v>45</v>
      </c>
      <c r="S5624" t="s">
        <v>3052</v>
      </c>
      <c r="T5624">
        <v>29</v>
      </c>
      <c r="V5624" s="1">
        <v>45303</v>
      </c>
      <c r="W5624" t="s">
        <v>15535</v>
      </c>
      <c r="X5624">
        <v>814154</v>
      </c>
      <c r="Y5624" t="s">
        <v>962</v>
      </c>
      <c r="Z5624" s="2" t="s">
        <v>34021</v>
      </c>
      <c r="AA5624" s="2" t="s">
        <v>34022</v>
      </c>
      <c r="AB5624" s="2" t="s">
        <v>34023</v>
      </c>
      <c r="AD5624" t="s">
        <v>23942</v>
      </c>
      <c r="AE5624" t="s">
        <v>34024</v>
      </c>
      <c r="AG5624" t="s">
        <v>34025</v>
      </c>
      <c r="AH5624" t="s">
        <v>25468</v>
      </c>
      <c r="AI5624" t="s">
        <v>34026</v>
      </c>
    </row>
    <row r="5625" spans="2:35" ht="409.5">
      <c r="B5625" s="1">
        <v>45303</v>
      </c>
      <c r="C5625" s="4">
        <v>45303.575694444444</v>
      </c>
      <c r="D5625" t="s">
        <v>2364</v>
      </c>
      <c r="E5625" t="s">
        <v>7483</v>
      </c>
      <c r="F5625">
        <v>12</v>
      </c>
      <c r="G5625" t="s">
        <v>978</v>
      </c>
      <c r="H5625" t="s">
        <v>1473</v>
      </c>
      <c r="I5625" t="s">
        <v>40</v>
      </c>
      <c r="J5625" s="2" t="s">
        <v>41</v>
      </c>
      <c r="K5625" t="s">
        <v>42</v>
      </c>
      <c r="L5625" t="s">
        <v>296</v>
      </c>
      <c r="N5625" t="s">
        <v>297</v>
      </c>
      <c r="Q5625">
        <v>26925</v>
      </c>
      <c r="R5625" t="s">
        <v>119</v>
      </c>
      <c r="S5625" t="s">
        <v>2366</v>
      </c>
      <c r="T5625">
        <v>27.2</v>
      </c>
      <c r="U5625" s="2" t="s">
        <v>34027</v>
      </c>
      <c r="V5625" s="1">
        <v>45303</v>
      </c>
      <c r="W5625" t="s">
        <v>23049</v>
      </c>
      <c r="X5625">
        <v>838570</v>
      </c>
      <c r="Y5625" t="s">
        <v>32830</v>
      </c>
      <c r="Z5625" s="2" t="s">
        <v>34028</v>
      </c>
      <c r="AA5625" s="2" t="s">
        <v>30125</v>
      </c>
      <c r="AB5625" t="s">
        <v>972</v>
      </c>
      <c r="AD5625" t="s">
        <v>34029</v>
      </c>
      <c r="AE5625" t="s">
        <v>34030</v>
      </c>
      <c r="AG5625" t="s">
        <v>34031</v>
      </c>
      <c r="AH5625" t="s">
        <v>9876</v>
      </c>
      <c r="AI5625" t="s">
        <v>34032</v>
      </c>
    </row>
    <row r="5626" spans="2:35" ht="210">
      <c r="B5626" s="1">
        <v>45303</v>
      </c>
      <c r="C5626" s="4">
        <v>45303.563194444447</v>
      </c>
      <c r="D5626" t="s">
        <v>22944</v>
      </c>
      <c r="E5626" t="s">
        <v>22945</v>
      </c>
      <c r="F5626" t="s">
        <v>148</v>
      </c>
      <c r="G5626" t="s">
        <v>22765</v>
      </c>
      <c r="H5626" t="s">
        <v>39</v>
      </c>
      <c r="I5626" t="s">
        <v>40</v>
      </c>
      <c r="J5626" s="2" t="s">
        <v>30202</v>
      </c>
      <c r="K5626" t="s">
        <v>42</v>
      </c>
      <c r="L5626" t="s">
        <v>175</v>
      </c>
      <c r="N5626" t="s">
        <v>176</v>
      </c>
      <c r="Q5626">
        <v>26924</v>
      </c>
      <c r="R5626" t="s">
        <v>119</v>
      </c>
      <c r="S5626" t="s">
        <v>22946</v>
      </c>
      <c r="T5626">
        <v>25</v>
      </c>
      <c r="U5626" s="2" t="s">
        <v>34033</v>
      </c>
      <c r="V5626" s="1">
        <v>45299</v>
      </c>
      <c r="W5626" t="s">
        <v>84</v>
      </c>
      <c r="X5626">
        <v>831903</v>
      </c>
      <c r="Y5626" t="s">
        <v>34034</v>
      </c>
      <c r="Z5626" t="e">
        <f ca="1">- replaced C2, C4
- checked _xludf.and cleaned cartridge bay, plunger rod, _xludf.filter
- generated reports</f>
        <v>#NAME?</v>
      </c>
      <c r="AA5626" t="s">
        <v>34035</v>
      </c>
      <c r="AB5626" t="s">
        <v>181</v>
      </c>
      <c r="AD5626" s="2" t="s">
        <v>34036</v>
      </c>
      <c r="AE5626">
        <v>11072</v>
      </c>
      <c r="AG5626" t="s">
        <v>34037</v>
      </c>
      <c r="AH5626" t="s">
        <v>33047</v>
      </c>
      <c r="AI5626" t="s">
        <v>34038</v>
      </c>
    </row>
    <row r="5627" spans="2:35" ht="225">
      <c r="B5627" s="1">
        <v>45303</v>
      </c>
      <c r="C5627" s="4">
        <v>45303.580555555556</v>
      </c>
      <c r="D5627" t="s">
        <v>2364</v>
      </c>
      <c r="E5627" t="s">
        <v>7483</v>
      </c>
      <c r="F5627">
        <v>12</v>
      </c>
      <c r="G5627" t="s">
        <v>978</v>
      </c>
      <c r="H5627" t="s">
        <v>1473</v>
      </c>
      <c r="I5627" t="s">
        <v>94</v>
      </c>
      <c r="J5627" s="2" t="s">
        <v>31986</v>
      </c>
      <c r="K5627" t="s">
        <v>42</v>
      </c>
      <c r="L5627" t="s">
        <v>296</v>
      </c>
      <c r="N5627" t="s">
        <v>297</v>
      </c>
      <c r="Q5627">
        <v>26923</v>
      </c>
      <c r="R5627" t="s">
        <v>45</v>
      </c>
      <c r="S5627" t="s">
        <v>2366</v>
      </c>
      <c r="T5627">
        <v>25.8</v>
      </c>
      <c r="U5627" s="2" t="s">
        <v>34027</v>
      </c>
      <c r="W5627" t="s">
        <v>23049</v>
      </c>
      <c r="X5627">
        <v>815428</v>
      </c>
      <c r="Y5627" t="s">
        <v>54</v>
      </c>
      <c r="Z5627" s="2" t="s">
        <v>34039</v>
      </c>
      <c r="AA5627" t="s">
        <v>9161</v>
      </c>
      <c r="AB5627" t="s">
        <v>972</v>
      </c>
      <c r="AG5627" t="s">
        <v>34040</v>
      </c>
      <c r="AH5627" t="s">
        <v>9876</v>
      </c>
      <c r="AI5627" t="s">
        <v>34041</v>
      </c>
    </row>
    <row r="5628" spans="2:35" ht="180">
      <c r="B5628" s="1">
        <v>45303</v>
      </c>
      <c r="C5628" s="4">
        <v>45303.57708333333</v>
      </c>
      <c r="D5628" t="s">
        <v>22325</v>
      </c>
      <c r="E5628" t="s">
        <v>22326</v>
      </c>
      <c r="F5628" t="s">
        <v>37</v>
      </c>
      <c r="G5628" t="s">
        <v>78</v>
      </c>
      <c r="H5628" t="s">
        <v>39</v>
      </c>
      <c r="I5628" t="s">
        <v>40</v>
      </c>
      <c r="J5628" s="2" t="s">
        <v>41</v>
      </c>
      <c r="K5628" t="s">
        <v>42</v>
      </c>
      <c r="L5628" t="s">
        <v>1943</v>
      </c>
      <c r="N5628" t="s">
        <v>1944</v>
      </c>
      <c r="Q5628">
        <v>26922</v>
      </c>
      <c r="R5628" t="s">
        <v>119</v>
      </c>
      <c r="S5628" t="s">
        <v>28021</v>
      </c>
      <c r="T5628">
        <v>25</v>
      </c>
      <c r="U5628" s="2" t="s">
        <v>34042</v>
      </c>
      <c r="V5628" s="1">
        <v>45299</v>
      </c>
      <c r="W5628" t="s">
        <v>84</v>
      </c>
      <c r="X5628">
        <v>821224</v>
      </c>
      <c r="Y5628" s="2" t="s">
        <v>25792</v>
      </c>
      <c r="Z5628" s="2" t="s">
        <v>33801</v>
      </c>
      <c r="AA5628" t="s">
        <v>22330</v>
      </c>
      <c r="AB5628" t="s">
        <v>88</v>
      </c>
      <c r="AD5628" t="s">
        <v>34043</v>
      </c>
      <c r="AE5628" t="s">
        <v>34044</v>
      </c>
      <c r="AG5628" t="s">
        <v>34045</v>
      </c>
      <c r="AH5628" t="s">
        <v>22333</v>
      </c>
      <c r="AI5628" t="s">
        <v>34046</v>
      </c>
    </row>
    <row r="5629" spans="2:35" ht="105">
      <c r="B5629" s="1">
        <v>45303</v>
      </c>
      <c r="C5629" s="4">
        <v>45303.530555555553</v>
      </c>
      <c r="D5629" t="s">
        <v>10074</v>
      </c>
      <c r="E5629" t="s">
        <v>10075</v>
      </c>
      <c r="F5629">
        <v>6</v>
      </c>
      <c r="G5629" t="s">
        <v>1234</v>
      </c>
      <c r="H5629" t="s">
        <v>39</v>
      </c>
      <c r="I5629" t="s">
        <v>40</v>
      </c>
      <c r="J5629" s="2" t="s">
        <v>41</v>
      </c>
      <c r="K5629" t="s">
        <v>42</v>
      </c>
      <c r="L5629" t="s">
        <v>23958</v>
      </c>
      <c r="N5629" t="s">
        <v>23959</v>
      </c>
      <c r="Q5629">
        <v>26921</v>
      </c>
      <c r="R5629" t="s">
        <v>119</v>
      </c>
      <c r="S5629" t="s">
        <v>10076</v>
      </c>
      <c r="T5629">
        <v>26</v>
      </c>
      <c r="U5629" s="2" t="s">
        <v>34047</v>
      </c>
      <c r="W5629" t="s">
        <v>360</v>
      </c>
      <c r="X5629">
        <v>838486</v>
      </c>
      <c r="Y5629" t="s">
        <v>34048</v>
      </c>
      <c r="Z5629" t="e">
        <f ca="1">- cleaned optic slots, module bay _xludf.areas, _xludf.filter, plunger rod.</f>
        <v>#NAME?</v>
      </c>
      <c r="AA5629" t="s">
        <v>34049</v>
      </c>
      <c r="AB5629" t="s">
        <v>4668</v>
      </c>
      <c r="AG5629" t="s">
        <v>34050</v>
      </c>
      <c r="AH5629" t="s">
        <v>34051</v>
      </c>
      <c r="AI5629" t="s">
        <v>34052</v>
      </c>
    </row>
    <row r="5630" spans="2:35" ht="409.5">
      <c r="B5630" s="1">
        <v>45303</v>
      </c>
      <c r="C5630" s="4">
        <v>45303.569444444445</v>
      </c>
      <c r="D5630" t="s">
        <v>1316</v>
      </c>
      <c r="E5630" t="s">
        <v>34053</v>
      </c>
      <c r="F5630">
        <v>11</v>
      </c>
      <c r="G5630" t="s">
        <v>1205</v>
      </c>
      <c r="H5630" t="s">
        <v>1317</v>
      </c>
      <c r="I5630" t="s">
        <v>40</v>
      </c>
      <c r="J5630" t="s">
        <v>79</v>
      </c>
      <c r="K5630" t="s">
        <v>42</v>
      </c>
      <c r="L5630" t="s">
        <v>204</v>
      </c>
      <c r="N5630" t="s">
        <v>205</v>
      </c>
      <c r="Q5630">
        <v>26920</v>
      </c>
      <c r="R5630" t="s">
        <v>322</v>
      </c>
      <c r="S5630" t="s">
        <v>1318</v>
      </c>
      <c r="T5630">
        <v>25.8</v>
      </c>
      <c r="U5630" s="2" t="s">
        <v>34054</v>
      </c>
      <c r="V5630" s="1">
        <v>45278</v>
      </c>
      <c r="W5630" t="s">
        <v>23237</v>
      </c>
      <c r="X5630">
        <v>839236</v>
      </c>
      <c r="Y5630" t="s">
        <v>34055</v>
      </c>
      <c r="Z5630" s="2" t="s">
        <v>34056</v>
      </c>
      <c r="AA5630" t="s">
        <v>12182</v>
      </c>
      <c r="AB5630" t="s">
        <v>1211</v>
      </c>
      <c r="AD5630" t="s">
        <v>10253</v>
      </c>
      <c r="AE5630" t="s">
        <v>34057</v>
      </c>
      <c r="AG5630" t="s">
        <v>34058</v>
      </c>
      <c r="AH5630" t="s">
        <v>34059</v>
      </c>
      <c r="AI5630" t="s">
        <v>34060</v>
      </c>
    </row>
    <row r="5631" spans="2:35" ht="285">
      <c r="B5631" s="1">
        <v>45303</v>
      </c>
      <c r="C5631" s="4">
        <v>45303.540277777778</v>
      </c>
      <c r="D5631" t="s">
        <v>26102</v>
      </c>
      <c r="E5631" t="s">
        <v>24831</v>
      </c>
      <c r="F5631" t="s">
        <v>37</v>
      </c>
      <c r="G5631" t="s">
        <v>78</v>
      </c>
      <c r="H5631" t="s">
        <v>39</v>
      </c>
      <c r="I5631" t="s">
        <v>40</v>
      </c>
      <c r="J5631" s="2" t="s">
        <v>41</v>
      </c>
      <c r="K5631" t="s">
        <v>42</v>
      </c>
      <c r="L5631" t="s">
        <v>1943</v>
      </c>
      <c r="N5631" t="s">
        <v>1944</v>
      </c>
      <c r="Q5631">
        <v>26919</v>
      </c>
      <c r="R5631" t="s">
        <v>119</v>
      </c>
      <c r="S5631" t="s">
        <v>26103</v>
      </c>
      <c r="T5631">
        <v>25</v>
      </c>
      <c r="U5631" s="2" t="s">
        <v>34061</v>
      </c>
      <c r="V5631" s="1">
        <v>45299</v>
      </c>
      <c r="W5631" t="s">
        <v>84</v>
      </c>
      <c r="X5631">
        <v>821278</v>
      </c>
      <c r="Y5631" s="2" t="s">
        <v>34062</v>
      </c>
      <c r="Z5631" s="2" t="s">
        <v>33801</v>
      </c>
      <c r="AA5631" t="s">
        <v>22330</v>
      </c>
      <c r="AB5631" t="s">
        <v>88</v>
      </c>
      <c r="AD5631" t="s">
        <v>34063</v>
      </c>
      <c r="AE5631" t="s">
        <v>34064</v>
      </c>
      <c r="AG5631" t="s">
        <v>34065</v>
      </c>
      <c r="AH5631" t="s">
        <v>34066</v>
      </c>
      <c r="AI5631" t="s">
        <v>34067</v>
      </c>
    </row>
    <row r="5632" spans="2:35" ht="240">
      <c r="B5632" s="1">
        <v>45303</v>
      </c>
      <c r="C5632" s="4">
        <v>45303.480555555558</v>
      </c>
      <c r="D5632" t="s">
        <v>7761</v>
      </c>
      <c r="E5632" t="s">
        <v>18517</v>
      </c>
      <c r="F5632">
        <v>13</v>
      </c>
      <c r="G5632" t="s">
        <v>7763</v>
      </c>
      <c r="H5632" t="s">
        <v>2125</v>
      </c>
      <c r="I5632" t="s">
        <v>40</v>
      </c>
      <c r="J5632" s="2" t="s">
        <v>41</v>
      </c>
      <c r="K5632" t="s">
        <v>42</v>
      </c>
      <c r="L5632" t="s">
        <v>933</v>
      </c>
      <c r="N5632" t="s">
        <v>934</v>
      </c>
      <c r="Q5632">
        <v>26918</v>
      </c>
      <c r="R5632" t="s">
        <v>119</v>
      </c>
      <c r="S5632" t="s">
        <v>26939</v>
      </c>
      <c r="T5632">
        <v>27</v>
      </c>
      <c r="U5632" s="2" t="s">
        <v>34068</v>
      </c>
      <c r="V5632" s="1">
        <v>45274</v>
      </c>
      <c r="W5632" t="s">
        <v>3662</v>
      </c>
      <c r="X5632">
        <v>838275</v>
      </c>
      <c r="Y5632" t="s">
        <v>34069</v>
      </c>
      <c r="Z5632" t="s">
        <v>301</v>
      </c>
      <c r="AA5632" s="2" t="s">
        <v>34070</v>
      </c>
      <c r="AB5632" t="s">
        <v>2131</v>
      </c>
      <c r="AD5632" t="s">
        <v>34071</v>
      </c>
      <c r="AE5632" t="s">
        <v>34072</v>
      </c>
      <c r="AG5632" t="s">
        <v>34073</v>
      </c>
      <c r="AH5632" t="s">
        <v>10608</v>
      </c>
      <c r="AI5632" t="s">
        <v>34074</v>
      </c>
    </row>
    <row r="5633" spans="2:35" ht="225">
      <c r="B5633" s="1">
        <v>45303</v>
      </c>
      <c r="C5633" s="4">
        <v>45303.487500000003</v>
      </c>
      <c r="D5633" t="s">
        <v>25736</v>
      </c>
      <c r="E5633" t="s">
        <v>25737</v>
      </c>
      <c r="F5633">
        <v>2</v>
      </c>
      <c r="G5633" t="s">
        <v>2668</v>
      </c>
      <c r="H5633" t="s">
        <v>39</v>
      </c>
      <c r="I5633" t="s">
        <v>40</v>
      </c>
      <c r="J5633" s="2" t="s">
        <v>1808</v>
      </c>
      <c r="K5633" t="s">
        <v>42</v>
      </c>
      <c r="L5633" t="s">
        <v>63</v>
      </c>
      <c r="N5633" t="s">
        <v>64</v>
      </c>
      <c r="O5633" t="s">
        <v>34075</v>
      </c>
      <c r="Q5633">
        <v>26917</v>
      </c>
      <c r="R5633" t="s">
        <v>119</v>
      </c>
      <c r="S5633" t="s">
        <v>34075</v>
      </c>
      <c r="T5633">
        <v>25</v>
      </c>
      <c r="V5633" s="1">
        <v>45303</v>
      </c>
      <c r="W5633" t="s">
        <v>26915</v>
      </c>
      <c r="X5633">
        <v>831718</v>
      </c>
      <c r="Y5633" t="s">
        <v>1716</v>
      </c>
      <c r="Z5633" t="s">
        <v>1716</v>
      </c>
      <c r="AA5633" s="2" t="s">
        <v>34076</v>
      </c>
      <c r="AB5633" t="s">
        <v>70</v>
      </c>
      <c r="AC5633" t="s">
        <v>1716</v>
      </c>
      <c r="AD5633" t="s">
        <v>1716</v>
      </c>
      <c r="AE5633" t="s">
        <v>1716</v>
      </c>
      <c r="AG5633" t="s">
        <v>34077</v>
      </c>
      <c r="AH5633" t="s">
        <v>25741</v>
      </c>
      <c r="AI5633" t="s">
        <v>34078</v>
      </c>
    </row>
    <row r="5634" spans="2:35" ht="255">
      <c r="B5634" s="1">
        <v>45303</v>
      </c>
      <c r="C5634" s="4">
        <v>45303.453472222223</v>
      </c>
      <c r="D5634" t="s">
        <v>3604</v>
      </c>
      <c r="E5634" t="s">
        <v>34079</v>
      </c>
      <c r="F5634" t="s">
        <v>148</v>
      </c>
      <c r="G5634" t="s">
        <v>2007</v>
      </c>
      <c r="H5634" t="s">
        <v>39</v>
      </c>
      <c r="I5634" t="s">
        <v>40</v>
      </c>
      <c r="J5634" s="2" t="s">
        <v>190</v>
      </c>
      <c r="K5634" t="s">
        <v>42</v>
      </c>
      <c r="L5634" t="s">
        <v>43</v>
      </c>
      <c r="N5634" t="s">
        <v>44</v>
      </c>
      <c r="Q5634">
        <v>26916</v>
      </c>
      <c r="R5634" t="s">
        <v>45</v>
      </c>
      <c r="S5634" t="s">
        <v>2312</v>
      </c>
      <c r="T5634">
        <v>24</v>
      </c>
      <c r="U5634" s="2" t="s">
        <v>34080</v>
      </c>
      <c r="W5634" t="s">
        <v>48</v>
      </c>
      <c r="X5634">
        <v>838875</v>
      </c>
      <c r="Y5634" t="s">
        <v>128</v>
      </c>
      <c r="Z5634" t="s">
        <v>122</v>
      </c>
      <c r="AA5634" s="2" t="s">
        <v>34081</v>
      </c>
      <c r="AB5634" t="s">
        <v>34082</v>
      </c>
      <c r="AG5634" t="s">
        <v>34083</v>
      </c>
      <c r="AH5634" t="s">
        <v>34084</v>
      </c>
      <c r="AI5634" t="s">
        <v>34085</v>
      </c>
    </row>
    <row r="5635" spans="2:35" ht="165">
      <c r="B5635" s="1">
        <v>45303</v>
      </c>
      <c r="C5635" s="4">
        <v>45303.440972222219</v>
      </c>
      <c r="D5635" t="s">
        <v>3604</v>
      </c>
      <c r="E5635" t="s">
        <v>34086</v>
      </c>
      <c r="F5635" t="s">
        <v>148</v>
      </c>
      <c r="G5635" t="s">
        <v>2007</v>
      </c>
      <c r="H5635" t="s">
        <v>39</v>
      </c>
      <c r="I5635" t="s">
        <v>40</v>
      </c>
      <c r="J5635" t="s">
        <v>79</v>
      </c>
      <c r="K5635" t="s">
        <v>42</v>
      </c>
      <c r="L5635" t="s">
        <v>43</v>
      </c>
      <c r="N5635" t="s">
        <v>44</v>
      </c>
      <c r="Q5635">
        <v>26915</v>
      </c>
      <c r="R5635" t="s">
        <v>119</v>
      </c>
      <c r="S5635" t="s">
        <v>2312</v>
      </c>
      <c r="T5635">
        <v>24</v>
      </c>
      <c r="U5635" s="2" t="s">
        <v>34080</v>
      </c>
      <c r="V5635" s="1">
        <v>45299</v>
      </c>
      <c r="W5635" t="s">
        <v>48</v>
      </c>
      <c r="X5635">
        <v>831875</v>
      </c>
      <c r="Y5635" t="s">
        <v>34087</v>
      </c>
      <c r="Z5635" t="s">
        <v>2350</v>
      </c>
      <c r="AA5635" s="2" t="s">
        <v>34088</v>
      </c>
      <c r="AB5635" t="s">
        <v>34089</v>
      </c>
      <c r="AD5635" s="2" t="s">
        <v>34090</v>
      </c>
      <c r="AE5635" t="s">
        <v>34091</v>
      </c>
      <c r="AG5635" t="s">
        <v>34092</v>
      </c>
      <c r="AH5635" t="s">
        <v>34084</v>
      </c>
      <c r="AI5635" t="s">
        <v>34093</v>
      </c>
    </row>
    <row r="5636" spans="2:35" ht="375">
      <c r="B5636" s="1">
        <v>45303</v>
      </c>
      <c r="C5636" s="4">
        <v>45294.468055555553</v>
      </c>
      <c r="D5636" t="s">
        <v>4379</v>
      </c>
      <c r="E5636" t="s">
        <v>28731</v>
      </c>
      <c r="F5636" t="s">
        <v>148</v>
      </c>
      <c r="G5636" t="s">
        <v>785</v>
      </c>
      <c r="H5636" t="s">
        <v>39</v>
      </c>
      <c r="I5636" t="s">
        <v>94</v>
      </c>
      <c r="J5636" s="2" t="s">
        <v>34094</v>
      </c>
      <c r="K5636" t="s">
        <v>42</v>
      </c>
      <c r="L5636" t="s">
        <v>43</v>
      </c>
      <c r="N5636" t="s">
        <v>44</v>
      </c>
      <c r="Q5636">
        <v>26914</v>
      </c>
      <c r="R5636" t="s">
        <v>322</v>
      </c>
      <c r="S5636" t="s">
        <v>4382</v>
      </c>
      <c r="T5636">
        <v>24</v>
      </c>
      <c r="U5636" s="2" t="s">
        <v>34095</v>
      </c>
      <c r="W5636" t="s">
        <v>34096</v>
      </c>
      <c r="X5636">
        <v>838627</v>
      </c>
      <c r="Y5636" t="s">
        <v>29036</v>
      </c>
      <c r="Z5636" t="s">
        <v>34097</v>
      </c>
      <c r="AA5636" s="2" t="s">
        <v>34098</v>
      </c>
      <c r="AB5636" t="s">
        <v>34099</v>
      </c>
      <c r="AG5636" t="s">
        <v>34100</v>
      </c>
      <c r="AH5636" t="s">
        <v>30285</v>
      </c>
      <c r="AI5636" t="s">
        <v>34101</v>
      </c>
    </row>
    <row r="5637" spans="2:35" ht="210">
      <c r="B5637" s="1">
        <v>45303</v>
      </c>
      <c r="C5637" s="4">
        <v>45294.415972222225</v>
      </c>
      <c r="D5637" t="s">
        <v>4379</v>
      </c>
      <c r="E5637" t="s">
        <v>28731</v>
      </c>
      <c r="F5637" t="s">
        <v>148</v>
      </c>
      <c r="G5637" t="s">
        <v>785</v>
      </c>
      <c r="H5637" t="s">
        <v>39</v>
      </c>
      <c r="I5637" t="s">
        <v>40</v>
      </c>
      <c r="J5637" s="2" t="s">
        <v>31986</v>
      </c>
      <c r="K5637" t="s">
        <v>42</v>
      </c>
      <c r="L5637" t="s">
        <v>43</v>
      </c>
      <c r="N5637" t="s">
        <v>44</v>
      </c>
      <c r="Q5637">
        <v>26913</v>
      </c>
      <c r="R5637" t="s">
        <v>45</v>
      </c>
      <c r="S5637" t="s">
        <v>4382</v>
      </c>
      <c r="T5637">
        <v>24</v>
      </c>
      <c r="W5637" t="s">
        <v>48</v>
      </c>
      <c r="X5637">
        <v>814374</v>
      </c>
      <c r="Y5637" t="s">
        <v>121</v>
      </c>
      <c r="Z5637" t="s">
        <v>122</v>
      </c>
      <c r="AA5637" s="2" t="s">
        <v>33688</v>
      </c>
      <c r="AB5637" t="s">
        <v>16412</v>
      </c>
      <c r="AG5637" t="s">
        <v>34102</v>
      </c>
      <c r="AH5637" t="s">
        <v>30285</v>
      </c>
      <c r="AI5637" t="s">
        <v>34103</v>
      </c>
    </row>
    <row r="5638" spans="2:35" ht="180">
      <c r="B5638" s="1">
        <v>45303</v>
      </c>
      <c r="C5638" s="4">
        <v>45303.404861111114</v>
      </c>
      <c r="D5638" t="s">
        <v>12747</v>
      </c>
      <c r="E5638" t="s">
        <v>16605</v>
      </c>
      <c r="F5638">
        <v>6</v>
      </c>
      <c r="G5638" t="s">
        <v>1234</v>
      </c>
      <c r="H5638" t="s">
        <v>34104</v>
      </c>
      <c r="I5638" t="s">
        <v>94</v>
      </c>
      <c r="J5638" t="s">
        <v>79</v>
      </c>
      <c r="K5638" t="s">
        <v>42</v>
      </c>
      <c r="L5638" t="s">
        <v>23958</v>
      </c>
      <c r="N5638" t="s">
        <v>23959</v>
      </c>
      <c r="O5638" t="s">
        <v>23959</v>
      </c>
      <c r="Q5638">
        <v>26912</v>
      </c>
      <c r="R5638" t="s">
        <v>119</v>
      </c>
      <c r="S5638" t="s">
        <v>20399</v>
      </c>
      <c r="T5638">
        <v>4</v>
      </c>
      <c r="U5638" s="2" t="s">
        <v>34105</v>
      </c>
      <c r="W5638" t="s">
        <v>360</v>
      </c>
      <c r="X5638">
        <v>838464</v>
      </c>
      <c r="Y5638" t="s">
        <v>34106</v>
      </c>
      <c r="Z5638" t="s">
        <v>34107</v>
      </c>
      <c r="AA5638" t="s">
        <v>34108</v>
      </c>
      <c r="AB5638" t="s">
        <v>34109</v>
      </c>
      <c r="AG5638" t="s">
        <v>34110</v>
      </c>
      <c r="AH5638" t="s">
        <v>34111</v>
      </c>
      <c r="AI5638" t="s">
        <v>34112</v>
      </c>
    </row>
    <row r="5639" spans="2:35">
      <c r="B5639" s="1">
        <v>45303</v>
      </c>
      <c r="C5639" s="4">
        <v>45303.413888888892</v>
      </c>
      <c r="D5639" t="s">
        <v>2233</v>
      </c>
      <c r="E5639" t="s">
        <v>34113</v>
      </c>
      <c r="F5639">
        <v>7</v>
      </c>
      <c r="G5639" t="s">
        <v>432</v>
      </c>
      <c r="H5639" t="s">
        <v>39</v>
      </c>
      <c r="I5639" t="s">
        <v>94</v>
      </c>
      <c r="J5639" t="s">
        <v>321</v>
      </c>
      <c r="K5639" t="s">
        <v>42</v>
      </c>
      <c r="L5639" t="s">
        <v>594</v>
      </c>
      <c r="N5639" t="s">
        <v>595</v>
      </c>
      <c r="Q5639">
        <v>26911</v>
      </c>
      <c r="R5639" t="s">
        <v>119</v>
      </c>
      <c r="S5639" t="s">
        <v>2235</v>
      </c>
      <c r="T5639">
        <v>23</v>
      </c>
      <c r="V5639" s="1">
        <v>45303</v>
      </c>
      <c r="W5639" t="s">
        <v>502</v>
      </c>
      <c r="X5639">
        <v>838564</v>
      </c>
      <c r="Y5639" t="s">
        <v>34114</v>
      </c>
      <c r="Z5639" t="s">
        <v>20217</v>
      </c>
      <c r="AA5639" t="s">
        <v>34115</v>
      </c>
      <c r="AB5639" t="s">
        <v>13650</v>
      </c>
      <c r="AG5639" t="s">
        <v>34116</v>
      </c>
      <c r="AH5639" t="s">
        <v>34117</v>
      </c>
      <c r="AI5639" t="s">
        <v>34118</v>
      </c>
    </row>
    <row r="5640" spans="2:35" ht="405">
      <c r="B5640" s="1">
        <v>45303</v>
      </c>
      <c r="C5640" s="4">
        <v>45303.383333333331</v>
      </c>
      <c r="D5640" t="s">
        <v>1652</v>
      </c>
      <c r="E5640" t="s">
        <v>1653</v>
      </c>
      <c r="F5640">
        <v>8</v>
      </c>
      <c r="G5640" t="s">
        <v>342</v>
      </c>
      <c r="H5640" t="s">
        <v>39</v>
      </c>
      <c r="I5640" t="s">
        <v>94</v>
      </c>
      <c r="J5640" s="2" t="s">
        <v>1592</v>
      </c>
      <c r="K5640" t="s">
        <v>42</v>
      </c>
      <c r="L5640" t="s">
        <v>343</v>
      </c>
      <c r="N5640" t="s">
        <v>344</v>
      </c>
      <c r="Q5640">
        <v>26910</v>
      </c>
      <c r="R5640" t="s">
        <v>45</v>
      </c>
      <c r="S5640" t="s">
        <v>1654</v>
      </c>
      <c r="T5640">
        <v>27</v>
      </c>
      <c r="U5640" s="2" t="s">
        <v>34119</v>
      </c>
      <c r="W5640" t="s">
        <v>84</v>
      </c>
      <c r="X5640">
        <v>804253</v>
      </c>
      <c r="Y5640" t="s">
        <v>34120</v>
      </c>
      <c r="Z5640" t="e">
        <f ca="1">-Remove stuck cartridge FROM module B3</f>
        <v>#NAME?</v>
      </c>
      <c r="AA5640" t="e">
        <f ca="1">-Preventive Maintenance
-Troubleshoot _xludf.error</f>
        <v>#NAME?</v>
      </c>
      <c r="AB5640" t="s">
        <v>34121</v>
      </c>
      <c r="AC5640" t="s">
        <v>34122</v>
      </c>
      <c r="AG5640" t="s">
        <v>34123</v>
      </c>
      <c r="AH5640" t="s">
        <v>1659</v>
      </c>
      <c r="AI5640" t="s">
        <v>34124</v>
      </c>
    </row>
    <row r="5641" spans="2:35" ht="405">
      <c r="B5641" s="1">
        <v>45303</v>
      </c>
      <c r="C5641" s="4">
        <v>45302.458333333336</v>
      </c>
      <c r="D5641" t="s">
        <v>4413</v>
      </c>
      <c r="E5641" t="s">
        <v>4414</v>
      </c>
      <c r="F5641">
        <v>12</v>
      </c>
      <c r="G5641" t="s">
        <v>978</v>
      </c>
      <c r="H5641" t="s">
        <v>1473</v>
      </c>
      <c r="I5641" t="s">
        <v>40</v>
      </c>
      <c r="J5641" s="2" t="s">
        <v>30202</v>
      </c>
      <c r="K5641" t="s">
        <v>42</v>
      </c>
      <c r="L5641" t="s">
        <v>296</v>
      </c>
      <c r="N5641" t="s">
        <v>297</v>
      </c>
      <c r="Q5641">
        <v>26909</v>
      </c>
      <c r="R5641" t="s">
        <v>119</v>
      </c>
      <c r="S5641" t="s">
        <v>4415</v>
      </c>
      <c r="T5641">
        <v>26.3</v>
      </c>
      <c r="U5641" s="2" t="s">
        <v>16551</v>
      </c>
      <c r="V5641" s="1">
        <v>45302</v>
      </c>
      <c r="W5641" t="s">
        <v>23049</v>
      </c>
      <c r="X5641">
        <v>838544</v>
      </c>
      <c r="Y5641" t="s">
        <v>11013</v>
      </c>
      <c r="Z5641" s="2" t="s">
        <v>34125</v>
      </c>
      <c r="AA5641" s="2" t="s">
        <v>34126</v>
      </c>
      <c r="AB5641" t="s">
        <v>972</v>
      </c>
      <c r="AD5641" t="s">
        <v>34127</v>
      </c>
      <c r="AE5641" t="s">
        <v>34128</v>
      </c>
      <c r="AG5641" t="s">
        <v>34129</v>
      </c>
      <c r="AH5641" t="s">
        <v>34130</v>
      </c>
      <c r="AI5641" t="s">
        <v>34131</v>
      </c>
    </row>
    <row r="5642" spans="2:35" ht="405">
      <c r="B5642" s="1">
        <v>45302</v>
      </c>
      <c r="C5642" s="4">
        <v>45302.709027777775</v>
      </c>
      <c r="D5642" t="s">
        <v>10967</v>
      </c>
      <c r="E5642" t="s">
        <v>14481</v>
      </c>
      <c r="F5642">
        <v>7</v>
      </c>
      <c r="G5642" t="s">
        <v>432</v>
      </c>
      <c r="H5642" t="s">
        <v>10969</v>
      </c>
      <c r="I5642" t="s">
        <v>40</v>
      </c>
      <c r="J5642" s="2" t="s">
        <v>41</v>
      </c>
      <c r="K5642" t="s">
        <v>42</v>
      </c>
      <c r="L5642" t="s">
        <v>1288</v>
      </c>
      <c r="N5642" t="s">
        <v>1289</v>
      </c>
      <c r="Q5642">
        <v>26908</v>
      </c>
      <c r="R5642" t="s">
        <v>119</v>
      </c>
      <c r="S5642" t="s">
        <v>33292</v>
      </c>
      <c r="T5642">
        <v>27</v>
      </c>
      <c r="U5642" s="2" t="s">
        <v>34132</v>
      </c>
      <c r="V5642" s="1">
        <v>45274</v>
      </c>
      <c r="W5642" t="s">
        <v>1292</v>
      </c>
      <c r="X5642">
        <v>838510</v>
      </c>
      <c r="Y5642" t="e">
        <f ca="1">-_xludf.For module C1 _xludf.and C4 Replacement
-Preventive Maintenance</f>
        <v>#NAME?</v>
      </c>
      <c r="Z5642" t="e">
        <f ca="1">-COLLECT IQR,system _xludf.Log, _xludf.and ARCHIVE</f>
        <v>#NAME?</v>
      </c>
      <c r="AA5642" s="2" t="s">
        <v>34133</v>
      </c>
      <c r="AB5642" t="e">
        <f ca="1">-EQUIPMENT is operational</f>
        <v>#NAME?</v>
      </c>
      <c r="AD5642" t="s">
        <v>24776</v>
      </c>
      <c r="AE5642" s="3">
        <v>1094810949</v>
      </c>
      <c r="AG5642" t="s">
        <v>34134</v>
      </c>
      <c r="AH5642" t="s">
        <v>507</v>
      </c>
      <c r="AI5642" t="s">
        <v>34135</v>
      </c>
    </row>
    <row r="5643" spans="2:35" ht="405">
      <c r="B5643" s="1">
        <v>45302</v>
      </c>
      <c r="C5643" s="4">
        <v>45302.699305555558</v>
      </c>
      <c r="D5643" t="s">
        <v>10967</v>
      </c>
      <c r="E5643" t="s">
        <v>14481</v>
      </c>
      <c r="F5643">
        <v>7</v>
      </c>
      <c r="G5643" t="s">
        <v>432</v>
      </c>
      <c r="H5643" t="s">
        <v>10969</v>
      </c>
      <c r="I5643" t="s">
        <v>40</v>
      </c>
      <c r="J5643" s="2" t="s">
        <v>41</v>
      </c>
      <c r="K5643" t="s">
        <v>42</v>
      </c>
      <c r="L5643" t="s">
        <v>1288</v>
      </c>
      <c r="N5643" t="s">
        <v>1289</v>
      </c>
      <c r="Q5643">
        <v>26907</v>
      </c>
      <c r="R5643" t="s">
        <v>119</v>
      </c>
      <c r="S5643" t="s">
        <v>33292</v>
      </c>
      <c r="T5643">
        <v>26</v>
      </c>
      <c r="U5643" s="2" t="s">
        <v>34132</v>
      </c>
      <c r="V5643" s="1">
        <v>45274</v>
      </c>
      <c r="W5643" t="s">
        <v>1292</v>
      </c>
      <c r="X5643">
        <v>838508</v>
      </c>
      <c r="Y5643" t="e">
        <f ca="1">-_xludf.For module B2 _xludf.and B4 Replacement
-Preventive Maintenance</f>
        <v>#NAME?</v>
      </c>
      <c r="Z5643" t="e">
        <f ca="1">-COLLECT IQR, system _xludf.Log, _xludf.and ARCHIVE</f>
        <v>#NAME?</v>
      </c>
      <c r="AA5643" s="2" t="s">
        <v>34136</v>
      </c>
      <c r="AB5643" t="s">
        <v>1293</v>
      </c>
      <c r="AC5643" t="s">
        <v>34137</v>
      </c>
      <c r="AD5643" t="s">
        <v>24776</v>
      </c>
      <c r="AE5643" s="3">
        <v>1093510944</v>
      </c>
      <c r="AG5643" t="s">
        <v>34138</v>
      </c>
      <c r="AH5643" t="s">
        <v>507</v>
      </c>
      <c r="AI5643" t="s">
        <v>34139</v>
      </c>
    </row>
    <row r="5644" spans="2:35" ht="315">
      <c r="B5644" s="1">
        <v>45302</v>
      </c>
      <c r="C5644" s="4">
        <v>45301.708333333336</v>
      </c>
      <c r="D5644" t="s">
        <v>1203</v>
      </c>
      <c r="E5644" t="s">
        <v>2547</v>
      </c>
      <c r="F5644">
        <v>11</v>
      </c>
      <c r="G5644" t="s">
        <v>1205</v>
      </c>
      <c r="H5644" t="s">
        <v>1317</v>
      </c>
      <c r="I5644" t="s">
        <v>40</v>
      </c>
      <c r="J5644" s="2" t="s">
        <v>190</v>
      </c>
      <c r="K5644" t="s">
        <v>42</v>
      </c>
      <c r="L5644" t="s">
        <v>204</v>
      </c>
      <c r="N5644" t="s">
        <v>205</v>
      </c>
      <c r="Q5644">
        <v>26906</v>
      </c>
      <c r="R5644" t="s">
        <v>322</v>
      </c>
      <c r="S5644" t="s">
        <v>1206</v>
      </c>
      <c r="T5644">
        <v>22.5</v>
      </c>
      <c r="U5644" s="2" t="s">
        <v>34140</v>
      </c>
      <c r="W5644" t="s">
        <v>23237</v>
      </c>
      <c r="X5644">
        <v>839152</v>
      </c>
      <c r="Y5644" t="s">
        <v>34141</v>
      </c>
      <c r="Z5644" s="2" t="s">
        <v>34142</v>
      </c>
      <c r="AA5644" t="s">
        <v>2924</v>
      </c>
      <c r="AB5644" t="s">
        <v>34143</v>
      </c>
      <c r="AC5644" t="s">
        <v>34144</v>
      </c>
      <c r="AG5644" t="s">
        <v>34145</v>
      </c>
      <c r="AH5644" t="s">
        <v>34146</v>
      </c>
      <c r="AI5644" t="s">
        <v>34147</v>
      </c>
    </row>
    <row r="5645" spans="2:35" ht="135">
      <c r="B5645" s="1">
        <v>45302</v>
      </c>
      <c r="C5645" s="4">
        <v>45302.665972222225</v>
      </c>
      <c r="D5645" t="s">
        <v>26013</v>
      </c>
      <c r="E5645" t="s">
        <v>34148</v>
      </c>
      <c r="F5645">
        <v>13</v>
      </c>
      <c r="G5645" t="s">
        <v>4484</v>
      </c>
      <c r="H5645" t="s">
        <v>2125</v>
      </c>
      <c r="I5645" t="s">
        <v>40</v>
      </c>
      <c r="J5645" s="2" t="s">
        <v>190</v>
      </c>
      <c r="K5645" t="s">
        <v>42</v>
      </c>
      <c r="L5645" t="s">
        <v>933</v>
      </c>
      <c r="N5645" t="s">
        <v>934</v>
      </c>
      <c r="Q5645">
        <v>26905</v>
      </c>
      <c r="R5645" t="s">
        <v>45</v>
      </c>
      <c r="S5645" t="s">
        <v>26014</v>
      </c>
      <c r="T5645">
        <v>28</v>
      </c>
      <c r="U5645" s="2" t="s">
        <v>34149</v>
      </c>
      <c r="W5645" t="s">
        <v>3662</v>
      </c>
      <c r="X5645">
        <v>807461</v>
      </c>
      <c r="Y5645" s="2" t="s">
        <v>34150</v>
      </c>
      <c r="Z5645" t="s">
        <v>301</v>
      </c>
      <c r="AA5645" t="s">
        <v>34151</v>
      </c>
      <c r="AB5645" t="s">
        <v>34152</v>
      </c>
      <c r="AG5645" t="s">
        <v>34153</v>
      </c>
      <c r="AH5645" t="s">
        <v>31336</v>
      </c>
      <c r="AI5645" t="s">
        <v>34154</v>
      </c>
    </row>
    <row r="5646" spans="2:35" ht="300">
      <c r="B5646" s="1">
        <v>45302</v>
      </c>
      <c r="C5646" s="4">
        <v>45302.659722222219</v>
      </c>
      <c r="D5646" t="s">
        <v>340</v>
      </c>
      <c r="E5646" t="s">
        <v>341</v>
      </c>
      <c r="F5646">
        <v>8</v>
      </c>
      <c r="G5646" t="s">
        <v>342</v>
      </c>
      <c r="H5646" t="s">
        <v>1498</v>
      </c>
      <c r="I5646" t="s">
        <v>40</v>
      </c>
      <c r="J5646" s="2" t="s">
        <v>41</v>
      </c>
      <c r="K5646" t="s">
        <v>42</v>
      </c>
      <c r="L5646" t="s">
        <v>343</v>
      </c>
      <c r="N5646" t="s">
        <v>344</v>
      </c>
      <c r="Q5646">
        <v>26904</v>
      </c>
      <c r="R5646" t="s">
        <v>119</v>
      </c>
      <c r="S5646" t="s">
        <v>345</v>
      </c>
      <c r="T5646">
        <v>20</v>
      </c>
      <c r="U5646" s="2" t="s">
        <v>34155</v>
      </c>
      <c r="V5646" s="1">
        <v>45274</v>
      </c>
      <c r="W5646" t="s">
        <v>84</v>
      </c>
      <c r="X5646">
        <v>838555</v>
      </c>
      <c r="Y5646" t="s">
        <v>34156</v>
      </c>
      <c r="Z5646" s="2" t="s">
        <v>34157</v>
      </c>
      <c r="AA5646" t="e">
        <f ca="1">-module Replacement
-Preventive Maintenance</f>
        <v>#NAME?</v>
      </c>
      <c r="AB5646" t="s">
        <v>34158</v>
      </c>
      <c r="AD5646" t="s">
        <v>34159</v>
      </c>
      <c r="AE5646" t="s">
        <v>34160</v>
      </c>
      <c r="AG5646" t="s">
        <v>34161</v>
      </c>
      <c r="AH5646" t="s">
        <v>20975</v>
      </c>
      <c r="AI5646" t="s">
        <v>34162</v>
      </c>
    </row>
    <row r="5647" spans="2:35" ht="225">
      <c r="B5647" s="1">
        <v>45302</v>
      </c>
      <c r="C5647" s="4">
        <v>45302.603472222225</v>
      </c>
      <c r="D5647" t="s">
        <v>1203</v>
      </c>
      <c r="E5647" t="s">
        <v>2547</v>
      </c>
      <c r="F5647">
        <v>11</v>
      </c>
      <c r="G5647" t="s">
        <v>1205</v>
      </c>
      <c r="H5647" t="s">
        <v>202</v>
      </c>
      <c r="I5647" t="s">
        <v>94</v>
      </c>
      <c r="J5647" s="2" t="s">
        <v>190</v>
      </c>
      <c r="K5647" t="s">
        <v>42</v>
      </c>
      <c r="L5647" t="s">
        <v>204</v>
      </c>
      <c r="N5647" t="s">
        <v>205</v>
      </c>
      <c r="Q5647">
        <v>26903</v>
      </c>
      <c r="R5647" t="s">
        <v>45</v>
      </c>
      <c r="S5647" t="s">
        <v>1206</v>
      </c>
      <c r="T5647">
        <v>29.5</v>
      </c>
      <c r="U5647" s="2" t="s">
        <v>34163</v>
      </c>
      <c r="W5647" t="s">
        <v>23237</v>
      </c>
      <c r="X5647">
        <v>808298</v>
      </c>
      <c r="Y5647" t="s">
        <v>34164</v>
      </c>
      <c r="Z5647" s="2" t="s">
        <v>12517</v>
      </c>
      <c r="AA5647" t="s">
        <v>34165</v>
      </c>
      <c r="AB5647" t="s">
        <v>34166</v>
      </c>
      <c r="AC5647" t="s">
        <v>34167</v>
      </c>
      <c r="AG5647" t="s">
        <v>34168</v>
      </c>
      <c r="AH5647" t="s">
        <v>34169</v>
      </c>
      <c r="AI5647" t="s">
        <v>34170</v>
      </c>
    </row>
    <row r="5648" spans="2:35" ht="105">
      <c r="B5648" s="1">
        <v>45302</v>
      </c>
      <c r="C5648" s="4">
        <v>45302.643055555556</v>
      </c>
      <c r="D5648" t="s">
        <v>7881</v>
      </c>
      <c r="E5648" t="s">
        <v>8756</v>
      </c>
      <c r="F5648">
        <v>7</v>
      </c>
      <c r="G5648" t="s">
        <v>432</v>
      </c>
      <c r="H5648" t="s">
        <v>608</v>
      </c>
      <c r="I5648" t="s">
        <v>40</v>
      </c>
      <c r="J5648" t="s">
        <v>79</v>
      </c>
      <c r="K5648" t="s">
        <v>42</v>
      </c>
      <c r="L5648" t="s">
        <v>610</v>
      </c>
      <c r="N5648" t="s">
        <v>611</v>
      </c>
      <c r="Q5648">
        <v>26902</v>
      </c>
      <c r="R5648" t="s">
        <v>119</v>
      </c>
      <c r="S5648" t="s">
        <v>13419</v>
      </c>
      <c r="T5648">
        <v>27</v>
      </c>
      <c r="U5648" s="2" t="s">
        <v>2420</v>
      </c>
      <c r="W5648" t="s">
        <v>360</v>
      </c>
      <c r="X5648">
        <v>838512</v>
      </c>
      <c r="Y5648" t="s">
        <v>34171</v>
      </c>
      <c r="Z5648" t="s">
        <v>34172</v>
      </c>
      <c r="AA5648" t="s">
        <v>34173</v>
      </c>
      <c r="AB5648" t="s">
        <v>34174</v>
      </c>
      <c r="AG5648" t="s">
        <v>34175</v>
      </c>
      <c r="AH5648" t="s">
        <v>31810</v>
      </c>
      <c r="AI5648" t="s">
        <v>34176</v>
      </c>
    </row>
    <row r="5649" spans="2:35" ht="105">
      <c r="B5649" s="1">
        <v>45302</v>
      </c>
      <c r="C5649" s="4">
        <v>45302.640277777777</v>
      </c>
      <c r="D5649" t="s">
        <v>16304</v>
      </c>
      <c r="E5649" t="s">
        <v>34177</v>
      </c>
      <c r="F5649">
        <v>7</v>
      </c>
      <c r="G5649" t="s">
        <v>432</v>
      </c>
      <c r="H5649" t="s">
        <v>608</v>
      </c>
      <c r="I5649" t="s">
        <v>40</v>
      </c>
      <c r="J5649" t="s">
        <v>79</v>
      </c>
      <c r="K5649" t="s">
        <v>42</v>
      </c>
      <c r="L5649" t="s">
        <v>610</v>
      </c>
      <c r="N5649" t="s">
        <v>611</v>
      </c>
      <c r="O5649" t="s">
        <v>16307</v>
      </c>
      <c r="Q5649">
        <v>26901</v>
      </c>
      <c r="R5649" t="s">
        <v>119</v>
      </c>
      <c r="S5649" t="s">
        <v>16307</v>
      </c>
      <c r="T5649">
        <v>27</v>
      </c>
      <c r="U5649" s="2" t="s">
        <v>34178</v>
      </c>
      <c r="W5649" t="s">
        <v>360</v>
      </c>
      <c r="X5649">
        <v>837661</v>
      </c>
      <c r="Y5649" t="s">
        <v>34179</v>
      </c>
      <c r="Z5649" t="s">
        <v>34180</v>
      </c>
      <c r="AA5649" t="s">
        <v>34181</v>
      </c>
      <c r="AB5649" t="s">
        <v>1263</v>
      </c>
      <c r="AG5649" t="s">
        <v>34182</v>
      </c>
      <c r="AH5649" t="s">
        <v>16310</v>
      </c>
      <c r="AI5649" t="s">
        <v>34183</v>
      </c>
    </row>
    <row r="5650" spans="2:35" ht="105">
      <c r="B5650" s="1">
        <v>45302</v>
      </c>
      <c r="C5650" s="4">
        <v>45302.621527777781</v>
      </c>
      <c r="D5650" t="s">
        <v>34184</v>
      </c>
      <c r="E5650" t="s">
        <v>34185</v>
      </c>
      <c r="F5650" t="s">
        <v>148</v>
      </c>
      <c r="G5650" t="s">
        <v>421</v>
      </c>
      <c r="H5650" t="s">
        <v>39</v>
      </c>
      <c r="I5650" t="s">
        <v>40</v>
      </c>
      <c r="J5650" s="2" t="s">
        <v>30202</v>
      </c>
      <c r="K5650" t="s">
        <v>42</v>
      </c>
      <c r="L5650" t="s">
        <v>175</v>
      </c>
      <c r="N5650" t="s">
        <v>176</v>
      </c>
      <c r="Q5650">
        <v>26900</v>
      </c>
      <c r="R5650" t="s">
        <v>119</v>
      </c>
      <c r="S5650" t="s">
        <v>34186</v>
      </c>
      <c r="T5650">
        <v>25</v>
      </c>
      <c r="U5650" s="2" t="s">
        <v>34187</v>
      </c>
      <c r="V5650" s="1">
        <v>45299</v>
      </c>
      <c r="W5650" t="s">
        <v>84</v>
      </c>
      <c r="X5650">
        <v>831914</v>
      </c>
      <c r="Y5650" t="s">
        <v>424</v>
      </c>
      <c r="Z5650" t="e">
        <f ca="1">- replaced module B3
- checked _xludf.and cleaned cartridge bay, plunger rod, _xludf.filter
- generated reports</f>
        <v>#NAME?</v>
      </c>
      <c r="AA5650" t="s">
        <v>33640</v>
      </c>
      <c r="AB5650" t="s">
        <v>181</v>
      </c>
      <c r="AD5650" s="2" t="s">
        <v>34188</v>
      </c>
      <c r="AE5650">
        <v>11071</v>
      </c>
      <c r="AG5650" t="s">
        <v>34189</v>
      </c>
      <c r="AH5650" t="s">
        <v>27786</v>
      </c>
      <c r="AI5650" t="s">
        <v>34190</v>
      </c>
    </row>
    <row r="5651" spans="2:35" ht="105">
      <c r="B5651" s="1">
        <v>45302</v>
      </c>
      <c r="C5651" s="4">
        <v>45302.609027777777</v>
      </c>
      <c r="D5651" t="s">
        <v>8123</v>
      </c>
      <c r="E5651" t="s">
        <v>34148</v>
      </c>
      <c r="F5651">
        <v>13</v>
      </c>
      <c r="G5651" t="s">
        <v>4484</v>
      </c>
      <c r="H5651" t="s">
        <v>2125</v>
      </c>
      <c r="I5651" t="s">
        <v>40</v>
      </c>
      <c r="J5651" s="2" t="s">
        <v>41</v>
      </c>
      <c r="K5651" t="s">
        <v>42</v>
      </c>
      <c r="L5651" t="s">
        <v>933</v>
      </c>
      <c r="N5651" t="s">
        <v>934</v>
      </c>
      <c r="Q5651">
        <v>26899</v>
      </c>
      <c r="R5651" t="s">
        <v>119</v>
      </c>
      <c r="S5651" t="s">
        <v>8125</v>
      </c>
      <c r="T5651">
        <v>29</v>
      </c>
      <c r="U5651" s="2" t="s">
        <v>1694</v>
      </c>
      <c r="V5651" s="1">
        <v>45274</v>
      </c>
      <c r="W5651" t="s">
        <v>3662</v>
      </c>
      <c r="X5651">
        <v>838554</v>
      </c>
      <c r="Y5651" t="s">
        <v>34191</v>
      </c>
      <c r="Z5651" t="s">
        <v>301</v>
      </c>
      <c r="AA5651" t="s">
        <v>34192</v>
      </c>
      <c r="AB5651" t="s">
        <v>2131</v>
      </c>
      <c r="AD5651" t="s">
        <v>34193</v>
      </c>
      <c r="AE5651">
        <v>10934</v>
      </c>
      <c r="AG5651" t="s">
        <v>34194</v>
      </c>
      <c r="AH5651" t="s">
        <v>8129</v>
      </c>
      <c r="AI5651" t="s">
        <v>34195</v>
      </c>
    </row>
    <row r="5652" spans="2:35" ht="105">
      <c r="B5652" s="1">
        <v>45302</v>
      </c>
      <c r="C5652" s="4">
        <v>45302.573611111111</v>
      </c>
      <c r="D5652" t="s">
        <v>11880</v>
      </c>
      <c r="E5652" t="s">
        <v>11881</v>
      </c>
      <c r="F5652">
        <v>6</v>
      </c>
      <c r="G5652" t="s">
        <v>1234</v>
      </c>
      <c r="H5652" t="s">
        <v>39</v>
      </c>
      <c r="I5652" t="s">
        <v>94</v>
      </c>
      <c r="J5652" s="2" t="s">
        <v>41</v>
      </c>
      <c r="K5652" t="s">
        <v>42</v>
      </c>
      <c r="L5652" t="s">
        <v>270</v>
      </c>
      <c r="N5652" t="s">
        <v>2481</v>
      </c>
      <c r="Q5652">
        <v>26898</v>
      </c>
      <c r="R5652" t="s">
        <v>119</v>
      </c>
      <c r="S5652" t="s">
        <v>19545</v>
      </c>
      <c r="T5652">
        <v>26</v>
      </c>
      <c r="U5652" s="2" t="s">
        <v>34196</v>
      </c>
      <c r="W5652" t="s">
        <v>360</v>
      </c>
      <c r="X5652">
        <v>838477</v>
      </c>
      <c r="Y5652" t="s">
        <v>34197</v>
      </c>
      <c r="Z5652" t="e">
        <f ca="1">- cleaned filer, optic slots, module bay AREA, plunger rod.</f>
        <v>#NAME?</v>
      </c>
      <c r="AA5652" t="s">
        <v>34198</v>
      </c>
      <c r="AB5652" t="s">
        <v>3527</v>
      </c>
      <c r="AG5652" t="s">
        <v>34199</v>
      </c>
      <c r="AH5652" t="s">
        <v>34200</v>
      </c>
      <c r="AI5652" t="s">
        <v>34201</v>
      </c>
    </row>
    <row r="5653" spans="2:35" ht="315">
      <c r="B5653" s="1">
        <v>45302</v>
      </c>
      <c r="C5653" s="4">
        <v>45302.560416666667</v>
      </c>
      <c r="D5653" t="s">
        <v>34202</v>
      </c>
      <c r="E5653" t="s">
        <v>32523</v>
      </c>
      <c r="F5653">
        <v>2</v>
      </c>
      <c r="G5653" t="s">
        <v>2723</v>
      </c>
      <c r="H5653" t="s">
        <v>39</v>
      </c>
      <c r="I5653" t="s">
        <v>40</v>
      </c>
      <c r="J5653" s="2" t="s">
        <v>62</v>
      </c>
      <c r="K5653" t="s">
        <v>42</v>
      </c>
      <c r="L5653" t="s">
        <v>63</v>
      </c>
      <c r="N5653" t="s">
        <v>64</v>
      </c>
      <c r="Q5653">
        <v>26897</v>
      </c>
      <c r="R5653" t="s">
        <v>45</v>
      </c>
      <c r="S5653" t="s">
        <v>32524</v>
      </c>
      <c r="T5653">
        <v>22</v>
      </c>
      <c r="U5653" s="2" t="s">
        <v>12333</v>
      </c>
      <c r="V5653" s="1">
        <v>45302</v>
      </c>
      <c r="W5653" t="s">
        <v>29259</v>
      </c>
      <c r="X5653">
        <v>835091</v>
      </c>
      <c r="Y5653" t="s">
        <v>34203</v>
      </c>
      <c r="Z5653" t="s">
        <v>34204</v>
      </c>
      <c r="AA5653" s="2" t="s">
        <v>34205</v>
      </c>
      <c r="AB5653" t="s">
        <v>70</v>
      </c>
      <c r="AC5653" t="s">
        <v>34206</v>
      </c>
      <c r="AD5653" t="s">
        <v>31742</v>
      </c>
      <c r="AE5653" t="s">
        <v>1716</v>
      </c>
      <c r="AG5653" t="s">
        <v>34207</v>
      </c>
      <c r="AH5653" t="s">
        <v>32527</v>
      </c>
      <c r="AI5653" t="s">
        <v>34208</v>
      </c>
    </row>
    <row r="5654" spans="2:35" ht="105">
      <c r="B5654" s="1">
        <v>45302</v>
      </c>
      <c r="C5654" s="4">
        <v>45302.536805555559</v>
      </c>
      <c r="D5654" t="s">
        <v>34209</v>
      </c>
      <c r="E5654" t="s">
        <v>34210</v>
      </c>
      <c r="F5654">
        <v>9</v>
      </c>
      <c r="G5654" t="s">
        <v>2197</v>
      </c>
      <c r="H5654" t="s">
        <v>39</v>
      </c>
      <c r="I5654" t="s">
        <v>94</v>
      </c>
      <c r="J5654" s="2" t="s">
        <v>17375</v>
      </c>
      <c r="K5654" t="s">
        <v>42</v>
      </c>
      <c r="L5654" t="s">
        <v>1257</v>
      </c>
      <c r="N5654" t="s">
        <v>2199</v>
      </c>
      <c r="Q5654">
        <v>26896</v>
      </c>
      <c r="R5654" t="s">
        <v>45</v>
      </c>
      <c r="S5654" t="s">
        <v>34211</v>
      </c>
      <c r="T5654">
        <v>28</v>
      </c>
      <c r="U5654" s="2" t="s">
        <v>34212</v>
      </c>
      <c r="V5654" s="1">
        <v>45302</v>
      </c>
      <c r="W5654" t="s">
        <v>2384</v>
      </c>
      <c r="X5654">
        <v>834435</v>
      </c>
      <c r="Y5654" t="s">
        <v>31865</v>
      </c>
      <c r="Z5654" t="s">
        <v>34213</v>
      </c>
      <c r="AA5654" t="s">
        <v>22443</v>
      </c>
      <c r="AB5654" t="s">
        <v>7411</v>
      </c>
      <c r="AC5654" t="s">
        <v>301</v>
      </c>
      <c r="AD5654" t="s">
        <v>54</v>
      </c>
      <c r="AE5654" t="s">
        <v>54</v>
      </c>
      <c r="AG5654" t="s">
        <v>34214</v>
      </c>
      <c r="AH5654" t="s">
        <v>34215</v>
      </c>
      <c r="AI5654" t="s">
        <v>34216</v>
      </c>
    </row>
    <row r="5655" spans="2:35" ht="105">
      <c r="B5655" s="1">
        <v>45302</v>
      </c>
      <c r="C5655" s="4">
        <v>45302.5</v>
      </c>
      <c r="D5655" t="s">
        <v>34217</v>
      </c>
      <c r="E5655" t="s">
        <v>29506</v>
      </c>
      <c r="F5655">
        <v>6</v>
      </c>
      <c r="G5655" t="s">
        <v>1234</v>
      </c>
      <c r="H5655" t="s">
        <v>1047</v>
      </c>
      <c r="I5655" t="s">
        <v>94</v>
      </c>
      <c r="J5655" t="s">
        <v>79</v>
      </c>
      <c r="K5655" t="s">
        <v>42</v>
      </c>
      <c r="L5655" t="s">
        <v>23958</v>
      </c>
      <c r="N5655" t="s">
        <v>23959</v>
      </c>
      <c r="O5655" t="s">
        <v>23959</v>
      </c>
      <c r="Q5655">
        <v>26895</v>
      </c>
      <c r="R5655" t="s">
        <v>119</v>
      </c>
      <c r="S5655" t="s">
        <v>3914</v>
      </c>
      <c r="T5655">
        <v>4</v>
      </c>
      <c r="U5655" s="2" t="s">
        <v>34218</v>
      </c>
      <c r="W5655" t="s">
        <v>360</v>
      </c>
      <c r="X5655">
        <v>838499</v>
      </c>
      <c r="Y5655" t="s">
        <v>34219</v>
      </c>
      <c r="Z5655" t="s">
        <v>34107</v>
      </c>
      <c r="AA5655" t="s">
        <v>34220</v>
      </c>
      <c r="AB5655" t="s">
        <v>34221</v>
      </c>
      <c r="AG5655" t="s">
        <v>34222</v>
      </c>
      <c r="AH5655" t="s">
        <v>34223</v>
      </c>
      <c r="AI5655" t="s">
        <v>34224</v>
      </c>
    </row>
    <row r="5656" spans="2:35" ht="375">
      <c r="B5656" s="1">
        <v>45302</v>
      </c>
      <c r="C5656" s="4">
        <v>45302.532638888886</v>
      </c>
      <c r="D5656" t="s">
        <v>8654</v>
      </c>
      <c r="E5656" t="s">
        <v>8655</v>
      </c>
      <c r="F5656">
        <v>8</v>
      </c>
      <c r="G5656" t="s">
        <v>257</v>
      </c>
      <c r="H5656" t="s">
        <v>202</v>
      </c>
      <c r="I5656" t="s">
        <v>40</v>
      </c>
      <c r="J5656" s="2" t="s">
        <v>41</v>
      </c>
      <c r="K5656" t="s">
        <v>42</v>
      </c>
      <c r="L5656" t="s">
        <v>259</v>
      </c>
      <c r="N5656" t="s">
        <v>260</v>
      </c>
      <c r="O5656" t="s">
        <v>260</v>
      </c>
      <c r="Q5656">
        <v>26894</v>
      </c>
      <c r="R5656" t="s">
        <v>119</v>
      </c>
      <c r="S5656" t="s">
        <v>8656</v>
      </c>
      <c r="T5656">
        <v>27</v>
      </c>
      <c r="U5656" s="2" t="s">
        <v>16769</v>
      </c>
      <c r="V5656" s="1">
        <v>45302</v>
      </c>
      <c r="W5656" t="s">
        <v>84</v>
      </c>
      <c r="X5656">
        <v>838409</v>
      </c>
      <c r="Y5656" t="s">
        <v>34225</v>
      </c>
      <c r="Z5656" t="e">
        <f ca="1">- module Replacement
- PM</f>
        <v>#NAME?</v>
      </c>
      <c r="AA5656" s="2" t="s">
        <v>34226</v>
      </c>
      <c r="AB5656" t="s">
        <v>70</v>
      </c>
      <c r="AD5656" t="s">
        <v>34227</v>
      </c>
      <c r="AE5656" t="s">
        <v>119</v>
      </c>
      <c r="AG5656" t="s">
        <v>34228</v>
      </c>
      <c r="AH5656" t="s">
        <v>30851</v>
      </c>
      <c r="AI5656" t="s">
        <v>34229</v>
      </c>
    </row>
    <row r="5657" spans="2:35" ht="105">
      <c r="B5657" s="1">
        <v>45302</v>
      </c>
      <c r="C5657" s="4">
        <v>45302.469444444447</v>
      </c>
      <c r="D5657" t="s">
        <v>27228</v>
      </c>
      <c r="E5657" t="s">
        <v>26059</v>
      </c>
      <c r="F5657" t="s">
        <v>148</v>
      </c>
      <c r="G5657" t="s">
        <v>174</v>
      </c>
      <c r="H5657" t="s">
        <v>39</v>
      </c>
      <c r="I5657" t="s">
        <v>40</v>
      </c>
      <c r="J5657" s="2" t="s">
        <v>760</v>
      </c>
      <c r="K5657" t="s">
        <v>42</v>
      </c>
      <c r="L5657" t="s">
        <v>175</v>
      </c>
      <c r="N5657" t="s">
        <v>176</v>
      </c>
      <c r="Q5657">
        <v>26893</v>
      </c>
      <c r="R5657" t="s">
        <v>119</v>
      </c>
      <c r="S5657" t="s">
        <v>27229</v>
      </c>
      <c r="T5657">
        <v>25</v>
      </c>
      <c r="U5657" s="2" t="s">
        <v>30204</v>
      </c>
      <c r="V5657" s="1">
        <v>45301</v>
      </c>
      <c r="W5657" t="s">
        <v>84</v>
      </c>
      <c r="X5657">
        <v>831945</v>
      </c>
      <c r="Y5657" t="s">
        <v>34230</v>
      </c>
      <c r="Z5657" t="e">
        <f ca="1">- replaced B1, B2
- checked _xludf.and cleaned cartridge bay, plunger rod, _xludf.filter
- generated reports</f>
        <v>#NAME?</v>
      </c>
      <c r="AA5657" t="s">
        <v>34231</v>
      </c>
      <c r="AB5657" t="s">
        <v>181</v>
      </c>
      <c r="AD5657" s="2" t="s">
        <v>34232</v>
      </c>
      <c r="AE5657">
        <v>11082</v>
      </c>
      <c r="AG5657" t="s">
        <v>34233</v>
      </c>
      <c r="AH5657" t="s">
        <v>27231</v>
      </c>
      <c r="AI5657" t="s">
        <v>34234</v>
      </c>
    </row>
    <row r="5658" spans="2:35" ht="195">
      <c r="B5658" s="1">
        <v>45301</v>
      </c>
      <c r="C5658" s="4">
        <v>45301.680555555555</v>
      </c>
      <c r="D5658" t="s">
        <v>11901</v>
      </c>
      <c r="E5658" t="s">
        <v>11902</v>
      </c>
      <c r="F5658">
        <v>6</v>
      </c>
      <c r="G5658" t="s">
        <v>1234</v>
      </c>
      <c r="H5658" t="s">
        <v>39</v>
      </c>
      <c r="I5658" t="s">
        <v>94</v>
      </c>
      <c r="J5658" s="2" t="s">
        <v>34235</v>
      </c>
      <c r="K5658" t="s">
        <v>42</v>
      </c>
      <c r="L5658" t="s">
        <v>270</v>
      </c>
      <c r="N5658" t="s">
        <v>2481</v>
      </c>
      <c r="Q5658">
        <v>26892</v>
      </c>
      <c r="R5658" t="s">
        <v>45</v>
      </c>
      <c r="S5658" t="s">
        <v>34236</v>
      </c>
      <c r="T5658">
        <v>24</v>
      </c>
      <c r="U5658" s="2" t="s">
        <v>34237</v>
      </c>
      <c r="W5658" t="s">
        <v>360</v>
      </c>
      <c r="X5658">
        <v>804267</v>
      </c>
      <c r="Y5658" t="s">
        <v>34238</v>
      </c>
      <c r="Z5658" t="s">
        <v>3128</v>
      </c>
      <c r="AA5658" s="2" t="s">
        <v>34239</v>
      </c>
      <c r="AB5658" s="2" t="s">
        <v>34240</v>
      </c>
      <c r="AG5658" t="s">
        <v>34241</v>
      </c>
      <c r="AH5658" t="s">
        <v>29197</v>
      </c>
      <c r="AI5658" t="s">
        <v>34242</v>
      </c>
    </row>
    <row r="5659" spans="2:35" ht="105">
      <c r="B5659" s="1">
        <v>45301</v>
      </c>
      <c r="C5659" s="4">
        <v>45301.681250000001</v>
      </c>
      <c r="D5659" t="s">
        <v>11901</v>
      </c>
      <c r="E5659" t="s">
        <v>7772</v>
      </c>
      <c r="F5659">
        <v>6</v>
      </c>
      <c r="G5659" t="s">
        <v>1234</v>
      </c>
      <c r="H5659" t="s">
        <v>1047</v>
      </c>
      <c r="I5659" t="s">
        <v>40</v>
      </c>
      <c r="J5659" t="s">
        <v>79</v>
      </c>
      <c r="K5659" t="s">
        <v>42</v>
      </c>
      <c r="L5659" t="s">
        <v>23958</v>
      </c>
      <c r="N5659" t="s">
        <v>23959</v>
      </c>
      <c r="Q5659">
        <v>26891</v>
      </c>
      <c r="R5659" t="s">
        <v>119</v>
      </c>
      <c r="S5659" t="s">
        <v>34236</v>
      </c>
      <c r="T5659">
        <v>4</v>
      </c>
      <c r="U5659" s="2" t="s">
        <v>34237</v>
      </c>
      <c r="W5659" t="s">
        <v>360</v>
      </c>
      <c r="X5659">
        <v>837612</v>
      </c>
      <c r="Y5659" t="s">
        <v>34243</v>
      </c>
      <c r="Z5659" t="s">
        <v>25481</v>
      </c>
      <c r="AA5659" t="s">
        <v>34244</v>
      </c>
      <c r="AB5659" t="s">
        <v>34221</v>
      </c>
      <c r="AG5659" t="s">
        <v>34245</v>
      </c>
      <c r="AH5659" t="s">
        <v>29197</v>
      </c>
      <c r="AI5659" t="s">
        <v>34246</v>
      </c>
    </row>
    <row r="5660" spans="2:35" ht="180">
      <c r="B5660" s="1">
        <v>45301</v>
      </c>
      <c r="C5660" s="4">
        <v>45301.657638888886</v>
      </c>
      <c r="D5660" t="s">
        <v>34247</v>
      </c>
      <c r="E5660" t="s">
        <v>27617</v>
      </c>
      <c r="F5660" t="s">
        <v>148</v>
      </c>
      <c r="G5660" t="s">
        <v>544</v>
      </c>
      <c r="H5660" t="s">
        <v>39</v>
      </c>
      <c r="I5660" t="s">
        <v>40</v>
      </c>
      <c r="J5660" s="2" t="s">
        <v>62</v>
      </c>
      <c r="K5660" t="s">
        <v>42</v>
      </c>
      <c r="L5660" t="s">
        <v>15532</v>
      </c>
      <c r="N5660" t="s">
        <v>15533</v>
      </c>
      <c r="Q5660">
        <v>26890</v>
      </c>
      <c r="R5660" t="s">
        <v>322</v>
      </c>
      <c r="S5660" t="s">
        <v>15929</v>
      </c>
      <c r="T5660">
        <v>28</v>
      </c>
      <c r="U5660" s="2" t="s">
        <v>14200</v>
      </c>
      <c r="V5660" s="1">
        <v>45301</v>
      </c>
      <c r="W5660" t="s">
        <v>20940</v>
      </c>
      <c r="X5660">
        <v>110016107</v>
      </c>
      <c r="Y5660" t="s">
        <v>21527</v>
      </c>
      <c r="Z5660" s="2" t="s">
        <v>34248</v>
      </c>
      <c r="AA5660" t="s">
        <v>999</v>
      </c>
      <c r="AB5660" s="2" t="s">
        <v>30391</v>
      </c>
      <c r="AC5660" t="s">
        <v>34249</v>
      </c>
      <c r="AD5660" t="s">
        <v>7189</v>
      </c>
      <c r="AE5660" t="s">
        <v>34250</v>
      </c>
      <c r="AG5660" t="s">
        <v>34251</v>
      </c>
      <c r="AH5660" t="s">
        <v>34252</v>
      </c>
      <c r="AI5660" t="s">
        <v>34253</v>
      </c>
    </row>
    <row r="5661" spans="2:35" ht="150">
      <c r="B5661" s="1">
        <v>45301</v>
      </c>
      <c r="C5661" s="4">
        <v>45301.652083333334</v>
      </c>
      <c r="D5661" t="s">
        <v>26333</v>
      </c>
      <c r="E5661" t="s">
        <v>34254</v>
      </c>
      <c r="F5661" t="s">
        <v>148</v>
      </c>
      <c r="G5661" t="s">
        <v>310</v>
      </c>
      <c r="H5661" t="s">
        <v>39</v>
      </c>
      <c r="I5661" t="s">
        <v>40</v>
      </c>
      <c r="J5661" s="2" t="s">
        <v>1808</v>
      </c>
      <c r="K5661" t="s">
        <v>42</v>
      </c>
      <c r="L5661" t="s">
        <v>1943</v>
      </c>
      <c r="N5661" t="s">
        <v>1944</v>
      </c>
      <c r="Q5661">
        <v>26889</v>
      </c>
      <c r="R5661" t="s">
        <v>119</v>
      </c>
      <c r="S5661" t="s">
        <v>34255</v>
      </c>
      <c r="T5661">
        <v>25</v>
      </c>
      <c r="U5661" s="2" t="s">
        <v>34256</v>
      </c>
      <c r="V5661" s="1">
        <v>45299</v>
      </c>
      <c r="W5661" t="s">
        <v>84</v>
      </c>
      <c r="X5661">
        <v>831871</v>
      </c>
      <c r="Y5661" s="2" t="s">
        <v>34257</v>
      </c>
      <c r="Z5661" s="2" t="s">
        <v>34258</v>
      </c>
      <c r="AA5661" t="s">
        <v>29208</v>
      </c>
      <c r="AB5661" t="s">
        <v>88</v>
      </c>
      <c r="AD5661" t="s">
        <v>34259</v>
      </c>
      <c r="AE5661" t="s">
        <v>34260</v>
      </c>
      <c r="AG5661" t="s">
        <v>34261</v>
      </c>
      <c r="AH5661" t="s">
        <v>34262</v>
      </c>
      <c r="AI5661" t="s">
        <v>34263</v>
      </c>
    </row>
    <row r="5662" spans="2:35" ht="405">
      <c r="B5662" s="1">
        <v>45301</v>
      </c>
      <c r="C5662" s="4">
        <v>45301.597916666666</v>
      </c>
      <c r="D5662" t="s">
        <v>16716</v>
      </c>
      <c r="E5662" t="s">
        <v>1128</v>
      </c>
      <c r="F5662">
        <v>8</v>
      </c>
      <c r="G5662" t="s">
        <v>342</v>
      </c>
      <c r="H5662" t="s">
        <v>22505</v>
      </c>
      <c r="I5662" t="s">
        <v>40</v>
      </c>
      <c r="J5662" s="2" t="s">
        <v>41</v>
      </c>
      <c r="K5662" t="s">
        <v>42</v>
      </c>
      <c r="L5662" t="s">
        <v>259</v>
      </c>
      <c r="N5662" t="s">
        <v>260</v>
      </c>
      <c r="O5662" t="s">
        <v>260</v>
      </c>
      <c r="Q5662">
        <v>26888</v>
      </c>
      <c r="R5662" t="s">
        <v>119</v>
      </c>
      <c r="S5662" t="s">
        <v>31673</v>
      </c>
      <c r="T5662">
        <v>22</v>
      </c>
      <c r="U5662" s="2" t="s">
        <v>15956</v>
      </c>
      <c r="V5662" s="1">
        <v>45301</v>
      </c>
      <c r="W5662" t="s">
        <v>84</v>
      </c>
      <c r="X5662">
        <v>838421</v>
      </c>
      <c r="Y5662" t="s">
        <v>34264</v>
      </c>
      <c r="Z5662" t="e">
        <f ca="1">- module Replacement
- Preventive Maintenance</f>
        <v>#NAME?</v>
      </c>
      <c r="AA5662" s="2" t="s">
        <v>34265</v>
      </c>
      <c r="AB5662" t="s">
        <v>10222</v>
      </c>
      <c r="AD5662" t="s">
        <v>34266</v>
      </c>
      <c r="AE5662" t="s">
        <v>119</v>
      </c>
      <c r="AG5662" t="s">
        <v>34267</v>
      </c>
      <c r="AH5662" t="s">
        <v>23174</v>
      </c>
      <c r="AI5662" t="s">
        <v>34268</v>
      </c>
    </row>
    <row r="5663" spans="2:35" ht="285">
      <c r="B5663" s="1">
        <v>45301</v>
      </c>
      <c r="C5663" s="4">
        <v>45301.581944444442</v>
      </c>
      <c r="D5663" t="s">
        <v>1071</v>
      </c>
      <c r="E5663" t="s">
        <v>1555</v>
      </c>
      <c r="F5663">
        <v>7</v>
      </c>
      <c r="G5663" t="s">
        <v>432</v>
      </c>
      <c r="H5663" t="s">
        <v>150</v>
      </c>
      <c r="I5663" t="s">
        <v>40</v>
      </c>
      <c r="J5663" t="s">
        <v>79</v>
      </c>
      <c r="K5663" t="s">
        <v>42</v>
      </c>
      <c r="L5663" t="s">
        <v>343</v>
      </c>
      <c r="N5663" t="s">
        <v>344</v>
      </c>
      <c r="Q5663">
        <v>26887</v>
      </c>
      <c r="R5663" t="s">
        <v>119</v>
      </c>
      <c r="S5663" t="s">
        <v>34269</v>
      </c>
      <c r="T5663">
        <v>30</v>
      </c>
      <c r="U5663" s="2" t="s">
        <v>34270</v>
      </c>
      <c r="V5663" s="1">
        <v>45274</v>
      </c>
      <c r="W5663" t="s">
        <v>84</v>
      </c>
      <c r="X5663">
        <v>820206</v>
      </c>
      <c r="Y5663" t="s">
        <v>32774</v>
      </c>
      <c r="Z5663" t="s">
        <v>34271</v>
      </c>
      <c r="AA5663" t="e">
        <f ca="1">-module Replacement</f>
        <v>#NAME?</v>
      </c>
      <c r="AB5663" t="s">
        <v>9638</v>
      </c>
      <c r="AD5663" t="s">
        <v>10783</v>
      </c>
      <c r="AE5663">
        <v>10939</v>
      </c>
      <c r="AG5663" t="s">
        <v>34272</v>
      </c>
      <c r="AH5663" t="s">
        <v>16851</v>
      </c>
      <c r="AI5663" t="s">
        <v>34273</v>
      </c>
    </row>
    <row r="5664" spans="2:35" ht="105">
      <c r="B5664" s="1">
        <v>45301</v>
      </c>
      <c r="C5664" s="4">
        <v>45301.552083333336</v>
      </c>
      <c r="D5664" t="s">
        <v>9179</v>
      </c>
      <c r="E5664" t="s">
        <v>9180</v>
      </c>
      <c r="F5664">
        <v>9</v>
      </c>
      <c r="G5664" t="s">
        <v>2197</v>
      </c>
      <c r="H5664" t="s">
        <v>39</v>
      </c>
      <c r="I5664" t="s">
        <v>94</v>
      </c>
      <c r="J5664" s="2" t="s">
        <v>17375</v>
      </c>
      <c r="K5664" t="s">
        <v>42</v>
      </c>
      <c r="L5664" t="s">
        <v>1257</v>
      </c>
      <c r="N5664" t="s">
        <v>2199</v>
      </c>
      <c r="Q5664">
        <v>26886</v>
      </c>
      <c r="R5664" t="s">
        <v>119</v>
      </c>
      <c r="S5664" t="s">
        <v>34274</v>
      </c>
      <c r="T5664">
        <v>28</v>
      </c>
      <c r="U5664" s="2" t="s">
        <v>15342</v>
      </c>
      <c r="V5664" s="1">
        <v>45251</v>
      </c>
      <c r="W5664" t="s">
        <v>2384</v>
      </c>
      <c r="X5664">
        <v>838443</v>
      </c>
      <c r="Y5664" t="s">
        <v>34275</v>
      </c>
      <c r="Z5664" t="s">
        <v>34276</v>
      </c>
      <c r="AA5664" t="s">
        <v>34276</v>
      </c>
      <c r="AB5664" t="s">
        <v>7411</v>
      </c>
      <c r="AC5664" t="s">
        <v>301</v>
      </c>
      <c r="AD5664" t="s">
        <v>10783</v>
      </c>
      <c r="AE5664" t="s">
        <v>34277</v>
      </c>
      <c r="AG5664" t="s">
        <v>34278</v>
      </c>
      <c r="AH5664" t="s">
        <v>34279</v>
      </c>
      <c r="AI5664" t="s">
        <v>34280</v>
      </c>
    </row>
    <row r="5665" spans="2:35" ht="225">
      <c r="B5665" s="1">
        <v>45301</v>
      </c>
      <c r="C5665" s="4">
        <v>45301.573611111111</v>
      </c>
      <c r="D5665" t="s">
        <v>23994</v>
      </c>
      <c r="E5665" t="s">
        <v>34281</v>
      </c>
      <c r="F5665">
        <v>2</v>
      </c>
      <c r="G5665" t="s">
        <v>2723</v>
      </c>
      <c r="H5665" t="s">
        <v>39</v>
      </c>
      <c r="I5665" t="s">
        <v>40</v>
      </c>
      <c r="J5665" s="2" t="s">
        <v>10552</v>
      </c>
      <c r="K5665" t="s">
        <v>42</v>
      </c>
      <c r="L5665" t="s">
        <v>63</v>
      </c>
      <c r="N5665" t="s">
        <v>64</v>
      </c>
      <c r="Q5665">
        <v>26885</v>
      </c>
      <c r="R5665" t="s">
        <v>45</v>
      </c>
      <c r="S5665" t="s">
        <v>23996</v>
      </c>
      <c r="T5665">
        <v>21</v>
      </c>
      <c r="V5665" s="1">
        <v>45301</v>
      </c>
      <c r="W5665" t="s">
        <v>29259</v>
      </c>
      <c r="X5665">
        <v>835090</v>
      </c>
      <c r="Y5665" t="s">
        <v>34282</v>
      </c>
      <c r="Z5665" t="s">
        <v>11377</v>
      </c>
      <c r="AA5665" s="2" t="s">
        <v>34076</v>
      </c>
      <c r="AB5665" t="s">
        <v>70</v>
      </c>
      <c r="AC5665" t="s">
        <v>11378</v>
      </c>
      <c r="AD5665" t="s">
        <v>1716</v>
      </c>
      <c r="AE5665" t="s">
        <v>1716</v>
      </c>
      <c r="AG5665" t="s">
        <v>34283</v>
      </c>
      <c r="AH5665" t="s">
        <v>34284</v>
      </c>
      <c r="AI5665" t="s">
        <v>34285</v>
      </c>
    </row>
    <row r="5666" spans="2:35" ht="105">
      <c r="B5666" s="1">
        <v>45301</v>
      </c>
      <c r="C5666" s="4">
        <v>45301.525694444441</v>
      </c>
      <c r="D5666" t="s">
        <v>369</v>
      </c>
      <c r="E5666" t="s">
        <v>29199</v>
      </c>
      <c r="F5666" t="s">
        <v>148</v>
      </c>
      <c r="G5666" t="s">
        <v>371</v>
      </c>
      <c r="H5666" t="s">
        <v>39</v>
      </c>
      <c r="I5666" t="s">
        <v>40</v>
      </c>
      <c r="J5666" s="2" t="s">
        <v>355</v>
      </c>
      <c r="K5666" t="s">
        <v>42</v>
      </c>
      <c r="L5666" t="s">
        <v>175</v>
      </c>
      <c r="N5666" t="s">
        <v>176</v>
      </c>
      <c r="Q5666">
        <v>26884</v>
      </c>
      <c r="R5666" t="s">
        <v>45</v>
      </c>
      <c r="S5666" t="s">
        <v>29200</v>
      </c>
      <c r="T5666">
        <v>27</v>
      </c>
      <c r="U5666" s="2" t="s">
        <v>3632</v>
      </c>
      <c r="W5666" t="s">
        <v>84</v>
      </c>
      <c r="X5666">
        <v>834431</v>
      </c>
      <c r="Y5666" t="s">
        <v>8255</v>
      </c>
      <c r="Z5666" t="e">
        <f ca="1">- Relocated Unit
- checked _xludf.and cleaned cartridge bay, plunger rod, _xludf.filter
- generated reports
- scanned syst _xludf.Log _xludf.For hardware errors</f>
        <v>#NAME?</v>
      </c>
      <c r="AA5666" t="s">
        <v>34286</v>
      </c>
      <c r="AB5666" s="2" t="s">
        <v>34287</v>
      </c>
      <c r="AG5666" t="s">
        <v>34288</v>
      </c>
      <c r="AH5666" t="s">
        <v>29202</v>
      </c>
      <c r="AI5666" t="s">
        <v>34289</v>
      </c>
    </row>
    <row r="5667" spans="2:35" ht="180">
      <c r="B5667" s="1">
        <v>45301</v>
      </c>
      <c r="C5667" s="4">
        <v>45301.468055555553</v>
      </c>
      <c r="D5667" t="s">
        <v>12473</v>
      </c>
      <c r="E5667" t="s">
        <v>34290</v>
      </c>
      <c r="F5667">
        <v>13</v>
      </c>
      <c r="G5667" t="s">
        <v>931</v>
      </c>
      <c r="H5667" t="s">
        <v>2125</v>
      </c>
      <c r="I5667" t="s">
        <v>40</v>
      </c>
      <c r="J5667" s="2" t="s">
        <v>62</v>
      </c>
      <c r="K5667" t="s">
        <v>42</v>
      </c>
      <c r="L5667" t="s">
        <v>933</v>
      </c>
      <c r="N5667" t="s">
        <v>934</v>
      </c>
      <c r="Q5667">
        <v>26883</v>
      </c>
      <c r="R5667" t="s">
        <v>119</v>
      </c>
      <c r="S5667" t="s">
        <v>12475</v>
      </c>
      <c r="T5667">
        <v>30</v>
      </c>
      <c r="U5667" s="2" t="s">
        <v>34291</v>
      </c>
      <c r="V5667" s="1">
        <v>45139</v>
      </c>
      <c r="W5667" t="s">
        <v>3662</v>
      </c>
      <c r="X5667">
        <v>838444</v>
      </c>
      <c r="Y5667" t="s">
        <v>301</v>
      </c>
      <c r="Z5667" t="s">
        <v>301</v>
      </c>
      <c r="AA5667" s="2" t="s">
        <v>2397</v>
      </c>
      <c r="AB5667" s="2" t="s">
        <v>34292</v>
      </c>
      <c r="AD5667" t="s">
        <v>5618</v>
      </c>
      <c r="AE5667">
        <v>10391</v>
      </c>
      <c r="AG5667" t="s">
        <v>34293</v>
      </c>
      <c r="AH5667" t="s">
        <v>21463</v>
      </c>
      <c r="AI5667" t="s">
        <v>34294</v>
      </c>
    </row>
    <row r="5668" spans="2:35">
      <c r="B5668" s="1">
        <v>45301</v>
      </c>
      <c r="C5668" s="4">
        <v>45301.458333333336</v>
      </c>
      <c r="D5668" t="s">
        <v>5793</v>
      </c>
      <c r="E5668" t="s">
        <v>34295</v>
      </c>
      <c r="F5668">
        <v>5</v>
      </c>
      <c r="G5668" t="s">
        <v>5795</v>
      </c>
      <c r="H5668" t="s">
        <v>2210</v>
      </c>
      <c r="I5668" t="s">
        <v>40</v>
      </c>
      <c r="J5668" t="s">
        <v>34296</v>
      </c>
      <c r="K5668" t="s">
        <v>42</v>
      </c>
      <c r="L5668" t="s">
        <v>448</v>
      </c>
      <c r="N5668" t="s">
        <v>650</v>
      </c>
      <c r="O5668" t="s">
        <v>650</v>
      </c>
      <c r="Q5668">
        <v>26882</v>
      </c>
      <c r="R5668" t="s">
        <v>119</v>
      </c>
      <c r="S5668" t="s">
        <v>650</v>
      </c>
      <c r="T5668">
        <v>26</v>
      </c>
      <c r="W5668" t="s">
        <v>360</v>
      </c>
      <c r="X5668">
        <v>838576</v>
      </c>
      <c r="Y5668" t="s">
        <v>34297</v>
      </c>
      <c r="Z5668" t="s">
        <v>34298</v>
      </c>
      <c r="AA5668" t="s">
        <v>4487</v>
      </c>
      <c r="AB5668" t="s">
        <v>30639</v>
      </c>
      <c r="AC5668" t="s">
        <v>25016</v>
      </c>
      <c r="AG5668" t="s">
        <v>34299</v>
      </c>
      <c r="AH5668" t="s">
        <v>80</v>
      </c>
      <c r="AI5668" t="s">
        <v>34300</v>
      </c>
    </row>
    <row r="5669" spans="2:35" ht="105">
      <c r="B5669" s="1">
        <v>45301</v>
      </c>
      <c r="C5669" s="4">
        <v>45301.446527777778</v>
      </c>
      <c r="D5669" t="s">
        <v>34301</v>
      </c>
      <c r="E5669" t="s">
        <v>34302</v>
      </c>
      <c r="F5669">
        <v>6</v>
      </c>
      <c r="G5669" t="s">
        <v>1234</v>
      </c>
      <c r="H5669" t="s">
        <v>39</v>
      </c>
      <c r="I5669" t="s">
        <v>94</v>
      </c>
      <c r="J5669" s="2" t="s">
        <v>1370</v>
      </c>
      <c r="K5669" t="s">
        <v>42</v>
      </c>
      <c r="L5669" t="s">
        <v>270</v>
      </c>
      <c r="N5669" t="s">
        <v>2481</v>
      </c>
      <c r="Q5669">
        <v>26881</v>
      </c>
      <c r="R5669" t="s">
        <v>45</v>
      </c>
      <c r="S5669" t="s">
        <v>34303</v>
      </c>
      <c r="T5669">
        <v>25</v>
      </c>
      <c r="U5669" s="2" t="s">
        <v>34304</v>
      </c>
      <c r="W5669" t="s">
        <v>360</v>
      </c>
      <c r="X5669">
        <v>838855</v>
      </c>
      <c r="Y5669" t="s">
        <v>2789</v>
      </c>
      <c r="Z5669" t="e">
        <f ca="1">- performed Preventive Maintenance - optics Cleaning, _xludf.filter Cleaning, module bay Cleaning, plunger rod Maintenance.</f>
        <v>#NAME?</v>
      </c>
      <c r="AA5669" t="e">
        <f ca="1">- Backup patient Data FROM currently used CPU
- replaced defective CPU with new CPU with SN CPH0723F43495
- Configure new sytem.
- Install printer driver</f>
        <v>#NAME?</v>
      </c>
      <c r="AB5669" t="s">
        <v>34305</v>
      </c>
      <c r="AG5669" t="s">
        <v>34306</v>
      </c>
      <c r="AH5669" t="s">
        <v>34307</v>
      </c>
      <c r="AI5669" t="s">
        <v>34308</v>
      </c>
    </row>
    <row r="5670" spans="2:35" ht="270">
      <c r="B5670" s="1">
        <v>45301</v>
      </c>
      <c r="C5670" s="4">
        <v>45301.37222222222</v>
      </c>
      <c r="D5670" t="s">
        <v>22463</v>
      </c>
      <c r="E5670" t="s">
        <v>33079</v>
      </c>
      <c r="F5670" t="s">
        <v>148</v>
      </c>
      <c r="G5670" t="s">
        <v>310</v>
      </c>
      <c r="H5670" t="s">
        <v>39</v>
      </c>
      <c r="I5670" t="s">
        <v>40</v>
      </c>
      <c r="J5670" s="2" t="s">
        <v>4208</v>
      </c>
      <c r="K5670" t="s">
        <v>42</v>
      </c>
      <c r="L5670" t="s">
        <v>1943</v>
      </c>
      <c r="N5670" t="s">
        <v>1944</v>
      </c>
      <c r="Q5670">
        <v>26880</v>
      </c>
      <c r="R5670" t="s">
        <v>45</v>
      </c>
      <c r="S5670" t="s">
        <v>22465</v>
      </c>
      <c r="T5670">
        <v>24.8</v>
      </c>
      <c r="U5670" s="2" t="s">
        <v>34309</v>
      </c>
      <c r="W5670" t="s">
        <v>84</v>
      </c>
      <c r="X5670">
        <v>808619</v>
      </c>
      <c r="Y5670" s="2" t="s">
        <v>34310</v>
      </c>
      <c r="Z5670" s="2" t="s">
        <v>34311</v>
      </c>
      <c r="AA5670" t="s">
        <v>34312</v>
      </c>
      <c r="AB5670" t="s">
        <v>34313</v>
      </c>
      <c r="AG5670" t="s">
        <v>34314</v>
      </c>
      <c r="AH5670" t="s">
        <v>34315</v>
      </c>
      <c r="AI5670" t="s">
        <v>34316</v>
      </c>
    </row>
    <row r="5671" spans="2:35" ht="409.5">
      <c r="B5671" s="1">
        <v>45300</v>
      </c>
      <c r="C5671" s="4">
        <v>45300.647916666669</v>
      </c>
      <c r="D5671" t="s">
        <v>5602</v>
      </c>
      <c r="E5671" t="s">
        <v>5757</v>
      </c>
      <c r="F5671" t="s">
        <v>148</v>
      </c>
      <c r="G5671" t="s">
        <v>447</v>
      </c>
      <c r="H5671" t="s">
        <v>662</v>
      </c>
      <c r="I5671" t="s">
        <v>40</v>
      </c>
      <c r="J5671" s="2" t="s">
        <v>41</v>
      </c>
      <c r="K5671" t="s">
        <v>42</v>
      </c>
      <c r="L5671" t="s">
        <v>448</v>
      </c>
      <c r="N5671" t="s">
        <v>650</v>
      </c>
      <c r="Q5671">
        <v>26879</v>
      </c>
      <c r="R5671" t="s">
        <v>322</v>
      </c>
      <c r="S5671" t="s">
        <v>5604</v>
      </c>
      <c r="T5671">
        <v>29</v>
      </c>
      <c r="U5671" s="2" t="s">
        <v>34317</v>
      </c>
      <c r="V5671" s="1">
        <v>45299</v>
      </c>
      <c r="W5671" t="s">
        <v>34318</v>
      </c>
      <c r="X5671">
        <v>110005587</v>
      </c>
      <c r="Y5671" t="s">
        <v>34319</v>
      </c>
      <c r="Z5671" s="2" t="s">
        <v>2585</v>
      </c>
      <c r="AA5671" t="s">
        <v>20643</v>
      </c>
      <c r="AB5671" t="s">
        <v>34320</v>
      </c>
      <c r="AD5671" t="s">
        <v>34321</v>
      </c>
      <c r="AE5671">
        <v>11050</v>
      </c>
      <c r="AG5671" t="s">
        <v>34322</v>
      </c>
      <c r="AH5671" t="s">
        <v>5609</v>
      </c>
      <c r="AI5671" t="s">
        <v>34323</v>
      </c>
    </row>
    <row r="5672" spans="2:35" ht="315">
      <c r="B5672" s="1">
        <v>45300</v>
      </c>
      <c r="C5672" s="4">
        <v>45300.616666666669</v>
      </c>
      <c r="D5672" t="s">
        <v>25516</v>
      </c>
      <c r="E5672" t="s">
        <v>34324</v>
      </c>
      <c r="F5672">
        <v>13</v>
      </c>
      <c r="G5672" t="s">
        <v>931</v>
      </c>
      <c r="H5672" t="s">
        <v>2125</v>
      </c>
      <c r="I5672" t="s">
        <v>40</v>
      </c>
      <c r="J5672" s="2" t="s">
        <v>62</v>
      </c>
      <c r="K5672" t="s">
        <v>42</v>
      </c>
      <c r="L5672" t="s">
        <v>933</v>
      </c>
      <c r="N5672" t="s">
        <v>934</v>
      </c>
      <c r="Q5672">
        <v>26878</v>
      </c>
      <c r="R5672" t="s">
        <v>45</v>
      </c>
      <c r="S5672" t="s">
        <v>25518</v>
      </c>
      <c r="T5672">
        <v>23.95</v>
      </c>
      <c r="U5672" s="2" t="s">
        <v>34325</v>
      </c>
      <c r="W5672" t="s">
        <v>3662</v>
      </c>
      <c r="X5672">
        <v>807602</v>
      </c>
      <c r="Y5672" t="s">
        <v>301</v>
      </c>
      <c r="Z5672" t="s">
        <v>301</v>
      </c>
      <c r="AA5672" t="s">
        <v>34326</v>
      </c>
      <c r="AB5672" t="s">
        <v>2131</v>
      </c>
      <c r="AC5672" t="s">
        <v>301</v>
      </c>
      <c r="AG5672" t="s">
        <v>34327</v>
      </c>
      <c r="AH5672" t="s">
        <v>25522</v>
      </c>
      <c r="AI5672" t="s">
        <v>34328</v>
      </c>
    </row>
    <row r="5673" spans="2:35" ht="225">
      <c r="B5673" s="1">
        <v>45300</v>
      </c>
      <c r="C5673" s="4">
        <v>45300.627083333333</v>
      </c>
      <c r="D5673" t="s">
        <v>34329</v>
      </c>
      <c r="E5673" t="s">
        <v>34330</v>
      </c>
      <c r="F5673">
        <v>2</v>
      </c>
      <c r="G5673" t="s">
        <v>2668</v>
      </c>
      <c r="H5673" t="s">
        <v>39</v>
      </c>
      <c r="I5673" t="s">
        <v>40</v>
      </c>
      <c r="J5673" s="2" t="s">
        <v>1808</v>
      </c>
      <c r="K5673" t="s">
        <v>42</v>
      </c>
      <c r="L5673" t="s">
        <v>63</v>
      </c>
      <c r="N5673" t="s">
        <v>64</v>
      </c>
      <c r="Q5673">
        <v>26877</v>
      </c>
      <c r="R5673" t="s">
        <v>45</v>
      </c>
      <c r="S5673" t="s">
        <v>34331</v>
      </c>
      <c r="T5673">
        <v>26</v>
      </c>
      <c r="V5673" s="1">
        <v>45300</v>
      </c>
      <c r="W5673" t="s">
        <v>29259</v>
      </c>
      <c r="X5673">
        <v>835092</v>
      </c>
      <c r="Y5673" t="s">
        <v>1716</v>
      </c>
      <c r="Z5673" t="s">
        <v>1716</v>
      </c>
      <c r="AA5673" s="2" t="s">
        <v>34332</v>
      </c>
      <c r="AB5673" t="s">
        <v>70</v>
      </c>
      <c r="AC5673" t="s">
        <v>1716</v>
      </c>
      <c r="AD5673" t="s">
        <v>1716</v>
      </c>
      <c r="AE5673" t="s">
        <v>1716</v>
      </c>
      <c r="AG5673" t="s">
        <v>34333</v>
      </c>
      <c r="AH5673" t="s">
        <v>34334</v>
      </c>
      <c r="AI5673" t="s">
        <v>34335</v>
      </c>
    </row>
    <row r="5674" spans="2:35" ht="105">
      <c r="B5674" s="1">
        <v>45300</v>
      </c>
      <c r="C5674" s="4">
        <v>45300.606944444444</v>
      </c>
      <c r="D5674" t="s">
        <v>34336</v>
      </c>
      <c r="E5674" t="s">
        <v>34337</v>
      </c>
      <c r="F5674">
        <v>6</v>
      </c>
      <c r="G5674" t="s">
        <v>1234</v>
      </c>
      <c r="H5674" t="s">
        <v>39</v>
      </c>
      <c r="I5674" t="s">
        <v>94</v>
      </c>
      <c r="J5674" t="s">
        <v>583</v>
      </c>
      <c r="K5674" t="s">
        <v>42</v>
      </c>
      <c r="L5674" t="s">
        <v>270</v>
      </c>
      <c r="N5674" t="s">
        <v>2481</v>
      </c>
      <c r="Q5674">
        <v>26876</v>
      </c>
      <c r="R5674" t="s">
        <v>45</v>
      </c>
      <c r="S5674" t="s">
        <v>34338</v>
      </c>
      <c r="T5674">
        <v>25</v>
      </c>
      <c r="U5674" s="2" t="s">
        <v>34339</v>
      </c>
      <c r="W5674" t="s">
        <v>360</v>
      </c>
      <c r="X5674">
        <v>815283</v>
      </c>
      <c r="Y5674" t="s">
        <v>34340</v>
      </c>
      <c r="Z5674" t="e">
        <f ca="1">- Preventive Maintenance</f>
        <v>#NAME?</v>
      </c>
      <c r="AA5674" t="e">
        <f ca="1">- Installation _xludf.and Configuration of new printer (Epson L3210)</f>
        <v>#NAME?</v>
      </c>
      <c r="AB5674" t="s">
        <v>34341</v>
      </c>
      <c r="AG5674" t="s">
        <v>34342</v>
      </c>
      <c r="AH5674" t="s">
        <v>34343</v>
      </c>
      <c r="AI5674" t="s">
        <v>34344</v>
      </c>
    </row>
    <row r="5675" spans="2:35" ht="210">
      <c r="B5675" s="1">
        <v>45300</v>
      </c>
      <c r="C5675" s="4">
        <v>45300.580555555556</v>
      </c>
      <c r="D5675" t="s">
        <v>3615</v>
      </c>
      <c r="E5675" t="s">
        <v>3616</v>
      </c>
      <c r="F5675">
        <v>3</v>
      </c>
      <c r="G5675" t="s">
        <v>174</v>
      </c>
      <c r="H5675" t="s">
        <v>39</v>
      </c>
      <c r="I5675" t="s">
        <v>40</v>
      </c>
      <c r="J5675" s="2" t="s">
        <v>41</v>
      </c>
      <c r="K5675" t="s">
        <v>42</v>
      </c>
      <c r="L5675" t="s">
        <v>175</v>
      </c>
      <c r="N5675" t="s">
        <v>176</v>
      </c>
      <c r="Q5675">
        <v>26875</v>
      </c>
      <c r="R5675" t="s">
        <v>119</v>
      </c>
      <c r="S5675" t="s">
        <v>23152</v>
      </c>
      <c r="T5675">
        <v>25</v>
      </c>
      <c r="U5675" s="2" t="s">
        <v>34345</v>
      </c>
      <c r="V5675" s="1">
        <v>45299</v>
      </c>
      <c r="W5675" t="s">
        <v>84</v>
      </c>
      <c r="X5675">
        <v>831631</v>
      </c>
      <c r="Y5675" t="s">
        <v>49</v>
      </c>
      <c r="Z5675" t="e">
        <f ca="1">- replaced A4
- checked cartridge bay, plunger rod, _xludf.filter
- generated reports</f>
        <v>#NAME?</v>
      </c>
      <c r="AA5675" t="s">
        <v>22458</v>
      </c>
      <c r="AB5675" t="s">
        <v>181</v>
      </c>
      <c r="AD5675" s="2" t="s">
        <v>34346</v>
      </c>
      <c r="AE5675">
        <v>11074</v>
      </c>
      <c r="AG5675" t="s">
        <v>34347</v>
      </c>
      <c r="AH5675" t="s">
        <v>34348</v>
      </c>
      <c r="AI5675" t="s">
        <v>34349</v>
      </c>
    </row>
    <row r="5676" spans="2:35" ht="409.5">
      <c r="B5676" s="1">
        <v>45300</v>
      </c>
      <c r="C5676" s="4">
        <v>45300.515972222223</v>
      </c>
      <c r="D5676" t="s">
        <v>5932</v>
      </c>
      <c r="E5676" t="s">
        <v>7642</v>
      </c>
      <c r="F5676">
        <v>11</v>
      </c>
      <c r="G5676" t="s">
        <v>2836</v>
      </c>
      <c r="H5676" t="s">
        <v>202</v>
      </c>
      <c r="I5676" t="s">
        <v>40</v>
      </c>
      <c r="J5676" s="2" t="s">
        <v>190</v>
      </c>
      <c r="K5676" t="s">
        <v>42</v>
      </c>
      <c r="L5676" t="s">
        <v>204</v>
      </c>
      <c r="N5676" t="s">
        <v>205</v>
      </c>
      <c r="Q5676">
        <v>26874</v>
      </c>
      <c r="R5676" t="s">
        <v>119</v>
      </c>
      <c r="S5676" t="s">
        <v>7643</v>
      </c>
      <c r="T5676">
        <v>27.8</v>
      </c>
      <c r="U5676" s="2" t="s">
        <v>33561</v>
      </c>
      <c r="W5676" t="s">
        <v>23237</v>
      </c>
      <c r="X5676">
        <v>838553</v>
      </c>
      <c r="Y5676" t="s">
        <v>34350</v>
      </c>
      <c r="Z5676" s="2" t="s">
        <v>34351</v>
      </c>
      <c r="AA5676" t="s">
        <v>34352</v>
      </c>
      <c r="AB5676" t="s">
        <v>34353</v>
      </c>
      <c r="AC5676" t="s">
        <v>34354</v>
      </c>
      <c r="AG5676" t="s">
        <v>34355</v>
      </c>
      <c r="AH5676" t="s">
        <v>5943</v>
      </c>
      <c r="AI5676" t="s">
        <v>34356</v>
      </c>
    </row>
    <row r="5677" spans="2:35" ht="390">
      <c r="B5677" s="1">
        <v>45300</v>
      </c>
      <c r="C5677" s="4">
        <v>45300.488194444442</v>
      </c>
      <c r="D5677" t="s">
        <v>1145</v>
      </c>
      <c r="E5677" t="s">
        <v>34357</v>
      </c>
      <c r="F5677" t="s">
        <v>148</v>
      </c>
      <c r="G5677" t="s">
        <v>447</v>
      </c>
      <c r="H5677" t="s">
        <v>386</v>
      </c>
      <c r="I5677" t="s">
        <v>40</v>
      </c>
      <c r="J5677" s="2" t="s">
        <v>62</v>
      </c>
      <c r="K5677" t="s">
        <v>387</v>
      </c>
      <c r="L5677" t="s">
        <v>448</v>
      </c>
      <c r="N5677" t="s">
        <v>650</v>
      </c>
      <c r="Q5677">
        <v>26873</v>
      </c>
      <c r="R5677" t="s">
        <v>322</v>
      </c>
      <c r="S5677" t="s">
        <v>5004</v>
      </c>
      <c r="T5677">
        <v>28</v>
      </c>
      <c r="W5677" t="s">
        <v>476</v>
      </c>
      <c r="X5677" t="s">
        <v>7383</v>
      </c>
      <c r="Y5677" t="s">
        <v>4143</v>
      </c>
      <c r="Z5677" s="2" t="s">
        <v>23817</v>
      </c>
      <c r="AA5677" t="s">
        <v>28174</v>
      </c>
      <c r="AB5677" t="s">
        <v>486</v>
      </c>
      <c r="AC5677" t="s">
        <v>34358</v>
      </c>
      <c r="AG5677" t="s">
        <v>34359</v>
      </c>
      <c r="AH5677" t="s">
        <v>5010</v>
      </c>
      <c r="AI5677" t="s">
        <v>34360</v>
      </c>
    </row>
    <row r="5678" spans="2:35" ht="390">
      <c r="B5678" s="1">
        <v>45300</v>
      </c>
      <c r="C5678" s="4">
        <v>45300.521527777775</v>
      </c>
      <c r="D5678" t="s">
        <v>1145</v>
      </c>
      <c r="E5678" t="s">
        <v>34361</v>
      </c>
      <c r="F5678" t="s">
        <v>148</v>
      </c>
      <c r="G5678" t="s">
        <v>447</v>
      </c>
      <c r="H5678" t="s">
        <v>386</v>
      </c>
      <c r="I5678" t="s">
        <v>40</v>
      </c>
      <c r="J5678" s="2" t="s">
        <v>62</v>
      </c>
      <c r="K5678" t="s">
        <v>387</v>
      </c>
      <c r="L5678" t="s">
        <v>448</v>
      </c>
      <c r="N5678" t="s">
        <v>650</v>
      </c>
      <c r="Q5678">
        <v>26872</v>
      </c>
      <c r="R5678" t="s">
        <v>322</v>
      </c>
      <c r="S5678" t="s">
        <v>5004</v>
      </c>
      <c r="T5678">
        <v>28</v>
      </c>
      <c r="W5678" t="s">
        <v>476</v>
      </c>
      <c r="X5678" t="s">
        <v>5005</v>
      </c>
      <c r="Y5678" t="s">
        <v>4143</v>
      </c>
      <c r="Z5678" s="2" t="s">
        <v>23817</v>
      </c>
      <c r="AA5678" t="s">
        <v>28174</v>
      </c>
      <c r="AB5678" t="s">
        <v>486</v>
      </c>
      <c r="AC5678" t="s">
        <v>34362</v>
      </c>
      <c r="AG5678" t="s">
        <v>34363</v>
      </c>
      <c r="AH5678" t="s">
        <v>5010</v>
      </c>
      <c r="AI5678" t="s">
        <v>34364</v>
      </c>
    </row>
    <row r="5679" spans="2:35" ht="210">
      <c r="B5679" s="1">
        <v>45300</v>
      </c>
      <c r="C5679" s="4">
        <v>45300.53402777778</v>
      </c>
      <c r="D5679" t="s">
        <v>8312</v>
      </c>
      <c r="E5679" t="s">
        <v>8313</v>
      </c>
      <c r="F5679">
        <v>5</v>
      </c>
      <c r="G5679" t="s">
        <v>8314</v>
      </c>
      <c r="H5679" t="s">
        <v>39</v>
      </c>
      <c r="I5679" t="s">
        <v>94</v>
      </c>
      <c r="J5679" s="2" t="s">
        <v>30202</v>
      </c>
      <c r="K5679" t="s">
        <v>42</v>
      </c>
      <c r="L5679" t="s">
        <v>761</v>
      </c>
      <c r="N5679" t="s">
        <v>762</v>
      </c>
      <c r="O5679" t="s">
        <v>762</v>
      </c>
      <c r="Q5679">
        <v>26871</v>
      </c>
      <c r="R5679" t="s">
        <v>119</v>
      </c>
      <c r="S5679" t="s">
        <v>34365</v>
      </c>
      <c r="T5679">
        <v>27</v>
      </c>
      <c r="U5679" s="2" t="s">
        <v>34366</v>
      </c>
      <c r="W5679" t="s">
        <v>3662</v>
      </c>
      <c r="X5679">
        <v>838563</v>
      </c>
      <c r="Y5679" t="s">
        <v>34367</v>
      </c>
      <c r="Z5679" s="2" t="s">
        <v>34368</v>
      </c>
      <c r="AA5679" s="2" t="s">
        <v>34369</v>
      </c>
      <c r="AB5679" t="s">
        <v>181</v>
      </c>
      <c r="AG5679" t="s">
        <v>34370</v>
      </c>
      <c r="AH5679" t="s">
        <v>34371</v>
      </c>
      <c r="AI5679" t="s">
        <v>34372</v>
      </c>
    </row>
    <row r="5680" spans="2:35" ht="210">
      <c r="B5680" s="1">
        <v>45300</v>
      </c>
      <c r="C5680" s="4">
        <v>45300.465277777781</v>
      </c>
      <c r="D5680" t="s">
        <v>2221</v>
      </c>
      <c r="E5680" t="s">
        <v>34373</v>
      </c>
      <c r="F5680">
        <v>9</v>
      </c>
      <c r="G5680" t="s">
        <v>2197</v>
      </c>
      <c r="H5680" t="s">
        <v>39</v>
      </c>
      <c r="I5680" t="s">
        <v>94</v>
      </c>
      <c r="J5680" s="2" t="s">
        <v>31863</v>
      </c>
      <c r="K5680" t="s">
        <v>42</v>
      </c>
      <c r="L5680" t="s">
        <v>1257</v>
      </c>
      <c r="N5680" t="s">
        <v>2199</v>
      </c>
      <c r="Q5680">
        <v>26870</v>
      </c>
      <c r="R5680" t="s">
        <v>119</v>
      </c>
      <c r="S5680" t="s">
        <v>2224</v>
      </c>
      <c r="T5680">
        <v>25</v>
      </c>
      <c r="U5680" s="2" t="s">
        <v>34374</v>
      </c>
      <c r="V5680" s="1">
        <v>45251</v>
      </c>
      <c r="W5680" t="s">
        <v>2384</v>
      </c>
      <c r="X5680">
        <v>838204</v>
      </c>
      <c r="Y5680" t="s">
        <v>34375</v>
      </c>
      <c r="Z5680" t="s">
        <v>34376</v>
      </c>
      <c r="AA5680" t="s">
        <v>34376</v>
      </c>
      <c r="AB5680" t="s">
        <v>34377</v>
      </c>
      <c r="AC5680" t="s">
        <v>21779</v>
      </c>
      <c r="AD5680" t="s">
        <v>10783</v>
      </c>
      <c r="AE5680" t="s">
        <v>34378</v>
      </c>
      <c r="AG5680" t="s">
        <v>34379</v>
      </c>
      <c r="AH5680" t="s">
        <v>2231</v>
      </c>
      <c r="AI5680" t="s">
        <v>34380</v>
      </c>
    </row>
    <row r="5681" spans="2:35" ht="105">
      <c r="B5681" s="1">
        <v>45300</v>
      </c>
      <c r="C5681" s="4">
        <v>45295.496527777781</v>
      </c>
      <c r="D5681" t="s">
        <v>25967</v>
      </c>
      <c r="E5681" t="s">
        <v>25968</v>
      </c>
      <c r="F5681">
        <v>3</v>
      </c>
      <c r="G5681" t="s">
        <v>174</v>
      </c>
      <c r="H5681" t="s">
        <v>39</v>
      </c>
      <c r="I5681" t="s">
        <v>40</v>
      </c>
      <c r="J5681" s="2" t="s">
        <v>30202</v>
      </c>
      <c r="K5681" t="s">
        <v>42</v>
      </c>
      <c r="L5681" t="s">
        <v>175</v>
      </c>
      <c r="N5681" t="s">
        <v>176</v>
      </c>
      <c r="Q5681">
        <v>26869</v>
      </c>
      <c r="R5681" t="s">
        <v>119</v>
      </c>
      <c r="S5681" t="s">
        <v>25969</v>
      </c>
      <c r="T5681">
        <v>25</v>
      </c>
      <c r="U5681" s="2" t="s">
        <v>8179</v>
      </c>
      <c r="V5681" s="1">
        <v>45274</v>
      </c>
      <c r="W5681" t="s">
        <v>84</v>
      </c>
      <c r="X5681">
        <v>831691</v>
      </c>
      <c r="Y5681" t="s">
        <v>34381</v>
      </c>
      <c r="Z5681" t="e">
        <f ca="1">- replaced B3
- checked _xludf.and cleaned cartridge bay, plunger rod, _xludf.filter
- generated reports</f>
        <v>#NAME?</v>
      </c>
      <c r="AA5681" t="s">
        <v>33640</v>
      </c>
      <c r="AB5681" t="s">
        <v>88</v>
      </c>
      <c r="AD5681" s="2" t="s">
        <v>34382</v>
      </c>
      <c r="AE5681">
        <v>10124</v>
      </c>
      <c r="AG5681" t="s">
        <v>34383</v>
      </c>
      <c r="AH5681" t="s">
        <v>25971</v>
      </c>
      <c r="AI5681" t="s">
        <v>34384</v>
      </c>
    </row>
    <row r="5682" spans="2:35" ht="210">
      <c r="B5682" s="1">
        <v>45300</v>
      </c>
      <c r="C5682" s="4">
        <v>45300.445138888892</v>
      </c>
      <c r="D5682" t="s">
        <v>25980</v>
      </c>
      <c r="E5682" t="s">
        <v>3234</v>
      </c>
      <c r="F5682">
        <v>3</v>
      </c>
      <c r="G5682" t="s">
        <v>174</v>
      </c>
      <c r="H5682" t="s">
        <v>39</v>
      </c>
      <c r="I5682" t="s">
        <v>40</v>
      </c>
      <c r="J5682" s="2" t="s">
        <v>190</v>
      </c>
      <c r="K5682" t="s">
        <v>42</v>
      </c>
      <c r="L5682" t="s">
        <v>175</v>
      </c>
      <c r="N5682" t="s">
        <v>176</v>
      </c>
      <c r="Q5682">
        <v>26868</v>
      </c>
      <c r="R5682" t="s">
        <v>119</v>
      </c>
      <c r="S5682" t="s">
        <v>3235</v>
      </c>
      <c r="T5682">
        <v>25</v>
      </c>
      <c r="U5682" s="2" t="s">
        <v>34385</v>
      </c>
      <c r="W5682" t="s">
        <v>84</v>
      </c>
      <c r="X5682">
        <v>831904</v>
      </c>
      <c r="Y5682" t="s">
        <v>34386</v>
      </c>
      <c r="Z5682" t="e">
        <f ca="1">- checked _xludf.and cleaned cartridge bay, plunger rod, _xludf.filter
- performed XpertCheck on A2
- generated reports</f>
        <v>#NAME?</v>
      </c>
      <c r="AA5682" t="s">
        <v>999</v>
      </c>
      <c r="AB5682" s="2" t="s">
        <v>34387</v>
      </c>
      <c r="AG5682" t="s">
        <v>34388</v>
      </c>
      <c r="AH5682" t="s">
        <v>34389</v>
      </c>
      <c r="AI5682" t="s">
        <v>34390</v>
      </c>
    </row>
    <row r="5683" spans="2:35" ht="105">
      <c r="B5683" s="1">
        <v>45300</v>
      </c>
      <c r="C5683" s="4">
        <v>45300.45208333333</v>
      </c>
      <c r="D5683" t="s">
        <v>34391</v>
      </c>
      <c r="E5683" t="s">
        <v>23464</v>
      </c>
      <c r="F5683">
        <v>6</v>
      </c>
      <c r="G5683" t="s">
        <v>1234</v>
      </c>
      <c r="H5683" t="s">
        <v>39</v>
      </c>
      <c r="I5683" t="s">
        <v>94</v>
      </c>
      <c r="J5683" s="2" t="s">
        <v>41</v>
      </c>
      <c r="K5683" t="s">
        <v>42</v>
      </c>
      <c r="L5683" t="s">
        <v>270</v>
      </c>
      <c r="N5683" t="s">
        <v>2481</v>
      </c>
      <c r="Q5683">
        <v>26867</v>
      </c>
      <c r="R5683" t="s">
        <v>45</v>
      </c>
      <c r="S5683" t="s">
        <v>23465</v>
      </c>
      <c r="T5683">
        <v>25</v>
      </c>
      <c r="U5683" s="2" t="s">
        <v>10755</v>
      </c>
      <c r="W5683" t="s">
        <v>360</v>
      </c>
      <c r="X5683">
        <v>838138</v>
      </c>
      <c r="Y5683" t="s">
        <v>34392</v>
      </c>
      <c r="Z5683" t="e">
        <f ca="1">- cleaned _xludf.filter, optic slots, plunger, module bay area.</f>
        <v>#NAME?</v>
      </c>
      <c r="AA5683" t="s">
        <v>34393</v>
      </c>
      <c r="AB5683" t="s">
        <v>4668</v>
      </c>
      <c r="AG5683" t="s">
        <v>34394</v>
      </c>
      <c r="AH5683" t="s">
        <v>23471</v>
      </c>
      <c r="AI5683" t="s">
        <v>34395</v>
      </c>
    </row>
    <row r="5684" spans="2:35" ht="285">
      <c r="B5684" s="1">
        <v>45299</v>
      </c>
      <c r="C5684" s="4">
        <v>45299.706250000003</v>
      </c>
      <c r="D5684" t="s">
        <v>21845</v>
      </c>
      <c r="E5684" t="s">
        <v>21846</v>
      </c>
      <c r="F5684">
        <v>3</v>
      </c>
      <c r="G5684" t="s">
        <v>219</v>
      </c>
      <c r="H5684" t="s">
        <v>39</v>
      </c>
      <c r="I5684" t="s">
        <v>40</v>
      </c>
      <c r="J5684" s="2" t="s">
        <v>41</v>
      </c>
      <c r="K5684" t="s">
        <v>42</v>
      </c>
      <c r="L5684" t="s">
        <v>135</v>
      </c>
      <c r="N5684" t="s">
        <v>136</v>
      </c>
      <c r="Q5684">
        <v>26866</v>
      </c>
      <c r="R5684" t="s">
        <v>119</v>
      </c>
      <c r="S5684" t="s">
        <v>21847</v>
      </c>
      <c r="T5684">
        <v>28</v>
      </c>
      <c r="U5684" s="2" t="s">
        <v>34396</v>
      </c>
      <c r="V5684" s="1">
        <v>45296</v>
      </c>
      <c r="W5684" t="s">
        <v>2680</v>
      </c>
      <c r="X5684">
        <v>831608</v>
      </c>
      <c r="Y5684" s="2" t="s">
        <v>34397</v>
      </c>
      <c r="Z5684" s="2" t="s">
        <v>22434</v>
      </c>
      <c r="AA5684" s="2" t="s">
        <v>34398</v>
      </c>
      <c r="AB5684" t="s">
        <v>181</v>
      </c>
      <c r="AC5684" t="s">
        <v>34399</v>
      </c>
      <c r="AD5684" t="s">
        <v>34400</v>
      </c>
      <c r="AE5684" t="s">
        <v>34401</v>
      </c>
      <c r="AG5684" t="s">
        <v>34402</v>
      </c>
      <c r="AH5684" t="s">
        <v>26191</v>
      </c>
      <c r="AI5684" t="s">
        <v>34403</v>
      </c>
    </row>
    <row r="5685" spans="2:35" ht="105">
      <c r="B5685" s="1">
        <v>45299</v>
      </c>
      <c r="C5685" s="4">
        <v>45299.677777777775</v>
      </c>
      <c r="D5685" t="s">
        <v>16538</v>
      </c>
      <c r="E5685" t="s">
        <v>16539</v>
      </c>
      <c r="F5685">
        <v>7</v>
      </c>
      <c r="G5685" t="s">
        <v>432</v>
      </c>
      <c r="H5685" t="s">
        <v>608</v>
      </c>
      <c r="I5685" t="s">
        <v>94</v>
      </c>
      <c r="J5685" t="s">
        <v>109</v>
      </c>
      <c r="K5685" t="s">
        <v>42</v>
      </c>
      <c r="L5685" t="s">
        <v>610</v>
      </c>
      <c r="N5685" t="s">
        <v>611</v>
      </c>
      <c r="Q5685">
        <v>26865</v>
      </c>
      <c r="R5685" t="s">
        <v>119</v>
      </c>
      <c r="S5685" t="s">
        <v>16540</v>
      </c>
      <c r="T5685">
        <v>24</v>
      </c>
      <c r="U5685" s="2" t="s">
        <v>34404</v>
      </c>
      <c r="W5685" t="s">
        <v>360</v>
      </c>
      <c r="X5685">
        <v>838283</v>
      </c>
      <c r="Y5685" t="s">
        <v>2851</v>
      </c>
      <c r="Z5685" t="s">
        <v>34405</v>
      </c>
      <c r="AA5685" t="s">
        <v>34406</v>
      </c>
      <c r="AB5685" t="s">
        <v>1263</v>
      </c>
      <c r="AG5685" t="s">
        <v>34407</v>
      </c>
      <c r="AH5685" t="s">
        <v>31502</v>
      </c>
      <c r="AI5685" t="s">
        <v>34408</v>
      </c>
    </row>
    <row r="5686" spans="2:35" ht="409.5">
      <c r="B5686" s="1">
        <v>45299</v>
      </c>
      <c r="C5686" s="4">
        <v>45299.543749999997</v>
      </c>
      <c r="D5686" t="s">
        <v>34409</v>
      </c>
      <c r="E5686" t="s">
        <v>34410</v>
      </c>
      <c r="F5686">
        <v>3</v>
      </c>
      <c r="G5686" t="s">
        <v>219</v>
      </c>
      <c r="H5686" t="s">
        <v>39</v>
      </c>
      <c r="I5686" t="s">
        <v>40</v>
      </c>
      <c r="J5686" s="2" t="s">
        <v>62</v>
      </c>
      <c r="K5686" t="s">
        <v>42</v>
      </c>
      <c r="L5686" t="s">
        <v>135</v>
      </c>
      <c r="N5686" t="s">
        <v>136</v>
      </c>
      <c r="Q5686">
        <v>26864</v>
      </c>
      <c r="R5686" t="s">
        <v>45</v>
      </c>
      <c r="S5686" t="s">
        <v>221</v>
      </c>
      <c r="T5686">
        <v>29</v>
      </c>
      <c r="U5686" s="2" t="s">
        <v>34411</v>
      </c>
      <c r="V5686" s="1">
        <v>45043</v>
      </c>
      <c r="W5686" t="s">
        <v>34412</v>
      </c>
      <c r="X5686">
        <v>834806</v>
      </c>
      <c r="Y5686" t="s">
        <v>1751</v>
      </c>
      <c r="Z5686" s="2" t="s">
        <v>29789</v>
      </c>
      <c r="AA5686" s="2" t="s">
        <v>31375</v>
      </c>
      <c r="AB5686" t="s">
        <v>181</v>
      </c>
      <c r="AC5686" t="s">
        <v>34413</v>
      </c>
      <c r="AD5686" t="s">
        <v>26369</v>
      </c>
      <c r="AE5686">
        <v>40656</v>
      </c>
      <c r="AG5686" t="s">
        <v>34414</v>
      </c>
      <c r="AH5686" t="s">
        <v>402</v>
      </c>
      <c r="AI5686" t="s">
        <v>34415</v>
      </c>
    </row>
    <row r="5687" spans="2:35" ht="409.5">
      <c r="B5687" s="1">
        <v>45299</v>
      </c>
      <c r="C5687" s="4">
        <v>45299.546527777777</v>
      </c>
      <c r="D5687" t="s">
        <v>217</v>
      </c>
      <c r="E5687" t="s">
        <v>34410</v>
      </c>
      <c r="F5687">
        <v>3</v>
      </c>
      <c r="G5687" t="s">
        <v>219</v>
      </c>
      <c r="H5687" t="s">
        <v>39</v>
      </c>
      <c r="I5687" t="s">
        <v>40</v>
      </c>
      <c r="J5687" s="2" t="s">
        <v>62</v>
      </c>
      <c r="K5687" t="s">
        <v>42</v>
      </c>
      <c r="L5687" t="s">
        <v>135</v>
      </c>
      <c r="N5687" t="s">
        <v>136</v>
      </c>
      <c r="Q5687">
        <v>26863</v>
      </c>
      <c r="R5687" t="s">
        <v>45</v>
      </c>
      <c r="S5687" t="s">
        <v>221</v>
      </c>
      <c r="T5687">
        <v>28</v>
      </c>
      <c r="U5687" s="2" t="s">
        <v>34416</v>
      </c>
      <c r="V5687" s="1">
        <v>44995</v>
      </c>
      <c r="W5687" t="s">
        <v>2680</v>
      </c>
      <c r="X5687">
        <v>804700</v>
      </c>
      <c r="Y5687" t="s">
        <v>1751</v>
      </c>
      <c r="Z5687" s="2" t="s">
        <v>29789</v>
      </c>
      <c r="AA5687" s="2" t="s">
        <v>31375</v>
      </c>
      <c r="AB5687" s="2" t="s">
        <v>34417</v>
      </c>
      <c r="AC5687" t="s">
        <v>34418</v>
      </c>
      <c r="AD5687" t="s">
        <v>28115</v>
      </c>
      <c r="AE5687">
        <v>39470</v>
      </c>
      <c r="AG5687" t="s">
        <v>34419</v>
      </c>
      <c r="AH5687" t="s">
        <v>402</v>
      </c>
      <c r="AI5687" t="s">
        <v>34420</v>
      </c>
    </row>
    <row r="5688" spans="2:35" ht="409.5">
      <c r="B5688" s="1">
        <v>45299</v>
      </c>
      <c r="C5688" s="4">
        <v>45299.55</v>
      </c>
      <c r="D5688" t="s">
        <v>217</v>
      </c>
      <c r="E5688" t="s">
        <v>34410</v>
      </c>
      <c r="F5688">
        <v>3</v>
      </c>
      <c r="G5688" t="s">
        <v>219</v>
      </c>
      <c r="H5688" t="s">
        <v>39</v>
      </c>
      <c r="I5688" t="s">
        <v>40</v>
      </c>
      <c r="J5688" s="2" t="s">
        <v>62</v>
      </c>
      <c r="K5688" t="s">
        <v>42</v>
      </c>
      <c r="L5688" t="s">
        <v>135</v>
      </c>
      <c r="N5688" t="s">
        <v>136</v>
      </c>
      <c r="Q5688">
        <v>26862</v>
      </c>
      <c r="R5688" t="s">
        <v>45</v>
      </c>
      <c r="S5688" t="s">
        <v>221</v>
      </c>
      <c r="T5688">
        <v>26</v>
      </c>
      <c r="U5688" s="2" t="s">
        <v>34411</v>
      </c>
      <c r="V5688" s="1">
        <v>45043</v>
      </c>
      <c r="W5688" t="s">
        <v>3418</v>
      </c>
      <c r="X5688">
        <v>834807</v>
      </c>
      <c r="Y5688" t="s">
        <v>1751</v>
      </c>
      <c r="Z5688" s="2" t="s">
        <v>32464</v>
      </c>
      <c r="AA5688" s="2" t="s">
        <v>31375</v>
      </c>
      <c r="AB5688" t="s">
        <v>181</v>
      </c>
      <c r="AC5688" t="s">
        <v>34421</v>
      </c>
      <c r="AD5688" t="s">
        <v>34422</v>
      </c>
      <c r="AE5688">
        <v>40656</v>
      </c>
      <c r="AG5688" t="s">
        <v>34423</v>
      </c>
      <c r="AH5688" t="s">
        <v>402</v>
      </c>
      <c r="AI5688" t="s">
        <v>34424</v>
      </c>
    </row>
    <row r="5689" spans="2:35" ht="409.5">
      <c r="B5689" s="1">
        <v>45299</v>
      </c>
      <c r="C5689" s="4">
        <v>45299.43472222222</v>
      </c>
      <c r="D5689" t="s">
        <v>25396</v>
      </c>
      <c r="E5689" t="s">
        <v>34425</v>
      </c>
      <c r="F5689">
        <v>3</v>
      </c>
      <c r="G5689" t="s">
        <v>284</v>
      </c>
      <c r="H5689" t="s">
        <v>39</v>
      </c>
      <c r="I5689" t="s">
        <v>40</v>
      </c>
      <c r="J5689" s="2" t="s">
        <v>1592</v>
      </c>
      <c r="K5689" t="s">
        <v>42</v>
      </c>
      <c r="L5689" t="s">
        <v>135</v>
      </c>
      <c r="N5689" t="s">
        <v>136</v>
      </c>
      <c r="Q5689">
        <v>26861</v>
      </c>
      <c r="R5689" t="s">
        <v>119</v>
      </c>
      <c r="S5689" t="s">
        <v>25398</v>
      </c>
      <c r="T5689">
        <v>26</v>
      </c>
      <c r="U5689" s="2" t="s">
        <v>12665</v>
      </c>
      <c r="V5689" s="1">
        <v>45296</v>
      </c>
      <c r="W5689" t="s">
        <v>2680</v>
      </c>
      <c r="X5689">
        <v>831668</v>
      </c>
      <c r="Y5689" s="2" t="s">
        <v>34426</v>
      </c>
      <c r="Z5689" s="2" t="s">
        <v>34427</v>
      </c>
      <c r="AA5689" s="2" t="s">
        <v>34428</v>
      </c>
      <c r="AB5689" t="s">
        <v>34429</v>
      </c>
      <c r="AC5689" t="s">
        <v>34430</v>
      </c>
      <c r="AD5689" s="2" t="s">
        <v>34431</v>
      </c>
      <c r="AE5689">
        <v>11042</v>
      </c>
      <c r="AG5689" t="s">
        <v>34432</v>
      </c>
      <c r="AH5689" t="s">
        <v>27926</v>
      </c>
      <c r="AI5689" t="s">
        <v>34433</v>
      </c>
    </row>
    <row r="5690" spans="2:35" ht="195">
      <c r="B5690" s="1">
        <v>45299</v>
      </c>
      <c r="C5690" s="4">
        <v>45296.443749999999</v>
      </c>
      <c r="D5690" t="s">
        <v>4757</v>
      </c>
      <c r="E5690" t="s">
        <v>27342</v>
      </c>
      <c r="F5690" t="s">
        <v>148</v>
      </c>
      <c r="G5690" t="s">
        <v>785</v>
      </c>
      <c r="H5690" t="s">
        <v>39</v>
      </c>
      <c r="I5690" t="s">
        <v>40</v>
      </c>
      <c r="J5690" s="2" t="s">
        <v>31979</v>
      </c>
      <c r="K5690" t="s">
        <v>42</v>
      </c>
      <c r="L5690" t="s">
        <v>43</v>
      </c>
      <c r="N5690" t="s">
        <v>44</v>
      </c>
      <c r="Q5690">
        <v>26860</v>
      </c>
      <c r="R5690" t="s">
        <v>119</v>
      </c>
      <c r="S5690" t="s">
        <v>4759</v>
      </c>
      <c r="T5690">
        <v>23</v>
      </c>
      <c r="U5690" s="2" t="s">
        <v>34434</v>
      </c>
      <c r="W5690" t="s">
        <v>48</v>
      </c>
      <c r="X5690">
        <v>831905</v>
      </c>
      <c r="Y5690" t="s">
        <v>34435</v>
      </c>
      <c r="Z5690" t="s">
        <v>34436</v>
      </c>
      <c r="AA5690" s="2" t="s">
        <v>34437</v>
      </c>
      <c r="AB5690" t="s">
        <v>88</v>
      </c>
      <c r="AG5690" t="s">
        <v>34438</v>
      </c>
      <c r="AH5690" t="s">
        <v>27348</v>
      </c>
      <c r="AI5690" t="s">
        <v>34439</v>
      </c>
    </row>
    <row r="5691" spans="2:35" ht="150">
      <c r="B5691" s="1">
        <v>45299</v>
      </c>
      <c r="C5691" s="4">
        <v>45296.599305555559</v>
      </c>
      <c r="D5691" t="s">
        <v>1107</v>
      </c>
      <c r="E5691" t="s">
        <v>33952</v>
      </c>
      <c r="F5691" t="s">
        <v>37</v>
      </c>
      <c r="G5691" t="s">
        <v>38</v>
      </c>
      <c r="H5691" t="s">
        <v>39</v>
      </c>
      <c r="I5691" t="s">
        <v>40</v>
      </c>
      <c r="J5691" s="2" t="s">
        <v>30202</v>
      </c>
      <c r="K5691" t="s">
        <v>42</v>
      </c>
      <c r="L5691" t="s">
        <v>43</v>
      </c>
      <c r="N5691" t="s">
        <v>44</v>
      </c>
      <c r="Q5691">
        <v>26859</v>
      </c>
      <c r="R5691" t="s">
        <v>119</v>
      </c>
      <c r="S5691" t="s">
        <v>26768</v>
      </c>
      <c r="T5691">
        <v>24</v>
      </c>
      <c r="U5691" s="2" t="s">
        <v>34440</v>
      </c>
      <c r="V5691" s="1">
        <v>45280</v>
      </c>
      <c r="W5691" t="s">
        <v>48</v>
      </c>
      <c r="X5691">
        <v>819864</v>
      </c>
      <c r="Y5691" t="s">
        <v>49</v>
      </c>
      <c r="Z5691" t="s">
        <v>50</v>
      </c>
      <c r="AA5691" s="2" t="s">
        <v>34441</v>
      </c>
      <c r="AB5691" t="s">
        <v>34442</v>
      </c>
      <c r="AD5691" s="2" t="s">
        <v>34443</v>
      </c>
      <c r="AE5691" t="s">
        <v>34444</v>
      </c>
      <c r="AG5691" t="s">
        <v>34445</v>
      </c>
      <c r="AH5691" t="s">
        <v>34446</v>
      </c>
      <c r="AI5691" t="s">
        <v>34447</v>
      </c>
    </row>
    <row r="5692" spans="2:35" ht="285">
      <c r="B5692" s="1">
        <v>45299</v>
      </c>
      <c r="C5692" s="4">
        <v>45299.321527777778</v>
      </c>
      <c r="D5692" t="s">
        <v>3357</v>
      </c>
      <c r="E5692" t="s">
        <v>27224</v>
      </c>
      <c r="F5692">
        <v>3</v>
      </c>
      <c r="G5692" t="s">
        <v>134</v>
      </c>
      <c r="H5692" t="s">
        <v>39</v>
      </c>
      <c r="I5692" t="s">
        <v>40</v>
      </c>
      <c r="J5692" s="2" t="s">
        <v>41</v>
      </c>
      <c r="K5692" t="s">
        <v>42</v>
      </c>
      <c r="L5692" t="s">
        <v>135</v>
      </c>
      <c r="N5692" t="s">
        <v>136</v>
      </c>
      <c r="Q5692">
        <v>26858</v>
      </c>
      <c r="R5692" t="s">
        <v>119</v>
      </c>
      <c r="S5692" t="s">
        <v>3359</v>
      </c>
      <c r="T5692">
        <v>25</v>
      </c>
      <c r="U5692" s="2" t="s">
        <v>3306</v>
      </c>
      <c r="V5692" s="1">
        <v>45296</v>
      </c>
      <c r="W5692" t="s">
        <v>2680</v>
      </c>
      <c r="X5692">
        <v>831912</v>
      </c>
      <c r="Y5692" s="2" t="s">
        <v>34448</v>
      </c>
      <c r="Z5692" s="2" t="s">
        <v>22434</v>
      </c>
      <c r="AA5692" s="2" t="s">
        <v>34449</v>
      </c>
      <c r="AB5692" t="s">
        <v>181</v>
      </c>
      <c r="AC5692" t="s">
        <v>34450</v>
      </c>
      <c r="AD5692" t="s">
        <v>34451</v>
      </c>
      <c r="AE5692" t="s">
        <v>34452</v>
      </c>
      <c r="AG5692" t="s">
        <v>34453</v>
      </c>
      <c r="AH5692" t="s">
        <v>3362</v>
      </c>
      <c r="AI5692" t="s">
        <v>34454</v>
      </c>
    </row>
    <row r="5693" spans="2:35" ht="225">
      <c r="B5693" s="1">
        <v>45299</v>
      </c>
      <c r="C5693" s="4">
        <v>45296.560416666667</v>
      </c>
      <c r="D5693" t="s">
        <v>5496</v>
      </c>
      <c r="E5693" t="s">
        <v>34455</v>
      </c>
      <c r="F5693">
        <v>5</v>
      </c>
      <c r="G5693" t="s">
        <v>839</v>
      </c>
      <c r="H5693" t="s">
        <v>39</v>
      </c>
      <c r="I5693" t="s">
        <v>94</v>
      </c>
      <c r="J5693" s="2" t="s">
        <v>41</v>
      </c>
      <c r="K5693" t="s">
        <v>42</v>
      </c>
      <c r="L5693" t="s">
        <v>761</v>
      </c>
      <c r="N5693" t="s">
        <v>762</v>
      </c>
      <c r="Q5693">
        <v>26857</v>
      </c>
      <c r="R5693" t="s">
        <v>119</v>
      </c>
      <c r="S5693" t="s">
        <v>5498</v>
      </c>
      <c r="T5693">
        <v>22</v>
      </c>
      <c r="U5693" s="2" t="s">
        <v>34456</v>
      </c>
      <c r="W5693" t="s">
        <v>3662</v>
      </c>
      <c r="X5693">
        <v>838391</v>
      </c>
      <c r="Y5693" t="s">
        <v>34457</v>
      </c>
      <c r="Z5693" s="2" t="s">
        <v>34458</v>
      </c>
      <c r="AA5693" s="2" t="s">
        <v>34459</v>
      </c>
      <c r="AB5693" t="s">
        <v>181</v>
      </c>
      <c r="AG5693" t="s">
        <v>34460</v>
      </c>
      <c r="AH5693" t="s">
        <v>5503</v>
      </c>
      <c r="AI5693" t="s">
        <v>34461</v>
      </c>
    </row>
    <row r="5694" spans="2:35" ht="135">
      <c r="B5694" s="1">
        <v>45299</v>
      </c>
      <c r="C5694" s="4">
        <v>45295.558333333334</v>
      </c>
      <c r="D5694" t="s">
        <v>34462</v>
      </c>
      <c r="E5694" t="s">
        <v>34463</v>
      </c>
      <c r="F5694">
        <v>5</v>
      </c>
      <c r="G5694" t="s">
        <v>814</v>
      </c>
      <c r="H5694" t="s">
        <v>39</v>
      </c>
      <c r="I5694" t="s">
        <v>94</v>
      </c>
      <c r="J5694" s="2" t="s">
        <v>41</v>
      </c>
      <c r="K5694" t="s">
        <v>42</v>
      </c>
      <c r="L5694" t="s">
        <v>761</v>
      </c>
      <c r="N5694" t="s">
        <v>762</v>
      </c>
      <c r="Q5694">
        <v>26856</v>
      </c>
      <c r="R5694" t="s">
        <v>119</v>
      </c>
      <c r="S5694" t="s">
        <v>14253</v>
      </c>
      <c r="T5694">
        <v>25</v>
      </c>
      <c r="W5694" t="s">
        <v>3662</v>
      </c>
      <c r="X5694">
        <v>838266</v>
      </c>
      <c r="Y5694" t="s">
        <v>962</v>
      </c>
      <c r="Z5694" s="2" t="s">
        <v>34464</v>
      </c>
      <c r="AA5694" t="s">
        <v>777</v>
      </c>
      <c r="AB5694" t="s">
        <v>181</v>
      </c>
      <c r="AG5694" t="s">
        <v>34465</v>
      </c>
      <c r="AH5694" t="s">
        <v>8693</v>
      </c>
      <c r="AI5694" t="s">
        <v>34466</v>
      </c>
    </row>
    <row r="5695" spans="2:35" ht="105">
      <c r="B5695" s="1">
        <v>45298</v>
      </c>
      <c r="C5695" s="4">
        <v>45294.594444444447</v>
      </c>
      <c r="D5695" t="s">
        <v>34467</v>
      </c>
      <c r="E5695" t="s">
        <v>34468</v>
      </c>
      <c r="F5695">
        <v>5</v>
      </c>
      <c r="G5695" t="s">
        <v>814</v>
      </c>
      <c r="H5695" t="s">
        <v>39</v>
      </c>
      <c r="I5695" t="s">
        <v>40</v>
      </c>
      <c r="J5695" s="2" t="s">
        <v>41</v>
      </c>
      <c r="K5695" t="s">
        <v>42</v>
      </c>
      <c r="L5695" t="s">
        <v>761</v>
      </c>
      <c r="N5695" t="s">
        <v>762</v>
      </c>
      <c r="Q5695">
        <v>26855</v>
      </c>
      <c r="R5695" t="s">
        <v>45</v>
      </c>
      <c r="S5695" t="s">
        <v>34469</v>
      </c>
      <c r="T5695">
        <v>24</v>
      </c>
      <c r="U5695" s="2" t="s">
        <v>34470</v>
      </c>
      <c r="W5695" t="s">
        <v>3662</v>
      </c>
      <c r="X5695">
        <v>835214</v>
      </c>
      <c r="Y5695" t="s">
        <v>34471</v>
      </c>
      <c r="Z5695" t="s">
        <v>34472</v>
      </c>
      <c r="AA5695" t="s">
        <v>34473</v>
      </c>
      <c r="AB5695" t="s">
        <v>181</v>
      </c>
      <c r="AG5695" t="s">
        <v>34474</v>
      </c>
      <c r="AH5695" t="s">
        <v>34475</v>
      </c>
      <c r="AI5695" t="s">
        <v>34476</v>
      </c>
    </row>
    <row r="5696" spans="2:35" ht="285">
      <c r="B5696" s="1">
        <v>45298</v>
      </c>
      <c r="C5696" s="4">
        <v>45289.629166666666</v>
      </c>
      <c r="D5696" t="s">
        <v>6555</v>
      </c>
      <c r="E5696" t="s">
        <v>10763</v>
      </c>
      <c r="F5696">
        <v>5</v>
      </c>
      <c r="G5696" t="s">
        <v>839</v>
      </c>
      <c r="H5696" t="s">
        <v>39</v>
      </c>
      <c r="I5696" t="s">
        <v>94</v>
      </c>
      <c r="J5696" s="2" t="s">
        <v>41</v>
      </c>
      <c r="K5696" t="s">
        <v>42</v>
      </c>
      <c r="L5696" t="s">
        <v>761</v>
      </c>
      <c r="N5696" t="s">
        <v>762</v>
      </c>
      <c r="Q5696">
        <v>26854</v>
      </c>
      <c r="R5696" t="s">
        <v>119</v>
      </c>
      <c r="S5696" t="s">
        <v>6557</v>
      </c>
      <c r="T5696">
        <v>23</v>
      </c>
      <c r="U5696" s="2" t="s">
        <v>34477</v>
      </c>
      <c r="W5696" t="s">
        <v>360</v>
      </c>
      <c r="X5696">
        <v>838398</v>
      </c>
      <c r="Y5696" s="2" t="s">
        <v>34478</v>
      </c>
      <c r="Z5696" s="2" t="s">
        <v>34479</v>
      </c>
      <c r="AA5696" s="2" t="s">
        <v>34480</v>
      </c>
      <c r="AB5696" t="s">
        <v>181</v>
      </c>
      <c r="AC5696" t="s">
        <v>34481</v>
      </c>
      <c r="AG5696" t="s">
        <v>34482</v>
      </c>
      <c r="AH5696" t="s">
        <v>6562</v>
      </c>
      <c r="AI5696" t="s">
        <v>34483</v>
      </c>
    </row>
    <row r="5697" spans="2:35" ht="409.5">
      <c r="B5697" s="1">
        <v>45298</v>
      </c>
      <c r="C5697" s="4">
        <v>45287.868055555555</v>
      </c>
      <c r="D5697" t="s">
        <v>837</v>
      </c>
      <c r="E5697" t="s">
        <v>27098</v>
      </c>
      <c r="F5697">
        <v>5</v>
      </c>
      <c r="G5697" t="s">
        <v>839</v>
      </c>
      <c r="H5697" t="s">
        <v>61</v>
      </c>
      <c r="I5697" t="s">
        <v>40</v>
      </c>
      <c r="J5697" s="2" t="s">
        <v>41</v>
      </c>
      <c r="K5697" t="s">
        <v>42</v>
      </c>
      <c r="L5697" t="s">
        <v>761</v>
      </c>
      <c r="N5697" t="s">
        <v>762</v>
      </c>
      <c r="Q5697">
        <v>26853</v>
      </c>
      <c r="R5697" t="s">
        <v>45</v>
      </c>
      <c r="S5697" t="s">
        <v>21302</v>
      </c>
      <c r="T5697">
        <v>24</v>
      </c>
      <c r="U5697" s="2" t="s">
        <v>34484</v>
      </c>
      <c r="W5697" t="s">
        <v>34485</v>
      </c>
      <c r="X5697">
        <v>842225</v>
      </c>
      <c r="Y5697" t="s">
        <v>34486</v>
      </c>
      <c r="Z5697" s="2" t="s">
        <v>34487</v>
      </c>
      <c r="AA5697" s="2" t="s">
        <v>34488</v>
      </c>
      <c r="AB5697" t="s">
        <v>181</v>
      </c>
      <c r="AG5697" t="s">
        <v>34489</v>
      </c>
      <c r="AH5697" t="s">
        <v>34490</v>
      </c>
      <c r="AI5697" t="s">
        <v>34491</v>
      </c>
    </row>
    <row r="5698" spans="2:35" ht="409.5">
      <c r="B5698" s="1">
        <v>45298</v>
      </c>
      <c r="C5698" s="4">
        <v>45287.868055555555</v>
      </c>
      <c r="D5698" t="s">
        <v>837</v>
      </c>
      <c r="E5698" t="s">
        <v>27098</v>
      </c>
      <c r="F5698">
        <v>5</v>
      </c>
      <c r="G5698" t="s">
        <v>839</v>
      </c>
      <c r="H5698" t="s">
        <v>61</v>
      </c>
      <c r="I5698" t="s">
        <v>40</v>
      </c>
      <c r="J5698" s="2" t="s">
        <v>41</v>
      </c>
      <c r="K5698" t="s">
        <v>42</v>
      </c>
      <c r="L5698" t="s">
        <v>761</v>
      </c>
      <c r="N5698" t="s">
        <v>762</v>
      </c>
      <c r="Q5698">
        <v>26852</v>
      </c>
      <c r="R5698" t="s">
        <v>45</v>
      </c>
      <c r="S5698" t="s">
        <v>21302</v>
      </c>
      <c r="T5698">
        <v>24</v>
      </c>
      <c r="U5698" s="2" t="s">
        <v>34484</v>
      </c>
      <c r="W5698" t="s">
        <v>34485</v>
      </c>
      <c r="X5698">
        <v>842225</v>
      </c>
      <c r="Y5698" t="s">
        <v>34486</v>
      </c>
      <c r="Z5698" s="2" t="s">
        <v>34487</v>
      </c>
      <c r="AA5698" s="2" t="s">
        <v>34488</v>
      </c>
      <c r="AB5698" t="s">
        <v>181</v>
      </c>
      <c r="AG5698" t="s">
        <v>34492</v>
      </c>
      <c r="AH5698" t="s">
        <v>34490</v>
      </c>
      <c r="AI5698" t="s">
        <v>34493</v>
      </c>
    </row>
    <row r="5699" spans="2:35" ht="300">
      <c r="B5699" s="1">
        <v>45298</v>
      </c>
      <c r="C5699" s="4">
        <v>45287.621527777781</v>
      </c>
      <c r="D5699" t="s">
        <v>7155</v>
      </c>
      <c r="E5699" t="s">
        <v>34494</v>
      </c>
      <c r="F5699">
        <v>5</v>
      </c>
      <c r="G5699" t="s">
        <v>839</v>
      </c>
      <c r="H5699" t="s">
        <v>39</v>
      </c>
      <c r="I5699" t="s">
        <v>40</v>
      </c>
      <c r="J5699" s="2" t="s">
        <v>41</v>
      </c>
      <c r="K5699" t="s">
        <v>42</v>
      </c>
      <c r="L5699" t="s">
        <v>761</v>
      </c>
      <c r="N5699" t="s">
        <v>762</v>
      </c>
      <c r="Q5699">
        <v>26851</v>
      </c>
      <c r="R5699" t="s">
        <v>119</v>
      </c>
      <c r="S5699" t="s">
        <v>7158</v>
      </c>
      <c r="T5699">
        <v>28</v>
      </c>
      <c r="U5699" s="2" t="s">
        <v>24212</v>
      </c>
      <c r="W5699" t="s">
        <v>360</v>
      </c>
      <c r="X5699">
        <v>838496</v>
      </c>
      <c r="Y5699" t="s">
        <v>34495</v>
      </c>
      <c r="Z5699" s="2" t="s">
        <v>34496</v>
      </c>
      <c r="AA5699" s="2" t="s">
        <v>34497</v>
      </c>
      <c r="AB5699" t="s">
        <v>181</v>
      </c>
      <c r="AG5699" t="s">
        <v>34498</v>
      </c>
      <c r="AH5699" t="s">
        <v>7162</v>
      </c>
      <c r="AI5699" t="s">
        <v>34499</v>
      </c>
    </row>
    <row r="5700" spans="2:35" ht="180">
      <c r="B5700" s="1">
        <v>45298</v>
      </c>
      <c r="C5700" s="4">
        <v>45287.444444444445</v>
      </c>
      <c r="D5700" t="s">
        <v>34500</v>
      </c>
      <c r="E5700" t="s">
        <v>27098</v>
      </c>
      <c r="F5700">
        <v>5</v>
      </c>
      <c r="G5700" t="s">
        <v>839</v>
      </c>
      <c r="H5700" t="s">
        <v>513</v>
      </c>
      <c r="I5700" t="s">
        <v>40</v>
      </c>
      <c r="J5700" t="s">
        <v>109</v>
      </c>
      <c r="K5700" t="s">
        <v>387</v>
      </c>
      <c r="L5700" t="s">
        <v>761</v>
      </c>
      <c r="N5700" t="s">
        <v>762</v>
      </c>
      <c r="O5700" t="s">
        <v>34501</v>
      </c>
      <c r="Q5700">
        <v>26850</v>
      </c>
      <c r="R5700" t="s">
        <v>322</v>
      </c>
      <c r="S5700" t="s">
        <v>8556</v>
      </c>
      <c r="T5700">
        <v>25</v>
      </c>
      <c r="W5700" t="s">
        <v>390</v>
      </c>
      <c r="X5700" t="s">
        <v>841</v>
      </c>
      <c r="Y5700" t="s">
        <v>1052</v>
      </c>
      <c r="Z5700" s="2" t="s">
        <v>34502</v>
      </c>
      <c r="AA5700" t="s">
        <v>820</v>
      </c>
      <c r="AB5700" t="s">
        <v>181</v>
      </c>
      <c r="AG5700" t="s">
        <v>34503</v>
      </c>
      <c r="AH5700" t="s">
        <v>34504</v>
      </c>
      <c r="AI5700" t="s">
        <v>34505</v>
      </c>
    </row>
    <row r="5701" spans="2:35" ht="225">
      <c r="B5701" s="1">
        <v>45298</v>
      </c>
      <c r="C5701" s="4">
        <v>45287.442361111112</v>
      </c>
      <c r="D5701" t="s">
        <v>14875</v>
      </c>
      <c r="E5701" t="s">
        <v>27098</v>
      </c>
      <c r="F5701">
        <v>5</v>
      </c>
      <c r="G5701" t="s">
        <v>839</v>
      </c>
      <c r="H5701" t="s">
        <v>39</v>
      </c>
      <c r="I5701" t="s">
        <v>40</v>
      </c>
      <c r="J5701" s="2" t="s">
        <v>190</v>
      </c>
      <c r="K5701" t="s">
        <v>387</v>
      </c>
      <c r="L5701" t="s">
        <v>761</v>
      </c>
      <c r="N5701" t="s">
        <v>762</v>
      </c>
      <c r="O5701" t="s">
        <v>34501</v>
      </c>
      <c r="Q5701">
        <v>26849</v>
      </c>
      <c r="R5701" t="s">
        <v>322</v>
      </c>
      <c r="S5701" t="s">
        <v>8556</v>
      </c>
      <c r="T5701">
        <v>25</v>
      </c>
      <c r="W5701" t="s">
        <v>390</v>
      </c>
      <c r="X5701" t="s">
        <v>27099</v>
      </c>
      <c r="Y5701" t="s">
        <v>34506</v>
      </c>
      <c r="Z5701" s="2" t="s">
        <v>34507</v>
      </c>
      <c r="AA5701" s="2" t="s">
        <v>34508</v>
      </c>
      <c r="AB5701" t="s">
        <v>13135</v>
      </c>
      <c r="AC5701" t="s">
        <v>34509</v>
      </c>
      <c r="AG5701" t="s">
        <v>34510</v>
      </c>
      <c r="AH5701" t="s">
        <v>34511</v>
      </c>
      <c r="AI5701" t="s">
        <v>34512</v>
      </c>
    </row>
    <row r="5702" spans="2:35" ht="315">
      <c r="B5702" s="1">
        <v>45298</v>
      </c>
      <c r="C5702" s="4">
        <v>45298.941666666666</v>
      </c>
      <c r="D5702" t="s">
        <v>7476</v>
      </c>
      <c r="E5702" t="s">
        <v>7477</v>
      </c>
      <c r="F5702">
        <v>11</v>
      </c>
      <c r="G5702" t="s">
        <v>1205</v>
      </c>
      <c r="H5702" t="s">
        <v>202</v>
      </c>
      <c r="I5702" t="s">
        <v>40</v>
      </c>
      <c r="J5702" t="s">
        <v>109</v>
      </c>
      <c r="K5702" t="s">
        <v>42</v>
      </c>
      <c r="L5702" t="s">
        <v>204</v>
      </c>
      <c r="N5702" t="s">
        <v>205</v>
      </c>
      <c r="Q5702">
        <v>26848</v>
      </c>
      <c r="R5702" t="s">
        <v>119</v>
      </c>
      <c r="S5702" t="s">
        <v>7478</v>
      </c>
      <c r="T5702">
        <v>24.5</v>
      </c>
      <c r="U5702" s="2" t="s">
        <v>10790</v>
      </c>
      <c r="W5702" t="s">
        <v>24154</v>
      </c>
      <c r="X5702">
        <v>838507</v>
      </c>
      <c r="Y5702" t="s">
        <v>2851</v>
      </c>
      <c r="Z5702" s="2" t="s">
        <v>1321</v>
      </c>
      <c r="AA5702" t="s">
        <v>2551</v>
      </c>
      <c r="AB5702" t="s">
        <v>3063</v>
      </c>
      <c r="AG5702" t="s">
        <v>34513</v>
      </c>
      <c r="AH5702" t="s">
        <v>16750</v>
      </c>
      <c r="AI5702" t="s">
        <v>34514</v>
      </c>
    </row>
    <row r="5703" spans="2:35" ht="225">
      <c r="B5703" s="1">
        <v>45298</v>
      </c>
      <c r="C5703" s="4">
        <v>45298.665972222225</v>
      </c>
      <c r="D5703" t="s">
        <v>34515</v>
      </c>
      <c r="E5703" t="s">
        <v>34516</v>
      </c>
      <c r="F5703" t="s">
        <v>37</v>
      </c>
      <c r="G5703" t="s">
        <v>2499</v>
      </c>
      <c r="H5703" t="s">
        <v>39</v>
      </c>
      <c r="I5703" t="s">
        <v>40</v>
      </c>
      <c r="J5703" s="2" t="s">
        <v>609</v>
      </c>
      <c r="K5703" t="s">
        <v>42</v>
      </c>
      <c r="L5703" t="s">
        <v>15532</v>
      </c>
      <c r="N5703" t="s">
        <v>15533</v>
      </c>
      <c r="Q5703">
        <v>26847</v>
      </c>
      <c r="R5703" t="s">
        <v>3058</v>
      </c>
      <c r="S5703" t="s">
        <v>34517</v>
      </c>
      <c r="T5703">
        <v>26</v>
      </c>
      <c r="U5703" s="2" t="s">
        <v>34518</v>
      </c>
      <c r="W5703" t="s">
        <v>24467</v>
      </c>
      <c r="X5703">
        <v>120000146</v>
      </c>
      <c r="Y5703" t="s">
        <v>34519</v>
      </c>
      <c r="Z5703" s="2" t="s">
        <v>34520</v>
      </c>
      <c r="AA5703" s="2" t="s">
        <v>34521</v>
      </c>
      <c r="AB5703" t="s">
        <v>88</v>
      </c>
      <c r="AC5703" t="s">
        <v>34522</v>
      </c>
      <c r="AG5703" t="s">
        <v>34523</v>
      </c>
      <c r="AH5703" t="s">
        <v>34524</v>
      </c>
      <c r="AI5703" t="s">
        <v>34525</v>
      </c>
    </row>
    <row r="5704" spans="2:35" ht="210">
      <c r="B5704" s="1">
        <v>45298</v>
      </c>
      <c r="C5704" s="4">
        <v>45298.386111111111</v>
      </c>
      <c r="D5704" t="s">
        <v>2529</v>
      </c>
      <c r="E5704" t="s">
        <v>34526</v>
      </c>
      <c r="F5704" t="s">
        <v>37</v>
      </c>
      <c r="G5704" t="s">
        <v>2499</v>
      </c>
      <c r="H5704" t="s">
        <v>39</v>
      </c>
      <c r="I5704" t="s">
        <v>40</v>
      </c>
      <c r="J5704" s="2" t="s">
        <v>190</v>
      </c>
      <c r="K5704" t="s">
        <v>42</v>
      </c>
      <c r="L5704" t="s">
        <v>15532</v>
      </c>
      <c r="N5704" t="s">
        <v>15533</v>
      </c>
      <c r="Q5704">
        <v>26846</v>
      </c>
      <c r="R5704" t="s">
        <v>45</v>
      </c>
      <c r="S5704" t="s">
        <v>24036</v>
      </c>
      <c r="T5704">
        <v>28</v>
      </c>
      <c r="W5704" t="s">
        <v>23974</v>
      </c>
      <c r="X5704">
        <v>807462</v>
      </c>
      <c r="Y5704" s="2" t="s">
        <v>34527</v>
      </c>
      <c r="Z5704" s="2" t="s">
        <v>34528</v>
      </c>
      <c r="AA5704" s="2" t="s">
        <v>34529</v>
      </c>
      <c r="AB5704" s="2" t="s">
        <v>34530</v>
      </c>
      <c r="AC5704" t="s">
        <v>34531</v>
      </c>
      <c r="AG5704" t="s">
        <v>34532</v>
      </c>
      <c r="AH5704" t="s">
        <v>25684</v>
      </c>
      <c r="AI5704" t="s">
        <v>34533</v>
      </c>
    </row>
    <row r="5705" spans="2:35" ht="135">
      <c r="B5705" s="1">
        <v>45298</v>
      </c>
      <c r="C5705" s="4">
        <v>45294.577777777777</v>
      </c>
      <c r="D5705" t="s">
        <v>34534</v>
      </c>
      <c r="E5705" t="s">
        <v>34535</v>
      </c>
      <c r="F5705" t="s">
        <v>148</v>
      </c>
      <c r="G5705" t="s">
        <v>310</v>
      </c>
      <c r="H5705" t="s">
        <v>39</v>
      </c>
      <c r="I5705" t="s">
        <v>40</v>
      </c>
      <c r="J5705" s="2" t="s">
        <v>190</v>
      </c>
      <c r="K5705" t="s">
        <v>42</v>
      </c>
      <c r="L5705" t="s">
        <v>15532</v>
      </c>
      <c r="N5705" t="s">
        <v>15533</v>
      </c>
      <c r="Q5705">
        <v>26845</v>
      </c>
      <c r="R5705" t="s">
        <v>119</v>
      </c>
      <c r="S5705" t="s">
        <v>34536</v>
      </c>
      <c r="T5705">
        <v>27</v>
      </c>
      <c r="U5705" s="2" t="s">
        <v>19671</v>
      </c>
      <c r="W5705" t="s">
        <v>23974</v>
      </c>
      <c r="X5705">
        <v>831537</v>
      </c>
      <c r="Y5705" t="s">
        <v>24918</v>
      </c>
      <c r="Z5705" s="2" t="s">
        <v>34537</v>
      </c>
      <c r="AA5705" t="s">
        <v>8743</v>
      </c>
      <c r="AB5705" s="2" t="s">
        <v>33302</v>
      </c>
      <c r="AG5705" t="s">
        <v>34538</v>
      </c>
      <c r="AH5705" t="s">
        <v>34539</v>
      </c>
      <c r="AI5705" t="s">
        <v>34540</v>
      </c>
    </row>
    <row r="5706" spans="2:35" ht="285">
      <c r="B5706" s="1">
        <v>45298</v>
      </c>
      <c r="C5706" s="4">
        <v>45295.633333333331</v>
      </c>
      <c r="D5706" t="s">
        <v>2529</v>
      </c>
      <c r="E5706" t="s">
        <v>34541</v>
      </c>
      <c r="F5706" t="s">
        <v>37</v>
      </c>
      <c r="G5706" t="s">
        <v>2499</v>
      </c>
      <c r="H5706" t="s">
        <v>39</v>
      </c>
      <c r="I5706" t="s">
        <v>40</v>
      </c>
      <c r="J5706" s="2" t="s">
        <v>41</v>
      </c>
      <c r="K5706" t="s">
        <v>42</v>
      </c>
      <c r="L5706" t="s">
        <v>15532</v>
      </c>
      <c r="N5706" t="s">
        <v>15533</v>
      </c>
      <c r="Q5706">
        <v>26844</v>
      </c>
      <c r="R5706" t="s">
        <v>45</v>
      </c>
      <c r="S5706" t="s">
        <v>24036</v>
      </c>
      <c r="T5706">
        <v>28</v>
      </c>
      <c r="U5706" s="2" t="s">
        <v>34542</v>
      </c>
      <c r="V5706" s="1">
        <v>45282</v>
      </c>
      <c r="W5706" t="s">
        <v>32112</v>
      </c>
      <c r="X5706">
        <v>807462</v>
      </c>
      <c r="Y5706" t="s">
        <v>34543</v>
      </c>
      <c r="Z5706" s="2" t="s">
        <v>34544</v>
      </c>
      <c r="AA5706" s="2" t="s">
        <v>34545</v>
      </c>
      <c r="AB5706" s="2" t="s">
        <v>34546</v>
      </c>
      <c r="AD5706" t="s">
        <v>19400</v>
      </c>
      <c r="AE5706" t="s">
        <v>34547</v>
      </c>
      <c r="AG5706" t="s">
        <v>34548</v>
      </c>
      <c r="AH5706" t="s">
        <v>25684</v>
      </c>
      <c r="AI5706" t="s">
        <v>34549</v>
      </c>
    </row>
    <row r="5707" spans="2:35" ht="120">
      <c r="B5707" s="1">
        <v>45298</v>
      </c>
      <c r="C5707" s="4">
        <v>45296.445833333331</v>
      </c>
      <c r="D5707" t="s">
        <v>30394</v>
      </c>
      <c r="E5707" t="s">
        <v>34550</v>
      </c>
      <c r="F5707" t="s">
        <v>37</v>
      </c>
      <c r="G5707" t="s">
        <v>2499</v>
      </c>
      <c r="H5707" t="s">
        <v>39</v>
      </c>
      <c r="I5707" t="s">
        <v>40</v>
      </c>
      <c r="J5707" s="2" t="s">
        <v>41</v>
      </c>
      <c r="K5707" t="s">
        <v>42</v>
      </c>
      <c r="L5707" t="s">
        <v>15532</v>
      </c>
      <c r="N5707" t="s">
        <v>15533</v>
      </c>
      <c r="O5707" t="s">
        <v>30396</v>
      </c>
      <c r="Q5707">
        <v>26843</v>
      </c>
      <c r="R5707" t="s">
        <v>45</v>
      </c>
      <c r="S5707" t="s">
        <v>34551</v>
      </c>
      <c r="T5707">
        <v>26</v>
      </c>
      <c r="U5707" s="2" t="s">
        <v>8139</v>
      </c>
      <c r="V5707" s="1">
        <v>45266</v>
      </c>
      <c r="W5707" t="s">
        <v>23974</v>
      </c>
      <c r="X5707">
        <v>847334</v>
      </c>
      <c r="Y5707" t="s">
        <v>424</v>
      </c>
      <c r="Z5707" s="2" t="s">
        <v>32993</v>
      </c>
      <c r="AA5707" s="2" t="s">
        <v>34552</v>
      </c>
      <c r="AB5707" s="2" t="s">
        <v>34553</v>
      </c>
      <c r="AD5707" t="s">
        <v>19400</v>
      </c>
      <c r="AE5707" t="s">
        <v>34554</v>
      </c>
      <c r="AG5707" t="s">
        <v>34555</v>
      </c>
      <c r="AH5707" t="s">
        <v>34556</v>
      </c>
      <c r="AI5707" t="s">
        <v>34557</v>
      </c>
    </row>
    <row r="5708" spans="2:35" ht="405">
      <c r="B5708" s="1">
        <v>45297</v>
      </c>
      <c r="C5708" s="4">
        <v>45295.614583333336</v>
      </c>
      <c r="D5708" t="s">
        <v>1316</v>
      </c>
      <c r="E5708" t="s">
        <v>34558</v>
      </c>
      <c r="F5708">
        <v>11</v>
      </c>
      <c r="G5708" t="s">
        <v>1205</v>
      </c>
      <c r="H5708" t="s">
        <v>2548</v>
      </c>
      <c r="I5708" t="s">
        <v>40</v>
      </c>
      <c r="J5708" s="2" t="s">
        <v>190</v>
      </c>
      <c r="K5708" t="s">
        <v>42</v>
      </c>
      <c r="L5708" t="s">
        <v>204</v>
      </c>
      <c r="N5708" t="s">
        <v>205</v>
      </c>
      <c r="Q5708">
        <v>26842</v>
      </c>
      <c r="R5708" t="s">
        <v>119</v>
      </c>
      <c r="S5708" t="s">
        <v>1318</v>
      </c>
      <c r="T5708">
        <v>26.5</v>
      </c>
      <c r="U5708" s="2" t="s">
        <v>34559</v>
      </c>
      <c r="W5708" t="s">
        <v>23237</v>
      </c>
      <c r="X5708">
        <v>838262</v>
      </c>
      <c r="Y5708" s="2" t="s">
        <v>34560</v>
      </c>
      <c r="Z5708" s="2" t="s">
        <v>34561</v>
      </c>
      <c r="AA5708" t="s">
        <v>2924</v>
      </c>
      <c r="AB5708" t="s">
        <v>1211</v>
      </c>
      <c r="AC5708" t="s">
        <v>34562</v>
      </c>
      <c r="AG5708" t="s">
        <v>34563</v>
      </c>
      <c r="AH5708" t="s">
        <v>34564</v>
      </c>
      <c r="AI5708" t="s">
        <v>34565</v>
      </c>
    </row>
    <row r="5709" spans="2:35" ht="120">
      <c r="B5709" s="1">
        <v>45296</v>
      </c>
      <c r="C5709" s="4">
        <v>45296.709027777775</v>
      </c>
      <c r="D5709" t="s">
        <v>1155</v>
      </c>
      <c r="E5709" t="s">
        <v>8331</v>
      </c>
      <c r="F5709" t="s">
        <v>148</v>
      </c>
      <c r="G5709" t="s">
        <v>230</v>
      </c>
      <c r="H5709" t="s">
        <v>39</v>
      </c>
      <c r="I5709" t="s">
        <v>40</v>
      </c>
      <c r="J5709" s="2" t="s">
        <v>190</v>
      </c>
      <c r="K5709" t="s">
        <v>42</v>
      </c>
      <c r="L5709" t="s">
        <v>175</v>
      </c>
      <c r="N5709" t="s">
        <v>176</v>
      </c>
      <c r="Q5709">
        <v>26841</v>
      </c>
      <c r="R5709" t="s">
        <v>119</v>
      </c>
      <c r="S5709" t="s">
        <v>28823</v>
      </c>
      <c r="T5709">
        <v>25</v>
      </c>
      <c r="W5709" t="s">
        <v>84</v>
      </c>
      <c r="X5709">
        <v>831895</v>
      </c>
      <c r="Y5709" s="2" t="s">
        <v>34566</v>
      </c>
      <c r="Z5709" t="e">
        <f ca="1">- removed stuck cartridge
- checked _xludf.and cleaned cartridge bay, plunger rod, _xludf.filter
- performed XpertCheck on A1, A3
- generated reports</f>
        <v>#NAME?</v>
      </c>
      <c r="AA5709" s="2" t="s">
        <v>34567</v>
      </c>
      <c r="AB5709" s="2" t="s">
        <v>34568</v>
      </c>
      <c r="AG5709" t="s">
        <v>34569</v>
      </c>
      <c r="AH5709" t="s">
        <v>16488</v>
      </c>
      <c r="AI5709" t="s">
        <v>34570</v>
      </c>
    </row>
    <row r="5710" spans="2:35" ht="285">
      <c r="B5710" s="1">
        <v>45296</v>
      </c>
      <c r="C5710" s="4">
        <v>45296.712500000001</v>
      </c>
      <c r="D5710" t="s">
        <v>1155</v>
      </c>
      <c r="E5710" t="s">
        <v>8331</v>
      </c>
      <c r="F5710" t="s">
        <v>148</v>
      </c>
      <c r="G5710" t="s">
        <v>230</v>
      </c>
      <c r="H5710" t="s">
        <v>39</v>
      </c>
      <c r="I5710" t="s">
        <v>40</v>
      </c>
      <c r="J5710" s="2" t="s">
        <v>190</v>
      </c>
      <c r="K5710" t="s">
        <v>42</v>
      </c>
      <c r="L5710" t="s">
        <v>175</v>
      </c>
      <c r="N5710" t="s">
        <v>176</v>
      </c>
      <c r="Q5710">
        <v>26840</v>
      </c>
      <c r="R5710" t="s">
        <v>45</v>
      </c>
      <c r="S5710" t="s">
        <v>28823</v>
      </c>
      <c r="T5710">
        <v>25</v>
      </c>
      <c r="U5710" s="2" t="s">
        <v>34571</v>
      </c>
      <c r="W5710" t="s">
        <v>84</v>
      </c>
      <c r="X5710">
        <v>808649</v>
      </c>
      <c r="Y5710" s="2" t="s">
        <v>34572</v>
      </c>
      <c r="Z5710" t="e">
        <f ca="1">- adjusted _xludf.Date _xludf.and _xludf.time
- checked _xludf.and cleaned cartridge bay, plunger rod, _xludf.filter
- generated reports</f>
        <v>#NAME?</v>
      </c>
      <c r="AA5710" t="s">
        <v>34573</v>
      </c>
      <c r="AB5710" s="2" t="s">
        <v>34574</v>
      </c>
      <c r="AG5710" t="s">
        <v>34575</v>
      </c>
      <c r="AH5710" t="s">
        <v>16488</v>
      </c>
      <c r="AI5710" t="s">
        <v>34576</v>
      </c>
    </row>
    <row r="5711" spans="2:35" ht="165">
      <c r="B5711" s="1">
        <v>45296</v>
      </c>
      <c r="C5711" s="4">
        <v>45296.63958333333</v>
      </c>
      <c r="D5711" t="s">
        <v>26587</v>
      </c>
      <c r="E5711" t="s">
        <v>26588</v>
      </c>
      <c r="F5711">
        <v>3</v>
      </c>
      <c r="G5711" t="s">
        <v>134</v>
      </c>
      <c r="H5711" t="s">
        <v>39</v>
      </c>
      <c r="I5711" t="s">
        <v>40</v>
      </c>
      <c r="J5711" s="2" t="s">
        <v>41</v>
      </c>
      <c r="K5711" t="s">
        <v>42</v>
      </c>
      <c r="L5711" t="s">
        <v>63</v>
      </c>
      <c r="N5711" t="s">
        <v>64</v>
      </c>
      <c r="Q5711">
        <v>26839</v>
      </c>
      <c r="R5711" t="s">
        <v>119</v>
      </c>
      <c r="S5711" t="s">
        <v>26589</v>
      </c>
      <c r="T5711">
        <v>27</v>
      </c>
      <c r="U5711" s="2" t="s">
        <v>13321</v>
      </c>
      <c r="V5711" s="1">
        <v>45272</v>
      </c>
      <c r="W5711" t="s">
        <v>26915</v>
      </c>
      <c r="X5711">
        <v>831877</v>
      </c>
      <c r="Y5711" t="s">
        <v>9430</v>
      </c>
      <c r="Z5711" t="s">
        <v>9431</v>
      </c>
      <c r="AA5711" s="2" t="s">
        <v>1727</v>
      </c>
      <c r="AB5711" t="s">
        <v>70</v>
      </c>
      <c r="AC5711" t="s">
        <v>1716</v>
      </c>
      <c r="AD5711" t="s">
        <v>34577</v>
      </c>
      <c r="AE5711">
        <v>10891</v>
      </c>
      <c r="AG5711" t="s">
        <v>34578</v>
      </c>
      <c r="AH5711" t="s">
        <v>34579</v>
      </c>
      <c r="AI5711" t="s">
        <v>34580</v>
      </c>
    </row>
    <row r="5712" spans="2:35" ht="210">
      <c r="B5712" s="1">
        <v>45296</v>
      </c>
      <c r="C5712" s="4">
        <v>45295.607638888891</v>
      </c>
      <c r="D5712" t="s">
        <v>3615</v>
      </c>
      <c r="E5712" t="s">
        <v>3616</v>
      </c>
      <c r="F5712">
        <v>3</v>
      </c>
      <c r="G5712" t="s">
        <v>174</v>
      </c>
      <c r="H5712" t="s">
        <v>39</v>
      </c>
      <c r="I5712" t="s">
        <v>40</v>
      </c>
      <c r="J5712" s="2" t="s">
        <v>30202</v>
      </c>
      <c r="K5712" t="s">
        <v>42</v>
      </c>
      <c r="L5712" t="s">
        <v>175</v>
      </c>
      <c r="N5712" t="s">
        <v>176</v>
      </c>
      <c r="Q5712">
        <v>26838</v>
      </c>
      <c r="R5712" t="s">
        <v>119</v>
      </c>
      <c r="S5712" t="s">
        <v>23152</v>
      </c>
      <c r="T5712">
        <v>25</v>
      </c>
      <c r="U5712" s="2" t="s">
        <v>34581</v>
      </c>
      <c r="V5712" s="1">
        <v>45275</v>
      </c>
      <c r="W5712" t="s">
        <v>84</v>
      </c>
      <c r="X5712">
        <v>831641</v>
      </c>
      <c r="Y5712" t="s">
        <v>34582</v>
      </c>
      <c r="Z5712" t="e">
        <f ca="1">- replaced A2, A3
- checked cartridge bay, plunger rod, _xludf.filter
- generated reports</f>
        <v>#NAME?</v>
      </c>
      <c r="AA5712" t="s">
        <v>34583</v>
      </c>
      <c r="AB5712" t="s">
        <v>88</v>
      </c>
      <c r="AD5712" s="2" t="s">
        <v>34584</v>
      </c>
      <c r="AE5712">
        <v>10956</v>
      </c>
      <c r="AG5712" t="s">
        <v>34585</v>
      </c>
      <c r="AH5712" t="s">
        <v>23156</v>
      </c>
      <c r="AI5712" t="s">
        <v>34586</v>
      </c>
    </row>
    <row r="5713" spans="2:35" ht="210">
      <c r="B5713" s="1">
        <v>45296</v>
      </c>
      <c r="C5713" s="4">
        <v>45295.607638888891</v>
      </c>
      <c r="D5713" t="s">
        <v>3615</v>
      </c>
      <c r="E5713" t="s">
        <v>3616</v>
      </c>
      <c r="F5713">
        <v>3</v>
      </c>
      <c r="G5713" t="s">
        <v>174</v>
      </c>
      <c r="H5713" t="s">
        <v>39</v>
      </c>
      <c r="I5713" t="s">
        <v>40</v>
      </c>
      <c r="J5713" s="2" t="s">
        <v>30202</v>
      </c>
      <c r="K5713" t="s">
        <v>42</v>
      </c>
      <c r="L5713" t="s">
        <v>175</v>
      </c>
      <c r="N5713" t="s">
        <v>176</v>
      </c>
      <c r="Q5713">
        <v>26837</v>
      </c>
      <c r="R5713" t="s">
        <v>119</v>
      </c>
      <c r="S5713" t="s">
        <v>23152</v>
      </c>
      <c r="T5713">
        <v>25</v>
      </c>
      <c r="U5713" s="2" t="s">
        <v>34581</v>
      </c>
      <c r="V5713" s="1">
        <v>45275</v>
      </c>
      <c r="W5713" t="s">
        <v>84</v>
      </c>
      <c r="X5713">
        <v>831641</v>
      </c>
      <c r="Y5713" t="s">
        <v>34582</v>
      </c>
      <c r="Z5713" t="e">
        <f ca="1">- replaced A2, A3
- checked cartridge bay, plunger rod, _xludf.filter
- generated reports</f>
        <v>#NAME?</v>
      </c>
      <c r="AA5713" t="s">
        <v>34583</v>
      </c>
      <c r="AB5713" t="s">
        <v>88</v>
      </c>
      <c r="AD5713" s="2" t="s">
        <v>34584</v>
      </c>
      <c r="AE5713">
        <v>10956</v>
      </c>
      <c r="AG5713" t="s">
        <v>34587</v>
      </c>
      <c r="AH5713" t="s">
        <v>23156</v>
      </c>
      <c r="AI5713" t="s">
        <v>34588</v>
      </c>
    </row>
    <row r="5714" spans="2:35" ht="345">
      <c r="B5714" s="1">
        <v>45296</v>
      </c>
      <c r="C5714" s="4">
        <v>45296.581944444442</v>
      </c>
      <c r="D5714" t="s">
        <v>2816</v>
      </c>
      <c r="E5714" t="s">
        <v>28082</v>
      </c>
      <c r="F5714" t="s">
        <v>148</v>
      </c>
      <c r="G5714" t="s">
        <v>371</v>
      </c>
      <c r="H5714" t="s">
        <v>39</v>
      </c>
      <c r="I5714" t="s">
        <v>40</v>
      </c>
      <c r="J5714" s="2" t="s">
        <v>32320</v>
      </c>
      <c r="K5714" t="s">
        <v>42</v>
      </c>
      <c r="L5714" t="s">
        <v>175</v>
      </c>
      <c r="N5714" t="s">
        <v>176</v>
      </c>
      <c r="Q5714">
        <v>26836</v>
      </c>
      <c r="R5714" t="s">
        <v>119</v>
      </c>
      <c r="S5714" t="s">
        <v>2818</v>
      </c>
      <c r="T5714">
        <v>25</v>
      </c>
      <c r="U5714" s="2" t="s">
        <v>34589</v>
      </c>
      <c r="V5714" s="1">
        <v>45280</v>
      </c>
      <c r="W5714" t="s">
        <v>84</v>
      </c>
      <c r="X5714">
        <v>831907</v>
      </c>
      <c r="Y5714" s="2" t="s">
        <v>34590</v>
      </c>
      <c r="Z5714" s="2" t="s">
        <v>34591</v>
      </c>
      <c r="AA5714" s="2" t="s">
        <v>34592</v>
      </c>
      <c r="AB5714" t="s">
        <v>181</v>
      </c>
      <c r="AD5714" s="2" t="s">
        <v>34593</v>
      </c>
      <c r="AE5714">
        <v>10997</v>
      </c>
      <c r="AG5714" t="s">
        <v>34594</v>
      </c>
      <c r="AH5714" t="s">
        <v>24413</v>
      </c>
      <c r="AI5714" t="s">
        <v>34595</v>
      </c>
    </row>
    <row r="5715" spans="2:35" ht="409.5">
      <c r="B5715" s="1">
        <v>45296</v>
      </c>
      <c r="C5715" s="4">
        <v>45296.442361111112</v>
      </c>
      <c r="D5715" t="s">
        <v>146</v>
      </c>
      <c r="E5715" t="s">
        <v>34596</v>
      </c>
      <c r="F5715" t="s">
        <v>148</v>
      </c>
      <c r="G5715" t="s">
        <v>149</v>
      </c>
      <c r="H5715" t="s">
        <v>386</v>
      </c>
      <c r="I5715" t="s">
        <v>40</v>
      </c>
      <c r="J5715" t="s">
        <v>525</v>
      </c>
      <c r="K5715" t="s">
        <v>387</v>
      </c>
      <c r="L5715" t="s">
        <v>448</v>
      </c>
      <c r="N5715" t="s">
        <v>650</v>
      </c>
      <c r="O5715" t="s">
        <v>388</v>
      </c>
      <c r="Q5715">
        <v>26835</v>
      </c>
      <c r="R5715" t="s">
        <v>95</v>
      </c>
      <c r="S5715" t="s">
        <v>17157</v>
      </c>
      <c r="T5715">
        <v>26</v>
      </c>
      <c r="W5715" t="s">
        <v>476</v>
      </c>
      <c r="X5715" t="s">
        <v>391</v>
      </c>
      <c r="Y5715" t="s">
        <v>34597</v>
      </c>
      <c r="Z5715" s="2" t="s">
        <v>34598</v>
      </c>
      <c r="AA5715" t="s">
        <v>4487</v>
      </c>
      <c r="AB5715" t="s">
        <v>486</v>
      </c>
      <c r="AG5715" t="s">
        <v>34599</v>
      </c>
      <c r="AH5715" t="s">
        <v>17163</v>
      </c>
      <c r="AI5715" t="s">
        <v>34600</v>
      </c>
    </row>
    <row r="5716" spans="2:35" ht="210">
      <c r="B5716" s="1">
        <v>45296</v>
      </c>
      <c r="C5716" s="4">
        <v>45294.597222222219</v>
      </c>
      <c r="D5716" t="s">
        <v>6595</v>
      </c>
      <c r="E5716" t="s">
        <v>34601</v>
      </c>
      <c r="F5716" t="s">
        <v>148</v>
      </c>
      <c r="G5716" t="s">
        <v>785</v>
      </c>
      <c r="H5716" t="s">
        <v>39</v>
      </c>
      <c r="I5716" t="s">
        <v>40</v>
      </c>
      <c r="J5716" s="2" t="s">
        <v>31986</v>
      </c>
      <c r="K5716" t="s">
        <v>42</v>
      </c>
      <c r="L5716" t="s">
        <v>43</v>
      </c>
      <c r="N5716" t="s">
        <v>44</v>
      </c>
      <c r="Q5716">
        <v>26832</v>
      </c>
      <c r="R5716" t="s">
        <v>322</v>
      </c>
      <c r="S5716" t="s">
        <v>786</v>
      </c>
      <c r="T5716">
        <v>25</v>
      </c>
      <c r="U5716" s="2" t="s">
        <v>34602</v>
      </c>
      <c r="W5716" t="s">
        <v>11663</v>
      </c>
      <c r="X5716">
        <v>821648</v>
      </c>
      <c r="Y5716" t="s">
        <v>121</v>
      </c>
      <c r="Z5716" t="s">
        <v>122</v>
      </c>
      <c r="AA5716" s="2" t="s">
        <v>33688</v>
      </c>
      <c r="AB5716" t="s">
        <v>34603</v>
      </c>
      <c r="AG5716" t="s">
        <v>34604</v>
      </c>
      <c r="AH5716" t="s">
        <v>810</v>
      </c>
      <c r="AI5716" t="s">
        <v>34605</v>
      </c>
    </row>
    <row r="5717" spans="2:35" ht="150">
      <c r="B5717" s="1">
        <v>45296</v>
      </c>
      <c r="C5717" s="4">
        <v>45295.455555555556</v>
      </c>
      <c r="D5717" t="s">
        <v>4190</v>
      </c>
      <c r="E5717" t="s">
        <v>34606</v>
      </c>
      <c r="F5717" t="s">
        <v>37</v>
      </c>
      <c r="G5717" t="s">
        <v>38</v>
      </c>
      <c r="H5717" t="s">
        <v>39</v>
      </c>
      <c r="I5717" t="s">
        <v>40</v>
      </c>
      <c r="J5717" s="2" t="s">
        <v>30202</v>
      </c>
      <c r="K5717" t="s">
        <v>42</v>
      </c>
      <c r="L5717" t="s">
        <v>43</v>
      </c>
      <c r="N5717" t="s">
        <v>44</v>
      </c>
      <c r="Q5717">
        <v>26834</v>
      </c>
      <c r="R5717" t="s">
        <v>119</v>
      </c>
      <c r="S5717" t="s">
        <v>4192</v>
      </c>
      <c r="T5717">
        <v>25</v>
      </c>
      <c r="U5717" s="2" t="s">
        <v>5469</v>
      </c>
      <c r="V5717" s="1">
        <v>45280</v>
      </c>
      <c r="W5717" t="s">
        <v>48</v>
      </c>
      <c r="X5717">
        <v>821293</v>
      </c>
      <c r="Y5717" t="s">
        <v>2034</v>
      </c>
      <c r="Z5717" t="s">
        <v>712</v>
      </c>
      <c r="AA5717" s="2" t="s">
        <v>34607</v>
      </c>
      <c r="AB5717" t="s">
        <v>16412</v>
      </c>
      <c r="AD5717" s="2" t="s">
        <v>34608</v>
      </c>
      <c r="AE5717" t="s">
        <v>34609</v>
      </c>
      <c r="AG5717" t="s">
        <v>34610</v>
      </c>
      <c r="AH5717" t="s">
        <v>34611</v>
      </c>
      <c r="AI5717" t="s">
        <v>34612</v>
      </c>
    </row>
    <row r="5718" spans="2:35" ht="210">
      <c r="B5718" s="1">
        <v>45296</v>
      </c>
      <c r="C5718" s="4">
        <v>45295.570833333331</v>
      </c>
      <c r="D5718" t="s">
        <v>2148</v>
      </c>
      <c r="E5718" t="s">
        <v>27753</v>
      </c>
      <c r="F5718" t="s">
        <v>37</v>
      </c>
      <c r="G5718" t="s">
        <v>38</v>
      </c>
      <c r="H5718" t="s">
        <v>39</v>
      </c>
      <c r="I5718" t="s">
        <v>40</v>
      </c>
      <c r="J5718" s="2" t="s">
        <v>31986</v>
      </c>
      <c r="K5718" t="s">
        <v>42</v>
      </c>
      <c r="L5718" t="s">
        <v>43</v>
      </c>
      <c r="N5718" t="s">
        <v>44</v>
      </c>
      <c r="Q5718">
        <v>26833</v>
      </c>
      <c r="R5718" t="s">
        <v>119</v>
      </c>
      <c r="S5718" t="s">
        <v>34613</v>
      </c>
      <c r="T5718">
        <v>25</v>
      </c>
      <c r="U5718" s="2" t="s">
        <v>25977</v>
      </c>
      <c r="W5718" t="s">
        <v>48</v>
      </c>
      <c r="X5718">
        <v>820710</v>
      </c>
      <c r="Y5718" t="s">
        <v>121</v>
      </c>
      <c r="Z5718" t="s">
        <v>122</v>
      </c>
      <c r="AA5718" s="2" t="s">
        <v>33688</v>
      </c>
      <c r="AB5718" t="s">
        <v>7543</v>
      </c>
      <c r="AG5718" t="s">
        <v>34614</v>
      </c>
      <c r="AH5718" t="s">
        <v>34615</v>
      </c>
      <c r="AI5718" t="s">
        <v>34616</v>
      </c>
    </row>
    <row r="5719" spans="2:35" ht="315">
      <c r="B5719" s="1">
        <v>45296</v>
      </c>
      <c r="C5719" s="4">
        <v>45295.616666666669</v>
      </c>
      <c r="D5719" t="s">
        <v>1316</v>
      </c>
      <c r="E5719" t="s">
        <v>34617</v>
      </c>
      <c r="F5719">
        <v>11</v>
      </c>
      <c r="G5719" t="s">
        <v>1205</v>
      </c>
      <c r="H5719" t="s">
        <v>2548</v>
      </c>
      <c r="I5719" t="s">
        <v>40</v>
      </c>
      <c r="J5719" t="s">
        <v>109</v>
      </c>
      <c r="K5719" t="s">
        <v>42</v>
      </c>
      <c r="L5719" t="s">
        <v>204</v>
      </c>
      <c r="N5719" t="s">
        <v>205</v>
      </c>
      <c r="Q5719">
        <v>26831</v>
      </c>
      <c r="R5719" t="s">
        <v>322</v>
      </c>
      <c r="S5719" t="s">
        <v>1318</v>
      </c>
      <c r="T5719">
        <v>26.5</v>
      </c>
      <c r="U5719" s="2" t="s">
        <v>34618</v>
      </c>
      <c r="W5719" t="s">
        <v>23237</v>
      </c>
      <c r="X5719">
        <v>839236</v>
      </c>
      <c r="Y5719" t="s">
        <v>1052</v>
      </c>
      <c r="Z5719" s="2" t="s">
        <v>1321</v>
      </c>
      <c r="AA5719" t="s">
        <v>2551</v>
      </c>
      <c r="AB5719" t="s">
        <v>34619</v>
      </c>
      <c r="AG5719" t="s">
        <v>34620</v>
      </c>
      <c r="AH5719" t="s">
        <v>34564</v>
      </c>
      <c r="AI5719" t="s">
        <v>34621</v>
      </c>
    </row>
    <row r="5720" spans="2:35" ht="405">
      <c r="B5720" s="1">
        <v>45296</v>
      </c>
      <c r="C5720" s="4">
        <v>45295.614583333336</v>
      </c>
      <c r="D5720" t="s">
        <v>1316</v>
      </c>
      <c r="E5720" t="s">
        <v>34558</v>
      </c>
      <c r="F5720">
        <v>11</v>
      </c>
      <c r="G5720" t="s">
        <v>1205</v>
      </c>
      <c r="H5720" t="s">
        <v>2548</v>
      </c>
      <c r="I5720" t="s">
        <v>40</v>
      </c>
      <c r="J5720" s="2" t="s">
        <v>190</v>
      </c>
      <c r="K5720" t="s">
        <v>42</v>
      </c>
      <c r="L5720" t="s">
        <v>204</v>
      </c>
      <c r="N5720" t="s">
        <v>205</v>
      </c>
      <c r="Q5720">
        <v>26830</v>
      </c>
      <c r="R5720" t="s">
        <v>119</v>
      </c>
      <c r="S5720" t="s">
        <v>1318</v>
      </c>
      <c r="T5720">
        <v>26.5</v>
      </c>
      <c r="U5720" s="2" t="s">
        <v>34559</v>
      </c>
      <c r="W5720" t="s">
        <v>23237</v>
      </c>
      <c r="X5720">
        <v>838262</v>
      </c>
      <c r="Y5720" s="2" t="s">
        <v>34560</v>
      </c>
      <c r="Z5720" s="2" t="s">
        <v>34561</v>
      </c>
      <c r="AA5720" t="s">
        <v>2924</v>
      </c>
      <c r="AB5720" t="s">
        <v>1211</v>
      </c>
      <c r="AC5720" t="s">
        <v>34562</v>
      </c>
      <c r="AG5720" t="s">
        <v>34622</v>
      </c>
      <c r="AH5720" t="s">
        <v>34623</v>
      </c>
      <c r="AI5720" t="s">
        <v>34624</v>
      </c>
    </row>
    <row r="5721" spans="2:35" ht="390">
      <c r="B5721" s="1">
        <v>45296</v>
      </c>
      <c r="C5721" s="4">
        <v>45296.418749999997</v>
      </c>
      <c r="D5721" t="s">
        <v>34625</v>
      </c>
      <c r="E5721" t="s">
        <v>34626</v>
      </c>
      <c r="F5721" t="s">
        <v>148</v>
      </c>
      <c r="G5721" t="s">
        <v>447</v>
      </c>
      <c r="H5721" t="s">
        <v>9774</v>
      </c>
      <c r="I5721" t="s">
        <v>40</v>
      </c>
      <c r="J5721" t="s">
        <v>996</v>
      </c>
      <c r="K5721" t="s">
        <v>42</v>
      </c>
      <c r="L5721" t="s">
        <v>409</v>
      </c>
      <c r="N5721" t="s">
        <v>410</v>
      </c>
      <c r="Q5721">
        <v>26829</v>
      </c>
      <c r="R5721" t="s">
        <v>95</v>
      </c>
      <c r="S5721" t="s">
        <v>16934</v>
      </c>
      <c r="T5721">
        <v>23</v>
      </c>
      <c r="U5721" s="2" t="s">
        <v>34627</v>
      </c>
      <c r="V5721" s="1">
        <v>45295</v>
      </c>
      <c r="W5721" t="s">
        <v>34628</v>
      </c>
      <c r="X5721">
        <v>839306</v>
      </c>
      <c r="Y5721" t="s">
        <v>34629</v>
      </c>
      <c r="Z5721" t="s">
        <v>301</v>
      </c>
      <c r="AA5721" s="2" t="s">
        <v>34630</v>
      </c>
      <c r="AB5721" t="s">
        <v>34631</v>
      </c>
      <c r="AD5721" t="s">
        <v>1958</v>
      </c>
      <c r="AE5721" t="s">
        <v>34632</v>
      </c>
      <c r="AG5721" t="s">
        <v>34633</v>
      </c>
      <c r="AH5721" t="s">
        <v>16939</v>
      </c>
      <c r="AI5721" t="s">
        <v>34634</v>
      </c>
    </row>
    <row r="5722" spans="2:35" ht="75">
      <c r="B5722" s="1">
        <v>45295</v>
      </c>
      <c r="C5722" s="4">
        <v>45295.681944444441</v>
      </c>
      <c r="D5722" t="s">
        <v>3154</v>
      </c>
      <c r="E5722" t="s">
        <v>3155</v>
      </c>
      <c r="F5722">
        <v>9</v>
      </c>
      <c r="G5722" t="s">
        <v>2197</v>
      </c>
      <c r="H5722" t="s">
        <v>39</v>
      </c>
      <c r="I5722" t="s">
        <v>94</v>
      </c>
      <c r="J5722" s="2" t="s">
        <v>6765</v>
      </c>
      <c r="K5722" t="s">
        <v>42</v>
      </c>
      <c r="L5722" t="s">
        <v>1257</v>
      </c>
      <c r="N5722" t="s">
        <v>2199</v>
      </c>
      <c r="O5722" t="s">
        <v>1258</v>
      </c>
      <c r="Q5722">
        <v>26828</v>
      </c>
      <c r="R5722" t="s">
        <v>45</v>
      </c>
      <c r="S5722" t="s">
        <v>3156</v>
      </c>
      <c r="T5722">
        <v>25</v>
      </c>
      <c r="V5722" s="1">
        <v>45295</v>
      </c>
      <c r="W5722" t="s">
        <v>2384</v>
      </c>
      <c r="X5722">
        <v>807599</v>
      </c>
      <c r="Y5722" t="s">
        <v>34635</v>
      </c>
      <c r="Z5722" t="s">
        <v>34636</v>
      </c>
      <c r="AA5722" t="s">
        <v>34636</v>
      </c>
      <c r="AB5722" t="s">
        <v>34637</v>
      </c>
      <c r="AC5722" t="s">
        <v>34638</v>
      </c>
      <c r="AD5722" t="s">
        <v>54</v>
      </c>
      <c r="AE5722" t="s">
        <v>54</v>
      </c>
      <c r="AG5722" t="s">
        <v>34639</v>
      </c>
      <c r="AH5722" t="s">
        <v>3163</v>
      </c>
      <c r="AI5722" t="s">
        <v>34640</v>
      </c>
    </row>
    <row r="5723" spans="2:35">
      <c r="B5723" s="1">
        <v>45295</v>
      </c>
      <c r="C5723" s="4">
        <v>45295.629166666666</v>
      </c>
      <c r="D5723" t="s">
        <v>3154</v>
      </c>
      <c r="E5723" t="s">
        <v>3155</v>
      </c>
      <c r="F5723">
        <v>9</v>
      </c>
      <c r="G5723" t="s">
        <v>2197</v>
      </c>
      <c r="H5723" t="s">
        <v>39</v>
      </c>
      <c r="I5723" t="s">
        <v>94</v>
      </c>
      <c r="J5723" t="s">
        <v>525</v>
      </c>
      <c r="K5723" t="s">
        <v>42</v>
      </c>
      <c r="L5723" t="s">
        <v>1257</v>
      </c>
      <c r="N5723" t="s">
        <v>2199</v>
      </c>
      <c r="O5723" t="s">
        <v>1258</v>
      </c>
      <c r="Q5723">
        <v>26827</v>
      </c>
      <c r="R5723" t="s">
        <v>45</v>
      </c>
      <c r="S5723" t="s">
        <v>3156</v>
      </c>
      <c r="T5723">
        <v>23</v>
      </c>
      <c r="V5723" s="1">
        <v>45295</v>
      </c>
      <c r="W5723" t="s">
        <v>2384</v>
      </c>
      <c r="X5723">
        <v>818902</v>
      </c>
      <c r="Y5723" t="s">
        <v>34641</v>
      </c>
      <c r="Z5723" t="s">
        <v>34642</v>
      </c>
      <c r="AA5723" t="s">
        <v>34643</v>
      </c>
      <c r="AB5723" t="s">
        <v>7411</v>
      </c>
      <c r="AC5723" t="s">
        <v>34644</v>
      </c>
      <c r="AD5723" t="s">
        <v>54</v>
      </c>
      <c r="AE5723" t="s">
        <v>54</v>
      </c>
      <c r="AG5723" t="s">
        <v>34645</v>
      </c>
      <c r="AH5723" t="s">
        <v>3163</v>
      </c>
      <c r="AI5723" t="s">
        <v>34646</v>
      </c>
    </row>
    <row r="5724" spans="2:35" ht="375">
      <c r="B5724" s="1">
        <v>45295</v>
      </c>
      <c r="C5724" s="4">
        <v>45295.5</v>
      </c>
      <c r="D5724" t="s">
        <v>5474</v>
      </c>
      <c r="E5724" t="s">
        <v>4260</v>
      </c>
      <c r="F5724" t="s">
        <v>148</v>
      </c>
      <c r="G5724" t="s">
        <v>2007</v>
      </c>
      <c r="H5724" t="s">
        <v>386</v>
      </c>
      <c r="I5724" t="s">
        <v>40</v>
      </c>
      <c r="J5724" t="s">
        <v>109</v>
      </c>
      <c r="K5724" t="s">
        <v>387</v>
      </c>
      <c r="L5724" t="s">
        <v>448</v>
      </c>
      <c r="N5724" t="s">
        <v>650</v>
      </c>
      <c r="O5724" t="s">
        <v>27082</v>
      </c>
      <c r="Q5724">
        <v>26826</v>
      </c>
      <c r="R5724" t="s">
        <v>95</v>
      </c>
      <c r="S5724" t="s">
        <v>34647</v>
      </c>
      <c r="T5724">
        <v>28</v>
      </c>
      <c r="W5724" t="s">
        <v>476</v>
      </c>
      <c r="X5724" t="s">
        <v>5488</v>
      </c>
      <c r="Y5724" t="s">
        <v>485</v>
      </c>
      <c r="Z5724" s="2" t="s">
        <v>34648</v>
      </c>
      <c r="AA5724" t="s">
        <v>6997</v>
      </c>
      <c r="AB5724" t="s">
        <v>486</v>
      </c>
      <c r="AG5724" t="s">
        <v>34649</v>
      </c>
      <c r="AH5724" t="s">
        <v>449</v>
      </c>
      <c r="AI5724" t="s">
        <v>34650</v>
      </c>
    </row>
    <row r="5725" spans="2:35" ht="180">
      <c r="B5725" s="1">
        <v>45295</v>
      </c>
      <c r="C5725" s="4">
        <v>45295.533333333333</v>
      </c>
      <c r="D5725" t="s">
        <v>29981</v>
      </c>
      <c r="E5725" t="s">
        <v>29982</v>
      </c>
      <c r="F5725">
        <v>7</v>
      </c>
      <c r="G5725" t="s">
        <v>29983</v>
      </c>
      <c r="H5725" t="s">
        <v>10969</v>
      </c>
      <c r="I5725" t="s">
        <v>40</v>
      </c>
      <c r="J5725" t="s">
        <v>109</v>
      </c>
      <c r="K5725" t="s">
        <v>42</v>
      </c>
      <c r="L5725" t="s">
        <v>1288</v>
      </c>
      <c r="N5725" t="s">
        <v>1289</v>
      </c>
      <c r="Q5725">
        <v>26825</v>
      </c>
      <c r="R5725" t="s">
        <v>45</v>
      </c>
      <c r="S5725" t="s">
        <v>29984</v>
      </c>
      <c r="T5725">
        <v>27</v>
      </c>
      <c r="U5725" s="2" t="s">
        <v>34651</v>
      </c>
      <c r="W5725" t="s">
        <v>1292</v>
      </c>
      <c r="X5725">
        <v>808638</v>
      </c>
      <c r="Y5725" t="e">
        <f ca="1">-Preventive Maintenance</f>
        <v>#NAME?</v>
      </c>
      <c r="Z5725" t="e">
        <f ca="1">-COLLECT IQR, system _xludf.Log, _xludf.and ARCHIVE</f>
        <v>#NAME?</v>
      </c>
      <c r="AA5725" t="e">
        <f ca="1">-PERFORM Cleaning of GeneXpert workstation
-PERFORM Maintenance</f>
        <v>#NAME?</v>
      </c>
      <c r="AB5725" t="s">
        <v>1293</v>
      </c>
      <c r="AG5725" t="s">
        <v>34652</v>
      </c>
      <c r="AH5725" t="s">
        <v>29987</v>
      </c>
      <c r="AI5725" t="s">
        <v>34653</v>
      </c>
    </row>
    <row r="5726" spans="2:35" ht="180">
      <c r="B5726" s="1">
        <v>45295</v>
      </c>
      <c r="C5726" s="4">
        <v>45295.524305555555</v>
      </c>
      <c r="D5726" t="s">
        <v>29981</v>
      </c>
      <c r="E5726" t="s">
        <v>29982</v>
      </c>
      <c r="F5726">
        <v>7</v>
      </c>
      <c r="G5726" t="s">
        <v>29983</v>
      </c>
      <c r="H5726" t="s">
        <v>10969</v>
      </c>
      <c r="I5726" t="s">
        <v>40</v>
      </c>
      <c r="J5726" s="2" t="s">
        <v>41</v>
      </c>
      <c r="K5726" t="s">
        <v>42</v>
      </c>
      <c r="L5726" t="s">
        <v>1288</v>
      </c>
      <c r="N5726" t="s">
        <v>1289</v>
      </c>
      <c r="Q5726">
        <v>26824</v>
      </c>
      <c r="R5726" t="s">
        <v>45</v>
      </c>
      <c r="S5726" t="s">
        <v>29984</v>
      </c>
      <c r="T5726">
        <v>26</v>
      </c>
      <c r="U5726" s="2" t="s">
        <v>34654</v>
      </c>
      <c r="W5726" t="s">
        <v>4775</v>
      </c>
      <c r="X5726">
        <v>835056</v>
      </c>
      <c r="Y5726" t="e">
        <f ca="1">-module B1 _xludf.and B2 stuck cartridge</f>
        <v>#NAME?</v>
      </c>
      <c r="Z5726" t="e">
        <f ca="1">-COLLECT IQR, system _xludf.Log, _xludf.and ARCHIVE</f>
        <v>#NAME?</v>
      </c>
      <c r="AA5726" t="e">
        <f ca="1">-PERFORM self test _xludf.and Troubleshooting
-PERFORM stuck cartridge Repair PROCEDURE
-PERFORM Preventive Maintenance</f>
        <v>#NAME?</v>
      </c>
      <c r="AB5726" t="s">
        <v>1293</v>
      </c>
      <c r="AG5726" t="s">
        <v>34655</v>
      </c>
      <c r="AH5726" t="s">
        <v>29987</v>
      </c>
      <c r="AI5726" t="s">
        <v>34656</v>
      </c>
    </row>
    <row r="5727" spans="2:35" ht="105">
      <c r="B5727" s="1">
        <v>45295</v>
      </c>
      <c r="C5727" s="4">
        <v>45295.496527777781</v>
      </c>
      <c r="D5727" t="s">
        <v>25967</v>
      </c>
      <c r="E5727" t="s">
        <v>25968</v>
      </c>
      <c r="F5727">
        <v>3</v>
      </c>
      <c r="G5727" t="s">
        <v>174</v>
      </c>
      <c r="H5727" t="s">
        <v>39</v>
      </c>
      <c r="I5727" t="s">
        <v>40</v>
      </c>
      <c r="J5727" s="2" t="s">
        <v>41</v>
      </c>
      <c r="K5727" t="s">
        <v>42</v>
      </c>
      <c r="L5727" t="s">
        <v>175</v>
      </c>
      <c r="N5727" t="s">
        <v>176</v>
      </c>
      <c r="Q5727">
        <v>26823</v>
      </c>
      <c r="R5727" t="s">
        <v>119</v>
      </c>
      <c r="S5727" t="s">
        <v>25969</v>
      </c>
      <c r="T5727">
        <v>25</v>
      </c>
      <c r="U5727" s="2" t="s">
        <v>8179</v>
      </c>
      <c r="V5727" s="1">
        <v>45274</v>
      </c>
      <c r="W5727" t="s">
        <v>84</v>
      </c>
      <c r="X5727">
        <v>831691</v>
      </c>
      <c r="Y5727" t="s">
        <v>34657</v>
      </c>
      <c r="Z5727" t="e">
        <f ca="1">- replaced B3
- checked _xludf.and cleaned cartridge bay, plunger rod, _xludf.filter
- generated reports</f>
        <v>#NAME?</v>
      </c>
      <c r="AA5727" t="s">
        <v>33640</v>
      </c>
      <c r="AB5727" t="s">
        <v>88</v>
      </c>
      <c r="AD5727" s="2" t="s">
        <v>34382</v>
      </c>
      <c r="AE5727">
        <v>10912</v>
      </c>
      <c r="AG5727" t="s">
        <v>34658</v>
      </c>
      <c r="AH5727" t="s">
        <v>25971</v>
      </c>
      <c r="AI5727" t="s">
        <v>34659</v>
      </c>
    </row>
    <row r="5728" spans="2:35" ht="105">
      <c r="B5728" s="1">
        <v>45295</v>
      </c>
      <c r="C5728" s="4">
        <v>45295.496527777781</v>
      </c>
      <c r="D5728" t="s">
        <v>25967</v>
      </c>
      <c r="E5728" t="s">
        <v>25968</v>
      </c>
      <c r="F5728">
        <v>3</v>
      </c>
      <c r="G5728" t="s">
        <v>174</v>
      </c>
      <c r="H5728" t="s">
        <v>39</v>
      </c>
      <c r="I5728" t="s">
        <v>40</v>
      </c>
      <c r="J5728" s="2" t="s">
        <v>41</v>
      </c>
      <c r="K5728" t="s">
        <v>42</v>
      </c>
      <c r="L5728" t="s">
        <v>175</v>
      </c>
      <c r="N5728" t="s">
        <v>176</v>
      </c>
      <c r="Q5728">
        <v>26822</v>
      </c>
      <c r="R5728" t="s">
        <v>119</v>
      </c>
      <c r="S5728" t="s">
        <v>25969</v>
      </c>
      <c r="T5728">
        <v>25</v>
      </c>
      <c r="U5728" s="2" t="s">
        <v>8179</v>
      </c>
      <c r="V5728" s="1">
        <v>45274</v>
      </c>
      <c r="W5728" t="s">
        <v>84</v>
      </c>
      <c r="X5728">
        <v>831691</v>
      </c>
      <c r="Y5728" t="s">
        <v>34657</v>
      </c>
      <c r="Z5728" t="e">
        <f ca="1">- replaced B3
- checked _xludf.and cleaned cartridge bay, plunger rod, _xludf.filter
- generated reports</f>
        <v>#NAME?</v>
      </c>
      <c r="AA5728" t="s">
        <v>33640</v>
      </c>
      <c r="AB5728" t="s">
        <v>88</v>
      </c>
      <c r="AD5728" s="2" t="s">
        <v>34382</v>
      </c>
      <c r="AE5728">
        <v>10912</v>
      </c>
      <c r="AG5728" t="s">
        <v>34660</v>
      </c>
      <c r="AH5728" t="s">
        <v>25971</v>
      </c>
      <c r="AI5728" t="s">
        <v>34661</v>
      </c>
    </row>
    <row r="5729" spans="2:35" ht="300">
      <c r="B5729" s="1">
        <v>45295</v>
      </c>
      <c r="C5729" s="4">
        <v>45295.484722222223</v>
      </c>
      <c r="D5729" t="s">
        <v>1484</v>
      </c>
      <c r="E5729" t="s">
        <v>1485</v>
      </c>
      <c r="F5729">
        <v>12</v>
      </c>
      <c r="G5729" t="s">
        <v>978</v>
      </c>
      <c r="H5729" t="s">
        <v>1473</v>
      </c>
      <c r="I5729" t="s">
        <v>94</v>
      </c>
      <c r="J5729" t="s">
        <v>109</v>
      </c>
      <c r="K5729" t="s">
        <v>42</v>
      </c>
      <c r="L5729" t="s">
        <v>296</v>
      </c>
      <c r="N5729" t="s">
        <v>297</v>
      </c>
      <c r="Q5729">
        <v>26821</v>
      </c>
      <c r="R5729" t="s">
        <v>45</v>
      </c>
      <c r="S5729" t="s">
        <v>2374</v>
      </c>
      <c r="T5729">
        <v>18.600000000000001</v>
      </c>
      <c r="U5729" s="2" t="s">
        <v>21292</v>
      </c>
      <c r="W5729" t="s">
        <v>23049</v>
      </c>
      <c r="X5729">
        <v>815432</v>
      </c>
      <c r="Y5729" t="s">
        <v>54</v>
      </c>
      <c r="Z5729" s="2" t="s">
        <v>34662</v>
      </c>
      <c r="AA5729" t="s">
        <v>303</v>
      </c>
      <c r="AB5729" t="s">
        <v>972</v>
      </c>
      <c r="AG5729" t="s">
        <v>34663</v>
      </c>
      <c r="AH5729" t="s">
        <v>1484</v>
      </c>
      <c r="AI5729" t="s">
        <v>34664</v>
      </c>
    </row>
    <row r="5730" spans="2:35" ht="240">
      <c r="B5730" s="1">
        <v>45295</v>
      </c>
      <c r="C5730" s="4">
        <v>45295.488194444442</v>
      </c>
      <c r="D5730" t="s">
        <v>1484</v>
      </c>
      <c r="E5730" t="s">
        <v>1485</v>
      </c>
      <c r="F5730">
        <v>12</v>
      </c>
      <c r="G5730" t="s">
        <v>978</v>
      </c>
      <c r="H5730" t="s">
        <v>1473</v>
      </c>
      <c r="I5730" t="s">
        <v>94</v>
      </c>
      <c r="J5730" s="2" t="s">
        <v>31986</v>
      </c>
      <c r="K5730" t="s">
        <v>42</v>
      </c>
      <c r="L5730" t="s">
        <v>296</v>
      </c>
      <c r="N5730" t="s">
        <v>297</v>
      </c>
      <c r="Q5730">
        <v>26820</v>
      </c>
      <c r="R5730" t="s">
        <v>45</v>
      </c>
      <c r="S5730" t="s">
        <v>2374</v>
      </c>
      <c r="T5730">
        <v>20.100000000000001</v>
      </c>
      <c r="U5730" s="2" t="s">
        <v>34665</v>
      </c>
      <c r="W5730" t="s">
        <v>34666</v>
      </c>
      <c r="X5730">
        <v>120000172</v>
      </c>
      <c r="Y5730" t="s">
        <v>54</v>
      </c>
      <c r="Z5730" s="2" t="s">
        <v>34667</v>
      </c>
      <c r="AA5730" t="s">
        <v>9161</v>
      </c>
      <c r="AB5730" t="s">
        <v>972</v>
      </c>
      <c r="AG5730" t="s">
        <v>34668</v>
      </c>
      <c r="AH5730" t="s">
        <v>1484</v>
      </c>
      <c r="AI5730" t="s">
        <v>34669</v>
      </c>
    </row>
    <row r="5731" spans="2:35" ht="120">
      <c r="B5731" s="1">
        <v>45295</v>
      </c>
      <c r="C5731" s="4">
        <v>45295.438888888886</v>
      </c>
      <c r="D5731" t="s">
        <v>31830</v>
      </c>
      <c r="E5731" t="s">
        <v>10812</v>
      </c>
      <c r="F5731">
        <v>10</v>
      </c>
      <c r="G5731" t="s">
        <v>1395</v>
      </c>
      <c r="H5731" t="s">
        <v>34670</v>
      </c>
      <c r="I5731" t="s">
        <v>94</v>
      </c>
      <c r="J5731" s="2" t="s">
        <v>41</v>
      </c>
      <c r="K5731" t="s">
        <v>42</v>
      </c>
      <c r="L5731" t="s">
        <v>343</v>
      </c>
      <c r="N5731" t="s">
        <v>344</v>
      </c>
      <c r="Q5731">
        <v>26819</v>
      </c>
      <c r="R5731" t="s">
        <v>45</v>
      </c>
      <c r="S5731" t="s">
        <v>31815</v>
      </c>
      <c r="T5731">
        <v>28</v>
      </c>
      <c r="U5731" s="2" t="s">
        <v>34671</v>
      </c>
      <c r="V5731" s="1">
        <v>45295</v>
      </c>
      <c r="W5731" t="s">
        <v>84</v>
      </c>
      <c r="X5731">
        <v>804682</v>
      </c>
      <c r="Y5731" t="s">
        <v>11013</v>
      </c>
      <c r="Z5731" t="s">
        <v>34672</v>
      </c>
      <c r="AA5731" t="e">
        <f ca="1">-module Replacement
-Preventive Maintenance</f>
        <v>#NAME?</v>
      </c>
      <c r="AB5731" t="s">
        <v>9638</v>
      </c>
      <c r="AD5731" t="s">
        <v>6815</v>
      </c>
      <c r="AE5731" t="s">
        <v>45</v>
      </c>
      <c r="AG5731" t="s">
        <v>34673</v>
      </c>
      <c r="AH5731" t="s">
        <v>31819</v>
      </c>
      <c r="AI5731" t="s">
        <v>34674</v>
      </c>
    </row>
    <row r="5732" spans="2:35" ht="165">
      <c r="B5732" s="1">
        <v>45295</v>
      </c>
      <c r="C5732" s="4">
        <v>45295.368055555555</v>
      </c>
      <c r="D5732" t="s">
        <v>4218</v>
      </c>
      <c r="E5732" t="s">
        <v>4219</v>
      </c>
      <c r="F5732">
        <v>3</v>
      </c>
      <c r="G5732" t="s">
        <v>1722</v>
      </c>
      <c r="H5732" t="s">
        <v>39</v>
      </c>
      <c r="I5732" t="s">
        <v>40</v>
      </c>
      <c r="J5732" s="2" t="s">
        <v>31979</v>
      </c>
      <c r="K5732" t="s">
        <v>42</v>
      </c>
      <c r="L5732" t="s">
        <v>63</v>
      </c>
      <c r="N5732" t="s">
        <v>64</v>
      </c>
      <c r="Q5732">
        <v>26818</v>
      </c>
      <c r="R5732" t="s">
        <v>119</v>
      </c>
      <c r="S5732" t="s">
        <v>4220</v>
      </c>
      <c r="T5732">
        <v>27</v>
      </c>
      <c r="U5732" s="2" t="s">
        <v>34675</v>
      </c>
      <c r="V5732" s="1">
        <v>45295</v>
      </c>
      <c r="W5732" t="s">
        <v>26915</v>
      </c>
      <c r="X5732">
        <v>831637</v>
      </c>
      <c r="Y5732" t="s">
        <v>26853</v>
      </c>
      <c r="Z5732" s="2" t="s">
        <v>34676</v>
      </c>
      <c r="AA5732" s="2" t="s">
        <v>1727</v>
      </c>
      <c r="AB5732" t="s">
        <v>70</v>
      </c>
      <c r="AC5732" t="s">
        <v>34677</v>
      </c>
      <c r="AD5732" t="s">
        <v>29263</v>
      </c>
      <c r="AE5732" t="s">
        <v>1716</v>
      </c>
      <c r="AG5732" t="s">
        <v>34678</v>
      </c>
      <c r="AH5732" t="s">
        <v>26856</v>
      </c>
      <c r="AI5732" t="s">
        <v>34679</v>
      </c>
    </row>
    <row r="5733" spans="2:35" ht="345">
      <c r="B5733" s="1">
        <v>45294</v>
      </c>
      <c r="C5733" s="4">
        <v>45294.584722222222</v>
      </c>
      <c r="D5733" t="s">
        <v>9231</v>
      </c>
      <c r="E5733" t="s">
        <v>34680</v>
      </c>
      <c r="F5733" t="s">
        <v>148</v>
      </c>
      <c r="G5733" t="s">
        <v>447</v>
      </c>
      <c r="H5733" t="s">
        <v>39</v>
      </c>
      <c r="I5733" t="s">
        <v>40</v>
      </c>
      <c r="J5733" s="2" t="s">
        <v>9961</v>
      </c>
      <c r="K5733" t="s">
        <v>42</v>
      </c>
      <c r="L5733" t="s">
        <v>409</v>
      </c>
      <c r="N5733" t="s">
        <v>410</v>
      </c>
      <c r="Q5733">
        <v>26817</v>
      </c>
      <c r="R5733" t="s">
        <v>322</v>
      </c>
      <c r="S5733" t="s">
        <v>34681</v>
      </c>
      <c r="T5733">
        <v>25</v>
      </c>
      <c r="U5733" s="2" t="s">
        <v>34682</v>
      </c>
      <c r="W5733" t="s">
        <v>34683</v>
      </c>
      <c r="X5733">
        <v>110020697</v>
      </c>
      <c r="Y5733" t="s">
        <v>301</v>
      </c>
      <c r="Z5733" t="s">
        <v>301</v>
      </c>
      <c r="AA5733" s="2" t="s">
        <v>34684</v>
      </c>
      <c r="AB5733" t="s">
        <v>181</v>
      </c>
      <c r="AG5733" t="s">
        <v>34685</v>
      </c>
      <c r="AH5733" t="s">
        <v>34686</v>
      </c>
      <c r="AI5733" t="s">
        <v>34687</v>
      </c>
    </row>
    <row r="5734" spans="2:35" ht="409.5">
      <c r="B5734" s="1">
        <v>45294</v>
      </c>
      <c r="C5734" s="4">
        <v>45294.68472222222</v>
      </c>
      <c r="D5734" t="s">
        <v>23894</v>
      </c>
      <c r="E5734" t="s">
        <v>34688</v>
      </c>
      <c r="F5734">
        <v>11</v>
      </c>
      <c r="G5734" t="s">
        <v>1205</v>
      </c>
      <c r="H5734" t="s">
        <v>202</v>
      </c>
      <c r="I5734" t="s">
        <v>94</v>
      </c>
      <c r="J5734" s="2" t="s">
        <v>355</v>
      </c>
      <c r="K5734" t="s">
        <v>42</v>
      </c>
      <c r="L5734" t="s">
        <v>204</v>
      </c>
      <c r="N5734" t="s">
        <v>205</v>
      </c>
      <c r="Q5734">
        <v>26816</v>
      </c>
      <c r="R5734" t="s">
        <v>45</v>
      </c>
      <c r="S5734" t="s">
        <v>22411</v>
      </c>
      <c r="T5734">
        <v>22.5</v>
      </c>
      <c r="W5734" t="s">
        <v>24154</v>
      </c>
      <c r="X5734">
        <v>804835</v>
      </c>
      <c r="Y5734" t="s">
        <v>34689</v>
      </c>
      <c r="Z5734" s="2" t="s">
        <v>34690</v>
      </c>
      <c r="AA5734" t="s">
        <v>34691</v>
      </c>
      <c r="AB5734" t="s">
        <v>34692</v>
      </c>
      <c r="AC5734" t="s">
        <v>34693</v>
      </c>
      <c r="AG5734" t="s">
        <v>34694</v>
      </c>
      <c r="AH5734" t="s">
        <v>34695</v>
      </c>
      <c r="AI5734" t="s">
        <v>34696</v>
      </c>
    </row>
    <row r="5735" spans="2:35" ht="409.5">
      <c r="B5735" s="1">
        <v>45294</v>
      </c>
      <c r="C5735" s="4">
        <v>45294.500694444447</v>
      </c>
      <c r="D5735" t="s">
        <v>1471</v>
      </c>
      <c r="E5735" t="s">
        <v>3863</v>
      </c>
      <c r="F5735">
        <v>12</v>
      </c>
      <c r="G5735" t="s">
        <v>978</v>
      </c>
      <c r="H5735" t="s">
        <v>1473</v>
      </c>
      <c r="I5735" t="s">
        <v>94</v>
      </c>
      <c r="J5735" s="2" t="s">
        <v>30202</v>
      </c>
      <c r="K5735" t="s">
        <v>42</v>
      </c>
      <c r="L5735" t="s">
        <v>296</v>
      </c>
      <c r="N5735" t="s">
        <v>297</v>
      </c>
      <c r="Q5735">
        <v>26815</v>
      </c>
      <c r="R5735" t="s">
        <v>45</v>
      </c>
      <c r="S5735" t="s">
        <v>1475</v>
      </c>
      <c r="T5735">
        <v>24.1</v>
      </c>
      <c r="U5735" s="2" t="s">
        <v>34697</v>
      </c>
      <c r="V5735" s="1">
        <v>45294</v>
      </c>
      <c r="W5735" t="s">
        <v>23049</v>
      </c>
      <c r="X5735">
        <v>707529</v>
      </c>
      <c r="Y5735" t="s">
        <v>11013</v>
      </c>
      <c r="Z5735" s="2" t="s">
        <v>34698</v>
      </c>
      <c r="AA5735" t="s">
        <v>9161</v>
      </c>
      <c r="AB5735" t="s">
        <v>972</v>
      </c>
      <c r="AD5735" t="s">
        <v>34699</v>
      </c>
      <c r="AE5735" t="s">
        <v>10783</v>
      </c>
      <c r="AG5735" t="s">
        <v>34700</v>
      </c>
      <c r="AH5735" t="s">
        <v>1482</v>
      </c>
      <c r="AI5735" t="s">
        <v>34701</v>
      </c>
    </row>
    <row r="5736" spans="2:35" ht="255">
      <c r="B5736" s="1">
        <v>45294</v>
      </c>
      <c r="C5736" s="4">
        <v>45294.657638888886</v>
      </c>
      <c r="D5736" t="s">
        <v>29075</v>
      </c>
      <c r="E5736" t="s">
        <v>34702</v>
      </c>
      <c r="F5736">
        <v>3</v>
      </c>
      <c r="G5736" t="s">
        <v>1722</v>
      </c>
      <c r="H5736" t="s">
        <v>39</v>
      </c>
      <c r="I5736" t="s">
        <v>40</v>
      </c>
      <c r="J5736" s="2" t="s">
        <v>41</v>
      </c>
      <c r="K5736" t="s">
        <v>42</v>
      </c>
      <c r="L5736" t="s">
        <v>63</v>
      </c>
      <c r="N5736" t="s">
        <v>64</v>
      </c>
      <c r="O5736" t="s">
        <v>64</v>
      </c>
      <c r="Q5736">
        <v>26814</v>
      </c>
      <c r="R5736" t="s">
        <v>119</v>
      </c>
      <c r="S5736" t="s">
        <v>29077</v>
      </c>
      <c r="T5736">
        <v>27</v>
      </c>
      <c r="U5736" s="2" t="s">
        <v>9721</v>
      </c>
      <c r="V5736" s="1">
        <v>45272</v>
      </c>
      <c r="W5736" t="s">
        <v>26915</v>
      </c>
      <c r="X5736">
        <v>831582</v>
      </c>
      <c r="Y5736" t="s">
        <v>1716</v>
      </c>
      <c r="Z5736" t="s">
        <v>1716</v>
      </c>
      <c r="AA5736" s="2" t="s">
        <v>34703</v>
      </c>
      <c r="AB5736" t="s">
        <v>70</v>
      </c>
      <c r="AC5736" t="s">
        <v>34704</v>
      </c>
      <c r="AD5736" t="s">
        <v>6397</v>
      </c>
      <c r="AE5736">
        <v>10906</v>
      </c>
      <c r="AG5736" t="s">
        <v>34705</v>
      </c>
      <c r="AH5736" t="s">
        <v>32980</v>
      </c>
      <c r="AI5736" t="s">
        <v>34706</v>
      </c>
    </row>
    <row r="5737" spans="2:35" ht="375">
      <c r="B5737" s="1">
        <v>45294</v>
      </c>
      <c r="C5737" s="4">
        <v>45294.468055555553</v>
      </c>
      <c r="D5737" t="s">
        <v>4379</v>
      </c>
      <c r="E5737" t="s">
        <v>28731</v>
      </c>
      <c r="F5737" t="s">
        <v>148</v>
      </c>
      <c r="G5737" t="s">
        <v>785</v>
      </c>
      <c r="H5737" t="s">
        <v>39</v>
      </c>
      <c r="I5737" t="s">
        <v>94</v>
      </c>
      <c r="J5737" s="2" t="s">
        <v>34094</v>
      </c>
      <c r="K5737" t="s">
        <v>42</v>
      </c>
      <c r="L5737" t="s">
        <v>43</v>
      </c>
      <c r="N5737" t="s">
        <v>44</v>
      </c>
      <c r="Q5737">
        <v>26813</v>
      </c>
      <c r="R5737" t="s">
        <v>322</v>
      </c>
      <c r="S5737" t="s">
        <v>4382</v>
      </c>
      <c r="T5737">
        <v>24</v>
      </c>
      <c r="U5737" s="2" t="s">
        <v>34095</v>
      </c>
      <c r="W5737" t="s">
        <v>34096</v>
      </c>
      <c r="X5737">
        <v>838627</v>
      </c>
      <c r="Y5737" t="s">
        <v>29036</v>
      </c>
      <c r="Z5737" t="s">
        <v>34097</v>
      </c>
      <c r="AA5737" s="2" t="s">
        <v>34098</v>
      </c>
      <c r="AB5737" t="s">
        <v>34099</v>
      </c>
      <c r="AG5737" t="s">
        <v>34707</v>
      </c>
      <c r="AH5737" t="s">
        <v>30285</v>
      </c>
      <c r="AI5737" t="s">
        <v>34708</v>
      </c>
    </row>
    <row r="5738" spans="2:35" ht="210">
      <c r="B5738" s="1">
        <v>45294</v>
      </c>
      <c r="C5738" s="4">
        <v>45294.415972222225</v>
      </c>
      <c r="D5738" t="s">
        <v>4379</v>
      </c>
      <c r="E5738" t="s">
        <v>28731</v>
      </c>
      <c r="F5738" t="s">
        <v>148</v>
      </c>
      <c r="G5738" t="s">
        <v>785</v>
      </c>
      <c r="H5738" t="s">
        <v>39</v>
      </c>
      <c r="I5738" t="s">
        <v>40</v>
      </c>
      <c r="J5738" s="2" t="s">
        <v>31986</v>
      </c>
      <c r="K5738" t="s">
        <v>42</v>
      </c>
      <c r="L5738" t="s">
        <v>43</v>
      </c>
      <c r="N5738" t="s">
        <v>44</v>
      </c>
      <c r="Q5738">
        <v>26812</v>
      </c>
      <c r="R5738" t="s">
        <v>45</v>
      </c>
      <c r="S5738" t="s">
        <v>4382</v>
      </c>
      <c r="T5738">
        <v>24</v>
      </c>
      <c r="W5738" t="s">
        <v>48</v>
      </c>
      <c r="X5738">
        <v>814374</v>
      </c>
      <c r="Y5738" t="s">
        <v>121</v>
      </c>
      <c r="Z5738" t="s">
        <v>122</v>
      </c>
      <c r="AA5738" s="2" t="s">
        <v>33688</v>
      </c>
      <c r="AB5738" t="s">
        <v>16412</v>
      </c>
      <c r="AG5738" t="s">
        <v>34709</v>
      </c>
      <c r="AH5738" t="s">
        <v>30285</v>
      </c>
      <c r="AI5738" t="s">
        <v>34710</v>
      </c>
    </row>
    <row r="5739" spans="2:35" ht="210">
      <c r="B5739" s="1">
        <v>45294</v>
      </c>
      <c r="C5739" s="4">
        <v>45294.525000000001</v>
      </c>
      <c r="D5739" t="s">
        <v>30506</v>
      </c>
      <c r="E5739" t="s">
        <v>26387</v>
      </c>
      <c r="F5739">
        <v>7</v>
      </c>
      <c r="G5739" t="s">
        <v>6529</v>
      </c>
      <c r="H5739" t="s">
        <v>10969</v>
      </c>
      <c r="I5739" t="s">
        <v>40</v>
      </c>
      <c r="J5739" t="s">
        <v>109</v>
      </c>
      <c r="K5739" t="s">
        <v>42</v>
      </c>
      <c r="L5739" t="s">
        <v>1288</v>
      </c>
      <c r="N5739" t="s">
        <v>1289</v>
      </c>
      <c r="Q5739">
        <v>26811</v>
      </c>
      <c r="R5739" t="s">
        <v>119</v>
      </c>
      <c r="S5739" t="s">
        <v>30507</v>
      </c>
      <c r="T5739">
        <v>24</v>
      </c>
      <c r="U5739" s="2" t="s">
        <v>34711</v>
      </c>
      <c r="W5739" t="s">
        <v>1292</v>
      </c>
      <c r="X5739">
        <v>820228</v>
      </c>
      <c r="Y5739" t="e">
        <f ca="1">-Preventive Maintenance</f>
        <v>#NAME?</v>
      </c>
      <c r="Z5739" t="e">
        <f ca="1">-COLLECT IQR, system _xludf.Log, _xludf.and ARCHIVE</f>
        <v>#NAME?</v>
      </c>
      <c r="AA5739" t="e">
        <f ca="1">-PERFORM Cleaning of GeneXpert workstation
-PERFORM Preventive Maintenance</f>
        <v>#NAME?</v>
      </c>
      <c r="AB5739" t="s">
        <v>1293</v>
      </c>
      <c r="AG5739" t="s">
        <v>34712</v>
      </c>
      <c r="AH5739" t="s">
        <v>30510</v>
      </c>
      <c r="AI5739" t="s">
        <v>34713</v>
      </c>
    </row>
    <row r="5740" spans="2:35" ht="45">
      <c r="B5740" s="1">
        <v>45294</v>
      </c>
      <c r="C5740" s="4">
        <v>45267.678472222222</v>
      </c>
      <c r="D5740" t="s">
        <v>34714</v>
      </c>
      <c r="E5740" t="s">
        <v>582</v>
      </c>
      <c r="F5740" t="s">
        <v>148</v>
      </c>
      <c r="G5740" t="s">
        <v>447</v>
      </c>
      <c r="H5740" t="s">
        <v>34715</v>
      </c>
      <c r="I5740" t="s">
        <v>40</v>
      </c>
      <c r="J5740" s="2" t="s">
        <v>9961</v>
      </c>
      <c r="K5740" t="s">
        <v>2629</v>
      </c>
      <c r="L5740" t="s">
        <v>175</v>
      </c>
      <c r="N5740" t="s">
        <v>176</v>
      </c>
      <c r="Q5740">
        <v>26810</v>
      </c>
      <c r="R5740" t="s">
        <v>95</v>
      </c>
      <c r="S5740" t="s">
        <v>2630</v>
      </c>
      <c r="T5740">
        <v>25</v>
      </c>
      <c r="W5740" t="s">
        <v>34716</v>
      </c>
      <c r="X5740" t="s">
        <v>34717</v>
      </c>
      <c r="Y5740" t="s">
        <v>8338</v>
      </c>
      <c r="Z5740" t="e">
        <f ca="1">- installed Unit
- checked ALIGNMENT
- performed functionality test _xludf.and router connectivity</f>
        <v>#NAME?</v>
      </c>
      <c r="AA5740" t="s">
        <v>34718</v>
      </c>
      <c r="AB5740" t="s">
        <v>88</v>
      </c>
      <c r="AC5740" t="s">
        <v>34719</v>
      </c>
      <c r="AG5740" t="s">
        <v>34720</v>
      </c>
      <c r="AH5740" t="s">
        <v>2636</v>
      </c>
      <c r="AI5740" t="s">
        <v>34721</v>
      </c>
    </row>
    <row r="5741" spans="2:35" ht="405">
      <c r="B5741" s="1">
        <v>45294</v>
      </c>
      <c r="C5741" s="4">
        <v>45294.515972222223</v>
      </c>
      <c r="D5741" t="s">
        <v>30506</v>
      </c>
      <c r="E5741" t="s">
        <v>26387</v>
      </c>
      <c r="F5741">
        <v>7</v>
      </c>
      <c r="G5741" t="s">
        <v>6529</v>
      </c>
      <c r="H5741" t="s">
        <v>10969</v>
      </c>
      <c r="I5741" t="s">
        <v>40</v>
      </c>
      <c r="J5741" s="2" t="s">
        <v>34722</v>
      </c>
      <c r="K5741" t="s">
        <v>42</v>
      </c>
      <c r="L5741" t="s">
        <v>1288</v>
      </c>
      <c r="N5741" t="s">
        <v>1289</v>
      </c>
      <c r="Q5741">
        <v>26809</v>
      </c>
      <c r="R5741" t="s">
        <v>45</v>
      </c>
      <c r="S5741" t="s">
        <v>30507</v>
      </c>
      <c r="T5741">
        <v>24</v>
      </c>
      <c r="U5741" s="2" t="s">
        <v>34711</v>
      </c>
      <c r="W5741" t="s">
        <v>1292</v>
      </c>
      <c r="X5741">
        <v>838878</v>
      </c>
      <c r="Y5741" t="e">
        <f ca="1">-_xludf.For GeneXpert software UPDATE
-Preventive Maintenance</f>
        <v>#NAME?</v>
      </c>
      <c r="Z5741" t="e">
        <f ca="1">-COLLECT IQR, system _xludf.Log, _xludf.and ARCHIVE</f>
        <v>#NAME?</v>
      </c>
      <c r="AA5741" s="2" t="s">
        <v>34723</v>
      </c>
      <c r="AB5741" t="s">
        <v>1293</v>
      </c>
      <c r="AG5741" t="s">
        <v>34724</v>
      </c>
      <c r="AH5741" t="s">
        <v>30510</v>
      </c>
      <c r="AI5741" t="s">
        <v>34725</v>
      </c>
    </row>
    <row r="5742" spans="2:35" ht="195">
      <c r="B5742" s="1">
        <v>45294</v>
      </c>
      <c r="C5742" s="4">
        <v>45294.464583333334</v>
      </c>
      <c r="D5742" t="s">
        <v>3139</v>
      </c>
      <c r="E5742" t="s">
        <v>3140</v>
      </c>
      <c r="F5742">
        <v>3</v>
      </c>
      <c r="G5742" t="s">
        <v>174</v>
      </c>
      <c r="H5742" t="s">
        <v>61</v>
      </c>
      <c r="I5742" t="s">
        <v>40</v>
      </c>
      <c r="J5742" s="2" t="s">
        <v>760</v>
      </c>
      <c r="K5742" t="s">
        <v>42</v>
      </c>
      <c r="L5742" t="s">
        <v>175</v>
      </c>
      <c r="N5742" t="s">
        <v>176</v>
      </c>
      <c r="Q5742">
        <v>26808</v>
      </c>
      <c r="R5742" t="s">
        <v>45</v>
      </c>
      <c r="S5742" t="s">
        <v>18595</v>
      </c>
      <c r="T5742">
        <v>25</v>
      </c>
      <c r="V5742" s="1">
        <v>45294</v>
      </c>
      <c r="W5742" t="s">
        <v>84</v>
      </c>
      <c r="X5742">
        <v>834623</v>
      </c>
      <c r="Y5742" t="s">
        <v>34726</v>
      </c>
      <c r="Z5742" t="e">
        <f ca="1">- powered on Reported Laptop (able to turn on)
- archived tests _xludf.and database
- installed new Back up Laptop
- retrieved database _xludf.and tests
- installed printer drivers
- generated reports
- pulled Out defective Laptop</f>
        <v>#NAME?</v>
      </c>
      <c r="AA5742" t="s">
        <v>34727</v>
      </c>
      <c r="AB5742" s="2" t="s">
        <v>34728</v>
      </c>
      <c r="AD5742" s="2" t="s">
        <v>34729</v>
      </c>
      <c r="AE5742" t="s">
        <v>103</v>
      </c>
      <c r="AG5742" t="s">
        <v>34730</v>
      </c>
      <c r="AH5742" t="s">
        <v>18598</v>
      </c>
      <c r="AI5742" t="s">
        <v>34731</v>
      </c>
    </row>
    <row r="5743" spans="2:35" ht="165">
      <c r="B5743" s="1">
        <v>45294</v>
      </c>
      <c r="C5743" s="4">
        <v>45294.45416666667</v>
      </c>
      <c r="D5743" t="s">
        <v>9278</v>
      </c>
      <c r="E5743" t="s">
        <v>34732</v>
      </c>
      <c r="F5743" t="s">
        <v>148</v>
      </c>
      <c r="G5743" t="s">
        <v>447</v>
      </c>
      <c r="H5743" t="s">
        <v>39</v>
      </c>
      <c r="I5743" t="s">
        <v>40</v>
      </c>
      <c r="J5743" s="2" t="s">
        <v>1808</v>
      </c>
      <c r="K5743" t="s">
        <v>42</v>
      </c>
      <c r="L5743" t="s">
        <v>15532</v>
      </c>
      <c r="N5743" t="s">
        <v>15533</v>
      </c>
      <c r="Q5743">
        <v>26807</v>
      </c>
      <c r="R5743" t="s">
        <v>322</v>
      </c>
      <c r="S5743" t="s">
        <v>9279</v>
      </c>
      <c r="T5743">
        <v>28</v>
      </c>
      <c r="W5743" t="s">
        <v>34733</v>
      </c>
      <c r="X5743">
        <v>120000577</v>
      </c>
      <c r="Y5743" t="s">
        <v>34734</v>
      </c>
      <c r="Z5743" s="2" t="s">
        <v>34735</v>
      </c>
      <c r="AA5743" t="s">
        <v>34736</v>
      </c>
      <c r="AB5743" s="2" t="s">
        <v>33302</v>
      </c>
      <c r="AG5743" t="s">
        <v>34737</v>
      </c>
      <c r="AH5743" t="s">
        <v>9282</v>
      </c>
      <c r="AI5743" t="s">
        <v>34738</v>
      </c>
    </row>
    <row r="5744" spans="2:35" ht="150">
      <c r="B5744" s="1">
        <v>45294</v>
      </c>
      <c r="C5744" s="4">
        <v>45294.333333333336</v>
      </c>
      <c r="D5744" t="s">
        <v>16716</v>
      </c>
      <c r="E5744" t="s">
        <v>1128</v>
      </c>
      <c r="F5744">
        <v>8</v>
      </c>
      <c r="G5744" t="s">
        <v>342</v>
      </c>
      <c r="H5744" t="s">
        <v>34739</v>
      </c>
      <c r="I5744" t="s">
        <v>40</v>
      </c>
      <c r="J5744" t="s">
        <v>109</v>
      </c>
      <c r="K5744" t="s">
        <v>42</v>
      </c>
      <c r="L5744" t="s">
        <v>259</v>
      </c>
      <c r="N5744" t="s">
        <v>260</v>
      </c>
      <c r="Q5744">
        <v>26806</v>
      </c>
      <c r="R5744" t="s">
        <v>119</v>
      </c>
      <c r="S5744" t="s">
        <v>31673</v>
      </c>
      <c r="T5744">
        <v>26</v>
      </c>
      <c r="U5744" s="2" t="s">
        <v>34740</v>
      </c>
      <c r="V5744" s="1">
        <v>45294</v>
      </c>
      <c r="W5744" t="s">
        <v>84</v>
      </c>
      <c r="X5744">
        <v>838421</v>
      </c>
      <c r="Y5744" t="s">
        <v>263</v>
      </c>
      <c r="Z5744" t="s">
        <v>263</v>
      </c>
      <c r="AA5744" s="2" t="s">
        <v>34741</v>
      </c>
      <c r="AB5744" t="s">
        <v>34742</v>
      </c>
      <c r="AG5744" t="s">
        <v>34743</v>
      </c>
      <c r="AH5744" t="s">
        <v>23174</v>
      </c>
      <c r="AI5744" t="s">
        <v>34744</v>
      </c>
    </row>
    <row r="5745" spans="2:35" ht="285">
      <c r="B5745" s="1">
        <v>45293</v>
      </c>
      <c r="C5745" s="4">
        <v>45282.590277777781</v>
      </c>
      <c r="D5745" t="s">
        <v>31460</v>
      </c>
      <c r="E5745" t="s">
        <v>31461</v>
      </c>
      <c r="F5745" t="s">
        <v>37</v>
      </c>
      <c r="G5745" t="s">
        <v>748</v>
      </c>
      <c r="H5745" t="s">
        <v>39</v>
      </c>
      <c r="I5745" t="s">
        <v>40</v>
      </c>
      <c r="J5745" s="2" t="s">
        <v>1170</v>
      </c>
      <c r="K5745" t="s">
        <v>42</v>
      </c>
      <c r="L5745" t="s">
        <v>1028</v>
      </c>
      <c r="N5745" t="s">
        <v>1029</v>
      </c>
      <c r="Q5745">
        <v>26805</v>
      </c>
      <c r="R5745" t="s">
        <v>45</v>
      </c>
      <c r="S5745" t="s">
        <v>31462</v>
      </c>
      <c r="T5745">
        <v>25</v>
      </c>
      <c r="U5745" s="2" t="s">
        <v>34745</v>
      </c>
      <c r="V5745" s="1">
        <v>45278</v>
      </c>
      <c r="W5745" t="s">
        <v>2680</v>
      </c>
      <c r="X5745">
        <v>838893</v>
      </c>
      <c r="Y5745" t="s">
        <v>33229</v>
      </c>
      <c r="Z5745" t="s">
        <v>2129</v>
      </c>
      <c r="AA5745" s="2" t="s">
        <v>34746</v>
      </c>
      <c r="AB5745" t="s">
        <v>3063</v>
      </c>
      <c r="AC5745" t="s">
        <v>34747</v>
      </c>
      <c r="AD5745" t="s">
        <v>18642</v>
      </c>
      <c r="AE5745" t="s">
        <v>34748</v>
      </c>
      <c r="AG5745" t="s">
        <v>34749</v>
      </c>
      <c r="AH5745" t="s">
        <v>31468</v>
      </c>
      <c r="AI5745" t="s">
        <v>34750</v>
      </c>
    </row>
    <row r="5746" spans="2:35" ht="195">
      <c r="B5746" s="1">
        <v>45293</v>
      </c>
      <c r="C5746" s="4">
        <v>45280.388194444444</v>
      </c>
      <c r="D5746" t="s">
        <v>32402</v>
      </c>
      <c r="E5746" t="s">
        <v>34751</v>
      </c>
      <c r="F5746" t="s">
        <v>148</v>
      </c>
      <c r="G5746" t="s">
        <v>4786</v>
      </c>
      <c r="H5746" t="s">
        <v>39</v>
      </c>
      <c r="I5746" t="s">
        <v>40</v>
      </c>
      <c r="J5746" s="2" t="s">
        <v>30202</v>
      </c>
      <c r="K5746" t="s">
        <v>42</v>
      </c>
      <c r="L5746" t="s">
        <v>1028</v>
      </c>
      <c r="N5746" t="s">
        <v>1029</v>
      </c>
      <c r="Q5746">
        <v>26803</v>
      </c>
      <c r="R5746" t="s">
        <v>45</v>
      </c>
      <c r="S5746" t="s">
        <v>32404</v>
      </c>
      <c r="T5746">
        <v>26</v>
      </c>
      <c r="U5746" s="2" t="s">
        <v>34752</v>
      </c>
      <c r="V5746" s="1">
        <v>45278</v>
      </c>
      <c r="W5746" t="s">
        <v>1967</v>
      </c>
      <c r="X5746">
        <v>838183</v>
      </c>
      <c r="Y5746" t="s">
        <v>34753</v>
      </c>
      <c r="Z5746" t="s">
        <v>2129</v>
      </c>
      <c r="AA5746" s="2" t="s">
        <v>34754</v>
      </c>
      <c r="AB5746" t="s">
        <v>3063</v>
      </c>
      <c r="AC5746" t="s">
        <v>34755</v>
      </c>
      <c r="AD5746" t="s">
        <v>27381</v>
      </c>
      <c r="AE5746" t="s">
        <v>34756</v>
      </c>
      <c r="AG5746" t="s">
        <v>34757</v>
      </c>
      <c r="AH5746" t="s">
        <v>34758</v>
      </c>
      <c r="AI5746" t="s">
        <v>34759</v>
      </c>
    </row>
    <row r="5747" spans="2:35" ht="165">
      <c r="B5747" s="1">
        <v>45293</v>
      </c>
      <c r="C5747" s="4">
        <v>45280.377083333333</v>
      </c>
      <c r="D5747" t="s">
        <v>31470</v>
      </c>
      <c r="E5747" t="s">
        <v>34760</v>
      </c>
      <c r="F5747" t="s">
        <v>148</v>
      </c>
      <c r="G5747" t="s">
        <v>4786</v>
      </c>
      <c r="H5747" t="s">
        <v>39</v>
      </c>
      <c r="I5747" t="s">
        <v>40</v>
      </c>
      <c r="J5747" s="2" t="s">
        <v>6765</v>
      </c>
      <c r="K5747" t="s">
        <v>42</v>
      </c>
      <c r="L5747" t="s">
        <v>1028</v>
      </c>
      <c r="N5747" t="s">
        <v>1029</v>
      </c>
      <c r="Q5747">
        <v>26802</v>
      </c>
      <c r="R5747" t="s">
        <v>45</v>
      </c>
      <c r="S5747" t="s">
        <v>31472</v>
      </c>
      <c r="T5747">
        <v>27</v>
      </c>
      <c r="U5747" s="2" t="s">
        <v>34761</v>
      </c>
      <c r="W5747" t="s">
        <v>1967</v>
      </c>
      <c r="X5747">
        <v>804261</v>
      </c>
      <c r="Y5747" t="s">
        <v>34762</v>
      </c>
      <c r="Z5747" t="s">
        <v>21244</v>
      </c>
      <c r="AA5747" s="2" t="s">
        <v>31300</v>
      </c>
      <c r="AB5747" t="s">
        <v>34763</v>
      </c>
      <c r="AC5747" t="s">
        <v>34764</v>
      </c>
      <c r="AG5747" t="s">
        <v>34765</v>
      </c>
      <c r="AH5747" t="s">
        <v>31480</v>
      </c>
      <c r="AI5747" t="s">
        <v>34766</v>
      </c>
    </row>
    <row r="5748" spans="2:35" ht="195">
      <c r="B5748" s="1">
        <v>45293</v>
      </c>
      <c r="C5748" s="4">
        <v>45281.465277777781</v>
      </c>
      <c r="D5748" t="s">
        <v>25155</v>
      </c>
      <c r="E5748" t="s">
        <v>27397</v>
      </c>
      <c r="F5748" t="s">
        <v>37</v>
      </c>
      <c r="G5748" t="s">
        <v>748</v>
      </c>
      <c r="H5748" t="s">
        <v>39</v>
      </c>
      <c r="I5748" t="s">
        <v>40</v>
      </c>
      <c r="J5748" s="2" t="s">
        <v>30202</v>
      </c>
      <c r="K5748" t="s">
        <v>42</v>
      </c>
      <c r="L5748" t="s">
        <v>1028</v>
      </c>
      <c r="N5748" t="s">
        <v>1029</v>
      </c>
      <c r="Q5748">
        <v>26804</v>
      </c>
      <c r="R5748" t="s">
        <v>119</v>
      </c>
      <c r="S5748" t="s">
        <v>25157</v>
      </c>
      <c r="T5748">
        <v>24</v>
      </c>
      <c r="U5748" s="2" t="s">
        <v>34767</v>
      </c>
      <c r="V5748" s="1">
        <v>45274</v>
      </c>
      <c r="W5748" t="s">
        <v>1967</v>
      </c>
      <c r="X5748">
        <v>821221</v>
      </c>
      <c r="Y5748" t="s">
        <v>34753</v>
      </c>
      <c r="Z5748" t="s">
        <v>2129</v>
      </c>
      <c r="AA5748" s="2" t="s">
        <v>34768</v>
      </c>
      <c r="AB5748" t="s">
        <v>34769</v>
      </c>
      <c r="AC5748" t="s">
        <v>34770</v>
      </c>
      <c r="AD5748" t="s">
        <v>18642</v>
      </c>
      <c r="AE5748">
        <v>10924</v>
      </c>
      <c r="AG5748" t="s">
        <v>34771</v>
      </c>
      <c r="AH5748" t="s">
        <v>34772</v>
      </c>
      <c r="AI5748" t="s">
        <v>34773</v>
      </c>
    </row>
    <row r="5749" spans="2:35" ht="210">
      <c r="B5749" s="1">
        <v>45293</v>
      </c>
      <c r="C5749" s="4">
        <v>45280.468055555553</v>
      </c>
      <c r="D5749" t="s">
        <v>24738</v>
      </c>
      <c r="E5749" t="s">
        <v>34774</v>
      </c>
      <c r="F5749" t="s">
        <v>37</v>
      </c>
      <c r="G5749" t="s">
        <v>748</v>
      </c>
      <c r="H5749" t="s">
        <v>39</v>
      </c>
      <c r="I5749" t="s">
        <v>40</v>
      </c>
      <c r="J5749" s="2" t="s">
        <v>30202</v>
      </c>
      <c r="K5749" t="s">
        <v>42</v>
      </c>
      <c r="L5749" t="s">
        <v>1028</v>
      </c>
      <c r="N5749" t="s">
        <v>1029</v>
      </c>
      <c r="Q5749">
        <v>26801</v>
      </c>
      <c r="R5749" t="s">
        <v>119</v>
      </c>
      <c r="S5749" t="s">
        <v>24740</v>
      </c>
      <c r="T5749">
        <v>25</v>
      </c>
      <c r="U5749" s="2" t="s">
        <v>34775</v>
      </c>
      <c r="V5749" s="1">
        <v>45278</v>
      </c>
      <c r="W5749" t="s">
        <v>1967</v>
      </c>
      <c r="X5749">
        <v>821227</v>
      </c>
      <c r="Y5749" t="s">
        <v>34776</v>
      </c>
      <c r="Z5749" t="s">
        <v>2129</v>
      </c>
      <c r="AA5749" s="2" t="s">
        <v>34777</v>
      </c>
      <c r="AB5749" t="s">
        <v>3063</v>
      </c>
      <c r="AC5749" t="s">
        <v>34778</v>
      </c>
      <c r="AD5749" t="s">
        <v>31477</v>
      </c>
      <c r="AE5749">
        <v>10962</v>
      </c>
      <c r="AG5749" t="s">
        <v>34779</v>
      </c>
      <c r="AH5749" t="s">
        <v>27998</v>
      </c>
      <c r="AI5749" t="s">
        <v>34780</v>
      </c>
    </row>
    <row r="5750" spans="2:35" ht="285">
      <c r="B5750" s="1">
        <v>45293</v>
      </c>
      <c r="C5750" s="4">
        <v>45281.411111111112</v>
      </c>
      <c r="D5750" t="s">
        <v>34781</v>
      </c>
      <c r="E5750" t="s">
        <v>34782</v>
      </c>
      <c r="F5750" t="s">
        <v>148</v>
      </c>
      <c r="G5750" t="s">
        <v>774</v>
      </c>
      <c r="H5750" t="s">
        <v>39</v>
      </c>
      <c r="I5750" t="s">
        <v>40</v>
      </c>
      <c r="J5750" s="2" t="s">
        <v>30202</v>
      </c>
      <c r="K5750" t="s">
        <v>42</v>
      </c>
      <c r="L5750" t="s">
        <v>1028</v>
      </c>
      <c r="N5750" t="s">
        <v>1029</v>
      </c>
      <c r="Q5750">
        <v>26800</v>
      </c>
      <c r="R5750" t="s">
        <v>45</v>
      </c>
      <c r="S5750" t="s">
        <v>34783</v>
      </c>
      <c r="T5750">
        <v>24</v>
      </c>
      <c r="U5750" s="2" t="s">
        <v>34784</v>
      </c>
      <c r="V5750" s="1">
        <v>45278</v>
      </c>
      <c r="W5750" t="s">
        <v>1967</v>
      </c>
      <c r="X5750">
        <v>834690</v>
      </c>
      <c r="Y5750" t="s">
        <v>31464</v>
      </c>
      <c r="Z5750" t="s">
        <v>2129</v>
      </c>
      <c r="AA5750" s="2" t="s">
        <v>34785</v>
      </c>
      <c r="AB5750" t="s">
        <v>3063</v>
      </c>
      <c r="AC5750" t="s">
        <v>34786</v>
      </c>
      <c r="AD5750" t="s">
        <v>18642</v>
      </c>
      <c r="AE5750" t="s">
        <v>34787</v>
      </c>
      <c r="AG5750" t="s">
        <v>34788</v>
      </c>
      <c r="AH5750" t="s">
        <v>34789</v>
      </c>
      <c r="AI5750" t="s">
        <v>34790</v>
      </c>
    </row>
    <row r="5751" spans="2:35" ht="255">
      <c r="B5751" s="1">
        <v>45293</v>
      </c>
      <c r="C5751" s="4">
        <v>45287.580555555556</v>
      </c>
      <c r="D5751" t="s">
        <v>3656</v>
      </c>
      <c r="E5751" t="s">
        <v>34791</v>
      </c>
      <c r="F5751" t="s">
        <v>148</v>
      </c>
      <c r="G5751" t="s">
        <v>447</v>
      </c>
      <c r="H5751" t="s">
        <v>39</v>
      </c>
      <c r="I5751" t="s">
        <v>40</v>
      </c>
      <c r="J5751" t="s">
        <v>109</v>
      </c>
      <c r="K5751" t="s">
        <v>42</v>
      </c>
      <c r="L5751" t="s">
        <v>15532</v>
      </c>
      <c r="N5751" t="s">
        <v>15533</v>
      </c>
      <c r="Q5751">
        <v>26799</v>
      </c>
      <c r="R5751" t="s">
        <v>322</v>
      </c>
      <c r="S5751" t="s">
        <v>34792</v>
      </c>
      <c r="T5751">
        <v>29</v>
      </c>
      <c r="U5751" s="2" t="s">
        <v>34793</v>
      </c>
      <c r="W5751" t="s">
        <v>23974</v>
      </c>
      <c r="X5751">
        <v>839150</v>
      </c>
      <c r="Y5751" t="s">
        <v>34794</v>
      </c>
      <c r="Z5751" t="s">
        <v>34795</v>
      </c>
      <c r="AA5751" t="s">
        <v>16055</v>
      </c>
      <c r="AB5751" t="s">
        <v>34796</v>
      </c>
      <c r="AG5751" t="s">
        <v>34797</v>
      </c>
      <c r="AH5751" t="s">
        <v>34798</v>
      </c>
      <c r="AI5751" t="s">
        <v>34799</v>
      </c>
    </row>
    <row r="5752" spans="2:35" ht="409.5">
      <c r="B5752" s="1">
        <v>45293</v>
      </c>
      <c r="C5752" s="4">
        <v>45288.463194444441</v>
      </c>
      <c r="D5752" t="s">
        <v>146</v>
      </c>
      <c r="E5752" t="s">
        <v>34800</v>
      </c>
      <c r="F5752" t="s">
        <v>148</v>
      </c>
      <c r="G5752" t="s">
        <v>149</v>
      </c>
      <c r="H5752" t="s">
        <v>295</v>
      </c>
      <c r="I5752" t="s">
        <v>40</v>
      </c>
      <c r="J5752" s="2" t="s">
        <v>190</v>
      </c>
      <c r="K5752" t="s">
        <v>42</v>
      </c>
      <c r="L5752" t="s">
        <v>15532</v>
      </c>
      <c r="N5752" t="s">
        <v>15533</v>
      </c>
      <c r="O5752" t="s">
        <v>15533</v>
      </c>
      <c r="Q5752">
        <v>26798</v>
      </c>
      <c r="R5752" t="s">
        <v>95</v>
      </c>
      <c r="S5752" t="s">
        <v>22735</v>
      </c>
      <c r="T5752">
        <v>29</v>
      </c>
      <c r="U5752" s="2" t="s">
        <v>34801</v>
      </c>
      <c r="W5752" t="s">
        <v>20940</v>
      </c>
      <c r="X5752">
        <v>110003714</v>
      </c>
      <c r="Y5752" s="2" t="s">
        <v>34802</v>
      </c>
      <c r="Z5752" s="2" t="s">
        <v>34803</v>
      </c>
      <c r="AA5752" s="2" t="s">
        <v>34804</v>
      </c>
      <c r="AB5752" t="s">
        <v>34805</v>
      </c>
      <c r="AG5752" t="s">
        <v>34806</v>
      </c>
      <c r="AH5752" t="s">
        <v>6444</v>
      </c>
      <c r="AI5752" t="s">
        <v>34807</v>
      </c>
    </row>
    <row r="5753" spans="2:35" ht="405">
      <c r="B5753" s="1">
        <v>45293</v>
      </c>
      <c r="C5753" s="4">
        <v>45287.419444444444</v>
      </c>
      <c r="D5753" t="s">
        <v>3050</v>
      </c>
      <c r="E5753" t="s">
        <v>3051</v>
      </c>
      <c r="F5753" t="s">
        <v>148</v>
      </c>
      <c r="G5753" t="s">
        <v>371</v>
      </c>
      <c r="H5753" t="s">
        <v>39</v>
      </c>
      <c r="I5753" t="s">
        <v>40</v>
      </c>
      <c r="J5753" t="s">
        <v>109</v>
      </c>
      <c r="K5753" t="s">
        <v>42</v>
      </c>
      <c r="L5753" t="s">
        <v>15532</v>
      </c>
      <c r="N5753" t="s">
        <v>15533</v>
      </c>
      <c r="Q5753">
        <v>26797</v>
      </c>
      <c r="R5753" t="s">
        <v>45</v>
      </c>
      <c r="S5753" t="s">
        <v>3052</v>
      </c>
      <c r="T5753">
        <v>25</v>
      </c>
      <c r="U5753" s="2" t="s">
        <v>34808</v>
      </c>
      <c r="W5753" t="s">
        <v>32112</v>
      </c>
      <c r="X5753">
        <v>805271</v>
      </c>
      <c r="Y5753" t="s">
        <v>34809</v>
      </c>
      <c r="Z5753" s="2" t="s">
        <v>34810</v>
      </c>
      <c r="AA5753" t="s">
        <v>34811</v>
      </c>
      <c r="AB5753" s="2" t="s">
        <v>34812</v>
      </c>
      <c r="AG5753" t="s">
        <v>34813</v>
      </c>
      <c r="AH5753" t="s">
        <v>3056</v>
      </c>
      <c r="AI5753" t="s">
        <v>34814</v>
      </c>
    </row>
    <row r="5754" spans="2:35" ht="255">
      <c r="B5754" s="1">
        <v>45293</v>
      </c>
      <c r="C5754" s="4">
        <v>45287.469444444447</v>
      </c>
      <c r="D5754" t="s">
        <v>34815</v>
      </c>
      <c r="E5754" t="s">
        <v>34816</v>
      </c>
      <c r="F5754" t="s">
        <v>37</v>
      </c>
      <c r="G5754" t="s">
        <v>38</v>
      </c>
      <c r="H5754" t="s">
        <v>39</v>
      </c>
      <c r="I5754" t="s">
        <v>40</v>
      </c>
      <c r="J5754" t="s">
        <v>79</v>
      </c>
      <c r="K5754" t="s">
        <v>42</v>
      </c>
      <c r="L5754" t="s">
        <v>448</v>
      </c>
      <c r="N5754" t="s">
        <v>650</v>
      </c>
      <c r="Q5754">
        <v>26796</v>
      </c>
      <c r="R5754" t="s">
        <v>45</v>
      </c>
      <c r="S5754" t="s">
        <v>34817</v>
      </c>
      <c r="T5754">
        <v>26</v>
      </c>
      <c r="U5754" s="2" t="s">
        <v>34818</v>
      </c>
      <c r="V5754" s="1">
        <v>45278</v>
      </c>
      <c r="W5754" t="s">
        <v>360</v>
      </c>
      <c r="X5754">
        <v>807593</v>
      </c>
      <c r="Y5754" t="s">
        <v>34819</v>
      </c>
      <c r="Z5754" s="2" t="s">
        <v>2585</v>
      </c>
      <c r="AA5754" t="s">
        <v>20643</v>
      </c>
      <c r="AB5754" t="s">
        <v>486</v>
      </c>
      <c r="AD5754" t="s">
        <v>10253</v>
      </c>
      <c r="AE5754" t="s">
        <v>34820</v>
      </c>
      <c r="AG5754" t="s">
        <v>34821</v>
      </c>
      <c r="AH5754" t="s">
        <v>34822</v>
      </c>
      <c r="AI5754" t="s">
        <v>34823</v>
      </c>
    </row>
    <row r="5755" spans="2:35" ht="255">
      <c r="B5755" s="1">
        <v>45293</v>
      </c>
      <c r="C5755" s="4">
        <v>45287.558333333334</v>
      </c>
      <c r="D5755" t="s">
        <v>34824</v>
      </c>
      <c r="E5755" t="s">
        <v>34825</v>
      </c>
      <c r="F5755" t="s">
        <v>37</v>
      </c>
      <c r="G5755" t="s">
        <v>38</v>
      </c>
      <c r="H5755" t="s">
        <v>39</v>
      </c>
      <c r="I5755" t="s">
        <v>40</v>
      </c>
      <c r="J5755" t="s">
        <v>79</v>
      </c>
      <c r="K5755" t="s">
        <v>42</v>
      </c>
      <c r="L5755" t="s">
        <v>448</v>
      </c>
      <c r="N5755" t="s">
        <v>650</v>
      </c>
      <c r="Q5755">
        <v>26795</v>
      </c>
      <c r="R5755" t="s">
        <v>45</v>
      </c>
      <c r="S5755" t="s">
        <v>1701</v>
      </c>
      <c r="T5755">
        <v>27</v>
      </c>
      <c r="U5755" s="2" t="s">
        <v>12736</v>
      </c>
      <c r="V5755" s="1">
        <v>45278</v>
      </c>
      <c r="W5755" t="s">
        <v>360</v>
      </c>
      <c r="X5755">
        <v>838136</v>
      </c>
      <c r="Y5755" t="s">
        <v>34826</v>
      </c>
      <c r="Z5755" s="2" t="s">
        <v>2585</v>
      </c>
      <c r="AA5755" t="s">
        <v>20643</v>
      </c>
      <c r="AB5755" t="s">
        <v>486</v>
      </c>
      <c r="AE5755" t="s">
        <v>34827</v>
      </c>
      <c r="AG5755" t="s">
        <v>34828</v>
      </c>
      <c r="AH5755" t="s">
        <v>34829</v>
      </c>
      <c r="AI5755" t="s">
        <v>34830</v>
      </c>
    </row>
    <row r="5756" spans="2:35" ht="300">
      <c r="B5756" s="1">
        <v>45290</v>
      </c>
      <c r="C5756" s="4">
        <v>45289.338194444441</v>
      </c>
      <c r="D5756" t="s">
        <v>3010</v>
      </c>
      <c r="E5756" t="s">
        <v>14119</v>
      </c>
      <c r="F5756">
        <v>1</v>
      </c>
      <c r="G5756" t="s">
        <v>1046</v>
      </c>
      <c r="H5756" t="s">
        <v>39</v>
      </c>
      <c r="I5756" t="s">
        <v>40</v>
      </c>
      <c r="J5756" t="s">
        <v>109</v>
      </c>
      <c r="K5756" t="s">
        <v>42</v>
      </c>
      <c r="L5756" t="s">
        <v>1048</v>
      </c>
      <c r="N5756" t="s">
        <v>1049</v>
      </c>
      <c r="Q5756">
        <v>26794</v>
      </c>
      <c r="R5756" t="s">
        <v>45</v>
      </c>
      <c r="S5756" t="s">
        <v>3012</v>
      </c>
      <c r="T5756">
        <v>28</v>
      </c>
      <c r="U5756" s="2" t="s">
        <v>34831</v>
      </c>
      <c r="W5756" t="s">
        <v>360</v>
      </c>
      <c r="X5756">
        <v>804726</v>
      </c>
      <c r="Y5756" t="s">
        <v>1052</v>
      </c>
      <c r="Z5756" t="e">
        <f ca="1">- cleaned cartridge Bays, plunger Rods _xludf.and I-CORE
- generated reports</f>
        <v>#NAME?</v>
      </c>
      <c r="AA5756" t="s">
        <v>820</v>
      </c>
      <c r="AB5756" t="s">
        <v>181</v>
      </c>
      <c r="AG5756" t="s">
        <v>34832</v>
      </c>
      <c r="AH5756" t="s">
        <v>32574</v>
      </c>
      <c r="AI5756" t="s">
        <v>34833</v>
      </c>
    </row>
    <row r="5757" spans="2:35" ht="315">
      <c r="B5757" s="1">
        <v>45290</v>
      </c>
      <c r="C5757" s="4">
        <v>45289.363194444442</v>
      </c>
      <c r="D5757" t="s">
        <v>3010</v>
      </c>
      <c r="E5757" t="s">
        <v>14119</v>
      </c>
      <c r="F5757">
        <v>1</v>
      </c>
      <c r="G5757" t="s">
        <v>1046</v>
      </c>
      <c r="H5757" t="s">
        <v>61</v>
      </c>
      <c r="I5757" t="s">
        <v>40</v>
      </c>
      <c r="J5757" s="2" t="s">
        <v>41</v>
      </c>
      <c r="K5757" t="s">
        <v>42</v>
      </c>
      <c r="L5757" t="s">
        <v>1048</v>
      </c>
      <c r="N5757" t="s">
        <v>1049</v>
      </c>
      <c r="Q5757">
        <v>26793</v>
      </c>
      <c r="R5757" t="s">
        <v>45</v>
      </c>
      <c r="S5757" t="s">
        <v>34834</v>
      </c>
      <c r="T5757">
        <v>24</v>
      </c>
      <c r="U5757" s="2" t="s">
        <v>34835</v>
      </c>
      <c r="V5757" s="1">
        <v>45289</v>
      </c>
      <c r="W5757" t="s">
        <v>31945</v>
      </c>
      <c r="X5757">
        <v>842230</v>
      </c>
      <c r="Y5757" t="s">
        <v>34836</v>
      </c>
      <c r="Z5757" s="2" t="s">
        <v>34837</v>
      </c>
      <c r="AA5757" t="s">
        <v>16706</v>
      </c>
      <c r="AB5757" t="s">
        <v>181</v>
      </c>
      <c r="AD5757" t="s">
        <v>34838</v>
      </c>
      <c r="AE5757" t="s">
        <v>103</v>
      </c>
      <c r="AG5757" t="s">
        <v>34839</v>
      </c>
      <c r="AH5757" t="s">
        <v>30970</v>
      </c>
      <c r="AI5757" t="s">
        <v>34840</v>
      </c>
    </row>
    <row r="5758" spans="2:35" ht="105">
      <c r="B5758" s="1">
        <v>45290</v>
      </c>
      <c r="C5758" s="4">
        <v>45289.433333333334</v>
      </c>
      <c r="D5758" t="s">
        <v>7465</v>
      </c>
      <c r="E5758" t="s">
        <v>7466</v>
      </c>
      <c r="F5758">
        <v>8</v>
      </c>
      <c r="G5758" t="s">
        <v>342</v>
      </c>
      <c r="H5758" t="s">
        <v>23595</v>
      </c>
      <c r="I5758" t="s">
        <v>40</v>
      </c>
      <c r="J5758" s="2" t="s">
        <v>31986</v>
      </c>
      <c r="K5758" t="s">
        <v>42</v>
      </c>
      <c r="L5758" t="s">
        <v>259</v>
      </c>
      <c r="N5758" t="s">
        <v>260</v>
      </c>
      <c r="O5758" t="s">
        <v>260</v>
      </c>
      <c r="Q5758">
        <v>26792</v>
      </c>
      <c r="R5758" t="s">
        <v>119</v>
      </c>
      <c r="S5758" t="s">
        <v>7467</v>
      </c>
      <c r="T5758">
        <v>28</v>
      </c>
      <c r="U5758" s="2" t="s">
        <v>29773</v>
      </c>
      <c r="V5758" s="1">
        <v>45289</v>
      </c>
      <c r="W5758" t="s">
        <v>84</v>
      </c>
      <c r="X5758">
        <v>838551</v>
      </c>
      <c r="Y5758" t="s">
        <v>263</v>
      </c>
      <c r="Z5758" t="s">
        <v>263</v>
      </c>
      <c r="AA5758" t="e">
        <f ca="1">-Monthly Preventive Maintenance
- ARCHIVE Data</f>
        <v>#NAME?</v>
      </c>
      <c r="AB5758" t="s">
        <v>70</v>
      </c>
      <c r="AG5758" t="s">
        <v>34841</v>
      </c>
      <c r="AH5758" t="s">
        <v>34842</v>
      </c>
      <c r="AI5758" t="s">
        <v>34843</v>
      </c>
    </row>
    <row r="5759" spans="2:35" ht="285">
      <c r="B5759" s="1">
        <v>45287</v>
      </c>
      <c r="C5759" s="4">
        <v>45287.449305555558</v>
      </c>
      <c r="D5759" t="s">
        <v>1071</v>
      </c>
      <c r="E5759" t="s">
        <v>1555</v>
      </c>
      <c r="F5759">
        <v>7</v>
      </c>
      <c r="G5759" t="s">
        <v>432</v>
      </c>
      <c r="H5759" t="s">
        <v>150</v>
      </c>
      <c r="I5759" t="s">
        <v>40</v>
      </c>
      <c r="J5759" s="2" t="s">
        <v>28840</v>
      </c>
      <c r="K5759" t="s">
        <v>42</v>
      </c>
      <c r="L5759" t="s">
        <v>343</v>
      </c>
      <c r="N5759" t="s">
        <v>344</v>
      </c>
      <c r="Q5759">
        <v>26791</v>
      </c>
      <c r="R5759" t="s">
        <v>119</v>
      </c>
      <c r="S5759" t="s">
        <v>8679</v>
      </c>
      <c r="T5759">
        <v>27</v>
      </c>
      <c r="U5759" s="2" t="s">
        <v>34844</v>
      </c>
      <c r="W5759" t="s">
        <v>84</v>
      </c>
      <c r="X5759">
        <v>820206</v>
      </c>
      <c r="Y5759" t="s">
        <v>34845</v>
      </c>
      <c r="Z5759" t="e">
        <f ca="1">-_xludf.Replace CMOS battery
-Reset RAM memory _xludf.and internal Connections</f>
        <v>#NAME?</v>
      </c>
      <c r="AA5759" t="e">
        <f ca="1">-Repair CPU</f>
        <v>#NAME?</v>
      </c>
      <c r="AB5759" t="s">
        <v>34846</v>
      </c>
      <c r="AG5759" t="s">
        <v>34847</v>
      </c>
      <c r="AH5759" t="s">
        <v>16851</v>
      </c>
      <c r="AI5759" t="s">
        <v>34848</v>
      </c>
    </row>
    <row r="5760" spans="2:35" ht="315">
      <c r="B5760" s="1">
        <v>45287</v>
      </c>
      <c r="C5760" s="4">
        <v>45278.496527777781</v>
      </c>
      <c r="D5760" t="s">
        <v>6919</v>
      </c>
      <c r="E5760" t="s">
        <v>510</v>
      </c>
      <c r="F5760" t="s">
        <v>511</v>
      </c>
      <c r="G5760" t="s">
        <v>512</v>
      </c>
      <c r="H5760" t="s">
        <v>39</v>
      </c>
      <c r="I5760" t="s">
        <v>40</v>
      </c>
      <c r="J5760" s="2" t="s">
        <v>41</v>
      </c>
      <c r="K5760" t="s">
        <v>42</v>
      </c>
      <c r="L5760" t="s">
        <v>1048</v>
      </c>
      <c r="N5760" t="s">
        <v>1049</v>
      </c>
      <c r="Q5760">
        <v>26790</v>
      </c>
      <c r="R5760" t="s">
        <v>119</v>
      </c>
      <c r="S5760" t="s">
        <v>6920</v>
      </c>
      <c r="T5760">
        <v>19</v>
      </c>
      <c r="U5760" s="2" t="s">
        <v>20971</v>
      </c>
      <c r="V5760" s="1">
        <v>45251</v>
      </c>
      <c r="W5760" t="s">
        <v>360</v>
      </c>
      <c r="X5760">
        <v>838281</v>
      </c>
      <c r="Y5760" t="s">
        <v>1924</v>
      </c>
      <c r="Z5760" s="2" t="s">
        <v>34849</v>
      </c>
      <c r="AA5760" t="s">
        <v>1926</v>
      </c>
      <c r="AB5760" t="s">
        <v>181</v>
      </c>
      <c r="AD5760" t="s">
        <v>34850</v>
      </c>
      <c r="AE5760" t="s">
        <v>34851</v>
      </c>
      <c r="AG5760" t="s">
        <v>34852</v>
      </c>
      <c r="AH5760" t="s">
        <v>6925</v>
      </c>
      <c r="AI5760" t="s">
        <v>34853</v>
      </c>
    </row>
    <row r="5761" spans="2:35" ht="409.5">
      <c r="B5761" s="1">
        <v>45287</v>
      </c>
      <c r="C5761" s="4">
        <v>45278.498611111114</v>
      </c>
      <c r="D5761" t="s">
        <v>9805</v>
      </c>
      <c r="E5761" t="s">
        <v>510</v>
      </c>
      <c r="F5761">
        <v>1</v>
      </c>
      <c r="G5761" t="s">
        <v>512</v>
      </c>
      <c r="H5761" t="s">
        <v>1047</v>
      </c>
      <c r="I5761" t="s">
        <v>40</v>
      </c>
      <c r="J5761" s="2" t="s">
        <v>1592</v>
      </c>
      <c r="K5761" t="s">
        <v>42</v>
      </c>
      <c r="L5761" t="s">
        <v>1048</v>
      </c>
      <c r="N5761" t="s">
        <v>1049</v>
      </c>
      <c r="Q5761">
        <v>26789</v>
      </c>
      <c r="R5761" t="s">
        <v>45</v>
      </c>
      <c r="S5761" t="s">
        <v>34854</v>
      </c>
      <c r="T5761">
        <v>24</v>
      </c>
      <c r="U5761" s="2" t="s">
        <v>32904</v>
      </c>
      <c r="V5761" s="1">
        <v>45278</v>
      </c>
      <c r="W5761" t="s">
        <v>2591</v>
      </c>
      <c r="X5761">
        <v>120000171</v>
      </c>
      <c r="Y5761" s="2" t="s">
        <v>34855</v>
      </c>
      <c r="Z5761" s="2" t="s">
        <v>34856</v>
      </c>
      <c r="AA5761" t="s">
        <v>34857</v>
      </c>
      <c r="AB5761" t="s">
        <v>181</v>
      </c>
      <c r="AC5761" t="s">
        <v>34858</v>
      </c>
      <c r="AD5761" t="s">
        <v>34859</v>
      </c>
      <c r="AE5761" t="s">
        <v>103</v>
      </c>
      <c r="AG5761" t="s">
        <v>34860</v>
      </c>
      <c r="AH5761" t="s">
        <v>34861</v>
      </c>
      <c r="AI5761" t="s">
        <v>34862</v>
      </c>
    </row>
    <row r="5762" spans="2:35" ht="105">
      <c r="B5762" s="1">
        <v>45287</v>
      </c>
      <c r="C5762" s="4">
        <v>45279.417361111111</v>
      </c>
      <c r="D5762" t="s">
        <v>11087</v>
      </c>
      <c r="E5762" t="s">
        <v>11088</v>
      </c>
      <c r="F5762" t="s">
        <v>511</v>
      </c>
      <c r="G5762" t="s">
        <v>4938</v>
      </c>
      <c r="H5762" t="s">
        <v>1047</v>
      </c>
      <c r="I5762" t="s">
        <v>40</v>
      </c>
      <c r="J5762" s="2" t="s">
        <v>1157</v>
      </c>
      <c r="K5762" t="s">
        <v>42</v>
      </c>
      <c r="L5762" t="s">
        <v>1048</v>
      </c>
      <c r="N5762" t="s">
        <v>1049</v>
      </c>
      <c r="Q5762">
        <v>26788</v>
      </c>
      <c r="R5762" t="s">
        <v>119</v>
      </c>
      <c r="S5762" t="s">
        <v>11089</v>
      </c>
      <c r="T5762">
        <v>29</v>
      </c>
      <c r="V5762" s="1">
        <v>45090</v>
      </c>
      <c r="W5762" t="s">
        <v>360</v>
      </c>
      <c r="X5762">
        <v>838274</v>
      </c>
      <c r="Y5762" t="s">
        <v>34863</v>
      </c>
      <c r="Z5762" t="e">
        <f ca="1">- cleaned cartridge Bays, plunger Rods _xludf.and I-CORE
- checked cables of CPU _xludf.and UPS
- checked Fuses of UPS _xludf.and AVR
- generated reports</f>
        <v>#NAME?</v>
      </c>
      <c r="AA5762" t="s">
        <v>34864</v>
      </c>
      <c r="AB5762" t="s">
        <v>13135</v>
      </c>
      <c r="AC5762" t="s">
        <v>34865</v>
      </c>
      <c r="AD5762" t="s">
        <v>34866</v>
      </c>
      <c r="AE5762" t="s">
        <v>34867</v>
      </c>
      <c r="AG5762" t="s">
        <v>34868</v>
      </c>
      <c r="AH5762" t="s">
        <v>11092</v>
      </c>
      <c r="AI5762" t="s">
        <v>34869</v>
      </c>
    </row>
    <row r="5763" spans="2:35">
      <c r="B5763" s="1">
        <v>45284</v>
      </c>
      <c r="C5763" s="4">
        <v>45279.674305555556</v>
      </c>
      <c r="D5763" t="s">
        <v>32037</v>
      </c>
      <c r="E5763" t="s">
        <v>34870</v>
      </c>
      <c r="F5763" t="s">
        <v>37</v>
      </c>
      <c r="G5763" t="s">
        <v>38</v>
      </c>
      <c r="H5763" t="s">
        <v>2581</v>
      </c>
      <c r="I5763" t="s">
        <v>40</v>
      </c>
      <c r="J5763" t="s">
        <v>321</v>
      </c>
      <c r="K5763" t="s">
        <v>42</v>
      </c>
      <c r="L5763" t="s">
        <v>448</v>
      </c>
      <c r="N5763" t="s">
        <v>650</v>
      </c>
      <c r="Q5763">
        <v>26787</v>
      </c>
      <c r="R5763" t="s">
        <v>45</v>
      </c>
      <c r="S5763" t="s">
        <v>34871</v>
      </c>
      <c r="T5763">
        <v>27</v>
      </c>
      <c r="W5763" t="s">
        <v>360</v>
      </c>
      <c r="X5763">
        <v>838894</v>
      </c>
      <c r="Y5763" t="s">
        <v>34872</v>
      </c>
      <c r="Z5763" t="s">
        <v>13110</v>
      </c>
      <c r="AA5763" t="s">
        <v>13110</v>
      </c>
      <c r="AB5763" t="s">
        <v>486</v>
      </c>
      <c r="AG5763" t="s">
        <v>34873</v>
      </c>
      <c r="AH5763" t="s">
        <v>34874</v>
      </c>
      <c r="AI5763" t="s">
        <v>34875</v>
      </c>
    </row>
    <row r="5764" spans="2:35" ht="135">
      <c r="B5764" s="1">
        <v>45283</v>
      </c>
      <c r="C5764" s="4">
        <v>45279.488194444442</v>
      </c>
      <c r="D5764" t="s">
        <v>31758</v>
      </c>
      <c r="E5764" t="s">
        <v>34876</v>
      </c>
      <c r="F5764" t="s">
        <v>148</v>
      </c>
      <c r="G5764" t="s">
        <v>406</v>
      </c>
      <c r="H5764" t="s">
        <v>39</v>
      </c>
      <c r="I5764" t="s">
        <v>40</v>
      </c>
      <c r="J5764" s="2" t="s">
        <v>41</v>
      </c>
      <c r="K5764" t="s">
        <v>42</v>
      </c>
      <c r="L5764" t="s">
        <v>15532</v>
      </c>
      <c r="N5764" t="s">
        <v>15533</v>
      </c>
      <c r="Q5764">
        <v>26786</v>
      </c>
      <c r="R5764" t="s">
        <v>45</v>
      </c>
      <c r="S5764" t="s">
        <v>31748</v>
      </c>
      <c r="T5764">
        <v>29</v>
      </c>
      <c r="U5764" s="2" t="s">
        <v>34877</v>
      </c>
      <c r="V5764" s="1">
        <v>45278</v>
      </c>
      <c r="W5764" t="s">
        <v>15535</v>
      </c>
      <c r="X5764">
        <v>804702</v>
      </c>
      <c r="Y5764" t="s">
        <v>34878</v>
      </c>
      <c r="Z5764" s="2" t="s">
        <v>34879</v>
      </c>
      <c r="AA5764" s="2" t="s">
        <v>34880</v>
      </c>
      <c r="AB5764" s="2" t="s">
        <v>33302</v>
      </c>
      <c r="AD5764" t="s">
        <v>27573</v>
      </c>
      <c r="AE5764" t="s">
        <v>34881</v>
      </c>
      <c r="AG5764" t="s">
        <v>34882</v>
      </c>
      <c r="AH5764" t="s">
        <v>34883</v>
      </c>
      <c r="AI5764" t="s">
        <v>34884</v>
      </c>
    </row>
    <row r="5765" spans="2:35" ht="120">
      <c r="B5765" s="1">
        <v>45283</v>
      </c>
      <c r="C5765" s="4">
        <v>45282.668055555558</v>
      </c>
      <c r="D5765" t="s">
        <v>2520</v>
      </c>
      <c r="E5765" t="s">
        <v>34885</v>
      </c>
      <c r="F5765" t="s">
        <v>37</v>
      </c>
      <c r="G5765" t="s">
        <v>2499</v>
      </c>
      <c r="H5765" t="s">
        <v>39</v>
      </c>
      <c r="I5765" t="s">
        <v>94</v>
      </c>
      <c r="J5765" s="2" t="s">
        <v>41</v>
      </c>
      <c r="K5765" t="s">
        <v>42</v>
      </c>
      <c r="L5765" t="s">
        <v>15532</v>
      </c>
      <c r="N5765" t="s">
        <v>15533</v>
      </c>
      <c r="Q5765">
        <v>26785</v>
      </c>
      <c r="R5765" t="s">
        <v>119</v>
      </c>
      <c r="S5765" t="s">
        <v>34886</v>
      </c>
      <c r="T5765">
        <v>24</v>
      </c>
      <c r="U5765" s="2" t="s">
        <v>17735</v>
      </c>
      <c r="V5765" s="1">
        <v>45274</v>
      </c>
      <c r="W5765" t="s">
        <v>23974</v>
      </c>
      <c r="X5765">
        <v>831910</v>
      </c>
      <c r="Y5765" t="s">
        <v>34887</v>
      </c>
      <c r="Z5765" s="2" t="s">
        <v>34888</v>
      </c>
      <c r="AA5765" s="2" t="s">
        <v>34889</v>
      </c>
      <c r="AB5765" s="2" t="s">
        <v>33302</v>
      </c>
      <c r="AD5765" t="s">
        <v>15847</v>
      </c>
      <c r="AE5765" t="s">
        <v>34890</v>
      </c>
      <c r="AG5765" t="s">
        <v>34891</v>
      </c>
      <c r="AH5765" t="s">
        <v>34892</v>
      </c>
      <c r="AI5765" t="s">
        <v>34893</v>
      </c>
    </row>
    <row r="5766" spans="2:35" ht="390">
      <c r="B5766" s="1">
        <v>45282</v>
      </c>
      <c r="C5766" s="4">
        <v>45281.556250000001</v>
      </c>
      <c r="D5766" t="s">
        <v>12198</v>
      </c>
      <c r="E5766" t="s">
        <v>12199</v>
      </c>
      <c r="F5766" t="s">
        <v>148</v>
      </c>
      <c r="G5766" t="s">
        <v>310</v>
      </c>
      <c r="H5766" t="s">
        <v>662</v>
      </c>
      <c r="I5766" t="s">
        <v>40</v>
      </c>
      <c r="J5766" t="s">
        <v>525</v>
      </c>
      <c r="K5766" t="s">
        <v>42</v>
      </c>
      <c r="L5766" t="s">
        <v>448</v>
      </c>
      <c r="N5766" t="s">
        <v>650</v>
      </c>
      <c r="Q5766">
        <v>26784</v>
      </c>
      <c r="R5766" t="s">
        <v>322</v>
      </c>
      <c r="S5766" t="s">
        <v>12200</v>
      </c>
      <c r="T5766">
        <v>26</v>
      </c>
      <c r="U5766" s="2" t="s">
        <v>34894</v>
      </c>
      <c r="W5766" t="s">
        <v>895</v>
      </c>
      <c r="X5766">
        <v>844975</v>
      </c>
      <c r="Y5766" t="s">
        <v>34895</v>
      </c>
      <c r="Z5766" s="2" t="s">
        <v>34896</v>
      </c>
      <c r="AA5766" t="s">
        <v>4487</v>
      </c>
      <c r="AB5766" t="s">
        <v>486</v>
      </c>
      <c r="AG5766" t="s">
        <v>34897</v>
      </c>
      <c r="AH5766" t="s">
        <v>34898</v>
      </c>
      <c r="AI5766" t="s">
        <v>34899</v>
      </c>
    </row>
    <row r="5767" spans="2:35" ht="255">
      <c r="B5767" s="1">
        <v>45282</v>
      </c>
      <c r="C5767" s="4">
        <v>45282.634722222225</v>
      </c>
      <c r="D5767" t="s">
        <v>34900</v>
      </c>
      <c r="E5767" t="s">
        <v>34901</v>
      </c>
      <c r="F5767" t="s">
        <v>37</v>
      </c>
      <c r="G5767" t="s">
        <v>38</v>
      </c>
      <c r="H5767" t="s">
        <v>39</v>
      </c>
      <c r="I5767" t="s">
        <v>40</v>
      </c>
      <c r="J5767" t="s">
        <v>79</v>
      </c>
      <c r="K5767" t="s">
        <v>42</v>
      </c>
      <c r="L5767" t="s">
        <v>448</v>
      </c>
      <c r="N5767" t="s">
        <v>650</v>
      </c>
      <c r="Q5767">
        <v>26783</v>
      </c>
      <c r="R5767" t="s">
        <v>45</v>
      </c>
      <c r="S5767" t="s">
        <v>3032</v>
      </c>
      <c r="T5767">
        <v>26</v>
      </c>
      <c r="U5767" s="2" t="s">
        <v>34902</v>
      </c>
      <c r="V5767" s="1">
        <v>45278</v>
      </c>
      <c r="W5767" t="s">
        <v>895</v>
      </c>
      <c r="X5767">
        <v>842226</v>
      </c>
      <c r="Y5767" t="s">
        <v>34903</v>
      </c>
      <c r="Z5767" s="2" t="s">
        <v>2585</v>
      </c>
      <c r="AA5767" t="s">
        <v>5712</v>
      </c>
      <c r="AB5767" t="s">
        <v>34904</v>
      </c>
      <c r="AD5767" t="s">
        <v>34321</v>
      </c>
      <c r="AE5767" t="s">
        <v>34905</v>
      </c>
      <c r="AG5767" t="s">
        <v>34906</v>
      </c>
      <c r="AH5767" t="s">
        <v>34907</v>
      </c>
      <c r="AI5767" t="s">
        <v>34908</v>
      </c>
    </row>
    <row r="5768" spans="2:35" ht="225">
      <c r="B5768" s="1">
        <v>45282</v>
      </c>
      <c r="C5768" s="4">
        <v>45282.693055555559</v>
      </c>
      <c r="D5768" t="s">
        <v>3679</v>
      </c>
      <c r="E5768" t="s">
        <v>5757</v>
      </c>
      <c r="F5768" t="s">
        <v>148</v>
      </c>
      <c r="G5768" t="s">
        <v>447</v>
      </c>
      <c r="H5768" t="s">
        <v>513</v>
      </c>
      <c r="I5768" t="s">
        <v>40</v>
      </c>
      <c r="J5768" s="2" t="s">
        <v>28840</v>
      </c>
      <c r="K5768" t="s">
        <v>387</v>
      </c>
      <c r="L5768" t="s">
        <v>80</v>
      </c>
      <c r="N5768" t="s">
        <v>81</v>
      </c>
      <c r="Q5768">
        <v>26782</v>
      </c>
      <c r="R5768" t="s">
        <v>95</v>
      </c>
      <c r="S5768" t="s">
        <v>3689</v>
      </c>
      <c r="T5768">
        <v>30</v>
      </c>
      <c r="V5768" s="1">
        <v>45282</v>
      </c>
      <c r="W5768" t="s">
        <v>390</v>
      </c>
      <c r="X5768" t="s">
        <v>3690</v>
      </c>
      <c r="Y5768" t="s">
        <v>34909</v>
      </c>
      <c r="Z5768" t="s">
        <v>34910</v>
      </c>
      <c r="AA5768" s="2" t="s">
        <v>34911</v>
      </c>
      <c r="AB5768" t="s">
        <v>88</v>
      </c>
      <c r="AC5768" t="s">
        <v>103</v>
      </c>
      <c r="AD5768" t="s">
        <v>103</v>
      </c>
      <c r="AE5768" t="s">
        <v>103</v>
      </c>
      <c r="AG5768" t="s">
        <v>34912</v>
      </c>
      <c r="AH5768" t="s">
        <v>34913</v>
      </c>
      <c r="AI5768" t="s">
        <v>34914</v>
      </c>
    </row>
    <row r="5769" spans="2:35" ht="105">
      <c r="B5769" s="1">
        <v>45282</v>
      </c>
      <c r="C5769" s="4">
        <v>45282.561111111114</v>
      </c>
      <c r="D5769" t="s">
        <v>5563</v>
      </c>
      <c r="E5769" t="s">
        <v>1555</v>
      </c>
      <c r="F5769">
        <v>7</v>
      </c>
      <c r="G5769" t="s">
        <v>432</v>
      </c>
      <c r="H5769" t="s">
        <v>150</v>
      </c>
      <c r="I5769" t="s">
        <v>40</v>
      </c>
      <c r="J5769" t="s">
        <v>34915</v>
      </c>
      <c r="K5769" t="s">
        <v>42</v>
      </c>
      <c r="L5769" t="s">
        <v>343</v>
      </c>
      <c r="N5769" t="s">
        <v>344</v>
      </c>
      <c r="Q5769">
        <v>26781</v>
      </c>
      <c r="R5769" t="s">
        <v>119</v>
      </c>
      <c r="S5769" t="s">
        <v>5564</v>
      </c>
      <c r="T5769">
        <v>27</v>
      </c>
      <c r="U5769" s="2" t="s">
        <v>34916</v>
      </c>
      <c r="W5769" t="s">
        <v>6105</v>
      </c>
      <c r="X5769">
        <v>838561</v>
      </c>
      <c r="Y5769" t="s">
        <v>301</v>
      </c>
      <c r="Z5769" t="s">
        <v>301</v>
      </c>
      <c r="AA5769" t="e">
        <f ca="1">-Checkup machine
-Maintenance</f>
        <v>#NAME?</v>
      </c>
      <c r="AB5769" t="s">
        <v>9638</v>
      </c>
      <c r="AG5769" t="s">
        <v>34917</v>
      </c>
      <c r="AH5769" t="s">
        <v>14800</v>
      </c>
      <c r="AI5769" t="s">
        <v>34918</v>
      </c>
    </row>
    <row r="5770" spans="2:35" ht="330">
      <c r="B5770" s="1">
        <v>45282</v>
      </c>
      <c r="C5770" s="4">
        <v>45282.542361111111</v>
      </c>
      <c r="D5770" t="s">
        <v>24080</v>
      </c>
      <c r="E5770" t="s">
        <v>20796</v>
      </c>
      <c r="F5770">
        <v>2</v>
      </c>
      <c r="G5770" t="s">
        <v>2668</v>
      </c>
      <c r="H5770" t="s">
        <v>39</v>
      </c>
      <c r="I5770" t="s">
        <v>40</v>
      </c>
      <c r="J5770" s="2" t="s">
        <v>41</v>
      </c>
      <c r="K5770" t="s">
        <v>42</v>
      </c>
      <c r="L5770" t="s">
        <v>63</v>
      </c>
      <c r="N5770" t="s">
        <v>64</v>
      </c>
      <c r="O5770" t="s">
        <v>24081</v>
      </c>
      <c r="Q5770">
        <v>26780</v>
      </c>
      <c r="R5770" t="s">
        <v>119</v>
      </c>
      <c r="S5770" t="s">
        <v>24081</v>
      </c>
      <c r="T5770">
        <v>27</v>
      </c>
      <c r="U5770" s="2" t="s">
        <v>34919</v>
      </c>
      <c r="V5770" s="1">
        <v>45274</v>
      </c>
      <c r="W5770" t="s">
        <v>26915</v>
      </c>
      <c r="X5770">
        <v>838208</v>
      </c>
      <c r="Y5770" t="s">
        <v>1716</v>
      </c>
      <c r="Z5770" t="s">
        <v>1716</v>
      </c>
      <c r="AA5770" s="2" t="s">
        <v>34920</v>
      </c>
      <c r="AB5770" t="s">
        <v>70</v>
      </c>
      <c r="AC5770" t="s">
        <v>1716</v>
      </c>
      <c r="AD5770" t="s">
        <v>12133</v>
      </c>
      <c r="AE5770" t="s">
        <v>34921</v>
      </c>
      <c r="AG5770" t="s">
        <v>34922</v>
      </c>
      <c r="AH5770" t="s">
        <v>34923</v>
      </c>
      <c r="AI5770" t="s">
        <v>34924</v>
      </c>
    </row>
    <row r="5771" spans="2:35" ht="360">
      <c r="B5771" s="1">
        <v>45282</v>
      </c>
      <c r="C5771" s="4">
        <v>45282.470833333333</v>
      </c>
      <c r="D5771" t="s">
        <v>3897</v>
      </c>
      <c r="E5771" t="s">
        <v>3140</v>
      </c>
      <c r="F5771">
        <v>3</v>
      </c>
      <c r="G5771" t="s">
        <v>174</v>
      </c>
      <c r="H5771" t="s">
        <v>39</v>
      </c>
      <c r="I5771" t="s">
        <v>40</v>
      </c>
      <c r="J5771" s="2" t="s">
        <v>62</v>
      </c>
      <c r="K5771" t="s">
        <v>42</v>
      </c>
      <c r="L5771" t="s">
        <v>175</v>
      </c>
      <c r="N5771" t="s">
        <v>176</v>
      </c>
      <c r="Q5771">
        <v>26779</v>
      </c>
      <c r="R5771" t="s">
        <v>95</v>
      </c>
      <c r="S5771" t="s">
        <v>3898</v>
      </c>
      <c r="T5771">
        <v>25</v>
      </c>
      <c r="U5771" s="2" t="s">
        <v>34925</v>
      </c>
      <c r="V5771" s="1">
        <v>45280</v>
      </c>
      <c r="W5771" t="s">
        <v>84</v>
      </c>
      <c r="X5771">
        <v>110008530</v>
      </c>
      <c r="Y5771" t="s">
        <v>6766</v>
      </c>
      <c r="Z5771" t="e">
        <f ca="1">- checked _xludf.and cleaned cartridge bay, plunger rod, _xludf.filter, icore slot
- performed XpertCheck
- generated reports</f>
        <v>#NAME?</v>
      </c>
      <c r="AA5771" t="s">
        <v>999</v>
      </c>
      <c r="AB5771" s="2" t="s">
        <v>34926</v>
      </c>
      <c r="AD5771" s="2" t="s">
        <v>34927</v>
      </c>
      <c r="AE5771">
        <v>11000</v>
      </c>
      <c r="AG5771" t="s">
        <v>34928</v>
      </c>
      <c r="AH5771" t="s">
        <v>8887</v>
      </c>
      <c r="AI5771" t="s">
        <v>34929</v>
      </c>
    </row>
    <row r="5772" spans="2:35" ht="135">
      <c r="B5772" s="1">
        <v>45282</v>
      </c>
      <c r="C5772" s="4">
        <v>45282.470833333333</v>
      </c>
      <c r="D5772" t="s">
        <v>3897</v>
      </c>
      <c r="E5772" t="s">
        <v>3140</v>
      </c>
      <c r="F5772">
        <v>3</v>
      </c>
      <c r="G5772" t="s">
        <v>174</v>
      </c>
      <c r="H5772" t="s">
        <v>39</v>
      </c>
      <c r="I5772" t="s">
        <v>40</v>
      </c>
      <c r="J5772" s="2" t="s">
        <v>62</v>
      </c>
      <c r="K5772" t="s">
        <v>42</v>
      </c>
      <c r="L5772" t="s">
        <v>175</v>
      </c>
      <c r="N5772" t="s">
        <v>176</v>
      </c>
      <c r="Q5772">
        <v>26778</v>
      </c>
      <c r="R5772" t="s">
        <v>95</v>
      </c>
      <c r="S5772" t="s">
        <v>3898</v>
      </c>
      <c r="T5772">
        <v>25</v>
      </c>
      <c r="U5772" s="2" t="s">
        <v>2367</v>
      </c>
      <c r="V5772" s="1">
        <v>45280</v>
      </c>
      <c r="W5772" t="s">
        <v>84</v>
      </c>
      <c r="X5772">
        <v>110008530</v>
      </c>
      <c r="Y5772" t="s">
        <v>6766</v>
      </c>
      <c r="Z5772" t="e">
        <f ca="1">- checked _xludf.and cleaned cartridge bay, plunger rod, _xludf.filter, icore slot
- performed XpertCheck
- generated reports</f>
        <v>#NAME?</v>
      </c>
      <c r="AA5772" t="s">
        <v>999</v>
      </c>
      <c r="AB5772" s="2" t="s">
        <v>34926</v>
      </c>
      <c r="AD5772" s="2" t="s">
        <v>34927</v>
      </c>
      <c r="AE5772">
        <v>11000</v>
      </c>
      <c r="AG5772" t="s">
        <v>34930</v>
      </c>
      <c r="AH5772" t="s">
        <v>8887</v>
      </c>
      <c r="AI5772" t="s">
        <v>34931</v>
      </c>
    </row>
    <row r="5773" spans="2:35" ht="390">
      <c r="B5773" s="1">
        <v>45282</v>
      </c>
      <c r="C5773" s="4">
        <v>45282.455555555556</v>
      </c>
      <c r="D5773" t="s">
        <v>15729</v>
      </c>
      <c r="E5773" t="s">
        <v>19791</v>
      </c>
      <c r="F5773" t="s">
        <v>511</v>
      </c>
      <c r="G5773" t="s">
        <v>15731</v>
      </c>
      <c r="H5773" t="s">
        <v>39</v>
      </c>
      <c r="I5773" t="s">
        <v>40</v>
      </c>
      <c r="J5773" s="2" t="s">
        <v>34932</v>
      </c>
      <c r="K5773" t="s">
        <v>42</v>
      </c>
      <c r="L5773" t="s">
        <v>63</v>
      </c>
      <c r="N5773" t="s">
        <v>64</v>
      </c>
      <c r="Q5773">
        <v>26777</v>
      </c>
      <c r="R5773" t="s">
        <v>119</v>
      </c>
      <c r="S5773" t="s">
        <v>15732</v>
      </c>
      <c r="T5773">
        <v>22</v>
      </c>
      <c r="U5773" s="2" t="s">
        <v>27866</v>
      </c>
      <c r="V5773" s="1">
        <v>45251</v>
      </c>
      <c r="W5773" t="s">
        <v>26915</v>
      </c>
      <c r="X5773">
        <v>838466</v>
      </c>
      <c r="Y5773" t="s">
        <v>34933</v>
      </c>
      <c r="Z5773" t="s">
        <v>1935</v>
      </c>
      <c r="AA5773" s="2" t="s">
        <v>34934</v>
      </c>
      <c r="AB5773" t="s">
        <v>70</v>
      </c>
      <c r="AC5773" t="s">
        <v>34935</v>
      </c>
      <c r="AD5773" t="s">
        <v>32647</v>
      </c>
      <c r="AE5773" t="s">
        <v>34936</v>
      </c>
      <c r="AG5773" t="s">
        <v>34937</v>
      </c>
      <c r="AH5773" t="s">
        <v>34938</v>
      </c>
      <c r="AI5773" t="s">
        <v>34939</v>
      </c>
    </row>
    <row r="5774" spans="2:35" ht="165">
      <c r="B5774" s="1">
        <v>45282</v>
      </c>
      <c r="C5774" s="4">
        <v>45282.450694444444</v>
      </c>
      <c r="D5774" t="s">
        <v>15729</v>
      </c>
      <c r="E5774" t="s">
        <v>19791</v>
      </c>
      <c r="F5774" t="s">
        <v>511</v>
      </c>
      <c r="G5774" t="s">
        <v>15731</v>
      </c>
      <c r="H5774" t="s">
        <v>39</v>
      </c>
      <c r="I5774" t="s">
        <v>40</v>
      </c>
      <c r="J5774" s="2" t="s">
        <v>190</v>
      </c>
      <c r="K5774" t="s">
        <v>42</v>
      </c>
      <c r="L5774" t="s">
        <v>63</v>
      </c>
      <c r="N5774" t="s">
        <v>64</v>
      </c>
      <c r="Q5774">
        <v>26776</v>
      </c>
      <c r="R5774" t="s">
        <v>45</v>
      </c>
      <c r="S5774" t="s">
        <v>15732</v>
      </c>
      <c r="T5774">
        <v>23</v>
      </c>
      <c r="U5774" s="2" t="s">
        <v>34940</v>
      </c>
      <c r="V5774" s="1">
        <v>45282</v>
      </c>
      <c r="W5774" t="s">
        <v>26915</v>
      </c>
      <c r="X5774">
        <v>807622</v>
      </c>
      <c r="Y5774" t="s">
        <v>34941</v>
      </c>
      <c r="Z5774" t="s">
        <v>34942</v>
      </c>
      <c r="AA5774" s="2" t="s">
        <v>69</v>
      </c>
      <c r="AB5774" t="s">
        <v>70</v>
      </c>
      <c r="AC5774" t="s">
        <v>656</v>
      </c>
      <c r="AD5774" t="s">
        <v>1716</v>
      </c>
      <c r="AE5774" t="s">
        <v>1716</v>
      </c>
      <c r="AG5774" t="s">
        <v>34943</v>
      </c>
      <c r="AH5774" t="s">
        <v>34938</v>
      </c>
      <c r="AI5774" t="s">
        <v>34944</v>
      </c>
    </row>
    <row r="5775" spans="2:35" ht="390">
      <c r="B5775" s="1">
        <v>45282</v>
      </c>
      <c r="C5775" s="4">
        <v>45280.685416666667</v>
      </c>
      <c r="D5775" t="s">
        <v>34945</v>
      </c>
      <c r="E5775" t="s">
        <v>34946</v>
      </c>
      <c r="F5775">
        <v>5</v>
      </c>
      <c r="G5775" t="s">
        <v>814</v>
      </c>
      <c r="H5775" t="s">
        <v>39</v>
      </c>
      <c r="I5775" t="s">
        <v>40</v>
      </c>
      <c r="J5775" s="2" t="s">
        <v>1309</v>
      </c>
      <c r="K5775" t="s">
        <v>42</v>
      </c>
      <c r="L5775" t="s">
        <v>761</v>
      </c>
      <c r="N5775" t="s">
        <v>762</v>
      </c>
      <c r="Q5775">
        <v>26775</v>
      </c>
      <c r="R5775" t="s">
        <v>45</v>
      </c>
      <c r="S5775" t="s">
        <v>34947</v>
      </c>
      <c r="T5775">
        <v>25</v>
      </c>
      <c r="U5775" s="2" t="s">
        <v>14266</v>
      </c>
      <c r="W5775" t="s">
        <v>3158</v>
      </c>
      <c r="X5775">
        <v>814370</v>
      </c>
      <c r="Y5775" s="2" t="s">
        <v>34948</v>
      </c>
      <c r="Z5775" s="2" t="s">
        <v>34949</v>
      </c>
      <c r="AA5775" s="2" t="s">
        <v>34950</v>
      </c>
      <c r="AB5775" t="s">
        <v>181</v>
      </c>
      <c r="AG5775" t="s">
        <v>34951</v>
      </c>
      <c r="AH5775" t="s">
        <v>34952</v>
      </c>
      <c r="AI5775" t="s">
        <v>34953</v>
      </c>
    </row>
    <row r="5776" spans="2:35" ht="345">
      <c r="B5776" s="1">
        <v>45282</v>
      </c>
      <c r="C5776" s="4">
        <v>45282.436111111114</v>
      </c>
      <c r="D5776" t="s">
        <v>23134</v>
      </c>
      <c r="E5776" t="s">
        <v>23135</v>
      </c>
      <c r="F5776" t="s">
        <v>148</v>
      </c>
      <c r="G5776" t="s">
        <v>310</v>
      </c>
      <c r="H5776" t="s">
        <v>34954</v>
      </c>
      <c r="I5776" t="s">
        <v>40</v>
      </c>
      <c r="J5776" s="2" t="s">
        <v>220</v>
      </c>
      <c r="K5776" t="s">
        <v>42</v>
      </c>
      <c r="L5776" t="s">
        <v>1943</v>
      </c>
      <c r="N5776" t="s">
        <v>1944</v>
      </c>
      <c r="Q5776">
        <v>26774</v>
      </c>
      <c r="R5776" t="s">
        <v>119</v>
      </c>
      <c r="S5776" t="s">
        <v>23136</v>
      </c>
      <c r="T5776">
        <v>25</v>
      </c>
      <c r="V5776" s="1">
        <v>45278</v>
      </c>
      <c r="W5776" t="s">
        <v>84</v>
      </c>
      <c r="X5776">
        <v>831872</v>
      </c>
      <c r="Y5776" s="2" t="s">
        <v>34955</v>
      </c>
      <c r="Z5776" s="2" t="s">
        <v>34956</v>
      </c>
      <c r="AA5776" t="s">
        <v>33564</v>
      </c>
      <c r="AB5776" t="s">
        <v>88</v>
      </c>
      <c r="AD5776" s="2" t="s">
        <v>34957</v>
      </c>
      <c r="AE5776" t="s">
        <v>34958</v>
      </c>
      <c r="AG5776" t="s">
        <v>34959</v>
      </c>
      <c r="AH5776" t="s">
        <v>34960</v>
      </c>
      <c r="AI5776" t="s">
        <v>34961</v>
      </c>
    </row>
    <row r="5777" spans="2:35" ht="255">
      <c r="B5777" s="1">
        <v>45282</v>
      </c>
      <c r="C5777" s="4">
        <v>45281.428472222222</v>
      </c>
      <c r="D5777" t="s">
        <v>34962</v>
      </c>
      <c r="E5777" t="s">
        <v>34963</v>
      </c>
      <c r="F5777" t="s">
        <v>148</v>
      </c>
      <c r="G5777" t="s">
        <v>447</v>
      </c>
      <c r="H5777" t="s">
        <v>150</v>
      </c>
      <c r="I5777" t="s">
        <v>40</v>
      </c>
      <c r="J5777" t="s">
        <v>79</v>
      </c>
      <c r="K5777" t="s">
        <v>42</v>
      </c>
      <c r="L5777" t="s">
        <v>448</v>
      </c>
      <c r="N5777" t="s">
        <v>650</v>
      </c>
      <c r="O5777" t="s">
        <v>34964</v>
      </c>
      <c r="Q5777">
        <v>26773</v>
      </c>
      <c r="R5777" t="s">
        <v>45</v>
      </c>
      <c r="S5777" t="s">
        <v>22924</v>
      </c>
      <c r="T5777">
        <v>28</v>
      </c>
      <c r="U5777" s="2" t="s">
        <v>7906</v>
      </c>
      <c r="V5777" s="1">
        <v>45280</v>
      </c>
      <c r="W5777" t="s">
        <v>360</v>
      </c>
      <c r="X5777">
        <v>807672</v>
      </c>
      <c r="Y5777" t="s">
        <v>34965</v>
      </c>
      <c r="Z5777" s="2" t="s">
        <v>2585</v>
      </c>
      <c r="AA5777" t="s">
        <v>5712</v>
      </c>
      <c r="AB5777" t="s">
        <v>486</v>
      </c>
      <c r="AD5777" t="s">
        <v>34966</v>
      </c>
      <c r="AE5777" t="s">
        <v>34967</v>
      </c>
      <c r="AG5777" t="s">
        <v>34968</v>
      </c>
      <c r="AH5777" t="s">
        <v>22928</v>
      </c>
      <c r="AI5777" t="s">
        <v>34969</v>
      </c>
    </row>
    <row r="5778" spans="2:35" ht="210">
      <c r="B5778" s="1">
        <v>45282</v>
      </c>
      <c r="C5778" s="4">
        <v>45282.392361111109</v>
      </c>
      <c r="D5778" t="s">
        <v>26467</v>
      </c>
      <c r="E5778" t="s">
        <v>3570</v>
      </c>
      <c r="F5778">
        <v>3</v>
      </c>
      <c r="G5778" t="s">
        <v>174</v>
      </c>
      <c r="H5778" t="s">
        <v>39</v>
      </c>
      <c r="I5778" t="s">
        <v>40</v>
      </c>
      <c r="J5778" s="2" t="s">
        <v>41</v>
      </c>
      <c r="K5778" t="s">
        <v>42</v>
      </c>
      <c r="L5778" t="s">
        <v>175</v>
      </c>
      <c r="N5778" t="s">
        <v>176</v>
      </c>
      <c r="Q5778">
        <v>26772</v>
      </c>
      <c r="R5778" t="s">
        <v>45</v>
      </c>
      <c r="S5778" t="s">
        <v>535</v>
      </c>
      <c r="T5778">
        <v>27</v>
      </c>
      <c r="U5778" s="2" t="s">
        <v>34970</v>
      </c>
      <c r="V5778" s="1">
        <v>45282</v>
      </c>
      <c r="W5778" t="s">
        <v>84</v>
      </c>
      <c r="X5778">
        <v>807620</v>
      </c>
      <c r="Y5778" t="s">
        <v>34971</v>
      </c>
      <c r="Z5778" t="e">
        <f ca="1">- replaced C4
- checked cartridge bay, plunger rod, _xludf.filter
- generated reports</f>
        <v>#NAME?</v>
      </c>
      <c r="AA5778" t="s">
        <v>34972</v>
      </c>
      <c r="AB5778" t="s">
        <v>88</v>
      </c>
      <c r="AD5778" s="2" t="s">
        <v>34973</v>
      </c>
      <c r="AE5778" t="s">
        <v>103</v>
      </c>
      <c r="AG5778" t="s">
        <v>34974</v>
      </c>
      <c r="AH5778" t="s">
        <v>540</v>
      </c>
      <c r="AI5778" t="s">
        <v>34975</v>
      </c>
    </row>
    <row r="5779" spans="2:35" ht="150">
      <c r="B5779" s="1">
        <v>45282</v>
      </c>
      <c r="C5779" s="4">
        <v>45282.383333333331</v>
      </c>
      <c r="D5779" t="s">
        <v>3719</v>
      </c>
      <c r="E5779" t="s">
        <v>3720</v>
      </c>
      <c r="F5779" t="s">
        <v>148</v>
      </c>
      <c r="G5779" t="s">
        <v>310</v>
      </c>
      <c r="H5779" t="s">
        <v>39</v>
      </c>
      <c r="I5779" t="s">
        <v>40</v>
      </c>
      <c r="J5779" s="2" t="s">
        <v>41</v>
      </c>
      <c r="K5779" t="s">
        <v>42</v>
      </c>
      <c r="L5779" t="s">
        <v>1943</v>
      </c>
      <c r="N5779" t="s">
        <v>1944</v>
      </c>
      <c r="Q5779">
        <v>26771</v>
      </c>
      <c r="R5779" t="s">
        <v>119</v>
      </c>
      <c r="S5779" t="s">
        <v>3721</v>
      </c>
      <c r="T5779">
        <v>25</v>
      </c>
      <c r="U5779" s="2" t="s">
        <v>34976</v>
      </c>
      <c r="V5779" s="1">
        <v>45278</v>
      </c>
      <c r="W5779" t="s">
        <v>84</v>
      </c>
      <c r="X5779">
        <v>831644</v>
      </c>
      <c r="Y5779" s="2" t="s">
        <v>34977</v>
      </c>
      <c r="Z5779" s="2" t="s">
        <v>33081</v>
      </c>
      <c r="AA5779" t="s">
        <v>22330</v>
      </c>
      <c r="AB5779" t="s">
        <v>88</v>
      </c>
      <c r="AD5779" t="s">
        <v>34978</v>
      </c>
      <c r="AE5779" t="s">
        <v>34979</v>
      </c>
      <c r="AG5779" t="s">
        <v>34980</v>
      </c>
      <c r="AH5779" t="s">
        <v>27633</v>
      </c>
      <c r="AI5779" t="s">
        <v>34981</v>
      </c>
    </row>
    <row r="5780" spans="2:35" ht="390">
      <c r="B5780" s="1">
        <v>45282</v>
      </c>
      <c r="C5780" s="4">
        <v>45282.325694444444</v>
      </c>
      <c r="D5780" t="s">
        <v>34982</v>
      </c>
      <c r="E5780" t="s">
        <v>16528</v>
      </c>
      <c r="F5780">
        <v>7</v>
      </c>
      <c r="G5780" t="s">
        <v>269</v>
      </c>
      <c r="H5780" t="s">
        <v>258</v>
      </c>
      <c r="I5780" t="s">
        <v>94</v>
      </c>
      <c r="J5780" s="2" t="s">
        <v>760</v>
      </c>
      <c r="K5780" t="s">
        <v>42</v>
      </c>
      <c r="L5780" t="s">
        <v>270</v>
      </c>
      <c r="N5780" t="s">
        <v>3122</v>
      </c>
      <c r="Q5780">
        <v>26770</v>
      </c>
      <c r="R5780" t="s">
        <v>45</v>
      </c>
      <c r="S5780" t="s">
        <v>10458</v>
      </c>
      <c r="T5780">
        <v>22</v>
      </c>
      <c r="U5780" s="2" t="s">
        <v>34983</v>
      </c>
      <c r="W5780" t="s">
        <v>3662</v>
      </c>
      <c r="X5780">
        <v>805275</v>
      </c>
      <c r="Y5780" t="s">
        <v>34984</v>
      </c>
      <c r="Z5780" t="s">
        <v>34985</v>
      </c>
      <c r="AA5780" t="e">
        <f ca="1">- cleaned storage, RAM, mother board</f>
        <v>#NAME?</v>
      </c>
      <c r="AB5780" t="s">
        <v>34986</v>
      </c>
      <c r="AG5780" t="s">
        <v>34987</v>
      </c>
      <c r="AH5780" t="s">
        <v>16536</v>
      </c>
      <c r="AI5780" t="s">
        <v>34988</v>
      </c>
    </row>
    <row r="5781" spans="2:35" ht="390">
      <c r="B5781" s="1">
        <v>45281</v>
      </c>
      <c r="C5781" s="4">
        <v>45281.663194444445</v>
      </c>
      <c r="D5781" t="s">
        <v>34989</v>
      </c>
      <c r="E5781" t="s">
        <v>2774</v>
      </c>
      <c r="F5781">
        <v>2</v>
      </c>
      <c r="G5781" t="s">
        <v>2723</v>
      </c>
      <c r="H5781" t="s">
        <v>2048</v>
      </c>
      <c r="I5781" t="s">
        <v>40</v>
      </c>
      <c r="J5781" s="2" t="s">
        <v>1808</v>
      </c>
      <c r="K5781" t="s">
        <v>42</v>
      </c>
      <c r="L5781" t="s">
        <v>63</v>
      </c>
      <c r="N5781" t="s">
        <v>64</v>
      </c>
      <c r="Q5781">
        <v>26769</v>
      </c>
      <c r="R5781" t="s">
        <v>45</v>
      </c>
      <c r="S5781" t="s">
        <v>34990</v>
      </c>
      <c r="T5781">
        <v>27</v>
      </c>
      <c r="U5781" s="2" t="s">
        <v>34991</v>
      </c>
      <c r="V5781" s="1">
        <v>45281</v>
      </c>
      <c r="W5781" t="s">
        <v>29795</v>
      </c>
      <c r="X5781">
        <v>842894</v>
      </c>
      <c r="Y5781" t="s">
        <v>1716</v>
      </c>
      <c r="Z5781" t="s">
        <v>1716</v>
      </c>
      <c r="AA5781" s="2" t="s">
        <v>34992</v>
      </c>
      <c r="AB5781" t="s">
        <v>70</v>
      </c>
      <c r="AC5781" t="s">
        <v>1716</v>
      </c>
      <c r="AD5781" t="s">
        <v>1716</v>
      </c>
      <c r="AE5781" t="s">
        <v>1716</v>
      </c>
      <c r="AG5781" t="s">
        <v>34993</v>
      </c>
      <c r="AH5781" t="s">
        <v>34994</v>
      </c>
      <c r="AI5781" t="s">
        <v>34995</v>
      </c>
    </row>
    <row r="5782" spans="2:35" ht="225">
      <c r="B5782" s="1">
        <v>45281</v>
      </c>
      <c r="C5782" s="4">
        <v>45281.679166666669</v>
      </c>
      <c r="D5782" t="s">
        <v>2773</v>
      </c>
      <c r="E5782" t="s">
        <v>2774</v>
      </c>
      <c r="F5782">
        <v>2</v>
      </c>
      <c r="G5782" t="s">
        <v>2723</v>
      </c>
      <c r="H5782" t="s">
        <v>39</v>
      </c>
      <c r="I5782" t="s">
        <v>40</v>
      </c>
      <c r="J5782" s="2" t="s">
        <v>62</v>
      </c>
      <c r="K5782" t="s">
        <v>42</v>
      </c>
      <c r="L5782" t="s">
        <v>63</v>
      </c>
      <c r="N5782" t="s">
        <v>64</v>
      </c>
      <c r="O5782" t="s">
        <v>34996</v>
      </c>
      <c r="Q5782">
        <v>26768</v>
      </c>
      <c r="R5782" t="s">
        <v>322</v>
      </c>
      <c r="S5782" t="s">
        <v>2775</v>
      </c>
      <c r="T5782">
        <v>27</v>
      </c>
      <c r="U5782" s="2" t="s">
        <v>34997</v>
      </c>
      <c r="V5782" s="1">
        <v>45273</v>
      </c>
      <c r="W5782" t="s">
        <v>26915</v>
      </c>
      <c r="X5782">
        <v>110008457</v>
      </c>
      <c r="Y5782" t="s">
        <v>1716</v>
      </c>
      <c r="Z5782" t="s">
        <v>1716</v>
      </c>
      <c r="AA5782" s="2" t="s">
        <v>5203</v>
      </c>
      <c r="AB5782" t="s">
        <v>70</v>
      </c>
      <c r="AC5782" t="s">
        <v>34998</v>
      </c>
      <c r="AD5782" t="s">
        <v>34999</v>
      </c>
      <c r="AE5782">
        <v>10894</v>
      </c>
      <c r="AG5782" t="s">
        <v>35000</v>
      </c>
      <c r="AH5782" t="s">
        <v>35001</v>
      </c>
      <c r="AI5782" t="s">
        <v>35002</v>
      </c>
    </row>
    <row r="5783" spans="2:35" ht="409.5">
      <c r="B5783" s="1">
        <v>45281</v>
      </c>
      <c r="C5783" s="4">
        <v>45281.652777777781</v>
      </c>
      <c r="D5783" t="s">
        <v>2773</v>
      </c>
      <c r="E5783" t="s">
        <v>2774</v>
      </c>
      <c r="F5783">
        <v>2</v>
      </c>
      <c r="G5783" t="s">
        <v>2723</v>
      </c>
      <c r="H5783" t="s">
        <v>39</v>
      </c>
      <c r="I5783" t="s">
        <v>40</v>
      </c>
      <c r="J5783" s="2" t="s">
        <v>35003</v>
      </c>
      <c r="K5783" t="s">
        <v>42</v>
      </c>
      <c r="L5783" t="s">
        <v>63</v>
      </c>
      <c r="N5783" t="s">
        <v>64</v>
      </c>
      <c r="Q5783">
        <v>26767</v>
      </c>
      <c r="R5783" t="s">
        <v>119</v>
      </c>
      <c r="S5783" t="s">
        <v>29793</v>
      </c>
      <c r="T5783">
        <v>27</v>
      </c>
      <c r="U5783" s="2" t="s">
        <v>35004</v>
      </c>
      <c r="V5783" s="1">
        <v>45251</v>
      </c>
      <c r="W5783" t="s">
        <v>26915</v>
      </c>
      <c r="X5783">
        <v>831718</v>
      </c>
      <c r="Y5783" t="s">
        <v>24940</v>
      </c>
      <c r="Z5783" s="2" t="s">
        <v>35005</v>
      </c>
      <c r="AA5783" s="2" t="s">
        <v>35006</v>
      </c>
      <c r="AB5783" t="s">
        <v>70</v>
      </c>
      <c r="AC5783" t="s">
        <v>35007</v>
      </c>
      <c r="AD5783" t="s">
        <v>6397</v>
      </c>
      <c r="AE5783" t="s">
        <v>35008</v>
      </c>
      <c r="AG5783" t="s">
        <v>35009</v>
      </c>
      <c r="AH5783" t="s">
        <v>29801</v>
      </c>
      <c r="AI5783" t="s">
        <v>35010</v>
      </c>
    </row>
    <row r="5784" spans="2:35" ht="225">
      <c r="B5784" s="1">
        <v>45281</v>
      </c>
      <c r="C5784" s="4">
        <v>45281.583333333336</v>
      </c>
      <c r="D5784" t="s">
        <v>2510</v>
      </c>
      <c r="E5784" t="s">
        <v>35011</v>
      </c>
      <c r="F5784" t="s">
        <v>37</v>
      </c>
      <c r="G5784" t="s">
        <v>2499</v>
      </c>
      <c r="H5784" t="s">
        <v>39</v>
      </c>
      <c r="I5784" t="s">
        <v>40</v>
      </c>
      <c r="J5784" s="2" t="s">
        <v>190</v>
      </c>
      <c r="K5784" t="s">
        <v>42</v>
      </c>
      <c r="L5784" t="s">
        <v>15532</v>
      </c>
      <c r="N5784" t="s">
        <v>15533</v>
      </c>
      <c r="Q5784">
        <v>26766</v>
      </c>
      <c r="R5784" t="s">
        <v>119</v>
      </c>
      <c r="S5784" t="s">
        <v>35012</v>
      </c>
      <c r="T5784">
        <v>24</v>
      </c>
      <c r="U5784" s="2" t="s">
        <v>13666</v>
      </c>
      <c r="W5784" t="s">
        <v>35013</v>
      </c>
      <c r="X5784">
        <v>831890</v>
      </c>
      <c r="Y5784" t="s">
        <v>35014</v>
      </c>
      <c r="Z5784" s="2" t="s">
        <v>35015</v>
      </c>
      <c r="AA5784" t="s">
        <v>35016</v>
      </c>
      <c r="AB5784" s="2" t="s">
        <v>35017</v>
      </c>
      <c r="AC5784" t="s">
        <v>35018</v>
      </c>
      <c r="AG5784" t="s">
        <v>35019</v>
      </c>
      <c r="AH5784" t="s">
        <v>35020</v>
      </c>
      <c r="AI5784" t="s">
        <v>35021</v>
      </c>
    </row>
    <row r="5785" spans="2:35" ht="180">
      <c r="B5785" s="1">
        <v>45281</v>
      </c>
      <c r="C5785" s="4">
        <v>45280.558333333334</v>
      </c>
      <c r="D5785" t="s">
        <v>620</v>
      </c>
      <c r="E5785" t="s">
        <v>35022</v>
      </c>
      <c r="F5785" t="s">
        <v>148</v>
      </c>
      <c r="G5785" t="s">
        <v>447</v>
      </c>
      <c r="H5785" t="s">
        <v>39</v>
      </c>
      <c r="I5785" t="s">
        <v>94</v>
      </c>
      <c r="J5785" s="2" t="s">
        <v>41</v>
      </c>
      <c r="K5785" t="s">
        <v>42</v>
      </c>
      <c r="L5785" t="s">
        <v>15532</v>
      </c>
      <c r="N5785" t="s">
        <v>15533</v>
      </c>
      <c r="O5785" t="s">
        <v>15533</v>
      </c>
      <c r="Q5785">
        <v>26765</v>
      </c>
      <c r="R5785" t="s">
        <v>119</v>
      </c>
      <c r="S5785" t="s">
        <v>24896</v>
      </c>
      <c r="T5785">
        <v>29</v>
      </c>
      <c r="U5785" s="2" t="s">
        <v>35023</v>
      </c>
      <c r="V5785" s="1">
        <v>45274</v>
      </c>
      <c r="W5785" t="s">
        <v>15535</v>
      </c>
      <c r="X5785">
        <v>831876</v>
      </c>
      <c r="Y5785" t="s">
        <v>35024</v>
      </c>
      <c r="Z5785" s="2" t="s">
        <v>35025</v>
      </c>
      <c r="AA5785" s="2" t="s">
        <v>35026</v>
      </c>
      <c r="AB5785" s="2" t="s">
        <v>30391</v>
      </c>
      <c r="AD5785" t="s">
        <v>16499</v>
      </c>
      <c r="AE5785" t="s">
        <v>35027</v>
      </c>
      <c r="AG5785" t="s">
        <v>35028</v>
      </c>
      <c r="AH5785" t="s">
        <v>35029</v>
      </c>
      <c r="AI5785" t="s">
        <v>35030</v>
      </c>
    </row>
    <row r="5786" spans="2:35" ht="409.5">
      <c r="B5786" s="1">
        <v>45281</v>
      </c>
      <c r="C5786" s="4">
        <v>45281.565972222219</v>
      </c>
      <c r="D5786" t="s">
        <v>13723</v>
      </c>
      <c r="E5786" t="s">
        <v>12017</v>
      </c>
      <c r="F5786">
        <v>7</v>
      </c>
      <c r="G5786" t="s">
        <v>432</v>
      </c>
      <c r="H5786" t="s">
        <v>10969</v>
      </c>
      <c r="I5786" t="s">
        <v>40</v>
      </c>
      <c r="J5786" s="2" t="s">
        <v>62</v>
      </c>
      <c r="K5786" t="s">
        <v>42</v>
      </c>
      <c r="L5786" t="s">
        <v>1288</v>
      </c>
      <c r="N5786" t="s">
        <v>1289</v>
      </c>
      <c r="Q5786">
        <v>26764</v>
      </c>
      <c r="R5786" t="s">
        <v>95</v>
      </c>
      <c r="S5786" t="s">
        <v>4886</v>
      </c>
      <c r="T5786">
        <v>15</v>
      </c>
      <c r="U5786" s="2" t="s">
        <v>35031</v>
      </c>
      <c r="W5786" t="s">
        <v>1292</v>
      </c>
      <c r="X5786">
        <v>110008524</v>
      </c>
      <c r="Y5786" t="s">
        <v>10179</v>
      </c>
      <c r="Z5786" t="e">
        <f ca="1">-COLLECT IQR,system _xludf.Log, _xludf.and ARCHIVE</f>
        <v>#NAME?</v>
      </c>
      <c r="AA5786" t="e">
        <f ca="1">-PERFORM Preventive Maintenance _xludf.and Cleaning of GeneXpert workstation
-PERFORM CALIBRATION:
ALL modules passed</f>
        <v>#NAME?</v>
      </c>
      <c r="AB5786" t="s">
        <v>1293</v>
      </c>
      <c r="AG5786" t="s">
        <v>35032</v>
      </c>
      <c r="AH5786" t="s">
        <v>35033</v>
      </c>
      <c r="AI5786" t="s">
        <v>35034</v>
      </c>
    </row>
    <row r="5787" spans="2:35" ht="285">
      <c r="B5787" s="1">
        <v>45281</v>
      </c>
      <c r="C5787" s="4">
        <v>45281.554861111108</v>
      </c>
      <c r="D5787" t="s">
        <v>1071</v>
      </c>
      <c r="E5787" t="s">
        <v>1555</v>
      </c>
      <c r="F5787">
        <v>7</v>
      </c>
      <c r="G5787" t="s">
        <v>432</v>
      </c>
      <c r="H5787" t="s">
        <v>150</v>
      </c>
      <c r="I5787" t="s">
        <v>40</v>
      </c>
      <c r="J5787" t="s">
        <v>525</v>
      </c>
      <c r="K5787" t="s">
        <v>42</v>
      </c>
      <c r="L5787" t="s">
        <v>343</v>
      </c>
      <c r="N5787" t="s">
        <v>344</v>
      </c>
      <c r="Q5787">
        <v>26763</v>
      </c>
      <c r="R5787" t="s">
        <v>119</v>
      </c>
      <c r="S5787" t="s">
        <v>8679</v>
      </c>
      <c r="T5787">
        <v>28</v>
      </c>
      <c r="U5787" s="2" t="s">
        <v>35035</v>
      </c>
      <c r="W5787" t="s">
        <v>6105</v>
      </c>
      <c r="X5787">
        <v>838285</v>
      </c>
      <c r="Y5787" t="s">
        <v>35036</v>
      </c>
      <c r="Z5787" t="s">
        <v>301</v>
      </c>
      <c r="AA5787" t="e">
        <f ca="1">-Observe ambient temperature
-Troubleshoot Reported module
-COLLECT reports _xludf.For Reporting</f>
        <v>#NAME?</v>
      </c>
      <c r="AB5787" t="s">
        <v>35037</v>
      </c>
      <c r="AG5787" t="s">
        <v>35038</v>
      </c>
      <c r="AH5787" t="s">
        <v>16851</v>
      </c>
      <c r="AI5787" t="s">
        <v>35039</v>
      </c>
    </row>
    <row r="5788" spans="2:35" ht="210">
      <c r="B5788" s="1">
        <v>45281</v>
      </c>
      <c r="C5788" s="4">
        <v>45281.532638888886</v>
      </c>
      <c r="D5788" t="s">
        <v>1155</v>
      </c>
      <c r="E5788" t="s">
        <v>8331</v>
      </c>
      <c r="F5788" t="s">
        <v>148</v>
      </c>
      <c r="G5788" t="s">
        <v>230</v>
      </c>
      <c r="H5788" t="s">
        <v>39</v>
      </c>
      <c r="I5788" t="s">
        <v>40</v>
      </c>
      <c r="J5788" t="s">
        <v>525</v>
      </c>
      <c r="K5788" t="s">
        <v>42</v>
      </c>
      <c r="L5788" t="s">
        <v>175</v>
      </c>
      <c r="N5788" t="s">
        <v>176</v>
      </c>
      <c r="Q5788">
        <v>26762</v>
      </c>
      <c r="R5788" t="s">
        <v>119</v>
      </c>
      <c r="S5788" t="s">
        <v>28823</v>
      </c>
      <c r="T5788">
        <v>27</v>
      </c>
      <c r="U5788" s="2" t="s">
        <v>35040</v>
      </c>
      <c r="W5788" t="s">
        <v>84</v>
      </c>
      <c r="X5788">
        <v>831895</v>
      </c>
      <c r="Y5788" t="s">
        <v>21830</v>
      </c>
      <c r="Z5788" t="e">
        <f ca="1">- generated reports
- scanned _xludf.error logs _xludf.For analysis
- performed functionality test</f>
        <v>#NAME?</v>
      </c>
      <c r="AA5788" t="s">
        <v>34573</v>
      </c>
      <c r="AB5788" s="2" t="s">
        <v>35041</v>
      </c>
      <c r="AG5788" t="s">
        <v>35042</v>
      </c>
      <c r="AH5788" t="s">
        <v>16488</v>
      </c>
      <c r="AI5788" t="s">
        <v>35043</v>
      </c>
    </row>
    <row r="5789" spans="2:35" ht="240">
      <c r="B5789" s="1">
        <v>45281</v>
      </c>
      <c r="C5789" s="4">
        <v>45281.508333333331</v>
      </c>
      <c r="D5789" t="s">
        <v>10321</v>
      </c>
      <c r="E5789" t="s">
        <v>10322</v>
      </c>
      <c r="F5789">
        <v>2</v>
      </c>
      <c r="G5789" t="s">
        <v>2723</v>
      </c>
      <c r="H5789" t="s">
        <v>39</v>
      </c>
      <c r="I5789" t="s">
        <v>40</v>
      </c>
      <c r="J5789" s="2" t="s">
        <v>24530</v>
      </c>
      <c r="K5789" t="s">
        <v>42</v>
      </c>
      <c r="L5789" t="s">
        <v>63</v>
      </c>
      <c r="N5789" t="s">
        <v>64</v>
      </c>
      <c r="Q5789">
        <v>26761</v>
      </c>
      <c r="R5789" t="s">
        <v>45</v>
      </c>
      <c r="S5789" t="s">
        <v>19732</v>
      </c>
      <c r="T5789">
        <v>27</v>
      </c>
      <c r="U5789" s="2" t="s">
        <v>17062</v>
      </c>
      <c r="V5789" s="1">
        <v>45281</v>
      </c>
      <c r="W5789" t="s">
        <v>29259</v>
      </c>
      <c r="X5789">
        <v>835092</v>
      </c>
      <c r="Y5789" t="s">
        <v>1716</v>
      </c>
      <c r="Z5789" t="s">
        <v>1716</v>
      </c>
      <c r="AA5789" s="2" t="s">
        <v>35044</v>
      </c>
      <c r="AB5789" t="s">
        <v>70</v>
      </c>
      <c r="AC5789" t="s">
        <v>35045</v>
      </c>
      <c r="AD5789" t="s">
        <v>1716</v>
      </c>
      <c r="AE5789" t="s">
        <v>1716</v>
      </c>
      <c r="AG5789" t="s">
        <v>35046</v>
      </c>
      <c r="AH5789" t="s">
        <v>19737</v>
      </c>
      <c r="AI5789" t="s">
        <v>35047</v>
      </c>
    </row>
    <row r="5790" spans="2:35" ht="375">
      <c r="B5790" s="1">
        <v>45281</v>
      </c>
      <c r="C5790" s="4">
        <v>45281.488194444442</v>
      </c>
      <c r="D5790" t="s">
        <v>10321</v>
      </c>
      <c r="E5790" t="s">
        <v>10322</v>
      </c>
      <c r="F5790">
        <v>2</v>
      </c>
      <c r="G5790" t="s">
        <v>2723</v>
      </c>
      <c r="H5790" t="s">
        <v>39</v>
      </c>
      <c r="I5790" t="s">
        <v>40</v>
      </c>
      <c r="J5790" s="2" t="s">
        <v>1808</v>
      </c>
      <c r="K5790" t="s">
        <v>42</v>
      </c>
      <c r="L5790" t="s">
        <v>63</v>
      </c>
      <c r="N5790" t="s">
        <v>64</v>
      </c>
      <c r="Q5790">
        <v>26760</v>
      </c>
      <c r="R5790" t="s">
        <v>119</v>
      </c>
      <c r="S5790" t="s">
        <v>19732</v>
      </c>
      <c r="T5790">
        <v>27</v>
      </c>
      <c r="V5790" s="1">
        <v>45281</v>
      </c>
      <c r="W5790" t="s">
        <v>26915</v>
      </c>
      <c r="X5790">
        <v>838531</v>
      </c>
      <c r="Y5790" t="s">
        <v>1716</v>
      </c>
      <c r="Z5790" t="s">
        <v>1716</v>
      </c>
      <c r="AA5790" s="2" t="s">
        <v>35048</v>
      </c>
      <c r="AB5790" t="s">
        <v>70</v>
      </c>
      <c r="AC5790" t="s">
        <v>35049</v>
      </c>
      <c r="AD5790" t="s">
        <v>1716</v>
      </c>
      <c r="AE5790" t="s">
        <v>1716</v>
      </c>
      <c r="AG5790" t="s">
        <v>35050</v>
      </c>
      <c r="AH5790" t="s">
        <v>19737</v>
      </c>
      <c r="AI5790" t="s">
        <v>35051</v>
      </c>
    </row>
    <row r="5791" spans="2:35" ht="345">
      <c r="B5791" s="1">
        <v>45280</v>
      </c>
      <c r="C5791" s="4">
        <v>45280.59652777778</v>
      </c>
      <c r="D5791" t="s">
        <v>35052</v>
      </c>
      <c r="E5791" t="s">
        <v>35053</v>
      </c>
      <c r="F5791">
        <v>2</v>
      </c>
      <c r="G5791" t="s">
        <v>2723</v>
      </c>
      <c r="H5791" t="s">
        <v>39</v>
      </c>
      <c r="I5791" t="s">
        <v>40</v>
      </c>
      <c r="J5791" s="2" t="s">
        <v>24530</v>
      </c>
      <c r="K5791" t="s">
        <v>42</v>
      </c>
      <c r="L5791" t="s">
        <v>63</v>
      </c>
      <c r="N5791" t="s">
        <v>64</v>
      </c>
      <c r="Q5791">
        <v>26759</v>
      </c>
      <c r="R5791" t="s">
        <v>45</v>
      </c>
      <c r="S5791" t="s">
        <v>35054</v>
      </c>
      <c r="T5791">
        <v>27</v>
      </c>
      <c r="V5791" s="1">
        <v>45280</v>
      </c>
      <c r="W5791" t="s">
        <v>29259</v>
      </c>
      <c r="X5791">
        <v>835090</v>
      </c>
      <c r="Y5791" t="s">
        <v>1716</v>
      </c>
      <c r="Z5791" t="s">
        <v>1716</v>
      </c>
      <c r="AA5791" s="2" t="s">
        <v>35055</v>
      </c>
      <c r="AB5791" t="s">
        <v>70</v>
      </c>
      <c r="AC5791" t="s">
        <v>35045</v>
      </c>
      <c r="AD5791" t="s">
        <v>1716</v>
      </c>
      <c r="AE5791" t="s">
        <v>1716</v>
      </c>
      <c r="AG5791" t="s">
        <v>35056</v>
      </c>
      <c r="AH5791" t="s">
        <v>35057</v>
      </c>
      <c r="AI5791" t="s">
        <v>35058</v>
      </c>
    </row>
    <row r="5792" spans="2:35" ht="409.5">
      <c r="B5792" s="1">
        <v>45280</v>
      </c>
      <c r="C5792" s="4">
        <v>45280.56527777778</v>
      </c>
      <c r="D5792" t="s">
        <v>7459</v>
      </c>
      <c r="E5792" t="s">
        <v>35059</v>
      </c>
      <c r="F5792">
        <v>11</v>
      </c>
      <c r="G5792" t="s">
        <v>1205</v>
      </c>
      <c r="H5792" t="s">
        <v>202</v>
      </c>
      <c r="I5792" t="s">
        <v>40</v>
      </c>
      <c r="J5792" s="2" t="s">
        <v>41</v>
      </c>
      <c r="K5792" t="s">
        <v>42</v>
      </c>
      <c r="L5792" t="s">
        <v>204</v>
      </c>
      <c r="N5792" t="s">
        <v>205</v>
      </c>
      <c r="Q5792">
        <v>26758</v>
      </c>
      <c r="R5792" t="s">
        <v>119</v>
      </c>
      <c r="S5792" t="s">
        <v>7460</v>
      </c>
      <c r="T5792">
        <v>25.6</v>
      </c>
      <c r="U5792" s="2" t="s">
        <v>207</v>
      </c>
      <c r="V5792" s="1">
        <v>45251</v>
      </c>
      <c r="W5792" t="s">
        <v>23237</v>
      </c>
      <c r="X5792">
        <v>838511</v>
      </c>
      <c r="Y5792" t="s">
        <v>35060</v>
      </c>
      <c r="Z5792" s="2" t="s">
        <v>35061</v>
      </c>
      <c r="AA5792" t="s">
        <v>2560</v>
      </c>
      <c r="AB5792" t="s">
        <v>1211</v>
      </c>
      <c r="AC5792" t="s">
        <v>35062</v>
      </c>
      <c r="AD5792" t="s">
        <v>10253</v>
      </c>
      <c r="AE5792" t="s">
        <v>35063</v>
      </c>
      <c r="AG5792" t="s">
        <v>35064</v>
      </c>
      <c r="AH5792" t="s">
        <v>35065</v>
      </c>
      <c r="AI5792" t="s">
        <v>35066</v>
      </c>
    </row>
    <row r="5793" spans="2:35" ht="210">
      <c r="B5793" s="1">
        <v>45280</v>
      </c>
      <c r="C5793" s="4">
        <v>45280.51666666667</v>
      </c>
      <c r="D5793" t="s">
        <v>25980</v>
      </c>
      <c r="E5793" t="s">
        <v>3234</v>
      </c>
      <c r="F5793">
        <v>3</v>
      </c>
      <c r="G5793" t="s">
        <v>174</v>
      </c>
      <c r="H5793" t="s">
        <v>39</v>
      </c>
      <c r="I5793" t="s">
        <v>40</v>
      </c>
      <c r="J5793" s="2" t="s">
        <v>190</v>
      </c>
      <c r="K5793" t="s">
        <v>42</v>
      </c>
      <c r="L5793" t="s">
        <v>175</v>
      </c>
      <c r="N5793" t="s">
        <v>176</v>
      </c>
      <c r="Q5793">
        <v>26757</v>
      </c>
      <c r="R5793" t="s">
        <v>119</v>
      </c>
      <c r="S5793" t="s">
        <v>3235</v>
      </c>
      <c r="T5793">
        <v>27</v>
      </c>
      <c r="U5793" s="2" t="s">
        <v>35067</v>
      </c>
      <c r="W5793" t="s">
        <v>84</v>
      </c>
      <c r="X5793">
        <v>831904</v>
      </c>
      <c r="Y5793" t="s">
        <v>35068</v>
      </c>
      <c r="Z5793" t="e">
        <f ca="1">- checked _xludf.and cleaned cartridge bay, plunger rod, _xludf.filter
- performed XpertCheck on A4
- generated reports</f>
        <v>#NAME?</v>
      </c>
      <c r="AA5793" t="s">
        <v>35069</v>
      </c>
      <c r="AB5793" s="2" t="s">
        <v>35070</v>
      </c>
      <c r="AG5793" t="s">
        <v>35071</v>
      </c>
      <c r="AH5793" t="s">
        <v>22677</v>
      </c>
      <c r="AI5793" t="s">
        <v>35072</v>
      </c>
    </row>
    <row r="5794" spans="2:35" ht="409.5">
      <c r="B5794" s="1">
        <v>45280</v>
      </c>
      <c r="C5794" s="4">
        <v>45280.509722222225</v>
      </c>
      <c r="D5794" t="s">
        <v>35073</v>
      </c>
      <c r="E5794" t="s">
        <v>35074</v>
      </c>
      <c r="F5794">
        <v>3</v>
      </c>
      <c r="G5794" t="s">
        <v>1722</v>
      </c>
      <c r="H5794" t="s">
        <v>39</v>
      </c>
      <c r="I5794" t="s">
        <v>40</v>
      </c>
      <c r="J5794" s="2" t="s">
        <v>62</v>
      </c>
      <c r="K5794" t="s">
        <v>42</v>
      </c>
      <c r="L5794" t="s">
        <v>135</v>
      </c>
      <c r="N5794" t="s">
        <v>136</v>
      </c>
      <c r="Q5794">
        <v>26756</v>
      </c>
      <c r="R5794" t="s">
        <v>45</v>
      </c>
      <c r="S5794" t="s">
        <v>35075</v>
      </c>
      <c r="T5794">
        <v>29</v>
      </c>
      <c r="U5794" s="2" t="s">
        <v>10172</v>
      </c>
      <c r="W5794" t="s">
        <v>2680</v>
      </c>
      <c r="X5794">
        <v>834840</v>
      </c>
      <c r="Y5794" t="s">
        <v>1751</v>
      </c>
      <c r="Z5794" s="2" t="s">
        <v>29789</v>
      </c>
      <c r="AA5794" s="2" t="s">
        <v>31375</v>
      </c>
      <c r="AB5794" t="s">
        <v>181</v>
      </c>
      <c r="AC5794" t="s">
        <v>35076</v>
      </c>
      <c r="AG5794" t="s">
        <v>35077</v>
      </c>
      <c r="AH5794" t="s">
        <v>35078</v>
      </c>
      <c r="AI5794" t="s">
        <v>35079</v>
      </c>
    </row>
    <row r="5795" spans="2:35" ht="150">
      <c r="B5795" s="1">
        <v>45280</v>
      </c>
      <c r="C5795" s="4">
        <v>45280.444444444445</v>
      </c>
      <c r="D5795" t="s">
        <v>32961</v>
      </c>
      <c r="E5795" t="s">
        <v>32962</v>
      </c>
      <c r="F5795" t="s">
        <v>37</v>
      </c>
      <c r="G5795" t="s">
        <v>189</v>
      </c>
      <c r="H5795" t="s">
        <v>39</v>
      </c>
      <c r="I5795" t="s">
        <v>40</v>
      </c>
      <c r="J5795" s="2" t="s">
        <v>1808</v>
      </c>
      <c r="K5795" t="s">
        <v>42</v>
      </c>
      <c r="L5795" t="s">
        <v>1943</v>
      </c>
      <c r="N5795" t="s">
        <v>1944</v>
      </c>
      <c r="Q5795">
        <v>26755</v>
      </c>
      <c r="R5795" t="s">
        <v>119</v>
      </c>
      <c r="S5795" t="s">
        <v>32963</v>
      </c>
      <c r="T5795">
        <v>25</v>
      </c>
      <c r="V5795" s="1">
        <v>45278</v>
      </c>
      <c r="W5795" t="s">
        <v>84</v>
      </c>
      <c r="X5795">
        <v>821299</v>
      </c>
      <c r="Y5795" s="2" t="s">
        <v>35080</v>
      </c>
      <c r="Z5795" s="2" t="s">
        <v>35081</v>
      </c>
      <c r="AA5795" t="s">
        <v>35082</v>
      </c>
      <c r="AB5795" t="s">
        <v>181</v>
      </c>
      <c r="AD5795" t="s">
        <v>35083</v>
      </c>
      <c r="AE5795" t="s">
        <v>35084</v>
      </c>
      <c r="AG5795" t="s">
        <v>35085</v>
      </c>
      <c r="AH5795" t="s">
        <v>32966</v>
      </c>
      <c r="AI5795" t="s">
        <v>35086</v>
      </c>
    </row>
    <row r="5796" spans="2:35" ht="105">
      <c r="B5796" s="1">
        <v>45280</v>
      </c>
      <c r="C5796" s="4">
        <v>45280.439583333333</v>
      </c>
      <c r="D5796" t="s">
        <v>32616</v>
      </c>
      <c r="E5796" t="s">
        <v>29745</v>
      </c>
      <c r="F5796">
        <v>3</v>
      </c>
      <c r="G5796" t="s">
        <v>174</v>
      </c>
      <c r="H5796" t="s">
        <v>39</v>
      </c>
      <c r="I5796" t="s">
        <v>40</v>
      </c>
      <c r="J5796" s="2" t="s">
        <v>41</v>
      </c>
      <c r="K5796" t="s">
        <v>42</v>
      </c>
      <c r="L5796" t="s">
        <v>175</v>
      </c>
      <c r="N5796" t="s">
        <v>176</v>
      </c>
      <c r="Q5796">
        <v>26754</v>
      </c>
      <c r="R5796" t="s">
        <v>45</v>
      </c>
      <c r="S5796" t="s">
        <v>29746</v>
      </c>
      <c r="T5796">
        <v>27</v>
      </c>
      <c r="U5796" s="2" t="s">
        <v>35087</v>
      </c>
      <c r="V5796" s="1">
        <v>45280</v>
      </c>
      <c r="W5796" t="s">
        <v>84</v>
      </c>
      <c r="X5796">
        <v>805252</v>
      </c>
      <c r="Y5796" t="s">
        <v>35088</v>
      </c>
      <c r="Z5796" t="e">
        <f ca="1">- replaced module A1
- checked _xludf.and cleaned cartridge bay, plunger rod, _xludf.filter
- generated reports</f>
        <v>#NAME?</v>
      </c>
      <c r="AA5796" t="s">
        <v>233</v>
      </c>
      <c r="AB5796" t="s">
        <v>88</v>
      </c>
      <c r="AD5796" s="2" t="s">
        <v>35089</v>
      </c>
      <c r="AE5796" t="s">
        <v>103</v>
      </c>
      <c r="AG5796" t="s">
        <v>35090</v>
      </c>
      <c r="AH5796" t="s">
        <v>29751</v>
      </c>
      <c r="AI5796" t="s">
        <v>35091</v>
      </c>
    </row>
    <row r="5797" spans="2:35" ht="210">
      <c r="B5797" s="1">
        <v>45280</v>
      </c>
      <c r="C5797" s="4">
        <v>45280.444444444445</v>
      </c>
      <c r="D5797" t="s">
        <v>542</v>
      </c>
      <c r="E5797" t="s">
        <v>27617</v>
      </c>
      <c r="F5797" t="s">
        <v>148</v>
      </c>
      <c r="G5797" t="s">
        <v>544</v>
      </c>
      <c r="H5797" t="s">
        <v>39</v>
      </c>
      <c r="I5797" t="s">
        <v>94</v>
      </c>
      <c r="J5797" s="2" t="s">
        <v>41</v>
      </c>
      <c r="K5797" t="s">
        <v>42</v>
      </c>
      <c r="L5797" t="s">
        <v>15532</v>
      </c>
      <c r="N5797" t="s">
        <v>15533</v>
      </c>
      <c r="Q5797">
        <v>26753</v>
      </c>
      <c r="R5797" t="s">
        <v>119</v>
      </c>
      <c r="S5797" t="s">
        <v>35092</v>
      </c>
      <c r="T5797">
        <v>28</v>
      </c>
      <c r="U5797" s="2" t="s">
        <v>35093</v>
      </c>
      <c r="V5797" s="1">
        <v>45278</v>
      </c>
      <c r="W5797" t="s">
        <v>15535</v>
      </c>
      <c r="X5797">
        <v>831588</v>
      </c>
      <c r="Y5797" t="s">
        <v>424</v>
      </c>
      <c r="Z5797" s="2" t="s">
        <v>32993</v>
      </c>
      <c r="AA5797" s="2" t="s">
        <v>35094</v>
      </c>
      <c r="AB5797" s="2" t="s">
        <v>33302</v>
      </c>
      <c r="AD5797" t="s">
        <v>35095</v>
      </c>
      <c r="AE5797" t="s">
        <v>35096</v>
      </c>
      <c r="AG5797" t="s">
        <v>35097</v>
      </c>
      <c r="AH5797" t="s">
        <v>28586</v>
      </c>
      <c r="AI5797" t="s">
        <v>35098</v>
      </c>
    </row>
    <row r="5798" spans="2:35" ht="165">
      <c r="B5798" s="1">
        <v>45280</v>
      </c>
      <c r="C5798" s="4">
        <v>45280.444444444445</v>
      </c>
      <c r="D5798" t="s">
        <v>32191</v>
      </c>
      <c r="E5798" t="s">
        <v>35099</v>
      </c>
      <c r="F5798">
        <v>2</v>
      </c>
      <c r="G5798" t="s">
        <v>2723</v>
      </c>
      <c r="H5798" t="s">
        <v>39</v>
      </c>
      <c r="I5798" t="s">
        <v>40</v>
      </c>
      <c r="J5798" s="2" t="s">
        <v>30202</v>
      </c>
      <c r="K5798" t="s">
        <v>42</v>
      </c>
      <c r="L5798" t="s">
        <v>63</v>
      </c>
      <c r="N5798" t="s">
        <v>64</v>
      </c>
      <c r="Q5798">
        <v>26752</v>
      </c>
      <c r="R5798" t="s">
        <v>45</v>
      </c>
      <c r="S5798" t="s">
        <v>32193</v>
      </c>
      <c r="T5798">
        <v>27</v>
      </c>
      <c r="U5798" s="2" t="s">
        <v>35100</v>
      </c>
      <c r="V5798" s="1">
        <v>45280</v>
      </c>
      <c r="W5798" t="s">
        <v>39</v>
      </c>
      <c r="X5798">
        <v>808632</v>
      </c>
      <c r="Y5798" t="s">
        <v>25875</v>
      </c>
      <c r="Z5798" s="2" t="s">
        <v>35101</v>
      </c>
      <c r="AA5798" s="2" t="s">
        <v>1727</v>
      </c>
      <c r="AB5798" t="s">
        <v>70</v>
      </c>
      <c r="AC5798" t="s">
        <v>35102</v>
      </c>
      <c r="AD5798" t="s">
        <v>6397</v>
      </c>
      <c r="AE5798" t="s">
        <v>1716</v>
      </c>
      <c r="AG5798" t="s">
        <v>35103</v>
      </c>
      <c r="AH5798" t="s">
        <v>35104</v>
      </c>
      <c r="AI5798" t="s">
        <v>35105</v>
      </c>
    </row>
    <row r="5799" spans="2:35" ht="105">
      <c r="B5799" s="1">
        <v>45280</v>
      </c>
      <c r="C5799" s="4">
        <v>45280.426388888889</v>
      </c>
      <c r="D5799" t="s">
        <v>4927</v>
      </c>
      <c r="E5799" t="s">
        <v>29745</v>
      </c>
      <c r="F5799">
        <v>3</v>
      </c>
      <c r="G5799" t="s">
        <v>174</v>
      </c>
      <c r="H5799" t="s">
        <v>39</v>
      </c>
      <c r="I5799" t="s">
        <v>40</v>
      </c>
      <c r="J5799" s="2" t="s">
        <v>190</v>
      </c>
      <c r="K5799" t="s">
        <v>42</v>
      </c>
      <c r="L5799" t="s">
        <v>175</v>
      </c>
      <c r="N5799" t="s">
        <v>176</v>
      </c>
      <c r="Q5799">
        <v>26751</v>
      </c>
      <c r="R5799" t="s">
        <v>45</v>
      </c>
      <c r="S5799" t="s">
        <v>30433</v>
      </c>
      <c r="T5799">
        <v>27</v>
      </c>
      <c r="U5799" s="2" t="s">
        <v>30479</v>
      </c>
      <c r="W5799" t="s">
        <v>84</v>
      </c>
      <c r="X5799">
        <v>838886</v>
      </c>
      <c r="Y5799" t="s">
        <v>35106</v>
      </c>
      <c r="Z5799" t="e">
        <f ca="1">- removed stuck cartridge
- checked _xludf.and cleaned cartridge bay, plunger rod, _xludf.filter
- generated reports</f>
        <v>#NAME?</v>
      </c>
      <c r="AA5799" t="s">
        <v>8743</v>
      </c>
      <c r="AB5799" t="s">
        <v>88</v>
      </c>
      <c r="AG5799" t="s">
        <v>35107</v>
      </c>
      <c r="AH5799" t="s">
        <v>30436</v>
      </c>
      <c r="AI5799" t="s">
        <v>35108</v>
      </c>
    </row>
    <row r="5800" spans="2:35" ht="255">
      <c r="B5800" s="1">
        <v>45280</v>
      </c>
      <c r="C5800" s="4">
        <v>45280.410416666666</v>
      </c>
      <c r="D5800" t="s">
        <v>35109</v>
      </c>
      <c r="E5800" t="s">
        <v>3280</v>
      </c>
      <c r="F5800">
        <v>3</v>
      </c>
      <c r="G5800" t="s">
        <v>1722</v>
      </c>
      <c r="H5800" t="s">
        <v>39</v>
      </c>
      <c r="I5800" t="s">
        <v>40</v>
      </c>
      <c r="J5800" s="2" t="s">
        <v>220</v>
      </c>
      <c r="K5800" t="s">
        <v>42</v>
      </c>
      <c r="L5800" t="s">
        <v>135</v>
      </c>
      <c r="N5800" t="s">
        <v>136</v>
      </c>
      <c r="Q5800">
        <v>26750</v>
      </c>
      <c r="R5800" t="s">
        <v>119</v>
      </c>
      <c r="S5800" t="s">
        <v>3281</v>
      </c>
      <c r="T5800">
        <v>27</v>
      </c>
      <c r="U5800" s="2" t="s">
        <v>8299</v>
      </c>
      <c r="V5800" s="1">
        <v>45275</v>
      </c>
      <c r="W5800" t="s">
        <v>2680</v>
      </c>
      <c r="X5800">
        <v>831672</v>
      </c>
      <c r="Y5800" s="2" t="s">
        <v>35110</v>
      </c>
      <c r="Z5800" s="2" t="s">
        <v>29539</v>
      </c>
      <c r="AA5800" s="2" t="s">
        <v>35111</v>
      </c>
      <c r="AB5800" s="2" t="s">
        <v>35112</v>
      </c>
      <c r="AD5800" t="s">
        <v>35113</v>
      </c>
      <c r="AE5800" t="s">
        <v>35114</v>
      </c>
      <c r="AG5800" t="s">
        <v>35115</v>
      </c>
      <c r="AH5800" t="s">
        <v>3284</v>
      </c>
      <c r="AI5800" t="s">
        <v>35116</v>
      </c>
    </row>
    <row r="5801" spans="2:35" ht="105">
      <c r="B5801" s="1">
        <v>45280</v>
      </c>
      <c r="C5801" s="4">
        <v>45280.408333333333</v>
      </c>
      <c r="D5801" t="s">
        <v>8483</v>
      </c>
      <c r="E5801" t="s">
        <v>8484</v>
      </c>
      <c r="F5801">
        <v>10</v>
      </c>
      <c r="G5801" t="s">
        <v>1395</v>
      </c>
      <c r="H5801" t="s">
        <v>2125</v>
      </c>
      <c r="I5801" t="s">
        <v>40</v>
      </c>
      <c r="J5801" s="2" t="s">
        <v>6765</v>
      </c>
      <c r="K5801" t="s">
        <v>42</v>
      </c>
      <c r="L5801" t="s">
        <v>933</v>
      </c>
      <c r="N5801" t="s">
        <v>934</v>
      </c>
      <c r="Q5801">
        <v>26749</v>
      </c>
      <c r="R5801" t="s">
        <v>119</v>
      </c>
      <c r="S5801" t="s">
        <v>12065</v>
      </c>
      <c r="T5801">
        <v>25.925000000000001</v>
      </c>
      <c r="U5801" s="2" t="s">
        <v>1709</v>
      </c>
      <c r="W5801" t="s">
        <v>3662</v>
      </c>
      <c r="X5801">
        <v>838574</v>
      </c>
      <c r="Y5801" t="s">
        <v>35117</v>
      </c>
      <c r="Z5801" t="s">
        <v>301</v>
      </c>
      <c r="AA5801" t="s">
        <v>35118</v>
      </c>
      <c r="AB5801" t="s">
        <v>34152</v>
      </c>
      <c r="AG5801" t="s">
        <v>35119</v>
      </c>
      <c r="AH5801" t="s">
        <v>12070</v>
      </c>
      <c r="AI5801" t="s">
        <v>35120</v>
      </c>
    </row>
    <row r="5802" spans="2:35" ht="409.5">
      <c r="B5802" s="1">
        <v>45280</v>
      </c>
      <c r="C5802" s="4">
        <v>45280.380555555559</v>
      </c>
      <c r="D5802" t="s">
        <v>2208</v>
      </c>
      <c r="E5802" t="s">
        <v>8615</v>
      </c>
      <c r="F5802" t="s">
        <v>1181</v>
      </c>
      <c r="G5802" t="s">
        <v>1182</v>
      </c>
      <c r="H5802" t="s">
        <v>202</v>
      </c>
      <c r="I5802" t="s">
        <v>94</v>
      </c>
      <c r="J5802" s="2" t="s">
        <v>41</v>
      </c>
      <c r="K5802" t="s">
        <v>42</v>
      </c>
      <c r="L5802" t="s">
        <v>259</v>
      </c>
      <c r="N5802" t="s">
        <v>260</v>
      </c>
      <c r="O5802" t="s">
        <v>260</v>
      </c>
      <c r="Q5802">
        <v>26748</v>
      </c>
      <c r="R5802" t="s">
        <v>45</v>
      </c>
      <c r="S5802" t="s">
        <v>2211</v>
      </c>
      <c r="T5802">
        <v>27</v>
      </c>
      <c r="U5802" s="2" t="s">
        <v>9827</v>
      </c>
      <c r="V5802" s="1">
        <v>45280</v>
      </c>
      <c r="W5802" t="s">
        <v>84</v>
      </c>
      <c r="X5802">
        <v>804272</v>
      </c>
      <c r="Y5802" t="s">
        <v>35121</v>
      </c>
      <c r="Z5802" t="e">
        <f ca="1">- module Replacement
- Preventive Maintenance</f>
        <v>#NAME?</v>
      </c>
      <c r="AA5802" s="2" t="s">
        <v>35122</v>
      </c>
      <c r="AB5802" t="s">
        <v>10222</v>
      </c>
      <c r="AD5802" t="s">
        <v>35123</v>
      </c>
      <c r="AE5802" t="s">
        <v>45</v>
      </c>
      <c r="AG5802" t="s">
        <v>35124</v>
      </c>
      <c r="AH5802" t="s">
        <v>2215</v>
      </c>
      <c r="AI5802" t="s">
        <v>35125</v>
      </c>
    </row>
    <row r="5803" spans="2:35" ht="409.5">
      <c r="B5803" s="1">
        <v>45280</v>
      </c>
      <c r="C5803" s="4">
        <v>45280.350694444445</v>
      </c>
      <c r="D5803" t="s">
        <v>24888</v>
      </c>
      <c r="E5803" t="s">
        <v>35126</v>
      </c>
      <c r="F5803">
        <v>3</v>
      </c>
      <c r="G5803" t="s">
        <v>730</v>
      </c>
      <c r="H5803" t="s">
        <v>39</v>
      </c>
      <c r="I5803" t="s">
        <v>40</v>
      </c>
      <c r="J5803" s="2" t="s">
        <v>1592</v>
      </c>
      <c r="K5803" t="s">
        <v>42</v>
      </c>
      <c r="L5803" t="s">
        <v>135</v>
      </c>
      <c r="N5803" t="s">
        <v>136</v>
      </c>
      <c r="Q5803">
        <v>26747</v>
      </c>
      <c r="R5803" t="s">
        <v>119</v>
      </c>
      <c r="S5803" t="s">
        <v>24890</v>
      </c>
      <c r="T5803">
        <v>27</v>
      </c>
      <c r="W5803" t="s">
        <v>2680</v>
      </c>
      <c r="X5803">
        <v>831660</v>
      </c>
      <c r="Y5803" t="s">
        <v>35127</v>
      </c>
      <c r="Z5803" s="2" t="s">
        <v>35128</v>
      </c>
      <c r="AA5803" s="2" t="s">
        <v>31375</v>
      </c>
      <c r="AB5803" t="s">
        <v>35129</v>
      </c>
      <c r="AC5803" t="s">
        <v>35130</v>
      </c>
      <c r="AG5803" t="s">
        <v>35131</v>
      </c>
      <c r="AH5803" t="s">
        <v>24893</v>
      </c>
      <c r="AI5803" t="s">
        <v>35132</v>
      </c>
    </row>
    <row r="5804" spans="2:35" ht="195">
      <c r="B5804" s="1">
        <v>45279</v>
      </c>
      <c r="C5804" s="4">
        <v>45279.707638888889</v>
      </c>
      <c r="D5804" t="s">
        <v>2721</v>
      </c>
      <c r="E5804" t="s">
        <v>2722</v>
      </c>
      <c r="F5804">
        <v>2</v>
      </c>
      <c r="G5804" t="s">
        <v>2723</v>
      </c>
      <c r="H5804" t="s">
        <v>39</v>
      </c>
      <c r="I5804" t="s">
        <v>40</v>
      </c>
      <c r="J5804" s="2" t="s">
        <v>41</v>
      </c>
      <c r="K5804" t="s">
        <v>42</v>
      </c>
      <c r="L5804" t="s">
        <v>63</v>
      </c>
      <c r="N5804" t="s">
        <v>64</v>
      </c>
      <c r="Q5804">
        <v>26746</v>
      </c>
      <c r="R5804" t="s">
        <v>45</v>
      </c>
      <c r="S5804" t="s">
        <v>2724</v>
      </c>
      <c r="T5804">
        <v>27</v>
      </c>
      <c r="U5804" s="2" t="s">
        <v>35133</v>
      </c>
      <c r="V5804" s="1">
        <v>45279</v>
      </c>
      <c r="W5804" t="s">
        <v>26915</v>
      </c>
      <c r="X5804">
        <v>834434</v>
      </c>
      <c r="Y5804" t="s">
        <v>35134</v>
      </c>
      <c r="Z5804" s="2" t="s">
        <v>35135</v>
      </c>
      <c r="AA5804" s="2" t="s">
        <v>1727</v>
      </c>
      <c r="AB5804" t="s">
        <v>70</v>
      </c>
      <c r="AC5804" t="s">
        <v>1716</v>
      </c>
      <c r="AD5804" t="s">
        <v>6397</v>
      </c>
      <c r="AE5804" t="s">
        <v>1716</v>
      </c>
      <c r="AG5804" t="s">
        <v>35136</v>
      </c>
      <c r="AH5804" t="s">
        <v>29783</v>
      </c>
      <c r="AI5804" t="s">
        <v>35137</v>
      </c>
    </row>
    <row r="5805" spans="2:35" ht="195">
      <c r="B5805" s="1">
        <v>45279</v>
      </c>
      <c r="C5805" s="4">
        <v>45279.686111111114</v>
      </c>
      <c r="D5805" t="s">
        <v>2721</v>
      </c>
      <c r="E5805" t="s">
        <v>2722</v>
      </c>
      <c r="F5805">
        <v>2</v>
      </c>
      <c r="G5805" t="s">
        <v>2723</v>
      </c>
      <c r="H5805" t="s">
        <v>39</v>
      </c>
      <c r="I5805" t="s">
        <v>40</v>
      </c>
      <c r="J5805" s="2" t="s">
        <v>30202</v>
      </c>
      <c r="K5805" t="s">
        <v>42</v>
      </c>
      <c r="L5805" t="s">
        <v>63</v>
      </c>
      <c r="N5805" t="s">
        <v>64</v>
      </c>
      <c r="Q5805">
        <v>26745</v>
      </c>
      <c r="R5805" t="s">
        <v>45</v>
      </c>
      <c r="S5805" t="s">
        <v>2724</v>
      </c>
      <c r="T5805">
        <v>27</v>
      </c>
      <c r="U5805" s="2" t="s">
        <v>35138</v>
      </c>
      <c r="V5805" s="1">
        <v>45279</v>
      </c>
      <c r="W5805" t="s">
        <v>26915</v>
      </c>
      <c r="X5805">
        <v>842894</v>
      </c>
      <c r="Y5805" t="s">
        <v>35139</v>
      </c>
      <c r="Z5805" s="2" t="s">
        <v>35140</v>
      </c>
      <c r="AA5805" s="2" t="s">
        <v>1727</v>
      </c>
      <c r="AB5805" t="s">
        <v>70</v>
      </c>
      <c r="AC5805" t="s">
        <v>35141</v>
      </c>
      <c r="AD5805" t="s">
        <v>6397</v>
      </c>
      <c r="AE5805" t="s">
        <v>1716</v>
      </c>
      <c r="AG5805" t="s">
        <v>35142</v>
      </c>
      <c r="AH5805" t="s">
        <v>29783</v>
      </c>
      <c r="AI5805" t="s">
        <v>35143</v>
      </c>
    </row>
    <row r="5806" spans="2:35" ht="60">
      <c r="B5806" s="1">
        <v>45279</v>
      </c>
      <c r="C5806" s="4">
        <v>45279.679861111108</v>
      </c>
      <c r="D5806" t="s">
        <v>35144</v>
      </c>
      <c r="E5806" t="s">
        <v>35145</v>
      </c>
      <c r="F5806" t="s">
        <v>148</v>
      </c>
      <c r="G5806" t="s">
        <v>447</v>
      </c>
      <c r="H5806" t="s">
        <v>39</v>
      </c>
      <c r="I5806" t="s">
        <v>94</v>
      </c>
      <c r="J5806" s="2" t="s">
        <v>35146</v>
      </c>
      <c r="K5806" t="s">
        <v>26778</v>
      </c>
      <c r="L5806" t="s">
        <v>857</v>
      </c>
      <c r="N5806" t="s">
        <v>858</v>
      </c>
      <c r="Q5806">
        <v>26744</v>
      </c>
      <c r="R5806" t="s">
        <v>95</v>
      </c>
      <c r="S5806" t="s">
        <v>35147</v>
      </c>
      <c r="T5806">
        <v>25</v>
      </c>
      <c r="V5806" s="1">
        <v>45278</v>
      </c>
      <c r="W5806" t="s">
        <v>35148</v>
      </c>
      <c r="X5806">
        <v>6220.4121999999998</v>
      </c>
      <c r="Y5806" t="s">
        <v>35149</v>
      </c>
      <c r="Z5806" t="s">
        <v>35150</v>
      </c>
      <c r="AA5806" t="s">
        <v>35151</v>
      </c>
      <c r="AB5806" t="s">
        <v>181</v>
      </c>
      <c r="AD5806" t="s">
        <v>35152</v>
      </c>
      <c r="AE5806" t="s">
        <v>35153</v>
      </c>
      <c r="AG5806" t="s">
        <v>35154</v>
      </c>
      <c r="AH5806" t="s">
        <v>35155</v>
      </c>
      <c r="AI5806" t="s">
        <v>35156</v>
      </c>
    </row>
    <row r="5807" spans="2:35" ht="300">
      <c r="B5807" s="1">
        <v>45279</v>
      </c>
      <c r="C5807" s="4">
        <v>45279.670138888891</v>
      </c>
      <c r="D5807" t="s">
        <v>1885</v>
      </c>
      <c r="E5807" t="s">
        <v>2136</v>
      </c>
      <c r="F5807" t="s">
        <v>1255</v>
      </c>
      <c r="G5807" t="s">
        <v>1887</v>
      </c>
      <c r="H5807" t="s">
        <v>295</v>
      </c>
      <c r="I5807" t="s">
        <v>94</v>
      </c>
      <c r="J5807" s="2" t="s">
        <v>190</v>
      </c>
      <c r="K5807" t="s">
        <v>42</v>
      </c>
      <c r="L5807" t="s">
        <v>296</v>
      </c>
      <c r="N5807" t="s">
        <v>297</v>
      </c>
      <c r="Q5807">
        <v>26743</v>
      </c>
      <c r="R5807" t="s">
        <v>45</v>
      </c>
      <c r="S5807" t="s">
        <v>1888</v>
      </c>
      <c r="T5807">
        <v>25.4</v>
      </c>
      <c r="U5807" s="2" t="s">
        <v>35157</v>
      </c>
      <c r="W5807" t="s">
        <v>23049</v>
      </c>
      <c r="X5807">
        <v>834441</v>
      </c>
      <c r="Y5807" t="s">
        <v>29356</v>
      </c>
      <c r="Z5807" s="2" t="s">
        <v>35158</v>
      </c>
      <c r="AA5807" t="s">
        <v>303</v>
      </c>
      <c r="AB5807" t="s">
        <v>972</v>
      </c>
      <c r="AC5807" t="s">
        <v>35159</v>
      </c>
      <c r="AG5807" t="s">
        <v>35160</v>
      </c>
      <c r="AH5807" t="s">
        <v>35161</v>
      </c>
      <c r="AI5807" t="s">
        <v>35162</v>
      </c>
    </row>
    <row r="5808" spans="2:35" ht="180">
      <c r="B5808" s="1">
        <v>45279</v>
      </c>
      <c r="C5808" s="4">
        <v>45279.67291666667</v>
      </c>
      <c r="D5808" t="s">
        <v>1885</v>
      </c>
      <c r="E5808" t="s">
        <v>2136</v>
      </c>
      <c r="F5808" t="s">
        <v>1255</v>
      </c>
      <c r="G5808" t="s">
        <v>1887</v>
      </c>
      <c r="H5808" t="s">
        <v>295</v>
      </c>
      <c r="I5808" t="s">
        <v>94</v>
      </c>
      <c r="J5808" t="s">
        <v>109</v>
      </c>
      <c r="K5808" t="s">
        <v>42</v>
      </c>
      <c r="L5808" t="s">
        <v>296</v>
      </c>
      <c r="N5808" t="s">
        <v>297</v>
      </c>
      <c r="Q5808">
        <v>26742</v>
      </c>
      <c r="R5808" t="s">
        <v>45</v>
      </c>
      <c r="S5808" t="s">
        <v>1888</v>
      </c>
      <c r="T5808">
        <v>25.3</v>
      </c>
      <c r="U5808" s="2" t="s">
        <v>35157</v>
      </c>
      <c r="W5808" t="s">
        <v>23049</v>
      </c>
      <c r="X5808">
        <v>834442</v>
      </c>
      <c r="Y5808" t="s">
        <v>54</v>
      </c>
      <c r="Z5808" s="2" t="s">
        <v>35163</v>
      </c>
      <c r="AA5808" t="s">
        <v>9161</v>
      </c>
      <c r="AB5808" t="s">
        <v>972</v>
      </c>
      <c r="AG5808" t="s">
        <v>35164</v>
      </c>
      <c r="AH5808" t="s">
        <v>35165</v>
      </c>
      <c r="AI5808" t="s">
        <v>35166</v>
      </c>
    </row>
    <row r="5809" spans="2:35" ht="390">
      <c r="B5809" s="1">
        <v>45279</v>
      </c>
      <c r="C5809" s="4">
        <v>45279.663888888892</v>
      </c>
      <c r="D5809" t="s">
        <v>1885</v>
      </c>
      <c r="E5809" t="s">
        <v>2136</v>
      </c>
      <c r="F5809" t="s">
        <v>1255</v>
      </c>
      <c r="G5809" t="s">
        <v>1887</v>
      </c>
      <c r="H5809" t="s">
        <v>295</v>
      </c>
      <c r="I5809" t="s">
        <v>40</v>
      </c>
      <c r="J5809" s="2" t="s">
        <v>41</v>
      </c>
      <c r="K5809" t="s">
        <v>42</v>
      </c>
      <c r="L5809" t="s">
        <v>296</v>
      </c>
      <c r="N5809" t="s">
        <v>297</v>
      </c>
      <c r="Q5809">
        <v>26741</v>
      </c>
      <c r="R5809" t="s">
        <v>119</v>
      </c>
      <c r="S5809" t="s">
        <v>1888</v>
      </c>
      <c r="T5809">
        <v>22.7</v>
      </c>
      <c r="U5809" s="2" t="s">
        <v>35157</v>
      </c>
      <c r="V5809" s="1">
        <v>45279</v>
      </c>
      <c r="W5809" t="s">
        <v>23049</v>
      </c>
      <c r="X5809">
        <v>837662</v>
      </c>
      <c r="Y5809" t="s">
        <v>35167</v>
      </c>
      <c r="Z5809" s="2" t="s">
        <v>35168</v>
      </c>
      <c r="AA5809" t="s">
        <v>35169</v>
      </c>
      <c r="AB5809" t="s">
        <v>972</v>
      </c>
      <c r="AD5809" t="s">
        <v>35170</v>
      </c>
      <c r="AE5809" t="s">
        <v>35171</v>
      </c>
      <c r="AG5809" t="s">
        <v>35172</v>
      </c>
      <c r="AH5809" t="s">
        <v>35161</v>
      </c>
      <c r="AI5809" t="s">
        <v>35173</v>
      </c>
    </row>
    <row r="5810" spans="2:35" ht="409.5">
      <c r="B5810" s="1">
        <v>45279</v>
      </c>
      <c r="C5810" s="4">
        <v>45266.529166666667</v>
      </c>
      <c r="D5810" t="s">
        <v>976</v>
      </c>
      <c r="E5810" t="s">
        <v>35174</v>
      </c>
      <c r="F5810">
        <v>12</v>
      </c>
      <c r="G5810" t="s">
        <v>978</v>
      </c>
      <c r="H5810" t="s">
        <v>1473</v>
      </c>
      <c r="I5810" t="s">
        <v>40</v>
      </c>
      <c r="J5810" s="2" t="s">
        <v>30202</v>
      </c>
      <c r="K5810" t="s">
        <v>42</v>
      </c>
      <c r="L5810" t="s">
        <v>296</v>
      </c>
      <c r="N5810" t="s">
        <v>297</v>
      </c>
      <c r="Q5810">
        <v>26740</v>
      </c>
      <c r="R5810" t="s">
        <v>119</v>
      </c>
      <c r="S5810" t="s">
        <v>26910</v>
      </c>
      <c r="T5810">
        <v>24.3</v>
      </c>
      <c r="U5810" s="2" t="s">
        <v>35175</v>
      </c>
      <c r="V5810" s="1">
        <v>45266</v>
      </c>
      <c r="W5810" t="s">
        <v>23049</v>
      </c>
      <c r="X5810">
        <v>838543</v>
      </c>
      <c r="Y5810" t="s">
        <v>35176</v>
      </c>
      <c r="Z5810" s="2" t="s">
        <v>35177</v>
      </c>
      <c r="AA5810" s="2" t="s">
        <v>35178</v>
      </c>
      <c r="AB5810" t="s">
        <v>972</v>
      </c>
      <c r="AD5810" t="s">
        <v>35179</v>
      </c>
      <c r="AE5810" t="s">
        <v>35180</v>
      </c>
      <c r="AG5810" t="s">
        <v>35181</v>
      </c>
      <c r="AH5810" t="s">
        <v>35182</v>
      </c>
      <c r="AI5810" t="s">
        <v>35183</v>
      </c>
    </row>
    <row r="5811" spans="2:35" ht="409.5">
      <c r="B5811" s="1">
        <v>45279</v>
      </c>
      <c r="C5811" s="4">
        <v>45279.629166666666</v>
      </c>
      <c r="D5811" t="s">
        <v>11445</v>
      </c>
      <c r="E5811" t="s">
        <v>35184</v>
      </c>
      <c r="F5811">
        <v>6</v>
      </c>
      <c r="G5811" t="s">
        <v>1234</v>
      </c>
      <c r="H5811" t="s">
        <v>35185</v>
      </c>
      <c r="I5811" t="s">
        <v>40</v>
      </c>
      <c r="J5811" t="s">
        <v>996</v>
      </c>
      <c r="K5811" t="s">
        <v>42</v>
      </c>
      <c r="L5811" t="s">
        <v>23958</v>
      </c>
      <c r="N5811" t="s">
        <v>23959</v>
      </c>
      <c r="Q5811">
        <v>26739</v>
      </c>
      <c r="R5811" t="s">
        <v>95</v>
      </c>
      <c r="S5811" t="s">
        <v>35186</v>
      </c>
      <c r="T5811">
        <v>4</v>
      </c>
      <c r="U5811" s="2" t="s">
        <v>35187</v>
      </c>
      <c r="W5811" t="s">
        <v>4639</v>
      </c>
      <c r="X5811">
        <v>110005268</v>
      </c>
      <c r="Y5811" t="s">
        <v>301</v>
      </c>
      <c r="Z5811" t="s">
        <v>35188</v>
      </c>
      <c r="AA5811" t="s">
        <v>30018</v>
      </c>
      <c r="AB5811" t="s">
        <v>35189</v>
      </c>
      <c r="AG5811" t="s">
        <v>35190</v>
      </c>
      <c r="AH5811" t="s">
        <v>35191</v>
      </c>
      <c r="AI5811" t="s">
        <v>35192</v>
      </c>
    </row>
    <row r="5812" spans="2:35" ht="409.5">
      <c r="B5812" s="1">
        <v>45279</v>
      </c>
      <c r="C5812" s="4">
        <v>45279.59097222222</v>
      </c>
      <c r="D5812" t="s">
        <v>8429</v>
      </c>
      <c r="E5812" t="s">
        <v>8430</v>
      </c>
      <c r="F5812">
        <v>11</v>
      </c>
      <c r="G5812" t="s">
        <v>1205</v>
      </c>
      <c r="H5812" t="s">
        <v>202</v>
      </c>
      <c r="I5812" t="s">
        <v>40</v>
      </c>
      <c r="J5812" s="2" t="s">
        <v>1309</v>
      </c>
      <c r="K5812" t="s">
        <v>42</v>
      </c>
      <c r="L5812" t="s">
        <v>204</v>
      </c>
      <c r="N5812" t="s">
        <v>205</v>
      </c>
      <c r="Q5812">
        <v>26738</v>
      </c>
      <c r="R5812" t="s">
        <v>119</v>
      </c>
      <c r="S5812" t="s">
        <v>8431</v>
      </c>
      <c r="T5812">
        <v>28.6</v>
      </c>
      <c r="U5812" s="2" t="s">
        <v>35193</v>
      </c>
      <c r="V5812" s="1">
        <v>45253</v>
      </c>
      <c r="W5812" t="s">
        <v>23237</v>
      </c>
      <c r="X5812">
        <v>838456</v>
      </c>
      <c r="Y5812" t="s">
        <v>35194</v>
      </c>
      <c r="Z5812" s="2" t="s">
        <v>35195</v>
      </c>
      <c r="AA5812" t="s">
        <v>35196</v>
      </c>
      <c r="AB5812" t="s">
        <v>35197</v>
      </c>
      <c r="AC5812" t="s">
        <v>35198</v>
      </c>
      <c r="AD5812" t="s">
        <v>10253</v>
      </c>
      <c r="AE5812" t="s">
        <v>35199</v>
      </c>
      <c r="AG5812" t="s">
        <v>35200</v>
      </c>
      <c r="AH5812" t="s">
        <v>35201</v>
      </c>
      <c r="AI5812" t="s">
        <v>35202</v>
      </c>
    </row>
    <row r="5813" spans="2:35" ht="120">
      <c r="B5813" s="1">
        <v>45279</v>
      </c>
      <c r="C5813" s="4">
        <v>45279.581250000003</v>
      </c>
      <c r="D5813" t="s">
        <v>24045</v>
      </c>
      <c r="E5813" t="s">
        <v>35203</v>
      </c>
      <c r="F5813" t="s">
        <v>148</v>
      </c>
      <c r="G5813" t="s">
        <v>406</v>
      </c>
      <c r="H5813" t="s">
        <v>39</v>
      </c>
      <c r="I5813" t="s">
        <v>40</v>
      </c>
      <c r="J5813" s="2" t="s">
        <v>41</v>
      </c>
      <c r="K5813" t="s">
        <v>42</v>
      </c>
      <c r="L5813" t="s">
        <v>15532</v>
      </c>
      <c r="N5813" t="s">
        <v>15533</v>
      </c>
      <c r="Q5813">
        <v>26737</v>
      </c>
      <c r="R5813" t="s">
        <v>45</v>
      </c>
      <c r="S5813" t="s">
        <v>22391</v>
      </c>
      <c r="T5813">
        <v>25</v>
      </c>
      <c r="U5813" s="2" t="s">
        <v>35204</v>
      </c>
      <c r="V5813" s="1">
        <v>45278</v>
      </c>
      <c r="W5813" t="s">
        <v>15535</v>
      </c>
      <c r="X5813">
        <v>838858</v>
      </c>
      <c r="Y5813" t="s">
        <v>24299</v>
      </c>
      <c r="Z5813" s="2" t="s">
        <v>35205</v>
      </c>
      <c r="AA5813" s="2" t="s">
        <v>35206</v>
      </c>
      <c r="AB5813" t="s">
        <v>35207</v>
      </c>
      <c r="AD5813" t="s">
        <v>15847</v>
      </c>
      <c r="AE5813" t="s">
        <v>35208</v>
      </c>
      <c r="AG5813" t="s">
        <v>35209</v>
      </c>
      <c r="AH5813" t="s">
        <v>35210</v>
      </c>
      <c r="AI5813" t="s">
        <v>35211</v>
      </c>
    </row>
    <row r="5814" spans="2:35" ht="105">
      <c r="B5814" s="1">
        <v>45279</v>
      </c>
      <c r="C5814" s="4">
        <v>45279.504166666666</v>
      </c>
      <c r="D5814" t="s">
        <v>17485</v>
      </c>
      <c r="E5814" t="s">
        <v>17486</v>
      </c>
      <c r="F5814">
        <v>10</v>
      </c>
      <c r="G5814" t="s">
        <v>8359</v>
      </c>
      <c r="H5814" t="s">
        <v>2125</v>
      </c>
      <c r="I5814" t="s">
        <v>40</v>
      </c>
      <c r="J5814" s="2" t="s">
        <v>41</v>
      </c>
      <c r="K5814" t="s">
        <v>42</v>
      </c>
      <c r="L5814" t="s">
        <v>933</v>
      </c>
      <c r="N5814" t="s">
        <v>934</v>
      </c>
      <c r="Q5814">
        <v>26736</v>
      </c>
      <c r="R5814" t="s">
        <v>119</v>
      </c>
      <c r="S5814" t="s">
        <v>17487</v>
      </c>
      <c r="T5814">
        <v>25.55</v>
      </c>
      <c r="U5814" s="2" t="s">
        <v>18339</v>
      </c>
      <c r="V5814" s="1">
        <v>45251</v>
      </c>
      <c r="W5814" t="s">
        <v>3662</v>
      </c>
      <c r="X5814">
        <v>838571</v>
      </c>
      <c r="Y5814" t="s">
        <v>35212</v>
      </c>
      <c r="Z5814" t="s">
        <v>301</v>
      </c>
      <c r="AA5814" t="s">
        <v>35213</v>
      </c>
      <c r="AB5814" t="s">
        <v>2131</v>
      </c>
      <c r="AD5814" t="s">
        <v>12145</v>
      </c>
      <c r="AE5814" t="s">
        <v>35214</v>
      </c>
      <c r="AG5814" t="s">
        <v>35215</v>
      </c>
      <c r="AH5814" t="s">
        <v>35216</v>
      </c>
      <c r="AI5814" t="s">
        <v>35217</v>
      </c>
    </row>
    <row r="5815" spans="2:35" ht="225">
      <c r="B5815" s="1">
        <v>45279</v>
      </c>
      <c r="C5815" s="4">
        <v>45279.411805555559</v>
      </c>
      <c r="D5815" t="s">
        <v>27463</v>
      </c>
      <c r="E5815" t="s">
        <v>27464</v>
      </c>
      <c r="F5815" t="s">
        <v>148</v>
      </c>
      <c r="G5815" t="s">
        <v>310</v>
      </c>
      <c r="H5815" t="s">
        <v>39</v>
      </c>
      <c r="I5815" t="s">
        <v>40</v>
      </c>
      <c r="J5815" s="2" t="s">
        <v>190</v>
      </c>
      <c r="K5815" t="s">
        <v>42</v>
      </c>
      <c r="L5815" t="s">
        <v>15532</v>
      </c>
      <c r="N5815" t="s">
        <v>15533</v>
      </c>
      <c r="Q5815">
        <v>26735</v>
      </c>
      <c r="R5815" t="s">
        <v>119</v>
      </c>
      <c r="S5815" t="s">
        <v>27465</v>
      </c>
      <c r="T5815">
        <v>27</v>
      </c>
      <c r="U5815" s="2" t="s">
        <v>35218</v>
      </c>
      <c r="W5815" t="s">
        <v>15535</v>
      </c>
      <c r="X5815">
        <v>831843</v>
      </c>
      <c r="Y5815" t="s">
        <v>35219</v>
      </c>
      <c r="Z5815" s="2" t="s">
        <v>35220</v>
      </c>
      <c r="AA5815" t="s">
        <v>35221</v>
      </c>
      <c r="AB5815" s="2" t="s">
        <v>23089</v>
      </c>
      <c r="AC5815" t="s">
        <v>35018</v>
      </c>
      <c r="AG5815" t="s">
        <v>35222</v>
      </c>
      <c r="AH5815" t="s">
        <v>27472</v>
      </c>
      <c r="AI5815" t="s">
        <v>35223</v>
      </c>
    </row>
    <row r="5816" spans="2:35" ht="255">
      <c r="B5816" s="1">
        <v>45279</v>
      </c>
      <c r="C5816" s="4">
        <v>45279.414583333331</v>
      </c>
      <c r="D5816" t="s">
        <v>8684</v>
      </c>
      <c r="E5816" t="s">
        <v>27512</v>
      </c>
      <c r="F5816">
        <v>3</v>
      </c>
      <c r="G5816" t="s">
        <v>284</v>
      </c>
      <c r="H5816" t="s">
        <v>39</v>
      </c>
      <c r="I5816" t="s">
        <v>40</v>
      </c>
      <c r="J5816" s="2" t="s">
        <v>220</v>
      </c>
      <c r="K5816" t="s">
        <v>42</v>
      </c>
      <c r="L5816" t="s">
        <v>135</v>
      </c>
      <c r="N5816" t="s">
        <v>136</v>
      </c>
      <c r="Q5816">
        <v>26734</v>
      </c>
      <c r="R5816" t="s">
        <v>119</v>
      </c>
      <c r="S5816" t="s">
        <v>27513</v>
      </c>
      <c r="T5816">
        <v>27</v>
      </c>
      <c r="U5816" s="2" t="s">
        <v>7532</v>
      </c>
      <c r="V5816" s="1">
        <v>45275</v>
      </c>
      <c r="W5816" t="s">
        <v>2680</v>
      </c>
      <c r="X5816">
        <v>831613</v>
      </c>
      <c r="Y5816" t="s">
        <v>35224</v>
      </c>
      <c r="Z5816" s="2" t="s">
        <v>29539</v>
      </c>
      <c r="AA5816" s="2" t="s">
        <v>32304</v>
      </c>
      <c r="AB5816" t="s">
        <v>181</v>
      </c>
      <c r="AC5816" t="s">
        <v>35225</v>
      </c>
      <c r="AD5816" t="s">
        <v>1189</v>
      </c>
      <c r="AE5816">
        <v>10958</v>
      </c>
      <c r="AG5816" t="s">
        <v>35226</v>
      </c>
      <c r="AH5816" t="s">
        <v>33660</v>
      </c>
      <c r="AI5816" t="s">
        <v>35227</v>
      </c>
    </row>
    <row r="5817" spans="2:35" ht="45">
      <c r="B5817" s="1">
        <v>45279</v>
      </c>
      <c r="C5817" s="4">
        <v>45279.34652777778</v>
      </c>
      <c r="D5817" t="s">
        <v>1284</v>
      </c>
      <c r="E5817" t="s">
        <v>35228</v>
      </c>
      <c r="F5817">
        <v>6</v>
      </c>
      <c r="G5817" t="s">
        <v>1286</v>
      </c>
      <c r="H5817" t="s">
        <v>39</v>
      </c>
      <c r="I5817" t="s">
        <v>40</v>
      </c>
      <c r="J5817" s="2" t="s">
        <v>1370</v>
      </c>
      <c r="K5817" t="s">
        <v>42</v>
      </c>
      <c r="L5817" t="s">
        <v>433</v>
      </c>
      <c r="N5817" t="s">
        <v>434</v>
      </c>
      <c r="Q5817">
        <v>26733</v>
      </c>
      <c r="R5817" t="s">
        <v>45</v>
      </c>
      <c r="S5817" t="s">
        <v>31167</v>
      </c>
      <c r="T5817">
        <v>28</v>
      </c>
      <c r="W5817" t="s">
        <v>34318</v>
      </c>
      <c r="X5817">
        <v>839316</v>
      </c>
      <c r="Y5817" t="s">
        <v>35229</v>
      </c>
      <c r="Z5817" t="s">
        <v>35230</v>
      </c>
      <c r="AA5817" t="s">
        <v>35230</v>
      </c>
      <c r="AB5817" t="s">
        <v>35231</v>
      </c>
      <c r="AG5817" t="s">
        <v>35232</v>
      </c>
      <c r="AH5817" t="s">
        <v>31171</v>
      </c>
      <c r="AI5817" t="s">
        <v>35233</v>
      </c>
    </row>
    <row r="5818" spans="2:35" ht="270">
      <c r="B5818" s="1">
        <v>45279</v>
      </c>
      <c r="C5818" s="4">
        <v>45279.336805555555</v>
      </c>
      <c r="D5818" t="s">
        <v>3357</v>
      </c>
      <c r="E5818" t="s">
        <v>27224</v>
      </c>
      <c r="F5818">
        <v>3</v>
      </c>
      <c r="G5818" t="s">
        <v>134</v>
      </c>
      <c r="H5818" t="s">
        <v>39</v>
      </c>
      <c r="I5818" t="s">
        <v>40</v>
      </c>
      <c r="J5818" s="2" t="s">
        <v>220</v>
      </c>
      <c r="K5818" t="s">
        <v>42</v>
      </c>
      <c r="L5818" t="s">
        <v>135</v>
      </c>
      <c r="N5818" t="s">
        <v>136</v>
      </c>
      <c r="Q5818">
        <v>26732</v>
      </c>
      <c r="R5818" t="s">
        <v>119</v>
      </c>
      <c r="S5818" t="s">
        <v>3359</v>
      </c>
      <c r="T5818">
        <v>26</v>
      </c>
      <c r="U5818" s="2" t="s">
        <v>35234</v>
      </c>
      <c r="V5818" s="1">
        <v>45275</v>
      </c>
      <c r="W5818" t="s">
        <v>2680</v>
      </c>
      <c r="X5818">
        <v>831912</v>
      </c>
      <c r="Y5818" t="s">
        <v>35235</v>
      </c>
      <c r="Z5818" s="2" t="s">
        <v>35236</v>
      </c>
      <c r="AA5818" s="2" t="s">
        <v>35237</v>
      </c>
      <c r="AB5818" t="s">
        <v>181</v>
      </c>
      <c r="AD5818" t="s">
        <v>35238</v>
      </c>
      <c r="AE5818" t="s">
        <v>35239</v>
      </c>
      <c r="AG5818" t="s">
        <v>35240</v>
      </c>
      <c r="AH5818" t="s">
        <v>3362</v>
      </c>
      <c r="AI5818" t="s">
        <v>35241</v>
      </c>
    </row>
    <row r="5819" spans="2:35" ht="90">
      <c r="B5819" s="1">
        <v>45278</v>
      </c>
      <c r="C5819" s="4">
        <v>45278.8</v>
      </c>
      <c r="D5819" t="s">
        <v>7859</v>
      </c>
      <c r="E5819" t="s">
        <v>35242</v>
      </c>
      <c r="F5819">
        <v>6</v>
      </c>
      <c r="G5819" t="s">
        <v>1286</v>
      </c>
      <c r="H5819" t="s">
        <v>35243</v>
      </c>
      <c r="I5819" t="s">
        <v>40</v>
      </c>
      <c r="J5819" s="2" t="s">
        <v>355</v>
      </c>
      <c r="K5819" t="s">
        <v>42</v>
      </c>
      <c r="L5819" t="s">
        <v>433</v>
      </c>
      <c r="N5819" t="s">
        <v>434</v>
      </c>
      <c r="Q5819">
        <v>26731</v>
      </c>
      <c r="R5819" t="s">
        <v>45</v>
      </c>
      <c r="S5819" t="s">
        <v>22494</v>
      </c>
      <c r="T5819">
        <v>34</v>
      </c>
      <c r="W5819" t="s">
        <v>1008</v>
      </c>
      <c r="X5819">
        <v>707531</v>
      </c>
      <c r="Y5819" t="s">
        <v>35244</v>
      </c>
      <c r="Z5819" t="s">
        <v>35245</v>
      </c>
      <c r="AA5819" t="s">
        <v>35246</v>
      </c>
      <c r="AB5819" t="s">
        <v>35247</v>
      </c>
      <c r="AG5819" t="s">
        <v>35248</v>
      </c>
      <c r="AH5819" t="s">
        <v>33534</v>
      </c>
      <c r="AI5819" t="s">
        <v>35249</v>
      </c>
    </row>
    <row r="5820" spans="2:35" ht="300">
      <c r="B5820" s="1">
        <v>45278</v>
      </c>
      <c r="C5820" s="4">
        <v>45278.793749999997</v>
      </c>
      <c r="D5820" t="s">
        <v>23894</v>
      </c>
      <c r="E5820" t="s">
        <v>35250</v>
      </c>
      <c r="F5820">
        <v>11</v>
      </c>
      <c r="G5820" t="s">
        <v>1205</v>
      </c>
      <c r="H5820" t="s">
        <v>202</v>
      </c>
      <c r="I5820" t="s">
        <v>94</v>
      </c>
      <c r="J5820" s="2" t="s">
        <v>355</v>
      </c>
      <c r="K5820" t="s">
        <v>42</v>
      </c>
      <c r="L5820" t="s">
        <v>204</v>
      </c>
      <c r="N5820" t="s">
        <v>205</v>
      </c>
      <c r="Q5820">
        <v>26730</v>
      </c>
      <c r="R5820" t="s">
        <v>45</v>
      </c>
      <c r="S5820" t="s">
        <v>22411</v>
      </c>
      <c r="T5820">
        <v>21.5</v>
      </c>
      <c r="W5820" t="s">
        <v>23237</v>
      </c>
      <c r="X5820">
        <v>804835</v>
      </c>
      <c r="Y5820" t="s">
        <v>35251</v>
      </c>
      <c r="Z5820" s="2" t="s">
        <v>35252</v>
      </c>
      <c r="AA5820" t="s">
        <v>35253</v>
      </c>
      <c r="AB5820" t="s">
        <v>35254</v>
      </c>
      <c r="AC5820" t="s">
        <v>35255</v>
      </c>
      <c r="AG5820" t="s">
        <v>35256</v>
      </c>
      <c r="AH5820" t="s">
        <v>23902</v>
      </c>
      <c r="AI5820" t="s">
        <v>35257</v>
      </c>
    </row>
    <row r="5821" spans="2:35" ht="210">
      <c r="B5821" s="1">
        <v>45278</v>
      </c>
      <c r="C5821" s="4">
        <v>45278.384722222225</v>
      </c>
      <c r="D5821" t="s">
        <v>3604</v>
      </c>
      <c r="E5821" t="s">
        <v>35258</v>
      </c>
      <c r="F5821" t="s">
        <v>148</v>
      </c>
      <c r="G5821" t="s">
        <v>2007</v>
      </c>
      <c r="H5821" t="s">
        <v>39</v>
      </c>
      <c r="I5821" t="s">
        <v>40</v>
      </c>
      <c r="J5821" t="s">
        <v>109</v>
      </c>
      <c r="K5821" t="s">
        <v>42</v>
      </c>
      <c r="L5821" t="s">
        <v>43</v>
      </c>
      <c r="N5821" t="s">
        <v>44</v>
      </c>
      <c r="Q5821">
        <v>26729</v>
      </c>
      <c r="R5821" t="s">
        <v>45</v>
      </c>
      <c r="S5821" t="s">
        <v>2312</v>
      </c>
      <c r="T5821">
        <v>24</v>
      </c>
      <c r="U5821" s="2" t="s">
        <v>35259</v>
      </c>
      <c r="W5821" t="s">
        <v>48</v>
      </c>
      <c r="X5821">
        <v>838875</v>
      </c>
      <c r="Y5821" t="s">
        <v>121</v>
      </c>
      <c r="Z5821" t="s">
        <v>122</v>
      </c>
      <c r="AA5821" s="2" t="s">
        <v>33688</v>
      </c>
      <c r="AB5821" t="s">
        <v>88</v>
      </c>
      <c r="AG5821" t="s">
        <v>35260</v>
      </c>
      <c r="AH5821" t="s">
        <v>34084</v>
      </c>
      <c r="AI5821" t="s">
        <v>35261</v>
      </c>
    </row>
    <row r="5822" spans="2:35" ht="240">
      <c r="B5822" s="1">
        <v>45278</v>
      </c>
      <c r="C5822" s="4">
        <v>45278.382638888892</v>
      </c>
      <c r="D5822" t="s">
        <v>3604</v>
      </c>
      <c r="E5822" t="s">
        <v>35258</v>
      </c>
      <c r="F5822" t="s">
        <v>148</v>
      </c>
      <c r="G5822" t="s">
        <v>2007</v>
      </c>
      <c r="H5822" t="s">
        <v>39</v>
      </c>
      <c r="I5822" t="s">
        <v>40</v>
      </c>
      <c r="J5822" t="s">
        <v>583</v>
      </c>
      <c r="K5822" t="s">
        <v>42</v>
      </c>
      <c r="L5822" t="s">
        <v>43</v>
      </c>
      <c r="N5822" t="s">
        <v>44</v>
      </c>
      <c r="Q5822">
        <v>26728</v>
      </c>
      <c r="R5822" t="s">
        <v>119</v>
      </c>
      <c r="S5822" t="s">
        <v>2312</v>
      </c>
      <c r="T5822">
        <v>54</v>
      </c>
      <c r="W5822" t="s">
        <v>48</v>
      </c>
      <c r="X5822">
        <v>831875</v>
      </c>
      <c r="Y5822" s="2" t="s">
        <v>35262</v>
      </c>
      <c r="Z5822" t="s">
        <v>8743</v>
      </c>
      <c r="AA5822" s="2" t="s">
        <v>35263</v>
      </c>
      <c r="AB5822" t="s">
        <v>35264</v>
      </c>
      <c r="AG5822" t="s">
        <v>35265</v>
      </c>
      <c r="AH5822" t="s">
        <v>34084</v>
      </c>
      <c r="AI5822" t="s">
        <v>35266</v>
      </c>
    </row>
    <row r="5823" spans="2:35">
      <c r="B5823" s="1">
        <v>45278</v>
      </c>
      <c r="C5823" s="4">
        <v>45278.4375</v>
      </c>
      <c r="D5823" t="s">
        <v>22025</v>
      </c>
      <c r="E5823" t="s">
        <v>35267</v>
      </c>
      <c r="F5823" t="s">
        <v>148</v>
      </c>
      <c r="G5823" t="s">
        <v>447</v>
      </c>
      <c r="H5823" t="s">
        <v>5452</v>
      </c>
      <c r="I5823" t="s">
        <v>40</v>
      </c>
      <c r="J5823" t="s">
        <v>79</v>
      </c>
      <c r="K5823" t="s">
        <v>42</v>
      </c>
      <c r="L5823" t="s">
        <v>1943</v>
      </c>
      <c r="N5823" t="s">
        <v>1944</v>
      </c>
      <c r="Q5823">
        <v>26727</v>
      </c>
      <c r="R5823" t="s">
        <v>119</v>
      </c>
      <c r="S5823" t="s">
        <v>81</v>
      </c>
      <c r="T5823">
        <v>25</v>
      </c>
      <c r="W5823" t="s">
        <v>84</v>
      </c>
      <c r="X5823">
        <v>821299</v>
      </c>
      <c r="Y5823" t="s">
        <v>35268</v>
      </c>
      <c r="Z5823" t="s">
        <v>35269</v>
      </c>
      <c r="AA5823" t="s">
        <v>9749</v>
      </c>
      <c r="AB5823" t="s">
        <v>35270</v>
      </c>
      <c r="AG5823" t="s">
        <v>35271</v>
      </c>
      <c r="AH5823" t="s">
        <v>80</v>
      </c>
      <c r="AI5823" t="s">
        <v>35272</v>
      </c>
    </row>
    <row r="5824" spans="2:35" ht="45">
      <c r="B5824" s="1">
        <v>45278</v>
      </c>
      <c r="C5824" s="4">
        <v>45278.313194444447</v>
      </c>
      <c r="D5824" t="s">
        <v>35273</v>
      </c>
      <c r="E5824" t="s">
        <v>11881</v>
      </c>
      <c r="F5824">
        <v>6</v>
      </c>
      <c r="G5824" t="s">
        <v>1234</v>
      </c>
      <c r="H5824" t="s">
        <v>258</v>
      </c>
      <c r="I5824" t="s">
        <v>40</v>
      </c>
      <c r="J5824" s="2" t="s">
        <v>41</v>
      </c>
      <c r="K5824" t="s">
        <v>42</v>
      </c>
      <c r="L5824" t="s">
        <v>270</v>
      </c>
      <c r="N5824" t="s">
        <v>2481</v>
      </c>
      <c r="Q5824">
        <v>26726</v>
      </c>
      <c r="R5824" t="s">
        <v>119</v>
      </c>
      <c r="S5824" t="s">
        <v>35274</v>
      </c>
      <c r="T5824">
        <v>27</v>
      </c>
      <c r="W5824" t="s">
        <v>1292</v>
      </c>
      <c r="X5824">
        <v>838477</v>
      </c>
      <c r="Y5824" t="s">
        <v>35275</v>
      </c>
      <c r="Z5824" t="e">
        <f ca="1">- performed module bay Cleaning, optics Cleaning, _xludf.filter cleaning. ARCHIVE tests.</f>
        <v>#NAME?</v>
      </c>
      <c r="AA5824" t="s">
        <v>35276</v>
      </c>
      <c r="AB5824" t="s">
        <v>35277</v>
      </c>
      <c r="AG5824" t="s">
        <v>35278</v>
      </c>
      <c r="AH5824" t="s">
        <v>35279</v>
      </c>
      <c r="AI5824" t="s">
        <v>35280</v>
      </c>
    </row>
    <row r="5825" spans="2:35" ht="105">
      <c r="B5825" s="1">
        <v>45276</v>
      </c>
      <c r="C5825" s="4">
        <v>45276.613888888889</v>
      </c>
      <c r="D5825" t="s">
        <v>35281</v>
      </c>
      <c r="E5825" t="s">
        <v>35282</v>
      </c>
      <c r="F5825">
        <v>8</v>
      </c>
      <c r="G5825" t="s">
        <v>1789</v>
      </c>
      <c r="H5825" t="s">
        <v>608</v>
      </c>
      <c r="I5825" t="s">
        <v>94</v>
      </c>
      <c r="J5825" t="s">
        <v>79</v>
      </c>
      <c r="K5825" t="s">
        <v>42</v>
      </c>
      <c r="L5825" t="s">
        <v>610</v>
      </c>
      <c r="N5825" t="s">
        <v>611</v>
      </c>
      <c r="Q5825">
        <v>26725</v>
      </c>
      <c r="R5825" t="s">
        <v>45</v>
      </c>
      <c r="S5825" t="s">
        <v>35283</v>
      </c>
      <c r="T5825">
        <v>24</v>
      </c>
      <c r="U5825" s="2" t="s">
        <v>16541</v>
      </c>
      <c r="W5825" t="s">
        <v>360</v>
      </c>
      <c r="X5825">
        <v>815273</v>
      </c>
      <c r="Y5825" t="s">
        <v>35284</v>
      </c>
      <c r="Z5825" t="s">
        <v>35285</v>
      </c>
      <c r="AA5825" t="s">
        <v>35286</v>
      </c>
      <c r="AB5825" t="s">
        <v>35287</v>
      </c>
      <c r="AG5825" t="s">
        <v>35288</v>
      </c>
      <c r="AH5825" t="s">
        <v>35289</v>
      </c>
      <c r="AI5825" t="s">
        <v>35290</v>
      </c>
    </row>
    <row r="5826" spans="2:35" ht="315">
      <c r="B5826" s="1">
        <v>45275</v>
      </c>
      <c r="C5826" s="4">
        <v>45275.430555555555</v>
      </c>
      <c r="D5826" t="s">
        <v>5474</v>
      </c>
      <c r="E5826" t="s">
        <v>4260</v>
      </c>
      <c r="F5826" t="s">
        <v>148</v>
      </c>
      <c r="G5826" t="s">
        <v>2007</v>
      </c>
      <c r="H5826" t="s">
        <v>5476</v>
      </c>
      <c r="I5826" t="s">
        <v>94</v>
      </c>
      <c r="J5826" s="2" t="s">
        <v>31986</v>
      </c>
      <c r="K5826" t="s">
        <v>408</v>
      </c>
      <c r="L5826" t="s">
        <v>448</v>
      </c>
      <c r="N5826" t="s">
        <v>650</v>
      </c>
      <c r="O5826" t="s">
        <v>16098</v>
      </c>
      <c r="P5826" t="s">
        <v>35291</v>
      </c>
      <c r="Q5826">
        <v>26724</v>
      </c>
      <c r="R5826" t="s">
        <v>95</v>
      </c>
      <c r="S5826" t="s">
        <v>35292</v>
      </c>
      <c r="T5826">
        <v>26</v>
      </c>
      <c r="W5826" t="s">
        <v>35293</v>
      </c>
      <c r="X5826">
        <v>797</v>
      </c>
      <c r="Y5826" t="s">
        <v>485</v>
      </c>
      <c r="Z5826" s="2" t="s">
        <v>35294</v>
      </c>
      <c r="AA5826" t="s">
        <v>6997</v>
      </c>
      <c r="AB5826" t="s">
        <v>486</v>
      </c>
      <c r="AG5826" t="s">
        <v>35295</v>
      </c>
      <c r="AH5826" t="s">
        <v>35296</v>
      </c>
      <c r="AI5826" t="s">
        <v>35297</v>
      </c>
    </row>
    <row r="5827" spans="2:35" ht="225">
      <c r="B5827" s="1">
        <v>45273</v>
      </c>
      <c r="C5827" s="4">
        <v>45273.473611111112</v>
      </c>
      <c r="D5827" t="s">
        <v>10170</v>
      </c>
      <c r="E5827" t="s">
        <v>35298</v>
      </c>
      <c r="F5827">
        <v>7</v>
      </c>
      <c r="G5827" t="s">
        <v>432</v>
      </c>
      <c r="H5827" t="s">
        <v>608</v>
      </c>
      <c r="I5827" t="s">
        <v>40</v>
      </c>
      <c r="J5827" t="s">
        <v>109</v>
      </c>
      <c r="K5827" t="s">
        <v>42</v>
      </c>
      <c r="L5827" t="s">
        <v>610</v>
      </c>
      <c r="N5827" t="s">
        <v>611</v>
      </c>
      <c r="Q5827">
        <v>26723</v>
      </c>
      <c r="R5827" t="s">
        <v>119</v>
      </c>
      <c r="S5827" t="s">
        <v>6211</v>
      </c>
      <c r="T5827">
        <v>25</v>
      </c>
      <c r="U5827" s="2" t="s">
        <v>35299</v>
      </c>
      <c r="W5827" t="s">
        <v>360</v>
      </c>
      <c r="X5827">
        <v>838534</v>
      </c>
      <c r="Y5827" t="s">
        <v>35300</v>
      </c>
      <c r="Z5827" t="s">
        <v>35301</v>
      </c>
      <c r="AA5827" s="2" t="s">
        <v>35302</v>
      </c>
      <c r="AB5827" t="s">
        <v>1263</v>
      </c>
      <c r="AG5827" t="s">
        <v>35303</v>
      </c>
      <c r="AH5827" t="s">
        <v>10175</v>
      </c>
      <c r="AI5827" t="s">
        <v>35304</v>
      </c>
    </row>
    <row r="5828" spans="2:35" ht="270">
      <c r="B5828" s="1">
        <v>45272</v>
      </c>
      <c r="C5828" s="4">
        <v>45267.40902777778</v>
      </c>
      <c r="D5828" t="s">
        <v>7803</v>
      </c>
      <c r="E5828" t="s">
        <v>35305</v>
      </c>
      <c r="F5828" t="s">
        <v>148</v>
      </c>
      <c r="G5828" t="s">
        <v>2499</v>
      </c>
      <c r="H5828" t="s">
        <v>39</v>
      </c>
      <c r="I5828" t="s">
        <v>40</v>
      </c>
      <c r="J5828" s="2" t="s">
        <v>190</v>
      </c>
      <c r="K5828" t="s">
        <v>42</v>
      </c>
      <c r="L5828" t="s">
        <v>15532</v>
      </c>
      <c r="N5828" t="s">
        <v>15533</v>
      </c>
      <c r="Q5828">
        <v>26722</v>
      </c>
      <c r="R5828" t="s">
        <v>322</v>
      </c>
      <c r="S5828" t="s">
        <v>35306</v>
      </c>
      <c r="T5828">
        <v>24</v>
      </c>
      <c r="U5828" s="2" t="s">
        <v>35307</v>
      </c>
      <c r="W5828" t="s">
        <v>24467</v>
      </c>
      <c r="X5828">
        <v>845446</v>
      </c>
      <c r="Y5828" t="s">
        <v>35308</v>
      </c>
      <c r="Z5828" s="2" t="s">
        <v>35309</v>
      </c>
      <c r="AA5828" t="s">
        <v>35310</v>
      </c>
      <c r="AB5828" s="2" t="s">
        <v>35311</v>
      </c>
      <c r="AG5828" t="s">
        <v>35312</v>
      </c>
      <c r="AH5828" t="s">
        <v>35313</v>
      </c>
      <c r="AI5828" t="s">
        <v>35314</v>
      </c>
    </row>
    <row r="5829" spans="2:35">
      <c r="B5829" s="1">
        <v>45272</v>
      </c>
      <c r="C5829" s="4">
        <v>45272.395138888889</v>
      </c>
      <c r="D5829" t="s">
        <v>14403</v>
      </c>
      <c r="E5829" t="s">
        <v>35315</v>
      </c>
      <c r="F5829">
        <v>7</v>
      </c>
      <c r="G5829" t="s">
        <v>432</v>
      </c>
      <c r="H5829" t="s">
        <v>2290</v>
      </c>
      <c r="I5829" t="s">
        <v>94</v>
      </c>
      <c r="J5829" t="s">
        <v>79</v>
      </c>
      <c r="K5829" t="s">
        <v>42</v>
      </c>
      <c r="L5829" t="s">
        <v>610</v>
      </c>
      <c r="N5829" t="s">
        <v>611</v>
      </c>
      <c r="Q5829">
        <v>26721</v>
      </c>
      <c r="R5829" t="s">
        <v>45</v>
      </c>
      <c r="S5829" t="s">
        <v>16307</v>
      </c>
      <c r="T5829">
        <v>24</v>
      </c>
      <c r="W5829" t="s">
        <v>502</v>
      </c>
      <c r="X5829">
        <v>808637</v>
      </c>
      <c r="Y5829" t="s">
        <v>35316</v>
      </c>
      <c r="Z5829" t="s">
        <v>35317</v>
      </c>
      <c r="AA5829" t="s">
        <v>35318</v>
      </c>
      <c r="AB5829" t="s">
        <v>35319</v>
      </c>
      <c r="AG5829" t="s">
        <v>35320</v>
      </c>
      <c r="AH5829" t="s">
        <v>35321</v>
      </c>
      <c r="AI5829" t="s">
        <v>35322</v>
      </c>
    </row>
    <row r="5830" spans="2:35" ht="60">
      <c r="B5830" s="1">
        <v>45268</v>
      </c>
      <c r="C5830" s="4">
        <v>45268.577777777777</v>
      </c>
      <c r="D5830" t="s">
        <v>1071</v>
      </c>
      <c r="E5830" t="s">
        <v>35323</v>
      </c>
      <c r="F5830">
        <v>7</v>
      </c>
      <c r="G5830" t="s">
        <v>432</v>
      </c>
      <c r="H5830" t="s">
        <v>608</v>
      </c>
      <c r="I5830" t="s">
        <v>40</v>
      </c>
      <c r="J5830" s="2" t="s">
        <v>760</v>
      </c>
      <c r="K5830" t="s">
        <v>42</v>
      </c>
      <c r="L5830" t="s">
        <v>610</v>
      </c>
      <c r="N5830" t="s">
        <v>611</v>
      </c>
      <c r="Q5830">
        <v>26720</v>
      </c>
      <c r="R5830" t="s">
        <v>119</v>
      </c>
      <c r="S5830" t="s">
        <v>35324</v>
      </c>
      <c r="T5830">
        <v>32</v>
      </c>
      <c r="W5830" t="s">
        <v>35325</v>
      </c>
      <c r="X5830">
        <v>820206</v>
      </c>
      <c r="Y5830">
        <v>3187</v>
      </c>
      <c r="Z5830" t="s">
        <v>35326</v>
      </c>
      <c r="AA5830" t="s">
        <v>35327</v>
      </c>
      <c r="AB5830" t="s">
        <v>35328</v>
      </c>
      <c r="AG5830" t="s">
        <v>35329</v>
      </c>
      <c r="AH5830" t="s">
        <v>35330</v>
      </c>
      <c r="AI5830" t="s">
        <v>35331</v>
      </c>
    </row>
    <row r="5831" spans="2:35" ht="195">
      <c r="B5831" s="1">
        <v>45267</v>
      </c>
      <c r="C5831" s="4">
        <v>45267.677083333336</v>
      </c>
      <c r="D5831" t="s">
        <v>35332</v>
      </c>
      <c r="E5831" t="s">
        <v>35333</v>
      </c>
      <c r="F5831" t="s">
        <v>148</v>
      </c>
      <c r="G5831" t="s">
        <v>447</v>
      </c>
      <c r="H5831" t="s">
        <v>6150</v>
      </c>
      <c r="I5831" t="s">
        <v>94</v>
      </c>
      <c r="J5831" s="2" t="s">
        <v>9961</v>
      </c>
      <c r="K5831" t="s">
        <v>2629</v>
      </c>
      <c r="L5831" t="s">
        <v>43</v>
      </c>
      <c r="N5831" t="s">
        <v>44</v>
      </c>
      <c r="Q5831">
        <v>26719</v>
      </c>
      <c r="R5831" t="s">
        <v>95</v>
      </c>
      <c r="S5831" t="s">
        <v>2630</v>
      </c>
      <c r="T5831">
        <v>24</v>
      </c>
      <c r="W5831" t="s">
        <v>35334</v>
      </c>
      <c r="X5831">
        <v>3153001559</v>
      </c>
      <c r="Y5831" t="s">
        <v>750</v>
      </c>
      <c r="Z5831" t="s">
        <v>35335</v>
      </c>
      <c r="AA5831" s="2" t="s">
        <v>35336</v>
      </c>
      <c r="AB5831" t="s">
        <v>88</v>
      </c>
      <c r="AG5831" t="s">
        <v>35337</v>
      </c>
      <c r="AH5831" t="s">
        <v>2636</v>
      </c>
      <c r="AI5831" t="s">
        <v>35338</v>
      </c>
    </row>
    <row r="5832" spans="2:35" ht="180">
      <c r="B5832" s="1">
        <v>45267</v>
      </c>
      <c r="C5832" s="4">
        <v>45267.48541666667</v>
      </c>
      <c r="D5832" t="s">
        <v>35339</v>
      </c>
      <c r="E5832" t="s">
        <v>35340</v>
      </c>
      <c r="F5832" t="s">
        <v>37</v>
      </c>
      <c r="G5832" t="s">
        <v>78</v>
      </c>
      <c r="H5832" t="s">
        <v>35341</v>
      </c>
      <c r="I5832" t="s">
        <v>40</v>
      </c>
      <c r="J5832" s="2" t="s">
        <v>9117</v>
      </c>
      <c r="K5832" t="s">
        <v>2629</v>
      </c>
      <c r="L5832" t="s">
        <v>409</v>
      </c>
      <c r="N5832" t="s">
        <v>410</v>
      </c>
      <c r="Q5832">
        <v>26718</v>
      </c>
      <c r="R5832" t="s">
        <v>95</v>
      </c>
      <c r="S5832" t="s">
        <v>17620</v>
      </c>
      <c r="T5832">
        <v>23</v>
      </c>
      <c r="W5832" t="s">
        <v>17621</v>
      </c>
      <c r="X5832">
        <v>3331000862</v>
      </c>
      <c r="Y5832" t="s">
        <v>35342</v>
      </c>
      <c r="Z5832" t="s">
        <v>301</v>
      </c>
      <c r="AA5832" s="2" t="s">
        <v>35343</v>
      </c>
      <c r="AB5832" t="s">
        <v>35344</v>
      </c>
      <c r="AC5832" t="s">
        <v>35345</v>
      </c>
      <c r="AG5832" t="s">
        <v>35346</v>
      </c>
      <c r="AH5832" t="s">
        <v>35347</v>
      </c>
      <c r="AI5832" t="s">
        <v>35348</v>
      </c>
    </row>
    <row r="5833" spans="2:35" ht="375">
      <c r="B5833" s="1">
        <v>45267</v>
      </c>
      <c r="C5833" s="4">
        <v>45267.48333333333</v>
      </c>
      <c r="D5833" t="s">
        <v>23894</v>
      </c>
      <c r="E5833" t="s">
        <v>35349</v>
      </c>
      <c r="F5833">
        <v>11</v>
      </c>
      <c r="G5833" t="s">
        <v>1205</v>
      </c>
      <c r="H5833" t="s">
        <v>202</v>
      </c>
      <c r="I5833" t="s">
        <v>94</v>
      </c>
      <c r="J5833" t="s">
        <v>525</v>
      </c>
      <c r="K5833" t="s">
        <v>42</v>
      </c>
      <c r="L5833" t="s">
        <v>204</v>
      </c>
      <c r="N5833" t="s">
        <v>205</v>
      </c>
      <c r="Q5833">
        <v>26717</v>
      </c>
      <c r="R5833" t="s">
        <v>45</v>
      </c>
      <c r="S5833" t="s">
        <v>22411</v>
      </c>
      <c r="T5833">
        <v>23.5</v>
      </c>
      <c r="W5833" t="s">
        <v>23237</v>
      </c>
      <c r="X5833">
        <v>804835</v>
      </c>
      <c r="Y5833" t="s">
        <v>35350</v>
      </c>
      <c r="Z5833" s="2" t="s">
        <v>35351</v>
      </c>
      <c r="AA5833" t="s">
        <v>35352</v>
      </c>
      <c r="AB5833" t="s">
        <v>35353</v>
      </c>
      <c r="AC5833" t="s">
        <v>35354</v>
      </c>
      <c r="AG5833" t="s">
        <v>35355</v>
      </c>
      <c r="AH5833" t="s">
        <v>35356</v>
      </c>
      <c r="AI5833" t="s">
        <v>35357</v>
      </c>
    </row>
    <row r="5834" spans="2:35" ht="135">
      <c r="B5834" s="1">
        <v>45267</v>
      </c>
      <c r="C5834" s="4">
        <v>45267.481944444444</v>
      </c>
      <c r="D5834" t="s">
        <v>10122</v>
      </c>
      <c r="E5834" t="s">
        <v>35358</v>
      </c>
      <c r="F5834">
        <v>13</v>
      </c>
      <c r="G5834" t="s">
        <v>931</v>
      </c>
      <c r="H5834" t="s">
        <v>2125</v>
      </c>
      <c r="I5834" t="s">
        <v>40</v>
      </c>
      <c r="J5834" s="2" t="s">
        <v>41</v>
      </c>
      <c r="K5834" t="s">
        <v>42</v>
      </c>
      <c r="L5834" t="s">
        <v>933</v>
      </c>
      <c r="N5834" t="s">
        <v>934</v>
      </c>
      <c r="Q5834">
        <v>26716</v>
      </c>
      <c r="R5834" t="s">
        <v>119</v>
      </c>
      <c r="S5834" t="s">
        <v>27182</v>
      </c>
      <c r="T5834">
        <v>25</v>
      </c>
      <c r="V5834" s="1">
        <v>45251</v>
      </c>
      <c r="W5834" t="s">
        <v>3662</v>
      </c>
      <c r="X5834">
        <v>838512</v>
      </c>
      <c r="Y5834" t="s">
        <v>35117</v>
      </c>
      <c r="Z5834" t="s">
        <v>301</v>
      </c>
      <c r="AA5834" t="s">
        <v>35359</v>
      </c>
      <c r="AB5834" t="s">
        <v>2131</v>
      </c>
      <c r="AD5834" s="2" t="s">
        <v>35360</v>
      </c>
      <c r="AE5834" t="s">
        <v>35361</v>
      </c>
      <c r="AG5834" t="s">
        <v>35362</v>
      </c>
      <c r="AH5834" t="s">
        <v>10130</v>
      </c>
      <c r="AI5834" t="s">
        <v>35363</v>
      </c>
    </row>
    <row r="5835" spans="2:35" ht="409.5">
      <c r="B5835" s="1">
        <v>45267</v>
      </c>
      <c r="C5835" s="4">
        <v>45266.529166666667</v>
      </c>
      <c r="D5835" t="s">
        <v>976</v>
      </c>
      <c r="E5835" t="s">
        <v>35174</v>
      </c>
      <c r="F5835">
        <v>12</v>
      </c>
      <c r="G5835" t="s">
        <v>978</v>
      </c>
      <c r="H5835" t="s">
        <v>1473</v>
      </c>
      <c r="I5835" t="s">
        <v>40</v>
      </c>
      <c r="J5835" s="2" t="s">
        <v>30202</v>
      </c>
      <c r="K5835" t="s">
        <v>42</v>
      </c>
      <c r="L5835" t="s">
        <v>296</v>
      </c>
      <c r="N5835" t="s">
        <v>297</v>
      </c>
      <c r="Q5835">
        <v>26715</v>
      </c>
      <c r="R5835" t="s">
        <v>119</v>
      </c>
      <c r="S5835" t="s">
        <v>26910</v>
      </c>
      <c r="T5835">
        <v>24.3</v>
      </c>
      <c r="U5835" s="2" t="s">
        <v>35175</v>
      </c>
      <c r="V5835" s="1">
        <v>45266</v>
      </c>
      <c r="W5835" t="s">
        <v>23049</v>
      </c>
      <c r="X5835">
        <v>838543</v>
      </c>
      <c r="Y5835" t="s">
        <v>35176</v>
      </c>
      <c r="Z5835" s="2" t="s">
        <v>35177</v>
      </c>
      <c r="AA5835" s="2" t="s">
        <v>35178</v>
      </c>
      <c r="AB5835" t="s">
        <v>972</v>
      </c>
      <c r="AD5835" t="s">
        <v>35179</v>
      </c>
      <c r="AE5835" t="s">
        <v>35180</v>
      </c>
      <c r="AG5835" t="s">
        <v>35364</v>
      </c>
      <c r="AH5835" t="s">
        <v>35182</v>
      </c>
      <c r="AI5835" t="s">
        <v>35365</v>
      </c>
    </row>
    <row r="5836" spans="2:35" ht="210">
      <c r="B5836" s="1">
        <v>45267</v>
      </c>
      <c r="C5836" s="4">
        <v>45267.379861111112</v>
      </c>
      <c r="D5836" t="s">
        <v>7219</v>
      </c>
      <c r="E5836" t="s">
        <v>7220</v>
      </c>
      <c r="F5836" t="s">
        <v>148</v>
      </c>
      <c r="G5836" t="s">
        <v>310</v>
      </c>
      <c r="H5836" t="s">
        <v>39</v>
      </c>
      <c r="I5836" t="s">
        <v>40</v>
      </c>
      <c r="J5836" s="2" t="s">
        <v>30202</v>
      </c>
      <c r="K5836" t="s">
        <v>42</v>
      </c>
      <c r="L5836" t="s">
        <v>1028</v>
      </c>
      <c r="N5836" t="s">
        <v>1029</v>
      </c>
      <c r="Q5836">
        <v>26713</v>
      </c>
      <c r="R5836" t="s">
        <v>45</v>
      </c>
      <c r="S5836" t="s">
        <v>35366</v>
      </c>
      <c r="T5836">
        <v>20</v>
      </c>
      <c r="U5836" s="2" t="s">
        <v>35367</v>
      </c>
      <c r="W5836" t="s">
        <v>1967</v>
      </c>
      <c r="X5836">
        <v>804766</v>
      </c>
      <c r="Y5836" t="s">
        <v>35368</v>
      </c>
      <c r="Z5836" t="s">
        <v>2129</v>
      </c>
      <c r="AA5836" s="2" t="s">
        <v>33230</v>
      </c>
      <c r="AB5836" t="s">
        <v>3063</v>
      </c>
      <c r="AC5836" t="s">
        <v>35369</v>
      </c>
      <c r="AG5836" t="s">
        <v>35370</v>
      </c>
      <c r="AH5836" t="s">
        <v>35371</v>
      </c>
      <c r="AI5836" t="s">
        <v>35372</v>
      </c>
    </row>
    <row r="5837" spans="2:35" ht="405">
      <c r="B5837" s="1">
        <v>45267</v>
      </c>
      <c r="C5837" s="4">
        <v>45267.377083333333</v>
      </c>
      <c r="D5837" t="s">
        <v>7219</v>
      </c>
      <c r="E5837" t="s">
        <v>353</v>
      </c>
      <c r="F5837" t="s">
        <v>148</v>
      </c>
      <c r="G5837" t="s">
        <v>310</v>
      </c>
      <c r="H5837" t="s">
        <v>39</v>
      </c>
      <c r="I5837" t="s">
        <v>40</v>
      </c>
      <c r="J5837" s="2" t="s">
        <v>30202</v>
      </c>
      <c r="K5837" t="s">
        <v>42</v>
      </c>
      <c r="L5837" t="s">
        <v>1028</v>
      </c>
      <c r="N5837" t="s">
        <v>1029</v>
      </c>
      <c r="Q5837">
        <v>26714</v>
      </c>
      <c r="R5837" t="s">
        <v>45</v>
      </c>
      <c r="S5837" t="s">
        <v>35366</v>
      </c>
      <c r="T5837">
        <v>20</v>
      </c>
      <c r="U5837" s="2" t="s">
        <v>35373</v>
      </c>
      <c r="W5837" t="s">
        <v>1967</v>
      </c>
      <c r="X5837">
        <v>707843</v>
      </c>
      <c r="Y5837" t="s">
        <v>34753</v>
      </c>
      <c r="Z5837" t="s">
        <v>2129</v>
      </c>
      <c r="AA5837" s="2" t="s">
        <v>35374</v>
      </c>
      <c r="AB5837" t="s">
        <v>3063</v>
      </c>
      <c r="AC5837" t="s">
        <v>35375</v>
      </c>
      <c r="AG5837" t="s">
        <v>35376</v>
      </c>
      <c r="AH5837" t="s">
        <v>35371</v>
      </c>
      <c r="AI5837" t="s">
        <v>35377</v>
      </c>
    </row>
    <row r="5838" spans="2:35" ht="45">
      <c r="B5838" s="1">
        <v>45267</v>
      </c>
      <c r="C5838" s="4">
        <v>45265.518750000003</v>
      </c>
      <c r="D5838" t="s">
        <v>5546</v>
      </c>
      <c r="E5838" t="s">
        <v>1555</v>
      </c>
      <c r="F5838">
        <v>7</v>
      </c>
      <c r="G5838" t="s">
        <v>432</v>
      </c>
      <c r="H5838" t="s">
        <v>39</v>
      </c>
      <c r="I5838" t="s">
        <v>40</v>
      </c>
      <c r="J5838" s="2" t="s">
        <v>1370</v>
      </c>
      <c r="K5838" t="s">
        <v>42</v>
      </c>
      <c r="L5838" t="s">
        <v>433</v>
      </c>
      <c r="N5838" t="s">
        <v>434</v>
      </c>
      <c r="Q5838">
        <v>26712</v>
      </c>
      <c r="R5838" t="s">
        <v>45</v>
      </c>
      <c r="S5838" t="s">
        <v>5548</v>
      </c>
      <c r="T5838">
        <v>28</v>
      </c>
      <c r="W5838" t="s">
        <v>360</v>
      </c>
      <c r="X5838">
        <v>804840</v>
      </c>
      <c r="Y5838" t="s">
        <v>35378</v>
      </c>
      <c r="Z5838" t="s">
        <v>35379</v>
      </c>
      <c r="AA5838" t="s">
        <v>35379</v>
      </c>
      <c r="AB5838" t="s">
        <v>1011</v>
      </c>
      <c r="AG5838" t="s">
        <v>35380</v>
      </c>
      <c r="AH5838" t="s">
        <v>5551</v>
      </c>
      <c r="AI5838" t="s">
        <v>35381</v>
      </c>
    </row>
    <row r="5839" spans="2:35" ht="150">
      <c r="B5839" s="1">
        <v>45267</v>
      </c>
      <c r="C5839" s="4">
        <v>45266.518750000003</v>
      </c>
      <c r="D5839" t="s">
        <v>33352</v>
      </c>
      <c r="E5839" t="s">
        <v>29043</v>
      </c>
      <c r="F5839" t="s">
        <v>37</v>
      </c>
      <c r="G5839" t="s">
        <v>2499</v>
      </c>
      <c r="H5839" t="s">
        <v>39</v>
      </c>
      <c r="I5839" t="s">
        <v>40</v>
      </c>
      <c r="J5839" s="2" t="s">
        <v>30202</v>
      </c>
      <c r="K5839" t="s">
        <v>42</v>
      </c>
      <c r="L5839" t="s">
        <v>43</v>
      </c>
      <c r="N5839" t="s">
        <v>44</v>
      </c>
      <c r="Q5839">
        <v>26711</v>
      </c>
      <c r="R5839" t="s">
        <v>45</v>
      </c>
      <c r="S5839" t="s">
        <v>29044</v>
      </c>
      <c r="T5839">
        <v>24</v>
      </c>
      <c r="U5839" s="2" t="s">
        <v>35382</v>
      </c>
      <c r="V5839" s="1">
        <v>45266</v>
      </c>
      <c r="W5839" t="s">
        <v>48</v>
      </c>
      <c r="X5839">
        <v>807608</v>
      </c>
      <c r="Y5839" t="s">
        <v>26556</v>
      </c>
      <c r="Z5839" t="s">
        <v>26557</v>
      </c>
      <c r="AA5839" s="2" t="s">
        <v>35383</v>
      </c>
      <c r="AB5839" t="s">
        <v>35384</v>
      </c>
      <c r="AD5839" s="2" t="s">
        <v>35385</v>
      </c>
      <c r="AE5839" t="s">
        <v>54</v>
      </c>
      <c r="AG5839" t="s">
        <v>35386</v>
      </c>
      <c r="AH5839" t="s">
        <v>35387</v>
      </c>
      <c r="AI5839" t="s">
        <v>35388</v>
      </c>
    </row>
    <row r="5840" spans="2:35" ht="135">
      <c r="B5840" s="1">
        <v>45267</v>
      </c>
      <c r="C5840" s="4">
        <v>45267.432638888888</v>
      </c>
      <c r="D5840" t="s">
        <v>14403</v>
      </c>
      <c r="E5840" t="s">
        <v>35389</v>
      </c>
      <c r="F5840">
        <v>7</v>
      </c>
      <c r="G5840" t="s">
        <v>432</v>
      </c>
      <c r="H5840" t="s">
        <v>608</v>
      </c>
      <c r="I5840" t="s">
        <v>94</v>
      </c>
      <c r="J5840" t="s">
        <v>79</v>
      </c>
      <c r="K5840" t="s">
        <v>42</v>
      </c>
      <c r="L5840" t="s">
        <v>610</v>
      </c>
      <c r="N5840" t="s">
        <v>611</v>
      </c>
      <c r="Q5840">
        <v>26710</v>
      </c>
      <c r="R5840" t="s">
        <v>45</v>
      </c>
      <c r="S5840" t="s">
        <v>35390</v>
      </c>
      <c r="T5840">
        <v>29</v>
      </c>
      <c r="U5840" s="2" t="s">
        <v>35391</v>
      </c>
      <c r="W5840" t="s">
        <v>502</v>
      </c>
      <c r="X5840">
        <v>808637</v>
      </c>
      <c r="Y5840" t="s">
        <v>35392</v>
      </c>
      <c r="Z5840" t="s">
        <v>35393</v>
      </c>
      <c r="AA5840" s="2" t="s">
        <v>35394</v>
      </c>
      <c r="AB5840" t="s">
        <v>35395</v>
      </c>
      <c r="AG5840" t="s">
        <v>35396</v>
      </c>
      <c r="AH5840" t="s">
        <v>35397</v>
      </c>
      <c r="AI5840" t="s">
        <v>35398</v>
      </c>
    </row>
    <row r="5841" spans="2:35">
      <c r="B5841" s="1">
        <v>45267</v>
      </c>
      <c r="C5841" s="4">
        <v>45267.415277777778</v>
      </c>
      <c r="D5841" t="s">
        <v>35399</v>
      </c>
      <c r="E5841" t="s">
        <v>35400</v>
      </c>
      <c r="F5841" t="s">
        <v>37</v>
      </c>
      <c r="G5841" t="s">
        <v>78</v>
      </c>
      <c r="H5841" t="s">
        <v>35401</v>
      </c>
      <c r="I5841" t="s">
        <v>94</v>
      </c>
      <c r="J5841" t="s">
        <v>79</v>
      </c>
      <c r="K5841" t="s">
        <v>2629</v>
      </c>
      <c r="L5841" t="s">
        <v>409</v>
      </c>
      <c r="N5841" t="s">
        <v>35402</v>
      </c>
      <c r="Q5841">
        <v>26709</v>
      </c>
      <c r="R5841" t="s">
        <v>95</v>
      </c>
      <c r="S5841" t="s">
        <v>35403</v>
      </c>
      <c r="T5841">
        <v>23</v>
      </c>
      <c r="V5841" s="1">
        <v>45266</v>
      </c>
      <c r="W5841" t="s">
        <v>17612</v>
      </c>
      <c r="X5841">
        <v>3947019527</v>
      </c>
      <c r="Y5841" t="s">
        <v>35404</v>
      </c>
      <c r="Z5841" t="s">
        <v>35405</v>
      </c>
      <c r="AA5841" t="s">
        <v>35405</v>
      </c>
      <c r="AB5841" t="s">
        <v>181</v>
      </c>
      <c r="AD5841" t="s">
        <v>35406</v>
      </c>
      <c r="AE5841" t="s">
        <v>35407</v>
      </c>
      <c r="AG5841" t="s">
        <v>35408</v>
      </c>
      <c r="AH5841" t="s">
        <v>35409</v>
      </c>
      <c r="AI5841" t="s">
        <v>35410</v>
      </c>
    </row>
    <row r="5842" spans="2:35">
      <c r="B5842" s="1">
        <v>45267</v>
      </c>
      <c r="C5842" s="4">
        <v>45267.397222222222</v>
      </c>
      <c r="D5842" t="s">
        <v>31830</v>
      </c>
      <c r="E5842" t="s">
        <v>10812</v>
      </c>
      <c r="F5842">
        <v>10</v>
      </c>
      <c r="G5842" t="s">
        <v>1395</v>
      </c>
      <c r="H5842" t="s">
        <v>35411</v>
      </c>
      <c r="I5842" t="s">
        <v>94</v>
      </c>
      <c r="J5842" t="s">
        <v>583</v>
      </c>
      <c r="K5842" t="s">
        <v>42</v>
      </c>
      <c r="L5842" t="s">
        <v>343</v>
      </c>
      <c r="N5842" t="s">
        <v>344</v>
      </c>
      <c r="Q5842">
        <v>26708</v>
      </c>
      <c r="R5842" t="s">
        <v>45</v>
      </c>
      <c r="S5842" t="s">
        <v>31815</v>
      </c>
      <c r="T5842">
        <v>26</v>
      </c>
      <c r="W5842" t="s">
        <v>84</v>
      </c>
      <c r="X5842">
        <v>804682</v>
      </c>
      <c r="Y5842" t="s">
        <v>35412</v>
      </c>
      <c r="Z5842" t="e">
        <f ca="1">-_xludf.Replace HDMI to VGA adapter
-Connect monitor to CPU</f>
        <v>#NAME?</v>
      </c>
      <c r="AA5842" t="s">
        <v>301</v>
      </c>
      <c r="AB5842" t="s">
        <v>16150</v>
      </c>
      <c r="AG5842" t="s">
        <v>35413</v>
      </c>
      <c r="AH5842" t="s">
        <v>31819</v>
      </c>
      <c r="AI5842" t="s">
        <v>35414</v>
      </c>
    </row>
    <row r="5843" spans="2:35" ht="210">
      <c r="B5843" s="1">
        <v>45267</v>
      </c>
      <c r="C5843" s="4">
        <v>45267.377083333333</v>
      </c>
      <c r="D5843" t="s">
        <v>1412</v>
      </c>
      <c r="E5843" t="s">
        <v>33182</v>
      </c>
      <c r="F5843">
        <v>5</v>
      </c>
      <c r="G5843" t="s">
        <v>814</v>
      </c>
      <c r="H5843" t="s">
        <v>39</v>
      </c>
      <c r="I5843" t="s">
        <v>40</v>
      </c>
      <c r="J5843" t="s">
        <v>525</v>
      </c>
      <c r="K5843" t="s">
        <v>42</v>
      </c>
      <c r="L5843" t="s">
        <v>761</v>
      </c>
      <c r="N5843" t="s">
        <v>762</v>
      </c>
      <c r="O5843" t="s">
        <v>762</v>
      </c>
      <c r="Q5843">
        <v>26707</v>
      </c>
      <c r="R5843" t="s">
        <v>45</v>
      </c>
      <c r="S5843" t="s">
        <v>35415</v>
      </c>
      <c r="T5843">
        <v>23</v>
      </c>
      <c r="W5843" t="s">
        <v>360</v>
      </c>
      <c r="X5843">
        <v>807983</v>
      </c>
      <c r="Y5843" t="s">
        <v>35416</v>
      </c>
      <c r="Z5843" s="2" t="s">
        <v>35417</v>
      </c>
      <c r="AA5843" t="s">
        <v>768</v>
      </c>
      <c r="AB5843" t="s">
        <v>181</v>
      </c>
      <c r="AG5843" t="s">
        <v>35418</v>
      </c>
      <c r="AH5843" t="s">
        <v>35419</v>
      </c>
      <c r="AI5843" t="s">
        <v>35420</v>
      </c>
    </row>
    <row r="5844" spans="2:35" ht="409.5">
      <c r="B5844" s="1">
        <v>45267</v>
      </c>
      <c r="C5844" s="4">
        <v>45266.628472222219</v>
      </c>
      <c r="D5844" t="s">
        <v>5602</v>
      </c>
      <c r="E5844" t="s">
        <v>31074</v>
      </c>
      <c r="F5844" t="s">
        <v>148</v>
      </c>
      <c r="G5844" t="s">
        <v>447</v>
      </c>
      <c r="H5844" t="s">
        <v>662</v>
      </c>
      <c r="I5844" t="s">
        <v>94</v>
      </c>
      <c r="J5844" t="s">
        <v>79</v>
      </c>
      <c r="K5844" t="s">
        <v>42</v>
      </c>
      <c r="L5844" t="s">
        <v>448</v>
      </c>
      <c r="N5844" t="s">
        <v>650</v>
      </c>
      <c r="Q5844">
        <v>26706</v>
      </c>
      <c r="R5844" t="s">
        <v>322</v>
      </c>
      <c r="S5844" t="s">
        <v>5604</v>
      </c>
      <c r="T5844">
        <v>26</v>
      </c>
      <c r="U5844" s="2" t="s">
        <v>35421</v>
      </c>
      <c r="V5844" s="1">
        <v>45264</v>
      </c>
      <c r="W5844" t="s">
        <v>895</v>
      </c>
      <c r="X5844">
        <v>110005587</v>
      </c>
      <c r="Y5844" t="s">
        <v>35422</v>
      </c>
      <c r="Z5844" s="2" t="s">
        <v>2585</v>
      </c>
      <c r="AA5844" t="s">
        <v>5712</v>
      </c>
      <c r="AB5844" t="s">
        <v>35423</v>
      </c>
      <c r="AC5844" t="s">
        <v>35424</v>
      </c>
      <c r="AD5844" t="s">
        <v>10253</v>
      </c>
      <c r="AE5844">
        <v>10875</v>
      </c>
      <c r="AG5844" t="s">
        <v>35425</v>
      </c>
      <c r="AH5844" t="s">
        <v>5609</v>
      </c>
      <c r="AI5844" t="s">
        <v>35426</v>
      </c>
    </row>
    <row r="5845" spans="2:35" ht="120">
      <c r="B5845" s="1">
        <v>45266</v>
      </c>
      <c r="C5845" s="4">
        <v>45266.70416666667</v>
      </c>
      <c r="D5845" t="s">
        <v>31830</v>
      </c>
      <c r="E5845" t="s">
        <v>10812</v>
      </c>
      <c r="F5845">
        <v>10</v>
      </c>
      <c r="G5845" t="s">
        <v>1395</v>
      </c>
      <c r="H5845" t="s">
        <v>16831</v>
      </c>
      <c r="I5845" t="s">
        <v>94</v>
      </c>
      <c r="J5845" s="2" t="s">
        <v>4151</v>
      </c>
      <c r="K5845" t="s">
        <v>42</v>
      </c>
      <c r="L5845" t="s">
        <v>343</v>
      </c>
      <c r="N5845" t="s">
        <v>344</v>
      </c>
      <c r="Q5845">
        <v>26705</v>
      </c>
      <c r="R5845" t="s">
        <v>45</v>
      </c>
      <c r="S5845" t="s">
        <v>31815</v>
      </c>
      <c r="T5845">
        <v>27</v>
      </c>
      <c r="W5845" t="s">
        <v>84</v>
      </c>
      <c r="X5845">
        <v>804682</v>
      </c>
      <c r="Y5845" t="s">
        <v>35427</v>
      </c>
      <c r="Z5845" t="e">
        <f ca="1">-transfer _xludf.and Install GeneXpert Unit in HIV Lab
-Setup GeneXpert workstation
-purchase network LAN cable _xludf.For GeneXpert
-Isolate monitor problem _xludf.For No display/signal</f>
        <v>#NAME?</v>
      </c>
      <c r="AA5845" t="s">
        <v>35428</v>
      </c>
      <c r="AB5845" t="s">
        <v>35429</v>
      </c>
      <c r="AC5845" t="s">
        <v>35430</v>
      </c>
      <c r="AG5845" t="s">
        <v>35431</v>
      </c>
      <c r="AH5845" t="s">
        <v>31819</v>
      </c>
      <c r="AI5845" t="s">
        <v>35432</v>
      </c>
    </row>
    <row r="5846" spans="2:35" ht="135">
      <c r="B5846" s="1">
        <v>45266</v>
      </c>
      <c r="C5846" s="4">
        <v>45266.6875</v>
      </c>
      <c r="D5846" t="s">
        <v>8522</v>
      </c>
      <c r="E5846" t="s">
        <v>17955</v>
      </c>
      <c r="F5846">
        <v>13</v>
      </c>
      <c r="G5846" t="s">
        <v>8524</v>
      </c>
      <c r="H5846" t="s">
        <v>2125</v>
      </c>
      <c r="I5846" t="s">
        <v>40</v>
      </c>
      <c r="J5846" s="2" t="s">
        <v>41</v>
      </c>
      <c r="K5846" t="s">
        <v>42</v>
      </c>
      <c r="L5846" t="s">
        <v>933</v>
      </c>
      <c r="N5846" t="s">
        <v>934</v>
      </c>
      <c r="Q5846">
        <v>26704</v>
      </c>
      <c r="R5846" t="s">
        <v>119</v>
      </c>
      <c r="S5846" t="s">
        <v>25038</v>
      </c>
      <c r="T5846">
        <v>29</v>
      </c>
      <c r="V5846" s="1">
        <v>45251</v>
      </c>
      <c r="W5846" t="s">
        <v>3662</v>
      </c>
      <c r="X5846">
        <v>838439</v>
      </c>
      <c r="Y5846" t="s">
        <v>301</v>
      </c>
      <c r="Z5846" t="s">
        <v>301</v>
      </c>
      <c r="AA5846" t="s">
        <v>35433</v>
      </c>
      <c r="AB5846" t="s">
        <v>2131</v>
      </c>
      <c r="AD5846" s="2" t="s">
        <v>35434</v>
      </c>
      <c r="AE5846" t="s">
        <v>35435</v>
      </c>
      <c r="AG5846" t="s">
        <v>35436</v>
      </c>
      <c r="AH5846" t="s">
        <v>35437</v>
      </c>
      <c r="AI5846" t="s">
        <v>35438</v>
      </c>
    </row>
    <row r="5847" spans="2:35" ht="180">
      <c r="B5847" s="1">
        <v>45266</v>
      </c>
      <c r="C5847" s="4">
        <v>45266.648611111108</v>
      </c>
      <c r="D5847" t="s">
        <v>7209</v>
      </c>
      <c r="E5847" t="s">
        <v>229</v>
      </c>
      <c r="F5847" t="s">
        <v>148</v>
      </c>
      <c r="G5847" t="s">
        <v>230</v>
      </c>
      <c r="H5847" t="s">
        <v>39</v>
      </c>
      <c r="I5847" t="s">
        <v>40</v>
      </c>
      <c r="J5847" t="s">
        <v>583</v>
      </c>
      <c r="K5847" t="s">
        <v>42</v>
      </c>
      <c r="L5847" t="s">
        <v>175</v>
      </c>
      <c r="N5847" t="s">
        <v>176</v>
      </c>
      <c r="Q5847">
        <v>26703</v>
      </c>
      <c r="R5847" t="s">
        <v>45</v>
      </c>
      <c r="S5847" t="s">
        <v>4880</v>
      </c>
      <c r="T5847">
        <v>27</v>
      </c>
      <c r="U5847" s="2" t="s">
        <v>35439</v>
      </c>
      <c r="W5847" t="s">
        <v>84</v>
      </c>
      <c r="X5847">
        <v>808625</v>
      </c>
      <c r="Y5847" t="s">
        <v>8255</v>
      </c>
      <c r="Z5847" t="e">
        <f ca="1">- Relocated Unit
- checked _xludf.and cleaned cartridge bay, plunger rod, _xludf.filter
- generated reports
- performed functionality test</f>
        <v>#NAME?</v>
      </c>
      <c r="AA5847" t="s">
        <v>20531</v>
      </c>
      <c r="AB5847" s="2" t="s">
        <v>35440</v>
      </c>
      <c r="AG5847" t="s">
        <v>35441</v>
      </c>
      <c r="AH5847" t="s">
        <v>4878</v>
      </c>
      <c r="AI5847" t="s">
        <v>35442</v>
      </c>
    </row>
    <row r="5848" spans="2:35" ht="409.5">
      <c r="B5848" s="1">
        <v>45266</v>
      </c>
      <c r="C5848" s="4">
        <v>45266.579861111109</v>
      </c>
      <c r="D5848" t="s">
        <v>4206</v>
      </c>
      <c r="E5848" t="s">
        <v>14660</v>
      </c>
      <c r="F5848">
        <v>11</v>
      </c>
      <c r="G5848" t="s">
        <v>2836</v>
      </c>
      <c r="H5848" t="s">
        <v>202</v>
      </c>
      <c r="I5848" t="s">
        <v>40</v>
      </c>
      <c r="J5848" s="2" t="s">
        <v>41</v>
      </c>
      <c r="K5848" t="s">
        <v>42</v>
      </c>
      <c r="L5848" t="s">
        <v>204</v>
      </c>
      <c r="N5848" t="s">
        <v>205</v>
      </c>
      <c r="Q5848">
        <v>26702</v>
      </c>
      <c r="R5848" t="s">
        <v>119</v>
      </c>
      <c r="S5848" t="s">
        <v>4209</v>
      </c>
      <c r="T5848">
        <v>24.8</v>
      </c>
      <c r="U5848" s="2" t="s">
        <v>35443</v>
      </c>
      <c r="V5848" s="1">
        <v>45251</v>
      </c>
      <c r="W5848" t="s">
        <v>24154</v>
      </c>
      <c r="X5848">
        <v>838295</v>
      </c>
      <c r="Y5848" s="2" t="s">
        <v>35444</v>
      </c>
      <c r="Z5848" s="2" t="s">
        <v>35445</v>
      </c>
      <c r="AA5848" t="s">
        <v>2560</v>
      </c>
      <c r="AB5848" t="s">
        <v>3063</v>
      </c>
      <c r="AD5848" t="s">
        <v>10253</v>
      </c>
      <c r="AE5848" t="s">
        <v>35446</v>
      </c>
      <c r="AG5848" t="s">
        <v>35447</v>
      </c>
      <c r="AH5848" t="s">
        <v>35448</v>
      </c>
      <c r="AI5848" t="s">
        <v>35449</v>
      </c>
    </row>
    <row r="5849" spans="2:35" ht="75">
      <c r="B5849" s="1">
        <v>45266</v>
      </c>
      <c r="C5849" s="4">
        <v>45266.554861111108</v>
      </c>
      <c r="D5849" t="s">
        <v>6981</v>
      </c>
      <c r="E5849" t="s">
        <v>6982</v>
      </c>
      <c r="F5849">
        <v>6</v>
      </c>
      <c r="G5849" t="s">
        <v>342</v>
      </c>
      <c r="H5849" t="s">
        <v>39</v>
      </c>
      <c r="I5849" t="s">
        <v>94</v>
      </c>
      <c r="J5849" s="2" t="s">
        <v>35450</v>
      </c>
      <c r="K5849" t="s">
        <v>387</v>
      </c>
      <c r="L5849" t="s">
        <v>433</v>
      </c>
      <c r="N5849" t="s">
        <v>434</v>
      </c>
      <c r="Q5849">
        <v>26701</v>
      </c>
      <c r="R5849" t="s">
        <v>95</v>
      </c>
      <c r="S5849" t="s">
        <v>32244</v>
      </c>
      <c r="T5849">
        <v>28</v>
      </c>
      <c r="W5849" t="s">
        <v>476</v>
      </c>
      <c r="X5849" t="s">
        <v>6986</v>
      </c>
      <c r="Y5849" t="s">
        <v>35451</v>
      </c>
      <c r="Z5849" t="s">
        <v>35452</v>
      </c>
      <c r="AA5849" t="s">
        <v>35453</v>
      </c>
      <c r="AB5849" t="s">
        <v>441</v>
      </c>
      <c r="AG5849" t="s">
        <v>35454</v>
      </c>
      <c r="AH5849" t="s">
        <v>32248</v>
      </c>
      <c r="AI5849" t="s">
        <v>35455</v>
      </c>
    </row>
    <row r="5850" spans="2:35" ht="255">
      <c r="B5850" s="1">
        <v>45266</v>
      </c>
      <c r="C5850" s="4">
        <v>45266.560416666667</v>
      </c>
      <c r="D5850" t="s">
        <v>29843</v>
      </c>
      <c r="E5850" t="s">
        <v>9296</v>
      </c>
      <c r="F5850">
        <v>3</v>
      </c>
      <c r="G5850" t="s">
        <v>730</v>
      </c>
      <c r="H5850" t="s">
        <v>4885</v>
      </c>
      <c r="I5850" t="s">
        <v>40</v>
      </c>
      <c r="J5850" s="2" t="s">
        <v>41</v>
      </c>
      <c r="K5850" t="s">
        <v>42</v>
      </c>
      <c r="L5850" t="s">
        <v>135</v>
      </c>
      <c r="N5850" t="s">
        <v>136</v>
      </c>
      <c r="Q5850">
        <v>26700</v>
      </c>
      <c r="R5850" t="s">
        <v>45</v>
      </c>
      <c r="S5850" t="s">
        <v>32557</v>
      </c>
      <c r="T5850">
        <v>25</v>
      </c>
      <c r="U5850" s="2" t="s">
        <v>35456</v>
      </c>
      <c r="W5850" t="s">
        <v>2680</v>
      </c>
      <c r="X5850">
        <v>838142</v>
      </c>
      <c r="Y5850" t="s">
        <v>32559</v>
      </c>
      <c r="Z5850" s="2" t="s">
        <v>29539</v>
      </c>
      <c r="AA5850" s="2" t="s">
        <v>32560</v>
      </c>
      <c r="AB5850" t="s">
        <v>181</v>
      </c>
      <c r="AC5850" t="s">
        <v>32561</v>
      </c>
      <c r="AG5850" t="s">
        <v>35457</v>
      </c>
      <c r="AH5850" t="s">
        <v>32551</v>
      </c>
      <c r="AI5850" t="s">
        <v>35458</v>
      </c>
    </row>
    <row r="5851" spans="2:35" ht="165">
      <c r="B5851" s="1">
        <v>45266</v>
      </c>
      <c r="C5851" s="4">
        <v>45266.465277777781</v>
      </c>
      <c r="D5851" t="s">
        <v>35459</v>
      </c>
      <c r="E5851" t="s">
        <v>35460</v>
      </c>
      <c r="F5851">
        <v>3</v>
      </c>
      <c r="G5851" t="s">
        <v>1722</v>
      </c>
      <c r="H5851" t="s">
        <v>39</v>
      </c>
      <c r="I5851" t="s">
        <v>40</v>
      </c>
      <c r="J5851" s="2" t="s">
        <v>31986</v>
      </c>
      <c r="K5851" t="s">
        <v>42</v>
      </c>
      <c r="L5851" t="s">
        <v>63</v>
      </c>
      <c r="N5851" t="s">
        <v>64</v>
      </c>
      <c r="Q5851">
        <v>26699</v>
      </c>
      <c r="R5851" t="s">
        <v>119</v>
      </c>
      <c r="S5851" t="s">
        <v>35461</v>
      </c>
      <c r="T5851">
        <v>24</v>
      </c>
      <c r="U5851" s="2" t="s">
        <v>35462</v>
      </c>
      <c r="V5851" s="1">
        <v>45266</v>
      </c>
      <c r="W5851" t="s">
        <v>26915</v>
      </c>
      <c r="X5851">
        <v>831673</v>
      </c>
      <c r="Y5851" t="s">
        <v>35463</v>
      </c>
      <c r="Z5851" t="s">
        <v>1716</v>
      </c>
      <c r="AA5851" s="2" t="s">
        <v>1727</v>
      </c>
      <c r="AB5851" t="s">
        <v>70</v>
      </c>
      <c r="AC5851" t="s">
        <v>35464</v>
      </c>
      <c r="AD5851" t="s">
        <v>1716</v>
      </c>
      <c r="AE5851" t="s">
        <v>1716</v>
      </c>
      <c r="AG5851" t="s">
        <v>35465</v>
      </c>
      <c r="AH5851" t="s">
        <v>35466</v>
      </c>
      <c r="AI5851" t="s">
        <v>35467</v>
      </c>
    </row>
    <row r="5852" spans="2:35" ht="360">
      <c r="B5852" s="1">
        <v>45266</v>
      </c>
      <c r="C5852" s="4">
        <v>45266.407638888886</v>
      </c>
      <c r="D5852" t="s">
        <v>1145</v>
      </c>
      <c r="E5852" t="s">
        <v>35468</v>
      </c>
      <c r="F5852" t="s">
        <v>148</v>
      </c>
      <c r="G5852" t="s">
        <v>447</v>
      </c>
      <c r="H5852" t="s">
        <v>35469</v>
      </c>
      <c r="I5852" t="s">
        <v>40</v>
      </c>
      <c r="J5852" t="s">
        <v>583</v>
      </c>
      <c r="K5852" t="s">
        <v>42</v>
      </c>
      <c r="L5852" t="s">
        <v>409</v>
      </c>
      <c r="N5852" t="s">
        <v>410</v>
      </c>
      <c r="Q5852">
        <v>26698</v>
      </c>
      <c r="R5852" t="s">
        <v>322</v>
      </c>
      <c r="S5852" t="s">
        <v>35470</v>
      </c>
      <c r="T5852">
        <v>22</v>
      </c>
      <c r="U5852" s="2" t="s">
        <v>35471</v>
      </c>
      <c r="W5852" t="s">
        <v>2680</v>
      </c>
      <c r="X5852">
        <v>838837</v>
      </c>
      <c r="Y5852" t="s">
        <v>35472</v>
      </c>
      <c r="Z5852" t="s">
        <v>35473</v>
      </c>
      <c r="AA5852" t="s">
        <v>35474</v>
      </c>
      <c r="AB5852" t="s">
        <v>181</v>
      </c>
      <c r="AG5852" t="s">
        <v>35475</v>
      </c>
      <c r="AH5852" t="s">
        <v>35476</v>
      </c>
      <c r="AI5852" t="s">
        <v>35477</v>
      </c>
    </row>
    <row r="5853" spans="2:35" ht="300">
      <c r="B5853" s="1">
        <v>45266</v>
      </c>
      <c r="C5853" s="4">
        <v>45266.417361111111</v>
      </c>
      <c r="D5853" t="s">
        <v>13444</v>
      </c>
      <c r="E5853" t="s">
        <v>13445</v>
      </c>
      <c r="F5853">
        <v>6</v>
      </c>
      <c r="G5853" t="s">
        <v>5216</v>
      </c>
      <c r="H5853" t="s">
        <v>10969</v>
      </c>
      <c r="I5853" t="s">
        <v>40</v>
      </c>
      <c r="J5853" s="2" t="s">
        <v>41</v>
      </c>
      <c r="K5853" t="s">
        <v>42</v>
      </c>
      <c r="L5853" t="s">
        <v>1288</v>
      </c>
      <c r="N5853" t="s">
        <v>1289</v>
      </c>
      <c r="Q5853">
        <v>26697</v>
      </c>
      <c r="R5853" t="s">
        <v>119</v>
      </c>
      <c r="S5853" t="s">
        <v>35478</v>
      </c>
      <c r="T5853">
        <v>29</v>
      </c>
      <c r="U5853" s="2" t="s">
        <v>35479</v>
      </c>
      <c r="V5853" s="1">
        <v>45251</v>
      </c>
      <c r="W5853" t="s">
        <v>1292</v>
      </c>
      <c r="X5853">
        <v>838291</v>
      </c>
      <c r="Y5853" t="s">
        <v>10200</v>
      </c>
      <c r="Z5853" t="e">
        <f ca="1">-COLLECT IQR, system _xludf.Log, _xludf.and ARCHIVE</f>
        <v>#NAME?</v>
      </c>
      <c r="AA5853" s="2" t="s">
        <v>35480</v>
      </c>
      <c r="AB5853" t="s">
        <v>1293</v>
      </c>
      <c r="AD5853" t="s">
        <v>35481</v>
      </c>
      <c r="AE5853" t="s">
        <v>35482</v>
      </c>
      <c r="AG5853" t="s">
        <v>35483</v>
      </c>
      <c r="AH5853" t="s">
        <v>15607</v>
      </c>
      <c r="AI5853" t="s">
        <v>35484</v>
      </c>
    </row>
    <row r="5854" spans="2:35" ht="105">
      <c r="B5854" s="1">
        <v>45266</v>
      </c>
      <c r="C5854" s="4">
        <v>45266.388194444444</v>
      </c>
      <c r="D5854" t="s">
        <v>10149</v>
      </c>
      <c r="E5854" t="s">
        <v>10800</v>
      </c>
      <c r="F5854">
        <v>10</v>
      </c>
      <c r="G5854" t="s">
        <v>1395</v>
      </c>
      <c r="H5854" t="s">
        <v>1498</v>
      </c>
      <c r="I5854" t="s">
        <v>40</v>
      </c>
      <c r="J5854" t="s">
        <v>109</v>
      </c>
      <c r="K5854" t="s">
        <v>42</v>
      </c>
      <c r="L5854" t="s">
        <v>343</v>
      </c>
      <c r="N5854" t="s">
        <v>344</v>
      </c>
      <c r="Q5854">
        <v>26696</v>
      </c>
      <c r="R5854" t="s">
        <v>119</v>
      </c>
      <c r="S5854" t="s">
        <v>10801</v>
      </c>
      <c r="T5854">
        <v>27.4</v>
      </c>
      <c r="U5854" s="2" t="s">
        <v>26940</v>
      </c>
      <c r="W5854" t="s">
        <v>84</v>
      </c>
      <c r="X5854">
        <v>838269</v>
      </c>
      <c r="Y5854" t="s">
        <v>301</v>
      </c>
      <c r="Z5854" t="s">
        <v>301</v>
      </c>
      <c r="AA5854" t="e">
        <f ca="1">-Preventive Maintenance
-ARCHIVE tests</f>
        <v>#NAME?</v>
      </c>
      <c r="AB5854" t="s">
        <v>9638</v>
      </c>
      <c r="AG5854" t="s">
        <v>35485</v>
      </c>
      <c r="AH5854" t="s">
        <v>17658</v>
      </c>
      <c r="AI5854" t="s">
        <v>35486</v>
      </c>
    </row>
    <row r="5855" spans="2:35" ht="75">
      <c r="B5855" s="1">
        <v>45266</v>
      </c>
      <c r="C5855" s="4">
        <v>45265.42083333333</v>
      </c>
      <c r="D5855" t="s">
        <v>35487</v>
      </c>
      <c r="E5855" t="s">
        <v>35488</v>
      </c>
      <c r="F5855" t="s">
        <v>1255</v>
      </c>
      <c r="G5855" t="s">
        <v>17856</v>
      </c>
      <c r="H5855" t="s">
        <v>39</v>
      </c>
      <c r="I5855" t="s">
        <v>94</v>
      </c>
      <c r="J5855" s="2" t="s">
        <v>17375</v>
      </c>
      <c r="K5855" t="s">
        <v>42</v>
      </c>
      <c r="L5855" t="s">
        <v>1257</v>
      </c>
      <c r="N5855" t="s">
        <v>2199</v>
      </c>
      <c r="O5855" t="s">
        <v>1258</v>
      </c>
      <c r="Q5855">
        <v>26695</v>
      </c>
      <c r="R5855" t="s">
        <v>119</v>
      </c>
      <c r="S5855" t="s">
        <v>17859</v>
      </c>
      <c r="T5855">
        <v>21</v>
      </c>
      <c r="V5855" s="1">
        <v>45251</v>
      </c>
      <c r="W5855" t="s">
        <v>2384</v>
      </c>
      <c r="X5855">
        <v>838834</v>
      </c>
      <c r="Y5855" t="s">
        <v>26149</v>
      </c>
      <c r="Z5855" t="s">
        <v>35489</v>
      </c>
      <c r="AA5855" t="s">
        <v>22443</v>
      </c>
      <c r="AB5855" t="s">
        <v>7411</v>
      </c>
      <c r="AC5855" t="s">
        <v>301</v>
      </c>
      <c r="AD5855" t="s">
        <v>10783</v>
      </c>
      <c r="AE5855" t="s">
        <v>35490</v>
      </c>
      <c r="AG5855" t="s">
        <v>35491</v>
      </c>
      <c r="AH5855" t="s">
        <v>35492</v>
      </c>
      <c r="AI5855" t="s">
        <v>35493</v>
      </c>
    </row>
    <row r="5856" spans="2:35" ht="165">
      <c r="B5856" s="1">
        <v>45266</v>
      </c>
      <c r="C5856" s="4">
        <v>45264.652083333334</v>
      </c>
      <c r="D5856" t="s">
        <v>5474</v>
      </c>
      <c r="E5856" t="s">
        <v>35494</v>
      </c>
      <c r="F5856" t="s">
        <v>148</v>
      </c>
      <c r="G5856" t="s">
        <v>2007</v>
      </c>
      <c r="H5856" t="s">
        <v>386</v>
      </c>
      <c r="I5856" t="s">
        <v>40</v>
      </c>
      <c r="J5856" t="s">
        <v>583</v>
      </c>
      <c r="K5856" t="s">
        <v>387</v>
      </c>
      <c r="L5856" t="s">
        <v>448</v>
      </c>
      <c r="N5856" t="s">
        <v>650</v>
      </c>
      <c r="O5856" t="s">
        <v>35495</v>
      </c>
      <c r="Q5856">
        <v>26694</v>
      </c>
      <c r="R5856" t="s">
        <v>95</v>
      </c>
      <c r="S5856" t="s">
        <v>34647</v>
      </c>
      <c r="T5856">
        <v>28</v>
      </c>
      <c r="W5856" t="s">
        <v>476</v>
      </c>
      <c r="X5856" t="s">
        <v>5488</v>
      </c>
      <c r="Y5856" t="s">
        <v>35496</v>
      </c>
      <c r="Z5856" s="2" t="s">
        <v>35497</v>
      </c>
      <c r="AA5856" t="s">
        <v>35498</v>
      </c>
      <c r="AB5856" t="s">
        <v>35499</v>
      </c>
      <c r="AG5856" t="s">
        <v>35500</v>
      </c>
      <c r="AH5856" t="s">
        <v>35501</v>
      </c>
      <c r="AI5856" t="s">
        <v>35502</v>
      </c>
    </row>
    <row r="5857" spans="2:35" ht="409.5">
      <c r="B5857" s="1">
        <v>45265</v>
      </c>
      <c r="C5857" s="4">
        <v>45265.563888888886</v>
      </c>
      <c r="D5857" t="s">
        <v>6844</v>
      </c>
      <c r="E5857" t="s">
        <v>23040</v>
      </c>
      <c r="F5857">
        <v>12</v>
      </c>
      <c r="G5857" t="s">
        <v>294</v>
      </c>
      <c r="H5857" t="s">
        <v>1473</v>
      </c>
      <c r="I5857" t="s">
        <v>40</v>
      </c>
      <c r="J5857" s="2" t="s">
        <v>30202</v>
      </c>
      <c r="K5857" t="s">
        <v>42</v>
      </c>
      <c r="L5857" t="s">
        <v>296</v>
      </c>
      <c r="N5857" t="s">
        <v>297</v>
      </c>
      <c r="Q5857">
        <v>26693</v>
      </c>
      <c r="R5857" t="s">
        <v>119</v>
      </c>
      <c r="S5857" t="s">
        <v>8928</v>
      </c>
      <c r="T5857">
        <v>26.8</v>
      </c>
      <c r="U5857" s="2" t="s">
        <v>35503</v>
      </c>
      <c r="V5857" s="1">
        <v>45265</v>
      </c>
      <c r="W5857" t="s">
        <v>23049</v>
      </c>
      <c r="X5857">
        <v>838261</v>
      </c>
      <c r="Y5857" t="s">
        <v>16363</v>
      </c>
      <c r="Z5857" t="s">
        <v>9161</v>
      </c>
      <c r="AA5857" s="2" t="s">
        <v>35504</v>
      </c>
      <c r="AB5857" t="s">
        <v>972</v>
      </c>
      <c r="AD5857" t="s">
        <v>35505</v>
      </c>
      <c r="AE5857" t="s">
        <v>35506</v>
      </c>
      <c r="AG5857" t="s">
        <v>35507</v>
      </c>
      <c r="AH5857" t="s">
        <v>8935</v>
      </c>
      <c r="AI5857" t="s">
        <v>35508</v>
      </c>
    </row>
    <row r="5858" spans="2:35" ht="300">
      <c r="B5858" s="1">
        <v>45265</v>
      </c>
      <c r="C5858" s="4">
        <v>45265.664583333331</v>
      </c>
      <c r="D5858" t="s">
        <v>35509</v>
      </c>
      <c r="E5858" t="s">
        <v>35510</v>
      </c>
      <c r="F5858">
        <v>5</v>
      </c>
      <c r="G5858" t="s">
        <v>814</v>
      </c>
      <c r="H5858" t="s">
        <v>35511</v>
      </c>
      <c r="I5858" t="s">
        <v>40</v>
      </c>
      <c r="J5858" s="2" t="s">
        <v>1309</v>
      </c>
      <c r="K5858" t="s">
        <v>42</v>
      </c>
      <c r="L5858" t="s">
        <v>761</v>
      </c>
      <c r="N5858" t="s">
        <v>762</v>
      </c>
      <c r="O5858" t="s">
        <v>762</v>
      </c>
      <c r="Q5858">
        <v>26692</v>
      </c>
      <c r="R5858" t="s">
        <v>45</v>
      </c>
      <c r="S5858" t="s">
        <v>34469</v>
      </c>
      <c r="T5858">
        <v>23</v>
      </c>
      <c r="U5858" s="2" t="s">
        <v>13859</v>
      </c>
      <c r="W5858" t="s">
        <v>360</v>
      </c>
      <c r="X5858">
        <v>835214</v>
      </c>
      <c r="Y5858" s="2" t="s">
        <v>35512</v>
      </c>
      <c r="Z5858" s="2" t="s">
        <v>35513</v>
      </c>
      <c r="AA5858" s="2" t="s">
        <v>35514</v>
      </c>
      <c r="AB5858" t="s">
        <v>181</v>
      </c>
      <c r="AG5858" t="s">
        <v>35515</v>
      </c>
      <c r="AH5858" t="s">
        <v>34475</v>
      </c>
      <c r="AI5858" t="s">
        <v>35516</v>
      </c>
    </row>
    <row r="5859" spans="2:35" ht="150">
      <c r="B5859" s="1">
        <v>45265</v>
      </c>
      <c r="C5859" s="4">
        <v>45265.65347222222</v>
      </c>
      <c r="D5859" t="s">
        <v>7634</v>
      </c>
      <c r="E5859" t="s">
        <v>12141</v>
      </c>
      <c r="F5859">
        <v>13</v>
      </c>
      <c r="G5859" t="s">
        <v>4484</v>
      </c>
      <c r="H5859" t="s">
        <v>2125</v>
      </c>
      <c r="I5859" t="s">
        <v>40</v>
      </c>
      <c r="J5859" s="2" t="s">
        <v>41</v>
      </c>
      <c r="K5859" t="s">
        <v>42</v>
      </c>
      <c r="L5859" t="s">
        <v>933</v>
      </c>
      <c r="N5859" t="s">
        <v>934</v>
      </c>
      <c r="Q5859">
        <v>26691</v>
      </c>
      <c r="R5859" t="s">
        <v>119</v>
      </c>
      <c r="S5859" t="s">
        <v>12142</v>
      </c>
      <c r="T5859">
        <v>25.1</v>
      </c>
      <c r="U5859" s="2" t="s">
        <v>35517</v>
      </c>
      <c r="V5859" s="1">
        <v>45251</v>
      </c>
      <c r="W5859" t="s">
        <v>3662</v>
      </c>
      <c r="X5859">
        <v>837611</v>
      </c>
      <c r="Y5859" t="s">
        <v>301</v>
      </c>
      <c r="Z5859" t="s">
        <v>301</v>
      </c>
      <c r="AA5859" t="s">
        <v>35518</v>
      </c>
      <c r="AB5859" t="s">
        <v>2131</v>
      </c>
      <c r="AD5859" s="2" t="s">
        <v>35519</v>
      </c>
      <c r="AE5859" t="s">
        <v>35520</v>
      </c>
      <c r="AG5859" t="s">
        <v>35521</v>
      </c>
      <c r="AH5859" t="s">
        <v>13658</v>
      </c>
      <c r="AI5859" t="s">
        <v>35522</v>
      </c>
    </row>
    <row r="5860" spans="2:35" ht="409.5">
      <c r="B5860" s="1">
        <v>45265</v>
      </c>
      <c r="C5860" s="4">
        <v>45265.544444444444</v>
      </c>
      <c r="D5860" t="s">
        <v>23024</v>
      </c>
      <c r="E5860" t="s">
        <v>35523</v>
      </c>
      <c r="F5860" t="s">
        <v>148</v>
      </c>
      <c r="G5860" t="s">
        <v>447</v>
      </c>
      <c r="H5860" t="s">
        <v>39</v>
      </c>
      <c r="I5860" t="s">
        <v>40</v>
      </c>
      <c r="J5860" s="2" t="s">
        <v>1592</v>
      </c>
      <c r="K5860" t="s">
        <v>42</v>
      </c>
      <c r="L5860" t="s">
        <v>15532</v>
      </c>
      <c r="N5860" t="s">
        <v>15533</v>
      </c>
      <c r="Q5860">
        <v>26690</v>
      </c>
      <c r="R5860" t="s">
        <v>45</v>
      </c>
      <c r="S5860" t="s">
        <v>23026</v>
      </c>
      <c r="T5860">
        <v>29</v>
      </c>
      <c r="U5860" s="2" t="s">
        <v>35524</v>
      </c>
      <c r="V5860" s="1">
        <v>45264</v>
      </c>
      <c r="W5860" t="s">
        <v>15535</v>
      </c>
      <c r="X5860">
        <v>815484</v>
      </c>
      <c r="Y5860" s="2" t="s">
        <v>35525</v>
      </c>
      <c r="Z5860" s="2" t="s">
        <v>35526</v>
      </c>
      <c r="AA5860" s="2" t="s">
        <v>35527</v>
      </c>
      <c r="AB5860" s="2" t="s">
        <v>35528</v>
      </c>
      <c r="AD5860" t="s">
        <v>15847</v>
      </c>
      <c r="AE5860" t="s">
        <v>35529</v>
      </c>
      <c r="AG5860" t="s">
        <v>35530</v>
      </c>
      <c r="AH5860" t="s">
        <v>25170</v>
      </c>
      <c r="AI5860" t="s">
        <v>35531</v>
      </c>
    </row>
    <row r="5861" spans="2:35" ht="150">
      <c r="B5861" s="1">
        <v>45265</v>
      </c>
      <c r="C5861" s="4">
        <v>45265.570138888892</v>
      </c>
      <c r="D5861" t="s">
        <v>32066</v>
      </c>
      <c r="E5861" t="s">
        <v>32067</v>
      </c>
      <c r="F5861" t="s">
        <v>37</v>
      </c>
      <c r="G5861" t="s">
        <v>78</v>
      </c>
      <c r="H5861" t="s">
        <v>39</v>
      </c>
      <c r="I5861" t="s">
        <v>40</v>
      </c>
      <c r="J5861" s="2" t="s">
        <v>41</v>
      </c>
      <c r="K5861" t="s">
        <v>42</v>
      </c>
      <c r="L5861" t="s">
        <v>43</v>
      </c>
      <c r="N5861" t="s">
        <v>44</v>
      </c>
      <c r="Q5861">
        <v>26689</v>
      </c>
      <c r="R5861" t="s">
        <v>45</v>
      </c>
      <c r="S5861" t="s">
        <v>32068</v>
      </c>
      <c r="T5861">
        <v>24</v>
      </c>
      <c r="U5861" s="2" t="s">
        <v>10228</v>
      </c>
      <c r="V5861" s="1">
        <v>45264</v>
      </c>
      <c r="W5861" t="s">
        <v>48</v>
      </c>
      <c r="X5861">
        <v>838165</v>
      </c>
      <c r="Y5861" t="s">
        <v>424</v>
      </c>
      <c r="Z5861" t="s">
        <v>425</v>
      </c>
      <c r="AA5861" s="2" t="s">
        <v>35532</v>
      </c>
      <c r="AB5861" t="s">
        <v>16412</v>
      </c>
      <c r="AD5861" s="2" t="s">
        <v>35533</v>
      </c>
      <c r="AE5861" t="s">
        <v>54</v>
      </c>
      <c r="AG5861" t="s">
        <v>35534</v>
      </c>
      <c r="AH5861" t="s">
        <v>35535</v>
      </c>
      <c r="AI5861" t="s">
        <v>35536</v>
      </c>
    </row>
    <row r="5862" spans="2:35" ht="409.5">
      <c r="B5862" s="1">
        <v>45265</v>
      </c>
      <c r="C5862" s="4">
        <v>45265.567361111112</v>
      </c>
      <c r="D5862" t="s">
        <v>7826</v>
      </c>
      <c r="E5862" t="s">
        <v>35537</v>
      </c>
      <c r="F5862">
        <v>11</v>
      </c>
      <c r="G5862" t="s">
        <v>1759</v>
      </c>
      <c r="H5862" t="s">
        <v>202</v>
      </c>
      <c r="I5862" t="s">
        <v>40</v>
      </c>
      <c r="J5862" s="2" t="s">
        <v>41</v>
      </c>
      <c r="K5862" t="s">
        <v>42</v>
      </c>
      <c r="L5862" t="s">
        <v>204</v>
      </c>
      <c r="N5862" t="s">
        <v>205</v>
      </c>
      <c r="Q5862">
        <v>26688</v>
      </c>
      <c r="R5862" t="s">
        <v>119</v>
      </c>
      <c r="S5862" t="s">
        <v>7828</v>
      </c>
      <c r="T5862">
        <v>25.6</v>
      </c>
      <c r="U5862" s="2" t="s">
        <v>35538</v>
      </c>
      <c r="V5862" s="1">
        <v>45251</v>
      </c>
      <c r="W5862" t="s">
        <v>24154</v>
      </c>
      <c r="X5862">
        <v>838487</v>
      </c>
      <c r="Y5862" s="2" t="s">
        <v>35539</v>
      </c>
      <c r="Z5862" s="2" t="s">
        <v>35540</v>
      </c>
      <c r="AA5862" t="s">
        <v>2560</v>
      </c>
      <c r="AB5862" t="s">
        <v>1211</v>
      </c>
      <c r="AD5862" t="s">
        <v>10253</v>
      </c>
      <c r="AE5862" t="s">
        <v>35541</v>
      </c>
      <c r="AG5862" t="s">
        <v>35542</v>
      </c>
      <c r="AH5862" t="s">
        <v>35543</v>
      </c>
      <c r="AI5862" t="s">
        <v>35544</v>
      </c>
    </row>
    <row r="5863" spans="2:35" ht="210">
      <c r="B5863" s="1">
        <v>45265</v>
      </c>
      <c r="C5863" s="4">
        <v>45265.554861111108</v>
      </c>
      <c r="D5863" t="s">
        <v>10465</v>
      </c>
      <c r="E5863" t="s">
        <v>10466</v>
      </c>
      <c r="F5863">
        <v>10</v>
      </c>
      <c r="G5863" t="s">
        <v>1395</v>
      </c>
      <c r="H5863" t="s">
        <v>2125</v>
      </c>
      <c r="I5863" t="s">
        <v>40</v>
      </c>
      <c r="J5863" s="2" t="s">
        <v>41</v>
      </c>
      <c r="K5863" t="s">
        <v>42</v>
      </c>
      <c r="L5863" t="s">
        <v>933</v>
      </c>
      <c r="N5863" t="s">
        <v>934</v>
      </c>
      <c r="Q5863">
        <v>26687</v>
      </c>
      <c r="R5863" t="s">
        <v>119</v>
      </c>
      <c r="S5863" t="s">
        <v>9174</v>
      </c>
      <c r="T5863">
        <v>25</v>
      </c>
      <c r="U5863" s="2" t="s">
        <v>9666</v>
      </c>
      <c r="V5863" s="1">
        <v>45251</v>
      </c>
      <c r="W5863" t="s">
        <v>3662</v>
      </c>
      <c r="X5863">
        <v>838557</v>
      </c>
      <c r="Y5863" t="s">
        <v>17950</v>
      </c>
      <c r="Z5863" t="s">
        <v>35545</v>
      </c>
      <c r="AA5863" s="2" t="s">
        <v>35546</v>
      </c>
      <c r="AB5863" t="s">
        <v>2131</v>
      </c>
      <c r="AD5863" s="2" t="s">
        <v>35547</v>
      </c>
      <c r="AE5863" t="s">
        <v>35548</v>
      </c>
      <c r="AG5863" t="s">
        <v>35549</v>
      </c>
      <c r="AH5863" t="s">
        <v>9177</v>
      </c>
      <c r="AI5863" t="s">
        <v>35550</v>
      </c>
    </row>
    <row r="5864" spans="2:35" ht="360">
      <c r="B5864" s="1">
        <v>45265</v>
      </c>
      <c r="C5864" s="4">
        <v>45265.527083333334</v>
      </c>
      <c r="D5864" t="s">
        <v>9995</v>
      </c>
      <c r="E5864" t="s">
        <v>35551</v>
      </c>
      <c r="F5864">
        <v>10</v>
      </c>
      <c r="G5864" t="s">
        <v>1395</v>
      </c>
      <c r="H5864" t="s">
        <v>1498</v>
      </c>
      <c r="I5864" t="s">
        <v>40</v>
      </c>
      <c r="J5864" s="2" t="s">
        <v>41</v>
      </c>
      <c r="K5864" t="s">
        <v>42</v>
      </c>
      <c r="L5864" t="s">
        <v>343</v>
      </c>
      <c r="N5864" t="s">
        <v>344</v>
      </c>
      <c r="Q5864">
        <v>26686</v>
      </c>
      <c r="R5864" t="s">
        <v>119</v>
      </c>
      <c r="S5864" t="s">
        <v>22161</v>
      </c>
      <c r="T5864">
        <v>24.7</v>
      </c>
      <c r="U5864" s="2" t="s">
        <v>8344</v>
      </c>
      <c r="V5864" s="1">
        <v>45251</v>
      </c>
      <c r="W5864" t="s">
        <v>84</v>
      </c>
      <c r="X5864">
        <v>838442</v>
      </c>
      <c r="Y5864" t="s">
        <v>35552</v>
      </c>
      <c r="Z5864" s="2" t="s">
        <v>35553</v>
      </c>
      <c r="AA5864" t="e">
        <f ca="1">-module Replacement
-Preventive Maintenance</f>
        <v>#NAME?</v>
      </c>
      <c r="AB5864" t="s">
        <v>9638</v>
      </c>
      <c r="AD5864" t="s">
        <v>35554</v>
      </c>
      <c r="AE5864" t="s">
        <v>35555</v>
      </c>
      <c r="AG5864" t="s">
        <v>35556</v>
      </c>
      <c r="AH5864" t="s">
        <v>10814</v>
      </c>
      <c r="AI5864" t="s">
        <v>35557</v>
      </c>
    </row>
    <row r="5865" spans="2:35" ht="45">
      <c r="B5865" s="1">
        <v>45265</v>
      </c>
      <c r="C5865" s="4">
        <v>45265.518750000003</v>
      </c>
      <c r="D5865" t="s">
        <v>5546</v>
      </c>
      <c r="E5865" t="s">
        <v>1555</v>
      </c>
      <c r="F5865">
        <v>7</v>
      </c>
      <c r="G5865" t="s">
        <v>432</v>
      </c>
      <c r="H5865" t="s">
        <v>39</v>
      </c>
      <c r="I5865" t="s">
        <v>40</v>
      </c>
      <c r="J5865" s="2" t="s">
        <v>1370</v>
      </c>
      <c r="K5865" t="s">
        <v>42</v>
      </c>
      <c r="L5865" t="s">
        <v>433</v>
      </c>
      <c r="N5865" t="s">
        <v>434</v>
      </c>
      <c r="Q5865">
        <v>26685</v>
      </c>
      <c r="R5865" t="s">
        <v>45</v>
      </c>
      <c r="S5865" t="s">
        <v>5548</v>
      </c>
      <c r="T5865">
        <v>28</v>
      </c>
      <c r="W5865" t="s">
        <v>360</v>
      </c>
      <c r="X5865">
        <v>804840</v>
      </c>
      <c r="Y5865" t="s">
        <v>35378</v>
      </c>
      <c r="Z5865" t="s">
        <v>35379</v>
      </c>
      <c r="AA5865" t="s">
        <v>35379</v>
      </c>
      <c r="AB5865" t="s">
        <v>1011</v>
      </c>
      <c r="AG5865" t="s">
        <v>35558</v>
      </c>
      <c r="AH5865" t="s">
        <v>5551</v>
      </c>
      <c r="AI5865" t="s">
        <v>35559</v>
      </c>
    </row>
    <row r="5866" spans="2:35" ht="105">
      <c r="B5866" s="1">
        <v>45265</v>
      </c>
      <c r="C5866" s="4">
        <v>45265.465277777781</v>
      </c>
      <c r="D5866" t="s">
        <v>10158</v>
      </c>
      <c r="E5866" t="s">
        <v>10812</v>
      </c>
      <c r="F5866">
        <v>10</v>
      </c>
      <c r="G5866" t="s">
        <v>1395</v>
      </c>
      <c r="H5866" t="s">
        <v>1498</v>
      </c>
      <c r="I5866" t="s">
        <v>40</v>
      </c>
      <c r="J5866" s="2" t="s">
        <v>62</v>
      </c>
      <c r="K5866" t="s">
        <v>42</v>
      </c>
      <c r="L5866" t="s">
        <v>343</v>
      </c>
      <c r="N5866" t="s">
        <v>344</v>
      </c>
      <c r="Q5866">
        <v>26684</v>
      </c>
      <c r="R5866" t="s">
        <v>119</v>
      </c>
      <c r="S5866" t="s">
        <v>10835</v>
      </c>
      <c r="T5866">
        <v>25.4</v>
      </c>
      <c r="U5866" s="2" t="s">
        <v>35560</v>
      </c>
      <c r="V5866" s="1">
        <v>45265</v>
      </c>
      <c r="W5866" t="s">
        <v>84</v>
      </c>
      <c r="X5866">
        <v>838435</v>
      </c>
      <c r="Y5866" t="s">
        <v>35561</v>
      </c>
      <c r="Z5866" t="s">
        <v>301</v>
      </c>
      <c r="AA5866" t="e">
        <f ca="1">-run XpertCheck on module C1
-Preventive Maintenance</f>
        <v>#NAME?</v>
      </c>
      <c r="AB5866" t="s">
        <v>35562</v>
      </c>
      <c r="AD5866" t="s">
        <v>35563</v>
      </c>
      <c r="AE5866" t="s">
        <v>103</v>
      </c>
      <c r="AG5866" t="s">
        <v>35564</v>
      </c>
      <c r="AH5866" t="s">
        <v>12950</v>
      </c>
      <c r="AI5866" t="s">
        <v>35565</v>
      </c>
    </row>
    <row r="5867" spans="2:35" ht="300">
      <c r="B5867" s="1">
        <v>45265</v>
      </c>
      <c r="C5867" s="4">
        <v>45265.459027777775</v>
      </c>
      <c r="D5867" t="s">
        <v>10158</v>
      </c>
      <c r="E5867" t="s">
        <v>10812</v>
      </c>
      <c r="F5867">
        <v>10</v>
      </c>
      <c r="G5867" t="s">
        <v>1395</v>
      </c>
      <c r="H5867" t="s">
        <v>1498</v>
      </c>
      <c r="I5867" t="s">
        <v>40</v>
      </c>
      <c r="J5867" s="2" t="s">
        <v>41</v>
      </c>
      <c r="K5867" t="s">
        <v>42</v>
      </c>
      <c r="L5867" t="s">
        <v>343</v>
      </c>
      <c r="N5867" t="s">
        <v>344</v>
      </c>
      <c r="Q5867">
        <v>26683</v>
      </c>
      <c r="R5867" t="s">
        <v>119</v>
      </c>
      <c r="S5867" t="s">
        <v>10835</v>
      </c>
      <c r="T5867">
        <v>25.4</v>
      </c>
      <c r="U5867" s="2" t="s">
        <v>35560</v>
      </c>
      <c r="V5867" s="1">
        <v>45251</v>
      </c>
      <c r="W5867" t="s">
        <v>84</v>
      </c>
      <c r="X5867">
        <v>838441</v>
      </c>
      <c r="Y5867" t="s">
        <v>35566</v>
      </c>
      <c r="Z5867" s="2" t="s">
        <v>35567</v>
      </c>
      <c r="AA5867" t="e">
        <f ca="1">-module Replacement
-Preventive Maintenance</f>
        <v>#NAME?</v>
      </c>
      <c r="AB5867" t="s">
        <v>9638</v>
      </c>
      <c r="AD5867" t="s">
        <v>35568</v>
      </c>
      <c r="AE5867" t="s">
        <v>35569</v>
      </c>
      <c r="AG5867" t="s">
        <v>35570</v>
      </c>
      <c r="AH5867" t="s">
        <v>12950</v>
      </c>
      <c r="AI5867" t="s">
        <v>35571</v>
      </c>
    </row>
    <row r="5868" spans="2:35" ht="240">
      <c r="B5868" s="1">
        <v>45265</v>
      </c>
      <c r="C5868" s="4">
        <v>45265.444444444445</v>
      </c>
      <c r="D5868" t="s">
        <v>35572</v>
      </c>
      <c r="E5868" t="s">
        <v>8313</v>
      </c>
      <c r="F5868">
        <v>5</v>
      </c>
      <c r="G5868" t="s">
        <v>8314</v>
      </c>
      <c r="H5868" t="s">
        <v>39</v>
      </c>
      <c r="I5868" t="s">
        <v>40</v>
      </c>
      <c r="J5868" s="2" t="s">
        <v>41</v>
      </c>
      <c r="K5868" t="s">
        <v>42</v>
      </c>
      <c r="L5868" t="s">
        <v>761</v>
      </c>
      <c r="N5868" t="s">
        <v>762</v>
      </c>
      <c r="Q5868">
        <v>26682</v>
      </c>
      <c r="R5868" t="s">
        <v>119</v>
      </c>
      <c r="S5868" t="s">
        <v>10657</v>
      </c>
      <c r="T5868">
        <v>28</v>
      </c>
      <c r="U5868" s="2" t="s">
        <v>25187</v>
      </c>
      <c r="W5868" t="s">
        <v>360</v>
      </c>
      <c r="X5868">
        <v>838563</v>
      </c>
      <c r="Y5868" t="s">
        <v>35573</v>
      </c>
      <c r="Z5868" s="2" t="s">
        <v>35574</v>
      </c>
      <c r="AA5868" s="2" t="s">
        <v>35575</v>
      </c>
      <c r="AB5868" t="s">
        <v>181</v>
      </c>
      <c r="AG5868" t="s">
        <v>35576</v>
      </c>
      <c r="AH5868" t="s">
        <v>8318</v>
      </c>
      <c r="AI5868" t="s">
        <v>35577</v>
      </c>
    </row>
    <row r="5869" spans="2:35" ht="120">
      <c r="B5869" s="1">
        <v>45265</v>
      </c>
      <c r="C5869" s="4">
        <v>45264.522916666669</v>
      </c>
      <c r="D5869" t="s">
        <v>5496</v>
      </c>
      <c r="E5869" t="s">
        <v>21287</v>
      </c>
      <c r="F5869">
        <v>5</v>
      </c>
      <c r="G5869" t="s">
        <v>839</v>
      </c>
      <c r="H5869" t="s">
        <v>39</v>
      </c>
      <c r="I5869" t="s">
        <v>40</v>
      </c>
      <c r="J5869" t="s">
        <v>109</v>
      </c>
      <c r="K5869" t="s">
        <v>42</v>
      </c>
      <c r="L5869" t="s">
        <v>761</v>
      </c>
      <c r="N5869" t="s">
        <v>762</v>
      </c>
      <c r="Q5869">
        <v>26681</v>
      </c>
      <c r="R5869" t="s">
        <v>119</v>
      </c>
      <c r="S5869" t="s">
        <v>5498</v>
      </c>
      <c r="T5869">
        <v>24</v>
      </c>
      <c r="U5869" s="2" t="s">
        <v>35578</v>
      </c>
      <c r="W5869" t="s">
        <v>765</v>
      </c>
      <c r="X5869">
        <v>838391</v>
      </c>
      <c r="Y5869" t="s">
        <v>1052</v>
      </c>
      <c r="Z5869" s="2" t="s">
        <v>35579</v>
      </c>
      <c r="AA5869" t="s">
        <v>820</v>
      </c>
      <c r="AB5869" t="s">
        <v>181</v>
      </c>
      <c r="AG5869" t="s">
        <v>35580</v>
      </c>
      <c r="AH5869" t="s">
        <v>35581</v>
      </c>
      <c r="AI5869" t="s">
        <v>35582</v>
      </c>
    </row>
    <row r="5870" spans="2:35" ht="75">
      <c r="B5870" s="1">
        <v>45265</v>
      </c>
      <c r="C5870" s="4">
        <v>45265.390277777777</v>
      </c>
      <c r="D5870" t="s">
        <v>35487</v>
      </c>
      <c r="E5870" t="s">
        <v>35583</v>
      </c>
      <c r="F5870" t="s">
        <v>1255</v>
      </c>
      <c r="G5870" t="s">
        <v>17856</v>
      </c>
      <c r="H5870" t="s">
        <v>39</v>
      </c>
      <c r="I5870" t="s">
        <v>94</v>
      </c>
      <c r="J5870" s="2" t="s">
        <v>17375</v>
      </c>
      <c r="K5870" t="s">
        <v>42</v>
      </c>
      <c r="L5870" t="s">
        <v>1257</v>
      </c>
      <c r="N5870" t="s">
        <v>2199</v>
      </c>
      <c r="O5870" t="s">
        <v>1258</v>
      </c>
      <c r="Q5870">
        <v>26680</v>
      </c>
      <c r="R5870" t="s">
        <v>119</v>
      </c>
      <c r="S5870" t="s">
        <v>35584</v>
      </c>
      <c r="T5870">
        <v>27</v>
      </c>
      <c r="V5870" s="1">
        <v>45265</v>
      </c>
      <c r="W5870" t="s">
        <v>2384</v>
      </c>
      <c r="X5870">
        <v>808643</v>
      </c>
      <c r="Y5870" t="s">
        <v>35585</v>
      </c>
      <c r="Z5870" t="s">
        <v>35586</v>
      </c>
      <c r="AA5870" t="s">
        <v>22443</v>
      </c>
      <c r="AB5870" t="s">
        <v>7411</v>
      </c>
      <c r="AC5870" t="s">
        <v>301</v>
      </c>
      <c r="AD5870" t="s">
        <v>54</v>
      </c>
      <c r="AE5870" t="s">
        <v>54</v>
      </c>
      <c r="AG5870" t="s">
        <v>35587</v>
      </c>
      <c r="AH5870" t="s">
        <v>35588</v>
      </c>
      <c r="AI5870" t="s">
        <v>35589</v>
      </c>
    </row>
    <row r="5871" spans="2:35" ht="210">
      <c r="B5871" s="1">
        <v>45265</v>
      </c>
      <c r="C5871" s="4">
        <v>45265.431944444441</v>
      </c>
      <c r="D5871" t="s">
        <v>1533</v>
      </c>
      <c r="E5871" t="s">
        <v>1534</v>
      </c>
      <c r="F5871">
        <v>8</v>
      </c>
      <c r="G5871" t="s">
        <v>630</v>
      </c>
      <c r="H5871" t="s">
        <v>202</v>
      </c>
      <c r="I5871" t="s">
        <v>94</v>
      </c>
      <c r="J5871" s="2" t="s">
        <v>32320</v>
      </c>
      <c r="K5871" t="s">
        <v>42</v>
      </c>
      <c r="L5871" t="s">
        <v>259</v>
      </c>
      <c r="N5871" t="s">
        <v>260</v>
      </c>
      <c r="O5871" t="s">
        <v>35590</v>
      </c>
      <c r="Q5871">
        <v>26679</v>
      </c>
      <c r="R5871" t="s">
        <v>45</v>
      </c>
      <c r="S5871" t="s">
        <v>35591</v>
      </c>
      <c r="T5871">
        <v>34</v>
      </c>
      <c r="U5871" s="2" t="s">
        <v>35592</v>
      </c>
      <c r="V5871" s="1">
        <v>45265</v>
      </c>
      <c r="W5871" t="s">
        <v>84</v>
      </c>
      <c r="X5871">
        <v>804256</v>
      </c>
      <c r="Y5871" s="2" t="s">
        <v>35593</v>
      </c>
      <c r="Z5871" t="e">
        <f ca="1">- Troubleshooting
- Repair
- Preventive Maintenance</f>
        <v>#NAME?</v>
      </c>
      <c r="AA5871" t="e">
        <f ca="1">- performed Troubleshooting on CPU
- checked BIOS firmware
- replaced CMOS battery
- performed Preventive Maintenance
- performed functionality test
- Generate reports</f>
        <v>#NAME?</v>
      </c>
      <c r="AB5871" t="s">
        <v>70</v>
      </c>
      <c r="AC5871" t="s">
        <v>35594</v>
      </c>
      <c r="AG5871" t="s">
        <v>35595</v>
      </c>
      <c r="AH5871" t="s">
        <v>35596</v>
      </c>
      <c r="AI5871" t="s">
        <v>35597</v>
      </c>
    </row>
    <row r="5872" spans="2:35" ht="255">
      <c r="B5872" s="1">
        <v>45265</v>
      </c>
      <c r="C5872" s="4">
        <v>45265.397916666669</v>
      </c>
      <c r="D5872" t="s">
        <v>26323</v>
      </c>
      <c r="E5872" t="s">
        <v>35598</v>
      </c>
      <c r="F5872" t="s">
        <v>37</v>
      </c>
      <c r="G5872" t="s">
        <v>447</v>
      </c>
      <c r="H5872" t="s">
        <v>39</v>
      </c>
      <c r="I5872" t="s">
        <v>40</v>
      </c>
      <c r="J5872" s="2" t="s">
        <v>190</v>
      </c>
      <c r="K5872" t="s">
        <v>42</v>
      </c>
      <c r="L5872" t="s">
        <v>15532</v>
      </c>
      <c r="N5872" t="s">
        <v>15533</v>
      </c>
      <c r="Q5872">
        <v>26678</v>
      </c>
      <c r="R5872" t="s">
        <v>119</v>
      </c>
      <c r="S5872" t="s">
        <v>33793</v>
      </c>
      <c r="T5872">
        <v>24</v>
      </c>
      <c r="U5872" s="2" t="s">
        <v>8634</v>
      </c>
      <c r="W5872" t="s">
        <v>15535</v>
      </c>
      <c r="X5872">
        <v>831597</v>
      </c>
      <c r="Y5872" t="s">
        <v>35599</v>
      </c>
      <c r="Z5872" s="2" t="s">
        <v>35600</v>
      </c>
      <c r="AA5872" t="s">
        <v>35601</v>
      </c>
      <c r="AB5872" s="2" t="s">
        <v>35602</v>
      </c>
      <c r="AC5872" t="s">
        <v>35018</v>
      </c>
      <c r="AG5872" t="s">
        <v>35603</v>
      </c>
      <c r="AH5872" t="s">
        <v>33152</v>
      </c>
      <c r="AI5872" t="s">
        <v>35604</v>
      </c>
    </row>
    <row r="5873" spans="2:35" ht="409.5">
      <c r="B5873" s="1">
        <v>45265</v>
      </c>
      <c r="C5873" s="4">
        <v>45264.594444444447</v>
      </c>
      <c r="D5873" t="s">
        <v>9951</v>
      </c>
      <c r="E5873" t="s">
        <v>4260</v>
      </c>
      <c r="F5873" t="s">
        <v>148</v>
      </c>
      <c r="G5873" t="s">
        <v>2007</v>
      </c>
      <c r="H5873" t="s">
        <v>662</v>
      </c>
      <c r="I5873" t="s">
        <v>40</v>
      </c>
      <c r="J5873" t="s">
        <v>79</v>
      </c>
      <c r="K5873" t="s">
        <v>42</v>
      </c>
      <c r="L5873" t="s">
        <v>448</v>
      </c>
      <c r="N5873" t="s">
        <v>650</v>
      </c>
      <c r="O5873" t="s">
        <v>14456</v>
      </c>
      <c r="Q5873">
        <v>26677</v>
      </c>
      <c r="R5873" t="s">
        <v>95</v>
      </c>
      <c r="S5873" t="s">
        <v>2008</v>
      </c>
      <c r="T5873">
        <v>28</v>
      </c>
      <c r="U5873" s="2" t="s">
        <v>35605</v>
      </c>
      <c r="V5873" s="1">
        <v>45264</v>
      </c>
      <c r="W5873" t="s">
        <v>35606</v>
      </c>
      <c r="X5873">
        <v>110001647</v>
      </c>
      <c r="Y5873" t="s">
        <v>35607</v>
      </c>
      <c r="Z5873" s="2" t="s">
        <v>2585</v>
      </c>
      <c r="AA5873" t="s">
        <v>5712</v>
      </c>
      <c r="AB5873" t="s">
        <v>486</v>
      </c>
      <c r="AD5873" t="s">
        <v>10535</v>
      </c>
      <c r="AE5873">
        <v>10869</v>
      </c>
      <c r="AG5873" t="s">
        <v>35608</v>
      </c>
      <c r="AH5873" t="s">
        <v>35609</v>
      </c>
      <c r="AI5873" t="s">
        <v>35610</v>
      </c>
    </row>
    <row r="5874" spans="2:35" ht="405">
      <c r="B5874" s="1">
        <v>45264</v>
      </c>
      <c r="C5874" s="4">
        <v>45264.818055555559</v>
      </c>
      <c r="D5874" t="s">
        <v>35611</v>
      </c>
      <c r="E5874" t="s">
        <v>12017</v>
      </c>
      <c r="F5874">
        <v>7</v>
      </c>
      <c r="G5874" t="s">
        <v>432</v>
      </c>
      <c r="H5874" t="s">
        <v>10969</v>
      </c>
      <c r="I5874" t="s">
        <v>40</v>
      </c>
      <c r="J5874" s="2" t="s">
        <v>41</v>
      </c>
      <c r="K5874" t="s">
        <v>42</v>
      </c>
      <c r="L5874" t="s">
        <v>1288</v>
      </c>
      <c r="N5874" t="s">
        <v>1289</v>
      </c>
      <c r="Q5874">
        <v>26676</v>
      </c>
      <c r="R5874" t="s">
        <v>119</v>
      </c>
      <c r="S5874" t="s">
        <v>5564</v>
      </c>
      <c r="T5874">
        <v>28</v>
      </c>
      <c r="U5874" s="2" t="s">
        <v>35612</v>
      </c>
      <c r="W5874" t="s">
        <v>1292</v>
      </c>
      <c r="X5874">
        <v>838561</v>
      </c>
      <c r="Y5874" t="s">
        <v>35613</v>
      </c>
      <c r="Z5874" t="e">
        <f ca="1">-COLLECT IQR,system _xludf.Log, _xludf.and ARCHIVE</f>
        <v>#NAME?</v>
      </c>
      <c r="AA5874" s="2" t="s">
        <v>35614</v>
      </c>
      <c r="AB5874" t="s">
        <v>1293</v>
      </c>
      <c r="AG5874" t="s">
        <v>35615</v>
      </c>
      <c r="AH5874" t="s">
        <v>35616</v>
      </c>
      <c r="AI5874" t="s">
        <v>35617</v>
      </c>
    </row>
    <row r="5875" spans="2:35" ht="135">
      <c r="B5875" s="1">
        <v>45264</v>
      </c>
      <c r="C5875" s="4">
        <v>45264.686111111114</v>
      </c>
      <c r="D5875" t="s">
        <v>2520</v>
      </c>
      <c r="E5875" t="s">
        <v>35618</v>
      </c>
      <c r="F5875" t="s">
        <v>37</v>
      </c>
      <c r="G5875" t="s">
        <v>2499</v>
      </c>
      <c r="H5875" t="s">
        <v>39</v>
      </c>
      <c r="I5875" t="s">
        <v>94</v>
      </c>
      <c r="J5875" s="2" t="s">
        <v>41</v>
      </c>
      <c r="K5875" t="s">
        <v>42</v>
      </c>
      <c r="L5875" t="s">
        <v>15532</v>
      </c>
      <c r="N5875" t="s">
        <v>15533</v>
      </c>
      <c r="Q5875">
        <v>26675</v>
      </c>
      <c r="R5875" t="s">
        <v>119</v>
      </c>
      <c r="S5875" t="s">
        <v>34886</v>
      </c>
      <c r="T5875">
        <v>23</v>
      </c>
      <c r="U5875" s="2" t="s">
        <v>13567</v>
      </c>
      <c r="V5875" s="1">
        <v>45251</v>
      </c>
      <c r="W5875" t="s">
        <v>15535</v>
      </c>
      <c r="X5875">
        <v>831910</v>
      </c>
      <c r="Y5875" t="s">
        <v>2514</v>
      </c>
      <c r="Z5875" s="2" t="s">
        <v>35619</v>
      </c>
      <c r="AA5875" s="2" t="s">
        <v>35620</v>
      </c>
      <c r="AB5875" s="2" t="s">
        <v>35621</v>
      </c>
      <c r="AC5875" t="s">
        <v>35622</v>
      </c>
      <c r="AD5875" t="s">
        <v>24505</v>
      </c>
      <c r="AE5875" t="s">
        <v>35623</v>
      </c>
      <c r="AG5875" t="s">
        <v>35624</v>
      </c>
      <c r="AH5875" t="s">
        <v>2527</v>
      </c>
      <c r="AI5875" t="s">
        <v>35625</v>
      </c>
    </row>
    <row r="5876" spans="2:35" ht="409.5">
      <c r="B5876" s="1">
        <v>45264</v>
      </c>
      <c r="C5876" s="4">
        <v>45260.636805555558</v>
      </c>
      <c r="D5876" t="s">
        <v>2529</v>
      </c>
      <c r="E5876" t="s">
        <v>35626</v>
      </c>
      <c r="F5876" t="s">
        <v>37</v>
      </c>
      <c r="G5876" t="s">
        <v>2499</v>
      </c>
      <c r="H5876" t="s">
        <v>39</v>
      </c>
      <c r="I5876" t="s">
        <v>40</v>
      </c>
      <c r="J5876" s="2" t="s">
        <v>190</v>
      </c>
      <c r="K5876" t="s">
        <v>42</v>
      </c>
      <c r="L5876" t="s">
        <v>15532</v>
      </c>
      <c r="N5876" t="s">
        <v>15533</v>
      </c>
      <c r="Q5876">
        <v>26674</v>
      </c>
      <c r="R5876" t="s">
        <v>45</v>
      </c>
      <c r="S5876" t="s">
        <v>2531</v>
      </c>
      <c r="T5876">
        <v>24</v>
      </c>
      <c r="U5876" s="2" t="s">
        <v>35627</v>
      </c>
      <c r="W5876" t="s">
        <v>3244</v>
      </c>
      <c r="X5876" t="s">
        <v>35628</v>
      </c>
      <c r="Y5876" t="s">
        <v>35629</v>
      </c>
      <c r="Z5876" s="2" t="s">
        <v>35630</v>
      </c>
      <c r="AA5876" t="s">
        <v>35631</v>
      </c>
      <c r="AB5876" t="s">
        <v>7445</v>
      </c>
      <c r="AG5876" t="s">
        <v>35632</v>
      </c>
      <c r="AH5876" t="s">
        <v>2536</v>
      </c>
      <c r="AI5876" t="s">
        <v>35633</v>
      </c>
    </row>
    <row r="5877" spans="2:35" ht="120">
      <c r="B5877" s="1">
        <v>45264</v>
      </c>
      <c r="C5877" s="4">
        <v>45264.609027777777</v>
      </c>
      <c r="D5877" t="s">
        <v>34625</v>
      </c>
      <c r="E5877" t="s">
        <v>34626</v>
      </c>
      <c r="F5877" t="s">
        <v>148</v>
      </c>
      <c r="G5877" t="s">
        <v>447</v>
      </c>
      <c r="H5877" t="s">
        <v>9774</v>
      </c>
      <c r="I5877" t="s">
        <v>40</v>
      </c>
      <c r="J5877" t="s">
        <v>109</v>
      </c>
      <c r="K5877" t="s">
        <v>408</v>
      </c>
      <c r="L5877" t="s">
        <v>409</v>
      </c>
      <c r="N5877" t="s">
        <v>410</v>
      </c>
      <c r="P5877" t="s">
        <v>35634</v>
      </c>
      <c r="Q5877">
        <v>26673</v>
      </c>
      <c r="R5877" t="s">
        <v>95</v>
      </c>
      <c r="S5877" t="s">
        <v>16934</v>
      </c>
      <c r="T5877">
        <v>23</v>
      </c>
      <c r="V5877" s="1">
        <v>45126</v>
      </c>
      <c r="W5877" t="s">
        <v>35635</v>
      </c>
      <c r="X5877" t="s">
        <v>35636</v>
      </c>
      <c r="Y5877" t="s">
        <v>24864</v>
      </c>
      <c r="Z5877" t="s">
        <v>35637</v>
      </c>
      <c r="AA5877" s="2" t="s">
        <v>35638</v>
      </c>
      <c r="AB5877" t="s">
        <v>35639</v>
      </c>
      <c r="AD5877" t="s">
        <v>35640</v>
      </c>
      <c r="AE5877">
        <v>10106</v>
      </c>
      <c r="AG5877" t="s">
        <v>35641</v>
      </c>
      <c r="AH5877" t="s">
        <v>35642</v>
      </c>
      <c r="AI5877" t="s">
        <v>35643</v>
      </c>
    </row>
    <row r="5878" spans="2:35" ht="135">
      <c r="B5878" s="1">
        <v>45264</v>
      </c>
      <c r="C5878" s="4">
        <v>45261.504861111112</v>
      </c>
      <c r="D5878" t="s">
        <v>31923</v>
      </c>
      <c r="E5878" t="s">
        <v>35644</v>
      </c>
      <c r="F5878" t="s">
        <v>37</v>
      </c>
      <c r="G5878" t="s">
        <v>748</v>
      </c>
      <c r="H5878" t="s">
        <v>39</v>
      </c>
      <c r="I5878" t="s">
        <v>40</v>
      </c>
      <c r="J5878" s="2" t="s">
        <v>1170</v>
      </c>
      <c r="K5878" t="s">
        <v>42</v>
      </c>
      <c r="L5878" t="s">
        <v>1028</v>
      </c>
      <c r="N5878" t="s">
        <v>1029</v>
      </c>
      <c r="Q5878">
        <v>26671</v>
      </c>
      <c r="R5878" t="s">
        <v>45</v>
      </c>
      <c r="S5878" t="s">
        <v>35645</v>
      </c>
      <c r="T5878">
        <v>25</v>
      </c>
      <c r="U5878" s="2" t="s">
        <v>31085</v>
      </c>
      <c r="V5878" s="1">
        <v>45258</v>
      </c>
      <c r="W5878" t="s">
        <v>2680</v>
      </c>
      <c r="X5878">
        <v>838185</v>
      </c>
      <c r="Y5878" t="s">
        <v>35646</v>
      </c>
      <c r="Z5878" t="s">
        <v>2129</v>
      </c>
      <c r="AA5878" s="2" t="s">
        <v>35647</v>
      </c>
      <c r="AB5878" t="s">
        <v>3063</v>
      </c>
      <c r="AD5878" t="s">
        <v>10783</v>
      </c>
      <c r="AE5878" t="s">
        <v>35648</v>
      </c>
      <c r="AG5878" t="s">
        <v>35649</v>
      </c>
      <c r="AH5878" t="s">
        <v>35650</v>
      </c>
      <c r="AI5878" t="s">
        <v>35651</v>
      </c>
    </row>
    <row r="5879" spans="2:35" ht="210">
      <c r="B5879" s="1">
        <v>45264</v>
      </c>
      <c r="C5879" s="4">
        <v>45259.413888888892</v>
      </c>
      <c r="D5879" t="s">
        <v>23439</v>
      </c>
      <c r="E5879" t="s">
        <v>35652</v>
      </c>
      <c r="F5879" t="s">
        <v>37</v>
      </c>
      <c r="G5879" t="s">
        <v>189</v>
      </c>
      <c r="H5879" t="s">
        <v>39</v>
      </c>
      <c r="I5879" t="s">
        <v>40</v>
      </c>
      <c r="J5879" s="2" t="s">
        <v>30202</v>
      </c>
      <c r="K5879" t="s">
        <v>42</v>
      </c>
      <c r="L5879" t="s">
        <v>1028</v>
      </c>
      <c r="N5879" t="s">
        <v>1029</v>
      </c>
      <c r="Q5879">
        <v>26671</v>
      </c>
      <c r="R5879" t="s">
        <v>45</v>
      </c>
      <c r="S5879" t="s">
        <v>35653</v>
      </c>
      <c r="T5879">
        <v>27</v>
      </c>
      <c r="U5879" s="2" t="s">
        <v>9660</v>
      </c>
      <c r="V5879" s="1">
        <v>45258</v>
      </c>
      <c r="W5879" t="s">
        <v>5595</v>
      </c>
      <c r="X5879">
        <v>838451</v>
      </c>
      <c r="Y5879" t="s">
        <v>35654</v>
      </c>
      <c r="Z5879" t="s">
        <v>2129</v>
      </c>
      <c r="AA5879" s="2" t="s">
        <v>35655</v>
      </c>
      <c r="AB5879" t="s">
        <v>3063</v>
      </c>
      <c r="AD5879" t="s">
        <v>18642</v>
      </c>
      <c r="AE5879" t="s">
        <v>35656</v>
      </c>
      <c r="AG5879" t="s">
        <v>35657</v>
      </c>
      <c r="AH5879" t="s">
        <v>35658</v>
      </c>
      <c r="AI5879" t="s">
        <v>35659</v>
      </c>
    </row>
    <row r="5880" spans="2:35" ht="195">
      <c r="B5880" s="1">
        <v>45264</v>
      </c>
      <c r="C5880" s="4">
        <v>45260.622916666667</v>
      </c>
      <c r="D5880" t="s">
        <v>25805</v>
      </c>
      <c r="E5880" t="s">
        <v>35660</v>
      </c>
      <c r="F5880" t="s">
        <v>148</v>
      </c>
      <c r="G5880" t="s">
        <v>774</v>
      </c>
      <c r="H5880" t="s">
        <v>39</v>
      </c>
      <c r="I5880" t="s">
        <v>40</v>
      </c>
      <c r="J5880" s="2" t="s">
        <v>30202</v>
      </c>
      <c r="K5880" t="s">
        <v>42</v>
      </c>
      <c r="L5880" t="s">
        <v>1028</v>
      </c>
      <c r="N5880" t="s">
        <v>1029</v>
      </c>
      <c r="Q5880">
        <v>26672</v>
      </c>
      <c r="R5880" t="s">
        <v>45</v>
      </c>
      <c r="S5880" t="s">
        <v>35661</v>
      </c>
      <c r="T5880">
        <v>25</v>
      </c>
      <c r="U5880" s="2" t="s">
        <v>35662</v>
      </c>
      <c r="V5880" s="1">
        <v>45254</v>
      </c>
      <c r="W5880" t="s">
        <v>1032</v>
      </c>
      <c r="X5880">
        <v>848244</v>
      </c>
      <c r="Y5880" t="s">
        <v>35646</v>
      </c>
      <c r="Z5880" t="s">
        <v>2129</v>
      </c>
      <c r="AA5880" s="2" t="s">
        <v>33258</v>
      </c>
      <c r="AB5880" t="s">
        <v>3063</v>
      </c>
      <c r="AD5880" t="s">
        <v>2562</v>
      </c>
      <c r="AE5880" t="s">
        <v>35663</v>
      </c>
      <c r="AG5880" t="s">
        <v>35664</v>
      </c>
      <c r="AH5880" t="s">
        <v>35665</v>
      </c>
      <c r="AI5880" t="s">
        <v>35666</v>
      </c>
    </row>
    <row r="5881" spans="2:35" ht="105">
      <c r="B5881" s="1">
        <v>45264</v>
      </c>
      <c r="C5881" s="4">
        <v>45264.543749999997</v>
      </c>
      <c r="D5881" t="s">
        <v>2123</v>
      </c>
      <c r="E5881" t="s">
        <v>35667</v>
      </c>
      <c r="F5881">
        <v>10</v>
      </c>
      <c r="G5881" t="s">
        <v>1395</v>
      </c>
      <c r="H5881" t="s">
        <v>2125</v>
      </c>
      <c r="I5881" t="s">
        <v>40</v>
      </c>
      <c r="J5881" s="2" t="s">
        <v>30202</v>
      </c>
      <c r="K5881" t="s">
        <v>42</v>
      </c>
      <c r="L5881" t="s">
        <v>933</v>
      </c>
      <c r="N5881" t="s">
        <v>934</v>
      </c>
      <c r="Q5881">
        <v>26670</v>
      </c>
      <c r="R5881" t="s">
        <v>45</v>
      </c>
      <c r="S5881" t="s">
        <v>35668</v>
      </c>
      <c r="T5881">
        <v>27.45</v>
      </c>
      <c r="U5881" s="2" t="s">
        <v>35669</v>
      </c>
      <c r="W5881" t="s">
        <v>3662</v>
      </c>
      <c r="X5881">
        <v>807572</v>
      </c>
      <c r="Y5881" t="s">
        <v>301</v>
      </c>
      <c r="Z5881" t="s">
        <v>301</v>
      </c>
      <c r="AA5881" t="s">
        <v>35670</v>
      </c>
      <c r="AB5881" t="s">
        <v>2131</v>
      </c>
      <c r="AG5881" t="s">
        <v>35671</v>
      </c>
      <c r="AH5881" t="s">
        <v>2133</v>
      </c>
      <c r="AI5881" t="s">
        <v>35672</v>
      </c>
    </row>
    <row r="5882" spans="2:35" ht="405">
      <c r="B5882" s="1">
        <v>45264</v>
      </c>
      <c r="C5882" s="4">
        <v>45264.550694444442</v>
      </c>
      <c r="D5882" t="s">
        <v>9653</v>
      </c>
      <c r="E5882" t="s">
        <v>18991</v>
      </c>
      <c r="F5882">
        <v>12</v>
      </c>
      <c r="G5882" t="s">
        <v>2392</v>
      </c>
      <c r="H5882" t="s">
        <v>608</v>
      </c>
      <c r="I5882" t="s">
        <v>40</v>
      </c>
      <c r="J5882" t="s">
        <v>79</v>
      </c>
      <c r="K5882" t="s">
        <v>42</v>
      </c>
      <c r="L5882" t="s">
        <v>610</v>
      </c>
      <c r="N5882" t="s">
        <v>611</v>
      </c>
      <c r="Q5882">
        <v>26669</v>
      </c>
      <c r="R5882" t="s">
        <v>119</v>
      </c>
      <c r="S5882" t="s">
        <v>18992</v>
      </c>
      <c r="T5882">
        <v>24</v>
      </c>
      <c r="U5882" s="2" t="s">
        <v>35673</v>
      </c>
      <c r="W5882" t="s">
        <v>360</v>
      </c>
      <c r="X5882">
        <v>838229</v>
      </c>
      <c r="Y5882" t="s">
        <v>35674</v>
      </c>
      <c r="Z5882" s="2" t="s">
        <v>35675</v>
      </c>
      <c r="AA5882" s="2" t="s">
        <v>35676</v>
      </c>
      <c r="AB5882" t="s">
        <v>1211</v>
      </c>
      <c r="AG5882" t="s">
        <v>35677</v>
      </c>
      <c r="AH5882" t="s">
        <v>18998</v>
      </c>
      <c r="AI5882" t="s">
        <v>35678</v>
      </c>
    </row>
    <row r="5883" spans="2:35" ht="225">
      <c r="B5883" s="1">
        <v>45264</v>
      </c>
      <c r="C5883" s="4">
        <v>45264.480555555558</v>
      </c>
      <c r="D5883" t="s">
        <v>9642</v>
      </c>
      <c r="E5883" t="s">
        <v>19000</v>
      </c>
      <c r="F5883">
        <v>12</v>
      </c>
      <c r="G5883" t="s">
        <v>2392</v>
      </c>
      <c r="H5883" t="s">
        <v>608</v>
      </c>
      <c r="I5883" t="s">
        <v>40</v>
      </c>
      <c r="J5883" t="s">
        <v>79</v>
      </c>
      <c r="K5883" t="s">
        <v>42</v>
      </c>
      <c r="L5883" t="s">
        <v>610</v>
      </c>
      <c r="N5883" t="s">
        <v>611</v>
      </c>
      <c r="Q5883">
        <v>26668</v>
      </c>
      <c r="R5883" t="s">
        <v>119</v>
      </c>
      <c r="S5883" t="s">
        <v>25249</v>
      </c>
      <c r="T5883">
        <v>28</v>
      </c>
      <c r="U5883" s="2" t="s">
        <v>35679</v>
      </c>
      <c r="W5883" t="s">
        <v>360</v>
      </c>
      <c r="X5883">
        <v>838224</v>
      </c>
      <c r="Y5883" t="s">
        <v>35680</v>
      </c>
      <c r="Z5883" t="s">
        <v>35681</v>
      </c>
      <c r="AA5883" s="2" t="s">
        <v>35682</v>
      </c>
      <c r="AB5883" t="s">
        <v>1263</v>
      </c>
      <c r="AG5883" t="s">
        <v>35683</v>
      </c>
      <c r="AH5883" t="s">
        <v>25254</v>
      </c>
      <c r="AI5883" t="s">
        <v>35684</v>
      </c>
    </row>
    <row r="5884" spans="2:35" ht="105">
      <c r="B5884" s="1">
        <v>45264</v>
      </c>
      <c r="C5884" s="4">
        <v>45261.495833333334</v>
      </c>
      <c r="D5884" t="s">
        <v>35685</v>
      </c>
      <c r="E5884" t="s">
        <v>35686</v>
      </c>
      <c r="F5884" t="s">
        <v>1255</v>
      </c>
      <c r="G5884" t="s">
        <v>3346</v>
      </c>
      <c r="H5884" t="s">
        <v>39</v>
      </c>
      <c r="I5884" t="s">
        <v>94</v>
      </c>
      <c r="J5884" s="2" t="s">
        <v>17375</v>
      </c>
      <c r="K5884" t="s">
        <v>42</v>
      </c>
      <c r="L5884" t="s">
        <v>1257</v>
      </c>
      <c r="N5884" t="s">
        <v>2199</v>
      </c>
      <c r="O5884" t="s">
        <v>1258</v>
      </c>
      <c r="Q5884">
        <v>26667</v>
      </c>
      <c r="R5884" t="s">
        <v>45</v>
      </c>
      <c r="S5884" t="s">
        <v>35687</v>
      </c>
      <c r="T5884">
        <v>26</v>
      </c>
      <c r="U5884" s="2" t="s">
        <v>17510</v>
      </c>
      <c r="V5884" s="1">
        <v>45261</v>
      </c>
      <c r="W5884" t="s">
        <v>2384</v>
      </c>
      <c r="X5884">
        <v>812773</v>
      </c>
      <c r="Y5884" t="s">
        <v>31865</v>
      </c>
      <c r="Z5884" t="s">
        <v>35688</v>
      </c>
      <c r="AA5884" t="s">
        <v>22443</v>
      </c>
      <c r="AB5884" t="s">
        <v>7411</v>
      </c>
      <c r="AC5884" t="s">
        <v>301</v>
      </c>
      <c r="AD5884" t="s">
        <v>54</v>
      </c>
      <c r="AE5884" t="s">
        <v>54</v>
      </c>
      <c r="AG5884" t="s">
        <v>35689</v>
      </c>
      <c r="AH5884" t="s">
        <v>35690</v>
      </c>
      <c r="AI5884" t="s">
        <v>35691</v>
      </c>
    </row>
    <row r="5885" spans="2:35" ht="315">
      <c r="B5885" s="1">
        <v>45264</v>
      </c>
      <c r="C5885" s="4">
        <v>45264.461805555555</v>
      </c>
      <c r="D5885" t="s">
        <v>18395</v>
      </c>
      <c r="E5885" t="s">
        <v>18396</v>
      </c>
      <c r="F5885">
        <v>12</v>
      </c>
      <c r="G5885" t="s">
        <v>2392</v>
      </c>
      <c r="H5885" t="s">
        <v>608</v>
      </c>
      <c r="I5885" t="s">
        <v>40</v>
      </c>
      <c r="J5885" t="s">
        <v>79</v>
      </c>
      <c r="K5885" t="s">
        <v>42</v>
      </c>
      <c r="L5885" t="s">
        <v>610</v>
      </c>
      <c r="N5885" t="s">
        <v>611</v>
      </c>
      <c r="Q5885">
        <v>26666</v>
      </c>
      <c r="R5885" t="s">
        <v>119</v>
      </c>
      <c r="S5885" t="s">
        <v>18397</v>
      </c>
      <c r="T5885">
        <v>29</v>
      </c>
      <c r="U5885" s="2" t="s">
        <v>25019</v>
      </c>
      <c r="W5885" t="s">
        <v>360</v>
      </c>
      <c r="X5885">
        <v>838227</v>
      </c>
      <c r="Y5885" t="s">
        <v>35692</v>
      </c>
      <c r="Z5885" t="s">
        <v>35693</v>
      </c>
      <c r="AA5885" s="2" t="s">
        <v>35694</v>
      </c>
      <c r="AB5885" t="s">
        <v>1263</v>
      </c>
      <c r="AG5885" t="s">
        <v>35695</v>
      </c>
      <c r="AH5885" t="s">
        <v>10681</v>
      </c>
      <c r="AI5885" t="s">
        <v>35696</v>
      </c>
    </row>
    <row r="5886" spans="2:35">
      <c r="B5886" s="1">
        <v>45264</v>
      </c>
      <c r="C5886" s="4">
        <v>45260.554166666669</v>
      </c>
      <c r="D5886" t="s">
        <v>35697</v>
      </c>
      <c r="E5886" t="s">
        <v>8132</v>
      </c>
      <c r="F5886">
        <v>6</v>
      </c>
      <c r="G5886" t="s">
        <v>4457</v>
      </c>
      <c r="H5886" t="s">
        <v>39</v>
      </c>
      <c r="I5886" t="s">
        <v>40</v>
      </c>
      <c r="J5886" t="s">
        <v>35698</v>
      </c>
      <c r="K5886" t="s">
        <v>42</v>
      </c>
      <c r="L5886" t="s">
        <v>433</v>
      </c>
      <c r="N5886" t="s">
        <v>434</v>
      </c>
      <c r="Q5886">
        <v>26665</v>
      </c>
      <c r="R5886" t="s">
        <v>322</v>
      </c>
      <c r="S5886" t="s">
        <v>35699</v>
      </c>
      <c r="T5886">
        <v>28</v>
      </c>
      <c r="W5886" t="s">
        <v>1008</v>
      </c>
      <c r="X5886">
        <v>110020745</v>
      </c>
      <c r="Y5886" t="s">
        <v>35700</v>
      </c>
      <c r="Z5886" t="s">
        <v>35701</v>
      </c>
      <c r="AA5886" t="s">
        <v>35701</v>
      </c>
      <c r="AB5886" t="s">
        <v>1011</v>
      </c>
      <c r="AG5886" t="s">
        <v>35702</v>
      </c>
      <c r="AH5886" t="s">
        <v>35703</v>
      </c>
      <c r="AI5886" t="s">
        <v>35704</v>
      </c>
    </row>
    <row r="5887" spans="2:35">
      <c r="B5887" s="1">
        <v>45264</v>
      </c>
      <c r="C5887" s="4">
        <v>45260.554166666669</v>
      </c>
      <c r="D5887" t="s">
        <v>35697</v>
      </c>
      <c r="E5887" t="s">
        <v>8132</v>
      </c>
      <c r="F5887">
        <v>6</v>
      </c>
      <c r="G5887" t="s">
        <v>4457</v>
      </c>
      <c r="H5887" t="s">
        <v>39</v>
      </c>
      <c r="I5887" t="s">
        <v>40</v>
      </c>
      <c r="J5887" t="s">
        <v>35698</v>
      </c>
      <c r="K5887" t="s">
        <v>42</v>
      </c>
      <c r="L5887" t="s">
        <v>433</v>
      </c>
      <c r="N5887" t="s">
        <v>434</v>
      </c>
      <c r="Q5887">
        <v>26664</v>
      </c>
      <c r="R5887" t="s">
        <v>322</v>
      </c>
      <c r="S5887" t="s">
        <v>35699</v>
      </c>
      <c r="T5887">
        <v>28</v>
      </c>
      <c r="W5887" t="s">
        <v>1008</v>
      </c>
      <c r="X5887">
        <v>110020745</v>
      </c>
      <c r="Y5887" t="s">
        <v>35700</v>
      </c>
      <c r="Z5887" t="s">
        <v>35701</v>
      </c>
      <c r="AA5887" t="s">
        <v>35701</v>
      </c>
      <c r="AB5887" t="s">
        <v>1011</v>
      </c>
      <c r="AG5887" t="s">
        <v>35705</v>
      </c>
      <c r="AH5887" t="s">
        <v>35703</v>
      </c>
      <c r="AI5887" t="s">
        <v>35706</v>
      </c>
    </row>
    <row r="5888" spans="2:35" ht="210">
      <c r="B5888" s="1">
        <v>45264</v>
      </c>
      <c r="C5888" s="4">
        <v>45252.492361111108</v>
      </c>
      <c r="D5888" t="s">
        <v>4757</v>
      </c>
      <c r="E5888" t="s">
        <v>27342</v>
      </c>
      <c r="F5888" t="s">
        <v>148</v>
      </c>
      <c r="G5888" t="s">
        <v>785</v>
      </c>
      <c r="H5888" t="s">
        <v>39</v>
      </c>
      <c r="I5888" t="s">
        <v>40</v>
      </c>
      <c r="J5888" t="s">
        <v>109</v>
      </c>
      <c r="K5888" t="s">
        <v>42</v>
      </c>
      <c r="L5888" t="s">
        <v>43</v>
      </c>
      <c r="N5888" t="s">
        <v>44</v>
      </c>
      <c r="Q5888">
        <v>26663</v>
      </c>
      <c r="R5888" t="s">
        <v>119</v>
      </c>
      <c r="S5888" t="s">
        <v>35707</v>
      </c>
      <c r="T5888">
        <v>24</v>
      </c>
      <c r="U5888" s="2" t="s">
        <v>35708</v>
      </c>
      <c r="W5888" t="s">
        <v>48</v>
      </c>
      <c r="X5888">
        <v>831905</v>
      </c>
      <c r="Y5888" t="s">
        <v>121</v>
      </c>
      <c r="Z5888" t="s">
        <v>122</v>
      </c>
      <c r="AA5888" s="2" t="s">
        <v>33688</v>
      </c>
      <c r="AB5888" t="s">
        <v>88</v>
      </c>
      <c r="AG5888" t="s">
        <v>35709</v>
      </c>
      <c r="AH5888" t="s">
        <v>35710</v>
      </c>
      <c r="AI5888" t="s">
        <v>35711</v>
      </c>
    </row>
    <row r="5889" spans="2:35" ht="210">
      <c r="B5889" s="1">
        <v>45264</v>
      </c>
      <c r="C5889" s="4">
        <v>45259.556250000001</v>
      </c>
      <c r="D5889" t="s">
        <v>4413</v>
      </c>
      <c r="E5889" t="s">
        <v>4414</v>
      </c>
      <c r="F5889">
        <v>12</v>
      </c>
      <c r="G5889" t="s">
        <v>978</v>
      </c>
      <c r="H5889" t="s">
        <v>1473</v>
      </c>
      <c r="I5889" t="s">
        <v>40</v>
      </c>
      <c r="J5889" s="2" t="s">
        <v>31986</v>
      </c>
      <c r="K5889" t="s">
        <v>42</v>
      </c>
      <c r="L5889" t="s">
        <v>296</v>
      </c>
      <c r="N5889" t="s">
        <v>297</v>
      </c>
      <c r="Q5889">
        <v>26662</v>
      </c>
      <c r="R5889" t="s">
        <v>119</v>
      </c>
      <c r="S5889" t="s">
        <v>4415</v>
      </c>
      <c r="T5889">
        <v>28</v>
      </c>
      <c r="U5889" s="2" t="s">
        <v>10764</v>
      </c>
      <c r="W5889" t="s">
        <v>502</v>
      </c>
      <c r="X5889">
        <v>838544</v>
      </c>
      <c r="Y5889" t="s">
        <v>35712</v>
      </c>
      <c r="Z5889" t="s">
        <v>9161</v>
      </c>
      <c r="AA5889" s="2" t="s">
        <v>35713</v>
      </c>
      <c r="AB5889" t="s">
        <v>1480</v>
      </c>
      <c r="AG5889" t="s">
        <v>35714</v>
      </c>
      <c r="AH5889" t="s">
        <v>10387</v>
      </c>
      <c r="AI5889" t="s">
        <v>35715</v>
      </c>
    </row>
    <row r="5890" spans="2:35" ht="255">
      <c r="B5890" s="1">
        <v>45264</v>
      </c>
      <c r="C5890" s="4">
        <v>45261.452777777777</v>
      </c>
      <c r="D5890" t="s">
        <v>7200</v>
      </c>
      <c r="E5890" t="s">
        <v>35716</v>
      </c>
      <c r="F5890">
        <v>12</v>
      </c>
      <c r="G5890" t="s">
        <v>978</v>
      </c>
      <c r="H5890" t="s">
        <v>1473</v>
      </c>
      <c r="I5890" t="s">
        <v>40</v>
      </c>
      <c r="J5890" s="2" t="s">
        <v>31986</v>
      </c>
      <c r="K5890" t="s">
        <v>42</v>
      </c>
      <c r="L5890" t="s">
        <v>296</v>
      </c>
      <c r="N5890" t="s">
        <v>297</v>
      </c>
      <c r="Q5890">
        <v>26661</v>
      </c>
      <c r="R5890" t="s">
        <v>119</v>
      </c>
      <c r="S5890" t="s">
        <v>7202</v>
      </c>
      <c r="T5890">
        <v>27.4</v>
      </c>
      <c r="U5890" s="2" t="s">
        <v>22376</v>
      </c>
      <c r="W5890" t="s">
        <v>23049</v>
      </c>
      <c r="X5890">
        <v>838504</v>
      </c>
      <c r="Y5890" t="s">
        <v>35717</v>
      </c>
      <c r="Z5890" t="s">
        <v>9161</v>
      </c>
      <c r="AA5890" s="2" t="s">
        <v>35718</v>
      </c>
      <c r="AB5890" t="s">
        <v>1480</v>
      </c>
      <c r="AG5890" t="s">
        <v>35719</v>
      </c>
      <c r="AH5890" t="s">
        <v>32835</v>
      </c>
      <c r="AI5890" t="s">
        <v>35720</v>
      </c>
    </row>
    <row r="5891" spans="2:35" ht="409.5">
      <c r="B5891" s="1">
        <v>45261</v>
      </c>
      <c r="C5891" s="4">
        <v>45261.731944444444</v>
      </c>
      <c r="D5891" t="s">
        <v>855</v>
      </c>
      <c r="E5891" t="s">
        <v>1169</v>
      </c>
      <c r="F5891" t="s">
        <v>148</v>
      </c>
      <c r="G5891" t="s">
        <v>310</v>
      </c>
      <c r="H5891" t="s">
        <v>39</v>
      </c>
      <c r="I5891" t="s">
        <v>40</v>
      </c>
      <c r="J5891" s="2" t="s">
        <v>2170</v>
      </c>
      <c r="K5891" t="s">
        <v>42</v>
      </c>
      <c r="L5891" t="s">
        <v>857</v>
      </c>
      <c r="N5891" t="s">
        <v>858</v>
      </c>
      <c r="Q5891">
        <v>26660</v>
      </c>
      <c r="R5891" t="s">
        <v>322</v>
      </c>
      <c r="S5891" t="s">
        <v>859</v>
      </c>
      <c r="T5891">
        <v>22</v>
      </c>
      <c r="V5891" s="1">
        <v>45258</v>
      </c>
      <c r="W5891" t="s">
        <v>23938</v>
      </c>
      <c r="X5891">
        <v>809643</v>
      </c>
      <c r="Y5891" t="s">
        <v>35721</v>
      </c>
      <c r="Z5891" s="2" t="s">
        <v>35722</v>
      </c>
      <c r="AA5891" s="2" t="s">
        <v>35723</v>
      </c>
      <c r="AB5891" t="s">
        <v>181</v>
      </c>
      <c r="AC5891" t="s">
        <v>35724</v>
      </c>
      <c r="AD5891" s="2" t="s">
        <v>35725</v>
      </c>
      <c r="AE5891" t="s">
        <v>103</v>
      </c>
      <c r="AG5891" t="s">
        <v>35726</v>
      </c>
      <c r="AH5891" t="s">
        <v>6762</v>
      </c>
      <c r="AI5891" t="s">
        <v>35727</v>
      </c>
    </row>
    <row r="5892" spans="2:35" ht="300">
      <c r="B5892" s="1">
        <v>45261</v>
      </c>
      <c r="C5892" s="4">
        <v>45259.443055555559</v>
      </c>
      <c r="D5892" t="s">
        <v>3732</v>
      </c>
      <c r="E5892" t="s">
        <v>3733</v>
      </c>
      <c r="F5892">
        <v>1</v>
      </c>
      <c r="G5892" t="s">
        <v>1046</v>
      </c>
      <c r="H5892" t="s">
        <v>1047</v>
      </c>
      <c r="I5892" t="s">
        <v>40</v>
      </c>
      <c r="J5892" s="2" t="s">
        <v>41</v>
      </c>
      <c r="K5892" t="s">
        <v>42</v>
      </c>
      <c r="L5892" t="s">
        <v>1048</v>
      </c>
      <c r="N5892" t="s">
        <v>1049</v>
      </c>
      <c r="Q5892">
        <v>26659</v>
      </c>
      <c r="R5892" t="s">
        <v>119</v>
      </c>
      <c r="S5892" t="s">
        <v>35728</v>
      </c>
      <c r="T5892">
        <v>27</v>
      </c>
      <c r="U5892" s="2" t="s">
        <v>10205</v>
      </c>
      <c r="V5892" s="1">
        <v>45223</v>
      </c>
      <c r="W5892" t="s">
        <v>360</v>
      </c>
      <c r="X5892">
        <v>838473</v>
      </c>
      <c r="Y5892" t="s">
        <v>35729</v>
      </c>
      <c r="Z5892" s="2" t="s">
        <v>35730</v>
      </c>
      <c r="AA5892" t="s">
        <v>1926</v>
      </c>
      <c r="AB5892" t="s">
        <v>181</v>
      </c>
      <c r="AC5892" t="s">
        <v>12618</v>
      </c>
      <c r="AD5892" t="s">
        <v>35731</v>
      </c>
      <c r="AE5892" t="s">
        <v>35732</v>
      </c>
      <c r="AG5892" t="s">
        <v>35733</v>
      </c>
      <c r="AH5892" t="s">
        <v>7274</v>
      </c>
      <c r="AI5892" t="s">
        <v>35734</v>
      </c>
    </row>
    <row r="5893" spans="2:35">
      <c r="B5893" s="1">
        <v>45261</v>
      </c>
      <c r="C5893" s="4">
        <v>45259.560416666667</v>
      </c>
      <c r="D5893" t="s">
        <v>35735</v>
      </c>
      <c r="E5893" t="s">
        <v>14119</v>
      </c>
      <c r="F5893">
        <v>1</v>
      </c>
      <c r="G5893" t="s">
        <v>1046</v>
      </c>
      <c r="H5893" t="s">
        <v>2274</v>
      </c>
      <c r="I5893" t="s">
        <v>40</v>
      </c>
      <c r="J5893" t="s">
        <v>109</v>
      </c>
      <c r="K5893" t="s">
        <v>387</v>
      </c>
      <c r="L5893" t="s">
        <v>1048</v>
      </c>
      <c r="N5893" t="s">
        <v>1049</v>
      </c>
      <c r="Q5893">
        <v>26658</v>
      </c>
      <c r="R5893" t="s">
        <v>322</v>
      </c>
      <c r="S5893" t="s">
        <v>29364</v>
      </c>
      <c r="T5893">
        <v>23</v>
      </c>
      <c r="W5893" t="s">
        <v>476</v>
      </c>
      <c r="X5893" t="s">
        <v>12499</v>
      </c>
      <c r="Y5893" t="s">
        <v>35736</v>
      </c>
      <c r="Z5893" t="e">
        <f ca="1">- adjusted centrifuge off Set _xludf.value
- cleaned Unit
- checked parameters</f>
        <v>#NAME?</v>
      </c>
      <c r="AA5893" t="s">
        <v>35737</v>
      </c>
      <c r="AB5893" t="s">
        <v>181</v>
      </c>
      <c r="AG5893" t="s">
        <v>35738</v>
      </c>
      <c r="AH5893" t="s">
        <v>29366</v>
      </c>
      <c r="AI5893" t="s">
        <v>35739</v>
      </c>
    </row>
    <row r="5894" spans="2:35" ht="195">
      <c r="B5894" s="1">
        <v>45261</v>
      </c>
      <c r="C5894" s="4">
        <v>45260.34097222222</v>
      </c>
      <c r="D5894" t="s">
        <v>3010</v>
      </c>
      <c r="E5894" t="s">
        <v>3011</v>
      </c>
      <c r="F5894">
        <v>1</v>
      </c>
      <c r="G5894" t="s">
        <v>1046</v>
      </c>
      <c r="H5894" t="s">
        <v>39</v>
      </c>
      <c r="I5894" t="s">
        <v>40</v>
      </c>
      <c r="J5894" s="2" t="s">
        <v>190</v>
      </c>
      <c r="K5894" t="s">
        <v>42</v>
      </c>
      <c r="L5894" t="s">
        <v>1048</v>
      </c>
      <c r="N5894" t="s">
        <v>1049</v>
      </c>
      <c r="Q5894">
        <v>26657</v>
      </c>
      <c r="R5894" t="s">
        <v>45</v>
      </c>
      <c r="S5894" t="s">
        <v>30964</v>
      </c>
      <c r="T5894">
        <v>28</v>
      </c>
      <c r="U5894" s="2" t="s">
        <v>35740</v>
      </c>
      <c r="W5894" t="s">
        <v>31945</v>
      </c>
      <c r="X5894">
        <v>842230</v>
      </c>
      <c r="Y5894" t="s">
        <v>35741</v>
      </c>
      <c r="Z5894" t="e">
        <f ca="1">- cleaned cartridge Bays, plunger Rods _xludf.and I-CORE
- generated reports</f>
        <v>#NAME?</v>
      </c>
      <c r="AA5894" t="s">
        <v>1935</v>
      </c>
      <c r="AB5894" t="s">
        <v>181</v>
      </c>
      <c r="AC5894" t="s">
        <v>35742</v>
      </c>
      <c r="AG5894" t="s">
        <v>35743</v>
      </c>
      <c r="AH5894" t="s">
        <v>35744</v>
      </c>
      <c r="AI5894" t="s">
        <v>35745</v>
      </c>
    </row>
    <row r="5895" spans="2:35" ht="105">
      <c r="B5895" s="1">
        <v>45261</v>
      </c>
      <c r="C5895" s="4">
        <v>45261.429166666669</v>
      </c>
      <c r="D5895" t="s">
        <v>35746</v>
      </c>
      <c r="E5895" t="s">
        <v>35747</v>
      </c>
      <c r="F5895">
        <v>1</v>
      </c>
      <c r="G5895" t="s">
        <v>1909</v>
      </c>
      <c r="H5895" t="s">
        <v>39</v>
      </c>
      <c r="I5895" t="s">
        <v>40</v>
      </c>
      <c r="J5895" s="2" t="s">
        <v>190</v>
      </c>
      <c r="K5895" t="s">
        <v>42</v>
      </c>
      <c r="L5895" t="s">
        <v>1048</v>
      </c>
      <c r="N5895" t="s">
        <v>1049</v>
      </c>
      <c r="Q5895">
        <v>26656</v>
      </c>
      <c r="R5895" t="s">
        <v>45</v>
      </c>
      <c r="S5895" t="s">
        <v>35748</v>
      </c>
      <c r="T5895">
        <v>30</v>
      </c>
      <c r="U5895" s="2" t="s">
        <v>1724</v>
      </c>
      <c r="W5895" t="s">
        <v>360</v>
      </c>
      <c r="X5895">
        <v>707400</v>
      </c>
      <c r="Y5895" t="s">
        <v>35749</v>
      </c>
      <c r="Z5895" t="e">
        <f ca="1">- checked OUTLET _xludf.Power
- checked _xludf.if UPS powers on _xludf.or HAS Back up _xludf.mode
- cleaned cartridge Bays, plunger Rods _xludf.and I-CORE
- generated reports</f>
        <v>#NAME?</v>
      </c>
      <c r="AA5895" t="s">
        <v>35750</v>
      </c>
      <c r="AB5895" t="s">
        <v>181</v>
      </c>
      <c r="AC5895" t="s">
        <v>35751</v>
      </c>
      <c r="AG5895" t="s">
        <v>35752</v>
      </c>
      <c r="AH5895" t="s">
        <v>35753</v>
      </c>
      <c r="AI5895" t="s">
        <v>35754</v>
      </c>
    </row>
    <row r="5896" spans="2:35" ht="345">
      <c r="B5896" s="1">
        <v>45261</v>
      </c>
      <c r="C5896" s="4">
        <v>45261.570138888892</v>
      </c>
      <c r="D5896" t="s">
        <v>29075</v>
      </c>
      <c r="E5896" t="s">
        <v>34702</v>
      </c>
      <c r="F5896">
        <v>3</v>
      </c>
      <c r="G5896" t="s">
        <v>1722</v>
      </c>
      <c r="H5896" t="s">
        <v>39</v>
      </c>
      <c r="I5896" t="s">
        <v>40</v>
      </c>
      <c r="J5896" s="2" t="s">
        <v>31979</v>
      </c>
      <c r="K5896" t="s">
        <v>42</v>
      </c>
      <c r="L5896" t="s">
        <v>63</v>
      </c>
      <c r="N5896" t="s">
        <v>64</v>
      </c>
      <c r="Q5896">
        <v>26655</v>
      </c>
      <c r="R5896" t="s">
        <v>119</v>
      </c>
      <c r="S5896" t="s">
        <v>29077</v>
      </c>
      <c r="T5896">
        <v>27</v>
      </c>
      <c r="U5896" s="2" t="s">
        <v>35755</v>
      </c>
      <c r="V5896" s="1">
        <v>45261</v>
      </c>
      <c r="W5896" t="s">
        <v>26915</v>
      </c>
      <c r="X5896">
        <v>831582</v>
      </c>
      <c r="Y5896" t="s">
        <v>25875</v>
      </c>
      <c r="Z5896" t="s">
        <v>1935</v>
      </c>
      <c r="AA5896" s="2" t="s">
        <v>1727</v>
      </c>
      <c r="AB5896" t="s">
        <v>70</v>
      </c>
      <c r="AC5896" t="s">
        <v>35756</v>
      </c>
      <c r="AD5896" t="s">
        <v>1716</v>
      </c>
      <c r="AE5896" t="s">
        <v>1716</v>
      </c>
      <c r="AG5896" t="s">
        <v>35757</v>
      </c>
      <c r="AH5896" t="s">
        <v>35758</v>
      </c>
      <c r="AI5896" t="s">
        <v>35759</v>
      </c>
    </row>
    <row r="5897" spans="2:35" ht="195">
      <c r="B5897" s="1">
        <v>45261</v>
      </c>
      <c r="C5897" s="4">
        <v>45261.475694444445</v>
      </c>
      <c r="D5897" t="s">
        <v>24045</v>
      </c>
      <c r="E5897" t="s">
        <v>35760</v>
      </c>
      <c r="F5897" t="s">
        <v>148</v>
      </c>
      <c r="G5897" t="s">
        <v>406</v>
      </c>
      <c r="H5897" t="s">
        <v>39</v>
      </c>
      <c r="I5897" t="s">
        <v>40</v>
      </c>
      <c r="J5897" s="2" t="s">
        <v>190</v>
      </c>
      <c r="K5897" t="s">
        <v>42</v>
      </c>
      <c r="L5897" t="s">
        <v>43</v>
      </c>
      <c r="N5897" t="s">
        <v>44</v>
      </c>
      <c r="Q5897">
        <v>26654</v>
      </c>
      <c r="R5897" t="s">
        <v>45</v>
      </c>
      <c r="S5897" t="s">
        <v>22391</v>
      </c>
      <c r="T5897">
        <v>24</v>
      </c>
      <c r="U5897" s="2" t="s">
        <v>17344</v>
      </c>
      <c r="W5897" t="s">
        <v>48</v>
      </c>
      <c r="X5897">
        <v>838858</v>
      </c>
      <c r="Y5897" t="s">
        <v>35761</v>
      </c>
      <c r="Z5897" t="s">
        <v>29347</v>
      </c>
      <c r="AA5897" s="2" t="s">
        <v>35762</v>
      </c>
      <c r="AB5897" t="s">
        <v>35763</v>
      </c>
      <c r="AG5897" t="s">
        <v>35764</v>
      </c>
      <c r="AH5897" t="s">
        <v>22398</v>
      </c>
      <c r="AI5897" t="s">
        <v>35765</v>
      </c>
    </row>
    <row r="5898" spans="2:35" ht="105">
      <c r="B5898" s="1">
        <v>45261</v>
      </c>
      <c r="C5898" s="4">
        <v>45261.455555555556</v>
      </c>
      <c r="D5898" t="s">
        <v>7076</v>
      </c>
      <c r="E5898" t="s">
        <v>718</v>
      </c>
      <c r="F5898">
        <v>9</v>
      </c>
      <c r="G5898" t="s">
        <v>1395</v>
      </c>
      <c r="H5898" t="s">
        <v>39</v>
      </c>
      <c r="I5898" t="s">
        <v>94</v>
      </c>
      <c r="J5898" s="2" t="s">
        <v>4373</v>
      </c>
      <c r="K5898" t="s">
        <v>42</v>
      </c>
      <c r="L5898" t="s">
        <v>594</v>
      </c>
      <c r="N5898" t="s">
        <v>595</v>
      </c>
      <c r="O5898" t="s">
        <v>595</v>
      </c>
      <c r="Q5898">
        <v>26653</v>
      </c>
      <c r="R5898" t="s">
        <v>119</v>
      </c>
      <c r="S5898" t="s">
        <v>7078</v>
      </c>
      <c r="T5898">
        <v>23</v>
      </c>
      <c r="V5898" s="1">
        <v>45272</v>
      </c>
      <c r="W5898" t="s">
        <v>360</v>
      </c>
      <c r="X5898">
        <v>838575</v>
      </c>
      <c r="Y5898" t="s">
        <v>35766</v>
      </c>
      <c r="Z5898" t="s">
        <v>33402</v>
      </c>
      <c r="AA5898" t="s">
        <v>35767</v>
      </c>
      <c r="AB5898" t="s">
        <v>35768</v>
      </c>
      <c r="AG5898" t="s">
        <v>35769</v>
      </c>
      <c r="AH5898" t="s">
        <v>17710</v>
      </c>
      <c r="AI5898" t="s">
        <v>35770</v>
      </c>
    </row>
    <row r="5899" spans="2:35">
      <c r="B5899" s="1">
        <v>45261</v>
      </c>
      <c r="C5899" s="4">
        <v>45260.615277777775</v>
      </c>
      <c r="D5899" t="s">
        <v>35771</v>
      </c>
      <c r="E5899" t="s">
        <v>6103</v>
      </c>
      <c r="F5899">
        <v>12</v>
      </c>
      <c r="G5899" t="s">
        <v>3346</v>
      </c>
      <c r="H5899" t="s">
        <v>5523</v>
      </c>
      <c r="I5899" t="s">
        <v>94</v>
      </c>
      <c r="J5899" t="s">
        <v>321</v>
      </c>
      <c r="K5899" t="s">
        <v>42</v>
      </c>
      <c r="L5899" t="s">
        <v>594</v>
      </c>
      <c r="N5899" t="s">
        <v>595</v>
      </c>
      <c r="O5899" t="s">
        <v>595</v>
      </c>
      <c r="Q5899">
        <v>26652</v>
      </c>
      <c r="R5899" t="s">
        <v>45</v>
      </c>
      <c r="S5899" t="s">
        <v>23403</v>
      </c>
      <c r="T5899">
        <v>23</v>
      </c>
      <c r="V5899" s="1">
        <v>45260</v>
      </c>
      <c r="W5899" t="s">
        <v>502</v>
      </c>
      <c r="X5899">
        <v>807457</v>
      </c>
      <c r="Y5899" t="s">
        <v>35772</v>
      </c>
      <c r="Z5899" t="s">
        <v>20217</v>
      </c>
      <c r="AA5899" t="s">
        <v>35773</v>
      </c>
      <c r="AB5899" t="s">
        <v>35774</v>
      </c>
      <c r="AG5899" t="s">
        <v>35775</v>
      </c>
      <c r="AH5899" t="s">
        <v>23407</v>
      </c>
      <c r="AI5899" t="s">
        <v>35776</v>
      </c>
    </row>
    <row r="5900" spans="2:35" ht="360">
      <c r="B5900" s="1">
        <v>45261</v>
      </c>
      <c r="C5900" s="4">
        <v>45261.435416666667</v>
      </c>
      <c r="D5900" t="s">
        <v>31758</v>
      </c>
      <c r="E5900" t="s">
        <v>35777</v>
      </c>
      <c r="F5900" t="s">
        <v>148</v>
      </c>
      <c r="G5900" t="s">
        <v>406</v>
      </c>
      <c r="H5900" t="s">
        <v>39</v>
      </c>
      <c r="I5900" t="s">
        <v>40</v>
      </c>
      <c r="J5900" s="2" t="s">
        <v>190</v>
      </c>
      <c r="K5900" t="s">
        <v>42</v>
      </c>
      <c r="L5900" t="s">
        <v>43</v>
      </c>
      <c r="N5900" t="s">
        <v>44</v>
      </c>
      <c r="Q5900">
        <v>26651</v>
      </c>
      <c r="R5900" t="s">
        <v>45</v>
      </c>
      <c r="S5900" t="s">
        <v>31748</v>
      </c>
      <c r="T5900">
        <v>26</v>
      </c>
      <c r="U5900" s="2" t="s">
        <v>35778</v>
      </c>
      <c r="W5900" t="s">
        <v>48</v>
      </c>
      <c r="X5900">
        <v>804702</v>
      </c>
      <c r="Y5900" t="s">
        <v>35779</v>
      </c>
      <c r="Z5900" t="s">
        <v>35780</v>
      </c>
      <c r="AA5900" s="2" t="s">
        <v>35781</v>
      </c>
      <c r="AB5900" t="s">
        <v>35782</v>
      </c>
      <c r="AC5900" t="s">
        <v>35783</v>
      </c>
      <c r="AG5900" t="s">
        <v>35784</v>
      </c>
      <c r="AH5900" t="s">
        <v>35785</v>
      </c>
      <c r="AI5900" t="s">
        <v>35786</v>
      </c>
    </row>
    <row r="5901" spans="2:35" ht="150">
      <c r="B5901" s="1">
        <v>45261</v>
      </c>
      <c r="C5901" s="4">
        <v>45260.593055555553</v>
      </c>
      <c r="D5901" t="s">
        <v>13380</v>
      </c>
      <c r="E5901" t="s">
        <v>29676</v>
      </c>
      <c r="F5901" t="s">
        <v>148</v>
      </c>
      <c r="G5901" t="s">
        <v>544</v>
      </c>
      <c r="H5901" t="s">
        <v>39</v>
      </c>
      <c r="I5901" t="s">
        <v>40</v>
      </c>
      <c r="J5901" s="2" t="s">
        <v>30202</v>
      </c>
      <c r="K5901" t="s">
        <v>42</v>
      </c>
      <c r="L5901" t="s">
        <v>43</v>
      </c>
      <c r="N5901" t="s">
        <v>44</v>
      </c>
      <c r="Q5901">
        <v>26650</v>
      </c>
      <c r="R5901" t="s">
        <v>703</v>
      </c>
      <c r="S5901" t="s">
        <v>35787</v>
      </c>
      <c r="T5901">
        <v>24</v>
      </c>
      <c r="V5901" s="1">
        <v>45259</v>
      </c>
      <c r="W5901" t="s">
        <v>48</v>
      </c>
      <c r="X5901">
        <v>110008418</v>
      </c>
      <c r="Y5901" t="s">
        <v>35788</v>
      </c>
      <c r="Z5901" t="s">
        <v>425</v>
      </c>
      <c r="AA5901" s="2" t="s">
        <v>35532</v>
      </c>
      <c r="AB5901" t="s">
        <v>16412</v>
      </c>
      <c r="AD5901" s="2" t="s">
        <v>35789</v>
      </c>
      <c r="AE5901" t="s">
        <v>35790</v>
      </c>
      <c r="AG5901" t="s">
        <v>35791</v>
      </c>
      <c r="AH5901" t="s">
        <v>35792</v>
      </c>
      <c r="AI5901" t="s">
        <v>35793</v>
      </c>
    </row>
    <row r="5902" spans="2:35">
      <c r="B5902" s="1">
        <v>45261</v>
      </c>
      <c r="C5902" s="4">
        <v>45261.402777777781</v>
      </c>
      <c r="D5902" t="s">
        <v>35794</v>
      </c>
      <c r="E5902" t="s">
        <v>35795</v>
      </c>
      <c r="F5902">
        <v>6</v>
      </c>
      <c r="G5902" t="s">
        <v>1286</v>
      </c>
      <c r="H5902" t="s">
        <v>39</v>
      </c>
      <c r="I5902" t="s">
        <v>40</v>
      </c>
      <c r="J5902" t="s">
        <v>321</v>
      </c>
      <c r="K5902" t="s">
        <v>42</v>
      </c>
      <c r="L5902" t="s">
        <v>433</v>
      </c>
      <c r="N5902" t="s">
        <v>434</v>
      </c>
      <c r="Q5902">
        <v>26649</v>
      </c>
      <c r="R5902" t="s">
        <v>322</v>
      </c>
      <c r="S5902" t="s">
        <v>33553</v>
      </c>
      <c r="T5902">
        <v>27</v>
      </c>
      <c r="W5902" t="s">
        <v>1008</v>
      </c>
      <c r="X5902">
        <v>110021716</v>
      </c>
      <c r="Y5902" t="s">
        <v>35796</v>
      </c>
      <c r="Z5902" t="s">
        <v>35796</v>
      </c>
      <c r="AA5902" t="s">
        <v>35796</v>
      </c>
      <c r="AB5902" t="s">
        <v>1011</v>
      </c>
      <c r="AG5902" t="s">
        <v>35797</v>
      </c>
      <c r="AH5902" t="s">
        <v>35798</v>
      </c>
      <c r="AI5902" t="s">
        <v>35799</v>
      </c>
    </row>
    <row r="5903" spans="2:35" ht="180">
      <c r="B5903" s="1">
        <v>45261</v>
      </c>
      <c r="C5903" s="4">
        <v>45261.368055555555</v>
      </c>
      <c r="D5903" t="s">
        <v>340</v>
      </c>
      <c r="E5903" t="s">
        <v>341</v>
      </c>
      <c r="F5903">
        <v>8</v>
      </c>
      <c r="G5903" t="s">
        <v>342</v>
      </c>
      <c r="H5903" t="s">
        <v>1498</v>
      </c>
      <c r="I5903" t="s">
        <v>40</v>
      </c>
      <c r="J5903" s="2" t="s">
        <v>62</v>
      </c>
      <c r="K5903" t="s">
        <v>42</v>
      </c>
      <c r="L5903" t="s">
        <v>343</v>
      </c>
      <c r="N5903" t="s">
        <v>344</v>
      </c>
      <c r="Q5903">
        <v>26648</v>
      </c>
      <c r="R5903" t="s">
        <v>119</v>
      </c>
      <c r="S5903" t="s">
        <v>345</v>
      </c>
      <c r="T5903">
        <v>23</v>
      </c>
      <c r="U5903" s="2" t="s">
        <v>35800</v>
      </c>
      <c r="V5903" s="1">
        <v>45261</v>
      </c>
      <c r="W5903" t="s">
        <v>84</v>
      </c>
      <c r="X5903">
        <v>838555</v>
      </c>
      <c r="Y5903" t="s">
        <v>35801</v>
      </c>
      <c r="Z5903" t="s">
        <v>301</v>
      </c>
      <c r="AA5903" t="e">
        <f ca="1">-run Xpert Check on module A2
-Preventive Maintenance</f>
        <v>#NAME?</v>
      </c>
      <c r="AB5903" t="s">
        <v>35802</v>
      </c>
      <c r="AD5903" t="s">
        <v>21244</v>
      </c>
      <c r="AE5903" t="s">
        <v>301</v>
      </c>
      <c r="AG5903" t="s">
        <v>35803</v>
      </c>
      <c r="AH5903" t="s">
        <v>35804</v>
      </c>
      <c r="AI5903" t="s">
        <v>35805</v>
      </c>
    </row>
    <row r="5904" spans="2:35" ht="90">
      <c r="B5904" s="1">
        <v>45261</v>
      </c>
      <c r="C5904" s="4">
        <v>45261.371527777781</v>
      </c>
      <c r="D5904" t="s">
        <v>35806</v>
      </c>
      <c r="E5904" t="s">
        <v>1285</v>
      </c>
      <c r="F5904">
        <v>7</v>
      </c>
      <c r="G5904" t="s">
        <v>1286</v>
      </c>
      <c r="H5904" t="s">
        <v>39</v>
      </c>
      <c r="I5904" t="s">
        <v>40</v>
      </c>
      <c r="J5904" s="2" t="s">
        <v>355</v>
      </c>
      <c r="K5904" t="s">
        <v>42</v>
      </c>
      <c r="L5904" t="s">
        <v>433</v>
      </c>
      <c r="N5904" t="s">
        <v>434</v>
      </c>
      <c r="Q5904">
        <v>26647</v>
      </c>
      <c r="R5904" t="s">
        <v>45</v>
      </c>
      <c r="S5904" t="s">
        <v>22494</v>
      </c>
      <c r="T5904">
        <v>34</v>
      </c>
      <c r="W5904" t="s">
        <v>1008</v>
      </c>
      <c r="X5904">
        <v>707531</v>
      </c>
      <c r="Y5904" t="s">
        <v>35807</v>
      </c>
      <c r="Z5904" t="s">
        <v>35808</v>
      </c>
      <c r="AA5904" t="s">
        <v>35808</v>
      </c>
      <c r="AB5904" t="s">
        <v>35809</v>
      </c>
      <c r="AG5904" t="s">
        <v>35810</v>
      </c>
      <c r="AH5904" t="s">
        <v>35811</v>
      </c>
      <c r="AI5904" t="s">
        <v>35812</v>
      </c>
    </row>
    <row r="5905" spans="2:35" ht="180">
      <c r="B5905" s="1">
        <v>45261</v>
      </c>
      <c r="C5905" s="4">
        <v>45260.603472222225</v>
      </c>
      <c r="D5905" t="s">
        <v>35813</v>
      </c>
      <c r="E5905" t="s">
        <v>473</v>
      </c>
      <c r="F5905" t="s">
        <v>148</v>
      </c>
      <c r="G5905" t="s">
        <v>447</v>
      </c>
      <c r="H5905" t="s">
        <v>150</v>
      </c>
      <c r="I5905" t="s">
        <v>40</v>
      </c>
      <c r="J5905" t="s">
        <v>109</v>
      </c>
      <c r="K5905" t="s">
        <v>42</v>
      </c>
      <c r="L5905" t="s">
        <v>448</v>
      </c>
      <c r="N5905" t="s">
        <v>650</v>
      </c>
      <c r="O5905" t="s">
        <v>35814</v>
      </c>
      <c r="Q5905">
        <v>26646</v>
      </c>
      <c r="R5905" t="s">
        <v>45</v>
      </c>
      <c r="S5905" t="s">
        <v>35815</v>
      </c>
      <c r="T5905">
        <v>29</v>
      </c>
      <c r="U5905" s="2" t="s">
        <v>35816</v>
      </c>
      <c r="W5905" t="s">
        <v>360</v>
      </c>
      <c r="X5905">
        <v>807672</v>
      </c>
      <c r="Y5905" t="s">
        <v>35817</v>
      </c>
      <c r="Z5905" s="2" t="s">
        <v>2011</v>
      </c>
      <c r="AA5905" t="s">
        <v>6997</v>
      </c>
      <c r="AB5905" t="s">
        <v>35818</v>
      </c>
      <c r="AG5905" t="s">
        <v>35819</v>
      </c>
      <c r="AH5905" t="s">
        <v>35820</v>
      </c>
      <c r="AI5905" t="s">
        <v>35821</v>
      </c>
    </row>
    <row r="5906" spans="2:35">
      <c r="B5906" s="1">
        <v>45260</v>
      </c>
      <c r="C5906" s="4">
        <v>45260.554166666669</v>
      </c>
      <c r="D5906" t="s">
        <v>35697</v>
      </c>
      <c r="E5906" t="s">
        <v>8132</v>
      </c>
      <c r="F5906">
        <v>6</v>
      </c>
      <c r="G5906" t="s">
        <v>4457</v>
      </c>
      <c r="H5906" t="s">
        <v>39</v>
      </c>
      <c r="I5906" t="s">
        <v>40</v>
      </c>
      <c r="J5906" t="s">
        <v>35698</v>
      </c>
      <c r="K5906" t="s">
        <v>42</v>
      </c>
      <c r="L5906" t="s">
        <v>433</v>
      </c>
      <c r="N5906" t="s">
        <v>434</v>
      </c>
      <c r="Q5906">
        <v>26645</v>
      </c>
      <c r="R5906" t="s">
        <v>322</v>
      </c>
      <c r="S5906" t="s">
        <v>35699</v>
      </c>
      <c r="T5906">
        <v>28</v>
      </c>
      <c r="W5906" t="s">
        <v>1008</v>
      </c>
      <c r="X5906">
        <v>110020745</v>
      </c>
      <c r="Y5906" t="s">
        <v>35700</v>
      </c>
      <c r="Z5906" t="s">
        <v>35701</v>
      </c>
      <c r="AA5906" t="s">
        <v>35701</v>
      </c>
      <c r="AB5906" t="s">
        <v>1011</v>
      </c>
      <c r="AG5906" t="s">
        <v>35822</v>
      </c>
      <c r="AH5906" t="s">
        <v>35703</v>
      </c>
      <c r="AI5906" t="s">
        <v>35823</v>
      </c>
    </row>
    <row r="5907" spans="2:35">
      <c r="B5907" s="1">
        <v>45260</v>
      </c>
      <c r="C5907" s="4">
        <v>45260.554166666669</v>
      </c>
      <c r="D5907" t="s">
        <v>35697</v>
      </c>
      <c r="E5907" t="s">
        <v>8132</v>
      </c>
      <c r="F5907">
        <v>6</v>
      </c>
      <c r="G5907" t="s">
        <v>4457</v>
      </c>
      <c r="H5907" t="s">
        <v>39</v>
      </c>
      <c r="I5907" t="s">
        <v>40</v>
      </c>
      <c r="J5907" t="s">
        <v>35698</v>
      </c>
      <c r="K5907" t="s">
        <v>42</v>
      </c>
      <c r="L5907" t="s">
        <v>433</v>
      </c>
      <c r="N5907" t="s">
        <v>434</v>
      </c>
      <c r="Q5907">
        <v>26644</v>
      </c>
      <c r="R5907" t="s">
        <v>322</v>
      </c>
      <c r="S5907" t="s">
        <v>35699</v>
      </c>
      <c r="T5907">
        <v>28</v>
      </c>
      <c r="W5907" t="s">
        <v>1008</v>
      </c>
      <c r="X5907">
        <v>110020745</v>
      </c>
      <c r="Y5907" t="s">
        <v>35700</v>
      </c>
      <c r="Z5907" t="s">
        <v>35701</v>
      </c>
      <c r="AA5907" t="s">
        <v>35701</v>
      </c>
      <c r="AB5907" t="s">
        <v>1011</v>
      </c>
      <c r="AG5907" t="s">
        <v>35824</v>
      </c>
      <c r="AH5907" t="s">
        <v>35703</v>
      </c>
      <c r="AI5907" t="s">
        <v>35825</v>
      </c>
    </row>
    <row r="5908" spans="2:35" ht="135">
      <c r="B5908" s="1">
        <v>45260</v>
      </c>
      <c r="C5908" s="4">
        <v>45260.445833333331</v>
      </c>
      <c r="D5908" t="s">
        <v>24960</v>
      </c>
      <c r="E5908" t="s">
        <v>35826</v>
      </c>
      <c r="F5908">
        <v>5</v>
      </c>
      <c r="G5908" t="s">
        <v>839</v>
      </c>
      <c r="H5908" t="s">
        <v>39</v>
      </c>
      <c r="I5908" t="s">
        <v>40</v>
      </c>
      <c r="J5908" s="2" t="s">
        <v>1808</v>
      </c>
      <c r="K5908" t="s">
        <v>42</v>
      </c>
      <c r="L5908" t="s">
        <v>761</v>
      </c>
      <c r="N5908" t="s">
        <v>762</v>
      </c>
      <c r="Q5908">
        <v>26643</v>
      </c>
      <c r="R5908" t="s">
        <v>45</v>
      </c>
      <c r="S5908" t="s">
        <v>35827</v>
      </c>
      <c r="T5908">
        <v>28</v>
      </c>
      <c r="W5908" t="s">
        <v>360</v>
      </c>
      <c r="X5908">
        <v>808639</v>
      </c>
      <c r="Y5908" t="s">
        <v>962</v>
      </c>
      <c r="Z5908" s="2" t="s">
        <v>35828</v>
      </c>
      <c r="AA5908" t="s">
        <v>777</v>
      </c>
      <c r="AB5908" t="s">
        <v>181</v>
      </c>
      <c r="AG5908" t="s">
        <v>35829</v>
      </c>
      <c r="AH5908" t="s">
        <v>35830</v>
      </c>
      <c r="AI5908" t="s">
        <v>35831</v>
      </c>
    </row>
    <row r="5909" spans="2:35" ht="409.5">
      <c r="B5909" s="1">
        <v>45260</v>
      </c>
      <c r="C5909" s="4">
        <v>45259.85833333333</v>
      </c>
      <c r="D5909" t="s">
        <v>837</v>
      </c>
      <c r="E5909" t="s">
        <v>27098</v>
      </c>
      <c r="F5909">
        <v>5</v>
      </c>
      <c r="G5909" t="s">
        <v>839</v>
      </c>
      <c r="H5909" t="s">
        <v>39</v>
      </c>
      <c r="I5909" t="s">
        <v>40</v>
      </c>
      <c r="J5909" t="s">
        <v>525</v>
      </c>
      <c r="K5909" t="s">
        <v>42</v>
      </c>
      <c r="L5909" t="s">
        <v>761</v>
      </c>
      <c r="N5909" t="s">
        <v>762</v>
      </c>
      <c r="Q5909">
        <v>26642</v>
      </c>
      <c r="R5909" t="s">
        <v>45</v>
      </c>
      <c r="S5909" t="s">
        <v>21302</v>
      </c>
      <c r="T5909">
        <v>25</v>
      </c>
      <c r="U5909" s="2" t="s">
        <v>35832</v>
      </c>
      <c r="W5909" t="s">
        <v>895</v>
      </c>
      <c r="X5909">
        <v>84222</v>
      </c>
      <c r="Y5909" t="s">
        <v>35833</v>
      </c>
      <c r="Z5909" s="2" t="s">
        <v>35834</v>
      </c>
      <c r="AA5909" t="s">
        <v>35835</v>
      </c>
      <c r="AB5909" t="s">
        <v>181</v>
      </c>
      <c r="AG5909" t="s">
        <v>35836</v>
      </c>
      <c r="AH5909" t="s">
        <v>34490</v>
      </c>
      <c r="AI5909" t="s">
        <v>35837</v>
      </c>
    </row>
    <row r="5910" spans="2:35" ht="285">
      <c r="B5910" s="1">
        <v>45260</v>
      </c>
      <c r="C5910" s="4">
        <v>45259.503472222219</v>
      </c>
      <c r="D5910" t="s">
        <v>4982</v>
      </c>
      <c r="E5910" t="s">
        <v>35838</v>
      </c>
      <c r="F5910">
        <v>5</v>
      </c>
      <c r="G5910" t="s">
        <v>759</v>
      </c>
      <c r="H5910" t="s">
        <v>39</v>
      </c>
      <c r="I5910" t="s">
        <v>40</v>
      </c>
      <c r="J5910" t="s">
        <v>525</v>
      </c>
      <c r="K5910" t="s">
        <v>42</v>
      </c>
      <c r="L5910" t="s">
        <v>761</v>
      </c>
      <c r="N5910" t="s">
        <v>762</v>
      </c>
      <c r="Q5910">
        <v>26641</v>
      </c>
      <c r="R5910" t="s">
        <v>45</v>
      </c>
      <c r="S5910" t="s">
        <v>17460</v>
      </c>
      <c r="T5910">
        <v>28</v>
      </c>
      <c r="U5910" s="2" t="s">
        <v>35839</v>
      </c>
      <c r="W5910" t="s">
        <v>360</v>
      </c>
      <c r="X5910">
        <v>807579</v>
      </c>
      <c r="Y5910" t="s">
        <v>35840</v>
      </c>
      <c r="Z5910" s="2" t="s">
        <v>35841</v>
      </c>
      <c r="AA5910" t="s">
        <v>768</v>
      </c>
      <c r="AB5910" t="s">
        <v>181</v>
      </c>
      <c r="AG5910" t="s">
        <v>35842</v>
      </c>
      <c r="AH5910" t="s">
        <v>17465</v>
      </c>
      <c r="AI5910" t="s">
        <v>35843</v>
      </c>
    </row>
    <row r="5911" spans="2:35" ht="180">
      <c r="B5911" s="1">
        <v>45260</v>
      </c>
      <c r="C5911" s="4">
        <v>45260.697222222225</v>
      </c>
      <c r="D5911" t="s">
        <v>16720</v>
      </c>
      <c r="E5911" t="s">
        <v>12017</v>
      </c>
      <c r="F5911">
        <v>7</v>
      </c>
      <c r="G5911" t="s">
        <v>432</v>
      </c>
      <c r="H5911" t="s">
        <v>11359</v>
      </c>
      <c r="I5911" t="s">
        <v>40</v>
      </c>
      <c r="J5911" t="s">
        <v>109</v>
      </c>
      <c r="K5911" t="s">
        <v>42</v>
      </c>
      <c r="L5911" t="s">
        <v>1288</v>
      </c>
      <c r="N5911" t="s">
        <v>1289</v>
      </c>
      <c r="Q5911">
        <v>26640</v>
      </c>
      <c r="R5911" t="s">
        <v>95</v>
      </c>
      <c r="S5911" t="s">
        <v>14495</v>
      </c>
      <c r="T5911">
        <v>25</v>
      </c>
      <c r="U5911" s="2" t="s">
        <v>35844</v>
      </c>
      <c r="W5911" t="s">
        <v>16722</v>
      </c>
      <c r="X5911">
        <v>838657</v>
      </c>
      <c r="Y5911" t="s">
        <v>1529</v>
      </c>
      <c r="Z5911" t="e">
        <f ca="1">-COLLECT IQR, system _xludf.Log, _xludf.and ARCHIVE</f>
        <v>#NAME?</v>
      </c>
      <c r="AA5911" t="e">
        <f ca="1">-PERFORM Cleaning of GX workstation
-PERFORM Preventive Maintenance PROCEDURE</f>
        <v>#NAME?</v>
      </c>
      <c r="AB5911" t="s">
        <v>1293</v>
      </c>
      <c r="AG5911" t="s">
        <v>35845</v>
      </c>
      <c r="AH5911" t="s">
        <v>14501</v>
      </c>
      <c r="AI5911" t="s">
        <v>35846</v>
      </c>
    </row>
    <row r="5912" spans="2:35" ht="165">
      <c r="B5912" s="1">
        <v>45260</v>
      </c>
      <c r="C5912" s="4">
        <v>45260.689583333333</v>
      </c>
      <c r="D5912" t="s">
        <v>4218</v>
      </c>
      <c r="E5912" t="s">
        <v>4219</v>
      </c>
      <c r="F5912">
        <v>3</v>
      </c>
      <c r="G5912" t="s">
        <v>1722</v>
      </c>
      <c r="H5912" t="s">
        <v>39</v>
      </c>
      <c r="I5912" t="s">
        <v>40</v>
      </c>
      <c r="J5912" s="2" t="s">
        <v>31986</v>
      </c>
      <c r="K5912" t="s">
        <v>42</v>
      </c>
      <c r="L5912" t="s">
        <v>63</v>
      </c>
      <c r="N5912" t="s">
        <v>64</v>
      </c>
      <c r="Q5912">
        <v>26639</v>
      </c>
      <c r="R5912" t="s">
        <v>119</v>
      </c>
      <c r="S5912" t="s">
        <v>4220</v>
      </c>
      <c r="T5912">
        <v>27</v>
      </c>
      <c r="U5912" s="2" t="s">
        <v>24699</v>
      </c>
      <c r="V5912" s="1">
        <v>45260</v>
      </c>
      <c r="W5912" t="s">
        <v>26915</v>
      </c>
      <c r="X5912">
        <v>831637</v>
      </c>
      <c r="Y5912" t="s">
        <v>35847</v>
      </c>
      <c r="Z5912" t="s">
        <v>35848</v>
      </c>
      <c r="AA5912" s="2" t="s">
        <v>1727</v>
      </c>
      <c r="AB5912" t="s">
        <v>70</v>
      </c>
      <c r="AC5912" t="s">
        <v>1716</v>
      </c>
      <c r="AD5912" t="s">
        <v>32127</v>
      </c>
      <c r="AE5912" t="s">
        <v>1716</v>
      </c>
      <c r="AG5912" t="s">
        <v>35849</v>
      </c>
      <c r="AH5912" t="s">
        <v>26856</v>
      </c>
      <c r="AI5912" t="s">
        <v>35850</v>
      </c>
    </row>
    <row r="5913" spans="2:35" ht="165">
      <c r="B5913" s="1">
        <v>45260</v>
      </c>
      <c r="C5913" s="4">
        <v>45260.615972222222</v>
      </c>
      <c r="D5913" t="s">
        <v>26865</v>
      </c>
      <c r="E5913" t="s">
        <v>35851</v>
      </c>
      <c r="F5913">
        <v>3</v>
      </c>
      <c r="G5913" t="s">
        <v>1722</v>
      </c>
      <c r="H5913" t="s">
        <v>39</v>
      </c>
      <c r="I5913" t="s">
        <v>40</v>
      </c>
      <c r="J5913" s="2" t="s">
        <v>31979</v>
      </c>
      <c r="K5913" t="s">
        <v>42</v>
      </c>
      <c r="L5913" t="s">
        <v>63</v>
      </c>
      <c r="N5913" t="s">
        <v>64</v>
      </c>
      <c r="Q5913">
        <v>26638</v>
      </c>
      <c r="R5913" t="s">
        <v>119</v>
      </c>
      <c r="S5913" t="s">
        <v>26867</v>
      </c>
      <c r="T5913">
        <v>26</v>
      </c>
      <c r="U5913" s="2" t="s">
        <v>8650</v>
      </c>
      <c r="V5913" s="1">
        <v>45260</v>
      </c>
      <c r="W5913" t="s">
        <v>26915</v>
      </c>
      <c r="X5913">
        <v>831562</v>
      </c>
      <c r="Y5913" t="s">
        <v>1716</v>
      </c>
      <c r="Z5913" t="s">
        <v>1716</v>
      </c>
      <c r="AA5913" s="2" t="s">
        <v>1727</v>
      </c>
      <c r="AB5913" t="s">
        <v>70</v>
      </c>
      <c r="AC5913" t="s">
        <v>35852</v>
      </c>
      <c r="AD5913" t="s">
        <v>1716</v>
      </c>
      <c r="AE5913" t="s">
        <v>1716</v>
      </c>
      <c r="AG5913" t="s">
        <v>35853</v>
      </c>
      <c r="AH5913" t="s">
        <v>35854</v>
      </c>
      <c r="AI5913" t="s">
        <v>35855</v>
      </c>
    </row>
    <row r="5914" spans="2:35" ht="240">
      <c r="B5914" s="1">
        <v>45260</v>
      </c>
      <c r="C5914" s="4">
        <v>45260.54791666667</v>
      </c>
      <c r="D5914" t="s">
        <v>33768</v>
      </c>
      <c r="E5914" t="s">
        <v>33769</v>
      </c>
      <c r="F5914">
        <v>5</v>
      </c>
      <c r="G5914" t="s">
        <v>839</v>
      </c>
      <c r="H5914" t="s">
        <v>39</v>
      </c>
      <c r="I5914" t="s">
        <v>40</v>
      </c>
      <c r="J5914" s="2" t="s">
        <v>30202</v>
      </c>
      <c r="K5914" t="s">
        <v>42</v>
      </c>
      <c r="L5914" t="s">
        <v>761</v>
      </c>
      <c r="N5914" t="s">
        <v>762</v>
      </c>
      <c r="O5914" t="s">
        <v>762</v>
      </c>
      <c r="Q5914">
        <v>26637</v>
      </c>
      <c r="R5914" t="s">
        <v>45</v>
      </c>
      <c r="S5914" t="s">
        <v>5498</v>
      </c>
      <c r="T5914">
        <v>28</v>
      </c>
      <c r="U5914" s="2" t="s">
        <v>2201</v>
      </c>
      <c r="W5914" t="s">
        <v>360</v>
      </c>
      <c r="X5914">
        <v>834620</v>
      </c>
      <c r="Y5914" t="s">
        <v>35856</v>
      </c>
      <c r="Z5914" s="2" t="s">
        <v>35857</v>
      </c>
      <c r="AA5914" t="s">
        <v>35858</v>
      </c>
      <c r="AB5914" t="s">
        <v>181</v>
      </c>
      <c r="AG5914" t="s">
        <v>35859</v>
      </c>
      <c r="AH5914" t="s">
        <v>5503</v>
      </c>
      <c r="AI5914" t="s">
        <v>35860</v>
      </c>
    </row>
    <row r="5915" spans="2:35" ht="405">
      <c r="B5915" s="1">
        <v>45260</v>
      </c>
      <c r="C5915" s="4">
        <v>45260.412499999999</v>
      </c>
      <c r="D5915" t="s">
        <v>1787</v>
      </c>
      <c r="E5915" t="s">
        <v>1788</v>
      </c>
      <c r="F5915">
        <v>8</v>
      </c>
      <c r="G5915" t="s">
        <v>1789</v>
      </c>
      <c r="H5915" t="s">
        <v>1498</v>
      </c>
      <c r="I5915" t="s">
        <v>94</v>
      </c>
      <c r="J5915" s="2" t="s">
        <v>41</v>
      </c>
      <c r="K5915" t="s">
        <v>42</v>
      </c>
      <c r="L5915" t="s">
        <v>343</v>
      </c>
      <c r="N5915" t="s">
        <v>344</v>
      </c>
      <c r="Q5915">
        <v>26636</v>
      </c>
      <c r="R5915" t="s">
        <v>45</v>
      </c>
      <c r="S5915" t="s">
        <v>1790</v>
      </c>
      <c r="T5915">
        <v>23</v>
      </c>
      <c r="U5915" s="2" t="s">
        <v>35861</v>
      </c>
      <c r="V5915" s="1">
        <v>45260</v>
      </c>
      <c r="W5915" t="s">
        <v>84</v>
      </c>
      <c r="X5915">
        <v>815273</v>
      </c>
      <c r="Y5915" t="s">
        <v>35862</v>
      </c>
      <c r="Z5915" t="s">
        <v>35863</v>
      </c>
      <c r="AA5915" t="e">
        <f ca="1">-module Replacement</f>
        <v>#NAME?</v>
      </c>
      <c r="AB5915" t="s">
        <v>35864</v>
      </c>
      <c r="AD5915" t="s">
        <v>35865</v>
      </c>
      <c r="AE5915" t="s">
        <v>45</v>
      </c>
      <c r="AG5915" t="s">
        <v>35866</v>
      </c>
      <c r="AH5915" t="s">
        <v>1797</v>
      </c>
      <c r="AI5915" t="s">
        <v>35867</v>
      </c>
    </row>
    <row r="5916" spans="2:35" ht="409.5">
      <c r="B5916" s="1">
        <v>45260</v>
      </c>
      <c r="C5916" s="4">
        <v>45260.543749999997</v>
      </c>
      <c r="D5916" t="s">
        <v>9062</v>
      </c>
      <c r="E5916" t="s">
        <v>35868</v>
      </c>
      <c r="F5916">
        <v>8</v>
      </c>
      <c r="G5916" t="s">
        <v>342</v>
      </c>
      <c r="H5916" t="s">
        <v>12698</v>
      </c>
      <c r="I5916" t="s">
        <v>40</v>
      </c>
      <c r="J5916" s="2" t="s">
        <v>41</v>
      </c>
      <c r="K5916" t="s">
        <v>42</v>
      </c>
      <c r="L5916" t="s">
        <v>259</v>
      </c>
      <c r="N5916" t="s">
        <v>260</v>
      </c>
      <c r="Q5916">
        <v>26635</v>
      </c>
      <c r="R5916" t="s">
        <v>119</v>
      </c>
      <c r="S5916" t="s">
        <v>35869</v>
      </c>
      <c r="T5916">
        <v>27</v>
      </c>
      <c r="V5916" s="1">
        <v>45260</v>
      </c>
      <c r="W5916" t="s">
        <v>84</v>
      </c>
      <c r="X5916">
        <v>838399</v>
      </c>
      <c r="Y5916" t="s">
        <v>35870</v>
      </c>
      <c r="Z5916" t="e">
        <f ca="1">-module Replacement (B1,B4)
- Preventive Maintenance</f>
        <v>#NAME?</v>
      </c>
      <c r="AA5916" s="2" t="s">
        <v>35871</v>
      </c>
      <c r="AB5916" t="s">
        <v>70</v>
      </c>
      <c r="AD5916" t="s">
        <v>35872</v>
      </c>
      <c r="AE5916" t="s">
        <v>119</v>
      </c>
      <c r="AG5916" t="s">
        <v>35873</v>
      </c>
      <c r="AH5916" t="s">
        <v>35874</v>
      </c>
      <c r="AI5916" t="s">
        <v>35875</v>
      </c>
    </row>
    <row r="5917" spans="2:35" ht="300">
      <c r="B5917" s="1">
        <v>45260</v>
      </c>
      <c r="C5917" s="4">
        <v>45260.503472222219</v>
      </c>
      <c r="D5917" t="s">
        <v>35459</v>
      </c>
      <c r="E5917" t="s">
        <v>35460</v>
      </c>
      <c r="F5917">
        <v>3</v>
      </c>
      <c r="G5917" t="s">
        <v>1722</v>
      </c>
      <c r="H5917" t="s">
        <v>39</v>
      </c>
      <c r="I5917" t="s">
        <v>40</v>
      </c>
      <c r="J5917" s="2" t="s">
        <v>32320</v>
      </c>
      <c r="K5917" t="s">
        <v>42</v>
      </c>
      <c r="L5917" t="s">
        <v>63</v>
      </c>
      <c r="N5917" t="s">
        <v>64</v>
      </c>
      <c r="Q5917">
        <v>26634</v>
      </c>
      <c r="R5917" t="s">
        <v>119</v>
      </c>
      <c r="S5917" t="s">
        <v>35461</v>
      </c>
      <c r="T5917">
        <v>25</v>
      </c>
      <c r="U5917" s="2" t="s">
        <v>20726</v>
      </c>
      <c r="V5917" s="1">
        <v>45251</v>
      </c>
      <c r="W5917" t="s">
        <v>26915</v>
      </c>
      <c r="X5917">
        <v>831673</v>
      </c>
      <c r="Y5917" t="s">
        <v>35876</v>
      </c>
      <c r="Z5917" t="s">
        <v>35877</v>
      </c>
      <c r="AA5917" s="2" t="s">
        <v>35878</v>
      </c>
      <c r="AB5917" t="s">
        <v>70</v>
      </c>
      <c r="AC5917" t="s">
        <v>35879</v>
      </c>
      <c r="AD5917" t="s">
        <v>35880</v>
      </c>
      <c r="AE5917" t="s">
        <v>35881</v>
      </c>
      <c r="AG5917" t="s">
        <v>35882</v>
      </c>
      <c r="AH5917" t="s">
        <v>35466</v>
      </c>
      <c r="AI5917" t="s">
        <v>35883</v>
      </c>
    </row>
    <row r="5918" spans="2:35" ht="180">
      <c r="B5918" s="1">
        <v>45260</v>
      </c>
      <c r="C5918" s="4">
        <v>45260.479861111111</v>
      </c>
      <c r="D5918" t="s">
        <v>35884</v>
      </c>
      <c r="E5918" t="s">
        <v>35885</v>
      </c>
      <c r="F5918" t="s">
        <v>1181</v>
      </c>
      <c r="G5918" t="s">
        <v>3753</v>
      </c>
      <c r="H5918" t="s">
        <v>39</v>
      </c>
      <c r="I5918" t="s">
        <v>40</v>
      </c>
      <c r="J5918" s="2" t="s">
        <v>41</v>
      </c>
      <c r="K5918" t="s">
        <v>42</v>
      </c>
      <c r="L5918" t="s">
        <v>1943</v>
      </c>
      <c r="N5918" t="s">
        <v>1944</v>
      </c>
      <c r="Q5918">
        <v>26633</v>
      </c>
      <c r="R5918" t="s">
        <v>45</v>
      </c>
      <c r="S5918" t="s">
        <v>31733</v>
      </c>
      <c r="T5918">
        <v>25</v>
      </c>
      <c r="V5918" s="1">
        <v>45237</v>
      </c>
      <c r="W5918" t="s">
        <v>84</v>
      </c>
      <c r="X5918">
        <v>807590</v>
      </c>
      <c r="Y5918" s="2" t="s">
        <v>35886</v>
      </c>
      <c r="Z5918" s="2" t="s">
        <v>35887</v>
      </c>
      <c r="AA5918" t="s">
        <v>22330</v>
      </c>
      <c r="AB5918" t="s">
        <v>35888</v>
      </c>
      <c r="AD5918" t="s">
        <v>35889</v>
      </c>
      <c r="AE5918">
        <v>45422</v>
      </c>
      <c r="AG5918" t="s">
        <v>35890</v>
      </c>
      <c r="AH5918" t="s">
        <v>35891</v>
      </c>
      <c r="AI5918" t="s">
        <v>35892</v>
      </c>
    </row>
    <row r="5919" spans="2:35" ht="240">
      <c r="B5919" s="1">
        <v>45260</v>
      </c>
      <c r="C5919" s="4">
        <v>45260.454861111109</v>
      </c>
      <c r="D5919" t="s">
        <v>34515</v>
      </c>
      <c r="E5919" t="s">
        <v>35893</v>
      </c>
      <c r="F5919" t="s">
        <v>37</v>
      </c>
      <c r="G5919" t="s">
        <v>2499</v>
      </c>
      <c r="H5919" t="s">
        <v>39</v>
      </c>
      <c r="I5919" t="s">
        <v>40</v>
      </c>
      <c r="J5919" s="2" t="s">
        <v>1808</v>
      </c>
      <c r="K5919" t="s">
        <v>42</v>
      </c>
      <c r="L5919" t="s">
        <v>15532</v>
      </c>
      <c r="N5919" t="s">
        <v>15533</v>
      </c>
      <c r="Q5919">
        <v>26632</v>
      </c>
      <c r="R5919" t="s">
        <v>3058</v>
      </c>
      <c r="S5919" t="s">
        <v>35894</v>
      </c>
      <c r="T5919">
        <v>25</v>
      </c>
      <c r="V5919" s="1">
        <v>45135</v>
      </c>
      <c r="W5919" t="s">
        <v>2766</v>
      </c>
      <c r="X5919">
        <v>120000146</v>
      </c>
      <c r="Y5919" t="s">
        <v>35895</v>
      </c>
      <c r="Z5919" s="2" t="s">
        <v>35896</v>
      </c>
      <c r="AA5919" t="s">
        <v>35897</v>
      </c>
      <c r="AB5919" s="2" t="s">
        <v>31008</v>
      </c>
      <c r="AD5919" t="s">
        <v>35898</v>
      </c>
      <c r="AE5919" t="s">
        <v>35899</v>
      </c>
      <c r="AG5919" t="s">
        <v>35900</v>
      </c>
      <c r="AH5919" t="s">
        <v>34524</v>
      </c>
      <c r="AI5919" t="s">
        <v>35901</v>
      </c>
    </row>
    <row r="5920" spans="2:35" ht="195">
      <c r="B5920" s="1">
        <v>45260</v>
      </c>
      <c r="C5920" s="4">
        <v>45260.362500000003</v>
      </c>
      <c r="D5920" t="s">
        <v>4197</v>
      </c>
      <c r="E5920" t="s">
        <v>33157</v>
      </c>
      <c r="F5920" t="s">
        <v>37</v>
      </c>
      <c r="G5920" t="s">
        <v>38</v>
      </c>
      <c r="H5920" t="s">
        <v>39</v>
      </c>
      <c r="I5920" t="s">
        <v>40</v>
      </c>
      <c r="J5920" s="2" t="s">
        <v>190</v>
      </c>
      <c r="K5920" t="s">
        <v>42</v>
      </c>
      <c r="L5920" t="s">
        <v>43</v>
      </c>
      <c r="N5920" t="s">
        <v>44</v>
      </c>
      <c r="Q5920">
        <v>26631</v>
      </c>
      <c r="R5920" t="s">
        <v>119</v>
      </c>
      <c r="S5920" t="s">
        <v>111</v>
      </c>
      <c r="T5920">
        <v>24</v>
      </c>
      <c r="W5920" t="s">
        <v>35902</v>
      </c>
      <c r="X5920">
        <v>831623</v>
      </c>
      <c r="Y5920" t="s">
        <v>35903</v>
      </c>
      <c r="Z5920" t="s">
        <v>35904</v>
      </c>
      <c r="AA5920" s="2" t="s">
        <v>35905</v>
      </c>
      <c r="AB5920" t="s">
        <v>35906</v>
      </c>
      <c r="AG5920" t="s">
        <v>35907</v>
      </c>
      <c r="AH5920" t="s">
        <v>117</v>
      </c>
      <c r="AI5920" t="s">
        <v>35908</v>
      </c>
    </row>
    <row r="5921" spans="2:35" ht="210">
      <c r="B5921" s="1">
        <v>45260</v>
      </c>
      <c r="C5921" s="4">
        <v>45260.433333333334</v>
      </c>
      <c r="D5921" t="s">
        <v>4197</v>
      </c>
      <c r="E5921" t="s">
        <v>29029</v>
      </c>
      <c r="F5921" t="s">
        <v>37</v>
      </c>
      <c r="G5921" t="s">
        <v>38</v>
      </c>
      <c r="H5921" t="s">
        <v>39</v>
      </c>
      <c r="I5921" t="s">
        <v>40</v>
      </c>
      <c r="J5921" t="s">
        <v>109</v>
      </c>
      <c r="K5921" t="s">
        <v>42</v>
      </c>
      <c r="L5921" t="s">
        <v>43</v>
      </c>
      <c r="N5921" t="s">
        <v>44</v>
      </c>
      <c r="Q5921">
        <v>26630</v>
      </c>
      <c r="R5921" t="s">
        <v>45</v>
      </c>
      <c r="S5921" t="s">
        <v>111</v>
      </c>
      <c r="T5921">
        <v>24</v>
      </c>
      <c r="W5921" t="s">
        <v>48</v>
      </c>
      <c r="X5921">
        <v>838182</v>
      </c>
      <c r="Y5921" t="s">
        <v>121</v>
      </c>
      <c r="Z5921" t="s">
        <v>122</v>
      </c>
      <c r="AA5921" s="2" t="s">
        <v>33688</v>
      </c>
      <c r="AB5921" t="s">
        <v>88</v>
      </c>
      <c r="AG5921" t="s">
        <v>35909</v>
      </c>
      <c r="AH5921" t="s">
        <v>117</v>
      </c>
      <c r="AI5921" t="s">
        <v>35910</v>
      </c>
    </row>
    <row r="5922" spans="2:35" ht="45">
      <c r="B5922" s="1">
        <v>45260</v>
      </c>
      <c r="C5922" s="4">
        <v>45260.352083333331</v>
      </c>
      <c r="D5922" t="s">
        <v>2763</v>
      </c>
      <c r="E5922" t="s">
        <v>35911</v>
      </c>
      <c r="F5922">
        <v>7</v>
      </c>
      <c r="G5922" t="s">
        <v>1286</v>
      </c>
      <c r="H5922" t="s">
        <v>39</v>
      </c>
      <c r="I5922" t="s">
        <v>40</v>
      </c>
      <c r="J5922" s="2" t="s">
        <v>1370</v>
      </c>
      <c r="K5922" t="s">
        <v>42</v>
      </c>
      <c r="L5922" t="s">
        <v>433</v>
      </c>
      <c r="N5922" t="s">
        <v>434</v>
      </c>
      <c r="Q5922">
        <v>26629</v>
      </c>
      <c r="R5922" t="s">
        <v>45</v>
      </c>
      <c r="S5922" t="s">
        <v>2765</v>
      </c>
      <c r="T5922">
        <v>28</v>
      </c>
      <c r="W5922" t="s">
        <v>1008</v>
      </c>
      <c r="X5922">
        <v>804701</v>
      </c>
      <c r="Y5922" t="s">
        <v>35912</v>
      </c>
      <c r="Z5922" t="s">
        <v>35913</v>
      </c>
      <c r="AA5922" t="s">
        <v>35914</v>
      </c>
      <c r="AB5922" t="s">
        <v>1011</v>
      </c>
      <c r="AG5922" t="s">
        <v>35915</v>
      </c>
      <c r="AH5922" t="s">
        <v>35916</v>
      </c>
      <c r="AI5922" t="s">
        <v>35917</v>
      </c>
    </row>
    <row r="5923" spans="2:35" ht="60">
      <c r="B5923" s="1">
        <v>45259</v>
      </c>
      <c r="C5923" s="4">
        <v>45259.738888888889</v>
      </c>
      <c r="D5923" t="s">
        <v>35918</v>
      </c>
      <c r="E5923" t="s">
        <v>1285</v>
      </c>
      <c r="F5923">
        <v>6</v>
      </c>
      <c r="G5923" t="s">
        <v>1286</v>
      </c>
      <c r="H5923" t="s">
        <v>39</v>
      </c>
      <c r="I5923" t="s">
        <v>40</v>
      </c>
      <c r="J5923" s="2" t="s">
        <v>35919</v>
      </c>
      <c r="K5923" t="s">
        <v>42</v>
      </c>
      <c r="L5923" t="s">
        <v>433</v>
      </c>
      <c r="N5923" t="s">
        <v>434</v>
      </c>
      <c r="Q5923">
        <v>26628</v>
      </c>
      <c r="R5923" t="s">
        <v>45</v>
      </c>
      <c r="S5923" t="s">
        <v>31167</v>
      </c>
      <c r="T5923">
        <v>27</v>
      </c>
      <c r="W5923" t="s">
        <v>1008</v>
      </c>
      <c r="X5923">
        <v>706910</v>
      </c>
      <c r="Y5923" t="s">
        <v>35920</v>
      </c>
      <c r="Z5923" t="s">
        <v>35921</v>
      </c>
      <c r="AA5923" t="s">
        <v>35921</v>
      </c>
      <c r="AB5923" t="s">
        <v>1011</v>
      </c>
      <c r="AG5923" t="s">
        <v>35922</v>
      </c>
      <c r="AH5923" t="s">
        <v>31171</v>
      </c>
      <c r="AI5923" t="s">
        <v>35923</v>
      </c>
    </row>
    <row r="5924" spans="2:35" ht="210">
      <c r="B5924" s="1">
        <v>45259</v>
      </c>
      <c r="C5924" s="4">
        <v>45259.65625</v>
      </c>
      <c r="D5924" t="s">
        <v>26467</v>
      </c>
      <c r="E5924" t="s">
        <v>3570</v>
      </c>
      <c r="F5924">
        <v>3</v>
      </c>
      <c r="G5924" t="s">
        <v>174</v>
      </c>
      <c r="H5924" t="s">
        <v>39</v>
      </c>
      <c r="I5924" t="s">
        <v>40</v>
      </c>
      <c r="J5924" s="2" t="s">
        <v>41</v>
      </c>
      <c r="K5924" t="s">
        <v>42</v>
      </c>
      <c r="L5924" t="s">
        <v>175</v>
      </c>
      <c r="N5924" t="s">
        <v>176</v>
      </c>
      <c r="Q5924">
        <v>26627</v>
      </c>
      <c r="R5924" t="s">
        <v>45</v>
      </c>
      <c r="S5924" t="s">
        <v>26460</v>
      </c>
      <c r="T5924">
        <v>25</v>
      </c>
      <c r="U5924" s="2" t="s">
        <v>35924</v>
      </c>
      <c r="V5924" s="1">
        <v>45258</v>
      </c>
      <c r="W5924" t="s">
        <v>84</v>
      </c>
      <c r="X5924">
        <v>814161</v>
      </c>
      <c r="Y5924" t="s">
        <v>9897</v>
      </c>
      <c r="Z5924" t="e">
        <f ca="1">- replaced defective monitor SN: CNK6290NRV
- generated reports
- performed functionality test</f>
        <v>#NAME?</v>
      </c>
      <c r="AA5924" t="s">
        <v>9899</v>
      </c>
      <c r="AB5924" t="s">
        <v>88</v>
      </c>
      <c r="AD5924" s="2" t="s">
        <v>35925</v>
      </c>
      <c r="AE5924" t="s">
        <v>35926</v>
      </c>
      <c r="AG5924" t="s">
        <v>35927</v>
      </c>
      <c r="AH5924" t="s">
        <v>26465</v>
      </c>
      <c r="AI5924" t="s">
        <v>35928</v>
      </c>
    </row>
    <row r="5925" spans="2:35" ht="409.5">
      <c r="B5925" s="1">
        <v>45259</v>
      </c>
      <c r="C5925" s="4">
        <v>45259.628472222219</v>
      </c>
      <c r="D5925" t="s">
        <v>22119</v>
      </c>
      <c r="E5925" t="s">
        <v>35929</v>
      </c>
      <c r="F5925" t="s">
        <v>37</v>
      </c>
      <c r="G5925" t="s">
        <v>2499</v>
      </c>
      <c r="H5925" t="s">
        <v>39</v>
      </c>
      <c r="I5925" t="s">
        <v>40</v>
      </c>
      <c r="J5925" t="s">
        <v>109</v>
      </c>
      <c r="K5925" t="s">
        <v>42</v>
      </c>
      <c r="L5925" t="s">
        <v>15532</v>
      </c>
      <c r="N5925" t="s">
        <v>15533</v>
      </c>
      <c r="Q5925">
        <v>26626</v>
      </c>
      <c r="R5925" t="s">
        <v>45</v>
      </c>
      <c r="S5925" t="s">
        <v>22121</v>
      </c>
      <c r="T5925">
        <v>32</v>
      </c>
      <c r="U5925" s="2" t="s">
        <v>35930</v>
      </c>
      <c r="W5925" t="s">
        <v>3244</v>
      </c>
      <c r="X5925">
        <v>814155</v>
      </c>
      <c r="Y5925" t="s">
        <v>35931</v>
      </c>
      <c r="Z5925" s="2" t="s">
        <v>35932</v>
      </c>
      <c r="AA5925" t="s">
        <v>35933</v>
      </c>
      <c r="AB5925" t="s">
        <v>7445</v>
      </c>
      <c r="AG5925" t="s">
        <v>35934</v>
      </c>
      <c r="AH5925" t="s">
        <v>33338</v>
      </c>
      <c r="AI5925" t="s">
        <v>35935</v>
      </c>
    </row>
    <row r="5926" spans="2:35" ht="210">
      <c r="B5926" s="1">
        <v>45259</v>
      </c>
      <c r="C5926" s="4">
        <v>45259.598611111112</v>
      </c>
      <c r="D5926" t="s">
        <v>23601</v>
      </c>
      <c r="E5926" t="s">
        <v>23602</v>
      </c>
      <c r="F5926">
        <v>3</v>
      </c>
      <c r="G5926" t="s">
        <v>134</v>
      </c>
      <c r="H5926" t="s">
        <v>39</v>
      </c>
      <c r="I5926" t="s">
        <v>40</v>
      </c>
      <c r="J5926" s="2" t="s">
        <v>190</v>
      </c>
      <c r="K5926" t="s">
        <v>42</v>
      </c>
      <c r="L5926" t="s">
        <v>63</v>
      </c>
      <c r="N5926" t="s">
        <v>64</v>
      </c>
      <c r="Q5926">
        <v>26625</v>
      </c>
      <c r="R5926" t="s">
        <v>119</v>
      </c>
      <c r="S5926" t="s">
        <v>23603</v>
      </c>
      <c r="T5926">
        <v>27</v>
      </c>
      <c r="U5926" s="2" t="s">
        <v>35936</v>
      </c>
      <c r="V5926" s="1">
        <v>45259</v>
      </c>
      <c r="W5926" t="s">
        <v>26915</v>
      </c>
      <c r="X5926">
        <v>831902</v>
      </c>
      <c r="Y5926" t="s">
        <v>1716</v>
      </c>
      <c r="Z5926" t="s">
        <v>1716</v>
      </c>
      <c r="AA5926" s="2" t="s">
        <v>35937</v>
      </c>
      <c r="AB5926" t="s">
        <v>70</v>
      </c>
      <c r="AC5926" t="s">
        <v>1716</v>
      </c>
      <c r="AD5926" t="s">
        <v>1716</v>
      </c>
      <c r="AE5926" t="s">
        <v>1716</v>
      </c>
      <c r="AG5926" t="s">
        <v>35938</v>
      </c>
      <c r="AH5926" t="s">
        <v>35939</v>
      </c>
      <c r="AI5926" t="s">
        <v>35940</v>
      </c>
    </row>
    <row r="5927" spans="2:35" ht="345">
      <c r="B5927" s="1">
        <v>45259</v>
      </c>
      <c r="C5927" s="4">
        <v>45259.600694444445</v>
      </c>
      <c r="D5927" t="s">
        <v>6297</v>
      </c>
      <c r="E5927" t="s">
        <v>12017</v>
      </c>
      <c r="F5927">
        <v>7</v>
      </c>
      <c r="G5927" t="s">
        <v>432</v>
      </c>
      <c r="H5927" t="s">
        <v>150</v>
      </c>
      <c r="I5927" t="s">
        <v>40</v>
      </c>
      <c r="J5927" t="s">
        <v>525</v>
      </c>
      <c r="K5927" t="s">
        <v>42</v>
      </c>
      <c r="L5927" t="s">
        <v>1288</v>
      </c>
      <c r="N5927" t="s">
        <v>1289</v>
      </c>
      <c r="Q5927">
        <v>26624</v>
      </c>
      <c r="R5927" t="s">
        <v>119</v>
      </c>
      <c r="S5927" t="s">
        <v>4407</v>
      </c>
      <c r="T5927">
        <v>25</v>
      </c>
      <c r="U5927" s="2" t="s">
        <v>35941</v>
      </c>
      <c r="W5927" t="s">
        <v>1292</v>
      </c>
      <c r="X5927">
        <v>820206</v>
      </c>
      <c r="Y5927" t="s">
        <v>35942</v>
      </c>
      <c r="Z5927" t="e">
        <f ca="1">-COLLECT IQR, system _xludf.Log, _xludf.and ARCHIVE</f>
        <v>#NAME?</v>
      </c>
      <c r="AA5927" s="2" t="s">
        <v>35943</v>
      </c>
      <c r="AB5927" t="s">
        <v>1293</v>
      </c>
      <c r="AG5927" t="s">
        <v>35944</v>
      </c>
      <c r="AH5927" t="s">
        <v>35945</v>
      </c>
      <c r="AI5927" t="s">
        <v>35946</v>
      </c>
    </row>
    <row r="5928" spans="2:35" ht="45">
      <c r="B5928" s="1">
        <v>45259</v>
      </c>
      <c r="C5928" s="4">
        <v>45259.438194444447</v>
      </c>
      <c r="D5928" t="s">
        <v>7890</v>
      </c>
      <c r="E5928" t="s">
        <v>9497</v>
      </c>
      <c r="F5928">
        <v>6</v>
      </c>
      <c r="G5928" t="s">
        <v>1286</v>
      </c>
      <c r="H5928" t="s">
        <v>35947</v>
      </c>
      <c r="I5928" t="s">
        <v>40</v>
      </c>
      <c r="J5928" s="2" t="s">
        <v>1370</v>
      </c>
      <c r="K5928" t="s">
        <v>42</v>
      </c>
      <c r="L5928" t="s">
        <v>433</v>
      </c>
      <c r="N5928" t="s">
        <v>434</v>
      </c>
      <c r="Q5928">
        <v>26623</v>
      </c>
      <c r="R5928" t="s">
        <v>119</v>
      </c>
      <c r="S5928" t="s">
        <v>35948</v>
      </c>
      <c r="T5928">
        <v>28</v>
      </c>
      <c r="W5928" t="s">
        <v>1008</v>
      </c>
      <c r="X5928">
        <v>838393</v>
      </c>
      <c r="Y5928" t="s">
        <v>35949</v>
      </c>
      <c r="Z5928" t="s">
        <v>35950</v>
      </c>
      <c r="AA5928" t="s">
        <v>35951</v>
      </c>
      <c r="AB5928" t="s">
        <v>1011</v>
      </c>
      <c r="AG5928" t="s">
        <v>35952</v>
      </c>
      <c r="AH5928" t="s">
        <v>6365</v>
      </c>
      <c r="AI5928" t="s">
        <v>35953</v>
      </c>
    </row>
    <row r="5929" spans="2:35" ht="60">
      <c r="B5929" s="1">
        <v>45259</v>
      </c>
      <c r="C5929" s="4">
        <v>45259.367361111108</v>
      </c>
      <c r="D5929" t="s">
        <v>3252</v>
      </c>
      <c r="E5929" t="s">
        <v>35954</v>
      </c>
      <c r="F5929">
        <v>8</v>
      </c>
      <c r="G5929" t="s">
        <v>257</v>
      </c>
      <c r="H5929" t="s">
        <v>202</v>
      </c>
      <c r="I5929" t="s">
        <v>94</v>
      </c>
      <c r="J5929" s="2" t="s">
        <v>62</v>
      </c>
      <c r="K5929" t="s">
        <v>42</v>
      </c>
      <c r="L5929" t="s">
        <v>259</v>
      </c>
      <c r="N5929" t="s">
        <v>260</v>
      </c>
      <c r="Q5929">
        <v>26622</v>
      </c>
      <c r="R5929" t="s">
        <v>45</v>
      </c>
      <c r="S5929" t="s">
        <v>3255</v>
      </c>
      <c r="T5929">
        <v>25</v>
      </c>
      <c r="V5929" s="1">
        <v>45259</v>
      </c>
      <c r="W5929" t="s">
        <v>35955</v>
      </c>
      <c r="X5929">
        <v>835099</v>
      </c>
      <c r="Y5929" t="s">
        <v>35956</v>
      </c>
      <c r="Z5929" t="e">
        <f ca="1">- Preventive Maintenance
- CALIBRATION</f>
        <v>#NAME?</v>
      </c>
      <c r="AA5929" t="e">
        <f ca="1">- performed Preventive Maintenance
  - cleaned cartridge bay, FAN _xludf.filter, plunger rod
- performed XpertCheck CALIBRATION (B1,B2)
- Generate reports</f>
        <v>#NAME?</v>
      </c>
      <c r="AB5929" t="s">
        <v>70</v>
      </c>
      <c r="AC5929" t="s">
        <v>35957</v>
      </c>
      <c r="AD5929" t="s">
        <v>948</v>
      </c>
      <c r="AE5929" t="s">
        <v>45</v>
      </c>
      <c r="AG5929" t="s">
        <v>35958</v>
      </c>
      <c r="AH5929" t="s">
        <v>35959</v>
      </c>
      <c r="AI5929" t="s">
        <v>35960</v>
      </c>
    </row>
    <row r="5930" spans="2:35" ht="409.5">
      <c r="B5930" s="1">
        <v>45259</v>
      </c>
      <c r="C5930" s="4">
        <v>45258.46597222222</v>
      </c>
      <c r="D5930" t="s">
        <v>1127</v>
      </c>
      <c r="E5930" t="s">
        <v>31780</v>
      </c>
      <c r="F5930">
        <v>8</v>
      </c>
      <c r="G5930" t="s">
        <v>342</v>
      </c>
      <c r="H5930" t="s">
        <v>39</v>
      </c>
      <c r="I5930" t="s">
        <v>94</v>
      </c>
      <c r="J5930" s="2" t="s">
        <v>41</v>
      </c>
      <c r="K5930" t="s">
        <v>42</v>
      </c>
      <c r="L5930" t="s">
        <v>259</v>
      </c>
      <c r="N5930" t="s">
        <v>260</v>
      </c>
      <c r="Q5930">
        <v>26621</v>
      </c>
      <c r="R5930" t="s">
        <v>45</v>
      </c>
      <c r="S5930" t="s">
        <v>35961</v>
      </c>
      <c r="T5930">
        <v>21</v>
      </c>
      <c r="U5930" s="2" t="s">
        <v>35962</v>
      </c>
      <c r="V5930" s="1">
        <v>45258</v>
      </c>
      <c r="W5930" t="s">
        <v>84</v>
      </c>
      <c r="X5930">
        <v>808631</v>
      </c>
      <c r="Y5930" t="s">
        <v>35963</v>
      </c>
      <c r="Z5930" t="e">
        <f ca="1">- module Replacement
- Preventive Maintenance</f>
        <v>#NAME?</v>
      </c>
      <c r="AA5930" s="2" t="s">
        <v>35964</v>
      </c>
      <c r="AB5930" t="s">
        <v>70</v>
      </c>
      <c r="AD5930" t="s">
        <v>35965</v>
      </c>
      <c r="AE5930" t="s">
        <v>45</v>
      </c>
      <c r="AG5930" t="s">
        <v>35966</v>
      </c>
      <c r="AH5930" t="s">
        <v>35967</v>
      </c>
      <c r="AI5930" t="s">
        <v>35968</v>
      </c>
    </row>
    <row r="5931" spans="2:35">
      <c r="B5931" s="1">
        <v>45258</v>
      </c>
      <c r="C5931" s="4">
        <v>45258.790972222225</v>
      </c>
      <c r="D5931" t="s">
        <v>18094</v>
      </c>
      <c r="E5931" t="s">
        <v>18095</v>
      </c>
      <c r="F5931">
        <v>7</v>
      </c>
      <c r="G5931" t="s">
        <v>432</v>
      </c>
      <c r="H5931" t="s">
        <v>386</v>
      </c>
      <c r="I5931" t="s">
        <v>94</v>
      </c>
      <c r="J5931" t="s">
        <v>79</v>
      </c>
      <c r="K5931" t="s">
        <v>387</v>
      </c>
      <c r="L5931" t="s">
        <v>610</v>
      </c>
      <c r="N5931" t="s">
        <v>35969</v>
      </c>
      <c r="Q5931">
        <v>26620</v>
      </c>
      <c r="R5931" t="s">
        <v>95</v>
      </c>
      <c r="S5931" t="s">
        <v>435</v>
      </c>
      <c r="T5931">
        <v>24</v>
      </c>
      <c r="W5931" t="s">
        <v>436</v>
      </c>
      <c r="X5931" t="s">
        <v>437</v>
      </c>
      <c r="Y5931" t="s">
        <v>35970</v>
      </c>
      <c r="Z5931" t="s">
        <v>35971</v>
      </c>
      <c r="AA5931" t="s">
        <v>35972</v>
      </c>
      <c r="AB5931" t="s">
        <v>21113</v>
      </c>
      <c r="AG5931" t="s">
        <v>35973</v>
      </c>
      <c r="AH5931" t="s">
        <v>18101</v>
      </c>
      <c r="AI5931" t="s">
        <v>35974</v>
      </c>
    </row>
    <row r="5932" spans="2:35" ht="105">
      <c r="B5932" s="1">
        <v>45258</v>
      </c>
      <c r="C5932" s="4">
        <v>45258.611805555556</v>
      </c>
      <c r="D5932" t="s">
        <v>32844</v>
      </c>
      <c r="E5932" t="s">
        <v>35975</v>
      </c>
      <c r="F5932">
        <v>6</v>
      </c>
      <c r="G5932" t="s">
        <v>9400</v>
      </c>
      <c r="H5932" t="s">
        <v>1498</v>
      </c>
      <c r="I5932" t="s">
        <v>94</v>
      </c>
      <c r="J5932" s="2" t="s">
        <v>41</v>
      </c>
      <c r="K5932" t="s">
        <v>42</v>
      </c>
      <c r="L5932" t="s">
        <v>343</v>
      </c>
      <c r="N5932" t="s">
        <v>344</v>
      </c>
      <c r="Q5932">
        <v>26619</v>
      </c>
      <c r="R5932" t="s">
        <v>45</v>
      </c>
      <c r="S5932" t="s">
        <v>32846</v>
      </c>
      <c r="T5932">
        <v>24.4</v>
      </c>
      <c r="U5932" s="2" t="s">
        <v>22260</v>
      </c>
      <c r="V5932" s="1">
        <v>45258</v>
      </c>
      <c r="W5932" t="s">
        <v>84</v>
      </c>
      <c r="X5932">
        <v>815427</v>
      </c>
      <c r="Y5932" t="s">
        <v>20149</v>
      </c>
      <c r="Z5932" t="s">
        <v>35976</v>
      </c>
      <c r="AA5932" t="e">
        <f ca="1">-module Replacement
-Preventive Maintenance</f>
        <v>#NAME?</v>
      </c>
      <c r="AB5932" t="s">
        <v>9638</v>
      </c>
      <c r="AD5932" t="s">
        <v>35865</v>
      </c>
      <c r="AE5932" t="s">
        <v>45</v>
      </c>
      <c r="AG5932" t="s">
        <v>35977</v>
      </c>
      <c r="AH5932" t="s">
        <v>35978</v>
      </c>
      <c r="AI5932" t="s">
        <v>35979</v>
      </c>
    </row>
    <row r="5933" spans="2:35" ht="150">
      <c r="B5933" s="1">
        <v>45258</v>
      </c>
      <c r="C5933" s="4">
        <v>45258.561111111114</v>
      </c>
      <c r="D5933" t="s">
        <v>35980</v>
      </c>
      <c r="E5933" t="s">
        <v>30628</v>
      </c>
      <c r="F5933">
        <v>3</v>
      </c>
      <c r="G5933" t="s">
        <v>134</v>
      </c>
      <c r="H5933" t="s">
        <v>39</v>
      </c>
      <c r="I5933" t="s">
        <v>40</v>
      </c>
      <c r="J5933" s="2" t="s">
        <v>190</v>
      </c>
      <c r="K5933" t="s">
        <v>42</v>
      </c>
      <c r="L5933" t="s">
        <v>135</v>
      </c>
      <c r="N5933" t="s">
        <v>136</v>
      </c>
      <c r="Q5933">
        <v>26618</v>
      </c>
      <c r="R5933" t="s">
        <v>45</v>
      </c>
      <c r="S5933" t="s">
        <v>25609</v>
      </c>
      <c r="T5933">
        <v>30</v>
      </c>
      <c r="U5933" s="2" t="s">
        <v>35981</v>
      </c>
      <c r="W5933" t="s">
        <v>2680</v>
      </c>
      <c r="X5933">
        <v>834688</v>
      </c>
      <c r="Y5933" t="s">
        <v>35982</v>
      </c>
      <c r="Z5933" s="2" t="s">
        <v>29848</v>
      </c>
      <c r="AA5933" s="2" t="s">
        <v>35983</v>
      </c>
      <c r="AB5933" t="s">
        <v>181</v>
      </c>
      <c r="AC5933" t="s">
        <v>35984</v>
      </c>
      <c r="AG5933" t="s">
        <v>35985</v>
      </c>
      <c r="AH5933" t="s">
        <v>30635</v>
      </c>
      <c r="AI5933" t="s">
        <v>35986</v>
      </c>
    </row>
    <row r="5934" spans="2:35" ht="255">
      <c r="B5934" s="1">
        <v>45258</v>
      </c>
      <c r="C5934" s="4">
        <v>45258.498611111114</v>
      </c>
      <c r="D5934" t="s">
        <v>3357</v>
      </c>
      <c r="E5934" t="s">
        <v>27224</v>
      </c>
      <c r="F5934">
        <v>3</v>
      </c>
      <c r="G5934" t="s">
        <v>134</v>
      </c>
      <c r="H5934" t="s">
        <v>39</v>
      </c>
      <c r="I5934" t="s">
        <v>40</v>
      </c>
      <c r="J5934" s="2" t="s">
        <v>8419</v>
      </c>
      <c r="K5934" t="s">
        <v>42</v>
      </c>
      <c r="L5934" t="s">
        <v>135</v>
      </c>
      <c r="N5934" t="s">
        <v>136</v>
      </c>
      <c r="Q5934">
        <v>26617</v>
      </c>
      <c r="R5934" t="s">
        <v>119</v>
      </c>
      <c r="S5934" t="s">
        <v>3359</v>
      </c>
      <c r="T5934">
        <v>26</v>
      </c>
      <c r="U5934" s="2" t="s">
        <v>35987</v>
      </c>
      <c r="W5934" t="s">
        <v>2680</v>
      </c>
      <c r="X5934">
        <v>831912</v>
      </c>
      <c r="Y5934" s="2" t="s">
        <v>35988</v>
      </c>
      <c r="Z5934" t="s">
        <v>5712</v>
      </c>
      <c r="AA5934" s="2" t="s">
        <v>32304</v>
      </c>
      <c r="AB5934" t="s">
        <v>35989</v>
      </c>
      <c r="AC5934" t="s">
        <v>35990</v>
      </c>
      <c r="AG5934" t="s">
        <v>35991</v>
      </c>
      <c r="AH5934" t="s">
        <v>3362</v>
      </c>
      <c r="AI5934" t="s">
        <v>35992</v>
      </c>
    </row>
    <row r="5935" spans="2:35" ht="255">
      <c r="B5935" s="1">
        <v>45258</v>
      </c>
      <c r="C5935" s="4">
        <v>45254.62222222222</v>
      </c>
      <c r="D5935" t="s">
        <v>34625</v>
      </c>
      <c r="E5935" t="s">
        <v>34626</v>
      </c>
      <c r="F5935" t="s">
        <v>148</v>
      </c>
      <c r="G5935" t="s">
        <v>447</v>
      </c>
      <c r="H5935" t="s">
        <v>9774</v>
      </c>
      <c r="I5935" t="s">
        <v>40</v>
      </c>
      <c r="J5935" s="2" t="s">
        <v>62</v>
      </c>
      <c r="K5935" t="s">
        <v>649</v>
      </c>
      <c r="L5935" t="s">
        <v>409</v>
      </c>
      <c r="N5935" t="s">
        <v>410</v>
      </c>
      <c r="Q5935">
        <v>26616</v>
      </c>
      <c r="R5935" t="s">
        <v>95</v>
      </c>
      <c r="S5935" t="s">
        <v>16934</v>
      </c>
      <c r="T5935">
        <v>23</v>
      </c>
      <c r="W5935" t="s">
        <v>35993</v>
      </c>
      <c r="X5935" t="s">
        <v>17027</v>
      </c>
      <c r="Y5935" t="s">
        <v>24864</v>
      </c>
      <c r="Z5935" t="s">
        <v>24864</v>
      </c>
      <c r="AA5935" s="2" t="s">
        <v>35994</v>
      </c>
      <c r="AB5935" t="s">
        <v>35995</v>
      </c>
      <c r="AG5935" t="s">
        <v>35996</v>
      </c>
      <c r="AH5935" t="s">
        <v>35642</v>
      </c>
      <c r="AI5935" t="s">
        <v>35997</v>
      </c>
    </row>
    <row r="5936" spans="2:35" ht="255">
      <c r="B5936" s="1">
        <v>45258</v>
      </c>
      <c r="C5936" s="4">
        <v>45254.626388888886</v>
      </c>
      <c r="D5936" t="s">
        <v>34625</v>
      </c>
      <c r="E5936" t="s">
        <v>34626</v>
      </c>
      <c r="F5936" t="s">
        <v>148</v>
      </c>
      <c r="G5936" t="s">
        <v>447</v>
      </c>
      <c r="H5936" t="s">
        <v>9774</v>
      </c>
      <c r="I5936" t="s">
        <v>40</v>
      </c>
      <c r="J5936" s="2" t="s">
        <v>62</v>
      </c>
      <c r="K5936" t="s">
        <v>649</v>
      </c>
      <c r="L5936" t="s">
        <v>409</v>
      </c>
      <c r="N5936" t="s">
        <v>410</v>
      </c>
      <c r="Q5936">
        <v>26615</v>
      </c>
      <c r="R5936" t="s">
        <v>95</v>
      </c>
      <c r="S5936" t="s">
        <v>16934</v>
      </c>
      <c r="T5936">
        <v>23</v>
      </c>
      <c r="W5936" t="s">
        <v>35993</v>
      </c>
      <c r="X5936" t="s">
        <v>17019</v>
      </c>
      <c r="Y5936" t="s">
        <v>24864</v>
      </c>
      <c r="Z5936" t="s">
        <v>24864</v>
      </c>
      <c r="AA5936" s="2" t="s">
        <v>35994</v>
      </c>
      <c r="AB5936" t="s">
        <v>35995</v>
      </c>
      <c r="AG5936" t="s">
        <v>35998</v>
      </c>
      <c r="AH5936" t="s">
        <v>35642</v>
      </c>
      <c r="AI5936" t="s">
        <v>35999</v>
      </c>
    </row>
    <row r="5937" spans="2:35" ht="255">
      <c r="B5937" s="1">
        <v>45258</v>
      </c>
      <c r="C5937" s="4">
        <v>45254.631249999999</v>
      </c>
      <c r="D5937" t="s">
        <v>34625</v>
      </c>
      <c r="E5937" t="s">
        <v>34626</v>
      </c>
      <c r="F5937" t="s">
        <v>148</v>
      </c>
      <c r="G5937" t="s">
        <v>447</v>
      </c>
      <c r="H5937" t="s">
        <v>9774</v>
      </c>
      <c r="I5937" t="s">
        <v>40</v>
      </c>
      <c r="J5937" s="2" t="s">
        <v>62</v>
      </c>
      <c r="K5937" t="s">
        <v>649</v>
      </c>
      <c r="L5937" t="s">
        <v>409</v>
      </c>
      <c r="N5937" t="s">
        <v>410</v>
      </c>
      <c r="Q5937">
        <v>26614</v>
      </c>
      <c r="R5937" t="s">
        <v>95</v>
      </c>
      <c r="S5937" t="s">
        <v>16934</v>
      </c>
      <c r="T5937">
        <v>23</v>
      </c>
      <c r="W5937" t="s">
        <v>35993</v>
      </c>
      <c r="X5937" t="s">
        <v>17030</v>
      </c>
      <c r="Y5937" t="s">
        <v>24864</v>
      </c>
      <c r="Z5937" t="s">
        <v>24864</v>
      </c>
      <c r="AA5937" s="2" t="s">
        <v>35994</v>
      </c>
      <c r="AB5937" t="s">
        <v>35995</v>
      </c>
      <c r="AG5937" t="s">
        <v>36000</v>
      </c>
      <c r="AH5937" t="s">
        <v>35642</v>
      </c>
      <c r="AI5937" t="s">
        <v>36001</v>
      </c>
    </row>
    <row r="5938" spans="2:35" ht="255">
      <c r="B5938" s="1">
        <v>45258</v>
      </c>
      <c r="C5938" s="4">
        <v>45254.64166666667</v>
      </c>
      <c r="D5938" t="s">
        <v>34625</v>
      </c>
      <c r="E5938" t="s">
        <v>34626</v>
      </c>
      <c r="F5938" t="s">
        <v>148</v>
      </c>
      <c r="G5938" t="s">
        <v>447</v>
      </c>
      <c r="H5938" t="s">
        <v>9774</v>
      </c>
      <c r="I5938" t="s">
        <v>40</v>
      </c>
      <c r="J5938" s="2" t="s">
        <v>62</v>
      </c>
      <c r="K5938" t="s">
        <v>408</v>
      </c>
      <c r="L5938" t="s">
        <v>409</v>
      </c>
      <c r="N5938" t="s">
        <v>410</v>
      </c>
      <c r="P5938" t="s">
        <v>36002</v>
      </c>
      <c r="Q5938">
        <v>26613</v>
      </c>
      <c r="R5938" t="s">
        <v>95</v>
      </c>
      <c r="S5938" t="s">
        <v>16934</v>
      </c>
      <c r="T5938">
        <v>23</v>
      </c>
      <c r="W5938" t="s">
        <v>36003</v>
      </c>
      <c r="X5938" t="s">
        <v>17014</v>
      </c>
      <c r="Y5938" t="s">
        <v>24864</v>
      </c>
      <c r="Z5938" t="s">
        <v>24864</v>
      </c>
      <c r="AA5938" s="2" t="s">
        <v>36004</v>
      </c>
      <c r="AB5938" t="s">
        <v>35995</v>
      </c>
      <c r="AG5938" t="s">
        <v>36005</v>
      </c>
      <c r="AH5938" t="s">
        <v>35642</v>
      </c>
      <c r="AI5938" t="s">
        <v>36006</v>
      </c>
    </row>
    <row r="5939" spans="2:35" ht="360">
      <c r="B5939" s="1">
        <v>45258</v>
      </c>
      <c r="C5939" s="4">
        <v>45254.647916666669</v>
      </c>
      <c r="D5939" t="s">
        <v>34625</v>
      </c>
      <c r="E5939" t="s">
        <v>34626</v>
      </c>
      <c r="F5939" t="s">
        <v>148</v>
      </c>
      <c r="G5939" t="s">
        <v>447</v>
      </c>
      <c r="H5939" t="s">
        <v>9774</v>
      </c>
      <c r="I5939" t="s">
        <v>40</v>
      </c>
      <c r="J5939" s="2" t="s">
        <v>62</v>
      </c>
      <c r="K5939" t="s">
        <v>649</v>
      </c>
      <c r="L5939" t="s">
        <v>409</v>
      </c>
      <c r="N5939" t="s">
        <v>410</v>
      </c>
      <c r="Q5939">
        <v>26612</v>
      </c>
      <c r="R5939" t="s">
        <v>95</v>
      </c>
      <c r="S5939" t="s">
        <v>16934</v>
      </c>
      <c r="T5939">
        <v>23</v>
      </c>
      <c r="W5939" t="s">
        <v>36007</v>
      </c>
      <c r="X5939">
        <v>1014319110746</v>
      </c>
      <c r="Y5939" t="s">
        <v>24864</v>
      </c>
      <c r="Z5939" t="s">
        <v>24864</v>
      </c>
      <c r="AA5939" s="2" t="s">
        <v>36008</v>
      </c>
      <c r="AB5939" t="s">
        <v>35995</v>
      </c>
      <c r="AG5939" t="s">
        <v>36009</v>
      </c>
      <c r="AH5939" t="s">
        <v>35642</v>
      </c>
      <c r="AI5939" t="s">
        <v>36010</v>
      </c>
    </row>
    <row r="5940" spans="2:35" ht="270">
      <c r="B5940" s="1">
        <v>45258</v>
      </c>
      <c r="C5940" s="4">
        <v>45254.637499999997</v>
      </c>
      <c r="D5940" t="s">
        <v>34625</v>
      </c>
      <c r="E5940" t="s">
        <v>34626</v>
      </c>
      <c r="F5940" t="s">
        <v>148</v>
      </c>
      <c r="G5940" t="s">
        <v>447</v>
      </c>
      <c r="H5940" t="s">
        <v>9774</v>
      </c>
      <c r="I5940" t="s">
        <v>40</v>
      </c>
      <c r="J5940" s="2" t="s">
        <v>62</v>
      </c>
      <c r="K5940" t="s">
        <v>649</v>
      </c>
      <c r="L5940" t="s">
        <v>409</v>
      </c>
      <c r="N5940" t="s">
        <v>410</v>
      </c>
      <c r="Q5940">
        <v>26611</v>
      </c>
      <c r="R5940" t="s">
        <v>95</v>
      </c>
      <c r="S5940" t="s">
        <v>16934</v>
      </c>
      <c r="T5940">
        <v>23</v>
      </c>
      <c r="W5940" t="s">
        <v>36011</v>
      </c>
      <c r="X5940" t="s">
        <v>16999</v>
      </c>
      <c r="Y5940" t="s">
        <v>24864</v>
      </c>
      <c r="Z5940" t="s">
        <v>24864</v>
      </c>
      <c r="AA5940" s="2" t="s">
        <v>36012</v>
      </c>
      <c r="AB5940" t="s">
        <v>35995</v>
      </c>
      <c r="AG5940" t="s">
        <v>36013</v>
      </c>
      <c r="AH5940" t="s">
        <v>35642</v>
      </c>
      <c r="AI5940" t="s">
        <v>36014</v>
      </c>
    </row>
    <row r="5941" spans="2:35" ht="270">
      <c r="B5941" s="1">
        <v>45258</v>
      </c>
      <c r="C5941" s="4">
        <v>45254.63958333333</v>
      </c>
      <c r="D5941" t="s">
        <v>34625</v>
      </c>
      <c r="E5941" t="s">
        <v>34626</v>
      </c>
      <c r="F5941" t="s">
        <v>148</v>
      </c>
      <c r="G5941" t="s">
        <v>447</v>
      </c>
      <c r="H5941" t="s">
        <v>9774</v>
      </c>
      <c r="I5941" t="s">
        <v>40</v>
      </c>
      <c r="J5941" s="2" t="s">
        <v>62</v>
      </c>
      <c r="K5941" t="s">
        <v>649</v>
      </c>
      <c r="L5941" t="s">
        <v>409</v>
      </c>
      <c r="N5941" t="s">
        <v>410</v>
      </c>
      <c r="Q5941">
        <v>26610</v>
      </c>
      <c r="R5941" t="s">
        <v>95</v>
      </c>
      <c r="S5941" t="s">
        <v>16934</v>
      </c>
      <c r="T5941">
        <v>23</v>
      </c>
      <c r="W5941" t="s">
        <v>36011</v>
      </c>
      <c r="X5941" t="s">
        <v>17003</v>
      </c>
      <c r="Y5941" t="s">
        <v>24864</v>
      </c>
      <c r="Z5941" t="s">
        <v>24864</v>
      </c>
      <c r="AA5941" s="2" t="s">
        <v>36012</v>
      </c>
      <c r="AB5941" t="s">
        <v>35995</v>
      </c>
      <c r="AG5941" t="s">
        <v>36015</v>
      </c>
      <c r="AH5941" t="s">
        <v>35642</v>
      </c>
      <c r="AI5941" t="s">
        <v>36016</v>
      </c>
    </row>
    <row r="5942" spans="2:35" ht="270">
      <c r="B5942" s="1">
        <v>45258</v>
      </c>
      <c r="C5942" s="4">
        <v>45254.640277777777</v>
      </c>
      <c r="D5942" t="s">
        <v>34625</v>
      </c>
      <c r="E5942" t="s">
        <v>34626</v>
      </c>
      <c r="F5942" t="s">
        <v>148</v>
      </c>
      <c r="G5942" t="s">
        <v>447</v>
      </c>
      <c r="H5942" t="s">
        <v>9774</v>
      </c>
      <c r="I5942" t="s">
        <v>40</v>
      </c>
      <c r="J5942" s="2" t="s">
        <v>62</v>
      </c>
      <c r="K5942" t="s">
        <v>649</v>
      </c>
      <c r="L5942" t="s">
        <v>409</v>
      </c>
      <c r="N5942" t="s">
        <v>410</v>
      </c>
      <c r="Q5942">
        <v>26609</v>
      </c>
      <c r="R5942" t="s">
        <v>95</v>
      </c>
      <c r="S5942" t="s">
        <v>16934</v>
      </c>
      <c r="T5942">
        <v>23</v>
      </c>
      <c r="W5942" t="s">
        <v>36011</v>
      </c>
      <c r="X5942" t="s">
        <v>17006</v>
      </c>
      <c r="Y5942" t="s">
        <v>24864</v>
      </c>
      <c r="Z5942" t="s">
        <v>24864</v>
      </c>
      <c r="AA5942" s="2" t="s">
        <v>36012</v>
      </c>
      <c r="AB5942" t="s">
        <v>35995</v>
      </c>
      <c r="AG5942" t="s">
        <v>36017</v>
      </c>
      <c r="AH5942" t="s">
        <v>35642</v>
      </c>
      <c r="AI5942" t="s">
        <v>36018</v>
      </c>
    </row>
    <row r="5943" spans="2:35" ht="270">
      <c r="B5943" s="1">
        <v>45258</v>
      </c>
      <c r="C5943" s="4">
        <v>45254.640277777777</v>
      </c>
      <c r="D5943" t="s">
        <v>34625</v>
      </c>
      <c r="E5943" t="s">
        <v>34626</v>
      </c>
      <c r="F5943" t="s">
        <v>148</v>
      </c>
      <c r="G5943" t="s">
        <v>447</v>
      </c>
      <c r="H5943" t="s">
        <v>9774</v>
      </c>
      <c r="I5943" t="s">
        <v>40</v>
      </c>
      <c r="J5943" s="2" t="s">
        <v>62</v>
      </c>
      <c r="K5943" t="s">
        <v>649</v>
      </c>
      <c r="L5943" t="s">
        <v>409</v>
      </c>
      <c r="N5943" t="s">
        <v>410</v>
      </c>
      <c r="Q5943">
        <v>26608</v>
      </c>
      <c r="R5943" t="s">
        <v>95</v>
      </c>
      <c r="S5943" t="s">
        <v>16934</v>
      </c>
      <c r="T5943">
        <v>23</v>
      </c>
      <c r="W5943" t="s">
        <v>36011</v>
      </c>
      <c r="X5943" t="s">
        <v>17006</v>
      </c>
      <c r="Y5943" t="s">
        <v>24864</v>
      </c>
      <c r="Z5943" t="s">
        <v>24864</v>
      </c>
      <c r="AA5943" s="2" t="s">
        <v>36012</v>
      </c>
      <c r="AB5943" t="s">
        <v>35995</v>
      </c>
      <c r="AG5943" t="s">
        <v>36019</v>
      </c>
      <c r="AH5943" t="s">
        <v>35642</v>
      </c>
      <c r="AI5943" t="s">
        <v>36020</v>
      </c>
    </row>
    <row r="5944" spans="2:35" ht="255">
      <c r="B5944" s="1">
        <v>45258</v>
      </c>
      <c r="C5944" s="4">
        <v>45254.644444444442</v>
      </c>
      <c r="D5944" t="s">
        <v>34625</v>
      </c>
      <c r="E5944" t="s">
        <v>34626</v>
      </c>
      <c r="F5944" t="s">
        <v>148</v>
      </c>
      <c r="G5944" t="s">
        <v>447</v>
      </c>
      <c r="H5944" t="s">
        <v>9774</v>
      </c>
      <c r="I5944" t="s">
        <v>40</v>
      </c>
      <c r="J5944" s="2" t="s">
        <v>62</v>
      </c>
      <c r="K5944" t="s">
        <v>649</v>
      </c>
      <c r="L5944" t="s">
        <v>409</v>
      </c>
      <c r="N5944" t="s">
        <v>410</v>
      </c>
      <c r="Q5944">
        <v>26607</v>
      </c>
      <c r="R5944" t="s">
        <v>95</v>
      </c>
      <c r="S5944" t="s">
        <v>16934</v>
      </c>
      <c r="T5944">
        <v>23</v>
      </c>
      <c r="W5944" t="s">
        <v>36021</v>
      </c>
      <c r="X5944">
        <v>42358139</v>
      </c>
      <c r="Y5944" t="s">
        <v>24864</v>
      </c>
      <c r="Z5944" t="s">
        <v>24864</v>
      </c>
      <c r="AA5944" s="2" t="s">
        <v>36022</v>
      </c>
      <c r="AB5944" t="s">
        <v>35995</v>
      </c>
      <c r="AG5944" t="s">
        <v>36023</v>
      </c>
      <c r="AH5944" t="s">
        <v>35642</v>
      </c>
      <c r="AI5944" t="s">
        <v>36024</v>
      </c>
    </row>
    <row r="5945" spans="2:35" ht="255">
      <c r="B5945" s="1">
        <v>45258</v>
      </c>
      <c r="C5945" s="4">
        <v>45254.646527777775</v>
      </c>
      <c r="D5945" t="s">
        <v>34625</v>
      </c>
      <c r="E5945" t="s">
        <v>34626</v>
      </c>
      <c r="F5945" t="s">
        <v>148</v>
      </c>
      <c r="G5945" t="s">
        <v>447</v>
      </c>
      <c r="H5945" t="s">
        <v>9774</v>
      </c>
      <c r="I5945" t="s">
        <v>40</v>
      </c>
      <c r="J5945" s="2" t="s">
        <v>62</v>
      </c>
      <c r="K5945" t="s">
        <v>408</v>
      </c>
      <c r="L5945" t="s">
        <v>409</v>
      </c>
      <c r="N5945" t="s">
        <v>410</v>
      </c>
      <c r="P5945" t="s">
        <v>36025</v>
      </c>
      <c r="Q5945">
        <v>26606</v>
      </c>
      <c r="R5945" t="s">
        <v>95</v>
      </c>
      <c r="S5945" t="s">
        <v>16934</v>
      </c>
      <c r="T5945">
        <v>23</v>
      </c>
      <c r="W5945" t="s">
        <v>36026</v>
      </c>
      <c r="X5945">
        <v>1101273</v>
      </c>
      <c r="Y5945" t="s">
        <v>24864</v>
      </c>
      <c r="Z5945" t="s">
        <v>24864</v>
      </c>
      <c r="AA5945" s="2" t="s">
        <v>36022</v>
      </c>
      <c r="AB5945" t="s">
        <v>35995</v>
      </c>
      <c r="AG5945" t="s">
        <v>36027</v>
      </c>
      <c r="AH5945" t="s">
        <v>35642</v>
      </c>
      <c r="AI5945" t="s">
        <v>36028</v>
      </c>
    </row>
    <row r="5946" spans="2:35" ht="270">
      <c r="B5946" s="1">
        <v>45258</v>
      </c>
      <c r="C5946" s="4">
        <v>45254.650694444441</v>
      </c>
      <c r="D5946" t="s">
        <v>34625</v>
      </c>
      <c r="E5946" t="s">
        <v>34626</v>
      </c>
      <c r="F5946" t="s">
        <v>148</v>
      </c>
      <c r="G5946" t="s">
        <v>447</v>
      </c>
      <c r="H5946" t="s">
        <v>9774</v>
      </c>
      <c r="I5946" t="s">
        <v>40</v>
      </c>
      <c r="J5946" s="2" t="s">
        <v>62</v>
      </c>
      <c r="K5946" t="s">
        <v>408</v>
      </c>
      <c r="L5946" t="s">
        <v>409</v>
      </c>
      <c r="N5946" t="s">
        <v>410</v>
      </c>
      <c r="P5946" t="s">
        <v>36029</v>
      </c>
      <c r="Q5946">
        <v>26605</v>
      </c>
      <c r="R5946" t="s">
        <v>95</v>
      </c>
      <c r="S5946" t="s">
        <v>16934</v>
      </c>
      <c r="T5946">
        <v>23</v>
      </c>
      <c r="W5946" t="s">
        <v>16978</v>
      </c>
      <c r="X5946" t="s">
        <v>16979</v>
      </c>
      <c r="Y5946" t="s">
        <v>24864</v>
      </c>
      <c r="Z5946" t="s">
        <v>24864</v>
      </c>
      <c r="AA5946" s="2" t="s">
        <v>36030</v>
      </c>
      <c r="AB5946" t="s">
        <v>35995</v>
      </c>
      <c r="AG5946" t="s">
        <v>36031</v>
      </c>
      <c r="AH5946" t="s">
        <v>35642</v>
      </c>
      <c r="AI5946" t="s">
        <v>36032</v>
      </c>
    </row>
    <row r="5947" spans="2:35" ht="270">
      <c r="B5947" s="1">
        <v>45258</v>
      </c>
      <c r="C5947" s="4">
        <v>45254.652083333334</v>
      </c>
      <c r="D5947" t="s">
        <v>34625</v>
      </c>
      <c r="E5947" t="s">
        <v>34626</v>
      </c>
      <c r="F5947" t="s">
        <v>148</v>
      </c>
      <c r="G5947" t="s">
        <v>447</v>
      </c>
      <c r="H5947" t="s">
        <v>9774</v>
      </c>
      <c r="I5947" t="s">
        <v>40</v>
      </c>
      <c r="J5947" s="2" t="s">
        <v>62</v>
      </c>
      <c r="K5947" t="s">
        <v>408</v>
      </c>
      <c r="L5947" t="s">
        <v>409</v>
      </c>
      <c r="N5947" t="s">
        <v>410</v>
      </c>
      <c r="P5947" t="s">
        <v>36029</v>
      </c>
      <c r="Q5947">
        <v>26604</v>
      </c>
      <c r="R5947" t="s">
        <v>95</v>
      </c>
      <c r="S5947" t="s">
        <v>16934</v>
      </c>
      <c r="T5947">
        <v>23</v>
      </c>
      <c r="W5947" t="s">
        <v>16978</v>
      </c>
      <c r="X5947" t="s">
        <v>16983</v>
      </c>
      <c r="Y5947" t="s">
        <v>24864</v>
      </c>
      <c r="Z5947" t="s">
        <v>24864</v>
      </c>
      <c r="AA5947" s="2" t="s">
        <v>36030</v>
      </c>
      <c r="AB5947" t="s">
        <v>35995</v>
      </c>
      <c r="AG5947" t="s">
        <v>36033</v>
      </c>
      <c r="AH5947" t="s">
        <v>35642</v>
      </c>
      <c r="AI5947" t="s">
        <v>36034</v>
      </c>
    </row>
    <row r="5948" spans="2:35" ht="270">
      <c r="B5948" s="1">
        <v>45258</v>
      </c>
      <c r="C5948" s="4">
        <v>45254.65347222222</v>
      </c>
      <c r="D5948" t="s">
        <v>34625</v>
      </c>
      <c r="E5948" t="s">
        <v>34626</v>
      </c>
      <c r="F5948" t="s">
        <v>148</v>
      </c>
      <c r="G5948" t="s">
        <v>447</v>
      </c>
      <c r="H5948" t="s">
        <v>9774</v>
      </c>
      <c r="I5948" t="s">
        <v>40</v>
      </c>
      <c r="J5948" s="2" t="s">
        <v>62</v>
      </c>
      <c r="K5948" t="s">
        <v>408</v>
      </c>
      <c r="L5948" t="s">
        <v>409</v>
      </c>
      <c r="N5948" t="s">
        <v>410</v>
      </c>
      <c r="P5948" t="s">
        <v>36035</v>
      </c>
      <c r="Q5948">
        <v>26603</v>
      </c>
      <c r="R5948" t="s">
        <v>95</v>
      </c>
      <c r="S5948" t="s">
        <v>16934</v>
      </c>
      <c r="T5948">
        <v>23</v>
      </c>
      <c r="W5948" t="s">
        <v>36036</v>
      </c>
      <c r="X5948">
        <v>18956716056</v>
      </c>
      <c r="Y5948" t="s">
        <v>24864</v>
      </c>
      <c r="Z5948" t="s">
        <v>24864</v>
      </c>
      <c r="AA5948" s="2" t="s">
        <v>36037</v>
      </c>
      <c r="AB5948" t="s">
        <v>35995</v>
      </c>
      <c r="AG5948" t="s">
        <v>36038</v>
      </c>
      <c r="AH5948" t="s">
        <v>35642</v>
      </c>
      <c r="AI5948" t="s">
        <v>36039</v>
      </c>
    </row>
    <row r="5949" spans="2:35" ht="255">
      <c r="B5949" s="1">
        <v>45258</v>
      </c>
      <c r="C5949" s="4">
        <v>45254.65625</v>
      </c>
      <c r="D5949" t="s">
        <v>34625</v>
      </c>
      <c r="E5949" t="s">
        <v>34626</v>
      </c>
      <c r="F5949" t="s">
        <v>148</v>
      </c>
      <c r="G5949" t="s">
        <v>447</v>
      </c>
      <c r="H5949" t="s">
        <v>9774</v>
      </c>
      <c r="I5949" t="s">
        <v>40</v>
      </c>
      <c r="J5949" s="2" t="s">
        <v>62</v>
      </c>
      <c r="K5949" t="s">
        <v>408</v>
      </c>
      <c r="L5949" t="s">
        <v>409</v>
      </c>
      <c r="N5949" t="s">
        <v>410</v>
      </c>
      <c r="P5949" t="s">
        <v>36035</v>
      </c>
      <c r="Q5949">
        <v>26602</v>
      </c>
      <c r="R5949" t="s">
        <v>95</v>
      </c>
      <c r="S5949" t="s">
        <v>16934</v>
      </c>
      <c r="T5949">
        <v>23</v>
      </c>
      <c r="W5949" t="s">
        <v>16986</v>
      </c>
      <c r="X5949" t="s">
        <v>16987</v>
      </c>
      <c r="Y5949" t="s">
        <v>24864</v>
      </c>
      <c r="Z5949" t="s">
        <v>24864</v>
      </c>
      <c r="AA5949" s="2" t="s">
        <v>36040</v>
      </c>
      <c r="AB5949" t="s">
        <v>35995</v>
      </c>
      <c r="AG5949" t="s">
        <v>36041</v>
      </c>
      <c r="AH5949" t="s">
        <v>35642</v>
      </c>
      <c r="AI5949" t="s">
        <v>36042</v>
      </c>
    </row>
    <row r="5950" spans="2:35" ht="255">
      <c r="B5950" s="1">
        <v>45258</v>
      </c>
      <c r="C5950" s="4">
        <v>45254.657638888886</v>
      </c>
      <c r="D5950" t="s">
        <v>34625</v>
      </c>
      <c r="E5950" t="s">
        <v>34626</v>
      </c>
      <c r="F5950" t="s">
        <v>148</v>
      </c>
      <c r="G5950" t="s">
        <v>447</v>
      </c>
      <c r="H5950" t="s">
        <v>9774</v>
      </c>
      <c r="I5950" t="s">
        <v>40</v>
      </c>
      <c r="J5950" s="2" t="s">
        <v>62</v>
      </c>
      <c r="K5950" t="s">
        <v>408</v>
      </c>
      <c r="L5950" t="s">
        <v>409</v>
      </c>
      <c r="N5950" t="s">
        <v>410</v>
      </c>
      <c r="P5950" t="s">
        <v>36035</v>
      </c>
      <c r="Q5950">
        <v>26601</v>
      </c>
      <c r="R5950" t="s">
        <v>95</v>
      </c>
      <c r="S5950" t="s">
        <v>16934</v>
      </c>
      <c r="T5950">
        <v>23</v>
      </c>
      <c r="W5950" t="s">
        <v>16986</v>
      </c>
      <c r="X5950" t="s">
        <v>16991</v>
      </c>
      <c r="Y5950" t="s">
        <v>24864</v>
      </c>
      <c r="Z5950" t="s">
        <v>24864</v>
      </c>
      <c r="AA5950" s="2" t="s">
        <v>36040</v>
      </c>
      <c r="AB5950" t="s">
        <v>35995</v>
      </c>
      <c r="AG5950" t="s">
        <v>36043</v>
      </c>
      <c r="AH5950" t="s">
        <v>35642</v>
      </c>
      <c r="AI5950" t="s">
        <v>36044</v>
      </c>
    </row>
    <row r="5951" spans="2:35" ht="255">
      <c r="B5951" s="1">
        <v>45258</v>
      </c>
      <c r="C5951" s="4">
        <v>45254.657638888886</v>
      </c>
      <c r="D5951" t="s">
        <v>34625</v>
      </c>
      <c r="E5951" t="s">
        <v>34626</v>
      </c>
      <c r="F5951" t="s">
        <v>148</v>
      </c>
      <c r="G5951" t="s">
        <v>447</v>
      </c>
      <c r="H5951" t="s">
        <v>9774</v>
      </c>
      <c r="I5951" t="s">
        <v>40</v>
      </c>
      <c r="J5951" s="2" t="s">
        <v>62</v>
      </c>
      <c r="K5951" t="s">
        <v>408</v>
      </c>
      <c r="L5951" t="s">
        <v>409</v>
      </c>
      <c r="N5951" t="s">
        <v>410</v>
      </c>
      <c r="P5951" t="s">
        <v>36035</v>
      </c>
      <c r="Q5951">
        <v>26600</v>
      </c>
      <c r="R5951" t="s">
        <v>95</v>
      </c>
      <c r="S5951" t="s">
        <v>16934</v>
      </c>
      <c r="T5951">
        <v>23</v>
      </c>
      <c r="W5951" t="s">
        <v>16986</v>
      </c>
      <c r="X5951" t="s">
        <v>16991</v>
      </c>
      <c r="Y5951" t="s">
        <v>24864</v>
      </c>
      <c r="Z5951" t="s">
        <v>24864</v>
      </c>
      <c r="AA5951" s="2" t="s">
        <v>36040</v>
      </c>
      <c r="AB5951" t="s">
        <v>35995</v>
      </c>
      <c r="AG5951" t="s">
        <v>36045</v>
      </c>
      <c r="AH5951" t="s">
        <v>35642</v>
      </c>
      <c r="AI5951" t="s">
        <v>36046</v>
      </c>
    </row>
    <row r="5952" spans="2:35" ht="240">
      <c r="B5952" s="1">
        <v>45258</v>
      </c>
      <c r="C5952" s="4">
        <v>45254.65902777778</v>
      </c>
      <c r="D5952" t="s">
        <v>34625</v>
      </c>
      <c r="E5952" t="s">
        <v>34626</v>
      </c>
      <c r="F5952" t="s">
        <v>148</v>
      </c>
      <c r="G5952" t="s">
        <v>447</v>
      </c>
      <c r="H5952" t="s">
        <v>9774</v>
      </c>
      <c r="I5952" t="s">
        <v>40</v>
      </c>
      <c r="J5952" s="2" t="s">
        <v>62</v>
      </c>
      <c r="K5952" t="s">
        <v>408</v>
      </c>
      <c r="L5952" t="s">
        <v>409</v>
      </c>
      <c r="N5952" t="s">
        <v>410</v>
      </c>
      <c r="P5952" t="s">
        <v>36047</v>
      </c>
      <c r="Q5952">
        <v>26599</v>
      </c>
      <c r="R5952" t="s">
        <v>95</v>
      </c>
      <c r="S5952" t="s">
        <v>16934</v>
      </c>
      <c r="T5952">
        <v>23</v>
      </c>
      <c r="W5952" t="s">
        <v>16968</v>
      </c>
      <c r="X5952" t="s">
        <v>16969</v>
      </c>
      <c r="Y5952" t="s">
        <v>24864</v>
      </c>
      <c r="Z5952" t="s">
        <v>24864</v>
      </c>
      <c r="AA5952" s="2" t="s">
        <v>36048</v>
      </c>
      <c r="AB5952" t="s">
        <v>35995</v>
      </c>
      <c r="AG5952" t="s">
        <v>36049</v>
      </c>
      <c r="AH5952" t="s">
        <v>35642</v>
      </c>
      <c r="AI5952" t="s">
        <v>36050</v>
      </c>
    </row>
    <row r="5953" spans="2:35" ht="240">
      <c r="B5953" s="1">
        <v>45258</v>
      </c>
      <c r="C5953" s="4">
        <v>45254.65902777778</v>
      </c>
      <c r="D5953" t="s">
        <v>34625</v>
      </c>
      <c r="E5953" t="s">
        <v>34626</v>
      </c>
      <c r="F5953" t="s">
        <v>148</v>
      </c>
      <c r="G5953" t="s">
        <v>447</v>
      </c>
      <c r="H5953" t="s">
        <v>9774</v>
      </c>
      <c r="I5953" t="s">
        <v>40</v>
      </c>
      <c r="J5953" s="2" t="s">
        <v>62</v>
      </c>
      <c r="K5953" t="s">
        <v>408</v>
      </c>
      <c r="L5953" t="s">
        <v>409</v>
      </c>
      <c r="N5953" t="s">
        <v>410</v>
      </c>
      <c r="P5953" t="s">
        <v>36047</v>
      </c>
      <c r="Q5953">
        <v>26598</v>
      </c>
      <c r="R5953" t="s">
        <v>95</v>
      </c>
      <c r="S5953" t="s">
        <v>16934</v>
      </c>
      <c r="T5953">
        <v>23</v>
      </c>
      <c r="W5953" t="s">
        <v>16968</v>
      </c>
      <c r="X5953" t="s">
        <v>16969</v>
      </c>
      <c r="Y5953" t="s">
        <v>24864</v>
      </c>
      <c r="Z5953" t="s">
        <v>24864</v>
      </c>
      <c r="AA5953" s="2" t="s">
        <v>36048</v>
      </c>
      <c r="AB5953" t="s">
        <v>35995</v>
      </c>
      <c r="AG5953" t="s">
        <v>36051</v>
      </c>
      <c r="AH5953" t="s">
        <v>35642</v>
      </c>
      <c r="AI5953" t="s">
        <v>36052</v>
      </c>
    </row>
    <row r="5954" spans="2:35" ht="240">
      <c r="B5954" s="1">
        <v>45258</v>
      </c>
      <c r="C5954" s="4">
        <v>45254.660416666666</v>
      </c>
      <c r="D5954" t="s">
        <v>34625</v>
      </c>
      <c r="E5954" t="s">
        <v>34626</v>
      </c>
      <c r="F5954" t="s">
        <v>148</v>
      </c>
      <c r="G5954" t="s">
        <v>447</v>
      </c>
      <c r="H5954" t="s">
        <v>9774</v>
      </c>
      <c r="I5954" t="s">
        <v>40</v>
      </c>
      <c r="J5954" s="2" t="s">
        <v>62</v>
      </c>
      <c r="K5954" t="s">
        <v>408</v>
      </c>
      <c r="L5954" t="s">
        <v>409</v>
      </c>
      <c r="N5954" t="s">
        <v>410</v>
      </c>
      <c r="P5954" t="s">
        <v>36053</v>
      </c>
      <c r="Q5954">
        <v>26597</v>
      </c>
      <c r="R5954" t="s">
        <v>95</v>
      </c>
      <c r="S5954" t="s">
        <v>16934</v>
      </c>
      <c r="T5954">
        <v>23</v>
      </c>
      <c r="W5954" t="s">
        <v>16958</v>
      </c>
      <c r="X5954" t="s">
        <v>16959</v>
      </c>
      <c r="Y5954" t="s">
        <v>24864</v>
      </c>
      <c r="Z5954" t="s">
        <v>24864</v>
      </c>
      <c r="AA5954" s="2" t="s">
        <v>36054</v>
      </c>
      <c r="AB5954" t="s">
        <v>35995</v>
      </c>
      <c r="AG5954" t="s">
        <v>36055</v>
      </c>
      <c r="AH5954" t="s">
        <v>35642</v>
      </c>
      <c r="AI5954" t="s">
        <v>36056</v>
      </c>
    </row>
    <row r="5955" spans="2:35" ht="240">
      <c r="B5955" s="1">
        <v>45258</v>
      </c>
      <c r="C5955" s="4">
        <v>45254.660416666666</v>
      </c>
      <c r="D5955" t="s">
        <v>34625</v>
      </c>
      <c r="E5955" t="s">
        <v>34626</v>
      </c>
      <c r="F5955" t="s">
        <v>148</v>
      </c>
      <c r="G5955" t="s">
        <v>447</v>
      </c>
      <c r="H5955" t="s">
        <v>9774</v>
      </c>
      <c r="I5955" t="s">
        <v>40</v>
      </c>
      <c r="J5955" s="2" t="s">
        <v>62</v>
      </c>
      <c r="K5955" t="s">
        <v>408</v>
      </c>
      <c r="L5955" t="s">
        <v>409</v>
      </c>
      <c r="N5955" t="s">
        <v>410</v>
      </c>
      <c r="P5955" t="s">
        <v>36053</v>
      </c>
      <c r="Q5955">
        <v>26596</v>
      </c>
      <c r="R5955" t="s">
        <v>95</v>
      </c>
      <c r="S5955" t="s">
        <v>16934</v>
      </c>
      <c r="T5955">
        <v>23</v>
      </c>
      <c r="W5955" t="s">
        <v>16958</v>
      </c>
      <c r="X5955" t="s">
        <v>16959</v>
      </c>
      <c r="Y5955" t="s">
        <v>24864</v>
      </c>
      <c r="Z5955" t="s">
        <v>24864</v>
      </c>
      <c r="AA5955" s="2" t="s">
        <v>36054</v>
      </c>
      <c r="AB5955" t="s">
        <v>35995</v>
      </c>
      <c r="AG5955" t="s">
        <v>36057</v>
      </c>
      <c r="AH5955" t="s">
        <v>35642</v>
      </c>
      <c r="AI5955" t="s">
        <v>36058</v>
      </c>
    </row>
    <row r="5956" spans="2:35" ht="240">
      <c r="B5956" s="1">
        <v>45258</v>
      </c>
      <c r="C5956" s="4">
        <v>45254.660416666666</v>
      </c>
      <c r="D5956" t="s">
        <v>34625</v>
      </c>
      <c r="E5956" t="s">
        <v>34626</v>
      </c>
      <c r="F5956" t="s">
        <v>148</v>
      </c>
      <c r="G5956" t="s">
        <v>447</v>
      </c>
      <c r="H5956" t="s">
        <v>9774</v>
      </c>
      <c r="I5956" t="s">
        <v>40</v>
      </c>
      <c r="J5956" s="2" t="s">
        <v>62</v>
      </c>
      <c r="K5956" t="s">
        <v>408</v>
      </c>
      <c r="L5956" t="s">
        <v>409</v>
      </c>
      <c r="N5956" t="s">
        <v>410</v>
      </c>
      <c r="P5956" t="s">
        <v>36053</v>
      </c>
      <c r="Q5956">
        <v>26595</v>
      </c>
      <c r="R5956" t="s">
        <v>95</v>
      </c>
      <c r="S5956" t="s">
        <v>16934</v>
      </c>
      <c r="T5956">
        <v>23</v>
      </c>
      <c r="W5956" t="s">
        <v>16958</v>
      </c>
      <c r="X5956" t="s">
        <v>16959</v>
      </c>
      <c r="Y5956" t="s">
        <v>24864</v>
      </c>
      <c r="Z5956" t="s">
        <v>24864</v>
      </c>
      <c r="AA5956" s="2" t="s">
        <v>36054</v>
      </c>
      <c r="AB5956" t="s">
        <v>35995</v>
      </c>
      <c r="AG5956" t="s">
        <v>36059</v>
      </c>
      <c r="AH5956" t="s">
        <v>35642</v>
      </c>
      <c r="AI5956" t="s">
        <v>36060</v>
      </c>
    </row>
    <row r="5957" spans="2:35" ht="315">
      <c r="B5957" s="1">
        <v>45258</v>
      </c>
      <c r="C5957" s="4">
        <v>45254.661805555559</v>
      </c>
      <c r="D5957" t="s">
        <v>34625</v>
      </c>
      <c r="E5957" t="s">
        <v>34626</v>
      </c>
      <c r="F5957" t="s">
        <v>148</v>
      </c>
      <c r="G5957" t="s">
        <v>447</v>
      </c>
      <c r="H5957" t="s">
        <v>9774</v>
      </c>
      <c r="I5957" t="s">
        <v>40</v>
      </c>
      <c r="J5957" s="2" t="s">
        <v>62</v>
      </c>
      <c r="K5957" t="s">
        <v>16946</v>
      </c>
      <c r="L5957" t="s">
        <v>409</v>
      </c>
      <c r="N5957" t="s">
        <v>410</v>
      </c>
      <c r="Q5957">
        <v>26594</v>
      </c>
      <c r="R5957" t="s">
        <v>95</v>
      </c>
      <c r="S5957" t="s">
        <v>16934</v>
      </c>
      <c r="T5957">
        <v>23</v>
      </c>
      <c r="W5957" t="s">
        <v>36061</v>
      </c>
      <c r="X5957" t="s">
        <v>16948</v>
      </c>
      <c r="Y5957" t="s">
        <v>24864</v>
      </c>
      <c r="Z5957" t="s">
        <v>24864</v>
      </c>
      <c r="AA5957" s="2" t="s">
        <v>36062</v>
      </c>
      <c r="AB5957" t="s">
        <v>35995</v>
      </c>
      <c r="AG5957" t="s">
        <v>36063</v>
      </c>
      <c r="AH5957" t="s">
        <v>35642</v>
      </c>
      <c r="AI5957" t="s">
        <v>36064</v>
      </c>
    </row>
    <row r="5958" spans="2:35" ht="315">
      <c r="B5958" s="1">
        <v>45258</v>
      </c>
      <c r="C5958" s="4">
        <v>45254.661805555559</v>
      </c>
      <c r="D5958" t="s">
        <v>34625</v>
      </c>
      <c r="E5958" t="s">
        <v>34626</v>
      </c>
      <c r="F5958" t="s">
        <v>148</v>
      </c>
      <c r="G5958" t="s">
        <v>447</v>
      </c>
      <c r="H5958" t="s">
        <v>9774</v>
      </c>
      <c r="I5958" t="s">
        <v>40</v>
      </c>
      <c r="J5958" s="2" t="s">
        <v>62</v>
      </c>
      <c r="K5958" t="s">
        <v>16946</v>
      </c>
      <c r="L5958" t="s">
        <v>409</v>
      </c>
      <c r="N5958" t="s">
        <v>410</v>
      </c>
      <c r="Q5958">
        <v>26593</v>
      </c>
      <c r="R5958" t="s">
        <v>95</v>
      </c>
      <c r="S5958" t="s">
        <v>16934</v>
      </c>
      <c r="T5958">
        <v>23</v>
      </c>
      <c r="W5958" t="s">
        <v>36061</v>
      </c>
      <c r="X5958" t="s">
        <v>16948</v>
      </c>
      <c r="Y5958" t="s">
        <v>24864</v>
      </c>
      <c r="Z5958" t="s">
        <v>24864</v>
      </c>
      <c r="AA5958" s="2" t="s">
        <v>36062</v>
      </c>
      <c r="AB5958" t="s">
        <v>35995</v>
      </c>
      <c r="AG5958" t="s">
        <v>36065</v>
      </c>
      <c r="AH5958" t="s">
        <v>35642</v>
      </c>
      <c r="AI5958" t="s">
        <v>36066</v>
      </c>
    </row>
    <row r="5959" spans="2:35" ht="315">
      <c r="B5959" s="1">
        <v>45258</v>
      </c>
      <c r="C5959" s="4">
        <v>45254.665972222225</v>
      </c>
      <c r="D5959" t="s">
        <v>34625</v>
      </c>
      <c r="E5959" t="s">
        <v>34626</v>
      </c>
      <c r="F5959" t="s">
        <v>148</v>
      </c>
      <c r="G5959" t="s">
        <v>447</v>
      </c>
      <c r="H5959" t="s">
        <v>9774</v>
      </c>
      <c r="I5959" t="s">
        <v>40</v>
      </c>
      <c r="J5959" s="2" t="s">
        <v>62</v>
      </c>
      <c r="K5959" t="s">
        <v>16933</v>
      </c>
      <c r="L5959" t="s">
        <v>409</v>
      </c>
      <c r="N5959" t="s">
        <v>410</v>
      </c>
      <c r="Q5959">
        <v>26592</v>
      </c>
      <c r="R5959" t="s">
        <v>95</v>
      </c>
      <c r="S5959" t="s">
        <v>16934</v>
      </c>
      <c r="T5959">
        <v>23</v>
      </c>
      <c r="W5959" t="s">
        <v>36067</v>
      </c>
      <c r="X5959" t="s">
        <v>16951</v>
      </c>
      <c r="Y5959" t="s">
        <v>24864</v>
      </c>
      <c r="Z5959" t="s">
        <v>24864</v>
      </c>
      <c r="AA5959" s="2" t="s">
        <v>36062</v>
      </c>
      <c r="AB5959" t="s">
        <v>35995</v>
      </c>
      <c r="AG5959" t="s">
        <v>36068</v>
      </c>
      <c r="AH5959" t="s">
        <v>35642</v>
      </c>
      <c r="AI5959" t="s">
        <v>36069</v>
      </c>
    </row>
    <row r="5960" spans="2:35" ht="300">
      <c r="B5960" s="1">
        <v>45258</v>
      </c>
      <c r="C5960" s="4">
        <v>45254.668055555558</v>
      </c>
      <c r="D5960" t="s">
        <v>34625</v>
      </c>
      <c r="E5960" t="s">
        <v>34626</v>
      </c>
      <c r="F5960" t="s">
        <v>148</v>
      </c>
      <c r="G5960" t="s">
        <v>447</v>
      </c>
      <c r="H5960" t="s">
        <v>9774</v>
      </c>
      <c r="I5960" t="s">
        <v>40</v>
      </c>
      <c r="J5960" s="2" t="s">
        <v>62</v>
      </c>
      <c r="K5960" t="s">
        <v>649</v>
      </c>
      <c r="L5960" t="s">
        <v>409</v>
      </c>
      <c r="N5960" t="s">
        <v>410</v>
      </c>
      <c r="Q5960">
        <v>26591</v>
      </c>
      <c r="R5960" t="s">
        <v>95</v>
      </c>
      <c r="S5960" t="s">
        <v>16934</v>
      </c>
      <c r="T5960">
        <v>23</v>
      </c>
      <c r="W5960" t="s">
        <v>16963</v>
      </c>
      <c r="X5960">
        <v>1161322301200520</v>
      </c>
      <c r="Y5960" t="s">
        <v>24864</v>
      </c>
      <c r="Z5960" t="s">
        <v>24864</v>
      </c>
      <c r="AA5960" s="2" t="s">
        <v>36070</v>
      </c>
      <c r="AB5960" t="s">
        <v>35995</v>
      </c>
      <c r="AG5960" t="s">
        <v>36071</v>
      </c>
      <c r="AH5960" t="s">
        <v>35642</v>
      </c>
      <c r="AI5960" t="s">
        <v>36072</v>
      </c>
    </row>
    <row r="5961" spans="2:35" ht="300">
      <c r="B5961" s="1">
        <v>45258</v>
      </c>
      <c r="C5961" s="4">
        <v>45254.669444444444</v>
      </c>
      <c r="D5961" t="s">
        <v>34625</v>
      </c>
      <c r="E5961" t="s">
        <v>34626</v>
      </c>
      <c r="F5961" t="s">
        <v>148</v>
      </c>
      <c r="G5961" t="s">
        <v>447</v>
      </c>
      <c r="H5961" t="s">
        <v>9774</v>
      </c>
      <c r="I5961" t="s">
        <v>40</v>
      </c>
      <c r="J5961" s="2" t="s">
        <v>62</v>
      </c>
      <c r="K5961" t="s">
        <v>649</v>
      </c>
      <c r="L5961" t="s">
        <v>409</v>
      </c>
      <c r="N5961" t="s">
        <v>410</v>
      </c>
      <c r="Q5961">
        <v>26590</v>
      </c>
      <c r="R5961" t="s">
        <v>95</v>
      </c>
      <c r="S5961" t="s">
        <v>16934</v>
      </c>
      <c r="T5961">
        <v>23</v>
      </c>
      <c r="W5961" t="s">
        <v>652</v>
      </c>
      <c r="X5961">
        <v>160414501161220</v>
      </c>
      <c r="Y5961" t="s">
        <v>24864</v>
      </c>
      <c r="Z5961" t="s">
        <v>24864</v>
      </c>
      <c r="AA5961" s="2" t="s">
        <v>36073</v>
      </c>
      <c r="AB5961" t="s">
        <v>35995</v>
      </c>
      <c r="AG5961" t="s">
        <v>36074</v>
      </c>
      <c r="AH5961" t="s">
        <v>35642</v>
      </c>
      <c r="AI5961" t="s">
        <v>36075</v>
      </c>
    </row>
    <row r="5962" spans="2:35" ht="315">
      <c r="B5962" s="1">
        <v>45258</v>
      </c>
      <c r="C5962" s="4">
        <v>45254.664583333331</v>
      </c>
      <c r="D5962" t="s">
        <v>34625</v>
      </c>
      <c r="E5962" t="s">
        <v>34626</v>
      </c>
      <c r="F5962" t="s">
        <v>148</v>
      </c>
      <c r="G5962" t="s">
        <v>447</v>
      </c>
      <c r="H5962" t="s">
        <v>9774</v>
      </c>
      <c r="I5962" t="s">
        <v>40</v>
      </c>
      <c r="J5962" s="2" t="s">
        <v>62</v>
      </c>
      <c r="K5962" t="s">
        <v>16933</v>
      </c>
      <c r="L5962" t="s">
        <v>409</v>
      </c>
      <c r="N5962" t="s">
        <v>410</v>
      </c>
      <c r="Q5962">
        <v>26589</v>
      </c>
      <c r="R5962" t="s">
        <v>95</v>
      </c>
      <c r="S5962" t="s">
        <v>16934</v>
      </c>
      <c r="T5962">
        <v>23</v>
      </c>
      <c r="W5962" t="s">
        <v>36067</v>
      </c>
      <c r="X5962" t="s">
        <v>16936</v>
      </c>
      <c r="Y5962" t="s">
        <v>24864</v>
      </c>
      <c r="Z5962" t="s">
        <v>24864</v>
      </c>
      <c r="AA5962" s="2" t="s">
        <v>36062</v>
      </c>
      <c r="AB5962" t="s">
        <v>35995</v>
      </c>
      <c r="AG5962" t="s">
        <v>36076</v>
      </c>
      <c r="AH5962" t="s">
        <v>35642</v>
      </c>
      <c r="AI5962" t="s">
        <v>36077</v>
      </c>
    </row>
    <row r="5963" spans="2:35" ht="285">
      <c r="B5963" s="1">
        <v>45258</v>
      </c>
      <c r="C5963" s="4">
        <v>45254.413888888892</v>
      </c>
      <c r="D5963" t="s">
        <v>3696</v>
      </c>
      <c r="E5963" t="s">
        <v>36078</v>
      </c>
      <c r="F5963" t="s">
        <v>148</v>
      </c>
      <c r="G5963" t="s">
        <v>447</v>
      </c>
      <c r="H5963" t="s">
        <v>39</v>
      </c>
      <c r="I5963" t="s">
        <v>40</v>
      </c>
      <c r="J5963" t="s">
        <v>109</v>
      </c>
      <c r="K5963" t="s">
        <v>42</v>
      </c>
      <c r="L5963" t="s">
        <v>15532</v>
      </c>
      <c r="N5963" t="s">
        <v>15533</v>
      </c>
      <c r="Q5963">
        <v>26588</v>
      </c>
      <c r="R5963" t="s">
        <v>703</v>
      </c>
      <c r="S5963" t="s">
        <v>3698</v>
      </c>
      <c r="T5963">
        <v>28</v>
      </c>
      <c r="U5963" s="2" t="s">
        <v>36079</v>
      </c>
      <c r="W5963" t="s">
        <v>3244</v>
      </c>
      <c r="X5963">
        <v>835601</v>
      </c>
      <c r="Y5963" t="s">
        <v>36080</v>
      </c>
      <c r="Z5963" s="2" t="s">
        <v>36081</v>
      </c>
      <c r="AA5963" s="2" t="s">
        <v>36082</v>
      </c>
      <c r="AB5963" s="2" t="s">
        <v>36083</v>
      </c>
      <c r="AG5963" t="s">
        <v>36084</v>
      </c>
      <c r="AH5963" t="s">
        <v>36085</v>
      </c>
      <c r="AI5963" t="s">
        <v>36086</v>
      </c>
    </row>
    <row r="5964" spans="2:35" ht="120">
      <c r="B5964" s="1">
        <v>45258</v>
      </c>
      <c r="C5964" s="4">
        <v>45254.618055555555</v>
      </c>
      <c r="D5964" t="s">
        <v>34534</v>
      </c>
      <c r="E5964" t="s">
        <v>36087</v>
      </c>
      <c r="F5964" t="s">
        <v>148</v>
      </c>
      <c r="G5964" t="s">
        <v>447</v>
      </c>
      <c r="H5964" t="s">
        <v>39</v>
      </c>
      <c r="I5964" t="s">
        <v>94</v>
      </c>
      <c r="J5964" s="2" t="s">
        <v>41</v>
      </c>
      <c r="K5964" t="s">
        <v>42</v>
      </c>
      <c r="L5964" t="s">
        <v>15532</v>
      </c>
      <c r="N5964" t="s">
        <v>15533</v>
      </c>
      <c r="Q5964">
        <v>26587</v>
      </c>
      <c r="R5964" t="s">
        <v>119</v>
      </c>
      <c r="S5964" t="s">
        <v>34536</v>
      </c>
      <c r="T5964">
        <v>24</v>
      </c>
      <c r="U5964" s="2" t="s">
        <v>36088</v>
      </c>
      <c r="V5964" s="1">
        <v>45251</v>
      </c>
      <c r="W5964" t="s">
        <v>3244</v>
      </c>
      <c r="X5964">
        <v>831527</v>
      </c>
      <c r="Y5964" t="s">
        <v>49</v>
      </c>
      <c r="Z5964" s="2" t="s">
        <v>32930</v>
      </c>
      <c r="AA5964" s="2" t="s">
        <v>36089</v>
      </c>
      <c r="AB5964" s="2" t="s">
        <v>31008</v>
      </c>
      <c r="AD5964" t="s">
        <v>16499</v>
      </c>
      <c r="AE5964" t="s">
        <v>36090</v>
      </c>
      <c r="AG5964" t="s">
        <v>36091</v>
      </c>
      <c r="AH5964" t="s">
        <v>36092</v>
      </c>
      <c r="AI5964" t="s">
        <v>36093</v>
      </c>
    </row>
    <row r="5965" spans="2:35" ht="180">
      <c r="B5965" s="1">
        <v>45258</v>
      </c>
      <c r="C5965" s="4">
        <v>45253.458333333336</v>
      </c>
      <c r="D5965" t="s">
        <v>8225</v>
      </c>
      <c r="E5965" t="s">
        <v>28000</v>
      </c>
      <c r="F5965" t="s">
        <v>37</v>
      </c>
      <c r="G5965" t="s">
        <v>748</v>
      </c>
      <c r="H5965" t="s">
        <v>39</v>
      </c>
      <c r="I5965" t="s">
        <v>40</v>
      </c>
      <c r="J5965" s="2" t="s">
        <v>31986</v>
      </c>
      <c r="K5965" t="s">
        <v>42</v>
      </c>
      <c r="L5965" t="s">
        <v>1028</v>
      </c>
      <c r="N5965" t="s">
        <v>1029</v>
      </c>
      <c r="Q5965">
        <v>26586</v>
      </c>
      <c r="R5965" t="s">
        <v>322</v>
      </c>
      <c r="S5965" t="s">
        <v>12270</v>
      </c>
      <c r="T5965">
        <v>23</v>
      </c>
      <c r="U5965" s="2" t="s">
        <v>36094</v>
      </c>
      <c r="W5965" t="s">
        <v>1032</v>
      </c>
      <c r="X5965">
        <v>110016785</v>
      </c>
      <c r="Y5965" t="s">
        <v>3127</v>
      </c>
      <c r="Z5965" t="s">
        <v>3128</v>
      </c>
      <c r="AA5965" s="2" t="s">
        <v>36095</v>
      </c>
      <c r="AB5965" t="s">
        <v>3063</v>
      </c>
      <c r="AG5965" t="s">
        <v>36096</v>
      </c>
      <c r="AH5965" t="s">
        <v>36097</v>
      </c>
      <c r="AI5965" t="s">
        <v>36098</v>
      </c>
    </row>
    <row r="5966" spans="2:35" ht="255">
      <c r="B5966" s="1">
        <v>45258</v>
      </c>
      <c r="C5966" s="4">
        <v>45253.435416666667</v>
      </c>
      <c r="D5966" t="s">
        <v>3782</v>
      </c>
      <c r="E5966" t="s">
        <v>36099</v>
      </c>
      <c r="F5966" t="s">
        <v>37</v>
      </c>
      <c r="G5966" t="s">
        <v>748</v>
      </c>
      <c r="H5966" t="s">
        <v>39</v>
      </c>
      <c r="I5966" t="s">
        <v>40</v>
      </c>
      <c r="J5966" s="2" t="s">
        <v>30004</v>
      </c>
      <c r="K5966" t="s">
        <v>42</v>
      </c>
      <c r="L5966" t="s">
        <v>1028</v>
      </c>
      <c r="N5966" t="s">
        <v>1029</v>
      </c>
      <c r="Q5966">
        <v>26585</v>
      </c>
      <c r="R5966" t="s">
        <v>119</v>
      </c>
      <c r="S5966" t="s">
        <v>33887</v>
      </c>
      <c r="T5966">
        <v>24</v>
      </c>
      <c r="U5966" s="2" t="s">
        <v>36100</v>
      </c>
      <c r="V5966" s="1">
        <v>45188</v>
      </c>
      <c r="W5966" t="s">
        <v>2680</v>
      </c>
      <c r="X5966">
        <v>821340</v>
      </c>
      <c r="Y5966" s="2" t="s">
        <v>36101</v>
      </c>
      <c r="Z5966" s="2" t="s">
        <v>36102</v>
      </c>
      <c r="AA5966" s="2" t="s">
        <v>36103</v>
      </c>
      <c r="AB5966" t="s">
        <v>36104</v>
      </c>
      <c r="AC5966" t="s">
        <v>36105</v>
      </c>
      <c r="AD5966" t="s">
        <v>7189</v>
      </c>
      <c r="AE5966">
        <v>10673</v>
      </c>
      <c r="AG5966" t="s">
        <v>36106</v>
      </c>
      <c r="AH5966" t="s">
        <v>33893</v>
      </c>
      <c r="AI5966" t="s">
        <v>36107</v>
      </c>
    </row>
    <row r="5967" spans="2:35" ht="180">
      <c r="B5967" s="1">
        <v>45258</v>
      </c>
      <c r="C5967" s="4">
        <v>45251.362500000003</v>
      </c>
      <c r="D5967" t="s">
        <v>772</v>
      </c>
      <c r="E5967" t="s">
        <v>31304</v>
      </c>
      <c r="F5967" t="s">
        <v>148</v>
      </c>
      <c r="G5967" t="s">
        <v>774</v>
      </c>
      <c r="H5967" t="s">
        <v>39</v>
      </c>
      <c r="I5967" t="s">
        <v>40</v>
      </c>
      <c r="J5967" s="2" t="s">
        <v>30202</v>
      </c>
      <c r="K5967" t="s">
        <v>42</v>
      </c>
      <c r="L5967" t="s">
        <v>1028</v>
      </c>
      <c r="N5967" t="s">
        <v>1029</v>
      </c>
      <c r="Q5967">
        <v>26584</v>
      </c>
      <c r="R5967" t="s">
        <v>119</v>
      </c>
      <c r="S5967" t="s">
        <v>775</v>
      </c>
      <c r="T5967">
        <v>26</v>
      </c>
      <c r="U5967" s="2" t="s">
        <v>36108</v>
      </c>
      <c r="W5967" t="s">
        <v>2680</v>
      </c>
      <c r="X5967">
        <v>831913</v>
      </c>
      <c r="Y5967" t="s">
        <v>36109</v>
      </c>
      <c r="Z5967" t="s">
        <v>2129</v>
      </c>
      <c r="AA5967" s="2" t="s">
        <v>36110</v>
      </c>
      <c r="AB5967" t="s">
        <v>36111</v>
      </c>
      <c r="AG5967" t="s">
        <v>36112</v>
      </c>
      <c r="AH5967" t="s">
        <v>27384</v>
      </c>
      <c r="AI5967" t="s">
        <v>36113</v>
      </c>
    </row>
    <row r="5968" spans="2:35" ht="210">
      <c r="B5968" s="1">
        <v>45258</v>
      </c>
      <c r="C5968" s="4">
        <v>45254.532638888886</v>
      </c>
      <c r="D5968" t="s">
        <v>2437</v>
      </c>
      <c r="E5968" t="s">
        <v>36114</v>
      </c>
      <c r="F5968" t="s">
        <v>37</v>
      </c>
      <c r="G5968" t="s">
        <v>748</v>
      </c>
      <c r="H5968" t="s">
        <v>39</v>
      </c>
      <c r="I5968" t="s">
        <v>40</v>
      </c>
      <c r="J5968" s="2" t="s">
        <v>30202</v>
      </c>
      <c r="K5968" t="s">
        <v>42</v>
      </c>
      <c r="L5968" t="s">
        <v>1028</v>
      </c>
      <c r="N5968" t="s">
        <v>1029</v>
      </c>
      <c r="Q5968">
        <v>26581</v>
      </c>
      <c r="R5968" t="s">
        <v>45</v>
      </c>
      <c r="S5968" t="s">
        <v>2439</v>
      </c>
      <c r="T5968">
        <v>26</v>
      </c>
      <c r="U5968" s="2" t="s">
        <v>36115</v>
      </c>
      <c r="W5968" t="s">
        <v>36116</v>
      </c>
      <c r="X5968">
        <v>802860</v>
      </c>
      <c r="Y5968" t="s">
        <v>33229</v>
      </c>
      <c r="Z5968" t="s">
        <v>2129</v>
      </c>
      <c r="AA5968" s="2" t="s">
        <v>36117</v>
      </c>
      <c r="AB5968" t="s">
        <v>3063</v>
      </c>
      <c r="AG5968" t="s">
        <v>36118</v>
      </c>
      <c r="AH5968" t="s">
        <v>36119</v>
      </c>
      <c r="AI5968" t="s">
        <v>36120</v>
      </c>
    </row>
    <row r="5969" spans="2:35" ht="180">
      <c r="B5969" s="1">
        <v>45258</v>
      </c>
      <c r="C5969" s="4">
        <v>45253.458333333336</v>
      </c>
      <c r="D5969" t="s">
        <v>8225</v>
      </c>
      <c r="E5969" t="s">
        <v>28000</v>
      </c>
      <c r="F5969" t="s">
        <v>37</v>
      </c>
      <c r="G5969" t="s">
        <v>748</v>
      </c>
      <c r="H5969" t="s">
        <v>39</v>
      </c>
      <c r="I5969" t="s">
        <v>40</v>
      </c>
      <c r="J5969" s="2" t="s">
        <v>31986</v>
      </c>
      <c r="K5969" t="s">
        <v>42</v>
      </c>
      <c r="L5969" t="s">
        <v>1028</v>
      </c>
      <c r="N5969" t="s">
        <v>1029</v>
      </c>
      <c r="Q5969">
        <v>26582</v>
      </c>
      <c r="R5969" t="s">
        <v>322</v>
      </c>
      <c r="S5969" t="s">
        <v>12270</v>
      </c>
      <c r="T5969">
        <v>23</v>
      </c>
      <c r="U5969" s="2" t="s">
        <v>36094</v>
      </c>
      <c r="W5969" t="s">
        <v>1032</v>
      </c>
      <c r="X5969">
        <v>110016785</v>
      </c>
      <c r="Y5969" t="s">
        <v>3127</v>
      </c>
      <c r="Z5969" t="s">
        <v>3128</v>
      </c>
      <c r="AA5969" s="2" t="s">
        <v>36095</v>
      </c>
      <c r="AB5969" t="s">
        <v>3063</v>
      </c>
      <c r="AG5969" t="s">
        <v>36121</v>
      </c>
      <c r="AH5969" t="s">
        <v>36097</v>
      </c>
      <c r="AI5969" t="s">
        <v>36122</v>
      </c>
    </row>
    <row r="5970" spans="2:35" ht="285">
      <c r="B5970" s="1">
        <v>45258</v>
      </c>
      <c r="C5970" s="4">
        <v>45251.387499999997</v>
      </c>
      <c r="D5970" t="s">
        <v>34781</v>
      </c>
      <c r="E5970" t="s">
        <v>36123</v>
      </c>
      <c r="F5970" t="s">
        <v>148</v>
      </c>
      <c r="G5970" t="s">
        <v>774</v>
      </c>
      <c r="H5970" t="s">
        <v>39</v>
      </c>
      <c r="I5970" t="s">
        <v>40</v>
      </c>
      <c r="J5970" s="2" t="s">
        <v>6765</v>
      </c>
      <c r="K5970" t="s">
        <v>42</v>
      </c>
      <c r="L5970" t="s">
        <v>1028</v>
      </c>
      <c r="N5970" t="s">
        <v>1029</v>
      </c>
      <c r="Q5970">
        <v>26583</v>
      </c>
      <c r="R5970" t="s">
        <v>45</v>
      </c>
      <c r="S5970" t="s">
        <v>36124</v>
      </c>
      <c r="T5970">
        <v>23</v>
      </c>
      <c r="U5970" s="2" t="s">
        <v>36125</v>
      </c>
      <c r="W5970" t="s">
        <v>2680</v>
      </c>
      <c r="X5970">
        <v>834690</v>
      </c>
      <c r="Y5970" t="s">
        <v>18140</v>
      </c>
      <c r="Z5970" t="s">
        <v>21244</v>
      </c>
      <c r="AA5970" s="2" t="s">
        <v>36126</v>
      </c>
      <c r="AB5970" t="s">
        <v>29585</v>
      </c>
      <c r="AC5970" t="s">
        <v>36127</v>
      </c>
      <c r="AG5970" t="s">
        <v>36128</v>
      </c>
      <c r="AH5970" t="s">
        <v>36129</v>
      </c>
      <c r="AI5970" t="s">
        <v>36130</v>
      </c>
    </row>
    <row r="5971" spans="2:35" ht="255">
      <c r="B5971" s="1">
        <v>45258</v>
      </c>
      <c r="C5971" s="4">
        <v>45253.435416666667</v>
      </c>
      <c r="D5971" t="s">
        <v>3782</v>
      </c>
      <c r="E5971" t="s">
        <v>36099</v>
      </c>
      <c r="F5971" t="s">
        <v>37</v>
      </c>
      <c r="G5971" t="s">
        <v>748</v>
      </c>
      <c r="H5971" t="s">
        <v>39</v>
      </c>
      <c r="I5971" t="s">
        <v>40</v>
      </c>
      <c r="J5971" s="2" t="s">
        <v>30004</v>
      </c>
      <c r="K5971" t="s">
        <v>42</v>
      </c>
      <c r="L5971" t="s">
        <v>1028</v>
      </c>
      <c r="N5971" t="s">
        <v>1029</v>
      </c>
      <c r="Q5971">
        <v>26579</v>
      </c>
      <c r="R5971" t="s">
        <v>119</v>
      </c>
      <c r="S5971" t="s">
        <v>33887</v>
      </c>
      <c r="T5971">
        <v>24</v>
      </c>
      <c r="U5971" s="2" t="s">
        <v>36100</v>
      </c>
      <c r="V5971" s="1">
        <v>45188</v>
      </c>
      <c r="W5971" t="s">
        <v>2680</v>
      </c>
      <c r="X5971">
        <v>821340</v>
      </c>
      <c r="Y5971" s="2" t="s">
        <v>36101</v>
      </c>
      <c r="Z5971" s="2" t="s">
        <v>36102</v>
      </c>
      <c r="AA5971" s="2" t="s">
        <v>36103</v>
      </c>
      <c r="AB5971" t="s">
        <v>36104</v>
      </c>
      <c r="AC5971" t="s">
        <v>36105</v>
      </c>
      <c r="AD5971" t="s">
        <v>7189</v>
      </c>
      <c r="AE5971">
        <v>10673</v>
      </c>
      <c r="AG5971" t="s">
        <v>36131</v>
      </c>
      <c r="AH5971" t="s">
        <v>33893</v>
      </c>
      <c r="AI5971" t="s">
        <v>36132</v>
      </c>
    </row>
    <row r="5972" spans="2:35" ht="180">
      <c r="B5972" s="1">
        <v>45258</v>
      </c>
      <c r="C5972" s="4">
        <v>45251.362500000003</v>
      </c>
      <c r="D5972" t="s">
        <v>772</v>
      </c>
      <c r="E5972" t="s">
        <v>31304</v>
      </c>
      <c r="F5972" t="s">
        <v>148</v>
      </c>
      <c r="G5972" t="s">
        <v>774</v>
      </c>
      <c r="H5972" t="s">
        <v>39</v>
      </c>
      <c r="I5972" t="s">
        <v>40</v>
      </c>
      <c r="J5972" s="2" t="s">
        <v>30202</v>
      </c>
      <c r="K5972" t="s">
        <v>42</v>
      </c>
      <c r="L5972" t="s">
        <v>1028</v>
      </c>
      <c r="N5972" t="s">
        <v>1029</v>
      </c>
      <c r="Q5972">
        <v>26580</v>
      </c>
      <c r="R5972" t="s">
        <v>119</v>
      </c>
      <c r="S5972" t="s">
        <v>775</v>
      </c>
      <c r="T5972">
        <v>26</v>
      </c>
      <c r="U5972" s="2" t="s">
        <v>36108</v>
      </c>
      <c r="W5972" t="s">
        <v>2680</v>
      </c>
      <c r="X5972">
        <v>831913</v>
      </c>
      <c r="Y5972" t="s">
        <v>36109</v>
      </c>
      <c r="Z5972" t="s">
        <v>2129</v>
      </c>
      <c r="AA5972" s="2" t="s">
        <v>36110</v>
      </c>
      <c r="AB5972" t="s">
        <v>36111</v>
      </c>
      <c r="AG5972" t="s">
        <v>36133</v>
      </c>
      <c r="AH5972" t="s">
        <v>27384</v>
      </c>
      <c r="AI5972" t="s">
        <v>36134</v>
      </c>
    </row>
    <row r="5973" spans="2:35" ht="315">
      <c r="B5973" s="1">
        <v>45258</v>
      </c>
      <c r="C5973" s="4">
        <v>45253.5625</v>
      </c>
      <c r="D5973" t="s">
        <v>1931</v>
      </c>
      <c r="E5973" t="s">
        <v>1932</v>
      </c>
      <c r="F5973">
        <v>1</v>
      </c>
      <c r="G5973" t="s">
        <v>1922</v>
      </c>
      <c r="H5973" t="s">
        <v>39</v>
      </c>
      <c r="I5973" t="s">
        <v>40</v>
      </c>
      <c r="J5973" s="2" t="s">
        <v>41</v>
      </c>
      <c r="K5973" t="s">
        <v>42</v>
      </c>
      <c r="L5973" t="s">
        <v>1048</v>
      </c>
      <c r="N5973" t="s">
        <v>1049</v>
      </c>
      <c r="Q5973">
        <v>26578</v>
      </c>
      <c r="R5973" t="s">
        <v>45</v>
      </c>
      <c r="S5973" t="s">
        <v>1933</v>
      </c>
      <c r="T5973">
        <v>29</v>
      </c>
      <c r="U5973" s="2" t="s">
        <v>20711</v>
      </c>
      <c r="V5973" s="1">
        <v>45253</v>
      </c>
      <c r="W5973" t="s">
        <v>360</v>
      </c>
      <c r="X5973">
        <v>807585</v>
      </c>
      <c r="Y5973" t="s">
        <v>35729</v>
      </c>
      <c r="Z5973" s="2" t="s">
        <v>36135</v>
      </c>
      <c r="AA5973" t="s">
        <v>1926</v>
      </c>
      <c r="AB5973" t="s">
        <v>181</v>
      </c>
      <c r="AD5973" t="s">
        <v>36136</v>
      </c>
      <c r="AE5973" t="s">
        <v>103</v>
      </c>
      <c r="AG5973" t="s">
        <v>36137</v>
      </c>
      <c r="AH5973" t="s">
        <v>36138</v>
      </c>
      <c r="AI5973" t="s">
        <v>36139</v>
      </c>
    </row>
    <row r="5974" spans="2:35" ht="105">
      <c r="B5974" s="1">
        <v>45258</v>
      </c>
      <c r="C5974" s="4">
        <v>45253.359027777777</v>
      </c>
      <c r="D5974" t="s">
        <v>25902</v>
      </c>
      <c r="E5974" t="s">
        <v>25903</v>
      </c>
      <c r="F5974">
        <v>1</v>
      </c>
      <c r="G5974" t="s">
        <v>2599</v>
      </c>
      <c r="H5974" t="s">
        <v>1047</v>
      </c>
      <c r="I5974" t="s">
        <v>40</v>
      </c>
      <c r="J5974" s="2" t="s">
        <v>190</v>
      </c>
      <c r="K5974" t="s">
        <v>42</v>
      </c>
      <c r="L5974" t="s">
        <v>1048</v>
      </c>
      <c r="N5974" t="s">
        <v>1049</v>
      </c>
      <c r="Q5974">
        <v>26577</v>
      </c>
      <c r="R5974" t="s">
        <v>45</v>
      </c>
      <c r="S5974" t="s">
        <v>25904</v>
      </c>
      <c r="T5974">
        <v>30</v>
      </c>
      <c r="U5974" s="2" t="s">
        <v>3623</v>
      </c>
      <c r="W5974" t="s">
        <v>360</v>
      </c>
      <c r="X5974">
        <v>807597</v>
      </c>
      <c r="Y5974" t="s">
        <v>35741</v>
      </c>
      <c r="Z5974" t="e">
        <f ca="1">- cleaned cartridge Bays, plunger Rods _xludf.and I-CORE
- generated reports</f>
        <v>#NAME?</v>
      </c>
      <c r="AA5974" t="s">
        <v>12083</v>
      </c>
      <c r="AB5974" t="s">
        <v>181</v>
      </c>
      <c r="AC5974" t="s">
        <v>36140</v>
      </c>
      <c r="AG5974" t="s">
        <v>36141</v>
      </c>
      <c r="AH5974" t="s">
        <v>29107</v>
      </c>
      <c r="AI5974" t="s">
        <v>36142</v>
      </c>
    </row>
    <row r="5975" spans="2:35" ht="375">
      <c r="B5975" s="1">
        <v>45258</v>
      </c>
      <c r="C5975" s="4">
        <v>45254.599305555559</v>
      </c>
      <c r="D5975" t="s">
        <v>2176</v>
      </c>
      <c r="E5975" t="s">
        <v>26724</v>
      </c>
      <c r="F5975" t="s">
        <v>148</v>
      </c>
      <c r="G5975" t="s">
        <v>447</v>
      </c>
      <c r="H5975" t="s">
        <v>386</v>
      </c>
      <c r="I5975" t="s">
        <v>40</v>
      </c>
      <c r="J5975" t="s">
        <v>109</v>
      </c>
      <c r="K5975" t="s">
        <v>387</v>
      </c>
      <c r="L5975" t="s">
        <v>448</v>
      </c>
      <c r="N5975" t="s">
        <v>650</v>
      </c>
      <c r="O5975" t="s">
        <v>4140</v>
      </c>
      <c r="Q5975">
        <v>26576</v>
      </c>
      <c r="R5975" t="s">
        <v>322</v>
      </c>
      <c r="S5975" t="s">
        <v>36143</v>
      </c>
      <c r="T5975">
        <v>28</v>
      </c>
      <c r="W5975" t="s">
        <v>476</v>
      </c>
      <c r="X5975" t="s">
        <v>4142</v>
      </c>
      <c r="Y5975" t="s">
        <v>485</v>
      </c>
      <c r="Z5975" s="2" t="s">
        <v>34648</v>
      </c>
      <c r="AA5975" t="s">
        <v>6997</v>
      </c>
      <c r="AB5975" t="s">
        <v>486</v>
      </c>
      <c r="AG5975" t="s">
        <v>36144</v>
      </c>
      <c r="AH5975" t="s">
        <v>23819</v>
      </c>
      <c r="AI5975" t="s">
        <v>36145</v>
      </c>
    </row>
    <row r="5976" spans="2:35" ht="90">
      <c r="B5976" s="1">
        <v>45258</v>
      </c>
      <c r="C5976" s="4">
        <v>45251.375694444447</v>
      </c>
      <c r="D5976" t="s">
        <v>4523</v>
      </c>
      <c r="E5976" t="s">
        <v>3011</v>
      </c>
      <c r="F5976">
        <v>1</v>
      </c>
      <c r="G5976" t="s">
        <v>1046</v>
      </c>
      <c r="H5976" t="s">
        <v>1047</v>
      </c>
      <c r="I5976" t="s">
        <v>40</v>
      </c>
      <c r="J5976" s="2" t="s">
        <v>190</v>
      </c>
      <c r="K5976" t="s">
        <v>42</v>
      </c>
      <c r="L5976" t="s">
        <v>1048</v>
      </c>
      <c r="N5976" t="s">
        <v>1049</v>
      </c>
      <c r="Q5976">
        <v>26575</v>
      </c>
      <c r="R5976" t="s">
        <v>119</v>
      </c>
      <c r="S5976" t="s">
        <v>7964</v>
      </c>
      <c r="T5976">
        <v>29</v>
      </c>
      <c r="U5976" s="2" t="s">
        <v>36146</v>
      </c>
      <c r="W5976" t="s">
        <v>360</v>
      </c>
      <c r="X5976">
        <v>838286</v>
      </c>
      <c r="Y5976" t="s">
        <v>1934</v>
      </c>
      <c r="Z5976" t="e">
        <f ca="1">- cleaned cartridge Bays, plunger Rods _xludf.and I-CORE
- generated reports</f>
        <v>#NAME?</v>
      </c>
      <c r="AA5976" t="s">
        <v>12083</v>
      </c>
      <c r="AB5976" t="s">
        <v>181</v>
      </c>
      <c r="AC5976" t="s">
        <v>36147</v>
      </c>
      <c r="AG5976" t="s">
        <v>36148</v>
      </c>
      <c r="AH5976" t="s">
        <v>8788</v>
      </c>
      <c r="AI5976" t="s">
        <v>36149</v>
      </c>
    </row>
    <row r="5977" spans="2:35" ht="225">
      <c r="B5977" s="1">
        <v>45257</v>
      </c>
      <c r="C5977" s="4">
        <v>45255.413194444445</v>
      </c>
      <c r="D5977" t="s">
        <v>26647</v>
      </c>
      <c r="E5977" t="s">
        <v>36150</v>
      </c>
      <c r="F5977">
        <v>5</v>
      </c>
      <c r="G5977" t="s">
        <v>759</v>
      </c>
      <c r="H5977" t="s">
        <v>39</v>
      </c>
      <c r="I5977" t="s">
        <v>40</v>
      </c>
      <c r="J5977" s="2" t="s">
        <v>41</v>
      </c>
      <c r="K5977" t="s">
        <v>42</v>
      </c>
      <c r="L5977" t="s">
        <v>761</v>
      </c>
      <c r="N5977" t="s">
        <v>762</v>
      </c>
      <c r="O5977" t="s">
        <v>762</v>
      </c>
      <c r="Q5977">
        <v>26574</v>
      </c>
      <c r="R5977" t="s">
        <v>45</v>
      </c>
      <c r="S5977" t="s">
        <v>762</v>
      </c>
      <c r="T5977">
        <v>20</v>
      </c>
      <c r="U5977" s="2" t="s">
        <v>36151</v>
      </c>
      <c r="W5977" t="s">
        <v>360</v>
      </c>
      <c r="X5977">
        <v>835187</v>
      </c>
      <c r="Y5977" t="s">
        <v>36152</v>
      </c>
      <c r="Z5977" s="2" t="s">
        <v>36153</v>
      </c>
      <c r="AA5977" s="2" t="s">
        <v>36154</v>
      </c>
      <c r="AB5977" t="s">
        <v>181</v>
      </c>
      <c r="AG5977" t="s">
        <v>36155</v>
      </c>
      <c r="AH5977" t="s">
        <v>26655</v>
      </c>
      <c r="AI5977" t="s">
        <v>36156</v>
      </c>
    </row>
    <row r="5978" spans="2:35">
      <c r="B5978" s="1">
        <v>45257</v>
      </c>
      <c r="C5978" s="4">
        <v>45254.614583333336</v>
      </c>
      <c r="D5978" t="s">
        <v>36157</v>
      </c>
      <c r="E5978" t="s">
        <v>26406</v>
      </c>
      <c r="F5978">
        <v>5</v>
      </c>
      <c r="G5978" t="s">
        <v>814</v>
      </c>
      <c r="H5978" t="s">
        <v>39</v>
      </c>
      <c r="I5978" t="s">
        <v>40</v>
      </c>
      <c r="J5978" t="s">
        <v>525</v>
      </c>
      <c r="K5978" t="s">
        <v>42</v>
      </c>
      <c r="L5978" t="s">
        <v>761</v>
      </c>
      <c r="N5978" t="s">
        <v>762</v>
      </c>
      <c r="O5978" t="s">
        <v>36158</v>
      </c>
      <c r="Q5978">
        <v>26573</v>
      </c>
      <c r="R5978" t="s">
        <v>45</v>
      </c>
      <c r="S5978" t="s">
        <v>36158</v>
      </c>
      <c r="T5978">
        <v>25</v>
      </c>
      <c r="W5978" t="s">
        <v>360</v>
      </c>
      <c r="X5978">
        <v>835200</v>
      </c>
      <c r="Y5978" t="s">
        <v>6558</v>
      </c>
      <c r="Z5978" t="s">
        <v>36159</v>
      </c>
      <c r="AA5978" t="s">
        <v>768</v>
      </c>
      <c r="AB5978" t="s">
        <v>10026</v>
      </c>
      <c r="AG5978" t="s">
        <v>36160</v>
      </c>
      <c r="AH5978" t="s">
        <v>26411</v>
      </c>
      <c r="AI5978" t="s">
        <v>36161</v>
      </c>
    </row>
    <row r="5979" spans="2:35" ht="120">
      <c r="B5979" s="1">
        <v>45257</v>
      </c>
      <c r="C5979" s="4">
        <v>45254.513888888891</v>
      </c>
      <c r="D5979" t="s">
        <v>1412</v>
      </c>
      <c r="E5979" t="s">
        <v>36162</v>
      </c>
      <c r="F5979">
        <v>5</v>
      </c>
      <c r="G5979" t="s">
        <v>814</v>
      </c>
      <c r="H5979" t="s">
        <v>39</v>
      </c>
      <c r="I5979" t="s">
        <v>40</v>
      </c>
      <c r="J5979" t="s">
        <v>109</v>
      </c>
      <c r="K5979" t="s">
        <v>42</v>
      </c>
      <c r="L5979" t="s">
        <v>761</v>
      </c>
      <c r="N5979" t="s">
        <v>762</v>
      </c>
      <c r="O5979" t="s">
        <v>762</v>
      </c>
      <c r="Q5979">
        <v>26572</v>
      </c>
      <c r="R5979" t="s">
        <v>45</v>
      </c>
      <c r="S5979" t="s">
        <v>36163</v>
      </c>
      <c r="T5979">
        <v>23</v>
      </c>
      <c r="U5979" s="2" t="s">
        <v>36164</v>
      </c>
      <c r="W5979" t="s">
        <v>360</v>
      </c>
      <c r="X5979">
        <v>807983</v>
      </c>
      <c r="Y5979" t="s">
        <v>1052</v>
      </c>
      <c r="Z5979" s="2" t="s">
        <v>36165</v>
      </c>
      <c r="AA5979" t="s">
        <v>820</v>
      </c>
      <c r="AB5979" t="s">
        <v>181</v>
      </c>
      <c r="AG5979" t="s">
        <v>36166</v>
      </c>
      <c r="AH5979" t="s">
        <v>36167</v>
      </c>
      <c r="AI5979" t="s">
        <v>36168</v>
      </c>
    </row>
    <row r="5980" spans="2:35" ht="210">
      <c r="B5980" s="1">
        <v>45257</v>
      </c>
      <c r="C5980" s="4">
        <v>45253.498611111114</v>
      </c>
      <c r="D5980" t="s">
        <v>1432</v>
      </c>
      <c r="E5980" t="s">
        <v>36169</v>
      </c>
      <c r="F5980">
        <v>5</v>
      </c>
      <c r="G5980" t="s">
        <v>827</v>
      </c>
      <c r="H5980" t="s">
        <v>39</v>
      </c>
      <c r="I5980" t="s">
        <v>40</v>
      </c>
      <c r="J5980" s="2" t="s">
        <v>62</v>
      </c>
      <c r="K5980" t="s">
        <v>42</v>
      </c>
      <c r="L5980" t="s">
        <v>761</v>
      </c>
      <c r="N5980" t="s">
        <v>762</v>
      </c>
      <c r="O5980" t="s">
        <v>762</v>
      </c>
      <c r="Q5980">
        <v>26571</v>
      </c>
      <c r="R5980" t="s">
        <v>45</v>
      </c>
      <c r="S5980" t="s">
        <v>762</v>
      </c>
      <c r="T5980">
        <v>28</v>
      </c>
      <c r="U5980" s="2" t="s">
        <v>36170</v>
      </c>
      <c r="W5980" t="s">
        <v>360</v>
      </c>
      <c r="X5980">
        <v>812793</v>
      </c>
      <c r="Y5980" t="s">
        <v>36171</v>
      </c>
      <c r="Z5980" s="2" t="s">
        <v>36172</v>
      </c>
      <c r="AA5980" s="2" t="s">
        <v>4477</v>
      </c>
      <c r="AB5980" t="s">
        <v>181</v>
      </c>
      <c r="AG5980" t="s">
        <v>36160</v>
      </c>
      <c r="AH5980" t="s">
        <v>1440</v>
      </c>
      <c r="AI5980" t="s">
        <v>36173</v>
      </c>
    </row>
    <row r="5981" spans="2:35" ht="225">
      <c r="B5981" s="1">
        <v>45257</v>
      </c>
      <c r="C5981" s="4">
        <v>45252.65</v>
      </c>
      <c r="D5981" t="s">
        <v>36174</v>
      </c>
      <c r="E5981" t="s">
        <v>36175</v>
      </c>
      <c r="F5981">
        <v>5</v>
      </c>
      <c r="G5981" t="s">
        <v>814</v>
      </c>
      <c r="H5981" t="s">
        <v>39</v>
      </c>
      <c r="I5981" t="s">
        <v>40</v>
      </c>
      <c r="J5981" s="2" t="s">
        <v>41</v>
      </c>
      <c r="K5981" t="s">
        <v>42</v>
      </c>
      <c r="L5981" t="s">
        <v>761</v>
      </c>
      <c r="N5981" t="s">
        <v>762</v>
      </c>
      <c r="O5981" t="s">
        <v>762</v>
      </c>
      <c r="Q5981">
        <v>26570</v>
      </c>
      <c r="R5981" t="s">
        <v>45</v>
      </c>
      <c r="S5981" t="s">
        <v>762</v>
      </c>
      <c r="T5981">
        <v>23</v>
      </c>
      <c r="U5981" s="2" t="s">
        <v>36176</v>
      </c>
      <c r="W5981" t="s">
        <v>360</v>
      </c>
      <c r="X5981">
        <v>835197</v>
      </c>
      <c r="Y5981" t="s">
        <v>36177</v>
      </c>
      <c r="Z5981" s="2" t="s">
        <v>36178</v>
      </c>
      <c r="AA5981" s="2" t="s">
        <v>31842</v>
      </c>
      <c r="AB5981" t="s">
        <v>36179</v>
      </c>
      <c r="AG5981" t="s">
        <v>36180</v>
      </c>
      <c r="AH5981" t="s">
        <v>36181</v>
      </c>
      <c r="AI5981" t="s">
        <v>36182</v>
      </c>
    </row>
    <row r="5982" spans="2:35" ht="405">
      <c r="B5982" s="1">
        <v>45254</v>
      </c>
      <c r="C5982" s="4">
        <v>45254.458333333336</v>
      </c>
      <c r="D5982" t="s">
        <v>36183</v>
      </c>
      <c r="E5982" t="s">
        <v>36184</v>
      </c>
      <c r="F5982">
        <v>6</v>
      </c>
      <c r="G5982" t="s">
        <v>1286</v>
      </c>
      <c r="H5982" t="s">
        <v>10969</v>
      </c>
      <c r="I5982" t="s">
        <v>40</v>
      </c>
      <c r="J5982" s="2" t="s">
        <v>41</v>
      </c>
      <c r="K5982" t="s">
        <v>42</v>
      </c>
      <c r="L5982" t="s">
        <v>1288</v>
      </c>
      <c r="N5982" t="s">
        <v>1289</v>
      </c>
      <c r="Q5982">
        <v>26569</v>
      </c>
      <c r="R5982" t="s">
        <v>45</v>
      </c>
      <c r="S5982" t="s">
        <v>2765</v>
      </c>
      <c r="T5982">
        <v>25</v>
      </c>
      <c r="U5982" s="2" t="s">
        <v>36185</v>
      </c>
      <c r="W5982" t="s">
        <v>1292</v>
      </c>
      <c r="X5982">
        <v>807610</v>
      </c>
      <c r="Y5982" t="s">
        <v>36186</v>
      </c>
      <c r="Z5982" t="s">
        <v>9107</v>
      </c>
      <c r="AA5982" s="2" t="s">
        <v>36187</v>
      </c>
      <c r="AB5982" t="s">
        <v>1293</v>
      </c>
      <c r="AG5982" t="s">
        <v>36188</v>
      </c>
      <c r="AH5982" t="s">
        <v>35916</v>
      </c>
      <c r="AI5982" t="s">
        <v>36189</v>
      </c>
    </row>
    <row r="5983" spans="2:35" ht="255">
      <c r="B5983" s="1">
        <v>45254</v>
      </c>
      <c r="C5983" s="4">
        <v>45254.666666666664</v>
      </c>
      <c r="D5983" t="s">
        <v>3030</v>
      </c>
      <c r="E5983" t="s">
        <v>33344</v>
      </c>
      <c r="F5983" t="s">
        <v>37</v>
      </c>
      <c r="G5983" t="s">
        <v>38</v>
      </c>
      <c r="H5983" t="s">
        <v>39</v>
      </c>
      <c r="I5983" t="s">
        <v>40</v>
      </c>
      <c r="J5983" s="2" t="s">
        <v>62</v>
      </c>
      <c r="K5983" t="s">
        <v>42</v>
      </c>
      <c r="L5983" t="s">
        <v>43</v>
      </c>
      <c r="N5983" t="s">
        <v>44</v>
      </c>
      <c r="Q5983">
        <v>26568</v>
      </c>
      <c r="R5983" t="s">
        <v>45</v>
      </c>
      <c r="S5983" t="s">
        <v>3032</v>
      </c>
      <c r="T5983">
        <v>25</v>
      </c>
      <c r="U5983" s="2" t="s">
        <v>36190</v>
      </c>
      <c r="W5983" t="s">
        <v>36191</v>
      </c>
      <c r="X5983">
        <v>842226</v>
      </c>
      <c r="Y5983" t="s">
        <v>1111</v>
      </c>
      <c r="Z5983" t="s">
        <v>1519</v>
      </c>
      <c r="AA5983" s="2" t="s">
        <v>36192</v>
      </c>
      <c r="AB5983" t="s">
        <v>36193</v>
      </c>
      <c r="AG5983" t="s">
        <v>36194</v>
      </c>
      <c r="AH5983" t="s">
        <v>3035</v>
      </c>
      <c r="AI5983" t="s">
        <v>36195</v>
      </c>
    </row>
    <row r="5984" spans="2:35" ht="75">
      <c r="B5984" s="1">
        <v>45254</v>
      </c>
      <c r="C5984" s="4">
        <v>45254.620833333334</v>
      </c>
      <c r="D5984" t="s">
        <v>36196</v>
      </c>
      <c r="E5984" t="s">
        <v>10075</v>
      </c>
      <c r="F5984">
        <v>6</v>
      </c>
      <c r="G5984" t="s">
        <v>1234</v>
      </c>
      <c r="H5984" t="s">
        <v>258</v>
      </c>
      <c r="I5984" t="s">
        <v>94</v>
      </c>
      <c r="J5984" s="2" t="s">
        <v>14104</v>
      </c>
      <c r="K5984" t="s">
        <v>42</v>
      </c>
      <c r="L5984" t="s">
        <v>270</v>
      </c>
      <c r="N5984" t="s">
        <v>3122</v>
      </c>
      <c r="Q5984">
        <v>26567</v>
      </c>
      <c r="R5984" t="s">
        <v>45</v>
      </c>
      <c r="S5984" t="s">
        <v>10076</v>
      </c>
      <c r="T5984">
        <v>25</v>
      </c>
      <c r="W5984" t="s">
        <v>3662</v>
      </c>
      <c r="X5984">
        <v>815433</v>
      </c>
      <c r="Y5984" t="s">
        <v>301</v>
      </c>
      <c r="Z5984" t="s">
        <v>36197</v>
      </c>
      <c r="AA5984" t="s">
        <v>36198</v>
      </c>
      <c r="AB5984" t="s">
        <v>3527</v>
      </c>
      <c r="AG5984" t="s">
        <v>36199</v>
      </c>
      <c r="AH5984" t="s">
        <v>36200</v>
      </c>
      <c r="AI5984" t="s">
        <v>36201</v>
      </c>
    </row>
    <row r="5985" spans="2:35" ht="105">
      <c r="B5985" s="1">
        <v>45254</v>
      </c>
      <c r="C5985" s="4">
        <v>45254.616666666669</v>
      </c>
      <c r="D5985" t="s">
        <v>36196</v>
      </c>
      <c r="E5985" t="s">
        <v>10075</v>
      </c>
      <c r="F5985">
        <v>6</v>
      </c>
      <c r="G5985" t="s">
        <v>1234</v>
      </c>
      <c r="H5985" t="s">
        <v>13481</v>
      </c>
      <c r="I5985" t="s">
        <v>40</v>
      </c>
      <c r="J5985" s="2" t="s">
        <v>36202</v>
      </c>
      <c r="K5985" t="s">
        <v>42</v>
      </c>
      <c r="L5985" t="s">
        <v>23958</v>
      </c>
      <c r="N5985" t="s">
        <v>3122</v>
      </c>
      <c r="Q5985">
        <v>26566</v>
      </c>
      <c r="R5985" t="s">
        <v>119</v>
      </c>
      <c r="S5985" t="s">
        <v>10076</v>
      </c>
      <c r="T5985">
        <v>25</v>
      </c>
      <c r="U5985" s="2" t="s">
        <v>36203</v>
      </c>
      <c r="W5985" t="s">
        <v>3662</v>
      </c>
      <c r="X5985">
        <v>838486</v>
      </c>
      <c r="Y5985" t="s">
        <v>36204</v>
      </c>
      <c r="Z5985" t="s">
        <v>36197</v>
      </c>
      <c r="AA5985" t="s">
        <v>36205</v>
      </c>
      <c r="AB5985" t="s">
        <v>36206</v>
      </c>
      <c r="AG5985" t="s">
        <v>36207</v>
      </c>
      <c r="AH5985" t="s">
        <v>10080</v>
      </c>
      <c r="AI5985" t="s">
        <v>36208</v>
      </c>
    </row>
    <row r="5986" spans="2:35" ht="105">
      <c r="B5986" s="1">
        <v>45254</v>
      </c>
      <c r="C5986" s="4">
        <v>45254.616666666669</v>
      </c>
      <c r="D5986" t="s">
        <v>36196</v>
      </c>
      <c r="E5986" t="s">
        <v>10075</v>
      </c>
      <c r="F5986">
        <v>6</v>
      </c>
      <c r="G5986" t="s">
        <v>1234</v>
      </c>
      <c r="H5986" t="s">
        <v>13481</v>
      </c>
      <c r="I5986" t="s">
        <v>40</v>
      </c>
      <c r="J5986" s="2" t="s">
        <v>36202</v>
      </c>
      <c r="K5986" t="s">
        <v>42</v>
      </c>
      <c r="L5986" t="s">
        <v>23958</v>
      </c>
      <c r="N5986" t="s">
        <v>3122</v>
      </c>
      <c r="Q5986">
        <v>26565</v>
      </c>
      <c r="R5986" t="s">
        <v>119</v>
      </c>
      <c r="S5986" t="s">
        <v>10076</v>
      </c>
      <c r="T5986">
        <v>25</v>
      </c>
      <c r="U5986" s="2" t="s">
        <v>36203</v>
      </c>
      <c r="W5986" t="s">
        <v>3662</v>
      </c>
      <c r="X5986">
        <v>838486</v>
      </c>
      <c r="Y5986" t="s">
        <v>36204</v>
      </c>
      <c r="Z5986" t="s">
        <v>36197</v>
      </c>
      <c r="AA5986" t="s">
        <v>36205</v>
      </c>
      <c r="AB5986" t="s">
        <v>36206</v>
      </c>
      <c r="AG5986" t="s">
        <v>36209</v>
      </c>
      <c r="AH5986" t="s">
        <v>10080</v>
      </c>
      <c r="AI5986" t="s">
        <v>36210</v>
      </c>
    </row>
    <row r="5987" spans="2:35" ht="135">
      <c r="B5987" s="1">
        <v>45254</v>
      </c>
      <c r="C5987" s="4">
        <v>45254.572916666664</v>
      </c>
      <c r="D5987" t="s">
        <v>20529</v>
      </c>
      <c r="E5987" t="s">
        <v>34013</v>
      </c>
      <c r="F5987" t="s">
        <v>148</v>
      </c>
      <c r="G5987" t="s">
        <v>371</v>
      </c>
      <c r="H5987" t="s">
        <v>39</v>
      </c>
      <c r="I5987" t="s">
        <v>40</v>
      </c>
      <c r="J5987" s="2" t="s">
        <v>190</v>
      </c>
      <c r="K5987" t="s">
        <v>42</v>
      </c>
      <c r="L5987" t="s">
        <v>175</v>
      </c>
      <c r="N5987" t="s">
        <v>176</v>
      </c>
      <c r="Q5987">
        <v>26564</v>
      </c>
      <c r="R5987" t="s">
        <v>119</v>
      </c>
      <c r="S5987" t="s">
        <v>20530</v>
      </c>
      <c r="T5987">
        <v>27</v>
      </c>
      <c r="U5987" s="2" t="s">
        <v>36211</v>
      </c>
      <c r="W5987" t="s">
        <v>84</v>
      </c>
      <c r="X5987">
        <v>831906</v>
      </c>
      <c r="Y5987" t="s">
        <v>36212</v>
      </c>
      <c r="Z5987" t="e">
        <f ca="1">- checked _xludf.and cleaned cartridge bay, plunger rod, _xludf.filter
- performed XpertCheck ona A1, A3
- generated reports</f>
        <v>#NAME?</v>
      </c>
      <c r="AA5987" t="s">
        <v>999</v>
      </c>
      <c r="AB5987" s="2" t="s">
        <v>36213</v>
      </c>
      <c r="AG5987" t="s">
        <v>36214</v>
      </c>
      <c r="AH5987" t="s">
        <v>28277</v>
      </c>
      <c r="AI5987" t="s">
        <v>36215</v>
      </c>
    </row>
    <row r="5988" spans="2:35" ht="409.5">
      <c r="B5988" s="1">
        <v>45254</v>
      </c>
      <c r="C5988" s="4">
        <v>45254.582638888889</v>
      </c>
      <c r="D5988" t="s">
        <v>36216</v>
      </c>
      <c r="E5988" t="s">
        <v>3280</v>
      </c>
      <c r="F5988">
        <v>3</v>
      </c>
      <c r="G5988" t="s">
        <v>1722</v>
      </c>
      <c r="H5988" t="s">
        <v>39</v>
      </c>
      <c r="I5988" t="s">
        <v>40</v>
      </c>
      <c r="J5988" s="2" t="s">
        <v>62</v>
      </c>
      <c r="K5988" t="s">
        <v>42</v>
      </c>
      <c r="L5988" t="s">
        <v>135</v>
      </c>
      <c r="N5988" t="s">
        <v>136</v>
      </c>
      <c r="Q5988">
        <v>26563</v>
      </c>
      <c r="R5988" t="s">
        <v>119</v>
      </c>
      <c r="S5988" t="s">
        <v>3281</v>
      </c>
      <c r="T5988">
        <v>29</v>
      </c>
      <c r="U5988" s="2" t="s">
        <v>36217</v>
      </c>
      <c r="W5988" t="s">
        <v>2680</v>
      </c>
      <c r="X5988">
        <v>831672</v>
      </c>
      <c r="Y5988" t="s">
        <v>36218</v>
      </c>
      <c r="Z5988" s="2" t="s">
        <v>32464</v>
      </c>
      <c r="AA5988" s="2" t="s">
        <v>31375</v>
      </c>
      <c r="AB5988" t="s">
        <v>14475</v>
      </c>
      <c r="AC5988" t="s">
        <v>36219</v>
      </c>
      <c r="AG5988" t="s">
        <v>36220</v>
      </c>
      <c r="AH5988" t="s">
        <v>36221</v>
      </c>
      <c r="AI5988" t="s">
        <v>36222</v>
      </c>
    </row>
    <row r="5989" spans="2:35">
      <c r="B5989" s="1">
        <v>45254</v>
      </c>
      <c r="C5989" s="4">
        <v>45254.568055555559</v>
      </c>
      <c r="D5989" t="s">
        <v>36223</v>
      </c>
      <c r="E5989" t="s">
        <v>36224</v>
      </c>
      <c r="F5989">
        <v>10</v>
      </c>
      <c r="G5989" t="s">
        <v>1395</v>
      </c>
      <c r="H5989" t="s">
        <v>2125</v>
      </c>
      <c r="I5989" t="s">
        <v>40</v>
      </c>
      <c r="J5989" t="s">
        <v>79</v>
      </c>
      <c r="K5989" t="s">
        <v>42</v>
      </c>
      <c r="L5989" t="s">
        <v>933</v>
      </c>
      <c r="N5989" t="s">
        <v>934</v>
      </c>
      <c r="Q5989">
        <v>26562</v>
      </c>
      <c r="R5989" t="s">
        <v>45</v>
      </c>
      <c r="S5989" t="s">
        <v>36225</v>
      </c>
      <c r="T5989">
        <v>28</v>
      </c>
      <c r="W5989" t="s">
        <v>3662</v>
      </c>
      <c r="X5989">
        <v>815382</v>
      </c>
      <c r="Y5989" t="s">
        <v>301</v>
      </c>
      <c r="Z5989" t="s">
        <v>301</v>
      </c>
      <c r="AA5989" t="s">
        <v>36226</v>
      </c>
      <c r="AB5989" t="s">
        <v>13650</v>
      </c>
      <c r="AG5989" t="s">
        <v>36227</v>
      </c>
      <c r="AH5989" t="s">
        <v>36228</v>
      </c>
      <c r="AI5989" t="s">
        <v>36229</v>
      </c>
    </row>
    <row r="5990" spans="2:35" ht="105">
      <c r="B5990" s="1">
        <v>45254</v>
      </c>
      <c r="C5990" s="4">
        <v>45254.522222222222</v>
      </c>
      <c r="D5990" t="s">
        <v>36230</v>
      </c>
      <c r="E5990" t="s">
        <v>11902</v>
      </c>
      <c r="F5990">
        <v>6</v>
      </c>
      <c r="G5990" t="s">
        <v>1234</v>
      </c>
      <c r="H5990" t="s">
        <v>13481</v>
      </c>
      <c r="I5990" t="s">
        <v>94</v>
      </c>
      <c r="J5990" s="2" t="s">
        <v>41</v>
      </c>
      <c r="K5990" t="s">
        <v>42</v>
      </c>
      <c r="L5990" t="s">
        <v>270</v>
      </c>
      <c r="N5990" t="s">
        <v>3122</v>
      </c>
      <c r="Q5990">
        <v>26561</v>
      </c>
      <c r="R5990" t="s">
        <v>45</v>
      </c>
      <c r="S5990" t="s">
        <v>34236</v>
      </c>
      <c r="T5990">
        <v>25</v>
      </c>
      <c r="U5990" s="2" t="s">
        <v>36231</v>
      </c>
      <c r="W5990" t="s">
        <v>360</v>
      </c>
      <c r="X5990">
        <v>804267</v>
      </c>
      <c r="Y5990" t="s">
        <v>36232</v>
      </c>
      <c r="Z5990" t="s">
        <v>36197</v>
      </c>
      <c r="AA5990" t="s">
        <v>36233</v>
      </c>
      <c r="AB5990" t="s">
        <v>3527</v>
      </c>
      <c r="AG5990" t="s">
        <v>36234</v>
      </c>
      <c r="AH5990" t="s">
        <v>36235</v>
      </c>
      <c r="AI5990" t="s">
        <v>36236</v>
      </c>
    </row>
    <row r="5991" spans="2:35" ht="240">
      <c r="B5991" s="1">
        <v>45254</v>
      </c>
      <c r="C5991" s="4">
        <v>45254.481249999997</v>
      </c>
      <c r="D5991" t="s">
        <v>32529</v>
      </c>
      <c r="E5991" t="s">
        <v>36237</v>
      </c>
      <c r="F5991">
        <v>3</v>
      </c>
      <c r="G5991" t="s">
        <v>730</v>
      </c>
      <c r="H5991" t="s">
        <v>39</v>
      </c>
      <c r="I5991" t="s">
        <v>40</v>
      </c>
      <c r="J5991" s="2" t="s">
        <v>36238</v>
      </c>
      <c r="K5991" t="s">
        <v>42</v>
      </c>
      <c r="L5991" t="s">
        <v>135</v>
      </c>
      <c r="N5991" t="s">
        <v>136</v>
      </c>
      <c r="Q5991">
        <v>26560</v>
      </c>
      <c r="R5991" t="s">
        <v>45</v>
      </c>
      <c r="S5991" t="s">
        <v>32531</v>
      </c>
      <c r="T5991">
        <v>27</v>
      </c>
      <c r="U5991" s="2" t="s">
        <v>1509</v>
      </c>
      <c r="V5991" s="1">
        <v>45253</v>
      </c>
      <c r="W5991" t="s">
        <v>2680</v>
      </c>
      <c r="X5991">
        <v>812792</v>
      </c>
      <c r="Y5991" t="s">
        <v>36239</v>
      </c>
      <c r="Z5991" s="2" t="s">
        <v>36240</v>
      </c>
      <c r="AA5991" s="2" t="s">
        <v>36241</v>
      </c>
      <c r="AB5991" t="s">
        <v>181</v>
      </c>
      <c r="AD5991" t="s">
        <v>36242</v>
      </c>
      <c r="AE5991">
        <v>45561</v>
      </c>
      <c r="AG5991" t="s">
        <v>36243</v>
      </c>
      <c r="AH5991" t="s">
        <v>32535</v>
      </c>
      <c r="AI5991" t="s">
        <v>36244</v>
      </c>
    </row>
    <row r="5992" spans="2:35" ht="330">
      <c r="B5992" s="1">
        <v>45254</v>
      </c>
      <c r="C5992" s="4">
        <v>45254.48333333333</v>
      </c>
      <c r="D5992" t="s">
        <v>36245</v>
      </c>
      <c r="E5992" t="s">
        <v>36246</v>
      </c>
      <c r="F5992">
        <v>3</v>
      </c>
      <c r="G5992" t="s">
        <v>174</v>
      </c>
      <c r="H5992" t="s">
        <v>36247</v>
      </c>
      <c r="I5992" t="s">
        <v>94</v>
      </c>
      <c r="J5992" s="2" t="s">
        <v>62</v>
      </c>
      <c r="K5992" t="s">
        <v>2629</v>
      </c>
      <c r="L5992" t="s">
        <v>43</v>
      </c>
      <c r="N5992" t="s">
        <v>44</v>
      </c>
      <c r="O5992" t="s">
        <v>36248</v>
      </c>
      <c r="Q5992">
        <v>26559</v>
      </c>
      <c r="R5992" t="s">
        <v>95</v>
      </c>
      <c r="S5992" t="s">
        <v>36249</v>
      </c>
      <c r="T5992">
        <v>24</v>
      </c>
      <c r="V5992" s="1">
        <v>45251</v>
      </c>
      <c r="W5992" t="s">
        <v>36250</v>
      </c>
      <c r="X5992">
        <v>3321001650</v>
      </c>
      <c r="Y5992" t="s">
        <v>6929</v>
      </c>
      <c r="Z5992" t="s">
        <v>36251</v>
      </c>
      <c r="AA5992" s="2" t="s">
        <v>36252</v>
      </c>
      <c r="AB5992" t="s">
        <v>88</v>
      </c>
      <c r="AD5992" t="s">
        <v>36253</v>
      </c>
      <c r="AE5992" t="s">
        <v>36254</v>
      </c>
      <c r="AG5992" t="s">
        <v>36255</v>
      </c>
      <c r="AH5992" t="s">
        <v>36256</v>
      </c>
      <c r="AI5992" t="s">
        <v>36257</v>
      </c>
    </row>
    <row r="5993" spans="2:35" ht="255">
      <c r="B5993" s="1">
        <v>45254</v>
      </c>
      <c r="C5993" s="4">
        <v>45253.583333333336</v>
      </c>
      <c r="D5993" t="s">
        <v>36258</v>
      </c>
      <c r="E5993" t="s">
        <v>36259</v>
      </c>
      <c r="F5993" t="s">
        <v>37</v>
      </c>
      <c r="G5993" t="s">
        <v>38</v>
      </c>
      <c r="H5993" t="s">
        <v>39</v>
      </c>
      <c r="I5993" t="s">
        <v>40</v>
      </c>
      <c r="J5993" s="2" t="s">
        <v>31979</v>
      </c>
      <c r="K5993" t="s">
        <v>42</v>
      </c>
      <c r="L5993" t="s">
        <v>43</v>
      </c>
      <c r="N5993" t="s">
        <v>44</v>
      </c>
      <c r="Q5993">
        <v>26558</v>
      </c>
      <c r="R5993" t="s">
        <v>45</v>
      </c>
      <c r="S5993" t="s">
        <v>1701</v>
      </c>
      <c r="T5993">
        <v>24</v>
      </c>
      <c r="U5993" s="2" t="s">
        <v>36260</v>
      </c>
      <c r="W5993" t="s">
        <v>48</v>
      </c>
      <c r="X5993">
        <v>838136</v>
      </c>
      <c r="Y5993" t="s">
        <v>36261</v>
      </c>
      <c r="Z5993" t="s">
        <v>36262</v>
      </c>
      <c r="AA5993" s="2" t="s">
        <v>36263</v>
      </c>
      <c r="AB5993" t="s">
        <v>36264</v>
      </c>
      <c r="AG5993" t="s">
        <v>36265</v>
      </c>
      <c r="AH5993" t="s">
        <v>22380</v>
      </c>
      <c r="AI5993" t="s">
        <v>36266</v>
      </c>
    </row>
    <row r="5994" spans="2:35" ht="375">
      <c r="B5994" s="1">
        <v>45254</v>
      </c>
      <c r="C5994" s="4">
        <v>45253.638888888891</v>
      </c>
      <c r="D5994" t="s">
        <v>36267</v>
      </c>
      <c r="E5994" t="s">
        <v>36268</v>
      </c>
      <c r="F5994" t="s">
        <v>148</v>
      </c>
      <c r="G5994" t="s">
        <v>447</v>
      </c>
      <c r="H5994" t="s">
        <v>386</v>
      </c>
      <c r="I5994" t="s">
        <v>40</v>
      </c>
      <c r="J5994" t="s">
        <v>109</v>
      </c>
      <c r="K5994" t="s">
        <v>387</v>
      </c>
      <c r="L5994" t="s">
        <v>448</v>
      </c>
      <c r="N5994" t="s">
        <v>650</v>
      </c>
      <c r="Q5994">
        <v>26557</v>
      </c>
      <c r="R5994" t="s">
        <v>322</v>
      </c>
      <c r="S5994" t="s">
        <v>36269</v>
      </c>
      <c r="T5994">
        <v>28</v>
      </c>
      <c r="W5994" t="s">
        <v>476</v>
      </c>
      <c r="X5994" t="s">
        <v>36270</v>
      </c>
      <c r="Y5994" t="s">
        <v>485</v>
      </c>
      <c r="Z5994" s="2" t="s">
        <v>34648</v>
      </c>
      <c r="AA5994" t="s">
        <v>6997</v>
      </c>
      <c r="AB5994" t="s">
        <v>486</v>
      </c>
      <c r="AG5994" t="s">
        <v>36271</v>
      </c>
      <c r="AH5994" t="s">
        <v>4138</v>
      </c>
      <c r="AI5994" t="s">
        <v>36272</v>
      </c>
    </row>
    <row r="5995" spans="2:35" ht="210">
      <c r="B5995" s="1">
        <v>45253</v>
      </c>
      <c r="C5995" s="4">
        <v>45253.493055555555</v>
      </c>
      <c r="D5995" t="s">
        <v>7325</v>
      </c>
      <c r="E5995" t="s">
        <v>12097</v>
      </c>
      <c r="F5995">
        <v>12</v>
      </c>
      <c r="G5995" t="s">
        <v>978</v>
      </c>
      <c r="H5995" t="s">
        <v>1473</v>
      </c>
      <c r="I5995" t="s">
        <v>40</v>
      </c>
      <c r="J5995" s="2" t="s">
        <v>31986</v>
      </c>
      <c r="K5995" t="s">
        <v>42</v>
      </c>
      <c r="L5995" t="s">
        <v>296</v>
      </c>
      <c r="N5995" t="s">
        <v>297</v>
      </c>
      <c r="Q5995">
        <v>26556</v>
      </c>
      <c r="R5995" t="s">
        <v>119</v>
      </c>
      <c r="S5995" t="s">
        <v>7327</v>
      </c>
      <c r="T5995">
        <v>26.7</v>
      </c>
      <c r="U5995" s="2" t="s">
        <v>36273</v>
      </c>
      <c r="W5995" t="s">
        <v>23049</v>
      </c>
      <c r="X5995">
        <v>838265</v>
      </c>
      <c r="Y5995" t="s">
        <v>54</v>
      </c>
      <c r="Z5995" t="s">
        <v>9161</v>
      </c>
      <c r="AA5995" s="2" t="s">
        <v>36274</v>
      </c>
      <c r="AB5995" t="s">
        <v>972</v>
      </c>
      <c r="AG5995" t="s">
        <v>36275</v>
      </c>
      <c r="AH5995" t="s">
        <v>36276</v>
      </c>
      <c r="AI5995" t="s">
        <v>36277</v>
      </c>
    </row>
    <row r="5996" spans="2:35" ht="409.5">
      <c r="B5996" s="1">
        <v>45253</v>
      </c>
      <c r="C5996" s="4">
        <v>45253.587500000001</v>
      </c>
      <c r="D5996" t="s">
        <v>1071</v>
      </c>
      <c r="E5996" t="s">
        <v>1555</v>
      </c>
      <c r="F5996">
        <v>7</v>
      </c>
      <c r="G5996" t="s">
        <v>432</v>
      </c>
      <c r="H5996" t="s">
        <v>150</v>
      </c>
      <c r="I5996" t="s">
        <v>40</v>
      </c>
      <c r="J5996" s="2" t="s">
        <v>62</v>
      </c>
      <c r="K5996" t="s">
        <v>42</v>
      </c>
      <c r="L5996" t="s">
        <v>343</v>
      </c>
      <c r="N5996" t="s">
        <v>344</v>
      </c>
      <c r="Q5996">
        <v>26555</v>
      </c>
      <c r="R5996" t="s">
        <v>119</v>
      </c>
      <c r="S5996" t="s">
        <v>4407</v>
      </c>
      <c r="T5996">
        <v>32</v>
      </c>
      <c r="U5996" s="2" t="s">
        <v>36278</v>
      </c>
      <c r="V5996" s="1">
        <v>45253</v>
      </c>
      <c r="W5996" t="s">
        <v>84</v>
      </c>
      <c r="X5996">
        <v>838285</v>
      </c>
      <c r="Y5996" t="s">
        <v>36279</v>
      </c>
      <c r="Z5996" t="s">
        <v>301</v>
      </c>
      <c r="AA5996" t="e">
        <f ca="1">-run XpertCheck on module A4
-Preventive Maintenance
-ARCHIVE test</f>
        <v>#NAME?</v>
      </c>
      <c r="AB5996" t="s">
        <v>36280</v>
      </c>
      <c r="AC5996" t="s">
        <v>36281</v>
      </c>
      <c r="AD5996" t="s">
        <v>21244</v>
      </c>
      <c r="AE5996" t="s">
        <v>103</v>
      </c>
      <c r="AG5996" t="s">
        <v>36282</v>
      </c>
      <c r="AH5996" t="s">
        <v>35945</v>
      </c>
      <c r="AI5996" t="s">
        <v>36283</v>
      </c>
    </row>
    <row r="5997" spans="2:35" ht="105">
      <c r="B5997" s="1">
        <v>45253</v>
      </c>
      <c r="C5997" s="4">
        <v>45253.593055555553</v>
      </c>
      <c r="D5997" t="s">
        <v>27228</v>
      </c>
      <c r="E5997" t="s">
        <v>26059</v>
      </c>
      <c r="F5997" t="s">
        <v>148</v>
      </c>
      <c r="G5997" t="s">
        <v>371</v>
      </c>
      <c r="H5997" t="s">
        <v>39</v>
      </c>
      <c r="I5997" t="s">
        <v>40</v>
      </c>
      <c r="J5997" s="2" t="s">
        <v>41</v>
      </c>
      <c r="K5997" t="s">
        <v>42</v>
      </c>
      <c r="L5997" t="s">
        <v>175</v>
      </c>
      <c r="N5997" t="s">
        <v>176</v>
      </c>
      <c r="O5997" t="s">
        <v>27229</v>
      </c>
      <c r="Q5997">
        <v>26554</v>
      </c>
      <c r="R5997" t="s">
        <v>119</v>
      </c>
      <c r="S5997" t="s">
        <v>36284</v>
      </c>
      <c r="T5997">
        <v>25</v>
      </c>
      <c r="U5997" s="2" t="s">
        <v>18374</v>
      </c>
      <c r="V5997" s="1">
        <v>45253</v>
      </c>
      <c r="W5997" t="s">
        <v>84</v>
      </c>
      <c r="X5997">
        <v>831845</v>
      </c>
      <c r="Y5997" t="s">
        <v>36285</v>
      </c>
      <c r="Z5997" t="e">
        <f ca="1">- replaced module B3
- checked _xludf.and cleaned cartridge bay, plunger rod, _xludf.filter
- generated reports</f>
        <v>#NAME?</v>
      </c>
      <c r="AA5997" t="s">
        <v>33640</v>
      </c>
      <c r="AB5997" t="s">
        <v>88</v>
      </c>
      <c r="AD5997" s="2" t="s">
        <v>36286</v>
      </c>
      <c r="AE5997" t="s">
        <v>103</v>
      </c>
      <c r="AG5997" t="s">
        <v>36287</v>
      </c>
      <c r="AH5997" t="s">
        <v>2037</v>
      </c>
      <c r="AI5997" t="s">
        <v>36288</v>
      </c>
    </row>
    <row r="5998" spans="2:35" ht="409.5">
      <c r="B5998" s="1">
        <v>45253</v>
      </c>
      <c r="C5998" s="4">
        <v>45253.557638888888</v>
      </c>
      <c r="D5998" t="s">
        <v>1071</v>
      </c>
      <c r="E5998" t="s">
        <v>1555</v>
      </c>
      <c r="F5998">
        <v>7</v>
      </c>
      <c r="G5998" t="s">
        <v>432</v>
      </c>
      <c r="H5998" t="s">
        <v>150</v>
      </c>
      <c r="I5998" t="s">
        <v>40</v>
      </c>
      <c r="J5998" t="s">
        <v>109</v>
      </c>
      <c r="K5998" t="s">
        <v>42</v>
      </c>
      <c r="L5998" t="s">
        <v>343</v>
      </c>
      <c r="N5998" t="s">
        <v>344</v>
      </c>
      <c r="Q5998">
        <v>26553</v>
      </c>
      <c r="R5998" t="s">
        <v>119</v>
      </c>
      <c r="S5998" t="s">
        <v>8679</v>
      </c>
      <c r="T5998">
        <v>27</v>
      </c>
      <c r="U5998" s="2" t="s">
        <v>36289</v>
      </c>
      <c r="W5998" t="s">
        <v>84</v>
      </c>
      <c r="X5998">
        <v>820206</v>
      </c>
      <c r="Y5998" t="s">
        <v>301</v>
      </c>
      <c r="Z5998" t="s">
        <v>301</v>
      </c>
      <c r="AA5998" t="e">
        <f ca="1">-Preventive Maintenance
-ARCHIVE test</f>
        <v>#NAME?</v>
      </c>
      <c r="AB5998" t="s">
        <v>36290</v>
      </c>
      <c r="AG5998" t="s">
        <v>36291</v>
      </c>
      <c r="AH5998" t="s">
        <v>36292</v>
      </c>
      <c r="AI5998" t="s">
        <v>36293</v>
      </c>
    </row>
    <row r="5999" spans="2:35" ht="390">
      <c r="B5999" s="1">
        <v>45253</v>
      </c>
      <c r="C5999" s="4">
        <v>45253.538888888892</v>
      </c>
      <c r="D5999" t="s">
        <v>33023</v>
      </c>
      <c r="E5999" t="s">
        <v>36294</v>
      </c>
      <c r="F5999">
        <v>11</v>
      </c>
      <c r="G5999" t="s">
        <v>1759</v>
      </c>
      <c r="H5999" t="s">
        <v>202</v>
      </c>
      <c r="I5999" t="s">
        <v>94</v>
      </c>
      <c r="J5999" s="2" t="s">
        <v>760</v>
      </c>
      <c r="K5999" t="s">
        <v>42</v>
      </c>
      <c r="L5999" t="s">
        <v>204</v>
      </c>
      <c r="N5999" t="s">
        <v>205</v>
      </c>
      <c r="Q5999">
        <v>26552</v>
      </c>
      <c r="R5999" t="s">
        <v>45</v>
      </c>
      <c r="S5999" t="s">
        <v>33026</v>
      </c>
      <c r="T5999">
        <v>24.8</v>
      </c>
      <c r="U5999" s="2" t="s">
        <v>36295</v>
      </c>
      <c r="W5999" t="s">
        <v>23237</v>
      </c>
      <c r="X5999">
        <v>807360</v>
      </c>
      <c r="Y5999" s="2" t="s">
        <v>36296</v>
      </c>
      <c r="Z5999" s="2" t="s">
        <v>36297</v>
      </c>
      <c r="AA5999" s="2" t="s">
        <v>36298</v>
      </c>
      <c r="AB5999" s="2" t="s">
        <v>36299</v>
      </c>
      <c r="AG5999" t="s">
        <v>36300</v>
      </c>
      <c r="AH5999" t="s">
        <v>36301</v>
      </c>
      <c r="AI5999" t="s">
        <v>36302</v>
      </c>
    </row>
    <row r="6000" spans="2:35" ht="75">
      <c r="B6000" s="1">
        <v>45253</v>
      </c>
      <c r="C6000" s="4">
        <v>45253.506944444445</v>
      </c>
      <c r="D6000" t="s">
        <v>5636</v>
      </c>
      <c r="E6000" t="s">
        <v>36303</v>
      </c>
      <c r="F6000">
        <v>9</v>
      </c>
      <c r="G6000" t="s">
        <v>2903</v>
      </c>
      <c r="H6000" t="s">
        <v>39</v>
      </c>
      <c r="I6000" t="s">
        <v>94</v>
      </c>
      <c r="J6000" s="2" t="s">
        <v>190</v>
      </c>
      <c r="K6000" t="s">
        <v>42</v>
      </c>
      <c r="L6000" t="s">
        <v>1257</v>
      </c>
      <c r="N6000" t="s">
        <v>1258</v>
      </c>
      <c r="O6000" t="s">
        <v>2199</v>
      </c>
      <c r="Q6000">
        <v>26551</v>
      </c>
      <c r="R6000" t="s">
        <v>45</v>
      </c>
      <c r="S6000" t="s">
        <v>6477</v>
      </c>
      <c r="T6000">
        <v>27</v>
      </c>
      <c r="U6000" s="2" t="s">
        <v>2367</v>
      </c>
      <c r="V6000" s="1">
        <v>45253</v>
      </c>
      <c r="W6000" t="s">
        <v>2384</v>
      </c>
      <c r="X6000">
        <v>834826</v>
      </c>
      <c r="Y6000" t="s">
        <v>29088</v>
      </c>
      <c r="Z6000" t="s">
        <v>36304</v>
      </c>
      <c r="AA6000" t="s">
        <v>36305</v>
      </c>
      <c r="AB6000" t="s">
        <v>36306</v>
      </c>
      <c r="AC6000" t="s">
        <v>36307</v>
      </c>
      <c r="AD6000" t="s">
        <v>54</v>
      </c>
      <c r="AE6000" t="s">
        <v>54</v>
      </c>
      <c r="AG6000" t="s">
        <v>36308</v>
      </c>
      <c r="AH6000" t="s">
        <v>6479</v>
      </c>
      <c r="AI6000" t="s">
        <v>36309</v>
      </c>
    </row>
    <row r="6001" spans="2:35" ht="180">
      <c r="B6001" s="1">
        <v>45253</v>
      </c>
      <c r="C6001" s="4">
        <v>45252.65902777778</v>
      </c>
      <c r="D6001" t="s">
        <v>27635</v>
      </c>
      <c r="E6001" t="s">
        <v>36310</v>
      </c>
      <c r="F6001" t="s">
        <v>148</v>
      </c>
      <c r="G6001" t="s">
        <v>447</v>
      </c>
      <c r="H6001" t="s">
        <v>39</v>
      </c>
      <c r="I6001" t="s">
        <v>94</v>
      </c>
      <c r="J6001" s="2" t="s">
        <v>41</v>
      </c>
      <c r="K6001" t="s">
        <v>42</v>
      </c>
      <c r="L6001" t="s">
        <v>15532</v>
      </c>
      <c r="N6001" t="s">
        <v>15533</v>
      </c>
      <c r="Q6001">
        <v>26550</v>
      </c>
      <c r="R6001" t="s">
        <v>119</v>
      </c>
      <c r="S6001" t="s">
        <v>24625</v>
      </c>
      <c r="T6001">
        <v>26</v>
      </c>
      <c r="U6001" s="2" t="s">
        <v>36311</v>
      </c>
      <c r="V6001" s="1">
        <v>45251</v>
      </c>
      <c r="W6001" t="s">
        <v>3244</v>
      </c>
      <c r="X6001">
        <v>831615</v>
      </c>
      <c r="Y6001" t="s">
        <v>570</v>
      </c>
      <c r="Z6001" s="2" t="s">
        <v>36312</v>
      </c>
      <c r="AA6001" s="2" t="s">
        <v>36313</v>
      </c>
      <c r="AB6001" s="2" t="s">
        <v>15539</v>
      </c>
      <c r="AD6001" t="s">
        <v>19400</v>
      </c>
      <c r="AE6001" t="s">
        <v>36314</v>
      </c>
      <c r="AG6001" t="s">
        <v>36315</v>
      </c>
      <c r="AH6001" t="s">
        <v>36316</v>
      </c>
      <c r="AI6001" t="s">
        <v>36317</v>
      </c>
    </row>
    <row r="6002" spans="2:35" ht="105">
      <c r="B6002" s="1">
        <v>45253</v>
      </c>
      <c r="C6002" s="4">
        <v>45253.468055555553</v>
      </c>
      <c r="D6002" t="s">
        <v>36318</v>
      </c>
      <c r="E6002" t="s">
        <v>36319</v>
      </c>
      <c r="F6002">
        <v>10</v>
      </c>
      <c r="G6002" t="s">
        <v>8359</v>
      </c>
      <c r="H6002" t="s">
        <v>2125</v>
      </c>
      <c r="I6002" t="s">
        <v>40</v>
      </c>
      <c r="J6002" s="2" t="s">
        <v>41</v>
      </c>
      <c r="K6002" t="s">
        <v>42</v>
      </c>
      <c r="L6002" t="s">
        <v>933</v>
      </c>
      <c r="N6002" t="s">
        <v>934</v>
      </c>
      <c r="Q6002">
        <v>26549</v>
      </c>
      <c r="R6002" t="s">
        <v>45</v>
      </c>
      <c r="S6002" t="s">
        <v>36320</v>
      </c>
      <c r="T6002">
        <v>26.9</v>
      </c>
      <c r="U6002" s="2" t="s">
        <v>36321</v>
      </c>
      <c r="W6002" t="s">
        <v>23146</v>
      </c>
      <c r="X6002">
        <v>835194</v>
      </c>
      <c r="Y6002" t="s">
        <v>36322</v>
      </c>
      <c r="Z6002" t="s">
        <v>301</v>
      </c>
      <c r="AA6002" t="s">
        <v>36323</v>
      </c>
      <c r="AB6002" t="s">
        <v>13650</v>
      </c>
      <c r="AG6002" t="s">
        <v>36324</v>
      </c>
      <c r="AH6002" t="s">
        <v>36325</v>
      </c>
      <c r="AI6002" t="s">
        <v>36326</v>
      </c>
    </row>
    <row r="6003" spans="2:35" ht="270">
      <c r="B6003" s="1">
        <v>45253</v>
      </c>
      <c r="C6003" s="4">
        <v>45253.461805555555</v>
      </c>
      <c r="D6003" t="s">
        <v>542</v>
      </c>
      <c r="E6003" t="s">
        <v>28594</v>
      </c>
      <c r="F6003" t="s">
        <v>148</v>
      </c>
      <c r="G6003" t="s">
        <v>544</v>
      </c>
      <c r="H6003" t="s">
        <v>39</v>
      </c>
      <c r="I6003" t="s">
        <v>40</v>
      </c>
      <c r="J6003" t="s">
        <v>525</v>
      </c>
      <c r="K6003" t="s">
        <v>42</v>
      </c>
      <c r="L6003" t="s">
        <v>43</v>
      </c>
      <c r="N6003" t="s">
        <v>44</v>
      </c>
      <c r="Q6003">
        <v>26548</v>
      </c>
      <c r="R6003" t="s">
        <v>45</v>
      </c>
      <c r="S6003" t="s">
        <v>15929</v>
      </c>
      <c r="T6003">
        <v>24</v>
      </c>
      <c r="U6003" s="2" t="s">
        <v>36327</v>
      </c>
      <c r="W6003" t="s">
        <v>48</v>
      </c>
      <c r="X6003">
        <v>805211</v>
      </c>
      <c r="Y6003" t="s">
        <v>36328</v>
      </c>
      <c r="Z6003" t="s">
        <v>13673</v>
      </c>
      <c r="AA6003" s="2" t="s">
        <v>36329</v>
      </c>
      <c r="AB6003" t="s">
        <v>88</v>
      </c>
      <c r="AG6003" t="s">
        <v>36330</v>
      </c>
      <c r="AH6003" t="s">
        <v>19310</v>
      </c>
      <c r="AI6003" t="s">
        <v>36331</v>
      </c>
    </row>
    <row r="6004" spans="2:35" ht="210">
      <c r="B6004" s="1">
        <v>45253</v>
      </c>
      <c r="C6004" s="4">
        <v>45252.492361111108</v>
      </c>
      <c r="D6004" t="s">
        <v>4757</v>
      </c>
      <c r="E6004" t="s">
        <v>27342</v>
      </c>
      <c r="F6004" t="s">
        <v>148</v>
      </c>
      <c r="G6004" t="s">
        <v>785</v>
      </c>
      <c r="H6004" t="s">
        <v>39</v>
      </c>
      <c r="I6004" t="s">
        <v>40</v>
      </c>
      <c r="J6004" s="2" t="s">
        <v>31986</v>
      </c>
      <c r="K6004" t="s">
        <v>42</v>
      </c>
      <c r="L6004" t="s">
        <v>43</v>
      </c>
      <c r="N6004" t="s">
        <v>44</v>
      </c>
      <c r="Q6004">
        <v>26547</v>
      </c>
      <c r="R6004" t="s">
        <v>119</v>
      </c>
      <c r="S6004" t="s">
        <v>35707</v>
      </c>
      <c r="T6004">
        <v>24</v>
      </c>
      <c r="U6004" s="2" t="s">
        <v>35708</v>
      </c>
      <c r="W6004" t="s">
        <v>48</v>
      </c>
      <c r="X6004">
        <v>83195</v>
      </c>
      <c r="Y6004" t="s">
        <v>121</v>
      </c>
      <c r="Z6004" t="s">
        <v>122</v>
      </c>
      <c r="AA6004" s="2" t="s">
        <v>33688</v>
      </c>
      <c r="AB6004" t="s">
        <v>88</v>
      </c>
      <c r="AG6004" t="s">
        <v>35709</v>
      </c>
      <c r="AH6004" t="s">
        <v>35710</v>
      </c>
      <c r="AI6004" t="s">
        <v>35711</v>
      </c>
    </row>
    <row r="6005" spans="2:35" ht="105">
      <c r="B6005" s="1">
        <v>45253</v>
      </c>
      <c r="C6005" s="4">
        <v>45253.412499999999</v>
      </c>
      <c r="D6005" t="s">
        <v>22594</v>
      </c>
      <c r="E6005" t="s">
        <v>36332</v>
      </c>
      <c r="F6005" t="s">
        <v>148</v>
      </c>
      <c r="G6005" t="s">
        <v>447</v>
      </c>
      <c r="H6005" t="s">
        <v>39</v>
      </c>
      <c r="I6005" t="s">
        <v>94</v>
      </c>
      <c r="J6005" s="2" t="s">
        <v>41</v>
      </c>
      <c r="K6005" t="s">
        <v>42</v>
      </c>
      <c r="L6005" t="s">
        <v>15532</v>
      </c>
      <c r="N6005" t="s">
        <v>15533</v>
      </c>
      <c r="Q6005">
        <v>26546</v>
      </c>
      <c r="R6005" t="s">
        <v>119</v>
      </c>
      <c r="S6005" t="s">
        <v>22596</v>
      </c>
      <c r="T6005">
        <v>25</v>
      </c>
      <c r="U6005" s="2" t="s">
        <v>8266</v>
      </c>
      <c r="V6005" s="1">
        <v>45251</v>
      </c>
      <c r="W6005" t="s">
        <v>3244</v>
      </c>
      <c r="X6005">
        <v>831901</v>
      </c>
      <c r="Y6005" t="s">
        <v>49</v>
      </c>
      <c r="Z6005" s="2" t="s">
        <v>36312</v>
      </c>
      <c r="AA6005" s="2" t="s">
        <v>36333</v>
      </c>
      <c r="AB6005" s="2" t="s">
        <v>33302</v>
      </c>
      <c r="AD6005" t="s">
        <v>15847</v>
      </c>
      <c r="AE6005" t="s">
        <v>36334</v>
      </c>
      <c r="AG6005" t="s">
        <v>36335</v>
      </c>
      <c r="AH6005" t="s">
        <v>26830</v>
      </c>
      <c r="AI6005" t="s">
        <v>36336</v>
      </c>
    </row>
    <row r="6006" spans="2:35" ht="180">
      <c r="B6006" s="1">
        <v>45253</v>
      </c>
      <c r="C6006" s="4">
        <v>45252.63958333333</v>
      </c>
      <c r="D6006" t="s">
        <v>36337</v>
      </c>
      <c r="E6006" t="s">
        <v>36338</v>
      </c>
      <c r="F6006" t="s">
        <v>148</v>
      </c>
      <c r="G6006" t="s">
        <v>447</v>
      </c>
      <c r="H6006" t="s">
        <v>39</v>
      </c>
      <c r="I6006" t="s">
        <v>40</v>
      </c>
      <c r="J6006" t="s">
        <v>109</v>
      </c>
      <c r="K6006" t="s">
        <v>42</v>
      </c>
      <c r="L6006" t="s">
        <v>448</v>
      </c>
      <c r="N6006" t="s">
        <v>650</v>
      </c>
      <c r="Q6006">
        <v>26545</v>
      </c>
      <c r="R6006" t="s">
        <v>119</v>
      </c>
      <c r="S6006" t="s">
        <v>3078</v>
      </c>
      <c r="T6006">
        <v>31</v>
      </c>
      <c r="U6006" s="2" t="s">
        <v>36339</v>
      </c>
      <c r="W6006" t="s">
        <v>360</v>
      </c>
      <c r="X6006">
        <v>831899</v>
      </c>
      <c r="Y6006" t="s">
        <v>485</v>
      </c>
      <c r="Z6006" s="2" t="s">
        <v>2011</v>
      </c>
      <c r="AA6006" t="s">
        <v>6997</v>
      </c>
      <c r="AB6006" t="s">
        <v>486</v>
      </c>
      <c r="AG6006" t="s">
        <v>36340</v>
      </c>
      <c r="AH6006" t="s">
        <v>3084</v>
      </c>
      <c r="AI6006" t="s">
        <v>36341</v>
      </c>
    </row>
    <row r="6007" spans="2:35" ht="409.5">
      <c r="B6007" s="1">
        <v>45253</v>
      </c>
      <c r="C6007" s="4">
        <v>45252.46875</v>
      </c>
      <c r="D6007" t="s">
        <v>36342</v>
      </c>
      <c r="E6007" t="s">
        <v>36343</v>
      </c>
      <c r="F6007" t="s">
        <v>148</v>
      </c>
      <c r="G6007" t="s">
        <v>447</v>
      </c>
      <c r="H6007" t="s">
        <v>39</v>
      </c>
      <c r="I6007" t="s">
        <v>40</v>
      </c>
      <c r="J6007" t="s">
        <v>109</v>
      </c>
      <c r="K6007" t="s">
        <v>42</v>
      </c>
      <c r="L6007" t="s">
        <v>448</v>
      </c>
      <c r="N6007" t="s">
        <v>650</v>
      </c>
      <c r="Q6007">
        <v>26544</v>
      </c>
      <c r="R6007" t="s">
        <v>95</v>
      </c>
      <c r="S6007" t="s">
        <v>36344</v>
      </c>
      <c r="T6007">
        <v>29</v>
      </c>
      <c r="U6007" s="2" t="s">
        <v>36345</v>
      </c>
      <c r="W6007" t="s">
        <v>360</v>
      </c>
      <c r="X6007">
        <v>110008529</v>
      </c>
      <c r="Y6007" t="s">
        <v>485</v>
      </c>
      <c r="Z6007" s="2" t="s">
        <v>2011</v>
      </c>
      <c r="AA6007" t="s">
        <v>6997</v>
      </c>
      <c r="AB6007" t="s">
        <v>486</v>
      </c>
      <c r="AG6007" t="s">
        <v>36346</v>
      </c>
      <c r="AH6007" t="s">
        <v>11509</v>
      </c>
      <c r="AI6007" t="s">
        <v>36347</v>
      </c>
    </row>
    <row r="6008" spans="2:35" ht="300">
      <c r="B6008" s="1">
        <v>45253</v>
      </c>
      <c r="C6008" s="4">
        <v>45253.395833333336</v>
      </c>
      <c r="D6008" t="s">
        <v>36348</v>
      </c>
      <c r="E6008" t="s">
        <v>36349</v>
      </c>
      <c r="F6008">
        <v>6</v>
      </c>
      <c r="G6008" t="s">
        <v>1286</v>
      </c>
      <c r="H6008" t="s">
        <v>10969</v>
      </c>
      <c r="I6008" t="s">
        <v>40</v>
      </c>
      <c r="J6008" s="2" t="s">
        <v>41</v>
      </c>
      <c r="K6008" t="s">
        <v>42</v>
      </c>
      <c r="L6008" t="s">
        <v>1288</v>
      </c>
      <c r="N6008" t="s">
        <v>1289</v>
      </c>
      <c r="Q6008">
        <v>26543</v>
      </c>
      <c r="R6008" t="s">
        <v>45</v>
      </c>
      <c r="S6008" t="s">
        <v>36350</v>
      </c>
      <c r="T6008">
        <v>20</v>
      </c>
      <c r="U6008" s="2" t="s">
        <v>36351</v>
      </c>
      <c r="W6008" t="s">
        <v>6776</v>
      </c>
      <c r="X6008">
        <v>815429</v>
      </c>
      <c r="Y6008" t="s">
        <v>36352</v>
      </c>
      <c r="Z6008" t="e">
        <f ca="1">-COLLECT IQR, system _xludf.Log, _xludf.and ARCHIVE</f>
        <v>#NAME?</v>
      </c>
      <c r="AA6008" s="2" t="s">
        <v>36353</v>
      </c>
      <c r="AB6008" t="s">
        <v>1293</v>
      </c>
      <c r="AG6008" t="s">
        <v>36354</v>
      </c>
      <c r="AH6008" t="s">
        <v>36355</v>
      </c>
      <c r="AI6008" t="s">
        <v>36356</v>
      </c>
    </row>
    <row r="6009" spans="2:35" ht="105">
      <c r="B6009" s="1">
        <v>45253</v>
      </c>
      <c r="C6009" s="4">
        <v>45253.376388888886</v>
      </c>
      <c r="D6009" t="s">
        <v>36357</v>
      </c>
      <c r="E6009" t="s">
        <v>36358</v>
      </c>
      <c r="F6009">
        <v>9</v>
      </c>
      <c r="G6009" t="s">
        <v>2903</v>
      </c>
      <c r="H6009" t="s">
        <v>39</v>
      </c>
      <c r="I6009" t="s">
        <v>94</v>
      </c>
      <c r="J6009" s="2" t="s">
        <v>36359</v>
      </c>
      <c r="K6009" t="s">
        <v>42</v>
      </c>
      <c r="L6009" t="s">
        <v>1257</v>
      </c>
      <c r="N6009" t="s">
        <v>1258</v>
      </c>
      <c r="O6009" t="s">
        <v>2199</v>
      </c>
      <c r="Q6009">
        <v>26542</v>
      </c>
      <c r="R6009" t="s">
        <v>45</v>
      </c>
      <c r="S6009" t="s">
        <v>36360</v>
      </c>
      <c r="T6009">
        <v>27</v>
      </c>
      <c r="U6009" s="2" t="s">
        <v>18559</v>
      </c>
      <c r="V6009" s="1">
        <v>45253</v>
      </c>
      <c r="W6009" t="s">
        <v>2384</v>
      </c>
      <c r="X6009">
        <v>838539</v>
      </c>
      <c r="Y6009" t="s">
        <v>301</v>
      </c>
      <c r="Z6009" t="s">
        <v>36361</v>
      </c>
      <c r="AA6009" t="s">
        <v>25079</v>
      </c>
      <c r="AB6009" t="s">
        <v>7411</v>
      </c>
      <c r="AC6009" t="s">
        <v>301</v>
      </c>
      <c r="AD6009" t="s">
        <v>54</v>
      </c>
      <c r="AE6009" t="s">
        <v>54</v>
      </c>
      <c r="AG6009" t="s">
        <v>36362</v>
      </c>
      <c r="AH6009" t="s">
        <v>36363</v>
      </c>
      <c r="AI6009" t="s">
        <v>36364</v>
      </c>
    </row>
    <row r="6010" spans="2:35" ht="165">
      <c r="B6010" s="1">
        <v>45253</v>
      </c>
      <c r="C6010" s="4">
        <v>45253.363888888889</v>
      </c>
      <c r="D6010" t="s">
        <v>26865</v>
      </c>
      <c r="E6010" t="s">
        <v>35851</v>
      </c>
      <c r="F6010">
        <v>3</v>
      </c>
      <c r="G6010" t="s">
        <v>1722</v>
      </c>
      <c r="H6010" t="s">
        <v>39</v>
      </c>
      <c r="I6010" t="s">
        <v>40</v>
      </c>
      <c r="J6010" s="2" t="s">
        <v>190</v>
      </c>
      <c r="K6010" t="s">
        <v>42</v>
      </c>
      <c r="L6010" t="s">
        <v>63</v>
      </c>
      <c r="N6010" t="s">
        <v>64</v>
      </c>
      <c r="Q6010">
        <v>26541</v>
      </c>
      <c r="R6010" t="s">
        <v>119</v>
      </c>
      <c r="S6010" t="s">
        <v>26867</v>
      </c>
      <c r="T6010">
        <v>25</v>
      </c>
      <c r="V6010" s="1">
        <v>45253</v>
      </c>
      <c r="W6010" t="s">
        <v>26915</v>
      </c>
      <c r="X6010">
        <v>831562</v>
      </c>
      <c r="Y6010" t="s">
        <v>26853</v>
      </c>
      <c r="Z6010" t="s">
        <v>36365</v>
      </c>
      <c r="AA6010" s="2" t="s">
        <v>1727</v>
      </c>
      <c r="AB6010" t="s">
        <v>70</v>
      </c>
      <c r="AC6010" t="s">
        <v>35852</v>
      </c>
      <c r="AD6010" t="s">
        <v>29263</v>
      </c>
      <c r="AE6010" t="s">
        <v>1716</v>
      </c>
      <c r="AG6010" t="s">
        <v>36366</v>
      </c>
      <c r="AH6010" t="s">
        <v>36367</v>
      </c>
      <c r="AI6010" t="s">
        <v>36368</v>
      </c>
    </row>
    <row r="6011" spans="2:35" ht="165">
      <c r="B6011" s="1">
        <v>45253</v>
      </c>
      <c r="C6011" s="4">
        <v>45253.338888888888</v>
      </c>
      <c r="D6011" t="s">
        <v>36369</v>
      </c>
      <c r="E6011" t="s">
        <v>36370</v>
      </c>
      <c r="F6011" t="s">
        <v>148</v>
      </c>
      <c r="G6011" t="s">
        <v>447</v>
      </c>
      <c r="H6011" t="s">
        <v>5452</v>
      </c>
      <c r="I6011" t="s">
        <v>40</v>
      </c>
      <c r="J6011" t="s">
        <v>79</v>
      </c>
      <c r="K6011" t="s">
        <v>42</v>
      </c>
      <c r="L6011" t="s">
        <v>448</v>
      </c>
      <c r="N6011" t="s">
        <v>650</v>
      </c>
      <c r="Q6011">
        <v>26540</v>
      </c>
      <c r="R6011" t="s">
        <v>95</v>
      </c>
      <c r="S6011" t="s">
        <v>81</v>
      </c>
      <c r="T6011">
        <v>28</v>
      </c>
      <c r="W6011" t="s">
        <v>36371</v>
      </c>
      <c r="X6011" t="s">
        <v>36372</v>
      </c>
      <c r="Y6011" t="s">
        <v>36373</v>
      </c>
      <c r="Z6011" s="2" t="s">
        <v>36374</v>
      </c>
      <c r="AA6011" t="s">
        <v>36375</v>
      </c>
      <c r="AB6011" t="s">
        <v>181</v>
      </c>
      <c r="AG6011" t="s">
        <v>36376</v>
      </c>
      <c r="AH6011" t="s">
        <v>80</v>
      </c>
      <c r="AI6011" t="s">
        <v>36377</v>
      </c>
    </row>
    <row r="6012" spans="2:35" ht="90">
      <c r="B6012" s="1">
        <v>45252</v>
      </c>
      <c r="C6012" s="4">
        <v>45252.7</v>
      </c>
      <c r="D6012" t="s">
        <v>13336</v>
      </c>
      <c r="E6012" t="s">
        <v>36378</v>
      </c>
      <c r="F6012" t="s">
        <v>148</v>
      </c>
      <c r="G6012" t="s">
        <v>447</v>
      </c>
      <c r="H6012" t="s">
        <v>5452</v>
      </c>
      <c r="I6012" t="s">
        <v>40</v>
      </c>
      <c r="J6012" t="s">
        <v>525</v>
      </c>
      <c r="K6012" t="s">
        <v>408</v>
      </c>
      <c r="L6012" t="s">
        <v>409</v>
      </c>
      <c r="N6012" t="s">
        <v>410</v>
      </c>
      <c r="P6012" t="s">
        <v>14861</v>
      </c>
      <c r="Q6012">
        <v>26539</v>
      </c>
      <c r="R6012" t="s">
        <v>95</v>
      </c>
      <c r="S6012" t="s">
        <v>36379</v>
      </c>
      <c r="T6012">
        <v>25</v>
      </c>
      <c r="W6012" t="s">
        <v>6540</v>
      </c>
      <c r="X6012" t="s">
        <v>15039</v>
      </c>
      <c r="Y6012" t="s">
        <v>36380</v>
      </c>
      <c r="Z6012" t="s">
        <v>301</v>
      </c>
      <c r="AA6012" s="2" t="s">
        <v>36381</v>
      </c>
      <c r="AB6012" t="s">
        <v>181</v>
      </c>
      <c r="AG6012" t="s">
        <v>36382</v>
      </c>
      <c r="AH6012" t="s">
        <v>36383</v>
      </c>
      <c r="AI6012" t="s">
        <v>36384</v>
      </c>
    </row>
    <row r="6013" spans="2:35" ht="60">
      <c r="B6013" s="1">
        <v>45252</v>
      </c>
      <c r="C6013" s="4">
        <v>45252.697916666664</v>
      </c>
      <c r="D6013" t="s">
        <v>13336</v>
      </c>
      <c r="E6013" t="s">
        <v>36378</v>
      </c>
      <c r="F6013" t="s">
        <v>148</v>
      </c>
      <c r="G6013" t="s">
        <v>447</v>
      </c>
      <c r="H6013" t="s">
        <v>5452</v>
      </c>
      <c r="I6013" t="s">
        <v>40</v>
      </c>
      <c r="J6013" s="2" t="s">
        <v>760</v>
      </c>
      <c r="K6013" t="s">
        <v>408</v>
      </c>
      <c r="L6013" t="s">
        <v>409</v>
      </c>
      <c r="N6013" t="s">
        <v>410</v>
      </c>
      <c r="P6013" t="s">
        <v>14861</v>
      </c>
      <c r="Q6013">
        <v>26538</v>
      </c>
      <c r="R6013" t="s">
        <v>95</v>
      </c>
      <c r="S6013" t="s">
        <v>410</v>
      </c>
      <c r="T6013">
        <v>25</v>
      </c>
      <c r="W6013" t="s">
        <v>6540</v>
      </c>
      <c r="X6013" t="s">
        <v>36385</v>
      </c>
      <c r="Y6013" t="s">
        <v>36386</v>
      </c>
      <c r="Z6013" t="s">
        <v>24177</v>
      </c>
      <c r="AA6013" t="s">
        <v>36387</v>
      </c>
      <c r="AB6013" t="s">
        <v>181</v>
      </c>
      <c r="AG6013" t="s">
        <v>36388</v>
      </c>
      <c r="AH6013" t="s">
        <v>36383</v>
      </c>
      <c r="AI6013" t="s">
        <v>36389</v>
      </c>
    </row>
    <row r="6014" spans="2:35" ht="90">
      <c r="B6014" s="1">
        <v>45252</v>
      </c>
      <c r="C6014" s="4">
        <v>45252.695833333331</v>
      </c>
      <c r="D6014" t="s">
        <v>13336</v>
      </c>
      <c r="E6014" t="s">
        <v>36378</v>
      </c>
      <c r="F6014" t="s">
        <v>148</v>
      </c>
      <c r="G6014" t="s">
        <v>447</v>
      </c>
      <c r="H6014" t="s">
        <v>5452</v>
      </c>
      <c r="I6014" t="s">
        <v>40</v>
      </c>
      <c r="J6014" t="s">
        <v>525</v>
      </c>
      <c r="K6014" t="s">
        <v>408</v>
      </c>
      <c r="L6014" t="s">
        <v>409</v>
      </c>
      <c r="N6014" t="s">
        <v>410</v>
      </c>
      <c r="P6014" t="s">
        <v>14861</v>
      </c>
      <c r="Q6014">
        <v>26537</v>
      </c>
      <c r="R6014" t="s">
        <v>95</v>
      </c>
      <c r="S6014" t="s">
        <v>410</v>
      </c>
      <c r="T6014">
        <v>25</v>
      </c>
      <c r="W6014" t="s">
        <v>6540</v>
      </c>
      <c r="X6014" t="s">
        <v>36390</v>
      </c>
      <c r="Y6014" t="s">
        <v>36386</v>
      </c>
      <c r="Z6014" t="s">
        <v>301</v>
      </c>
      <c r="AA6014" s="2" t="s">
        <v>36391</v>
      </c>
      <c r="AB6014" t="s">
        <v>36392</v>
      </c>
      <c r="AG6014" t="s">
        <v>36393</v>
      </c>
      <c r="AH6014" t="s">
        <v>36383</v>
      </c>
      <c r="AI6014" t="s">
        <v>36394</v>
      </c>
    </row>
    <row r="6015" spans="2:35" ht="90">
      <c r="B6015" s="1">
        <v>45252</v>
      </c>
      <c r="C6015" s="4">
        <v>45252.693749999999</v>
      </c>
      <c r="D6015" t="s">
        <v>13336</v>
      </c>
      <c r="E6015" t="s">
        <v>36378</v>
      </c>
      <c r="F6015" t="s">
        <v>148</v>
      </c>
      <c r="G6015" t="s">
        <v>447</v>
      </c>
      <c r="H6015" t="s">
        <v>5452</v>
      </c>
      <c r="I6015" t="s">
        <v>40</v>
      </c>
      <c r="J6015" t="s">
        <v>525</v>
      </c>
      <c r="K6015" t="s">
        <v>408</v>
      </c>
      <c r="L6015" t="s">
        <v>409</v>
      </c>
      <c r="N6015" t="s">
        <v>410</v>
      </c>
      <c r="P6015" t="s">
        <v>14861</v>
      </c>
      <c r="Q6015">
        <v>26536</v>
      </c>
      <c r="R6015" t="s">
        <v>95</v>
      </c>
      <c r="S6015" t="s">
        <v>410</v>
      </c>
      <c r="T6015">
        <v>25</v>
      </c>
      <c r="W6015" t="s">
        <v>6540</v>
      </c>
      <c r="X6015" t="s">
        <v>36395</v>
      </c>
      <c r="Y6015" t="s">
        <v>36386</v>
      </c>
      <c r="Z6015" t="s">
        <v>301</v>
      </c>
      <c r="AA6015" s="2" t="s">
        <v>36396</v>
      </c>
      <c r="AB6015" t="s">
        <v>36392</v>
      </c>
      <c r="AG6015" t="s">
        <v>36397</v>
      </c>
      <c r="AH6015" t="s">
        <v>36383</v>
      </c>
      <c r="AI6015" t="s">
        <v>36398</v>
      </c>
    </row>
    <row r="6016" spans="2:35" ht="105">
      <c r="B6016" s="1">
        <v>45252</v>
      </c>
      <c r="C6016" s="4">
        <v>45252.6</v>
      </c>
      <c r="D6016" t="s">
        <v>30853</v>
      </c>
      <c r="E6016" t="s">
        <v>18404</v>
      </c>
      <c r="F6016">
        <v>7</v>
      </c>
      <c r="G6016" t="s">
        <v>6529</v>
      </c>
      <c r="H6016" t="s">
        <v>39</v>
      </c>
      <c r="I6016" t="s">
        <v>40</v>
      </c>
      <c r="J6016" s="2" t="s">
        <v>1899</v>
      </c>
      <c r="K6016" t="s">
        <v>42</v>
      </c>
      <c r="L6016" t="s">
        <v>433</v>
      </c>
      <c r="N6016" t="s">
        <v>434</v>
      </c>
      <c r="Q6016">
        <v>26535</v>
      </c>
      <c r="R6016" t="s">
        <v>45</v>
      </c>
      <c r="S6016" t="s">
        <v>30507</v>
      </c>
      <c r="T6016">
        <v>28</v>
      </c>
      <c r="W6016" t="s">
        <v>1008</v>
      </c>
      <c r="X6016">
        <v>838878</v>
      </c>
      <c r="Y6016" t="s">
        <v>36399</v>
      </c>
      <c r="Z6016" t="s">
        <v>36400</v>
      </c>
      <c r="AA6016" t="s">
        <v>36400</v>
      </c>
      <c r="AB6016" t="s">
        <v>1011</v>
      </c>
      <c r="AG6016" t="s">
        <v>36401</v>
      </c>
      <c r="AH6016" t="s">
        <v>36402</v>
      </c>
      <c r="AI6016" t="s">
        <v>36403</v>
      </c>
    </row>
    <row r="6017" spans="2:35" ht="375">
      <c r="B6017" s="1">
        <v>45252</v>
      </c>
      <c r="C6017" s="4">
        <v>45252.609027777777</v>
      </c>
      <c r="D6017" t="s">
        <v>24517</v>
      </c>
      <c r="E6017" t="s">
        <v>36404</v>
      </c>
      <c r="F6017">
        <v>3</v>
      </c>
      <c r="G6017" t="s">
        <v>134</v>
      </c>
      <c r="H6017" t="s">
        <v>39</v>
      </c>
      <c r="I6017" t="s">
        <v>40</v>
      </c>
      <c r="J6017" t="s">
        <v>109</v>
      </c>
      <c r="K6017" t="s">
        <v>42</v>
      </c>
      <c r="L6017" t="s">
        <v>63</v>
      </c>
      <c r="N6017" t="s">
        <v>64</v>
      </c>
      <c r="Q6017">
        <v>26534</v>
      </c>
      <c r="R6017" t="s">
        <v>322</v>
      </c>
      <c r="S6017" t="s">
        <v>9328</v>
      </c>
      <c r="T6017">
        <v>27</v>
      </c>
      <c r="U6017" s="2" t="s">
        <v>36405</v>
      </c>
      <c r="V6017" s="1">
        <v>45252</v>
      </c>
      <c r="W6017" t="s">
        <v>26915</v>
      </c>
      <c r="X6017">
        <v>812571</v>
      </c>
      <c r="Y6017" t="s">
        <v>1716</v>
      </c>
      <c r="Z6017" t="s">
        <v>1716</v>
      </c>
      <c r="AA6017" s="2" t="s">
        <v>1727</v>
      </c>
      <c r="AB6017" t="s">
        <v>70</v>
      </c>
      <c r="AC6017" t="s">
        <v>1716</v>
      </c>
      <c r="AD6017" t="s">
        <v>1716</v>
      </c>
      <c r="AE6017" t="s">
        <v>1716</v>
      </c>
      <c r="AG6017" t="s">
        <v>36406</v>
      </c>
      <c r="AH6017" t="s">
        <v>14739</v>
      </c>
      <c r="AI6017" t="s">
        <v>36407</v>
      </c>
    </row>
    <row r="6018" spans="2:35" ht="165">
      <c r="B6018" s="1">
        <v>45252</v>
      </c>
      <c r="C6018" s="4">
        <v>45252.557638888888</v>
      </c>
      <c r="D6018" t="s">
        <v>36408</v>
      </c>
      <c r="E6018" t="s">
        <v>26588</v>
      </c>
      <c r="F6018">
        <v>3</v>
      </c>
      <c r="G6018" t="s">
        <v>134</v>
      </c>
      <c r="H6018" t="s">
        <v>39</v>
      </c>
      <c r="I6018" t="s">
        <v>40</v>
      </c>
      <c r="J6018" s="2" t="s">
        <v>31979</v>
      </c>
      <c r="K6018" t="s">
        <v>42</v>
      </c>
      <c r="L6018" t="s">
        <v>63</v>
      </c>
      <c r="N6018" t="s">
        <v>64</v>
      </c>
      <c r="Q6018">
        <v>26533</v>
      </c>
      <c r="R6018" t="s">
        <v>119</v>
      </c>
      <c r="S6018" t="s">
        <v>26589</v>
      </c>
      <c r="T6018">
        <v>27</v>
      </c>
      <c r="U6018" s="2" t="s">
        <v>9765</v>
      </c>
      <c r="V6018" s="1">
        <v>45252</v>
      </c>
      <c r="W6018" t="s">
        <v>26915</v>
      </c>
      <c r="X6018">
        <v>831877</v>
      </c>
      <c r="Y6018" t="s">
        <v>36409</v>
      </c>
      <c r="Z6018" t="s">
        <v>36410</v>
      </c>
      <c r="AA6018" s="2" t="s">
        <v>1727</v>
      </c>
      <c r="AB6018" t="s">
        <v>70</v>
      </c>
      <c r="AC6018" t="s">
        <v>34935</v>
      </c>
      <c r="AD6018" t="s">
        <v>1716</v>
      </c>
      <c r="AE6018" t="s">
        <v>1716</v>
      </c>
      <c r="AG6018" t="s">
        <v>36411</v>
      </c>
      <c r="AH6018" t="s">
        <v>26591</v>
      </c>
      <c r="AI6018" t="s">
        <v>36412</v>
      </c>
    </row>
    <row r="6019" spans="2:35" ht="165">
      <c r="B6019" s="1">
        <v>45252</v>
      </c>
      <c r="C6019" s="4">
        <v>45251.529861111114</v>
      </c>
      <c r="D6019" t="s">
        <v>36413</v>
      </c>
      <c r="E6019" t="s">
        <v>3616</v>
      </c>
      <c r="F6019">
        <v>3</v>
      </c>
      <c r="G6019" t="s">
        <v>174</v>
      </c>
      <c r="H6019" t="s">
        <v>39</v>
      </c>
      <c r="I6019" t="s">
        <v>40</v>
      </c>
      <c r="J6019" s="2" t="s">
        <v>31979</v>
      </c>
      <c r="K6019" t="s">
        <v>42</v>
      </c>
      <c r="L6019" t="s">
        <v>175</v>
      </c>
      <c r="N6019" t="s">
        <v>176</v>
      </c>
      <c r="Q6019">
        <v>26532</v>
      </c>
      <c r="R6019" t="s">
        <v>119</v>
      </c>
      <c r="S6019" t="s">
        <v>23152</v>
      </c>
      <c r="T6019">
        <v>27</v>
      </c>
      <c r="U6019" s="2" t="s">
        <v>14527</v>
      </c>
      <c r="W6019" t="s">
        <v>84</v>
      </c>
      <c r="X6019">
        <v>831641</v>
      </c>
      <c r="Y6019" t="s">
        <v>36414</v>
      </c>
      <c r="Z6019" t="e">
        <f ca="1">- checked _xludf.and cleaned cartridge bay, plunger rod, _xludf.filter, icore
- performed XpertCheck on A4
- generated reports</f>
        <v>#NAME?</v>
      </c>
      <c r="AA6019" t="s">
        <v>36415</v>
      </c>
      <c r="AB6019" s="2" t="s">
        <v>36416</v>
      </c>
      <c r="AG6019" t="s">
        <v>36417</v>
      </c>
      <c r="AH6019" t="s">
        <v>23156</v>
      </c>
      <c r="AI6019" t="s">
        <v>36418</v>
      </c>
    </row>
    <row r="6020" spans="2:35" ht="255">
      <c r="B6020" s="1">
        <v>45252</v>
      </c>
      <c r="C6020" s="4">
        <v>45252.409722222219</v>
      </c>
      <c r="D6020" t="s">
        <v>13817</v>
      </c>
      <c r="E6020" t="s">
        <v>28570</v>
      </c>
      <c r="F6020" t="s">
        <v>148</v>
      </c>
      <c r="G6020" t="s">
        <v>406</v>
      </c>
      <c r="H6020" t="s">
        <v>39</v>
      </c>
      <c r="I6020" t="s">
        <v>40</v>
      </c>
      <c r="J6020" s="2" t="s">
        <v>31979</v>
      </c>
      <c r="K6020" t="s">
        <v>42</v>
      </c>
      <c r="L6020" t="s">
        <v>43</v>
      </c>
      <c r="N6020" t="s">
        <v>44</v>
      </c>
      <c r="O6020" t="s">
        <v>1091</v>
      </c>
      <c r="Q6020">
        <v>26531</v>
      </c>
      <c r="R6020" t="s">
        <v>95</v>
      </c>
      <c r="S6020" t="s">
        <v>5690</v>
      </c>
      <c r="T6020">
        <v>24</v>
      </c>
      <c r="W6020" t="s">
        <v>11663</v>
      </c>
      <c r="X6020">
        <v>808411</v>
      </c>
      <c r="Y6020" t="s">
        <v>36419</v>
      </c>
      <c r="Z6020" t="s">
        <v>122</v>
      </c>
      <c r="AA6020" s="2" t="s">
        <v>36263</v>
      </c>
      <c r="AB6020" t="s">
        <v>36420</v>
      </c>
      <c r="AG6020" t="s">
        <v>36421</v>
      </c>
      <c r="AH6020" t="s">
        <v>31578</v>
      </c>
      <c r="AI6020" t="s">
        <v>36422</v>
      </c>
    </row>
    <row r="6021" spans="2:35" ht="255">
      <c r="B6021" s="1">
        <v>45252</v>
      </c>
      <c r="C6021" s="4">
        <v>45252.411805555559</v>
      </c>
      <c r="D6021" t="s">
        <v>13817</v>
      </c>
      <c r="E6021" t="s">
        <v>28570</v>
      </c>
      <c r="F6021" t="s">
        <v>148</v>
      </c>
      <c r="G6021" t="s">
        <v>406</v>
      </c>
      <c r="H6021" t="s">
        <v>39</v>
      </c>
      <c r="I6021" t="s">
        <v>40</v>
      </c>
      <c r="J6021" s="2" t="s">
        <v>31979</v>
      </c>
      <c r="K6021" t="s">
        <v>42</v>
      </c>
      <c r="L6021" t="s">
        <v>43</v>
      </c>
      <c r="N6021" t="s">
        <v>44</v>
      </c>
      <c r="O6021" t="s">
        <v>1091</v>
      </c>
      <c r="Q6021">
        <v>26530</v>
      </c>
      <c r="R6021" t="s">
        <v>95</v>
      </c>
      <c r="S6021" t="s">
        <v>5690</v>
      </c>
      <c r="T6021">
        <v>24</v>
      </c>
      <c r="W6021" t="s">
        <v>11663</v>
      </c>
      <c r="X6021">
        <v>839231</v>
      </c>
      <c r="Y6021" t="s">
        <v>36423</v>
      </c>
      <c r="Z6021" t="s">
        <v>122</v>
      </c>
      <c r="AA6021" s="2" t="s">
        <v>36424</v>
      </c>
      <c r="AB6021" t="s">
        <v>36425</v>
      </c>
      <c r="AG6021" t="s">
        <v>36426</v>
      </c>
      <c r="AH6021" t="s">
        <v>31578</v>
      </c>
      <c r="AI6021" t="s">
        <v>36427</v>
      </c>
    </row>
    <row r="6022" spans="2:35" ht="120">
      <c r="B6022" s="1">
        <v>45252</v>
      </c>
      <c r="C6022" s="4">
        <v>45252.459027777775</v>
      </c>
      <c r="D6022" t="s">
        <v>36428</v>
      </c>
      <c r="E6022" t="s">
        <v>36429</v>
      </c>
      <c r="F6022">
        <v>9</v>
      </c>
      <c r="G6022" t="s">
        <v>2197</v>
      </c>
      <c r="H6022" t="s">
        <v>39</v>
      </c>
      <c r="I6022" t="s">
        <v>94</v>
      </c>
      <c r="J6022" s="2" t="s">
        <v>32477</v>
      </c>
      <c r="K6022" t="s">
        <v>42</v>
      </c>
      <c r="L6022" t="s">
        <v>1257</v>
      </c>
      <c r="N6022" t="s">
        <v>1258</v>
      </c>
      <c r="O6022" t="s">
        <v>36430</v>
      </c>
      <c r="Q6022">
        <v>26529</v>
      </c>
      <c r="R6022" t="s">
        <v>45</v>
      </c>
      <c r="S6022" t="s">
        <v>34211</v>
      </c>
      <c r="T6022">
        <v>28</v>
      </c>
      <c r="U6022" s="2" t="s">
        <v>36431</v>
      </c>
      <c r="V6022" s="1">
        <v>48905</v>
      </c>
      <c r="W6022" t="s">
        <v>2384</v>
      </c>
      <c r="X6022">
        <v>834435</v>
      </c>
      <c r="Y6022" t="s">
        <v>36432</v>
      </c>
      <c r="Z6022" t="s">
        <v>36433</v>
      </c>
      <c r="AA6022" t="s">
        <v>36434</v>
      </c>
      <c r="AB6022" t="s">
        <v>36435</v>
      </c>
      <c r="AC6022" t="s">
        <v>301</v>
      </c>
      <c r="AD6022" t="s">
        <v>54</v>
      </c>
      <c r="AE6022" t="s">
        <v>54</v>
      </c>
      <c r="AG6022" t="s">
        <v>36436</v>
      </c>
      <c r="AH6022" t="s">
        <v>36437</v>
      </c>
      <c r="AI6022" t="s">
        <v>36438</v>
      </c>
    </row>
    <row r="6023" spans="2:35" ht="165">
      <c r="B6023" s="1">
        <v>45252</v>
      </c>
      <c r="C6023" s="4">
        <v>45252.378472222219</v>
      </c>
      <c r="D6023" t="s">
        <v>36439</v>
      </c>
      <c r="E6023" t="s">
        <v>36440</v>
      </c>
      <c r="F6023" t="s">
        <v>148</v>
      </c>
      <c r="G6023" t="s">
        <v>447</v>
      </c>
      <c r="H6023" t="s">
        <v>39</v>
      </c>
      <c r="I6023" t="s">
        <v>40</v>
      </c>
      <c r="J6023" s="2" t="s">
        <v>41</v>
      </c>
      <c r="K6023" t="s">
        <v>42</v>
      </c>
      <c r="L6023" t="s">
        <v>15532</v>
      </c>
      <c r="N6023" t="s">
        <v>15533</v>
      </c>
      <c r="O6023" t="s">
        <v>36441</v>
      </c>
      <c r="Q6023">
        <v>26528</v>
      </c>
      <c r="R6023" t="s">
        <v>322</v>
      </c>
      <c r="S6023" t="s">
        <v>36442</v>
      </c>
      <c r="T6023">
        <v>28</v>
      </c>
      <c r="U6023" s="2" t="s">
        <v>36443</v>
      </c>
      <c r="W6023" t="s">
        <v>2766</v>
      </c>
      <c r="X6023">
        <v>120000140</v>
      </c>
      <c r="Y6023" t="s">
        <v>36444</v>
      </c>
      <c r="Z6023" s="2" t="s">
        <v>36445</v>
      </c>
      <c r="AA6023" t="s">
        <v>36446</v>
      </c>
      <c r="AB6023" s="2" t="s">
        <v>15539</v>
      </c>
      <c r="AG6023" t="s">
        <v>36447</v>
      </c>
      <c r="AH6023" t="s">
        <v>36448</v>
      </c>
      <c r="AI6023" t="s">
        <v>36449</v>
      </c>
    </row>
    <row r="6024" spans="2:35" ht="360">
      <c r="B6024" s="1">
        <v>45251</v>
      </c>
      <c r="C6024" s="4">
        <v>45251.67291666667</v>
      </c>
      <c r="D6024" t="s">
        <v>36450</v>
      </c>
      <c r="E6024" t="s">
        <v>36451</v>
      </c>
      <c r="F6024">
        <v>11</v>
      </c>
      <c r="G6024" t="s">
        <v>1205</v>
      </c>
      <c r="H6024" t="s">
        <v>202</v>
      </c>
      <c r="I6024" t="s">
        <v>94</v>
      </c>
      <c r="J6024" s="2" t="s">
        <v>760</v>
      </c>
      <c r="K6024" t="s">
        <v>42</v>
      </c>
      <c r="L6024" t="s">
        <v>204</v>
      </c>
      <c r="N6024" t="s">
        <v>205</v>
      </c>
      <c r="Q6024">
        <v>26527</v>
      </c>
      <c r="R6024" t="s">
        <v>45</v>
      </c>
      <c r="S6024" t="s">
        <v>36452</v>
      </c>
      <c r="T6024">
        <v>27.5</v>
      </c>
      <c r="W6024" t="s">
        <v>23237</v>
      </c>
      <c r="X6024">
        <v>815390</v>
      </c>
      <c r="Y6024" s="2" t="s">
        <v>36453</v>
      </c>
      <c r="Z6024" s="2" t="s">
        <v>36454</v>
      </c>
      <c r="AA6024" s="2" t="s">
        <v>36455</v>
      </c>
      <c r="AB6024" t="s">
        <v>36456</v>
      </c>
      <c r="AG6024" t="s">
        <v>36457</v>
      </c>
      <c r="AH6024" t="s">
        <v>36458</v>
      </c>
      <c r="AI6024" t="s">
        <v>36459</v>
      </c>
    </row>
    <row r="6025" spans="2:35" ht="285">
      <c r="B6025" s="1">
        <v>45251</v>
      </c>
      <c r="C6025" s="4">
        <v>45251.646527777775</v>
      </c>
      <c r="D6025" t="s">
        <v>10967</v>
      </c>
      <c r="E6025" t="s">
        <v>14481</v>
      </c>
      <c r="F6025">
        <v>7</v>
      </c>
      <c r="G6025" t="s">
        <v>432</v>
      </c>
      <c r="H6025" t="s">
        <v>10969</v>
      </c>
      <c r="I6025" t="s">
        <v>40</v>
      </c>
      <c r="J6025" t="s">
        <v>109</v>
      </c>
      <c r="K6025" t="s">
        <v>42</v>
      </c>
      <c r="L6025" t="s">
        <v>1288</v>
      </c>
      <c r="N6025" t="s">
        <v>1289</v>
      </c>
      <c r="Q6025">
        <v>26526</v>
      </c>
      <c r="R6025" t="s">
        <v>119</v>
      </c>
      <c r="S6025" t="s">
        <v>33292</v>
      </c>
      <c r="T6025">
        <v>29</v>
      </c>
      <c r="U6025" s="2" t="s">
        <v>36460</v>
      </c>
      <c r="W6025" t="s">
        <v>1292</v>
      </c>
      <c r="X6025">
        <v>838508</v>
      </c>
      <c r="Y6025" t="s">
        <v>9143</v>
      </c>
      <c r="Z6025" t="e">
        <f ca="1">-COLLECT IQR, system _xludf.Log, _xludf.and ARCHIVE</f>
        <v>#NAME?</v>
      </c>
      <c r="AA6025" t="e">
        <f ca="1">-PERFORM Cleaning of GX EQUIPMENT
-PERFORM Preventive Maintenance</f>
        <v>#NAME?</v>
      </c>
      <c r="AB6025" t="s">
        <v>1293</v>
      </c>
      <c r="AG6025" t="s">
        <v>36461</v>
      </c>
      <c r="AH6025" t="s">
        <v>507</v>
      </c>
      <c r="AI6025" t="s">
        <v>36462</v>
      </c>
    </row>
    <row r="6026" spans="2:35" ht="135">
      <c r="B6026" s="1">
        <v>45251</v>
      </c>
      <c r="C6026" s="4">
        <v>45251.623611111114</v>
      </c>
      <c r="D6026" t="s">
        <v>13336</v>
      </c>
      <c r="E6026" t="s">
        <v>36463</v>
      </c>
      <c r="F6026" t="s">
        <v>148</v>
      </c>
      <c r="G6026" t="s">
        <v>447</v>
      </c>
      <c r="H6026" t="s">
        <v>5452</v>
      </c>
      <c r="I6026" t="s">
        <v>40</v>
      </c>
      <c r="J6026" t="s">
        <v>79</v>
      </c>
      <c r="K6026" t="s">
        <v>42</v>
      </c>
      <c r="L6026" t="s">
        <v>448</v>
      </c>
      <c r="N6026" t="s">
        <v>450</v>
      </c>
      <c r="Q6026">
        <v>26525</v>
      </c>
      <c r="R6026" t="s">
        <v>322</v>
      </c>
      <c r="S6026" t="s">
        <v>81</v>
      </c>
      <c r="T6026">
        <v>24</v>
      </c>
      <c r="W6026" t="s">
        <v>36464</v>
      </c>
      <c r="X6026" t="s">
        <v>36465</v>
      </c>
      <c r="Y6026" t="s">
        <v>36373</v>
      </c>
      <c r="Z6026" s="2" t="s">
        <v>36466</v>
      </c>
      <c r="AA6026" t="s">
        <v>36375</v>
      </c>
      <c r="AB6026" t="s">
        <v>88</v>
      </c>
      <c r="AG6026" t="s">
        <v>36467</v>
      </c>
      <c r="AH6026" t="s">
        <v>80</v>
      </c>
      <c r="AI6026" t="s">
        <v>36468</v>
      </c>
    </row>
    <row r="6027" spans="2:35" ht="135">
      <c r="B6027" s="1">
        <v>45251</v>
      </c>
      <c r="C6027" s="4">
        <v>45251.621527777781</v>
      </c>
      <c r="D6027" t="s">
        <v>13336</v>
      </c>
      <c r="E6027" t="s">
        <v>36463</v>
      </c>
      <c r="F6027" t="s">
        <v>148</v>
      </c>
      <c r="G6027" t="s">
        <v>447</v>
      </c>
      <c r="H6027" t="s">
        <v>5452</v>
      </c>
      <c r="I6027" t="s">
        <v>40</v>
      </c>
      <c r="J6027" t="s">
        <v>79</v>
      </c>
      <c r="K6027" t="s">
        <v>42</v>
      </c>
      <c r="L6027" t="s">
        <v>448</v>
      </c>
      <c r="N6027" t="s">
        <v>450</v>
      </c>
      <c r="Q6027">
        <v>26524</v>
      </c>
      <c r="R6027" t="s">
        <v>322</v>
      </c>
      <c r="S6027" t="s">
        <v>81</v>
      </c>
      <c r="T6027">
        <v>24</v>
      </c>
      <c r="W6027" t="s">
        <v>22219</v>
      </c>
      <c r="X6027" t="s">
        <v>36469</v>
      </c>
      <c r="Y6027" t="s">
        <v>36373</v>
      </c>
      <c r="Z6027" s="2" t="s">
        <v>36466</v>
      </c>
      <c r="AA6027" t="s">
        <v>36375</v>
      </c>
      <c r="AB6027" t="s">
        <v>88</v>
      </c>
      <c r="AG6027" t="s">
        <v>36470</v>
      </c>
      <c r="AH6027" t="s">
        <v>80</v>
      </c>
      <c r="AI6027" t="s">
        <v>36471</v>
      </c>
    </row>
    <row r="6028" spans="2:35" ht="135">
      <c r="B6028" s="1">
        <v>45251</v>
      </c>
      <c r="C6028" s="4">
        <v>45251.618055555555</v>
      </c>
      <c r="D6028" t="s">
        <v>13336</v>
      </c>
      <c r="E6028" t="s">
        <v>36472</v>
      </c>
      <c r="F6028" t="s">
        <v>148</v>
      </c>
      <c r="G6028" t="s">
        <v>447</v>
      </c>
      <c r="H6028" t="s">
        <v>5452</v>
      </c>
      <c r="I6028" t="s">
        <v>40</v>
      </c>
      <c r="J6028" t="s">
        <v>79</v>
      </c>
      <c r="K6028" t="s">
        <v>42</v>
      </c>
      <c r="L6028" t="s">
        <v>448</v>
      </c>
      <c r="N6028" t="s">
        <v>450</v>
      </c>
      <c r="Q6028">
        <v>26523</v>
      </c>
      <c r="R6028" t="s">
        <v>322</v>
      </c>
      <c r="S6028" t="s">
        <v>81</v>
      </c>
      <c r="T6028">
        <v>24</v>
      </c>
      <c r="W6028" t="s">
        <v>36464</v>
      </c>
      <c r="X6028" t="s">
        <v>36372</v>
      </c>
      <c r="Y6028" t="s">
        <v>36373</v>
      </c>
      <c r="Z6028" s="2" t="s">
        <v>36473</v>
      </c>
      <c r="AA6028" t="s">
        <v>36375</v>
      </c>
      <c r="AB6028" t="s">
        <v>88</v>
      </c>
      <c r="AG6028" t="s">
        <v>36474</v>
      </c>
      <c r="AH6028" t="s">
        <v>80</v>
      </c>
      <c r="AI6028" t="s">
        <v>36475</v>
      </c>
    </row>
    <row r="6029" spans="2:35" ht="240">
      <c r="B6029" s="1">
        <v>45251</v>
      </c>
      <c r="C6029" s="4">
        <v>45251.602083333331</v>
      </c>
      <c r="D6029" t="s">
        <v>25607</v>
      </c>
      <c r="E6029" t="s">
        <v>30628</v>
      </c>
      <c r="F6029">
        <v>3</v>
      </c>
      <c r="G6029" t="s">
        <v>134</v>
      </c>
      <c r="H6029" t="s">
        <v>39</v>
      </c>
      <c r="I6029" t="s">
        <v>40</v>
      </c>
      <c r="J6029" s="2" t="s">
        <v>1592</v>
      </c>
      <c r="K6029" t="s">
        <v>42</v>
      </c>
      <c r="L6029" t="s">
        <v>135</v>
      </c>
      <c r="N6029" t="s">
        <v>136</v>
      </c>
      <c r="Q6029">
        <v>26522</v>
      </c>
      <c r="R6029" t="s">
        <v>45</v>
      </c>
      <c r="S6029" t="s">
        <v>25609</v>
      </c>
      <c r="T6029">
        <v>27</v>
      </c>
      <c r="U6029" s="2" t="s">
        <v>36476</v>
      </c>
      <c r="W6029" t="s">
        <v>2680</v>
      </c>
      <c r="X6029">
        <v>834688</v>
      </c>
      <c r="Y6029" t="s">
        <v>36477</v>
      </c>
      <c r="Z6029" s="2" t="s">
        <v>36478</v>
      </c>
      <c r="AA6029" s="2" t="s">
        <v>36479</v>
      </c>
      <c r="AB6029" t="s">
        <v>181</v>
      </c>
      <c r="AC6029" t="s">
        <v>36480</v>
      </c>
      <c r="AG6029" t="s">
        <v>36481</v>
      </c>
      <c r="AH6029" t="s">
        <v>36482</v>
      </c>
      <c r="AI6029" t="s">
        <v>36483</v>
      </c>
    </row>
    <row r="6030" spans="2:35" ht="409.5">
      <c r="B6030" s="1">
        <v>45251</v>
      </c>
      <c r="C6030" s="4">
        <v>45251.520138888889</v>
      </c>
      <c r="D6030" t="s">
        <v>2677</v>
      </c>
      <c r="E6030" t="s">
        <v>2678</v>
      </c>
      <c r="F6030">
        <v>3</v>
      </c>
      <c r="G6030" t="s">
        <v>134</v>
      </c>
      <c r="H6030" t="s">
        <v>39</v>
      </c>
      <c r="I6030" t="s">
        <v>40</v>
      </c>
      <c r="J6030" s="2" t="s">
        <v>62</v>
      </c>
      <c r="K6030" t="s">
        <v>42</v>
      </c>
      <c r="L6030" t="s">
        <v>135</v>
      </c>
      <c r="N6030" t="s">
        <v>136</v>
      </c>
      <c r="Q6030">
        <v>26521</v>
      </c>
      <c r="R6030" t="s">
        <v>45</v>
      </c>
      <c r="S6030" t="s">
        <v>2679</v>
      </c>
      <c r="T6030">
        <v>28</v>
      </c>
      <c r="U6030" s="2" t="s">
        <v>10033</v>
      </c>
      <c r="W6030" t="s">
        <v>2680</v>
      </c>
      <c r="X6030">
        <v>812834</v>
      </c>
      <c r="Y6030" t="s">
        <v>1751</v>
      </c>
      <c r="Z6030" s="2" t="s">
        <v>29789</v>
      </c>
      <c r="AA6030" s="2" t="s">
        <v>31375</v>
      </c>
      <c r="AB6030" t="s">
        <v>9590</v>
      </c>
      <c r="AC6030" t="s">
        <v>34421</v>
      </c>
      <c r="AG6030" t="s">
        <v>36484</v>
      </c>
      <c r="AH6030" t="s">
        <v>36485</v>
      </c>
      <c r="AI6030" t="s">
        <v>36486</v>
      </c>
    </row>
    <row r="6031" spans="2:35" ht="90">
      <c r="B6031" s="1">
        <v>45251</v>
      </c>
      <c r="C6031" s="4">
        <v>45251.439583333333</v>
      </c>
      <c r="D6031" t="s">
        <v>8684</v>
      </c>
      <c r="E6031" t="s">
        <v>36487</v>
      </c>
      <c r="F6031">
        <v>13</v>
      </c>
      <c r="G6031" t="s">
        <v>931</v>
      </c>
      <c r="H6031" t="s">
        <v>2125</v>
      </c>
      <c r="I6031" t="s">
        <v>40</v>
      </c>
      <c r="J6031" s="2" t="s">
        <v>355</v>
      </c>
      <c r="K6031" t="s">
        <v>42</v>
      </c>
      <c r="L6031" t="s">
        <v>933</v>
      </c>
      <c r="N6031" t="s">
        <v>934</v>
      </c>
      <c r="Q6031">
        <v>26520</v>
      </c>
      <c r="R6031" t="s">
        <v>45</v>
      </c>
      <c r="S6031" t="s">
        <v>36488</v>
      </c>
      <c r="T6031">
        <v>30</v>
      </c>
      <c r="W6031" t="s">
        <v>23146</v>
      </c>
      <c r="X6031">
        <v>834833</v>
      </c>
      <c r="Y6031" t="s">
        <v>36489</v>
      </c>
      <c r="Z6031" t="s">
        <v>301</v>
      </c>
      <c r="AA6031" t="s">
        <v>4487</v>
      </c>
      <c r="AB6031" t="s">
        <v>36490</v>
      </c>
      <c r="AC6031" t="s">
        <v>36491</v>
      </c>
      <c r="AG6031" t="s">
        <v>36492</v>
      </c>
      <c r="AH6031" t="s">
        <v>36493</v>
      </c>
      <c r="AI6031" t="s">
        <v>36494</v>
      </c>
    </row>
    <row r="6032" spans="2:35" ht="409.5">
      <c r="B6032" s="1">
        <v>45251</v>
      </c>
      <c r="C6032" s="4">
        <v>45251.428472222222</v>
      </c>
      <c r="D6032" t="s">
        <v>8684</v>
      </c>
      <c r="E6032" t="s">
        <v>36495</v>
      </c>
      <c r="F6032">
        <v>3</v>
      </c>
      <c r="G6032" t="s">
        <v>284</v>
      </c>
      <c r="H6032" t="s">
        <v>39</v>
      </c>
      <c r="I6032" t="s">
        <v>40</v>
      </c>
      <c r="J6032" s="2" t="s">
        <v>62</v>
      </c>
      <c r="K6032" t="s">
        <v>42</v>
      </c>
      <c r="L6032" t="s">
        <v>135</v>
      </c>
      <c r="N6032" t="s">
        <v>136</v>
      </c>
      <c r="Q6032">
        <v>26519</v>
      </c>
      <c r="R6032" t="s">
        <v>119</v>
      </c>
      <c r="S6032" t="s">
        <v>27513</v>
      </c>
      <c r="T6032">
        <v>26</v>
      </c>
      <c r="U6032" s="2" t="s">
        <v>18086</v>
      </c>
      <c r="W6032" t="s">
        <v>2680</v>
      </c>
      <c r="X6032">
        <v>831613</v>
      </c>
      <c r="Y6032" t="s">
        <v>36496</v>
      </c>
      <c r="Z6032" s="2" t="s">
        <v>29789</v>
      </c>
      <c r="AA6032" s="2" t="s">
        <v>31375</v>
      </c>
      <c r="AB6032" t="s">
        <v>181</v>
      </c>
      <c r="AC6032" t="s">
        <v>33658</v>
      </c>
      <c r="AG6032" t="s">
        <v>36497</v>
      </c>
      <c r="AH6032" t="s">
        <v>33660</v>
      </c>
      <c r="AI6032" t="s">
        <v>36498</v>
      </c>
    </row>
    <row r="6033" spans="2:35" ht="180">
      <c r="B6033" s="1">
        <v>45251</v>
      </c>
      <c r="C6033" s="4">
        <v>45251.361111111109</v>
      </c>
      <c r="D6033" t="s">
        <v>8654</v>
      </c>
      <c r="E6033" t="s">
        <v>8655</v>
      </c>
      <c r="F6033">
        <v>8</v>
      </c>
      <c r="G6033" t="s">
        <v>257</v>
      </c>
      <c r="H6033" t="s">
        <v>36499</v>
      </c>
      <c r="I6033" t="s">
        <v>40</v>
      </c>
      <c r="J6033" t="s">
        <v>109</v>
      </c>
      <c r="K6033" t="s">
        <v>42</v>
      </c>
      <c r="L6033" t="s">
        <v>259</v>
      </c>
      <c r="N6033" t="s">
        <v>260</v>
      </c>
      <c r="O6033" t="s">
        <v>260</v>
      </c>
      <c r="Q6033">
        <v>26518</v>
      </c>
      <c r="R6033" t="s">
        <v>119</v>
      </c>
      <c r="S6033" t="s">
        <v>8656</v>
      </c>
      <c r="T6033">
        <v>25</v>
      </c>
      <c r="U6033" s="2" t="s">
        <v>20174</v>
      </c>
      <c r="V6033" s="1">
        <v>45251</v>
      </c>
      <c r="W6033" t="s">
        <v>84</v>
      </c>
      <c r="X6033">
        <v>838409</v>
      </c>
      <c r="Y6033" t="s">
        <v>1716</v>
      </c>
      <c r="Z6033" t="s">
        <v>1716</v>
      </c>
      <c r="AA6033" t="e">
        <f ca="1">- Preventive Maintenance
- ARCHIVE Data</f>
        <v>#NAME?</v>
      </c>
      <c r="AB6033" s="2" t="s">
        <v>36500</v>
      </c>
      <c r="AG6033" t="s">
        <v>36501</v>
      </c>
      <c r="AH6033" t="s">
        <v>36502</v>
      </c>
      <c r="AI6033" t="s">
        <v>36503</v>
      </c>
    </row>
    <row r="6034" spans="2:35" ht="409.5">
      <c r="B6034" s="1">
        <v>45250</v>
      </c>
      <c r="C6034" s="4">
        <v>45250.48333333333</v>
      </c>
      <c r="D6034" t="s">
        <v>1533</v>
      </c>
      <c r="E6034" t="s">
        <v>1534</v>
      </c>
      <c r="F6034">
        <v>8</v>
      </c>
      <c r="G6034" t="s">
        <v>630</v>
      </c>
      <c r="H6034" t="s">
        <v>36499</v>
      </c>
      <c r="I6034" t="s">
        <v>40</v>
      </c>
      <c r="J6034" s="2" t="s">
        <v>30202</v>
      </c>
      <c r="K6034" t="s">
        <v>42</v>
      </c>
      <c r="L6034" t="s">
        <v>259</v>
      </c>
      <c r="N6034" t="s">
        <v>260</v>
      </c>
      <c r="Q6034">
        <v>26517</v>
      </c>
      <c r="R6034" t="s">
        <v>45</v>
      </c>
      <c r="S6034" t="s">
        <v>35590</v>
      </c>
      <c r="T6034">
        <v>31</v>
      </c>
      <c r="U6034" s="2" t="s">
        <v>36504</v>
      </c>
      <c r="V6034" s="1">
        <v>45250</v>
      </c>
      <c r="W6034" t="s">
        <v>84</v>
      </c>
      <c r="X6034">
        <v>804256</v>
      </c>
      <c r="Y6034" t="s">
        <v>36505</v>
      </c>
      <c r="Z6034" t="e">
        <f ca="1">- module Replacement
- Preventive Maintenance</f>
        <v>#NAME?</v>
      </c>
      <c r="AA6034" s="2" t="s">
        <v>36506</v>
      </c>
      <c r="AB6034" t="e">
        <f ca="1">- Unit is operational
- Room air condition _xludf.not working (machine _xludf.received High ambient temperature)</f>
        <v>#NAME?</v>
      </c>
      <c r="AD6034" t="s">
        <v>36507</v>
      </c>
      <c r="AE6034" t="s">
        <v>45</v>
      </c>
      <c r="AG6034" t="s">
        <v>36508</v>
      </c>
      <c r="AH6034" t="s">
        <v>36509</v>
      </c>
      <c r="AI6034" t="s">
        <v>36510</v>
      </c>
    </row>
    <row r="6035" spans="2:35" ht="180">
      <c r="B6035" s="1">
        <v>45250</v>
      </c>
      <c r="C6035" s="4">
        <v>45246.491666666669</v>
      </c>
      <c r="D6035" t="s">
        <v>772</v>
      </c>
      <c r="E6035" t="s">
        <v>36511</v>
      </c>
      <c r="F6035" t="s">
        <v>148</v>
      </c>
      <c r="G6035" t="s">
        <v>774</v>
      </c>
      <c r="H6035" t="s">
        <v>39</v>
      </c>
      <c r="I6035" t="s">
        <v>40</v>
      </c>
      <c r="J6035" s="2" t="s">
        <v>41</v>
      </c>
      <c r="K6035" t="s">
        <v>42</v>
      </c>
      <c r="L6035" t="s">
        <v>1028</v>
      </c>
      <c r="N6035" t="s">
        <v>1029</v>
      </c>
      <c r="Q6035">
        <v>26516</v>
      </c>
      <c r="R6035" t="s">
        <v>119</v>
      </c>
      <c r="S6035" t="s">
        <v>775</v>
      </c>
      <c r="T6035">
        <v>25</v>
      </c>
      <c r="U6035" s="2" t="s">
        <v>36512</v>
      </c>
      <c r="W6035" t="s">
        <v>2680</v>
      </c>
      <c r="X6035">
        <v>831913</v>
      </c>
      <c r="Y6035" t="s">
        <v>29466</v>
      </c>
      <c r="Z6035" t="s">
        <v>9749</v>
      </c>
      <c r="AA6035" s="2" t="s">
        <v>36513</v>
      </c>
      <c r="AB6035" t="s">
        <v>36514</v>
      </c>
      <c r="AG6035" t="s">
        <v>36515</v>
      </c>
      <c r="AH6035" t="s">
        <v>781</v>
      </c>
      <c r="AI6035" t="s">
        <v>36516</v>
      </c>
    </row>
    <row r="6036" spans="2:35" ht="409.5">
      <c r="B6036" s="1">
        <v>45250</v>
      </c>
      <c r="C6036" s="4">
        <v>45246.421527777777</v>
      </c>
      <c r="D6036" t="s">
        <v>1026</v>
      </c>
      <c r="E6036" t="s">
        <v>36517</v>
      </c>
      <c r="F6036" t="s">
        <v>148</v>
      </c>
      <c r="G6036" t="s">
        <v>774</v>
      </c>
      <c r="H6036" t="s">
        <v>662</v>
      </c>
      <c r="I6036" t="s">
        <v>40</v>
      </c>
      <c r="J6036" t="s">
        <v>109</v>
      </c>
      <c r="K6036" t="s">
        <v>42</v>
      </c>
      <c r="L6036" t="s">
        <v>1028</v>
      </c>
      <c r="N6036" t="s">
        <v>1029</v>
      </c>
      <c r="Q6036">
        <v>26515</v>
      </c>
      <c r="R6036" t="s">
        <v>95</v>
      </c>
      <c r="S6036" t="s">
        <v>1030</v>
      </c>
      <c r="T6036">
        <v>25</v>
      </c>
      <c r="U6036" s="2" t="s">
        <v>36518</v>
      </c>
      <c r="W6036" t="s">
        <v>2680</v>
      </c>
      <c r="X6036">
        <v>110014996</v>
      </c>
      <c r="Y6036" t="s">
        <v>3127</v>
      </c>
      <c r="Z6036" t="s">
        <v>3128</v>
      </c>
      <c r="AA6036" s="2" t="s">
        <v>36519</v>
      </c>
      <c r="AB6036" t="s">
        <v>3063</v>
      </c>
      <c r="AG6036" t="s">
        <v>36520</v>
      </c>
      <c r="AH6036" t="s">
        <v>36521</v>
      </c>
      <c r="AI6036" t="s">
        <v>36522</v>
      </c>
    </row>
    <row r="6037" spans="2:35" ht="210">
      <c r="B6037" s="1">
        <v>45250</v>
      </c>
      <c r="C6037" s="4">
        <v>45245.478472222225</v>
      </c>
      <c r="D6037" t="s">
        <v>6619</v>
      </c>
      <c r="E6037" t="s">
        <v>9009</v>
      </c>
      <c r="F6037" t="s">
        <v>37</v>
      </c>
      <c r="G6037" t="s">
        <v>748</v>
      </c>
      <c r="H6037" t="s">
        <v>39</v>
      </c>
      <c r="I6037" t="s">
        <v>40</v>
      </c>
      <c r="J6037" s="2" t="s">
        <v>41</v>
      </c>
      <c r="K6037" t="s">
        <v>42</v>
      </c>
      <c r="L6037" t="s">
        <v>1028</v>
      </c>
      <c r="N6037" t="s">
        <v>1029</v>
      </c>
      <c r="Q6037">
        <v>26514</v>
      </c>
      <c r="R6037" t="s">
        <v>119</v>
      </c>
      <c r="S6037" t="s">
        <v>5176</v>
      </c>
      <c r="T6037">
        <v>27</v>
      </c>
      <c r="V6037" s="1">
        <v>45236</v>
      </c>
      <c r="W6037" t="s">
        <v>2680</v>
      </c>
      <c r="X6037">
        <v>838535</v>
      </c>
      <c r="Y6037" t="s">
        <v>35463</v>
      </c>
      <c r="Z6037" t="s">
        <v>36523</v>
      </c>
      <c r="AA6037" s="2" t="s">
        <v>36524</v>
      </c>
      <c r="AB6037" t="s">
        <v>3063</v>
      </c>
      <c r="AD6037" t="s">
        <v>27298</v>
      </c>
      <c r="AE6037">
        <v>10796</v>
      </c>
      <c r="AG6037" t="s">
        <v>36525</v>
      </c>
      <c r="AH6037" t="s">
        <v>5181</v>
      </c>
      <c r="AI6037" t="s">
        <v>36526</v>
      </c>
    </row>
    <row r="6038" spans="2:35" ht="285">
      <c r="B6038" s="1">
        <v>45250</v>
      </c>
      <c r="C6038" s="4">
        <v>45245.384027777778</v>
      </c>
      <c r="D6038" t="s">
        <v>36527</v>
      </c>
      <c r="E6038" t="s">
        <v>36528</v>
      </c>
      <c r="F6038" t="s">
        <v>37</v>
      </c>
      <c r="G6038" t="s">
        <v>748</v>
      </c>
      <c r="H6038" t="s">
        <v>39</v>
      </c>
      <c r="I6038" t="s">
        <v>40</v>
      </c>
      <c r="J6038" s="2" t="s">
        <v>1309</v>
      </c>
      <c r="K6038" t="s">
        <v>42</v>
      </c>
      <c r="L6038" t="s">
        <v>1028</v>
      </c>
      <c r="N6038" t="s">
        <v>1029</v>
      </c>
      <c r="Q6038">
        <v>26513</v>
      </c>
      <c r="R6038" t="s">
        <v>45</v>
      </c>
      <c r="S6038" t="s">
        <v>22067</v>
      </c>
      <c r="T6038">
        <v>24</v>
      </c>
      <c r="U6038" s="2" t="s">
        <v>36529</v>
      </c>
      <c r="W6038" t="s">
        <v>2680</v>
      </c>
      <c r="X6038">
        <v>807584</v>
      </c>
      <c r="Y6038" s="2" t="s">
        <v>36530</v>
      </c>
      <c r="Z6038" s="2" t="s">
        <v>31928</v>
      </c>
      <c r="AA6038" s="2" t="s">
        <v>36531</v>
      </c>
      <c r="AB6038" t="s">
        <v>3063</v>
      </c>
      <c r="AG6038" t="s">
        <v>36532</v>
      </c>
      <c r="AH6038" t="s">
        <v>36533</v>
      </c>
      <c r="AI6038" t="s">
        <v>36534</v>
      </c>
    </row>
    <row r="6039" spans="2:35" ht="195">
      <c r="B6039" s="1">
        <v>45250</v>
      </c>
      <c r="C6039" s="4">
        <v>45244.446527777778</v>
      </c>
      <c r="D6039" t="s">
        <v>27803</v>
      </c>
      <c r="E6039" t="s">
        <v>36535</v>
      </c>
      <c r="F6039" t="s">
        <v>148</v>
      </c>
      <c r="G6039" t="s">
        <v>310</v>
      </c>
      <c r="H6039" t="s">
        <v>39</v>
      </c>
      <c r="I6039" t="s">
        <v>40</v>
      </c>
      <c r="J6039" s="2" t="s">
        <v>41</v>
      </c>
      <c r="K6039" t="s">
        <v>42</v>
      </c>
      <c r="L6039" t="s">
        <v>1028</v>
      </c>
      <c r="N6039" t="s">
        <v>1029</v>
      </c>
      <c r="Q6039">
        <v>26512</v>
      </c>
      <c r="R6039" t="s">
        <v>119</v>
      </c>
      <c r="S6039" t="s">
        <v>27805</v>
      </c>
      <c r="T6039">
        <v>26</v>
      </c>
      <c r="U6039" s="2" t="s">
        <v>7203</v>
      </c>
      <c r="W6039" t="s">
        <v>2680</v>
      </c>
      <c r="X6039">
        <v>831618</v>
      </c>
      <c r="Y6039" t="s">
        <v>29466</v>
      </c>
      <c r="Z6039" t="s">
        <v>9749</v>
      </c>
      <c r="AA6039" s="2" t="s">
        <v>36536</v>
      </c>
      <c r="AB6039" t="s">
        <v>36537</v>
      </c>
      <c r="AG6039" t="s">
        <v>36538</v>
      </c>
      <c r="AH6039" t="s">
        <v>36539</v>
      </c>
      <c r="AI6039" t="s">
        <v>36540</v>
      </c>
    </row>
    <row r="6040" spans="2:35" ht="210">
      <c r="B6040" s="1">
        <v>45250</v>
      </c>
      <c r="C6040" s="4">
        <v>45244.511111111111</v>
      </c>
      <c r="D6040" t="s">
        <v>7219</v>
      </c>
      <c r="E6040" t="s">
        <v>36541</v>
      </c>
      <c r="F6040" t="s">
        <v>148</v>
      </c>
      <c r="G6040" t="s">
        <v>310</v>
      </c>
      <c r="H6040" t="s">
        <v>39</v>
      </c>
      <c r="I6040" t="s">
        <v>40</v>
      </c>
      <c r="J6040" s="2" t="s">
        <v>62</v>
      </c>
      <c r="K6040" t="s">
        <v>42</v>
      </c>
      <c r="L6040" t="s">
        <v>1028</v>
      </c>
      <c r="N6040" t="s">
        <v>1029</v>
      </c>
      <c r="Q6040">
        <v>26511</v>
      </c>
      <c r="R6040" t="s">
        <v>45</v>
      </c>
      <c r="S6040" t="s">
        <v>36542</v>
      </c>
      <c r="T6040">
        <v>25</v>
      </c>
      <c r="U6040" s="2" t="s">
        <v>36543</v>
      </c>
      <c r="W6040" t="s">
        <v>2680</v>
      </c>
      <c r="X6040">
        <v>804766</v>
      </c>
      <c r="Y6040" t="s">
        <v>18140</v>
      </c>
      <c r="Z6040" t="s">
        <v>21244</v>
      </c>
      <c r="AA6040" s="2" t="s">
        <v>33265</v>
      </c>
      <c r="AB6040" t="s">
        <v>30229</v>
      </c>
      <c r="AC6040" t="s">
        <v>36544</v>
      </c>
      <c r="AG6040" t="s">
        <v>36545</v>
      </c>
      <c r="AH6040" t="s">
        <v>36546</v>
      </c>
      <c r="AI6040" t="s">
        <v>36547</v>
      </c>
    </row>
    <row r="6041" spans="2:35" ht="270">
      <c r="B6041" s="1">
        <v>45250</v>
      </c>
      <c r="C6041" s="4">
        <v>45244.361111111109</v>
      </c>
      <c r="D6041" t="s">
        <v>5158</v>
      </c>
      <c r="E6041" t="s">
        <v>5167</v>
      </c>
      <c r="F6041" t="s">
        <v>148</v>
      </c>
      <c r="G6041" t="s">
        <v>310</v>
      </c>
      <c r="H6041" t="s">
        <v>662</v>
      </c>
      <c r="I6041" t="s">
        <v>40</v>
      </c>
      <c r="J6041" t="s">
        <v>109</v>
      </c>
      <c r="K6041" t="s">
        <v>42</v>
      </c>
      <c r="L6041" t="s">
        <v>1028</v>
      </c>
      <c r="N6041" t="s">
        <v>1029</v>
      </c>
      <c r="Q6041">
        <v>26510</v>
      </c>
      <c r="R6041" t="s">
        <v>119</v>
      </c>
      <c r="S6041" t="s">
        <v>36548</v>
      </c>
      <c r="T6041">
        <v>28</v>
      </c>
      <c r="U6041" s="2" t="s">
        <v>36549</v>
      </c>
      <c r="W6041" t="s">
        <v>2680</v>
      </c>
      <c r="X6041">
        <v>831530</v>
      </c>
      <c r="Y6041" t="s">
        <v>3127</v>
      </c>
      <c r="Z6041" t="s">
        <v>3128</v>
      </c>
      <c r="AA6041" s="2" t="s">
        <v>36550</v>
      </c>
      <c r="AB6041" t="s">
        <v>3063</v>
      </c>
      <c r="AG6041" t="s">
        <v>36551</v>
      </c>
      <c r="AH6041" t="s">
        <v>29555</v>
      </c>
      <c r="AI6041" t="s">
        <v>36552</v>
      </c>
    </row>
    <row r="6042" spans="2:35" ht="409.5">
      <c r="B6042" s="1">
        <v>45250</v>
      </c>
      <c r="C6042" s="4">
        <v>45244.359027777777</v>
      </c>
      <c r="D6042" t="s">
        <v>5158</v>
      </c>
      <c r="E6042" t="s">
        <v>5167</v>
      </c>
      <c r="F6042" t="s">
        <v>148</v>
      </c>
      <c r="G6042" t="s">
        <v>310</v>
      </c>
      <c r="H6042" t="s">
        <v>662</v>
      </c>
      <c r="I6042" t="s">
        <v>40</v>
      </c>
      <c r="J6042" t="s">
        <v>109</v>
      </c>
      <c r="K6042" t="s">
        <v>42</v>
      </c>
      <c r="L6042" t="s">
        <v>1028</v>
      </c>
      <c r="N6042" t="s">
        <v>1029</v>
      </c>
      <c r="Q6042">
        <v>26509</v>
      </c>
      <c r="R6042" t="s">
        <v>322</v>
      </c>
      <c r="S6042" t="s">
        <v>36548</v>
      </c>
      <c r="T6042">
        <v>28</v>
      </c>
      <c r="U6042" s="2" t="s">
        <v>36553</v>
      </c>
      <c r="W6042" t="s">
        <v>2680</v>
      </c>
      <c r="X6042">
        <v>110014099</v>
      </c>
      <c r="Y6042" t="s">
        <v>3127</v>
      </c>
      <c r="Z6042" t="s">
        <v>3128</v>
      </c>
      <c r="AA6042" s="2" t="s">
        <v>36550</v>
      </c>
      <c r="AB6042" t="s">
        <v>3063</v>
      </c>
      <c r="AG6042" t="s">
        <v>36554</v>
      </c>
      <c r="AH6042" t="s">
        <v>29555</v>
      </c>
      <c r="AI6042" t="s">
        <v>36555</v>
      </c>
    </row>
    <row r="6043" spans="2:35" ht="345">
      <c r="B6043" s="1">
        <v>45250</v>
      </c>
      <c r="C6043" s="4">
        <v>45244.356249999997</v>
      </c>
      <c r="D6043" t="s">
        <v>5158</v>
      </c>
      <c r="E6043" t="s">
        <v>5159</v>
      </c>
      <c r="F6043" t="s">
        <v>148</v>
      </c>
      <c r="G6043" t="s">
        <v>310</v>
      </c>
      <c r="H6043" t="s">
        <v>662</v>
      </c>
      <c r="I6043" t="s">
        <v>40</v>
      </c>
      <c r="J6043" t="s">
        <v>109</v>
      </c>
      <c r="K6043" t="s">
        <v>42</v>
      </c>
      <c r="L6043" t="s">
        <v>1028</v>
      </c>
      <c r="N6043" t="s">
        <v>1029</v>
      </c>
      <c r="Q6043">
        <v>26508</v>
      </c>
      <c r="R6043" t="s">
        <v>322</v>
      </c>
      <c r="S6043" t="s">
        <v>36548</v>
      </c>
      <c r="T6043">
        <v>25</v>
      </c>
      <c r="U6043" s="2" t="s">
        <v>36556</v>
      </c>
      <c r="W6043" t="s">
        <v>36557</v>
      </c>
      <c r="X6043">
        <v>110013856</v>
      </c>
      <c r="Y6043" t="s">
        <v>3127</v>
      </c>
      <c r="Z6043" t="s">
        <v>3128</v>
      </c>
      <c r="AA6043" s="2" t="s">
        <v>36558</v>
      </c>
      <c r="AB6043" t="s">
        <v>36559</v>
      </c>
      <c r="AC6043" t="s">
        <v>36560</v>
      </c>
      <c r="AG6043" t="s">
        <v>36561</v>
      </c>
      <c r="AH6043" t="s">
        <v>29555</v>
      </c>
      <c r="AI6043" t="s">
        <v>36562</v>
      </c>
    </row>
    <row r="6044" spans="2:35" ht="270">
      <c r="B6044" s="1">
        <v>45250</v>
      </c>
      <c r="C6044" s="4">
        <v>45247.466666666667</v>
      </c>
      <c r="D6044" t="s">
        <v>36563</v>
      </c>
      <c r="E6044" t="s">
        <v>36564</v>
      </c>
      <c r="F6044" t="s">
        <v>37</v>
      </c>
      <c r="G6044" t="s">
        <v>189</v>
      </c>
      <c r="H6044" t="s">
        <v>39</v>
      </c>
      <c r="I6044" t="s">
        <v>40</v>
      </c>
      <c r="J6044" s="2" t="s">
        <v>1157</v>
      </c>
      <c r="K6044" t="s">
        <v>42</v>
      </c>
      <c r="L6044" t="s">
        <v>1028</v>
      </c>
      <c r="N6044" t="s">
        <v>1029</v>
      </c>
      <c r="Q6044">
        <v>26507</v>
      </c>
      <c r="R6044" t="s">
        <v>45</v>
      </c>
      <c r="S6044" t="s">
        <v>36565</v>
      </c>
      <c r="T6044">
        <v>27</v>
      </c>
      <c r="U6044" s="2" t="s">
        <v>5556</v>
      </c>
      <c r="W6044" t="s">
        <v>2680</v>
      </c>
      <c r="X6044">
        <v>835179</v>
      </c>
      <c r="Y6044" s="2" t="s">
        <v>36566</v>
      </c>
      <c r="Z6044" t="s">
        <v>21244</v>
      </c>
      <c r="AA6044" s="2" t="s">
        <v>36567</v>
      </c>
      <c r="AB6044" t="s">
        <v>36568</v>
      </c>
      <c r="AC6044" t="s">
        <v>36569</v>
      </c>
      <c r="AG6044" t="s">
        <v>36570</v>
      </c>
      <c r="AH6044" t="s">
        <v>36571</v>
      </c>
      <c r="AI6044" t="s">
        <v>36572</v>
      </c>
    </row>
    <row r="6045" spans="2:35" ht="105">
      <c r="B6045" s="1">
        <v>45250</v>
      </c>
      <c r="C6045" s="4">
        <v>45246.411805555559</v>
      </c>
      <c r="D6045" t="s">
        <v>2901</v>
      </c>
      <c r="E6045" t="s">
        <v>36573</v>
      </c>
      <c r="F6045">
        <v>9</v>
      </c>
      <c r="G6045" t="s">
        <v>2903</v>
      </c>
      <c r="H6045" t="s">
        <v>39</v>
      </c>
      <c r="I6045" t="s">
        <v>94</v>
      </c>
      <c r="J6045" s="2" t="s">
        <v>17375</v>
      </c>
      <c r="K6045" t="s">
        <v>42</v>
      </c>
      <c r="L6045" t="s">
        <v>1257</v>
      </c>
      <c r="N6045" t="s">
        <v>1258</v>
      </c>
      <c r="O6045" t="s">
        <v>2199</v>
      </c>
      <c r="Q6045">
        <v>26506</v>
      </c>
      <c r="R6045" t="s">
        <v>45</v>
      </c>
      <c r="S6045" t="s">
        <v>25857</v>
      </c>
      <c r="T6045">
        <v>22</v>
      </c>
      <c r="U6045" s="2" t="s">
        <v>36574</v>
      </c>
      <c r="V6045" s="1">
        <v>45246</v>
      </c>
      <c r="W6045" t="s">
        <v>2384</v>
      </c>
      <c r="X6045">
        <v>804698</v>
      </c>
      <c r="Y6045" t="s">
        <v>301</v>
      </c>
      <c r="Z6045" t="s">
        <v>36575</v>
      </c>
      <c r="AA6045" t="s">
        <v>36575</v>
      </c>
      <c r="AB6045" t="s">
        <v>7411</v>
      </c>
      <c r="AC6045" t="s">
        <v>301</v>
      </c>
      <c r="AD6045" t="s">
        <v>54</v>
      </c>
      <c r="AE6045" t="s">
        <v>54</v>
      </c>
      <c r="AG6045" t="s">
        <v>36576</v>
      </c>
      <c r="AH6045" t="s">
        <v>24166</v>
      </c>
      <c r="AI6045" t="s">
        <v>36577</v>
      </c>
    </row>
    <row r="6046" spans="2:35" ht="315">
      <c r="B6046" s="1">
        <v>45250</v>
      </c>
      <c r="C6046" s="4">
        <v>45245.477777777778</v>
      </c>
      <c r="D6046" t="s">
        <v>9805</v>
      </c>
      <c r="E6046" t="s">
        <v>510</v>
      </c>
      <c r="F6046" t="s">
        <v>511</v>
      </c>
      <c r="G6046" t="s">
        <v>512</v>
      </c>
      <c r="H6046" t="s">
        <v>1047</v>
      </c>
      <c r="I6046" t="s">
        <v>40</v>
      </c>
      <c r="J6046" s="2" t="s">
        <v>41</v>
      </c>
      <c r="K6046" t="s">
        <v>42</v>
      </c>
      <c r="L6046" t="s">
        <v>1048</v>
      </c>
      <c r="N6046" t="s">
        <v>1049</v>
      </c>
      <c r="Q6046">
        <v>26505</v>
      </c>
      <c r="R6046" t="s">
        <v>45</v>
      </c>
      <c r="S6046" t="s">
        <v>23268</v>
      </c>
      <c r="T6046">
        <v>28</v>
      </c>
      <c r="U6046" s="2" t="s">
        <v>36578</v>
      </c>
      <c r="V6046" s="1">
        <v>45245</v>
      </c>
      <c r="W6046" t="s">
        <v>666</v>
      </c>
      <c r="X6046">
        <v>805212</v>
      </c>
      <c r="Y6046" t="s">
        <v>35729</v>
      </c>
      <c r="Z6046" s="2" t="s">
        <v>36579</v>
      </c>
      <c r="AA6046" t="s">
        <v>1926</v>
      </c>
      <c r="AB6046" t="s">
        <v>181</v>
      </c>
      <c r="AD6046" t="s">
        <v>36580</v>
      </c>
      <c r="AE6046" t="s">
        <v>103</v>
      </c>
      <c r="AG6046" t="s">
        <v>36581</v>
      </c>
      <c r="AH6046" t="s">
        <v>36582</v>
      </c>
      <c r="AI6046" t="s">
        <v>36583</v>
      </c>
    </row>
    <row r="6047" spans="2:35" ht="330">
      <c r="B6047" s="1">
        <v>45250</v>
      </c>
      <c r="C6047" s="4">
        <v>45245.474305555559</v>
      </c>
      <c r="D6047" t="s">
        <v>9805</v>
      </c>
      <c r="E6047" t="s">
        <v>510</v>
      </c>
      <c r="F6047" t="s">
        <v>511</v>
      </c>
      <c r="G6047" t="s">
        <v>512</v>
      </c>
      <c r="H6047" t="s">
        <v>1047</v>
      </c>
      <c r="I6047" t="s">
        <v>40</v>
      </c>
      <c r="J6047" s="2" t="s">
        <v>41</v>
      </c>
      <c r="K6047" t="s">
        <v>42</v>
      </c>
      <c r="L6047" t="s">
        <v>1048</v>
      </c>
      <c r="N6047" t="s">
        <v>1049</v>
      </c>
      <c r="Q6047">
        <v>26504</v>
      </c>
      <c r="R6047" t="s">
        <v>45</v>
      </c>
      <c r="S6047" t="s">
        <v>23268</v>
      </c>
      <c r="T6047">
        <v>24</v>
      </c>
      <c r="U6047" s="2" t="s">
        <v>36584</v>
      </c>
      <c r="V6047" s="1">
        <v>45245</v>
      </c>
      <c r="W6047" t="s">
        <v>2591</v>
      </c>
      <c r="X6047">
        <v>120000171</v>
      </c>
      <c r="Y6047" t="s">
        <v>35729</v>
      </c>
      <c r="Z6047" s="2" t="s">
        <v>36585</v>
      </c>
      <c r="AA6047" t="s">
        <v>1926</v>
      </c>
      <c r="AB6047" t="s">
        <v>181</v>
      </c>
      <c r="AD6047" t="s">
        <v>36586</v>
      </c>
      <c r="AE6047" t="s">
        <v>103</v>
      </c>
      <c r="AG6047" t="s">
        <v>36587</v>
      </c>
      <c r="AH6047" t="s">
        <v>36582</v>
      </c>
      <c r="AI6047" t="s">
        <v>36588</v>
      </c>
    </row>
    <row r="6048" spans="2:35" ht="255">
      <c r="B6048" s="1">
        <v>45250</v>
      </c>
      <c r="C6048" s="4">
        <v>45247.564583333333</v>
      </c>
      <c r="D6048" t="s">
        <v>3679</v>
      </c>
      <c r="E6048" t="s">
        <v>33111</v>
      </c>
      <c r="F6048" t="s">
        <v>148</v>
      </c>
      <c r="G6048" t="s">
        <v>447</v>
      </c>
      <c r="H6048" t="s">
        <v>662</v>
      </c>
      <c r="I6048" t="s">
        <v>40</v>
      </c>
      <c r="J6048" t="s">
        <v>525</v>
      </c>
      <c r="K6048" t="s">
        <v>42</v>
      </c>
      <c r="L6048" t="s">
        <v>448</v>
      </c>
      <c r="N6048" t="s">
        <v>650</v>
      </c>
      <c r="Q6048">
        <v>26503</v>
      </c>
      <c r="R6048" t="s">
        <v>322</v>
      </c>
      <c r="S6048" t="s">
        <v>17810</v>
      </c>
      <c r="T6048">
        <v>26</v>
      </c>
      <c r="U6048" s="2" t="s">
        <v>36589</v>
      </c>
      <c r="W6048" t="s">
        <v>360</v>
      </c>
      <c r="X6048">
        <v>834443</v>
      </c>
      <c r="Y6048" t="s">
        <v>36590</v>
      </c>
      <c r="Z6048" s="2" t="s">
        <v>36591</v>
      </c>
      <c r="AA6048" t="s">
        <v>4487</v>
      </c>
      <c r="AB6048" t="s">
        <v>486</v>
      </c>
      <c r="AG6048" t="s">
        <v>36592</v>
      </c>
      <c r="AH6048" t="s">
        <v>36593</v>
      </c>
      <c r="AI6048" t="s">
        <v>36594</v>
      </c>
    </row>
    <row r="6049" spans="2:35" ht="409.5">
      <c r="B6049" s="1">
        <v>45250</v>
      </c>
      <c r="C6049" s="4">
        <v>45247.689583333333</v>
      </c>
      <c r="D6049" t="s">
        <v>5602</v>
      </c>
      <c r="E6049" t="s">
        <v>2580</v>
      </c>
      <c r="F6049" t="s">
        <v>148</v>
      </c>
      <c r="G6049" t="s">
        <v>447</v>
      </c>
      <c r="H6049" t="s">
        <v>662</v>
      </c>
      <c r="I6049" t="s">
        <v>40</v>
      </c>
      <c r="J6049" t="s">
        <v>109</v>
      </c>
      <c r="K6049" t="s">
        <v>42</v>
      </c>
      <c r="L6049" t="s">
        <v>448</v>
      </c>
      <c r="N6049" t="s">
        <v>650</v>
      </c>
      <c r="Q6049">
        <v>26502</v>
      </c>
      <c r="R6049" t="s">
        <v>322</v>
      </c>
      <c r="S6049" t="s">
        <v>5604</v>
      </c>
      <c r="T6049">
        <v>29</v>
      </c>
      <c r="U6049" s="2" t="s">
        <v>36595</v>
      </c>
      <c r="W6049" t="s">
        <v>895</v>
      </c>
      <c r="X6049">
        <v>804476</v>
      </c>
      <c r="Y6049" t="s">
        <v>485</v>
      </c>
      <c r="Z6049" s="2" t="s">
        <v>2011</v>
      </c>
      <c r="AA6049" t="s">
        <v>6997</v>
      </c>
      <c r="AB6049" t="s">
        <v>36596</v>
      </c>
      <c r="AG6049" t="s">
        <v>36597</v>
      </c>
      <c r="AH6049" t="s">
        <v>7424</v>
      </c>
      <c r="AI6049" t="s">
        <v>36598</v>
      </c>
    </row>
    <row r="6050" spans="2:35" ht="409.5">
      <c r="B6050" s="1">
        <v>45250</v>
      </c>
      <c r="C6050" s="4">
        <v>45247.69027777778</v>
      </c>
      <c r="D6050" t="s">
        <v>5602</v>
      </c>
      <c r="E6050" t="s">
        <v>2580</v>
      </c>
      <c r="F6050" t="s">
        <v>148</v>
      </c>
      <c r="G6050" t="s">
        <v>447</v>
      </c>
      <c r="H6050" t="s">
        <v>662</v>
      </c>
      <c r="I6050" t="s">
        <v>40</v>
      </c>
      <c r="J6050" t="s">
        <v>109</v>
      </c>
      <c r="K6050" t="s">
        <v>42</v>
      </c>
      <c r="L6050" t="s">
        <v>448</v>
      </c>
      <c r="N6050" t="s">
        <v>650</v>
      </c>
      <c r="Q6050">
        <v>26501</v>
      </c>
      <c r="R6050" t="s">
        <v>322</v>
      </c>
      <c r="S6050" t="s">
        <v>5604</v>
      </c>
      <c r="T6050">
        <v>29</v>
      </c>
      <c r="U6050" s="2" t="s">
        <v>36599</v>
      </c>
      <c r="W6050" t="s">
        <v>502</v>
      </c>
      <c r="X6050">
        <v>838254</v>
      </c>
      <c r="Y6050" t="s">
        <v>36600</v>
      </c>
      <c r="Z6050" s="2" t="s">
        <v>2011</v>
      </c>
      <c r="AA6050" t="s">
        <v>6997</v>
      </c>
      <c r="AB6050" t="s">
        <v>36601</v>
      </c>
      <c r="AG6050" t="s">
        <v>36602</v>
      </c>
      <c r="AH6050" t="s">
        <v>5609</v>
      </c>
      <c r="AI6050" t="s">
        <v>36603</v>
      </c>
    </row>
    <row r="6051" spans="2:35" ht="409.5">
      <c r="B6051" s="1">
        <v>45250</v>
      </c>
      <c r="C6051" s="4">
        <v>45247.69027777778</v>
      </c>
      <c r="D6051" t="s">
        <v>5602</v>
      </c>
      <c r="E6051" t="s">
        <v>2177</v>
      </c>
      <c r="F6051" t="s">
        <v>148</v>
      </c>
      <c r="G6051" t="s">
        <v>447</v>
      </c>
      <c r="H6051" t="s">
        <v>662</v>
      </c>
      <c r="I6051" t="s">
        <v>40</v>
      </c>
      <c r="J6051" t="s">
        <v>109</v>
      </c>
      <c r="K6051" t="s">
        <v>42</v>
      </c>
      <c r="L6051" t="s">
        <v>448</v>
      </c>
      <c r="N6051" t="s">
        <v>36604</v>
      </c>
      <c r="Q6051">
        <v>26500</v>
      </c>
      <c r="R6051" t="s">
        <v>322</v>
      </c>
      <c r="S6051" t="s">
        <v>5604</v>
      </c>
      <c r="T6051">
        <v>26</v>
      </c>
      <c r="U6051" s="2" t="s">
        <v>36605</v>
      </c>
      <c r="W6051" t="s">
        <v>895</v>
      </c>
      <c r="X6051">
        <v>110005587</v>
      </c>
      <c r="Y6051" t="s">
        <v>36606</v>
      </c>
      <c r="Z6051" s="2" t="s">
        <v>2011</v>
      </c>
      <c r="AA6051" t="s">
        <v>6997</v>
      </c>
      <c r="AB6051" t="s">
        <v>27140</v>
      </c>
      <c r="AG6051" t="s">
        <v>36607</v>
      </c>
      <c r="AH6051" t="s">
        <v>16382</v>
      </c>
      <c r="AI6051" t="s">
        <v>36608</v>
      </c>
    </row>
    <row r="6052" spans="2:35" ht="105">
      <c r="B6052" s="1">
        <v>45249</v>
      </c>
      <c r="C6052" s="4">
        <v>45244.673611111109</v>
      </c>
      <c r="D6052" t="s">
        <v>5645</v>
      </c>
      <c r="E6052" t="s">
        <v>2136</v>
      </c>
      <c r="F6052" t="s">
        <v>1255</v>
      </c>
      <c r="G6052" t="s">
        <v>1887</v>
      </c>
      <c r="H6052" t="s">
        <v>1473</v>
      </c>
      <c r="I6052" t="s">
        <v>40</v>
      </c>
      <c r="J6052" s="2" t="s">
        <v>1808</v>
      </c>
      <c r="K6052" t="s">
        <v>42</v>
      </c>
      <c r="L6052" t="s">
        <v>296</v>
      </c>
      <c r="N6052" t="s">
        <v>297</v>
      </c>
      <c r="Q6052">
        <v>26499</v>
      </c>
      <c r="R6052" t="s">
        <v>119</v>
      </c>
      <c r="S6052" t="s">
        <v>11535</v>
      </c>
      <c r="T6052">
        <v>27</v>
      </c>
      <c r="U6052" s="2" t="s">
        <v>36609</v>
      </c>
      <c r="W6052" t="s">
        <v>23049</v>
      </c>
      <c r="X6052">
        <v>838528</v>
      </c>
      <c r="Y6052" t="s">
        <v>7194</v>
      </c>
      <c r="Z6052" t="s">
        <v>9161</v>
      </c>
      <c r="AA6052" t="s">
        <v>36610</v>
      </c>
      <c r="AB6052" t="s">
        <v>16070</v>
      </c>
      <c r="AG6052" t="s">
        <v>36611</v>
      </c>
      <c r="AH6052" t="s">
        <v>36612</v>
      </c>
      <c r="AI6052" t="s">
        <v>36613</v>
      </c>
    </row>
    <row r="6053" spans="2:35" ht="300">
      <c r="B6053" s="1">
        <v>45249</v>
      </c>
      <c r="C6053" s="4">
        <v>45247.679166666669</v>
      </c>
      <c r="D6053" t="s">
        <v>36614</v>
      </c>
      <c r="E6053" t="s">
        <v>36615</v>
      </c>
      <c r="F6053" t="s">
        <v>1181</v>
      </c>
      <c r="G6053" t="s">
        <v>1182</v>
      </c>
      <c r="H6053" t="s">
        <v>39</v>
      </c>
      <c r="I6053" t="s">
        <v>40</v>
      </c>
      <c r="J6053" s="2" t="s">
        <v>2170</v>
      </c>
      <c r="K6053" t="s">
        <v>42</v>
      </c>
      <c r="L6053" t="s">
        <v>15532</v>
      </c>
      <c r="N6053" t="s">
        <v>15533</v>
      </c>
      <c r="Q6053">
        <v>26498</v>
      </c>
      <c r="R6053" t="s">
        <v>45</v>
      </c>
      <c r="S6053" t="s">
        <v>36616</v>
      </c>
      <c r="T6053">
        <v>29</v>
      </c>
      <c r="U6053" s="2" t="s">
        <v>36617</v>
      </c>
      <c r="V6053" s="1">
        <v>45236</v>
      </c>
      <c r="W6053" t="s">
        <v>3244</v>
      </c>
      <c r="X6053">
        <v>842893</v>
      </c>
      <c r="Y6053" t="s">
        <v>36618</v>
      </c>
      <c r="Z6053" s="2" t="s">
        <v>36619</v>
      </c>
      <c r="AA6053" s="2" t="s">
        <v>36620</v>
      </c>
      <c r="AB6053" s="2" t="s">
        <v>36621</v>
      </c>
      <c r="AD6053" t="s">
        <v>30758</v>
      </c>
      <c r="AE6053" t="s">
        <v>36622</v>
      </c>
      <c r="AG6053" t="s">
        <v>36623</v>
      </c>
      <c r="AH6053" t="s">
        <v>36624</v>
      </c>
      <c r="AI6053" t="s">
        <v>36625</v>
      </c>
    </row>
    <row r="6054" spans="2:35" ht="195">
      <c r="B6054" s="1">
        <v>45249</v>
      </c>
      <c r="C6054" s="4">
        <v>45247.616666666669</v>
      </c>
      <c r="D6054" t="s">
        <v>36626</v>
      </c>
      <c r="E6054" t="s">
        <v>36615</v>
      </c>
      <c r="F6054" t="s">
        <v>1181</v>
      </c>
      <c r="G6054" t="s">
        <v>1182</v>
      </c>
      <c r="H6054" t="s">
        <v>39</v>
      </c>
      <c r="I6054" t="s">
        <v>40</v>
      </c>
      <c r="J6054" s="2" t="s">
        <v>41</v>
      </c>
      <c r="K6054" t="s">
        <v>42</v>
      </c>
      <c r="L6054" t="s">
        <v>15532</v>
      </c>
      <c r="N6054" t="s">
        <v>15533</v>
      </c>
      <c r="Q6054">
        <v>26497</v>
      </c>
      <c r="R6054" t="s">
        <v>45</v>
      </c>
      <c r="S6054" t="s">
        <v>36616</v>
      </c>
      <c r="T6054">
        <v>29</v>
      </c>
      <c r="V6054" s="1">
        <v>45229</v>
      </c>
      <c r="W6054" t="s">
        <v>3244</v>
      </c>
      <c r="X6054">
        <v>804282</v>
      </c>
      <c r="Y6054" t="s">
        <v>36627</v>
      </c>
      <c r="Z6054" s="2" t="s">
        <v>36628</v>
      </c>
      <c r="AA6054" t="s">
        <v>36629</v>
      </c>
      <c r="AB6054" s="2" t="s">
        <v>15539</v>
      </c>
      <c r="AD6054" t="s">
        <v>36630</v>
      </c>
      <c r="AE6054" t="s">
        <v>36631</v>
      </c>
      <c r="AG6054" t="s">
        <v>36632</v>
      </c>
      <c r="AH6054" t="s">
        <v>36633</v>
      </c>
      <c r="AI6054" t="s">
        <v>36634</v>
      </c>
    </row>
    <row r="6055" spans="2:35" ht="180">
      <c r="B6055" s="1">
        <v>45249</v>
      </c>
      <c r="C6055" s="4">
        <v>45246.642361111109</v>
      </c>
      <c r="D6055" t="s">
        <v>2208</v>
      </c>
      <c r="E6055" t="s">
        <v>36635</v>
      </c>
      <c r="F6055" t="s">
        <v>1181</v>
      </c>
      <c r="G6055" t="s">
        <v>1182</v>
      </c>
      <c r="H6055" t="s">
        <v>39</v>
      </c>
      <c r="I6055" t="s">
        <v>40</v>
      </c>
      <c r="J6055" s="2" t="s">
        <v>30202</v>
      </c>
      <c r="K6055" t="s">
        <v>42</v>
      </c>
      <c r="L6055" t="s">
        <v>15532</v>
      </c>
      <c r="N6055" t="s">
        <v>15533</v>
      </c>
      <c r="Q6055">
        <v>26496</v>
      </c>
      <c r="R6055" t="s">
        <v>45</v>
      </c>
      <c r="S6055" t="s">
        <v>2211</v>
      </c>
      <c r="T6055">
        <v>27</v>
      </c>
      <c r="U6055" s="2" t="s">
        <v>7193</v>
      </c>
      <c r="V6055" s="1">
        <v>45236</v>
      </c>
      <c r="W6055" t="s">
        <v>3244</v>
      </c>
      <c r="X6055">
        <v>804272</v>
      </c>
      <c r="Y6055" t="s">
        <v>36636</v>
      </c>
      <c r="Z6055" s="2" t="s">
        <v>36637</v>
      </c>
      <c r="AA6055" s="2" t="s">
        <v>36638</v>
      </c>
      <c r="AB6055" s="2" t="s">
        <v>33796</v>
      </c>
      <c r="AD6055" t="s">
        <v>36639</v>
      </c>
      <c r="AE6055" t="s">
        <v>36640</v>
      </c>
      <c r="AG6055" t="s">
        <v>36641</v>
      </c>
      <c r="AH6055" t="s">
        <v>36642</v>
      </c>
      <c r="AI6055" t="s">
        <v>36643</v>
      </c>
    </row>
    <row r="6056" spans="2:35" ht="255">
      <c r="B6056" s="1">
        <v>45248</v>
      </c>
      <c r="C6056" s="4">
        <v>45246.618750000001</v>
      </c>
      <c r="D6056" t="s">
        <v>13380</v>
      </c>
      <c r="E6056" t="s">
        <v>29676</v>
      </c>
      <c r="F6056" t="s">
        <v>148</v>
      </c>
      <c r="G6056" t="s">
        <v>544</v>
      </c>
      <c r="H6056" t="s">
        <v>39</v>
      </c>
      <c r="I6056" t="s">
        <v>40</v>
      </c>
      <c r="J6056" s="2" t="s">
        <v>31979</v>
      </c>
      <c r="K6056" t="s">
        <v>42</v>
      </c>
      <c r="L6056" t="s">
        <v>43</v>
      </c>
      <c r="N6056" t="s">
        <v>44</v>
      </c>
      <c r="Q6056">
        <v>26495</v>
      </c>
      <c r="R6056" t="s">
        <v>703</v>
      </c>
      <c r="S6056" t="s">
        <v>36644</v>
      </c>
      <c r="T6056">
        <v>24</v>
      </c>
      <c r="U6056" s="2" t="s">
        <v>34212</v>
      </c>
      <c r="W6056" t="s">
        <v>48</v>
      </c>
      <c r="X6056">
        <v>110008418</v>
      </c>
      <c r="Y6056" t="s">
        <v>121</v>
      </c>
      <c r="Z6056" t="s">
        <v>122</v>
      </c>
      <c r="AA6056" s="2" t="s">
        <v>36645</v>
      </c>
      <c r="AB6056" t="s">
        <v>36646</v>
      </c>
      <c r="AG6056" t="s">
        <v>36647</v>
      </c>
      <c r="AH6056" t="s">
        <v>15448</v>
      </c>
      <c r="AI6056" t="s">
        <v>36648</v>
      </c>
    </row>
    <row r="6057" spans="2:35" ht="150">
      <c r="B6057" s="1">
        <v>45248</v>
      </c>
      <c r="C6057" s="4">
        <v>45247.428472222222</v>
      </c>
      <c r="D6057" t="s">
        <v>30287</v>
      </c>
      <c r="E6057" t="s">
        <v>30288</v>
      </c>
      <c r="F6057" t="s">
        <v>37</v>
      </c>
      <c r="G6057" t="s">
        <v>78</v>
      </c>
      <c r="H6057" t="s">
        <v>39</v>
      </c>
      <c r="I6057" t="s">
        <v>40</v>
      </c>
      <c r="J6057" s="2" t="s">
        <v>30202</v>
      </c>
      <c r="K6057" t="s">
        <v>42</v>
      </c>
      <c r="L6057" t="s">
        <v>43</v>
      </c>
      <c r="N6057" t="s">
        <v>44</v>
      </c>
      <c r="Q6057">
        <v>26494</v>
      </c>
      <c r="R6057" t="s">
        <v>45</v>
      </c>
      <c r="S6057" t="s">
        <v>36649</v>
      </c>
      <c r="T6057">
        <v>25</v>
      </c>
      <c r="U6057" s="2" t="s">
        <v>9827</v>
      </c>
      <c r="V6057" s="1">
        <v>45247</v>
      </c>
      <c r="W6057" t="s">
        <v>48</v>
      </c>
      <c r="X6057">
        <v>838148</v>
      </c>
      <c r="Y6057" t="s">
        <v>424</v>
      </c>
      <c r="Z6057" t="s">
        <v>425</v>
      </c>
      <c r="AA6057" s="2" t="s">
        <v>35532</v>
      </c>
      <c r="AB6057" t="s">
        <v>7543</v>
      </c>
      <c r="AD6057" s="2" t="s">
        <v>36650</v>
      </c>
      <c r="AE6057" t="s">
        <v>54</v>
      </c>
      <c r="AG6057" t="s">
        <v>36651</v>
      </c>
      <c r="AH6057" t="s">
        <v>36652</v>
      </c>
      <c r="AI6057" t="s">
        <v>36653</v>
      </c>
    </row>
    <row r="6058" spans="2:35" ht="180">
      <c r="B6058" s="1">
        <v>45248</v>
      </c>
      <c r="C6058" s="4">
        <v>45247.493055555555</v>
      </c>
      <c r="D6058" t="s">
        <v>32066</v>
      </c>
      <c r="E6058" t="s">
        <v>32067</v>
      </c>
      <c r="F6058" t="s">
        <v>37</v>
      </c>
      <c r="G6058" t="s">
        <v>78</v>
      </c>
      <c r="H6058" t="s">
        <v>39</v>
      </c>
      <c r="I6058" t="s">
        <v>40</v>
      </c>
      <c r="J6058" s="2" t="s">
        <v>31979</v>
      </c>
      <c r="K6058" t="s">
        <v>42</v>
      </c>
      <c r="L6058" t="s">
        <v>43</v>
      </c>
      <c r="N6058" t="s">
        <v>44</v>
      </c>
      <c r="Q6058">
        <v>26493</v>
      </c>
      <c r="R6058" t="s">
        <v>45</v>
      </c>
      <c r="S6058" t="s">
        <v>32068</v>
      </c>
      <c r="T6058">
        <v>25</v>
      </c>
      <c r="U6058" s="2" t="s">
        <v>2341</v>
      </c>
      <c r="W6058" t="s">
        <v>48</v>
      </c>
      <c r="X6058">
        <v>838165</v>
      </c>
      <c r="Y6058" t="s">
        <v>36654</v>
      </c>
      <c r="Z6058" s="2" t="s">
        <v>36655</v>
      </c>
      <c r="AA6058" s="2" t="s">
        <v>36656</v>
      </c>
      <c r="AB6058" t="s">
        <v>36657</v>
      </c>
      <c r="AG6058" t="s">
        <v>36658</v>
      </c>
      <c r="AH6058" t="s">
        <v>36659</v>
      </c>
      <c r="AI6058" t="s">
        <v>36660</v>
      </c>
    </row>
    <row r="6059" spans="2:35" ht="105">
      <c r="B6059" s="1">
        <v>45247</v>
      </c>
      <c r="C6059" s="4">
        <v>45247.572916666664</v>
      </c>
      <c r="D6059" t="s">
        <v>29744</v>
      </c>
      <c r="E6059" t="s">
        <v>29745</v>
      </c>
      <c r="F6059">
        <v>3</v>
      </c>
      <c r="G6059" t="s">
        <v>174</v>
      </c>
      <c r="H6059" t="s">
        <v>39</v>
      </c>
      <c r="I6059" t="s">
        <v>40</v>
      </c>
      <c r="J6059" s="2" t="s">
        <v>31979</v>
      </c>
      <c r="K6059" t="s">
        <v>42</v>
      </c>
      <c r="L6059" t="s">
        <v>175</v>
      </c>
      <c r="N6059" t="s">
        <v>176</v>
      </c>
      <c r="Q6059">
        <v>26492</v>
      </c>
      <c r="R6059" t="s">
        <v>45</v>
      </c>
      <c r="S6059" t="s">
        <v>29746</v>
      </c>
      <c r="T6059">
        <v>25</v>
      </c>
      <c r="U6059" s="2" t="s">
        <v>36661</v>
      </c>
      <c r="W6059" t="s">
        <v>84</v>
      </c>
      <c r="X6059">
        <v>805252</v>
      </c>
      <c r="Y6059" t="s">
        <v>36662</v>
      </c>
      <c r="Z6059" t="e">
        <f ca="1">- stuck cartridge already removed
- generated reports</f>
        <v>#NAME?</v>
      </c>
      <c r="AA6059" t="s">
        <v>36663</v>
      </c>
      <c r="AB6059" s="2" t="s">
        <v>36664</v>
      </c>
      <c r="AG6059" t="s">
        <v>36665</v>
      </c>
      <c r="AH6059" t="s">
        <v>29751</v>
      </c>
      <c r="AI6059" t="s">
        <v>36666</v>
      </c>
    </row>
    <row r="6060" spans="2:35" ht="255">
      <c r="B6060" s="1">
        <v>45247</v>
      </c>
      <c r="C6060" s="4">
        <v>45247.627083333333</v>
      </c>
      <c r="D6060" t="s">
        <v>2773</v>
      </c>
      <c r="E6060" t="s">
        <v>2774</v>
      </c>
      <c r="F6060">
        <v>2</v>
      </c>
      <c r="G6060" t="s">
        <v>2723</v>
      </c>
      <c r="H6060" t="s">
        <v>6357</v>
      </c>
      <c r="I6060" t="s">
        <v>40</v>
      </c>
      <c r="J6060" s="2" t="s">
        <v>3198</v>
      </c>
      <c r="K6060" t="s">
        <v>42</v>
      </c>
      <c r="L6060" t="s">
        <v>63</v>
      </c>
      <c r="N6060" t="s">
        <v>64</v>
      </c>
      <c r="O6060" t="s">
        <v>64</v>
      </c>
      <c r="Q6060">
        <v>26491</v>
      </c>
      <c r="R6060" t="s">
        <v>119</v>
      </c>
      <c r="S6060" t="s">
        <v>29793</v>
      </c>
      <c r="T6060">
        <v>26</v>
      </c>
      <c r="U6060" s="2" t="s">
        <v>36667</v>
      </c>
      <c r="V6060" s="1">
        <v>45247</v>
      </c>
      <c r="W6060" t="s">
        <v>26915</v>
      </c>
      <c r="X6060">
        <v>831718</v>
      </c>
      <c r="Y6060" t="s">
        <v>36668</v>
      </c>
      <c r="Z6060" t="s">
        <v>36669</v>
      </c>
      <c r="AA6060" s="2" t="s">
        <v>36670</v>
      </c>
      <c r="AB6060" t="s">
        <v>70</v>
      </c>
      <c r="AC6060" t="s">
        <v>36671</v>
      </c>
      <c r="AD6060" t="s">
        <v>34999</v>
      </c>
      <c r="AE6060" t="s">
        <v>1716</v>
      </c>
      <c r="AG6060" t="s">
        <v>36672</v>
      </c>
      <c r="AH6060" t="s">
        <v>29801</v>
      </c>
      <c r="AI6060" t="s">
        <v>36673</v>
      </c>
    </row>
    <row r="6061" spans="2:35" ht="180">
      <c r="B6061" s="1">
        <v>45247</v>
      </c>
      <c r="C6061" s="4">
        <v>45247.629166666666</v>
      </c>
      <c r="D6061" t="s">
        <v>36674</v>
      </c>
      <c r="E6061" t="s">
        <v>36675</v>
      </c>
      <c r="F6061">
        <v>7</v>
      </c>
      <c r="G6061" t="s">
        <v>432</v>
      </c>
      <c r="H6061" t="s">
        <v>23595</v>
      </c>
      <c r="I6061" t="s">
        <v>40</v>
      </c>
      <c r="J6061" s="2" t="s">
        <v>62</v>
      </c>
      <c r="K6061" t="s">
        <v>42</v>
      </c>
      <c r="L6061" t="s">
        <v>343</v>
      </c>
      <c r="N6061" t="s">
        <v>344</v>
      </c>
      <c r="Q6061">
        <v>26490</v>
      </c>
      <c r="R6061" t="s">
        <v>45</v>
      </c>
      <c r="S6061" t="s">
        <v>16307</v>
      </c>
      <c r="T6061">
        <v>26</v>
      </c>
      <c r="U6061" s="2" t="s">
        <v>36676</v>
      </c>
      <c r="V6061" s="1">
        <v>45247</v>
      </c>
      <c r="W6061" t="s">
        <v>6105</v>
      </c>
      <c r="X6061">
        <v>808637</v>
      </c>
      <c r="Y6061" t="s">
        <v>3191</v>
      </c>
      <c r="Z6061" t="e">
        <f ca="1">-run XpertCheck on ALL four modules</f>
        <v>#NAME?</v>
      </c>
      <c r="AA6061" t="e">
        <f ca="1">-Preventive Maintenance
-XpertCheck CALIBRATION</f>
        <v>#NAME?</v>
      </c>
      <c r="AB6061" t="s">
        <v>36677</v>
      </c>
      <c r="AC6061" t="s">
        <v>36678</v>
      </c>
      <c r="AD6061" t="s">
        <v>8449</v>
      </c>
      <c r="AE6061" t="s">
        <v>45</v>
      </c>
      <c r="AG6061" t="s">
        <v>36679</v>
      </c>
      <c r="AH6061" t="s">
        <v>14408</v>
      </c>
      <c r="AI6061" t="s">
        <v>36680</v>
      </c>
    </row>
    <row r="6062" spans="2:35" ht="165">
      <c r="B6062" s="1">
        <v>45247</v>
      </c>
      <c r="C6062" s="4">
        <v>45247.545138888891</v>
      </c>
      <c r="D6062" t="s">
        <v>2773</v>
      </c>
      <c r="E6062" t="s">
        <v>2774</v>
      </c>
      <c r="F6062">
        <v>2</v>
      </c>
      <c r="G6062" t="s">
        <v>2723</v>
      </c>
      <c r="H6062" t="s">
        <v>39</v>
      </c>
      <c r="I6062" t="s">
        <v>40</v>
      </c>
      <c r="J6062" s="2" t="s">
        <v>31986</v>
      </c>
      <c r="K6062" t="s">
        <v>42</v>
      </c>
      <c r="L6062" t="s">
        <v>63</v>
      </c>
      <c r="N6062" t="s">
        <v>64</v>
      </c>
      <c r="Q6062">
        <v>26489</v>
      </c>
      <c r="R6062" t="s">
        <v>322</v>
      </c>
      <c r="S6062" t="s">
        <v>2775</v>
      </c>
      <c r="T6062">
        <v>26</v>
      </c>
      <c r="U6062" s="2" t="s">
        <v>36681</v>
      </c>
      <c r="V6062" s="1">
        <v>45247</v>
      </c>
      <c r="W6062" t="s">
        <v>26915</v>
      </c>
      <c r="X6062">
        <v>110008457</v>
      </c>
      <c r="Y6062" t="s">
        <v>1716</v>
      </c>
      <c r="Z6062" t="s">
        <v>1716</v>
      </c>
      <c r="AA6062" s="2" t="s">
        <v>1727</v>
      </c>
      <c r="AB6062" t="s">
        <v>70</v>
      </c>
      <c r="AC6062" t="s">
        <v>1716</v>
      </c>
      <c r="AD6062" t="s">
        <v>1716</v>
      </c>
      <c r="AE6062" t="s">
        <v>1716</v>
      </c>
      <c r="AG6062" t="s">
        <v>36682</v>
      </c>
      <c r="AH6062" t="s">
        <v>2779</v>
      </c>
      <c r="AI6062" t="s">
        <v>36683</v>
      </c>
    </row>
    <row r="6063" spans="2:35" ht="315">
      <c r="B6063" s="1">
        <v>45247</v>
      </c>
      <c r="C6063" s="4">
        <v>45247.491666666669</v>
      </c>
      <c r="D6063" t="s">
        <v>2773</v>
      </c>
      <c r="E6063" t="s">
        <v>2774</v>
      </c>
      <c r="F6063">
        <v>2</v>
      </c>
      <c r="G6063" t="s">
        <v>2723</v>
      </c>
      <c r="H6063" t="s">
        <v>21406</v>
      </c>
      <c r="I6063" t="s">
        <v>40</v>
      </c>
      <c r="J6063" s="2" t="s">
        <v>36238</v>
      </c>
      <c r="K6063" t="s">
        <v>42</v>
      </c>
      <c r="L6063" t="s">
        <v>63</v>
      </c>
      <c r="N6063" t="s">
        <v>64</v>
      </c>
      <c r="Q6063">
        <v>26488</v>
      </c>
      <c r="R6063" t="s">
        <v>322</v>
      </c>
      <c r="S6063" t="s">
        <v>21408</v>
      </c>
      <c r="T6063">
        <v>27</v>
      </c>
      <c r="V6063" s="1">
        <v>45243</v>
      </c>
      <c r="W6063" t="s">
        <v>26915</v>
      </c>
      <c r="X6063">
        <v>803870</v>
      </c>
      <c r="Y6063" t="s">
        <v>1716</v>
      </c>
      <c r="Z6063" t="s">
        <v>1716</v>
      </c>
      <c r="AA6063" s="2" t="s">
        <v>36684</v>
      </c>
      <c r="AB6063" t="s">
        <v>70</v>
      </c>
      <c r="AC6063" t="s">
        <v>1716</v>
      </c>
      <c r="AD6063" s="2" t="s">
        <v>36685</v>
      </c>
      <c r="AE6063">
        <v>10822</v>
      </c>
      <c r="AG6063" t="s">
        <v>36686</v>
      </c>
      <c r="AH6063" t="s">
        <v>21413</v>
      </c>
      <c r="AI6063" t="s">
        <v>36687</v>
      </c>
    </row>
    <row r="6064" spans="2:35" ht="315">
      <c r="B6064" s="1">
        <v>45247</v>
      </c>
      <c r="C6064" s="4">
        <v>45247.491666666669</v>
      </c>
      <c r="D6064" t="s">
        <v>2773</v>
      </c>
      <c r="E6064" t="s">
        <v>2774</v>
      </c>
      <c r="F6064">
        <v>2</v>
      </c>
      <c r="G6064" t="s">
        <v>2723</v>
      </c>
      <c r="H6064" t="s">
        <v>21406</v>
      </c>
      <c r="I6064" t="s">
        <v>40</v>
      </c>
      <c r="J6064" s="2" t="s">
        <v>36238</v>
      </c>
      <c r="K6064" t="s">
        <v>42</v>
      </c>
      <c r="L6064" t="s">
        <v>63</v>
      </c>
      <c r="N6064" t="s">
        <v>64</v>
      </c>
      <c r="Q6064">
        <v>26487</v>
      </c>
      <c r="R6064" t="s">
        <v>322</v>
      </c>
      <c r="S6064" t="s">
        <v>21408</v>
      </c>
      <c r="T6064">
        <v>27</v>
      </c>
      <c r="V6064" s="1">
        <v>45243</v>
      </c>
      <c r="W6064" t="s">
        <v>26915</v>
      </c>
      <c r="X6064">
        <v>803870</v>
      </c>
      <c r="Y6064" t="s">
        <v>1716</v>
      </c>
      <c r="Z6064" t="s">
        <v>1716</v>
      </c>
      <c r="AA6064" s="2" t="s">
        <v>36684</v>
      </c>
      <c r="AB6064" t="s">
        <v>70</v>
      </c>
      <c r="AC6064" t="s">
        <v>1716</v>
      </c>
      <c r="AD6064" s="2" t="s">
        <v>36685</v>
      </c>
      <c r="AE6064">
        <v>10822</v>
      </c>
      <c r="AG6064" t="s">
        <v>36688</v>
      </c>
      <c r="AH6064" t="s">
        <v>21413</v>
      </c>
      <c r="AI6064" t="s">
        <v>36689</v>
      </c>
    </row>
    <row r="6065" spans="2:35" ht="315">
      <c r="B6065" s="1">
        <v>45247</v>
      </c>
      <c r="C6065" s="4">
        <v>45247.491666666669</v>
      </c>
      <c r="D6065" t="s">
        <v>2773</v>
      </c>
      <c r="E6065" t="s">
        <v>2774</v>
      </c>
      <c r="F6065">
        <v>2</v>
      </c>
      <c r="G6065" t="s">
        <v>2723</v>
      </c>
      <c r="H6065" t="s">
        <v>21406</v>
      </c>
      <c r="I6065" t="s">
        <v>40</v>
      </c>
      <c r="J6065" s="2" t="s">
        <v>36238</v>
      </c>
      <c r="K6065" t="s">
        <v>42</v>
      </c>
      <c r="L6065" t="s">
        <v>63</v>
      </c>
      <c r="N6065" t="s">
        <v>64</v>
      </c>
      <c r="Q6065">
        <v>26486</v>
      </c>
      <c r="R6065" t="s">
        <v>322</v>
      </c>
      <c r="S6065" t="s">
        <v>21408</v>
      </c>
      <c r="T6065">
        <v>27</v>
      </c>
      <c r="V6065" s="1">
        <v>45243</v>
      </c>
      <c r="W6065" t="s">
        <v>26915</v>
      </c>
      <c r="X6065">
        <v>803870</v>
      </c>
      <c r="Y6065" t="s">
        <v>1716</v>
      </c>
      <c r="Z6065" t="s">
        <v>1716</v>
      </c>
      <c r="AA6065" s="2" t="s">
        <v>36684</v>
      </c>
      <c r="AB6065" t="s">
        <v>70</v>
      </c>
      <c r="AC6065" t="s">
        <v>1716</v>
      </c>
      <c r="AD6065" s="2" t="s">
        <v>36685</v>
      </c>
      <c r="AE6065">
        <v>10822</v>
      </c>
      <c r="AG6065" t="s">
        <v>36690</v>
      </c>
      <c r="AH6065" t="s">
        <v>21413</v>
      </c>
      <c r="AI6065" t="s">
        <v>36691</v>
      </c>
    </row>
    <row r="6066" spans="2:35" ht="120">
      <c r="B6066" s="1">
        <v>45247</v>
      </c>
      <c r="C6066" s="4">
        <v>45247.464583333334</v>
      </c>
      <c r="D6066" t="s">
        <v>2233</v>
      </c>
      <c r="E6066" t="s">
        <v>718</v>
      </c>
      <c r="F6066">
        <v>7</v>
      </c>
      <c r="G6066" t="s">
        <v>432</v>
      </c>
      <c r="H6066" t="s">
        <v>39</v>
      </c>
      <c r="I6066" t="s">
        <v>94</v>
      </c>
      <c r="J6066" s="2" t="s">
        <v>1157</v>
      </c>
      <c r="K6066" t="s">
        <v>42</v>
      </c>
      <c r="L6066" t="s">
        <v>594</v>
      </c>
      <c r="N6066" t="s">
        <v>595</v>
      </c>
      <c r="O6066" t="s">
        <v>595</v>
      </c>
      <c r="Q6066">
        <v>26485</v>
      </c>
      <c r="R6066" t="s">
        <v>119</v>
      </c>
      <c r="S6066" t="s">
        <v>36692</v>
      </c>
      <c r="T6066">
        <v>23</v>
      </c>
      <c r="V6066" s="1">
        <v>45247</v>
      </c>
      <c r="W6066" t="s">
        <v>360</v>
      </c>
      <c r="X6066">
        <v>838564</v>
      </c>
      <c r="Y6066" t="s">
        <v>36693</v>
      </c>
      <c r="Z6066" t="s">
        <v>36694</v>
      </c>
      <c r="AA6066" s="2" t="s">
        <v>36695</v>
      </c>
      <c r="AB6066" t="s">
        <v>36696</v>
      </c>
      <c r="AG6066" t="s">
        <v>36697</v>
      </c>
      <c r="AH6066" t="s">
        <v>36698</v>
      </c>
      <c r="AI6066" t="s">
        <v>36699</v>
      </c>
    </row>
    <row r="6067" spans="2:35" ht="210">
      <c r="B6067" s="1">
        <v>45247</v>
      </c>
      <c r="C6067" s="4">
        <v>45247.412499999999</v>
      </c>
      <c r="D6067" t="s">
        <v>36700</v>
      </c>
      <c r="E6067" t="s">
        <v>36701</v>
      </c>
      <c r="F6067" t="s">
        <v>1181</v>
      </c>
      <c r="G6067" t="s">
        <v>1182</v>
      </c>
      <c r="H6067" t="s">
        <v>61</v>
      </c>
      <c r="I6067" t="s">
        <v>40</v>
      </c>
      <c r="J6067" s="2" t="s">
        <v>1808</v>
      </c>
      <c r="K6067" t="s">
        <v>42</v>
      </c>
      <c r="L6067" t="s">
        <v>15532</v>
      </c>
      <c r="N6067" t="s">
        <v>15533</v>
      </c>
      <c r="Q6067">
        <v>26484</v>
      </c>
      <c r="R6067" t="s">
        <v>45</v>
      </c>
      <c r="S6067" t="s">
        <v>4865</v>
      </c>
      <c r="T6067">
        <v>29</v>
      </c>
      <c r="W6067" t="s">
        <v>36702</v>
      </c>
      <c r="X6067">
        <v>120000182</v>
      </c>
      <c r="Y6067" t="s">
        <v>36703</v>
      </c>
      <c r="Z6067" s="2" t="s">
        <v>36704</v>
      </c>
      <c r="AA6067" t="s">
        <v>36705</v>
      </c>
      <c r="AB6067" s="2" t="s">
        <v>36706</v>
      </c>
      <c r="AG6067" t="s">
        <v>36707</v>
      </c>
      <c r="AH6067" t="s">
        <v>21742</v>
      </c>
      <c r="AI6067" t="s">
        <v>36708</v>
      </c>
    </row>
    <row r="6068" spans="2:35" ht="165">
      <c r="B6068" s="1">
        <v>45247</v>
      </c>
      <c r="C6068" s="4">
        <v>45247.324305555558</v>
      </c>
      <c r="D6068" t="s">
        <v>10321</v>
      </c>
      <c r="E6068" t="s">
        <v>10322</v>
      </c>
      <c r="F6068">
        <v>2</v>
      </c>
      <c r="G6068" t="s">
        <v>2723</v>
      </c>
      <c r="H6068" t="s">
        <v>39</v>
      </c>
      <c r="I6068" t="s">
        <v>40</v>
      </c>
      <c r="J6068" s="2" t="s">
        <v>41</v>
      </c>
      <c r="K6068" t="s">
        <v>42</v>
      </c>
      <c r="L6068" t="s">
        <v>63</v>
      </c>
      <c r="N6068" t="s">
        <v>64</v>
      </c>
      <c r="Q6068">
        <v>26483</v>
      </c>
      <c r="R6068" t="s">
        <v>45</v>
      </c>
      <c r="S6068" t="s">
        <v>19732</v>
      </c>
      <c r="T6068">
        <v>25</v>
      </c>
      <c r="U6068" s="2" t="s">
        <v>36709</v>
      </c>
      <c r="V6068" s="1">
        <v>45247</v>
      </c>
      <c r="W6068" t="s">
        <v>26915</v>
      </c>
      <c r="X6068">
        <v>835092</v>
      </c>
      <c r="Y6068" t="s">
        <v>35847</v>
      </c>
      <c r="Z6068" t="s">
        <v>36710</v>
      </c>
      <c r="AA6068" s="2" t="s">
        <v>1727</v>
      </c>
      <c r="AB6068" t="s">
        <v>70</v>
      </c>
      <c r="AC6068" t="s">
        <v>1716</v>
      </c>
      <c r="AD6068" t="s">
        <v>6397</v>
      </c>
      <c r="AE6068" t="s">
        <v>1716</v>
      </c>
      <c r="AG6068" t="s">
        <v>36711</v>
      </c>
      <c r="AH6068" t="s">
        <v>19737</v>
      </c>
      <c r="AI6068" t="s">
        <v>36712</v>
      </c>
    </row>
    <row r="6069" spans="2:35" ht="409.5">
      <c r="B6069" s="1">
        <v>45247</v>
      </c>
      <c r="C6069" s="4">
        <v>45246.605555555558</v>
      </c>
      <c r="D6069" t="s">
        <v>36713</v>
      </c>
      <c r="E6069" t="s">
        <v>36714</v>
      </c>
      <c r="F6069" t="s">
        <v>148</v>
      </c>
      <c r="G6069" t="s">
        <v>2007</v>
      </c>
      <c r="H6069" t="s">
        <v>662</v>
      </c>
      <c r="I6069" t="s">
        <v>40</v>
      </c>
      <c r="J6069" s="2" t="s">
        <v>62</v>
      </c>
      <c r="K6069" t="s">
        <v>42</v>
      </c>
      <c r="L6069" t="s">
        <v>448</v>
      </c>
      <c r="N6069" t="s">
        <v>36715</v>
      </c>
      <c r="O6069" t="s">
        <v>2008</v>
      </c>
      <c r="Q6069">
        <v>26482</v>
      </c>
      <c r="R6069" t="s">
        <v>95</v>
      </c>
      <c r="S6069" t="s">
        <v>36716</v>
      </c>
      <c r="T6069">
        <v>28</v>
      </c>
      <c r="U6069" s="2" t="s">
        <v>36717</v>
      </c>
      <c r="V6069" s="1">
        <v>45244</v>
      </c>
      <c r="W6069" t="s">
        <v>6504</v>
      </c>
      <c r="X6069">
        <v>110001647</v>
      </c>
      <c r="Y6069" t="s">
        <v>6494</v>
      </c>
      <c r="Z6069" s="2" t="s">
        <v>3071</v>
      </c>
      <c r="AA6069" t="s">
        <v>28936</v>
      </c>
      <c r="AB6069" t="s">
        <v>36718</v>
      </c>
      <c r="AD6069" t="s">
        <v>11518</v>
      </c>
      <c r="AE6069">
        <v>10826</v>
      </c>
      <c r="AG6069" t="s">
        <v>36719</v>
      </c>
      <c r="AH6069" t="s">
        <v>36720</v>
      </c>
      <c r="AI6069" t="s">
        <v>36721</v>
      </c>
    </row>
    <row r="6070" spans="2:35" ht="210">
      <c r="B6070" s="1">
        <v>45246</v>
      </c>
      <c r="C6070" s="4">
        <v>45246.581944444442</v>
      </c>
      <c r="D6070" t="s">
        <v>22809</v>
      </c>
      <c r="E6070" t="s">
        <v>36722</v>
      </c>
      <c r="F6070" t="s">
        <v>148</v>
      </c>
      <c r="G6070" t="s">
        <v>544</v>
      </c>
      <c r="H6070" t="s">
        <v>39</v>
      </c>
      <c r="I6070" t="s">
        <v>40</v>
      </c>
      <c r="J6070" s="2" t="s">
        <v>31986</v>
      </c>
      <c r="K6070" t="s">
        <v>42</v>
      </c>
      <c r="L6070" t="s">
        <v>43</v>
      </c>
      <c r="N6070" t="s">
        <v>44</v>
      </c>
      <c r="Q6070">
        <v>26481</v>
      </c>
      <c r="R6070" t="s">
        <v>45</v>
      </c>
      <c r="S6070" t="s">
        <v>26395</v>
      </c>
      <c r="T6070">
        <v>25</v>
      </c>
      <c r="U6070" s="2" t="s">
        <v>36723</v>
      </c>
      <c r="W6070" t="s">
        <v>48</v>
      </c>
      <c r="X6070">
        <v>807982</v>
      </c>
      <c r="Y6070" t="s">
        <v>121</v>
      </c>
      <c r="Z6070" t="s">
        <v>122</v>
      </c>
      <c r="AA6070" s="2" t="s">
        <v>33688</v>
      </c>
      <c r="AB6070" t="s">
        <v>88</v>
      </c>
      <c r="AG6070" t="s">
        <v>36724</v>
      </c>
      <c r="AH6070" t="s">
        <v>26399</v>
      </c>
      <c r="AI6070" t="s">
        <v>36725</v>
      </c>
    </row>
    <row r="6071" spans="2:35" ht="285">
      <c r="B6071" s="1">
        <v>45246</v>
      </c>
      <c r="C6071" s="4">
        <v>45246.574999999997</v>
      </c>
      <c r="D6071" t="s">
        <v>36726</v>
      </c>
      <c r="E6071" t="s">
        <v>31780</v>
      </c>
      <c r="F6071">
        <v>8</v>
      </c>
      <c r="G6071" t="s">
        <v>342</v>
      </c>
      <c r="H6071" t="s">
        <v>39</v>
      </c>
      <c r="I6071" t="s">
        <v>40</v>
      </c>
      <c r="J6071" s="2" t="s">
        <v>190</v>
      </c>
      <c r="K6071" t="s">
        <v>42</v>
      </c>
      <c r="L6071" t="s">
        <v>259</v>
      </c>
      <c r="N6071" t="s">
        <v>260</v>
      </c>
      <c r="O6071" t="s">
        <v>36727</v>
      </c>
      <c r="Q6071">
        <v>26480</v>
      </c>
      <c r="R6071" t="s">
        <v>45</v>
      </c>
      <c r="S6071" t="s">
        <v>36728</v>
      </c>
      <c r="T6071">
        <v>26</v>
      </c>
      <c r="U6071" s="2" t="s">
        <v>36729</v>
      </c>
      <c r="V6071" s="1">
        <v>45246</v>
      </c>
      <c r="W6071" t="s">
        <v>84</v>
      </c>
      <c r="X6071">
        <v>808631</v>
      </c>
      <c r="Y6071" t="s">
        <v>36730</v>
      </c>
      <c r="Z6071" t="e">
        <f ca="1">- Troubleshooting
- Preventive Maintenance</f>
        <v>#NAME?</v>
      </c>
      <c r="AA6071" t="e">
        <f ca="1">- performed Troubleshooting on module B4
    - checked the LAN cable connection (connected)
    - checked the ultrasonic wire cable on B4(disconnected/defective)
- cleaned ALL cartridge bay
- performed Preventive Maintenance
- ARCHIVE Data
- Generate reports</f>
        <v>#NAME?</v>
      </c>
      <c r="AB6071" s="2" t="s">
        <v>36731</v>
      </c>
      <c r="AC6071" t="s">
        <v>2165</v>
      </c>
      <c r="AG6071" t="s">
        <v>36732</v>
      </c>
      <c r="AH6071" t="s">
        <v>36733</v>
      </c>
      <c r="AI6071" t="s">
        <v>36734</v>
      </c>
    </row>
    <row r="6072" spans="2:35" ht="90">
      <c r="B6072" s="1">
        <v>45246</v>
      </c>
      <c r="C6072" s="4">
        <v>45246.558333333334</v>
      </c>
      <c r="D6072" t="s">
        <v>5546</v>
      </c>
      <c r="E6072" t="s">
        <v>1555</v>
      </c>
      <c r="F6072">
        <v>7</v>
      </c>
      <c r="G6072" t="s">
        <v>432</v>
      </c>
      <c r="H6072" t="s">
        <v>39</v>
      </c>
      <c r="I6072" t="s">
        <v>40</v>
      </c>
      <c r="J6072" s="2" t="s">
        <v>355</v>
      </c>
      <c r="K6072" t="s">
        <v>42</v>
      </c>
      <c r="L6072" t="s">
        <v>433</v>
      </c>
      <c r="N6072" t="s">
        <v>434</v>
      </c>
      <c r="Q6072">
        <v>26479</v>
      </c>
      <c r="R6072" t="s">
        <v>95</v>
      </c>
      <c r="S6072" t="s">
        <v>28609</v>
      </c>
      <c r="T6072">
        <v>28</v>
      </c>
      <c r="W6072" t="s">
        <v>1008</v>
      </c>
      <c r="X6072">
        <v>829419</v>
      </c>
      <c r="Y6072" t="s">
        <v>36735</v>
      </c>
      <c r="Z6072" t="s">
        <v>36736</v>
      </c>
      <c r="AA6072" t="s">
        <v>36736</v>
      </c>
      <c r="AB6072" t="s">
        <v>1011</v>
      </c>
      <c r="AG6072" t="s">
        <v>36737</v>
      </c>
      <c r="AH6072" t="s">
        <v>36738</v>
      </c>
      <c r="AI6072" t="s">
        <v>36739</v>
      </c>
    </row>
    <row r="6073" spans="2:35" ht="120">
      <c r="B6073" s="1">
        <v>45246</v>
      </c>
      <c r="C6073" s="4">
        <v>45246.504166666666</v>
      </c>
      <c r="D6073" t="s">
        <v>8357</v>
      </c>
      <c r="E6073" t="s">
        <v>17681</v>
      </c>
      <c r="F6073">
        <v>10</v>
      </c>
      <c r="G6073" t="s">
        <v>8359</v>
      </c>
      <c r="H6073" t="s">
        <v>2125</v>
      </c>
      <c r="I6073" t="s">
        <v>40</v>
      </c>
      <c r="J6073" s="2" t="s">
        <v>62</v>
      </c>
      <c r="K6073" t="s">
        <v>42</v>
      </c>
      <c r="L6073" t="s">
        <v>933</v>
      </c>
      <c r="N6073" t="s">
        <v>934</v>
      </c>
      <c r="Q6073">
        <v>26478</v>
      </c>
      <c r="R6073" t="s">
        <v>119</v>
      </c>
      <c r="S6073" t="s">
        <v>17682</v>
      </c>
      <c r="T6073">
        <v>30</v>
      </c>
      <c r="U6073" s="2" t="s">
        <v>36740</v>
      </c>
      <c r="V6073" s="1">
        <v>45141</v>
      </c>
      <c r="W6073" t="s">
        <v>3662</v>
      </c>
      <c r="X6073">
        <v>838566</v>
      </c>
      <c r="Y6073" t="s">
        <v>301</v>
      </c>
      <c r="Z6073" t="s">
        <v>301</v>
      </c>
      <c r="AA6073" s="2" t="s">
        <v>2397</v>
      </c>
      <c r="AB6073" t="s">
        <v>13650</v>
      </c>
      <c r="AD6073" s="2" t="s">
        <v>36741</v>
      </c>
      <c r="AE6073">
        <v>10454</v>
      </c>
      <c r="AG6073" t="s">
        <v>36742</v>
      </c>
      <c r="AH6073" t="s">
        <v>36743</v>
      </c>
      <c r="AI6073" t="s">
        <v>36744</v>
      </c>
    </row>
    <row r="6074" spans="2:35" ht="255">
      <c r="B6074" s="1">
        <v>45246</v>
      </c>
      <c r="C6074" s="4">
        <v>45246.489583333336</v>
      </c>
      <c r="D6074" t="s">
        <v>542</v>
      </c>
      <c r="E6074" t="s">
        <v>28594</v>
      </c>
      <c r="F6074" t="s">
        <v>148</v>
      </c>
      <c r="G6074" t="s">
        <v>544</v>
      </c>
      <c r="H6074" t="s">
        <v>39</v>
      </c>
      <c r="I6074" t="s">
        <v>40</v>
      </c>
      <c r="J6074" t="s">
        <v>109</v>
      </c>
      <c r="K6074" t="s">
        <v>42</v>
      </c>
      <c r="L6074" t="s">
        <v>43</v>
      </c>
      <c r="N6074" t="s">
        <v>44</v>
      </c>
      <c r="Q6074">
        <v>26477</v>
      </c>
      <c r="R6074" t="s">
        <v>45</v>
      </c>
      <c r="S6074" t="s">
        <v>15929</v>
      </c>
      <c r="T6074">
        <v>24</v>
      </c>
      <c r="U6074" s="2" t="s">
        <v>36745</v>
      </c>
      <c r="W6074" t="s">
        <v>48</v>
      </c>
      <c r="X6074">
        <v>805211</v>
      </c>
      <c r="Y6074" t="s">
        <v>36746</v>
      </c>
      <c r="Z6074" t="s">
        <v>36747</v>
      </c>
      <c r="AA6074" s="2" t="s">
        <v>36748</v>
      </c>
      <c r="AB6074" t="s">
        <v>36749</v>
      </c>
      <c r="AG6074" t="s">
        <v>36750</v>
      </c>
      <c r="AH6074" t="s">
        <v>19310</v>
      </c>
      <c r="AI6074" t="s">
        <v>36751</v>
      </c>
    </row>
    <row r="6075" spans="2:35" ht="270">
      <c r="B6075" s="1">
        <v>45246</v>
      </c>
      <c r="C6075" s="4">
        <v>45246.493055555555</v>
      </c>
      <c r="D6075" t="s">
        <v>542</v>
      </c>
      <c r="E6075" t="s">
        <v>28584</v>
      </c>
      <c r="F6075" t="s">
        <v>148</v>
      </c>
      <c r="G6075" t="s">
        <v>544</v>
      </c>
      <c r="H6075" t="s">
        <v>39</v>
      </c>
      <c r="I6075" t="s">
        <v>40</v>
      </c>
      <c r="J6075" s="2" t="s">
        <v>6184</v>
      </c>
      <c r="K6075" t="s">
        <v>42</v>
      </c>
      <c r="L6075" t="s">
        <v>43</v>
      </c>
      <c r="N6075" t="s">
        <v>44</v>
      </c>
      <c r="Q6075">
        <v>26476</v>
      </c>
      <c r="R6075" t="s">
        <v>322</v>
      </c>
      <c r="S6075" t="s">
        <v>15929</v>
      </c>
      <c r="T6075">
        <v>24</v>
      </c>
      <c r="U6075" s="2" t="s">
        <v>36752</v>
      </c>
      <c r="W6075" t="s">
        <v>153</v>
      </c>
      <c r="X6075">
        <v>110016107</v>
      </c>
      <c r="Y6075" t="s">
        <v>4709</v>
      </c>
      <c r="Z6075" t="s">
        <v>6440</v>
      </c>
      <c r="AA6075" s="2" t="s">
        <v>36753</v>
      </c>
      <c r="AB6075" t="s">
        <v>16412</v>
      </c>
      <c r="AG6075" t="s">
        <v>36754</v>
      </c>
      <c r="AH6075" t="s">
        <v>19310</v>
      </c>
      <c r="AI6075" t="s">
        <v>36755</v>
      </c>
    </row>
    <row r="6076" spans="2:35" ht="165">
      <c r="B6076" s="1">
        <v>45246</v>
      </c>
      <c r="C6076" s="4">
        <v>45246.473611111112</v>
      </c>
      <c r="D6076" t="s">
        <v>29917</v>
      </c>
      <c r="E6076" t="s">
        <v>29918</v>
      </c>
      <c r="F6076" t="s">
        <v>511</v>
      </c>
      <c r="G6076" t="s">
        <v>20778</v>
      </c>
      <c r="H6076" t="s">
        <v>39</v>
      </c>
      <c r="I6076" t="s">
        <v>40</v>
      </c>
      <c r="J6076" s="2" t="s">
        <v>41</v>
      </c>
      <c r="K6076" t="s">
        <v>42</v>
      </c>
      <c r="L6076" t="s">
        <v>63</v>
      </c>
      <c r="N6076" t="s">
        <v>64</v>
      </c>
      <c r="Q6076">
        <v>26475</v>
      </c>
      <c r="R6076" t="s">
        <v>45</v>
      </c>
      <c r="S6076" t="s">
        <v>36756</v>
      </c>
      <c r="T6076">
        <v>25</v>
      </c>
      <c r="U6076" s="2" t="s">
        <v>36757</v>
      </c>
      <c r="V6076" s="1">
        <v>45246</v>
      </c>
      <c r="W6076" t="s">
        <v>26915</v>
      </c>
      <c r="X6076">
        <v>807609</v>
      </c>
      <c r="Y6076" t="s">
        <v>36758</v>
      </c>
      <c r="Z6076" t="s">
        <v>36759</v>
      </c>
      <c r="AA6076" s="2" t="s">
        <v>1727</v>
      </c>
      <c r="AB6076" t="s">
        <v>70</v>
      </c>
      <c r="AC6076" t="s">
        <v>1716</v>
      </c>
      <c r="AD6076" t="s">
        <v>36760</v>
      </c>
      <c r="AE6076" t="s">
        <v>1716</v>
      </c>
      <c r="AG6076" t="s">
        <v>36761</v>
      </c>
      <c r="AH6076" t="s">
        <v>36762</v>
      </c>
      <c r="AI6076" t="s">
        <v>36763</v>
      </c>
    </row>
    <row r="6077" spans="2:35" ht="135">
      <c r="B6077" s="1">
        <v>45246</v>
      </c>
      <c r="C6077" s="4">
        <v>45246.364583333336</v>
      </c>
      <c r="D6077" t="s">
        <v>509</v>
      </c>
      <c r="E6077" t="s">
        <v>510</v>
      </c>
      <c r="F6077" t="s">
        <v>511</v>
      </c>
      <c r="G6077" t="s">
        <v>512</v>
      </c>
      <c r="H6077" t="s">
        <v>513</v>
      </c>
      <c r="I6077" t="s">
        <v>40</v>
      </c>
      <c r="J6077" s="2" t="s">
        <v>62</v>
      </c>
      <c r="K6077" t="s">
        <v>387</v>
      </c>
      <c r="L6077" t="s">
        <v>175</v>
      </c>
      <c r="N6077" t="s">
        <v>176</v>
      </c>
      <c r="Q6077">
        <v>26474</v>
      </c>
      <c r="R6077" t="s">
        <v>95</v>
      </c>
      <c r="S6077" t="s">
        <v>36764</v>
      </c>
      <c r="T6077">
        <v>25</v>
      </c>
      <c r="W6077" t="s">
        <v>390</v>
      </c>
      <c r="X6077" t="s">
        <v>515</v>
      </c>
      <c r="Y6077" t="s">
        <v>998</v>
      </c>
      <c r="Z6077" t="e">
        <f ca="1">- checked rotor roller pumps
- checked CALIBRATION parameters
- adjusted SPM, DPM full scale val
- performed self test
- cleaned machine surface</f>
        <v>#NAME?</v>
      </c>
      <c r="AA6077" t="s">
        <v>5230</v>
      </c>
      <c r="AB6077" s="2" t="s">
        <v>36765</v>
      </c>
      <c r="AC6077" t="s">
        <v>36766</v>
      </c>
      <c r="AG6077" t="s">
        <v>36767</v>
      </c>
      <c r="AH6077" t="s">
        <v>36768</v>
      </c>
      <c r="AI6077" t="s">
        <v>36769</v>
      </c>
    </row>
    <row r="6078" spans="2:35" ht="409.5">
      <c r="B6078" s="1">
        <v>45245</v>
      </c>
      <c r="C6078" s="4">
        <v>45245.986805555556</v>
      </c>
      <c r="D6078" t="s">
        <v>7343</v>
      </c>
      <c r="E6078" t="s">
        <v>13747</v>
      </c>
      <c r="F6078">
        <v>11</v>
      </c>
      <c r="G6078" t="s">
        <v>4297</v>
      </c>
      <c r="H6078" t="s">
        <v>202</v>
      </c>
      <c r="I6078" t="s">
        <v>40</v>
      </c>
      <c r="J6078" s="2" t="s">
        <v>1157</v>
      </c>
      <c r="K6078" t="s">
        <v>42</v>
      </c>
      <c r="L6078" t="s">
        <v>204</v>
      </c>
      <c r="N6078" t="s">
        <v>205</v>
      </c>
      <c r="Q6078">
        <v>26473</v>
      </c>
      <c r="R6078" t="s">
        <v>119</v>
      </c>
      <c r="S6078" t="s">
        <v>13748</v>
      </c>
      <c r="T6078">
        <v>28.6</v>
      </c>
      <c r="V6078" s="1">
        <v>45141</v>
      </c>
      <c r="W6078" t="s">
        <v>24154</v>
      </c>
      <c r="X6078">
        <v>838460</v>
      </c>
      <c r="Y6078" s="2" t="s">
        <v>36770</v>
      </c>
      <c r="Z6078" s="2" t="s">
        <v>36771</v>
      </c>
      <c r="AA6078" s="2" t="s">
        <v>36772</v>
      </c>
      <c r="AB6078" s="2" t="s">
        <v>36773</v>
      </c>
      <c r="AC6078" t="s">
        <v>36774</v>
      </c>
      <c r="AD6078" t="s">
        <v>18192</v>
      </c>
      <c r="AE6078">
        <v>10439</v>
      </c>
      <c r="AG6078" t="s">
        <v>36775</v>
      </c>
      <c r="AH6078" t="s">
        <v>36776</v>
      </c>
      <c r="AI6078" t="s">
        <v>36777</v>
      </c>
    </row>
    <row r="6079" spans="2:35" ht="90">
      <c r="B6079" s="1">
        <v>45245</v>
      </c>
      <c r="C6079" s="4">
        <v>45245.755555555559</v>
      </c>
      <c r="D6079" t="s">
        <v>36439</v>
      </c>
      <c r="E6079" t="s">
        <v>36778</v>
      </c>
      <c r="F6079" t="s">
        <v>148</v>
      </c>
      <c r="G6079" t="s">
        <v>447</v>
      </c>
      <c r="H6079" t="s">
        <v>39</v>
      </c>
      <c r="I6079" t="s">
        <v>40</v>
      </c>
      <c r="J6079" t="s">
        <v>321</v>
      </c>
      <c r="K6079" t="s">
        <v>42</v>
      </c>
      <c r="L6079" t="s">
        <v>15532</v>
      </c>
      <c r="N6079" t="s">
        <v>15533</v>
      </c>
      <c r="Q6079">
        <v>26472</v>
      </c>
      <c r="R6079" t="s">
        <v>322</v>
      </c>
      <c r="S6079" t="s">
        <v>36441</v>
      </c>
      <c r="T6079">
        <v>29</v>
      </c>
      <c r="W6079" t="s">
        <v>2766</v>
      </c>
      <c r="X6079">
        <v>120000140</v>
      </c>
      <c r="Y6079" t="s">
        <v>750</v>
      </c>
      <c r="Z6079" t="s">
        <v>36779</v>
      </c>
      <c r="AA6079" t="s">
        <v>36780</v>
      </c>
      <c r="AB6079" s="2" t="s">
        <v>15539</v>
      </c>
      <c r="AG6079" t="s">
        <v>36781</v>
      </c>
      <c r="AH6079" t="s">
        <v>36782</v>
      </c>
      <c r="AI6079" t="s">
        <v>36783</v>
      </c>
    </row>
    <row r="6080" spans="2:35" ht="165">
      <c r="B6080" s="1">
        <v>45245</v>
      </c>
      <c r="C6080" s="4">
        <v>45245.70416666667</v>
      </c>
      <c r="D6080" t="s">
        <v>36784</v>
      </c>
      <c r="E6080" t="s">
        <v>36785</v>
      </c>
      <c r="F6080" t="s">
        <v>148</v>
      </c>
      <c r="G6080" t="s">
        <v>447</v>
      </c>
      <c r="H6080" t="s">
        <v>386</v>
      </c>
      <c r="I6080" t="s">
        <v>40</v>
      </c>
      <c r="J6080" s="2" t="s">
        <v>1157</v>
      </c>
      <c r="K6080" t="s">
        <v>387</v>
      </c>
      <c r="L6080" t="s">
        <v>409</v>
      </c>
      <c r="N6080" t="s">
        <v>410</v>
      </c>
      <c r="Q6080">
        <v>26471</v>
      </c>
      <c r="R6080" t="s">
        <v>95</v>
      </c>
      <c r="S6080" t="s">
        <v>36786</v>
      </c>
      <c r="T6080">
        <v>25</v>
      </c>
      <c r="W6080" t="s">
        <v>390</v>
      </c>
      <c r="X6080" t="s">
        <v>14922</v>
      </c>
      <c r="Y6080" t="s">
        <v>36787</v>
      </c>
      <c r="Z6080" t="s">
        <v>36788</v>
      </c>
      <c r="AA6080" s="2" t="s">
        <v>36789</v>
      </c>
      <c r="AB6080" t="s">
        <v>181</v>
      </c>
      <c r="AG6080" t="s">
        <v>36790</v>
      </c>
      <c r="AH6080" t="s">
        <v>36791</v>
      </c>
      <c r="AI6080" t="s">
        <v>36792</v>
      </c>
    </row>
    <row r="6081" spans="2:35" ht="105">
      <c r="B6081" s="1">
        <v>45245</v>
      </c>
      <c r="C6081" s="4">
        <v>45245.629166666666</v>
      </c>
      <c r="D6081" t="s">
        <v>3970</v>
      </c>
      <c r="E6081" t="s">
        <v>36793</v>
      </c>
      <c r="F6081">
        <v>9</v>
      </c>
      <c r="G6081" t="s">
        <v>2197</v>
      </c>
      <c r="H6081" t="s">
        <v>36794</v>
      </c>
      <c r="I6081" t="s">
        <v>40</v>
      </c>
      <c r="J6081" s="2" t="s">
        <v>62</v>
      </c>
      <c r="K6081" t="s">
        <v>42</v>
      </c>
      <c r="L6081" t="s">
        <v>1257</v>
      </c>
      <c r="N6081" t="s">
        <v>1258</v>
      </c>
      <c r="O6081" t="s">
        <v>1258</v>
      </c>
      <c r="Q6081">
        <v>26470</v>
      </c>
      <c r="R6081" t="s">
        <v>119</v>
      </c>
      <c r="S6081" t="s">
        <v>3972</v>
      </c>
      <c r="T6081">
        <v>23</v>
      </c>
      <c r="U6081" s="2" t="s">
        <v>2341</v>
      </c>
      <c r="V6081" s="1">
        <v>45245</v>
      </c>
      <c r="W6081" t="s">
        <v>2384</v>
      </c>
      <c r="X6081">
        <v>838233</v>
      </c>
      <c r="Y6081" t="s">
        <v>30734</v>
      </c>
      <c r="Z6081" t="s">
        <v>36795</v>
      </c>
      <c r="AA6081" t="s">
        <v>36795</v>
      </c>
      <c r="AB6081" t="s">
        <v>36796</v>
      </c>
      <c r="AC6081" t="s">
        <v>31606</v>
      </c>
      <c r="AD6081" t="s">
        <v>54</v>
      </c>
      <c r="AE6081" t="s">
        <v>54</v>
      </c>
      <c r="AG6081" t="s">
        <v>36797</v>
      </c>
      <c r="AH6081" t="s">
        <v>32782</v>
      </c>
      <c r="AI6081" t="s">
        <v>36798</v>
      </c>
    </row>
    <row r="6082" spans="2:35" ht="240">
      <c r="B6082" s="1">
        <v>45245</v>
      </c>
      <c r="C6082" s="4">
        <v>45245.595138888886</v>
      </c>
      <c r="D6082" t="s">
        <v>146</v>
      </c>
      <c r="E6082" t="s">
        <v>28717</v>
      </c>
      <c r="F6082" t="s">
        <v>148</v>
      </c>
      <c r="G6082" t="s">
        <v>149</v>
      </c>
      <c r="H6082" t="s">
        <v>386</v>
      </c>
      <c r="I6082" t="s">
        <v>40</v>
      </c>
      <c r="J6082" s="2" t="s">
        <v>62</v>
      </c>
      <c r="K6082" t="s">
        <v>387</v>
      </c>
      <c r="L6082" t="s">
        <v>43</v>
      </c>
      <c r="N6082" t="s">
        <v>44</v>
      </c>
      <c r="O6082" t="s">
        <v>388</v>
      </c>
      <c r="Q6082">
        <v>26469</v>
      </c>
      <c r="R6082" t="s">
        <v>95</v>
      </c>
      <c r="S6082" t="s">
        <v>20736</v>
      </c>
      <c r="T6082">
        <v>25</v>
      </c>
      <c r="W6082" t="s">
        <v>390</v>
      </c>
      <c r="X6082" t="s">
        <v>391</v>
      </c>
      <c r="Y6082" t="s">
        <v>9934</v>
      </c>
      <c r="Z6082" t="s">
        <v>17309</v>
      </c>
      <c r="AA6082" s="2" t="s">
        <v>36799</v>
      </c>
      <c r="AB6082" t="s">
        <v>88</v>
      </c>
      <c r="AG6082" t="s">
        <v>36800</v>
      </c>
      <c r="AH6082" t="s">
        <v>36801</v>
      </c>
      <c r="AI6082" t="s">
        <v>36802</v>
      </c>
    </row>
    <row r="6083" spans="2:35" ht="105">
      <c r="B6083" s="1">
        <v>45245</v>
      </c>
      <c r="C6083" s="4">
        <v>45245.581250000003</v>
      </c>
      <c r="D6083" t="s">
        <v>36803</v>
      </c>
      <c r="E6083" t="s">
        <v>36804</v>
      </c>
      <c r="F6083">
        <v>7</v>
      </c>
      <c r="G6083" t="s">
        <v>29983</v>
      </c>
      <c r="H6083" t="s">
        <v>2290</v>
      </c>
      <c r="I6083" t="s">
        <v>94</v>
      </c>
      <c r="J6083" t="s">
        <v>79</v>
      </c>
      <c r="K6083" t="s">
        <v>42</v>
      </c>
      <c r="L6083" t="s">
        <v>610</v>
      </c>
      <c r="N6083" t="s">
        <v>611</v>
      </c>
      <c r="O6083" t="s">
        <v>29984</v>
      </c>
      <c r="Q6083">
        <v>26468</v>
      </c>
      <c r="R6083" t="s">
        <v>45</v>
      </c>
      <c r="S6083" t="s">
        <v>29984</v>
      </c>
      <c r="T6083">
        <v>28</v>
      </c>
      <c r="U6083" s="2" t="s">
        <v>36805</v>
      </c>
      <c r="W6083" t="s">
        <v>360</v>
      </c>
      <c r="X6083">
        <v>808638</v>
      </c>
      <c r="Y6083" t="s">
        <v>36806</v>
      </c>
      <c r="Z6083" t="s">
        <v>36807</v>
      </c>
      <c r="AA6083" t="s">
        <v>36808</v>
      </c>
      <c r="AB6083" t="s">
        <v>34174</v>
      </c>
      <c r="AG6083" t="s">
        <v>36809</v>
      </c>
      <c r="AH6083" t="s">
        <v>36810</v>
      </c>
      <c r="AI6083" t="s">
        <v>36811</v>
      </c>
    </row>
    <row r="6084" spans="2:35" ht="90">
      <c r="B6084" s="1">
        <v>45245</v>
      </c>
      <c r="C6084" s="4">
        <v>45245.574305555558</v>
      </c>
      <c r="D6084" t="s">
        <v>36812</v>
      </c>
      <c r="E6084" t="s">
        <v>14481</v>
      </c>
      <c r="F6084">
        <v>7</v>
      </c>
      <c r="G6084" t="s">
        <v>432</v>
      </c>
      <c r="H6084" t="s">
        <v>12018</v>
      </c>
      <c r="I6084" t="s">
        <v>40</v>
      </c>
      <c r="J6084" s="2" t="s">
        <v>1592</v>
      </c>
      <c r="K6084" t="s">
        <v>387</v>
      </c>
      <c r="L6084" t="s">
        <v>1288</v>
      </c>
      <c r="N6084" t="s">
        <v>1289</v>
      </c>
      <c r="Q6084">
        <v>26467</v>
      </c>
      <c r="R6084" t="s">
        <v>95</v>
      </c>
      <c r="S6084" t="s">
        <v>36813</v>
      </c>
      <c r="T6084">
        <v>22</v>
      </c>
      <c r="W6084" t="s">
        <v>390</v>
      </c>
      <c r="X6084" t="s">
        <v>437</v>
      </c>
      <c r="Y6084" t="e">
        <f ca="1">-Pump problem , blood Pump position _xludf.error</f>
        <v>#NAME?</v>
      </c>
      <c r="Z6084" t="e">
        <f ca="1">-PERFORM functionality test, passed
-PERFORM Cycle test</f>
        <v>#NAME?</v>
      </c>
      <c r="AA6084" t="e">
        <f ca="1">-PERFORM Maintenance
-Inspect Pump rubber ROLLERS
-PERFORM blood Pump, transfer Pump,  _xludf.and AC Pump Replacement</f>
        <v>#NAME?</v>
      </c>
      <c r="AB6084" t="s">
        <v>1293</v>
      </c>
      <c r="AG6084" t="s">
        <v>36814</v>
      </c>
      <c r="AH6084" t="s">
        <v>36815</v>
      </c>
      <c r="AI6084" t="s">
        <v>36816</v>
      </c>
    </row>
    <row r="6085" spans="2:35" ht="255">
      <c r="B6085" s="1">
        <v>45245</v>
      </c>
      <c r="C6085" s="4">
        <v>45245.572222222225</v>
      </c>
      <c r="D6085" t="s">
        <v>146</v>
      </c>
      <c r="E6085" t="s">
        <v>28717</v>
      </c>
      <c r="F6085" t="s">
        <v>148</v>
      </c>
      <c r="G6085" t="s">
        <v>149</v>
      </c>
      <c r="H6085" t="s">
        <v>39</v>
      </c>
      <c r="I6085" t="s">
        <v>40</v>
      </c>
      <c r="J6085" t="s">
        <v>109</v>
      </c>
      <c r="K6085" t="s">
        <v>42</v>
      </c>
      <c r="L6085" t="s">
        <v>43</v>
      </c>
      <c r="N6085" t="s">
        <v>44</v>
      </c>
      <c r="O6085" t="s">
        <v>388</v>
      </c>
      <c r="Q6085">
        <v>26466</v>
      </c>
      <c r="R6085" t="s">
        <v>95</v>
      </c>
      <c r="S6085" t="s">
        <v>11968</v>
      </c>
      <c r="T6085">
        <v>24</v>
      </c>
      <c r="U6085" s="2" t="s">
        <v>36817</v>
      </c>
      <c r="W6085" t="s">
        <v>153</v>
      </c>
      <c r="X6085">
        <v>110003714</v>
      </c>
      <c r="Y6085" t="s">
        <v>121</v>
      </c>
      <c r="Z6085" t="s">
        <v>122</v>
      </c>
      <c r="AA6085" s="2" t="s">
        <v>33688</v>
      </c>
      <c r="AB6085" t="s">
        <v>36818</v>
      </c>
      <c r="AG6085" t="s">
        <v>36819</v>
      </c>
      <c r="AH6085" t="s">
        <v>36820</v>
      </c>
      <c r="AI6085" t="s">
        <v>36821</v>
      </c>
    </row>
    <row r="6086" spans="2:35" ht="105">
      <c r="B6086" s="1">
        <v>45245</v>
      </c>
      <c r="C6086" s="4">
        <v>45245.571527777778</v>
      </c>
      <c r="D6086" t="s">
        <v>36822</v>
      </c>
      <c r="E6086" t="s">
        <v>36823</v>
      </c>
      <c r="F6086">
        <v>9</v>
      </c>
      <c r="G6086" t="s">
        <v>2197</v>
      </c>
      <c r="H6086" t="s">
        <v>39</v>
      </c>
      <c r="I6086" t="s">
        <v>94</v>
      </c>
      <c r="J6086" s="2" t="s">
        <v>17375</v>
      </c>
      <c r="K6086" t="s">
        <v>42</v>
      </c>
      <c r="L6086" t="s">
        <v>1257</v>
      </c>
      <c r="N6086" t="s">
        <v>1258</v>
      </c>
      <c r="O6086" t="s">
        <v>2199</v>
      </c>
      <c r="Q6086">
        <v>26465</v>
      </c>
      <c r="R6086" t="s">
        <v>45</v>
      </c>
      <c r="S6086" t="s">
        <v>36824</v>
      </c>
      <c r="T6086">
        <v>27</v>
      </c>
      <c r="U6086" s="2" t="s">
        <v>20886</v>
      </c>
      <c r="V6086" s="1">
        <v>45245</v>
      </c>
      <c r="W6086" t="s">
        <v>2384</v>
      </c>
      <c r="X6086">
        <v>834436</v>
      </c>
      <c r="Y6086" t="s">
        <v>36825</v>
      </c>
      <c r="Z6086" t="s">
        <v>36826</v>
      </c>
      <c r="AA6086" t="s">
        <v>36827</v>
      </c>
      <c r="AB6086" t="s">
        <v>7411</v>
      </c>
      <c r="AC6086" t="s">
        <v>301</v>
      </c>
      <c r="AD6086" t="s">
        <v>54</v>
      </c>
      <c r="AE6086" t="s">
        <v>54</v>
      </c>
      <c r="AG6086" t="s">
        <v>36828</v>
      </c>
      <c r="AH6086" t="s">
        <v>36829</v>
      </c>
      <c r="AI6086" t="s">
        <v>36830</v>
      </c>
    </row>
    <row r="6087" spans="2:35" ht="165">
      <c r="B6087" s="1">
        <v>45245</v>
      </c>
      <c r="C6087" s="4">
        <v>45245.567361111112</v>
      </c>
      <c r="D6087" t="s">
        <v>10876</v>
      </c>
      <c r="E6087" t="s">
        <v>10877</v>
      </c>
      <c r="F6087">
        <v>2</v>
      </c>
      <c r="G6087" t="s">
        <v>10878</v>
      </c>
      <c r="H6087" t="s">
        <v>39</v>
      </c>
      <c r="I6087" t="s">
        <v>40</v>
      </c>
      <c r="J6087" s="2" t="s">
        <v>41</v>
      </c>
      <c r="K6087" t="s">
        <v>42</v>
      </c>
      <c r="L6087" t="s">
        <v>63</v>
      </c>
      <c r="N6087" t="s">
        <v>64</v>
      </c>
      <c r="O6087" t="s">
        <v>64</v>
      </c>
      <c r="Q6087">
        <v>26464</v>
      </c>
      <c r="R6087" t="s">
        <v>119</v>
      </c>
      <c r="S6087" t="s">
        <v>64</v>
      </c>
      <c r="T6087">
        <v>27</v>
      </c>
      <c r="U6087" s="2" t="s">
        <v>36831</v>
      </c>
      <c r="V6087" s="1">
        <v>45226</v>
      </c>
      <c r="W6087" t="s">
        <v>26915</v>
      </c>
      <c r="X6087">
        <v>838469</v>
      </c>
      <c r="Y6087" s="2" t="s">
        <v>36832</v>
      </c>
      <c r="Z6087" s="2" t="s">
        <v>36833</v>
      </c>
      <c r="AA6087" s="2" t="s">
        <v>1727</v>
      </c>
      <c r="AB6087" t="s">
        <v>70</v>
      </c>
      <c r="AC6087" t="s">
        <v>1716</v>
      </c>
      <c r="AD6087" t="s">
        <v>36834</v>
      </c>
      <c r="AE6087">
        <v>10787</v>
      </c>
      <c r="AG6087" t="s">
        <v>36835</v>
      </c>
      <c r="AH6087" t="s">
        <v>36836</v>
      </c>
      <c r="AI6087" t="s">
        <v>36837</v>
      </c>
    </row>
    <row r="6088" spans="2:35" ht="120">
      <c r="B6088" s="1">
        <v>45245</v>
      </c>
      <c r="C6088" s="4">
        <v>45245.493055555555</v>
      </c>
      <c r="D6088" t="s">
        <v>36838</v>
      </c>
      <c r="E6088" t="s">
        <v>36839</v>
      </c>
      <c r="F6088">
        <v>10</v>
      </c>
      <c r="G6088" t="s">
        <v>8359</v>
      </c>
      <c r="H6088" t="s">
        <v>2125</v>
      </c>
      <c r="I6088" t="s">
        <v>40</v>
      </c>
      <c r="J6088" s="2" t="s">
        <v>62</v>
      </c>
      <c r="K6088" t="s">
        <v>42</v>
      </c>
      <c r="L6088" t="s">
        <v>933</v>
      </c>
      <c r="N6088" t="s">
        <v>934</v>
      </c>
      <c r="Q6088">
        <v>26463</v>
      </c>
      <c r="R6088" t="s">
        <v>119</v>
      </c>
      <c r="S6088" t="s">
        <v>19076</v>
      </c>
      <c r="T6088">
        <v>24</v>
      </c>
      <c r="U6088" s="2" t="s">
        <v>34775</v>
      </c>
      <c r="V6088" s="1">
        <v>45141</v>
      </c>
      <c r="W6088" t="s">
        <v>3662</v>
      </c>
      <c r="X6088">
        <v>838547</v>
      </c>
      <c r="Y6088" t="s">
        <v>301</v>
      </c>
      <c r="Z6088" t="s">
        <v>15697</v>
      </c>
      <c r="AA6088" s="2" t="s">
        <v>15551</v>
      </c>
      <c r="AB6088" t="s">
        <v>13650</v>
      </c>
      <c r="AD6088" s="2" t="s">
        <v>36741</v>
      </c>
      <c r="AE6088">
        <v>10451</v>
      </c>
      <c r="AG6088" t="s">
        <v>36840</v>
      </c>
      <c r="AH6088" t="s">
        <v>36841</v>
      </c>
      <c r="AI6088" t="s">
        <v>36842</v>
      </c>
    </row>
    <row r="6089" spans="2:35" ht="240">
      <c r="B6089" s="1">
        <v>45245</v>
      </c>
      <c r="C6089" s="4">
        <v>45245.447222222225</v>
      </c>
      <c r="D6089" t="s">
        <v>1081</v>
      </c>
      <c r="E6089" t="s">
        <v>27369</v>
      </c>
      <c r="F6089" t="s">
        <v>148</v>
      </c>
      <c r="G6089" t="s">
        <v>785</v>
      </c>
      <c r="H6089" t="s">
        <v>1083</v>
      </c>
      <c r="I6089" t="s">
        <v>40</v>
      </c>
      <c r="J6089" s="2" t="s">
        <v>62</v>
      </c>
      <c r="K6089" t="s">
        <v>387</v>
      </c>
      <c r="L6089" t="s">
        <v>43</v>
      </c>
      <c r="N6089" t="s">
        <v>44</v>
      </c>
      <c r="Q6089">
        <v>26462</v>
      </c>
      <c r="R6089" t="s">
        <v>95</v>
      </c>
      <c r="S6089" t="s">
        <v>1084</v>
      </c>
      <c r="T6089">
        <v>23</v>
      </c>
      <c r="W6089" t="s">
        <v>390</v>
      </c>
      <c r="X6089" t="s">
        <v>5969</v>
      </c>
      <c r="Y6089" t="s">
        <v>9934</v>
      </c>
      <c r="Z6089" t="s">
        <v>36843</v>
      </c>
      <c r="AA6089" s="2" t="s">
        <v>36799</v>
      </c>
      <c r="AB6089" t="s">
        <v>88</v>
      </c>
      <c r="AG6089" t="s">
        <v>36844</v>
      </c>
      <c r="AH6089" t="s">
        <v>15904</v>
      </c>
      <c r="AI6089" t="s">
        <v>36845</v>
      </c>
    </row>
    <row r="6090" spans="2:35" ht="409.5">
      <c r="B6090" s="1">
        <v>45245</v>
      </c>
      <c r="C6090" s="4">
        <v>45245.445833333331</v>
      </c>
      <c r="D6090" t="s">
        <v>36846</v>
      </c>
      <c r="E6090" t="s">
        <v>36847</v>
      </c>
      <c r="F6090">
        <v>8</v>
      </c>
      <c r="G6090" t="s">
        <v>1663</v>
      </c>
      <c r="H6090" t="s">
        <v>202</v>
      </c>
      <c r="I6090" t="s">
        <v>40</v>
      </c>
      <c r="J6090" s="2" t="s">
        <v>41</v>
      </c>
      <c r="K6090" t="s">
        <v>42</v>
      </c>
      <c r="L6090" t="s">
        <v>259</v>
      </c>
      <c r="N6090" t="s">
        <v>260</v>
      </c>
      <c r="O6090" t="s">
        <v>25142</v>
      </c>
      <c r="Q6090">
        <v>26461</v>
      </c>
      <c r="R6090" t="s">
        <v>45</v>
      </c>
      <c r="S6090" t="s">
        <v>36848</v>
      </c>
      <c r="T6090">
        <v>24</v>
      </c>
      <c r="U6090" s="2" t="s">
        <v>36849</v>
      </c>
      <c r="V6090" s="1">
        <v>45245</v>
      </c>
      <c r="W6090" t="s">
        <v>35955</v>
      </c>
      <c r="X6090">
        <v>834821</v>
      </c>
      <c r="Y6090" t="s">
        <v>36850</v>
      </c>
      <c r="Z6090" t="e">
        <f ca="1">- module Replacement
- Preventive Maintenance</f>
        <v>#NAME?</v>
      </c>
      <c r="AA6090" s="2" t="s">
        <v>36851</v>
      </c>
      <c r="AB6090" t="s">
        <v>70</v>
      </c>
      <c r="AD6090" t="s">
        <v>36852</v>
      </c>
      <c r="AE6090" t="s">
        <v>45</v>
      </c>
      <c r="AG6090" t="s">
        <v>36853</v>
      </c>
      <c r="AH6090" t="s">
        <v>36854</v>
      </c>
      <c r="AI6090" t="s">
        <v>36855</v>
      </c>
    </row>
    <row r="6091" spans="2:35" ht="409.5">
      <c r="B6091" s="1">
        <v>45245</v>
      </c>
      <c r="C6091" s="4">
        <v>45245.434027777781</v>
      </c>
      <c r="D6091" t="s">
        <v>1081</v>
      </c>
      <c r="E6091" t="s">
        <v>36856</v>
      </c>
      <c r="F6091" t="s">
        <v>148</v>
      </c>
      <c r="G6091" t="s">
        <v>785</v>
      </c>
      <c r="H6091" t="s">
        <v>39</v>
      </c>
      <c r="I6091" t="s">
        <v>40</v>
      </c>
      <c r="J6091" t="s">
        <v>109</v>
      </c>
      <c r="K6091" t="s">
        <v>42</v>
      </c>
      <c r="L6091" t="s">
        <v>43</v>
      </c>
      <c r="N6091" t="s">
        <v>44</v>
      </c>
      <c r="Q6091">
        <v>26460</v>
      </c>
      <c r="R6091" t="s">
        <v>95</v>
      </c>
      <c r="S6091" t="s">
        <v>2016</v>
      </c>
      <c r="T6091">
        <v>29</v>
      </c>
      <c r="U6091" s="2" t="s">
        <v>36857</v>
      </c>
      <c r="W6091" t="s">
        <v>5136</v>
      </c>
      <c r="X6091">
        <v>110015767</v>
      </c>
      <c r="Y6091" t="s">
        <v>121</v>
      </c>
      <c r="Z6091" t="s">
        <v>122</v>
      </c>
      <c r="AA6091" s="2" t="s">
        <v>33688</v>
      </c>
      <c r="AB6091" t="s">
        <v>181</v>
      </c>
      <c r="AG6091" t="s">
        <v>36858</v>
      </c>
      <c r="AH6091" t="s">
        <v>36859</v>
      </c>
      <c r="AI6091" t="s">
        <v>36860</v>
      </c>
    </row>
    <row r="6092" spans="2:35" ht="240">
      <c r="B6092" s="1">
        <v>45245</v>
      </c>
      <c r="C6092" s="4">
        <v>45245.393055555556</v>
      </c>
      <c r="D6092" t="s">
        <v>1081</v>
      </c>
      <c r="E6092" t="s">
        <v>27360</v>
      </c>
      <c r="F6092" t="s">
        <v>148</v>
      </c>
      <c r="G6092" t="s">
        <v>785</v>
      </c>
      <c r="H6092" t="s">
        <v>386</v>
      </c>
      <c r="I6092" t="s">
        <v>40</v>
      </c>
      <c r="J6092" s="2" t="s">
        <v>62</v>
      </c>
      <c r="K6092" t="s">
        <v>387</v>
      </c>
      <c r="L6092" t="s">
        <v>43</v>
      </c>
      <c r="N6092" t="s">
        <v>44</v>
      </c>
      <c r="Q6092">
        <v>26459</v>
      </c>
      <c r="R6092" t="s">
        <v>95</v>
      </c>
      <c r="S6092" t="s">
        <v>2074</v>
      </c>
      <c r="T6092">
        <v>24</v>
      </c>
      <c r="W6092" t="s">
        <v>390</v>
      </c>
      <c r="X6092" t="s">
        <v>2075</v>
      </c>
      <c r="Y6092" t="s">
        <v>6929</v>
      </c>
      <c r="Z6092" t="s">
        <v>17309</v>
      </c>
      <c r="AA6092" s="2" t="s">
        <v>36799</v>
      </c>
      <c r="AB6092" t="s">
        <v>88</v>
      </c>
      <c r="AG6092" t="s">
        <v>36861</v>
      </c>
      <c r="AH6092" t="s">
        <v>36862</v>
      </c>
      <c r="AI6092" t="s">
        <v>36863</v>
      </c>
    </row>
    <row r="6093" spans="2:35" ht="409.5">
      <c r="B6093" s="1">
        <v>45244</v>
      </c>
      <c r="C6093" s="4">
        <v>45244.82916666667</v>
      </c>
      <c r="D6093" t="s">
        <v>837</v>
      </c>
      <c r="E6093" t="s">
        <v>27098</v>
      </c>
      <c r="F6093">
        <v>5</v>
      </c>
      <c r="G6093" t="s">
        <v>839</v>
      </c>
      <c r="H6093" t="s">
        <v>39</v>
      </c>
      <c r="I6093" t="s">
        <v>40</v>
      </c>
      <c r="J6093" s="2" t="s">
        <v>41</v>
      </c>
      <c r="K6093" t="s">
        <v>42</v>
      </c>
      <c r="L6093" t="s">
        <v>761</v>
      </c>
      <c r="N6093" t="s">
        <v>762</v>
      </c>
      <c r="O6093" t="s">
        <v>762</v>
      </c>
      <c r="Q6093">
        <v>26458</v>
      </c>
      <c r="R6093" t="s">
        <v>45</v>
      </c>
      <c r="S6093" t="s">
        <v>36864</v>
      </c>
      <c r="T6093">
        <v>27</v>
      </c>
      <c r="U6093" s="2" t="s">
        <v>36865</v>
      </c>
      <c r="W6093" t="s">
        <v>895</v>
      </c>
      <c r="X6093">
        <v>842225</v>
      </c>
      <c r="Y6093" t="s">
        <v>36866</v>
      </c>
      <c r="Z6093" s="2" t="s">
        <v>36867</v>
      </c>
      <c r="AA6093" s="2" t="s">
        <v>36868</v>
      </c>
      <c r="AB6093" t="s">
        <v>181</v>
      </c>
      <c r="AG6093" t="s">
        <v>36869</v>
      </c>
      <c r="AH6093" t="s">
        <v>36870</v>
      </c>
      <c r="AI6093" t="s">
        <v>36871</v>
      </c>
    </row>
    <row r="6094" spans="2:35" ht="285">
      <c r="B6094" s="1">
        <v>45244</v>
      </c>
      <c r="C6094" s="4">
        <v>45238.544444444444</v>
      </c>
      <c r="D6094" t="s">
        <v>2529</v>
      </c>
      <c r="E6094" t="s">
        <v>36872</v>
      </c>
      <c r="F6094" t="s">
        <v>37</v>
      </c>
      <c r="G6094" t="s">
        <v>2499</v>
      </c>
      <c r="H6094" t="s">
        <v>39</v>
      </c>
      <c r="I6094" t="s">
        <v>40</v>
      </c>
      <c r="J6094" s="2" t="s">
        <v>2556</v>
      </c>
      <c r="K6094" t="s">
        <v>42</v>
      </c>
      <c r="L6094" t="s">
        <v>15532</v>
      </c>
      <c r="N6094" t="s">
        <v>15533</v>
      </c>
      <c r="Q6094">
        <v>26457</v>
      </c>
      <c r="R6094" t="s">
        <v>45</v>
      </c>
      <c r="S6094" t="s">
        <v>36873</v>
      </c>
      <c r="T6094">
        <v>26</v>
      </c>
      <c r="U6094" s="2" t="s">
        <v>36874</v>
      </c>
      <c r="W6094" t="s">
        <v>3244</v>
      </c>
      <c r="X6094">
        <v>804692</v>
      </c>
      <c r="Y6094" t="s">
        <v>36875</v>
      </c>
      <c r="Z6094" s="2" t="s">
        <v>36876</v>
      </c>
      <c r="AA6094" t="s">
        <v>36877</v>
      </c>
      <c r="AB6094" s="2" t="s">
        <v>36878</v>
      </c>
      <c r="AG6094" t="s">
        <v>36879</v>
      </c>
      <c r="AH6094" t="s">
        <v>36880</v>
      </c>
      <c r="AI6094" t="s">
        <v>36881</v>
      </c>
    </row>
    <row r="6095" spans="2:35" ht="409.5">
      <c r="B6095" s="1">
        <v>45244</v>
      </c>
      <c r="C6095" s="4">
        <v>45244.609027777777</v>
      </c>
      <c r="D6095" t="s">
        <v>17394</v>
      </c>
      <c r="E6095" t="s">
        <v>15650</v>
      </c>
      <c r="F6095" t="s">
        <v>148</v>
      </c>
      <c r="G6095" t="s">
        <v>447</v>
      </c>
      <c r="H6095" t="s">
        <v>39</v>
      </c>
      <c r="I6095" t="s">
        <v>40</v>
      </c>
      <c r="J6095" s="2" t="s">
        <v>190</v>
      </c>
      <c r="K6095" t="s">
        <v>42</v>
      </c>
      <c r="L6095" t="s">
        <v>15532</v>
      </c>
      <c r="N6095" t="s">
        <v>15533</v>
      </c>
      <c r="Q6095">
        <v>26456</v>
      </c>
      <c r="R6095" t="s">
        <v>45</v>
      </c>
      <c r="S6095" t="s">
        <v>36882</v>
      </c>
      <c r="T6095">
        <v>27</v>
      </c>
      <c r="U6095" s="2" t="s">
        <v>36883</v>
      </c>
      <c r="W6095" t="s">
        <v>2766</v>
      </c>
      <c r="X6095">
        <v>845462</v>
      </c>
      <c r="Y6095" t="s">
        <v>36884</v>
      </c>
      <c r="Z6095" s="2" t="s">
        <v>36885</v>
      </c>
      <c r="AA6095" t="s">
        <v>36886</v>
      </c>
      <c r="AB6095" s="2" t="s">
        <v>31008</v>
      </c>
      <c r="AC6095" t="s">
        <v>36887</v>
      </c>
      <c r="AG6095" t="s">
        <v>36888</v>
      </c>
      <c r="AH6095" t="s">
        <v>36889</v>
      </c>
      <c r="AI6095" t="s">
        <v>36890</v>
      </c>
    </row>
    <row r="6096" spans="2:35" ht="390">
      <c r="B6096" s="1">
        <v>45244</v>
      </c>
      <c r="C6096" s="4">
        <v>45244.679166666669</v>
      </c>
      <c r="D6096" t="s">
        <v>36784</v>
      </c>
      <c r="E6096" t="s">
        <v>15650</v>
      </c>
      <c r="F6096" t="s">
        <v>148</v>
      </c>
      <c r="G6096" t="s">
        <v>447</v>
      </c>
      <c r="H6096" t="s">
        <v>39</v>
      </c>
      <c r="I6096" t="s">
        <v>40</v>
      </c>
      <c r="J6096" s="2" t="s">
        <v>62</v>
      </c>
      <c r="K6096" t="s">
        <v>387</v>
      </c>
      <c r="L6096" t="s">
        <v>15532</v>
      </c>
      <c r="N6096" t="s">
        <v>15533</v>
      </c>
      <c r="Q6096">
        <v>26455</v>
      </c>
      <c r="R6096" t="s">
        <v>322</v>
      </c>
      <c r="S6096" t="s">
        <v>36891</v>
      </c>
      <c r="T6096">
        <v>27</v>
      </c>
      <c r="W6096" t="s">
        <v>390</v>
      </c>
      <c r="X6096" t="s">
        <v>36892</v>
      </c>
      <c r="Y6096" t="s">
        <v>20893</v>
      </c>
      <c r="Z6096" s="2" t="s">
        <v>36893</v>
      </c>
      <c r="AA6096" t="s">
        <v>6930</v>
      </c>
      <c r="AB6096" s="2" t="s">
        <v>36894</v>
      </c>
      <c r="AC6096" t="s">
        <v>36895</v>
      </c>
      <c r="AG6096" t="s">
        <v>36896</v>
      </c>
      <c r="AH6096" t="s">
        <v>36897</v>
      </c>
      <c r="AI6096" t="s">
        <v>36898</v>
      </c>
    </row>
    <row r="6097" spans="2:35" ht="285">
      <c r="B6097" s="1">
        <v>45244</v>
      </c>
      <c r="C6097" s="4">
        <v>45244.645833333336</v>
      </c>
      <c r="D6097" t="s">
        <v>3139</v>
      </c>
      <c r="E6097" t="s">
        <v>3140</v>
      </c>
      <c r="F6097">
        <v>3</v>
      </c>
      <c r="G6097" t="s">
        <v>174</v>
      </c>
      <c r="H6097" t="s">
        <v>39</v>
      </c>
      <c r="I6097" t="s">
        <v>40</v>
      </c>
      <c r="J6097" s="2" t="s">
        <v>62</v>
      </c>
      <c r="K6097" t="s">
        <v>42</v>
      </c>
      <c r="L6097" t="s">
        <v>175</v>
      </c>
      <c r="N6097" t="s">
        <v>176</v>
      </c>
      <c r="Q6097">
        <v>26454</v>
      </c>
      <c r="R6097" t="s">
        <v>45</v>
      </c>
      <c r="S6097" t="s">
        <v>14419</v>
      </c>
      <c r="T6097">
        <v>25</v>
      </c>
      <c r="U6097" s="2" t="s">
        <v>36899</v>
      </c>
      <c r="W6097" t="s">
        <v>84</v>
      </c>
      <c r="X6097">
        <v>805112</v>
      </c>
      <c r="Y6097" t="s">
        <v>998</v>
      </c>
      <c r="Z6097" t="e">
        <f ca="1">- checked _xludf.and cleaned cartridge bay, plunger rod, _xludf.filter, icore
- performed XpertCheck
- generated reports</f>
        <v>#NAME?</v>
      </c>
      <c r="AA6097" t="s">
        <v>5230</v>
      </c>
      <c r="AB6097" s="2" t="s">
        <v>36900</v>
      </c>
      <c r="AG6097" t="s">
        <v>36901</v>
      </c>
      <c r="AH6097" t="s">
        <v>3145</v>
      </c>
      <c r="AI6097" t="s">
        <v>36902</v>
      </c>
    </row>
    <row r="6098" spans="2:35" ht="409.5">
      <c r="B6098" s="1">
        <v>45244</v>
      </c>
      <c r="C6098" s="4">
        <v>45244.632638888892</v>
      </c>
      <c r="D6098" t="s">
        <v>36903</v>
      </c>
      <c r="E6098" t="s">
        <v>36904</v>
      </c>
      <c r="F6098">
        <v>3</v>
      </c>
      <c r="G6098" t="s">
        <v>134</v>
      </c>
      <c r="H6098" t="s">
        <v>150</v>
      </c>
      <c r="I6098" t="s">
        <v>40</v>
      </c>
      <c r="J6098" s="2" t="s">
        <v>41</v>
      </c>
      <c r="K6098" t="s">
        <v>42</v>
      </c>
      <c r="L6098" t="s">
        <v>63</v>
      </c>
      <c r="N6098" t="s">
        <v>64</v>
      </c>
      <c r="Q6098">
        <v>26453</v>
      </c>
      <c r="R6098" t="s">
        <v>45</v>
      </c>
      <c r="S6098" t="s">
        <v>36905</v>
      </c>
      <c r="T6098">
        <v>56</v>
      </c>
      <c r="U6098" s="2" t="s">
        <v>36906</v>
      </c>
      <c r="V6098" s="1">
        <v>45244</v>
      </c>
      <c r="W6098" t="s">
        <v>26915</v>
      </c>
      <c r="X6098">
        <v>839235</v>
      </c>
      <c r="Y6098" t="s">
        <v>36907</v>
      </c>
      <c r="Z6098" t="s">
        <v>36908</v>
      </c>
      <c r="AA6098" s="2" t="s">
        <v>1727</v>
      </c>
      <c r="AB6098" t="s">
        <v>70</v>
      </c>
      <c r="AC6098" t="s">
        <v>1716</v>
      </c>
      <c r="AD6098" t="s">
        <v>36909</v>
      </c>
      <c r="AE6098">
        <v>10824</v>
      </c>
      <c r="AG6098" t="s">
        <v>36910</v>
      </c>
      <c r="AH6098" t="s">
        <v>11472</v>
      </c>
      <c r="AI6098" t="s">
        <v>36911</v>
      </c>
    </row>
    <row r="6099" spans="2:35" ht="105">
      <c r="B6099" s="1">
        <v>45244</v>
      </c>
      <c r="C6099" s="4">
        <v>45244.601388888892</v>
      </c>
      <c r="D6099" t="s">
        <v>3139</v>
      </c>
      <c r="E6099" t="s">
        <v>3140</v>
      </c>
      <c r="F6099">
        <v>3</v>
      </c>
      <c r="G6099" t="s">
        <v>174</v>
      </c>
      <c r="H6099" t="s">
        <v>39</v>
      </c>
      <c r="I6099" t="s">
        <v>40</v>
      </c>
      <c r="J6099" t="s">
        <v>321</v>
      </c>
      <c r="K6099" t="s">
        <v>42</v>
      </c>
      <c r="L6099" t="s">
        <v>175</v>
      </c>
      <c r="N6099" t="s">
        <v>176</v>
      </c>
      <c r="Q6099">
        <v>26452</v>
      </c>
      <c r="R6099" t="s">
        <v>45</v>
      </c>
      <c r="S6099" t="s">
        <v>18595</v>
      </c>
      <c r="T6099">
        <v>25</v>
      </c>
      <c r="U6099" s="2" t="s">
        <v>24107</v>
      </c>
      <c r="V6099" s="1">
        <v>45244</v>
      </c>
      <c r="W6099" t="s">
        <v>84</v>
      </c>
      <c r="X6099">
        <v>884623</v>
      </c>
      <c r="Y6099" t="s">
        <v>36912</v>
      </c>
      <c r="Z6099" t="e">
        <f ca="1">- installed Back up Laptop
- pulled Out defective CPU (SN: CPH0520F08487)
- generated reports</f>
        <v>#NAME?</v>
      </c>
      <c r="AA6099" t="s">
        <v>36913</v>
      </c>
      <c r="AB6099" t="s">
        <v>88</v>
      </c>
      <c r="AD6099" s="2" t="s">
        <v>36914</v>
      </c>
      <c r="AE6099" t="s">
        <v>103</v>
      </c>
      <c r="AG6099" t="s">
        <v>36915</v>
      </c>
      <c r="AH6099" t="s">
        <v>18598</v>
      </c>
      <c r="AI6099" t="s">
        <v>36916</v>
      </c>
    </row>
    <row r="6100" spans="2:35" ht="120">
      <c r="B6100" s="1">
        <v>45244</v>
      </c>
      <c r="C6100" s="4">
        <v>45244.604166666664</v>
      </c>
      <c r="D6100" t="s">
        <v>11255</v>
      </c>
      <c r="E6100" t="s">
        <v>16661</v>
      </c>
      <c r="F6100">
        <v>10</v>
      </c>
      <c r="G6100" t="s">
        <v>8359</v>
      </c>
      <c r="H6100" t="s">
        <v>2125</v>
      </c>
      <c r="I6100" t="s">
        <v>40</v>
      </c>
      <c r="J6100" s="2" t="s">
        <v>62</v>
      </c>
      <c r="K6100" t="s">
        <v>42</v>
      </c>
      <c r="L6100" t="s">
        <v>933</v>
      </c>
      <c r="N6100" t="s">
        <v>934</v>
      </c>
      <c r="Q6100">
        <v>26451</v>
      </c>
      <c r="R6100" t="s">
        <v>119</v>
      </c>
      <c r="S6100" t="s">
        <v>16662</v>
      </c>
      <c r="T6100">
        <v>30</v>
      </c>
      <c r="U6100" s="2" t="s">
        <v>2341</v>
      </c>
      <c r="W6100" t="s">
        <v>3662</v>
      </c>
      <c r="X6100">
        <v>838440</v>
      </c>
      <c r="Y6100" t="s">
        <v>36917</v>
      </c>
      <c r="Z6100" t="s">
        <v>301</v>
      </c>
      <c r="AA6100" s="2" t="s">
        <v>2397</v>
      </c>
      <c r="AB6100" t="s">
        <v>13650</v>
      </c>
      <c r="AG6100" t="s">
        <v>36918</v>
      </c>
      <c r="AH6100" t="s">
        <v>11263</v>
      </c>
      <c r="AI6100" t="s">
        <v>36919</v>
      </c>
    </row>
    <row r="6101" spans="2:35" ht="105">
      <c r="B6101" s="1">
        <v>45244</v>
      </c>
      <c r="C6101" s="4">
        <v>45244.59097222222</v>
      </c>
      <c r="D6101" t="s">
        <v>36920</v>
      </c>
      <c r="E6101" t="s">
        <v>36921</v>
      </c>
      <c r="F6101">
        <v>9</v>
      </c>
      <c r="G6101" t="s">
        <v>2197</v>
      </c>
      <c r="H6101" t="s">
        <v>39</v>
      </c>
      <c r="I6101" t="s">
        <v>94</v>
      </c>
      <c r="J6101" s="2" t="s">
        <v>17375</v>
      </c>
      <c r="K6101" t="s">
        <v>42</v>
      </c>
      <c r="L6101" t="s">
        <v>1257</v>
      </c>
      <c r="N6101" t="s">
        <v>1258</v>
      </c>
      <c r="O6101" t="s">
        <v>2199</v>
      </c>
      <c r="Q6101">
        <v>26450</v>
      </c>
      <c r="R6101" t="s">
        <v>45</v>
      </c>
      <c r="S6101" t="s">
        <v>36922</v>
      </c>
      <c r="T6101">
        <v>27</v>
      </c>
      <c r="U6101" s="2" t="s">
        <v>36923</v>
      </c>
      <c r="V6101" s="1">
        <v>45244</v>
      </c>
      <c r="W6101" t="s">
        <v>2384</v>
      </c>
      <c r="X6101">
        <v>815278</v>
      </c>
      <c r="Y6101" t="s">
        <v>301</v>
      </c>
      <c r="Z6101" t="s">
        <v>36924</v>
      </c>
      <c r="AA6101" t="s">
        <v>36925</v>
      </c>
      <c r="AB6101" t="s">
        <v>7411</v>
      </c>
      <c r="AC6101" t="s">
        <v>301</v>
      </c>
      <c r="AD6101" t="s">
        <v>54</v>
      </c>
      <c r="AE6101" t="s">
        <v>54</v>
      </c>
      <c r="AG6101" t="s">
        <v>36926</v>
      </c>
      <c r="AH6101" t="s">
        <v>36927</v>
      </c>
      <c r="AI6101" t="s">
        <v>36928</v>
      </c>
    </row>
    <row r="6102" spans="2:35" ht="195">
      <c r="B6102" s="1">
        <v>45244</v>
      </c>
      <c r="C6102" s="4">
        <v>45244.487500000003</v>
      </c>
      <c r="D6102" t="s">
        <v>5199</v>
      </c>
      <c r="E6102" t="s">
        <v>36929</v>
      </c>
      <c r="F6102">
        <v>5</v>
      </c>
      <c r="G6102" t="s">
        <v>839</v>
      </c>
      <c r="H6102" t="s">
        <v>39</v>
      </c>
      <c r="I6102" t="s">
        <v>40</v>
      </c>
      <c r="J6102" s="2" t="s">
        <v>41</v>
      </c>
      <c r="K6102" t="s">
        <v>42</v>
      </c>
      <c r="L6102" t="s">
        <v>761</v>
      </c>
      <c r="N6102" t="s">
        <v>762</v>
      </c>
      <c r="Q6102">
        <v>26449</v>
      </c>
      <c r="R6102" t="s">
        <v>45</v>
      </c>
      <c r="S6102" t="s">
        <v>36930</v>
      </c>
      <c r="T6102">
        <v>27</v>
      </c>
      <c r="U6102" s="2" t="s">
        <v>36431</v>
      </c>
      <c r="W6102" t="s">
        <v>360</v>
      </c>
      <c r="X6102">
        <v>812774</v>
      </c>
      <c r="Y6102" t="s">
        <v>36931</v>
      </c>
      <c r="Z6102" s="2" t="s">
        <v>36932</v>
      </c>
      <c r="AA6102" s="2" t="s">
        <v>36933</v>
      </c>
      <c r="AB6102" t="s">
        <v>181</v>
      </c>
      <c r="AG6102" t="s">
        <v>36934</v>
      </c>
      <c r="AH6102" t="s">
        <v>36935</v>
      </c>
      <c r="AI6102" t="s">
        <v>36936</v>
      </c>
    </row>
    <row r="6103" spans="2:35">
      <c r="B6103" s="1">
        <v>45244</v>
      </c>
      <c r="C6103" s="4">
        <v>45244.481249999997</v>
      </c>
      <c r="D6103" t="s">
        <v>2763</v>
      </c>
      <c r="E6103" t="s">
        <v>35228</v>
      </c>
      <c r="F6103">
        <v>6</v>
      </c>
      <c r="G6103" t="s">
        <v>1286</v>
      </c>
      <c r="H6103" t="s">
        <v>39</v>
      </c>
      <c r="I6103" t="s">
        <v>94</v>
      </c>
      <c r="J6103" t="s">
        <v>79</v>
      </c>
      <c r="K6103" t="s">
        <v>42</v>
      </c>
      <c r="L6103" t="s">
        <v>594</v>
      </c>
      <c r="N6103" t="s">
        <v>595</v>
      </c>
      <c r="O6103" t="s">
        <v>595</v>
      </c>
      <c r="Q6103">
        <v>26448</v>
      </c>
      <c r="R6103" t="s">
        <v>45</v>
      </c>
      <c r="S6103" t="s">
        <v>36937</v>
      </c>
      <c r="T6103">
        <v>23</v>
      </c>
      <c r="V6103" s="1">
        <v>45244</v>
      </c>
      <c r="W6103" t="s">
        <v>502</v>
      </c>
      <c r="X6103">
        <v>804701</v>
      </c>
      <c r="Y6103" t="s">
        <v>36938</v>
      </c>
      <c r="Z6103" t="s">
        <v>36939</v>
      </c>
      <c r="AA6103" t="s">
        <v>36940</v>
      </c>
      <c r="AB6103" t="s">
        <v>36941</v>
      </c>
      <c r="AG6103" t="s">
        <v>36942</v>
      </c>
      <c r="AH6103" t="s">
        <v>35916</v>
      </c>
      <c r="AI6103" t="s">
        <v>36943</v>
      </c>
    </row>
    <row r="6104" spans="2:35" ht="165">
      <c r="B6104" s="1">
        <v>45244</v>
      </c>
      <c r="C6104" s="4">
        <v>45244.449305555558</v>
      </c>
      <c r="D6104" t="s">
        <v>36944</v>
      </c>
      <c r="E6104" t="s">
        <v>36945</v>
      </c>
      <c r="F6104">
        <v>10</v>
      </c>
      <c r="G6104" t="s">
        <v>8359</v>
      </c>
      <c r="H6104" t="s">
        <v>2125</v>
      </c>
      <c r="I6104" t="s">
        <v>40</v>
      </c>
      <c r="J6104" s="2" t="s">
        <v>1309</v>
      </c>
      <c r="K6104" t="s">
        <v>42</v>
      </c>
      <c r="L6104" t="s">
        <v>933</v>
      </c>
      <c r="N6104" t="s">
        <v>934</v>
      </c>
      <c r="Q6104">
        <v>26447</v>
      </c>
      <c r="R6104" t="s">
        <v>45</v>
      </c>
      <c r="S6104" t="s">
        <v>36946</v>
      </c>
      <c r="T6104">
        <v>29</v>
      </c>
      <c r="U6104" s="2" t="s">
        <v>14124</v>
      </c>
      <c r="W6104" t="s">
        <v>23146</v>
      </c>
      <c r="X6104">
        <v>835191</v>
      </c>
      <c r="Y6104" t="s">
        <v>32737</v>
      </c>
      <c r="Z6104" t="s">
        <v>301</v>
      </c>
      <c r="AA6104" s="2" t="s">
        <v>36947</v>
      </c>
      <c r="AB6104" t="s">
        <v>13650</v>
      </c>
      <c r="AG6104" t="s">
        <v>36948</v>
      </c>
      <c r="AH6104" t="s">
        <v>36949</v>
      </c>
      <c r="AI6104" t="s">
        <v>36950</v>
      </c>
    </row>
    <row r="6105" spans="2:35" ht="120">
      <c r="B6105" s="1">
        <v>45243</v>
      </c>
      <c r="C6105" s="4">
        <v>45237.668055555558</v>
      </c>
      <c r="D6105" t="s">
        <v>461</v>
      </c>
      <c r="E6105" t="s">
        <v>36951</v>
      </c>
      <c r="F6105" t="s">
        <v>148</v>
      </c>
      <c r="G6105" t="s">
        <v>447</v>
      </c>
      <c r="H6105" t="s">
        <v>39</v>
      </c>
      <c r="I6105" t="s">
        <v>40</v>
      </c>
      <c r="J6105" s="2" t="s">
        <v>41</v>
      </c>
      <c r="K6105" t="s">
        <v>42</v>
      </c>
      <c r="L6105" t="s">
        <v>15532</v>
      </c>
      <c r="N6105" t="s">
        <v>15533</v>
      </c>
      <c r="Q6105">
        <v>26446</v>
      </c>
      <c r="R6105" t="s">
        <v>45</v>
      </c>
      <c r="S6105" t="s">
        <v>464</v>
      </c>
      <c r="T6105">
        <v>27</v>
      </c>
      <c r="U6105" s="2" t="s">
        <v>36952</v>
      </c>
      <c r="V6105" s="1">
        <v>45237</v>
      </c>
      <c r="W6105" t="s">
        <v>597</v>
      </c>
      <c r="X6105">
        <v>814160</v>
      </c>
      <c r="Y6105" t="s">
        <v>2165</v>
      </c>
      <c r="Z6105" s="2" t="s">
        <v>36953</v>
      </c>
      <c r="AA6105" s="2" t="s">
        <v>36954</v>
      </c>
      <c r="AB6105" s="2" t="s">
        <v>36955</v>
      </c>
      <c r="AD6105" t="s">
        <v>19400</v>
      </c>
      <c r="AE6105" t="s">
        <v>36956</v>
      </c>
      <c r="AG6105" t="s">
        <v>36957</v>
      </c>
      <c r="AH6105" t="s">
        <v>470</v>
      </c>
      <c r="AI6105" t="s">
        <v>36958</v>
      </c>
    </row>
    <row r="6106" spans="2:35" ht="330">
      <c r="B6106" s="1">
        <v>45243</v>
      </c>
      <c r="C6106" s="4">
        <v>45240.445833333331</v>
      </c>
      <c r="D6106" t="s">
        <v>36959</v>
      </c>
      <c r="E6106" t="s">
        <v>36960</v>
      </c>
      <c r="F6106" t="s">
        <v>37</v>
      </c>
      <c r="G6106" t="s">
        <v>2499</v>
      </c>
      <c r="H6106" t="s">
        <v>39</v>
      </c>
      <c r="I6106" t="s">
        <v>40</v>
      </c>
      <c r="J6106" s="2" t="s">
        <v>62</v>
      </c>
      <c r="K6106" t="s">
        <v>42</v>
      </c>
      <c r="L6106" t="s">
        <v>15532</v>
      </c>
      <c r="N6106" t="s">
        <v>15533</v>
      </c>
      <c r="Q6106">
        <v>26445</v>
      </c>
      <c r="R6106" t="s">
        <v>119</v>
      </c>
      <c r="S6106" t="s">
        <v>36961</v>
      </c>
      <c r="T6106">
        <v>30</v>
      </c>
      <c r="U6106" s="2" t="s">
        <v>2081</v>
      </c>
      <c r="V6106" s="1">
        <v>45240</v>
      </c>
      <c r="W6106" t="s">
        <v>3244</v>
      </c>
      <c r="X6106">
        <v>831614</v>
      </c>
      <c r="Y6106" t="s">
        <v>29739</v>
      </c>
      <c r="Z6106" s="2" t="s">
        <v>36962</v>
      </c>
      <c r="AA6106" t="s">
        <v>999</v>
      </c>
      <c r="AB6106" s="2" t="s">
        <v>15539</v>
      </c>
      <c r="AC6106" t="s">
        <v>36963</v>
      </c>
      <c r="AD6106" t="s">
        <v>20036</v>
      </c>
      <c r="AE6106" t="s">
        <v>36964</v>
      </c>
      <c r="AG6106" t="s">
        <v>36965</v>
      </c>
      <c r="AH6106" t="s">
        <v>36966</v>
      </c>
      <c r="AI6106" t="s">
        <v>36967</v>
      </c>
    </row>
    <row r="6107" spans="2:35" ht="105">
      <c r="B6107" s="1">
        <v>45243</v>
      </c>
      <c r="C6107" s="4">
        <v>45243.616666666669</v>
      </c>
      <c r="D6107" t="s">
        <v>11901</v>
      </c>
      <c r="E6107" t="s">
        <v>31951</v>
      </c>
      <c r="F6107">
        <v>6</v>
      </c>
      <c r="G6107" t="s">
        <v>1234</v>
      </c>
      <c r="H6107" t="s">
        <v>1047</v>
      </c>
      <c r="I6107" t="s">
        <v>94</v>
      </c>
      <c r="J6107" t="s">
        <v>79</v>
      </c>
      <c r="K6107" t="s">
        <v>42</v>
      </c>
      <c r="L6107" t="s">
        <v>23958</v>
      </c>
      <c r="Q6107">
        <v>26444</v>
      </c>
      <c r="R6107" t="s">
        <v>45</v>
      </c>
      <c r="S6107" t="s">
        <v>34236</v>
      </c>
      <c r="T6107">
        <v>4</v>
      </c>
      <c r="U6107" s="2" t="s">
        <v>36968</v>
      </c>
      <c r="W6107" t="s">
        <v>360</v>
      </c>
      <c r="X6107">
        <v>812020</v>
      </c>
      <c r="Y6107" t="s">
        <v>54</v>
      </c>
      <c r="Z6107" t="s">
        <v>36969</v>
      </c>
      <c r="AA6107" t="s">
        <v>36970</v>
      </c>
      <c r="AB6107" t="s">
        <v>36971</v>
      </c>
      <c r="AG6107" t="s">
        <v>36972</v>
      </c>
      <c r="AH6107" t="s">
        <v>36973</v>
      </c>
      <c r="AI6107" t="s">
        <v>36974</v>
      </c>
    </row>
    <row r="6108" spans="2:35" ht="150">
      <c r="B6108" s="1">
        <v>45243</v>
      </c>
      <c r="C6108" s="4">
        <v>45240.417361111111</v>
      </c>
      <c r="D6108" t="s">
        <v>31923</v>
      </c>
      <c r="E6108" t="s">
        <v>36975</v>
      </c>
      <c r="F6108" t="s">
        <v>37</v>
      </c>
      <c r="G6108" t="s">
        <v>748</v>
      </c>
      <c r="H6108" t="s">
        <v>39</v>
      </c>
      <c r="I6108" t="s">
        <v>40</v>
      </c>
      <c r="J6108" s="2" t="s">
        <v>41</v>
      </c>
      <c r="K6108" t="s">
        <v>42</v>
      </c>
      <c r="L6108" t="s">
        <v>1028</v>
      </c>
      <c r="Q6108">
        <v>26441</v>
      </c>
      <c r="R6108" t="s">
        <v>45</v>
      </c>
      <c r="S6108" t="s">
        <v>31925</v>
      </c>
      <c r="T6108">
        <v>25</v>
      </c>
      <c r="U6108" s="2" t="s">
        <v>36976</v>
      </c>
      <c r="W6108" t="s">
        <v>2680</v>
      </c>
      <c r="X6108">
        <v>838185</v>
      </c>
      <c r="Y6108" t="s">
        <v>34753</v>
      </c>
      <c r="Z6108" t="s">
        <v>2129</v>
      </c>
      <c r="AA6108" s="2" t="s">
        <v>36977</v>
      </c>
      <c r="AB6108" t="s">
        <v>30229</v>
      </c>
      <c r="AC6108" t="s">
        <v>36978</v>
      </c>
      <c r="AG6108" t="s">
        <v>36979</v>
      </c>
      <c r="AH6108" t="s">
        <v>31935</v>
      </c>
      <c r="AI6108" t="s">
        <v>36980</v>
      </c>
    </row>
    <row r="6109" spans="2:35" ht="195">
      <c r="B6109" s="1">
        <v>45243</v>
      </c>
      <c r="C6109" s="4">
        <v>45239.40347222222</v>
      </c>
      <c r="D6109" t="s">
        <v>36981</v>
      </c>
      <c r="E6109" t="s">
        <v>36982</v>
      </c>
      <c r="F6109" t="s">
        <v>37</v>
      </c>
      <c r="G6109" t="s">
        <v>78</v>
      </c>
      <c r="H6109" t="s">
        <v>39</v>
      </c>
      <c r="I6109" t="s">
        <v>40</v>
      </c>
      <c r="J6109" s="2" t="s">
        <v>41</v>
      </c>
      <c r="K6109" t="s">
        <v>42</v>
      </c>
      <c r="L6109" t="s">
        <v>1028</v>
      </c>
      <c r="Q6109">
        <v>26443</v>
      </c>
      <c r="R6109" t="s">
        <v>45</v>
      </c>
      <c r="S6109" t="s">
        <v>30685</v>
      </c>
      <c r="T6109">
        <v>26</v>
      </c>
      <c r="U6109" s="2" t="s">
        <v>36983</v>
      </c>
      <c r="W6109" t="s">
        <v>2680</v>
      </c>
      <c r="X6109">
        <v>812780</v>
      </c>
      <c r="Y6109" t="s">
        <v>29577</v>
      </c>
      <c r="Z6109" t="s">
        <v>2129</v>
      </c>
      <c r="AA6109" s="2" t="s">
        <v>36984</v>
      </c>
      <c r="AB6109" t="s">
        <v>3063</v>
      </c>
      <c r="AG6109" t="s">
        <v>36985</v>
      </c>
      <c r="AH6109" t="s">
        <v>32189</v>
      </c>
      <c r="AI6109" t="s">
        <v>36986</v>
      </c>
    </row>
    <row r="6110" spans="2:35" ht="409.5">
      <c r="B6110" s="1">
        <v>45243</v>
      </c>
      <c r="C6110" s="4">
        <v>45237.449305555558</v>
      </c>
      <c r="D6110" t="s">
        <v>3119</v>
      </c>
      <c r="E6110" t="s">
        <v>6092</v>
      </c>
      <c r="F6110" t="s">
        <v>148</v>
      </c>
      <c r="G6110" t="s">
        <v>310</v>
      </c>
      <c r="H6110" t="s">
        <v>513</v>
      </c>
      <c r="I6110" t="s">
        <v>40</v>
      </c>
      <c r="J6110" s="2" t="s">
        <v>62</v>
      </c>
      <c r="K6110" t="s">
        <v>387</v>
      </c>
      <c r="L6110" t="s">
        <v>1028</v>
      </c>
      <c r="Q6110">
        <v>26442</v>
      </c>
      <c r="R6110" t="s">
        <v>322</v>
      </c>
      <c r="S6110" t="s">
        <v>36987</v>
      </c>
      <c r="T6110">
        <v>24</v>
      </c>
      <c r="W6110" t="s">
        <v>390</v>
      </c>
      <c r="X6110" t="s">
        <v>5083</v>
      </c>
      <c r="Y6110" s="2" t="s">
        <v>36988</v>
      </c>
      <c r="Z6110" s="2" t="s">
        <v>21826</v>
      </c>
      <c r="AA6110" s="2" t="s">
        <v>36989</v>
      </c>
      <c r="AB6110" t="s">
        <v>70</v>
      </c>
      <c r="AG6110" t="s">
        <v>36990</v>
      </c>
      <c r="AH6110" t="s">
        <v>36991</v>
      </c>
      <c r="AI6110" t="s">
        <v>36992</v>
      </c>
    </row>
    <row r="6111" spans="2:35" ht="135">
      <c r="B6111" s="1">
        <v>45243</v>
      </c>
      <c r="C6111" s="4">
        <v>45239.65625</v>
      </c>
      <c r="D6111" t="s">
        <v>36993</v>
      </c>
      <c r="E6111" t="s">
        <v>36994</v>
      </c>
      <c r="F6111">
        <v>7</v>
      </c>
      <c r="G6111" t="s">
        <v>432</v>
      </c>
      <c r="H6111" t="s">
        <v>39</v>
      </c>
      <c r="I6111" t="s">
        <v>40</v>
      </c>
      <c r="J6111" s="2" t="s">
        <v>36995</v>
      </c>
      <c r="K6111" t="s">
        <v>42</v>
      </c>
      <c r="L6111" t="s">
        <v>433</v>
      </c>
      <c r="N6111" t="s">
        <v>434</v>
      </c>
      <c r="Q6111">
        <v>26440</v>
      </c>
      <c r="R6111" t="s">
        <v>45</v>
      </c>
      <c r="S6111" t="s">
        <v>36996</v>
      </c>
      <c r="T6111">
        <v>27</v>
      </c>
      <c r="W6111" t="s">
        <v>1008</v>
      </c>
      <c r="X6111">
        <v>835057</v>
      </c>
      <c r="Y6111" t="s">
        <v>2789</v>
      </c>
      <c r="Z6111" t="s">
        <v>36997</v>
      </c>
      <c r="AA6111" t="s">
        <v>36998</v>
      </c>
      <c r="AB6111" t="s">
        <v>36999</v>
      </c>
      <c r="AG6111" t="s">
        <v>37000</v>
      </c>
      <c r="AH6111" t="s">
        <v>37001</v>
      </c>
      <c r="AI6111" t="s">
        <v>37002</v>
      </c>
    </row>
    <row r="6112" spans="2:35" ht="105">
      <c r="B6112" s="1">
        <v>45243</v>
      </c>
      <c r="C6112" s="4">
        <v>45243.36041666667</v>
      </c>
      <c r="D6112" t="s">
        <v>23394</v>
      </c>
      <c r="E6112" t="s">
        <v>6103</v>
      </c>
      <c r="F6112" t="s">
        <v>1255</v>
      </c>
      <c r="G6112" t="s">
        <v>4685</v>
      </c>
      <c r="H6112" t="s">
        <v>1047</v>
      </c>
      <c r="I6112" t="s">
        <v>40</v>
      </c>
      <c r="J6112" s="2" t="s">
        <v>62</v>
      </c>
      <c r="K6112" t="s">
        <v>42</v>
      </c>
      <c r="L6112" t="s">
        <v>1288</v>
      </c>
      <c r="Q6112">
        <v>26439</v>
      </c>
      <c r="R6112" t="s">
        <v>119</v>
      </c>
      <c r="S6112" t="s">
        <v>15209</v>
      </c>
      <c r="T6112">
        <v>27</v>
      </c>
      <c r="U6112" s="2" t="s">
        <v>5251</v>
      </c>
      <c r="V6112" s="1">
        <v>45146</v>
      </c>
      <c r="W6112" t="s">
        <v>1292</v>
      </c>
      <c r="X6112">
        <v>838260</v>
      </c>
      <c r="Y6112" t="s">
        <v>10179</v>
      </c>
      <c r="Z6112" t="e">
        <f ca="1">-COLLECT IQR, system _xludf.Log, ARCHIVE, _xludf.and CALIBRATION Data</f>
        <v>#NAME?</v>
      </c>
      <c r="AA6112" t="e">
        <f ca="1">-PERFORM Maintenance _xludf.and Cleaning of GeneXpert workstation
-PERFORM CALIBRATION: module B1, B2, _xludf.and B4    : passed</f>
        <v>#NAME?</v>
      </c>
      <c r="AB6112" t="s">
        <v>1293</v>
      </c>
      <c r="AD6112" t="s">
        <v>5056</v>
      </c>
      <c r="AE6112">
        <v>10477</v>
      </c>
      <c r="AG6112" t="s">
        <v>37003</v>
      </c>
      <c r="AH6112" t="s">
        <v>23396</v>
      </c>
      <c r="AI6112" t="s">
        <v>37004</v>
      </c>
    </row>
    <row r="6113" spans="2:35" ht="255">
      <c r="B6113" s="1">
        <v>45243</v>
      </c>
      <c r="C6113" s="4">
        <v>45240.616666666669</v>
      </c>
      <c r="D6113" t="s">
        <v>3679</v>
      </c>
      <c r="E6113" t="s">
        <v>31074</v>
      </c>
      <c r="F6113" t="s">
        <v>148</v>
      </c>
      <c r="G6113" t="s">
        <v>447</v>
      </c>
      <c r="H6113" t="s">
        <v>662</v>
      </c>
      <c r="I6113" t="s">
        <v>40</v>
      </c>
      <c r="J6113" t="s">
        <v>996</v>
      </c>
      <c r="K6113" t="s">
        <v>42</v>
      </c>
      <c r="L6113" t="s">
        <v>448</v>
      </c>
      <c r="Q6113">
        <v>26438</v>
      </c>
      <c r="R6113" t="s">
        <v>322</v>
      </c>
      <c r="S6113" t="s">
        <v>17810</v>
      </c>
      <c r="T6113">
        <v>26</v>
      </c>
      <c r="U6113" s="2" t="s">
        <v>37005</v>
      </c>
      <c r="W6113" t="s">
        <v>895</v>
      </c>
      <c r="X6113">
        <v>838655</v>
      </c>
      <c r="Y6113" t="s">
        <v>37006</v>
      </c>
      <c r="Z6113" s="2" t="s">
        <v>3071</v>
      </c>
      <c r="AA6113" t="s">
        <v>24030</v>
      </c>
      <c r="AB6113" t="s">
        <v>37007</v>
      </c>
      <c r="AC6113" t="s">
        <v>37008</v>
      </c>
      <c r="AG6113" t="s">
        <v>37009</v>
      </c>
      <c r="AH6113" t="s">
        <v>36593</v>
      </c>
      <c r="AI6113" t="s">
        <v>37010</v>
      </c>
    </row>
    <row r="6114" spans="2:35" ht="150">
      <c r="B6114" s="1">
        <v>45243</v>
      </c>
      <c r="C6114" s="4">
        <v>45240.434027777781</v>
      </c>
      <c r="D6114" t="s">
        <v>37011</v>
      </c>
      <c r="E6114" t="s">
        <v>37012</v>
      </c>
      <c r="F6114" t="s">
        <v>148</v>
      </c>
      <c r="G6114" t="s">
        <v>447</v>
      </c>
      <c r="H6114" t="s">
        <v>37013</v>
      </c>
      <c r="I6114" t="s">
        <v>40</v>
      </c>
      <c r="J6114" t="s">
        <v>109</v>
      </c>
      <c r="K6114" t="s">
        <v>408</v>
      </c>
      <c r="L6114" t="s">
        <v>448</v>
      </c>
      <c r="P6114" t="s">
        <v>9618</v>
      </c>
      <c r="Q6114">
        <v>26437</v>
      </c>
      <c r="R6114" t="s">
        <v>322</v>
      </c>
      <c r="S6114" t="s">
        <v>37014</v>
      </c>
      <c r="T6114">
        <v>26</v>
      </c>
      <c r="W6114" t="s">
        <v>37015</v>
      </c>
      <c r="X6114" t="s">
        <v>6381</v>
      </c>
      <c r="Y6114" t="s">
        <v>37016</v>
      </c>
      <c r="Z6114" s="2" t="s">
        <v>37017</v>
      </c>
      <c r="AA6114" t="s">
        <v>6997</v>
      </c>
      <c r="AB6114" t="s">
        <v>486</v>
      </c>
      <c r="AG6114" t="s">
        <v>37018</v>
      </c>
      <c r="AH6114" t="s">
        <v>37019</v>
      </c>
      <c r="AI6114" t="s">
        <v>37020</v>
      </c>
    </row>
    <row r="6115" spans="2:35" ht="285">
      <c r="B6115" s="1">
        <v>45243</v>
      </c>
      <c r="C6115" s="4">
        <v>45240.402777777781</v>
      </c>
      <c r="D6115" t="s">
        <v>37021</v>
      </c>
      <c r="E6115" t="s">
        <v>37022</v>
      </c>
      <c r="F6115" t="s">
        <v>148</v>
      </c>
      <c r="G6115" t="s">
        <v>447</v>
      </c>
      <c r="H6115" t="s">
        <v>37023</v>
      </c>
      <c r="I6115" t="s">
        <v>40</v>
      </c>
      <c r="J6115" t="s">
        <v>525</v>
      </c>
      <c r="K6115" t="s">
        <v>408</v>
      </c>
      <c r="L6115" t="s">
        <v>448</v>
      </c>
      <c r="P6115" t="s">
        <v>9618</v>
      </c>
      <c r="Q6115">
        <v>26436</v>
      </c>
      <c r="R6115" t="s">
        <v>322</v>
      </c>
      <c r="S6115" t="s">
        <v>37024</v>
      </c>
      <c r="T6115">
        <v>25</v>
      </c>
      <c r="W6115" t="s">
        <v>37025</v>
      </c>
      <c r="X6115" t="s">
        <v>31285</v>
      </c>
      <c r="Y6115" t="s">
        <v>37026</v>
      </c>
      <c r="Z6115" s="2" t="s">
        <v>37027</v>
      </c>
      <c r="AA6115" t="s">
        <v>4487</v>
      </c>
      <c r="AB6115" t="s">
        <v>4087</v>
      </c>
      <c r="AC6115" t="s">
        <v>34509</v>
      </c>
      <c r="AG6115" t="s">
        <v>37028</v>
      </c>
      <c r="AH6115" t="s">
        <v>37029</v>
      </c>
      <c r="AI6115" t="s">
        <v>37030</v>
      </c>
    </row>
    <row r="6116" spans="2:35" ht="360">
      <c r="B6116" s="1">
        <v>45240</v>
      </c>
      <c r="C6116" s="4">
        <v>45240.463194444441</v>
      </c>
      <c r="D6116" t="s">
        <v>26244</v>
      </c>
      <c r="E6116" t="s">
        <v>30993</v>
      </c>
      <c r="F6116">
        <v>1</v>
      </c>
      <c r="G6116" t="s">
        <v>1046</v>
      </c>
      <c r="H6116" t="s">
        <v>39</v>
      </c>
      <c r="I6116" t="s">
        <v>40</v>
      </c>
      <c r="J6116" s="2" t="s">
        <v>41</v>
      </c>
      <c r="K6116" t="s">
        <v>42</v>
      </c>
      <c r="L6116" t="s">
        <v>1048</v>
      </c>
      <c r="Q6116">
        <v>26435</v>
      </c>
      <c r="R6116" t="s">
        <v>45</v>
      </c>
      <c r="S6116" t="s">
        <v>26247</v>
      </c>
      <c r="T6116">
        <v>30</v>
      </c>
      <c r="U6116" s="2" t="s">
        <v>37031</v>
      </c>
      <c r="V6116" s="1">
        <v>45240</v>
      </c>
      <c r="W6116" t="s">
        <v>360</v>
      </c>
      <c r="X6116">
        <v>807598</v>
      </c>
      <c r="Y6116" t="s">
        <v>35729</v>
      </c>
      <c r="Z6116" s="2" t="s">
        <v>37032</v>
      </c>
      <c r="AA6116" t="s">
        <v>1926</v>
      </c>
      <c r="AB6116" t="s">
        <v>181</v>
      </c>
      <c r="AD6116" t="s">
        <v>37033</v>
      </c>
      <c r="AE6116" t="s">
        <v>103</v>
      </c>
      <c r="AG6116" t="s">
        <v>37034</v>
      </c>
      <c r="AH6116" t="s">
        <v>26255</v>
      </c>
      <c r="AI6116" t="s">
        <v>37035</v>
      </c>
    </row>
    <row r="6117" spans="2:35" ht="360">
      <c r="B6117" s="1">
        <v>45240</v>
      </c>
      <c r="C6117" s="4">
        <v>45240.811111111114</v>
      </c>
      <c r="D6117" t="s">
        <v>37036</v>
      </c>
      <c r="E6117" t="s">
        <v>37037</v>
      </c>
      <c r="F6117" t="s">
        <v>1255</v>
      </c>
      <c r="G6117" t="s">
        <v>4685</v>
      </c>
      <c r="H6117" t="s">
        <v>11359</v>
      </c>
      <c r="I6117" t="s">
        <v>40</v>
      </c>
      <c r="J6117" s="2" t="s">
        <v>41</v>
      </c>
      <c r="K6117" t="s">
        <v>42</v>
      </c>
      <c r="L6117" t="s">
        <v>1288</v>
      </c>
      <c r="Q6117">
        <v>26434</v>
      </c>
      <c r="R6117" t="s">
        <v>45</v>
      </c>
      <c r="S6117" t="s">
        <v>37038</v>
      </c>
      <c r="T6117">
        <v>30</v>
      </c>
      <c r="U6117" s="2" t="s">
        <v>37039</v>
      </c>
      <c r="W6117" t="s">
        <v>1292</v>
      </c>
      <c r="X6117">
        <v>834444</v>
      </c>
      <c r="Y6117" t="s">
        <v>25383</v>
      </c>
      <c r="Z6117" t="e">
        <f ca="1">-COLLECT IQR, system _xludf.Log, _xludf.and ARCHIVE</f>
        <v>#NAME?</v>
      </c>
      <c r="AA6117" s="2" t="s">
        <v>37040</v>
      </c>
      <c r="AB6117" t="s">
        <v>1293</v>
      </c>
      <c r="AG6117" t="s">
        <v>37041</v>
      </c>
      <c r="AH6117" t="s">
        <v>37042</v>
      </c>
      <c r="AI6117" t="s">
        <v>37043</v>
      </c>
    </row>
    <row r="6118" spans="2:35">
      <c r="B6118" s="1">
        <v>45240</v>
      </c>
      <c r="C6118" s="4">
        <v>45240.648611111108</v>
      </c>
      <c r="D6118" t="s">
        <v>37044</v>
      </c>
      <c r="E6118" t="s">
        <v>37045</v>
      </c>
      <c r="F6118" t="s">
        <v>148</v>
      </c>
      <c r="G6118" t="s">
        <v>447</v>
      </c>
      <c r="H6118" t="s">
        <v>513</v>
      </c>
      <c r="I6118" t="s">
        <v>40</v>
      </c>
      <c r="J6118" t="s">
        <v>109</v>
      </c>
      <c r="K6118" t="s">
        <v>387</v>
      </c>
      <c r="L6118" t="s">
        <v>80</v>
      </c>
      <c r="Q6118">
        <v>26433</v>
      </c>
      <c r="R6118" t="s">
        <v>95</v>
      </c>
      <c r="S6118" t="s">
        <v>36786</v>
      </c>
      <c r="T6118">
        <v>30</v>
      </c>
      <c r="V6118" s="1">
        <v>45240</v>
      </c>
      <c r="W6118" t="s">
        <v>390</v>
      </c>
      <c r="X6118" t="s">
        <v>14922</v>
      </c>
      <c r="Y6118" t="s">
        <v>37046</v>
      </c>
      <c r="Z6118" t="s">
        <v>37047</v>
      </c>
      <c r="AA6118" t="s">
        <v>5995</v>
      </c>
      <c r="AB6118" t="s">
        <v>88</v>
      </c>
      <c r="AC6118" t="s">
        <v>103</v>
      </c>
      <c r="AD6118" t="s">
        <v>103</v>
      </c>
      <c r="AE6118" t="s">
        <v>103</v>
      </c>
      <c r="AG6118" t="s">
        <v>37048</v>
      </c>
      <c r="AH6118" t="s">
        <v>36791</v>
      </c>
      <c r="AI6118" t="s">
        <v>37049</v>
      </c>
    </row>
    <row r="6119" spans="2:35" ht="300">
      <c r="B6119" s="1">
        <v>45240</v>
      </c>
      <c r="C6119" s="4">
        <v>45240.609722222223</v>
      </c>
      <c r="D6119" t="s">
        <v>7810</v>
      </c>
      <c r="E6119" t="s">
        <v>7811</v>
      </c>
      <c r="F6119">
        <v>11</v>
      </c>
      <c r="G6119" t="s">
        <v>1205</v>
      </c>
      <c r="H6119" t="s">
        <v>202</v>
      </c>
      <c r="I6119" t="s">
        <v>40</v>
      </c>
      <c r="J6119" s="2" t="s">
        <v>190</v>
      </c>
      <c r="K6119" t="s">
        <v>42</v>
      </c>
      <c r="L6119" t="s">
        <v>204</v>
      </c>
      <c r="Q6119">
        <v>26432</v>
      </c>
      <c r="R6119" t="s">
        <v>119</v>
      </c>
      <c r="S6119" t="s">
        <v>7812</v>
      </c>
      <c r="T6119">
        <v>25.6</v>
      </c>
      <c r="U6119" s="2" t="s">
        <v>24839</v>
      </c>
      <c r="W6119" t="s">
        <v>23237</v>
      </c>
      <c r="X6119">
        <v>838232</v>
      </c>
      <c r="Y6119" t="s">
        <v>37050</v>
      </c>
      <c r="Z6119" s="2" t="s">
        <v>37051</v>
      </c>
      <c r="AA6119" t="s">
        <v>37052</v>
      </c>
      <c r="AB6119" t="s">
        <v>37053</v>
      </c>
      <c r="AG6119" t="s">
        <v>37054</v>
      </c>
      <c r="AH6119" t="s">
        <v>37055</v>
      </c>
      <c r="AI6119" t="s">
        <v>37056</v>
      </c>
    </row>
    <row r="6120" spans="2:35" ht="150">
      <c r="B6120" s="1">
        <v>45240</v>
      </c>
      <c r="C6120" s="4">
        <v>45240.560416666667</v>
      </c>
      <c r="D6120" t="s">
        <v>1222</v>
      </c>
      <c r="E6120" t="s">
        <v>37057</v>
      </c>
      <c r="F6120" t="s">
        <v>37</v>
      </c>
      <c r="G6120" t="s">
        <v>38</v>
      </c>
      <c r="H6120" t="s">
        <v>39</v>
      </c>
      <c r="I6120" t="s">
        <v>40</v>
      </c>
      <c r="J6120" s="2" t="s">
        <v>62</v>
      </c>
      <c r="K6120" t="s">
        <v>42</v>
      </c>
      <c r="L6120" t="s">
        <v>43</v>
      </c>
      <c r="Q6120">
        <v>26431</v>
      </c>
      <c r="R6120" t="s">
        <v>119</v>
      </c>
      <c r="S6120" t="s">
        <v>27731</v>
      </c>
      <c r="T6120">
        <v>24</v>
      </c>
      <c r="U6120" s="2" t="s">
        <v>9057</v>
      </c>
      <c r="W6120" t="s">
        <v>48</v>
      </c>
      <c r="X6120">
        <v>821213</v>
      </c>
      <c r="Y6120" t="s">
        <v>1111</v>
      </c>
      <c r="Z6120" t="s">
        <v>1519</v>
      </c>
      <c r="AA6120" s="2" t="s">
        <v>37058</v>
      </c>
      <c r="AB6120" t="s">
        <v>37059</v>
      </c>
      <c r="AG6120" t="s">
        <v>37060</v>
      </c>
      <c r="AH6120" t="s">
        <v>1230</v>
      </c>
      <c r="AI6120" t="s">
        <v>37061</v>
      </c>
    </row>
    <row r="6121" spans="2:35" ht="409.5">
      <c r="B6121" s="1">
        <v>45240</v>
      </c>
      <c r="C6121" s="4">
        <v>45239.57708333333</v>
      </c>
      <c r="D6121" t="s">
        <v>5474</v>
      </c>
      <c r="E6121" t="s">
        <v>37062</v>
      </c>
      <c r="F6121" t="s">
        <v>148</v>
      </c>
      <c r="G6121" t="s">
        <v>2007</v>
      </c>
      <c r="H6121" t="s">
        <v>386</v>
      </c>
      <c r="I6121" t="s">
        <v>94</v>
      </c>
      <c r="J6121" s="2" t="s">
        <v>62</v>
      </c>
      <c r="K6121" t="s">
        <v>387</v>
      </c>
      <c r="L6121" t="s">
        <v>448</v>
      </c>
      <c r="Q6121">
        <v>26430</v>
      </c>
      <c r="R6121" t="s">
        <v>95</v>
      </c>
      <c r="S6121" t="s">
        <v>35495</v>
      </c>
      <c r="T6121">
        <v>26</v>
      </c>
      <c r="V6121" s="1">
        <v>45237</v>
      </c>
      <c r="W6121" t="s">
        <v>390</v>
      </c>
      <c r="X6121" t="s">
        <v>5488</v>
      </c>
      <c r="Y6121" t="s">
        <v>37063</v>
      </c>
      <c r="Z6121" s="2" t="s">
        <v>37064</v>
      </c>
      <c r="AA6121" t="s">
        <v>28174</v>
      </c>
      <c r="AB6121" t="s">
        <v>486</v>
      </c>
      <c r="AC6121" t="s">
        <v>37065</v>
      </c>
      <c r="AD6121" t="s">
        <v>37066</v>
      </c>
      <c r="AE6121">
        <v>10801</v>
      </c>
      <c r="AG6121" t="s">
        <v>37067</v>
      </c>
      <c r="AH6121" t="s">
        <v>37068</v>
      </c>
      <c r="AI6121" t="s">
        <v>37069</v>
      </c>
    </row>
    <row r="6122" spans="2:35" ht="255">
      <c r="B6122" s="1">
        <v>45240</v>
      </c>
      <c r="C6122" s="4">
        <v>45238.676388888889</v>
      </c>
      <c r="D6122" t="s">
        <v>5903</v>
      </c>
      <c r="E6122" t="s">
        <v>9675</v>
      </c>
      <c r="F6122" t="s">
        <v>148</v>
      </c>
      <c r="G6122" t="s">
        <v>447</v>
      </c>
      <c r="H6122" t="s">
        <v>662</v>
      </c>
      <c r="I6122" t="s">
        <v>40</v>
      </c>
      <c r="J6122" s="2" t="s">
        <v>41</v>
      </c>
      <c r="K6122" t="s">
        <v>42</v>
      </c>
      <c r="L6122" t="s">
        <v>448</v>
      </c>
      <c r="Q6122">
        <v>26429</v>
      </c>
      <c r="R6122" t="s">
        <v>322</v>
      </c>
      <c r="S6122" t="s">
        <v>3987</v>
      </c>
      <c r="T6122">
        <v>23</v>
      </c>
      <c r="V6122" s="1">
        <v>45237</v>
      </c>
      <c r="W6122" t="s">
        <v>895</v>
      </c>
      <c r="X6122">
        <v>110014171</v>
      </c>
      <c r="Y6122" t="s">
        <v>37070</v>
      </c>
      <c r="Z6122" s="2" t="s">
        <v>2585</v>
      </c>
      <c r="AA6122" t="s">
        <v>27527</v>
      </c>
      <c r="AB6122" t="s">
        <v>486</v>
      </c>
      <c r="AD6122" t="s">
        <v>10535</v>
      </c>
      <c r="AE6122">
        <v>10799</v>
      </c>
      <c r="AG6122" t="s">
        <v>37071</v>
      </c>
      <c r="AH6122" t="s">
        <v>660</v>
      </c>
      <c r="AI6122" t="s">
        <v>37072</v>
      </c>
    </row>
    <row r="6123" spans="2:35">
      <c r="B6123" s="1">
        <v>45240</v>
      </c>
      <c r="C6123" s="4">
        <v>45240.571527777778</v>
      </c>
      <c r="D6123" t="s">
        <v>37073</v>
      </c>
      <c r="E6123" t="s">
        <v>37074</v>
      </c>
      <c r="F6123" t="s">
        <v>148</v>
      </c>
      <c r="G6123" t="s">
        <v>447</v>
      </c>
      <c r="H6123" t="s">
        <v>39</v>
      </c>
      <c r="I6123" t="s">
        <v>40</v>
      </c>
      <c r="J6123" t="s">
        <v>583</v>
      </c>
      <c r="K6123" t="s">
        <v>42</v>
      </c>
      <c r="L6123" t="s">
        <v>80</v>
      </c>
      <c r="Q6123">
        <v>26428</v>
      </c>
      <c r="R6123" t="s">
        <v>322</v>
      </c>
      <c r="S6123" t="s">
        <v>15652</v>
      </c>
      <c r="T6123">
        <v>28</v>
      </c>
      <c r="V6123" s="1">
        <v>45240</v>
      </c>
      <c r="W6123" t="s">
        <v>502</v>
      </c>
      <c r="X6123">
        <v>845462</v>
      </c>
      <c r="Y6123" t="s">
        <v>37075</v>
      </c>
      <c r="Z6123" t="s">
        <v>37076</v>
      </c>
      <c r="AA6123" t="s">
        <v>37077</v>
      </c>
      <c r="AB6123" t="s">
        <v>1188</v>
      </c>
      <c r="AC6123" t="s">
        <v>103</v>
      </c>
      <c r="AD6123" t="s">
        <v>103</v>
      </c>
      <c r="AE6123" t="s">
        <v>103</v>
      </c>
      <c r="AG6123" t="s">
        <v>37078</v>
      </c>
      <c r="AH6123" t="s">
        <v>15657</v>
      </c>
      <c r="AI6123" t="s">
        <v>37079</v>
      </c>
    </row>
    <row r="6124" spans="2:35" ht="409.5">
      <c r="B6124" s="1">
        <v>45240</v>
      </c>
      <c r="C6124" s="4">
        <v>45240.569444444445</v>
      </c>
      <c r="D6124" t="s">
        <v>2408</v>
      </c>
      <c r="E6124" t="s">
        <v>2409</v>
      </c>
      <c r="F6124">
        <v>3</v>
      </c>
      <c r="G6124" t="s">
        <v>730</v>
      </c>
      <c r="H6124" t="s">
        <v>39</v>
      </c>
      <c r="I6124" t="s">
        <v>40</v>
      </c>
      <c r="J6124" s="2" t="s">
        <v>1245</v>
      </c>
      <c r="K6124" t="s">
        <v>42</v>
      </c>
      <c r="L6124" t="s">
        <v>135</v>
      </c>
      <c r="Q6124">
        <v>26427</v>
      </c>
      <c r="R6124" t="s">
        <v>45</v>
      </c>
      <c r="S6124" t="s">
        <v>2410</v>
      </c>
      <c r="T6124">
        <v>29</v>
      </c>
      <c r="U6124" s="2" t="s">
        <v>37080</v>
      </c>
      <c r="W6124" t="s">
        <v>2680</v>
      </c>
      <c r="X6124">
        <v>807562</v>
      </c>
      <c r="Y6124" s="2" t="s">
        <v>37081</v>
      </c>
      <c r="Z6124" s="2" t="s">
        <v>37082</v>
      </c>
      <c r="AA6124" s="2" t="s">
        <v>37083</v>
      </c>
      <c r="AB6124" t="s">
        <v>181</v>
      </c>
      <c r="AC6124" t="s">
        <v>37084</v>
      </c>
      <c r="AG6124" t="s">
        <v>37085</v>
      </c>
      <c r="AH6124" t="s">
        <v>4284</v>
      </c>
      <c r="AI6124" t="s">
        <v>37086</v>
      </c>
    </row>
    <row r="6125" spans="2:35" ht="105">
      <c r="B6125" s="1">
        <v>45240</v>
      </c>
      <c r="C6125" s="4">
        <v>45240.464583333334</v>
      </c>
      <c r="D6125" t="s">
        <v>5563</v>
      </c>
      <c r="E6125" t="s">
        <v>1555</v>
      </c>
      <c r="F6125">
        <v>7</v>
      </c>
      <c r="G6125" t="s">
        <v>432</v>
      </c>
      <c r="H6125" t="s">
        <v>150</v>
      </c>
      <c r="I6125" t="s">
        <v>40</v>
      </c>
      <c r="J6125" t="s">
        <v>109</v>
      </c>
      <c r="K6125" t="s">
        <v>42</v>
      </c>
      <c r="L6125" t="s">
        <v>343</v>
      </c>
      <c r="Q6125">
        <v>26426</v>
      </c>
      <c r="R6125" t="s">
        <v>119</v>
      </c>
      <c r="S6125" t="s">
        <v>5564</v>
      </c>
      <c r="T6125">
        <v>28</v>
      </c>
      <c r="U6125" s="2" t="s">
        <v>37087</v>
      </c>
      <c r="W6125" t="s">
        <v>6105</v>
      </c>
      <c r="X6125">
        <v>838561</v>
      </c>
      <c r="Y6125" t="s">
        <v>301</v>
      </c>
      <c r="Z6125" t="s">
        <v>301</v>
      </c>
      <c r="AA6125" t="e">
        <f ca="1">-Preventive Maintenance
-ARCHIVE Monthly tests</f>
        <v>#NAME?</v>
      </c>
      <c r="AB6125" t="s">
        <v>37088</v>
      </c>
      <c r="AC6125" t="s">
        <v>301</v>
      </c>
      <c r="AG6125" t="s">
        <v>37089</v>
      </c>
      <c r="AH6125" t="s">
        <v>8415</v>
      </c>
      <c r="AI6125" t="s">
        <v>37090</v>
      </c>
    </row>
    <row r="6126" spans="2:35" ht="210">
      <c r="B6126" s="1">
        <v>45240</v>
      </c>
      <c r="C6126" s="4">
        <v>45240.443749999999</v>
      </c>
      <c r="D6126" t="s">
        <v>22809</v>
      </c>
      <c r="E6126" t="s">
        <v>37091</v>
      </c>
      <c r="F6126" t="s">
        <v>148</v>
      </c>
      <c r="G6126" t="s">
        <v>544</v>
      </c>
      <c r="H6126" t="s">
        <v>39</v>
      </c>
      <c r="I6126" t="s">
        <v>40</v>
      </c>
      <c r="J6126" t="s">
        <v>109</v>
      </c>
      <c r="K6126" t="s">
        <v>42</v>
      </c>
      <c r="L6126" t="s">
        <v>43</v>
      </c>
      <c r="Q6126">
        <v>26425</v>
      </c>
      <c r="R6126" t="s">
        <v>45</v>
      </c>
      <c r="S6126" t="s">
        <v>22810</v>
      </c>
      <c r="T6126">
        <v>24</v>
      </c>
      <c r="U6126" s="2" t="s">
        <v>37092</v>
      </c>
      <c r="W6126" t="s">
        <v>48</v>
      </c>
      <c r="X6126">
        <v>809257</v>
      </c>
      <c r="Y6126" t="s">
        <v>121</v>
      </c>
      <c r="Z6126" t="s">
        <v>122</v>
      </c>
      <c r="AA6126" s="2" t="s">
        <v>33688</v>
      </c>
      <c r="AB6126" t="s">
        <v>88</v>
      </c>
      <c r="AG6126" t="s">
        <v>37093</v>
      </c>
      <c r="AH6126" t="s">
        <v>37094</v>
      </c>
      <c r="AI6126" t="s">
        <v>37095</v>
      </c>
    </row>
    <row r="6127" spans="2:35" ht="210">
      <c r="B6127" s="1">
        <v>45240</v>
      </c>
      <c r="C6127" s="4">
        <v>45240.40902777778</v>
      </c>
      <c r="D6127" t="s">
        <v>542</v>
      </c>
      <c r="E6127" t="s">
        <v>28584</v>
      </c>
      <c r="F6127" t="s">
        <v>148</v>
      </c>
      <c r="G6127" t="s">
        <v>544</v>
      </c>
      <c r="H6127" t="s">
        <v>39</v>
      </c>
      <c r="I6127" t="s">
        <v>40</v>
      </c>
      <c r="J6127" t="s">
        <v>109</v>
      </c>
      <c r="K6127" t="s">
        <v>42</v>
      </c>
      <c r="L6127" t="s">
        <v>43</v>
      </c>
      <c r="Q6127">
        <v>26424</v>
      </c>
      <c r="R6127" t="s">
        <v>45</v>
      </c>
      <c r="S6127" t="s">
        <v>15929</v>
      </c>
      <c r="T6127">
        <v>24</v>
      </c>
      <c r="U6127" s="2" t="s">
        <v>37096</v>
      </c>
      <c r="W6127" t="s">
        <v>11663</v>
      </c>
      <c r="X6127">
        <v>805211</v>
      </c>
      <c r="Y6127" t="s">
        <v>121</v>
      </c>
      <c r="Z6127" t="s">
        <v>122</v>
      </c>
      <c r="AA6127" s="2" t="s">
        <v>33688</v>
      </c>
      <c r="AB6127" t="s">
        <v>88</v>
      </c>
      <c r="AG6127" t="s">
        <v>37097</v>
      </c>
      <c r="AH6127" t="s">
        <v>37098</v>
      </c>
      <c r="AI6127" t="s">
        <v>37099</v>
      </c>
    </row>
    <row r="6128" spans="2:35" ht="210">
      <c r="B6128" s="1">
        <v>45240</v>
      </c>
      <c r="C6128" s="4">
        <v>45240.402777777781</v>
      </c>
      <c r="D6128" t="s">
        <v>542</v>
      </c>
      <c r="E6128" t="s">
        <v>28584</v>
      </c>
      <c r="F6128" t="s">
        <v>148</v>
      </c>
      <c r="G6128" t="s">
        <v>544</v>
      </c>
      <c r="H6128" t="s">
        <v>39</v>
      </c>
      <c r="I6128" t="s">
        <v>40</v>
      </c>
      <c r="J6128" t="s">
        <v>109</v>
      </c>
      <c r="K6128" t="s">
        <v>42</v>
      </c>
      <c r="L6128" t="s">
        <v>43</v>
      </c>
      <c r="Q6128">
        <v>26423</v>
      </c>
      <c r="R6128" t="s">
        <v>322</v>
      </c>
      <c r="S6128" t="s">
        <v>15929</v>
      </c>
      <c r="T6128">
        <v>24</v>
      </c>
      <c r="W6128" t="s">
        <v>153</v>
      </c>
      <c r="X6128">
        <v>120000613</v>
      </c>
      <c r="Y6128" t="s">
        <v>121</v>
      </c>
      <c r="Z6128" t="s">
        <v>122</v>
      </c>
      <c r="AA6128" s="2" t="s">
        <v>33688</v>
      </c>
      <c r="AB6128" t="s">
        <v>7543</v>
      </c>
      <c r="AG6128" t="s">
        <v>37100</v>
      </c>
      <c r="AH6128" t="s">
        <v>37098</v>
      </c>
      <c r="AI6128" t="s">
        <v>37101</v>
      </c>
    </row>
    <row r="6129" spans="2:35" ht="210">
      <c r="B6129" s="1">
        <v>45240</v>
      </c>
      <c r="C6129" s="4">
        <v>45240.423611111109</v>
      </c>
      <c r="D6129" t="s">
        <v>542</v>
      </c>
      <c r="E6129" t="s">
        <v>28594</v>
      </c>
      <c r="F6129" t="s">
        <v>148</v>
      </c>
      <c r="G6129" t="s">
        <v>544</v>
      </c>
      <c r="H6129" t="s">
        <v>39</v>
      </c>
      <c r="I6129" t="s">
        <v>40</v>
      </c>
      <c r="J6129" t="s">
        <v>109</v>
      </c>
      <c r="K6129" t="s">
        <v>42</v>
      </c>
      <c r="L6129" t="s">
        <v>43</v>
      </c>
      <c r="Q6129">
        <v>26422</v>
      </c>
      <c r="R6129" t="s">
        <v>119</v>
      </c>
      <c r="S6129" t="s">
        <v>15929</v>
      </c>
      <c r="T6129">
        <v>24</v>
      </c>
      <c r="U6129" s="2" t="s">
        <v>37102</v>
      </c>
      <c r="W6129" t="s">
        <v>48</v>
      </c>
      <c r="X6129">
        <v>831588</v>
      </c>
      <c r="Y6129" t="s">
        <v>121</v>
      </c>
      <c r="Z6129" t="s">
        <v>122</v>
      </c>
      <c r="AA6129" s="2" t="s">
        <v>33688</v>
      </c>
      <c r="AB6129" t="s">
        <v>37103</v>
      </c>
      <c r="AG6129" t="s">
        <v>37104</v>
      </c>
      <c r="AH6129" t="s">
        <v>37098</v>
      </c>
      <c r="AI6129" t="s">
        <v>37105</v>
      </c>
    </row>
    <row r="6130" spans="2:35" ht="210">
      <c r="B6130" s="1">
        <v>45240</v>
      </c>
      <c r="C6130" s="4">
        <v>45240.425000000003</v>
      </c>
      <c r="D6130" t="s">
        <v>542</v>
      </c>
      <c r="E6130" t="s">
        <v>30872</v>
      </c>
      <c r="F6130" t="s">
        <v>148</v>
      </c>
      <c r="G6130" t="s">
        <v>544</v>
      </c>
      <c r="H6130" t="s">
        <v>39</v>
      </c>
      <c r="I6130" t="s">
        <v>40</v>
      </c>
      <c r="J6130" t="s">
        <v>109</v>
      </c>
      <c r="K6130" t="s">
        <v>42</v>
      </c>
      <c r="L6130" t="s">
        <v>43</v>
      </c>
      <c r="Q6130">
        <v>26421</v>
      </c>
      <c r="R6130" t="s">
        <v>322</v>
      </c>
      <c r="S6130" t="s">
        <v>15929</v>
      </c>
      <c r="T6130">
        <v>24</v>
      </c>
      <c r="U6130" s="2" t="s">
        <v>15122</v>
      </c>
      <c r="W6130" t="s">
        <v>153</v>
      </c>
      <c r="X6130">
        <v>110016107</v>
      </c>
      <c r="Y6130" t="s">
        <v>121</v>
      </c>
      <c r="Z6130" t="s">
        <v>122</v>
      </c>
      <c r="AA6130" s="2" t="s">
        <v>33688</v>
      </c>
      <c r="AB6130" t="s">
        <v>181</v>
      </c>
      <c r="AG6130" t="s">
        <v>37106</v>
      </c>
      <c r="AH6130" t="s">
        <v>37098</v>
      </c>
      <c r="AI6130" t="s">
        <v>37107</v>
      </c>
    </row>
    <row r="6131" spans="2:35" ht="315">
      <c r="B6131" s="1">
        <v>45239</v>
      </c>
      <c r="C6131" s="4">
        <v>45239.379166666666</v>
      </c>
      <c r="D6131" t="s">
        <v>37108</v>
      </c>
      <c r="E6131" t="s">
        <v>37109</v>
      </c>
      <c r="F6131" t="s">
        <v>37</v>
      </c>
      <c r="G6131" t="s">
        <v>2499</v>
      </c>
      <c r="H6131" t="s">
        <v>39</v>
      </c>
      <c r="I6131" t="s">
        <v>40</v>
      </c>
      <c r="J6131" s="2" t="s">
        <v>62</v>
      </c>
      <c r="K6131" t="s">
        <v>42</v>
      </c>
      <c r="L6131" t="s">
        <v>15532</v>
      </c>
      <c r="Q6131">
        <v>26419</v>
      </c>
      <c r="R6131" t="s">
        <v>119</v>
      </c>
      <c r="S6131" t="s">
        <v>37110</v>
      </c>
      <c r="T6131">
        <v>25</v>
      </c>
      <c r="U6131" s="2" t="s">
        <v>21458</v>
      </c>
      <c r="V6131" s="1">
        <v>45224</v>
      </c>
      <c r="W6131" t="s">
        <v>3244</v>
      </c>
      <c r="X6131">
        <v>831916</v>
      </c>
      <c r="Y6131" t="s">
        <v>21527</v>
      </c>
      <c r="Z6131" s="2" t="s">
        <v>37111</v>
      </c>
      <c r="AA6131" t="s">
        <v>999</v>
      </c>
      <c r="AB6131" s="2" t="s">
        <v>15539</v>
      </c>
      <c r="AC6131" t="s">
        <v>37112</v>
      </c>
      <c r="AD6131" t="s">
        <v>20036</v>
      </c>
      <c r="AE6131" t="s">
        <v>37113</v>
      </c>
      <c r="AG6131" t="s">
        <v>37114</v>
      </c>
      <c r="AH6131" t="s">
        <v>37115</v>
      </c>
      <c r="AI6131" t="s">
        <v>37116</v>
      </c>
    </row>
    <row r="6132" spans="2:35" ht="300">
      <c r="B6132" s="1">
        <v>45239</v>
      </c>
      <c r="C6132" s="4">
        <v>45239.59375</v>
      </c>
      <c r="D6132" t="s">
        <v>33454</v>
      </c>
      <c r="E6132" t="s">
        <v>37117</v>
      </c>
      <c r="F6132" t="s">
        <v>37</v>
      </c>
      <c r="G6132" t="s">
        <v>2499</v>
      </c>
      <c r="H6132" t="s">
        <v>39</v>
      </c>
      <c r="I6132" t="s">
        <v>40</v>
      </c>
      <c r="J6132" s="2" t="s">
        <v>62</v>
      </c>
      <c r="K6132" t="s">
        <v>42</v>
      </c>
      <c r="L6132" t="s">
        <v>15532</v>
      </c>
      <c r="Q6132">
        <v>26420</v>
      </c>
      <c r="R6132" t="s">
        <v>119</v>
      </c>
      <c r="S6132" t="s">
        <v>33456</v>
      </c>
      <c r="T6132">
        <v>25</v>
      </c>
      <c r="U6132" s="2" t="s">
        <v>2341</v>
      </c>
      <c r="V6132" s="1">
        <v>45224</v>
      </c>
      <c r="W6132" t="s">
        <v>3244</v>
      </c>
      <c r="X6132">
        <v>831889</v>
      </c>
      <c r="Y6132" t="s">
        <v>21527</v>
      </c>
      <c r="Z6132" s="2" t="s">
        <v>37118</v>
      </c>
      <c r="AA6132" t="s">
        <v>999</v>
      </c>
      <c r="AB6132" s="2" t="s">
        <v>37119</v>
      </c>
      <c r="AC6132" t="s">
        <v>37120</v>
      </c>
      <c r="AD6132" t="s">
        <v>7189</v>
      </c>
      <c r="AE6132" t="s">
        <v>37121</v>
      </c>
      <c r="AG6132" t="s">
        <v>37122</v>
      </c>
      <c r="AH6132" t="s">
        <v>33461</v>
      </c>
      <c r="AI6132" t="s">
        <v>37123</v>
      </c>
    </row>
    <row r="6133" spans="2:35" ht="300">
      <c r="B6133" s="1">
        <v>45239</v>
      </c>
      <c r="C6133" s="4">
        <v>45239.59375</v>
      </c>
      <c r="D6133" t="s">
        <v>33454</v>
      </c>
      <c r="E6133" t="s">
        <v>37117</v>
      </c>
      <c r="F6133" t="s">
        <v>37</v>
      </c>
      <c r="G6133" t="s">
        <v>2499</v>
      </c>
      <c r="H6133" t="s">
        <v>39</v>
      </c>
      <c r="I6133" t="s">
        <v>40</v>
      </c>
      <c r="J6133" s="2" t="s">
        <v>62</v>
      </c>
      <c r="K6133" t="s">
        <v>42</v>
      </c>
      <c r="L6133" t="s">
        <v>15532</v>
      </c>
      <c r="Q6133">
        <v>26418</v>
      </c>
      <c r="R6133" t="s">
        <v>119</v>
      </c>
      <c r="S6133" t="s">
        <v>33456</v>
      </c>
      <c r="T6133">
        <v>25</v>
      </c>
      <c r="U6133" s="2" t="s">
        <v>2341</v>
      </c>
      <c r="V6133" s="1">
        <v>45224</v>
      </c>
      <c r="W6133" t="s">
        <v>3244</v>
      </c>
      <c r="X6133">
        <v>831889</v>
      </c>
      <c r="Y6133" t="s">
        <v>21527</v>
      </c>
      <c r="Z6133" s="2" t="s">
        <v>37118</v>
      </c>
      <c r="AA6133" t="s">
        <v>999</v>
      </c>
      <c r="AB6133" s="2" t="s">
        <v>37119</v>
      </c>
      <c r="AC6133" t="s">
        <v>37120</v>
      </c>
      <c r="AD6133" t="s">
        <v>7189</v>
      </c>
      <c r="AE6133" t="s">
        <v>37121</v>
      </c>
      <c r="AG6133" t="s">
        <v>37124</v>
      </c>
      <c r="AH6133" t="s">
        <v>33461</v>
      </c>
      <c r="AI6133" t="s">
        <v>37125</v>
      </c>
    </row>
    <row r="6134" spans="2:35" ht="315">
      <c r="B6134" s="1">
        <v>45239</v>
      </c>
      <c r="C6134" s="4">
        <v>45239.379166666666</v>
      </c>
      <c r="D6134" t="s">
        <v>37108</v>
      </c>
      <c r="E6134" t="s">
        <v>37109</v>
      </c>
      <c r="F6134" t="s">
        <v>37</v>
      </c>
      <c r="G6134" t="s">
        <v>2499</v>
      </c>
      <c r="H6134" t="s">
        <v>39</v>
      </c>
      <c r="I6134" t="s">
        <v>40</v>
      </c>
      <c r="J6134" s="2" t="s">
        <v>62</v>
      </c>
      <c r="K6134" t="s">
        <v>42</v>
      </c>
      <c r="L6134" t="s">
        <v>15532</v>
      </c>
      <c r="Q6134">
        <v>26418</v>
      </c>
      <c r="R6134" t="s">
        <v>119</v>
      </c>
      <c r="S6134" t="s">
        <v>37110</v>
      </c>
      <c r="T6134">
        <v>25</v>
      </c>
      <c r="U6134" s="2" t="s">
        <v>21458</v>
      </c>
      <c r="V6134" s="1">
        <v>45224</v>
      </c>
      <c r="W6134" t="s">
        <v>3244</v>
      </c>
      <c r="X6134">
        <v>831916</v>
      </c>
      <c r="Y6134" t="s">
        <v>21527</v>
      </c>
      <c r="Z6134" s="2" t="s">
        <v>37111</v>
      </c>
      <c r="AA6134" t="s">
        <v>999</v>
      </c>
      <c r="AB6134" s="2" t="s">
        <v>15539</v>
      </c>
      <c r="AC6134" t="s">
        <v>37112</v>
      </c>
      <c r="AD6134" t="s">
        <v>20036</v>
      </c>
      <c r="AE6134" t="s">
        <v>37113</v>
      </c>
      <c r="AG6134" t="s">
        <v>37126</v>
      </c>
      <c r="AH6134" t="s">
        <v>37115</v>
      </c>
      <c r="AI6134" t="s">
        <v>37127</v>
      </c>
    </row>
    <row r="6135" spans="2:35" ht="180">
      <c r="B6135" s="1">
        <v>45239</v>
      </c>
      <c r="C6135" s="4">
        <v>45239.414583333331</v>
      </c>
      <c r="D6135" t="s">
        <v>37128</v>
      </c>
      <c r="E6135" t="s">
        <v>7466</v>
      </c>
      <c r="F6135">
        <v>8</v>
      </c>
      <c r="G6135" t="s">
        <v>342</v>
      </c>
      <c r="H6135" t="s">
        <v>36499</v>
      </c>
      <c r="I6135" t="s">
        <v>40</v>
      </c>
      <c r="J6135" t="s">
        <v>109</v>
      </c>
      <c r="K6135" t="s">
        <v>42</v>
      </c>
      <c r="L6135" t="s">
        <v>259</v>
      </c>
      <c r="Q6135">
        <v>26417</v>
      </c>
      <c r="R6135" t="s">
        <v>119</v>
      </c>
      <c r="S6135" t="s">
        <v>16053</v>
      </c>
      <c r="T6135">
        <v>29</v>
      </c>
      <c r="U6135" s="2" t="s">
        <v>37129</v>
      </c>
      <c r="V6135" s="1">
        <v>45239</v>
      </c>
      <c r="W6135" t="s">
        <v>84</v>
      </c>
      <c r="X6135">
        <v>838551</v>
      </c>
      <c r="Y6135" t="s">
        <v>1716</v>
      </c>
      <c r="Z6135" t="s">
        <v>54</v>
      </c>
      <c r="AA6135" t="e">
        <f ca="1">-performed Monthly Preventive Maintenance</f>
        <v>#NAME?</v>
      </c>
      <c r="AB6135" t="s">
        <v>70</v>
      </c>
      <c r="AG6135" t="s">
        <v>37130</v>
      </c>
      <c r="AH6135" t="s">
        <v>37131</v>
      </c>
      <c r="AI6135" t="s">
        <v>37132</v>
      </c>
    </row>
    <row r="6136" spans="2:35" ht="150">
      <c r="B6136" s="1">
        <v>45239</v>
      </c>
      <c r="C6136" s="4">
        <v>45239.637499999997</v>
      </c>
      <c r="D6136" t="s">
        <v>32053</v>
      </c>
      <c r="E6136" t="s">
        <v>37133</v>
      </c>
      <c r="F6136" t="s">
        <v>148</v>
      </c>
      <c r="G6136" t="s">
        <v>32055</v>
      </c>
      <c r="H6136" t="s">
        <v>39</v>
      </c>
      <c r="I6136" t="s">
        <v>40</v>
      </c>
      <c r="J6136" s="2" t="s">
        <v>41</v>
      </c>
      <c r="K6136" t="s">
        <v>42</v>
      </c>
      <c r="L6136" t="s">
        <v>43</v>
      </c>
      <c r="Q6136">
        <v>26416</v>
      </c>
      <c r="R6136" t="s">
        <v>45</v>
      </c>
      <c r="S6136" t="s">
        <v>32056</v>
      </c>
      <c r="T6136">
        <v>24</v>
      </c>
      <c r="U6136" s="2" t="s">
        <v>37134</v>
      </c>
      <c r="V6136" s="1">
        <v>45237</v>
      </c>
      <c r="W6136" t="s">
        <v>48</v>
      </c>
      <c r="X6136">
        <v>804254</v>
      </c>
      <c r="Y6136" t="s">
        <v>31973</v>
      </c>
      <c r="Z6136" t="s">
        <v>37135</v>
      </c>
      <c r="AA6136" s="2" t="s">
        <v>37136</v>
      </c>
      <c r="AB6136" t="s">
        <v>16412</v>
      </c>
      <c r="AD6136" s="2" t="s">
        <v>37137</v>
      </c>
      <c r="AE6136" t="s">
        <v>37138</v>
      </c>
      <c r="AG6136" t="s">
        <v>37139</v>
      </c>
      <c r="AH6136" t="s">
        <v>37140</v>
      </c>
      <c r="AI6136" t="s">
        <v>37141</v>
      </c>
    </row>
    <row r="6137" spans="2:35" ht="105">
      <c r="B6137" s="1">
        <v>45239</v>
      </c>
      <c r="C6137" s="4">
        <v>45239.458333333336</v>
      </c>
      <c r="D6137" t="s">
        <v>30954</v>
      </c>
      <c r="E6137" t="s">
        <v>37142</v>
      </c>
      <c r="F6137">
        <v>12</v>
      </c>
      <c r="G6137" t="s">
        <v>978</v>
      </c>
      <c r="H6137" t="s">
        <v>5391</v>
      </c>
      <c r="I6137" t="s">
        <v>94</v>
      </c>
      <c r="J6137" s="2" t="s">
        <v>41</v>
      </c>
      <c r="K6137" t="s">
        <v>42</v>
      </c>
      <c r="L6137" t="s">
        <v>296</v>
      </c>
      <c r="Q6137">
        <v>26415</v>
      </c>
      <c r="R6137" t="s">
        <v>45</v>
      </c>
      <c r="S6137" t="s">
        <v>30956</v>
      </c>
      <c r="T6137">
        <v>24.8</v>
      </c>
      <c r="U6137" s="2" t="s">
        <v>10764</v>
      </c>
      <c r="W6137" t="s">
        <v>1292</v>
      </c>
      <c r="X6137">
        <v>838196</v>
      </c>
      <c r="Y6137" t="s">
        <v>33830</v>
      </c>
      <c r="Z6137" t="s">
        <v>9161</v>
      </c>
      <c r="AA6137" t="s">
        <v>37143</v>
      </c>
      <c r="AB6137" t="s">
        <v>972</v>
      </c>
      <c r="AG6137" t="s">
        <v>37144</v>
      </c>
      <c r="AH6137" t="s">
        <v>37145</v>
      </c>
      <c r="AI6137" t="s">
        <v>37146</v>
      </c>
    </row>
    <row r="6138" spans="2:35" ht="135">
      <c r="B6138" s="1">
        <v>45239</v>
      </c>
      <c r="C6138" s="4">
        <v>45239.45</v>
      </c>
      <c r="D6138" t="s">
        <v>4482</v>
      </c>
      <c r="E6138" t="s">
        <v>8024</v>
      </c>
      <c r="F6138">
        <v>13</v>
      </c>
      <c r="G6138" t="s">
        <v>4484</v>
      </c>
      <c r="H6138" t="s">
        <v>61</v>
      </c>
      <c r="I6138" t="s">
        <v>40</v>
      </c>
      <c r="J6138" t="s">
        <v>109</v>
      </c>
      <c r="K6138" t="s">
        <v>42</v>
      </c>
      <c r="L6138" t="s">
        <v>933</v>
      </c>
      <c r="Q6138">
        <v>26414</v>
      </c>
      <c r="R6138" t="s">
        <v>95</v>
      </c>
      <c r="S6138" t="s">
        <v>8025</v>
      </c>
      <c r="T6138">
        <v>24.95</v>
      </c>
      <c r="U6138" s="2" t="s">
        <v>37147</v>
      </c>
      <c r="W6138" t="s">
        <v>3662</v>
      </c>
      <c r="X6138">
        <v>831292</v>
      </c>
      <c r="Y6138" t="s">
        <v>301</v>
      </c>
      <c r="Z6138" t="s">
        <v>301</v>
      </c>
      <c r="AA6138" s="2" t="s">
        <v>37148</v>
      </c>
      <c r="AB6138" t="s">
        <v>13650</v>
      </c>
      <c r="AG6138" t="s">
        <v>37149</v>
      </c>
      <c r="AH6138" t="s">
        <v>19387</v>
      </c>
      <c r="AI6138" t="s">
        <v>37150</v>
      </c>
    </row>
    <row r="6139" spans="2:35" ht="240">
      <c r="B6139" s="1">
        <v>45239</v>
      </c>
      <c r="C6139" s="4">
        <v>45239.42083333333</v>
      </c>
      <c r="D6139" t="s">
        <v>3030</v>
      </c>
      <c r="E6139" t="s">
        <v>37151</v>
      </c>
      <c r="F6139" t="s">
        <v>37</v>
      </c>
      <c r="G6139" t="s">
        <v>38</v>
      </c>
      <c r="H6139" t="s">
        <v>39</v>
      </c>
      <c r="I6139" t="s">
        <v>40</v>
      </c>
      <c r="J6139" s="2" t="s">
        <v>41</v>
      </c>
      <c r="K6139" t="s">
        <v>42</v>
      </c>
      <c r="L6139" t="s">
        <v>43</v>
      </c>
      <c r="Q6139">
        <v>26413</v>
      </c>
      <c r="R6139" t="s">
        <v>45</v>
      </c>
      <c r="S6139" t="s">
        <v>3032</v>
      </c>
      <c r="T6139">
        <v>24</v>
      </c>
      <c r="W6139" t="s">
        <v>3178</v>
      </c>
      <c r="X6139">
        <v>842226</v>
      </c>
      <c r="Y6139" t="s">
        <v>2789</v>
      </c>
      <c r="Z6139" t="s">
        <v>37152</v>
      </c>
      <c r="AA6139" s="2" t="s">
        <v>37153</v>
      </c>
      <c r="AB6139" t="s">
        <v>88</v>
      </c>
      <c r="AG6139" t="s">
        <v>37154</v>
      </c>
      <c r="AH6139" t="s">
        <v>3035</v>
      </c>
      <c r="AI6139" t="s">
        <v>37155</v>
      </c>
    </row>
    <row r="6140" spans="2:35" ht="165">
      <c r="B6140" s="1">
        <v>45239</v>
      </c>
      <c r="C6140" s="4">
        <v>45238.629166666666</v>
      </c>
      <c r="D6140" t="s">
        <v>22319</v>
      </c>
      <c r="E6140" t="s">
        <v>37156</v>
      </c>
      <c r="F6140" t="s">
        <v>37</v>
      </c>
      <c r="G6140" t="s">
        <v>78</v>
      </c>
      <c r="H6140" t="s">
        <v>39</v>
      </c>
      <c r="I6140" t="s">
        <v>40</v>
      </c>
      <c r="J6140" s="2" t="s">
        <v>41</v>
      </c>
      <c r="K6140" t="s">
        <v>42</v>
      </c>
      <c r="L6140" t="s">
        <v>43</v>
      </c>
      <c r="Q6140">
        <v>26412</v>
      </c>
      <c r="R6140" t="s">
        <v>45</v>
      </c>
      <c r="S6140" t="s">
        <v>5107</v>
      </c>
      <c r="T6140">
        <v>24</v>
      </c>
      <c r="U6140" s="2" t="s">
        <v>37157</v>
      </c>
      <c r="V6140" s="1">
        <v>45237</v>
      </c>
      <c r="W6140" t="s">
        <v>48</v>
      </c>
      <c r="X6140">
        <v>804839</v>
      </c>
      <c r="Y6140" t="s">
        <v>37158</v>
      </c>
      <c r="Z6140" t="s">
        <v>37159</v>
      </c>
      <c r="AA6140" s="2" t="s">
        <v>37160</v>
      </c>
      <c r="AB6140" t="s">
        <v>88</v>
      </c>
      <c r="AD6140" s="2" t="s">
        <v>37161</v>
      </c>
      <c r="AE6140" t="s">
        <v>37162</v>
      </c>
      <c r="AG6140" t="s">
        <v>37163</v>
      </c>
      <c r="AH6140" t="s">
        <v>8828</v>
      </c>
      <c r="AI6140" t="s">
        <v>37164</v>
      </c>
    </row>
    <row r="6141" spans="2:35" ht="210">
      <c r="B6141" s="1">
        <v>45238</v>
      </c>
      <c r="C6141" s="4">
        <v>45238.578472222223</v>
      </c>
      <c r="D6141" t="s">
        <v>31600</v>
      </c>
      <c r="E6141" t="s">
        <v>37165</v>
      </c>
      <c r="F6141">
        <v>3</v>
      </c>
      <c r="G6141" t="s">
        <v>1640</v>
      </c>
      <c r="H6141" t="s">
        <v>39</v>
      </c>
      <c r="I6141" t="s">
        <v>40</v>
      </c>
      <c r="J6141" s="2" t="s">
        <v>41</v>
      </c>
      <c r="K6141" t="s">
        <v>42</v>
      </c>
      <c r="L6141" t="s">
        <v>63</v>
      </c>
      <c r="Q6141">
        <v>26411</v>
      </c>
      <c r="R6141" t="s">
        <v>45</v>
      </c>
      <c r="S6141" t="s">
        <v>31602</v>
      </c>
      <c r="T6141">
        <v>27</v>
      </c>
      <c r="U6141" s="2" t="s">
        <v>37166</v>
      </c>
      <c r="V6141" s="1">
        <v>45238</v>
      </c>
      <c r="W6141" t="s">
        <v>26915</v>
      </c>
      <c r="X6141">
        <v>807565</v>
      </c>
      <c r="Y6141" t="s">
        <v>24940</v>
      </c>
      <c r="Z6141" t="s">
        <v>37167</v>
      </c>
      <c r="AA6141" s="2" t="s">
        <v>1727</v>
      </c>
      <c r="AB6141" t="s">
        <v>70</v>
      </c>
      <c r="AC6141" t="s">
        <v>1716</v>
      </c>
      <c r="AD6141" t="s">
        <v>6397</v>
      </c>
      <c r="AE6141" t="s">
        <v>1716</v>
      </c>
      <c r="AG6141" t="s">
        <v>37168</v>
      </c>
      <c r="AH6141" t="s">
        <v>31617</v>
      </c>
      <c r="AI6141" t="s">
        <v>37169</v>
      </c>
    </row>
    <row r="6142" spans="2:35" ht="225">
      <c r="B6142" s="1">
        <v>45238</v>
      </c>
      <c r="C6142" s="4">
        <v>45238.561111111114</v>
      </c>
      <c r="D6142" t="s">
        <v>37170</v>
      </c>
      <c r="E6142" t="s">
        <v>37171</v>
      </c>
      <c r="F6142" t="s">
        <v>37</v>
      </c>
      <c r="G6142" t="s">
        <v>189</v>
      </c>
      <c r="H6142" t="s">
        <v>39</v>
      </c>
      <c r="I6142" t="s">
        <v>40</v>
      </c>
      <c r="J6142" s="2" t="s">
        <v>41</v>
      </c>
      <c r="K6142" t="s">
        <v>42</v>
      </c>
      <c r="L6142" t="s">
        <v>43</v>
      </c>
      <c r="Q6142">
        <v>26410</v>
      </c>
      <c r="R6142" t="s">
        <v>45</v>
      </c>
      <c r="S6142" t="s">
        <v>37172</v>
      </c>
      <c r="T6142">
        <v>25</v>
      </c>
      <c r="V6142" s="1">
        <v>45237</v>
      </c>
      <c r="W6142" t="s">
        <v>48</v>
      </c>
      <c r="X6142">
        <v>812786</v>
      </c>
      <c r="Y6142" t="s">
        <v>37173</v>
      </c>
      <c r="Z6142" t="s">
        <v>37174</v>
      </c>
      <c r="AA6142" s="2" t="s">
        <v>37175</v>
      </c>
      <c r="AB6142" t="s">
        <v>88</v>
      </c>
      <c r="AD6142" s="2" t="s">
        <v>37176</v>
      </c>
      <c r="AE6142" t="s">
        <v>37177</v>
      </c>
      <c r="AG6142" t="s">
        <v>37178</v>
      </c>
      <c r="AH6142" t="s">
        <v>37179</v>
      </c>
      <c r="AI6142" t="s">
        <v>37180</v>
      </c>
    </row>
    <row r="6143" spans="2:35" ht="195">
      <c r="B6143" s="1">
        <v>45238</v>
      </c>
      <c r="C6143" s="4">
        <v>45237.698611111111</v>
      </c>
      <c r="D6143" t="s">
        <v>1145</v>
      </c>
      <c r="E6143" t="s">
        <v>29959</v>
      </c>
      <c r="F6143" t="s">
        <v>148</v>
      </c>
      <c r="G6143" t="s">
        <v>447</v>
      </c>
      <c r="H6143" t="s">
        <v>150</v>
      </c>
      <c r="I6143" t="s">
        <v>40</v>
      </c>
      <c r="J6143" t="s">
        <v>109</v>
      </c>
      <c r="K6143" t="s">
        <v>42</v>
      </c>
      <c r="L6143" t="s">
        <v>448</v>
      </c>
      <c r="Q6143">
        <v>26409</v>
      </c>
      <c r="R6143" t="s">
        <v>322</v>
      </c>
      <c r="S6143" t="s">
        <v>1147</v>
      </c>
      <c r="T6143">
        <v>25</v>
      </c>
      <c r="U6143" s="2" t="s">
        <v>37181</v>
      </c>
      <c r="W6143" t="s">
        <v>360</v>
      </c>
      <c r="X6143">
        <v>804205</v>
      </c>
      <c r="Y6143" t="s">
        <v>37182</v>
      </c>
      <c r="Z6143" s="2" t="s">
        <v>2011</v>
      </c>
      <c r="AA6143" t="s">
        <v>6997</v>
      </c>
      <c r="AB6143" t="s">
        <v>37183</v>
      </c>
      <c r="AG6143" t="s">
        <v>37184</v>
      </c>
      <c r="AH6143" t="s">
        <v>37185</v>
      </c>
      <c r="AI6143" t="s">
        <v>37186</v>
      </c>
    </row>
    <row r="6144" spans="2:35" ht="360">
      <c r="B6144" s="1">
        <v>45238</v>
      </c>
      <c r="C6144" s="4">
        <v>45237.696527777778</v>
      </c>
      <c r="D6144" t="s">
        <v>1145</v>
      </c>
      <c r="E6144" t="s">
        <v>14983</v>
      </c>
      <c r="F6144" t="s">
        <v>148</v>
      </c>
      <c r="G6144" t="s">
        <v>447</v>
      </c>
      <c r="H6144" t="s">
        <v>150</v>
      </c>
      <c r="I6144" t="s">
        <v>40</v>
      </c>
      <c r="J6144" t="s">
        <v>109</v>
      </c>
      <c r="K6144" t="s">
        <v>42</v>
      </c>
      <c r="L6144" t="s">
        <v>448</v>
      </c>
      <c r="Q6144">
        <v>26408</v>
      </c>
      <c r="R6144" t="s">
        <v>322</v>
      </c>
      <c r="S6144" t="s">
        <v>1147</v>
      </c>
      <c r="T6144">
        <v>25</v>
      </c>
      <c r="U6144" s="2" t="s">
        <v>37187</v>
      </c>
      <c r="W6144" t="s">
        <v>360</v>
      </c>
      <c r="X6144">
        <v>838837</v>
      </c>
      <c r="Y6144" t="s">
        <v>485</v>
      </c>
      <c r="Z6144" s="2" t="s">
        <v>2011</v>
      </c>
      <c r="AA6144" t="s">
        <v>6997</v>
      </c>
      <c r="AB6144" t="s">
        <v>37188</v>
      </c>
      <c r="AG6144" t="s">
        <v>37189</v>
      </c>
      <c r="AH6144" t="s">
        <v>37190</v>
      </c>
      <c r="AI6144" t="s">
        <v>37191</v>
      </c>
    </row>
    <row r="6145" spans="2:35" ht="255">
      <c r="B6145" s="1">
        <v>45238</v>
      </c>
      <c r="C6145" s="4">
        <v>45237.688888888886</v>
      </c>
      <c r="D6145" t="s">
        <v>1145</v>
      </c>
      <c r="E6145" t="s">
        <v>14983</v>
      </c>
      <c r="F6145" t="s">
        <v>148</v>
      </c>
      <c r="G6145" t="s">
        <v>447</v>
      </c>
      <c r="H6145" t="s">
        <v>150</v>
      </c>
      <c r="I6145" t="s">
        <v>40</v>
      </c>
      <c r="J6145" s="2" t="s">
        <v>41</v>
      </c>
      <c r="K6145" t="s">
        <v>42</v>
      </c>
      <c r="L6145" t="s">
        <v>448</v>
      </c>
      <c r="Q6145">
        <v>26407</v>
      </c>
      <c r="R6145" t="s">
        <v>45</v>
      </c>
      <c r="S6145" t="s">
        <v>1147</v>
      </c>
      <c r="T6145">
        <v>26</v>
      </c>
      <c r="U6145" s="2" t="s">
        <v>37192</v>
      </c>
      <c r="V6145" s="1">
        <v>45237</v>
      </c>
      <c r="W6145" t="s">
        <v>895</v>
      </c>
      <c r="X6145">
        <v>801080</v>
      </c>
      <c r="Y6145" t="s">
        <v>37193</v>
      </c>
      <c r="Z6145" s="2" t="s">
        <v>2585</v>
      </c>
      <c r="AA6145" t="s">
        <v>27527</v>
      </c>
      <c r="AB6145" t="s">
        <v>486</v>
      </c>
      <c r="AD6145" t="s">
        <v>10253</v>
      </c>
      <c r="AE6145" t="s">
        <v>37194</v>
      </c>
      <c r="AG6145" t="s">
        <v>37195</v>
      </c>
      <c r="AH6145" t="s">
        <v>37185</v>
      </c>
      <c r="AI6145" t="s">
        <v>37196</v>
      </c>
    </row>
    <row r="6146" spans="2:35" ht="105">
      <c r="B6146" s="1">
        <v>45238</v>
      </c>
      <c r="C6146" s="4">
        <v>45238.472222222219</v>
      </c>
      <c r="D6146" t="s">
        <v>37197</v>
      </c>
      <c r="E6146" t="s">
        <v>37198</v>
      </c>
      <c r="F6146">
        <v>6</v>
      </c>
      <c r="G6146" t="s">
        <v>1234</v>
      </c>
      <c r="H6146" t="s">
        <v>1047</v>
      </c>
      <c r="I6146" t="s">
        <v>94</v>
      </c>
      <c r="J6146" t="s">
        <v>321</v>
      </c>
      <c r="K6146" t="s">
        <v>42</v>
      </c>
      <c r="L6146" t="s">
        <v>23958</v>
      </c>
      <c r="Q6146">
        <v>26406</v>
      </c>
      <c r="R6146" t="s">
        <v>45</v>
      </c>
      <c r="S6146" t="s">
        <v>37199</v>
      </c>
      <c r="T6146">
        <v>4</v>
      </c>
      <c r="U6146" s="2" t="s">
        <v>15281</v>
      </c>
      <c r="W6146" t="s">
        <v>360</v>
      </c>
      <c r="X6146">
        <v>838855</v>
      </c>
      <c r="Y6146" t="s">
        <v>37200</v>
      </c>
      <c r="Z6146" t="s">
        <v>37201</v>
      </c>
      <c r="AA6146" t="s">
        <v>37202</v>
      </c>
      <c r="AB6146" t="s">
        <v>37203</v>
      </c>
      <c r="AG6146" t="s">
        <v>37204</v>
      </c>
      <c r="AH6146" t="s">
        <v>37205</v>
      </c>
      <c r="AI6146" t="s">
        <v>37206</v>
      </c>
    </row>
    <row r="6147" spans="2:35" ht="409.5">
      <c r="B6147" s="1">
        <v>45238</v>
      </c>
      <c r="C6147" s="4">
        <v>45238.368055555555</v>
      </c>
      <c r="D6147" t="s">
        <v>37207</v>
      </c>
      <c r="E6147" t="s">
        <v>37208</v>
      </c>
      <c r="F6147">
        <v>3</v>
      </c>
      <c r="G6147" t="s">
        <v>134</v>
      </c>
      <c r="H6147" t="s">
        <v>39</v>
      </c>
      <c r="I6147" t="s">
        <v>40</v>
      </c>
      <c r="J6147" s="2" t="s">
        <v>1309</v>
      </c>
      <c r="K6147" t="s">
        <v>42</v>
      </c>
      <c r="L6147" t="s">
        <v>135</v>
      </c>
      <c r="Q6147">
        <v>26405</v>
      </c>
      <c r="R6147" t="s">
        <v>45</v>
      </c>
      <c r="S6147" t="s">
        <v>37209</v>
      </c>
      <c r="T6147">
        <v>29</v>
      </c>
      <c r="U6147" s="2" t="s">
        <v>37210</v>
      </c>
      <c r="W6147" t="s">
        <v>2680</v>
      </c>
      <c r="X6147">
        <v>814378</v>
      </c>
      <c r="Y6147" s="2" t="s">
        <v>37211</v>
      </c>
      <c r="Z6147" s="2" t="s">
        <v>37082</v>
      </c>
      <c r="AA6147" s="2" t="s">
        <v>34428</v>
      </c>
      <c r="AB6147" t="s">
        <v>181</v>
      </c>
      <c r="AC6147" t="s">
        <v>35076</v>
      </c>
      <c r="AG6147" t="s">
        <v>37212</v>
      </c>
      <c r="AH6147" t="s">
        <v>37213</v>
      </c>
      <c r="AI6147" t="s">
        <v>37214</v>
      </c>
    </row>
    <row r="6148" spans="2:35" ht="105">
      <c r="B6148" s="1">
        <v>45237</v>
      </c>
      <c r="C6148" s="4">
        <v>45237.680555555555</v>
      </c>
      <c r="D6148" t="s">
        <v>1614</v>
      </c>
      <c r="E6148" t="s">
        <v>26734</v>
      </c>
      <c r="F6148">
        <v>3</v>
      </c>
      <c r="G6148" t="s">
        <v>174</v>
      </c>
      <c r="H6148" t="s">
        <v>39</v>
      </c>
      <c r="I6148" t="s">
        <v>40</v>
      </c>
      <c r="J6148" s="2" t="s">
        <v>41</v>
      </c>
      <c r="K6148" t="s">
        <v>42</v>
      </c>
      <c r="L6148" t="s">
        <v>175</v>
      </c>
      <c r="Q6148">
        <v>26404</v>
      </c>
      <c r="R6148" t="s">
        <v>45</v>
      </c>
      <c r="S6148" t="s">
        <v>2067</v>
      </c>
      <c r="T6148">
        <v>25</v>
      </c>
      <c r="U6148" s="2" t="s">
        <v>27090</v>
      </c>
      <c r="V6148" s="1">
        <v>45237</v>
      </c>
      <c r="W6148" t="s">
        <v>84</v>
      </c>
      <c r="X6148">
        <v>814158</v>
      </c>
      <c r="Y6148" t="s">
        <v>22767</v>
      </c>
      <c r="Z6148" t="e">
        <f ca="1">- replaced B2, B3, B4
- checked cartridge bay, plunger rod, _xludf.filter
- generated reports</f>
        <v>#NAME?</v>
      </c>
      <c r="AA6148" t="s">
        <v>240</v>
      </c>
      <c r="AB6148" t="s">
        <v>88</v>
      </c>
      <c r="AD6148" s="2" t="s">
        <v>37215</v>
      </c>
      <c r="AE6148" t="s">
        <v>103</v>
      </c>
      <c r="AG6148" t="s">
        <v>37216</v>
      </c>
      <c r="AH6148" t="s">
        <v>37217</v>
      </c>
      <c r="AI6148" t="s">
        <v>37218</v>
      </c>
    </row>
    <row r="6149" spans="2:35" ht="210">
      <c r="B6149" s="1">
        <v>45237</v>
      </c>
      <c r="C6149" s="4">
        <v>45237.657638888886</v>
      </c>
      <c r="D6149" t="s">
        <v>37219</v>
      </c>
      <c r="E6149" t="s">
        <v>37220</v>
      </c>
      <c r="F6149" t="s">
        <v>148</v>
      </c>
      <c r="G6149" t="s">
        <v>22765</v>
      </c>
      <c r="H6149" t="s">
        <v>39</v>
      </c>
      <c r="I6149" t="s">
        <v>40</v>
      </c>
      <c r="J6149" s="2" t="s">
        <v>41</v>
      </c>
      <c r="K6149" t="s">
        <v>42</v>
      </c>
      <c r="L6149" t="s">
        <v>43</v>
      </c>
      <c r="Q6149">
        <v>26403</v>
      </c>
      <c r="R6149" t="s">
        <v>45</v>
      </c>
      <c r="S6149" t="s">
        <v>37221</v>
      </c>
      <c r="T6149">
        <v>24</v>
      </c>
      <c r="U6149" s="2" t="s">
        <v>37222</v>
      </c>
      <c r="V6149" s="1">
        <v>45237</v>
      </c>
      <c r="W6149" t="s">
        <v>48</v>
      </c>
      <c r="X6149">
        <v>838880</v>
      </c>
      <c r="Y6149" t="s">
        <v>2034</v>
      </c>
      <c r="Z6149" t="s">
        <v>712</v>
      </c>
      <c r="AA6149" s="2" t="s">
        <v>34607</v>
      </c>
      <c r="AB6149" t="s">
        <v>88</v>
      </c>
      <c r="AD6149" s="2" t="s">
        <v>37223</v>
      </c>
      <c r="AE6149" t="s">
        <v>37224</v>
      </c>
      <c r="AG6149" t="s">
        <v>37225</v>
      </c>
      <c r="AH6149" t="s">
        <v>37226</v>
      </c>
      <c r="AI6149" t="s">
        <v>37227</v>
      </c>
    </row>
    <row r="6150" spans="2:35" ht="409.5">
      <c r="B6150" s="1">
        <v>45237</v>
      </c>
      <c r="C6150" s="4">
        <v>45237.582638888889</v>
      </c>
      <c r="D6150" t="s">
        <v>21845</v>
      </c>
      <c r="E6150" t="s">
        <v>37228</v>
      </c>
      <c r="F6150">
        <v>3</v>
      </c>
      <c r="G6150" t="s">
        <v>219</v>
      </c>
      <c r="H6150" t="s">
        <v>39</v>
      </c>
      <c r="I6150" t="s">
        <v>40</v>
      </c>
      <c r="J6150" s="2" t="s">
        <v>62</v>
      </c>
      <c r="K6150" t="s">
        <v>42</v>
      </c>
      <c r="L6150" t="s">
        <v>135</v>
      </c>
      <c r="Q6150">
        <v>26402</v>
      </c>
      <c r="R6150" t="s">
        <v>119</v>
      </c>
      <c r="S6150" t="s">
        <v>37229</v>
      </c>
      <c r="T6150">
        <v>24</v>
      </c>
      <c r="U6150" s="2" t="s">
        <v>37230</v>
      </c>
      <c r="W6150" t="s">
        <v>2680</v>
      </c>
      <c r="X6150">
        <v>831608</v>
      </c>
      <c r="Y6150" t="s">
        <v>37231</v>
      </c>
      <c r="Z6150" s="2" t="s">
        <v>29789</v>
      </c>
      <c r="AA6150" s="2" t="s">
        <v>31375</v>
      </c>
      <c r="AB6150" t="s">
        <v>181</v>
      </c>
      <c r="AC6150" t="s">
        <v>37232</v>
      </c>
      <c r="AG6150" t="s">
        <v>37233</v>
      </c>
      <c r="AH6150" t="s">
        <v>37234</v>
      </c>
      <c r="AI6150" t="s">
        <v>37235</v>
      </c>
    </row>
    <row r="6151" spans="2:35">
      <c r="B6151" s="1">
        <v>45237</v>
      </c>
      <c r="C6151" s="4">
        <v>45237.554166666669</v>
      </c>
      <c r="D6151" t="s">
        <v>1825</v>
      </c>
      <c r="E6151" t="s">
        <v>37236</v>
      </c>
      <c r="F6151">
        <v>7</v>
      </c>
      <c r="G6151" t="s">
        <v>432</v>
      </c>
      <c r="H6151" t="s">
        <v>39</v>
      </c>
      <c r="I6151" t="s">
        <v>40</v>
      </c>
      <c r="J6151" t="s">
        <v>321</v>
      </c>
      <c r="K6151" t="s">
        <v>42</v>
      </c>
      <c r="L6151" t="s">
        <v>433</v>
      </c>
      <c r="Q6151">
        <v>26401</v>
      </c>
      <c r="R6151" t="s">
        <v>45</v>
      </c>
      <c r="S6151" t="s">
        <v>1818</v>
      </c>
      <c r="T6151">
        <v>28</v>
      </c>
      <c r="W6151" t="s">
        <v>1008</v>
      </c>
      <c r="X6151">
        <v>808620</v>
      </c>
      <c r="Y6151" t="s">
        <v>2789</v>
      </c>
      <c r="Z6151" t="s">
        <v>37237</v>
      </c>
      <c r="AA6151" t="s">
        <v>37237</v>
      </c>
      <c r="AB6151" t="s">
        <v>37238</v>
      </c>
      <c r="AG6151" t="s">
        <v>37239</v>
      </c>
      <c r="AH6151" t="s">
        <v>1823</v>
      </c>
      <c r="AI6151" t="s">
        <v>37240</v>
      </c>
    </row>
    <row r="6152" spans="2:35" ht="105">
      <c r="B6152" s="1">
        <v>45237</v>
      </c>
      <c r="C6152" s="4">
        <v>45237.561111111114</v>
      </c>
      <c r="D6152" t="s">
        <v>1769</v>
      </c>
      <c r="E6152" t="s">
        <v>33049</v>
      </c>
      <c r="F6152">
        <v>3</v>
      </c>
      <c r="G6152" t="s">
        <v>174</v>
      </c>
      <c r="H6152" t="s">
        <v>39</v>
      </c>
      <c r="I6152" t="s">
        <v>40</v>
      </c>
      <c r="J6152" s="2" t="s">
        <v>41</v>
      </c>
      <c r="K6152" t="s">
        <v>42</v>
      </c>
      <c r="L6152" t="s">
        <v>175</v>
      </c>
      <c r="Q6152">
        <v>26400</v>
      </c>
      <c r="R6152" t="s">
        <v>45</v>
      </c>
      <c r="S6152" t="s">
        <v>1771</v>
      </c>
      <c r="T6152">
        <v>25</v>
      </c>
      <c r="U6152" s="2" t="s">
        <v>1110</v>
      </c>
      <c r="V6152" s="1">
        <v>45237</v>
      </c>
      <c r="W6152" t="s">
        <v>84</v>
      </c>
      <c r="X6152">
        <v>838167</v>
      </c>
      <c r="Y6152" t="s">
        <v>2034</v>
      </c>
      <c r="Z6152" t="e">
        <f ca="1">- replaced B2
- checked _xludf.and cleaned cartridge bay, plunger rod, _xludf.filter
- generated reports</f>
        <v>#NAME?</v>
      </c>
      <c r="AA6152" t="s">
        <v>32340</v>
      </c>
      <c r="AB6152" t="s">
        <v>88</v>
      </c>
      <c r="AD6152" s="2" t="s">
        <v>37241</v>
      </c>
      <c r="AE6152" t="s">
        <v>103</v>
      </c>
      <c r="AG6152" t="s">
        <v>37242</v>
      </c>
      <c r="AH6152" t="s">
        <v>1773</v>
      </c>
      <c r="AI6152" t="s">
        <v>37243</v>
      </c>
    </row>
    <row r="6153" spans="2:35" ht="360">
      <c r="B6153" s="1">
        <v>45237</v>
      </c>
      <c r="C6153" s="4">
        <v>45237.466666666667</v>
      </c>
      <c r="D6153" t="s">
        <v>4968</v>
      </c>
      <c r="E6153" t="s">
        <v>37244</v>
      </c>
      <c r="F6153">
        <v>11</v>
      </c>
      <c r="G6153" t="s">
        <v>4297</v>
      </c>
      <c r="H6153" t="s">
        <v>202</v>
      </c>
      <c r="I6153" t="s">
        <v>40</v>
      </c>
      <c r="J6153" s="2" t="s">
        <v>1157</v>
      </c>
      <c r="K6153" t="s">
        <v>42</v>
      </c>
      <c r="L6153" t="s">
        <v>204</v>
      </c>
      <c r="Q6153">
        <v>26399</v>
      </c>
      <c r="R6153" t="s">
        <v>119</v>
      </c>
      <c r="S6153" t="s">
        <v>4970</v>
      </c>
      <c r="T6153">
        <v>28.5</v>
      </c>
      <c r="U6153" s="2" t="s">
        <v>32800</v>
      </c>
      <c r="V6153" s="1">
        <v>45141</v>
      </c>
      <c r="W6153" t="s">
        <v>23237</v>
      </c>
      <c r="X6153">
        <v>837614</v>
      </c>
      <c r="Y6153" t="s">
        <v>1618</v>
      </c>
      <c r="Z6153" s="2" t="s">
        <v>31610</v>
      </c>
      <c r="AA6153" t="s">
        <v>1620</v>
      </c>
      <c r="AB6153" s="2" t="s">
        <v>37245</v>
      </c>
      <c r="AD6153" t="s">
        <v>18192</v>
      </c>
      <c r="AE6153" t="s">
        <v>37246</v>
      </c>
      <c r="AG6153" t="s">
        <v>37247</v>
      </c>
      <c r="AH6153" t="s">
        <v>37248</v>
      </c>
      <c r="AI6153" t="s">
        <v>37249</v>
      </c>
    </row>
    <row r="6154" spans="2:35" ht="195">
      <c r="B6154" s="1">
        <v>45237</v>
      </c>
      <c r="C6154" s="4">
        <v>45237.530555555553</v>
      </c>
      <c r="D6154" t="s">
        <v>37250</v>
      </c>
      <c r="E6154" t="s">
        <v>37251</v>
      </c>
      <c r="F6154">
        <v>7</v>
      </c>
      <c r="G6154" t="s">
        <v>432</v>
      </c>
      <c r="H6154" t="s">
        <v>608</v>
      </c>
      <c r="I6154" t="s">
        <v>94</v>
      </c>
      <c r="J6154" t="s">
        <v>79</v>
      </c>
      <c r="K6154" t="s">
        <v>42</v>
      </c>
      <c r="L6154" t="s">
        <v>610</v>
      </c>
      <c r="Q6154">
        <v>26398</v>
      </c>
      <c r="R6154" t="s">
        <v>45</v>
      </c>
      <c r="S6154" t="s">
        <v>25240</v>
      </c>
      <c r="T6154">
        <v>26</v>
      </c>
      <c r="U6154" s="2" t="s">
        <v>37252</v>
      </c>
      <c r="W6154" t="s">
        <v>502</v>
      </c>
      <c r="X6154">
        <v>815464</v>
      </c>
      <c r="Y6154" t="s">
        <v>37253</v>
      </c>
      <c r="Z6154" t="s">
        <v>37254</v>
      </c>
      <c r="AA6154" s="2" t="s">
        <v>37255</v>
      </c>
      <c r="AB6154" t="s">
        <v>1263</v>
      </c>
      <c r="AG6154" t="s">
        <v>37256</v>
      </c>
      <c r="AH6154" t="s">
        <v>25247</v>
      </c>
      <c r="AI6154" t="s">
        <v>37257</v>
      </c>
    </row>
    <row r="6155" spans="2:35" ht="285">
      <c r="B6155" s="1">
        <v>45237</v>
      </c>
      <c r="C6155" s="4">
        <v>45237.484722222223</v>
      </c>
      <c r="D6155" t="s">
        <v>11603</v>
      </c>
      <c r="E6155" t="s">
        <v>37258</v>
      </c>
      <c r="F6155" t="s">
        <v>148</v>
      </c>
      <c r="G6155" t="s">
        <v>421</v>
      </c>
      <c r="H6155" t="s">
        <v>39</v>
      </c>
      <c r="I6155" t="s">
        <v>94</v>
      </c>
      <c r="J6155" t="s">
        <v>321</v>
      </c>
      <c r="K6155" t="s">
        <v>42</v>
      </c>
      <c r="L6155" t="s">
        <v>43</v>
      </c>
      <c r="Q6155">
        <v>26397</v>
      </c>
      <c r="R6155" t="s">
        <v>119</v>
      </c>
      <c r="S6155" t="s">
        <v>37259</v>
      </c>
      <c r="T6155">
        <v>26</v>
      </c>
      <c r="W6155" t="s">
        <v>153</v>
      </c>
      <c r="X6155">
        <v>110020699</v>
      </c>
      <c r="Y6155" t="s">
        <v>6010</v>
      </c>
      <c r="Z6155" t="s">
        <v>2931</v>
      </c>
      <c r="AA6155" s="2" t="s">
        <v>37260</v>
      </c>
      <c r="AB6155" t="s">
        <v>88</v>
      </c>
      <c r="AG6155" t="s">
        <v>37261</v>
      </c>
      <c r="AH6155" t="s">
        <v>37262</v>
      </c>
      <c r="AI6155" t="s">
        <v>37263</v>
      </c>
    </row>
    <row r="6156" spans="2:35" ht="285">
      <c r="B6156" s="1">
        <v>45237</v>
      </c>
      <c r="C6156" s="4">
        <v>45237.460416666669</v>
      </c>
      <c r="D6156" t="s">
        <v>37264</v>
      </c>
      <c r="E6156" t="s">
        <v>37265</v>
      </c>
      <c r="F6156">
        <v>3</v>
      </c>
      <c r="G6156" t="s">
        <v>219</v>
      </c>
      <c r="H6156" t="s">
        <v>39</v>
      </c>
      <c r="I6156" t="s">
        <v>40</v>
      </c>
      <c r="J6156" s="2" t="s">
        <v>41</v>
      </c>
      <c r="K6156" t="s">
        <v>42</v>
      </c>
      <c r="L6156" t="s">
        <v>135</v>
      </c>
      <c r="Q6156">
        <v>26396</v>
      </c>
      <c r="R6156" t="s">
        <v>45</v>
      </c>
      <c r="S6156" t="s">
        <v>37266</v>
      </c>
      <c r="T6156">
        <v>29</v>
      </c>
      <c r="U6156" s="2" t="s">
        <v>37267</v>
      </c>
      <c r="W6156" t="s">
        <v>2680</v>
      </c>
      <c r="X6156">
        <v>812788</v>
      </c>
      <c r="Y6156" t="s">
        <v>37268</v>
      </c>
      <c r="Z6156" t="s">
        <v>5712</v>
      </c>
      <c r="AA6156" s="2" t="s">
        <v>32304</v>
      </c>
      <c r="AB6156" t="s">
        <v>181</v>
      </c>
      <c r="AG6156" t="s">
        <v>37269</v>
      </c>
      <c r="AH6156" t="s">
        <v>37270</v>
      </c>
      <c r="AI6156" t="s">
        <v>37271</v>
      </c>
    </row>
    <row r="6157" spans="2:35" ht="105">
      <c r="B6157" s="1">
        <v>45236</v>
      </c>
      <c r="C6157" s="4">
        <v>45236.59652777778</v>
      </c>
      <c r="D6157" t="s">
        <v>37272</v>
      </c>
      <c r="E6157" t="s">
        <v>37273</v>
      </c>
      <c r="F6157">
        <v>9</v>
      </c>
      <c r="G6157" t="s">
        <v>2197</v>
      </c>
      <c r="H6157" t="s">
        <v>39</v>
      </c>
      <c r="I6157" t="s">
        <v>40</v>
      </c>
      <c r="J6157" s="2" t="s">
        <v>41</v>
      </c>
      <c r="K6157" t="s">
        <v>42</v>
      </c>
      <c r="L6157" t="s">
        <v>1257</v>
      </c>
      <c r="Q6157">
        <v>26395</v>
      </c>
      <c r="R6157" t="s">
        <v>45</v>
      </c>
      <c r="S6157" t="s">
        <v>37274</v>
      </c>
      <c r="T6157">
        <v>27</v>
      </c>
      <c r="U6157" s="2" t="s">
        <v>8191</v>
      </c>
      <c r="V6157" s="1">
        <v>45236</v>
      </c>
      <c r="W6157" t="s">
        <v>2384</v>
      </c>
      <c r="X6157">
        <v>815269</v>
      </c>
      <c r="Y6157" t="s">
        <v>37275</v>
      </c>
      <c r="Z6157" t="s">
        <v>37276</v>
      </c>
      <c r="AA6157" t="s">
        <v>37276</v>
      </c>
      <c r="AB6157" t="s">
        <v>7411</v>
      </c>
      <c r="AC6157" t="s">
        <v>301</v>
      </c>
      <c r="AD6157" t="s">
        <v>54</v>
      </c>
      <c r="AE6157" t="s">
        <v>54</v>
      </c>
      <c r="AG6157" t="s">
        <v>37277</v>
      </c>
      <c r="AH6157" t="s">
        <v>37278</v>
      </c>
      <c r="AI6157" t="s">
        <v>37279</v>
      </c>
    </row>
    <row r="6158" spans="2:35" ht="120">
      <c r="B6158" s="1">
        <v>45236</v>
      </c>
      <c r="C6158" s="4">
        <v>45236.609027777777</v>
      </c>
      <c r="D6158" t="s">
        <v>30177</v>
      </c>
      <c r="E6158" t="s">
        <v>37280</v>
      </c>
      <c r="F6158">
        <v>7</v>
      </c>
      <c r="G6158" t="s">
        <v>432</v>
      </c>
      <c r="H6158" t="s">
        <v>2290</v>
      </c>
      <c r="I6158" t="s">
        <v>94</v>
      </c>
      <c r="J6158" t="s">
        <v>79</v>
      </c>
      <c r="K6158" t="s">
        <v>42</v>
      </c>
      <c r="L6158" t="s">
        <v>610</v>
      </c>
      <c r="Q6158">
        <v>26394</v>
      </c>
      <c r="R6158" t="s">
        <v>45</v>
      </c>
      <c r="S6158" t="s">
        <v>37281</v>
      </c>
      <c r="T6158">
        <v>638</v>
      </c>
      <c r="V6158" s="1">
        <v>45236</v>
      </c>
      <c r="W6158" t="s">
        <v>502</v>
      </c>
      <c r="X6158">
        <v>838892</v>
      </c>
      <c r="Y6158" t="s">
        <v>37282</v>
      </c>
      <c r="Z6158" t="s">
        <v>37283</v>
      </c>
      <c r="AA6158" s="2" t="s">
        <v>37284</v>
      </c>
      <c r="AB6158" t="s">
        <v>37285</v>
      </c>
      <c r="AD6158" t="s">
        <v>37286</v>
      </c>
      <c r="AE6158" t="s">
        <v>37287</v>
      </c>
      <c r="AG6158" t="s">
        <v>37288</v>
      </c>
      <c r="AH6158" t="s">
        <v>37289</v>
      </c>
      <c r="AI6158" t="s">
        <v>37290</v>
      </c>
    </row>
    <row r="6159" spans="2:35" ht="165">
      <c r="B6159" s="1">
        <v>45236</v>
      </c>
      <c r="C6159" s="4">
        <v>45236.584722222222</v>
      </c>
      <c r="D6159" t="s">
        <v>37291</v>
      </c>
      <c r="E6159" t="s">
        <v>37292</v>
      </c>
      <c r="F6159">
        <v>3</v>
      </c>
      <c r="G6159" t="s">
        <v>1722</v>
      </c>
      <c r="H6159" t="s">
        <v>39</v>
      </c>
      <c r="I6159" t="s">
        <v>40</v>
      </c>
      <c r="J6159" s="2" t="s">
        <v>41</v>
      </c>
      <c r="K6159" t="s">
        <v>42</v>
      </c>
      <c r="L6159" t="s">
        <v>63</v>
      </c>
      <c r="Q6159">
        <v>26393</v>
      </c>
      <c r="R6159" t="s">
        <v>45</v>
      </c>
      <c r="S6159" t="s">
        <v>37293</v>
      </c>
      <c r="T6159">
        <v>27</v>
      </c>
      <c r="U6159" s="2" t="s">
        <v>13222</v>
      </c>
      <c r="V6159" s="1">
        <v>45236</v>
      </c>
      <c r="W6159" t="s">
        <v>26915</v>
      </c>
      <c r="X6159">
        <v>812832</v>
      </c>
      <c r="Y6159" t="s">
        <v>25875</v>
      </c>
      <c r="Z6159" t="s">
        <v>37294</v>
      </c>
      <c r="AA6159" s="2" t="s">
        <v>1727</v>
      </c>
      <c r="AB6159" t="s">
        <v>70</v>
      </c>
      <c r="AC6159" t="s">
        <v>1716</v>
      </c>
      <c r="AD6159" t="s">
        <v>6397</v>
      </c>
      <c r="AE6159" t="s">
        <v>1716</v>
      </c>
      <c r="AG6159" t="s">
        <v>37295</v>
      </c>
      <c r="AH6159" t="s">
        <v>37296</v>
      </c>
      <c r="AI6159" t="s">
        <v>37297</v>
      </c>
    </row>
    <row r="6160" spans="2:35" ht="135">
      <c r="B6160" s="1">
        <v>45236</v>
      </c>
      <c r="C6160" s="4">
        <v>45230.548611111109</v>
      </c>
      <c r="D6160" t="s">
        <v>30909</v>
      </c>
      <c r="E6160" t="s">
        <v>37298</v>
      </c>
      <c r="F6160" t="s">
        <v>37</v>
      </c>
      <c r="G6160" t="s">
        <v>38</v>
      </c>
      <c r="H6160" t="s">
        <v>39</v>
      </c>
      <c r="I6160" t="s">
        <v>40</v>
      </c>
      <c r="J6160" s="2" t="s">
        <v>37299</v>
      </c>
      <c r="K6160" t="s">
        <v>42</v>
      </c>
      <c r="L6160" t="s">
        <v>43</v>
      </c>
      <c r="Q6160">
        <v>26392</v>
      </c>
      <c r="R6160" t="s">
        <v>45</v>
      </c>
      <c r="S6160" t="s">
        <v>30912</v>
      </c>
      <c r="T6160">
        <v>26</v>
      </c>
      <c r="U6160" s="2" t="s">
        <v>9839</v>
      </c>
      <c r="W6160" t="s">
        <v>48</v>
      </c>
      <c r="X6160">
        <v>807661</v>
      </c>
      <c r="Y6160" t="s">
        <v>3891</v>
      </c>
      <c r="Z6160" t="s">
        <v>35933</v>
      </c>
      <c r="AA6160" s="2" t="s">
        <v>37300</v>
      </c>
      <c r="AB6160" t="s">
        <v>7543</v>
      </c>
      <c r="AG6160" t="s">
        <v>37301</v>
      </c>
      <c r="AH6160" t="s">
        <v>37302</v>
      </c>
      <c r="AI6160" t="s">
        <v>37303</v>
      </c>
    </row>
    <row r="6161" spans="2:35" ht="75">
      <c r="B6161" s="1">
        <v>45236</v>
      </c>
      <c r="C6161" s="4">
        <v>45236.400694444441</v>
      </c>
      <c r="D6161" t="s">
        <v>5546</v>
      </c>
      <c r="E6161" t="s">
        <v>1555</v>
      </c>
      <c r="F6161">
        <v>7</v>
      </c>
      <c r="G6161" t="s">
        <v>432</v>
      </c>
      <c r="H6161" t="s">
        <v>39</v>
      </c>
      <c r="I6161" t="s">
        <v>40</v>
      </c>
      <c r="J6161" s="2" t="s">
        <v>609</v>
      </c>
      <c r="K6161" t="s">
        <v>42</v>
      </c>
      <c r="L6161" t="s">
        <v>433</v>
      </c>
      <c r="Q6161">
        <v>26391</v>
      </c>
      <c r="R6161" t="s">
        <v>119</v>
      </c>
      <c r="S6161" t="s">
        <v>5548</v>
      </c>
      <c r="T6161">
        <v>28</v>
      </c>
      <c r="W6161" t="s">
        <v>360</v>
      </c>
      <c r="X6161">
        <v>838527</v>
      </c>
      <c r="Y6161" t="s">
        <v>37304</v>
      </c>
      <c r="Z6161" t="s">
        <v>37305</v>
      </c>
      <c r="AA6161" t="s">
        <v>37305</v>
      </c>
      <c r="AB6161" t="s">
        <v>37306</v>
      </c>
      <c r="AG6161" t="s">
        <v>37307</v>
      </c>
      <c r="AH6161" t="s">
        <v>7130</v>
      </c>
      <c r="AI6161" t="s">
        <v>37308</v>
      </c>
    </row>
    <row r="6162" spans="2:35" ht="150">
      <c r="B6162" s="1">
        <v>45236</v>
      </c>
      <c r="C6162" s="4">
        <v>45224.414583333331</v>
      </c>
      <c r="D6162" t="s">
        <v>30233</v>
      </c>
      <c r="E6162" t="s">
        <v>10622</v>
      </c>
      <c r="F6162" t="s">
        <v>37</v>
      </c>
      <c r="G6162" t="s">
        <v>748</v>
      </c>
      <c r="H6162" t="s">
        <v>39</v>
      </c>
      <c r="I6162" t="s">
        <v>40</v>
      </c>
      <c r="J6162" s="2" t="s">
        <v>41</v>
      </c>
      <c r="K6162" t="s">
        <v>42</v>
      </c>
      <c r="L6162" t="s">
        <v>1028</v>
      </c>
      <c r="Q6162">
        <v>26390</v>
      </c>
      <c r="R6162" t="s">
        <v>45</v>
      </c>
      <c r="S6162" t="s">
        <v>37309</v>
      </c>
      <c r="T6162">
        <v>24</v>
      </c>
      <c r="V6162" s="1">
        <v>45215</v>
      </c>
      <c r="W6162" t="s">
        <v>2680</v>
      </c>
      <c r="X6162">
        <v>812835</v>
      </c>
      <c r="Y6162" t="s">
        <v>35646</v>
      </c>
      <c r="Z6162" t="s">
        <v>2129</v>
      </c>
      <c r="AA6162" s="2" t="s">
        <v>37310</v>
      </c>
      <c r="AB6162" t="s">
        <v>3063</v>
      </c>
      <c r="AD6162" t="s">
        <v>18642</v>
      </c>
      <c r="AE6162" t="s">
        <v>37311</v>
      </c>
      <c r="AG6162" t="s">
        <v>37312</v>
      </c>
      <c r="AH6162" t="s">
        <v>37313</v>
      </c>
      <c r="AI6162" t="s">
        <v>37314</v>
      </c>
    </row>
    <row r="6163" spans="2:35" ht="135">
      <c r="B6163" s="1">
        <v>45236</v>
      </c>
      <c r="C6163" s="4">
        <v>45212.572222222225</v>
      </c>
      <c r="D6163" t="s">
        <v>27669</v>
      </c>
      <c r="E6163" t="s">
        <v>37315</v>
      </c>
      <c r="F6163" t="s">
        <v>37</v>
      </c>
      <c r="G6163" t="s">
        <v>748</v>
      </c>
      <c r="H6163" t="s">
        <v>39</v>
      </c>
      <c r="I6163" t="s">
        <v>40</v>
      </c>
      <c r="J6163" t="s">
        <v>79</v>
      </c>
      <c r="K6163" t="s">
        <v>42</v>
      </c>
      <c r="L6163" t="s">
        <v>1028</v>
      </c>
      <c r="Q6163">
        <v>26388</v>
      </c>
      <c r="R6163" t="s">
        <v>119</v>
      </c>
      <c r="S6163" t="s">
        <v>37316</v>
      </c>
      <c r="T6163">
        <v>25</v>
      </c>
      <c r="V6163" s="1">
        <v>45208</v>
      </c>
      <c r="W6163" t="s">
        <v>2680</v>
      </c>
      <c r="X6163">
        <v>821216</v>
      </c>
      <c r="Y6163" t="s">
        <v>29466</v>
      </c>
      <c r="Z6163" t="s">
        <v>26847</v>
      </c>
      <c r="AA6163" s="2" t="s">
        <v>37317</v>
      </c>
      <c r="AB6163" t="s">
        <v>3063</v>
      </c>
      <c r="AD6163" t="s">
        <v>37318</v>
      </c>
      <c r="AE6163" t="s">
        <v>37319</v>
      </c>
      <c r="AG6163" t="s">
        <v>37320</v>
      </c>
      <c r="AH6163" t="s">
        <v>37321</v>
      </c>
      <c r="AI6163" t="s">
        <v>37322</v>
      </c>
    </row>
    <row r="6164" spans="2:35" ht="180">
      <c r="B6164" s="1">
        <v>45236</v>
      </c>
      <c r="C6164" s="4">
        <v>45216.552777777775</v>
      </c>
      <c r="D6164" t="s">
        <v>9540</v>
      </c>
      <c r="E6164" t="s">
        <v>37323</v>
      </c>
      <c r="F6164" t="s">
        <v>148</v>
      </c>
      <c r="G6164" t="s">
        <v>4786</v>
      </c>
      <c r="H6164" t="s">
        <v>513</v>
      </c>
      <c r="I6164" t="s">
        <v>40</v>
      </c>
      <c r="J6164" s="2" t="s">
        <v>37324</v>
      </c>
      <c r="K6164" t="s">
        <v>387</v>
      </c>
      <c r="L6164" t="s">
        <v>1028</v>
      </c>
      <c r="Q6164">
        <v>26389</v>
      </c>
      <c r="R6164" t="s">
        <v>322</v>
      </c>
      <c r="S6164" t="s">
        <v>10335</v>
      </c>
      <c r="T6164">
        <v>24</v>
      </c>
      <c r="W6164" t="s">
        <v>390</v>
      </c>
      <c r="X6164" t="s">
        <v>10336</v>
      </c>
      <c r="Y6164" t="s">
        <v>37325</v>
      </c>
      <c r="Z6164" t="s">
        <v>10920</v>
      </c>
      <c r="AA6164" s="2" t="s">
        <v>37326</v>
      </c>
      <c r="AB6164" t="s">
        <v>29466</v>
      </c>
      <c r="AC6164" t="s">
        <v>37327</v>
      </c>
      <c r="AG6164" t="s">
        <v>37328</v>
      </c>
      <c r="AH6164" t="s">
        <v>37329</v>
      </c>
      <c r="AI6164" t="s">
        <v>37330</v>
      </c>
    </row>
    <row r="6165" spans="2:35" ht="255">
      <c r="B6165" s="1">
        <v>45236</v>
      </c>
      <c r="C6165" s="4">
        <v>45217.400694444441</v>
      </c>
      <c r="D6165" t="s">
        <v>3760</v>
      </c>
      <c r="E6165" t="s">
        <v>37331</v>
      </c>
      <c r="F6165" t="s">
        <v>37</v>
      </c>
      <c r="G6165" t="s">
        <v>748</v>
      </c>
      <c r="H6165" t="s">
        <v>39</v>
      </c>
      <c r="I6165" t="s">
        <v>40</v>
      </c>
      <c r="J6165" s="2" t="s">
        <v>1309</v>
      </c>
      <c r="K6165" t="s">
        <v>42</v>
      </c>
      <c r="L6165" t="s">
        <v>1028</v>
      </c>
      <c r="Q6165">
        <v>26387</v>
      </c>
      <c r="R6165" t="s">
        <v>45</v>
      </c>
      <c r="S6165" t="s">
        <v>37332</v>
      </c>
      <c r="T6165">
        <v>22</v>
      </c>
      <c r="V6165" s="1">
        <v>45215</v>
      </c>
      <c r="W6165" t="s">
        <v>2680</v>
      </c>
      <c r="X6165">
        <v>838160</v>
      </c>
      <c r="Y6165" s="2" t="s">
        <v>36101</v>
      </c>
      <c r="Z6165" s="2" t="s">
        <v>31928</v>
      </c>
      <c r="AA6165" s="2" t="s">
        <v>37333</v>
      </c>
      <c r="AB6165" t="s">
        <v>3063</v>
      </c>
      <c r="AC6165" t="s">
        <v>37334</v>
      </c>
      <c r="AD6165" t="s">
        <v>19700</v>
      </c>
      <c r="AE6165" t="s">
        <v>37335</v>
      </c>
      <c r="AG6165" t="s">
        <v>37336</v>
      </c>
      <c r="AH6165" t="s">
        <v>3769</v>
      </c>
      <c r="AI6165" t="s">
        <v>37337</v>
      </c>
    </row>
    <row r="6166" spans="2:35" ht="150">
      <c r="B6166" s="1">
        <v>45236</v>
      </c>
      <c r="C6166" s="4">
        <v>45224.414583333331</v>
      </c>
      <c r="D6166" t="s">
        <v>30233</v>
      </c>
      <c r="E6166" t="s">
        <v>10622</v>
      </c>
      <c r="F6166" t="s">
        <v>37</v>
      </c>
      <c r="G6166" t="s">
        <v>748</v>
      </c>
      <c r="H6166" t="s">
        <v>39</v>
      </c>
      <c r="I6166" t="s">
        <v>40</v>
      </c>
      <c r="J6166" s="2" t="s">
        <v>41</v>
      </c>
      <c r="K6166" t="s">
        <v>42</v>
      </c>
      <c r="L6166" t="s">
        <v>1028</v>
      </c>
      <c r="Q6166">
        <v>26387</v>
      </c>
      <c r="R6166" t="s">
        <v>45</v>
      </c>
      <c r="S6166" t="s">
        <v>37309</v>
      </c>
      <c r="T6166">
        <v>24</v>
      </c>
      <c r="V6166" s="1">
        <v>45215</v>
      </c>
      <c r="W6166" t="s">
        <v>2680</v>
      </c>
      <c r="X6166">
        <v>812835</v>
      </c>
      <c r="Y6166" t="s">
        <v>35646</v>
      </c>
      <c r="Z6166" t="s">
        <v>2129</v>
      </c>
      <c r="AA6166" s="2" t="s">
        <v>37310</v>
      </c>
      <c r="AB6166" t="s">
        <v>3063</v>
      </c>
      <c r="AD6166" t="s">
        <v>18642</v>
      </c>
      <c r="AE6166" t="s">
        <v>37311</v>
      </c>
      <c r="AG6166" t="s">
        <v>37338</v>
      </c>
      <c r="AH6166" t="s">
        <v>37313</v>
      </c>
      <c r="AI6166" t="s">
        <v>37339</v>
      </c>
    </row>
    <row r="6167" spans="2:35" ht="409.5">
      <c r="B6167" s="1">
        <v>45235</v>
      </c>
      <c r="C6167" s="4">
        <v>45233.556250000001</v>
      </c>
      <c r="D6167" t="s">
        <v>27635</v>
      </c>
      <c r="E6167" t="s">
        <v>37340</v>
      </c>
      <c r="F6167" t="s">
        <v>148</v>
      </c>
      <c r="G6167" t="s">
        <v>447</v>
      </c>
      <c r="H6167" t="s">
        <v>39</v>
      </c>
      <c r="I6167" t="s">
        <v>40</v>
      </c>
      <c r="J6167" s="2" t="s">
        <v>190</v>
      </c>
      <c r="K6167" t="s">
        <v>42</v>
      </c>
      <c r="L6167" t="s">
        <v>15532</v>
      </c>
      <c r="Q6167">
        <v>26386</v>
      </c>
      <c r="R6167" t="s">
        <v>119</v>
      </c>
      <c r="S6167" t="s">
        <v>24625</v>
      </c>
      <c r="T6167">
        <v>29</v>
      </c>
      <c r="U6167" s="2" t="s">
        <v>37341</v>
      </c>
      <c r="W6167" t="s">
        <v>37342</v>
      </c>
      <c r="X6167">
        <v>831615</v>
      </c>
      <c r="Y6167" t="s">
        <v>37343</v>
      </c>
      <c r="Z6167" s="2" t="s">
        <v>37344</v>
      </c>
      <c r="AA6167" t="s">
        <v>37345</v>
      </c>
      <c r="AB6167" s="2" t="s">
        <v>37346</v>
      </c>
      <c r="AG6167" t="s">
        <v>37347</v>
      </c>
      <c r="AH6167" t="s">
        <v>31694</v>
      </c>
      <c r="AI6167" t="s">
        <v>37348</v>
      </c>
    </row>
    <row r="6168" spans="2:35" ht="225">
      <c r="B6168" s="1">
        <v>45235</v>
      </c>
      <c r="C6168" s="4">
        <v>45233.441666666666</v>
      </c>
      <c r="D6168" t="s">
        <v>33125</v>
      </c>
      <c r="E6168" t="s">
        <v>37349</v>
      </c>
      <c r="F6168" t="s">
        <v>148</v>
      </c>
      <c r="G6168" t="s">
        <v>2499</v>
      </c>
      <c r="H6168" t="s">
        <v>39</v>
      </c>
      <c r="I6168" t="s">
        <v>40</v>
      </c>
      <c r="J6168" s="2" t="s">
        <v>190</v>
      </c>
      <c r="K6168" t="s">
        <v>42</v>
      </c>
      <c r="L6168" t="s">
        <v>15532</v>
      </c>
      <c r="Q6168">
        <v>26385</v>
      </c>
      <c r="R6168" t="s">
        <v>119</v>
      </c>
      <c r="S6168" t="s">
        <v>22606</v>
      </c>
      <c r="T6168">
        <v>29</v>
      </c>
      <c r="U6168" s="2" t="s">
        <v>37350</v>
      </c>
      <c r="W6168" t="s">
        <v>3244</v>
      </c>
      <c r="X6168">
        <v>831586</v>
      </c>
      <c r="Y6168" t="s">
        <v>37351</v>
      </c>
      <c r="Z6168" s="2" t="s">
        <v>37352</v>
      </c>
      <c r="AA6168" t="s">
        <v>37353</v>
      </c>
      <c r="AB6168" s="2" t="s">
        <v>37354</v>
      </c>
      <c r="AG6168" t="s">
        <v>37355</v>
      </c>
      <c r="AH6168" t="s">
        <v>37356</v>
      </c>
      <c r="AI6168" t="s">
        <v>37357</v>
      </c>
    </row>
    <row r="6169" spans="2:35" ht="225">
      <c r="B6169" s="1">
        <v>45235</v>
      </c>
      <c r="C6169" s="4">
        <v>45235.838194444441</v>
      </c>
      <c r="D6169" t="s">
        <v>1071</v>
      </c>
      <c r="E6169" t="s">
        <v>1072</v>
      </c>
      <c r="F6169">
        <v>7</v>
      </c>
      <c r="G6169" t="s">
        <v>432</v>
      </c>
      <c r="H6169" t="s">
        <v>27061</v>
      </c>
      <c r="I6169" t="s">
        <v>40</v>
      </c>
      <c r="J6169" s="2" t="s">
        <v>760</v>
      </c>
      <c r="K6169" t="s">
        <v>387</v>
      </c>
      <c r="L6169" t="s">
        <v>610</v>
      </c>
      <c r="Q6169">
        <v>26384</v>
      </c>
      <c r="R6169" t="s">
        <v>95</v>
      </c>
      <c r="S6169" t="s">
        <v>1073</v>
      </c>
      <c r="T6169">
        <v>25</v>
      </c>
      <c r="W6169" t="s">
        <v>390</v>
      </c>
      <c r="X6169" t="s">
        <v>1074</v>
      </c>
      <c r="Y6169" s="2" t="s">
        <v>37358</v>
      </c>
      <c r="Z6169" s="2" t="s">
        <v>37359</v>
      </c>
      <c r="AA6169" t="s">
        <v>37360</v>
      </c>
      <c r="AB6169" t="s">
        <v>37361</v>
      </c>
      <c r="AG6169" t="s">
        <v>37362</v>
      </c>
      <c r="AH6169" t="s">
        <v>37363</v>
      </c>
      <c r="AI6169" t="s">
        <v>37364</v>
      </c>
    </row>
    <row r="6170" spans="2:35" ht="330">
      <c r="B6170" s="1">
        <v>45234</v>
      </c>
      <c r="C6170" s="4">
        <v>45233.456250000003</v>
      </c>
      <c r="D6170" t="s">
        <v>1907</v>
      </c>
      <c r="E6170" t="s">
        <v>1908</v>
      </c>
      <c r="F6170">
        <v>1</v>
      </c>
      <c r="G6170" t="s">
        <v>1909</v>
      </c>
      <c r="H6170" t="s">
        <v>39</v>
      </c>
      <c r="I6170" t="s">
        <v>40</v>
      </c>
      <c r="J6170" s="2" t="s">
        <v>41</v>
      </c>
      <c r="K6170" t="s">
        <v>42</v>
      </c>
      <c r="L6170" t="s">
        <v>1048</v>
      </c>
      <c r="Q6170">
        <v>26383</v>
      </c>
      <c r="R6170" t="s">
        <v>719</v>
      </c>
      <c r="S6170" t="s">
        <v>37365</v>
      </c>
      <c r="T6170">
        <v>24</v>
      </c>
      <c r="U6170" s="2" t="s">
        <v>37366</v>
      </c>
      <c r="V6170" s="1">
        <v>45233</v>
      </c>
      <c r="W6170" t="s">
        <v>2591</v>
      </c>
      <c r="X6170">
        <v>848249</v>
      </c>
      <c r="Y6170" t="s">
        <v>35729</v>
      </c>
      <c r="Z6170" s="2" t="s">
        <v>37367</v>
      </c>
      <c r="AA6170" t="s">
        <v>1926</v>
      </c>
      <c r="AB6170" t="s">
        <v>181</v>
      </c>
      <c r="AD6170" t="s">
        <v>37368</v>
      </c>
      <c r="AE6170" t="s">
        <v>103</v>
      </c>
      <c r="AG6170" t="s">
        <v>37369</v>
      </c>
      <c r="AH6170" t="s">
        <v>37370</v>
      </c>
      <c r="AI6170" t="s">
        <v>37371</v>
      </c>
    </row>
    <row r="6171" spans="2:35" ht="409.5">
      <c r="B6171" s="1">
        <v>45234</v>
      </c>
      <c r="C6171" s="4">
        <v>45233.459027777775</v>
      </c>
      <c r="D6171" t="s">
        <v>1907</v>
      </c>
      <c r="E6171" t="s">
        <v>1908</v>
      </c>
      <c r="F6171">
        <v>1</v>
      </c>
      <c r="G6171" t="s">
        <v>1909</v>
      </c>
      <c r="H6171" t="s">
        <v>39</v>
      </c>
      <c r="I6171" t="s">
        <v>40</v>
      </c>
      <c r="J6171" t="s">
        <v>109</v>
      </c>
      <c r="K6171" t="s">
        <v>42</v>
      </c>
      <c r="L6171" t="s">
        <v>1048</v>
      </c>
      <c r="Q6171">
        <v>26382</v>
      </c>
      <c r="R6171" t="s">
        <v>45</v>
      </c>
      <c r="S6171" t="s">
        <v>37365</v>
      </c>
      <c r="T6171">
        <v>27</v>
      </c>
      <c r="U6171" s="2" t="s">
        <v>37372</v>
      </c>
      <c r="W6171" t="s">
        <v>666</v>
      </c>
      <c r="X6171">
        <v>707524</v>
      </c>
      <c r="Y6171" t="s">
        <v>2692</v>
      </c>
      <c r="Z6171" t="e">
        <f ca="1">- cleaned cartridge Bays, plunger Rods _xludf.and I-CORE
- generated reports</f>
        <v>#NAME?</v>
      </c>
      <c r="AA6171" t="s">
        <v>10275</v>
      </c>
      <c r="AB6171" t="s">
        <v>181</v>
      </c>
      <c r="AG6171" t="s">
        <v>37373</v>
      </c>
      <c r="AH6171" t="s">
        <v>37370</v>
      </c>
      <c r="AI6171" t="s">
        <v>37374</v>
      </c>
    </row>
    <row r="6172" spans="2:35" ht="210">
      <c r="B6172" s="1">
        <v>45234</v>
      </c>
      <c r="C6172" s="4">
        <v>45234.478472222225</v>
      </c>
      <c r="D6172" t="s">
        <v>1071</v>
      </c>
      <c r="E6172" t="s">
        <v>1072</v>
      </c>
      <c r="F6172">
        <v>7</v>
      </c>
      <c r="G6172" t="s">
        <v>432</v>
      </c>
      <c r="H6172" t="s">
        <v>27061</v>
      </c>
      <c r="I6172" t="s">
        <v>40</v>
      </c>
      <c r="J6172" s="2" t="s">
        <v>760</v>
      </c>
      <c r="K6172" t="s">
        <v>387</v>
      </c>
      <c r="L6172" t="s">
        <v>610</v>
      </c>
      <c r="Q6172">
        <v>26381</v>
      </c>
      <c r="R6172" t="s">
        <v>95</v>
      </c>
      <c r="S6172" t="s">
        <v>1073</v>
      </c>
      <c r="T6172">
        <v>25</v>
      </c>
      <c r="W6172" t="s">
        <v>390</v>
      </c>
      <c r="X6172" t="s">
        <v>1074</v>
      </c>
      <c r="Y6172" t="s">
        <v>37375</v>
      </c>
      <c r="Z6172" s="2" t="s">
        <v>37376</v>
      </c>
      <c r="AA6172" s="2" t="s">
        <v>37377</v>
      </c>
      <c r="AB6172" t="s">
        <v>37378</v>
      </c>
      <c r="AG6172" t="s">
        <v>37379</v>
      </c>
      <c r="AH6172" t="s">
        <v>37380</v>
      </c>
      <c r="AI6172" t="s">
        <v>37381</v>
      </c>
    </row>
    <row r="6173" spans="2:35" ht="345">
      <c r="B6173" s="1">
        <v>45234</v>
      </c>
      <c r="C6173" s="4">
        <v>45234.460416666669</v>
      </c>
      <c r="D6173" t="s">
        <v>159</v>
      </c>
      <c r="E6173" t="s">
        <v>37382</v>
      </c>
      <c r="F6173" t="s">
        <v>37</v>
      </c>
      <c r="G6173" t="s">
        <v>78</v>
      </c>
      <c r="H6173" t="s">
        <v>662</v>
      </c>
      <c r="I6173" t="s">
        <v>94</v>
      </c>
      <c r="J6173" t="s">
        <v>79</v>
      </c>
      <c r="K6173" t="s">
        <v>42</v>
      </c>
      <c r="L6173" t="s">
        <v>448</v>
      </c>
      <c r="Q6173">
        <v>26380</v>
      </c>
      <c r="R6173" t="s">
        <v>95</v>
      </c>
      <c r="S6173" t="s">
        <v>23763</v>
      </c>
      <c r="T6173">
        <v>20</v>
      </c>
      <c r="U6173" s="2" t="s">
        <v>37383</v>
      </c>
      <c r="V6173" s="1">
        <v>45233</v>
      </c>
      <c r="W6173" t="s">
        <v>37384</v>
      </c>
      <c r="X6173">
        <v>812916</v>
      </c>
      <c r="Y6173" t="s">
        <v>37385</v>
      </c>
      <c r="Z6173" s="2" t="s">
        <v>37386</v>
      </c>
      <c r="AA6173" t="s">
        <v>5712</v>
      </c>
      <c r="AB6173" t="s">
        <v>37387</v>
      </c>
      <c r="AD6173" t="s">
        <v>19700</v>
      </c>
      <c r="AE6173">
        <v>10789</v>
      </c>
      <c r="AG6173" t="s">
        <v>37388</v>
      </c>
      <c r="AH6173" t="s">
        <v>37389</v>
      </c>
      <c r="AI6173" t="s">
        <v>37390</v>
      </c>
    </row>
    <row r="6174" spans="2:35" ht="285">
      <c r="B6174" s="1">
        <v>45233</v>
      </c>
      <c r="C6174" s="4">
        <v>45233.609722222223</v>
      </c>
      <c r="D6174" t="s">
        <v>3679</v>
      </c>
      <c r="E6174" t="s">
        <v>2580</v>
      </c>
      <c r="F6174" t="s">
        <v>148</v>
      </c>
      <c r="G6174" t="s">
        <v>447</v>
      </c>
      <c r="H6174" t="s">
        <v>386</v>
      </c>
      <c r="I6174" t="s">
        <v>40</v>
      </c>
      <c r="J6174" t="s">
        <v>525</v>
      </c>
      <c r="K6174" t="s">
        <v>387</v>
      </c>
      <c r="L6174" t="s">
        <v>448</v>
      </c>
      <c r="Q6174">
        <v>26379</v>
      </c>
      <c r="R6174" t="s">
        <v>322</v>
      </c>
      <c r="S6174" t="s">
        <v>37391</v>
      </c>
      <c r="T6174">
        <v>26</v>
      </c>
      <c r="W6174" t="s">
        <v>476</v>
      </c>
      <c r="X6174">
        <v>20168</v>
      </c>
      <c r="Y6174" t="s">
        <v>37392</v>
      </c>
      <c r="Z6174" s="2" t="s">
        <v>37393</v>
      </c>
      <c r="AA6174" t="s">
        <v>4487</v>
      </c>
      <c r="AB6174" t="s">
        <v>486</v>
      </c>
      <c r="AG6174" t="s">
        <v>37394</v>
      </c>
      <c r="AH6174" t="s">
        <v>37395</v>
      </c>
      <c r="AI6174" t="s">
        <v>37396</v>
      </c>
    </row>
    <row r="6175" spans="2:35" ht="180">
      <c r="B6175" s="1">
        <v>45233</v>
      </c>
      <c r="C6175" s="4">
        <v>45233.499305555553</v>
      </c>
      <c r="D6175" t="s">
        <v>16716</v>
      </c>
      <c r="E6175" t="s">
        <v>1128</v>
      </c>
      <c r="F6175">
        <v>8</v>
      </c>
      <c r="G6175" t="s">
        <v>342</v>
      </c>
      <c r="H6175" t="s">
        <v>39</v>
      </c>
      <c r="I6175" t="s">
        <v>40</v>
      </c>
      <c r="J6175" t="s">
        <v>109</v>
      </c>
      <c r="K6175" t="s">
        <v>42</v>
      </c>
      <c r="L6175" t="s">
        <v>259</v>
      </c>
      <c r="Q6175">
        <v>26378</v>
      </c>
      <c r="R6175" t="s">
        <v>119</v>
      </c>
      <c r="S6175" t="s">
        <v>23172</v>
      </c>
      <c r="T6175">
        <v>24</v>
      </c>
      <c r="U6175" s="2" t="s">
        <v>37397</v>
      </c>
      <c r="V6175" s="1">
        <v>45233</v>
      </c>
      <c r="W6175" t="s">
        <v>84</v>
      </c>
      <c r="X6175">
        <v>838421</v>
      </c>
      <c r="Y6175" t="s">
        <v>1716</v>
      </c>
      <c r="Z6175" t="s">
        <v>1716</v>
      </c>
      <c r="AA6175" t="e">
        <f ca="1">- performed Monthly Preventive Maintenance</f>
        <v>#NAME?</v>
      </c>
      <c r="AB6175" t="s">
        <v>37398</v>
      </c>
      <c r="AG6175" t="s">
        <v>37399</v>
      </c>
      <c r="AH6175" t="s">
        <v>23174</v>
      </c>
      <c r="AI6175" t="s">
        <v>37400</v>
      </c>
    </row>
    <row r="6176" spans="2:35" ht="180">
      <c r="B6176" s="1">
        <v>45233</v>
      </c>
      <c r="C6176" s="4">
        <v>45233.393750000003</v>
      </c>
      <c r="D6176" t="s">
        <v>37401</v>
      </c>
      <c r="E6176" t="s">
        <v>12839</v>
      </c>
      <c r="F6176">
        <v>6</v>
      </c>
      <c r="G6176" t="s">
        <v>1234</v>
      </c>
      <c r="H6176" t="s">
        <v>39</v>
      </c>
      <c r="I6176" t="s">
        <v>40</v>
      </c>
      <c r="J6176" s="2" t="s">
        <v>37402</v>
      </c>
      <c r="K6176" t="s">
        <v>42</v>
      </c>
      <c r="L6176" t="s">
        <v>270</v>
      </c>
      <c r="Q6176">
        <v>26377</v>
      </c>
      <c r="R6176" t="s">
        <v>119</v>
      </c>
      <c r="S6176" t="s">
        <v>12840</v>
      </c>
      <c r="T6176">
        <v>25</v>
      </c>
      <c r="U6176" s="2" t="s">
        <v>37403</v>
      </c>
      <c r="W6176" t="s">
        <v>3662</v>
      </c>
      <c r="X6176">
        <v>838280</v>
      </c>
      <c r="Y6176" t="s">
        <v>37404</v>
      </c>
      <c r="Z6176" t="s">
        <v>11329</v>
      </c>
      <c r="AA6176" t="e">
        <f ca="1">- performed XPC on module B1
- re orient end user on GeneXpert Maintenance, module bay Cleaning, optics Cleaning, plunger rod Maintenance, archiving _xludf.and Retrieving tests.</f>
        <v>#NAME?</v>
      </c>
      <c r="AB6176" s="2" t="s">
        <v>37405</v>
      </c>
      <c r="AG6176" t="s">
        <v>37406</v>
      </c>
      <c r="AH6176" t="s">
        <v>37407</v>
      </c>
      <c r="AI6176" t="s">
        <v>37408</v>
      </c>
    </row>
    <row r="6177" spans="2:35" ht="330">
      <c r="B6177" s="1">
        <v>45232</v>
      </c>
      <c r="C6177" s="4">
        <v>45232.646527777775</v>
      </c>
      <c r="D6177" t="s">
        <v>159</v>
      </c>
      <c r="E6177" t="s">
        <v>160</v>
      </c>
      <c r="F6177" t="s">
        <v>37</v>
      </c>
      <c r="G6177" t="s">
        <v>78</v>
      </c>
      <c r="H6177" t="s">
        <v>61</v>
      </c>
      <c r="I6177" t="s">
        <v>94</v>
      </c>
      <c r="J6177" s="2" t="s">
        <v>190</v>
      </c>
      <c r="K6177" t="s">
        <v>42</v>
      </c>
      <c r="L6177" t="s">
        <v>80</v>
      </c>
      <c r="Q6177">
        <v>26376</v>
      </c>
      <c r="R6177" t="s">
        <v>95</v>
      </c>
      <c r="S6177" t="s">
        <v>23763</v>
      </c>
      <c r="T6177">
        <v>24</v>
      </c>
      <c r="U6177" s="2" t="s">
        <v>37409</v>
      </c>
      <c r="V6177" s="1">
        <v>45232</v>
      </c>
      <c r="W6177" t="s">
        <v>37410</v>
      </c>
      <c r="X6177">
        <v>812916</v>
      </c>
      <c r="Y6177" t="s">
        <v>37411</v>
      </c>
      <c r="Z6177" t="s">
        <v>37412</v>
      </c>
      <c r="AA6177" t="s">
        <v>37413</v>
      </c>
      <c r="AB6177" t="s">
        <v>37414</v>
      </c>
      <c r="AD6177" t="s">
        <v>103</v>
      </c>
      <c r="AE6177" t="s">
        <v>103</v>
      </c>
      <c r="AG6177" t="s">
        <v>37415</v>
      </c>
      <c r="AH6177" t="s">
        <v>37389</v>
      </c>
      <c r="AI6177" t="s">
        <v>37416</v>
      </c>
    </row>
    <row r="6178" spans="2:35" ht="240">
      <c r="B6178" s="1">
        <v>45232</v>
      </c>
      <c r="C6178" s="4">
        <v>45225.426388888889</v>
      </c>
      <c r="D6178" t="s">
        <v>3679</v>
      </c>
      <c r="E6178" t="s">
        <v>26724</v>
      </c>
      <c r="F6178" t="s">
        <v>148</v>
      </c>
      <c r="G6178" t="s">
        <v>447</v>
      </c>
      <c r="H6178" t="s">
        <v>662</v>
      </c>
      <c r="I6178" t="s">
        <v>40</v>
      </c>
      <c r="J6178" s="2" t="s">
        <v>62</v>
      </c>
      <c r="K6178" t="s">
        <v>42</v>
      </c>
      <c r="L6178" t="s">
        <v>448</v>
      </c>
      <c r="Q6178">
        <v>26375</v>
      </c>
      <c r="R6178" t="s">
        <v>45</v>
      </c>
      <c r="S6178" t="s">
        <v>6492</v>
      </c>
      <c r="T6178">
        <v>26</v>
      </c>
      <c r="V6178" s="1">
        <v>45222</v>
      </c>
      <c r="W6178" t="s">
        <v>360</v>
      </c>
      <c r="X6178">
        <v>834443</v>
      </c>
      <c r="Y6178" t="s">
        <v>873</v>
      </c>
      <c r="Z6178" s="2" t="s">
        <v>3071</v>
      </c>
      <c r="AA6178" t="s">
        <v>37417</v>
      </c>
      <c r="AB6178" t="s">
        <v>37418</v>
      </c>
      <c r="AD6178" t="s">
        <v>11518</v>
      </c>
      <c r="AE6178" t="s">
        <v>37419</v>
      </c>
      <c r="AG6178" t="s">
        <v>37420</v>
      </c>
      <c r="AH6178" t="s">
        <v>37421</v>
      </c>
      <c r="AI6178" t="s">
        <v>37422</v>
      </c>
    </row>
    <row r="6179" spans="2:35" ht="180">
      <c r="B6179" s="1">
        <v>45232</v>
      </c>
      <c r="C6179" s="4">
        <v>45225.428472222222</v>
      </c>
      <c r="D6179" t="s">
        <v>3679</v>
      </c>
      <c r="E6179" t="s">
        <v>2580</v>
      </c>
      <c r="F6179" t="s">
        <v>148</v>
      </c>
      <c r="G6179" t="s">
        <v>447</v>
      </c>
      <c r="H6179" t="s">
        <v>662</v>
      </c>
      <c r="I6179" t="s">
        <v>40</v>
      </c>
      <c r="J6179" t="s">
        <v>109</v>
      </c>
      <c r="K6179" t="s">
        <v>42</v>
      </c>
      <c r="L6179" t="s">
        <v>448</v>
      </c>
      <c r="Q6179">
        <v>26374</v>
      </c>
      <c r="R6179" t="s">
        <v>322</v>
      </c>
      <c r="S6179" t="s">
        <v>6492</v>
      </c>
      <c r="T6179">
        <v>28</v>
      </c>
      <c r="W6179" t="s">
        <v>360</v>
      </c>
      <c r="X6179">
        <v>804260</v>
      </c>
      <c r="Y6179" t="s">
        <v>37423</v>
      </c>
      <c r="Z6179" s="2" t="s">
        <v>2011</v>
      </c>
      <c r="AA6179" t="s">
        <v>6997</v>
      </c>
      <c r="AB6179" t="s">
        <v>37424</v>
      </c>
      <c r="AC6179" t="s">
        <v>37425</v>
      </c>
      <c r="AG6179" t="s">
        <v>37426</v>
      </c>
      <c r="AH6179" t="s">
        <v>37421</v>
      </c>
      <c r="AI6179" t="s">
        <v>37427</v>
      </c>
    </row>
    <row r="6180" spans="2:35" ht="255">
      <c r="B6180" s="1">
        <v>45232</v>
      </c>
      <c r="C6180" s="4">
        <v>45224.552777777775</v>
      </c>
      <c r="D6180" t="s">
        <v>1145</v>
      </c>
      <c r="E6180" t="s">
        <v>4267</v>
      </c>
      <c r="F6180" t="s">
        <v>148</v>
      </c>
      <c r="G6180" t="s">
        <v>447</v>
      </c>
      <c r="H6180" t="s">
        <v>37428</v>
      </c>
      <c r="I6180" t="s">
        <v>40</v>
      </c>
      <c r="J6180" s="2" t="s">
        <v>41</v>
      </c>
      <c r="K6180" t="s">
        <v>42</v>
      </c>
      <c r="L6180" t="s">
        <v>448</v>
      </c>
      <c r="Q6180">
        <v>26373</v>
      </c>
      <c r="R6180" t="s">
        <v>45</v>
      </c>
      <c r="S6180" t="s">
        <v>23333</v>
      </c>
      <c r="T6180">
        <v>27</v>
      </c>
      <c r="V6180" s="1">
        <v>45222</v>
      </c>
      <c r="W6180" t="s">
        <v>31079</v>
      </c>
      <c r="X6180">
        <v>704584</v>
      </c>
      <c r="Y6180" t="s">
        <v>37429</v>
      </c>
      <c r="Z6180" s="2" t="s">
        <v>2585</v>
      </c>
      <c r="AA6180" t="s">
        <v>20643</v>
      </c>
      <c r="AB6180" t="s">
        <v>486</v>
      </c>
      <c r="AD6180" t="s">
        <v>37430</v>
      </c>
      <c r="AE6180" t="s">
        <v>37431</v>
      </c>
      <c r="AG6180" t="s">
        <v>37432</v>
      </c>
      <c r="AH6180" t="s">
        <v>37433</v>
      </c>
      <c r="AI6180" t="s">
        <v>37434</v>
      </c>
    </row>
    <row r="6181" spans="2:35" ht="285">
      <c r="B6181" s="1">
        <v>45232</v>
      </c>
      <c r="C6181" s="4">
        <v>45232.34652777778</v>
      </c>
      <c r="D6181" t="s">
        <v>3423</v>
      </c>
      <c r="E6181" t="s">
        <v>3116</v>
      </c>
      <c r="F6181">
        <v>7</v>
      </c>
      <c r="G6181" t="s">
        <v>432</v>
      </c>
      <c r="H6181" t="s">
        <v>61</v>
      </c>
      <c r="I6181" t="s">
        <v>40</v>
      </c>
      <c r="J6181" s="2" t="s">
        <v>1592</v>
      </c>
      <c r="K6181" t="s">
        <v>42</v>
      </c>
      <c r="L6181" t="s">
        <v>610</v>
      </c>
      <c r="Q6181">
        <v>26372</v>
      </c>
      <c r="R6181" t="s">
        <v>95</v>
      </c>
      <c r="S6181" t="s">
        <v>9919</v>
      </c>
      <c r="T6181">
        <v>19</v>
      </c>
      <c r="U6181" s="2" t="s">
        <v>37435</v>
      </c>
      <c r="W6181" t="s">
        <v>360</v>
      </c>
      <c r="X6181">
        <v>110008524</v>
      </c>
      <c r="Y6181" t="s">
        <v>37436</v>
      </c>
      <c r="Z6181" s="2" t="s">
        <v>37437</v>
      </c>
      <c r="AA6181" s="2" t="s">
        <v>37438</v>
      </c>
      <c r="AB6181" t="s">
        <v>1263</v>
      </c>
      <c r="AG6181" t="s">
        <v>37439</v>
      </c>
      <c r="AH6181" t="s">
        <v>37440</v>
      </c>
      <c r="AI6181" t="s">
        <v>37441</v>
      </c>
    </row>
    <row r="6182" spans="2:35" ht="105">
      <c r="B6182" s="1">
        <v>45230</v>
      </c>
      <c r="C6182" s="4">
        <v>45226.472916666666</v>
      </c>
      <c r="D6182" t="s">
        <v>30954</v>
      </c>
      <c r="E6182" t="s">
        <v>30955</v>
      </c>
      <c r="F6182">
        <v>12</v>
      </c>
      <c r="G6182" t="s">
        <v>978</v>
      </c>
      <c r="H6182" t="s">
        <v>1473</v>
      </c>
      <c r="I6182" t="s">
        <v>94</v>
      </c>
      <c r="J6182" s="2" t="s">
        <v>760</v>
      </c>
      <c r="K6182" t="s">
        <v>42</v>
      </c>
      <c r="L6182" t="s">
        <v>296</v>
      </c>
      <c r="Q6182">
        <v>26371</v>
      </c>
      <c r="R6182" t="s">
        <v>45</v>
      </c>
      <c r="S6182" t="s">
        <v>30956</v>
      </c>
      <c r="T6182">
        <v>27.3</v>
      </c>
      <c r="U6182" s="2" t="s">
        <v>37442</v>
      </c>
      <c r="W6182" t="s">
        <v>23049</v>
      </c>
      <c r="X6182">
        <v>838196</v>
      </c>
      <c r="Y6182" s="2" t="s">
        <v>37443</v>
      </c>
      <c r="Z6182" t="s">
        <v>9161</v>
      </c>
      <c r="AA6182" t="s">
        <v>37444</v>
      </c>
      <c r="AB6182" t="s">
        <v>1480</v>
      </c>
      <c r="AG6182" t="s">
        <v>37445</v>
      </c>
      <c r="AH6182" t="s">
        <v>37145</v>
      </c>
      <c r="AI6182" t="s">
        <v>37446</v>
      </c>
    </row>
    <row r="6183" spans="2:35" ht="409.5">
      <c r="B6183" s="1">
        <v>45230</v>
      </c>
      <c r="C6183" s="4">
        <v>45230.624305555553</v>
      </c>
      <c r="D6183" t="s">
        <v>6305</v>
      </c>
      <c r="E6183" t="s">
        <v>2569</v>
      </c>
      <c r="F6183" t="s">
        <v>148</v>
      </c>
      <c r="G6183" t="s">
        <v>447</v>
      </c>
      <c r="H6183" t="s">
        <v>150</v>
      </c>
      <c r="I6183" t="s">
        <v>40</v>
      </c>
      <c r="J6183" t="s">
        <v>525</v>
      </c>
      <c r="K6183" t="s">
        <v>42</v>
      </c>
      <c r="L6183" t="s">
        <v>448</v>
      </c>
      <c r="Q6183">
        <v>26370</v>
      </c>
      <c r="R6183" t="s">
        <v>95</v>
      </c>
      <c r="S6183" t="s">
        <v>2808</v>
      </c>
      <c r="T6183">
        <v>29</v>
      </c>
      <c r="U6183" s="2" t="s">
        <v>37447</v>
      </c>
      <c r="W6183" t="s">
        <v>360</v>
      </c>
      <c r="X6183">
        <v>807155</v>
      </c>
      <c r="Y6183" t="s">
        <v>37448</v>
      </c>
      <c r="Z6183" s="2" t="s">
        <v>2011</v>
      </c>
      <c r="AA6183" t="s">
        <v>4487</v>
      </c>
      <c r="AB6183" t="s">
        <v>486</v>
      </c>
      <c r="AG6183" t="s">
        <v>37449</v>
      </c>
      <c r="AH6183" t="s">
        <v>11567</v>
      </c>
      <c r="AI6183" t="s">
        <v>37450</v>
      </c>
    </row>
    <row r="6184" spans="2:35" ht="210">
      <c r="B6184" s="1">
        <v>45230</v>
      </c>
      <c r="C6184" s="4">
        <v>45230.435416666667</v>
      </c>
      <c r="D6184" t="s">
        <v>30287</v>
      </c>
      <c r="E6184" t="s">
        <v>37451</v>
      </c>
      <c r="F6184" t="s">
        <v>37</v>
      </c>
      <c r="G6184" t="s">
        <v>38</v>
      </c>
      <c r="H6184" t="s">
        <v>39</v>
      </c>
      <c r="I6184" t="s">
        <v>40</v>
      </c>
      <c r="J6184" s="2" t="s">
        <v>41</v>
      </c>
      <c r="K6184" t="s">
        <v>42</v>
      </c>
      <c r="L6184" t="s">
        <v>43</v>
      </c>
      <c r="Q6184">
        <v>26369</v>
      </c>
      <c r="R6184" t="s">
        <v>45</v>
      </c>
      <c r="S6184" t="s">
        <v>30289</v>
      </c>
      <c r="T6184">
        <v>29</v>
      </c>
      <c r="W6184" t="s">
        <v>48</v>
      </c>
      <c r="X6184">
        <v>838148</v>
      </c>
      <c r="Y6184" t="s">
        <v>37452</v>
      </c>
      <c r="Z6184" t="s">
        <v>30885</v>
      </c>
      <c r="AA6184" s="2" t="s">
        <v>37453</v>
      </c>
      <c r="AB6184" t="s">
        <v>37454</v>
      </c>
      <c r="AG6184" t="s">
        <v>37455</v>
      </c>
      <c r="AH6184" t="s">
        <v>30293</v>
      </c>
      <c r="AI6184" t="s">
        <v>37456</v>
      </c>
    </row>
    <row r="6185" spans="2:35" ht="165">
      <c r="B6185" s="1">
        <v>45230</v>
      </c>
      <c r="C6185" s="4">
        <v>45224.67083333333</v>
      </c>
      <c r="D6185" t="s">
        <v>8684</v>
      </c>
      <c r="E6185" t="s">
        <v>34463</v>
      </c>
      <c r="F6185">
        <v>5</v>
      </c>
      <c r="G6185" t="s">
        <v>814</v>
      </c>
      <c r="H6185" t="s">
        <v>39</v>
      </c>
      <c r="I6185" t="s">
        <v>40</v>
      </c>
      <c r="J6185" t="s">
        <v>525</v>
      </c>
      <c r="K6185" t="s">
        <v>42</v>
      </c>
      <c r="L6185" t="s">
        <v>761</v>
      </c>
      <c r="Q6185">
        <v>26368</v>
      </c>
      <c r="R6185" t="s">
        <v>119</v>
      </c>
      <c r="S6185" t="s">
        <v>14253</v>
      </c>
      <c r="T6185">
        <v>24</v>
      </c>
      <c r="W6185" t="s">
        <v>360</v>
      </c>
      <c r="X6185">
        <v>838266</v>
      </c>
      <c r="Y6185" s="2" t="s">
        <v>37457</v>
      </c>
      <c r="Z6185" s="2" t="s">
        <v>37458</v>
      </c>
      <c r="AA6185" t="s">
        <v>768</v>
      </c>
      <c r="AB6185" t="s">
        <v>181</v>
      </c>
      <c r="AG6185" t="s">
        <v>37459</v>
      </c>
      <c r="AH6185" t="s">
        <v>8693</v>
      </c>
      <c r="AI6185" t="s">
        <v>37460</v>
      </c>
    </row>
    <row r="6186" spans="2:35" ht="240">
      <c r="B6186" s="1">
        <v>45230</v>
      </c>
      <c r="C6186" s="4">
        <v>45226.718055555553</v>
      </c>
      <c r="D6186" t="s">
        <v>2990</v>
      </c>
      <c r="E6186" t="s">
        <v>31320</v>
      </c>
      <c r="F6186">
        <v>5</v>
      </c>
      <c r="G6186" t="s">
        <v>759</v>
      </c>
      <c r="H6186" t="s">
        <v>39</v>
      </c>
      <c r="I6186" t="s">
        <v>40</v>
      </c>
      <c r="J6186" s="2" t="s">
        <v>41</v>
      </c>
      <c r="K6186" t="s">
        <v>42</v>
      </c>
      <c r="L6186" t="s">
        <v>761</v>
      </c>
      <c r="Q6186">
        <v>26367</v>
      </c>
      <c r="R6186" t="s">
        <v>45</v>
      </c>
      <c r="S6186" t="s">
        <v>37461</v>
      </c>
      <c r="T6186">
        <v>30</v>
      </c>
      <c r="U6186" s="2" t="s">
        <v>37462</v>
      </c>
      <c r="W6186" t="s">
        <v>360</v>
      </c>
      <c r="X6186">
        <v>804257</v>
      </c>
      <c r="Y6186" t="s">
        <v>37463</v>
      </c>
      <c r="Z6186" s="2" t="s">
        <v>37464</v>
      </c>
      <c r="AA6186" s="2" t="s">
        <v>37465</v>
      </c>
      <c r="AB6186" t="s">
        <v>181</v>
      </c>
      <c r="AG6186" t="s">
        <v>37466</v>
      </c>
      <c r="AH6186" t="s">
        <v>37467</v>
      </c>
      <c r="AI6186" t="s">
        <v>37468</v>
      </c>
    </row>
    <row r="6187" spans="2:35" ht="300">
      <c r="B6187" s="1">
        <v>45230</v>
      </c>
      <c r="C6187" s="4">
        <v>45230.36041666667</v>
      </c>
      <c r="D6187" t="s">
        <v>37469</v>
      </c>
      <c r="E6187" t="s">
        <v>37470</v>
      </c>
      <c r="F6187" t="s">
        <v>37</v>
      </c>
      <c r="G6187" t="s">
        <v>2499</v>
      </c>
      <c r="H6187" t="s">
        <v>258</v>
      </c>
      <c r="I6187" t="s">
        <v>40</v>
      </c>
      <c r="J6187" s="2" t="s">
        <v>41</v>
      </c>
      <c r="K6187" t="s">
        <v>42</v>
      </c>
      <c r="L6187" t="s">
        <v>29119</v>
      </c>
      <c r="Q6187">
        <v>26366</v>
      </c>
      <c r="R6187" t="s">
        <v>119</v>
      </c>
      <c r="S6187" t="s">
        <v>37471</v>
      </c>
      <c r="T6187">
        <v>26</v>
      </c>
      <c r="V6187" s="1">
        <v>45219</v>
      </c>
      <c r="W6187" t="s">
        <v>37472</v>
      </c>
      <c r="X6187">
        <v>831611</v>
      </c>
      <c r="Y6187" t="s">
        <v>2789</v>
      </c>
      <c r="Z6187" s="2" t="s">
        <v>37473</v>
      </c>
      <c r="AA6187" s="2" t="s">
        <v>37474</v>
      </c>
      <c r="AB6187" t="s">
        <v>70</v>
      </c>
      <c r="AD6187" t="s">
        <v>37475</v>
      </c>
      <c r="AE6187">
        <v>10765</v>
      </c>
      <c r="AG6187" t="s">
        <v>37476</v>
      </c>
      <c r="AH6187" t="s">
        <v>37477</v>
      </c>
      <c r="AI6187" t="s">
        <v>37478</v>
      </c>
    </row>
    <row r="6188" spans="2:35" ht="135">
      <c r="B6188" s="1">
        <v>45227</v>
      </c>
      <c r="C6188" s="4">
        <v>45226.660416666666</v>
      </c>
      <c r="D6188" t="s">
        <v>2510</v>
      </c>
      <c r="E6188" t="s">
        <v>35011</v>
      </c>
      <c r="F6188" t="s">
        <v>37</v>
      </c>
      <c r="G6188" t="s">
        <v>2499</v>
      </c>
      <c r="H6188" t="s">
        <v>39</v>
      </c>
      <c r="I6188" t="s">
        <v>40</v>
      </c>
      <c r="J6188" s="2" t="s">
        <v>62</v>
      </c>
      <c r="K6188" t="s">
        <v>42</v>
      </c>
      <c r="L6188" t="s">
        <v>15532</v>
      </c>
      <c r="Q6188">
        <v>26365</v>
      </c>
      <c r="R6188" t="s">
        <v>119</v>
      </c>
      <c r="S6188" t="s">
        <v>35012</v>
      </c>
      <c r="T6188">
        <v>24</v>
      </c>
      <c r="W6188" t="s">
        <v>3244</v>
      </c>
      <c r="X6188">
        <v>831890</v>
      </c>
      <c r="Y6188" t="s">
        <v>29739</v>
      </c>
      <c r="Z6188" s="2" t="s">
        <v>37479</v>
      </c>
      <c r="AA6188" t="s">
        <v>875</v>
      </c>
      <c r="AB6188" s="2" t="s">
        <v>37480</v>
      </c>
      <c r="AG6188" t="s">
        <v>37481</v>
      </c>
      <c r="AH6188" t="s">
        <v>37482</v>
      </c>
      <c r="AI6188" t="s">
        <v>37483</v>
      </c>
    </row>
    <row r="6189" spans="2:35" ht="45">
      <c r="B6189" s="1">
        <v>45226</v>
      </c>
      <c r="C6189" s="4">
        <v>45226.572222222225</v>
      </c>
      <c r="D6189" t="s">
        <v>26682</v>
      </c>
      <c r="E6189" t="s">
        <v>37484</v>
      </c>
      <c r="F6189">
        <v>7</v>
      </c>
      <c r="G6189" t="s">
        <v>432</v>
      </c>
      <c r="H6189" t="s">
        <v>39</v>
      </c>
      <c r="I6189" t="s">
        <v>40</v>
      </c>
      <c r="J6189" s="2" t="s">
        <v>1370</v>
      </c>
      <c r="K6189" t="s">
        <v>42</v>
      </c>
      <c r="L6189" t="s">
        <v>433</v>
      </c>
      <c r="Q6189">
        <v>26364</v>
      </c>
      <c r="R6189" t="s">
        <v>45</v>
      </c>
      <c r="S6189" t="s">
        <v>3872</v>
      </c>
      <c r="T6189">
        <v>28</v>
      </c>
      <c r="W6189" t="s">
        <v>1008</v>
      </c>
      <c r="X6189">
        <v>805270</v>
      </c>
      <c r="Y6189" t="s">
        <v>37485</v>
      </c>
      <c r="Z6189" t="s">
        <v>37486</v>
      </c>
      <c r="AA6189" t="s">
        <v>37487</v>
      </c>
      <c r="AB6189" t="s">
        <v>441</v>
      </c>
      <c r="AG6189" t="s">
        <v>37488</v>
      </c>
      <c r="AH6189" t="s">
        <v>37489</v>
      </c>
      <c r="AI6189" t="s">
        <v>37490</v>
      </c>
    </row>
    <row r="6190" spans="2:35" ht="150">
      <c r="B6190" s="1">
        <v>45226</v>
      </c>
      <c r="C6190" s="4">
        <v>45226.584027777775</v>
      </c>
      <c r="D6190" t="s">
        <v>11880</v>
      </c>
      <c r="E6190" t="s">
        <v>11881</v>
      </c>
      <c r="F6190">
        <v>6</v>
      </c>
      <c r="G6190" t="s">
        <v>1234</v>
      </c>
      <c r="H6190" t="s">
        <v>39</v>
      </c>
      <c r="I6190" t="s">
        <v>40</v>
      </c>
      <c r="J6190" s="2" t="s">
        <v>2866</v>
      </c>
      <c r="K6190" t="s">
        <v>42</v>
      </c>
      <c r="L6190" t="s">
        <v>270</v>
      </c>
      <c r="Q6190">
        <v>26363</v>
      </c>
      <c r="R6190" t="s">
        <v>119</v>
      </c>
      <c r="S6190" t="s">
        <v>35274</v>
      </c>
      <c r="T6190">
        <v>27</v>
      </c>
      <c r="U6190" s="2" t="s">
        <v>980</v>
      </c>
      <c r="W6190" t="s">
        <v>3662</v>
      </c>
      <c r="X6190">
        <v>838477</v>
      </c>
      <c r="Y6190" t="s">
        <v>37491</v>
      </c>
      <c r="Z6190" t="e">
        <f ca="1">- performed optics Cleaning, module bay Cleaning, _xludf.filter Cleaning, ARCHIVE tests, Backup.</f>
        <v>#NAME?</v>
      </c>
      <c r="AA6190" t="e">
        <f ca="1">-transferred GeneXpert location to minimize temperature-related errors.
- Generate IQR _xludf.and system Log.</f>
        <v>#NAME?</v>
      </c>
      <c r="AB6190" t="e">
        <f ca="1">- new ACU insufficient to cool GeneXpert machine.
- modules B3 _xludf.and B4 Operational.
- modules B1 _xludf.and B2 _xludf.For Replacement DUE to XpertCheck Fail.</f>
        <v>#NAME?</v>
      </c>
      <c r="AG6190" t="s">
        <v>37492</v>
      </c>
      <c r="AH6190" t="s">
        <v>11880</v>
      </c>
      <c r="AI6190" t="s">
        <v>37493</v>
      </c>
    </row>
    <row r="6191" spans="2:35" ht="240">
      <c r="B6191" s="1">
        <v>45226</v>
      </c>
      <c r="C6191" s="4">
        <v>45226.590277777781</v>
      </c>
      <c r="D6191" t="s">
        <v>3030</v>
      </c>
      <c r="E6191" t="s">
        <v>33344</v>
      </c>
      <c r="F6191" t="s">
        <v>37</v>
      </c>
      <c r="G6191" t="s">
        <v>38</v>
      </c>
      <c r="H6191" t="s">
        <v>39</v>
      </c>
      <c r="I6191" t="s">
        <v>40</v>
      </c>
      <c r="J6191" t="s">
        <v>525</v>
      </c>
      <c r="K6191" t="s">
        <v>42</v>
      </c>
      <c r="L6191" t="s">
        <v>43</v>
      </c>
      <c r="Q6191">
        <v>26362</v>
      </c>
      <c r="R6191" t="s">
        <v>45</v>
      </c>
      <c r="S6191" t="s">
        <v>3032</v>
      </c>
      <c r="T6191">
        <v>25</v>
      </c>
      <c r="W6191" t="s">
        <v>37494</v>
      </c>
      <c r="X6191">
        <v>842226</v>
      </c>
      <c r="Y6191" t="s">
        <v>37495</v>
      </c>
      <c r="Z6191" t="s">
        <v>37496</v>
      </c>
      <c r="AA6191" s="2" t="s">
        <v>37497</v>
      </c>
      <c r="AB6191" t="s">
        <v>37498</v>
      </c>
      <c r="AG6191" t="s">
        <v>37499</v>
      </c>
      <c r="AH6191" t="s">
        <v>34907</v>
      </c>
      <c r="AI6191" t="s">
        <v>37500</v>
      </c>
    </row>
    <row r="6192" spans="2:35" ht="345">
      <c r="B6192" s="1">
        <v>45226</v>
      </c>
      <c r="C6192" s="4">
        <v>45226.479166666664</v>
      </c>
      <c r="D6192" t="s">
        <v>2529</v>
      </c>
      <c r="E6192" t="s">
        <v>37501</v>
      </c>
      <c r="F6192" t="s">
        <v>37</v>
      </c>
      <c r="G6192" t="s">
        <v>2499</v>
      </c>
      <c r="H6192" t="s">
        <v>39</v>
      </c>
      <c r="I6192" t="s">
        <v>40</v>
      </c>
      <c r="J6192" s="2" t="s">
        <v>4208</v>
      </c>
      <c r="K6192" t="s">
        <v>42</v>
      </c>
      <c r="L6192" t="s">
        <v>15532</v>
      </c>
      <c r="Q6192">
        <v>26361</v>
      </c>
      <c r="R6192" t="s">
        <v>45</v>
      </c>
      <c r="S6192" t="s">
        <v>36873</v>
      </c>
      <c r="T6192">
        <v>29</v>
      </c>
      <c r="W6192" t="s">
        <v>3244</v>
      </c>
      <c r="X6192">
        <v>804692</v>
      </c>
      <c r="Y6192" t="s">
        <v>37502</v>
      </c>
      <c r="Z6192" s="2" t="s">
        <v>37503</v>
      </c>
      <c r="AA6192" t="s">
        <v>37504</v>
      </c>
      <c r="AB6192" s="2" t="s">
        <v>37505</v>
      </c>
      <c r="AG6192" t="s">
        <v>37506</v>
      </c>
      <c r="AH6192" t="s">
        <v>36880</v>
      </c>
      <c r="AI6192" t="s">
        <v>37507</v>
      </c>
    </row>
    <row r="6193" spans="2:35" ht="210">
      <c r="B6193" s="1">
        <v>45226</v>
      </c>
      <c r="C6193" s="4">
        <v>45226.506249999999</v>
      </c>
      <c r="D6193" t="s">
        <v>35</v>
      </c>
      <c r="E6193" t="s">
        <v>37508</v>
      </c>
      <c r="F6193" t="s">
        <v>37</v>
      </c>
      <c r="G6193" t="s">
        <v>38</v>
      </c>
      <c r="H6193" t="s">
        <v>39</v>
      </c>
      <c r="I6193" t="s">
        <v>40</v>
      </c>
      <c r="J6193" s="2" t="s">
        <v>41</v>
      </c>
      <c r="K6193" t="s">
        <v>42</v>
      </c>
      <c r="L6193" t="s">
        <v>43</v>
      </c>
      <c r="Q6193">
        <v>26360</v>
      </c>
      <c r="R6193" t="s">
        <v>45</v>
      </c>
      <c r="S6193" t="s">
        <v>37509</v>
      </c>
      <c r="T6193">
        <v>25</v>
      </c>
      <c r="U6193" s="2" t="s">
        <v>37510</v>
      </c>
      <c r="V6193" s="1">
        <v>45222</v>
      </c>
      <c r="W6193" t="s">
        <v>48</v>
      </c>
      <c r="X6193">
        <v>807593</v>
      </c>
      <c r="Y6193" t="s">
        <v>2514</v>
      </c>
      <c r="Z6193" t="s">
        <v>233</v>
      </c>
      <c r="AA6193" s="2" t="s">
        <v>37511</v>
      </c>
      <c r="AB6193" t="s">
        <v>16412</v>
      </c>
      <c r="AD6193" s="2" t="s">
        <v>37512</v>
      </c>
      <c r="AE6193" t="s">
        <v>37513</v>
      </c>
      <c r="AG6193" t="s">
        <v>37514</v>
      </c>
      <c r="AH6193" t="s">
        <v>56</v>
      </c>
      <c r="AI6193" t="s">
        <v>37515</v>
      </c>
    </row>
    <row r="6194" spans="2:35" ht="315">
      <c r="B6194" s="1">
        <v>45226</v>
      </c>
      <c r="C6194" s="4">
        <v>45226.484722222223</v>
      </c>
      <c r="D6194" t="s">
        <v>37516</v>
      </c>
      <c r="E6194" t="s">
        <v>37517</v>
      </c>
      <c r="F6194">
        <v>10</v>
      </c>
      <c r="G6194" t="s">
        <v>931</v>
      </c>
      <c r="H6194" t="s">
        <v>10969</v>
      </c>
      <c r="I6194" t="s">
        <v>40</v>
      </c>
      <c r="J6194" s="2" t="s">
        <v>41</v>
      </c>
      <c r="K6194" t="s">
        <v>42</v>
      </c>
      <c r="L6194" t="s">
        <v>1288</v>
      </c>
      <c r="Q6194">
        <v>26359</v>
      </c>
      <c r="R6194" t="s">
        <v>45</v>
      </c>
      <c r="S6194" t="s">
        <v>36488</v>
      </c>
      <c r="T6194">
        <v>27</v>
      </c>
      <c r="U6194" s="2" t="s">
        <v>37518</v>
      </c>
      <c r="W6194" t="s">
        <v>4775</v>
      </c>
      <c r="X6194">
        <v>834833</v>
      </c>
      <c r="Y6194" t="s">
        <v>25383</v>
      </c>
      <c r="Z6194" t="e">
        <f ca="1">-COLLECT IQR,system _xludf.Log, _xludf.and ARCHIVE</f>
        <v>#NAME?</v>
      </c>
      <c r="AA6194" s="2" t="s">
        <v>37519</v>
      </c>
      <c r="AB6194" t="s">
        <v>1293</v>
      </c>
      <c r="AG6194" t="s">
        <v>37520</v>
      </c>
      <c r="AH6194" t="s">
        <v>36493</v>
      </c>
      <c r="AI6194" t="s">
        <v>37521</v>
      </c>
    </row>
    <row r="6195" spans="2:35" ht="150">
      <c r="B6195" s="1">
        <v>45226</v>
      </c>
      <c r="C6195" s="4">
        <v>45226.456944444442</v>
      </c>
      <c r="D6195" t="s">
        <v>4190</v>
      </c>
      <c r="E6195" t="s">
        <v>37522</v>
      </c>
      <c r="F6195" t="s">
        <v>37</v>
      </c>
      <c r="G6195" t="s">
        <v>38</v>
      </c>
      <c r="H6195" t="s">
        <v>39</v>
      </c>
      <c r="I6195" t="s">
        <v>40</v>
      </c>
      <c r="J6195" s="2" t="s">
        <v>62</v>
      </c>
      <c r="K6195" t="s">
        <v>42</v>
      </c>
      <c r="L6195" t="s">
        <v>43</v>
      </c>
      <c r="Q6195">
        <v>26358</v>
      </c>
      <c r="R6195" t="s">
        <v>119</v>
      </c>
      <c r="S6195" t="s">
        <v>4192</v>
      </c>
      <c r="T6195">
        <v>24</v>
      </c>
      <c r="U6195" s="2" t="s">
        <v>9065</v>
      </c>
      <c r="W6195" t="s">
        <v>48</v>
      </c>
      <c r="X6195">
        <v>821293</v>
      </c>
      <c r="Y6195" t="s">
        <v>1111</v>
      </c>
      <c r="Z6195" t="s">
        <v>1519</v>
      </c>
      <c r="AA6195" s="2" t="s">
        <v>37058</v>
      </c>
      <c r="AB6195" t="s">
        <v>37523</v>
      </c>
      <c r="AG6195" t="s">
        <v>37524</v>
      </c>
      <c r="AH6195" t="s">
        <v>37525</v>
      </c>
      <c r="AI6195" t="s">
        <v>37526</v>
      </c>
    </row>
    <row r="6196" spans="2:35" ht="315">
      <c r="B6196" s="1">
        <v>45225</v>
      </c>
      <c r="C6196" s="4">
        <v>45225.569444444445</v>
      </c>
      <c r="D6196" t="s">
        <v>22134</v>
      </c>
      <c r="E6196" t="s">
        <v>37527</v>
      </c>
      <c r="F6196" t="s">
        <v>37</v>
      </c>
      <c r="G6196" t="s">
        <v>2499</v>
      </c>
      <c r="H6196" t="s">
        <v>39</v>
      </c>
      <c r="I6196" t="s">
        <v>40</v>
      </c>
      <c r="J6196" s="2" t="s">
        <v>190</v>
      </c>
      <c r="K6196" t="s">
        <v>42</v>
      </c>
      <c r="L6196" t="s">
        <v>15532</v>
      </c>
      <c r="Q6196">
        <v>26357</v>
      </c>
      <c r="R6196" t="s">
        <v>119</v>
      </c>
      <c r="S6196" t="s">
        <v>22136</v>
      </c>
      <c r="T6196">
        <v>28</v>
      </c>
      <c r="W6196" t="s">
        <v>3244</v>
      </c>
      <c r="X6196">
        <v>831636</v>
      </c>
      <c r="Y6196" t="s">
        <v>37528</v>
      </c>
      <c r="Z6196" s="2" t="s">
        <v>37529</v>
      </c>
      <c r="AA6196" t="s">
        <v>37530</v>
      </c>
      <c r="AB6196" t="s">
        <v>181</v>
      </c>
      <c r="AC6196" t="s">
        <v>37531</v>
      </c>
      <c r="AG6196" t="s">
        <v>37532</v>
      </c>
      <c r="AH6196" t="s">
        <v>37533</v>
      </c>
      <c r="AI6196" t="s">
        <v>37534</v>
      </c>
    </row>
    <row r="6197" spans="2:35" ht="300">
      <c r="B6197" s="1">
        <v>45225</v>
      </c>
      <c r="C6197" s="4">
        <v>45223.504166666666</v>
      </c>
      <c r="D6197" t="s">
        <v>461</v>
      </c>
      <c r="E6197" t="s">
        <v>37535</v>
      </c>
      <c r="F6197" t="s">
        <v>148</v>
      </c>
      <c r="G6197" t="s">
        <v>447</v>
      </c>
      <c r="H6197" t="s">
        <v>39</v>
      </c>
      <c r="I6197" t="s">
        <v>40</v>
      </c>
      <c r="J6197" s="2" t="s">
        <v>190</v>
      </c>
      <c r="K6197" t="s">
        <v>42</v>
      </c>
      <c r="L6197" t="s">
        <v>15532</v>
      </c>
      <c r="Q6197">
        <v>26356</v>
      </c>
      <c r="R6197" t="s">
        <v>45</v>
      </c>
      <c r="S6197" t="s">
        <v>464</v>
      </c>
      <c r="T6197">
        <v>26</v>
      </c>
      <c r="U6197" s="2" t="s">
        <v>37536</v>
      </c>
      <c r="W6197" t="s">
        <v>3244</v>
      </c>
      <c r="X6197">
        <v>814160</v>
      </c>
      <c r="Y6197" t="s">
        <v>37537</v>
      </c>
      <c r="Z6197" s="2" t="s">
        <v>37538</v>
      </c>
      <c r="AA6197" t="s">
        <v>37539</v>
      </c>
      <c r="AB6197" s="2" t="s">
        <v>37540</v>
      </c>
      <c r="AG6197" t="s">
        <v>37541</v>
      </c>
      <c r="AH6197" t="s">
        <v>37542</v>
      </c>
      <c r="AI6197" t="s">
        <v>37543</v>
      </c>
    </row>
    <row r="6198" spans="2:35" ht="135">
      <c r="B6198" s="1">
        <v>45225</v>
      </c>
      <c r="C6198" s="4">
        <v>45225.702777777777</v>
      </c>
      <c r="D6198" t="s">
        <v>37544</v>
      </c>
      <c r="E6198" t="s">
        <v>37545</v>
      </c>
      <c r="F6198">
        <v>5</v>
      </c>
      <c r="G6198" t="s">
        <v>5795</v>
      </c>
      <c r="H6198" t="s">
        <v>16689</v>
      </c>
      <c r="I6198" t="s">
        <v>40</v>
      </c>
      <c r="J6198" s="2" t="s">
        <v>41</v>
      </c>
      <c r="K6198" t="s">
        <v>42</v>
      </c>
      <c r="L6198" t="s">
        <v>761</v>
      </c>
      <c r="Q6198">
        <v>26355</v>
      </c>
      <c r="R6198" t="s">
        <v>45</v>
      </c>
      <c r="S6198" t="s">
        <v>37546</v>
      </c>
      <c r="T6198">
        <v>24</v>
      </c>
      <c r="U6198" s="2" t="s">
        <v>26673</v>
      </c>
      <c r="W6198" t="s">
        <v>360</v>
      </c>
      <c r="X6198">
        <v>807600</v>
      </c>
      <c r="Y6198" t="s">
        <v>37547</v>
      </c>
      <c r="Z6198" t="s">
        <v>37548</v>
      </c>
      <c r="AA6198" s="2" t="s">
        <v>37549</v>
      </c>
      <c r="AB6198" t="s">
        <v>181</v>
      </c>
      <c r="AG6198" t="s">
        <v>37550</v>
      </c>
      <c r="AH6198" t="s">
        <v>37551</v>
      </c>
      <c r="AI6198" t="s">
        <v>37552</v>
      </c>
    </row>
    <row r="6199" spans="2:35" ht="195">
      <c r="B6199" s="1">
        <v>45225</v>
      </c>
      <c r="C6199" s="4">
        <v>45225.622916666667</v>
      </c>
      <c r="D6199" t="s">
        <v>37553</v>
      </c>
      <c r="E6199" t="s">
        <v>24518</v>
      </c>
      <c r="F6199">
        <v>3</v>
      </c>
      <c r="G6199" t="s">
        <v>134</v>
      </c>
      <c r="H6199" t="s">
        <v>39</v>
      </c>
      <c r="I6199" t="s">
        <v>40</v>
      </c>
      <c r="J6199" s="2" t="s">
        <v>41</v>
      </c>
      <c r="K6199" t="s">
        <v>42</v>
      </c>
      <c r="L6199" t="s">
        <v>63</v>
      </c>
      <c r="Q6199">
        <v>26354</v>
      </c>
      <c r="R6199" t="s">
        <v>45</v>
      </c>
      <c r="S6199" t="s">
        <v>37554</v>
      </c>
      <c r="T6199">
        <v>29</v>
      </c>
      <c r="V6199" s="1">
        <v>45225</v>
      </c>
      <c r="W6199" t="s">
        <v>26915</v>
      </c>
      <c r="X6199">
        <v>804837</v>
      </c>
      <c r="Y6199" t="s">
        <v>37555</v>
      </c>
      <c r="Z6199" s="2" t="s">
        <v>37556</v>
      </c>
      <c r="AA6199" s="2" t="s">
        <v>1727</v>
      </c>
      <c r="AB6199" t="s">
        <v>70</v>
      </c>
      <c r="AC6199" t="s">
        <v>1716</v>
      </c>
      <c r="AD6199" t="s">
        <v>12133</v>
      </c>
      <c r="AE6199" t="s">
        <v>1716</v>
      </c>
      <c r="AG6199" t="s">
        <v>37557</v>
      </c>
      <c r="AH6199" t="s">
        <v>37558</v>
      </c>
      <c r="AI6199" t="s">
        <v>37559</v>
      </c>
    </row>
    <row r="6200" spans="2:35" ht="105">
      <c r="B6200" s="1">
        <v>45225</v>
      </c>
      <c r="C6200" s="4">
        <v>45225.606944444444</v>
      </c>
      <c r="D6200" t="s">
        <v>27228</v>
      </c>
      <c r="E6200" t="s">
        <v>26059</v>
      </c>
      <c r="F6200" t="s">
        <v>148</v>
      </c>
      <c r="G6200" t="s">
        <v>371</v>
      </c>
      <c r="H6200" t="s">
        <v>39</v>
      </c>
      <c r="I6200" t="s">
        <v>40</v>
      </c>
      <c r="J6200" t="s">
        <v>525</v>
      </c>
      <c r="K6200" t="s">
        <v>42</v>
      </c>
      <c r="L6200" t="s">
        <v>175</v>
      </c>
      <c r="Q6200">
        <v>26353</v>
      </c>
      <c r="R6200" t="s">
        <v>119</v>
      </c>
      <c r="S6200" t="s">
        <v>27229</v>
      </c>
      <c r="T6200">
        <v>25</v>
      </c>
      <c r="U6200" s="2" t="s">
        <v>37560</v>
      </c>
      <c r="W6200" t="s">
        <v>84</v>
      </c>
      <c r="X6200">
        <v>831846</v>
      </c>
      <c r="Y6200" t="s">
        <v>37561</v>
      </c>
      <c r="Z6200" t="e">
        <f ca="1">- checked _xludf.and cleaned cartridge bay, plunger rod, _xludf.filter, icore slot
- performed XpertCheck
- generated reports</f>
        <v>#NAME?</v>
      </c>
      <c r="AA6200" t="s">
        <v>999</v>
      </c>
      <c r="AB6200" s="2" t="s">
        <v>37562</v>
      </c>
      <c r="AG6200" t="s">
        <v>37563</v>
      </c>
      <c r="AH6200" t="s">
        <v>27231</v>
      </c>
      <c r="AI6200" t="s">
        <v>37564</v>
      </c>
    </row>
    <row r="6201" spans="2:35" ht="210">
      <c r="B6201" s="1">
        <v>45225</v>
      </c>
      <c r="C6201" s="4">
        <v>45225.59097222222</v>
      </c>
      <c r="D6201" t="s">
        <v>37565</v>
      </c>
      <c r="E6201" t="s">
        <v>37566</v>
      </c>
      <c r="F6201">
        <v>13</v>
      </c>
      <c r="G6201" t="s">
        <v>931</v>
      </c>
      <c r="H6201" t="s">
        <v>2125</v>
      </c>
      <c r="I6201" t="s">
        <v>40</v>
      </c>
      <c r="J6201" s="2" t="s">
        <v>41</v>
      </c>
      <c r="K6201" t="s">
        <v>42</v>
      </c>
      <c r="L6201" t="s">
        <v>933</v>
      </c>
      <c r="Q6201">
        <v>26352</v>
      </c>
      <c r="R6201" t="s">
        <v>45</v>
      </c>
      <c r="S6201" t="s">
        <v>25518</v>
      </c>
      <c r="T6201">
        <v>23.8</v>
      </c>
      <c r="U6201" s="2" t="s">
        <v>37567</v>
      </c>
      <c r="W6201" t="s">
        <v>3662</v>
      </c>
      <c r="X6201">
        <v>815489</v>
      </c>
      <c r="Y6201" t="s">
        <v>301</v>
      </c>
      <c r="Z6201" t="s">
        <v>301</v>
      </c>
      <c r="AA6201" s="2" t="s">
        <v>37568</v>
      </c>
      <c r="AB6201" t="s">
        <v>13650</v>
      </c>
      <c r="AG6201" t="s">
        <v>37569</v>
      </c>
      <c r="AH6201" t="s">
        <v>37570</v>
      </c>
      <c r="AI6201" t="s">
        <v>37571</v>
      </c>
    </row>
    <row r="6202" spans="2:35" ht="330">
      <c r="B6202" s="1">
        <v>45225</v>
      </c>
      <c r="C6202" s="4">
        <v>45225.570833333331</v>
      </c>
      <c r="D6202" t="s">
        <v>7743</v>
      </c>
      <c r="E6202" t="s">
        <v>37572</v>
      </c>
      <c r="F6202">
        <v>11</v>
      </c>
      <c r="G6202" t="s">
        <v>1205</v>
      </c>
      <c r="H6202" t="s">
        <v>202</v>
      </c>
      <c r="I6202" t="s">
        <v>40</v>
      </c>
      <c r="J6202" t="s">
        <v>109</v>
      </c>
      <c r="K6202" t="s">
        <v>42</v>
      </c>
      <c r="L6202" t="s">
        <v>204</v>
      </c>
      <c r="Q6202">
        <v>26351</v>
      </c>
      <c r="R6202" t="s">
        <v>119</v>
      </c>
      <c r="S6202" t="s">
        <v>7745</v>
      </c>
      <c r="T6202">
        <v>25.9</v>
      </c>
      <c r="U6202" s="2" t="s">
        <v>13913</v>
      </c>
      <c r="W6202" t="s">
        <v>23237</v>
      </c>
      <c r="X6202">
        <v>838492</v>
      </c>
      <c r="Y6202" t="s">
        <v>1052</v>
      </c>
      <c r="Z6202" s="2" t="s">
        <v>37573</v>
      </c>
      <c r="AA6202" t="s">
        <v>2551</v>
      </c>
      <c r="AB6202" t="s">
        <v>19893</v>
      </c>
      <c r="AC6202" t="s">
        <v>37574</v>
      </c>
      <c r="AG6202" t="s">
        <v>37575</v>
      </c>
      <c r="AH6202" t="s">
        <v>17725</v>
      </c>
      <c r="AI6202" t="s">
        <v>37576</v>
      </c>
    </row>
    <row r="6203" spans="2:35" ht="180">
      <c r="B6203" s="1">
        <v>45225</v>
      </c>
      <c r="C6203" s="4">
        <v>45225.566666666666</v>
      </c>
      <c r="D6203" t="s">
        <v>24830</v>
      </c>
      <c r="E6203" t="s">
        <v>37577</v>
      </c>
      <c r="F6203" t="s">
        <v>37</v>
      </c>
      <c r="G6203" t="s">
        <v>78</v>
      </c>
      <c r="H6203" t="s">
        <v>39</v>
      </c>
      <c r="I6203" t="s">
        <v>40</v>
      </c>
      <c r="J6203" s="2" t="s">
        <v>41</v>
      </c>
      <c r="K6203" t="s">
        <v>42</v>
      </c>
      <c r="L6203" t="s">
        <v>1943</v>
      </c>
      <c r="Q6203">
        <v>26350</v>
      </c>
      <c r="R6203" t="s">
        <v>45</v>
      </c>
      <c r="S6203" t="s">
        <v>30685</v>
      </c>
      <c r="T6203">
        <v>25</v>
      </c>
      <c r="U6203" s="2" t="s">
        <v>37578</v>
      </c>
      <c r="V6203" s="1">
        <v>45222</v>
      </c>
      <c r="W6203" t="s">
        <v>84</v>
      </c>
      <c r="X6203">
        <v>812780</v>
      </c>
      <c r="Y6203" s="2" t="s">
        <v>37579</v>
      </c>
      <c r="Z6203" s="2" t="s">
        <v>33081</v>
      </c>
      <c r="AA6203" t="s">
        <v>22330</v>
      </c>
      <c r="AB6203" t="s">
        <v>181</v>
      </c>
      <c r="AD6203" t="s">
        <v>37580</v>
      </c>
      <c r="AE6203" t="s">
        <v>37581</v>
      </c>
      <c r="AG6203" t="s">
        <v>37582</v>
      </c>
      <c r="AH6203" t="s">
        <v>37583</v>
      </c>
      <c r="AI6203" t="s">
        <v>37584</v>
      </c>
    </row>
    <row r="6204" spans="2:35" ht="255">
      <c r="B6204" s="1">
        <v>45225</v>
      </c>
      <c r="C6204" s="4">
        <v>45225.553472222222</v>
      </c>
      <c r="D6204" t="s">
        <v>4953</v>
      </c>
      <c r="E6204" t="s">
        <v>37585</v>
      </c>
      <c r="F6204">
        <v>6</v>
      </c>
      <c r="G6204" t="s">
        <v>1234</v>
      </c>
      <c r="H6204" t="s">
        <v>39</v>
      </c>
      <c r="I6204" t="s">
        <v>94</v>
      </c>
      <c r="J6204" s="2" t="s">
        <v>41</v>
      </c>
      <c r="K6204" t="s">
        <v>42</v>
      </c>
      <c r="L6204" t="s">
        <v>270</v>
      </c>
      <c r="Q6204">
        <v>26349</v>
      </c>
      <c r="R6204" t="s">
        <v>45</v>
      </c>
      <c r="S6204" t="s">
        <v>31130</v>
      </c>
      <c r="T6204">
        <v>25</v>
      </c>
      <c r="U6204" s="2" t="s">
        <v>37586</v>
      </c>
      <c r="W6204" t="s">
        <v>3662</v>
      </c>
      <c r="X6204">
        <v>805033</v>
      </c>
      <c r="Y6204" t="s">
        <v>37587</v>
      </c>
      <c r="Z6204" t="e">
        <f ca="1">- performed optics Cleaning, module bay Cleaning, _xludf.filter Cleaning, ARCHIVE tests, Backup.</f>
        <v>#NAME?</v>
      </c>
      <c r="AA6204" s="2" t="s">
        <v>37588</v>
      </c>
      <c r="AB6204" t="s">
        <v>37589</v>
      </c>
      <c r="AG6204" t="s">
        <v>37590</v>
      </c>
      <c r="AH6204" t="s">
        <v>37591</v>
      </c>
      <c r="AI6204" t="s">
        <v>37592</v>
      </c>
    </row>
    <row r="6205" spans="2:35" ht="135">
      <c r="B6205" s="1">
        <v>45225</v>
      </c>
      <c r="C6205" s="4">
        <v>45225.509027777778</v>
      </c>
      <c r="D6205" t="s">
        <v>37593</v>
      </c>
      <c r="E6205" t="s">
        <v>37594</v>
      </c>
      <c r="F6205" t="s">
        <v>37</v>
      </c>
      <c r="G6205" t="s">
        <v>78</v>
      </c>
      <c r="H6205" t="s">
        <v>39</v>
      </c>
      <c r="I6205" t="s">
        <v>40</v>
      </c>
      <c r="J6205" s="2" t="s">
        <v>62</v>
      </c>
      <c r="K6205" t="s">
        <v>42</v>
      </c>
      <c r="L6205" t="s">
        <v>1943</v>
      </c>
      <c r="Q6205">
        <v>26348</v>
      </c>
      <c r="R6205" t="s">
        <v>119</v>
      </c>
      <c r="S6205" t="s">
        <v>37595</v>
      </c>
      <c r="T6205">
        <v>25</v>
      </c>
      <c r="W6205" t="s">
        <v>84</v>
      </c>
      <c r="X6205">
        <v>821003</v>
      </c>
      <c r="Y6205" s="2" t="s">
        <v>37596</v>
      </c>
      <c r="Z6205" s="2" t="s">
        <v>32801</v>
      </c>
      <c r="AA6205" t="s">
        <v>23660</v>
      </c>
      <c r="AB6205" t="s">
        <v>37597</v>
      </c>
      <c r="AC6205" t="s">
        <v>37598</v>
      </c>
      <c r="AG6205" t="s">
        <v>37599</v>
      </c>
      <c r="AH6205" t="s">
        <v>37600</v>
      </c>
      <c r="AI6205" t="s">
        <v>37601</v>
      </c>
    </row>
    <row r="6206" spans="2:35" ht="405">
      <c r="B6206" s="1">
        <v>45225</v>
      </c>
      <c r="C6206" s="4">
        <v>45225.470833333333</v>
      </c>
      <c r="D6206" t="s">
        <v>25498</v>
      </c>
      <c r="E6206" t="s">
        <v>30137</v>
      </c>
      <c r="F6206">
        <v>3</v>
      </c>
      <c r="G6206" t="s">
        <v>134</v>
      </c>
      <c r="H6206" t="s">
        <v>39</v>
      </c>
      <c r="I6206" t="s">
        <v>40</v>
      </c>
      <c r="J6206" s="2" t="s">
        <v>190</v>
      </c>
      <c r="K6206" t="s">
        <v>42</v>
      </c>
      <c r="L6206" t="s">
        <v>135</v>
      </c>
      <c r="Q6206">
        <v>26347</v>
      </c>
      <c r="R6206" t="s">
        <v>45</v>
      </c>
      <c r="S6206" t="s">
        <v>25500</v>
      </c>
      <c r="T6206">
        <v>26</v>
      </c>
      <c r="U6206" s="2" t="s">
        <v>37602</v>
      </c>
      <c r="W6206" t="s">
        <v>2680</v>
      </c>
      <c r="X6206">
        <v>807564</v>
      </c>
      <c r="Y6206" s="2" t="s">
        <v>37603</v>
      </c>
      <c r="Z6206" s="2" t="s">
        <v>29848</v>
      </c>
      <c r="AA6206" s="2" t="s">
        <v>37604</v>
      </c>
      <c r="AB6206" t="s">
        <v>181</v>
      </c>
      <c r="AC6206" t="s">
        <v>37605</v>
      </c>
      <c r="AG6206" t="s">
        <v>37606</v>
      </c>
      <c r="AH6206" t="s">
        <v>25505</v>
      </c>
      <c r="AI6206" t="s">
        <v>37607</v>
      </c>
    </row>
    <row r="6207" spans="2:35" ht="225">
      <c r="B6207" s="1">
        <v>45225</v>
      </c>
      <c r="C6207" s="4">
        <v>45225.476388888892</v>
      </c>
      <c r="D6207" t="s">
        <v>16538</v>
      </c>
      <c r="E6207" t="s">
        <v>16539</v>
      </c>
      <c r="F6207">
        <v>7</v>
      </c>
      <c r="G6207" t="s">
        <v>432</v>
      </c>
      <c r="H6207" t="s">
        <v>2290</v>
      </c>
      <c r="I6207" t="s">
        <v>40</v>
      </c>
      <c r="J6207" t="s">
        <v>109</v>
      </c>
      <c r="K6207" t="s">
        <v>42</v>
      </c>
      <c r="L6207" t="s">
        <v>610</v>
      </c>
      <c r="Q6207">
        <v>26346</v>
      </c>
      <c r="R6207" t="s">
        <v>119</v>
      </c>
      <c r="S6207" t="s">
        <v>29872</v>
      </c>
      <c r="T6207">
        <v>28</v>
      </c>
      <c r="U6207" s="2" t="s">
        <v>37608</v>
      </c>
      <c r="W6207" t="s">
        <v>502</v>
      </c>
      <c r="X6207">
        <v>838283</v>
      </c>
      <c r="Y6207" t="s">
        <v>37609</v>
      </c>
      <c r="Z6207" s="2" t="s">
        <v>37610</v>
      </c>
      <c r="AA6207" s="2" t="s">
        <v>37611</v>
      </c>
      <c r="AB6207" t="s">
        <v>17475</v>
      </c>
      <c r="AG6207" t="s">
        <v>37612</v>
      </c>
      <c r="AH6207" t="s">
        <v>37613</v>
      </c>
      <c r="AI6207" t="s">
        <v>37614</v>
      </c>
    </row>
    <row r="6208" spans="2:35" ht="150">
      <c r="B6208" s="1">
        <v>45225</v>
      </c>
      <c r="C6208" s="4">
        <v>45225.411111111112</v>
      </c>
      <c r="D6208" t="s">
        <v>28711</v>
      </c>
      <c r="E6208" t="s">
        <v>37615</v>
      </c>
      <c r="F6208" t="s">
        <v>37</v>
      </c>
      <c r="G6208" t="s">
        <v>38</v>
      </c>
      <c r="H6208" t="s">
        <v>39</v>
      </c>
      <c r="I6208" t="s">
        <v>40</v>
      </c>
      <c r="J6208" s="2" t="s">
        <v>62</v>
      </c>
      <c r="K6208" t="s">
        <v>42</v>
      </c>
      <c r="L6208" t="s">
        <v>43</v>
      </c>
      <c r="Q6208">
        <v>26345</v>
      </c>
      <c r="R6208" t="s">
        <v>119</v>
      </c>
      <c r="S6208" t="s">
        <v>37616</v>
      </c>
      <c r="T6208">
        <v>25</v>
      </c>
      <c r="U6208" s="2" t="s">
        <v>37617</v>
      </c>
      <c r="W6208" t="s">
        <v>48</v>
      </c>
      <c r="X6208">
        <v>831896</v>
      </c>
      <c r="Y6208" t="s">
        <v>1111</v>
      </c>
      <c r="Z6208" t="s">
        <v>1519</v>
      </c>
      <c r="AA6208" s="2" t="s">
        <v>37058</v>
      </c>
      <c r="AB6208" t="s">
        <v>16412</v>
      </c>
      <c r="AG6208" t="s">
        <v>37618</v>
      </c>
      <c r="AH6208" t="s">
        <v>37619</v>
      </c>
      <c r="AI6208" t="s">
        <v>37620</v>
      </c>
    </row>
    <row r="6209" spans="2:35" ht="105">
      <c r="B6209" s="1">
        <v>45225</v>
      </c>
      <c r="C6209" s="4">
        <v>45224.356249999997</v>
      </c>
      <c r="D6209" t="s">
        <v>4511</v>
      </c>
      <c r="E6209" t="s">
        <v>4512</v>
      </c>
      <c r="F6209">
        <v>1</v>
      </c>
      <c r="G6209" t="s">
        <v>1046</v>
      </c>
      <c r="H6209" t="s">
        <v>1047</v>
      </c>
      <c r="I6209" t="s">
        <v>40</v>
      </c>
      <c r="J6209" s="2" t="s">
        <v>190</v>
      </c>
      <c r="K6209" t="s">
        <v>42</v>
      </c>
      <c r="L6209" t="s">
        <v>1048</v>
      </c>
      <c r="Q6209">
        <v>26344</v>
      </c>
      <c r="R6209" t="s">
        <v>119</v>
      </c>
      <c r="S6209" t="s">
        <v>4513</v>
      </c>
      <c r="T6209">
        <v>27</v>
      </c>
      <c r="U6209" s="2" t="s">
        <v>7334</v>
      </c>
      <c r="W6209" t="s">
        <v>360</v>
      </c>
      <c r="X6209">
        <v>838288</v>
      </c>
      <c r="Y6209" t="s">
        <v>37621</v>
      </c>
      <c r="Z6209" t="e">
        <f ca="1">- cleaned cartridge Bays, plunger Rods _xludf.and I-CORE
- performed ReXpertCheck
- generated reports</f>
        <v>#NAME?</v>
      </c>
      <c r="AA6209" t="s">
        <v>37622</v>
      </c>
      <c r="AB6209" t="s">
        <v>70</v>
      </c>
      <c r="AC6209" t="s">
        <v>37623</v>
      </c>
      <c r="AG6209" t="s">
        <v>37624</v>
      </c>
      <c r="AH6209" t="s">
        <v>33717</v>
      </c>
      <c r="AI6209" t="s">
        <v>37625</v>
      </c>
    </row>
    <row r="6210" spans="2:35" ht="105">
      <c r="B6210" s="1">
        <v>45225</v>
      </c>
      <c r="C6210" s="4">
        <v>45224.408333333333</v>
      </c>
      <c r="D6210" t="s">
        <v>1432</v>
      </c>
      <c r="E6210" t="s">
        <v>10452</v>
      </c>
      <c r="F6210">
        <v>1</v>
      </c>
      <c r="G6210" t="s">
        <v>1046</v>
      </c>
      <c r="H6210" t="s">
        <v>1047</v>
      </c>
      <c r="I6210" t="s">
        <v>40</v>
      </c>
      <c r="J6210" s="2" t="s">
        <v>190</v>
      </c>
      <c r="K6210" t="s">
        <v>42</v>
      </c>
      <c r="L6210" t="s">
        <v>1048</v>
      </c>
      <c r="Q6210">
        <v>26343</v>
      </c>
      <c r="R6210" t="s">
        <v>119</v>
      </c>
      <c r="S6210" t="s">
        <v>37626</v>
      </c>
      <c r="T6210">
        <v>30</v>
      </c>
      <c r="U6210" s="2" t="s">
        <v>16338</v>
      </c>
      <c r="W6210" t="s">
        <v>360</v>
      </c>
      <c r="X6210">
        <v>838518</v>
      </c>
      <c r="Y6210" t="s">
        <v>35741</v>
      </c>
      <c r="Z6210" t="e">
        <f ca="1">- cleaned cartridge Bays, plunger Rods _xludf.and I-CORE
- Reseat RAM module _xludf.and BIOS battery
- generated reports</f>
        <v>#NAME?</v>
      </c>
      <c r="AA6210" t="s">
        <v>1935</v>
      </c>
      <c r="AB6210" t="s">
        <v>181</v>
      </c>
      <c r="AC6210" t="s">
        <v>656</v>
      </c>
      <c r="AG6210" t="s">
        <v>37627</v>
      </c>
      <c r="AH6210" t="s">
        <v>37628</v>
      </c>
      <c r="AI6210" t="s">
        <v>37629</v>
      </c>
    </row>
    <row r="6211" spans="2:35" ht="105">
      <c r="B6211" s="1">
        <v>45224</v>
      </c>
      <c r="C6211" s="4">
        <v>45224.809027777781</v>
      </c>
      <c r="D6211" t="s">
        <v>18752</v>
      </c>
      <c r="E6211" t="s">
        <v>4247</v>
      </c>
      <c r="F6211">
        <v>7</v>
      </c>
      <c r="G6211" t="s">
        <v>432</v>
      </c>
      <c r="H6211" t="s">
        <v>608</v>
      </c>
      <c r="I6211" t="s">
        <v>94</v>
      </c>
      <c r="J6211" t="s">
        <v>79</v>
      </c>
      <c r="K6211" t="s">
        <v>42</v>
      </c>
      <c r="L6211" t="s">
        <v>610</v>
      </c>
      <c r="Q6211">
        <v>26342</v>
      </c>
      <c r="R6211" t="s">
        <v>45</v>
      </c>
      <c r="S6211" t="s">
        <v>37630</v>
      </c>
      <c r="T6211">
        <v>19</v>
      </c>
      <c r="U6211" s="2" t="s">
        <v>37631</v>
      </c>
      <c r="W6211" t="s">
        <v>360</v>
      </c>
      <c r="X6211">
        <v>815485</v>
      </c>
      <c r="Y6211" t="s">
        <v>37632</v>
      </c>
      <c r="Z6211" t="s">
        <v>37633</v>
      </c>
      <c r="AA6211" t="s">
        <v>37634</v>
      </c>
      <c r="AB6211" t="s">
        <v>34174</v>
      </c>
      <c r="AG6211" t="s">
        <v>37635</v>
      </c>
      <c r="AH6211" t="s">
        <v>37636</v>
      </c>
      <c r="AI6211" t="s">
        <v>37637</v>
      </c>
    </row>
    <row r="6212" spans="2:35" ht="105">
      <c r="B6212" s="1">
        <v>45224</v>
      </c>
      <c r="C6212" s="4">
        <v>45224.623611111114</v>
      </c>
      <c r="D6212" t="s">
        <v>22944</v>
      </c>
      <c r="E6212" t="s">
        <v>22945</v>
      </c>
      <c r="F6212" t="s">
        <v>148</v>
      </c>
      <c r="G6212" t="s">
        <v>22765</v>
      </c>
      <c r="H6212" t="s">
        <v>39</v>
      </c>
      <c r="I6212" t="s">
        <v>40</v>
      </c>
      <c r="J6212" t="s">
        <v>79</v>
      </c>
      <c r="K6212" t="s">
        <v>42</v>
      </c>
      <c r="L6212" t="s">
        <v>175</v>
      </c>
      <c r="Q6212">
        <v>26341</v>
      </c>
      <c r="R6212" t="s">
        <v>45</v>
      </c>
      <c r="S6212" t="s">
        <v>22946</v>
      </c>
      <c r="T6212">
        <v>25</v>
      </c>
      <c r="U6212" s="2" t="s">
        <v>2367</v>
      </c>
      <c r="V6212" s="1">
        <v>45224</v>
      </c>
      <c r="W6212" t="s">
        <v>84</v>
      </c>
      <c r="X6212">
        <v>838880</v>
      </c>
      <c r="Y6212" t="s">
        <v>37638</v>
      </c>
      <c r="Z6212" t="e">
        <f ca="1">- replaced modules
- checked cartridge bay, plunger rod, _xludf.filter
- generated reports</f>
        <v>#NAME?</v>
      </c>
      <c r="AA6212" t="s">
        <v>240</v>
      </c>
      <c r="AB6212" t="s">
        <v>88</v>
      </c>
      <c r="AD6212" s="2" t="s">
        <v>37639</v>
      </c>
      <c r="AE6212" t="s">
        <v>103</v>
      </c>
      <c r="AG6212" t="s">
        <v>37640</v>
      </c>
      <c r="AH6212" t="s">
        <v>33047</v>
      </c>
      <c r="AI6212" t="s">
        <v>37641</v>
      </c>
    </row>
    <row r="6213" spans="2:35" ht="285">
      <c r="B6213" s="1">
        <v>45224</v>
      </c>
      <c r="C6213" s="4">
        <v>45224.614583333336</v>
      </c>
      <c r="D6213" t="s">
        <v>3030</v>
      </c>
      <c r="E6213" t="s">
        <v>33344</v>
      </c>
      <c r="F6213" t="s">
        <v>37</v>
      </c>
      <c r="G6213" t="s">
        <v>38</v>
      </c>
      <c r="H6213" t="s">
        <v>39</v>
      </c>
      <c r="I6213" t="s">
        <v>40</v>
      </c>
      <c r="J6213" s="2" t="s">
        <v>41</v>
      </c>
      <c r="K6213" t="s">
        <v>42</v>
      </c>
      <c r="L6213" t="s">
        <v>43</v>
      </c>
      <c r="Q6213">
        <v>26340</v>
      </c>
      <c r="R6213" t="s">
        <v>45</v>
      </c>
      <c r="S6213" t="s">
        <v>37642</v>
      </c>
      <c r="T6213">
        <v>25</v>
      </c>
      <c r="U6213" s="2" t="s">
        <v>37643</v>
      </c>
      <c r="V6213" s="1">
        <v>45222</v>
      </c>
      <c r="W6213" t="s">
        <v>3178</v>
      </c>
      <c r="X6213">
        <v>842226</v>
      </c>
      <c r="Y6213" t="s">
        <v>570</v>
      </c>
      <c r="Z6213" t="s">
        <v>571</v>
      </c>
      <c r="AA6213" s="2" t="s">
        <v>33954</v>
      </c>
      <c r="AB6213" t="s">
        <v>16412</v>
      </c>
      <c r="AD6213" s="2" t="s">
        <v>37644</v>
      </c>
      <c r="AE6213" t="s">
        <v>37645</v>
      </c>
      <c r="AG6213" t="s">
        <v>37646</v>
      </c>
      <c r="AH6213" t="s">
        <v>34907</v>
      </c>
      <c r="AI6213" t="s">
        <v>37647</v>
      </c>
    </row>
    <row r="6214" spans="2:35" ht="409.5">
      <c r="B6214" s="1">
        <v>45224</v>
      </c>
      <c r="C6214" s="4">
        <v>45224.581944444442</v>
      </c>
      <c r="D6214" t="s">
        <v>23894</v>
      </c>
      <c r="E6214" t="s">
        <v>37648</v>
      </c>
      <c r="F6214">
        <v>11</v>
      </c>
      <c r="G6214" t="s">
        <v>1205</v>
      </c>
      <c r="H6214" t="s">
        <v>202</v>
      </c>
      <c r="I6214" t="s">
        <v>40</v>
      </c>
      <c r="J6214" s="2" t="s">
        <v>41</v>
      </c>
      <c r="K6214" t="s">
        <v>42</v>
      </c>
      <c r="L6214" t="s">
        <v>204</v>
      </c>
      <c r="Q6214">
        <v>26339</v>
      </c>
      <c r="R6214" t="s">
        <v>45</v>
      </c>
      <c r="S6214" t="s">
        <v>22411</v>
      </c>
      <c r="T6214">
        <v>22.5</v>
      </c>
      <c r="U6214" s="2" t="s">
        <v>37649</v>
      </c>
      <c r="W6214" t="s">
        <v>23237</v>
      </c>
      <c r="X6214">
        <v>804835</v>
      </c>
      <c r="Y6214" t="s">
        <v>34878</v>
      </c>
      <c r="Z6214" s="2" t="s">
        <v>37650</v>
      </c>
      <c r="AA6214" t="s">
        <v>12182</v>
      </c>
      <c r="AB6214" t="s">
        <v>19893</v>
      </c>
      <c r="AC6214" t="s">
        <v>37651</v>
      </c>
      <c r="AG6214" t="s">
        <v>37652</v>
      </c>
      <c r="AH6214" t="s">
        <v>37653</v>
      </c>
      <c r="AI6214" t="s">
        <v>37654</v>
      </c>
    </row>
    <row r="6215" spans="2:35" ht="300">
      <c r="B6215" s="1">
        <v>45224</v>
      </c>
      <c r="C6215" s="4">
        <v>45224.565972222219</v>
      </c>
      <c r="D6215" t="s">
        <v>3794</v>
      </c>
      <c r="E6215" t="s">
        <v>37655</v>
      </c>
      <c r="F6215">
        <v>6</v>
      </c>
      <c r="G6215" t="s">
        <v>1234</v>
      </c>
      <c r="H6215" t="s">
        <v>39</v>
      </c>
      <c r="I6215" t="s">
        <v>94</v>
      </c>
      <c r="J6215" s="2" t="s">
        <v>41</v>
      </c>
      <c r="K6215" t="s">
        <v>42</v>
      </c>
      <c r="L6215" t="s">
        <v>23958</v>
      </c>
      <c r="Q6215">
        <v>26338</v>
      </c>
      <c r="R6215" t="s">
        <v>719</v>
      </c>
      <c r="S6215" t="s">
        <v>1235</v>
      </c>
      <c r="T6215">
        <v>24</v>
      </c>
      <c r="U6215" s="2" t="s">
        <v>37656</v>
      </c>
      <c r="W6215" t="s">
        <v>3662</v>
      </c>
      <c r="X6215">
        <v>847255</v>
      </c>
      <c r="Y6215" t="s">
        <v>37657</v>
      </c>
      <c r="Z6215" t="e">
        <f ca="1">- performed optics Cleaning, module bay Cleaning, _xludf.filter Cleaning, ARCHIVE tests, Backup.</f>
        <v>#NAME?</v>
      </c>
      <c r="AA6215" s="2" t="s">
        <v>37658</v>
      </c>
      <c r="AB6215" t="s">
        <v>37589</v>
      </c>
      <c r="AG6215" t="s">
        <v>37659</v>
      </c>
      <c r="AH6215" t="s">
        <v>37660</v>
      </c>
      <c r="AI6215" t="s">
        <v>37661</v>
      </c>
    </row>
    <row r="6216" spans="2:35" ht="180">
      <c r="B6216" s="1">
        <v>45224</v>
      </c>
      <c r="C6216" s="4">
        <v>45224.501388888886</v>
      </c>
      <c r="D6216" t="s">
        <v>4379</v>
      </c>
      <c r="E6216" t="s">
        <v>4380</v>
      </c>
      <c r="F6216" t="s">
        <v>148</v>
      </c>
      <c r="G6216" t="s">
        <v>785</v>
      </c>
      <c r="H6216" t="s">
        <v>513</v>
      </c>
      <c r="I6216" t="s">
        <v>40</v>
      </c>
      <c r="J6216" t="s">
        <v>109</v>
      </c>
      <c r="K6216" t="s">
        <v>387</v>
      </c>
      <c r="L6216" t="s">
        <v>15532</v>
      </c>
      <c r="Q6216">
        <v>26337</v>
      </c>
      <c r="R6216" t="s">
        <v>95</v>
      </c>
      <c r="S6216" t="s">
        <v>4389</v>
      </c>
      <c r="T6216">
        <v>25</v>
      </c>
      <c r="W6216" t="s">
        <v>390</v>
      </c>
      <c r="X6216" t="s">
        <v>4390</v>
      </c>
      <c r="Y6216" t="s">
        <v>37662</v>
      </c>
      <c r="Z6216" s="2" t="s">
        <v>37663</v>
      </c>
      <c r="AA6216" t="s">
        <v>16055</v>
      </c>
      <c r="AB6216" t="s">
        <v>7445</v>
      </c>
      <c r="AC6216" t="s">
        <v>37664</v>
      </c>
      <c r="AG6216" t="s">
        <v>37665</v>
      </c>
      <c r="AH6216" t="s">
        <v>28734</v>
      </c>
      <c r="AI6216" t="s">
        <v>37666</v>
      </c>
    </row>
    <row r="6217" spans="2:35" ht="60">
      <c r="B6217" s="1">
        <v>45224</v>
      </c>
      <c r="C6217" s="4">
        <v>45224.479166666664</v>
      </c>
      <c r="D6217" t="s">
        <v>35685</v>
      </c>
      <c r="E6217" t="s">
        <v>37667</v>
      </c>
      <c r="F6217" t="s">
        <v>1255</v>
      </c>
      <c r="G6217" t="s">
        <v>3346</v>
      </c>
      <c r="H6217" t="s">
        <v>39</v>
      </c>
      <c r="I6217" t="s">
        <v>40</v>
      </c>
      <c r="J6217" s="2" t="s">
        <v>62</v>
      </c>
      <c r="K6217" t="s">
        <v>42</v>
      </c>
      <c r="L6217" t="s">
        <v>1257</v>
      </c>
      <c r="Q6217">
        <v>26336</v>
      </c>
      <c r="R6217" t="s">
        <v>45</v>
      </c>
      <c r="S6217" t="s">
        <v>35687</v>
      </c>
      <c r="T6217">
        <v>29</v>
      </c>
      <c r="V6217" s="1">
        <v>45224</v>
      </c>
      <c r="W6217" t="s">
        <v>2384</v>
      </c>
      <c r="X6217">
        <v>812773</v>
      </c>
      <c r="Y6217" t="s">
        <v>30734</v>
      </c>
      <c r="Z6217" t="s">
        <v>15263</v>
      </c>
      <c r="AA6217" t="s">
        <v>15263</v>
      </c>
      <c r="AB6217" t="s">
        <v>37668</v>
      </c>
      <c r="AC6217" t="s">
        <v>301</v>
      </c>
      <c r="AD6217" t="s">
        <v>54</v>
      </c>
      <c r="AE6217" t="s">
        <v>54</v>
      </c>
      <c r="AG6217" t="s">
        <v>37669</v>
      </c>
      <c r="AH6217" t="s">
        <v>35690</v>
      </c>
      <c r="AI6217" t="s">
        <v>37670</v>
      </c>
    </row>
    <row r="6218" spans="2:35" ht="165">
      <c r="B6218" s="1">
        <v>45224</v>
      </c>
      <c r="C6218" s="4">
        <v>45224.384027777778</v>
      </c>
      <c r="D6218" t="s">
        <v>37671</v>
      </c>
      <c r="E6218" t="s">
        <v>34702</v>
      </c>
      <c r="F6218">
        <v>3</v>
      </c>
      <c r="G6218" t="s">
        <v>1722</v>
      </c>
      <c r="H6218" t="s">
        <v>39</v>
      </c>
      <c r="I6218" t="s">
        <v>40</v>
      </c>
      <c r="J6218" t="s">
        <v>109</v>
      </c>
      <c r="K6218" t="s">
        <v>42</v>
      </c>
      <c r="L6218" t="s">
        <v>63</v>
      </c>
      <c r="Q6218">
        <v>26335</v>
      </c>
      <c r="R6218" t="s">
        <v>119</v>
      </c>
      <c r="S6218" t="s">
        <v>29077</v>
      </c>
      <c r="T6218">
        <v>27</v>
      </c>
      <c r="V6218" s="1">
        <v>45224</v>
      </c>
      <c r="W6218" t="s">
        <v>26915</v>
      </c>
      <c r="X6218">
        <v>831582</v>
      </c>
      <c r="Y6218" t="s">
        <v>1716</v>
      </c>
      <c r="Z6218" t="s">
        <v>1716</v>
      </c>
      <c r="AA6218" s="2" t="s">
        <v>1727</v>
      </c>
      <c r="AB6218" t="s">
        <v>70</v>
      </c>
      <c r="AC6218" t="s">
        <v>1716</v>
      </c>
      <c r="AD6218" t="s">
        <v>1716</v>
      </c>
      <c r="AE6218" t="s">
        <v>1716</v>
      </c>
      <c r="AG6218" t="s">
        <v>37672</v>
      </c>
      <c r="AH6218" t="s">
        <v>32980</v>
      </c>
      <c r="AI6218" t="s">
        <v>37673</v>
      </c>
    </row>
    <row r="6219" spans="2:35" ht="150">
      <c r="B6219" s="1">
        <v>45224</v>
      </c>
      <c r="C6219" s="4">
        <v>45224.466666666667</v>
      </c>
      <c r="D6219" t="s">
        <v>4379</v>
      </c>
      <c r="E6219" t="s">
        <v>18288</v>
      </c>
      <c r="F6219" t="s">
        <v>148</v>
      </c>
      <c r="G6219" t="s">
        <v>785</v>
      </c>
      <c r="H6219" t="s">
        <v>39</v>
      </c>
      <c r="I6219" t="s">
        <v>40</v>
      </c>
      <c r="J6219" s="2" t="s">
        <v>41</v>
      </c>
      <c r="K6219" t="s">
        <v>42</v>
      </c>
      <c r="L6219" t="s">
        <v>43</v>
      </c>
      <c r="Q6219">
        <v>26334</v>
      </c>
      <c r="R6219" t="s">
        <v>45</v>
      </c>
      <c r="S6219" t="s">
        <v>4382</v>
      </c>
      <c r="T6219">
        <v>25</v>
      </c>
      <c r="V6219" s="1">
        <v>45222</v>
      </c>
      <c r="W6219" t="s">
        <v>48</v>
      </c>
      <c r="X6219">
        <v>814374</v>
      </c>
      <c r="Y6219" t="s">
        <v>2034</v>
      </c>
      <c r="Z6219" t="s">
        <v>712</v>
      </c>
      <c r="AA6219" s="2" t="s">
        <v>34607</v>
      </c>
      <c r="AB6219" t="s">
        <v>16412</v>
      </c>
      <c r="AD6219" s="2" t="s">
        <v>37674</v>
      </c>
      <c r="AE6219" t="s">
        <v>37675</v>
      </c>
      <c r="AG6219" t="s">
        <v>37676</v>
      </c>
      <c r="AH6219" t="s">
        <v>37677</v>
      </c>
      <c r="AI6219" t="s">
        <v>37678</v>
      </c>
    </row>
    <row r="6220" spans="2:35" ht="225">
      <c r="B6220" s="1">
        <v>45223</v>
      </c>
      <c r="C6220" s="4">
        <v>45223.672222222223</v>
      </c>
      <c r="D6220" t="s">
        <v>32053</v>
      </c>
      <c r="E6220" t="s">
        <v>37133</v>
      </c>
      <c r="F6220" t="s">
        <v>148</v>
      </c>
      <c r="G6220" t="s">
        <v>32055</v>
      </c>
      <c r="H6220" t="s">
        <v>39</v>
      </c>
      <c r="I6220" t="s">
        <v>40</v>
      </c>
      <c r="J6220" s="2" t="s">
        <v>41</v>
      </c>
      <c r="K6220" t="s">
        <v>42</v>
      </c>
      <c r="L6220" t="s">
        <v>43</v>
      </c>
      <c r="Q6220">
        <v>26333</v>
      </c>
      <c r="R6220" t="s">
        <v>45</v>
      </c>
      <c r="S6220" t="s">
        <v>32056</v>
      </c>
      <c r="T6220">
        <v>24</v>
      </c>
      <c r="U6220" s="2" t="s">
        <v>20819</v>
      </c>
      <c r="V6220" s="1">
        <v>45222</v>
      </c>
      <c r="W6220" t="s">
        <v>48</v>
      </c>
      <c r="X6220">
        <v>804254</v>
      </c>
      <c r="Y6220" t="s">
        <v>37679</v>
      </c>
      <c r="Z6220" t="s">
        <v>25549</v>
      </c>
      <c r="AA6220" s="2" t="s">
        <v>37680</v>
      </c>
      <c r="AB6220" t="s">
        <v>37681</v>
      </c>
      <c r="AC6220" t="s">
        <v>37682</v>
      </c>
      <c r="AD6220" s="2" t="s">
        <v>37683</v>
      </c>
      <c r="AE6220" t="s">
        <v>37684</v>
      </c>
      <c r="AG6220" t="s">
        <v>37685</v>
      </c>
      <c r="AH6220" t="s">
        <v>37686</v>
      </c>
      <c r="AI6220" t="s">
        <v>37687</v>
      </c>
    </row>
    <row r="6221" spans="2:35" ht="165">
      <c r="B6221" s="1">
        <v>45223</v>
      </c>
      <c r="C6221" s="4">
        <v>45223.643055555556</v>
      </c>
      <c r="D6221" t="s">
        <v>35459</v>
      </c>
      <c r="E6221" t="s">
        <v>37688</v>
      </c>
      <c r="F6221">
        <v>3</v>
      </c>
      <c r="G6221" t="s">
        <v>1722</v>
      </c>
      <c r="H6221" t="s">
        <v>39</v>
      </c>
      <c r="I6221" t="s">
        <v>40</v>
      </c>
      <c r="J6221" s="2" t="s">
        <v>41</v>
      </c>
      <c r="K6221" t="s">
        <v>42</v>
      </c>
      <c r="L6221" t="s">
        <v>63</v>
      </c>
      <c r="Q6221">
        <v>26332</v>
      </c>
      <c r="R6221" t="s">
        <v>119</v>
      </c>
      <c r="S6221" t="s">
        <v>35461</v>
      </c>
      <c r="T6221">
        <v>19</v>
      </c>
      <c r="V6221" s="1">
        <v>45223</v>
      </c>
      <c r="W6221" t="s">
        <v>26915</v>
      </c>
      <c r="X6221">
        <v>831673</v>
      </c>
      <c r="Y6221" t="s">
        <v>37689</v>
      </c>
      <c r="Z6221" t="s">
        <v>37690</v>
      </c>
      <c r="AA6221" s="2" t="s">
        <v>1727</v>
      </c>
      <c r="AB6221" t="s">
        <v>70</v>
      </c>
      <c r="AC6221" t="s">
        <v>1716</v>
      </c>
      <c r="AD6221" t="s">
        <v>37691</v>
      </c>
      <c r="AE6221" t="s">
        <v>1716</v>
      </c>
      <c r="AG6221" t="s">
        <v>37692</v>
      </c>
      <c r="AH6221" t="s">
        <v>35466</v>
      </c>
      <c r="AI6221" t="s">
        <v>37693</v>
      </c>
    </row>
    <row r="6222" spans="2:35" ht="75">
      <c r="B6222" s="1">
        <v>45223</v>
      </c>
      <c r="C6222" s="4">
        <v>45223.614583333336</v>
      </c>
      <c r="D6222" t="s">
        <v>3139</v>
      </c>
      <c r="E6222" t="s">
        <v>3140</v>
      </c>
      <c r="F6222">
        <v>3</v>
      </c>
      <c r="G6222" t="s">
        <v>174</v>
      </c>
      <c r="H6222" t="s">
        <v>39</v>
      </c>
      <c r="I6222" t="s">
        <v>40</v>
      </c>
      <c r="J6222" t="s">
        <v>109</v>
      </c>
      <c r="K6222" t="s">
        <v>42</v>
      </c>
      <c r="L6222" t="s">
        <v>175</v>
      </c>
      <c r="Q6222">
        <v>26331</v>
      </c>
      <c r="R6222" t="s">
        <v>45</v>
      </c>
      <c r="S6222" t="s">
        <v>14419</v>
      </c>
      <c r="T6222">
        <v>25</v>
      </c>
      <c r="U6222" s="2" t="s">
        <v>2367</v>
      </c>
      <c r="W6222" t="s">
        <v>84</v>
      </c>
      <c r="X6222">
        <v>805112</v>
      </c>
      <c r="Y6222" t="s">
        <v>374</v>
      </c>
      <c r="Z6222" t="e">
        <f ca="1">- imported HBV Assay
- generated reports
- performed archiving</f>
        <v>#NAME?</v>
      </c>
      <c r="AA6222" t="s">
        <v>122</v>
      </c>
      <c r="AB6222" t="s">
        <v>88</v>
      </c>
      <c r="AG6222" t="s">
        <v>37694</v>
      </c>
      <c r="AH6222" t="s">
        <v>23293</v>
      </c>
      <c r="AI6222" t="s">
        <v>37695</v>
      </c>
    </row>
    <row r="6223" spans="2:35" ht="285">
      <c r="B6223" s="1">
        <v>45223</v>
      </c>
      <c r="C6223" s="4">
        <v>45223.606944444444</v>
      </c>
      <c r="D6223" t="s">
        <v>31187</v>
      </c>
      <c r="E6223" t="s">
        <v>37696</v>
      </c>
      <c r="F6223">
        <v>13</v>
      </c>
      <c r="G6223" t="s">
        <v>8524</v>
      </c>
      <c r="H6223" t="s">
        <v>2125</v>
      </c>
      <c r="I6223" t="s">
        <v>40</v>
      </c>
      <c r="J6223" s="2" t="s">
        <v>41</v>
      </c>
      <c r="K6223" t="s">
        <v>42</v>
      </c>
      <c r="L6223" t="s">
        <v>933</v>
      </c>
      <c r="Q6223">
        <v>26330</v>
      </c>
      <c r="R6223" t="s">
        <v>45</v>
      </c>
      <c r="S6223" t="s">
        <v>37697</v>
      </c>
      <c r="T6223">
        <v>27.15</v>
      </c>
      <c r="U6223" s="2" t="s">
        <v>37698</v>
      </c>
      <c r="W6223" t="s">
        <v>3662</v>
      </c>
      <c r="X6223">
        <v>804255</v>
      </c>
      <c r="Y6223" t="s">
        <v>301</v>
      </c>
      <c r="Z6223" t="s">
        <v>301</v>
      </c>
      <c r="AA6223" s="2" t="s">
        <v>37699</v>
      </c>
      <c r="AB6223" t="s">
        <v>13650</v>
      </c>
      <c r="AG6223" t="s">
        <v>37700</v>
      </c>
      <c r="AH6223" t="s">
        <v>37701</v>
      </c>
      <c r="AI6223" t="s">
        <v>37702</v>
      </c>
    </row>
    <row r="6224" spans="2:35" ht="105">
      <c r="B6224" s="1">
        <v>45223</v>
      </c>
      <c r="C6224" s="4">
        <v>45223.597916666666</v>
      </c>
      <c r="D6224" t="s">
        <v>37703</v>
      </c>
      <c r="E6224" t="s">
        <v>37704</v>
      </c>
      <c r="F6224">
        <v>9</v>
      </c>
      <c r="G6224" t="s">
        <v>17856</v>
      </c>
      <c r="H6224" t="s">
        <v>39</v>
      </c>
      <c r="I6224" t="s">
        <v>40</v>
      </c>
      <c r="J6224" s="2" t="s">
        <v>62</v>
      </c>
      <c r="K6224" t="s">
        <v>42</v>
      </c>
      <c r="L6224" t="s">
        <v>1257</v>
      </c>
      <c r="Q6224">
        <v>26329</v>
      </c>
      <c r="R6224" t="s">
        <v>119</v>
      </c>
      <c r="S6224" t="s">
        <v>11609</v>
      </c>
      <c r="T6224">
        <v>28</v>
      </c>
      <c r="U6224" s="2" t="s">
        <v>37705</v>
      </c>
      <c r="V6224" s="1">
        <v>45141</v>
      </c>
      <c r="W6224" t="s">
        <v>2384</v>
      </c>
      <c r="X6224">
        <v>838832</v>
      </c>
      <c r="Y6224" t="s">
        <v>301</v>
      </c>
      <c r="Z6224" t="s">
        <v>37706</v>
      </c>
      <c r="AA6224" t="s">
        <v>37707</v>
      </c>
      <c r="AB6224" t="s">
        <v>37708</v>
      </c>
      <c r="AC6224" t="s">
        <v>301</v>
      </c>
      <c r="AD6224" t="s">
        <v>5255</v>
      </c>
      <c r="AE6224">
        <v>10459</v>
      </c>
      <c r="AG6224" t="s">
        <v>37709</v>
      </c>
      <c r="AH6224" t="s">
        <v>11338</v>
      </c>
      <c r="AI6224" t="s">
        <v>37710</v>
      </c>
    </row>
    <row r="6225" spans="2:35" ht="210">
      <c r="B6225" s="1">
        <v>45223</v>
      </c>
      <c r="C6225" s="4">
        <v>45223.588194444441</v>
      </c>
      <c r="D6225" t="s">
        <v>3139</v>
      </c>
      <c r="E6225" t="s">
        <v>3140</v>
      </c>
      <c r="F6225">
        <v>3</v>
      </c>
      <c r="G6225" t="s">
        <v>174</v>
      </c>
      <c r="H6225" t="s">
        <v>61</v>
      </c>
      <c r="I6225" t="s">
        <v>40</v>
      </c>
      <c r="J6225" s="2" t="s">
        <v>760</v>
      </c>
      <c r="K6225" t="s">
        <v>42</v>
      </c>
      <c r="L6225" t="s">
        <v>175</v>
      </c>
      <c r="Q6225">
        <v>26328</v>
      </c>
      <c r="R6225" t="s">
        <v>45</v>
      </c>
      <c r="S6225" t="s">
        <v>18595</v>
      </c>
      <c r="T6225">
        <v>25</v>
      </c>
      <c r="U6225" s="2" t="s">
        <v>24107</v>
      </c>
      <c r="W6225" t="s">
        <v>84</v>
      </c>
      <c r="X6225">
        <v>884623</v>
      </c>
      <c r="Y6225" s="2" t="s">
        <v>37711</v>
      </c>
      <c r="Z6225" t="e">
        <f ca="1">- Reset RAM
- Reset SSD &amp; HDD
- resent internal cables _xludf.and Connections
- removed stuck cartridge</f>
        <v>#NAME?</v>
      </c>
      <c r="AA6225" t="e">
        <f ca="1">- removed stuck cartridge
- performed Troubleshooting on CPU</f>
        <v>#NAME?</v>
      </c>
      <c r="AB6225" s="2" t="s">
        <v>37712</v>
      </c>
      <c r="AG6225" t="s">
        <v>37713</v>
      </c>
      <c r="AH6225" t="s">
        <v>37714</v>
      </c>
      <c r="AI6225" t="s">
        <v>37715</v>
      </c>
    </row>
    <row r="6226" spans="2:35" ht="360">
      <c r="B6226" s="1">
        <v>45223</v>
      </c>
      <c r="C6226" s="4">
        <v>45223.378472222219</v>
      </c>
      <c r="D6226" t="s">
        <v>4561</v>
      </c>
      <c r="E6226" t="s">
        <v>37716</v>
      </c>
      <c r="F6226" t="s">
        <v>148</v>
      </c>
      <c r="G6226" t="s">
        <v>447</v>
      </c>
      <c r="H6226" t="s">
        <v>39</v>
      </c>
      <c r="I6226" t="s">
        <v>40</v>
      </c>
      <c r="J6226" t="s">
        <v>109</v>
      </c>
      <c r="K6226" t="s">
        <v>42</v>
      </c>
      <c r="L6226" t="s">
        <v>15532</v>
      </c>
      <c r="Q6226">
        <v>26327</v>
      </c>
      <c r="R6226" t="s">
        <v>45</v>
      </c>
      <c r="S6226" t="s">
        <v>37717</v>
      </c>
      <c r="T6226">
        <v>29</v>
      </c>
      <c r="W6226" t="s">
        <v>3244</v>
      </c>
      <c r="X6226">
        <v>804688</v>
      </c>
      <c r="Y6226" t="s">
        <v>37718</v>
      </c>
      <c r="Z6226" s="2" t="s">
        <v>37719</v>
      </c>
      <c r="AA6226" t="s">
        <v>16055</v>
      </c>
      <c r="AB6226" s="2" t="s">
        <v>37720</v>
      </c>
      <c r="AG6226" t="s">
        <v>37721</v>
      </c>
      <c r="AH6226" t="s">
        <v>37722</v>
      </c>
      <c r="AI6226" t="s">
        <v>37723</v>
      </c>
    </row>
    <row r="6227" spans="2:35" ht="120">
      <c r="B6227" s="1">
        <v>45223</v>
      </c>
      <c r="C6227" s="4">
        <v>45223.458333333336</v>
      </c>
      <c r="D6227" t="s">
        <v>9772</v>
      </c>
      <c r="E6227" t="s">
        <v>7772</v>
      </c>
      <c r="F6227">
        <v>6</v>
      </c>
      <c r="G6227" t="s">
        <v>1234</v>
      </c>
      <c r="H6227" t="s">
        <v>39</v>
      </c>
      <c r="I6227" t="s">
        <v>40</v>
      </c>
      <c r="J6227" s="2" t="s">
        <v>37724</v>
      </c>
      <c r="K6227" t="s">
        <v>42</v>
      </c>
      <c r="L6227" t="s">
        <v>23958</v>
      </c>
      <c r="Q6227">
        <v>26326</v>
      </c>
      <c r="R6227" t="s">
        <v>322</v>
      </c>
      <c r="S6227" t="s">
        <v>37725</v>
      </c>
      <c r="T6227">
        <v>24</v>
      </c>
      <c r="U6227" s="2" t="s">
        <v>37726</v>
      </c>
      <c r="W6227" t="s">
        <v>3662</v>
      </c>
      <c r="X6227">
        <v>110020743</v>
      </c>
      <c r="Y6227" t="s">
        <v>37727</v>
      </c>
      <c r="Z6227" t="s">
        <v>263</v>
      </c>
      <c r="AA6227" t="e">
        <f ca="1">- transfer GeneXpert Setup to another location.
- Provide access _xludf.For line _xludf.Power source.</f>
        <v>#NAME?</v>
      </c>
      <c r="AB6227" t="s">
        <v>4668</v>
      </c>
      <c r="AG6227" t="s">
        <v>37728</v>
      </c>
      <c r="AH6227" t="s">
        <v>37729</v>
      </c>
      <c r="AI6227" t="s">
        <v>37730</v>
      </c>
    </row>
    <row r="6228" spans="2:35" ht="405">
      <c r="B6228" s="1">
        <v>45223</v>
      </c>
      <c r="C6228" s="4">
        <v>45223.455555555556</v>
      </c>
      <c r="D6228" t="s">
        <v>9302</v>
      </c>
      <c r="E6228" t="s">
        <v>33877</v>
      </c>
      <c r="F6228">
        <v>3</v>
      </c>
      <c r="G6228" t="s">
        <v>730</v>
      </c>
      <c r="H6228" t="s">
        <v>39</v>
      </c>
      <c r="I6228" t="s">
        <v>40</v>
      </c>
      <c r="J6228" s="2" t="s">
        <v>1808</v>
      </c>
      <c r="K6228" t="s">
        <v>42</v>
      </c>
      <c r="L6228" t="s">
        <v>135</v>
      </c>
      <c r="Q6228">
        <v>26325</v>
      </c>
      <c r="R6228" t="s">
        <v>95</v>
      </c>
      <c r="S6228" t="s">
        <v>9303</v>
      </c>
      <c r="T6228">
        <v>24</v>
      </c>
      <c r="U6228" s="2" t="s">
        <v>37731</v>
      </c>
      <c r="W6228" t="s">
        <v>2680</v>
      </c>
      <c r="X6228" t="s">
        <v>37732</v>
      </c>
      <c r="Y6228" t="s">
        <v>28623</v>
      </c>
      <c r="Z6228" s="2" t="s">
        <v>37733</v>
      </c>
      <c r="AA6228" s="2" t="s">
        <v>37734</v>
      </c>
      <c r="AB6228" t="s">
        <v>181</v>
      </c>
      <c r="AC6228" t="s">
        <v>37735</v>
      </c>
      <c r="AG6228" t="s">
        <v>37736</v>
      </c>
      <c r="AH6228" t="s">
        <v>9306</v>
      </c>
      <c r="AI6228" t="s">
        <v>37737</v>
      </c>
    </row>
    <row r="6229" spans="2:35">
      <c r="B6229" s="1">
        <v>45222</v>
      </c>
      <c r="C6229" s="4">
        <v>45222.790277777778</v>
      </c>
      <c r="D6229" t="s">
        <v>12016</v>
      </c>
      <c r="E6229" t="s">
        <v>12017</v>
      </c>
      <c r="F6229">
        <v>7</v>
      </c>
      <c r="G6229" t="s">
        <v>432</v>
      </c>
      <c r="H6229" t="s">
        <v>12018</v>
      </c>
      <c r="I6229" t="s">
        <v>40</v>
      </c>
      <c r="J6229" t="s">
        <v>79</v>
      </c>
      <c r="K6229" t="s">
        <v>387</v>
      </c>
      <c r="L6229" t="s">
        <v>1288</v>
      </c>
      <c r="Q6229">
        <v>26324</v>
      </c>
      <c r="R6229" t="s">
        <v>95</v>
      </c>
      <c r="S6229" t="s">
        <v>37738</v>
      </c>
      <c r="T6229">
        <v>27</v>
      </c>
      <c r="W6229" t="s">
        <v>390</v>
      </c>
      <c r="X6229" t="s">
        <v>1557</v>
      </c>
      <c r="Y6229" t="s">
        <v>37739</v>
      </c>
      <c r="Z6229" t="e">
        <f ca="1">-PERFORM Troubleshooting _xludf.and EQUIPMENT testing</f>
        <v>#NAME?</v>
      </c>
      <c r="AA6229" t="e">
        <f ca="1">-Inspect _xludf.Power OUTLET
-Inspect cable Connections
-_xludf.Replace EQUIPMENT Fuse</f>
        <v>#NAME?</v>
      </c>
      <c r="AB6229" t="e">
        <f ca="1">-EQUIPMENT is operational</f>
        <v>#NAME?</v>
      </c>
      <c r="AG6229" t="s">
        <v>37740</v>
      </c>
      <c r="AH6229" t="s">
        <v>21997</v>
      </c>
      <c r="AI6229" t="s">
        <v>37741</v>
      </c>
    </row>
    <row r="6230" spans="2:35" ht="45">
      <c r="B6230" s="1">
        <v>45222</v>
      </c>
      <c r="C6230" s="4">
        <v>45217.418749999997</v>
      </c>
      <c r="D6230" t="s">
        <v>37742</v>
      </c>
      <c r="E6230" t="s">
        <v>36573</v>
      </c>
      <c r="F6230">
        <v>9</v>
      </c>
      <c r="G6230" t="s">
        <v>2197</v>
      </c>
      <c r="H6230" t="s">
        <v>39</v>
      </c>
      <c r="I6230" t="s">
        <v>40</v>
      </c>
      <c r="J6230" s="2" t="s">
        <v>2170</v>
      </c>
      <c r="K6230" t="s">
        <v>42</v>
      </c>
      <c r="L6230" t="s">
        <v>1257</v>
      </c>
      <c r="Q6230">
        <v>26323</v>
      </c>
      <c r="R6230" t="s">
        <v>45</v>
      </c>
      <c r="S6230" t="s">
        <v>37743</v>
      </c>
      <c r="T6230">
        <v>28</v>
      </c>
      <c r="V6230" s="1">
        <v>45217</v>
      </c>
      <c r="W6230" t="s">
        <v>2384</v>
      </c>
      <c r="X6230">
        <v>815285</v>
      </c>
      <c r="Y6230" t="s">
        <v>37744</v>
      </c>
      <c r="Z6230" t="s">
        <v>37745</v>
      </c>
      <c r="AA6230" t="s">
        <v>37746</v>
      </c>
      <c r="AB6230" t="s">
        <v>37747</v>
      </c>
      <c r="AC6230" t="s">
        <v>301</v>
      </c>
      <c r="AD6230" t="s">
        <v>54</v>
      </c>
      <c r="AE6230" t="s">
        <v>54</v>
      </c>
      <c r="AG6230" t="s">
        <v>37748</v>
      </c>
      <c r="AH6230" t="s">
        <v>37749</v>
      </c>
      <c r="AI6230" t="s">
        <v>37750</v>
      </c>
    </row>
    <row r="6231" spans="2:35" ht="255">
      <c r="B6231" s="1">
        <v>45222</v>
      </c>
      <c r="C6231" s="4">
        <v>45222.595138888886</v>
      </c>
      <c r="D6231" t="s">
        <v>37751</v>
      </c>
      <c r="E6231" t="s">
        <v>11066</v>
      </c>
      <c r="F6231">
        <v>7</v>
      </c>
      <c r="G6231" t="s">
        <v>269</v>
      </c>
      <c r="H6231" t="s">
        <v>258</v>
      </c>
      <c r="I6231" t="s">
        <v>40</v>
      </c>
      <c r="J6231" s="2" t="s">
        <v>1309</v>
      </c>
      <c r="K6231" t="s">
        <v>42</v>
      </c>
      <c r="L6231" t="s">
        <v>270</v>
      </c>
      <c r="Q6231">
        <v>26322</v>
      </c>
      <c r="R6231" t="s">
        <v>119</v>
      </c>
      <c r="S6231" t="s">
        <v>11067</v>
      </c>
      <c r="T6231">
        <v>21</v>
      </c>
      <c r="U6231" s="2" t="s">
        <v>37752</v>
      </c>
      <c r="W6231" t="s">
        <v>3662</v>
      </c>
      <c r="X6231">
        <v>838481</v>
      </c>
      <c r="Y6231" t="s">
        <v>37753</v>
      </c>
      <c r="Z6231" t="e">
        <f ca="1">- cleaned optics, module bay</f>
        <v>#NAME?</v>
      </c>
      <c r="AA6231" t="e">
        <f ca="1">- cleaned module optics, cleaned module bay.
- performed XpertCheck on module B2 only</f>
        <v>#NAME?</v>
      </c>
      <c r="AB6231" s="2" t="s">
        <v>37754</v>
      </c>
      <c r="AG6231" t="s">
        <v>37755</v>
      </c>
      <c r="AH6231" t="s">
        <v>37756</v>
      </c>
      <c r="AI6231" t="s">
        <v>37757</v>
      </c>
    </row>
    <row r="6232" spans="2:35" ht="90">
      <c r="B6232" s="1">
        <v>45222</v>
      </c>
      <c r="C6232" s="4">
        <v>45217.599999999999</v>
      </c>
      <c r="D6232" t="s">
        <v>837</v>
      </c>
      <c r="E6232" t="s">
        <v>27098</v>
      </c>
      <c r="F6232">
        <v>5</v>
      </c>
      <c r="G6232" t="s">
        <v>839</v>
      </c>
      <c r="H6232" t="s">
        <v>513</v>
      </c>
      <c r="I6232" t="s">
        <v>40</v>
      </c>
      <c r="J6232" t="s">
        <v>109</v>
      </c>
      <c r="K6232" t="s">
        <v>387</v>
      </c>
      <c r="L6232" t="s">
        <v>761</v>
      </c>
      <c r="Q6232">
        <v>26321</v>
      </c>
      <c r="R6232" t="s">
        <v>322</v>
      </c>
      <c r="S6232" t="s">
        <v>8249</v>
      </c>
      <c r="T6232">
        <v>25</v>
      </c>
      <c r="W6232" t="s">
        <v>390</v>
      </c>
      <c r="X6232" t="s">
        <v>841</v>
      </c>
      <c r="Y6232" t="s">
        <v>1052</v>
      </c>
      <c r="Z6232" s="2" t="s">
        <v>37758</v>
      </c>
      <c r="AA6232" t="s">
        <v>820</v>
      </c>
      <c r="AB6232" t="s">
        <v>181</v>
      </c>
      <c r="AG6232" t="s">
        <v>37759</v>
      </c>
      <c r="AH6232" t="s">
        <v>27104</v>
      </c>
      <c r="AI6232" t="s">
        <v>37760</v>
      </c>
    </row>
    <row r="6233" spans="2:35" ht="120">
      <c r="B6233" s="1">
        <v>45222</v>
      </c>
      <c r="C6233" s="4">
        <v>45217.598611111112</v>
      </c>
      <c r="D6233" t="s">
        <v>837</v>
      </c>
      <c r="E6233" t="s">
        <v>27098</v>
      </c>
      <c r="F6233">
        <v>5</v>
      </c>
      <c r="G6233" t="s">
        <v>839</v>
      </c>
      <c r="H6233" t="s">
        <v>39</v>
      </c>
      <c r="I6233" t="s">
        <v>40</v>
      </c>
      <c r="J6233" s="2" t="s">
        <v>190</v>
      </c>
      <c r="K6233" t="s">
        <v>387</v>
      </c>
      <c r="L6233" t="s">
        <v>761</v>
      </c>
      <c r="Q6233">
        <v>26320</v>
      </c>
      <c r="R6233" t="s">
        <v>322</v>
      </c>
      <c r="S6233" t="s">
        <v>8249</v>
      </c>
      <c r="T6233">
        <v>25</v>
      </c>
      <c r="W6233" t="s">
        <v>390</v>
      </c>
      <c r="X6233" t="s">
        <v>847</v>
      </c>
      <c r="Y6233" t="s">
        <v>37761</v>
      </c>
      <c r="Z6233" s="2" t="s">
        <v>37762</v>
      </c>
      <c r="AA6233" s="2" t="s">
        <v>37763</v>
      </c>
      <c r="AB6233" t="s">
        <v>181</v>
      </c>
      <c r="AG6233" t="s">
        <v>37764</v>
      </c>
      <c r="AH6233" t="s">
        <v>27104</v>
      </c>
      <c r="AI6233" t="s">
        <v>37765</v>
      </c>
    </row>
    <row r="6234" spans="2:35" ht="75">
      <c r="B6234" s="1">
        <v>45222</v>
      </c>
      <c r="C6234" s="4">
        <v>45217.597222222219</v>
      </c>
      <c r="D6234" t="s">
        <v>837</v>
      </c>
      <c r="E6234" t="s">
        <v>27098</v>
      </c>
      <c r="F6234">
        <v>5</v>
      </c>
      <c r="G6234" t="s">
        <v>839</v>
      </c>
      <c r="H6234" t="s">
        <v>513</v>
      </c>
      <c r="I6234" t="s">
        <v>40</v>
      </c>
      <c r="J6234" s="2" t="s">
        <v>190</v>
      </c>
      <c r="K6234" t="s">
        <v>387</v>
      </c>
      <c r="L6234" t="s">
        <v>761</v>
      </c>
      <c r="Q6234">
        <v>26319</v>
      </c>
      <c r="R6234" t="s">
        <v>322</v>
      </c>
      <c r="S6234" t="s">
        <v>8249</v>
      </c>
      <c r="T6234">
        <v>25</v>
      </c>
      <c r="W6234" t="s">
        <v>390</v>
      </c>
      <c r="X6234" t="s">
        <v>27099</v>
      </c>
      <c r="Y6234" t="s">
        <v>37766</v>
      </c>
      <c r="Z6234" t="s">
        <v>37767</v>
      </c>
      <c r="AA6234" t="s">
        <v>820</v>
      </c>
      <c r="AB6234" t="s">
        <v>70</v>
      </c>
      <c r="AC6234" t="s">
        <v>37768</v>
      </c>
      <c r="AG6234" t="s">
        <v>37769</v>
      </c>
      <c r="AH6234" t="s">
        <v>27104</v>
      </c>
      <c r="AI6234" t="s">
        <v>37770</v>
      </c>
    </row>
    <row r="6235" spans="2:35" ht="270">
      <c r="B6235" s="1">
        <v>45222</v>
      </c>
      <c r="C6235" s="4">
        <v>45217.438888888886</v>
      </c>
      <c r="D6235" t="s">
        <v>837</v>
      </c>
      <c r="E6235" t="s">
        <v>27098</v>
      </c>
      <c r="F6235">
        <v>5</v>
      </c>
      <c r="G6235" t="s">
        <v>839</v>
      </c>
      <c r="H6235" t="s">
        <v>39</v>
      </c>
      <c r="I6235" t="s">
        <v>40</v>
      </c>
      <c r="J6235" t="s">
        <v>109</v>
      </c>
      <c r="K6235" t="s">
        <v>42</v>
      </c>
      <c r="L6235" t="s">
        <v>761</v>
      </c>
      <c r="Q6235">
        <v>26318</v>
      </c>
      <c r="R6235" t="s">
        <v>322</v>
      </c>
      <c r="S6235" t="s">
        <v>37771</v>
      </c>
      <c r="T6235">
        <v>30</v>
      </c>
      <c r="U6235" s="2" t="s">
        <v>37772</v>
      </c>
      <c r="W6235" t="s">
        <v>360</v>
      </c>
      <c r="X6235">
        <v>110008458</v>
      </c>
      <c r="Y6235" t="s">
        <v>37766</v>
      </c>
      <c r="Z6235" s="2" t="s">
        <v>22309</v>
      </c>
      <c r="AA6235" t="s">
        <v>820</v>
      </c>
      <c r="AB6235" t="s">
        <v>181</v>
      </c>
      <c r="AG6235" t="s">
        <v>37773</v>
      </c>
      <c r="AH6235" t="s">
        <v>37774</v>
      </c>
      <c r="AI6235" t="s">
        <v>37775</v>
      </c>
    </row>
    <row r="6236" spans="2:35" ht="409.5">
      <c r="B6236" s="1">
        <v>45222</v>
      </c>
      <c r="C6236" s="4">
        <v>45217.436111111114</v>
      </c>
      <c r="D6236" t="s">
        <v>837</v>
      </c>
      <c r="E6236" t="s">
        <v>27098</v>
      </c>
      <c r="F6236">
        <v>5</v>
      </c>
      <c r="G6236" t="s">
        <v>839</v>
      </c>
      <c r="H6236" t="s">
        <v>39</v>
      </c>
      <c r="I6236" t="s">
        <v>40</v>
      </c>
      <c r="J6236" s="2" t="s">
        <v>190</v>
      </c>
      <c r="K6236" t="s">
        <v>42</v>
      </c>
      <c r="L6236" t="s">
        <v>761</v>
      </c>
      <c r="Q6236">
        <v>26317</v>
      </c>
      <c r="R6236" t="s">
        <v>45</v>
      </c>
      <c r="S6236" t="s">
        <v>37771</v>
      </c>
      <c r="T6236">
        <v>25</v>
      </c>
      <c r="U6236" s="2" t="s">
        <v>37776</v>
      </c>
      <c r="W6236" t="s">
        <v>895</v>
      </c>
      <c r="X6236">
        <v>842225</v>
      </c>
      <c r="Y6236" t="s">
        <v>37777</v>
      </c>
      <c r="Z6236" s="2" t="s">
        <v>37778</v>
      </c>
      <c r="AA6236" s="2" t="s">
        <v>34508</v>
      </c>
      <c r="AB6236" t="s">
        <v>181</v>
      </c>
      <c r="AG6236" t="s">
        <v>37779</v>
      </c>
      <c r="AH6236" t="s">
        <v>37780</v>
      </c>
      <c r="AI6236" t="s">
        <v>37781</v>
      </c>
    </row>
    <row r="6237" spans="2:35" ht="105">
      <c r="B6237" s="1">
        <v>45222</v>
      </c>
      <c r="C6237" s="4">
        <v>45219.490277777775</v>
      </c>
      <c r="D6237" t="s">
        <v>4523</v>
      </c>
      <c r="E6237" t="s">
        <v>14119</v>
      </c>
      <c r="F6237">
        <v>1</v>
      </c>
      <c r="G6237" t="s">
        <v>1046</v>
      </c>
      <c r="H6237" t="s">
        <v>1047</v>
      </c>
      <c r="I6237" t="s">
        <v>40</v>
      </c>
      <c r="J6237" s="2" t="s">
        <v>62</v>
      </c>
      <c r="K6237" t="s">
        <v>42</v>
      </c>
      <c r="L6237" t="s">
        <v>1048</v>
      </c>
      <c r="Q6237">
        <v>26316</v>
      </c>
      <c r="R6237" t="s">
        <v>119</v>
      </c>
      <c r="S6237" t="s">
        <v>37782</v>
      </c>
      <c r="T6237">
        <v>28</v>
      </c>
      <c r="U6237" s="2" t="s">
        <v>37783</v>
      </c>
      <c r="W6237" t="s">
        <v>360</v>
      </c>
      <c r="X6237">
        <v>838286</v>
      </c>
      <c r="Y6237" t="s">
        <v>37621</v>
      </c>
      <c r="Z6237" t="e">
        <f ca="1">- cleaned cartridge Bays, plunger Rods _xludf.and I-CORE
- performed ReXpertCheck
- generated reports</f>
        <v>#NAME?</v>
      </c>
      <c r="AA6237" t="s">
        <v>37622</v>
      </c>
      <c r="AB6237" t="s">
        <v>181</v>
      </c>
      <c r="AC6237" t="s">
        <v>35742</v>
      </c>
      <c r="AG6237" t="s">
        <v>37784</v>
      </c>
      <c r="AH6237" t="s">
        <v>4526</v>
      </c>
      <c r="AI6237" t="s">
        <v>37785</v>
      </c>
    </row>
    <row r="6238" spans="2:35" ht="315">
      <c r="B6238" s="1">
        <v>45222</v>
      </c>
      <c r="C6238" s="4">
        <v>45219.399305555555</v>
      </c>
      <c r="D6238" t="s">
        <v>25344</v>
      </c>
      <c r="E6238" t="s">
        <v>37786</v>
      </c>
      <c r="F6238">
        <v>1</v>
      </c>
      <c r="G6238" t="s">
        <v>1046</v>
      </c>
      <c r="H6238" t="s">
        <v>1047</v>
      </c>
      <c r="I6238" t="s">
        <v>40</v>
      </c>
      <c r="J6238" s="2" t="s">
        <v>41</v>
      </c>
      <c r="K6238" t="s">
        <v>42</v>
      </c>
      <c r="L6238" t="s">
        <v>1048</v>
      </c>
      <c r="Q6238">
        <v>26315</v>
      </c>
      <c r="R6238" t="s">
        <v>45</v>
      </c>
      <c r="S6238" t="s">
        <v>22243</v>
      </c>
      <c r="T6238">
        <v>26</v>
      </c>
      <c r="U6238" s="2" t="s">
        <v>37787</v>
      </c>
      <c r="V6238" s="1">
        <v>45219</v>
      </c>
      <c r="W6238" t="s">
        <v>360</v>
      </c>
      <c r="X6238">
        <v>834629</v>
      </c>
      <c r="Y6238" t="s">
        <v>35729</v>
      </c>
      <c r="Z6238" s="2" t="s">
        <v>37788</v>
      </c>
      <c r="AA6238" t="s">
        <v>1926</v>
      </c>
      <c r="AB6238" t="s">
        <v>181</v>
      </c>
      <c r="AD6238" t="s">
        <v>37789</v>
      </c>
      <c r="AE6238" t="s">
        <v>103</v>
      </c>
      <c r="AG6238" t="s">
        <v>37790</v>
      </c>
      <c r="AH6238" t="s">
        <v>37791</v>
      </c>
      <c r="AI6238" t="s">
        <v>37792</v>
      </c>
    </row>
    <row r="6239" spans="2:35" ht="330">
      <c r="B6239" s="1">
        <v>45222</v>
      </c>
      <c r="C6239" s="4">
        <v>45218.359027777777</v>
      </c>
      <c r="D6239" t="s">
        <v>37793</v>
      </c>
      <c r="E6239" t="s">
        <v>1908</v>
      </c>
      <c r="F6239">
        <v>1</v>
      </c>
      <c r="G6239" t="s">
        <v>1909</v>
      </c>
      <c r="H6239" t="s">
        <v>39</v>
      </c>
      <c r="I6239" t="s">
        <v>40</v>
      </c>
      <c r="J6239" t="s">
        <v>109</v>
      </c>
      <c r="K6239" t="s">
        <v>42</v>
      </c>
      <c r="L6239" t="s">
        <v>1048</v>
      </c>
      <c r="Q6239">
        <v>26314</v>
      </c>
      <c r="R6239" t="s">
        <v>719</v>
      </c>
      <c r="S6239" t="s">
        <v>6928</v>
      </c>
      <c r="T6239">
        <v>21</v>
      </c>
      <c r="U6239" s="2" t="s">
        <v>37794</v>
      </c>
      <c r="W6239" t="s">
        <v>360</v>
      </c>
      <c r="X6239">
        <v>848249</v>
      </c>
      <c r="Y6239" t="s">
        <v>2692</v>
      </c>
      <c r="Z6239" t="e">
        <f ca="1">- cleaned cartridge Bays, plunger Rods _xludf.and I-CORE
- generated reports</f>
        <v>#NAME?</v>
      </c>
      <c r="AA6239" t="s">
        <v>10275</v>
      </c>
      <c r="AB6239" t="s">
        <v>181</v>
      </c>
      <c r="AG6239" t="s">
        <v>37795</v>
      </c>
      <c r="AH6239" t="s">
        <v>37796</v>
      </c>
      <c r="AI6239" t="s">
        <v>37797</v>
      </c>
    </row>
    <row r="6240" spans="2:35" ht="409.5">
      <c r="B6240" s="1">
        <v>45222</v>
      </c>
      <c r="C6240" s="4">
        <v>45218.354166666664</v>
      </c>
      <c r="D6240" t="s">
        <v>1907</v>
      </c>
      <c r="E6240" t="s">
        <v>1908</v>
      </c>
      <c r="F6240">
        <v>1</v>
      </c>
      <c r="G6240" t="s">
        <v>1909</v>
      </c>
      <c r="H6240" t="s">
        <v>39</v>
      </c>
      <c r="I6240" t="s">
        <v>40</v>
      </c>
      <c r="J6240" s="2" t="s">
        <v>41</v>
      </c>
      <c r="K6240" t="s">
        <v>42</v>
      </c>
      <c r="L6240" t="s">
        <v>1048</v>
      </c>
      <c r="Q6240">
        <v>26313</v>
      </c>
      <c r="R6240" t="s">
        <v>45</v>
      </c>
      <c r="S6240" t="s">
        <v>6928</v>
      </c>
      <c r="T6240">
        <v>20</v>
      </c>
      <c r="U6240" s="2" t="s">
        <v>37798</v>
      </c>
      <c r="V6240" s="1">
        <v>45218</v>
      </c>
      <c r="W6240" t="s">
        <v>360</v>
      </c>
      <c r="X6240">
        <v>707524</v>
      </c>
      <c r="Y6240" t="s">
        <v>35729</v>
      </c>
      <c r="Z6240" s="2" t="s">
        <v>37799</v>
      </c>
      <c r="AA6240" t="s">
        <v>1926</v>
      </c>
      <c r="AB6240" t="s">
        <v>181</v>
      </c>
      <c r="AD6240" t="s">
        <v>37800</v>
      </c>
      <c r="AE6240" t="s">
        <v>103</v>
      </c>
      <c r="AG6240" t="s">
        <v>37801</v>
      </c>
      <c r="AH6240" t="s">
        <v>37796</v>
      </c>
      <c r="AI6240" t="s">
        <v>37802</v>
      </c>
    </row>
    <row r="6241" spans="2:35" ht="315">
      <c r="B6241" s="1">
        <v>45222</v>
      </c>
      <c r="C6241" s="4">
        <v>45216.413888888892</v>
      </c>
      <c r="D6241" t="s">
        <v>4953</v>
      </c>
      <c r="E6241" t="s">
        <v>4954</v>
      </c>
      <c r="F6241">
        <v>1</v>
      </c>
      <c r="G6241" t="s">
        <v>1046</v>
      </c>
      <c r="H6241" t="s">
        <v>1047</v>
      </c>
      <c r="I6241" t="s">
        <v>40</v>
      </c>
      <c r="J6241" s="2" t="s">
        <v>41</v>
      </c>
      <c r="K6241" t="s">
        <v>42</v>
      </c>
      <c r="L6241" t="s">
        <v>1048</v>
      </c>
      <c r="Q6241">
        <v>26312</v>
      </c>
      <c r="R6241" t="s">
        <v>119</v>
      </c>
      <c r="S6241" t="s">
        <v>4955</v>
      </c>
      <c r="T6241">
        <v>28</v>
      </c>
      <c r="U6241" s="2" t="s">
        <v>33762</v>
      </c>
      <c r="V6241" s="1">
        <v>45211</v>
      </c>
      <c r="W6241" t="s">
        <v>360</v>
      </c>
      <c r="X6241">
        <v>838437</v>
      </c>
      <c r="Y6241" t="s">
        <v>35729</v>
      </c>
      <c r="Z6241" s="2" t="s">
        <v>37803</v>
      </c>
      <c r="AA6241" t="s">
        <v>1926</v>
      </c>
      <c r="AB6241" t="s">
        <v>181</v>
      </c>
      <c r="AD6241" t="s">
        <v>37804</v>
      </c>
      <c r="AE6241" t="s">
        <v>37805</v>
      </c>
      <c r="AG6241" t="s">
        <v>37806</v>
      </c>
      <c r="AH6241" t="s">
        <v>37807</v>
      </c>
      <c r="AI6241" t="s">
        <v>37808</v>
      </c>
    </row>
    <row r="6242" spans="2:35" ht="285">
      <c r="B6242" s="1">
        <v>45220</v>
      </c>
      <c r="C6242" s="4">
        <v>45219.683333333334</v>
      </c>
      <c r="D6242" t="s">
        <v>37809</v>
      </c>
      <c r="E6242" t="s">
        <v>1169</v>
      </c>
      <c r="F6242" t="s">
        <v>148</v>
      </c>
      <c r="G6242" t="s">
        <v>310</v>
      </c>
      <c r="H6242" t="s">
        <v>39</v>
      </c>
      <c r="I6242" t="s">
        <v>40</v>
      </c>
      <c r="J6242" s="2" t="s">
        <v>62</v>
      </c>
      <c r="K6242" t="s">
        <v>42</v>
      </c>
      <c r="L6242" t="s">
        <v>15532</v>
      </c>
      <c r="Q6242">
        <v>26311</v>
      </c>
      <c r="R6242" t="s">
        <v>322</v>
      </c>
      <c r="S6242" t="s">
        <v>859</v>
      </c>
      <c r="T6242">
        <v>25</v>
      </c>
      <c r="V6242" s="1">
        <v>45216</v>
      </c>
      <c r="W6242" t="s">
        <v>37810</v>
      </c>
      <c r="X6242">
        <v>809643</v>
      </c>
      <c r="Y6242" t="s">
        <v>29739</v>
      </c>
      <c r="Z6242" s="2" t="s">
        <v>37811</v>
      </c>
      <c r="AA6242" t="s">
        <v>999</v>
      </c>
      <c r="AB6242" s="2" t="s">
        <v>37812</v>
      </c>
      <c r="AC6242" t="s">
        <v>37813</v>
      </c>
      <c r="AD6242" t="s">
        <v>948</v>
      </c>
      <c r="AE6242" t="s">
        <v>37814</v>
      </c>
      <c r="AG6242" t="s">
        <v>37815</v>
      </c>
      <c r="AH6242" t="s">
        <v>6762</v>
      </c>
      <c r="AI6242" t="s">
        <v>37816</v>
      </c>
    </row>
    <row r="6243" spans="2:35" ht="255">
      <c r="B6243" s="1">
        <v>45219</v>
      </c>
      <c r="C6243" s="4">
        <v>45219.664583333331</v>
      </c>
      <c r="D6243" t="s">
        <v>3679</v>
      </c>
      <c r="E6243" t="s">
        <v>26724</v>
      </c>
      <c r="F6243" t="s">
        <v>148</v>
      </c>
      <c r="G6243" t="s">
        <v>447</v>
      </c>
      <c r="H6243" t="s">
        <v>662</v>
      </c>
      <c r="I6243" t="s">
        <v>94</v>
      </c>
      <c r="J6243" t="s">
        <v>109</v>
      </c>
      <c r="K6243" t="s">
        <v>42</v>
      </c>
      <c r="L6243" t="s">
        <v>448</v>
      </c>
      <c r="Q6243">
        <v>26310</v>
      </c>
      <c r="R6243" t="s">
        <v>322</v>
      </c>
      <c r="S6243" t="s">
        <v>6492</v>
      </c>
      <c r="T6243">
        <v>25</v>
      </c>
      <c r="U6243" s="2" t="s">
        <v>37817</v>
      </c>
      <c r="W6243" t="s">
        <v>34318</v>
      </c>
      <c r="X6243">
        <v>838655</v>
      </c>
      <c r="Y6243" t="s">
        <v>37818</v>
      </c>
      <c r="Z6243" s="2" t="s">
        <v>2011</v>
      </c>
      <c r="AA6243" t="s">
        <v>37819</v>
      </c>
      <c r="AB6243" t="s">
        <v>37820</v>
      </c>
      <c r="AC6243" t="s">
        <v>37821</v>
      </c>
      <c r="AG6243" t="s">
        <v>37822</v>
      </c>
      <c r="AH6243" t="s">
        <v>37421</v>
      </c>
      <c r="AI6243" t="s">
        <v>37823</v>
      </c>
    </row>
    <row r="6244" spans="2:35" ht="409.5">
      <c r="B6244" s="1">
        <v>45219</v>
      </c>
      <c r="C6244" s="4">
        <v>45219.617361111108</v>
      </c>
      <c r="D6244" t="s">
        <v>5602</v>
      </c>
      <c r="E6244" t="s">
        <v>37824</v>
      </c>
      <c r="F6244" t="s">
        <v>148</v>
      </c>
      <c r="G6244" t="s">
        <v>447</v>
      </c>
      <c r="H6244" t="s">
        <v>662</v>
      </c>
      <c r="I6244" t="s">
        <v>40</v>
      </c>
      <c r="J6244" s="2" t="s">
        <v>41</v>
      </c>
      <c r="K6244" t="s">
        <v>42</v>
      </c>
      <c r="L6244" t="s">
        <v>448</v>
      </c>
      <c r="Q6244">
        <v>26309</v>
      </c>
      <c r="R6244" t="s">
        <v>322</v>
      </c>
      <c r="S6244" t="s">
        <v>5604</v>
      </c>
      <c r="T6244">
        <v>26</v>
      </c>
      <c r="U6244" s="2" t="s">
        <v>37825</v>
      </c>
      <c r="V6244" s="1">
        <v>45218</v>
      </c>
      <c r="W6244" t="s">
        <v>895</v>
      </c>
      <c r="X6244">
        <v>110005587</v>
      </c>
      <c r="Y6244" t="s">
        <v>37826</v>
      </c>
      <c r="Z6244" s="2" t="s">
        <v>2585</v>
      </c>
      <c r="AA6244" t="s">
        <v>20643</v>
      </c>
      <c r="AB6244" t="s">
        <v>37827</v>
      </c>
      <c r="AC6244" t="s">
        <v>37828</v>
      </c>
      <c r="AD6244" t="s">
        <v>10253</v>
      </c>
      <c r="AE6244">
        <v>10752</v>
      </c>
      <c r="AG6244" t="s">
        <v>37829</v>
      </c>
      <c r="AH6244" t="s">
        <v>5609</v>
      </c>
      <c r="AI6244" t="s">
        <v>37830</v>
      </c>
    </row>
    <row r="6245" spans="2:35" ht="270">
      <c r="B6245" s="1">
        <v>45219</v>
      </c>
      <c r="C6245" s="4">
        <v>45219.473611111112</v>
      </c>
      <c r="D6245" t="s">
        <v>37831</v>
      </c>
      <c r="E6245" t="s">
        <v>37832</v>
      </c>
      <c r="F6245" t="s">
        <v>148</v>
      </c>
      <c r="G6245" t="s">
        <v>447</v>
      </c>
      <c r="H6245" t="s">
        <v>61</v>
      </c>
      <c r="I6245" t="s">
        <v>40</v>
      </c>
      <c r="J6245" s="2" t="s">
        <v>190</v>
      </c>
      <c r="K6245" t="s">
        <v>42</v>
      </c>
      <c r="L6245" t="s">
        <v>15532</v>
      </c>
      <c r="Q6245">
        <v>26308</v>
      </c>
      <c r="R6245" t="s">
        <v>322</v>
      </c>
      <c r="S6245" t="s">
        <v>15652</v>
      </c>
      <c r="T6245">
        <v>26</v>
      </c>
      <c r="W6245" t="s">
        <v>3244</v>
      </c>
      <c r="X6245">
        <v>805294</v>
      </c>
      <c r="Y6245" t="s">
        <v>37833</v>
      </c>
      <c r="Z6245" s="2" t="s">
        <v>37834</v>
      </c>
      <c r="AA6245" t="s">
        <v>37835</v>
      </c>
      <c r="AB6245" s="2" t="s">
        <v>37836</v>
      </c>
      <c r="AG6245" t="s">
        <v>37837</v>
      </c>
      <c r="AH6245" t="s">
        <v>15657</v>
      </c>
      <c r="AI6245" t="s">
        <v>37838</v>
      </c>
    </row>
    <row r="6246" spans="2:35" ht="180">
      <c r="B6246" s="1">
        <v>45219</v>
      </c>
      <c r="C6246" s="4">
        <v>45219.579861111109</v>
      </c>
      <c r="D6246" t="s">
        <v>1107</v>
      </c>
      <c r="E6246" t="s">
        <v>37839</v>
      </c>
      <c r="F6246" t="s">
        <v>37</v>
      </c>
      <c r="G6246" t="s">
        <v>38</v>
      </c>
      <c r="H6246" t="s">
        <v>39</v>
      </c>
      <c r="I6246" t="s">
        <v>40</v>
      </c>
      <c r="J6246" s="2" t="s">
        <v>62</v>
      </c>
      <c r="K6246" t="s">
        <v>42</v>
      </c>
      <c r="L6246" t="s">
        <v>43</v>
      </c>
      <c r="Q6246">
        <v>26307</v>
      </c>
      <c r="R6246" t="s">
        <v>119</v>
      </c>
      <c r="S6246" t="s">
        <v>26768</v>
      </c>
      <c r="T6246">
        <v>25</v>
      </c>
      <c r="W6246" t="s">
        <v>48</v>
      </c>
      <c r="X6246">
        <v>819864</v>
      </c>
      <c r="Y6246" t="s">
        <v>37840</v>
      </c>
      <c r="Z6246" t="s">
        <v>37841</v>
      </c>
      <c r="AA6246" s="2" t="s">
        <v>37842</v>
      </c>
      <c r="AB6246" t="s">
        <v>37843</v>
      </c>
      <c r="AG6246" t="s">
        <v>37844</v>
      </c>
      <c r="AH6246" t="s">
        <v>26770</v>
      </c>
      <c r="AI6246" t="s">
        <v>37845</v>
      </c>
    </row>
    <row r="6247" spans="2:35" ht="195">
      <c r="B6247" s="1">
        <v>45219</v>
      </c>
      <c r="C6247" s="4">
        <v>45218.574999999997</v>
      </c>
      <c r="D6247" t="s">
        <v>1145</v>
      </c>
      <c r="E6247" t="s">
        <v>4267</v>
      </c>
      <c r="F6247" t="s">
        <v>148</v>
      </c>
      <c r="G6247" t="s">
        <v>447</v>
      </c>
      <c r="H6247" t="s">
        <v>150</v>
      </c>
      <c r="I6247" t="s">
        <v>40</v>
      </c>
      <c r="J6247" s="2" t="s">
        <v>62</v>
      </c>
      <c r="K6247" t="s">
        <v>42</v>
      </c>
      <c r="L6247" t="s">
        <v>448</v>
      </c>
      <c r="Q6247">
        <v>26306</v>
      </c>
      <c r="R6247" t="s">
        <v>45</v>
      </c>
      <c r="S6247" t="s">
        <v>1147</v>
      </c>
      <c r="T6247">
        <v>28</v>
      </c>
      <c r="U6247" s="2" t="s">
        <v>37846</v>
      </c>
      <c r="V6247" s="1">
        <v>45218</v>
      </c>
      <c r="W6247" t="s">
        <v>895</v>
      </c>
      <c r="X6247">
        <v>801080</v>
      </c>
      <c r="Y6247" t="s">
        <v>7168</v>
      </c>
      <c r="Z6247" s="2" t="s">
        <v>37847</v>
      </c>
      <c r="AA6247" t="s">
        <v>24030</v>
      </c>
      <c r="AB6247" t="s">
        <v>37848</v>
      </c>
      <c r="AC6247" t="s">
        <v>37849</v>
      </c>
      <c r="AD6247" t="s">
        <v>11518</v>
      </c>
      <c r="AE6247">
        <v>0</v>
      </c>
      <c r="AG6247" t="s">
        <v>37850</v>
      </c>
      <c r="AH6247" t="s">
        <v>1153</v>
      </c>
      <c r="AI6247" t="s">
        <v>37851</v>
      </c>
    </row>
    <row r="6248" spans="2:35" ht="150">
      <c r="B6248" s="1">
        <v>45219</v>
      </c>
      <c r="C6248" s="4">
        <v>45219.412499999999</v>
      </c>
      <c r="D6248" t="s">
        <v>1515</v>
      </c>
      <c r="E6248" t="s">
        <v>37852</v>
      </c>
      <c r="F6248" t="s">
        <v>37</v>
      </c>
      <c r="G6248" t="s">
        <v>38</v>
      </c>
      <c r="H6248" t="s">
        <v>39</v>
      </c>
      <c r="I6248" t="s">
        <v>40</v>
      </c>
      <c r="J6248" s="2" t="s">
        <v>62</v>
      </c>
      <c r="K6248" t="s">
        <v>42</v>
      </c>
      <c r="L6248" t="s">
        <v>43</v>
      </c>
      <c r="Q6248">
        <v>26305</v>
      </c>
      <c r="R6248" t="s">
        <v>119</v>
      </c>
      <c r="S6248" t="s">
        <v>1517</v>
      </c>
      <c r="T6248">
        <v>25</v>
      </c>
      <c r="U6248" s="2" t="s">
        <v>2440</v>
      </c>
      <c r="W6248" t="s">
        <v>48</v>
      </c>
      <c r="X6248">
        <v>821215</v>
      </c>
      <c r="Y6248" t="s">
        <v>1111</v>
      </c>
      <c r="Z6248" t="s">
        <v>1519</v>
      </c>
      <c r="AA6248" s="2" t="s">
        <v>37058</v>
      </c>
      <c r="AB6248" t="s">
        <v>24813</v>
      </c>
      <c r="AG6248" t="s">
        <v>37853</v>
      </c>
      <c r="AH6248" t="s">
        <v>37854</v>
      </c>
      <c r="AI6248" t="s">
        <v>37855</v>
      </c>
    </row>
    <row r="6249" spans="2:35" ht="150">
      <c r="B6249" s="1">
        <v>45219</v>
      </c>
      <c r="C6249" s="4">
        <v>45216.704861111109</v>
      </c>
      <c r="D6249" t="s">
        <v>33768</v>
      </c>
      <c r="E6249" t="s">
        <v>33769</v>
      </c>
      <c r="F6249">
        <v>5</v>
      </c>
      <c r="G6249" t="s">
        <v>839</v>
      </c>
      <c r="H6249" t="s">
        <v>39</v>
      </c>
      <c r="I6249" t="s">
        <v>40</v>
      </c>
      <c r="J6249" s="2" t="s">
        <v>41</v>
      </c>
      <c r="K6249" t="s">
        <v>42</v>
      </c>
      <c r="L6249" t="s">
        <v>761</v>
      </c>
      <c r="Q6249">
        <v>26304</v>
      </c>
      <c r="R6249" t="s">
        <v>45</v>
      </c>
      <c r="S6249" t="s">
        <v>5498</v>
      </c>
      <c r="T6249">
        <v>28</v>
      </c>
      <c r="U6249" s="2" t="s">
        <v>13730</v>
      </c>
      <c r="W6249" t="s">
        <v>360</v>
      </c>
      <c r="X6249">
        <v>834620</v>
      </c>
      <c r="Y6249" t="s">
        <v>37856</v>
      </c>
      <c r="Z6249" s="2" t="s">
        <v>37857</v>
      </c>
      <c r="AA6249" t="s">
        <v>37858</v>
      </c>
      <c r="AB6249" t="s">
        <v>181</v>
      </c>
      <c r="AG6249" t="s">
        <v>37859</v>
      </c>
      <c r="AH6249" t="s">
        <v>5503</v>
      </c>
      <c r="AI6249" t="s">
        <v>37860</v>
      </c>
    </row>
    <row r="6250" spans="2:35" ht="285">
      <c r="B6250" s="1">
        <v>45219</v>
      </c>
      <c r="C6250" s="4">
        <v>45219.404166666667</v>
      </c>
      <c r="D6250" t="s">
        <v>22604</v>
      </c>
      <c r="E6250" t="s">
        <v>37861</v>
      </c>
      <c r="F6250" t="s">
        <v>148</v>
      </c>
      <c r="G6250" t="s">
        <v>447</v>
      </c>
      <c r="H6250" t="s">
        <v>39</v>
      </c>
      <c r="I6250" t="s">
        <v>40</v>
      </c>
      <c r="J6250" t="s">
        <v>109</v>
      </c>
      <c r="K6250" t="s">
        <v>42</v>
      </c>
      <c r="L6250" t="s">
        <v>15532</v>
      </c>
      <c r="Q6250">
        <v>26303</v>
      </c>
      <c r="R6250" t="s">
        <v>119</v>
      </c>
      <c r="S6250" t="s">
        <v>22606</v>
      </c>
      <c r="T6250">
        <v>26</v>
      </c>
      <c r="U6250" s="2" t="s">
        <v>33027</v>
      </c>
      <c r="W6250" t="s">
        <v>3244</v>
      </c>
      <c r="X6250">
        <v>831586</v>
      </c>
      <c r="Y6250" t="s">
        <v>37662</v>
      </c>
      <c r="Z6250" s="2" t="s">
        <v>37862</v>
      </c>
      <c r="AA6250" t="s">
        <v>16055</v>
      </c>
      <c r="AB6250" s="2" t="s">
        <v>15539</v>
      </c>
      <c r="AG6250" t="s">
        <v>37863</v>
      </c>
      <c r="AH6250" t="s">
        <v>37864</v>
      </c>
      <c r="AI6250" t="s">
        <v>37865</v>
      </c>
    </row>
    <row r="6251" spans="2:35" ht="315">
      <c r="B6251" s="1">
        <v>45219</v>
      </c>
      <c r="C6251" s="4">
        <v>45218.630555555559</v>
      </c>
      <c r="D6251" t="s">
        <v>37866</v>
      </c>
      <c r="E6251" t="s">
        <v>37867</v>
      </c>
      <c r="F6251" t="s">
        <v>148</v>
      </c>
      <c r="G6251" t="s">
        <v>20126</v>
      </c>
      <c r="H6251" t="s">
        <v>39</v>
      </c>
      <c r="I6251" t="s">
        <v>40</v>
      </c>
      <c r="J6251" s="2" t="s">
        <v>190</v>
      </c>
      <c r="K6251" t="s">
        <v>42</v>
      </c>
      <c r="L6251" t="s">
        <v>15532</v>
      </c>
      <c r="N6251" t="s">
        <v>15533</v>
      </c>
      <c r="Q6251">
        <v>26302</v>
      </c>
      <c r="R6251" t="s">
        <v>45</v>
      </c>
      <c r="S6251" t="s">
        <v>33837</v>
      </c>
      <c r="T6251">
        <v>29</v>
      </c>
      <c r="W6251" t="s">
        <v>3244</v>
      </c>
      <c r="X6251">
        <v>812833</v>
      </c>
      <c r="Y6251" t="s">
        <v>37868</v>
      </c>
      <c r="Z6251" s="2" t="s">
        <v>37869</v>
      </c>
      <c r="AA6251" t="s">
        <v>37870</v>
      </c>
      <c r="AB6251" s="2" t="s">
        <v>37871</v>
      </c>
      <c r="AG6251" t="s">
        <v>37872</v>
      </c>
      <c r="AH6251" t="s">
        <v>33843</v>
      </c>
      <c r="AI6251" t="s">
        <v>37873</v>
      </c>
    </row>
    <row r="6252" spans="2:35" ht="105">
      <c r="B6252" s="1">
        <v>45219</v>
      </c>
      <c r="C6252" s="4">
        <v>45219.338194444441</v>
      </c>
      <c r="D6252" t="s">
        <v>37874</v>
      </c>
      <c r="E6252" t="s">
        <v>37875</v>
      </c>
      <c r="F6252" t="s">
        <v>1255</v>
      </c>
      <c r="G6252" t="s">
        <v>17856</v>
      </c>
      <c r="H6252" t="s">
        <v>11359</v>
      </c>
      <c r="I6252" t="s">
        <v>40</v>
      </c>
      <c r="J6252" t="s">
        <v>109</v>
      </c>
      <c r="K6252" t="s">
        <v>42</v>
      </c>
      <c r="L6252" t="s">
        <v>1288</v>
      </c>
      <c r="Q6252">
        <v>26301</v>
      </c>
      <c r="R6252" t="s">
        <v>1268</v>
      </c>
      <c r="S6252" t="s">
        <v>17859</v>
      </c>
      <c r="T6252">
        <v>30</v>
      </c>
      <c r="U6252" s="2" t="s">
        <v>37876</v>
      </c>
      <c r="W6252" t="s">
        <v>1292</v>
      </c>
      <c r="X6252">
        <v>110008652</v>
      </c>
      <c r="Y6252" t="s">
        <v>1529</v>
      </c>
      <c r="Z6252" t="e">
        <f ca="1">-COLLECT IQR, system _xludf.Log, _xludf.and ARCHIVE</f>
        <v>#NAME?</v>
      </c>
      <c r="AA6252" t="e">
        <f ca="1">-PERFORM Cleaning of GeneXpert EQUIPMENT _xludf.and workstation
-PERFORM Preventive Maintenance</f>
        <v>#NAME?</v>
      </c>
      <c r="AB6252" t="s">
        <v>1293</v>
      </c>
      <c r="AG6252" t="s">
        <v>37877</v>
      </c>
      <c r="AH6252" t="s">
        <v>37878</v>
      </c>
      <c r="AI6252" t="s">
        <v>37879</v>
      </c>
    </row>
    <row r="6253" spans="2:35" ht="45">
      <c r="B6253" s="1">
        <v>45218</v>
      </c>
      <c r="C6253" s="4">
        <v>45218.747916666667</v>
      </c>
      <c r="D6253" t="s">
        <v>3103</v>
      </c>
      <c r="E6253" t="s">
        <v>37880</v>
      </c>
      <c r="F6253">
        <v>6</v>
      </c>
      <c r="G6253" t="s">
        <v>1507</v>
      </c>
      <c r="H6253" t="s">
        <v>39</v>
      </c>
      <c r="I6253" t="s">
        <v>40</v>
      </c>
      <c r="J6253" s="2" t="s">
        <v>1370</v>
      </c>
      <c r="K6253" t="s">
        <v>42</v>
      </c>
      <c r="L6253" t="s">
        <v>433</v>
      </c>
      <c r="Q6253">
        <v>26300</v>
      </c>
      <c r="R6253" t="s">
        <v>45</v>
      </c>
      <c r="S6253" t="s">
        <v>3105</v>
      </c>
      <c r="T6253">
        <v>24</v>
      </c>
      <c r="W6253" t="s">
        <v>1008</v>
      </c>
      <c r="X6253">
        <v>805333</v>
      </c>
      <c r="Y6253" t="s">
        <v>37881</v>
      </c>
      <c r="Z6253" t="s">
        <v>37882</v>
      </c>
      <c r="AA6253" t="s">
        <v>37883</v>
      </c>
      <c r="AB6253" t="s">
        <v>1011</v>
      </c>
      <c r="AG6253" t="s">
        <v>37884</v>
      </c>
      <c r="AH6253" t="s">
        <v>37885</v>
      </c>
      <c r="AI6253" t="s">
        <v>37886</v>
      </c>
    </row>
    <row r="6254" spans="2:35" ht="120">
      <c r="B6254" s="1">
        <v>45218</v>
      </c>
      <c r="C6254" s="4">
        <v>45218.625694444447</v>
      </c>
      <c r="D6254" t="s">
        <v>37887</v>
      </c>
      <c r="E6254" t="s">
        <v>37888</v>
      </c>
      <c r="F6254">
        <v>9</v>
      </c>
      <c r="G6254" t="s">
        <v>2903</v>
      </c>
      <c r="H6254" t="s">
        <v>39</v>
      </c>
      <c r="I6254" t="s">
        <v>40</v>
      </c>
      <c r="J6254" s="2" t="s">
        <v>8419</v>
      </c>
      <c r="K6254" t="s">
        <v>42</v>
      </c>
      <c r="L6254" t="s">
        <v>1257</v>
      </c>
      <c r="Q6254">
        <v>26299</v>
      </c>
      <c r="R6254" t="s">
        <v>45</v>
      </c>
      <c r="S6254" t="s">
        <v>37889</v>
      </c>
      <c r="T6254">
        <v>27</v>
      </c>
      <c r="V6254" s="1">
        <v>45218</v>
      </c>
      <c r="W6254" t="s">
        <v>2384</v>
      </c>
      <c r="X6254">
        <v>838539</v>
      </c>
      <c r="Y6254" t="s">
        <v>37890</v>
      </c>
      <c r="Z6254" t="s">
        <v>37891</v>
      </c>
      <c r="AA6254" t="s">
        <v>37892</v>
      </c>
      <c r="AB6254" t="s">
        <v>37893</v>
      </c>
      <c r="AC6254" t="s">
        <v>37894</v>
      </c>
      <c r="AD6254" t="s">
        <v>54</v>
      </c>
      <c r="AE6254" t="s">
        <v>54</v>
      </c>
      <c r="AG6254" t="s">
        <v>37895</v>
      </c>
      <c r="AH6254" t="s">
        <v>37896</v>
      </c>
      <c r="AI6254" t="s">
        <v>37897</v>
      </c>
    </row>
    <row r="6255" spans="2:35" ht="409.5">
      <c r="B6255" s="1">
        <v>45218</v>
      </c>
      <c r="C6255" s="4">
        <v>45218.683333333334</v>
      </c>
      <c r="D6255" t="s">
        <v>12670</v>
      </c>
      <c r="E6255" t="s">
        <v>6810</v>
      </c>
      <c r="F6255">
        <v>11</v>
      </c>
      <c r="G6255" t="s">
        <v>201</v>
      </c>
      <c r="H6255" t="s">
        <v>202</v>
      </c>
      <c r="I6255" t="s">
        <v>40</v>
      </c>
      <c r="J6255" s="2" t="s">
        <v>62</v>
      </c>
      <c r="K6255" t="s">
        <v>42</v>
      </c>
      <c r="L6255" t="s">
        <v>204</v>
      </c>
      <c r="Q6255">
        <v>26298</v>
      </c>
      <c r="R6255" t="s">
        <v>119</v>
      </c>
      <c r="S6255" t="s">
        <v>6811</v>
      </c>
      <c r="T6255">
        <v>25.6</v>
      </c>
      <c r="U6255" s="2" t="s">
        <v>2160</v>
      </c>
      <c r="V6255" s="1">
        <v>45141</v>
      </c>
      <c r="W6255" t="s">
        <v>24154</v>
      </c>
      <c r="X6255">
        <v>838490</v>
      </c>
      <c r="Y6255" t="s">
        <v>27855</v>
      </c>
      <c r="Z6255" s="2" t="s">
        <v>37898</v>
      </c>
      <c r="AA6255" t="s">
        <v>1620</v>
      </c>
      <c r="AB6255" s="2" t="s">
        <v>37899</v>
      </c>
      <c r="AC6255" t="s">
        <v>37900</v>
      </c>
      <c r="AD6255" t="s">
        <v>18192</v>
      </c>
      <c r="AE6255">
        <v>10438</v>
      </c>
      <c r="AG6255" t="s">
        <v>37901</v>
      </c>
      <c r="AH6255" t="s">
        <v>37902</v>
      </c>
      <c r="AI6255" t="s">
        <v>37903</v>
      </c>
    </row>
    <row r="6256" spans="2:35" ht="150">
      <c r="B6256" s="1">
        <v>45218</v>
      </c>
      <c r="C6256" s="4">
        <v>45218.654166666667</v>
      </c>
      <c r="D6256" t="s">
        <v>2148</v>
      </c>
      <c r="E6256" t="s">
        <v>37904</v>
      </c>
      <c r="F6256" t="s">
        <v>37</v>
      </c>
      <c r="G6256" t="s">
        <v>38</v>
      </c>
      <c r="H6256" t="s">
        <v>39</v>
      </c>
      <c r="I6256" t="s">
        <v>40</v>
      </c>
      <c r="J6256" s="2" t="s">
        <v>62</v>
      </c>
      <c r="K6256" t="s">
        <v>42</v>
      </c>
      <c r="L6256" t="s">
        <v>43</v>
      </c>
      <c r="Q6256">
        <v>26297</v>
      </c>
      <c r="R6256" t="s">
        <v>119</v>
      </c>
      <c r="S6256" t="s">
        <v>2150</v>
      </c>
      <c r="T6256">
        <v>25</v>
      </c>
      <c r="W6256" t="s">
        <v>48</v>
      </c>
      <c r="X6256">
        <v>820710</v>
      </c>
      <c r="Y6256" t="s">
        <v>1111</v>
      </c>
      <c r="Z6256" t="s">
        <v>1519</v>
      </c>
      <c r="AA6256" s="2" t="s">
        <v>37058</v>
      </c>
      <c r="AB6256" t="s">
        <v>37905</v>
      </c>
      <c r="AG6256" t="s">
        <v>37906</v>
      </c>
      <c r="AH6256" t="s">
        <v>37907</v>
      </c>
      <c r="AI6256" t="s">
        <v>37908</v>
      </c>
    </row>
    <row r="6257" spans="2:35" ht="180">
      <c r="B6257" s="1">
        <v>45218</v>
      </c>
      <c r="C6257" s="4">
        <v>45218.629166666666</v>
      </c>
      <c r="D6257" t="s">
        <v>16716</v>
      </c>
      <c r="E6257" t="s">
        <v>1128</v>
      </c>
      <c r="F6257">
        <v>8</v>
      </c>
      <c r="G6257" t="s">
        <v>342</v>
      </c>
      <c r="H6257" t="s">
        <v>39</v>
      </c>
      <c r="I6257" t="s">
        <v>40</v>
      </c>
      <c r="J6257" t="s">
        <v>109</v>
      </c>
      <c r="K6257" t="s">
        <v>42</v>
      </c>
      <c r="L6257" t="s">
        <v>259</v>
      </c>
      <c r="Q6257">
        <v>26296</v>
      </c>
      <c r="R6257" t="s">
        <v>119</v>
      </c>
      <c r="S6257" t="s">
        <v>37909</v>
      </c>
      <c r="T6257">
        <v>24</v>
      </c>
      <c r="U6257" s="2" t="s">
        <v>37910</v>
      </c>
      <c r="V6257" s="1">
        <v>45218</v>
      </c>
      <c r="W6257" t="s">
        <v>84</v>
      </c>
      <c r="X6257">
        <v>838421</v>
      </c>
      <c r="Y6257" t="s">
        <v>3001</v>
      </c>
      <c r="Z6257" t="e">
        <f ca="1">- _xludf.n/a</f>
        <v>#NAME?</v>
      </c>
      <c r="AA6257" t="e">
        <f ca="1">- performed Preventive Maintenance
- performed functionality test
- Generate reports</f>
        <v>#NAME?</v>
      </c>
      <c r="AB6257" s="2" t="s">
        <v>37911</v>
      </c>
      <c r="AG6257" t="s">
        <v>37912</v>
      </c>
      <c r="AH6257" t="s">
        <v>23174</v>
      </c>
      <c r="AI6257" t="s">
        <v>37913</v>
      </c>
    </row>
    <row r="6258" spans="2:35" ht="210">
      <c r="B6258" s="1">
        <v>45218</v>
      </c>
      <c r="C6258" s="4">
        <v>45218.568749999999</v>
      </c>
      <c r="D6258" t="s">
        <v>22944</v>
      </c>
      <c r="E6258" t="s">
        <v>22945</v>
      </c>
      <c r="F6258" t="s">
        <v>148</v>
      </c>
      <c r="G6258" t="s">
        <v>22765</v>
      </c>
      <c r="H6258" t="s">
        <v>37914</v>
      </c>
      <c r="I6258" t="s">
        <v>40</v>
      </c>
      <c r="J6258" t="s">
        <v>525</v>
      </c>
      <c r="K6258" t="s">
        <v>42</v>
      </c>
      <c r="L6258" t="s">
        <v>175</v>
      </c>
      <c r="Q6258">
        <v>26295</v>
      </c>
      <c r="R6258" t="s">
        <v>45</v>
      </c>
      <c r="S6258" t="s">
        <v>22946</v>
      </c>
      <c r="T6258">
        <v>22</v>
      </c>
      <c r="U6258" s="2" t="s">
        <v>37915</v>
      </c>
      <c r="W6258" t="s">
        <v>84</v>
      </c>
      <c r="X6258">
        <v>838880</v>
      </c>
      <c r="Y6258" t="s">
        <v>37916</v>
      </c>
      <c r="Z6258" t="e">
        <f ca="1">- generated reports (IQR, Syslog, gxx)
- took pictures of cartidge bay, reaction tube
- performed self test on B2</f>
        <v>#NAME?</v>
      </c>
      <c r="AA6258" t="s">
        <v>37917</v>
      </c>
      <c r="AB6258" s="2" t="s">
        <v>37918</v>
      </c>
      <c r="AG6258" t="s">
        <v>37919</v>
      </c>
      <c r="AH6258" t="s">
        <v>33047</v>
      </c>
      <c r="AI6258" t="s">
        <v>37920</v>
      </c>
    </row>
    <row r="6259" spans="2:35">
      <c r="B6259" s="1">
        <v>45218</v>
      </c>
      <c r="C6259" s="4">
        <v>45218.576388888891</v>
      </c>
      <c r="D6259" t="s">
        <v>17854</v>
      </c>
      <c r="E6259" t="s">
        <v>37921</v>
      </c>
      <c r="F6259" t="s">
        <v>1255</v>
      </c>
      <c r="G6259" t="s">
        <v>17856</v>
      </c>
      <c r="H6259" t="s">
        <v>61</v>
      </c>
      <c r="I6259" t="s">
        <v>40</v>
      </c>
      <c r="J6259" t="s">
        <v>109</v>
      </c>
      <c r="K6259" t="s">
        <v>42</v>
      </c>
      <c r="L6259" t="s">
        <v>343</v>
      </c>
      <c r="Q6259">
        <v>26294</v>
      </c>
      <c r="R6259" t="s">
        <v>119</v>
      </c>
      <c r="S6259" t="s">
        <v>17859</v>
      </c>
      <c r="T6259">
        <v>28</v>
      </c>
      <c r="W6259" t="s">
        <v>6105</v>
      </c>
      <c r="X6259">
        <v>838834</v>
      </c>
      <c r="Y6259" t="s">
        <v>301</v>
      </c>
      <c r="Z6259" t="s">
        <v>301</v>
      </c>
      <c r="AA6259" t="e">
        <f ca="1">-Preventive Maintenance</f>
        <v>#NAME?</v>
      </c>
      <c r="AB6259" t="s">
        <v>37922</v>
      </c>
      <c r="AC6259" t="s">
        <v>37923</v>
      </c>
      <c r="AG6259" t="s">
        <v>37924</v>
      </c>
      <c r="AH6259" t="s">
        <v>37878</v>
      </c>
      <c r="AI6259" t="s">
        <v>37925</v>
      </c>
    </row>
    <row r="6260" spans="2:35" ht="150">
      <c r="B6260" s="1">
        <v>45218</v>
      </c>
      <c r="C6260" s="4">
        <v>45218.554166666669</v>
      </c>
      <c r="D6260" t="s">
        <v>3547</v>
      </c>
      <c r="E6260" t="s">
        <v>37926</v>
      </c>
      <c r="F6260" t="s">
        <v>37</v>
      </c>
      <c r="G6260" t="s">
        <v>38</v>
      </c>
      <c r="H6260" t="s">
        <v>39</v>
      </c>
      <c r="I6260" t="s">
        <v>40</v>
      </c>
      <c r="J6260" s="2" t="s">
        <v>62</v>
      </c>
      <c r="K6260" t="s">
        <v>42</v>
      </c>
      <c r="L6260" t="s">
        <v>43</v>
      </c>
      <c r="Q6260">
        <v>26293</v>
      </c>
      <c r="R6260" t="s">
        <v>119</v>
      </c>
      <c r="S6260" t="s">
        <v>3549</v>
      </c>
      <c r="T6260">
        <v>25</v>
      </c>
      <c r="W6260" t="s">
        <v>48</v>
      </c>
      <c r="X6260">
        <v>820184</v>
      </c>
      <c r="Y6260" t="s">
        <v>1111</v>
      </c>
      <c r="Z6260" t="s">
        <v>1519</v>
      </c>
      <c r="AA6260" s="2" t="s">
        <v>37058</v>
      </c>
      <c r="AB6260" t="s">
        <v>7543</v>
      </c>
      <c r="AG6260" t="s">
        <v>37927</v>
      </c>
      <c r="AH6260" t="s">
        <v>37928</v>
      </c>
      <c r="AI6260" t="s">
        <v>37929</v>
      </c>
    </row>
    <row r="6261" spans="2:35" ht="255">
      <c r="B6261" s="1">
        <v>45218</v>
      </c>
      <c r="C6261" s="4">
        <v>45217.658333333333</v>
      </c>
      <c r="D6261" t="s">
        <v>37011</v>
      </c>
      <c r="E6261" t="s">
        <v>37930</v>
      </c>
      <c r="F6261" t="s">
        <v>148</v>
      </c>
      <c r="G6261" t="s">
        <v>447</v>
      </c>
      <c r="H6261" t="s">
        <v>37023</v>
      </c>
      <c r="I6261" t="s">
        <v>40</v>
      </c>
      <c r="J6261" t="s">
        <v>525</v>
      </c>
      <c r="K6261" t="s">
        <v>408</v>
      </c>
      <c r="L6261" t="s">
        <v>448</v>
      </c>
      <c r="P6261" t="s">
        <v>9618</v>
      </c>
      <c r="Q6261">
        <v>26292</v>
      </c>
      <c r="R6261" t="s">
        <v>322</v>
      </c>
      <c r="S6261" t="s">
        <v>37931</v>
      </c>
      <c r="T6261">
        <v>26</v>
      </c>
      <c r="W6261" t="s">
        <v>6378</v>
      </c>
      <c r="X6261" t="s">
        <v>31285</v>
      </c>
      <c r="Y6261" t="s">
        <v>37932</v>
      </c>
      <c r="Z6261" s="2" t="s">
        <v>37933</v>
      </c>
      <c r="AA6261" t="s">
        <v>4487</v>
      </c>
      <c r="AB6261" t="s">
        <v>37934</v>
      </c>
      <c r="AC6261" t="s">
        <v>656</v>
      </c>
      <c r="AG6261" t="s">
        <v>37935</v>
      </c>
      <c r="AH6261" t="s">
        <v>37936</v>
      </c>
      <c r="AI6261" t="s">
        <v>37937</v>
      </c>
    </row>
    <row r="6262" spans="2:35" ht="270">
      <c r="B6262" s="1">
        <v>45218</v>
      </c>
      <c r="C6262" s="4">
        <v>45216.442361111112</v>
      </c>
      <c r="D6262" t="s">
        <v>37938</v>
      </c>
      <c r="E6262" t="s">
        <v>37939</v>
      </c>
      <c r="F6262" t="s">
        <v>148</v>
      </c>
      <c r="G6262" t="s">
        <v>4786</v>
      </c>
      <c r="H6262" t="s">
        <v>662</v>
      </c>
      <c r="I6262" t="s">
        <v>40</v>
      </c>
      <c r="J6262" s="2" t="s">
        <v>41</v>
      </c>
      <c r="K6262" t="s">
        <v>42</v>
      </c>
      <c r="L6262" t="s">
        <v>448</v>
      </c>
      <c r="Q6262">
        <v>26291</v>
      </c>
      <c r="R6262" t="s">
        <v>45</v>
      </c>
      <c r="S6262" t="s">
        <v>37940</v>
      </c>
      <c r="T6262">
        <v>31</v>
      </c>
      <c r="U6262" s="2" t="s">
        <v>37941</v>
      </c>
      <c r="V6262" s="1">
        <v>45215</v>
      </c>
      <c r="W6262" t="s">
        <v>360</v>
      </c>
      <c r="X6262">
        <v>834628</v>
      </c>
      <c r="Y6262" t="s">
        <v>37942</v>
      </c>
      <c r="Z6262" s="2" t="s">
        <v>37943</v>
      </c>
      <c r="AA6262" t="s">
        <v>20643</v>
      </c>
      <c r="AB6262" t="s">
        <v>486</v>
      </c>
      <c r="AC6262" t="s">
        <v>37944</v>
      </c>
      <c r="AD6262" t="s">
        <v>19700</v>
      </c>
      <c r="AE6262" t="s">
        <v>37945</v>
      </c>
      <c r="AG6262" t="s">
        <v>37946</v>
      </c>
      <c r="AH6262" t="s">
        <v>37947</v>
      </c>
      <c r="AI6262" t="s">
        <v>37948</v>
      </c>
    </row>
    <row r="6263" spans="2:35" ht="105">
      <c r="B6263" s="1">
        <v>45218</v>
      </c>
      <c r="C6263" s="4">
        <v>45218.448611111111</v>
      </c>
      <c r="D6263" t="s">
        <v>8654</v>
      </c>
      <c r="E6263" t="s">
        <v>8655</v>
      </c>
      <c r="F6263">
        <v>8</v>
      </c>
      <c r="G6263" t="s">
        <v>257</v>
      </c>
      <c r="H6263" t="s">
        <v>17343</v>
      </c>
      <c r="I6263" t="s">
        <v>40</v>
      </c>
      <c r="J6263" t="s">
        <v>109</v>
      </c>
      <c r="K6263" t="s">
        <v>42</v>
      </c>
      <c r="L6263" t="s">
        <v>259</v>
      </c>
      <c r="Q6263">
        <v>26290</v>
      </c>
      <c r="R6263" t="s">
        <v>119</v>
      </c>
      <c r="S6263" t="s">
        <v>8656</v>
      </c>
      <c r="T6263">
        <v>28</v>
      </c>
      <c r="U6263" s="2" t="s">
        <v>10887</v>
      </c>
      <c r="V6263" s="1">
        <v>45218</v>
      </c>
      <c r="W6263" t="s">
        <v>84</v>
      </c>
      <c r="X6263">
        <v>838409</v>
      </c>
      <c r="Y6263" t="s">
        <v>1716</v>
      </c>
      <c r="Z6263" t="s">
        <v>1716</v>
      </c>
      <c r="AA6263" t="e">
        <f ca="1">-performed Preventive Maintenance
- performed functionality test
- Generate reports</f>
        <v>#NAME?</v>
      </c>
      <c r="AB6263" t="s">
        <v>70</v>
      </c>
      <c r="AG6263" t="s">
        <v>37949</v>
      </c>
      <c r="AH6263" t="s">
        <v>11152</v>
      </c>
      <c r="AI6263" t="s">
        <v>37950</v>
      </c>
    </row>
    <row r="6264" spans="2:35" ht="409.5">
      <c r="B6264" s="1">
        <v>45218</v>
      </c>
      <c r="C6264" s="4">
        <v>45218.386111111111</v>
      </c>
      <c r="D6264" t="s">
        <v>27323</v>
      </c>
      <c r="E6264" t="s">
        <v>27324</v>
      </c>
      <c r="F6264">
        <v>3</v>
      </c>
      <c r="G6264" t="s">
        <v>730</v>
      </c>
      <c r="H6264" t="s">
        <v>39</v>
      </c>
      <c r="I6264" t="s">
        <v>40</v>
      </c>
      <c r="J6264" s="2" t="s">
        <v>62</v>
      </c>
      <c r="K6264" t="s">
        <v>42</v>
      </c>
      <c r="L6264" t="s">
        <v>135</v>
      </c>
      <c r="Q6264">
        <v>26289</v>
      </c>
      <c r="R6264" t="s">
        <v>119</v>
      </c>
      <c r="S6264" t="s">
        <v>24877</v>
      </c>
      <c r="T6264">
        <v>29</v>
      </c>
      <c r="U6264" s="2" t="s">
        <v>33855</v>
      </c>
      <c r="W6264" t="s">
        <v>2680</v>
      </c>
      <c r="X6264">
        <v>831909</v>
      </c>
      <c r="Y6264" s="2" t="s">
        <v>37951</v>
      </c>
      <c r="Z6264" s="2" t="s">
        <v>37952</v>
      </c>
      <c r="AA6264" s="2" t="s">
        <v>37953</v>
      </c>
      <c r="AB6264" t="s">
        <v>37954</v>
      </c>
      <c r="AC6264" t="s">
        <v>15866</v>
      </c>
      <c r="AG6264" t="s">
        <v>37955</v>
      </c>
      <c r="AH6264" t="s">
        <v>27327</v>
      </c>
      <c r="AI6264" t="s">
        <v>37956</v>
      </c>
    </row>
    <row r="6265" spans="2:35" ht="360">
      <c r="B6265" s="1">
        <v>45218</v>
      </c>
      <c r="C6265" s="4">
        <v>45218.411805555559</v>
      </c>
      <c r="D6265" t="s">
        <v>1885</v>
      </c>
      <c r="E6265" t="s">
        <v>2136</v>
      </c>
      <c r="F6265" t="s">
        <v>1255</v>
      </c>
      <c r="G6265" t="s">
        <v>1887</v>
      </c>
      <c r="H6265" t="s">
        <v>1473</v>
      </c>
      <c r="I6265" t="s">
        <v>94</v>
      </c>
      <c r="J6265" s="2" t="s">
        <v>41</v>
      </c>
      <c r="K6265" t="s">
        <v>42</v>
      </c>
      <c r="L6265" t="s">
        <v>296</v>
      </c>
      <c r="Q6265">
        <v>26288</v>
      </c>
      <c r="R6265" t="s">
        <v>45</v>
      </c>
      <c r="S6265" t="s">
        <v>23208</v>
      </c>
      <c r="T6265">
        <v>23.5</v>
      </c>
      <c r="U6265" s="2" t="s">
        <v>37957</v>
      </c>
      <c r="V6265" s="1">
        <v>45218</v>
      </c>
      <c r="W6265" t="s">
        <v>23049</v>
      </c>
      <c r="X6265">
        <v>807463</v>
      </c>
      <c r="Y6265" t="s">
        <v>3865</v>
      </c>
      <c r="Z6265" t="s">
        <v>9161</v>
      </c>
      <c r="AA6265" t="s">
        <v>37958</v>
      </c>
      <c r="AB6265" t="s">
        <v>972</v>
      </c>
      <c r="AD6265" t="s">
        <v>37959</v>
      </c>
      <c r="AE6265" t="s">
        <v>19700</v>
      </c>
      <c r="AG6265" t="s">
        <v>37960</v>
      </c>
      <c r="AH6265" t="s">
        <v>37961</v>
      </c>
      <c r="AI6265" t="s">
        <v>37962</v>
      </c>
    </row>
    <row r="6266" spans="2:35" ht="285">
      <c r="B6266" s="1">
        <v>45218</v>
      </c>
      <c r="C6266" s="4">
        <v>45218.384722222225</v>
      </c>
      <c r="D6266" t="s">
        <v>26102</v>
      </c>
      <c r="E6266" t="s">
        <v>37963</v>
      </c>
      <c r="F6266" t="s">
        <v>37</v>
      </c>
      <c r="G6266" t="s">
        <v>78</v>
      </c>
      <c r="H6266" t="s">
        <v>39</v>
      </c>
      <c r="I6266" t="s">
        <v>40</v>
      </c>
      <c r="J6266" t="s">
        <v>321</v>
      </c>
      <c r="K6266" t="s">
        <v>42</v>
      </c>
      <c r="L6266" t="s">
        <v>1943</v>
      </c>
      <c r="Q6266">
        <v>26287</v>
      </c>
      <c r="R6266" t="s">
        <v>119</v>
      </c>
      <c r="S6266" t="s">
        <v>37964</v>
      </c>
      <c r="T6266">
        <v>25</v>
      </c>
      <c r="U6266" s="2" t="s">
        <v>37965</v>
      </c>
      <c r="V6266" s="1">
        <v>45215</v>
      </c>
      <c r="W6266" t="s">
        <v>84</v>
      </c>
      <c r="X6266">
        <v>821278</v>
      </c>
      <c r="Y6266" t="s">
        <v>37966</v>
      </c>
      <c r="Z6266" s="2" t="s">
        <v>37967</v>
      </c>
      <c r="AA6266" t="s">
        <v>3764</v>
      </c>
      <c r="AB6266" t="s">
        <v>181</v>
      </c>
      <c r="AD6266" t="s">
        <v>37968</v>
      </c>
      <c r="AE6266" t="s">
        <v>37969</v>
      </c>
      <c r="AG6266" t="s">
        <v>37970</v>
      </c>
      <c r="AH6266" t="s">
        <v>37971</v>
      </c>
      <c r="AI6266" t="s">
        <v>37972</v>
      </c>
    </row>
    <row r="6267" spans="2:35" ht="105">
      <c r="B6267" s="1">
        <v>45217</v>
      </c>
      <c r="C6267" s="4">
        <v>45217.709027777775</v>
      </c>
      <c r="D6267" t="s">
        <v>37874</v>
      </c>
      <c r="E6267" t="s">
        <v>37973</v>
      </c>
      <c r="F6267" t="s">
        <v>1255</v>
      </c>
      <c r="G6267" t="s">
        <v>17856</v>
      </c>
      <c r="H6267" t="s">
        <v>10969</v>
      </c>
      <c r="I6267" t="s">
        <v>40</v>
      </c>
      <c r="J6267" t="s">
        <v>109</v>
      </c>
      <c r="K6267" t="s">
        <v>42</v>
      </c>
      <c r="L6267" t="s">
        <v>1288</v>
      </c>
      <c r="Q6267">
        <v>26286</v>
      </c>
      <c r="R6267" t="s">
        <v>45</v>
      </c>
      <c r="S6267" t="s">
        <v>37974</v>
      </c>
      <c r="T6267">
        <v>27</v>
      </c>
      <c r="U6267" s="2" t="s">
        <v>6447</v>
      </c>
      <c r="W6267" t="s">
        <v>1292</v>
      </c>
      <c r="X6267">
        <v>838454</v>
      </c>
      <c r="Y6267" t="s">
        <v>9143</v>
      </c>
      <c r="Z6267" t="e">
        <f ca="1">-COLLECT IQR, system _xludf.Log, _xludf.and ARCHIVE</f>
        <v>#NAME?</v>
      </c>
      <c r="AA6267" t="e">
        <f ca="1">-PERFORM Cleaning of GX EQUIPMENT _xludf.and workstation
-PERFORM Preventive Maintenance</f>
        <v>#NAME?</v>
      </c>
      <c r="AB6267" t="s">
        <v>1293</v>
      </c>
      <c r="AG6267" t="s">
        <v>37975</v>
      </c>
      <c r="AH6267" t="s">
        <v>37976</v>
      </c>
      <c r="AI6267" t="s">
        <v>37977</v>
      </c>
    </row>
    <row r="6268" spans="2:35" ht="105">
      <c r="B6268" s="1">
        <v>45217</v>
      </c>
      <c r="C6268" s="4">
        <v>45217.706944444442</v>
      </c>
      <c r="D6268" t="s">
        <v>17854</v>
      </c>
      <c r="E6268" t="s">
        <v>37921</v>
      </c>
      <c r="F6268" t="s">
        <v>1255</v>
      </c>
      <c r="G6268" t="s">
        <v>17856</v>
      </c>
      <c r="H6268" t="s">
        <v>39</v>
      </c>
      <c r="I6268" t="s">
        <v>94</v>
      </c>
      <c r="J6268" s="2" t="s">
        <v>41</v>
      </c>
      <c r="K6268" t="s">
        <v>42</v>
      </c>
      <c r="L6268" t="s">
        <v>343</v>
      </c>
      <c r="Q6268">
        <v>26285</v>
      </c>
      <c r="R6268" t="s">
        <v>45</v>
      </c>
      <c r="S6268" t="s">
        <v>37974</v>
      </c>
      <c r="T6268">
        <v>26</v>
      </c>
      <c r="U6268" s="2" t="s">
        <v>19646</v>
      </c>
      <c r="V6268" s="1">
        <v>45217</v>
      </c>
      <c r="W6268" t="s">
        <v>6105</v>
      </c>
      <c r="X6268">
        <v>808643</v>
      </c>
      <c r="Y6268" t="s">
        <v>19239</v>
      </c>
      <c r="Z6268" t="s">
        <v>37978</v>
      </c>
      <c r="AA6268" t="e">
        <f ca="1">-module Replacement
-Preventive Maintenance</f>
        <v>#NAME?</v>
      </c>
      <c r="AB6268" t="s">
        <v>37979</v>
      </c>
      <c r="AD6268" t="s">
        <v>37980</v>
      </c>
      <c r="AE6268" t="s">
        <v>45</v>
      </c>
      <c r="AG6268" t="s">
        <v>37981</v>
      </c>
      <c r="AH6268" t="s">
        <v>37976</v>
      </c>
      <c r="AI6268" t="s">
        <v>37982</v>
      </c>
    </row>
    <row r="6269" spans="2:35">
      <c r="B6269" s="1">
        <v>45217</v>
      </c>
      <c r="C6269" s="4">
        <v>45217.701388888891</v>
      </c>
      <c r="D6269" t="s">
        <v>37983</v>
      </c>
      <c r="E6269" t="s">
        <v>37984</v>
      </c>
      <c r="F6269">
        <v>6</v>
      </c>
      <c r="G6269" t="s">
        <v>4457</v>
      </c>
      <c r="H6269" t="s">
        <v>39</v>
      </c>
      <c r="I6269" t="s">
        <v>94</v>
      </c>
      <c r="J6269" t="s">
        <v>321</v>
      </c>
      <c r="K6269" t="s">
        <v>42</v>
      </c>
      <c r="L6269" t="s">
        <v>433</v>
      </c>
      <c r="Q6269">
        <v>26284</v>
      </c>
      <c r="R6269" t="s">
        <v>322</v>
      </c>
      <c r="S6269" t="s">
        <v>37985</v>
      </c>
      <c r="T6269">
        <v>28</v>
      </c>
      <c r="W6269" t="s">
        <v>1008</v>
      </c>
      <c r="X6269">
        <v>110020745</v>
      </c>
      <c r="Y6269" t="s">
        <v>35796</v>
      </c>
      <c r="Z6269" t="s">
        <v>35796</v>
      </c>
      <c r="AA6269" t="s">
        <v>35796</v>
      </c>
      <c r="AB6269" t="s">
        <v>441</v>
      </c>
      <c r="AG6269" t="s">
        <v>37986</v>
      </c>
      <c r="AH6269" t="s">
        <v>37987</v>
      </c>
      <c r="AI6269" t="s">
        <v>37988</v>
      </c>
    </row>
    <row r="6270" spans="2:35" ht="285">
      <c r="B6270" s="1">
        <v>45217</v>
      </c>
      <c r="C6270" s="4">
        <v>45217.682638888888</v>
      </c>
      <c r="D6270" t="s">
        <v>1343</v>
      </c>
      <c r="E6270" t="s">
        <v>25574</v>
      </c>
      <c r="F6270">
        <v>8</v>
      </c>
      <c r="G6270" t="s">
        <v>342</v>
      </c>
      <c r="H6270" t="s">
        <v>39</v>
      </c>
      <c r="I6270" t="s">
        <v>40</v>
      </c>
      <c r="J6270" s="2" t="s">
        <v>62</v>
      </c>
      <c r="K6270" t="s">
        <v>42</v>
      </c>
      <c r="L6270" t="s">
        <v>259</v>
      </c>
      <c r="Q6270">
        <v>26283</v>
      </c>
      <c r="R6270" t="s">
        <v>45</v>
      </c>
      <c r="S6270" t="s">
        <v>37989</v>
      </c>
      <c r="T6270">
        <v>28</v>
      </c>
      <c r="U6270" s="2" t="s">
        <v>37990</v>
      </c>
      <c r="V6270" s="1">
        <v>45217</v>
      </c>
      <c r="W6270" t="s">
        <v>84</v>
      </c>
      <c r="X6270">
        <v>815267</v>
      </c>
      <c r="Y6270" t="s">
        <v>67</v>
      </c>
      <c r="Z6270" t="e">
        <f ca="1">-CALIBRATION
- Preventive Maintenance</f>
        <v>#NAME?</v>
      </c>
      <c r="AA6270" t="e">
        <f ca="1">- performed XpertCheck CALIBRATION
- performed Preventive Maintenance
- performed functionality test
- Generate reports</f>
        <v>#NAME?</v>
      </c>
      <c r="AB6270" t="s">
        <v>70</v>
      </c>
      <c r="AC6270" t="s">
        <v>5243</v>
      </c>
      <c r="AD6270" t="s">
        <v>948</v>
      </c>
      <c r="AE6270" t="s">
        <v>45</v>
      </c>
      <c r="AG6270" t="s">
        <v>37991</v>
      </c>
      <c r="AH6270" t="s">
        <v>37992</v>
      </c>
      <c r="AI6270" t="s">
        <v>37993</v>
      </c>
    </row>
    <row r="6271" spans="2:35" ht="75">
      <c r="B6271" s="1">
        <v>45217</v>
      </c>
      <c r="C6271" s="4">
        <v>45217.659722222219</v>
      </c>
      <c r="D6271" t="s">
        <v>1885</v>
      </c>
      <c r="E6271" t="s">
        <v>2136</v>
      </c>
      <c r="F6271" t="s">
        <v>1255</v>
      </c>
      <c r="G6271" t="s">
        <v>1887</v>
      </c>
      <c r="H6271" t="s">
        <v>295</v>
      </c>
      <c r="I6271" t="s">
        <v>94</v>
      </c>
      <c r="J6271" s="2" t="s">
        <v>41</v>
      </c>
      <c r="K6271" t="s">
        <v>42</v>
      </c>
      <c r="L6271" t="s">
        <v>296</v>
      </c>
      <c r="Q6271">
        <v>26282</v>
      </c>
      <c r="R6271" t="s">
        <v>45</v>
      </c>
      <c r="S6271" t="s">
        <v>1888</v>
      </c>
      <c r="T6271">
        <v>24.6</v>
      </c>
      <c r="U6271" s="2" t="s">
        <v>22557</v>
      </c>
      <c r="V6271" s="1">
        <v>45217</v>
      </c>
      <c r="W6271" t="s">
        <v>23049</v>
      </c>
      <c r="X6271">
        <v>834441</v>
      </c>
      <c r="Y6271" t="s">
        <v>3865</v>
      </c>
      <c r="Z6271" t="s">
        <v>9161</v>
      </c>
      <c r="AA6271" t="s">
        <v>37994</v>
      </c>
      <c r="AB6271" t="s">
        <v>972</v>
      </c>
      <c r="AD6271" t="s">
        <v>37995</v>
      </c>
      <c r="AE6271" t="s">
        <v>19700</v>
      </c>
      <c r="AG6271" t="s">
        <v>37996</v>
      </c>
      <c r="AH6271" t="s">
        <v>8496</v>
      </c>
      <c r="AI6271" t="s">
        <v>37997</v>
      </c>
    </row>
    <row r="6272" spans="2:35" ht="105">
      <c r="B6272" s="1">
        <v>45217</v>
      </c>
      <c r="C6272" s="4">
        <v>45217.663888888892</v>
      </c>
      <c r="D6272" t="s">
        <v>1885</v>
      </c>
      <c r="E6272" t="s">
        <v>2136</v>
      </c>
      <c r="F6272" t="s">
        <v>1255</v>
      </c>
      <c r="G6272" t="s">
        <v>1887</v>
      </c>
      <c r="H6272" t="s">
        <v>295</v>
      </c>
      <c r="I6272" t="s">
        <v>94</v>
      </c>
      <c r="J6272" s="2" t="s">
        <v>41</v>
      </c>
      <c r="K6272" t="s">
        <v>42</v>
      </c>
      <c r="L6272" t="s">
        <v>296</v>
      </c>
      <c r="Q6272">
        <v>26281</v>
      </c>
      <c r="R6272" t="s">
        <v>45</v>
      </c>
      <c r="S6272" t="s">
        <v>1888</v>
      </c>
      <c r="T6272">
        <v>25.4</v>
      </c>
      <c r="U6272" s="2" t="s">
        <v>37998</v>
      </c>
      <c r="V6272" s="1">
        <v>45217</v>
      </c>
      <c r="W6272" t="s">
        <v>23049</v>
      </c>
      <c r="X6272">
        <v>834442</v>
      </c>
      <c r="Y6272" t="s">
        <v>11013</v>
      </c>
      <c r="Z6272" t="s">
        <v>9161</v>
      </c>
      <c r="AA6272" t="s">
        <v>37999</v>
      </c>
      <c r="AB6272" t="s">
        <v>972</v>
      </c>
      <c r="AD6272" t="s">
        <v>38000</v>
      </c>
      <c r="AE6272" t="s">
        <v>19700</v>
      </c>
      <c r="AG6272" t="s">
        <v>38001</v>
      </c>
      <c r="AH6272" t="s">
        <v>8496</v>
      </c>
      <c r="AI6272" t="s">
        <v>38002</v>
      </c>
    </row>
    <row r="6273" spans="2:35" ht="210">
      <c r="B6273" s="1">
        <v>45217</v>
      </c>
      <c r="C6273" s="4">
        <v>45216.534722222219</v>
      </c>
      <c r="D6273" t="s">
        <v>38003</v>
      </c>
      <c r="E6273" t="s">
        <v>38004</v>
      </c>
      <c r="F6273">
        <v>12</v>
      </c>
      <c r="G6273" t="s">
        <v>978</v>
      </c>
      <c r="H6273" t="s">
        <v>1473</v>
      </c>
      <c r="I6273" t="s">
        <v>94</v>
      </c>
      <c r="J6273" s="2" t="s">
        <v>1309</v>
      </c>
      <c r="K6273" t="s">
        <v>42</v>
      </c>
      <c r="L6273" t="s">
        <v>296</v>
      </c>
      <c r="Q6273">
        <v>26280</v>
      </c>
      <c r="R6273" t="s">
        <v>45</v>
      </c>
      <c r="S6273" t="s">
        <v>38005</v>
      </c>
      <c r="T6273">
        <v>28.1</v>
      </c>
      <c r="U6273" s="2" t="s">
        <v>38006</v>
      </c>
      <c r="V6273" s="1">
        <v>45216</v>
      </c>
      <c r="W6273" t="s">
        <v>38007</v>
      </c>
      <c r="X6273">
        <v>835184</v>
      </c>
      <c r="Y6273" t="s">
        <v>38008</v>
      </c>
      <c r="Z6273" t="s">
        <v>9161</v>
      </c>
      <c r="AA6273" s="2" t="s">
        <v>38009</v>
      </c>
      <c r="AB6273" t="s">
        <v>16070</v>
      </c>
      <c r="AD6273" t="s">
        <v>38010</v>
      </c>
      <c r="AE6273" t="s">
        <v>38011</v>
      </c>
      <c r="AG6273" t="s">
        <v>38012</v>
      </c>
      <c r="AH6273" t="s">
        <v>38013</v>
      </c>
      <c r="AI6273" t="s">
        <v>38014</v>
      </c>
    </row>
    <row r="6274" spans="2:35">
      <c r="B6274" s="1">
        <v>45217</v>
      </c>
      <c r="C6274" s="4">
        <v>45217.643055555556</v>
      </c>
      <c r="D6274" t="s">
        <v>8131</v>
      </c>
      <c r="E6274" t="s">
        <v>8132</v>
      </c>
      <c r="F6274">
        <v>6</v>
      </c>
      <c r="G6274" t="s">
        <v>4457</v>
      </c>
      <c r="H6274" t="s">
        <v>39</v>
      </c>
      <c r="I6274" t="s">
        <v>40</v>
      </c>
      <c r="J6274" t="s">
        <v>38015</v>
      </c>
      <c r="K6274" t="s">
        <v>42</v>
      </c>
      <c r="L6274" t="s">
        <v>433</v>
      </c>
      <c r="Q6274">
        <v>26279</v>
      </c>
      <c r="R6274" t="s">
        <v>45</v>
      </c>
      <c r="S6274" t="s">
        <v>18851</v>
      </c>
      <c r="T6274">
        <v>25</v>
      </c>
      <c r="W6274" t="s">
        <v>1008</v>
      </c>
      <c r="X6274">
        <v>804680</v>
      </c>
      <c r="Y6274" t="s">
        <v>2789</v>
      </c>
      <c r="Z6274" t="s">
        <v>38016</v>
      </c>
      <c r="AA6274" t="s">
        <v>38015</v>
      </c>
      <c r="AB6274" t="s">
        <v>1011</v>
      </c>
      <c r="AG6274" t="s">
        <v>38017</v>
      </c>
      <c r="AH6274" t="s">
        <v>18853</v>
      </c>
      <c r="AI6274" t="s">
        <v>38018</v>
      </c>
    </row>
    <row r="6275" spans="2:35" ht="120">
      <c r="B6275" s="1">
        <v>45217</v>
      </c>
      <c r="C6275" s="4">
        <v>45217.638888888891</v>
      </c>
      <c r="D6275" t="s">
        <v>3067</v>
      </c>
      <c r="E6275" t="s">
        <v>25953</v>
      </c>
      <c r="F6275" t="s">
        <v>148</v>
      </c>
      <c r="G6275" t="s">
        <v>447</v>
      </c>
      <c r="H6275" t="s">
        <v>39</v>
      </c>
      <c r="I6275" t="s">
        <v>40</v>
      </c>
      <c r="J6275" t="s">
        <v>79</v>
      </c>
      <c r="K6275" t="s">
        <v>42</v>
      </c>
      <c r="L6275" t="s">
        <v>175</v>
      </c>
      <c r="Q6275">
        <v>26278</v>
      </c>
      <c r="R6275" t="s">
        <v>45</v>
      </c>
      <c r="S6275" t="s">
        <v>3069</v>
      </c>
      <c r="T6275">
        <v>25</v>
      </c>
      <c r="U6275" s="2" t="s">
        <v>24107</v>
      </c>
      <c r="V6275" s="1">
        <v>45216</v>
      </c>
      <c r="W6275" t="s">
        <v>84</v>
      </c>
      <c r="X6275">
        <v>838881</v>
      </c>
      <c r="Y6275" t="s">
        <v>38019</v>
      </c>
      <c r="Z6275" t="e">
        <f ca="1">- checked _xludf.and cleaned cartridge bay, plunger rod, _xludf.filter
- replaced B2, B3
- generated reports</f>
        <v>#NAME?</v>
      </c>
      <c r="AA6275" t="s">
        <v>38020</v>
      </c>
      <c r="AB6275" t="s">
        <v>88</v>
      </c>
      <c r="AD6275" s="2" t="s">
        <v>38021</v>
      </c>
      <c r="AE6275" t="s">
        <v>103</v>
      </c>
      <c r="AG6275" t="s">
        <v>38022</v>
      </c>
      <c r="AH6275" t="s">
        <v>23675</v>
      </c>
      <c r="AI6275" t="s">
        <v>38023</v>
      </c>
    </row>
    <row r="6276" spans="2:35" ht="270">
      <c r="B6276" s="1">
        <v>45217</v>
      </c>
      <c r="C6276" s="4">
        <v>45217.604861111111</v>
      </c>
      <c r="D6276" t="s">
        <v>22134</v>
      </c>
      <c r="E6276" t="s">
        <v>22135</v>
      </c>
      <c r="F6276" t="s">
        <v>37</v>
      </c>
      <c r="G6276" t="s">
        <v>2499</v>
      </c>
      <c r="H6276" t="s">
        <v>39</v>
      </c>
      <c r="I6276" t="s">
        <v>40</v>
      </c>
      <c r="J6276" s="2" t="s">
        <v>2170</v>
      </c>
      <c r="K6276" t="s">
        <v>42</v>
      </c>
      <c r="L6276" t="s">
        <v>15532</v>
      </c>
      <c r="Q6276">
        <v>26277</v>
      </c>
      <c r="R6276" t="s">
        <v>119</v>
      </c>
      <c r="S6276" t="s">
        <v>22136</v>
      </c>
      <c r="T6276">
        <v>26</v>
      </c>
      <c r="U6276" s="2" t="s">
        <v>38024</v>
      </c>
      <c r="W6276" t="s">
        <v>3244</v>
      </c>
      <c r="X6276">
        <v>831636</v>
      </c>
      <c r="Y6276" t="s">
        <v>38025</v>
      </c>
      <c r="Z6276" s="2" t="s">
        <v>38026</v>
      </c>
      <c r="AA6276" t="s">
        <v>777</v>
      </c>
      <c r="AB6276" t="s">
        <v>181</v>
      </c>
      <c r="AC6276" t="s">
        <v>38027</v>
      </c>
      <c r="AG6276" t="s">
        <v>38028</v>
      </c>
      <c r="AH6276" t="s">
        <v>37533</v>
      </c>
      <c r="AI6276" t="s">
        <v>38029</v>
      </c>
    </row>
    <row r="6277" spans="2:35" ht="225">
      <c r="B6277" s="1">
        <v>45217</v>
      </c>
      <c r="C6277" s="4">
        <v>45217.59097222222</v>
      </c>
      <c r="D6277" t="s">
        <v>38030</v>
      </c>
      <c r="E6277" t="s">
        <v>38031</v>
      </c>
      <c r="F6277" t="s">
        <v>37</v>
      </c>
      <c r="G6277" t="s">
        <v>2499</v>
      </c>
      <c r="H6277" t="s">
        <v>39</v>
      </c>
      <c r="I6277" t="s">
        <v>40</v>
      </c>
      <c r="J6277" s="2" t="s">
        <v>41</v>
      </c>
      <c r="K6277" t="s">
        <v>42</v>
      </c>
      <c r="L6277" t="s">
        <v>15532</v>
      </c>
      <c r="Q6277">
        <v>26276</v>
      </c>
      <c r="R6277" t="s">
        <v>719</v>
      </c>
      <c r="S6277" t="s">
        <v>30396</v>
      </c>
      <c r="T6277">
        <v>27</v>
      </c>
      <c r="U6277" s="2" t="s">
        <v>2440</v>
      </c>
      <c r="V6277" s="1">
        <v>45191</v>
      </c>
      <c r="W6277" t="s">
        <v>3244</v>
      </c>
      <c r="X6277">
        <v>847334</v>
      </c>
      <c r="Y6277" t="s">
        <v>424</v>
      </c>
      <c r="Z6277" s="2" t="s">
        <v>38032</v>
      </c>
      <c r="AA6277" s="2" t="s">
        <v>38033</v>
      </c>
      <c r="AB6277" s="2" t="s">
        <v>15539</v>
      </c>
      <c r="AC6277" t="s">
        <v>38034</v>
      </c>
      <c r="AD6277" t="s">
        <v>15847</v>
      </c>
      <c r="AE6277" t="s">
        <v>38035</v>
      </c>
      <c r="AG6277" t="s">
        <v>38036</v>
      </c>
      <c r="AH6277" t="s">
        <v>38037</v>
      </c>
      <c r="AI6277" t="s">
        <v>38038</v>
      </c>
    </row>
    <row r="6278" spans="2:35" ht="165">
      <c r="B6278" s="1">
        <v>45217</v>
      </c>
      <c r="C6278" s="4">
        <v>45217.45416666667</v>
      </c>
      <c r="D6278" t="s">
        <v>674</v>
      </c>
      <c r="E6278" t="s">
        <v>38039</v>
      </c>
      <c r="F6278" t="s">
        <v>148</v>
      </c>
      <c r="G6278" t="s">
        <v>447</v>
      </c>
      <c r="H6278" t="s">
        <v>39</v>
      </c>
      <c r="I6278" t="s">
        <v>40</v>
      </c>
      <c r="J6278" s="2" t="s">
        <v>190</v>
      </c>
      <c r="K6278" t="s">
        <v>42</v>
      </c>
      <c r="L6278" t="s">
        <v>15532</v>
      </c>
      <c r="Q6278">
        <v>26275</v>
      </c>
      <c r="R6278" t="s">
        <v>45</v>
      </c>
      <c r="S6278" t="s">
        <v>675</v>
      </c>
      <c r="T6278">
        <v>22</v>
      </c>
      <c r="W6278" t="s">
        <v>3244</v>
      </c>
      <c r="X6278">
        <v>707527</v>
      </c>
      <c r="Y6278" t="s">
        <v>38040</v>
      </c>
      <c r="Z6278" s="2" t="s">
        <v>38041</v>
      </c>
      <c r="AA6278" t="s">
        <v>38042</v>
      </c>
      <c r="AB6278" t="s">
        <v>38043</v>
      </c>
      <c r="AG6278" t="s">
        <v>38044</v>
      </c>
      <c r="AH6278" t="s">
        <v>682</v>
      </c>
      <c r="AI6278" t="s">
        <v>38045</v>
      </c>
    </row>
    <row r="6279" spans="2:35" ht="315">
      <c r="B6279" s="1">
        <v>45217</v>
      </c>
      <c r="C6279" s="4">
        <v>45217.568055555559</v>
      </c>
      <c r="D6279" t="s">
        <v>4295</v>
      </c>
      <c r="E6279" t="s">
        <v>24017</v>
      </c>
      <c r="F6279">
        <v>11</v>
      </c>
      <c r="G6279" t="s">
        <v>4297</v>
      </c>
      <c r="H6279" t="s">
        <v>202</v>
      </c>
      <c r="I6279" t="s">
        <v>40</v>
      </c>
      <c r="J6279" t="s">
        <v>109</v>
      </c>
      <c r="K6279" t="s">
        <v>42</v>
      </c>
      <c r="L6279" t="s">
        <v>204</v>
      </c>
      <c r="Q6279">
        <v>26274</v>
      </c>
      <c r="R6279" t="s">
        <v>45</v>
      </c>
      <c r="S6279" t="s">
        <v>24018</v>
      </c>
      <c r="T6279">
        <v>26.5</v>
      </c>
      <c r="U6279" s="2" t="s">
        <v>14869</v>
      </c>
      <c r="W6279" t="s">
        <v>23237</v>
      </c>
      <c r="X6279">
        <v>805258</v>
      </c>
      <c r="Y6279" t="s">
        <v>2851</v>
      </c>
      <c r="Z6279" s="2" t="s">
        <v>1321</v>
      </c>
      <c r="AA6279" t="s">
        <v>2551</v>
      </c>
      <c r="AB6279" t="s">
        <v>38046</v>
      </c>
      <c r="AG6279" t="s">
        <v>38047</v>
      </c>
      <c r="AH6279" t="s">
        <v>38048</v>
      </c>
      <c r="AI6279" t="s">
        <v>38049</v>
      </c>
    </row>
    <row r="6280" spans="2:35" ht="105">
      <c r="B6280" s="1">
        <v>45217</v>
      </c>
      <c r="C6280" s="4">
        <v>45217.529861111114</v>
      </c>
      <c r="D6280" t="s">
        <v>2901</v>
      </c>
      <c r="E6280" t="s">
        <v>38050</v>
      </c>
      <c r="F6280">
        <v>9</v>
      </c>
      <c r="G6280" t="s">
        <v>2903</v>
      </c>
      <c r="H6280" t="s">
        <v>39</v>
      </c>
      <c r="I6280" t="s">
        <v>40</v>
      </c>
      <c r="J6280" s="2" t="s">
        <v>609</v>
      </c>
      <c r="K6280" t="s">
        <v>42</v>
      </c>
      <c r="L6280" t="s">
        <v>1257</v>
      </c>
      <c r="Q6280">
        <v>26273</v>
      </c>
      <c r="R6280" t="s">
        <v>45</v>
      </c>
      <c r="S6280" t="s">
        <v>38051</v>
      </c>
      <c r="T6280">
        <v>25</v>
      </c>
      <c r="U6280" s="2" t="s">
        <v>7829</v>
      </c>
      <c r="V6280" s="1">
        <v>45216</v>
      </c>
      <c r="W6280" t="s">
        <v>2384</v>
      </c>
      <c r="X6280">
        <v>804698</v>
      </c>
      <c r="Y6280" t="s">
        <v>30734</v>
      </c>
      <c r="Z6280" t="s">
        <v>38052</v>
      </c>
      <c r="AA6280" t="s">
        <v>38053</v>
      </c>
      <c r="AB6280" t="s">
        <v>38054</v>
      </c>
      <c r="AC6280" t="s">
        <v>301</v>
      </c>
      <c r="AD6280" t="s">
        <v>54</v>
      </c>
      <c r="AE6280" t="s">
        <v>54</v>
      </c>
      <c r="AG6280" t="s">
        <v>38055</v>
      </c>
      <c r="AH6280" t="s">
        <v>38056</v>
      </c>
      <c r="AI6280" t="s">
        <v>38057</v>
      </c>
    </row>
    <row r="6281" spans="2:35" ht="225">
      <c r="B6281" s="1">
        <v>45217</v>
      </c>
      <c r="C6281" s="4">
        <v>45217.474305555559</v>
      </c>
      <c r="D6281" t="s">
        <v>37291</v>
      </c>
      <c r="E6281" t="s">
        <v>37292</v>
      </c>
      <c r="F6281">
        <v>3</v>
      </c>
      <c r="G6281" t="s">
        <v>1722</v>
      </c>
      <c r="H6281" t="s">
        <v>39</v>
      </c>
      <c r="I6281" t="s">
        <v>40</v>
      </c>
      <c r="J6281" s="2" t="s">
        <v>41</v>
      </c>
      <c r="K6281" t="s">
        <v>42</v>
      </c>
      <c r="L6281" t="s">
        <v>63</v>
      </c>
      <c r="Q6281">
        <v>26272</v>
      </c>
      <c r="R6281" t="s">
        <v>45</v>
      </c>
      <c r="S6281" t="s">
        <v>37293</v>
      </c>
      <c r="T6281">
        <v>28</v>
      </c>
      <c r="V6281" s="1">
        <v>45217</v>
      </c>
      <c r="W6281" t="s">
        <v>26915</v>
      </c>
      <c r="X6281">
        <v>812832</v>
      </c>
      <c r="Y6281" t="s">
        <v>38058</v>
      </c>
      <c r="Z6281" t="s">
        <v>11377</v>
      </c>
      <c r="AA6281" s="2" t="s">
        <v>38059</v>
      </c>
      <c r="AB6281" t="s">
        <v>70</v>
      </c>
      <c r="AC6281" t="s">
        <v>38060</v>
      </c>
      <c r="AD6281" t="s">
        <v>38061</v>
      </c>
      <c r="AE6281" t="s">
        <v>1716</v>
      </c>
      <c r="AG6281" t="s">
        <v>38062</v>
      </c>
      <c r="AH6281" t="s">
        <v>38063</v>
      </c>
      <c r="AI6281" t="s">
        <v>38064</v>
      </c>
    </row>
    <row r="6282" spans="2:35" ht="105">
      <c r="B6282" s="1">
        <v>45217</v>
      </c>
      <c r="C6282" s="4">
        <v>45217.436111111114</v>
      </c>
      <c r="D6282" t="s">
        <v>38065</v>
      </c>
      <c r="E6282" t="s">
        <v>38066</v>
      </c>
      <c r="F6282">
        <v>8</v>
      </c>
      <c r="G6282" t="s">
        <v>2945</v>
      </c>
      <c r="H6282" t="s">
        <v>39</v>
      </c>
      <c r="I6282" t="s">
        <v>40</v>
      </c>
      <c r="J6282" s="2" t="s">
        <v>62</v>
      </c>
      <c r="K6282" t="s">
        <v>42</v>
      </c>
      <c r="L6282" t="s">
        <v>259</v>
      </c>
      <c r="Q6282">
        <v>26271</v>
      </c>
      <c r="R6282" t="s">
        <v>45</v>
      </c>
      <c r="S6282" t="s">
        <v>38067</v>
      </c>
      <c r="T6282">
        <v>27</v>
      </c>
      <c r="U6282" s="2" t="s">
        <v>26868</v>
      </c>
      <c r="V6282" s="1">
        <v>45217</v>
      </c>
      <c r="W6282" t="s">
        <v>35955</v>
      </c>
      <c r="X6282">
        <v>834825</v>
      </c>
      <c r="Y6282" t="s">
        <v>67</v>
      </c>
      <c r="Z6282" t="e">
        <f ca="1">- CALIBRATION
- Preventive Maintenance</f>
        <v>#NAME?</v>
      </c>
      <c r="AA6282" t="e">
        <f ca="1">- performed XpertCheck CALIBRATION
- performed Preventive Maintenance
- performed functionality test
- Generate reports</f>
        <v>#NAME?</v>
      </c>
      <c r="AB6282" t="s">
        <v>70</v>
      </c>
      <c r="AC6282" t="s">
        <v>38068</v>
      </c>
      <c r="AD6282" t="s">
        <v>948</v>
      </c>
      <c r="AE6282" t="s">
        <v>45</v>
      </c>
      <c r="AG6282" t="s">
        <v>38069</v>
      </c>
      <c r="AH6282" t="s">
        <v>38070</v>
      </c>
      <c r="AI6282" t="s">
        <v>38071</v>
      </c>
    </row>
    <row r="6283" spans="2:35" ht="45">
      <c r="B6283" s="1">
        <v>45217</v>
      </c>
      <c r="C6283" s="4">
        <v>45217.435416666667</v>
      </c>
      <c r="D6283" t="s">
        <v>38072</v>
      </c>
      <c r="E6283" t="s">
        <v>38073</v>
      </c>
      <c r="F6283">
        <v>6</v>
      </c>
      <c r="G6283" t="s">
        <v>1286</v>
      </c>
      <c r="H6283" t="s">
        <v>39</v>
      </c>
      <c r="I6283" t="s">
        <v>40</v>
      </c>
      <c r="J6283" s="2" t="s">
        <v>41</v>
      </c>
      <c r="K6283" t="s">
        <v>42</v>
      </c>
      <c r="L6283" t="s">
        <v>433</v>
      </c>
      <c r="Q6283">
        <v>26270</v>
      </c>
      <c r="R6283" t="s">
        <v>45</v>
      </c>
      <c r="S6283" t="s">
        <v>24063</v>
      </c>
      <c r="T6283">
        <v>27</v>
      </c>
      <c r="W6283" t="s">
        <v>12212</v>
      </c>
      <c r="X6283">
        <v>815279</v>
      </c>
      <c r="Y6283" t="s">
        <v>38074</v>
      </c>
      <c r="Z6283" t="s">
        <v>38075</v>
      </c>
      <c r="AA6283" t="s">
        <v>38076</v>
      </c>
      <c r="AB6283" t="s">
        <v>1011</v>
      </c>
      <c r="AG6283" t="s">
        <v>38077</v>
      </c>
      <c r="AH6283" t="s">
        <v>38078</v>
      </c>
      <c r="AI6283" t="s">
        <v>38079</v>
      </c>
    </row>
    <row r="6284" spans="2:35" ht="60">
      <c r="B6284" s="1">
        <v>45217</v>
      </c>
      <c r="C6284" s="4">
        <v>45212.42291666667</v>
      </c>
      <c r="D6284" t="s">
        <v>9702</v>
      </c>
      <c r="E6284" t="s">
        <v>11385</v>
      </c>
      <c r="F6284" t="s">
        <v>1255</v>
      </c>
      <c r="G6284" t="s">
        <v>3346</v>
      </c>
      <c r="H6284" t="s">
        <v>39</v>
      </c>
      <c r="I6284" t="s">
        <v>40</v>
      </c>
      <c r="J6284" s="2" t="s">
        <v>62</v>
      </c>
      <c r="K6284" t="s">
        <v>42</v>
      </c>
      <c r="L6284" t="s">
        <v>1257</v>
      </c>
      <c r="Q6284">
        <v>26269</v>
      </c>
      <c r="R6284" t="s">
        <v>119</v>
      </c>
      <c r="S6284" t="s">
        <v>6727</v>
      </c>
      <c r="T6284">
        <v>35</v>
      </c>
      <c r="V6284" s="1">
        <v>45141</v>
      </c>
      <c r="W6284" t="s">
        <v>2384</v>
      </c>
      <c r="X6284">
        <v>838835</v>
      </c>
      <c r="Y6284" t="s">
        <v>301</v>
      </c>
      <c r="Z6284" t="s">
        <v>38080</v>
      </c>
      <c r="AA6284" t="s">
        <v>38081</v>
      </c>
      <c r="AB6284" t="s">
        <v>7411</v>
      </c>
      <c r="AC6284" t="s">
        <v>301</v>
      </c>
      <c r="AD6284" t="s">
        <v>5255</v>
      </c>
      <c r="AE6284">
        <v>1045</v>
      </c>
      <c r="AG6284" t="s">
        <v>38082</v>
      </c>
      <c r="AH6284" t="s">
        <v>9709</v>
      </c>
      <c r="AI6284" t="s">
        <v>38083</v>
      </c>
    </row>
    <row r="6285" spans="2:35" ht="195">
      <c r="B6285" s="1">
        <v>45217</v>
      </c>
      <c r="C6285" s="4">
        <v>45217.40625</v>
      </c>
      <c r="D6285" t="s">
        <v>22025</v>
      </c>
      <c r="E6285" t="s">
        <v>38084</v>
      </c>
      <c r="F6285" t="s">
        <v>148</v>
      </c>
      <c r="G6285" t="s">
        <v>447</v>
      </c>
      <c r="H6285" t="s">
        <v>39</v>
      </c>
      <c r="I6285" t="s">
        <v>40</v>
      </c>
      <c r="J6285" t="s">
        <v>79</v>
      </c>
      <c r="K6285" t="s">
        <v>408</v>
      </c>
      <c r="L6285" t="s">
        <v>43</v>
      </c>
      <c r="P6285" t="s">
        <v>38085</v>
      </c>
      <c r="Q6285">
        <v>26268</v>
      </c>
      <c r="R6285" t="s">
        <v>322</v>
      </c>
      <c r="S6285" t="s">
        <v>81</v>
      </c>
      <c r="T6285">
        <v>25</v>
      </c>
      <c r="W6285" t="s">
        <v>38086</v>
      </c>
      <c r="X6285" t="s">
        <v>38087</v>
      </c>
      <c r="Y6285" t="s">
        <v>38088</v>
      </c>
      <c r="Z6285" t="s">
        <v>1227</v>
      </c>
      <c r="AA6285" s="2" t="s">
        <v>38089</v>
      </c>
      <c r="AB6285" t="s">
        <v>88</v>
      </c>
      <c r="AG6285" t="s">
        <v>38090</v>
      </c>
      <c r="AH6285" t="s">
        <v>38091</v>
      </c>
      <c r="AI6285" t="s">
        <v>38092</v>
      </c>
    </row>
    <row r="6286" spans="2:35">
      <c r="B6286" s="1">
        <v>45216</v>
      </c>
      <c r="C6286" s="4">
        <v>45216.696527777778</v>
      </c>
      <c r="D6286" t="s">
        <v>855</v>
      </c>
      <c r="E6286" t="s">
        <v>10471</v>
      </c>
      <c r="F6286" t="s">
        <v>148</v>
      </c>
      <c r="G6286" t="s">
        <v>310</v>
      </c>
      <c r="H6286" t="s">
        <v>39</v>
      </c>
      <c r="I6286" t="s">
        <v>40</v>
      </c>
      <c r="J6286" t="s">
        <v>525</v>
      </c>
      <c r="K6286" t="s">
        <v>42</v>
      </c>
      <c r="L6286" t="s">
        <v>857</v>
      </c>
      <c r="Q6286">
        <v>26267</v>
      </c>
      <c r="R6286" t="s">
        <v>322</v>
      </c>
      <c r="S6286" t="s">
        <v>859</v>
      </c>
      <c r="T6286">
        <v>23</v>
      </c>
      <c r="W6286" t="s">
        <v>860</v>
      </c>
      <c r="X6286">
        <v>809643</v>
      </c>
      <c r="Y6286" t="s">
        <v>38093</v>
      </c>
      <c r="Z6286" t="e">
        <f ca="1">- Reset GeneXpert PC nad embedded PC
- verified components functionality
- cleared embedded PC errors
- verified physical Connections</f>
        <v>#NAME?</v>
      </c>
      <c r="AA6286" t="s">
        <v>768</v>
      </c>
      <c r="AB6286" t="s">
        <v>181</v>
      </c>
      <c r="AG6286" t="s">
        <v>38094</v>
      </c>
      <c r="AH6286" t="s">
        <v>6908</v>
      </c>
      <c r="AI6286" t="s">
        <v>38095</v>
      </c>
    </row>
    <row r="6287" spans="2:35" ht="210">
      <c r="B6287" s="1">
        <v>45216</v>
      </c>
      <c r="C6287" s="4">
        <v>45216.651388888888</v>
      </c>
      <c r="D6287" t="s">
        <v>26467</v>
      </c>
      <c r="E6287" t="s">
        <v>3570</v>
      </c>
      <c r="F6287">
        <v>3</v>
      </c>
      <c r="G6287" t="s">
        <v>174</v>
      </c>
      <c r="H6287" t="s">
        <v>39</v>
      </c>
      <c r="I6287" t="s">
        <v>40</v>
      </c>
      <c r="J6287" s="2" t="s">
        <v>41</v>
      </c>
      <c r="K6287" t="s">
        <v>42</v>
      </c>
      <c r="L6287" t="s">
        <v>175</v>
      </c>
      <c r="Q6287">
        <v>26266</v>
      </c>
      <c r="R6287" t="s">
        <v>45</v>
      </c>
      <c r="S6287" t="s">
        <v>535</v>
      </c>
      <c r="T6287">
        <v>25</v>
      </c>
      <c r="U6287" s="2" t="s">
        <v>38096</v>
      </c>
      <c r="V6287" s="1">
        <v>45215</v>
      </c>
      <c r="W6287" t="s">
        <v>84</v>
      </c>
      <c r="X6287">
        <v>814161</v>
      </c>
      <c r="Y6287" t="s">
        <v>8731</v>
      </c>
      <c r="Z6287" t="e">
        <f ca="1">- replaced B1
- checked cartridge bay, plunger rod, _xludf.filter
- generated reports</f>
        <v>#NAME?</v>
      </c>
      <c r="AA6287" t="s">
        <v>8035</v>
      </c>
      <c r="AB6287" t="s">
        <v>88</v>
      </c>
      <c r="AD6287" s="2" t="s">
        <v>38097</v>
      </c>
      <c r="AE6287" t="s">
        <v>38098</v>
      </c>
      <c r="AG6287" t="s">
        <v>38099</v>
      </c>
      <c r="AH6287" t="s">
        <v>540</v>
      </c>
      <c r="AI6287" t="s">
        <v>38100</v>
      </c>
    </row>
    <row r="6288" spans="2:35" ht="225">
      <c r="B6288" s="1">
        <v>45216</v>
      </c>
      <c r="C6288" s="4">
        <v>45216.613194444442</v>
      </c>
      <c r="D6288" t="s">
        <v>38101</v>
      </c>
      <c r="E6288" t="s">
        <v>38102</v>
      </c>
      <c r="F6288" t="s">
        <v>148</v>
      </c>
      <c r="G6288" t="s">
        <v>149</v>
      </c>
      <c r="H6288" t="s">
        <v>39</v>
      </c>
      <c r="I6288" t="s">
        <v>40</v>
      </c>
      <c r="J6288" s="2" t="s">
        <v>1592</v>
      </c>
      <c r="K6288" t="s">
        <v>42</v>
      </c>
      <c r="L6288" t="s">
        <v>43</v>
      </c>
      <c r="Q6288">
        <v>26265</v>
      </c>
      <c r="R6288" t="s">
        <v>45</v>
      </c>
      <c r="S6288" t="s">
        <v>38103</v>
      </c>
      <c r="T6288">
        <v>24</v>
      </c>
      <c r="V6288" s="1">
        <v>45216</v>
      </c>
      <c r="W6288" t="s">
        <v>48</v>
      </c>
      <c r="X6288">
        <v>812007</v>
      </c>
      <c r="Y6288" t="s">
        <v>38104</v>
      </c>
      <c r="Z6288" t="s">
        <v>425</v>
      </c>
      <c r="AA6288" s="2" t="s">
        <v>38105</v>
      </c>
      <c r="AB6288" t="s">
        <v>38106</v>
      </c>
      <c r="AC6288" t="s">
        <v>38107</v>
      </c>
      <c r="AD6288" s="2" t="s">
        <v>38108</v>
      </c>
      <c r="AE6288" t="s">
        <v>54</v>
      </c>
      <c r="AG6288" t="s">
        <v>38109</v>
      </c>
      <c r="AH6288" t="s">
        <v>38110</v>
      </c>
      <c r="AI6288" t="s">
        <v>38111</v>
      </c>
    </row>
    <row r="6289" spans="2:35" ht="165">
      <c r="B6289" s="1">
        <v>45216</v>
      </c>
      <c r="C6289" s="4">
        <v>45216.604861111111</v>
      </c>
      <c r="D6289" t="s">
        <v>26154</v>
      </c>
      <c r="E6289" t="s">
        <v>26155</v>
      </c>
      <c r="F6289">
        <v>3</v>
      </c>
      <c r="G6289" t="s">
        <v>1722</v>
      </c>
      <c r="H6289" t="s">
        <v>39</v>
      </c>
      <c r="I6289" t="s">
        <v>40</v>
      </c>
      <c r="J6289" s="2" t="s">
        <v>190</v>
      </c>
      <c r="K6289" t="s">
        <v>42</v>
      </c>
      <c r="L6289" t="s">
        <v>63</v>
      </c>
      <c r="Q6289">
        <v>26264</v>
      </c>
      <c r="R6289" t="s">
        <v>45</v>
      </c>
      <c r="S6289" t="s">
        <v>26156</v>
      </c>
      <c r="T6289">
        <v>26</v>
      </c>
      <c r="V6289" s="1">
        <v>45216</v>
      </c>
      <c r="W6289" t="s">
        <v>26915</v>
      </c>
      <c r="X6289">
        <v>834804</v>
      </c>
      <c r="Y6289" t="s">
        <v>6973</v>
      </c>
      <c r="Z6289" t="s">
        <v>11377</v>
      </c>
      <c r="AA6289" s="2" t="s">
        <v>1727</v>
      </c>
      <c r="AB6289" t="s">
        <v>70</v>
      </c>
      <c r="AC6289" t="s">
        <v>11378</v>
      </c>
      <c r="AD6289" t="s">
        <v>1716</v>
      </c>
      <c r="AE6289" t="s">
        <v>1716</v>
      </c>
      <c r="AG6289" t="s">
        <v>38112</v>
      </c>
      <c r="AH6289" t="s">
        <v>26160</v>
      </c>
      <c r="AI6289" t="s">
        <v>38113</v>
      </c>
    </row>
    <row r="6290" spans="2:35" ht="225">
      <c r="B6290" s="1">
        <v>45216</v>
      </c>
      <c r="C6290" s="4">
        <v>45216.572916666664</v>
      </c>
      <c r="D6290" t="s">
        <v>26116</v>
      </c>
      <c r="E6290" t="s">
        <v>38114</v>
      </c>
      <c r="F6290">
        <v>3</v>
      </c>
      <c r="G6290" t="s">
        <v>1640</v>
      </c>
      <c r="H6290" t="s">
        <v>39</v>
      </c>
      <c r="I6290" t="s">
        <v>40</v>
      </c>
      <c r="J6290" s="2" t="s">
        <v>38115</v>
      </c>
      <c r="K6290" t="s">
        <v>42</v>
      </c>
      <c r="L6290" t="s">
        <v>63</v>
      </c>
      <c r="Q6290">
        <v>26263</v>
      </c>
      <c r="R6290" t="s">
        <v>119</v>
      </c>
      <c r="S6290" t="s">
        <v>38116</v>
      </c>
      <c r="T6290">
        <v>28</v>
      </c>
      <c r="V6290" s="1">
        <v>45216</v>
      </c>
      <c r="W6290" t="s">
        <v>26915</v>
      </c>
      <c r="X6290">
        <v>831621</v>
      </c>
      <c r="Y6290" t="s">
        <v>38117</v>
      </c>
      <c r="Z6290" t="s">
        <v>38118</v>
      </c>
      <c r="AA6290" s="2" t="s">
        <v>38119</v>
      </c>
      <c r="AB6290" t="s">
        <v>70</v>
      </c>
      <c r="AC6290" t="s">
        <v>38120</v>
      </c>
      <c r="AD6290" t="s">
        <v>31742</v>
      </c>
      <c r="AE6290" t="s">
        <v>38121</v>
      </c>
      <c r="AG6290" t="s">
        <v>38122</v>
      </c>
      <c r="AH6290" t="s">
        <v>38123</v>
      </c>
      <c r="AI6290" t="s">
        <v>38124</v>
      </c>
    </row>
    <row r="6291" spans="2:35" ht="409.5">
      <c r="B6291" s="1">
        <v>45216</v>
      </c>
      <c r="C6291" s="4">
        <v>45216.488194444442</v>
      </c>
      <c r="D6291" t="s">
        <v>1614</v>
      </c>
      <c r="E6291" t="s">
        <v>26734</v>
      </c>
      <c r="F6291">
        <v>3</v>
      </c>
      <c r="G6291" t="s">
        <v>174</v>
      </c>
      <c r="H6291" t="s">
        <v>39</v>
      </c>
      <c r="I6291" t="s">
        <v>40</v>
      </c>
      <c r="J6291" s="2" t="s">
        <v>4208</v>
      </c>
      <c r="K6291" t="s">
        <v>42</v>
      </c>
      <c r="L6291" t="s">
        <v>175</v>
      </c>
      <c r="Q6291">
        <v>26262</v>
      </c>
      <c r="R6291" t="s">
        <v>45</v>
      </c>
      <c r="S6291" t="s">
        <v>2067</v>
      </c>
      <c r="T6291">
        <v>29</v>
      </c>
      <c r="U6291" s="2" t="s">
        <v>7837</v>
      </c>
      <c r="W6291" t="s">
        <v>84</v>
      </c>
      <c r="X6291">
        <v>814158</v>
      </c>
      <c r="Y6291" t="e">
        <f ca="1">- B2, B3, B4 _xludf.For Troubleshooting
- UPS _xludf.For Troubleshooting</f>
        <v>#NAME?</v>
      </c>
      <c r="Z6291" s="2" t="s">
        <v>38125</v>
      </c>
      <c r="AA6291" t="s">
        <v>768</v>
      </c>
      <c r="AB6291" s="2" t="s">
        <v>38126</v>
      </c>
      <c r="AG6291" t="s">
        <v>38127</v>
      </c>
      <c r="AH6291" t="s">
        <v>26737</v>
      </c>
      <c r="AI6291" t="s">
        <v>38128</v>
      </c>
    </row>
    <row r="6292" spans="2:35" ht="105">
      <c r="B6292" s="1">
        <v>45216</v>
      </c>
      <c r="C6292" s="4">
        <v>45216.480555555558</v>
      </c>
      <c r="D6292" t="s">
        <v>38129</v>
      </c>
      <c r="E6292" t="s">
        <v>38130</v>
      </c>
      <c r="F6292">
        <v>6</v>
      </c>
      <c r="G6292" t="s">
        <v>1234</v>
      </c>
      <c r="H6292" t="s">
        <v>1047</v>
      </c>
      <c r="I6292" t="s">
        <v>94</v>
      </c>
      <c r="J6292" t="s">
        <v>79</v>
      </c>
      <c r="K6292" t="s">
        <v>42</v>
      </c>
      <c r="L6292" t="s">
        <v>23958</v>
      </c>
      <c r="Q6292">
        <v>26261</v>
      </c>
      <c r="R6292" t="s">
        <v>45</v>
      </c>
      <c r="S6292" t="s">
        <v>38131</v>
      </c>
      <c r="T6292">
        <v>4</v>
      </c>
      <c r="U6292" s="2" t="s">
        <v>38132</v>
      </c>
      <c r="W6292" t="s">
        <v>360</v>
      </c>
      <c r="X6292">
        <v>838144</v>
      </c>
      <c r="Y6292" t="s">
        <v>54</v>
      </c>
      <c r="Z6292" t="s">
        <v>38133</v>
      </c>
      <c r="AA6292" t="s">
        <v>38134</v>
      </c>
      <c r="AB6292" t="s">
        <v>38135</v>
      </c>
      <c r="AG6292" t="s">
        <v>38136</v>
      </c>
      <c r="AH6292" t="s">
        <v>38137</v>
      </c>
      <c r="AI6292" t="s">
        <v>38138</v>
      </c>
    </row>
    <row r="6293" spans="2:35" ht="409.5">
      <c r="B6293" s="1">
        <v>45216</v>
      </c>
      <c r="C6293" s="4">
        <v>45216.465277777781</v>
      </c>
      <c r="D6293" t="s">
        <v>8131</v>
      </c>
      <c r="E6293" t="s">
        <v>718</v>
      </c>
      <c r="F6293">
        <v>6</v>
      </c>
      <c r="G6293" t="s">
        <v>4457</v>
      </c>
      <c r="H6293" t="s">
        <v>39</v>
      </c>
      <c r="I6293" t="s">
        <v>94</v>
      </c>
      <c r="J6293" t="s">
        <v>109</v>
      </c>
      <c r="K6293" t="s">
        <v>42</v>
      </c>
      <c r="L6293" t="s">
        <v>594</v>
      </c>
      <c r="Q6293">
        <v>26260</v>
      </c>
      <c r="R6293" t="s">
        <v>45</v>
      </c>
      <c r="S6293" t="s">
        <v>18851</v>
      </c>
      <c r="T6293">
        <v>21</v>
      </c>
      <c r="V6293" s="1">
        <v>45216</v>
      </c>
      <c r="W6293" t="s">
        <v>360</v>
      </c>
      <c r="X6293">
        <v>804680</v>
      </c>
      <c r="Y6293" t="e">
        <f ca="1">- defective CPU
- DUE _xludf.For PM</f>
        <v>#NAME?</v>
      </c>
      <c r="Z6293" t="e">
        <f ca="1">-PERFORM module bay Cleaning, optics slot Cleaning, _xludf.filter Cleaning ARCHIVE test.</f>
        <v>#NAME?</v>
      </c>
      <c r="AA6293" s="2" t="s">
        <v>38139</v>
      </c>
      <c r="AB6293" t="s">
        <v>38140</v>
      </c>
      <c r="AC6293" t="s">
        <v>38141</v>
      </c>
      <c r="AG6293" t="s">
        <v>38142</v>
      </c>
      <c r="AH6293" t="s">
        <v>38143</v>
      </c>
      <c r="AI6293" t="s">
        <v>38144</v>
      </c>
    </row>
    <row r="6294" spans="2:35">
      <c r="B6294" s="1">
        <v>45216</v>
      </c>
      <c r="C6294" s="4">
        <v>45216.465277777781</v>
      </c>
      <c r="D6294" t="s">
        <v>8131</v>
      </c>
      <c r="E6294" t="s">
        <v>718</v>
      </c>
      <c r="F6294">
        <v>6</v>
      </c>
      <c r="G6294" t="s">
        <v>4457</v>
      </c>
      <c r="H6294" t="s">
        <v>39</v>
      </c>
      <c r="I6294" t="s">
        <v>94</v>
      </c>
      <c r="J6294" t="s">
        <v>109</v>
      </c>
      <c r="K6294" t="s">
        <v>42</v>
      </c>
      <c r="L6294" t="s">
        <v>594</v>
      </c>
      <c r="Q6294">
        <v>26259</v>
      </c>
      <c r="R6294" t="s">
        <v>45</v>
      </c>
      <c r="S6294" t="s">
        <v>18851</v>
      </c>
      <c r="T6294">
        <v>21</v>
      </c>
      <c r="V6294" s="1">
        <v>45216</v>
      </c>
      <c r="W6294" t="s">
        <v>360</v>
      </c>
      <c r="X6294">
        <v>804680</v>
      </c>
      <c r="Y6294" t="s">
        <v>38145</v>
      </c>
      <c r="Z6294" t="e">
        <f ca="1">-PERFORM module bay Cleaning, optics slot Cleaning, _xludf.filter Cleaning ARCHIVE test.</f>
        <v>#NAME?</v>
      </c>
      <c r="AA6294" t="e">
        <f ca="1">- PERFORM Preventive Maintenance
- checked new CPU recived FROM Cepheid _xludf.For Installation new CPU SN. PL-13088</f>
        <v>#NAME?</v>
      </c>
      <c r="AB6294" t="s">
        <v>38146</v>
      </c>
      <c r="AC6294" t="s">
        <v>38141</v>
      </c>
      <c r="AG6294" t="s">
        <v>38147</v>
      </c>
      <c r="AH6294" t="s">
        <v>38143</v>
      </c>
      <c r="AI6294" t="s">
        <v>38148</v>
      </c>
    </row>
    <row r="6295" spans="2:35" ht="105">
      <c r="B6295" s="1">
        <v>45216</v>
      </c>
      <c r="C6295" s="4">
        <v>45216.421527777777</v>
      </c>
      <c r="D6295" t="s">
        <v>3912</v>
      </c>
      <c r="E6295" t="s">
        <v>29506</v>
      </c>
      <c r="F6295">
        <v>6</v>
      </c>
      <c r="G6295" t="s">
        <v>1234</v>
      </c>
      <c r="H6295" t="s">
        <v>1047</v>
      </c>
      <c r="I6295" t="s">
        <v>94</v>
      </c>
      <c r="J6295" t="s">
        <v>996</v>
      </c>
      <c r="K6295" t="s">
        <v>42</v>
      </c>
      <c r="L6295" t="s">
        <v>23958</v>
      </c>
      <c r="Q6295">
        <v>26258</v>
      </c>
      <c r="R6295" t="s">
        <v>119</v>
      </c>
      <c r="S6295" t="s">
        <v>3914</v>
      </c>
      <c r="T6295">
        <v>4</v>
      </c>
      <c r="U6295" s="2" t="s">
        <v>34404</v>
      </c>
      <c r="W6295" t="s">
        <v>360</v>
      </c>
      <c r="X6295">
        <v>838499</v>
      </c>
      <c r="Y6295" t="s">
        <v>38149</v>
      </c>
      <c r="Z6295" t="s">
        <v>38150</v>
      </c>
      <c r="AA6295" t="s">
        <v>38151</v>
      </c>
      <c r="AB6295" t="s">
        <v>38152</v>
      </c>
      <c r="AG6295" t="s">
        <v>38153</v>
      </c>
      <c r="AH6295" t="s">
        <v>3920</v>
      </c>
      <c r="AI6295" t="s">
        <v>38154</v>
      </c>
    </row>
    <row r="6296" spans="2:35" ht="60">
      <c r="B6296" s="1">
        <v>45216</v>
      </c>
      <c r="C6296" s="4">
        <v>45216.381944444445</v>
      </c>
      <c r="D6296" t="s">
        <v>3423</v>
      </c>
      <c r="E6296" t="s">
        <v>3116</v>
      </c>
      <c r="F6296">
        <v>7</v>
      </c>
      <c r="G6296" t="s">
        <v>432</v>
      </c>
      <c r="H6296" t="s">
        <v>386</v>
      </c>
      <c r="I6296" t="s">
        <v>94</v>
      </c>
      <c r="J6296" s="2" t="s">
        <v>760</v>
      </c>
      <c r="K6296" t="s">
        <v>42</v>
      </c>
      <c r="L6296" t="s">
        <v>610</v>
      </c>
      <c r="Q6296">
        <v>26257</v>
      </c>
      <c r="R6296" t="s">
        <v>95</v>
      </c>
      <c r="S6296" t="s">
        <v>9919</v>
      </c>
      <c r="T6296">
        <v>25</v>
      </c>
      <c r="W6296" t="s">
        <v>390</v>
      </c>
      <c r="X6296" t="s">
        <v>10711</v>
      </c>
      <c r="Y6296" t="s">
        <v>38155</v>
      </c>
      <c r="Z6296" t="s">
        <v>38156</v>
      </c>
      <c r="AA6296" t="s">
        <v>38157</v>
      </c>
      <c r="AB6296" t="s">
        <v>38158</v>
      </c>
      <c r="AG6296" t="s">
        <v>38159</v>
      </c>
      <c r="AH6296" t="s">
        <v>38160</v>
      </c>
      <c r="AI6296" t="s">
        <v>38161</v>
      </c>
    </row>
    <row r="6297" spans="2:35" ht="60">
      <c r="B6297" s="1">
        <v>45216</v>
      </c>
      <c r="C6297" s="4">
        <v>45216.372916666667</v>
      </c>
      <c r="D6297" t="s">
        <v>3423</v>
      </c>
      <c r="E6297" t="s">
        <v>3116</v>
      </c>
      <c r="F6297">
        <v>7</v>
      </c>
      <c r="G6297" t="s">
        <v>432</v>
      </c>
      <c r="H6297" t="s">
        <v>386</v>
      </c>
      <c r="I6297" t="s">
        <v>94</v>
      </c>
      <c r="J6297" s="2" t="s">
        <v>760</v>
      </c>
      <c r="K6297" t="s">
        <v>387</v>
      </c>
      <c r="L6297" t="s">
        <v>610</v>
      </c>
      <c r="Q6297">
        <v>26256</v>
      </c>
      <c r="R6297" t="s">
        <v>95</v>
      </c>
      <c r="S6297" t="s">
        <v>9919</v>
      </c>
      <c r="T6297">
        <v>23</v>
      </c>
      <c r="W6297" t="s">
        <v>38162</v>
      </c>
      <c r="X6297" t="s">
        <v>3425</v>
      </c>
      <c r="Y6297" t="s">
        <v>38163</v>
      </c>
      <c r="Z6297" t="s">
        <v>38164</v>
      </c>
      <c r="AA6297" t="s">
        <v>38165</v>
      </c>
      <c r="AB6297" t="s">
        <v>38166</v>
      </c>
      <c r="AG6297" t="s">
        <v>38167</v>
      </c>
      <c r="AH6297" t="s">
        <v>38160</v>
      </c>
      <c r="AI6297" t="s">
        <v>38168</v>
      </c>
    </row>
    <row r="6298" spans="2:35">
      <c r="B6298" s="1">
        <v>45215</v>
      </c>
      <c r="C6298" s="4">
        <v>45215.806250000001</v>
      </c>
      <c r="D6298" t="s">
        <v>38169</v>
      </c>
      <c r="E6298" t="s">
        <v>718</v>
      </c>
      <c r="F6298">
        <v>7</v>
      </c>
      <c r="G6298" t="s">
        <v>1234</v>
      </c>
      <c r="H6298" t="s">
        <v>39</v>
      </c>
      <c r="I6298" t="s">
        <v>94</v>
      </c>
      <c r="J6298" t="s">
        <v>321</v>
      </c>
      <c r="K6298" t="s">
        <v>42</v>
      </c>
      <c r="L6298" t="s">
        <v>594</v>
      </c>
      <c r="Q6298">
        <v>26255</v>
      </c>
      <c r="R6298" t="s">
        <v>45</v>
      </c>
      <c r="S6298" t="s">
        <v>38170</v>
      </c>
      <c r="T6298">
        <v>23</v>
      </c>
      <c r="V6298" s="1">
        <v>45211</v>
      </c>
      <c r="W6298" t="s">
        <v>502</v>
      </c>
      <c r="X6298">
        <v>815463</v>
      </c>
      <c r="Y6298" t="s">
        <v>38171</v>
      </c>
      <c r="Z6298" t="s">
        <v>38172</v>
      </c>
      <c r="AA6298" t="s">
        <v>38173</v>
      </c>
      <c r="AB6298" t="s">
        <v>38174</v>
      </c>
      <c r="AG6298" t="s">
        <v>38175</v>
      </c>
      <c r="AH6298" t="s">
        <v>38176</v>
      </c>
      <c r="AI6298" t="s">
        <v>38177</v>
      </c>
    </row>
    <row r="6299" spans="2:35" ht="105">
      <c r="B6299" s="1">
        <v>45215</v>
      </c>
      <c r="C6299" s="4">
        <v>45215.701388888891</v>
      </c>
      <c r="D6299" t="s">
        <v>24641</v>
      </c>
      <c r="E6299" t="s">
        <v>24642</v>
      </c>
      <c r="F6299">
        <v>7</v>
      </c>
      <c r="G6299" t="s">
        <v>432</v>
      </c>
      <c r="H6299" t="s">
        <v>608</v>
      </c>
      <c r="I6299" t="s">
        <v>94</v>
      </c>
      <c r="J6299" t="s">
        <v>79</v>
      </c>
      <c r="K6299" t="s">
        <v>42</v>
      </c>
      <c r="L6299" t="s">
        <v>610</v>
      </c>
      <c r="Q6299">
        <v>26254</v>
      </c>
      <c r="R6299" t="s">
        <v>45</v>
      </c>
      <c r="S6299" t="s">
        <v>24643</v>
      </c>
      <c r="T6299">
        <v>23</v>
      </c>
      <c r="U6299" s="2" t="s">
        <v>38178</v>
      </c>
      <c r="W6299" t="s">
        <v>360</v>
      </c>
      <c r="X6299">
        <v>815384</v>
      </c>
      <c r="Y6299" t="s">
        <v>38179</v>
      </c>
      <c r="Z6299" t="s">
        <v>38180</v>
      </c>
      <c r="AA6299" t="s">
        <v>38181</v>
      </c>
      <c r="AB6299" t="s">
        <v>38182</v>
      </c>
      <c r="AG6299" t="s">
        <v>38183</v>
      </c>
      <c r="AH6299" t="s">
        <v>24649</v>
      </c>
      <c r="AI6299" t="s">
        <v>38184</v>
      </c>
    </row>
    <row r="6300" spans="2:35" ht="105">
      <c r="B6300" s="1">
        <v>45215</v>
      </c>
      <c r="C6300" s="4">
        <v>45212.744444444441</v>
      </c>
      <c r="D6300" t="s">
        <v>5496</v>
      </c>
      <c r="E6300" t="s">
        <v>38185</v>
      </c>
      <c r="F6300">
        <v>5</v>
      </c>
      <c r="G6300" t="s">
        <v>839</v>
      </c>
      <c r="H6300" t="s">
        <v>39</v>
      </c>
      <c r="I6300" t="s">
        <v>40</v>
      </c>
      <c r="J6300" t="s">
        <v>109</v>
      </c>
      <c r="K6300" t="s">
        <v>42</v>
      </c>
      <c r="L6300" t="s">
        <v>761</v>
      </c>
      <c r="Q6300">
        <v>26253</v>
      </c>
      <c r="R6300" t="s">
        <v>119</v>
      </c>
      <c r="S6300" t="s">
        <v>5498</v>
      </c>
      <c r="T6300">
        <v>20</v>
      </c>
      <c r="U6300" s="2" t="s">
        <v>38186</v>
      </c>
      <c r="W6300" t="s">
        <v>360</v>
      </c>
      <c r="X6300">
        <v>838391</v>
      </c>
      <c r="Y6300" t="s">
        <v>1052</v>
      </c>
      <c r="Z6300" t="s">
        <v>8702</v>
      </c>
      <c r="AA6300" t="s">
        <v>820</v>
      </c>
      <c r="AB6300" t="s">
        <v>181</v>
      </c>
      <c r="AG6300" t="s">
        <v>38187</v>
      </c>
      <c r="AH6300" t="s">
        <v>5503</v>
      </c>
      <c r="AI6300" t="s">
        <v>38188</v>
      </c>
    </row>
    <row r="6301" spans="2:35" ht="255">
      <c r="B6301" s="1">
        <v>45215</v>
      </c>
      <c r="C6301" s="4">
        <v>45212.743750000001</v>
      </c>
      <c r="D6301" t="s">
        <v>33768</v>
      </c>
      <c r="E6301" t="s">
        <v>33769</v>
      </c>
      <c r="F6301">
        <v>5</v>
      </c>
      <c r="G6301" t="s">
        <v>839</v>
      </c>
      <c r="H6301" t="s">
        <v>39</v>
      </c>
      <c r="I6301" t="s">
        <v>40</v>
      </c>
      <c r="J6301" s="2" t="s">
        <v>41</v>
      </c>
      <c r="K6301" t="s">
        <v>42</v>
      </c>
      <c r="L6301" t="s">
        <v>761</v>
      </c>
      <c r="Q6301">
        <v>26252</v>
      </c>
      <c r="R6301" t="s">
        <v>45</v>
      </c>
      <c r="S6301" t="s">
        <v>5498</v>
      </c>
      <c r="T6301">
        <v>28</v>
      </c>
      <c r="U6301" s="2" t="s">
        <v>38189</v>
      </c>
      <c r="W6301" t="s">
        <v>360</v>
      </c>
      <c r="X6301">
        <v>834620</v>
      </c>
      <c r="Y6301" s="2" t="s">
        <v>38190</v>
      </c>
      <c r="Z6301" s="2" t="s">
        <v>38191</v>
      </c>
      <c r="AA6301" s="2" t="s">
        <v>38192</v>
      </c>
      <c r="AB6301" t="s">
        <v>181</v>
      </c>
      <c r="AC6301" t="s">
        <v>38193</v>
      </c>
      <c r="AG6301" t="s">
        <v>38194</v>
      </c>
      <c r="AH6301" t="s">
        <v>5503</v>
      </c>
      <c r="AI6301" t="s">
        <v>38195</v>
      </c>
    </row>
    <row r="6302" spans="2:35" ht="180">
      <c r="B6302" s="1">
        <v>45215</v>
      </c>
      <c r="C6302" s="4">
        <v>45212.464583333334</v>
      </c>
      <c r="D6302" t="s">
        <v>8698</v>
      </c>
      <c r="E6302" t="s">
        <v>32591</v>
      </c>
      <c r="F6302">
        <v>5</v>
      </c>
      <c r="G6302" t="s">
        <v>839</v>
      </c>
      <c r="H6302" t="s">
        <v>39</v>
      </c>
      <c r="I6302" t="s">
        <v>40</v>
      </c>
      <c r="J6302" s="2" t="s">
        <v>62</v>
      </c>
      <c r="K6302" t="s">
        <v>42</v>
      </c>
      <c r="L6302" t="s">
        <v>761</v>
      </c>
      <c r="Q6302">
        <v>26251</v>
      </c>
      <c r="R6302" t="s">
        <v>119</v>
      </c>
      <c r="S6302" t="s">
        <v>8700</v>
      </c>
      <c r="T6302">
        <v>24</v>
      </c>
      <c r="U6302" s="2" t="s">
        <v>15342</v>
      </c>
      <c r="W6302" t="s">
        <v>360</v>
      </c>
      <c r="X6302">
        <v>838560</v>
      </c>
      <c r="Y6302" t="s">
        <v>38196</v>
      </c>
      <c r="Z6302" s="2" t="s">
        <v>38197</v>
      </c>
      <c r="AA6302" s="2" t="s">
        <v>4477</v>
      </c>
      <c r="AB6302" t="s">
        <v>38198</v>
      </c>
      <c r="AC6302" t="s">
        <v>38199</v>
      </c>
      <c r="AG6302" t="s">
        <v>38200</v>
      </c>
      <c r="AH6302" t="s">
        <v>10889</v>
      </c>
      <c r="AI6302" t="s">
        <v>38201</v>
      </c>
    </row>
    <row r="6303" spans="2:35" ht="225">
      <c r="B6303" s="1">
        <v>45215</v>
      </c>
      <c r="C6303" s="4">
        <v>45211.678472222222</v>
      </c>
      <c r="D6303" t="s">
        <v>5199</v>
      </c>
      <c r="E6303" t="s">
        <v>36929</v>
      </c>
      <c r="F6303">
        <v>5</v>
      </c>
      <c r="G6303" t="s">
        <v>839</v>
      </c>
      <c r="H6303" t="s">
        <v>39</v>
      </c>
      <c r="I6303" t="s">
        <v>40</v>
      </c>
      <c r="J6303" s="2" t="s">
        <v>41</v>
      </c>
      <c r="K6303" t="s">
        <v>42</v>
      </c>
      <c r="L6303" t="s">
        <v>761</v>
      </c>
      <c r="Q6303">
        <v>26250</v>
      </c>
      <c r="R6303" t="s">
        <v>45</v>
      </c>
      <c r="S6303" t="s">
        <v>36930</v>
      </c>
      <c r="T6303">
        <v>28</v>
      </c>
      <c r="U6303" s="2" t="s">
        <v>38202</v>
      </c>
      <c r="W6303" t="s">
        <v>360</v>
      </c>
      <c r="X6303">
        <v>812774</v>
      </c>
      <c r="Y6303" t="s">
        <v>38203</v>
      </c>
      <c r="Z6303" s="2" t="s">
        <v>38204</v>
      </c>
      <c r="AA6303" s="2" t="s">
        <v>38205</v>
      </c>
      <c r="AB6303" t="s">
        <v>181</v>
      </c>
      <c r="AG6303" t="s">
        <v>38206</v>
      </c>
      <c r="AH6303" t="s">
        <v>38207</v>
      </c>
      <c r="AI6303" t="s">
        <v>38208</v>
      </c>
    </row>
    <row r="6304" spans="2:35" ht="300">
      <c r="B6304" s="1">
        <v>45215</v>
      </c>
      <c r="C6304" s="4">
        <v>45215.628472222219</v>
      </c>
      <c r="D6304" t="s">
        <v>10967</v>
      </c>
      <c r="E6304" t="s">
        <v>14481</v>
      </c>
      <c r="F6304">
        <v>7</v>
      </c>
      <c r="G6304" t="s">
        <v>432</v>
      </c>
      <c r="H6304" t="s">
        <v>10969</v>
      </c>
      <c r="I6304" t="s">
        <v>40</v>
      </c>
      <c r="J6304" s="2" t="s">
        <v>41</v>
      </c>
      <c r="K6304" t="s">
        <v>42</v>
      </c>
      <c r="L6304" t="s">
        <v>1288</v>
      </c>
      <c r="Q6304">
        <v>26249</v>
      </c>
      <c r="R6304" t="s">
        <v>45</v>
      </c>
      <c r="S6304" t="s">
        <v>33292</v>
      </c>
      <c r="T6304">
        <v>27</v>
      </c>
      <c r="U6304" s="2" t="s">
        <v>38209</v>
      </c>
      <c r="W6304" t="s">
        <v>1292</v>
      </c>
      <c r="X6304">
        <v>815275</v>
      </c>
      <c r="Y6304" t="s">
        <v>38210</v>
      </c>
      <c r="Z6304" t="s">
        <v>38211</v>
      </c>
      <c r="AA6304" s="2" t="s">
        <v>38212</v>
      </c>
      <c r="AB6304" t="s">
        <v>1293</v>
      </c>
      <c r="AG6304" t="s">
        <v>38213</v>
      </c>
      <c r="AH6304" t="s">
        <v>507</v>
      </c>
      <c r="AI6304" t="s">
        <v>38214</v>
      </c>
    </row>
    <row r="6305" spans="2:35" ht="409.5">
      <c r="B6305" s="1">
        <v>45215</v>
      </c>
      <c r="C6305" s="4">
        <v>45215.541666666664</v>
      </c>
      <c r="D6305" t="s">
        <v>38215</v>
      </c>
      <c r="E6305" t="s">
        <v>38216</v>
      </c>
      <c r="F6305">
        <v>11</v>
      </c>
      <c r="G6305" t="s">
        <v>1205</v>
      </c>
      <c r="H6305" t="s">
        <v>202</v>
      </c>
      <c r="I6305" t="s">
        <v>40</v>
      </c>
      <c r="J6305" s="2" t="s">
        <v>41</v>
      </c>
      <c r="K6305" t="s">
        <v>42</v>
      </c>
      <c r="L6305" t="s">
        <v>204</v>
      </c>
      <c r="Q6305">
        <v>26248</v>
      </c>
      <c r="R6305" t="s">
        <v>45</v>
      </c>
      <c r="S6305" t="s">
        <v>38217</v>
      </c>
      <c r="T6305">
        <v>28.6</v>
      </c>
      <c r="U6305" s="2" t="s">
        <v>38218</v>
      </c>
      <c r="W6305" t="s">
        <v>23237</v>
      </c>
      <c r="X6305">
        <v>838181</v>
      </c>
      <c r="Y6305" s="2" t="s">
        <v>38219</v>
      </c>
      <c r="Z6305" s="2" t="s">
        <v>38220</v>
      </c>
      <c r="AA6305" t="s">
        <v>2560</v>
      </c>
      <c r="AB6305" t="s">
        <v>1211</v>
      </c>
      <c r="AG6305" t="s">
        <v>38221</v>
      </c>
      <c r="AH6305" t="s">
        <v>38222</v>
      </c>
      <c r="AI6305" t="s">
        <v>38223</v>
      </c>
    </row>
    <row r="6306" spans="2:35" ht="409.5">
      <c r="B6306" s="1">
        <v>45215</v>
      </c>
      <c r="C6306" s="4">
        <v>45208.556250000001</v>
      </c>
      <c r="D6306" t="s">
        <v>9805</v>
      </c>
      <c r="E6306" t="s">
        <v>510</v>
      </c>
      <c r="F6306" t="s">
        <v>511</v>
      </c>
      <c r="G6306" t="s">
        <v>512</v>
      </c>
      <c r="H6306" t="s">
        <v>1047</v>
      </c>
      <c r="I6306" t="s">
        <v>40</v>
      </c>
      <c r="J6306" s="2" t="s">
        <v>1592</v>
      </c>
      <c r="K6306" t="s">
        <v>42</v>
      </c>
      <c r="L6306" t="s">
        <v>1048</v>
      </c>
      <c r="Q6306">
        <v>26247</v>
      </c>
      <c r="R6306" t="s">
        <v>45</v>
      </c>
      <c r="S6306" t="s">
        <v>23268</v>
      </c>
      <c r="T6306">
        <v>25</v>
      </c>
      <c r="V6306" s="1">
        <v>45208</v>
      </c>
      <c r="W6306" t="s">
        <v>2591</v>
      </c>
      <c r="X6306">
        <v>120000171</v>
      </c>
      <c r="Y6306" s="2" t="s">
        <v>38224</v>
      </c>
      <c r="Z6306" s="2" t="s">
        <v>38225</v>
      </c>
      <c r="AA6306" s="2" t="s">
        <v>38226</v>
      </c>
      <c r="AB6306" t="s">
        <v>181</v>
      </c>
      <c r="AC6306" t="s">
        <v>38227</v>
      </c>
      <c r="AD6306" t="s">
        <v>38228</v>
      </c>
      <c r="AE6306" t="s">
        <v>103</v>
      </c>
      <c r="AG6306" t="s">
        <v>38229</v>
      </c>
      <c r="AH6306" t="s">
        <v>16579</v>
      </c>
      <c r="AI6306" t="s">
        <v>38230</v>
      </c>
    </row>
    <row r="6307" spans="2:35" ht="75">
      <c r="B6307" s="1">
        <v>45215</v>
      </c>
      <c r="C6307" s="4">
        <v>45208.560416666667</v>
      </c>
      <c r="D6307" t="s">
        <v>9805</v>
      </c>
      <c r="E6307" t="s">
        <v>510</v>
      </c>
      <c r="F6307" t="s">
        <v>511</v>
      </c>
      <c r="G6307" t="s">
        <v>512</v>
      </c>
      <c r="H6307" t="s">
        <v>1047</v>
      </c>
      <c r="I6307" t="s">
        <v>40</v>
      </c>
      <c r="J6307" s="2" t="s">
        <v>190</v>
      </c>
      <c r="K6307" t="s">
        <v>42</v>
      </c>
      <c r="L6307" t="s">
        <v>1048</v>
      </c>
      <c r="Q6307">
        <v>26246</v>
      </c>
      <c r="R6307" t="s">
        <v>45</v>
      </c>
      <c r="S6307" t="s">
        <v>23268</v>
      </c>
      <c r="T6307">
        <v>28</v>
      </c>
      <c r="W6307" t="s">
        <v>666</v>
      </c>
      <c r="X6307">
        <v>805212</v>
      </c>
      <c r="Y6307" t="s">
        <v>38231</v>
      </c>
      <c r="Z6307" t="e">
        <f ca="1">- cleaned cartridge Bays, plunger Rods _xludf.and I-CORE
-performed ReXpertCheck
- generated reports</f>
        <v>#NAME?</v>
      </c>
      <c r="AA6307" t="s">
        <v>37622</v>
      </c>
      <c r="AB6307" t="s">
        <v>181</v>
      </c>
      <c r="AC6307" t="s">
        <v>38232</v>
      </c>
      <c r="AG6307" t="s">
        <v>38233</v>
      </c>
      <c r="AH6307" t="s">
        <v>16579</v>
      </c>
      <c r="AI6307" t="s">
        <v>38234</v>
      </c>
    </row>
    <row r="6308" spans="2:35">
      <c r="B6308" s="1">
        <v>45215</v>
      </c>
      <c r="C6308" s="4">
        <v>45208.5625</v>
      </c>
      <c r="D6308" t="s">
        <v>9805</v>
      </c>
      <c r="E6308" t="s">
        <v>510</v>
      </c>
      <c r="F6308" t="s">
        <v>511</v>
      </c>
      <c r="G6308" t="s">
        <v>512</v>
      </c>
      <c r="H6308" t="s">
        <v>1047</v>
      </c>
      <c r="I6308" t="s">
        <v>40</v>
      </c>
      <c r="J6308" t="s">
        <v>109</v>
      </c>
      <c r="K6308" t="s">
        <v>42</v>
      </c>
      <c r="L6308" t="s">
        <v>1048</v>
      </c>
      <c r="Q6308">
        <v>26245</v>
      </c>
      <c r="R6308" t="s">
        <v>45</v>
      </c>
      <c r="S6308" t="s">
        <v>23268</v>
      </c>
      <c r="T6308">
        <v>29</v>
      </c>
      <c r="W6308" t="s">
        <v>666</v>
      </c>
      <c r="X6308">
        <v>834685</v>
      </c>
      <c r="Y6308" t="s">
        <v>1052</v>
      </c>
      <c r="Z6308" t="e">
        <f ca="1">- cleaned cartridge Bays, plunger Rods _xludf.and I-CORE
- generated reports</f>
        <v>#NAME?</v>
      </c>
      <c r="AA6308" t="s">
        <v>17481</v>
      </c>
      <c r="AB6308" t="s">
        <v>181</v>
      </c>
      <c r="AG6308" t="s">
        <v>38235</v>
      </c>
      <c r="AH6308" t="s">
        <v>16579</v>
      </c>
      <c r="AI6308" t="s">
        <v>38236</v>
      </c>
    </row>
    <row r="6309" spans="2:35" ht="75">
      <c r="B6309" s="1">
        <v>45215</v>
      </c>
      <c r="C6309" s="4">
        <v>45211.354166666664</v>
      </c>
      <c r="D6309" t="s">
        <v>7254</v>
      </c>
      <c r="E6309" t="s">
        <v>33959</v>
      </c>
      <c r="F6309">
        <v>1</v>
      </c>
      <c r="G6309" t="s">
        <v>2599</v>
      </c>
      <c r="H6309" t="s">
        <v>39</v>
      </c>
      <c r="I6309" t="s">
        <v>40</v>
      </c>
      <c r="J6309" s="2" t="s">
        <v>190</v>
      </c>
      <c r="K6309" t="s">
        <v>42</v>
      </c>
      <c r="L6309" t="s">
        <v>1048</v>
      </c>
      <c r="Q6309">
        <v>26244</v>
      </c>
      <c r="R6309" t="s">
        <v>119</v>
      </c>
      <c r="S6309" t="s">
        <v>7256</v>
      </c>
      <c r="T6309">
        <v>28</v>
      </c>
      <c r="W6309" t="s">
        <v>360</v>
      </c>
      <c r="X6309">
        <v>838416</v>
      </c>
      <c r="Y6309" t="s">
        <v>37621</v>
      </c>
      <c r="Z6309" t="e">
        <f ca="1">- cleaned cartridge Bays, plunger Rods _xludf.and I-CORE
- performed ReXpertCheck
- generated reports</f>
        <v>#NAME?</v>
      </c>
      <c r="AA6309" t="s">
        <v>37622</v>
      </c>
      <c r="AB6309" t="s">
        <v>181</v>
      </c>
      <c r="AC6309" t="s">
        <v>38237</v>
      </c>
      <c r="AG6309" t="s">
        <v>38238</v>
      </c>
      <c r="AH6309" t="s">
        <v>21080</v>
      </c>
      <c r="AI6309" t="s">
        <v>38239</v>
      </c>
    </row>
    <row r="6310" spans="2:35" ht="75">
      <c r="B6310" s="1">
        <v>45215</v>
      </c>
      <c r="C6310" s="4">
        <v>45211.354166666664</v>
      </c>
      <c r="D6310" t="s">
        <v>7254</v>
      </c>
      <c r="E6310" t="s">
        <v>33959</v>
      </c>
      <c r="F6310">
        <v>1</v>
      </c>
      <c r="G6310" t="s">
        <v>2599</v>
      </c>
      <c r="H6310" t="s">
        <v>39</v>
      </c>
      <c r="I6310" t="s">
        <v>40</v>
      </c>
      <c r="J6310" s="2" t="s">
        <v>190</v>
      </c>
      <c r="K6310" t="s">
        <v>42</v>
      </c>
      <c r="L6310" t="s">
        <v>1048</v>
      </c>
      <c r="Q6310">
        <v>26243</v>
      </c>
      <c r="R6310" t="s">
        <v>119</v>
      </c>
      <c r="S6310" t="s">
        <v>7256</v>
      </c>
      <c r="T6310">
        <v>28</v>
      </c>
      <c r="W6310" t="s">
        <v>360</v>
      </c>
      <c r="X6310">
        <v>838416</v>
      </c>
      <c r="Y6310" t="s">
        <v>37621</v>
      </c>
      <c r="Z6310" t="e">
        <f ca="1">- cleaned cartridge Bays, plunger Rods _xludf.and I-CORE
- performed ReXpertCheck
- generated reports</f>
        <v>#NAME?</v>
      </c>
      <c r="AA6310" t="s">
        <v>37622</v>
      </c>
      <c r="AB6310" t="s">
        <v>181</v>
      </c>
      <c r="AC6310" t="s">
        <v>38237</v>
      </c>
      <c r="AG6310" t="s">
        <v>38240</v>
      </c>
      <c r="AH6310" t="s">
        <v>21080</v>
      </c>
      <c r="AI6310" t="s">
        <v>38241</v>
      </c>
    </row>
    <row r="6311" spans="2:35" ht="75">
      <c r="B6311" s="1">
        <v>45215</v>
      </c>
      <c r="C6311" s="4">
        <v>45211.420138888891</v>
      </c>
      <c r="D6311" t="s">
        <v>25902</v>
      </c>
      <c r="E6311" t="s">
        <v>25903</v>
      </c>
      <c r="F6311">
        <v>1</v>
      </c>
      <c r="G6311" t="s">
        <v>2599</v>
      </c>
      <c r="H6311" t="s">
        <v>1047</v>
      </c>
      <c r="I6311" t="s">
        <v>40</v>
      </c>
      <c r="J6311" s="2" t="s">
        <v>190</v>
      </c>
      <c r="K6311" t="s">
        <v>42</v>
      </c>
      <c r="L6311" t="s">
        <v>1048</v>
      </c>
      <c r="Q6311">
        <v>26242</v>
      </c>
      <c r="R6311" t="s">
        <v>45</v>
      </c>
      <c r="S6311" t="s">
        <v>25904</v>
      </c>
      <c r="T6311">
        <v>33</v>
      </c>
      <c r="W6311" t="s">
        <v>360</v>
      </c>
      <c r="X6311">
        <v>807597</v>
      </c>
      <c r="Y6311" t="s">
        <v>35741</v>
      </c>
      <c r="Z6311" t="e">
        <f ca="1">- cleaned cartridge Bays, plunger Rods _xludf.and I-CORE
- checked ALL modules with errors
- checked Fuse _xludf.and ultrasonic horn
- replaced _xludf.filter
- generated reports</f>
        <v>#NAME?</v>
      </c>
      <c r="AA6311" t="s">
        <v>1935</v>
      </c>
      <c r="AB6311" t="s">
        <v>181</v>
      </c>
      <c r="AC6311" t="s">
        <v>38242</v>
      </c>
      <c r="AG6311" t="s">
        <v>38243</v>
      </c>
      <c r="AH6311" t="s">
        <v>29107</v>
      </c>
      <c r="AI6311" t="s">
        <v>38244</v>
      </c>
    </row>
    <row r="6312" spans="2:35" ht="75">
      <c r="B6312" s="1">
        <v>45215</v>
      </c>
      <c r="C6312" s="4">
        <v>45211.654166666667</v>
      </c>
      <c r="D6312" t="s">
        <v>2608</v>
      </c>
      <c r="E6312" t="s">
        <v>2598</v>
      </c>
      <c r="F6312">
        <v>1</v>
      </c>
      <c r="G6312" t="s">
        <v>2599</v>
      </c>
      <c r="H6312" t="s">
        <v>39</v>
      </c>
      <c r="I6312" t="s">
        <v>40</v>
      </c>
      <c r="J6312" s="2" t="s">
        <v>190</v>
      </c>
      <c r="K6312" t="s">
        <v>42</v>
      </c>
      <c r="L6312" t="s">
        <v>1048</v>
      </c>
      <c r="Q6312">
        <v>26241</v>
      </c>
      <c r="R6312" t="s">
        <v>119</v>
      </c>
      <c r="S6312" t="s">
        <v>29376</v>
      </c>
      <c r="T6312">
        <v>26</v>
      </c>
      <c r="W6312" t="s">
        <v>360</v>
      </c>
      <c r="X6312">
        <v>831908</v>
      </c>
      <c r="Y6312" t="s">
        <v>37621</v>
      </c>
      <c r="Z6312" t="e">
        <f ca="1">- cleaned cartridge Bays, plunger Rods _xludf.and I-CORE
- performed ReXpertCheck
- generated reports</f>
        <v>#NAME?</v>
      </c>
      <c r="AA6312" t="s">
        <v>37622</v>
      </c>
      <c r="AB6312" t="s">
        <v>181</v>
      </c>
      <c r="AG6312" t="s">
        <v>38245</v>
      </c>
      <c r="AH6312" t="s">
        <v>38246</v>
      </c>
      <c r="AI6312" t="s">
        <v>38247</v>
      </c>
    </row>
    <row r="6313" spans="2:35">
      <c r="B6313" s="1">
        <v>45215</v>
      </c>
      <c r="C6313" s="4">
        <v>45211.657638888886</v>
      </c>
      <c r="D6313" t="s">
        <v>2608</v>
      </c>
      <c r="E6313" t="s">
        <v>2598</v>
      </c>
      <c r="F6313">
        <v>1</v>
      </c>
      <c r="G6313" t="s">
        <v>2599</v>
      </c>
      <c r="H6313" t="s">
        <v>39</v>
      </c>
      <c r="I6313" t="s">
        <v>40</v>
      </c>
      <c r="J6313" t="s">
        <v>109</v>
      </c>
      <c r="K6313" t="s">
        <v>42</v>
      </c>
      <c r="L6313" t="s">
        <v>1048</v>
      </c>
      <c r="Q6313">
        <v>26240</v>
      </c>
      <c r="R6313" t="s">
        <v>45</v>
      </c>
      <c r="S6313" t="s">
        <v>29376</v>
      </c>
      <c r="T6313">
        <v>25</v>
      </c>
      <c r="W6313" t="s">
        <v>360</v>
      </c>
      <c r="X6313">
        <v>838168</v>
      </c>
      <c r="Y6313" t="s">
        <v>1052</v>
      </c>
      <c r="Z6313" t="e">
        <f ca="1">- cleaned cartridge Bays, plunger Rods _xludf.and I-CORE
- generated reports</f>
        <v>#NAME?</v>
      </c>
      <c r="AA6313" t="s">
        <v>17481</v>
      </c>
      <c r="AB6313" t="s">
        <v>181</v>
      </c>
      <c r="AG6313" t="s">
        <v>38248</v>
      </c>
      <c r="AH6313" t="s">
        <v>38246</v>
      </c>
      <c r="AI6313" t="s">
        <v>38249</v>
      </c>
    </row>
    <row r="6314" spans="2:35" ht="345">
      <c r="B6314" s="1">
        <v>45215</v>
      </c>
      <c r="C6314" s="4">
        <v>45212.410416666666</v>
      </c>
      <c r="D6314" t="s">
        <v>1931</v>
      </c>
      <c r="E6314" t="s">
        <v>1932</v>
      </c>
      <c r="F6314">
        <v>1</v>
      </c>
      <c r="G6314" t="s">
        <v>1922</v>
      </c>
      <c r="H6314" t="s">
        <v>1047</v>
      </c>
      <c r="I6314" t="s">
        <v>40</v>
      </c>
      <c r="J6314" s="2" t="s">
        <v>1592</v>
      </c>
      <c r="K6314" t="s">
        <v>42</v>
      </c>
      <c r="L6314" t="s">
        <v>1048</v>
      </c>
      <c r="Q6314">
        <v>26239</v>
      </c>
      <c r="R6314" t="s">
        <v>45</v>
      </c>
      <c r="S6314" t="s">
        <v>38250</v>
      </c>
      <c r="T6314">
        <v>27</v>
      </c>
      <c r="V6314" s="1">
        <v>45212</v>
      </c>
      <c r="W6314" t="s">
        <v>360</v>
      </c>
      <c r="X6314">
        <v>807585</v>
      </c>
      <c r="Y6314" t="s">
        <v>35729</v>
      </c>
      <c r="Z6314" s="2" t="s">
        <v>38251</v>
      </c>
      <c r="AA6314" t="s">
        <v>1926</v>
      </c>
      <c r="AB6314" t="s">
        <v>181</v>
      </c>
      <c r="AC6314" t="s">
        <v>38252</v>
      </c>
      <c r="AD6314" t="s">
        <v>38253</v>
      </c>
      <c r="AE6314" t="s">
        <v>103</v>
      </c>
      <c r="AG6314" t="s">
        <v>38254</v>
      </c>
      <c r="AH6314" t="s">
        <v>38255</v>
      </c>
      <c r="AI6314" t="s">
        <v>38256</v>
      </c>
    </row>
    <row r="6315" spans="2:35" ht="285">
      <c r="B6315" s="1">
        <v>45214</v>
      </c>
      <c r="C6315" s="4">
        <v>45211.424305555556</v>
      </c>
      <c r="D6315" t="s">
        <v>26102</v>
      </c>
      <c r="E6315" t="s">
        <v>24831</v>
      </c>
      <c r="F6315" t="s">
        <v>37</v>
      </c>
      <c r="G6315" t="s">
        <v>78</v>
      </c>
      <c r="H6315" t="s">
        <v>39</v>
      </c>
      <c r="I6315" t="s">
        <v>40</v>
      </c>
      <c r="J6315" s="2" t="s">
        <v>62</v>
      </c>
      <c r="K6315" t="s">
        <v>42</v>
      </c>
      <c r="L6315" t="s">
        <v>1943</v>
      </c>
      <c r="Q6315">
        <v>26238</v>
      </c>
      <c r="R6315" t="s">
        <v>119</v>
      </c>
      <c r="S6315" t="s">
        <v>82</v>
      </c>
      <c r="T6315">
        <v>25</v>
      </c>
      <c r="U6315" s="2" t="s">
        <v>38257</v>
      </c>
      <c r="W6315" t="s">
        <v>84</v>
      </c>
      <c r="X6315">
        <v>821278</v>
      </c>
      <c r="Y6315" s="2" t="s">
        <v>38258</v>
      </c>
      <c r="Z6315" s="2" t="s">
        <v>38259</v>
      </c>
      <c r="AA6315" t="s">
        <v>23660</v>
      </c>
      <c r="AB6315" t="s">
        <v>38260</v>
      </c>
      <c r="AC6315" t="s">
        <v>37598</v>
      </c>
      <c r="AG6315" t="s">
        <v>38261</v>
      </c>
      <c r="AH6315" t="s">
        <v>90</v>
      </c>
      <c r="AI6315" t="s">
        <v>38262</v>
      </c>
    </row>
    <row r="6316" spans="2:35" ht="150">
      <c r="B6316" s="1">
        <v>45212</v>
      </c>
      <c r="C6316" s="4">
        <v>45212.472916666666</v>
      </c>
      <c r="D6316" t="s">
        <v>38263</v>
      </c>
      <c r="E6316" t="s">
        <v>38264</v>
      </c>
      <c r="F6316" t="s">
        <v>37</v>
      </c>
      <c r="G6316" t="s">
        <v>189</v>
      </c>
      <c r="H6316" t="s">
        <v>39</v>
      </c>
      <c r="I6316" t="s">
        <v>40</v>
      </c>
      <c r="J6316" s="2" t="s">
        <v>62</v>
      </c>
      <c r="K6316" t="s">
        <v>387</v>
      </c>
      <c r="L6316" t="s">
        <v>43</v>
      </c>
      <c r="Q6316">
        <v>26237</v>
      </c>
      <c r="R6316" t="s">
        <v>45</v>
      </c>
      <c r="S6316" t="s">
        <v>38265</v>
      </c>
      <c r="T6316">
        <v>26</v>
      </c>
      <c r="W6316" t="s">
        <v>48</v>
      </c>
      <c r="X6316">
        <v>807581</v>
      </c>
      <c r="Y6316" t="s">
        <v>1111</v>
      </c>
      <c r="Z6316" t="s">
        <v>1519</v>
      </c>
      <c r="AA6316" s="2" t="s">
        <v>38266</v>
      </c>
      <c r="AB6316" t="s">
        <v>24813</v>
      </c>
      <c r="AG6316" t="s">
        <v>38267</v>
      </c>
      <c r="AH6316" t="s">
        <v>38268</v>
      </c>
      <c r="AI6316" t="s">
        <v>38269</v>
      </c>
    </row>
    <row r="6317" spans="2:35" ht="300">
      <c r="B6317" s="1">
        <v>45212</v>
      </c>
      <c r="C6317" s="4">
        <v>45212.666666666664</v>
      </c>
      <c r="D6317" t="s">
        <v>2056</v>
      </c>
      <c r="E6317" t="s">
        <v>38270</v>
      </c>
      <c r="F6317" t="s">
        <v>1181</v>
      </c>
      <c r="G6317" t="s">
        <v>1182</v>
      </c>
      <c r="H6317" t="s">
        <v>39</v>
      </c>
      <c r="I6317" t="s">
        <v>40</v>
      </c>
      <c r="J6317" s="2" t="s">
        <v>41</v>
      </c>
      <c r="K6317" t="s">
        <v>42</v>
      </c>
      <c r="L6317" t="s">
        <v>15532</v>
      </c>
      <c r="Q6317">
        <v>26236</v>
      </c>
      <c r="R6317" t="s">
        <v>45</v>
      </c>
      <c r="S6317" t="s">
        <v>38271</v>
      </c>
      <c r="T6317">
        <v>29</v>
      </c>
      <c r="U6317" s="2" t="s">
        <v>38272</v>
      </c>
      <c r="V6317" s="1">
        <v>45203</v>
      </c>
      <c r="W6317" t="s">
        <v>3244</v>
      </c>
      <c r="X6317">
        <v>842893</v>
      </c>
      <c r="Y6317" t="s">
        <v>38273</v>
      </c>
      <c r="Z6317" s="2" t="s">
        <v>38274</v>
      </c>
      <c r="AA6317" s="2" t="s">
        <v>38275</v>
      </c>
      <c r="AB6317" t="s">
        <v>7445</v>
      </c>
      <c r="AD6317" t="s">
        <v>27573</v>
      </c>
      <c r="AE6317" t="s">
        <v>38276</v>
      </c>
      <c r="AG6317" t="s">
        <v>38277</v>
      </c>
      <c r="AH6317" t="s">
        <v>38278</v>
      </c>
      <c r="AI6317" t="s">
        <v>38279</v>
      </c>
    </row>
    <row r="6318" spans="2:35" ht="315">
      <c r="B6318" s="1">
        <v>45212</v>
      </c>
      <c r="C6318" s="4">
        <v>45212.556944444441</v>
      </c>
      <c r="D6318" t="s">
        <v>2208</v>
      </c>
      <c r="E6318" t="s">
        <v>21797</v>
      </c>
      <c r="F6318" t="s">
        <v>1181</v>
      </c>
      <c r="G6318" t="s">
        <v>1182</v>
      </c>
      <c r="H6318" t="s">
        <v>39</v>
      </c>
      <c r="I6318" t="s">
        <v>40</v>
      </c>
      <c r="J6318" s="2" t="s">
        <v>190</v>
      </c>
      <c r="K6318" t="s">
        <v>42</v>
      </c>
      <c r="L6318" t="s">
        <v>15532</v>
      </c>
      <c r="Q6318">
        <v>26235</v>
      </c>
      <c r="R6318" t="s">
        <v>45</v>
      </c>
      <c r="S6318" t="s">
        <v>2211</v>
      </c>
      <c r="T6318">
        <v>29</v>
      </c>
      <c r="U6318" s="2" t="s">
        <v>38280</v>
      </c>
      <c r="W6318" t="s">
        <v>597</v>
      </c>
      <c r="X6318">
        <v>832026</v>
      </c>
      <c r="Y6318" t="s">
        <v>38281</v>
      </c>
      <c r="Z6318" s="2" t="s">
        <v>38282</v>
      </c>
      <c r="AA6318" t="s">
        <v>38283</v>
      </c>
      <c r="AB6318" s="2" t="s">
        <v>30527</v>
      </c>
      <c r="AG6318" t="s">
        <v>38284</v>
      </c>
      <c r="AH6318" t="s">
        <v>38285</v>
      </c>
      <c r="AI6318" t="s">
        <v>38286</v>
      </c>
    </row>
    <row r="6319" spans="2:35" ht="330">
      <c r="B6319" s="1">
        <v>45212</v>
      </c>
      <c r="C6319" s="4">
        <v>45212.54791666667</v>
      </c>
      <c r="D6319" t="s">
        <v>2208</v>
      </c>
      <c r="E6319" t="s">
        <v>21797</v>
      </c>
      <c r="F6319" t="s">
        <v>1181</v>
      </c>
      <c r="G6319" t="s">
        <v>1182</v>
      </c>
      <c r="H6319" t="s">
        <v>39</v>
      </c>
      <c r="I6319" t="s">
        <v>40</v>
      </c>
      <c r="J6319" s="2" t="s">
        <v>190</v>
      </c>
      <c r="K6319" t="s">
        <v>42</v>
      </c>
      <c r="L6319" t="s">
        <v>15532</v>
      </c>
      <c r="Q6319">
        <v>26234</v>
      </c>
      <c r="R6319" t="s">
        <v>45</v>
      </c>
      <c r="S6319" t="s">
        <v>2211</v>
      </c>
      <c r="T6319">
        <v>29</v>
      </c>
      <c r="U6319" s="2" t="s">
        <v>33353</v>
      </c>
      <c r="W6319" t="s">
        <v>3244</v>
      </c>
      <c r="X6319">
        <v>804272</v>
      </c>
      <c r="Y6319" t="s">
        <v>38287</v>
      </c>
      <c r="Z6319" s="2" t="s">
        <v>38288</v>
      </c>
      <c r="AA6319" t="s">
        <v>38289</v>
      </c>
      <c r="AB6319" s="2" t="s">
        <v>38290</v>
      </c>
      <c r="AG6319" t="s">
        <v>38291</v>
      </c>
      <c r="AH6319" t="s">
        <v>4812</v>
      </c>
      <c r="AI6319" t="s">
        <v>38292</v>
      </c>
    </row>
    <row r="6320" spans="2:35" ht="105">
      <c r="B6320" s="1">
        <v>45212</v>
      </c>
      <c r="C6320" s="4">
        <v>45212.507638888892</v>
      </c>
      <c r="D6320" t="s">
        <v>38129</v>
      </c>
      <c r="E6320" t="s">
        <v>38130</v>
      </c>
      <c r="F6320">
        <v>6</v>
      </c>
      <c r="G6320" t="s">
        <v>1234</v>
      </c>
      <c r="H6320" t="s">
        <v>1047</v>
      </c>
      <c r="I6320" t="s">
        <v>94</v>
      </c>
      <c r="J6320" t="s">
        <v>996</v>
      </c>
      <c r="K6320" t="s">
        <v>42</v>
      </c>
      <c r="L6320" t="s">
        <v>23958</v>
      </c>
      <c r="Q6320">
        <v>26233</v>
      </c>
      <c r="R6320" t="s">
        <v>45</v>
      </c>
      <c r="S6320" t="s">
        <v>38131</v>
      </c>
      <c r="T6320">
        <v>4</v>
      </c>
      <c r="U6320" s="2" t="s">
        <v>38293</v>
      </c>
      <c r="W6320" t="s">
        <v>360</v>
      </c>
      <c r="X6320">
        <v>838144</v>
      </c>
      <c r="Y6320" t="s">
        <v>38294</v>
      </c>
      <c r="Z6320" t="s">
        <v>38295</v>
      </c>
      <c r="AA6320" t="s">
        <v>38296</v>
      </c>
      <c r="AB6320" t="s">
        <v>38297</v>
      </c>
      <c r="AG6320" t="s">
        <v>38298</v>
      </c>
      <c r="AH6320" t="s">
        <v>38137</v>
      </c>
      <c r="AI6320" t="s">
        <v>38299</v>
      </c>
    </row>
    <row r="6321" spans="2:35" ht="375">
      <c r="B6321" s="1">
        <v>45212</v>
      </c>
      <c r="C6321" s="4">
        <v>45212.493055555555</v>
      </c>
      <c r="D6321" t="s">
        <v>21170</v>
      </c>
      <c r="E6321" t="s">
        <v>5041</v>
      </c>
      <c r="F6321">
        <v>12</v>
      </c>
      <c r="G6321" t="s">
        <v>978</v>
      </c>
      <c r="H6321" t="s">
        <v>6500</v>
      </c>
      <c r="I6321" t="s">
        <v>40</v>
      </c>
      <c r="J6321" s="2" t="s">
        <v>1808</v>
      </c>
      <c r="K6321" t="s">
        <v>42</v>
      </c>
      <c r="L6321" t="s">
        <v>296</v>
      </c>
      <c r="Q6321">
        <v>26232</v>
      </c>
      <c r="R6321" t="s">
        <v>95</v>
      </c>
      <c r="S6321" t="s">
        <v>38300</v>
      </c>
      <c r="T6321">
        <v>21.8</v>
      </c>
      <c r="U6321" s="2" t="s">
        <v>11713</v>
      </c>
      <c r="W6321" t="s">
        <v>23049</v>
      </c>
      <c r="X6321">
        <v>831313</v>
      </c>
      <c r="Y6321" t="s">
        <v>1716</v>
      </c>
      <c r="Z6321" t="s">
        <v>303</v>
      </c>
      <c r="AA6321" s="2" t="s">
        <v>38301</v>
      </c>
      <c r="AB6321" t="s">
        <v>1480</v>
      </c>
      <c r="AG6321" t="s">
        <v>38302</v>
      </c>
      <c r="AH6321" t="s">
        <v>38303</v>
      </c>
      <c r="AI6321" t="s">
        <v>38304</v>
      </c>
    </row>
    <row r="6322" spans="2:35" ht="285">
      <c r="B6322" s="1">
        <v>45212</v>
      </c>
      <c r="C6322" s="4">
        <v>45212.479861111111</v>
      </c>
      <c r="D6322" t="s">
        <v>38305</v>
      </c>
      <c r="E6322" t="s">
        <v>38306</v>
      </c>
      <c r="F6322">
        <v>11</v>
      </c>
      <c r="G6322" t="s">
        <v>2836</v>
      </c>
      <c r="H6322" t="s">
        <v>10969</v>
      </c>
      <c r="I6322" t="s">
        <v>40</v>
      </c>
      <c r="J6322" s="2" t="s">
        <v>41</v>
      </c>
      <c r="K6322" t="s">
        <v>42</v>
      </c>
      <c r="L6322" t="s">
        <v>1288</v>
      </c>
      <c r="Q6322">
        <v>26231</v>
      </c>
      <c r="R6322" t="s">
        <v>45</v>
      </c>
      <c r="S6322" t="s">
        <v>24417</v>
      </c>
      <c r="T6322">
        <v>26</v>
      </c>
      <c r="U6322" s="2" t="s">
        <v>14127</v>
      </c>
      <c r="W6322" t="s">
        <v>1292</v>
      </c>
      <c r="X6322">
        <v>815383</v>
      </c>
      <c r="Y6322" t="s">
        <v>38307</v>
      </c>
      <c r="Z6322" t="s">
        <v>9107</v>
      </c>
      <c r="AA6322" s="2" t="s">
        <v>38308</v>
      </c>
      <c r="AB6322" t="s">
        <v>1293</v>
      </c>
      <c r="AG6322" t="s">
        <v>38309</v>
      </c>
      <c r="AH6322" t="s">
        <v>38310</v>
      </c>
      <c r="AI6322" t="s">
        <v>38311</v>
      </c>
    </row>
    <row r="6323" spans="2:35" ht="409.5">
      <c r="B6323" s="1">
        <v>45212</v>
      </c>
      <c r="C6323" s="4">
        <v>45212.474999999999</v>
      </c>
      <c r="D6323" t="s">
        <v>9514</v>
      </c>
      <c r="E6323" t="s">
        <v>38312</v>
      </c>
      <c r="F6323" t="s">
        <v>148</v>
      </c>
      <c r="G6323" t="s">
        <v>2007</v>
      </c>
      <c r="H6323" t="s">
        <v>662</v>
      </c>
      <c r="I6323" t="s">
        <v>40</v>
      </c>
      <c r="J6323" t="s">
        <v>79</v>
      </c>
      <c r="K6323" t="s">
        <v>42</v>
      </c>
      <c r="L6323" t="s">
        <v>448</v>
      </c>
      <c r="Q6323">
        <v>26230</v>
      </c>
      <c r="R6323" t="s">
        <v>95</v>
      </c>
      <c r="S6323" t="s">
        <v>38313</v>
      </c>
      <c r="T6323">
        <v>29</v>
      </c>
      <c r="U6323" s="2" t="s">
        <v>38314</v>
      </c>
      <c r="V6323" s="1">
        <v>45212</v>
      </c>
      <c r="W6323" t="s">
        <v>21890</v>
      </c>
      <c r="X6323">
        <v>110001647</v>
      </c>
      <c r="Y6323" t="s">
        <v>38315</v>
      </c>
      <c r="Z6323" s="2" t="s">
        <v>38316</v>
      </c>
      <c r="AA6323" t="s">
        <v>38317</v>
      </c>
      <c r="AB6323" t="s">
        <v>486</v>
      </c>
      <c r="AD6323" t="s">
        <v>10535</v>
      </c>
      <c r="AE6323" t="s">
        <v>38318</v>
      </c>
      <c r="AG6323" t="s">
        <v>38319</v>
      </c>
      <c r="AH6323" t="s">
        <v>38320</v>
      </c>
      <c r="AI6323" t="s">
        <v>38321</v>
      </c>
    </row>
    <row r="6324" spans="2:35" ht="105">
      <c r="B6324" s="1">
        <v>45212</v>
      </c>
      <c r="C6324" s="4">
        <v>45212.43472222222</v>
      </c>
      <c r="D6324" t="s">
        <v>228</v>
      </c>
      <c r="E6324" t="s">
        <v>229</v>
      </c>
      <c r="F6324" t="s">
        <v>148</v>
      </c>
      <c r="G6324" t="s">
        <v>230</v>
      </c>
      <c r="H6324" t="s">
        <v>39</v>
      </c>
      <c r="I6324" t="s">
        <v>40</v>
      </c>
      <c r="J6324" s="2" t="s">
        <v>760</v>
      </c>
      <c r="K6324" t="s">
        <v>42</v>
      </c>
      <c r="L6324" t="s">
        <v>175</v>
      </c>
      <c r="Q6324">
        <v>26229</v>
      </c>
      <c r="R6324" t="s">
        <v>119</v>
      </c>
      <c r="S6324" t="s">
        <v>23986</v>
      </c>
      <c r="T6324">
        <v>22</v>
      </c>
      <c r="U6324" s="2" t="s">
        <v>38322</v>
      </c>
      <c r="W6324" t="s">
        <v>84</v>
      </c>
      <c r="X6324">
        <v>831596</v>
      </c>
      <c r="Y6324" t="s">
        <v>38323</v>
      </c>
      <c r="Z6324" t="e">
        <f ca="1">- performed self test (Unable to PERFORM self. booting problem found on C1)
- Manually removed stuck cartridge
- replaced LAN cable on C1
- Reset Gateway board
- generated reports</f>
        <v>#NAME?</v>
      </c>
      <c r="AA6324" t="s">
        <v>8743</v>
      </c>
      <c r="AB6324" s="2" t="s">
        <v>38324</v>
      </c>
      <c r="AG6324" t="s">
        <v>38325</v>
      </c>
      <c r="AH6324" t="s">
        <v>33059</v>
      </c>
      <c r="AI6324" t="s">
        <v>38326</v>
      </c>
    </row>
    <row r="6325" spans="2:35" ht="135">
      <c r="B6325" s="1">
        <v>45212</v>
      </c>
      <c r="C6325" s="4">
        <v>45210.509722222225</v>
      </c>
      <c r="D6325" t="s">
        <v>38327</v>
      </c>
      <c r="E6325" t="s">
        <v>38328</v>
      </c>
      <c r="F6325">
        <v>5</v>
      </c>
      <c r="G6325" t="s">
        <v>814</v>
      </c>
      <c r="H6325" t="s">
        <v>39</v>
      </c>
      <c r="I6325" t="s">
        <v>40</v>
      </c>
      <c r="J6325" t="s">
        <v>109</v>
      </c>
      <c r="K6325" t="s">
        <v>42</v>
      </c>
      <c r="L6325" t="s">
        <v>761</v>
      </c>
      <c r="Q6325">
        <v>26228</v>
      </c>
      <c r="R6325" t="s">
        <v>45</v>
      </c>
      <c r="S6325" t="s">
        <v>38329</v>
      </c>
      <c r="T6325">
        <v>26</v>
      </c>
      <c r="U6325" s="2" t="s">
        <v>38330</v>
      </c>
      <c r="W6325" t="s">
        <v>360</v>
      </c>
      <c r="X6325">
        <v>835197</v>
      </c>
      <c r="Y6325" t="s">
        <v>1052</v>
      </c>
      <c r="Z6325" s="2" t="s">
        <v>38331</v>
      </c>
      <c r="AA6325" t="s">
        <v>820</v>
      </c>
      <c r="AB6325" t="s">
        <v>181</v>
      </c>
      <c r="AG6325" t="s">
        <v>38332</v>
      </c>
      <c r="AH6325" t="s">
        <v>38333</v>
      </c>
      <c r="AI6325" t="s">
        <v>38334</v>
      </c>
    </row>
    <row r="6326" spans="2:35" ht="105">
      <c r="B6326" s="1">
        <v>45212</v>
      </c>
      <c r="C6326" s="4">
        <v>45212.390972222223</v>
      </c>
      <c r="D6326" t="s">
        <v>25256</v>
      </c>
      <c r="E6326" t="s">
        <v>25257</v>
      </c>
      <c r="F6326">
        <v>10</v>
      </c>
      <c r="G6326" t="s">
        <v>5571</v>
      </c>
      <c r="H6326" t="s">
        <v>608</v>
      </c>
      <c r="I6326" t="s">
        <v>94</v>
      </c>
      <c r="J6326" t="s">
        <v>79</v>
      </c>
      <c r="K6326" t="s">
        <v>42</v>
      </c>
      <c r="L6326" t="s">
        <v>610</v>
      </c>
      <c r="Q6326">
        <v>26227</v>
      </c>
      <c r="R6326" t="s">
        <v>45</v>
      </c>
      <c r="S6326" t="s">
        <v>28219</v>
      </c>
      <c r="T6326">
        <v>24</v>
      </c>
      <c r="U6326" s="2" t="s">
        <v>38335</v>
      </c>
      <c r="W6326" t="s">
        <v>360</v>
      </c>
      <c r="X6326">
        <v>804765</v>
      </c>
      <c r="Y6326" t="s">
        <v>38336</v>
      </c>
      <c r="Z6326" t="s">
        <v>38337</v>
      </c>
      <c r="AA6326" t="s">
        <v>38338</v>
      </c>
      <c r="AB6326" t="s">
        <v>1263</v>
      </c>
      <c r="AG6326" t="s">
        <v>38339</v>
      </c>
      <c r="AH6326" t="s">
        <v>38340</v>
      </c>
      <c r="AI6326" t="s">
        <v>38341</v>
      </c>
    </row>
    <row r="6327" spans="2:35" ht="195">
      <c r="B6327" s="1">
        <v>45212</v>
      </c>
      <c r="C6327" s="4">
        <v>45212.383333333331</v>
      </c>
      <c r="D6327" t="s">
        <v>25256</v>
      </c>
      <c r="E6327" t="s">
        <v>25257</v>
      </c>
      <c r="F6327">
        <v>10</v>
      </c>
      <c r="G6327" t="s">
        <v>5571</v>
      </c>
      <c r="H6327" t="s">
        <v>608</v>
      </c>
      <c r="I6327" t="s">
        <v>94</v>
      </c>
      <c r="J6327" t="s">
        <v>79</v>
      </c>
      <c r="K6327" t="s">
        <v>42</v>
      </c>
      <c r="L6327" t="s">
        <v>610</v>
      </c>
      <c r="Q6327">
        <v>26226</v>
      </c>
      <c r="R6327" t="s">
        <v>45</v>
      </c>
      <c r="S6327" t="s">
        <v>28219</v>
      </c>
      <c r="T6327">
        <v>26</v>
      </c>
      <c r="U6327" s="2" t="s">
        <v>38342</v>
      </c>
      <c r="W6327" t="s">
        <v>360</v>
      </c>
      <c r="X6327">
        <v>834437</v>
      </c>
      <c r="Y6327" t="s">
        <v>38343</v>
      </c>
      <c r="Z6327" t="s">
        <v>38344</v>
      </c>
      <c r="AA6327" t="s">
        <v>38345</v>
      </c>
      <c r="AB6327" t="s">
        <v>1263</v>
      </c>
      <c r="AG6327" t="s">
        <v>38346</v>
      </c>
      <c r="AH6327" t="s">
        <v>38340</v>
      </c>
      <c r="AI6327" t="s">
        <v>38347</v>
      </c>
    </row>
    <row r="6328" spans="2:35" ht="240">
      <c r="B6328" s="1">
        <v>45212</v>
      </c>
      <c r="C6328" s="4">
        <v>45211.421527777777</v>
      </c>
      <c r="D6328" t="s">
        <v>2176</v>
      </c>
      <c r="E6328" t="s">
        <v>38348</v>
      </c>
      <c r="F6328" t="s">
        <v>148</v>
      </c>
      <c r="G6328" t="s">
        <v>447</v>
      </c>
      <c r="H6328" t="s">
        <v>662</v>
      </c>
      <c r="I6328" t="s">
        <v>40</v>
      </c>
      <c r="J6328" t="s">
        <v>109</v>
      </c>
      <c r="K6328" t="s">
        <v>42</v>
      </c>
      <c r="L6328" t="s">
        <v>448</v>
      </c>
      <c r="Q6328">
        <v>26225</v>
      </c>
      <c r="R6328" t="s">
        <v>322</v>
      </c>
      <c r="S6328" t="s">
        <v>3086</v>
      </c>
      <c r="T6328">
        <v>25</v>
      </c>
      <c r="W6328" t="s">
        <v>360</v>
      </c>
      <c r="X6328">
        <v>110014085</v>
      </c>
      <c r="Y6328" t="s">
        <v>38349</v>
      </c>
      <c r="Z6328" s="2" t="s">
        <v>38350</v>
      </c>
      <c r="AA6328" t="s">
        <v>6997</v>
      </c>
      <c r="AB6328" t="s">
        <v>486</v>
      </c>
      <c r="AG6328" t="s">
        <v>38351</v>
      </c>
      <c r="AH6328" t="s">
        <v>38352</v>
      </c>
      <c r="AI6328" t="s">
        <v>38353</v>
      </c>
    </row>
    <row r="6329" spans="2:35" ht="240">
      <c r="B6329" s="1">
        <v>45212</v>
      </c>
      <c r="C6329" s="4">
        <v>45211.428472222222</v>
      </c>
      <c r="D6329" t="s">
        <v>2176</v>
      </c>
      <c r="E6329" t="s">
        <v>33111</v>
      </c>
      <c r="F6329" t="s">
        <v>148</v>
      </c>
      <c r="G6329" t="s">
        <v>447</v>
      </c>
      <c r="H6329" t="s">
        <v>662</v>
      </c>
      <c r="I6329" t="s">
        <v>40</v>
      </c>
      <c r="J6329" t="s">
        <v>109</v>
      </c>
      <c r="K6329" t="s">
        <v>42</v>
      </c>
      <c r="L6329" t="s">
        <v>448</v>
      </c>
      <c r="Q6329">
        <v>26224</v>
      </c>
      <c r="R6329" t="s">
        <v>322</v>
      </c>
      <c r="S6329" t="s">
        <v>3086</v>
      </c>
      <c r="T6329">
        <v>26</v>
      </c>
      <c r="W6329" t="s">
        <v>360</v>
      </c>
      <c r="X6329">
        <v>110016781</v>
      </c>
      <c r="Y6329" t="s">
        <v>38354</v>
      </c>
      <c r="Z6329" s="2" t="s">
        <v>38350</v>
      </c>
      <c r="AA6329" t="s">
        <v>6997</v>
      </c>
      <c r="AB6329" t="s">
        <v>486</v>
      </c>
      <c r="AG6329" t="s">
        <v>38355</v>
      </c>
      <c r="AH6329" t="s">
        <v>38352</v>
      </c>
      <c r="AI6329" t="s">
        <v>38356</v>
      </c>
    </row>
    <row r="6330" spans="2:35" ht="390">
      <c r="B6330" s="1">
        <v>45212</v>
      </c>
      <c r="C6330" s="4">
        <v>45211.640277777777</v>
      </c>
      <c r="D6330" t="s">
        <v>472</v>
      </c>
      <c r="E6330" t="s">
        <v>38357</v>
      </c>
      <c r="F6330" t="s">
        <v>148</v>
      </c>
      <c r="G6330" t="s">
        <v>447</v>
      </c>
      <c r="H6330" t="s">
        <v>38358</v>
      </c>
      <c r="I6330" t="s">
        <v>40</v>
      </c>
      <c r="J6330" t="s">
        <v>525</v>
      </c>
      <c r="K6330" t="s">
        <v>387</v>
      </c>
      <c r="L6330" t="s">
        <v>448</v>
      </c>
      <c r="Q6330">
        <v>26223</v>
      </c>
      <c r="R6330" t="s">
        <v>322</v>
      </c>
      <c r="S6330" t="s">
        <v>6331</v>
      </c>
      <c r="T6330">
        <v>28</v>
      </c>
      <c r="W6330" t="s">
        <v>476</v>
      </c>
      <c r="X6330" t="s">
        <v>20799</v>
      </c>
      <c r="Y6330" t="s">
        <v>38359</v>
      </c>
      <c r="Z6330" s="2" t="s">
        <v>38360</v>
      </c>
      <c r="AA6330" t="s">
        <v>4487</v>
      </c>
      <c r="AB6330" t="s">
        <v>486</v>
      </c>
      <c r="AC6330" t="s">
        <v>38361</v>
      </c>
      <c r="AG6330" t="s">
        <v>38362</v>
      </c>
      <c r="AH6330" t="s">
        <v>16064</v>
      </c>
      <c r="AI6330" t="s">
        <v>38363</v>
      </c>
    </row>
    <row r="6331" spans="2:35" ht="180">
      <c r="B6331" s="1">
        <v>45212</v>
      </c>
      <c r="C6331" s="4">
        <v>45212.308333333334</v>
      </c>
      <c r="D6331" t="s">
        <v>10074</v>
      </c>
      <c r="E6331" t="s">
        <v>38364</v>
      </c>
      <c r="F6331">
        <v>6</v>
      </c>
      <c r="G6331" t="s">
        <v>1234</v>
      </c>
      <c r="H6331" t="s">
        <v>1047</v>
      </c>
      <c r="I6331" t="s">
        <v>94</v>
      </c>
      <c r="J6331" t="s">
        <v>996</v>
      </c>
      <c r="K6331" t="s">
        <v>42</v>
      </c>
      <c r="L6331" t="s">
        <v>23958</v>
      </c>
      <c r="Q6331">
        <v>26222</v>
      </c>
      <c r="R6331" t="s">
        <v>119</v>
      </c>
      <c r="S6331" t="s">
        <v>38365</v>
      </c>
      <c r="T6331">
        <v>4</v>
      </c>
      <c r="U6331" s="2" t="s">
        <v>38366</v>
      </c>
      <c r="W6331" t="s">
        <v>360</v>
      </c>
      <c r="X6331">
        <v>838486</v>
      </c>
      <c r="Y6331" t="s">
        <v>38367</v>
      </c>
      <c r="Z6331" t="s">
        <v>38368</v>
      </c>
      <c r="AA6331" t="s">
        <v>38369</v>
      </c>
      <c r="AB6331" t="s">
        <v>38370</v>
      </c>
      <c r="AG6331" t="s">
        <v>38371</v>
      </c>
      <c r="AH6331" t="s">
        <v>10080</v>
      </c>
      <c r="AI6331" t="s">
        <v>38372</v>
      </c>
    </row>
    <row r="6332" spans="2:35" ht="375">
      <c r="B6332" s="1">
        <v>45212</v>
      </c>
      <c r="C6332" s="4">
        <v>45211.461111111108</v>
      </c>
      <c r="D6332" t="s">
        <v>13856</v>
      </c>
      <c r="E6332" t="s">
        <v>17759</v>
      </c>
      <c r="F6332" t="s">
        <v>1255</v>
      </c>
      <c r="G6332" t="s">
        <v>1887</v>
      </c>
      <c r="H6332" t="s">
        <v>39</v>
      </c>
      <c r="I6332" t="s">
        <v>40</v>
      </c>
      <c r="J6332" s="2" t="s">
        <v>62</v>
      </c>
      <c r="K6332" t="s">
        <v>42</v>
      </c>
      <c r="L6332" t="s">
        <v>296</v>
      </c>
      <c r="Q6332">
        <v>26221</v>
      </c>
      <c r="R6332" t="s">
        <v>119</v>
      </c>
      <c r="S6332" t="s">
        <v>13858</v>
      </c>
      <c r="T6332">
        <v>28.2</v>
      </c>
      <c r="U6332" s="2" t="s">
        <v>19629</v>
      </c>
      <c r="V6332" s="1">
        <v>45211</v>
      </c>
      <c r="W6332" t="s">
        <v>23049</v>
      </c>
      <c r="X6332">
        <v>838205</v>
      </c>
      <c r="Y6332" t="s">
        <v>29935</v>
      </c>
      <c r="Z6332" t="s">
        <v>9161</v>
      </c>
      <c r="AA6332" s="2" t="s">
        <v>38373</v>
      </c>
      <c r="AB6332" t="s">
        <v>972</v>
      </c>
      <c r="AD6332" t="s">
        <v>38010</v>
      </c>
      <c r="AE6332" t="s">
        <v>38374</v>
      </c>
      <c r="AG6332" t="s">
        <v>38375</v>
      </c>
      <c r="AH6332" t="s">
        <v>28232</v>
      </c>
      <c r="AI6332" t="s">
        <v>38376</v>
      </c>
    </row>
    <row r="6333" spans="2:35" ht="60">
      <c r="B6333" s="1">
        <v>45211</v>
      </c>
      <c r="C6333" s="4">
        <v>45211.668055555558</v>
      </c>
      <c r="D6333" t="s">
        <v>38377</v>
      </c>
      <c r="E6333" t="s">
        <v>38378</v>
      </c>
      <c r="F6333">
        <v>7</v>
      </c>
      <c r="G6333" t="s">
        <v>432</v>
      </c>
      <c r="H6333" t="s">
        <v>39</v>
      </c>
      <c r="I6333" t="s">
        <v>40</v>
      </c>
      <c r="J6333" s="2" t="s">
        <v>62</v>
      </c>
      <c r="K6333" t="s">
        <v>42</v>
      </c>
      <c r="L6333" t="s">
        <v>433</v>
      </c>
      <c r="Q6333">
        <v>26220</v>
      </c>
      <c r="R6333" t="s">
        <v>45</v>
      </c>
      <c r="S6333" t="s">
        <v>2189</v>
      </c>
      <c r="T6333">
        <v>28</v>
      </c>
      <c r="W6333" t="s">
        <v>1008</v>
      </c>
      <c r="X6333">
        <v>835189</v>
      </c>
      <c r="Y6333" t="s">
        <v>2303</v>
      </c>
      <c r="Z6333" t="s">
        <v>38379</v>
      </c>
      <c r="AA6333" t="s">
        <v>38379</v>
      </c>
      <c r="AB6333" t="s">
        <v>1011</v>
      </c>
      <c r="AC6333" t="s">
        <v>8019</v>
      </c>
      <c r="AG6333" t="s">
        <v>38380</v>
      </c>
      <c r="AH6333" t="s">
        <v>3101</v>
      </c>
      <c r="AI6333" t="s">
        <v>38381</v>
      </c>
    </row>
    <row r="6334" spans="2:35" ht="105">
      <c r="B6334" s="1">
        <v>45211</v>
      </c>
      <c r="C6334" s="4">
        <v>45211.569444444445</v>
      </c>
      <c r="D6334" t="s">
        <v>3604</v>
      </c>
      <c r="E6334" t="s">
        <v>38382</v>
      </c>
      <c r="F6334" t="s">
        <v>148</v>
      </c>
      <c r="G6334" t="s">
        <v>2007</v>
      </c>
      <c r="H6334" t="s">
        <v>39</v>
      </c>
      <c r="I6334" t="s">
        <v>40</v>
      </c>
      <c r="J6334" t="s">
        <v>321</v>
      </c>
      <c r="K6334" t="s">
        <v>42</v>
      </c>
      <c r="L6334" t="s">
        <v>175</v>
      </c>
      <c r="Q6334">
        <v>26219</v>
      </c>
      <c r="R6334" t="s">
        <v>119</v>
      </c>
      <c r="S6334" t="s">
        <v>2312</v>
      </c>
      <c r="T6334">
        <v>24</v>
      </c>
      <c r="U6334" s="2" t="s">
        <v>38383</v>
      </c>
      <c r="W6334" t="s">
        <v>84</v>
      </c>
      <c r="X6334">
        <v>831875</v>
      </c>
      <c r="Y6334" t="s">
        <v>8338</v>
      </c>
      <c r="Z6334" t="e">
        <f ca="1">- installed Unit
- connected GX to _xludf.switch
- genwrated reports</f>
        <v>#NAME?</v>
      </c>
      <c r="AA6334" t="s">
        <v>38384</v>
      </c>
      <c r="AB6334" t="s">
        <v>88</v>
      </c>
      <c r="AG6334" t="s">
        <v>38385</v>
      </c>
      <c r="AH6334" t="s">
        <v>38386</v>
      </c>
      <c r="AI6334" t="s">
        <v>38387</v>
      </c>
    </row>
    <row r="6335" spans="2:35" ht="300">
      <c r="B6335" s="1">
        <v>45211</v>
      </c>
      <c r="C6335" s="4">
        <v>45211.495138888888</v>
      </c>
      <c r="D6335" t="s">
        <v>24069</v>
      </c>
      <c r="E6335" t="s">
        <v>38388</v>
      </c>
      <c r="F6335">
        <v>2</v>
      </c>
      <c r="G6335" t="s">
        <v>1722</v>
      </c>
      <c r="H6335" t="s">
        <v>39</v>
      </c>
      <c r="I6335" t="s">
        <v>40</v>
      </c>
      <c r="J6335" s="2" t="s">
        <v>1808</v>
      </c>
      <c r="K6335" t="s">
        <v>42</v>
      </c>
      <c r="L6335" t="s">
        <v>63</v>
      </c>
      <c r="Q6335">
        <v>26218</v>
      </c>
      <c r="R6335" t="s">
        <v>322</v>
      </c>
      <c r="S6335" t="s">
        <v>11397</v>
      </c>
      <c r="T6335">
        <v>25</v>
      </c>
      <c r="V6335" s="1">
        <v>45211</v>
      </c>
      <c r="W6335" t="s">
        <v>38389</v>
      </c>
      <c r="X6335">
        <v>110013709</v>
      </c>
      <c r="Y6335" t="s">
        <v>1716</v>
      </c>
      <c r="Z6335" t="s">
        <v>1716</v>
      </c>
      <c r="AA6335" s="2" t="s">
        <v>38390</v>
      </c>
      <c r="AB6335" t="s">
        <v>70</v>
      </c>
      <c r="AC6335" t="s">
        <v>1716</v>
      </c>
      <c r="AD6335" t="s">
        <v>1716</v>
      </c>
      <c r="AE6335" t="s">
        <v>1716</v>
      </c>
      <c r="AG6335" t="s">
        <v>38391</v>
      </c>
      <c r="AH6335" t="s">
        <v>38392</v>
      </c>
      <c r="AI6335" t="s">
        <v>38393</v>
      </c>
    </row>
    <row r="6336" spans="2:35" ht="120">
      <c r="B6336" s="1">
        <v>45211</v>
      </c>
      <c r="C6336" s="4">
        <v>45211.519444444442</v>
      </c>
      <c r="D6336" t="s">
        <v>24550</v>
      </c>
      <c r="E6336" t="s">
        <v>38394</v>
      </c>
      <c r="F6336">
        <v>13</v>
      </c>
      <c r="G6336" t="s">
        <v>4484</v>
      </c>
      <c r="H6336" t="s">
        <v>2125</v>
      </c>
      <c r="I6336" t="s">
        <v>40</v>
      </c>
      <c r="J6336" t="s">
        <v>79</v>
      </c>
      <c r="K6336" t="s">
        <v>42</v>
      </c>
      <c r="L6336" t="s">
        <v>933</v>
      </c>
      <c r="Q6336">
        <v>26217</v>
      </c>
      <c r="R6336" t="s">
        <v>719</v>
      </c>
      <c r="S6336" t="s">
        <v>38395</v>
      </c>
      <c r="T6336">
        <v>27.03</v>
      </c>
      <c r="U6336" s="2" t="s">
        <v>25761</v>
      </c>
      <c r="W6336" t="s">
        <v>3662</v>
      </c>
      <c r="X6336">
        <v>847338</v>
      </c>
      <c r="Y6336" t="s">
        <v>38396</v>
      </c>
      <c r="Z6336" t="s">
        <v>301</v>
      </c>
      <c r="AA6336" s="2" t="s">
        <v>38397</v>
      </c>
      <c r="AB6336" t="s">
        <v>38398</v>
      </c>
      <c r="AG6336" t="s">
        <v>38399</v>
      </c>
      <c r="AH6336" t="s">
        <v>24557</v>
      </c>
      <c r="AI6336" t="s">
        <v>38400</v>
      </c>
    </row>
    <row r="6337" spans="2:35" ht="195">
      <c r="B6337" s="1">
        <v>45211</v>
      </c>
      <c r="C6337" s="4">
        <v>45210.477083333331</v>
      </c>
      <c r="D6337" t="s">
        <v>38401</v>
      </c>
      <c r="E6337" t="s">
        <v>38402</v>
      </c>
      <c r="F6337" t="s">
        <v>148</v>
      </c>
      <c r="G6337" t="s">
        <v>447</v>
      </c>
      <c r="H6337" t="s">
        <v>39</v>
      </c>
      <c r="I6337" t="s">
        <v>40</v>
      </c>
      <c r="J6337" t="s">
        <v>109</v>
      </c>
      <c r="K6337" t="s">
        <v>42</v>
      </c>
      <c r="L6337" t="s">
        <v>448</v>
      </c>
      <c r="Q6337">
        <v>26216</v>
      </c>
      <c r="R6337" t="s">
        <v>119</v>
      </c>
      <c r="S6337" t="s">
        <v>38403</v>
      </c>
      <c r="T6337">
        <v>29</v>
      </c>
      <c r="U6337" s="2" t="s">
        <v>38404</v>
      </c>
      <c r="W6337" t="s">
        <v>360</v>
      </c>
      <c r="X6337">
        <v>831610</v>
      </c>
      <c r="Y6337" t="s">
        <v>485</v>
      </c>
      <c r="Z6337" s="2" t="s">
        <v>38405</v>
      </c>
      <c r="AA6337" t="s">
        <v>6997</v>
      </c>
      <c r="AB6337" t="s">
        <v>486</v>
      </c>
      <c r="AG6337" t="s">
        <v>38406</v>
      </c>
      <c r="AH6337" t="s">
        <v>38407</v>
      </c>
      <c r="AI6337" t="s">
        <v>38408</v>
      </c>
    </row>
    <row r="6338" spans="2:35" ht="135">
      <c r="B6338" s="1">
        <v>45211</v>
      </c>
      <c r="C6338" s="4">
        <v>45209.571527777778</v>
      </c>
      <c r="D6338" t="s">
        <v>1145</v>
      </c>
      <c r="E6338" t="s">
        <v>27880</v>
      </c>
      <c r="F6338" t="s">
        <v>148</v>
      </c>
      <c r="G6338" t="s">
        <v>447</v>
      </c>
      <c r="H6338" t="s">
        <v>38409</v>
      </c>
      <c r="I6338" t="s">
        <v>40</v>
      </c>
      <c r="J6338" t="s">
        <v>109</v>
      </c>
      <c r="K6338" t="s">
        <v>42</v>
      </c>
      <c r="L6338" t="s">
        <v>448</v>
      </c>
      <c r="Q6338">
        <v>26215</v>
      </c>
      <c r="R6338" t="s">
        <v>45</v>
      </c>
      <c r="S6338" t="s">
        <v>23333</v>
      </c>
      <c r="T6338">
        <v>31</v>
      </c>
      <c r="U6338" s="2" t="s">
        <v>38410</v>
      </c>
      <c r="W6338" t="s">
        <v>31079</v>
      </c>
      <c r="X6338">
        <v>704584</v>
      </c>
      <c r="Y6338" t="s">
        <v>38411</v>
      </c>
      <c r="Z6338" s="2" t="s">
        <v>38412</v>
      </c>
      <c r="AA6338" t="s">
        <v>6997</v>
      </c>
      <c r="AB6338" t="s">
        <v>38413</v>
      </c>
      <c r="AG6338" t="s">
        <v>38414</v>
      </c>
      <c r="AH6338" t="s">
        <v>37433</v>
      </c>
      <c r="AI6338" t="s">
        <v>38415</v>
      </c>
    </row>
    <row r="6339" spans="2:35" ht="210">
      <c r="B6339" s="1">
        <v>45211</v>
      </c>
      <c r="C6339" s="4">
        <v>45209.568055555559</v>
      </c>
      <c r="D6339" t="s">
        <v>1145</v>
      </c>
      <c r="E6339" t="s">
        <v>27880</v>
      </c>
      <c r="F6339" t="s">
        <v>148</v>
      </c>
      <c r="G6339" t="s">
        <v>447</v>
      </c>
      <c r="H6339" t="s">
        <v>38409</v>
      </c>
      <c r="I6339" t="s">
        <v>40</v>
      </c>
      <c r="J6339" s="2" t="s">
        <v>41</v>
      </c>
      <c r="K6339" t="s">
        <v>42</v>
      </c>
      <c r="L6339" t="s">
        <v>448</v>
      </c>
      <c r="Q6339">
        <v>26214</v>
      </c>
      <c r="R6339" t="s">
        <v>45</v>
      </c>
      <c r="S6339" t="s">
        <v>23333</v>
      </c>
      <c r="T6339">
        <v>29</v>
      </c>
      <c r="U6339" s="2" t="s">
        <v>38416</v>
      </c>
      <c r="V6339" s="1">
        <v>45209</v>
      </c>
      <c r="W6339" t="s">
        <v>31079</v>
      </c>
      <c r="X6339">
        <v>707450</v>
      </c>
      <c r="Y6339" t="s">
        <v>38417</v>
      </c>
      <c r="Z6339" s="2" t="s">
        <v>38418</v>
      </c>
      <c r="AA6339" t="s">
        <v>20643</v>
      </c>
      <c r="AB6339" t="s">
        <v>486</v>
      </c>
      <c r="AD6339" t="s">
        <v>19700</v>
      </c>
      <c r="AE6339" t="s">
        <v>38419</v>
      </c>
      <c r="AG6339" t="s">
        <v>38420</v>
      </c>
      <c r="AH6339" t="s">
        <v>37433</v>
      </c>
      <c r="AI6339" t="s">
        <v>38421</v>
      </c>
    </row>
    <row r="6340" spans="2:35" ht="409.5">
      <c r="B6340" s="1">
        <v>45211</v>
      </c>
      <c r="C6340" s="4">
        <v>45209.428472222222</v>
      </c>
      <c r="D6340" t="s">
        <v>38422</v>
      </c>
      <c r="E6340" t="s">
        <v>38348</v>
      </c>
      <c r="F6340" t="s">
        <v>148</v>
      </c>
      <c r="G6340" t="s">
        <v>447</v>
      </c>
      <c r="H6340" t="s">
        <v>386</v>
      </c>
      <c r="I6340" t="s">
        <v>40</v>
      </c>
      <c r="J6340" t="s">
        <v>109</v>
      </c>
      <c r="K6340" t="s">
        <v>387</v>
      </c>
      <c r="L6340" t="s">
        <v>448</v>
      </c>
      <c r="Q6340">
        <v>26213</v>
      </c>
      <c r="R6340" t="s">
        <v>322</v>
      </c>
      <c r="S6340" t="s">
        <v>37391</v>
      </c>
      <c r="T6340">
        <v>28</v>
      </c>
      <c r="W6340" t="s">
        <v>476</v>
      </c>
      <c r="X6340" t="s">
        <v>3690</v>
      </c>
      <c r="Y6340" t="s">
        <v>485</v>
      </c>
      <c r="Z6340" s="2" t="s">
        <v>38423</v>
      </c>
      <c r="AA6340" t="s">
        <v>6997</v>
      </c>
      <c r="AB6340" t="s">
        <v>486</v>
      </c>
      <c r="AG6340" t="s">
        <v>38424</v>
      </c>
      <c r="AH6340" t="s">
        <v>25726</v>
      </c>
      <c r="AI6340" t="s">
        <v>38425</v>
      </c>
    </row>
    <row r="6341" spans="2:35" ht="409.5">
      <c r="B6341" s="1">
        <v>45211</v>
      </c>
      <c r="C6341" s="4">
        <v>45209.407638888886</v>
      </c>
      <c r="D6341" t="s">
        <v>38422</v>
      </c>
      <c r="E6341" t="s">
        <v>33111</v>
      </c>
      <c r="F6341" t="s">
        <v>148</v>
      </c>
      <c r="G6341" t="s">
        <v>447</v>
      </c>
      <c r="H6341" t="s">
        <v>386</v>
      </c>
      <c r="I6341" t="s">
        <v>40</v>
      </c>
      <c r="J6341" t="s">
        <v>109</v>
      </c>
      <c r="K6341" t="s">
        <v>387</v>
      </c>
      <c r="L6341" t="s">
        <v>448</v>
      </c>
      <c r="Q6341">
        <v>26212</v>
      </c>
      <c r="R6341" t="s">
        <v>322</v>
      </c>
      <c r="S6341" t="s">
        <v>37391</v>
      </c>
      <c r="T6341">
        <v>28</v>
      </c>
      <c r="W6341" t="s">
        <v>390</v>
      </c>
      <c r="X6341">
        <v>20168</v>
      </c>
      <c r="Y6341" t="s">
        <v>485</v>
      </c>
      <c r="Z6341" s="2" t="s">
        <v>38423</v>
      </c>
      <c r="AA6341" t="s">
        <v>6997</v>
      </c>
      <c r="AB6341" t="s">
        <v>486</v>
      </c>
      <c r="AG6341" t="s">
        <v>38426</v>
      </c>
      <c r="AH6341" t="s">
        <v>25726</v>
      </c>
      <c r="AI6341" t="s">
        <v>38427</v>
      </c>
    </row>
    <row r="6342" spans="2:35" ht="105">
      <c r="B6342" s="1">
        <v>45211</v>
      </c>
      <c r="C6342" s="4">
        <v>45211.431250000001</v>
      </c>
      <c r="D6342" t="s">
        <v>29241</v>
      </c>
      <c r="E6342" t="s">
        <v>38428</v>
      </c>
      <c r="F6342">
        <v>10</v>
      </c>
      <c r="G6342" t="s">
        <v>2392</v>
      </c>
      <c r="H6342" t="s">
        <v>38429</v>
      </c>
      <c r="I6342" t="s">
        <v>94</v>
      </c>
      <c r="J6342" t="s">
        <v>79</v>
      </c>
      <c r="K6342" t="s">
        <v>42</v>
      </c>
      <c r="L6342" t="s">
        <v>610</v>
      </c>
      <c r="Q6342">
        <v>26211</v>
      </c>
      <c r="R6342" t="s">
        <v>45</v>
      </c>
      <c r="S6342" t="s">
        <v>38430</v>
      </c>
      <c r="T6342">
        <v>23</v>
      </c>
      <c r="U6342" s="2" t="s">
        <v>38431</v>
      </c>
      <c r="W6342" t="s">
        <v>502</v>
      </c>
      <c r="X6342">
        <v>807673</v>
      </c>
      <c r="Y6342" t="s">
        <v>38432</v>
      </c>
      <c r="Z6342" t="s">
        <v>4789</v>
      </c>
      <c r="AA6342" t="s">
        <v>38433</v>
      </c>
      <c r="AB6342" t="s">
        <v>38434</v>
      </c>
      <c r="AG6342" t="s">
        <v>38435</v>
      </c>
      <c r="AH6342" t="s">
        <v>38436</v>
      </c>
      <c r="AI6342" t="s">
        <v>38437</v>
      </c>
    </row>
    <row r="6343" spans="2:35" ht="180">
      <c r="B6343" s="1">
        <v>45211</v>
      </c>
      <c r="C6343" s="4">
        <v>45211.427083333336</v>
      </c>
      <c r="D6343" t="s">
        <v>29310</v>
      </c>
      <c r="E6343" t="s">
        <v>29311</v>
      </c>
      <c r="F6343">
        <v>8</v>
      </c>
      <c r="G6343" t="s">
        <v>342</v>
      </c>
      <c r="H6343" t="s">
        <v>202</v>
      </c>
      <c r="I6343" t="s">
        <v>40</v>
      </c>
      <c r="J6343" s="2" t="s">
        <v>1808</v>
      </c>
      <c r="K6343" t="s">
        <v>42</v>
      </c>
      <c r="L6343" t="s">
        <v>259</v>
      </c>
      <c r="Q6343">
        <v>26210</v>
      </c>
      <c r="R6343" t="s">
        <v>719</v>
      </c>
      <c r="S6343" t="s">
        <v>29312</v>
      </c>
      <c r="T6343">
        <v>25</v>
      </c>
      <c r="U6343" s="2" t="s">
        <v>38438</v>
      </c>
      <c r="V6343" s="1">
        <v>45211</v>
      </c>
      <c r="W6343" t="s">
        <v>84</v>
      </c>
      <c r="X6343">
        <v>847227</v>
      </c>
      <c r="Y6343" t="e">
        <f ca="1">- LCD monitor defective SN: CNK94301PB</f>
        <v>#NAME?</v>
      </c>
      <c r="Z6343" t="e">
        <f ca="1">- LCD Replacement
- Preventive Maintenance</f>
        <v>#NAME?</v>
      </c>
      <c r="AA6343" t="e">
        <f ca="1">- Install new LCD monitor W/ SN: V5FTH169
- performed functionality test
- performed Preventive Maintenance
- Generate reports</f>
        <v>#NAME?</v>
      </c>
      <c r="AB6343" t="s">
        <v>70</v>
      </c>
      <c r="AD6343" s="2" t="s">
        <v>38439</v>
      </c>
      <c r="AE6343" t="s">
        <v>45</v>
      </c>
      <c r="AG6343" t="s">
        <v>38440</v>
      </c>
      <c r="AH6343" t="s">
        <v>38441</v>
      </c>
      <c r="AI6343" t="s">
        <v>38442</v>
      </c>
    </row>
    <row r="6344" spans="2:35" ht="285">
      <c r="B6344" s="1">
        <v>45211</v>
      </c>
      <c r="C6344" s="4">
        <v>45211.424305555556</v>
      </c>
      <c r="D6344" t="s">
        <v>26102</v>
      </c>
      <c r="E6344" t="s">
        <v>24831</v>
      </c>
      <c r="F6344" t="s">
        <v>37</v>
      </c>
      <c r="G6344" t="s">
        <v>78</v>
      </c>
      <c r="H6344" t="s">
        <v>39</v>
      </c>
      <c r="I6344" t="s">
        <v>40</v>
      </c>
      <c r="J6344" s="2" t="s">
        <v>62</v>
      </c>
      <c r="K6344" t="s">
        <v>42</v>
      </c>
      <c r="L6344" t="s">
        <v>1943</v>
      </c>
      <c r="Q6344">
        <v>26209</v>
      </c>
      <c r="R6344" t="s">
        <v>119</v>
      </c>
      <c r="S6344" t="s">
        <v>82</v>
      </c>
      <c r="T6344">
        <v>25</v>
      </c>
      <c r="U6344" s="2" t="s">
        <v>38257</v>
      </c>
      <c r="W6344" t="s">
        <v>84</v>
      </c>
      <c r="X6344">
        <v>821278</v>
      </c>
      <c r="Y6344" s="2" t="s">
        <v>38443</v>
      </c>
      <c r="Z6344" s="2" t="s">
        <v>38259</v>
      </c>
      <c r="AA6344" t="s">
        <v>23660</v>
      </c>
      <c r="AB6344" t="s">
        <v>38444</v>
      </c>
      <c r="AC6344" t="s">
        <v>37598</v>
      </c>
      <c r="AG6344" t="s">
        <v>38261</v>
      </c>
      <c r="AH6344" t="s">
        <v>90</v>
      </c>
      <c r="AI6344" t="s">
        <v>38262</v>
      </c>
    </row>
    <row r="6345" spans="2:35" ht="409.5">
      <c r="B6345" s="1">
        <v>45211</v>
      </c>
      <c r="C6345" s="4">
        <v>45209.654166666667</v>
      </c>
      <c r="D6345" t="s">
        <v>38445</v>
      </c>
      <c r="E6345" t="s">
        <v>38446</v>
      </c>
      <c r="F6345">
        <v>8</v>
      </c>
      <c r="G6345" t="s">
        <v>1789</v>
      </c>
      <c r="H6345" t="s">
        <v>39</v>
      </c>
      <c r="I6345" t="s">
        <v>40</v>
      </c>
      <c r="J6345" s="2" t="s">
        <v>41</v>
      </c>
      <c r="K6345" t="s">
        <v>42</v>
      </c>
      <c r="L6345" t="s">
        <v>259</v>
      </c>
      <c r="Q6345">
        <v>26208</v>
      </c>
      <c r="R6345" t="s">
        <v>45</v>
      </c>
      <c r="S6345" t="s">
        <v>38447</v>
      </c>
      <c r="T6345">
        <v>29</v>
      </c>
      <c r="V6345" s="1">
        <v>45210</v>
      </c>
      <c r="W6345" t="s">
        <v>84</v>
      </c>
      <c r="X6345">
        <v>834815</v>
      </c>
      <c r="Y6345" t="s">
        <v>38448</v>
      </c>
      <c r="Z6345" t="e">
        <f ca="1">- module Replacement
- Preventive Maintenance</f>
        <v>#NAME?</v>
      </c>
      <c r="AA6345" s="2" t="s">
        <v>38449</v>
      </c>
      <c r="AB6345" t="s">
        <v>70</v>
      </c>
      <c r="AD6345" t="s">
        <v>38450</v>
      </c>
      <c r="AE6345" t="s">
        <v>45</v>
      </c>
      <c r="AG6345" t="s">
        <v>38451</v>
      </c>
      <c r="AH6345" t="s">
        <v>38452</v>
      </c>
      <c r="AI6345" t="s">
        <v>38453</v>
      </c>
    </row>
    <row r="6346" spans="2:35" ht="225">
      <c r="B6346" s="1">
        <v>45211</v>
      </c>
      <c r="C6346" s="4">
        <v>45211.399305555555</v>
      </c>
      <c r="D6346" t="s">
        <v>2408</v>
      </c>
      <c r="E6346" t="s">
        <v>2409</v>
      </c>
      <c r="F6346">
        <v>3</v>
      </c>
      <c r="G6346" t="s">
        <v>730</v>
      </c>
      <c r="H6346" t="s">
        <v>39</v>
      </c>
      <c r="I6346" t="s">
        <v>40</v>
      </c>
      <c r="J6346" s="2" t="s">
        <v>190</v>
      </c>
      <c r="K6346" t="s">
        <v>42</v>
      </c>
      <c r="L6346" t="s">
        <v>135</v>
      </c>
      <c r="Q6346">
        <v>26207</v>
      </c>
      <c r="R6346" t="s">
        <v>45</v>
      </c>
      <c r="S6346" t="s">
        <v>2410</v>
      </c>
      <c r="T6346">
        <v>27</v>
      </c>
      <c r="U6346" s="2" t="s">
        <v>38454</v>
      </c>
      <c r="W6346" t="s">
        <v>2680</v>
      </c>
      <c r="X6346">
        <v>807562</v>
      </c>
      <c r="Y6346" s="2" t="s">
        <v>38455</v>
      </c>
      <c r="Z6346" s="2" t="s">
        <v>29848</v>
      </c>
      <c r="AA6346" s="2" t="s">
        <v>38456</v>
      </c>
      <c r="AB6346" t="s">
        <v>11470</v>
      </c>
      <c r="AC6346" t="s">
        <v>38457</v>
      </c>
      <c r="AG6346" t="s">
        <v>38458</v>
      </c>
      <c r="AH6346" t="s">
        <v>38459</v>
      </c>
      <c r="AI6346" t="s">
        <v>38460</v>
      </c>
    </row>
    <row r="6347" spans="2:35" ht="105">
      <c r="B6347" s="1">
        <v>45211</v>
      </c>
      <c r="C6347" s="4">
        <v>45209.599999999999</v>
      </c>
      <c r="D6347" t="s">
        <v>11901</v>
      </c>
      <c r="E6347" t="s">
        <v>31951</v>
      </c>
      <c r="F6347">
        <v>6</v>
      </c>
      <c r="G6347" t="s">
        <v>1234</v>
      </c>
      <c r="H6347" t="s">
        <v>1047</v>
      </c>
      <c r="I6347" t="s">
        <v>94</v>
      </c>
      <c r="J6347" t="s">
        <v>79</v>
      </c>
      <c r="K6347" t="s">
        <v>42</v>
      </c>
      <c r="L6347" t="s">
        <v>23958</v>
      </c>
      <c r="Q6347">
        <v>26206</v>
      </c>
      <c r="R6347" t="s">
        <v>45</v>
      </c>
      <c r="S6347" t="s">
        <v>34236</v>
      </c>
      <c r="T6347">
        <v>4</v>
      </c>
      <c r="U6347" s="2" t="s">
        <v>38461</v>
      </c>
      <c r="W6347" t="s">
        <v>360</v>
      </c>
      <c r="X6347">
        <v>812020</v>
      </c>
      <c r="Y6347" t="s">
        <v>54</v>
      </c>
      <c r="Z6347" t="s">
        <v>38462</v>
      </c>
      <c r="AA6347" t="s">
        <v>38463</v>
      </c>
      <c r="AB6347" t="s">
        <v>38464</v>
      </c>
      <c r="AG6347" t="s">
        <v>38465</v>
      </c>
      <c r="AH6347" t="s">
        <v>36973</v>
      </c>
      <c r="AI6347" t="s">
        <v>38466</v>
      </c>
    </row>
    <row r="6348" spans="2:35" ht="409.5">
      <c r="B6348" s="1">
        <v>45211</v>
      </c>
      <c r="C6348" s="4">
        <v>45209.654166666667</v>
      </c>
      <c r="D6348" t="s">
        <v>38445</v>
      </c>
      <c r="E6348" t="s">
        <v>38446</v>
      </c>
      <c r="F6348">
        <v>8</v>
      </c>
      <c r="G6348" t="s">
        <v>1789</v>
      </c>
      <c r="H6348" t="s">
        <v>39</v>
      </c>
      <c r="I6348" t="s">
        <v>40</v>
      </c>
      <c r="J6348" s="2" t="s">
        <v>41</v>
      </c>
      <c r="K6348" t="s">
        <v>42</v>
      </c>
      <c r="L6348" t="s">
        <v>259</v>
      </c>
      <c r="Q6348">
        <v>26205</v>
      </c>
      <c r="R6348" t="s">
        <v>45</v>
      </c>
      <c r="S6348" t="s">
        <v>38447</v>
      </c>
      <c r="T6348">
        <v>29</v>
      </c>
      <c r="V6348" s="1">
        <v>45210</v>
      </c>
      <c r="W6348" t="s">
        <v>84</v>
      </c>
      <c r="X6348">
        <v>834815</v>
      </c>
      <c r="Y6348" t="s">
        <v>38448</v>
      </c>
      <c r="Z6348" t="e">
        <f ca="1">- module Replacement
- Preventive Maintenance</f>
        <v>#NAME?</v>
      </c>
      <c r="AA6348" s="2" t="s">
        <v>38449</v>
      </c>
      <c r="AB6348" t="s">
        <v>70</v>
      </c>
      <c r="AD6348" t="s">
        <v>38450</v>
      </c>
      <c r="AE6348" t="s">
        <v>45</v>
      </c>
      <c r="AG6348" t="s">
        <v>38467</v>
      </c>
      <c r="AH6348" t="s">
        <v>38452</v>
      </c>
      <c r="AI6348" t="s">
        <v>38468</v>
      </c>
    </row>
    <row r="6349" spans="2:35" ht="75">
      <c r="B6349" s="1">
        <v>45210</v>
      </c>
      <c r="C6349" s="4">
        <v>45210.65347222222</v>
      </c>
      <c r="D6349" t="s">
        <v>38469</v>
      </c>
      <c r="E6349" t="s">
        <v>38470</v>
      </c>
      <c r="F6349">
        <v>8</v>
      </c>
      <c r="G6349" t="s">
        <v>342</v>
      </c>
      <c r="H6349" t="s">
        <v>39</v>
      </c>
      <c r="I6349" t="s">
        <v>94</v>
      </c>
      <c r="J6349" s="2" t="s">
        <v>1309</v>
      </c>
      <c r="K6349" t="s">
        <v>387</v>
      </c>
      <c r="L6349" t="s">
        <v>433</v>
      </c>
      <c r="Q6349">
        <v>26204</v>
      </c>
      <c r="R6349" t="s">
        <v>95</v>
      </c>
      <c r="S6349" t="s">
        <v>32244</v>
      </c>
      <c r="T6349">
        <v>28</v>
      </c>
      <c r="W6349" t="s">
        <v>476</v>
      </c>
      <c r="X6349" t="s">
        <v>38471</v>
      </c>
      <c r="Y6349" t="s">
        <v>38472</v>
      </c>
      <c r="Z6349" t="s">
        <v>38473</v>
      </c>
      <c r="AA6349" t="s">
        <v>38474</v>
      </c>
      <c r="AB6349" t="s">
        <v>441</v>
      </c>
      <c r="AC6349" t="s">
        <v>38475</v>
      </c>
      <c r="AG6349" t="s">
        <v>38476</v>
      </c>
      <c r="AH6349" t="s">
        <v>38477</v>
      </c>
      <c r="AI6349" t="s">
        <v>38478</v>
      </c>
    </row>
    <row r="6350" spans="2:35" ht="255">
      <c r="B6350" s="1">
        <v>45210</v>
      </c>
      <c r="C6350" s="4">
        <v>45210.65902777778</v>
      </c>
      <c r="D6350" t="s">
        <v>7146</v>
      </c>
      <c r="E6350" t="s">
        <v>38479</v>
      </c>
      <c r="F6350" t="s">
        <v>1181</v>
      </c>
      <c r="G6350" t="s">
        <v>7148</v>
      </c>
      <c r="H6350" t="s">
        <v>39</v>
      </c>
      <c r="I6350" t="s">
        <v>40</v>
      </c>
      <c r="J6350" s="2" t="s">
        <v>62</v>
      </c>
      <c r="K6350" t="s">
        <v>42</v>
      </c>
      <c r="L6350" t="s">
        <v>43</v>
      </c>
      <c r="Q6350">
        <v>26203</v>
      </c>
      <c r="R6350" t="s">
        <v>119</v>
      </c>
      <c r="S6350" t="s">
        <v>7149</v>
      </c>
      <c r="T6350">
        <v>25</v>
      </c>
      <c r="V6350" s="1">
        <v>45110</v>
      </c>
      <c r="W6350" t="s">
        <v>48</v>
      </c>
      <c r="X6350">
        <v>838228</v>
      </c>
      <c r="Y6350" t="s">
        <v>1111</v>
      </c>
      <c r="Z6350" t="s">
        <v>1519</v>
      </c>
      <c r="AA6350" s="2" t="s">
        <v>38480</v>
      </c>
      <c r="AB6350" t="s">
        <v>38481</v>
      </c>
      <c r="AG6350" t="s">
        <v>38482</v>
      </c>
      <c r="AH6350" t="s">
        <v>38483</v>
      </c>
      <c r="AI6350" t="s">
        <v>38484</v>
      </c>
    </row>
    <row r="6351" spans="2:35" ht="210">
      <c r="B6351" s="1">
        <v>45210</v>
      </c>
      <c r="C6351" s="4">
        <v>45210.611111111109</v>
      </c>
      <c r="D6351" t="s">
        <v>37565</v>
      </c>
      <c r="E6351" t="s">
        <v>34324</v>
      </c>
      <c r="F6351">
        <v>13</v>
      </c>
      <c r="G6351" t="s">
        <v>931</v>
      </c>
      <c r="H6351" t="s">
        <v>2125</v>
      </c>
      <c r="I6351" t="s">
        <v>40</v>
      </c>
      <c r="J6351" s="2" t="s">
        <v>62</v>
      </c>
      <c r="K6351" t="s">
        <v>42</v>
      </c>
      <c r="L6351" t="s">
        <v>933</v>
      </c>
      <c r="Q6351">
        <v>26202</v>
      </c>
      <c r="R6351" t="s">
        <v>45</v>
      </c>
      <c r="S6351" t="s">
        <v>25518</v>
      </c>
      <c r="T6351">
        <v>24.08</v>
      </c>
      <c r="U6351" s="2" t="s">
        <v>38485</v>
      </c>
      <c r="W6351" t="s">
        <v>3662</v>
      </c>
      <c r="X6351">
        <v>815489</v>
      </c>
      <c r="Y6351" s="2" t="s">
        <v>38486</v>
      </c>
      <c r="Z6351" t="s">
        <v>13654</v>
      </c>
      <c r="AA6351" s="2" t="s">
        <v>38487</v>
      </c>
      <c r="AB6351" t="s">
        <v>13650</v>
      </c>
      <c r="AG6351" t="s">
        <v>38488</v>
      </c>
      <c r="AH6351" t="s">
        <v>25522</v>
      </c>
      <c r="AI6351" t="s">
        <v>38489</v>
      </c>
    </row>
    <row r="6352" spans="2:35" ht="270">
      <c r="B6352" s="1">
        <v>45210</v>
      </c>
      <c r="C6352" s="4">
        <v>45210.609722222223</v>
      </c>
      <c r="D6352" t="s">
        <v>22964</v>
      </c>
      <c r="E6352" t="s">
        <v>38490</v>
      </c>
      <c r="F6352">
        <v>12</v>
      </c>
      <c r="G6352" t="s">
        <v>2137</v>
      </c>
      <c r="H6352" t="s">
        <v>1473</v>
      </c>
      <c r="I6352" t="s">
        <v>94</v>
      </c>
      <c r="J6352" s="2" t="s">
        <v>41</v>
      </c>
      <c r="K6352" t="s">
        <v>42</v>
      </c>
      <c r="L6352" t="s">
        <v>296</v>
      </c>
      <c r="Q6352">
        <v>26201</v>
      </c>
      <c r="R6352" t="s">
        <v>45</v>
      </c>
      <c r="S6352" t="s">
        <v>22966</v>
      </c>
      <c r="T6352">
        <v>26</v>
      </c>
      <c r="U6352" s="2" t="s">
        <v>16703</v>
      </c>
      <c r="V6352" s="1">
        <v>45210</v>
      </c>
      <c r="W6352" t="s">
        <v>23049</v>
      </c>
      <c r="X6352">
        <v>815434</v>
      </c>
      <c r="Y6352" t="s">
        <v>38491</v>
      </c>
      <c r="Z6352" t="s">
        <v>9161</v>
      </c>
      <c r="AA6352" s="2" t="s">
        <v>38492</v>
      </c>
      <c r="AB6352" t="s">
        <v>972</v>
      </c>
      <c r="AD6352" t="s">
        <v>38493</v>
      </c>
      <c r="AE6352" t="s">
        <v>19700</v>
      </c>
      <c r="AG6352" t="s">
        <v>38494</v>
      </c>
      <c r="AH6352" t="s">
        <v>38495</v>
      </c>
      <c r="AI6352" t="s">
        <v>38496</v>
      </c>
    </row>
    <row r="6353" spans="2:35" ht="165">
      <c r="B6353" s="1">
        <v>45210</v>
      </c>
      <c r="C6353" s="4">
        <v>45210.549305555556</v>
      </c>
      <c r="D6353" t="s">
        <v>2773</v>
      </c>
      <c r="E6353" t="s">
        <v>2774</v>
      </c>
      <c r="F6353">
        <v>2</v>
      </c>
      <c r="G6353" t="s">
        <v>2723</v>
      </c>
      <c r="H6353" t="s">
        <v>6357</v>
      </c>
      <c r="I6353" t="s">
        <v>94</v>
      </c>
      <c r="J6353" s="2" t="s">
        <v>38497</v>
      </c>
      <c r="K6353" t="s">
        <v>42</v>
      </c>
      <c r="L6353" t="s">
        <v>63</v>
      </c>
      <c r="Q6353">
        <v>26200</v>
      </c>
      <c r="R6353" t="s">
        <v>119</v>
      </c>
      <c r="S6353" t="s">
        <v>29793</v>
      </c>
      <c r="T6353">
        <v>23</v>
      </c>
      <c r="V6353" s="1">
        <v>45210</v>
      </c>
      <c r="W6353" t="s">
        <v>26915</v>
      </c>
      <c r="X6353">
        <v>831718</v>
      </c>
      <c r="Y6353" t="s">
        <v>38498</v>
      </c>
      <c r="Z6353" t="s">
        <v>38499</v>
      </c>
      <c r="AA6353" s="2" t="s">
        <v>1727</v>
      </c>
      <c r="AB6353" t="s">
        <v>70</v>
      </c>
      <c r="AC6353" t="s">
        <v>38500</v>
      </c>
      <c r="AD6353" t="s">
        <v>32127</v>
      </c>
      <c r="AE6353" t="s">
        <v>1716</v>
      </c>
      <c r="AG6353" t="s">
        <v>38501</v>
      </c>
      <c r="AH6353" t="s">
        <v>29801</v>
      </c>
      <c r="AI6353" t="s">
        <v>38502</v>
      </c>
    </row>
    <row r="6354" spans="2:35" ht="120">
      <c r="B6354" s="1">
        <v>45210</v>
      </c>
      <c r="C6354" s="4">
        <v>45210.539583333331</v>
      </c>
      <c r="D6354" t="s">
        <v>36959</v>
      </c>
      <c r="E6354" t="s">
        <v>38503</v>
      </c>
      <c r="F6354" t="s">
        <v>37</v>
      </c>
      <c r="G6354" t="s">
        <v>2499</v>
      </c>
      <c r="H6354" t="s">
        <v>39</v>
      </c>
      <c r="I6354" t="s">
        <v>40</v>
      </c>
      <c r="J6354" s="2" t="s">
        <v>41</v>
      </c>
      <c r="K6354" t="s">
        <v>42</v>
      </c>
      <c r="L6354" t="s">
        <v>15532</v>
      </c>
      <c r="Q6354">
        <v>26199</v>
      </c>
      <c r="R6354" t="s">
        <v>119</v>
      </c>
      <c r="S6354" t="s">
        <v>36961</v>
      </c>
      <c r="T6354">
        <v>25</v>
      </c>
      <c r="U6354" s="2" t="s">
        <v>38504</v>
      </c>
      <c r="W6354" t="s">
        <v>3244</v>
      </c>
      <c r="X6354">
        <v>831614</v>
      </c>
      <c r="Y6354" t="s">
        <v>38505</v>
      </c>
      <c r="Z6354" s="2" t="s">
        <v>38506</v>
      </c>
      <c r="AA6354" t="s">
        <v>8743</v>
      </c>
      <c r="AB6354" t="s">
        <v>88</v>
      </c>
      <c r="AG6354" t="s">
        <v>38507</v>
      </c>
      <c r="AH6354" t="s">
        <v>36966</v>
      </c>
      <c r="AI6354" t="s">
        <v>38508</v>
      </c>
    </row>
    <row r="6355" spans="2:35" ht="105">
      <c r="B6355" s="1">
        <v>45210</v>
      </c>
      <c r="C6355" s="4">
        <v>45210.512499999997</v>
      </c>
      <c r="D6355" t="s">
        <v>3067</v>
      </c>
      <c r="E6355" t="s">
        <v>582</v>
      </c>
      <c r="F6355" t="s">
        <v>148</v>
      </c>
      <c r="G6355" t="s">
        <v>447</v>
      </c>
      <c r="H6355" t="s">
        <v>39</v>
      </c>
      <c r="I6355" t="s">
        <v>40</v>
      </c>
      <c r="J6355" t="s">
        <v>321</v>
      </c>
      <c r="K6355" t="s">
        <v>42</v>
      </c>
      <c r="L6355" t="s">
        <v>175</v>
      </c>
      <c r="Q6355">
        <v>26198</v>
      </c>
      <c r="R6355" t="s">
        <v>45</v>
      </c>
      <c r="S6355" t="s">
        <v>3069</v>
      </c>
      <c r="T6355">
        <v>25</v>
      </c>
      <c r="U6355" s="2" t="s">
        <v>24107</v>
      </c>
      <c r="W6355" t="s">
        <v>84</v>
      </c>
      <c r="X6355">
        <v>838881</v>
      </c>
      <c r="Y6355" t="s">
        <v>8338</v>
      </c>
      <c r="Z6355" t="e">
        <f ca="1">- installed Unit
- checked cartridge bay, plunger rod, _xludf.filter
- generated reports</f>
        <v>#NAME?</v>
      </c>
      <c r="AA6355" t="s">
        <v>6430</v>
      </c>
      <c r="AB6355" t="s">
        <v>88</v>
      </c>
      <c r="AG6355" t="s">
        <v>38509</v>
      </c>
      <c r="AH6355" t="s">
        <v>23675</v>
      </c>
      <c r="AI6355" t="s">
        <v>38510</v>
      </c>
    </row>
    <row r="6356" spans="2:35" ht="135">
      <c r="B6356" s="1">
        <v>45210</v>
      </c>
      <c r="C6356" s="4">
        <v>45210.482638888891</v>
      </c>
      <c r="D6356" t="s">
        <v>524</v>
      </c>
      <c r="E6356" t="s">
        <v>25790</v>
      </c>
      <c r="F6356" t="s">
        <v>148</v>
      </c>
      <c r="G6356" t="s">
        <v>371</v>
      </c>
      <c r="H6356" t="s">
        <v>39</v>
      </c>
      <c r="I6356" t="s">
        <v>40</v>
      </c>
      <c r="J6356" s="2" t="s">
        <v>62</v>
      </c>
      <c r="K6356" t="s">
        <v>42</v>
      </c>
      <c r="L6356" t="s">
        <v>1943</v>
      </c>
      <c r="Q6356">
        <v>26197</v>
      </c>
      <c r="R6356" t="s">
        <v>119</v>
      </c>
      <c r="S6356" t="s">
        <v>526</v>
      </c>
      <c r="T6356">
        <v>25</v>
      </c>
      <c r="U6356" s="2" t="s">
        <v>16703</v>
      </c>
      <c r="W6356" t="s">
        <v>84</v>
      </c>
      <c r="X6356">
        <v>831892</v>
      </c>
      <c r="Y6356" s="2" t="s">
        <v>38511</v>
      </c>
      <c r="Z6356" s="2" t="s">
        <v>32801</v>
      </c>
      <c r="AA6356" t="s">
        <v>32281</v>
      </c>
      <c r="AB6356" t="s">
        <v>88</v>
      </c>
      <c r="AC6356" t="s">
        <v>32710</v>
      </c>
      <c r="AG6356" t="s">
        <v>38512</v>
      </c>
      <c r="AH6356" t="s">
        <v>4061</v>
      </c>
      <c r="AI6356" t="s">
        <v>38513</v>
      </c>
    </row>
    <row r="6357" spans="2:35" ht="105">
      <c r="B6357" s="1">
        <v>45210</v>
      </c>
      <c r="C6357" s="4">
        <v>45210.476388888892</v>
      </c>
      <c r="D6357" t="s">
        <v>7859</v>
      </c>
      <c r="E6357" t="s">
        <v>38514</v>
      </c>
      <c r="F6357">
        <v>6</v>
      </c>
      <c r="G6357" t="s">
        <v>1286</v>
      </c>
      <c r="H6357" t="s">
        <v>1047</v>
      </c>
      <c r="I6357" t="s">
        <v>94</v>
      </c>
      <c r="J6357" t="s">
        <v>79</v>
      </c>
      <c r="K6357" t="s">
        <v>42</v>
      </c>
      <c r="L6357" t="s">
        <v>23958</v>
      </c>
      <c r="Q6357">
        <v>26196</v>
      </c>
      <c r="R6357" t="s">
        <v>45</v>
      </c>
      <c r="S6357" t="s">
        <v>22494</v>
      </c>
      <c r="T6357">
        <v>4</v>
      </c>
      <c r="U6357" s="2" t="s">
        <v>38515</v>
      </c>
      <c r="W6357" t="s">
        <v>360</v>
      </c>
      <c r="X6357">
        <v>707531</v>
      </c>
      <c r="Y6357" t="s">
        <v>54</v>
      </c>
      <c r="Z6357" t="s">
        <v>38516</v>
      </c>
      <c r="AA6357" t="s">
        <v>38517</v>
      </c>
      <c r="AB6357" t="s">
        <v>38518</v>
      </c>
      <c r="AG6357" t="s">
        <v>38519</v>
      </c>
      <c r="AH6357" t="s">
        <v>33534</v>
      </c>
      <c r="AI6357" t="s">
        <v>38520</v>
      </c>
    </row>
    <row r="6358" spans="2:35" ht="360">
      <c r="B6358" s="1">
        <v>45210</v>
      </c>
      <c r="C6358" s="4">
        <v>45210.445833333331</v>
      </c>
      <c r="D6358" t="s">
        <v>38521</v>
      </c>
      <c r="E6358" t="s">
        <v>11244</v>
      </c>
      <c r="F6358">
        <v>3</v>
      </c>
      <c r="G6358" t="s">
        <v>1722</v>
      </c>
      <c r="H6358" t="s">
        <v>39</v>
      </c>
      <c r="I6358" t="s">
        <v>40</v>
      </c>
      <c r="J6358" s="2" t="s">
        <v>41</v>
      </c>
      <c r="K6358" t="s">
        <v>42</v>
      </c>
      <c r="L6358" t="s">
        <v>135</v>
      </c>
      <c r="Q6358">
        <v>26195</v>
      </c>
      <c r="R6358" t="s">
        <v>45</v>
      </c>
      <c r="S6358" t="s">
        <v>38522</v>
      </c>
      <c r="T6358">
        <v>29</v>
      </c>
      <c r="U6358" s="2" t="s">
        <v>38523</v>
      </c>
      <c r="W6358" t="s">
        <v>38524</v>
      </c>
      <c r="X6358">
        <v>844111</v>
      </c>
      <c r="Y6358" t="s">
        <v>38525</v>
      </c>
      <c r="Z6358" t="s">
        <v>5712</v>
      </c>
      <c r="AA6358" s="2" t="s">
        <v>32304</v>
      </c>
      <c r="AB6358" t="s">
        <v>181</v>
      </c>
      <c r="AG6358" t="s">
        <v>38526</v>
      </c>
      <c r="AH6358" t="s">
        <v>38527</v>
      </c>
      <c r="AI6358" t="s">
        <v>38528</v>
      </c>
    </row>
    <row r="6359" spans="2:35" ht="165">
      <c r="B6359" s="1">
        <v>45210</v>
      </c>
      <c r="C6359" s="4">
        <v>45210.45208333333</v>
      </c>
      <c r="D6359" t="s">
        <v>2773</v>
      </c>
      <c r="E6359" t="s">
        <v>2774</v>
      </c>
      <c r="F6359">
        <v>2</v>
      </c>
      <c r="G6359" t="s">
        <v>2723</v>
      </c>
      <c r="H6359" t="s">
        <v>61</v>
      </c>
      <c r="I6359" t="s">
        <v>40</v>
      </c>
      <c r="J6359" s="2" t="s">
        <v>41</v>
      </c>
      <c r="K6359" t="s">
        <v>42</v>
      </c>
      <c r="L6359" t="s">
        <v>63</v>
      </c>
      <c r="Q6359">
        <v>26194</v>
      </c>
      <c r="R6359" t="s">
        <v>322</v>
      </c>
      <c r="S6359" t="s">
        <v>2775</v>
      </c>
      <c r="T6359">
        <v>22</v>
      </c>
      <c r="V6359" s="1">
        <v>45197</v>
      </c>
      <c r="W6359" t="s">
        <v>26915</v>
      </c>
      <c r="X6359">
        <v>110008457</v>
      </c>
      <c r="Y6359" t="s">
        <v>38529</v>
      </c>
      <c r="Z6359" t="s">
        <v>1926</v>
      </c>
      <c r="AA6359" s="2" t="s">
        <v>1727</v>
      </c>
      <c r="AB6359" t="s">
        <v>70</v>
      </c>
      <c r="AC6359" t="s">
        <v>38530</v>
      </c>
      <c r="AD6359" t="s">
        <v>6397</v>
      </c>
      <c r="AE6359">
        <v>10694</v>
      </c>
      <c r="AG6359" t="s">
        <v>38531</v>
      </c>
      <c r="AH6359" t="s">
        <v>2779</v>
      </c>
      <c r="AI6359" t="s">
        <v>38532</v>
      </c>
    </row>
    <row r="6360" spans="2:35" ht="195">
      <c r="B6360" s="1">
        <v>45210</v>
      </c>
      <c r="C6360" s="4">
        <v>45210.409722222219</v>
      </c>
      <c r="D6360" t="s">
        <v>38533</v>
      </c>
      <c r="E6360" t="s">
        <v>2722</v>
      </c>
      <c r="F6360">
        <v>2</v>
      </c>
      <c r="G6360" t="s">
        <v>2723</v>
      </c>
      <c r="H6360" t="s">
        <v>39</v>
      </c>
      <c r="I6360" t="s">
        <v>40</v>
      </c>
      <c r="J6360" s="2" t="s">
        <v>41</v>
      </c>
      <c r="K6360" t="s">
        <v>42</v>
      </c>
      <c r="L6360" t="s">
        <v>63</v>
      </c>
      <c r="Q6360">
        <v>26193</v>
      </c>
      <c r="R6360" t="s">
        <v>45</v>
      </c>
      <c r="S6360" t="s">
        <v>2724</v>
      </c>
      <c r="T6360">
        <v>29</v>
      </c>
      <c r="U6360" s="2" t="s">
        <v>38534</v>
      </c>
      <c r="V6360" s="1">
        <v>45210</v>
      </c>
      <c r="W6360" t="s">
        <v>26915</v>
      </c>
      <c r="X6360">
        <v>834434</v>
      </c>
      <c r="Y6360" t="s">
        <v>35134</v>
      </c>
      <c r="Z6360" t="s">
        <v>1926</v>
      </c>
      <c r="AA6360" s="2" t="s">
        <v>1727</v>
      </c>
      <c r="AB6360" t="s">
        <v>70</v>
      </c>
      <c r="AC6360" t="s">
        <v>38535</v>
      </c>
      <c r="AD6360" t="s">
        <v>6397</v>
      </c>
      <c r="AE6360" t="s">
        <v>1716</v>
      </c>
      <c r="AG6360" t="s">
        <v>38536</v>
      </c>
      <c r="AH6360" t="s">
        <v>29783</v>
      </c>
      <c r="AI6360" t="s">
        <v>38537</v>
      </c>
    </row>
    <row r="6361" spans="2:35" ht="165">
      <c r="B6361" s="1">
        <v>45210</v>
      </c>
      <c r="C6361" s="4">
        <v>45210.390972222223</v>
      </c>
      <c r="D6361" t="s">
        <v>23772</v>
      </c>
      <c r="E6361" t="s">
        <v>23773</v>
      </c>
      <c r="F6361" t="s">
        <v>37</v>
      </c>
      <c r="G6361" t="s">
        <v>748</v>
      </c>
      <c r="H6361" t="s">
        <v>39</v>
      </c>
      <c r="I6361" t="s">
        <v>40</v>
      </c>
      <c r="J6361" s="2" t="s">
        <v>62</v>
      </c>
      <c r="K6361" t="s">
        <v>42</v>
      </c>
      <c r="L6361" t="s">
        <v>1028</v>
      </c>
      <c r="Q6361">
        <v>26191</v>
      </c>
      <c r="R6361" t="s">
        <v>119</v>
      </c>
      <c r="S6361" t="s">
        <v>30203</v>
      </c>
      <c r="T6361">
        <v>25</v>
      </c>
      <c r="V6361" s="1">
        <v>45188</v>
      </c>
      <c r="W6361" t="s">
        <v>2680</v>
      </c>
      <c r="X6361">
        <v>821279</v>
      </c>
      <c r="Y6361" t="s">
        <v>18140</v>
      </c>
      <c r="Z6361" t="s">
        <v>21244</v>
      </c>
      <c r="AA6361" s="2" t="s">
        <v>31300</v>
      </c>
      <c r="AB6361" t="s">
        <v>3063</v>
      </c>
      <c r="AC6361" t="s">
        <v>28004</v>
      </c>
      <c r="AD6361" t="s">
        <v>38538</v>
      </c>
      <c r="AE6361" t="s">
        <v>38539</v>
      </c>
      <c r="AG6361" t="s">
        <v>38540</v>
      </c>
      <c r="AH6361" t="s">
        <v>30209</v>
      </c>
      <c r="AI6361" t="s">
        <v>38541</v>
      </c>
    </row>
    <row r="6362" spans="2:35" ht="195">
      <c r="B6362" s="1">
        <v>45210</v>
      </c>
      <c r="C6362" s="4">
        <v>45209.463194444441</v>
      </c>
      <c r="D6362" t="s">
        <v>5158</v>
      </c>
      <c r="E6362" t="s">
        <v>5167</v>
      </c>
      <c r="F6362" t="s">
        <v>148</v>
      </c>
      <c r="G6362" t="s">
        <v>310</v>
      </c>
      <c r="H6362" t="s">
        <v>39</v>
      </c>
      <c r="I6362" t="s">
        <v>40</v>
      </c>
      <c r="J6362" t="s">
        <v>38542</v>
      </c>
      <c r="K6362" t="s">
        <v>42</v>
      </c>
      <c r="L6362" t="s">
        <v>1028</v>
      </c>
      <c r="Q6362">
        <v>26192</v>
      </c>
      <c r="R6362" t="s">
        <v>119</v>
      </c>
      <c r="S6362" t="s">
        <v>36548</v>
      </c>
      <c r="T6362">
        <v>28</v>
      </c>
      <c r="W6362" t="s">
        <v>2680</v>
      </c>
      <c r="X6362">
        <v>831530</v>
      </c>
      <c r="Y6362" t="s">
        <v>38543</v>
      </c>
      <c r="Z6362" t="s">
        <v>38542</v>
      </c>
      <c r="AA6362" s="2" t="s">
        <v>38544</v>
      </c>
      <c r="AB6362" t="s">
        <v>3063</v>
      </c>
      <c r="AG6362" t="s">
        <v>38545</v>
      </c>
      <c r="AH6362" t="s">
        <v>29555</v>
      </c>
      <c r="AI6362" t="s">
        <v>38546</v>
      </c>
    </row>
    <row r="6363" spans="2:35" ht="225">
      <c r="B6363" s="1">
        <v>45209</v>
      </c>
      <c r="C6363" s="4">
        <v>45209.686111111114</v>
      </c>
      <c r="D6363" t="s">
        <v>3604</v>
      </c>
      <c r="E6363" t="s">
        <v>38547</v>
      </c>
      <c r="F6363" t="s">
        <v>148</v>
      </c>
      <c r="G6363" t="s">
        <v>2007</v>
      </c>
      <c r="H6363" t="s">
        <v>39</v>
      </c>
      <c r="I6363" t="s">
        <v>40</v>
      </c>
      <c r="J6363" s="2" t="s">
        <v>1808</v>
      </c>
      <c r="K6363" t="s">
        <v>42</v>
      </c>
      <c r="L6363" t="s">
        <v>43</v>
      </c>
      <c r="Q6363">
        <v>26190</v>
      </c>
      <c r="R6363" t="s">
        <v>45</v>
      </c>
      <c r="S6363" t="s">
        <v>2312</v>
      </c>
      <c r="T6363">
        <v>24</v>
      </c>
      <c r="W6363" t="s">
        <v>48</v>
      </c>
      <c r="X6363">
        <v>838875</v>
      </c>
      <c r="Y6363" t="s">
        <v>38548</v>
      </c>
      <c r="Z6363" t="s">
        <v>38549</v>
      </c>
      <c r="AA6363" s="2" t="s">
        <v>38550</v>
      </c>
      <c r="AB6363" t="s">
        <v>88</v>
      </c>
      <c r="AC6363" t="s">
        <v>38551</v>
      </c>
      <c r="AG6363" t="s">
        <v>38552</v>
      </c>
      <c r="AH6363" t="s">
        <v>3595</v>
      </c>
      <c r="AI6363" t="s">
        <v>38553</v>
      </c>
    </row>
    <row r="6364" spans="2:35" ht="195">
      <c r="B6364" s="1">
        <v>45209</v>
      </c>
      <c r="C6364" s="4">
        <v>45209.665972222225</v>
      </c>
      <c r="D6364" t="s">
        <v>3604</v>
      </c>
      <c r="E6364" t="s">
        <v>38554</v>
      </c>
      <c r="F6364" t="s">
        <v>148</v>
      </c>
      <c r="G6364" t="s">
        <v>2007</v>
      </c>
      <c r="H6364" t="s">
        <v>39</v>
      </c>
      <c r="I6364" t="s">
        <v>40</v>
      </c>
      <c r="J6364" s="2" t="s">
        <v>190</v>
      </c>
      <c r="K6364" t="s">
        <v>42</v>
      </c>
      <c r="L6364" t="s">
        <v>43</v>
      </c>
      <c r="Q6364">
        <v>26189</v>
      </c>
      <c r="R6364" t="s">
        <v>119</v>
      </c>
      <c r="S6364" t="s">
        <v>2312</v>
      </c>
      <c r="T6364">
        <v>24</v>
      </c>
      <c r="U6364" s="2" t="s">
        <v>38555</v>
      </c>
      <c r="W6364" t="s">
        <v>48</v>
      </c>
      <c r="X6364">
        <v>831875</v>
      </c>
      <c r="Y6364" t="s">
        <v>38556</v>
      </c>
      <c r="Z6364" t="s">
        <v>38557</v>
      </c>
      <c r="AA6364" s="2" t="s">
        <v>38558</v>
      </c>
      <c r="AB6364" t="s">
        <v>38559</v>
      </c>
      <c r="AG6364" t="s">
        <v>38560</v>
      </c>
      <c r="AH6364" t="s">
        <v>3595</v>
      </c>
      <c r="AI6364" t="s">
        <v>38561</v>
      </c>
    </row>
    <row r="6365" spans="2:35" ht="255">
      <c r="B6365" s="1">
        <v>45209</v>
      </c>
      <c r="C6365" s="4">
        <v>45209.661111111112</v>
      </c>
      <c r="D6365" t="s">
        <v>38562</v>
      </c>
      <c r="E6365" t="s">
        <v>31031</v>
      </c>
      <c r="F6365">
        <v>3</v>
      </c>
      <c r="G6365" t="s">
        <v>134</v>
      </c>
      <c r="H6365" t="s">
        <v>39</v>
      </c>
      <c r="I6365" t="s">
        <v>40</v>
      </c>
      <c r="J6365" s="2" t="s">
        <v>41</v>
      </c>
      <c r="K6365" t="s">
        <v>42</v>
      </c>
      <c r="L6365" t="s">
        <v>135</v>
      </c>
      <c r="Q6365">
        <v>26188</v>
      </c>
      <c r="R6365" t="s">
        <v>45</v>
      </c>
      <c r="S6365" t="s">
        <v>3377</v>
      </c>
      <c r="T6365">
        <v>30</v>
      </c>
      <c r="U6365" s="2" t="s">
        <v>38563</v>
      </c>
      <c r="V6365" s="1">
        <v>45198</v>
      </c>
      <c r="W6365" t="s">
        <v>2680</v>
      </c>
      <c r="X6365">
        <v>807569</v>
      </c>
      <c r="Y6365" t="s">
        <v>37268</v>
      </c>
      <c r="Z6365" t="s">
        <v>5712</v>
      </c>
      <c r="AA6365" s="2" t="s">
        <v>32304</v>
      </c>
      <c r="AB6365" t="s">
        <v>181</v>
      </c>
      <c r="AD6365" t="s">
        <v>22730</v>
      </c>
      <c r="AE6365">
        <v>43633</v>
      </c>
      <c r="AG6365" t="s">
        <v>38564</v>
      </c>
      <c r="AH6365" t="s">
        <v>3381</v>
      </c>
      <c r="AI6365" t="s">
        <v>38565</v>
      </c>
    </row>
    <row r="6366" spans="2:35" ht="210">
      <c r="B6366" s="1">
        <v>45209</v>
      </c>
      <c r="C6366" s="4">
        <v>45209.640277777777</v>
      </c>
      <c r="D6366" t="s">
        <v>36157</v>
      </c>
      <c r="E6366" t="s">
        <v>38566</v>
      </c>
      <c r="F6366">
        <v>5</v>
      </c>
      <c r="G6366" t="s">
        <v>814</v>
      </c>
      <c r="H6366" t="s">
        <v>39</v>
      </c>
      <c r="I6366" t="s">
        <v>40</v>
      </c>
      <c r="J6366" s="2" t="s">
        <v>41</v>
      </c>
      <c r="K6366" t="s">
        <v>42</v>
      </c>
      <c r="L6366" t="s">
        <v>761</v>
      </c>
      <c r="Q6366">
        <v>26187</v>
      </c>
      <c r="R6366" t="s">
        <v>45</v>
      </c>
      <c r="S6366" t="s">
        <v>26407</v>
      </c>
      <c r="T6366">
        <v>22</v>
      </c>
      <c r="U6366" s="2" t="s">
        <v>9986</v>
      </c>
      <c r="W6366" t="s">
        <v>360</v>
      </c>
      <c r="X6366">
        <v>835200</v>
      </c>
      <c r="Y6366" t="s">
        <v>38567</v>
      </c>
      <c r="Z6366" s="2" t="s">
        <v>38568</v>
      </c>
      <c r="AA6366" s="2" t="s">
        <v>38569</v>
      </c>
      <c r="AB6366" t="s">
        <v>33937</v>
      </c>
      <c r="AG6366" t="s">
        <v>38570</v>
      </c>
      <c r="AH6366" t="s">
        <v>26411</v>
      </c>
      <c r="AI6366" t="s">
        <v>38571</v>
      </c>
    </row>
    <row r="6367" spans="2:35" ht="165">
      <c r="B6367" s="1">
        <v>45209</v>
      </c>
      <c r="C6367" s="4">
        <v>45209.631249999999</v>
      </c>
      <c r="D6367" t="s">
        <v>29917</v>
      </c>
      <c r="E6367" t="s">
        <v>32314</v>
      </c>
      <c r="F6367" t="s">
        <v>511</v>
      </c>
      <c r="G6367" t="s">
        <v>20778</v>
      </c>
      <c r="H6367" t="s">
        <v>39</v>
      </c>
      <c r="I6367" t="s">
        <v>40</v>
      </c>
      <c r="J6367" s="2" t="s">
        <v>190</v>
      </c>
      <c r="K6367" t="s">
        <v>42</v>
      </c>
      <c r="L6367" t="s">
        <v>63</v>
      </c>
      <c r="Q6367">
        <v>26186</v>
      </c>
      <c r="R6367" t="s">
        <v>45</v>
      </c>
      <c r="S6367" t="s">
        <v>38572</v>
      </c>
      <c r="T6367">
        <v>24</v>
      </c>
      <c r="V6367" s="1">
        <v>45209</v>
      </c>
      <c r="W6367" t="s">
        <v>26915</v>
      </c>
      <c r="X6367">
        <v>807609</v>
      </c>
      <c r="Y6367" t="s">
        <v>38573</v>
      </c>
      <c r="Z6367" s="2" t="s">
        <v>38574</v>
      </c>
      <c r="AA6367" s="2" t="s">
        <v>1727</v>
      </c>
      <c r="AB6367" t="s">
        <v>70</v>
      </c>
      <c r="AC6367" t="s">
        <v>38575</v>
      </c>
      <c r="AD6367" t="s">
        <v>1716</v>
      </c>
      <c r="AE6367" t="s">
        <v>1716</v>
      </c>
      <c r="AG6367" t="s">
        <v>38576</v>
      </c>
      <c r="AH6367" t="s">
        <v>38577</v>
      </c>
      <c r="AI6367" t="s">
        <v>38578</v>
      </c>
    </row>
    <row r="6368" spans="2:35" ht="390">
      <c r="B6368" s="1">
        <v>45209</v>
      </c>
      <c r="C6368" s="4">
        <v>45209.57708333333</v>
      </c>
      <c r="D6368" t="s">
        <v>33023</v>
      </c>
      <c r="E6368" t="s">
        <v>38579</v>
      </c>
      <c r="F6368">
        <v>11</v>
      </c>
      <c r="G6368" t="s">
        <v>1759</v>
      </c>
      <c r="H6368" t="s">
        <v>202</v>
      </c>
      <c r="I6368" t="s">
        <v>40</v>
      </c>
      <c r="J6368" s="2" t="s">
        <v>355</v>
      </c>
      <c r="K6368" t="s">
        <v>42</v>
      </c>
      <c r="L6368" t="s">
        <v>204</v>
      </c>
      <c r="Q6368">
        <v>26185</v>
      </c>
      <c r="R6368" t="s">
        <v>45</v>
      </c>
      <c r="S6368" t="s">
        <v>33026</v>
      </c>
      <c r="T6368">
        <v>25.6</v>
      </c>
      <c r="U6368" s="2" t="s">
        <v>38580</v>
      </c>
      <c r="W6368" t="s">
        <v>23237</v>
      </c>
      <c r="X6368">
        <v>807360</v>
      </c>
      <c r="Y6368" s="2" t="s">
        <v>38581</v>
      </c>
      <c r="Z6368" s="2" t="s">
        <v>38582</v>
      </c>
      <c r="AA6368" s="2" t="s">
        <v>38583</v>
      </c>
      <c r="AB6368" s="2" t="s">
        <v>38584</v>
      </c>
      <c r="AG6368" t="s">
        <v>38585</v>
      </c>
      <c r="AH6368" t="s">
        <v>38586</v>
      </c>
      <c r="AI6368" t="s">
        <v>38587</v>
      </c>
    </row>
    <row r="6369" spans="2:35" ht="240">
      <c r="B6369" s="1">
        <v>45209</v>
      </c>
      <c r="C6369" s="4">
        <v>45209.575694444444</v>
      </c>
      <c r="D6369" t="s">
        <v>2364</v>
      </c>
      <c r="E6369" t="s">
        <v>7483</v>
      </c>
      <c r="F6369">
        <v>12</v>
      </c>
      <c r="G6369" t="s">
        <v>978</v>
      </c>
      <c r="H6369" t="s">
        <v>1473</v>
      </c>
      <c r="I6369" t="s">
        <v>94</v>
      </c>
      <c r="J6369" s="2" t="s">
        <v>1444</v>
      </c>
      <c r="K6369" t="s">
        <v>42</v>
      </c>
      <c r="L6369" t="s">
        <v>296</v>
      </c>
      <c r="Q6369">
        <v>26184</v>
      </c>
      <c r="R6369" t="s">
        <v>45</v>
      </c>
      <c r="S6369" t="s">
        <v>38588</v>
      </c>
      <c r="T6369">
        <v>25.5</v>
      </c>
      <c r="U6369" s="2" t="s">
        <v>38589</v>
      </c>
      <c r="W6369" t="s">
        <v>23049</v>
      </c>
      <c r="X6369">
        <v>815428</v>
      </c>
      <c r="Y6369" t="s">
        <v>38590</v>
      </c>
      <c r="Z6369" t="s">
        <v>38591</v>
      </c>
      <c r="AA6369" s="2" t="s">
        <v>38592</v>
      </c>
      <c r="AB6369" t="s">
        <v>38593</v>
      </c>
      <c r="AC6369" t="s">
        <v>38594</v>
      </c>
      <c r="AG6369" t="s">
        <v>38595</v>
      </c>
      <c r="AH6369" t="s">
        <v>7488</v>
      </c>
      <c r="AI6369" t="s">
        <v>38596</v>
      </c>
    </row>
    <row r="6370" spans="2:35" ht="180">
      <c r="B6370" s="1">
        <v>45209</v>
      </c>
      <c r="C6370" s="4">
        <v>45209.566666666666</v>
      </c>
      <c r="D6370" t="s">
        <v>2825</v>
      </c>
      <c r="E6370" t="s">
        <v>38597</v>
      </c>
      <c r="F6370" t="s">
        <v>37</v>
      </c>
      <c r="G6370" t="s">
        <v>2499</v>
      </c>
      <c r="H6370" t="s">
        <v>39</v>
      </c>
      <c r="I6370" t="s">
        <v>40</v>
      </c>
      <c r="J6370" s="2" t="s">
        <v>41</v>
      </c>
      <c r="K6370" t="s">
        <v>42</v>
      </c>
      <c r="L6370" t="s">
        <v>15532</v>
      </c>
      <c r="Q6370">
        <v>26183</v>
      </c>
      <c r="R6370" t="s">
        <v>45</v>
      </c>
      <c r="S6370" t="s">
        <v>38598</v>
      </c>
      <c r="T6370">
        <v>25</v>
      </c>
      <c r="U6370" s="2" t="s">
        <v>38599</v>
      </c>
      <c r="V6370" s="1">
        <v>45203</v>
      </c>
      <c r="W6370" t="s">
        <v>3244</v>
      </c>
      <c r="X6370">
        <v>805339</v>
      </c>
      <c r="Y6370" t="s">
        <v>424</v>
      </c>
      <c r="Z6370" s="2" t="s">
        <v>38600</v>
      </c>
      <c r="AA6370" s="2" t="s">
        <v>38601</v>
      </c>
      <c r="AB6370" s="2" t="s">
        <v>15539</v>
      </c>
      <c r="AD6370" t="s">
        <v>15847</v>
      </c>
      <c r="AE6370" t="s">
        <v>38602</v>
      </c>
      <c r="AG6370" t="s">
        <v>38603</v>
      </c>
      <c r="AH6370" t="s">
        <v>38604</v>
      </c>
      <c r="AI6370" t="s">
        <v>38605</v>
      </c>
    </row>
    <row r="6371" spans="2:35" ht="409.5">
      <c r="B6371" s="1">
        <v>45209</v>
      </c>
      <c r="C6371" s="4">
        <v>45209.565972222219</v>
      </c>
      <c r="D6371" t="s">
        <v>25396</v>
      </c>
      <c r="E6371" t="s">
        <v>25397</v>
      </c>
      <c r="F6371">
        <v>3</v>
      </c>
      <c r="G6371" t="s">
        <v>284</v>
      </c>
      <c r="H6371" t="s">
        <v>39</v>
      </c>
      <c r="I6371" t="s">
        <v>40</v>
      </c>
      <c r="J6371" s="2" t="s">
        <v>62</v>
      </c>
      <c r="K6371" t="s">
        <v>42</v>
      </c>
      <c r="L6371" t="s">
        <v>135</v>
      </c>
      <c r="Q6371">
        <v>26182</v>
      </c>
      <c r="R6371" t="s">
        <v>119</v>
      </c>
      <c r="S6371" t="s">
        <v>25398</v>
      </c>
      <c r="T6371">
        <v>27</v>
      </c>
      <c r="U6371" s="2" t="s">
        <v>28363</v>
      </c>
      <c r="W6371" t="s">
        <v>2680</v>
      </c>
      <c r="X6371">
        <v>831668</v>
      </c>
      <c r="Y6371" t="s">
        <v>38606</v>
      </c>
      <c r="Z6371" s="2" t="s">
        <v>29789</v>
      </c>
      <c r="AA6371" s="2" t="s">
        <v>31375</v>
      </c>
      <c r="AB6371" t="s">
        <v>38607</v>
      </c>
      <c r="AC6371" t="s">
        <v>38608</v>
      </c>
      <c r="AG6371" t="s">
        <v>38609</v>
      </c>
      <c r="AH6371" t="s">
        <v>27926</v>
      </c>
      <c r="AI6371" t="s">
        <v>38610</v>
      </c>
    </row>
    <row r="6372" spans="2:35" ht="150">
      <c r="B6372" s="1">
        <v>45209</v>
      </c>
      <c r="C6372" s="4">
        <v>45209.563194444447</v>
      </c>
      <c r="D6372" t="s">
        <v>1678</v>
      </c>
      <c r="E6372" t="s">
        <v>27130</v>
      </c>
      <c r="F6372" t="s">
        <v>148</v>
      </c>
      <c r="G6372" t="s">
        <v>785</v>
      </c>
      <c r="H6372" t="s">
        <v>39</v>
      </c>
      <c r="I6372" t="s">
        <v>40</v>
      </c>
      <c r="J6372" s="2" t="s">
        <v>41</v>
      </c>
      <c r="K6372" t="s">
        <v>42</v>
      </c>
      <c r="L6372" t="s">
        <v>43</v>
      </c>
      <c r="Q6372">
        <v>26181</v>
      </c>
      <c r="R6372" t="s">
        <v>719</v>
      </c>
      <c r="S6372" t="s">
        <v>18437</v>
      </c>
      <c r="T6372">
        <v>25</v>
      </c>
      <c r="U6372" s="2" t="s">
        <v>20671</v>
      </c>
      <c r="V6372" s="1">
        <v>45209</v>
      </c>
      <c r="W6372" t="s">
        <v>48</v>
      </c>
      <c r="X6372">
        <v>843924</v>
      </c>
      <c r="Y6372" t="s">
        <v>2165</v>
      </c>
      <c r="Z6372" t="s">
        <v>2166</v>
      </c>
      <c r="AA6372" s="2" t="s">
        <v>30298</v>
      </c>
      <c r="AB6372" t="s">
        <v>16412</v>
      </c>
      <c r="AD6372" s="2" t="s">
        <v>38611</v>
      </c>
      <c r="AE6372" t="s">
        <v>54</v>
      </c>
      <c r="AG6372" t="s">
        <v>38612</v>
      </c>
      <c r="AH6372" t="s">
        <v>14357</v>
      </c>
      <c r="AI6372" t="s">
        <v>38613</v>
      </c>
    </row>
    <row r="6373" spans="2:35" ht="240">
      <c r="B6373" s="1">
        <v>45209</v>
      </c>
      <c r="C6373" s="4">
        <v>45209.475694444445</v>
      </c>
      <c r="D6373" t="s">
        <v>4379</v>
      </c>
      <c r="E6373" t="s">
        <v>18288</v>
      </c>
      <c r="F6373" t="s">
        <v>148</v>
      </c>
      <c r="G6373" t="s">
        <v>785</v>
      </c>
      <c r="H6373" t="s">
        <v>39</v>
      </c>
      <c r="I6373" t="s">
        <v>40</v>
      </c>
      <c r="J6373" t="s">
        <v>109</v>
      </c>
      <c r="K6373" t="s">
        <v>42</v>
      </c>
      <c r="L6373" t="s">
        <v>43</v>
      </c>
      <c r="Q6373">
        <v>26180</v>
      </c>
      <c r="R6373" t="s">
        <v>322</v>
      </c>
      <c r="S6373" t="s">
        <v>4382</v>
      </c>
      <c r="T6373">
        <v>25</v>
      </c>
      <c r="W6373" t="s">
        <v>3178</v>
      </c>
      <c r="X6373">
        <v>838627</v>
      </c>
      <c r="Y6373" t="s">
        <v>121</v>
      </c>
      <c r="Z6373" t="s">
        <v>122</v>
      </c>
      <c r="AA6373" s="2" t="s">
        <v>38614</v>
      </c>
      <c r="AB6373" t="s">
        <v>38615</v>
      </c>
      <c r="AG6373" t="s">
        <v>38616</v>
      </c>
      <c r="AH6373" t="s">
        <v>38617</v>
      </c>
      <c r="AI6373" t="s">
        <v>38618</v>
      </c>
    </row>
    <row r="6374" spans="2:35" ht="150">
      <c r="B6374" s="1">
        <v>45209</v>
      </c>
      <c r="C6374" s="4">
        <v>45209.472222222219</v>
      </c>
      <c r="D6374" t="s">
        <v>4379</v>
      </c>
      <c r="E6374" t="s">
        <v>18288</v>
      </c>
      <c r="F6374" t="s">
        <v>148</v>
      </c>
      <c r="G6374" t="s">
        <v>785</v>
      </c>
      <c r="H6374" t="s">
        <v>39</v>
      </c>
      <c r="I6374" t="s">
        <v>40</v>
      </c>
      <c r="J6374" s="2" t="s">
        <v>41</v>
      </c>
      <c r="K6374" t="s">
        <v>42</v>
      </c>
      <c r="L6374" t="s">
        <v>43</v>
      </c>
      <c r="Q6374">
        <v>26179</v>
      </c>
      <c r="R6374" t="s">
        <v>45</v>
      </c>
      <c r="S6374" t="s">
        <v>4382</v>
      </c>
      <c r="T6374">
        <v>25</v>
      </c>
      <c r="V6374" s="1">
        <v>45209</v>
      </c>
      <c r="W6374" t="s">
        <v>48</v>
      </c>
      <c r="X6374">
        <v>81437</v>
      </c>
      <c r="Y6374" t="s">
        <v>8731</v>
      </c>
      <c r="Z6374" t="s">
        <v>38619</v>
      </c>
      <c r="AA6374" s="2" t="s">
        <v>17729</v>
      </c>
      <c r="AB6374" t="s">
        <v>38620</v>
      </c>
      <c r="AD6374" s="2" t="s">
        <v>38621</v>
      </c>
      <c r="AE6374" t="s">
        <v>54</v>
      </c>
      <c r="AG6374" t="s">
        <v>38622</v>
      </c>
      <c r="AH6374" t="s">
        <v>38617</v>
      </c>
      <c r="AI6374" t="s">
        <v>38623</v>
      </c>
    </row>
    <row r="6375" spans="2:35" ht="255">
      <c r="B6375" s="1">
        <v>45209</v>
      </c>
      <c r="C6375" s="4">
        <v>45209.458333333336</v>
      </c>
      <c r="D6375" t="s">
        <v>30675</v>
      </c>
      <c r="E6375" t="s">
        <v>30676</v>
      </c>
      <c r="F6375">
        <v>3</v>
      </c>
      <c r="G6375" t="s">
        <v>134</v>
      </c>
      <c r="H6375" t="s">
        <v>39</v>
      </c>
      <c r="I6375" t="s">
        <v>40</v>
      </c>
      <c r="J6375" s="2" t="s">
        <v>41</v>
      </c>
      <c r="K6375" t="s">
        <v>42</v>
      </c>
      <c r="L6375" t="s">
        <v>135</v>
      </c>
      <c r="Q6375">
        <v>26178</v>
      </c>
      <c r="R6375" t="s">
        <v>45</v>
      </c>
      <c r="S6375" t="s">
        <v>30677</v>
      </c>
      <c r="T6375">
        <v>23</v>
      </c>
      <c r="U6375" s="2" t="s">
        <v>29866</v>
      </c>
      <c r="V6375" s="1">
        <v>45203</v>
      </c>
      <c r="W6375" t="s">
        <v>2680</v>
      </c>
      <c r="X6375">
        <v>838879</v>
      </c>
      <c r="Y6375" t="s">
        <v>38624</v>
      </c>
      <c r="Z6375" t="s">
        <v>5712</v>
      </c>
      <c r="AA6375" s="2" t="s">
        <v>32304</v>
      </c>
      <c r="AB6375" t="s">
        <v>181</v>
      </c>
      <c r="AD6375" t="s">
        <v>22730</v>
      </c>
      <c r="AE6375">
        <v>43711</v>
      </c>
      <c r="AG6375" t="s">
        <v>38625</v>
      </c>
      <c r="AH6375" t="s">
        <v>32295</v>
      </c>
      <c r="AI6375" t="s">
        <v>38626</v>
      </c>
    </row>
    <row r="6376" spans="2:35" ht="225">
      <c r="B6376" s="1">
        <v>45209</v>
      </c>
      <c r="C6376" s="4">
        <v>45209.518750000003</v>
      </c>
      <c r="D6376" t="s">
        <v>4112</v>
      </c>
      <c r="E6376" t="s">
        <v>4076</v>
      </c>
      <c r="F6376">
        <v>5</v>
      </c>
      <c r="G6376" t="s">
        <v>814</v>
      </c>
      <c r="H6376" t="s">
        <v>39</v>
      </c>
      <c r="I6376" t="s">
        <v>40</v>
      </c>
      <c r="J6376" s="2" t="s">
        <v>41</v>
      </c>
      <c r="K6376" t="s">
        <v>42</v>
      </c>
      <c r="L6376" t="s">
        <v>761</v>
      </c>
      <c r="Q6376">
        <v>26177</v>
      </c>
      <c r="R6376" t="s">
        <v>45</v>
      </c>
      <c r="S6376" t="s">
        <v>31206</v>
      </c>
      <c r="T6376">
        <v>24</v>
      </c>
      <c r="U6376" s="2" t="s">
        <v>38627</v>
      </c>
      <c r="W6376" t="s">
        <v>360</v>
      </c>
      <c r="X6376">
        <v>835213</v>
      </c>
      <c r="Y6376" t="s">
        <v>38628</v>
      </c>
      <c r="Z6376" s="2" t="s">
        <v>38629</v>
      </c>
      <c r="AA6376" s="2" t="s">
        <v>38630</v>
      </c>
      <c r="AB6376" t="s">
        <v>181</v>
      </c>
      <c r="AG6376" t="s">
        <v>38631</v>
      </c>
      <c r="AH6376" t="s">
        <v>31210</v>
      </c>
      <c r="AI6376" t="s">
        <v>38632</v>
      </c>
    </row>
    <row r="6377" spans="2:35" ht="210">
      <c r="B6377" s="1">
        <v>45209</v>
      </c>
      <c r="C6377" s="4">
        <v>45208.705555555556</v>
      </c>
      <c r="D6377" t="s">
        <v>757</v>
      </c>
      <c r="E6377" t="s">
        <v>31265</v>
      </c>
      <c r="F6377">
        <v>5</v>
      </c>
      <c r="G6377" t="s">
        <v>759</v>
      </c>
      <c r="H6377" t="s">
        <v>39</v>
      </c>
      <c r="I6377" t="s">
        <v>40</v>
      </c>
      <c r="J6377" s="2" t="s">
        <v>41</v>
      </c>
      <c r="K6377" t="s">
        <v>42</v>
      </c>
      <c r="L6377" t="s">
        <v>761</v>
      </c>
      <c r="Q6377">
        <v>26176</v>
      </c>
      <c r="R6377" t="s">
        <v>45</v>
      </c>
      <c r="S6377" t="s">
        <v>38633</v>
      </c>
      <c r="T6377">
        <v>27</v>
      </c>
      <c r="U6377" s="2" t="s">
        <v>38634</v>
      </c>
      <c r="W6377" t="s">
        <v>360</v>
      </c>
      <c r="X6377">
        <v>808280</v>
      </c>
      <c r="Y6377" t="s">
        <v>38635</v>
      </c>
      <c r="Z6377" s="2" t="s">
        <v>38636</v>
      </c>
      <c r="AA6377" t="s">
        <v>38637</v>
      </c>
      <c r="AB6377" t="s">
        <v>181</v>
      </c>
      <c r="AG6377" t="s">
        <v>38638</v>
      </c>
      <c r="AH6377" t="s">
        <v>38639</v>
      </c>
      <c r="AI6377" t="s">
        <v>38640</v>
      </c>
    </row>
    <row r="6378" spans="2:35" ht="225">
      <c r="B6378" s="1">
        <v>45208</v>
      </c>
      <c r="C6378" s="4">
        <v>45208.705555555556</v>
      </c>
      <c r="D6378" t="s">
        <v>35</v>
      </c>
      <c r="E6378" t="s">
        <v>38641</v>
      </c>
      <c r="F6378" t="s">
        <v>37</v>
      </c>
      <c r="G6378" t="s">
        <v>38</v>
      </c>
      <c r="H6378" t="s">
        <v>39</v>
      </c>
      <c r="I6378" t="s">
        <v>40</v>
      </c>
      <c r="J6378" t="s">
        <v>109</v>
      </c>
      <c r="K6378" t="s">
        <v>42</v>
      </c>
      <c r="L6378" t="s">
        <v>43</v>
      </c>
      <c r="Q6378">
        <v>26175</v>
      </c>
      <c r="R6378" t="s">
        <v>45</v>
      </c>
      <c r="S6378" t="s">
        <v>37509</v>
      </c>
      <c r="T6378">
        <v>25</v>
      </c>
      <c r="U6378" s="2" t="s">
        <v>38642</v>
      </c>
      <c r="W6378" t="s">
        <v>48</v>
      </c>
      <c r="X6378">
        <v>807593</v>
      </c>
      <c r="Y6378" t="s">
        <v>121</v>
      </c>
      <c r="Z6378" t="s">
        <v>122</v>
      </c>
      <c r="AA6378" s="2" t="s">
        <v>38643</v>
      </c>
      <c r="AB6378" t="s">
        <v>16412</v>
      </c>
      <c r="AG6378" t="s">
        <v>38644</v>
      </c>
      <c r="AH6378" t="s">
        <v>38645</v>
      </c>
      <c r="AI6378" t="s">
        <v>38646</v>
      </c>
    </row>
    <row r="6379" spans="2:35" ht="240">
      <c r="B6379" s="1">
        <v>45208</v>
      </c>
      <c r="C6379" s="4">
        <v>45208.7</v>
      </c>
      <c r="D6379" t="s">
        <v>2356</v>
      </c>
      <c r="E6379" t="s">
        <v>38647</v>
      </c>
      <c r="F6379" t="s">
        <v>148</v>
      </c>
      <c r="G6379" t="s">
        <v>406</v>
      </c>
      <c r="H6379" t="s">
        <v>39</v>
      </c>
      <c r="I6379" t="s">
        <v>40</v>
      </c>
      <c r="J6379" s="2" t="s">
        <v>190</v>
      </c>
      <c r="K6379" t="s">
        <v>42</v>
      </c>
      <c r="L6379" t="s">
        <v>43</v>
      </c>
      <c r="Q6379">
        <v>26174</v>
      </c>
      <c r="R6379" t="s">
        <v>45</v>
      </c>
      <c r="S6379" t="s">
        <v>32878</v>
      </c>
      <c r="T6379">
        <v>25</v>
      </c>
      <c r="U6379" s="2" t="s">
        <v>2583</v>
      </c>
      <c r="W6379" t="s">
        <v>48</v>
      </c>
      <c r="X6379">
        <v>807452</v>
      </c>
      <c r="Y6379" t="s">
        <v>4591</v>
      </c>
      <c r="Z6379" t="s">
        <v>38648</v>
      </c>
      <c r="AA6379" s="2" t="s">
        <v>38649</v>
      </c>
      <c r="AB6379" t="s">
        <v>16412</v>
      </c>
      <c r="AG6379" t="s">
        <v>38650</v>
      </c>
      <c r="AH6379" t="s">
        <v>38651</v>
      </c>
      <c r="AI6379" t="s">
        <v>38652</v>
      </c>
    </row>
    <row r="6380" spans="2:35" ht="195">
      <c r="B6380" s="1">
        <v>45208</v>
      </c>
      <c r="C6380" s="4">
        <v>45208.695833333331</v>
      </c>
      <c r="D6380" t="s">
        <v>28489</v>
      </c>
      <c r="E6380" t="s">
        <v>38653</v>
      </c>
      <c r="F6380" t="s">
        <v>148</v>
      </c>
      <c r="G6380" t="s">
        <v>2007</v>
      </c>
      <c r="H6380" t="s">
        <v>39</v>
      </c>
      <c r="I6380" t="s">
        <v>40</v>
      </c>
      <c r="J6380" t="s">
        <v>1422</v>
      </c>
      <c r="K6380" t="s">
        <v>42</v>
      </c>
      <c r="L6380" t="s">
        <v>43</v>
      </c>
      <c r="Q6380">
        <v>26173</v>
      </c>
      <c r="R6380" t="s">
        <v>1268</v>
      </c>
      <c r="S6380" t="s">
        <v>28491</v>
      </c>
      <c r="T6380">
        <v>25</v>
      </c>
      <c r="U6380" s="2" t="s">
        <v>38654</v>
      </c>
      <c r="W6380" t="s">
        <v>11663</v>
      </c>
      <c r="X6380">
        <v>110002868</v>
      </c>
      <c r="Y6380" t="s">
        <v>4709</v>
      </c>
      <c r="Z6380" t="s">
        <v>38655</v>
      </c>
      <c r="AA6380" s="2" t="s">
        <v>38656</v>
      </c>
      <c r="AB6380" t="s">
        <v>16412</v>
      </c>
      <c r="AG6380" t="s">
        <v>38657</v>
      </c>
      <c r="AH6380" t="s">
        <v>38658</v>
      </c>
      <c r="AI6380" t="s">
        <v>38659</v>
      </c>
    </row>
    <row r="6381" spans="2:35" ht="180">
      <c r="B6381" s="1">
        <v>45208</v>
      </c>
      <c r="C6381" s="4">
        <v>45208.69027777778</v>
      </c>
      <c r="D6381" t="s">
        <v>38660</v>
      </c>
      <c r="E6381" t="s">
        <v>29676</v>
      </c>
      <c r="F6381" t="s">
        <v>148</v>
      </c>
      <c r="G6381" t="s">
        <v>2007</v>
      </c>
      <c r="H6381" t="s">
        <v>39</v>
      </c>
      <c r="I6381" t="s">
        <v>40</v>
      </c>
      <c r="J6381" s="2" t="s">
        <v>190</v>
      </c>
      <c r="K6381" t="s">
        <v>42</v>
      </c>
      <c r="L6381" t="s">
        <v>43</v>
      </c>
      <c r="Q6381">
        <v>26172</v>
      </c>
      <c r="R6381" t="s">
        <v>119</v>
      </c>
      <c r="S6381" t="s">
        <v>38661</v>
      </c>
      <c r="T6381">
        <v>25</v>
      </c>
      <c r="U6381" s="2" t="s">
        <v>2151</v>
      </c>
      <c r="W6381" t="s">
        <v>48</v>
      </c>
      <c r="X6381">
        <v>831712</v>
      </c>
      <c r="Y6381" t="s">
        <v>38662</v>
      </c>
      <c r="Z6381" t="s">
        <v>38663</v>
      </c>
      <c r="AA6381" s="2" t="s">
        <v>38664</v>
      </c>
      <c r="AB6381" t="s">
        <v>38665</v>
      </c>
      <c r="AG6381" t="s">
        <v>38666</v>
      </c>
      <c r="AH6381" t="s">
        <v>38667</v>
      </c>
      <c r="AI6381" t="s">
        <v>38668</v>
      </c>
    </row>
    <row r="6382" spans="2:35" ht="210">
      <c r="B6382" s="1">
        <v>45208</v>
      </c>
      <c r="C6382" s="4">
        <v>45208.685416666667</v>
      </c>
      <c r="D6382" t="s">
        <v>25324</v>
      </c>
      <c r="E6382" t="s">
        <v>27738</v>
      </c>
      <c r="F6382" t="s">
        <v>37</v>
      </c>
      <c r="G6382" t="s">
        <v>78</v>
      </c>
      <c r="H6382" t="s">
        <v>39</v>
      </c>
      <c r="I6382" t="s">
        <v>40</v>
      </c>
      <c r="J6382" s="2" t="s">
        <v>190</v>
      </c>
      <c r="K6382" t="s">
        <v>42</v>
      </c>
      <c r="L6382" t="s">
        <v>43</v>
      </c>
      <c r="Q6382">
        <v>26171</v>
      </c>
      <c r="R6382" t="s">
        <v>119</v>
      </c>
      <c r="S6382" t="s">
        <v>27739</v>
      </c>
      <c r="T6382">
        <v>25</v>
      </c>
      <c r="U6382" s="2" t="s">
        <v>11927</v>
      </c>
      <c r="W6382" t="s">
        <v>48</v>
      </c>
      <c r="X6382">
        <v>821292</v>
      </c>
      <c r="Y6382" t="s">
        <v>38669</v>
      </c>
      <c r="Z6382" t="s">
        <v>37496</v>
      </c>
      <c r="AA6382" s="2" t="s">
        <v>38670</v>
      </c>
      <c r="AB6382" t="s">
        <v>88</v>
      </c>
      <c r="AG6382" t="s">
        <v>38671</v>
      </c>
      <c r="AH6382" t="s">
        <v>27742</v>
      </c>
      <c r="AI6382" t="s">
        <v>38672</v>
      </c>
    </row>
    <row r="6383" spans="2:35" ht="255">
      <c r="B6383" s="1">
        <v>45208</v>
      </c>
      <c r="C6383" s="4">
        <v>45208.676388888889</v>
      </c>
      <c r="D6383" t="s">
        <v>28489</v>
      </c>
      <c r="E6383" t="s">
        <v>38653</v>
      </c>
      <c r="F6383" t="s">
        <v>148</v>
      </c>
      <c r="G6383" t="s">
        <v>2007</v>
      </c>
      <c r="H6383" t="s">
        <v>39</v>
      </c>
      <c r="I6383" t="s">
        <v>40</v>
      </c>
      <c r="J6383" t="s">
        <v>109</v>
      </c>
      <c r="K6383" t="s">
        <v>42</v>
      </c>
      <c r="L6383" t="s">
        <v>43</v>
      </c>
      <c r="Q6383">
        <v>26170</v>
      </c>
      <c r="R6383" t="s">
        <v>1268</v>
      </c>
      <c r="S6383" t="s">
        <v>28491</v>
      </c>
      <c r="T6383">
        <v>25</v>
      </c>
      <c r="U6383" s="2" t="s">
        <v>38673</v>
      </c>
      <c r="W6383" t="s">
        <v>11663</v>
      </c>
      <c r="X6383">
        <v>805288</v>
      </c>
      <c r="Y6383" t="s">
        <v>4709</v>
      </c>
      <c r="Z6383" t="s">
        <v>38655</v>
      </c>
      <c r="AA6383" s="2" t="s">
        <v>38674</v>
      </c>
      <c r="AB6383" t="s">
        <v>16412</v>
      </c>
      <c r="AG6383" t="s">
        <v>38675</v>
      </c>
      <c r="AH6383" t="s">
        <v>38658</v>
      </c>
      <c r="AI6383" t="s">
        <v>38676</v>
      </c>
    </row>
    <row r="6384" spans="2:35" ht="255">
      <c r="B6384" s="1">
        <v>45208</v>
      </c>
      <c r="C6384" s="4">
        <v>45208.676388888889</v>
      </c>
      <c r="D6384" t="s">
        <v>28489</v>
      </c>
      <c r="E6384" t="s">
        <v>38653</v>
      </c>
      <c r="F6384" t="s">
        <v>148</v>
      </c>
      <c r="G6384" t="s">
        <v>2007</v>
      </c>
      <c r="H6384" t="s">
        <v>39</v>
      </c>
      <c r="I6384" t="s">
        <v>40</v>
      </c>
      <c r="J6384" t="s">
        <v>109</v>
      </c>
      <c r="K6384" t="s">
        <v>42</v>
      </c>
      <c r="L6384" t="s">
        <v>43</v>
      </c>
      <c r="Q6384">
        <v>26169</v>
      </c>
      <c r="R6384" t="s">
        <v>1268</v>
      </c>
      <c r="S6384" t="s">
        <v>28491</v>
      </c>
      <c r="T6384">
        <v>25</v>
      </c>
      <c r="U6384" s="2" t="s">
        <v>38673</v>
      </c>
      <c r="W6384" t="s">
        <v>11663</v>
      </c>
      <c r="X6384">
        <v>805288</v>
      </c>
      <c r="Y6384" t="s">
        <v>4709</v>
      </c>
      <c r="Z6384" t="s">
        <v>38655</v>
      </c>
      <c r="AA6384" s="2" t="s">
        <v>38674</v>
      </c>
      <c r="AB6384" t="s">
        <v>16412</v>
      </c>
      <c r="AG6384" t="s">
        <v>38677</v>
      </c>
      <c r="AH6384" t="s">
        <v>38658</v>
      </c>
      <c r="AI6384" t="s">
        <v>38678</v>
      </c>
    </row>
    <row r="6385" spans="2:35" ht="180">
      <c r="B6385" s="1">
        <v>45208</v>
      </c>
      <c r="C6385" s="4">
        <v>45208.609722222223</v>
      </c>
      <c r="D6385" t="s">
        <v>2356</v>
      </c>
      <c r="E6385" t="s">
        <v>38647</v>
      </c>
      <c r="F6385" t="s">
        <v>148</v>
      </c>
      <c r="G6385" t="s">
        <v>406</v>
      </c>
      <c r="H6385" t="s">
        <v>39</v>
      </c>
      <c r="I6385" t="s">
        <v>40</v>
      </c>
      <c r="J6385" s="2" t="s">
        <v>41</v>
      </c>
      <c r="K6385" t="s">
        <v>42</v>
      </c>
      <c r="L6385" t="s">
        <v>43</v>
      </c>
      <c r="Q6385">
        <v>26168</v>
      </c>
      <c r="R6385" t="s">
        <v>45</v>
      </c>
      <c r="S6385" t="s">
        <v>32878</v>
      </c>
      <c r="T6385">
        <v>25</v>
      </c>
      <c r="U6385" s="2" t="s">
        <v>38679</v>
      </c>
      <c r="V6385" s="1">
        <v>45174</v>
      </c>
      <c r="W6385" t="s">
        <v>48</v>
      </c>
      <c r="X6385">
        <v>807452</v>
      </c>
      <c r="Y6385" t="s">
        <v>38680</v>
      </c>
      <c r="Z6385" t="s">
        <v>38681</v>
      </c>
      <c r="AA6385" s="2" t="s">
        <v>38682</v>
      </c>
      <c r="AB6385" t="s">
        <v>88</v>
      </c>
      <c r="AD6385" s="2" t="s">
        <v>38683</v>
      </c>
      <c r="AE6385" t="s">
        <v>38684</v>
      </c>
      <c r="AG6385" t="s">
        <v>38685</v>
      </c>
      <c r="AH6385" t="s">
        <v>38651</v>
      </c>
      <c r="AI6385" t="s">
        <v>38686</v>
      </c>
    </row>
    <row r="6386" spans="2:35" ht="210">
      <c r="B6386" s="1">
        <v>45208</v>
      </c>
      <c r="C6386" s="4">
        <v>45201.444444444445</v>
      </c>
      <c r="D6386" t="s">
        <v>5028</v>
      </c>
      <c r="E6386" t="s">
        <v>3863</v>
      </c>
      <c r="F6386">
        <v>12</v>
      </c>
      <c r="G6386" t="s">
        <v>978</v>
      </c>
      <c r="H6386" t="s">
        <v>5391</v>
      </c>
      <c r="I6386" t="s">
        <v>94</v>
      </c>
      <c r="J6386" s="2" t="s">
        <v>41</v>
      </c>
      <c r="K6386" t="s">
        <v>42</v>
      </c>
      <c r="L6386" t="s">
        <v>296</v>
      </c>
      <c r="Q6386">
        <v>26166</v>
      </c>
      <c r="R6386" t="s">
        <v>45</v>
      </c>
      <c r="S6386" t="s">
        <v>5030</v>
      </c>
      <c r="T6386">
        <v>26.1</v>
      </c>
      <c r="U6386" s="2" t="s">
        <v>38687</v>
      </c>
      <c r="V6386" s="1">
        <v>45201</v>
      </c>
      <c r="W6386" t="s">
        <v>23049</v>
      </c>
      <c r="X6386">
        <v>815380</v>
      </c>
      <c r="Y6386" t="s">
        <v>3865</v>
      </c>
      <c r="Z6386" t="s">
        <v>9161</v>
      </c>
      <c r="AA6386" t="s">
        <v>38688</v>
      </c>
      <c r="AB6386" t="s">
        <v>972</v>
      </c>
      <c r="AD6386" t="s">
        <v>38689</v>
      </c>
      <c r="AE6386" t="s">
        <v>19700</v>
      </c>
      <c r="AG6386" t="s">
        <v>38690</v>
      </c>
      <c r="AH6386" t="s">
        <v>38691</v>
      </c>
      <c r="AI6386" t="s">
        <v>38692</v>
      </c>
    </row>
    <row r="6387" spans="2:35" ht="165">
      <c r="B6387" s="1">
        <v>45208</v>
      </c>
      <c r="C6387" s="4">
        <v>45204.571527777778</v>
      </c>
      <c r="D6387" t="s">
        <v>5017</v>
      </c>
      <c r="E6387" t="s">
        <v>5018</v>
      </c>
      <c r="F6387">
        <v>12</v>
      </c>
      <c r="G6387" t="s">
        <v>978</v>
      </c>
      <c r="H6387" t="s">
        <v>1473</v>
      </c>
      <c r="I6387" t="s">
        <v>40</v>
      </c>
      <c r="J6387" s="2" t="s">
        <v>1157</v>
      </c>
      <c r="K6387" t="s">
        <v>42</v>
      </c>
      <c r="L6387" t="s">
        <v>296</v>
      </c>
      <c r="Q6387">
        <v>26167</v>
      </c>
      <c r="R6387" t="s">
        <v>119</v>
      </c>
      <c r="S6387" t="s">
        <v>5019</v>
      </c>
      <c r="T6387">
        <v>28.6</v>
      </c>
      <c r="U6387" s="2" t="s">
        <v>24878</v>
      </c>
      <c r="W6387" t="s">
        <v>23049</v>
      </c>
      <c r="X6387">
        <v>838569</v>
      </c>
      <c r="Y6387" t="s">
        <v>38693</v>
      </c>
      <c r="Z6387" t="s">
        <v>9161</v>
      </c>
      <c r="AA6387" s="2" t="s">
        <v>38694</v>
      </c>
      <c r="AB6387" t="s">
        <v>1480</v>
      </c>
      <c r="AC6387" t="s">
        <v>15200</v>
      </c>
      <c r="AG6387" t="s">
        <v>38695</v>
      </c>
      <c r="AH6387" t="s">
        <v>38696</v>
      </c>
      <c r="AI6387" t="s">
        <v>38697</v>
      </c>
    </row>
    <row r="6388" spans="2:35" ht="210">
      <c r="B6388" s="1">
        <v>45208</v>
      </c>
      <c r="C6388" s="4">
        <v>45205.45</v>
      </c>
      <c r="D6388" t="s">
        <v>5097</v>
      </c>
      <c r="E6388" t="s">
        <v>38698</v>
      </c>
      <c r="F6388" t="s">
        <v>37</v>
      </c>
      <c r="G6388" t="s">
        <v>748</v>
      </c>
      <c r="H6388" t="s">
        <v>39</v>
      </c>
      <c r="I6388" t="s">
        <v>40</v>
      </c>
      <c r="J6388" s="2" t="s">
        <v>62</v>
      </c>
      <c r="K6388" t="s">
        <v>42</v>
      </c>
      <c r="L6388" t="s">
        <v>1028</v>
      </c>
      <c r="Q6388">
        <v>26164</v>
      </c>
      <c r="R6388" t="s">
        <v>119</v>
      </c>
      <c r="S6388" t="s">
        <v>33902</v>
      </c>
      <c r="T6388">
        <v>25</v>
      </c>
      <c r="V6388" s="1">
        <v>45188</v>
      </c>
      <c r="W6388" t="s">
        <v>2680</v>
      </c>
      <c r="X6388">
        <v>820708</v>
      </c>
      <c r="Y6388" t="s">
        <v>18140</v>
      </c>
      <c r="Z6388" t="s">
        <v>21244</v>
      </c>
      <c r="AA6388" s="2" t="s">
        <v>38699</v>
      </c>
      <c r="AB6388" t="s">
        <v>28913</v>
      </c>
      <c r="AD6388" t="s">
        <v>7189</v>
      </c>
      <c r="AE6388" t="s">
        <v>38700</v>
      </c>
      <c r="AG6388" t="s">
        <v>38701</v>
      </c>
      <c r="AH6388" t="s">
        <v>24750</v>
      </c>
      <c r="AI6388" t="s">
        <v>38702</v>
      </c>
    </row>
    <row r="6389" spans="2:35" ht="255">
      <c r="B6389" s="1">
        <v>45208</v>
      </c>
      <c r="C6389" s="4">
        <v>45205.529166666667</v>
      </c>
      <c r="D6389" t="s">
        <v>27669</v>
      </c>
      <c r="E6389" t="s">
        <v>38703</v>
      </c>
      <c r="F6389" t="s">
        <v>37</v>
      </c>
      <c r="G6389" t="s">
        <v>748</v>
      </c>
      <c r="H6389" t="s">
        <v>39</v>
      </c>
      <c r="I6389" t="s">
        <v>40</v>
      </c>
      <c r="J6389" s="2" t="s">
        <v>62</v>
      </c>
      <c r="K6389" t="s">
        <v>42</v>
      </c>
      <c r="L6389" t="s">
        <v>1028</v>
      </c>
      <c r="Q6389">
        <v>26165</v>
      </c>
      <c r="R6389" t="s">
        <v>119</v>
      </c>
      <c r="S6389" t="s">
        <v>37316</v>
      </c>
      <c r="T6389">
        <v>25</v>
      </c>
      <c r="V6389" s="1">
        <v>45188</v>
      </c>
      <c r="W6389" t="s">
        <v>2680</v>
      </c>
      <c r="X6389">
        <v>821216</v>
      </c>
      <c r="Y6389" t="s">
        <v>18140</v>
      </c>
      <c r="Z6389" t="s">
        <v>21244</v>
      </c>
      <c r="AA6389" s="2" t="s">
        <v>38704</v>
      </c>
      <c r="AB6389" t="s">
        <v>38705</v>
      </c>
      <c r="AD6389" t="s">
        <v>38538</v>
      </c>
      <c r="AE6389" t="s">
        <v>38706</v>
      </c>
      <c r="AG6389" t="s">
        <v>38707</v>
      </c>
      <c r="AH6389" t="s">
        <v>37321</v>
      </c>
      <c r="AI6389" t="s">
        <v>38708</v>
      </c>
    </row>
    <row r="6390" spans="2:35" ht="345">
      <c r="B6390" s="1">
        <v>45207</v>
      </c>
      <c r="C6390" s="4">
        <v>45205.352083333331</v>
      </c>
      <c r="D6390" t="s">
        <v>31998</v>
      </c>
      <c r="E6390" t="s">
        <v>31999</v>
      </c>
      <c r="F6390">
        <v>1</v>
      </c>
      <c r="G6390" t="s">
        <v>1046</v>
      </c>
      <c r="H6390" t="s">
        <v>1047</v>
      </c>
      <c r="I6390" t="s">
        <v>40</v>
      </c>
      <c r="J6390" s="2" t="s">
        <v>41</v>
      </c>
      <c r="K6390" t="s">
        <v>42</v>
      </c>
      <c r="L6390" t="s">
        <v>1048</v>
      </c>
      <c r="Q6390">
        <v>26163</v>
      </c>
      <c r="R6390" t="s">
        <v>45</v>
      </c>
      <c r="S6390" t="s">
        <v>38709</v>
      </c>
      <c r="T6390">
        <v>31</v>
      </c>
      <c r="U6390" s="2" t="s">
        <v>38710</v>
      </c>
      <c r="V6390" s="1">
        <v>45205</v>
      </c>
      <c r="W6390" t="s">
        <v>38711</v>
      </c>
      <c r="X6390">
        <v>834369</v>
      </c>
      <c r="Y6390" t="s">
        <v>35729</v>
      </c>
      <c r="Z6390" s="2" t="s">
        <v>38712</v>
      </c>
      <c r="AA6390" t="s">
        <v>1926</v>
      </c>
      <c r="AB6390" t="s">
        <v>181</v>
      </c>
      <c r="AD6390" t="s">
        <v>38713</v>
      </c>
      <c r="AE6390" t="s">
        <v>103</v>
      </c>
      <c r="AG6390" t="s">
        <v>38714</v>
      </c>
      <c r="AH6390" t="s">
        <v>38715</v>
      </c>
      <c r="AI6390" t="s">
        <v>38716</v>
      </c>
    </row>
    <row r="6391" spans="2:35" ht="409.5">
      <c r="B6391" s="1">
        <v>45205</v>
      </c>
      <c r="C6391" s="4">
        <v>45205.649305555555</v>
      </c>
      <c r="D6391" t="s">
        <v>38717</v>
      </c>
      <c r="E6391" t="s">
        <v>2177</v>
      </c>
      <c r="F6391" t="s">
        <v>148</v>
      </c>
      <c r="G6391" t="s">
        <v>447</v>
      </c>
      <c r="H6391" t="s">
        <v>662</v>
      </c>
      <c r="I6391" t="s">
        <v>40</v>
      </c>
      <c r="J6391" t="s">
        <v>525</v>
      </c>
      <c r="K6391" t="s">
        <v>42</v>
      </c>
      <c r="L6391" t="s">
        <v>448</v>
      </c>
      <c r="Q6391">
        <v>26162</v>
      </c>
      <c r="R6391" t="s">
        <v>322</v>
      </c>
      <c r="S6391" t="s">
        <v>5604</v>
      </c>
      <c r="T6391">
        <v>26</v>
      </c>
      <c r="U6391" s="2" t="s">
        <v>38718</v>
      </c>
      <c r="W6391" t="s">
        <v>895</v>
      </c>
      <c r="X6391">
        <v>110005587</v>
      </c>
      <c r="Y6391" t="s">
        <v>38719</v>
      </c>
      <c r="Z6391" s="2" t="s">
        <v>38720</v>
      </c>
      <c r="AA6391" t="s">
        <v>4487</v>
      </c>
      <c r="AB6391" t="s">
        <v>38721</v>
      </c>
      <c r="AG6391" t="s">
        <v>38722</v>
      </c>
      <c r="AH6391" t="s">
        <v>38723</v>
      </c>
      <c r="AI6391" t="s">
        <v>38724</v>
      </c>
    </row>
    <row r="6392" spans="2:35" ht="210">
      <c r="B6392" s="1">
        <v>45205</v>
      </c>
      <c r="C6392" s="4">
        <v>45205.586111111108</v>
      </c>
      <c r="D6392" t="s">
        <v>22944</v>
      </c>
      <c r="E6392" t="s">
        <v>22945</v>
      </c>
      <c r="F6392" t="s">
        <v>148</v>
      </c>
      <c r="G6392" t="s">
        <v>22765</v>
      </c>
      <c r="H6392" t="s">
        <v>39</v>
      </c>
      <c r="I6392" t="s">
        <v>40</v>
      </c>
      <c r="J6392" s="2" t="s">
        <v>190</v>
      </c>
      <c r="K6392" t="s">
        <v>42</v>
      </c>
      <c r="L6392" t="s">
        <v>175</v>
      </c>
      <c r="Q6392">
        <v>26161</v>
      </c>
      <c r="R6392" t="s">
        <v>119</v>
      </c>
      <c r="S6392" t="s">
        <v>22946</v>
      </c>
      <c r="T6392">
        <v>23</v>
      </c>
      <c r="U6392" s="2" t="s">
        <v>38725</v>
      </c>
      <c r="V6392" s="1">
        <v>45205</v>
      </c>
      <c r="W6392" t="s">
        <v>84</v>
      </c>
      <c r="X6392">
        <v>831903</v>
      </c>
      <c r="Y6392" t="s">
        <v>38726</v>
      </c>
      <c r="Z6392" t="e">
        <f ca="1">- checked _xludf.and cleaned cartridge bay, plunger rod, _xludf.filter
- performed XpertCheck on C2
- generated reports</f>
        <v>#NAME?</v>
      </c>
      <c r="AA6392" t="s">
        <v>38727</v>
      </c>
      <c r="AB6392" s="2" t="s">
        <v>38728</v>
      </c>
      <c r="AD6392" t="s">
        <v>7189</v>
      </c>
      <c r="AE6392" t="s">
        <v>103</v>
      </c>
      <c r="AG6392" t="s">
        <v>38729</v>
      </c>
      <c r="AH6392" t="s">
        <v>33047</v>
      </c>
      <c r="AI6392" t="s">
        <v>38730</v>
      </c>
    </row>
    <row r="6393" spans="2:35" ht="150">
      <c r="B6393" s="1">
        <v>45205</v>
      </c>
      <c r="C6393" s="4">
        <v>45205.589583333334</v>
      </c>
      <c r="D6393" t="s">
        <v>24045</v>
      </c>
      <c r="E6393" t="s">
        <v>35760</v>
      </c>
      <c r="F6393" t="s">
        <v>148</v>
      </c>
      <c r="G6393" t="s">
        <v>406</v>
      </c>
      <c r="H6393" t="s">
        <v>39</v>
      </c>
      <c r="I6393" t="s">
        <v>40</v>
      </c>
      <c r="J6393" s="2" t="s">
        <v>62</v>
      </c>
      <c r="K6393" t="s">
        <v>42</v>
      </c>
      <c r="L6393" t="s">
        <v>43</v>
      </c>
      <c r="Q6393">
        <v>26160</v>
      </c>
      <c r="R6393" t="s">
        <v>45</v>
      </c>
      <c r="S6393" t="s">
        <v>22391</v>
      </c>
      <c r="T6393">
        <v>24</v>
      </c>
      <c r="U6393" s="2" t="s">
        <v>38731</v>
      </c>
      <c r="W6393" t="s">
        <v>48</v>
      </c>
      <c r="X6393">
        <v>838858</v>
      </c>
      <c r="Y6393" t="s">
        <v>1111</v>
      </c>
      <c r="Z6393" t="s">
        <v>1519</v>
      </c>
      <c r="AA6393" s="2" t="s">
        <v>38266</v>
      </c>
      <c r="AB6393" t="s">
        <v>24813</v>
      </c>
      <c r="AG6393" t="s">
        <v>38732</v>
      </c>
      <c r="AH6393" t="s">
        <v>22398</v>
      </c>
      <c r="AI6393" t="s">
        <v>38733</v>
      </c>
    </row>
    <row r="6394" spans="2:35" ht="195">
      <c r="B6394" s="1">
        <v>45205</v>
      </c>
      <c r="C6394" s="4">
        <v>45205.46597222222</v>
      </c>
      <c r="D6394" t="s">
        <v>38734</v>
      </c>
      <c r="E6394" t="s">
        <v>38735</v>
      </c>
      <c r="F6394" t="s">
        <v>148</v>
      </c>
      <c r="G6394" t="s">
        <v>2007</v>
      </c>
      <c r="H6394" t="s">
        <v>39</v>
      </c>
      <c r="I6394" t="s">
        <v>40</v>
      </c>
      <c r="J6394" t="s">
        <v>996</v>
      </c>
      <c r="K6394" t="s">
        <v>42</v>
      </c>
      <c r="L6394" t="s">
        <v>448</v>
      </c>
      <c r="Q6394">
        <v>26159</v>
      </c>
      <c r="R6394" t="s">
        <v>45</v>
      </c>
      <c r="S6394" t="s">
        <v>6185</v>
      </c>
      <c r="T6394">
        <v>22</v>
      </c>
      <c r="U6394" s="2" t="s">
        <v>38736</v>
      </c>
      <c r="W6394" t="s">
        <v>360</v>
      </c>
      <c r="X6394">
        <v>838134</v>
      </c>
      <c r="Y6394" t="s">
        <v>38737</v>
      </c>
      <c r="Z6394" s="2" t="s">
        <v>38738</v>
      </c>
      <c r="AA6394" t="s">
        <v>11518</v>
      </c>
      <c r="AB6394" t="s">
        <v>38739</v>
      </c>
      <c r="AG6394" t="s">
        <v>38740</v>
      </c>
      <c r="AH6394" t="s">
        <v>25219</v>
      </c>
      <c r="AI6394" t="s">
        <v>38741</v>
      </c>
    </row>
    <row r="6395" spans="2:35">
      <c r="B6395" s="1">
        <v>45205</v>
      </c>
      <c r="C6395" s="4">
        <v>45205.444444444445</v>
      </c>
      <c r="D6395" t="s">
        <v>38734</v>
      </c>
      <c r="E6395" t="s">
        <v>38735</v>
      </c>
      <c r="F6395" t="s">
        <v>148</v>
      </c>
      <c r="G6395" t="s">
        <v>2007</v>
      </c>
      <c r="H6395" t="s">
        <v>39</v>
      </c>
      <c r="I6395" t="s">
        <v>40</v>
      </c>
      <c r="J6395" t="s">
        <v>321</v>
      </c>
      <c r="K6395" t="s">
        <v>42</v>
      </c>
      <c r="L6395" t="s">
        <v>448</v>
      </c>
      <c r="Q6395">
        <v>26158</v>
      </c>
      <c r="R6395" t="s">
        <v>95</v>
      </c>
      <c r="S6395" t="s">
        <v>6185</v>
      </c>
      <c r="T6395">
        <v>23</v>
      </c>
      <c r="W6395" t="s">
        <v>2591</v>
      </c>
      <c r="X6395">
        <v>120000022</v>
      </c>
      <c r="Y6395" t="s">
        <v>750</v>
      </c>
      <c r="Z6395" t="s">
        <v>38742</v>
      </c>
      <c r="AA6395" t="s">
        <v>13110</v>
      </c>
      <c r="AB6395" t="s">
        <v>486</v>
      </c>
      <c r="AG6395" t="s">
        <v>38743</v>
      </c>
      <c r="AH6395" t="s">
        <v>25219</v>
      </c>
      <c r="AI6395" t="s">
        <v>38744</v>
      </c>
    </row>
    <row r="6396" spans="2:35" ht="270">
      <c r="B6396" s="1">
        <v>45205</v>
      </c>
      <c r="C6396" s="4">
        <v>45204.359722222223</v>
      </c>
      <c r="D6396" t="s">
        <v>30323</v>
      </c>
      <c r="E6396" t="s">
        <v>38745</v>
      </c>
      <c r="F6396" t="s">
        <v>37</v>
      </c>
      <c r="G6396" t="s">
        <v>38</v>
      </c>
      <c r="H6396" t="s">
        <v>39</v>
      </c>
      <c r="I6396" t="s">
        <v>40</v>
      </c>
      <c r="J6396" t="s">
        <v>79</v>
      </c>
      <c r="K6396" t="s">
        <v>42</v>
      </c>
      <c r="L6396" t="s">
        <v>448</v>
      </c>
      <c r="Q6396">
        <v>26157</v>
      </c>
      <c r="R6396" t="s">
        <v>45</v>
      </c>
      <c r="S6396" t="s">
        <v>38746</v>
      </c>
      <c r="T6396">
        <v>26</v>
      </c>
      <c r="V6396" s="1">
        <v>45202</v>
      </c>
      <c r="W6396" t="s">
        <v>360</v>
      </c>
      <c r="X6396">
        <v>838894</v>
      </c>
      <c r="Y6396" t="s">
        <v>38747</v>
      </c>
      <c r="Z6396" s="2" t="s">
        <v>38748</v>
      </c>
      <c r="AA6396" t="s">
        <v>5712</v>
      </c>
      <c r="AB6396" t="s">
        <v>486</v>
      </c>
      <c r="AD6396" t="s">
        <v>10253</v>
      </c>
      <c r="AE6396" t="s">
        <v>38749</v>
      </c>
      <c r="AG6396" t="s">
        <v>38750</v>
      </c>
      <c r="AH6396" t="s">
        <v>38751</v>
      </c>
      <c r="AI6396" t="s">
        <v>38752</v>
      </c>
    </row>
    <row r="6397" spans="2:35" ht="165">
      <c r="B6397" s="1">
        <v>45205</v>
      </c>
      <c r="C6397" s="4">
        <v>45205.498611111114</v>
      </c>
      <c r="D6397" t="s">
        <v>26865</v>
      </c>
      <c r="E6397" t="s">
        <v>35851</v>
      </c>
      <c r="F6397">
        <v>3</v>
      </c>
      <c r="G6397" t="s">
        <v>1722</v>
      </c>
      <c r="H6397" t="s">
        <v>39</v>
      </c>
      <c r="I6397" t="s">
        <v>40</v>
      </c>
      <c r="J6397" s="2" t="s">
        <v>190</v>
      </c>
      <c r="K6397" t="s">
        <v>42</v>
      </c>
      <c r="L6397" t="s">
        <v>63</v>
      </c>
      <c r="Q6397">
        <v>26156</v>
      </c>
      <c r="R6397" t="s">
        <v>119</v>
      </c>
      <c r="S6397" t="s">
        <v>26867</v>
      </c>
      <c r="T6397">
        <v>26</v>
      </c>
      <c r="V6397" s="1">
        <v>45205</v>
      </c>
      <c r="W6397" t="s">
        <v>26915</v>
      </c>
      <c r="X6397">
        <v>831562</v>
      </c>
      <c r="Y6397" t="s">
        <v>38753</v>
      </c>
      <c r="Z6397" t="s">
        <v>38754</v>
      </c>
      <c r="AA6397" s="2" t="s">
        <v>1727</v>
      </c>
      <c r="AB6397" t="s">
        <v>70</v>
      </c>
      <c r="AC6397" t="s">
        <v>38755</v>
      </c>
      <c r="AD6397" t="s">
        <v>29263</v>
      </c>
      <c r="AE6397" t="s">
        <v>1716</v>
      </c>
      <c r="AG6397" t="s">
        <v>38756</v>
      </c>
      <c r="AH6397" t="s">
        <v>36367</v>
      </c>
      <c r="AI6397" t="s">
        <v>38757</v>
      </c>
    </row>
    <row r="6398" spans="2:35" ht="409.5">
      <c r="B6398" s="1">
        <v>45205</v>
      </c>
      <c r="C6398" s="4">
        <v>45205.402777777781</v>
      </c>
      <c r="D6398" t="s">
        <v>9772</v>
      </c>
      <c r="E6398" t="s">
        <v>9773</v>
      </c>
      <c r="F6398">
        <v>6</v>
      </c>
      <c r="G6398" t="s">
        <v>1234</v>
      </c>
      <c r="H6398" t="s">
        <v>38758</v>
      </c>
      <c r="I6398" t="s">
        <v>40</v>
      </c>
      <c r="J6398" t="s">
        <v>321</v>
      </c>
      <c r="K6398" t="s">
        <v>42</v>
      </c>
      <c r="L6398" t="s">
        <v>23958</v>
      </c>
      <c r="Q6398">
        <v>26155</v>
      </c>
      <c r="R6398" t="s">
        <v>322</v>
      </c>
      <c r="S6398" t="s">
        <v>38759</v>
      </c>
      <c r="T6398">
        <v>24</v>
      </c>
      <c r="W6398" t="s">
        <v>19143</v>
      </c>
      <c r="X6398">
        <v>110020743</v>
      </c>
      <c r="Y6398" t="s">
        <v>38760</v>
      </c>
      <c r="Z6398" t="s">
        <v>263</v>
      </c>
      <c r="AA6398" s="2" t="s">
        <v>38761</v>
      </c>
      <c r="AB6398" t="s">
        <v>4668</v>
      </c>
      <c r="AG6398" t="s">
        <v>38762</v>
      </c>
      <c r="AH6398" t="s">
        <v>38763</v>
      </c>
      <c r="AI6398" t="s">
        <v>38764</v>
      </c>
    </row>
    <row r="6399" spans="2:35" ht="225">
      <c r="B6399" s="1">
        <v>45205</v>
      </c>
      <c r="C6399" s="4">
        <v>45205.436805555553</v>
      </c>
      <c r="D6399" t="s">
        <v>556</v>
      </c>
      <c r="E6399" t="s">
        <v>38765</v>
      </c>
      <c r="F6399" t="s">
        <v>148</v>
      </c>
      <c r="G6399" t="s">
        <v>406</v>
      </c>
      <c r="H6399" t="s">
        <v>39</v>
      </c>
      <c r="I6399" t="s">
        <v>40</v>
      </c>
      <c r="J6399" t="s">
        <v>109</v>
      </c>
      <c r="K6399" t="s">
        <v>42</v>
      </c>
      <c r="L6399" t="s">
        <v>43</v>
      </c>
      <c r="Q6399">
        <v>26154</v>
      </c>
      <c r="R6399" t="s">
        <v>119</v>
      </c>
      <c r="S6399" t="s">
        <v>25196</v>
      </c>
      <c r="T6399">
        <v>25</v>
      </c>
      <c r="W6399" t="s">
        <v>48</v>
      </c>
      <c r="X6399">
        <v>831638</v>
      </c>
      <c r="Y6399" t="s">
        <v>121</v>
      </c>
      <c r="Z6399" t="s">
        <v>122</v>
      </c>
      <c r="AA6399" s="2" t="s">
        <v>31987</v>
      </c>
      <c r="AB6399" t="s">
        <v>16412</v>
      </c>
      <c r="AG6399" t="s">
        <v>38766</v>
      </c>
      <c r="AH6399" t="s">
        <v>27576</v>
      </c>
      <c r="AI6399" t="s">
        <v>38767</v>
      </c>
    </row>
    <row r="6400" spans="2:35" ht="270">
      <c r="B6400" s="1">
        <v>45205</v>
      </c>
      <c r="C6400" s="4">
        <v>45205.410416666666</v>
      </c>
      <c r="D6400" t="s">
        <v>16538</v>
      </c>
      <c r="E6400" t="s">
        <v>38768</v>
      </c>
      <c r="F6400">
        <v>7</v>
      </c>
      <c r="G6400" t="s">
        <v>432</v>
      </c>
      <c r="H6400" t="s">
        <v>2290</v>
      </c>
      <c r="I6400" t="s">
        <v>94</v>
      </c>
      <c r="J6400" s="2" t="s">
        <v>1592</v>
      </c>
      <c r="K6400" t="s">
        <v>42</v>
      </c>
      <c r="L6400" t="s">
        <v>610</v>
      </c>
      <c r="Q6400">
        <v>26153</v>
      </c>
      <c r="R6400" t="s">
        <v>119</v>
      </c>
      <c r="S6400" t="s">
        <v>16540</v>
      </c>
      <c r="T6400">
        <v>29</v>
      </c>
      <c r="U6400" s="2" t="s">
        <v>38769</v>
      </c>
      <c r="W6400" t="s">
        <v>502</v>
      </c>
      <c r="X6400">
        <v>838283</v>
      </c>
      <c r="Y6400" t="s">
        <v>38770</v>
      </c>
      <c r="Z6400" s="2" t="s">
        <v>38771</v>
      </c>
      <c r="AA6400" t="s">
        <v>38772</v>
      </c>
      <c r="AB6400" t="s">
        <v>1263</v>
      </c>
      <c r="AG6400" t="s">
        <v>38773</v>
      </c>
      <c r="AH6400" t="s">
        <v>31502</v>
      </c>
      <c r="AI6400" t="s">
        <v>38774</v>
      </c>
    </row>
    <row r="6401" spans="2:35" ht="210">
      <c r="B6401" s="1">
        <v>45204</v>
      </c>
      <c r="C6401" s="4">
        <v>45204.869444444441</v>
      </c>
      <c r="D6401" t="s">
        <v>38775</v>
      </c>
      <c r="E6401" t="s">
        <v>38776</v>
      </c>
      <c r="F6401">
        <v>6</v>
      </c>
      <c r="G6401" t="s">
        <v>9400</v>
      </c>
      <c r="H6401" t="s">
        <v>10969</v>
      </c>
      <c r="I6401" t="s">
        <v>40</v>
      </c>
      <c r="J6401" s="2" t="s">
        <v>41</v>
      </c>
      <c r="K6401" t="s">
        <v>42</v>
      </c>
      <c r="L6401" t="s">
        <v>1288</v>
      </c>
      <c r="Q6401">
        <v>26152</v>
      </c>
      <c r="R6401" t="s">
        <v>45</v>
      </c>
      <c r="S6401" t="s">
        <v>38777</v>
      </c>
      <c r="T6401">
        <v>39</v>
      </c>
      <c r="U6401" s="2" t="s">
        <v>22668</v>
      </c>
      <c r="W6401" t="s">
        <v>1292</v>
      </c>
      <c r="X6401">
        <v>808287</v>
      </c>
      <c r="Y6401" t="s">
        <v>16599</v>
      </c>
      <c r="Z6401" t="s">
        <v>9107</v>
      </c>
      <c r="AA6401" s="2" t="s">
        <v>38778</v>
      </c>
      <c r="AB6401" t="s">
        <v>1293</v>
      </c>
      <c r="AC6401" t="s">
        <v>38779</v>
      </c>
      <c r="AG6401" t="s">
        <v>38780</v>
      </c>
      <c r="AH6401" t="s">
        <v>38781</v>
      </c>
      <c r="AI6401" t="s">
        <v>38782</v>
      </c>
    </row>
    <row r="6402" spans="2:35" ht="225">
      <c r="B6402" s="1">
        <v>45204</v>
      </c>
      <c r="C6402" s="4">
        <v>45204.595138888886</v>
      </c>
      <c r="D6402" t="s">
        <v>4814</v>
      </c>
      <c r="E6402" t="s">
        <v>30297</v>
      </c>
      <c r="F6402" t="s">
        <v>148</v>
      </c>
      <c r="G6402" t="s">
        <v>785</v>
      </c>
      <c r="H6402" t="s">
        <v>39</v>
      </c>
      <c r="I6402" t="s">
        <v>40</v>
      </c>
      <c r="J6402" s="2" t="s">
        <v>41</v>
      </c>
      <c r="K6402" t="s">
        <v>42</v>
      </c>
      <c r="L6402" t="s">
        <v>43</v>
      </c>
      <c r="Q6402">
        <v>26151</v>
      </c>
      <c r="R6402" t="s">
        <v>45</v>
      </c>
      <c r="S6402" t="s">
        <v>26449</v>
      </c>
      <c r="T6402">
        <v>25</v>
      </c>
      <c r="U6402" s="2" t="s">
        <v>38783</v>
      </c>
      <c r="V6402" s="1">
        <v>45202</v>
      </c>
      <c r="W6402" t="s">
        <v>38784</v>
      </c>
      <c r="X6402">
        <v>814613</v>
      </c>
      <c r="Y6402" t="s">
        <v>38785</v>
      </c>
      <c r="Z6402" t="s">
        <v>777</v>
      </c>
      <c r="AA6402" s="2" t="s">
        <v>38786</v>
      </c>
      <c r="AB6402" t="s">
        <v>16412</v>
      </c>
      <c r="AD6402" s="2" t="s">
        <v>38787</v>
      </c>
      <c r="AE6402" t="s">
        <v>38788</v>
      </c>
      <c r="AG6402" t="s">
        <v>38789</v>
      </c>
      <c r="AH6402" t="s">
        <v>4820</v>
      </c>
      <c r="AI6402" t="s">
        <v>38790</v>
      </c>
    </row>
    <row r="6403" spans="2:35" ht="409.5">
      <c r="B6403" s="1">
        <v>45204</v>
      </c>
      <c r="C6403" s="4">
        <v>45196.48541666667</v>
      </c>
      <c r="D6403" t="s">
        <v>38791</v>
      </c>
      <c r="E6403" t="s">
        <v>9436</v>
      </c>
      <c r="F6403" t="s">
        <v>148</v>
      </c>
      <c r="G6403" t="s">
        <v>230</v>
      </c>
      <c r="H6403" t="s">
        <v>39</v>
      </c>
      <c r="I6403" t="s">
        <v>40</v>
      </c>
      <c r="J6403" t="s">
        <v>321</v>
      </c>
      <c r="K6403" t="s">
        <v>42</v>
      </c>
      <c r="L6403" t="s">
        <v>175</v>
      </c>
      <c r="Q6403">
        <v>26150</v>
      </c>
      <c r="R6403" t="s">
        <v>703</v>
      </c>
      <c r="S6403" t="s">
        <v>28247</v>
      </c>
      <c r="T6403">
        <v>25</v>
      </c>
      <c r="U6403" s="2" t="s">
        <v>24512</v>
      </c>
      <c r="W6403" t="s">
        <v>84</v>
      </c>
      <c r="X6403">
        <v>110018312</v>
      </c>
      <c r="Y6403" t="s">
        <v>8338</v>
      </c>
      <c r="Z6403" t="e">
        <f ca="1">- installed Unit
- generated reports</f>
        <v>#NAME?</v>
      </c>
      <c r="AA6403" s="2" t="s">
        <v>38792</v>
      </c>
      <c r="AB6403" t="s">
        <v>181</v>
      </c>
      <c r="AG6403" t="s">
        <v>38793</v>
      </c>
      <c r="AH6403" t="s">
        <v>38794</v>
      </c>
      <c r="AI6403" t="s">
        <v>38795</v>
      </c>
    </row>
    <row r="6404" spans="2:35" ht="210">
      <c r="B6404" s="1">
        <v>45204</v>
      </c>
      <c r="C6404" s="4">
        <v>45204.556944444441</v>
      </c>
      <c r="D6404" t="s">
        <v>25923</v>
      </c>
      <c r="E6404" t="s">
        <v>38796</v>
      </c>
      <c r="F6404" t="s">
        <v>37</v>
      </c>
      <c r="G6404" t="s">
        <v>748</v>
      </c>
      <c r="H6404" t="s">
        <v>39</v>
      </c>
      <c r="I6404" t="s">
        <v>40</v>
      </c>
      <c r="J6404" s="2" t="s">
        <v>62</v>
      </c>
      <c r="K6404" t="s">
        <v>42</v>
      </c>
      <c r="L6404" t="s">
        <v>1028</v>
      </c>
      <c r="Q6404">
        <v>26149</v>
      </c>
      <c r="R6404" t="s">
        <v>119</v>
      </c>
      <c r="S6404" t="s">
        <v>25925</v>
      </c>
      <c r="T6404">
        <v>26</v>
      </c>
      <c r="V6404" s="1">
        <v>45188</v>
      </c>
      <c r="W6404" t="s">
        <v>2680</v>
      </c>
      <c r="X6404">
        <v>821284</v>
      </c>
      <c r="Y6404" t="s">
        <v>18140</v>
      </c>
      <c r="Z6404" t="s">
        <v>21244</v>
      </c>
      <c r="AA6404" s="2" t="s">
        <v>38797</v>
      </c>
      <c r="AB6404" t="s">
        <v>3063</v>
      </c>
      <c r="AC6404" t="s">
        <v>38798</v>
      </c>
      <c r="AD6404" t="s">
        <v>7189</v>
      </c>
      <c r="AE6404" t="s">
        <v>38799</v>
      </c>
      <c r="AG6404" t="s">
        <v>38800</v>
      </c>
      <c r="AH6404" t="s">
        <v>25928</v>
      </c>
      <c r="AI6404" t="s">
        <v>38801</v>
      </c>
    </row>
    <row r="6405" spans="2:35" ht="210">
      <c r="B6405" s="1">
        <v>45204</v>
      </c>
      <c r="C6405" s="4">
        <v>45203.405555555553</v>
      </c>
      <c r="D6405" t="s">
        <v>12198</v>
      </c>
      <c r="E6405" t="s">
        <v>38802</v>
      </c>
      <c r="F6405" t="s">
        <v>148</v>
      </c>
      <c r="G6405" t="s">
        <v>310</v>
      </c>
      <c r="H6405" t="s">
        <v>39</v>
      </c>
      <c r="I6405" t="s">
        <v>40</v>
      </c>
      <c r="J6405" s="2" t="s">
        <v>6184</v>
      </c>
      <c r="K6405" t="s">
        <v>42</v>
      </c>
      <c r="L6405" t="s">
        <v>1028</v>
      </c>
      <c r="Q6405">
        <v>26148</v>
      </c>
      <c r="R6405" t="s">
        <v>45</v>
      </c>
      <c r="S6405" t="s">
        <v>38803</v>
      </c>
      <c r="T6405">
        <v>24</v>
      </c>
      <c r="W6405" t="s">
        <v>2680</v>
      </c>
      <c r="X6405">
        <v>834624</v>
      </c>
      <c r="Y6405" t="s">
        <v>38804</v>
      </c>
      <c r="Z6405" t="s">
        <v>1422</v>
      </c>
      <c r="AA6405" s="2" t="s">
        <v>38805</v>
      </c>
      <c r="AB6405" t="s">
        <v>38806</v>
      </c>
      <c r="AG6405" t="s">
        <v>38807</v>
      </c>
      <c r="AH6405" t="s">
        <v>20377</v>
      </c>
      <c r="AI6405" t="s">
        <v>38808</v>
      </c>
    </row>
    <row r="6406" spans="2:35">
      <c r="B6406" s="1">
        <v>45204</v>
      </c>
      <c r="C6406" s="4">
        <v>45187.572222222225</v>
      </c>
      <c r="D6406" t="s">
        <v>18752</v>
      </c>
      <c r="E6406" t="s">
        <v>718</v>
      </c>
      <c r="F6406">
        <v>7</v>
      </c>
      <c r="G6406" t="s">
        <v>432</v>
      </c>
      <c r="H6406" t="s">
        <v>39</v>
      </c>
      <c r="I6406" t="s">
        <v>94</v>
      </c>
      <c r="J6406" t="s">
        <v>109</v>
      </c>
      <c r="K6406" t="s">
        <v>42</v>
      </c>
      <c r="L6406" t="s">
        <v>594</v>
      </c>
      <c r="Q6406">
        <v>26147</v>
      </c>
      <c r="R6406" t="s">
        <v>45</v>
      </c>
      <c r="S6406" t="s">
        <v>22513</v>
      </c>
      <c r="T6406">
        <v>23</v>
      </c>
      <c r="V6406" s="1">
        <v>45183</v>
      </c>
      <c r="W6406" t="s">
        <v>502</v>
      </c>
      <c r="X6406">
        <v>815485</v>
      </c>
      <c r="Y6406" t="s">
        <v>38809</v>
      </c>
      <c r="Z6406" t="s">
        <v>38810</v>
      </c>
      <c r="AA6406" t="s">
        <v>38811</v>
      </c>
      <c r="AB6406" t="s">
        <v>38812</v>
      </c>
      <c r="AG6406" t="s">
        <v>38813</v>
      </c>
      <c r="AH6406" t="s">
        <v>38814</v>
      </c>
      <c r="AI6406" t="s">
        <v>38815</v>
      </c>
    </row>
    <row r="6407" spans="2:35" ht="375">
      <c r="B6407" s="1">
        <v>45204</v>
      </c>
      <c r="C6407" s="4">
        <v>45204.524305555555</v>
      </c>
      <c r="D6407" t="s">
        <v>31830</v>
      </c>
      <c r="E6407" t="s">
        <v>38816</v>
      </c>
      <c r="F6407">
        <v>10</v>
      </c>
      <c r="G6407" t="s">
        <v>1395</v>
      </c>
      <c r="H6407" t="s">
        <v>39</v>
      </c>
      <c r="I6407" t="s">
        <v>40</v>
      </c>
      <c r="J6407" s="2" t="s">
        <v>41</v>
      </c>
      <c r="K6407" t="s">
        <v>42</v>
      </c>
      <c r="L6407" t="s">
        <v>933</v>
      </c>
      <c r="Q6407">
        <v>26146</v>
      </c>
      <c r="R6407" t="s">
        <v>45</v>
      </c>
      <c r="S6407" t="s">
        <v>31832</v>
      </c>
      <c r="T6407">
        <v>27</v>
      </c>
      <c r="U6407" s="2" t="s">
        <v>38817</v>
      </c>
      <c r="W6407" t="s">
        <v>34485</v>
      </c>
      <c r="X6407">
        <v>844118</v>
      </c>
      <c r="Y6407" t="s">
        <v>301</v>
      </c>
      <c r="Z6407" t="s">
        <v>301</v>
      </c>
      <c r="AA6407" s="2" t="s">
        <v>38818</v>
      </c>
      <c r="AB6407" t="s">
        <v>13650</v>
      </c>
      <c r="AG6407" t="s">
        <v>38819</v>
      </c>
      <c r="AH6407" t="s">
        <v>38820</v>
      </c>
      <c r="AI6407" t="s">
        <v>38821</v>
      </c>
    </row>
    <row r="6408" spans="2:35" ht="210">
      <c r="B6408" s="1">
        <v>45204</v>
      </c>
      <c r="C6408" s="4">
        <v>45204.490972222222</v>
      </c>
      <c r="D6408" t="s">
        <v>228</v>
      </c>
      <c r="E6408" t="s">
        <v>9436</v>
      </c>
      <c r="F6408" t="s">
        <v>148</v>
      </c>
      <c r="G6408" t="s">
        <v>230</v>
      </c>
      <c r="H6408" t="s">
        <v>39</v>
      </c>
      <c r="I6408" t="s">
        <v>40</v>
      </c>
      <c r="J6408" s="2" t="s">
        <v>41</v>
      </c>
      <c r="K6408" t="s">
        <v>42</v>
      </c>
      <c r="L6408" t="s">
        <v>175</v>
      </c>
      <c r="Q6408">
        <v>26145</v>
      </c>
      <c r="R6408" t="s">
        <v>119</v>
      </c>
      <c r="S6408" t="s">
        <v>23986</v>
      </c>
      <c r="T6408">
        <v>25</v>
      </c>
      <c r="U6408" s="2" t="s">
        <v>38822</v>
      </c>
      <c r="W6408" t="s">
        <v>84</v>
      </c>
      <c r="X6408">
        <v>831596</v>
      </c>
      <c r="Y6408" t="s">
        <v>38323</v>
      </c>
      <c r="Z6408" t="e">
        <f ca="1">- performed self test on C1 (Unable to Remove)
- Manually removed stuck cartridge
- checked _xludf.and cleaned cartridge bay, plunger rod, _xludf.filter
- generated reports</f>
        <v>#NAME?</v>
      </c>
      <c r="AA6408" t="s">
        <v>38823</v>
      </c>
      <c r="AB6408" t="s">
        <v>88</v>
      </c>
      <c r="AG6408" t="s">
        <v>38824</v>
      </c>
      <c r="AH6408" t="s">
        <v>23990</v>
      </c>
      <c r="AI6408" t="s">
        <v>38825</v>
      </c>
    </row>
    <row r="6409" spans="2:35" ht="285">
      <c r="B6409" s="1">
        <v>45204</v>
      </c>
      <c r="C6409" s="4">
        <v>45204.395833333336</v>
      </c>
      <c r="D6409" t="s">
        <v>38129</v>
      </c>
      <c r="E6409" t="s">
        <v>38826</v>
      </c>
      <c r="F6409">
        <v>6</v>
      </c>
      <c r="G6409" t="s">
        <v>1234</v>
      </c>
      <c r="H6409" t="s">
        <v>258</v>
      </c>
      <c r="I6409" t="s">
        <v>94</v>
      </c>
      <c r="J6409" s="2" t="s">
        <v>41</v>
      </c>
      <c r="K6409" t="s">
        <v>42</v>
      </c>
      <c r="L6409" t="s">
        <v>270</v>
      </c>
      <c r="Q6409">
        <v>26144</v>
      </c>
      <c r="R6409" t="s">
        <v>45</v>
      </c>
      <c r="S6409" t="s">
        <v>38131</v>
      </c>
      <c r="T6409">
        <v>20</v>
      </c>
      <c r="U6409" s="2" t="s">
        <v>7100</v>
      </c>
      <c r="W6409" t="s">
        <v>1292</v>
      </c>
      <c r="X6409">
        <v>838144</v>
      </c>
      <c r="Y6409" t="s">
        <v>38827</v>
      </c>
      <c r="Z6409" t="e">
        <f ca="1">- Preventive Maintenance (_xludf.filter Cleaning, module bay Cleaning, optic slots Cleaning, ARCHIVE tests, Backup _xludf.files)</f>
        <v>#NAME?</v>
      </c>
      <c r="AA6409" s="2" t="s">
        <v>38828</v>
      </c>
      <c r="AB6409" s="2" t="s">
        <v>38829</v>
      </c>
      <c r="AG6409" t="s">
        <v>38830</v>
      </c>
      <c r="AH6409" t="s">
        <v>38831</v>
      </c>
      <c r="AI6409" t="s">
        <v>38832</v>
      </c>
    </row>
    <row r="6410" spans="2:35" ht="165">
      <c r="B6410" s="1">
        <v>45204</v>
      </c>
      <c r="C6410" s="4">
        <v>45204.435416666667</v>
      </c>
      <c r="D6410" t="s">
        <v>4218</v>
      </c>
      <c r="E6410" t="s">
        <v>4219</v>
      </c>
      <c r="F6410">
        <v>3</v>
      </c>
      <c r="G6410" t="s">
        <v>1722</v>
      </c>
      <c r="H6410" t="s">
        <v>39</v>
      </c>
      <c r="I6410" t="s">
        <v>40</v>
      </c>
      <c r="J6410" s="2" t="s">
        <v>41</v>
      </c>
      <c r="K6410" t="s">
        <v>42</v>
      </c>
      <c r="L6410" t="s">
        <v>63</v>
      </c>
      <c r="Q6410">
        <v>26143</v>
      </c>
      <c r="R6410" t="s">
        <v>119</v>
      </c>
      <c r="S6410" t="s">
        <v>38833</v>
      </c>
      <c r="T6410">
        <v>27</v>
      </c>
      <c r="V6410" s="1">
        <v>45198</v>
      </c>
      <c r="W6410" t="s">
        <v>26915</v>
      </c>
      <c r="X6410">
        <v>831637</v>
      </c>
      <c r="Y6410" t="s">
        <v>6973</v>
      </c>
      <c r="Z6410" t="s">
        <v>9395</v>
      </c>
      <c r="AA6410" s="2" t="s">
        <v>1727</v>
      </c>
      <c r="AB6410" t="s">
        <v>70</v>
      </c>
      <c r="AC6410" t="s">
        <v>1716</v>
      </c>
      <c r="AD6410" t="s">
        <v>1859</v>
      </c>
      <c r="AE6410">
        <v>10702</v>
      </c>
      <c r="AG6410" t="s">
        <v>38834</v>
      </c>
      <c r="AH6410" t="s">
        <v>26856</v>
      </c>
      <c r="AI6410" t="s">
        <v>38835</v>
      </c>
    </row>
    <row r="6411" spans="2:35" ht="409.5">
      <c r="B6411" s="1">
        <v>45204</v>
      </c>
      <c r="C6411" s="4">
        <v>45204.37777777778</v>
      </c>
      <c r="D6411" t="s">
        <v>728</v>
      </c>
      <c r="E6411" t="s">
        <v>729</v>
      </c>
      <c r="F6411">
        <v>3</v>
      </c>
      <c r="G6411" t="s">
        <v>730</v>
      </c>
      <c r="H6411" t="s">
        <v>39</v>
      </c>
      <c r="I6411" t="s">
        <v>40</v>
      </c>
      <c r="J6411" s="2" t="s">
        <v>62</v>
      </c>
      <c r="K6411" t="s">
        <v>42</v>
      </c>
      <c r="L6411" t="s">
        <v>135</v>
      </c>
      <c r="N6411" t="s">
        <v>136</v>
      </c>
      <c r="O6411" t="s">
        <v>731</v>
      </c>
      <c r="Q6411">
        <v>26142</v>
      </c>
      <c r="R6411" t="s">
        <v>119</v>
      </c>
      <c r="S6411" t="s">
        <v>731</v>
      </c>
      <c r="T6411">
        <v>28</v>
      </c>
      <c r="U6411" s="2" t="s">
        <v>38836</v>
      </c>
      <c r="W6411" t="s">
        <v>2680</v>
      </c>
      <c r="X6411">
        <v>831721</v>
      </c>
      <c r="Y6411" t="s">
        <v>38837</v>
      </c>
      <c r="Z6411" t="s">
        <v>11518</v>
      </c>
      <c r="AA6411" s="2" t="s">
        <v>31375</v>
      </c>
      <c r="AB6411" s="2" t="s">
        <v>38838</v>
      </c>
      <c r="AC6411" t="s">
        <v>37232</v>
      </c>
      <c r="AG6411" t="s">
        <v>38839</v>
      </c>
      <c r="AH6411" t="s">
        <v>735</v>
      </c>
      <c r="AI6411" t="s">
        <v>38840</v>
      </c>
    </row>
    <row r="6412" spans="2:35" ht="360">
      <c r="B6412" s="1">
        <v>45204</v>
      </c>
      <c r="C6412" s="4">
        <v>45204.363888888889</v>
      </c>
      <c r="D6412" t="s">
        <v>16407</v>
      </c>
      <c r="E6412" t="s">
        <v>16408</v>
      </c>
      <c r="F6412">
        <v>7</v>
      </c>
      <c r="G6412" t="s">
        <v>432</v>
      </c>
      <c r="H6412" t="s">
        <v>2290</v>
      </c>
      <c r="I6412" t="s">
        <v>94</v>
      </c>
      <c r="J6412" s="2" t="s">
        <v>190</v>
      </c>
      <c r="K6412" t="s">
        <v>42</v>
      </c>
      <c r="L6412" t="s">
        <v>610</v>
      </c>
      <c r="Q6412">
        <v>26141</v>
      </c>
      <c r="R6412" t="s">
        <v>119</v>
      </c>
      <c r="S6412" t="s">
        <v>16409</v>
      </c>
      <c r="T6412">
        <v>28</v>
      </c>
      <c r="U6412" s="2" t="s">
        <v>17357</v>
      </c>
      <c r="W6412" t="s">
        <v>502</v>
      </c>
      <c r="X6412">
        <v>838513</v>
      </c>
      <c r="Y6412" t="s">
        <v>38841</v>
      </c>
      <c r="Z6412" s="2" t="s">
        <v>38842</v>
      </c>
      <c r="AA6412" s="2" t="s">
        <v>38843</v>
      </c>
      <c r="AB6412" t="s">
        <v>7411</v>
      </c>
      <c r="AG6412" t="s">
        <v>38844</v>
      </c>
      <c r="AH6412" t="s">
        <v>16414</v>
      </c>
      <c r="AI6412" t="s">
        <v>38845</v>
      </c>
    </row>
    <row r="6413" spans="2:35" ht="195">
      <c r="B6413" s="1">
        <v>45203</v>
      </c>
      <c r="C6413" s="4">
        <v>45203.601388888892</v>
      </c>
      <c r="D6413" t="s">
        <v>1731</v>
      </c>
      <c r="E6413" t="s">
        <v>38846</v>
      </c>
      <c r="F6413" t="s">
        <v>148</v>
      </c>
      <c r="G6413" t="s">
        <v>371</v>
      </c>
      <c r="H6413" t="s">
        <v>39</v>
      </c>
      <c r="I6413" t="s">
        <v>40</v>
      </c>
      <c r="J6413" s="2" t="s">
        <v>1309</v>
      </c>
      <c r="K6413" t="s">
        <v>42</v>
      </c>
      <c r="L6413" t="s">
        <v>175</v>
      </c>
      <c r="Q6413">
        <v>26140</v>
      </c>
      <c r="R6413" t="s">
        <v>45</v>
      </c>
      <c r="S6413" t="s">
        <v>32469</v>
      </c>
      <c r="T6413">
        <v>25</v>
      </c>
      <c r="U6413" s="2" t="s">
        <v>32014</v>
      </c>
      <c r="V6413" s="1">
        <v>45202</v>
      </c>
      <c r="W6413" t="s">
        <v>84</v>
      </c>
      <c r="X6413">
        <v>838873</v>
      </c>
      <c r="Y6413" s="2" t="s">
        <v>38847</v>
      </c>
      <c r="Z6413" t="e">
        <f ca="1">- replaced B3
- checked _xludf.and cleaned cartridge bay, plunger rod, _xludf.filter, icore
- performed XpertCheck except on B3
- generated reports</f>
        <v>#NAME?</v>
      </c>
      <c r="AA6413" s="2" t="s">
        <v>38848</v>
      </c>
      <c r="AB6413" s="2" t="s">
        <v>38849</v>
      </c>
      <c r="AD6413" s="2" t="s">
        <v>38850</v>
      </c>
      <c r="AE6413" t="s">
        <v>38851</v>
      </c>
      <c r="AG6413" t="s">
        <v>38852</v>
      </c>
      <c r="AH6413" t="s">
        <v>32475</v>
      </c>
      <c r="AI6413" t="s">
        <v>38853</v>
      </c>
    </row>
    <row r="6414" spans="2:35" ht="75">
      <c r="B6414" s="1">
        <v>45203</v>
      </c>
      <c r="C6414" s="4">
        <v>45203.492361111108</v>
      </c>
      <c r="D6414" t="s">
        <v>9185</v>
      </c>
      <c r="E6414" t="s">
        <v>38854</v>
      </c>
      <c r="F6414">
        <v>9</v>
      </c>
      <c r="G6414" t="s">
        <v>2197</v>
      </c>
      <c r="H6414" t="s">
        <v>39</v>
      </c>
      <c r="I6414" t="s">
        <v>40</v>
      </c>
      <c r="J6414" s="2" t="s">
        <v>18472</v>
      </c>
      <c r="K6414" t="s">
        <v>42</v>
      </c>
      <c r="L6414" t="s">
        <v>1257</v>
      </c>
      <c r="Q6414">
        <v>26139</v>
      </c>
      <c r="R6414" t="s">
        <v>119</v>
      </c>
      <c r="S6414" t="s">
        <v>9187</v>
      </c>
      <c r="T6414">
        <v>26</v>
      </c>
      <c r="V6414" s="1">
        <v>45161</v>
      </c>
      <c r="W6414" t="s">
        <v>2384</v>
      </c>
      <c r="X6414">
        <v>837664</v>
      </c>
      <c r="Y6414" t="s">
        <v>14904</v>
      </c>
      <c r="Z6414" t="s">
        <v>38855</v>
      </c>
      <c r="AA6414" t="s">
        <v>38856</v>
      </c>
      <c r="AB6414" t="s">
        <v>7411</v>
      </c>
      <c r="AC6414" t="s">
        <v>301</v>
      </c>
      <c r="AD6414" t="s">
        <v>38857</v>
      </c>
      <c r="AE6414" t="s">
        <v>38858</v>
      </c>
      <c r="AG6414" t="s">
        <v>38859</v>
      </c>
      <c r="AH6414" t="s">
        <v>38860</v>
      </c>
      <c r="AI6414" t="s">
        <v>38861</v>
      </c>
    </row>
    <row r="6415" spans="2:35" ht="240">
      <c r="B6415" s="1">
        <v>45203</v>
      </c>
      <c r="C6415" s="4">
        <v>45203.599305555559</v>
      </c>
      <c r="D6415" t="s">
        <v>2568</v>
      </c>
      <c r="E6415" t="s">
        <v>2569</v>
      </c>
      <c r="F6415" t="s">
        <v>148</v>
      </c>
      <c r="G6415" t="s">
        <v>447</v>
      </c>
      <c r="H6415" t="s">
        <v>2570</v>
      </c>
      <c r="I6415" t="s">
        <v>40</v>
      </c>
      <c r="J6415" t="s">
        <v>109</v>
      </c>
      <c r="K6415" t="s">
        <v>42</v>
      </c>
      <c r="L6415" t="s">
        <v>448</v>
      </c>
      <c r="Q6415">
        <v>26138</v>
      </c>
      <c r="R6415" t="s">
        <v>95</v>
      </c>
      <c r="S6415" t="s">
        <v>2808</v>
      </c>
      <c r="T6415">
        <v>28</v>
      </c>
      <c r="U6415" s="2" t="s">
        <v>38862</v>
      </c>
      <c r="W6415" t="s">
        <v>360</v>
      </c>
      <c r="X6415">
        <v>839234</v>
      </c>
      <c r="Y6415" t="s">
        <v>485</v>
      </c>
      <c r="Z6415" s="2" t="s">
        <v>38738</v>
      </c>
      <c r="AA6415" t="s">
        <v>6997</v>
      </c>
      <c r="AB6415" t="s">
        <v>38863</v>
      </c>
      <c r="AG6415" t="s">
        <v>38864</v>
      </c>
      <c r="AH6415" t="s">
        <v>38865</v>
      </c>
      <c r="AI6415" t="s">
        <v>38866</v>
      </c>
    </row>
    <row r="6416" spans="2:35" ht="165">
      <c r="B6416" s="1">
        <v>45203</v>
      </c>
      <c r="C6416" s="4">
        <v>45203.588194444441</v>
      </c>
      <c r="D6416" t="s">
        <v>27474</v>
      </c>
      <c r="E6416" t="s">
        <v>39</v>
      </c>
      <c r="F6416">
        <v>3</v>
      </c>
      <c r="G6416" t="s">
        <v>134</v>
      </c>
      <c r="H6416" t="s">
        <v>39</v>
      </c>
      <c r="I6416" t="s">
        <v>40</v>
      </c>
      <c r="J6416" s="2" t="s">
        <v>41</v>
      </c>
      <c r="K6416" t="s">
        <v>42</v>
      </c>
      <c r="L6416" t="s">
        <v>63</v>
      </c>
      <c r="Q6416">
        <v>26137</v>
      </c>
      <c r="R6416" t="s">
        <v>119</v>
      </c>
      <c r="S6416" t="s">
        <v>27476</v>
      </c>
      <c r="T6416">
        <v>29</v>
      </c>
      <c r="U6416" s="2" t="s">
        <v>7707</v>
      </c>
      <c r="V6416" s="1">
        <v>45198</v>
      </c>
      <c r="W6416" t="s">
        <v>26915</v>
      </c>
      <c r="X6416">
        <v>831873</v>
      </c>
      <c r="Y6416" t="s">
        <v>32385</v>
      </c>
      <c r="Z6416" t="s">
        <v>9395</v>
      </c>
      <c r="AA6416" s="2" t="s">
        <v>38867</v>
      </c>
      <c r="AB6416" t="s">
        <v>70</v>
      </c>
      <c r="AC6416" t="s">
        <v>54</v>
      </c>
      <c r="AD6416" t="s">
        <v>1859</v>
      </c>
      <c r="AE6416">
        <v>10701</v>
      </c>
      <c r="AG6416" t="s">
        <v>38868</v>
      </c>
      <c r="AH6416" t="s">
        <v>38869</v>
      </c>
      <c r="AI6416" t="s">
        <v>38870</v>
      </c>
    </row>
    <row r="6417" spans="2:35" ht="409.5">
      <c r="B6417" s="1">
        <v>45203</v>
      </c>
      <c r="C6417" s="4">
        <v>45203.578472222223</v>
      </c>
      <c r="D6417" t="s">
        <v>27519</v>
      </c>
      <c r="E6417" t="s">
        <v>9675</v>
      </c>
      <c r="F6417" t="s">
        <v>148</v>
      </c>
      <c r="G6417" t="s">
        <v>447</v>
      </c>
      <c r="H6417" t="s">
        <v>150</v>
      </c>
      <c r="I6417" t="s">
        <v>40</v>
      </c>
      <c r="J6417" t="s">
        <v>109</v>
      </c>
      <c r="K6417" t="s">
        <v>42</v>
      </c>
      <c r="L6417" t="s">
        <v>448</v>
      </c>
      <c r="Q6417">
        <v>26136</v>
      </c>
      <c r="R6417" t="s">
        <v>95</v>
      </c>
      <c r="S6417" t="s">
        <v>2808</v>
      </c>
      <c r="T6417">
        <v>29</v>
      </c>
      <c r="U6417" s="2" t="s">
        <v>38871</v>
      </c>
      <c r="W6417" t="s">
        <v>360</v>
      </c>
      <c r="X6417">
        <v>807155</v>
      </c>
      <c r="Y6417" t="s">
        <v>485</v>
      </c>
      <c r="Z6417" s="2" t="s">
        <v>38738</v>
      </c>
      <c r="AA6417" t="s">
        <v>6997</v>
      </c>
      <c r="AB6417" t="s">
        <v>486</v>
      </c>
      <c r="AG6417" t="s">
        <v>38872</v>
      </c>
      <c r="AH6417" t="s">
        <v>2814</v>
      </c>
      <c r="AI6417" t="s">
        <v>38873</v>
      </c>
    </row>
    <row r="6418" spans="2:35" ht="180">
      <c r="B6418" s="1">
        <v>45203</v>
      </c>
      <c r="C6418" s="4">
        <v>45203.569444444445</v>
      </c>
      <c r="D6418" t="s">
        <v>25184</v>
      </c>
      <c r="E6418" t="s">
        <v>25185</v>
      </c>
      <c r="F6418">
        <v>11</v>
      </c>
      <c r="G6418" t="s">
        <v>1205</v>
      </c>
      <c r="H6418" t="s">
        <v>202</v>
      </c>
      <c r="I6418" t="s">
        <v>40</v>
      </c>
      <c r="J6418" s="2" t="s">
        <v>190</v>
      </c>
      <c r="K6418" t="s">
        <v>42</v>
      </c>
      <c r="L6418" t="s">
        <v>204</v>
      </c>
      <c r="Q6418">
        <v>26135</v>
      </c>
      <c r="R6418" t="s">
        <v>45</v>
      </c>
      <c r="S6418" t="s">
        <v>25186</v>
      </c>
      <c r="T6418">
        <v>25.8</v>
      </c>
      <c r="U6418" s="2" t="s">
        <v>38874</v>
      </c>
      <c r="W6418" t="s">
        <v>23237</v>
      </c>
      <c r="X6418">
        <v>838865</v>
      </c>
      <c r="Y6418" t="s">
        <v>38875</v>
      </c>
      <c r="Z6418" t="s">
        <v>38876</v>
      </c>
      <c r="AA6418" t="s">
        <v>25174</v>
      </c>
      <c r="AB6418" t="s">
        <v>38877</v>
      </c>
      <c r="AG6418" t="s">
        <v>38878</v>
      </c>
      <c r="AH6418" t="s">
        <v>38879</v>
      </c>
      <c r="AI6418" t="s">
        <v>38880</v>
      </c>
    </row>
    <row r="6419" spans="2:35" ht="409.5">
      <c r="B6419" s="1">
        <v>45203</v>
      </c>
      <c r="C6419" s="4">
        <v>45203.538194444445</v>
      </c>
      <c r="D6419" t="s">
        <v>2327</v>
      </c>
      <c r="E6419" t="s">
        <v>38881</v>
      </c>
      <c r="F6419">
        <v>7</v>
      </c>
      <c r="G6419" t="s">
        <v>432</v>
      </c>
      <c r="H6419" t="s">
        <v>608</v>
      </c>
      <c r="I6419" t="s">
        <v>94</v>
      </c>
      <c r="J6419" s="2" t="s">
        <v>190</v>
      </c>
      <c r="K6419" t="s">
        <v>42</v>
      </c>
      <c r="L6419" t="s">
        <v>610</v>
      </c>
      <c r="Q6419">
        <v>26134</v>
      </c>
      <c r="R6419" t="s">
        <v>119</v>
      </c>
      <c r="S6419" t="s">
        <v>38882</v>
      </c>
      <c r="T6419">
        <v>26</v>
      </c>
      <c r="U6419" s="2" t="s">
        <v>37783</v>
      </c>
      <c r="W6419" t="s">
        <v>502</v>
      </c>
      <c r="X6419">
        <v>838506</v>
      </c>
      <c r="Y6419" t="s">
        <v>38883</v>
      </c>
      <c r="Z6419" s="2" t="s">
        <v>38884</v>
      </c>
      <c r="AA6419" s="2" t="s">
        <v>38885</v>
      </c>
      <c r="AB6419" s="2" t="s">
        <v>38886</v>
      </c>
      <c r="AG6419" t="s">
        <v>38887</v>
      </c>
      <c r="AH6419" t="s">
        <v>38888</v>
      </c>
      <c r="AI6419" t="s">
        <v>38889</v>
      </c>
    </row>
    <row r="6420" spans="2:35" ht="300">
      <c r="B6420" s="1">
        <v>45203</v>
      </c>
      <c r="C6420" s="4">
        <v>45203.53402777778</v>
      </c>
      <c r="D6420" t="s">
        <v>24061</v>
      </c>
      <c r="E6420" t="s">
        <v>24062</v>
      </c>
      <c r="F6420">
        <v>6</v>
      </c>
      <c r="G6420" t="s">
        <v>1286</v>
      </c>
      <c r="H6420" t="s">
        <v>10969</v>
      </c>
      <c r="I6420" t="s">
        <v>40</v>
      </c>
      <c r="J6420" s="2" t="s">
        <v>190</v>
      </c>
      <c r="K6420" t="s">
        <v>42</v>
      </c>
      <c r="L6420" t="s">
        <v>1288</v>
      </c>
      <c r="Q6420">
        <v>26133</v>
      </c>
      <c r="R6420" t="s">
        <v>45</v>
      </c>
      <c r="S6420" t="s">
        <v>24063</v>
      </c>
      <c r="T6420">
        <v>29</v>
      </c>
      <c r="U6420" s="2" t="s">
        <v>38890</v>
      </c>
      <c r="W6420" t="s">
        <v>1292</v>
      </c>
      <c r="X6420">
        <v>815279</v>
      </c>
      <c r="Y6420" t="s">
        <v>38891</v>
      </c>
      <c r="Z6420" t="e">
        <f ca="1">-COLLECT IQR, system _xludf.Log, _xludf.and ARCHIVE</f>
        <v>#NAME?</v>
      </c>
      <c r="AA6420" s="2" t="s">
        <v>38892</v>
      </c>
      <c r="AB6420" t="s">
        <v>1293</v>
      </c>
      <c r="AC6420" t="s">
        <v>16602</v>
      </c>
      <c r="AG6420" t="s">
        <v>38893</v>
      </c>
      <c r="AH6420" t="s">
        <v>24067</v>
      </c>
      <c r="AI6420" t="s">
        <v>38894</v>
      </c>
    </row>
    <row r="6421" spans="2:35" ht="300">
      <c r="B6421" s="1">
        <v>45203</v>
      </c>
      <c r="C6421" s="4">
        <v>45203.527083333334</v>
      </c>
      <c r="D6421" t="s">
        <v>660</v>
      </c>
      <c r="E6421" t="s">
        <v>9675</v>
      </c>
      <c r="F6421" t="s">
        <v>148</v>
      </c>
      <c r="G6421" t="s">
        <v>447</v>
      </c>
      <c r="H6421" t="s">
        <v>39</v>
      </c>
      <c r="I6421" t="s">
        <v>40</v>
      </c>
      <c r="J6421" t="s">
        <v>79</v>
      </c>
      <c r="K6421" t="s">
        <v>387</v>
      </c>
      <c r="L6421" t="s">
        <v>448</v>
      </c>
      <c r="Q6421">
        <v>26132</v>
      </c>
      <c r="R6421" t="s">
        <v>322</v>
      </c>
      <c r="S6421" t="s">
        <v>9610</v>
      </c>
      <c r="T6421">
        <v>28</v>
      </c>
      <c r="V6421" s="1">
        <v>45196</v>
      </c>
      <c r="W6421" t="s">
        <v>476</v>
      </c>
      <c r="X6421" t="s">
        <v>5906</v>
      </c>
      <c r="Y6421" t="s">
        <v>38895</v>
      </c>
      <c r="Z6421" s="2" t="s">
        <v>38896</v>
      </c>
      <c r="AA6421" t="s">
        <v>9749</v>
      </c>
      <c r="AB6421" t="s">
        <v>4741</v>
      </c>
      <c r="AD6421" t="s">
        <v>38897</v>
      </c>
      <c r="AE6421">
        <v>10693</v>
      </c>
      <c r="AG6421" t="s">
        <v>38898</v>
      </c>
      <c r="AH6421" t="s">
        <v>38899</v>
      </c>
      <c r="AI6421" t="s">
        <v>38900</v>
      </c>
    </row>
    <row r="6422" spans="2:35" ht="165">
      <c r="B6422" s="1">
        <v>45203</v>
      </c>
      <c r="C6422" s="4">
        <v>45203.501388888886</v>
      </c>
      <c r="D6422" t="s">
        <v>24517</v>
      </c>
      <c r="E6422" t="s">
        <v>27680</v>
      </c>
      <c r="F6422">
        <v>3</v>
      </c>
      <c r="G6422" t="s">
        <v>1722</v>
      </c>
      <c r="H6422" t="s">
        <v>39</v>
      </c>
      <c r="I6422" t="s">
        <v>40</v>
      </c>
      <c r="J6422" s="2" t="s">
        <v>62</v>
      </c>
      <c r="K6422" t="s">
        <v>42</v>
      </c>
      <c r="L6422" t="s">
        <v>63</v>
      </c>
      <c r="Q6422">
        <v>26131</v>
      </c>
      <c r="R6422" t="s">
        <v>45</v>
      </c>
      <c r="S6422" t="s">
        <v>11499</v>
      </c>
      <c r="T6422">
        <v>24</v>
      </c>
      <c r="V6422" s="1">
        <v>45203</v>
      </c>
      <c r="W6422" t="s">
        <v>26915</v>
      </c>
      <c r="X6422">
        <v>834445</v>
      </c>
      <c r="Y6422" t="s">
        <v>1716</v>
      </c>
      <c r="Z6422" t="s">
        <v>1716</v>
      </c>
      <c r="AA6422" s="2" t="s">
        <v>1727</v>
      </c>
      <c r="AB6422" t="s">
        <v>70</v>
      </c>
      <c r="AC6422" t="s">
        <v>38901</v>
      </c>
      <c r="AD6422" t="s">
        <v>948</v>
      </c>
      <c r="AE6422" t="s">
        <v>1716</v>
      </c>
      <c r="AG6422" t="s">
        <v>38902</v>
      </c>
      <c r="AH6422" t="s">
        <v>38903</v>
      </c>
      <c r="AI6422" t="s">
        <v>38904</v>
      </c>
    </row>
    <row r="6423" spans="2:35" ht="210">
      <c r="B6423" s="1">
        <v>45203</v>
      </c>
      <c r="C6423" s="4">
        <v>45203.455555555556</v>
      </c>
      <c r="D6423" t="s">
        <v>4795</v>
      </c>
      <c r="E6423" t="s">
        <v>9712</v>
      </c>
      <c r="F6423">
        <v>10</v>
      </c>
      <c r="G6423" t="s">
        <v>2392</v>
      </c>
      <c r="H6423" t="s">
        <v>22505</v>
      </c>
      <c r="I6423" t="s">
        <v>94</v>
      </c>
      <c r="J6423" s="2" t="s">
        <v>41</v>
      </c>
      <c r="K6423" t="s">
        <v>42</v>
      </c>
      <c r="L6423" t="s">
        <v>343</v>
      </c>
      <c r="Q6423">
        <v>26130</v>
      </c>
      <c r="R6423" t="s">
        <v>45</v>
      </c>
      <c r="S6423" t="s">
        <v>4797</v>
      </c>
      <c r="T6423">
        <v>22</v>
      </c>
      <c r="U6423" s="2" t="s">
        <v>38905</v>
      </c>
      <c r="V6423" s="1">
        <v>45203</v>
      </c>
      <c r="W6423" t="s">
        <v>6105</v>
      </c>
      <c r="X6423">
        <v>805090</v>
      </c>
      <c r="Y6423" t="s">
        <v>38906</v>
      </c>
      <c r="Z6423" t="s">
        <v>38907</v>
      </c>
      <c r="AA6423" t="e">
        <f ca="1">-Preventive Maintenance
-module Replacement</f>
        <v>#NAME?</v>
      </c>
      <c r="AB6423" t="s">
        <v>9638</v>
      </c>
      <c r="AD6423" t="s">
        <v>31932</v>
      </c>
      <c r="AE6423" t="s">
        <v>45</v>
      </c>
      <c r="AG6423" t="s">
        <v>38908</v>
      </c>
      <c r="AH6423" t="s">
        <v>4802</v>
      </c>
      <c r="AI6423" t="s">
        <v>38909</v>
      </c>
    </row>
    <row r="6424" spans="2:35" ht="330">
      <c r="B6424" s="1">
        <v>45203</v>
      </c>
      <c r="C6424" s="4">
        <v>45203.450694444444</v>
      </c>
      <c r="D6424" t="s">
        <v>4795</v>
      </c>
      <c r="E6424" t="s">
        <v>9712</v>
      </c>
      <c r="F6424">
        <v>10</v>
      </c>
      <c r="G6424" t="s">
        <v>2392</v>
      </c>
      <c r="H6424" t="s">
        <v>22505</v>
      </c>
      <c r="I6424" t="s">
        <v>94</v>
      </c>
      <c r="J6424" s="2" t="s">
        <v>41</v>
      </c>
      <c r="K6424" t="s">
        <v>42</v>
      </c>
      <c r="L6424" t="s">
        <v>343</v>
      </c>
      <c r="Q6424">
        <v>26129</v>
      </c>
      <c r="R6424" t="s">
        <v>45</v>
      </c>
      <c r="S6424" t="s">
        <v>4797</v>
      </c>
      <c r="T6424">
        <v>24</v>
      </c>
      <c r="U6424" s="2" t="s">
        <v>38905</v>
      </c>
      <c r="V6424" s="1">
        <v>45203</v>
      </c>
      <c r="W6424" t="s">
        <v>38910</v>
      </c>
      <c r="X6424">
        <v>707842</v>
      </c>
      <c r="Y6424" t="s">
        <v>38911</v>
      </c>
      <c r="Z6424" s="2" t="s">
        <v>38912</v>
      </c>
      <c r="AA6424" t="e">
        <f ca="1">-Preventive Maintenance
-module Replacement</f>
        <v>#NAME?</v>
      </c>
      <c r="AB6424" t="s">
        <v>9638</v>
      </c>
      <c r="AD6424" t="s">
        <v>35568</v>
      </c>
      <c r="AE6424" t="s">
        <v>45</v>
      </c>
      <c r="AG6424" t="s">
        <v>38913</v>
      </c>
      <c r="AH6424" t="s">
        <v>4802</v>
      </c>
      <c r="AI6424" t="s">
        <v>38914</v>
      </c>
    </row>
    <row r="6425" spans="2:35">
      <c r="B6425" s="1">
        <v>45203</v>
      </c>
      <c r="C6425" s="4">
        <v>45203.413194444445</v>
      </c>
      <c r="D6425" t="s">
        <v>4694</v>
      </c>
      <c r="E6425" t="s">
        <v>13697</v>
      </c>
      <c r="F6425">
        <v>12</v>
      </c>
      <c r="G6425" t="s">
        <v>2137</v>
      </c>
      <c r="H6425" t="s">
        <v>5391</v>
      </c>
      <c r="I6425" t="s">
        <v>40</v>
      </c>
      <c r="J6425" t="s">
        <v>109</v>
      </c>
      <c r="K6425" t="s">
        <v>42</v>
      </c>
      <c r="L6425" t="s">
        <v>296</v>
      </c>
      <c r="Q6425">
        <v>26128</v>
      </c>
      <c r="R6425" t="s">
        <v>119</v>
      </c>
      <c r="S6425" t="s">
        <v>38915</v>
      </c>
      <c r="T6425">
        <v>28.4</v>
      </c>
      <c r="W6425" t="s">
        <v>23049</v>
      </c>
      <c r="X6425">
        <v>838545</v>
      </c>
      <c r="Y6425" t="s">
        <v>54</v>
      </c>
      <c r="Z6425" t="s">
        <v>9161</v>
      </c>
      <c r="AA6425" t="s">
        <v>9161</v>
      </c>
      <c r="AB6425" t="s">
        <v>972</v>
      </c>
      <c r="AG6425" t="s">
        <v>38916</v>
      </c>
      <c r="AH6425" t="s">
        <v>38917</v>
      </c>
      <c r="AI6425" t="s">
        <v>38918</v>
      </c>
    </row>
    <row r="6426" spans="2:35" ht="240">
      <c r="B6426" s="1">
        <v>45203</v>
      </c>
      <c r="C6426" s="4">
        <v>45203.394444444442</v>
      </c>
      <c r="D6426" t="s">
        <v>12198</v>
      </c>
      <c r="E6426" t="s">
        <v>38919</v>
      </c>
      <c r="F6426" t="s">
        <v>148</v>
      </c>
      <c r="G6426" t="s">
        <v>310</v>
      </c>
      <c r="H6426" t="s">
        <v>61</v>
      </c>
      <c r="I6426" t="s">
        <v>40</v>
      </c>
      <c r="J6426" s="2" t="s">
        <v>1808</v>
      </c>
      <c r="K6426" t="s">
        <v>42</v>
      </c>
      <c r="L6426" t="s">
        <v>1943</v>
      </c>
      <c r="N6426" t="s">
        <v>1944</v>
      </c>
      <c r="Q6426">
        <v>26127</v>
      </c>
      <c r="R6426" t="s">
        <v>322</v>
      </c>
      <c r="S6426" t="s">
        <v>38803</v>
      </c>
      <c r="T6426">
        <v>25</v>
      </c>
      <c r="U6426" s="2" t="s">
        <v>1509</v>
      </c>
      <c r="W6426" t="s">
        <v>895</v>
      </c>
      <c r="X6426">
        <v>844975</v>
      </c>
      <c r="Y6426" s="2" t="s">
        <v>38920</v>
      </c>
      <c r="Z6426" s="2" t="s">
        <v>38921</v>
      </c>
      <c r="AA6426" t="s">
        <v>38922</v>
      </c>
      <c r="AB6426" t="s">
        <v>38923</v>
      </c>
      <c r="AG6426" t="s">
        <v>38924</v>
      </c>
      <c r="AH6426" t="s">
        <v>20377</v>
      </c>
      <c r="AI6426" t="s">
        <v>38925</v>
      </c>
    </row>
    <row r="6427" spans="2:35" ht="330">
      <c r="B6427" s="1">
        <v>45203</v>
      </c>
      <c r="C6427" s="4">
        <v>45203.367361111108</v>
      </c>
      <c r="D6427" t="s">
        <v>132</v>
      </c>
      <c r="E6427" t="s">
        <v>27259</v>
      </c>
      <c r="F6427">
        <v>3</v>
      </c>
      <c r="G6427" t="s">
        <v>134</v>
      </c>
      <c r="H6427" t="s">
        <v>39</v>
      </c>
      <c r="I6427" t="s">
        <v>40</v>
      </c>
      <c r="J6427" s="2" t="s">
        <v>41</v>
      </c>
      <c r="K6427" t="s">
        <v>42</v>
      </c>
      <c r="L6427" t="s">
        <v>135</v>
      </c>
      <c r="Q6427">
        <v>26126</v>
      </c>
      <c r="R6427" t="s">
        <v>119</v>
      </c>
      <c r="S6427" t="s">
        <v>137</v>
      </c>
      <c r="T6427">
        <v>30</v>
      </c>
      <c r="U6427" s="2" t="s">
        <v>38926</v>
      </c>
      <c r="V6427" s="1">
        <v>45197</v>
      </c>
      <c r="W6427" t="s">
        <v>2680</v>
      </c>
      <c r="X6427">
        <v>831900</v>
      </c>
      <c r="Y6427" s="2" t="s">
        <v>38927</v>
      </c>
      <c r="Z6427" s="2" t="s">
        <v>38928</v>
      </c>
      <c r="AA6427" s="2" t="s">
        <v>38929</v>
      </c>
      <c r="AB6427" t="s">
        <v>181</v>
      </c>
      <c r="AD6427" t="s">
        <v>22730</v>
      </c>
      <c r="AE6427">
        <v>10695</v>
      </c>
      <c r="AG6427" t="s">
        <v>38930</v>
      </c>
      <c r="AH6427" t="s">
        <v>27265</v>
      </c>
      <c r="AI6427" t="s">
        <v>38931</v>
      </c>
    </row>
    <row r="6428" spans="2:35" ht="180">
      <c r="B6428" s="1">
        <v>45203</v>
      </c>
      <c r="C6428" s="4">
        <v>45203.320833333331</v>
      </c>
      <c r="D6428" t="s">
        <v>1071</v>
      </c>
      <c r="E6428" t="s">
        <v>38932</v>
      </c>
      <c r="F6428">
        <v>7</v>
      </c>
      <c r="G6428" t="s">
        <v>432</v>
      </c>
      <c r="H6428" t="s">
        <v>38933</v>
      </c>
      <c r="I6428" t="s">
        <v>94</v>
      </c>
      <c r="J6428" s="2" t="s">
        <v>760</v>
      </c>
      <c r="K6428" t="s">
        <v>387</v>
      </c>
      <c r="L6428" t="s">
        <v>610</v>
      </c>
      <c r="Q6428">
        <v>26125</v>
      </c>
      <c r="R6428" t="s">
        <v>95</v>
      </c>
      <c r="S6428" t="s">
        <v>38934</v>
      </c>
      <c r="T6428">
        <v>24</v>
      </c>
      <c r="W6428" t="s">
        <v>390</v>
      </c>
      <c r="X6428" t="s">
        <v>1074</v>
      </c>
      <c r="Y6428" t="s">
        <v>38935</v>
      </c>
      <c r="Z6428" s="2" t="s">
        <v>38936</v>
      </c>
      <c r="AA6428" t="s">
        <v>38937</v>
      </c>
      <c r="AB6428" t="s">
        <v>38938</v>
      </c>
      <c r="AG6428" t="s">
        <v>38939</v>
      </c>
      <c r="AH6428" t="s">
        <v>38940</v>
      </c>
      <c r="AI6428" t="s">
        <v>38941</v>
      </c>
    </row>
    <row r="6429" spans="2:35" ht="195">
      <c r="B6429" s="1">
        <v>45202</v>
      </c>
      <c r="C6429" s="4">
        <v>45202.685416666667</v>
      </c>
      <c r="D6429" t="s">
        <v>9204</v>
      </c>
      <c r="E6429" t="s">
        <v>1298</v>
      </c>
      <c r="F6429">
        <v>6</v>
      </c>
      <c r="G6429" t="s">
        <v>1286</v>
      </c>
      <c r="H6429" t="s">
        <v>10969</v>
      </c>
      <c r="I6429" t="s">
        <v>40</v>
      </c>
      <c r="J6429" s="2" t="s">
        <v>41</v>
      </c>
      <c r="K6429" t="s">
        <v>42</v>
      </c>
      <c r="L6429" t="s">
        <v>1288</v>
      </c>
      <c r="Q6429">
        <v>26124</v>
      </c>
      <c r="R6429" t="s">
        <v>45</v>
      </c>
      <c r="S6429" t="s">
        <v>22494</v>
      </c>
      <c r="T6429">
        <v>26</v>
      </c>
      <c r="U6429" s="2" t="s">
        <v>38942</v>
      </c>
      <c r="W6429" t="s">
        <v>1292</v>
      </c>
      <c r="X6429">
        <v>707531</v>
      </c>
      <c r="Y6429" t="s">
        <v>38943</v>
      </c>
      <c r="Z6429" t="s">
        <v>9107</v>
      </c>
      <c r="AA6429" s="2" t="s">
        <v>38944</v>
      </c>
      <c r="AB6429" t="s">
        <v>1293</v>
      </c>
      <c r="AC6429" t="s">
        <v>38945</v>
      </c>
      <c r="AG6429" t="s">
        <v>38946</v>
      </c>
      <c r="AH6429" t="s">
        <v>38947</v>
      </c>
      <c r="AI6429" t="s">
        <v>38948</v>
      </c>
    </row>
    <row r="6430" spans="2:35" ht="195">
      <c r="B6430" s="1">
        <v>45202</v>
      </c>
      <c r="C6430" s="4">
        <v>45202.675694444442</v>
      </c>
      <c r="D6430" t="s">
        <v>9204</v>
      </c>
      <c r="E6430" t="s">
        <v>1298</v>
      </c>
      <c r="F6430">
        <v>6</v>
      </c>
      <c r="G6430" t="s">
        <v>1286</v>
      </c>
      <c r="H6430" t="s">
        <v>10969</v>
      </c>
      <c r="I6430" t="s">
        <v>40</v>
      </c>
      <c r="J6430" s="2" t="s">
        <v>41</v>
      </c>
      <c r="K6430" t="s">
        <v>42</v>
      </c>
      <c r="L6430" t="s">
        <v>1288</v>
      </c>
      <c r="Q6430">
        <v>26123</v>
      </c>
      <c r="R6430" t="s">
        <v>45</v>
      </c>
      <c r="S6430" t="s">
        <v>22494</v>
      </c>
      <c r="T6430">
        <v>26</v>
      </c>
      <c r="U6430" s="2" t="s">
        <v>38942</v>
      </c>
      <c r="W6430" t="s">
        <v>1292</v>
      </c>
      <c r="X6430">
        <v>804699</v>
      </c>
      <c r="Y6430" t="s">
        <v>25383</v>
      </c>
      <c r="Z6430" t="e">
        <f ca="1">-COLLECT IQR, system _xludf.Log, _xludf.and ARCHIVE</f>
        <v>#NAME?</v>
      </c>
      <c r="AA6430" s="2" t="s">
        <v>38949</v>
      </c>
      <c r="AB6430" t="s">
        <v>1293</v>
      </c>
      <c r="AG6430" t="s">
        <v>38950</v>
      </c>
      <c r="AH6430" t="s">
        <v>38947</v>
      </c>
      <c r="AI6430" t="s">
        <v>38951</v>
      </c>
    </row>
    <row r="6431" spans="2:35" ht="105">
      <c r="B6431" s="1">
        <v>45202</v>
      </c>
      <c r="C6431" s="4">
        <v>45202.643055555556</v>
      </c>
      <c r="D6431" t="s">
        <v>4663</v>
      </c>
      <c r="E6431" t="s">
        <v>4664</v>
      </c>
      <c r="F6431">
        <v>6</v>
      </c>
      <c r="G6431" t="s">
        <v>4457</v>
      </c>
      <c r="H6431" t="s">
        <v>258</v>
      </c>
      <c r="I6431" t="s">
        <v>40</v>
      </c>
      <c r="J6431" s="2" t="s">
        <v>62</v>
      </c>
      <c r="K6431" t="s">
        <v>42</v>
      </c>
      <c r="L6431" t="s">
        <v>23958</v>
      </c>
      <c r="Q6431">
        <v>26122</v>
      </c>
      <c r="R6431" t="s">
        <v>119</v>
      </c>
      <c r="S6431" t="s">
        <v>8146</v>
      </c>
      <c r="T6431">
        <v>25</v>
      </c>
      <c r="U6431" s="2" t="s">
        <v>38952</v>
      </c>
      <c r="W6431" t="s">
        <v>3662</v>
      </c>
      <c r="X6431">
        <v>838458</v>
      </c>
      <c r="Y6431" t="s">
        <v>38953</v>
      </c>
      <c r="Z6431" t="s">
        <v>3128</v>
      </c>
      <c r="AA6431" t="s">
        <v>38954</v>
      </c>
      <c r="AB6431" t="s">
        <v>38955</v>
      </c>
      <c r="AG6431" t="s">
        <v>38956</v>
      </c>
      <c r="AH6431" t="s">
        <v>17649</v>
      </c>
      <c r="AI6431" t="s">
        <v>38957</v>
      </c>
    </row>
    <row r="6432" spans="2:35" ht="270">
      <c r="B6432" s="1">
        <v>45202</v>
      </c>
      <c r="C6432" s="4">
        <v>45197.488888888889</v>
      </c>
      <c r="D6432" t="s">
        <v>38958</v>
      </c>
      <c r="E6432" t="s">
        <v>38647</v>
      </c>
      <c r="F6432" t="s">
        <v>148</v>
      </c>
      <c r="G6432" t="s">
        <v>406</v>
      </c>
      <c r="H6432" t="s">
        <v>39</v>
      </c>
      <c r="I6432" t="s">
        <v>40</v>
      </c>
      <c r="J6432" s="2" t="s">
        <v>190</v>
      </c>
      <c r="K6432" t="s">
        <v>42</v>
      </c>
      <c r="L6432" t="s">
        <v>43</v>
      </c>
      <c r="Q6432">
        <v>26121</v>
      </c>
      <c r="R6432" t="s">
        <v>45</v>
      </c>
      <c r="S6432" t="s">
        <v>797</v>
      </c>
      <c r="T6432">
        <v>25</v>
      </c>
      <c r="W6432" t="s">
        <v>48</v>
      </c>
      <c r="X6432">
        <v>807452</v>
      </c>
      <c r="Y6432" t="s">
        <v>38959</v>
      </c>
      <c r="Z6432" t="s">
        <v>38960</v>
      </c>
      <c r="AA6432" s="2" t="s">
        <v>38961</v>
      </c>
      <c r="AB6432" t="s">
        <v>16412</v>
      </c>
      <c r="AG6432" t="s">
        <v>38962</v>
      </c>
      <c r="AH6432" t="s">
        <v>38963</v>
      </c>
      <c r="AI6432" t="s">
        <v>38964</v>
      </c>
    </row>
    <row r="6433" spans="2:35" ht="255">
      <c r="B6433" s="1">
        <v>45202</v>
      </c>
      <c r="C6433" s="4">
        <v>45202.657638888886</v>
      </c>
      <c r="D6433" t="s">
        <v>28489</v>
      </c>
      <c r="E6433" t="s">
        <v>38653</v>
      </c>
      <c r="F6433" t="s">
        <v>148</v>
      </c>
      <c r="G6433" t="s">
        <v>2007</v>
      </c>
      <c r="H6433" t="s">
        <v>39</v>
      </c>
      <c r="I6433" t="s">
        <v>40</v>
      </c>
      <c r="J6433" s="2" t="s">
        <v>190</v>
      </c>
      <c r="K6433" t="s">
        <v>42</v>
      </c>
      <c r="L6433" t="s">
        <v>43</v>
      </c>
      <c r="Q6433">
        <v>26120</v>
      </c>
      <c r="R6433" t="s">
        <v>1268</v>
      </c>
      <c r="S6433" t="s">
        <v>28491</v>
      </c>
      <c r="T6433">
        <v>24</v>
      </c>
      <c r="U6433" s="2" t="s">
        <v>38965</v>
      </c>
      <c r="W6433" t="s">
        <v>12868</v>
      </c>
      <c r="X6433">
        <v>110004816</v>
      </c>
      <c r="Y6433" t="s">
        <v>38966</v>
      </c>
      <c r="Z6433" t="s">
        <v>38967</v>
      </c>
      <c r="AA6433" s="2" t="s">
        <v>38968</v>
      </c>
      <c r="AB6433" t="s">
        <v>88</v>
      </c>
      <c r="AG6433" t="s">
        <v>38969</v>
      </c>
      <c r="AH6433" t="s">
        <v>38658</v>
      </c>
      <c r="AI6433" t="s">
        <v>38970</v>
      </c>
    </row>
    <row r="6434" spans="2:35" ht="240">
      <c r="B6434" s="1">
        <v>45202</v>
      </c>
      <c r="C6434" s="4">
        <v>45202.580555555556</v>
      </c>
      <c r="D6434" t="s">
        <v>31187</v>
      </c>
      <c r="E6434" t="s">
        <v>37696</v>
      </c>
      <c r="F6434">
        <v>13</v>
      </c>
      <c r="G6434" t="s">
        <v>8524</v>
      </c>
      <c r="H6434" t="s">
        <v>202</v>
      </c>
      <c r="I6434" t="s">
        <v>40</v>
      </c>
      <c r="J6434" s="2" t="s">
        <v>760</v>
      </c>
      <c r="K6434" t="s">
        <v>42</v>
      </c>
      <c r="L6434" t="s">
        <v>933</v>
      </c>
      <c r="Q6434">
        <v>26119</v>
      </c>
      <c r="R6434" t="s">
        <v>45</v>
      </c>
      <c r="S6434" t="s">
        <v>37697</v>
      </c>
      <c r="T6434">
        <v>25</v>
      </c>
      <c r="W6434" t="s">
        <v>3662</v>
      </c>
      <c r="X6434">
        <v>804255</v>
      </c>
      <c r="Y6434" s="2" t="s">
        <v>38971</v>
      </c>
      <c r="Z6434" t="s">
        <v>301</v>
      </c>
      <c r="AA6434" s="2" t="s">
        <v>38972</v>
      </c>
      <c r="AB6434" t="s">
        <v>38973</v>
      </c>
      <c r="AC6434" t="s">
        <v>38974</v>
      </c>
      <c r="AG6434" t="s">
        <v>38975</v>
      </c>
      <c r="AH6434" t="s">
        <v>33738</v>
      </c>
      <c r="AI6434" t="s">
        <v>38976</v>
      </c>
    </row>
    <row r="6435" spans="2:35" ht="45">
      <c r="B6435" s="1">
        <v>45202</v>
      </c>
      <c r="C6435" s="4">
        <v>45202.636111111111</v>
      </c>
      <c r="D6435" t="s">
        <v>3853</v>
      </c>
      <c r="E6435" t="s">
        <v>4714</v>
      </c>
      <c r="F6435">
        <v>12</v>
      </c>
      <c r="G6435" t="s">
        <v>2137</v>
      </c>
      <c r="H6435" t="s">
        <v>5391</v>
      </c>
      <c r="I6435" t="s">
        <v>94</v>
      </c>
      <c r="J6435" s="2" t="s">
        <v>41</v>
      </c>
      <c r="K6435" t="s">
        <v>42</v>
      </c>
      <c r="L6435" t="s">
        <v>296</v>
      </c>
      <c r="Q6435">
        <v>26118</v>
      </c>
      <c r="R6435" t="s">
        <v>45</v>
      </c>
      <c r="S6435" t="s">
        <v>38977</v>
      </c>
      <c r="T6435">
        <v>25.7</v>
      </c>
      <c r="V6435" s="1">
        <v>45202</v>
      </c>
      <c r="W6435" t="s">
        <v>23049</v>
      </c>
      <c r="X6435">
        <v>807615</v>
      </c>
      <c r="Y6435" t="s">
        <v>38978</v>
      </c>
      <c r="Z6435" t="s">
        <v>9161</v>
      </c>
      <c r="AA6435" t="s">
        <v>38979</v>
      </c>
      <c r="AB6435" t="s">
        <v>972</v>
      </c>
      <c r="AD6435" t="s">
        <v>38980</v>
      </c>
      <c r="AE6435" t="s">
        <v>19700</v>
      </c>
      <c r="AG6435" t="s">
        <v>38981</v>
      </c>
      <c r="AH6435" t="s">
        <v>38982</v>
      </c>
      <c r="AI6435" t="s">
        <v>38983</v>
      </c>
    </row>
    <row r="6436" spans="2:35" ht="255">
      <c r="B6436" s="1">
        <v>45202</v>
      </c>
      <c r="C6436" s="4">
        <v>45202.561805555553</v>
      </c>
      <c r="D6436" t="s">
        <v>38984</v>
      </c>
      <c r="E6436" t="s">
        <v>22556</v>
      </c>
      <c r="F6436">
        <v>3</v>
      </c>
      <c r="G6436" t="s">
        <v>219</v>
      </c>
      <c r="H6436" t="s">
        <v>39</v>
      </c>
      <c r="I6436" t="s">
        <v>40</v>
      </c>
      <c r="J6436" s="2" t="s">
        <v>41</v>
      </c>
      <c r="K6436" t="s">
        <v>42</v>
      </c>
      <c r="L6436" t="s">
        <v>135</v>
      </c>
      <c r="Q6436">
        <v>26117</v>
      </c>
      <c r="R6436" t="s">
        <v>45</v>
      </c>
      <c r="S6436" t="s">
        <v>12507</v>
      </c>
      <c r="T6436">
        <v>30</v>
      </c>
      <c r="U6436" s="2" t="s">
        <v>38985</v>
      </c>
      <c r="V6436" s="1">
        <v>45191</v>
      </c>
      <c r="W6436" t="s">
        <v>2680</v>
      </c>
      <c r="X6436">
        <v>834622</v>
      </c>
      <c r="Y6436" t="s">
        <v>38986</v>
      </c>
      <c r="Z6436" t="s">
        <v>38987</v>
      </c>
      <c r="AA6436" s="2" t="s">
        <v>32304</v>
      </c>
      <c r="AB6436" t="s">
        <v>181</v>
      </c>
      <c r="AD6436" t="s">
        <v>33435</v>
      </c>
      <c r="AE6436">
        <v>43564</v>
      </c>
      <c r="AG6436" t="s">
        <v>38988</v>
      </c>
      <c r="AH6436" t="s">
        <v>21843</v>
      </c>
      <c r="AI6436" t="s">
        <v>38989</v>
      </c>
    </row>
    <row r="6437" spans="2:35" ht="360">
      <c r="B6437" s="1">
        <v>45202</v>
      </c>
      <c r="C6437" s="4">
        <v>45176.324999999997</v>
      </c>
      <c r="D6437" t="s">
        <v>26442</v>
      </c>
      <c r="E6437" t="s">
        <v>15186</v>
      </c>
      <c r="F6437">
        <v>3</v>
      </c>
      <c r="G6437" t="s">
        <v>284</v>
      </c>
      <c r="H6437" t="s">
        <v>39</v>
      </c>
      <c r="I6437" t="s">
        <v>40</v>
      </c>
      <c r="J6437" s="2" t="s">
        <v>41</v>
      </c>
      <c r="K6437" t="s">
        <v>42</v>
      </c>
      <c r="L6437" t="s">
        <v>135</v>
      </c>
      <c r="Q6437">
        <v>26116</v>
      </c>
      <c r="R6437" t="s">
        <v>45</v>
      </c>
      <c r="S6437" t="s">
        <v>11281</v>
      </c>
      <c r="T6437">
        <v>29</v>
      </c>
      <c r="U6437" s="2" t="s">
        <v>38990</v>
      </c>
      <c r="W6437" t="s">
        <v>2680</v>
      </c>
      <c r="X6437">
        <v>805124</v>
      </c>
      <c r="Y6437" t="s">
        <v>38525</v>
      </c>
      <c r="Z6437" s="2" t="s">
        <v>29539</v>
      </c>
      <c r="AA6437" s="2" t="s">
        <v>32304</v>
      </c>
      <c r="AB6437" t="s">
        <v>9590</v>
      </c>
      <c r="AG6437" t="s">
        <v>38991</v>
      </c>
      <c r="AH6437" t="s">
        <v>15193</v>
      </c>
      <c r="AI6437" t="s">
        <v>38992</v>
      </c>
    </row>
    <row r="6438" spans="2:35" ht="105">
      <c r="B6438" s="1">
        <v>45202</v>
      </c>
      <c r="C6438" s="4">
        <v>45202.531944444447</v>
      </c>
      <c r="D6438" t="s">
        <v>36822</v>
      </c>
      <c r="E6438" t="s">
        <v>38993</v>
      </c>
      <c r="F6438">
        <v>9</v>
      </c>
      <c r="G6438" t="s">
        <v>2197</v>
      </c>
      <c r="H6438" t="s">
        <v>39</v>
      </c>
      <c r="I6438" t="s">
        <v>40</v>
      </c>
      <c r="J6438" s="2" t="s">
        <v>62</v>
      </c>
      <c r="K6438" t="s">
        <v>42</v>
      </c>
      <c r="L6438" t="s">
        <v>1257</v>
      </c>
      <c r="Q6438">
        <v>26115</v>
      </c>
      <c r="R6438" t="s">
        <v>45</v>
      </c>
      <c r="S6438" t="s">
        <v>36824</v>
      </c>
      <c r="T6438">
        <v>25</v>
      </c>
      <c r="U6438" s="2" t="s">
        <v>9127</v>
      </c>
      <c r="V6438" s="1">
        <v>45202</v>
      </c>
      <c r="W6438" t="s">
        <v>2384</v>
      </c>
      <c r="X6438">
        <v>834436</v>
      </c>
      <c r="Y6438" t="s">
        <v>38994</v>
      </c>
      <c r="Z6438" t="s">
        <v>38995</v>
      </c>
      <c r="AA6438" t="s">
        <v>15263</v>
      </c>
      <c r="AB6438" t="s">
        <v>38996</v>
      </c>
      <c r="AC6438" t="s">
        <v>301</v>
      </c>
      <c r="AD6438" t="s">
        <v>54</v>
      </c>
      <c r="AE6438" t="s">
        <v>54</v>
      </c>
      <c r="AG6438" t="s">
        <v>38997</v>
      </c>
      <c r="AH6438" t="s">
        <v>38998</v>
      </c>
      <c r="AI6438" t="s">
        <v>38999</v>
      </c>
    </row>
    <row r="6439" spans="2:35" ht="330">
      <c r="B6439" s="1">
        <v>45202</v>
      </c>
      <c r="C6439" s="4">
        <v>45202.52847222222</v>
      </c>
      <c r="D6439" t="s">
        <v>39000</v>
      </c>
      <c r="E6439" t="s">
        <v>39001</v>
      </c>
      <c r="F6439">
        <v>8</v>
      </c>
      <c r="G6439" t="s">
        <v>342</v>
      </c>
      <c r="H6439" t="s">
        <v>39</v>
      </c>
      <c r="I6439" t="s">
        <v>40</v>
      </c>
      <c r="J6439" s="2" t="s">
        <v>190</v>
      </c>
      <c r="K6439" t="s">
        <v>42</v>
      </c>
      <c r="L6439" t="s">
        <v>259</v>
      </c>
      <c r="Q6439">
        <v>26114</v>
      </c>
      <c r="R6439" t="s">
        <v>719</v>
      </c>
      <c r="S6439" t="s">
        <v>4425</v>
      </c>
      <c r="T6439">
        <v>29</v>
      </c>
      <c r="U6439" s="2" t="s">
        <v>39002</v>
      </c>
      <c r="V6439" s="1">
        <v>45202</v>
      </c>
      <c r="W6439" t="s">
        <v>84</v>
      </c>
      <c r="X6439">
        <v>847249</v>
      </c>
      <c r="Y6439" t="e">
        <f ca="1">- UPS _xludf.not working properly
- DUE _xludf.For Preventive Maintenance</f>
        <v>#NAME?</v>
      </c>
      <c r="Z6439" t="e">
        <f ca="1">- performed Troubleshooting on UPS
- performed functionality test</f>
        <v>#NAME?</v>
      </c>
      <c r="AA6439" s="2" t="s">
        <v>39003</v>
      </c>
      <c r="AB6439" t="s">
        <v>70</v>
      </c>
      <c r="AC6439" t="s">
        <v>39004</v>
      </c>
      <c r="AG6439" t="s">
        <v>39005</v>
      </c>
      <c r="AH6439" t="s">
        <v>4431</v>
      </c>
      <c r="AI6439" t="s">
        <v>39006</v>
      </c>
    </row>
    <row r="6440" spans="2:35" ht="285">
      <c r="B6440" s="1">
        <v>45202</v>
      </c>
      <c r="C6440" s="4">
        <v>45202.493750000001</v>
      </c>
      <c r="D6440" t="s">
        <v>39007</v>
      </c>
      <c r="E6440" t="s">
        <v>39008</v>
      </c>
      <c r="F6440" t="s">
        <v>148</v>
      </c>
      <c r="G6440" t="s">
        <v>447</v>
      </c>
      <c r="H6440" t="s">
        <v>39</v>
      </c>
      <c r="I6440" t="s">
        <v>40</v>
      </c>
      <c r="J6440" s="2" t="s">
        <v>190</v>
      </c>
      <c r="K6440" t="s">
        <v>42</v>
      </c>
      <c r="L6440" t="s">
        <v>15532</v>
      </c>
      <c r="Q6440">
        <v>26113</v>
      </c>
      <c r="R6440" t="s">
        <v>119</v>
      </c>
      <c r="S6440" t="s">
        <v>31530</v>
      </c>
      <c r="T6440">
        <v>25</v>
      </c>
      <c r="U6440" s="2" t="s">
        <v>39009</v>
      </c>
      <c r="W6440" t="s">
        <v>597</v>
      </c>
      <c r="X6440">
        <v>831597</v>
      </c>
      <c r="Y6440" t="s">
        <v>39010</v>
      </c>
      <c r="Z6440" s="2" t="s">
        <v>39011</v>
      </c>
      <c r="AA6440" t="s">
        <v>39012</v>
      </c>
      <c r="AB6440" s="2" t="s">
        <v>39013</v>
      </c>
      <c r="AG6440" t="s">
        <v>39014</v>
      </c>
      <c r="AH6440" t="s">
        <v>39015</v>
      </c>
      <c r="AI6440" t="s">
        <v>39016</v>
      </c>
    </row>
    <row r="6441" spans="2:35" ht="210">
      <c r="B6441" s="1">
        <v>45202</v>
      </c>
      <c r="C6441" s="4">
        <v>45202.40902777778</v>
      </c>
      <c r="D6441" t="s">
        <v>26808</v>
      </c>
      <c r="E6441" t="s">
        <v>39017</v>
      </c>
      <c r="F6441" t="s">
        <v>37</v>
      </c>
      <c r="G6441" t="s">
        <v>748</v>
      </c>
      <c r="H6441" t="s">
        <v>39</v>
      </c>
      <c r="I6441" t="s">
        <v>40</v>
      </c>
      <c r="J6441" s="2" t="s">
        <v>62</v>
      </c>
      <c r="K6441" t="s">
        <v>42</v>
      </c>
      <c r="L6441" t="s">
        <v>1028</v>
      </c>
      <c r="Q6441">
        <v>26111</v>
      </c>
      <c r="R6441" t="s">
        <v>119</v>
      </c>
      <c r="S6441" t="s">
        <v>26810</v>
      </c>
      <c r="T6441">
        <v>26</v>
      </c>
      <c r="W6441" t="s">
        <v>2680</v>
      </c>
      <c r="X6441">
        <v>820705</v>
      </c>
      <c r="Y6441" t="s">
        <v>18140</v>
      </c>
      <c r="Z6441" t="s">
        <v>21244</v>
      </c>
      <c r="AA6441" s="2" t="s">
        <v>38699</v>
      </c>
      <c r="AB6441" t="s">
        <v>39018</v>
      </c>
      <c r="AG6441" t="s">
        <v>39019</v>
      </c>
      <c r="AH6441" t="s">
        <v>26815</v>
      </c>
      <c r="AI6441" t="s">
        <v>39020</v>
      </c>
    </row>
    <row r="6442" spans="2:35" ht="210">
      <c r="B6442" s="1">
        <v>45202</v>
      </c>
      <c r="C6442" s="4">
        <v>45202.486111111109</v>
      </c>
      <c r="D6442" t="s">
        <v>25155</v>
      </c>
      <c r="E6442" t="s">
        <v>27397</v>
      </c>
      <c r="F6442" t="s">
        <v>37</v>
      </c>
      <c r="G6442" t="s">
        <v>748</v>
      </c>
      <c r="H6442" t="s">
        <v>39</v>
      </c>
      <c r="I6442" t="s">
        <v>40</v>
      </c>
      <c r="J6442" s="2" t="s">
        <v>62</v>
      </c>
      <c r="K6442" t="s">
        <v>42</v>
      </c>
      <c r="L6442" t="s">
        <v>1028</v>
      </c>
      <c r="Q6442">
        <v>26112</v>
      </c>
      <c r="R6442" t="s">
        <v>119</v>
      </c>
      <c r="S6442" t="s">
        <v>25157</v>
      </c>
      <c r="T6442">
        <v>24</v>
      </c>
      <c r="V6442" s="1">
        <v>45188</v>
      </c>
      <c r="W6442" t="s">
        <v>2680</v>
      </c>
      <c r="X6442">
        <v>821221</v>
      </c>
      <c r="Y6442" t="s">
        <v>18140</v>
      </c>
      <c r="Z6442" t="s">
        <v>21244</v>
      </c>
      <c r="AA6442" s="2" t="s">
        <v>39021</v>
      </c>
      <c r="AB6442" t="s">
        <v>30229</v>
      </c>
      <c r="AD6442" t="s">
        <v>7189</v>
      </c>
      <c r="AE6442" t="s">
        <v>39022</v>
      </c>
      <c r="AG6442" t="s">
        <v>39023</v>
      </c>
      <c r="AH6442" t="s">
        <v>25162</v>
      </c>
      <c r="AI6442" t="s">
        <v>39024</v>
      </c>
    </row>
    <row r="6443" spans="2:35" ht="150">
      <c r="B6443" s="1">
        <v>45202</v>
      </c>
      <c r="C6443" s="4">
        <v>45197.534722222219</v>
      </c>
      <c r="D6443" t="s">
        <v>3760</v>
      </c>
      <c r="E6443" t="s">
        <v>39025</v>
      </c>
      <c r="F6443" t="s">
        <v>37</v>
      </c>
      <c r="G6443" t="s">
        <v>748</v>
      </c>
      <c r="H6443" t="s">
        <v>39</v>
      </c>
      <c r="I6443" t="s">
        <v>40</v>
      </c>
      <c r="J6443" t="s">
        <v>79</v>
      </c>
      <c r="K6443" t="s">
        <v>42</v>
      </c>
      <c r="L6443" t="s">
        <v>1028</v>
      </c>
      <c r="Q6443">
        <v>26107</v>
      </c>
      <c r="R6443" t="s">
        <v>45</v>
      </c>
      <c r="S6443" t="s">
        <v>39026</v>
      </c>
      <c r="T6443">
        <v>21</v>
      </c>
      <c r="W6443" t="s">
        <v>2680</v>
      </c>
      <c r="X6443">
        <v>838160</v>
      </c>
      <c r="Y6443" t="s">
        <v>28918</v>
      </c>
      <c r="Z6443" t="s">
        <v>2129</v>
      </c>
      <c r="AA6443" s="2" t="s">
        <v>39027</v>
      </c>
      <c r="AB6443" t="s">
        <v>39028</v>
      </c>
      <c r="AG6443" t="s">
        <v>39029</v>
      </c>
      <c r="AH6443" t="s">
        <v>3769</v>
      </c>
      <c r="AI6443" t="s">
        <v>39030</v>
      </c>
    </row>
    <row r="6444" spans="2:35" ht="210">
      <c r="B6444" s="1">
        <v>45202</v>
      </c>
      <c r="C6444" s="4">
        <v>45197.502083333333</v>
      </c>
      <c r="D6444" t="s">
        <v>39031</v>
      </c>
      <c r="E6444" t="s">
        <v>10333</v>
      </c>
      <c r="F6444" t="s">
        <v>148</v>
      </c>
      <c r="G6444" t="s">
        <v>4786</v>
      </c>
      <c r="H6444" t="s">
        <v>39</v>
      </c>
      <c r="I6444" t="s">
        <v>40</v>
      </c>
      <c r="J6444" s="2" t="s">
        <v>62</v>
      </c>
      <c r="K6444" t="s">
        <v>42</v>
      </c>
      <c r="L6444" t="s">
        <v>1028</v>
      </c>
      <c r="Q6444">
        <v>26109</v>
      </c>
      <c r="R6444" t="s">
        <v>119</v>
      </c>
      <c r="S6444" t="s">
        <v>39032</v>
      </c>
      <c r="T6444">
        <v>26</v>
      </c>
      <c r="V6444" s="1">
        <v>45188</v>
      </c>
      <c r="W6444" t="s">
        <v>2680</v>
      </c>
      <c r="X6444">
        <v>831847</v>
      </c>
      <c r="Y6444" t="s">
        <v>18140</v>
      </c>
      <c r="Z6444" t="s">
        <v>21244</v>
      </c>
      <c r="AA6444" s="2" t="s">
        <v>39033</v>
      </c>
      <c r="AB6444" t="s">
        <v>3063</v>
      </c>
      <c r="AC6444" t="s">
        <v>28004</v>
      </c>
      <c r="AD6444" t="s">
        <v>7189</v>
      </c>
      <c r="AE6444" t="s">
        <v>39034</v>
      </c>
      <c r="AG6444" t="s">
        <v>39035</v>
      </c>
      <c r="AH6444" t="s">
        <v>39036</v>
      </c>
      <c r="AI6444" t="s">
        <v>39037</v>
      </c>
    </row>
    <row r="6445" spans="2:35" ht="225">
      <c r="B6445" s="1">
        <v>45202</v>
      </c>
      <c r="C6445" s="4">
        <v>45195.500694444447</v>
      </c>
      <c r="D6445" t="s">
        <v>919</v>
      </c>
      <c r="E6445" t="s">
        <v>1976</v>
      </c>
      <c r="F6445" t="s">
        <v>148</v>
      </c>
      <c r="G6445" t="s">
        <v>310</v>
      </c>
      <c r="H6445" t="s">
        <v>513</v>
      </c>
      <c r="I6445" t="s">
        <v>40</v>
      </c>
      <c r="J6445" t="s">
        <v>109</v>
      </c>
      <c r="K6445" t="s">
        <v>387</v>
      </c>
      <c r="L6445" t="s">
        <v>1028</v>
      </c>
      <c r="Q6445">
        <v>26108</v>
      </c>
      <c r="R6445" t="s">
        <v>322</v>
      </c>
      <c r="S6445" t="s">
        <v>16290</v>
      </c>
      <c r="T6445">
        <v>24</v>
      </c>
      <c r="W6445" t="s">
        <v>390</v>
      </c>
      <c r="X6445" t="s">
        <v>922</v>
      </c>
      <c r="Y6445" t="s">
        <v>3127</v>
      </c>
      <c r="Z6445" t="s">
        <v>3128</v>
      </c>
      <c r="AA6445" s="2" t="s">
        <v>39038</v>
      </c>
      <c r="AB6445" t="s">
        <v>70</v>
      </c>
      <c r="AG6445" t="s">
        <v>39039</v>
      </c>
      <c r="AH6445" t="s">
        <v>5901</v>
      </c>
      <c r="AI6445" t="s">
        <v>39040</v>
      </c>
    </row>
    <row r="6446" spans="2:35" ht="255">
      <c r="B6446" s="1">
        <v>45202</v>
      </c>
      <c r="C6446" s="4">
        <v>45197.545138888891</v>
      </c>
      <c r="D6446" t="s">
        <v>39031</v>
      </c>
      <c r="E6446" t="s">
        <v>10333</v>
      </c>
      <c r="F6446" t="s">
        <v>148</v>
      </c>
      <c r="G6446" t="s">
        <v>4786</v>
      </c>
      <c r="H6446" t="s">
        <v>662</v>
      </c>
      <c r="I6446" t="s">
        <v>40</v>
      </c>
      <c r="J6446" s="2" t="s">
        <v>1309</v>
      </c>
      <c r="K6446" t="s">
        <v>42</v>
      </c>
      <c r="L6446" t="s">
        <v>1028</v>
      </c>
      <c r="Q6446">
        <v>26110</v>
      </c>
      <c r="R6446" t="s">
        <v>45</v>
      </c>
      <c r="S6446" t="s">
        <v>37940</v>
      </c>
      <c r="T6446">
        <v>24</v>
      </c>
      <c r="W6446" t="s">
        <v>2680</v>
      </c>
      <c r="X6446">
        <v>834628</v>
      </c>
      <c r="Y6446" s="2" t="s">
        <v>39041</v>
      </c>
      <c r="Z6446" s="2" t="s">
        <v>31928</v>
      </c>
      <c r="AA6446" s="2" t="s">
        <v>39042</v>
      </c>
      <c r="AB6446" t="s">
        <v>39043</v>
      </c>
      <c r="AG6446" t="s">
        <v>39044</v>
      </c>
      <c r="AH6446" t="s">
        <v>39045</v>
      </c>
      <c r="AI6446" t="s">
        <v>39046</v>
      </c>
    </row>
    <row r="6447" spans="2:35" ht="150">
      <c r="B6447" s="1">
        <v>45202</v>
      </c>
      <c r="C6447" s="4">
        <v>45196.455555555556</v>
      </c>
      <c r="D6447" t="s">
        <v>30233</v>
      </c>
      <c r="E6447" t="s">
        <v>39047</v>
      </c>
      <c r="F6447" t="s">
        <v>37</v>
      </c>
      <c r="G6447" t="s">
        <v>748</v>
      </c>
      <c r="H6447" t="s">
        <v>39</v>
      </c>
      <c r="I6447" t="s">
        <v>40</v>
      </c>
      <c r="J6447" s="2" t="s">
        <v>41</v>
      </c>
      <c r="K6447" t="s">
        <v>42</v>
      </c>
      <c r="L6447" t="s">
        <v>1028</v>
      </c>
      <c r="Q6447">
        <v>26106</v>
      </c>
      <c r="R6447" t="s">
        <v>45</v>
      </c>
      <c r="S6447" t="s">
        <v>37309</v>
      </c>
      <c r="T6447">
        <v>25</v>
      </c>
      <c r="W6447" t="s">
        <v>2680</v>
      </c>
      <c r="X6447">
        <v>812835</v>
      </c>
      <c r="Y6447" t="s">
        <v>34753</v>
      </c>
      <c r="Z6447" t="s">
        <v>2129</v>
      </c>
      <c r="AA6447" s="2" t="s">
        <v>36977</v>
      </c>
      <c r="AB6447" t="s">
        <v>39048</v>
      </c>
      <c r="AG6447" t="s">
        <v>39049</v>
      </c>
      <c r="AH6447" t="s">
        <v>39050</v>
      </c>
      <c r="AI6447" t="s">
        <v>39051</v>
      </c>
    </row>
    <row r="6448" spans="2:35" ht="105">
      <c r="B6448" s="1">
        <v>45202</v>
      </c>
      <c r="C6448" s="4">
        <v>45202.472916666666</v>
      </c>
      <c r="D6448" t="s">
        <v>37250</v>
      </c>
      <c r="E6448" t="s">
        <v>39052</v>
      </c>
      <c r="F6448">
        <v>7</v>
      </c>
      <c r="G6448" t="s">
        <v>432</v>
      </c>
      <c r="H6448" t="s">
        <v>608</v>
      </c>
      <c r="I6448" t="s">
        <v>94</v>
      </c>
      <c r="J6448" s="2" t="s">
        <v>1592</v>
      </c>
      <c r="K6448" t="s">
        <v>42</v>
      </c>
      <c r="L6448" t="s">
        <v>610</v>
      </c>
      <c r="Q6448">
        <v>26105</v>
      </c>
      <c r="R6448" t="s">
        <v>45</v>
      </c>
      <c r="S6448" t="s">
        <v>25240</v>
      </c>
      <c r="T6448">
        <v>26</v>
      </c>
      <c r="U6448" s="2" t="s">
        <v>39053</v>
      </c>
      <c r="W6448" t="s">
        <v>502</v>
      </c>
      <c r="X6448">
        <v>815464</v>
      </c>
      <c r="Y6448" t="s">
        <v>39054</v>
      </c>
      <c r="Z6448" t="s">
        <v>39055</v>
      </c>
      <c r="AA6448" t="s">
        <v>39056</v>
      </c>
      <c r="AB6448" t="s">
        <v>39057</v>
      </c>
      <c r="AG6448" t="s">
        <v>39058</v>
      </c>
      <c r="AH6448" t="s">
        <v>39059</v>
      </c>
      <c r="AI6448" t="s">
        <v>39060</v>
      </c>
    </row>
    <row r="6449" spans="2:35" ht="45">
      <c r="B6449" s="1">
        <v>45202</v>
      </c>
      <c r="C6449" s="4">
        <v>45202.443749999999</v>
      </c>
      <c r="D6449" t="s">
        <v>26682</v>
      </c>
      <c r="E6449" t="s">
        <v>39061</v>
      </c>
      <c r="F6449">
        <v>7</v>
      </c>
      <c r="G6449" t="s">
        <v>432</v>
      </c>
      <c r="H6449" t="s">
        <v>39</v>
      </c>
      <c r="I6449" t="s">
        <v>40</v>
      </c>
      <c r="J6449" s="2" t="s">
        <v>1370</v>
      </c>
      <c r="K6449" t="s">
        <v>42</v>
      </c>
      <c r="L6449" t="s">
        <v>433</v>
      </c>
      <c r="Q6449">
        <v>26104</v>
      </c>
      <c r="R6449" t="s">
        <v>45</v>
      </c>
      <c r="S6449" t="s">
        <v>3872</v>
      </c>
      <c r="T6449">
        <v>28</v>
      </c>
      <c r="W6449" t="s">
        <v>1008</v>
      </c>
      <c r="X6449">
        <v>805270</v>
      </c>
      <c r="Y6449" t="s">
        <v>39062</v>
      </c>
      <c r="Z6449" t="s">
        <v>39063</v>
      </c>
      <c r="AA6449" t="s">
        <v>39064</v>
      </c>
      <c r="AB6449" t="s">
        <v>39065</v>
      </c>
      <c r="AG6449" t="s">
        <v>39066</v>
      </c>
      <c r="AH6449" t="s">
        <v>39067</v>
      </c>
      <c r="AI6449" t="s">
        <v>39068</v>
      </c>
    </row>
    <row r="6450" spans="2:35" ht="210">
      <c r="B6450" s="1">
        <v>45202</v>
      </c>
      <c r="C6450" s="4">
        <v>45202.427777777775</v>
      </c>
      <c r="D6450" t="s">
        <v>39069</v>
      </c>
      <c r="E6450" t="s">
        <v>39070</v>
      </c>
      <c r="F6450">
        <v>6</v>
      </c>
      <c r="G6450" t="s">
        <v>1286</v>
      </c>
      <c r="H6450" t="s">
        <v>10969</v>
      </c>
      <c r="I6450" t="s">
        <v>40</v>
      </c>
      <c r="J6450" s="2" t="s">
        <v>41</v>
      </c>
      <c r="K6450" t="s">
        <v>42</v>
      </c>
      <c r="L6450" t="s">
        <v>1288</v>
      </c>
      <c r="Q6450">
        <v>26102</v>
      </c>
      <c r="R6450" t="s">
        <v>45</v>
      </c>
      <c r="S6450" t="s">
        <v>29326</v>
      </c>
      <c r="T6450">
        <v>26</v>
      </c>
      <c r="U6450" s="2" t="s">
        <v>39071</v>
      </c>
      <c r="W6450" t="s">
        <v>1292</v>
      </c>
      <c r="X6450">
        <v>807587</v>
      </c>
      <c r="Y6450" t="s">
        <v>39072</v>
      </c>
      <c r="Z6450" t="e">
        <f ca="1">-COLLECT IQR, system _xludf.Log, _xludf.and ARCHIVE</f>
        <v>#NAME?</v>
      </c>
      <c r="AA6450" s="2" t="s">
        <v>39073</v>
      </c>
      <c r="AB6450" t="s">
        <v>1293</v>
      </c>
      <c r="AG6450" t="s">
        <v>39074</v>
      </c>
      <c r="AH6450" t="s">
        <v>39075</v>
      </c>
      <c r="AI6450" t="s">
        <v>39076</v>
      </c>
    </row>
    <row r="6451" spans="2:35" ht="180">
      <c r="B6451" s="1">
        <v>45202</v>
      </c>
      <c r="C6451" s="4">
        <v>45202.427777777775</v>
      </c>
      <c r="D6451" t="s">
        <v>4561</v>
      </c>
      <c r="E6451" t="s">
        <v>39077</v>
      </c>
      <c r="F6451" t="s">
        <v>148</v>
      </c>
      <c r="G6451" t="s">
        <v>447</v>
      </c>
      <c r="H6451" t="s">
        <v>39</v>
      </c>
      <c r="I6451" t="s">
        <v>40</v>
      </c>
      <c r="J6451" s="2" t="s">
        <v>41</v>
      </c>
      <c r="K6451" t="s">
        <v>42</v>
      </c>
      <c r="L6451" t="s">
        <v>15532</v>
      </c>
      <c r="Q6451">
        <v>26103</v>
      </c>
      <c r="R6451" t="s">
        <v>45</v>
      </c>
      <c r="S6451" t="s">
        <v>31224</v>
      </c>
      <c r="T6451">
        <v>29</v>
      </c>
      <c r="U6451" s="2" t="s">
        <v>39078</v>
      </c>
      <c r="V6451" s="1">
        <v>45202</v>
      </c>
      <c r="W6451" t="s">
        <v>597</v>
      </c>
      <c r="X6451">
        <v>804688</v>
      </c>
      <c r="Y6451" t="s">
        <v>570</v>
      </c>
      <c r="Z6451" s="2" t="s">
        <v>33148</v>
      </c>
      <c r="AA6451" s="2" t="s">
        <v>39079</v>
      </c>
      <c r="AB6451" s="2" t="s">
        <v>39080</v>
      </c>
      <c r="AD6451" t="s">
        <v>15847</v>
      </c>
      <c r="AE6451" t="s">
        <v>39081</v>
      </c>
      <c r="AG6451" t="s">
        <v>39082</v>
      </c>
      <c r="AH6451" t="s">
        <v>39083</v>
      </c>
      <c r="AI6451" t="s">
        <v>39084</v>
      </c>
    </row>
    <row r="6452" spans="2:35" ht="240">
      <c r="B6452" s="1">
        <v>45202</v>
      </c>
      <c r="C6452" s="4">
        <v>45202.420138888891</v>
      </c>
      <c r="D6452" t="s">
        <v>1351</v>
      </c>
      <c r="E6452" t="s">
        <v>27934</v>
      </c>
      <c r="F6452">
        <v>3</v>
      </c>
      <c r="G6452" t="s">
        <v>284</v>
      </c>
      <c r="H6452" t="s">
        <v>39</v>
      </c>
      <c r="I6452" t="s">
        <v>40</v>
      </c>
      <c r="J6452" s="2" t="s">
        <v>41</v>
      </c>
      <c r="K6452" t="s">
        <v>42</v>
      </c>
      <c r="L6452" t="s">
        <v>135</v>
      </c>
      <c r="Q6452">
        <v>26101</v>
      </c>
      <c r="R6452" t="s">
        <v>119</v>
      </c>
      <c r="S6452" t="s">
        <v>285</v>
      </c>
      <c r="T6452">
        <v>28</v>
      </c>
      <c r="U6452" s="2" t="s">
        <v>23880</v>
      </c>
      <c r="V6452" s="1">
        <v>45167</v>
      </c>
      <c r="W6452" t="s">
        <v>2680</v>
      </c>
      <c r="X6452">
        <v>831878</v>
      </c>
      <c r="Y6452" t="s">
        <v>39085</v>
      </c>
      <c r="Z6452" t="s">
        <v>39086</v>
      </c>
      <c r="AA6452" s="2" t="s">
        <v>39087</v>
      </c>
      <c r="AB6452" t="s">
        <v>181</v>
      </c>
      <c r="AD6452" t="s">
        <v>39088</v>
      </c>
      <c r="AE6452">
        <v>10700</v>
      </c>
      <c r="AG6452" t="s">
        <v>39089</v>
      </c>
      <c r="AH6452" t="s">
        <v>290</v>
      </c>
      <c r="AI6452" t="s">
        <v>39090</v>
      </c>
    </row>
    <row r="6453" spans="2:35" ht="360">
      <c r="B6453" s="1">
        <v>45202</v>
      </c>
      <c r="C6453" s="4">
        <v>45202.386111111111</v>
      </c>
      <c r="D6453" t="s">
        <v>5060</v>
      </c>
      <c r="E6453" t="s">
        <v>8014</v>
      </c>
      <c r="F6453">
        <v>3</v>
      </c>
      <c r="G6453" t="s">
        <v>284</v>
      </c>
      <c r="H6453" t="s">
        <v>39</v>
      </c>
      <c r="I6453" t="s">
        <v>40</v>
      </c>
      <c r="J6453" s="2" t="s">
        <v>41</v>
      </c>
      <c r="K6453" t="s">
        <v>42</v>
      </c>
      <c r="L6453" t="s">
        <v>135</v>
      </c>
      <c r="Q6453">
        <v>26100</v>
      </c>
      <c r="R6453" t="s">
        <v>322</v>
      </c>
      <c r="S6453" t="s">
        <v>11281</v>
      </c>
      <c r="T6453">
        <v>22</v>
      </c>
      <c r="U6453" s="2" t="s">
        <v>39091</v>
      </c>
      <c r="V6453" s="1">
        <v>45197</v>
      </c>
      <c r="W6453" t="s">
        <v>3335</v>
      </c>
      <c r="X6453">
        <v>110017894</v>
      </c>
      <c r="Y6453" t="s">
        <v>39092</v>
      </c>
      <c r="Z6453" t="s">
        <v>5712</v>
      </c>
      <c r="AA6453" s="2" t="s">
        <v>32304</v>
      </c>
      <c r="AB6453" t="s">
        <v>181</v>
      </c>
      <c r="AD6453" t="s">
        <v>13225</v>
      </c>
      <c r="AE6453">
        <v>10698</v>
      </c>
      <c r="AG6453" t="s">
        <v>39093</v>
      </c>
      <c r="AH6453" t="s">
        <v>15193</v>
      </c>
      <c r="AI6453" t="s">
        <v>39094</v>
      </c>
    </row>
    <row r="6454" spans="2:35" ht="60">
      <c r="B6454" s="1">
        <v>45201</v>
      </c>
      <c r="C6454" s="4">
        <v>45201.59097222222</v>
      </c>
      <c r="D6454" t="s">
        <v>1807</v>
      </c>
      <c r="E6454" t="s">
        <v>39095</v>
      </c>
      <c r="F6454">
        <v>6</v>
      </c>
      <c r="G6454" t="s">
        <v>1234</v>
      </c>
      <c r="H6454" t="s">
        <v>258</v>
      </c>
      <c r="I6454" t="s">
        <v>94</v>
      </c>
      <c r="J6454" s="2" t="s">
        <v>28840</v>
      </c>
      <c r="K6454" t="s">
        <v>42</v>
      </c>
      <c r="L6454" t="s">
        <v>270</v>
      </c>
      <c r="Q6454">
        <v>26099</v>
      </c>
      <c r="R6454" t="s">
        <v>719</v>
      </c>
      <c r="S6454" t="s">
        <v>39096</v>
      </c>
      <c r="T6454">
        <v>23</v>
      </c>
      <c r="W6454" t="s">
        <v>3662</v>
      </c>
      <c r="X6454">
        <v>847222</v>
      </c>
      <c r="Y6454" t="s">
        <v>39097</v>
      </c>
      <c r="Z6454" t="e">
        <f ca="1">- Preventive Maintenance</f>
        <v>#NAME?</v>
      </c>
      <c r="AA6454" t="e">
        <f ca="1">- Install printer USB extension cable.
- functionality testing.</f>
        <v>#NAME?</v>
      </c>
      <c r="AB6454" t="s">
        <v>39098</v>
      </c>
      <c r="AG6454" t="s">
        <v>39099</v>
      </c>
      <c r="AH6454" t="s">
        <v>1815</v>
      </c>
      <c r="AI6454" t="s">
        <v>39100</v>
      </c>
    </row>
    <row r="6455" spans="2:35" ht="409.5">
      <c r="B6455" s="1">
        <v>45201</v>
      </c>
      <c r="C6455" s="4">
        <v>45201.658333333333</v>
      </c>
      <c r="D6455" t="s">
        <v>23024</v>
      </c>
      <c r="E6455" t="s">
        <v>39101</v>
      </c>
      <c r="F6455" t="s">
        <v>148</v>
      </c>
      <c r="G6455" t="s">
        <v>447</v>
      </c>
      <c r="H6455" t="s">
        <v>513</v>
      </c>
      <c r="I6455" t="s">
        <v>40</v>
      </c>
      <c r="J6455" s="2" t="s">
        <v>62</v>
      </c>
      <c r="K6455" t="s">
        <v>387</v>
      </c>
      <c r="L6455" t="s">
        <v>15532</v>
      </c>
      <c r="Q6455">
        <v>26098</v>
      </c>
      <c r="R6455" t="s">
        <v>322</v>
      </c>
      <c r="S6455" t="s">
        <v>39102</v>
      </c>
      <c r="T6455">
        <v>25</v>
      </c>
      <c r="W6455" t="s">
        <v>390</v>
      </c>
      <c r="X6455" t="s">
        <v>39103</v>
      </c>
      <c r="Y6455" t="s">
        <v>39104</v>
      </c>
      <c r="Z6455" s="2" t="s">
        <v>39105</v>
      </c>
      <c r="AA6455" t="s">
        <v>4145</v>
      </c>
      <c r="AB6455" t="s">
        <v>7445</v>
      </c>
      <c r="AG6455" t="s">
        <v>39106</v>
      </c>
      <c r="AH6455" t="s">
        <v>39107</v>
      </c>
      <c r="AI6455" t="s">
        <v>39108</v>
      </c>
    </row>
    <row r="6456" spans="2:35">
      <c r="B6456" s="1">
        <v>45201</v>
      </c>
      <c r="C6456" s="4">
        <v>45201.493055555555</v>
      </c>
      <c r="D6456" t="s">
        <v>32564</v>
      </c>
      <c r="E6456" t="s">
        <v>39109</v>
      </c>
      <c r="F6456">
        <v>7</v>
      </c>
      <c r="G6456" t="s">
        <v>432</v>
      </c>
      <c r="H6456" t="s">
        <v>39</v>
      </c>
      <c r="I6456" t="s">
        <v>94</v>
      </c>
      <c r="J6456" t="s">
        <v>996</v>
      </c>
      <c r="K6456" t="s">
        <v>42</v>
      </c>
      <c r="L6456" t="s">
        <v>594</v>
      </c>
      <c r="Q6456">
        <v>26097</v>
      </c>
      <c r="R6456" t="s">
        <v>95</v>
      </c>
      <c r="S6456" t="s">
        <v>11367</v>
      </c>
      <c r="T6456">
        <v>23</v>
      </c>
      <c r="V6456" s="1">
        <v>45197</v>
      </c>
      <c r="W6456" t="s">
        <v>39110</v>
      </c>
      <c r="X6456">
        <v>814150</v>
      </c>
      <c r="Y6456" t="s">
        <v>2060</v>
      </c>
      <c r="Z6456" t="s">
        <v>39111</v>
      </c>
      <c r="AA6456" t="s">
        <v>39111</v>
      </c>
      <c r="AB6456" t="s">
        <v>39112</v>
      </c>
      <c r="AG6456" t="s">
        <v>39113</v>
      </c>
      <c r="AH6456" t="s">
        <v>11372</v>
      </c>
      <c r="AI6456" t="s">
        <v>39114</v>
      </c>
    </row>
    <row r="6457" spans="2:35" ht="210">
      <c r="B6457" s="1">
        <v>45201</v>
      </c>
      <c r="C6457" s="4">
        <v>45201.4</v>
      </c>
      <c r="D6457" t="s">
        <v>39115</v>
      </c>
      <c r="E6457" t="s">
        <v>39116</v>
      </c>
      <c r="F6457">
        <v>7</v>
      </c>
      <c r="G6457" t="s">
        <v>432</v>
      </c>
      <c r="H6457" t="s">
        <v>39117</v>
      </c>
      <c r="I6457" t="s">
        <v>94</v>
      </c>
      <c r="J6457" s="2" t="s">
        <v>1592</v>
      </c>
      <c r="K6457" t="s">
        <v>42</v>
      </c>
      <c r="L6457" t="s">
        <v>610</v>
      </c>
      <c r="Q6457">
        <v>26096</v>
      </c>
      <c r="R6457" t="s">
        <v>45</v>
      </c>
      <c r="S6457" t="s">
        <v>24643</v>
      </c>
      <c r="T6457">
        <v>27</v>
      </c>
      <c r="U6457" s="2" t="s">
        <v>24644</v>
      </c>
      <c r="W6457" t="s">
        <v>502</v>
      </c>
      <c r="X6457">
        <v>815384</v>
      </c>
      <c r="Y6457" t="s">
        <v>39118</v>
      </c>
      <c r="Z6457" t="s">
        <v>39119</v>
      </c>
      <c r="AA6457" s="2" t="s">
        <v>39120</v>
      </c>
      <c r="AB6457" t="s">
        <v>39121</v>
      </c>
      <c r="AG6457" t="s">
        <v>39122</v>
      </c>
      <c r="AH6457" t="s">
        <v>39123</v>
      </c>
      <c r="AI6457" t="s">
        <v>39124</v>
      </c>
    </row>
    <row r="6458" spans="2:35" ht="409.5">
      <c r="B6458" s="1">
        <v>45200</v>
      </c>
      <c r="C6458" s="4">
        <v>45198.561111111114</v>
      </c>
      <c r="D6458" t="s">
        <v>5602</v>
      </c>
      <c r="E6458" t="s">
        <v>26724</v>
      </c>
      <c r="F6458" t="s">
        <v>148</v>
      </c>
      <c r="G6458" t="s">
        <v>447</v>
      </c>
      <c r="H6458" t="s">
        <v>662</v>
      </c>
      <c r="I6458" t="s">
        <v>40</v>
      </c>
      <c r="J6458" t="s">
        <v>525</v>
      </c>
      <c r="K6458" t="s">
        <v>42</v>
      </c>
      <c r="L6458" t="s">
        <v>448</v>
      </c>
      <c r="Q6458">
        <v>26095</v>
      </c>
      <c r="R6458" t="s">
        <v>322</v>
      </c>
      <c r="S6458" t="s">
        <v>5604</v>
      </c>
      <c r="T6458">
        <v>26</v>
      </c>
      <c r="U6458" s="2" t="s">
        <v>39125</v>
      </c>
      <c r="W6458" t="s">
        <v>34318</v>
      </c>
      <c r="X6458">
        <v>110005587</v>
      </c>
      <c r="Y6458" t="s">
        <v>39126</v>
      </c>
      <c r="Z6458" s="2" t="s">
        <v>39127</v>
      </c>
      <c r="AA6458" t="s">
        <v>4487</v>
      </c>
      <c r="AB6458" t="s">
        <v>39128</v>
      </c>
      <c r="AG6458" t="s">
        <v>39129</v>
      </c>
      <c r="AH6458" t="s">
        <v>5609</v>
      </c>
      <c r="AI6458" t="s">
        <v>39130</v>
      </c>
    </row>
    <row r="6459" spans="2:35" ht="409.5">
      <c r="B6459" s="1">
        <v>45200</v>
      </c>
      <c r="C6459" s="4">
        <v>45196.674305555556</v>
      </c>
      <c r="D6459" t="s">
        <v>5602</v>
      </c>
      <c r="E6459" t="s">
        <v>32237</v>
      </c>
      <c r="F6459" t="s">
        <v>148</v>
      </c>
      <c r="G6459" t="s">
        <v>447</v>
      </c>
      <c r="H6459" t="s">
        <v>662</v>
      </c>
      <c r="I6459" t="s">
        <v>40</v>
      </c>
      <c r="J6459" t="s">
        <v>79</v>
      </c>
      <c r="K6459" t="s">
        <v>42</v>
      </c>
      <c r="L6459" t="s">
        <v>448</v>
      </c>
      <c r="Q6459">
        <v>26094</v>
      </c>
      <c r="R6459" t="s">
        <v>322</v>
      </c>
      <c r="S6459" t="s">
        <v>5604</v>
      </c>
      <c r="T6459">
        <v>28</v>
      </c>
      <c r="U6459" s="2" t="s">
        <v>39131</v>
      </c>
      <c r="V6459" s="1">
        <v>45195</v>
      </c>
      <c r="W6459" t="s">
        <v>895</v>
      </c>
      <c r="X6459">
        <v>110005587</v>
      </c>
      <c r="Y6459" t="s">
        <v>39132</v>
      </c>
      <c r="Z6459" s="2" t="s">
        <v>39133</v>
      </c>
      <c r="AA6459" t="s">
        <v>5712</v>
      </c>
      <c r="AB6459" t="s">
        <v>486</v>
      </c>
      <c r="AD6459" t="s">
        <v>10783</v>
      </c>
      <c r="AE6459">
        <v>10689</v>
      </c>
      <c r="AG6459" t="s">
        <v>39134</v>
      </c>
      <c r="AH6459" t="s">
        <v>5609</v>
      </c>
      <c r="AI6459" t="s">
        <v>39135</v>
      </c>
    </row>
    <row r="6460" spans="2:35" ht="120">
      <c r="B6460" s="1">
        <v>45198</v>
      </c>
      <c r="C6460" s="4">
        <v>45198.669444444444</v>
      </c>
      <c r="D6460" t="s">
        <v>5087</v>
      </c>
      <c r="E6460" t="s">
        <v>39136</v>
      </c>
      <c r="F6460" t="s">
        <v>148</v>
      </c>
      <c r="G6460" t="s">
        <v>447</v>
      </c>
      <c r="H6460" t="s">
        <v>5452</v>
      </c>
      <c r="I6460" t="s">
        <v>40</v>
      </c>
      <c r="J6460" t="s">
        <v>79</v>
      </c>
      <c r="K6460" t="s">
        <v>42</v>
      </c>
      <c r="L6460" t="s">
        <v>15532</v>
      </c>
      <c r="Q6460">
        <v>26093</v>
      </c>
      <c r="R6460" t="s">
        <v>119</v>
      </c>
      <c r="S6460" t="s">
        <v>15533</v>
      </c>
      <c r="T6460">
        <v>25</v>
      </c>
      <c r="W6460" t="s">
        <v>21193</v>
      </c>
      <c r="X6460" t="s">
        <v>39137</v>
      </c>
      <c r="Y6460" t="s">
        <v>39138</v>
      </c>
      <c r="Z6460" s="2" t="s">
        <v>39139</v>
      </c>
      <c r="AA6460" t="s">
        <v>39140</v>
      </c>
      <c r="AB6460" t="s">
        <v>39141</v>
      </c>
      <c r="AG6460" t="s">
        <v>39142</v>
      </c>
      <c r="AH6460" t="s">
        <v>15532</v>
      </c>
      <c r="AI6460" t="s">
        <v>39143</v>
      </c>
    </row>
    <row r="6461" spans="2:35" ht="105">
      <c r="B6461" s="1">
        <v>45198</v>
      </c>
      <c r="C6461" s="4">
        <v>45198.613888888889</v>
      </c>
      <c r="D6461" t="s">
        <v>21170</v>
      </c>
      <c r="E6461" t="s">
        <v>5041</v>
      </c>
      <c r="F6461">
        <v>12</v>
      </c>
      <c r="G6461" t="s">
        <v>978</v>
      </c>
      <c r="H6461" t="s">
        <v>2849</v>
      </c>
      <c r="I6461" t="s">
        <v>40</v>
      </c>
      <c r="J6461" s="2" t="s">
        <v>41</v>
      </c>
      <c r="K6461" t="s">
        <v>42</v>
      </c>
      <c r="L6461" t="s">
        <v>296</v>
      </c>
      <c r="Q6461">
        <v>26092</v>
      </c>
      <c r="R6461" t="s">
        <v>95</v>
      </c>
      <c r="S6461" t="s">
        <v>39144</v>
      </c>
      <c r="T6461">
        <v>20.83</v>
      </c>
      <c r="U6461" s="2" t="s">
        <v>39145</v>
      </c>
      <c r="V6461" s="1">
        <v>45198</v>
      </c>
      <c r="W6461" t="s">
        <v>29440</v>
      </c>
      <c r="X6461">
        <v>110003713</v>
      </c>
      <c r="Y6461" t="s">
        <v>39146</v>
      </c>
      <c r="Z6461" t="s">
        <v>9161</v>
      </c>
      <c r="AA6461" t="s">
        <v>39147</v>
      </c>
      <c r="AB6461" t="s">
        <v>24914</v>
      </c>
      <c r="AD6461" t="s">
        <v>39148</v>
      </c>
      <c r="AE6461" t="s">
        <v>39149</v>
      </c>
      <c r="AG6461" t="s">
        <v>39150</v>
      </c>
      <c r="AH6461" t="s">
        <v>38303</v>
      </c>
      <c r="AI6461" t="s">
        <v>39151</v>
      </c>
    </row>
    <row r="6462" spans="2:35" ht="135">
      <c r="B6462" s="1">
        <v>45198</v>
      </c>
      <c r="C6462" s="4">
        <v>45198.620833333334</v>
      </c>
      <c r="D6462" t="s">
        <v>8529</v>
      </c>
      <c r="E6462" t="s">
        <v>39152</v>
      </c>
      <c r="F6462">
        <v>7</v>
      </c>
      <c r="G6462" t="s">
        <v>432</v>
      </c>
      <c r="H6462" t="s">
        <v>2290</v>
      </c>
      <c r="I6462" t="s">
        <v>94</v>
      </c>
      <c r="J6462" t="s">
        <v>996</v>
      </c>
      <c r="K6462" t="s">
        <v>42</v>
      </c>
      <c r="L6462" t="s">
        <v>610</v>
      </c>
      <c r="Q6462">
        <v>26091</v>
      </c>
      <c r="R6462" t="s">
        <v>119</v>
      </c>
      <c r="S6462" t="s">
        <v>8531</v>
      </c>
      <c r="T6462">
        <v>26</v>
      </c>
      <c r="U6462" s="2" t="s">
        <v>39153</v>
      </c>
      <c r="W6462" t="s">
        <v>502</v>
      </c>
      <c r="X6462">
        <v>838279</v>
      </c>
      <c r="Y6462" t="s">
        <v>67</v>
      </c>
      <c r="Z6462" t="s">
        <v>4145</v>
      </c>
      <c r="AA6462" t="s">
        <v>39154</v>
      </c>
      <c r="AB6462" s="2" t="s">
        <v>39155</v>
      </c>
      <c r="AG6462" t="s">
        <v>39156</v>
      </c>
      <c r="AH6462" t="s">
        <v>39157</v>
      </c>
      <c r="AI6462" t="s">
        <v>39158</v>
      </c>
    </row>
    <row r="6463" spans="2:35" ht="105">
      <c r="B6463" s="1">
        <v>45198</v>
      </c>
      <c r="C6463" s="4">
        <v>45198.620833333334</v>
      </c>
      <c r="D6463" t="s">
        <v>39159</v>
      </c>
      <c r="E6463" t="s">
        <v>5041</v>
      </c>
      <c r="F6463">
        <v>12</v>
      </c>
      <c r="G6463" t="s">
        <v>978</v>
      </c>
      <c r="H6463" t="s">
        <v>6500</v>
      </c>
      <c r="I6463" t="s">
        <v>40</v>
      </c>
      <c r="J6463" t="s">
        <v>109</v>
      </c>
      <c r="K6463" t="s">
        <v>42</v>
      </c>
      <c r="L6463" t="s">
        <v>296</v>
      </c>
      <c r="Q6463">
        <v>26090</v>
      </c>
      <c r="R6463" t="s">
        <v>95</v>
      </c>
      <c r="S6463" t="s">
        <v>39144</v>
      </c>
      <c r="T6463">
        <v>26.2</v>
      </c>
      <c r="U6463" s="2" t="s">
        <v>39160</v>
      </c>
      <c r="W6463" t="s">
        <v>23049</v>
      </c>
      <c r="X6463">
        <v>831313</v>
      </c>
      <c r="Y6463" t="s">
        <v>39161</v>
      </c>
      <c r="Z6463" t="s">
        <v>9161</v>
      </c>
      <c r="AA6463" t="s">
        <v>9161</v>
      </c>
      <c r="AB6463" t="s">
        <v>1480</v>
      </c>
      <c r="AC6463" t="s">
        <v>39162</v>
      </c>
      <c r="AG6463" t="s">
        <v>39163</v>
      </c>
      <c r="AH6463" t="s">
        <v>39164</v>
      </c>
      <c r="AI6463" t="s">
        <v>39165</v>
      </c>
    </row>
    <row r="6464" spans="2:35" ht="150">
      <c r="B6464" s="1">
        <v>45198</v>
      </c>
      <c r="C6464" s="4">
        <v>45198.6</v>
      </c>
      <c r="D6464" t="s">
        <v>38101</v>
      </c>
      <c r="E6464" t="s">
        <v>39166</v>
      </c>
      <c r="F6464" t="s">
        <v>148</v>
      </c>
      <c r="G6464" t="s">
        <v>149</v>
      </c>
      <c r="H6464" t="s">
        <v>39</v>
      </c>
      <c r="I6464" t="s">
        <v>40</v>
      </c>
      <c r="J6464" s="2" t="s">
        <v>62</v>
      </c>
      <c r="K6464" t="s">
        <v>42</v>
      </c>
      <c r="L6464" t="s">
        <v>43</v>
      </c>
      <c r="Q6464">
        <v>26089</v>
      </c>
      <c r="R6464" t="s">
        <v>45</v>
      </c>
      <c r="S6464" t="s">
        <v>38103</v>
      </c>
      <c r="T6464">
        <v>25</v>
      </c>
      <c r="U6464" s="2" t="s">
        <v>39167</v>
      </c>
      <c r="W6464" t="s">
        <v>48</v>
      </c>
      <c r="X6464">
        <v>812007</v>
      </c>
      <c r="Y6464" t="s">
        <v>1111</v>
      </c>
      <c r="Z6464" t="s">
        <v>1519</v>
      </c>
      <c r="AA6464" s="2" t="s">
        <v>37058</v>
      </c>
      <c r="AB6464" t="s">
        <v>39168</v>
      </c>
      <c r="AG6464" t="s">
        <v>39169</v>
      </c>
      <c r="AH6464" t="s">
        <v>38110</v>
      </c>
      <c r="AI6464" t="s">
        <v>39170</v>
      </c>
    </row>
    <row r="6465" spans="2:35" ht="360">
      <c r="B6465" s="1">
        <v>45198</v>
      </c>
      <c r="C6465" s="4">
        <v>45198.56527777778</v>
      </c>
      <c r="D6465" t="s">
        <v>6297</v>
      </c>
      <c r="E6465" t="s">
        <v>12017</v>
      </c>
      <c r="F6465">
        <v>7</v>
      </c>
      <c r="G6465" t="s">
        <v>432</v>
      </c>
      <c r="H6465" t="s">
        <v>10969</v>
      </c>
      <c r="I6465" t="s">
        <v>40</v>
      </c>
      <c r="J6465" t="s">
        <v>996</v>
      </c>
      <c r="K6465" t="s">
        <v>42</v>
      </c>
      <c r="L6465" t="s">
        <v>1288</v>
      </c>
      <c r="Q6465">
        <v>26088</v>
      </c>
      <c r="R6465" t="s">
        <v>119</v>
      </c>
      <c r="S6465" t="s">
        <v>39171</v>
      </c>
      <c r="T6465">
        <v>27</v>
      </c>
      <c r="U6465" s="2" t="s">
        <v>39172</v>
      </c>
      <c r="W6465" t="s">
        <v>84</v>
      </c>
      <c r="X6465">
        <v>820206</v>
      </c>
      <c r="Y6465" t="s">
        <v>39173</v>
      </c>
      <c r="Z6465" t="s">
        <v>39174</v>
      </c>
      <c r="AA6465" t="s">
        <v>39175</v>
      </c>
      <c r="AB6465" t="s">
        <v>1293</v>
      </c>
      <c r="AC6465" t="s">
        <v>39176</v>
      </c>
      <c r="AG6465" t="s">
        <v>39177</v>
      </c>
      <c r="AH6465" t="s">
        <v>35945</v>
      </c>
      <c r="AI6465" t="s">
        <v>39178</v>
      </c>
    </row>
    <row r="6466" spans="2:35" ht="360">
      <c r="B6466" s="1">
        <v>45198</v>
      </c>
      <c r="C6466" s="4">
        <v>45198.561111111114</v>
      </c>
      <c r="D6466" t="s">
        <v>6297</v>
      </c>
      <c r="E6466" t="s">
        <v>12017</v>
      </c>
      <c r="F6466">
        <v>7</v>
      </c>
      <c r="G6466" t="s">
        <v>432</v>
      </c>
      <c r="H6466" t="s">
        <v>10969</v>
      </c>
      <c r="I6466" t="s">
        <v>40</v>
      </c>
      <c r="J6466" t="s">
        <v>996</v>
      </c>
      <c r="K6466" t="s">
        <v>42</v>
      </c>
      <c r="L6466" t="s">
        <v>1288</v>
      </c>
      <c r="Q6466">
        <v>26087</v>
      </c>
      <c r="R6466" t="s">
        <v>119</v>
      </c>
      <c r="S6466" t="s">
        <v>39171</v>
      </c>
      <c r="T6466">
        <v>27</v>
      </c>
      <c r="U6466" s="2" t="s">
        <v>39179</v>
      </c>
      <c r="W6466" t="s">
        <v>1292</v>
      </c>
      <c r="X6466">
        <v>838825</v>
      </c>
      <c r="Y6466" t="s">
        <v>39180</v>
      </c>
      <c r="Z6466" t="s">
        <v>9107</v>
      </c>
      <c r="AA6466" t="s">
        <v>39181</v>
      </c>
      <c r="AB6466" t="s">
        <v>1293</v>
      </c>
      <c r="AG6466" t="s">
        <v>39182</v>
      </c>
      <c r="AH6466" t="s">
        <v>35945</v>
      </c>
      <c r="AI6466" t="s">
        <v>39183</v>
      </c>
    </row>
    <row r="6467" spans="2:35" ht="165">
      <c r="B6467" s="1">
        <v>45198</v>
      </c>
      <c r="C6467" s="4">
        <v>45198.54791666667</v>
      </c>
      <c r="D6467" t="s">
        <v>23423</v>
      </c>
      <c r="E6467" t="s">
        <v>27446</v>
      </c>
      <c r="F6467">
        <v>3</v>
      </c>
      <c r="G6467" t="s">
        <v>134</v>
      </c>
      <c r="H6467" t="s">
        <v>39</v>
      </c>
      <c r="I6467" t="s">
        <v>40</v>
      </c>
      <c r="J6467" s="2" t="s">
        <v>190</v>
      </c>
      <c r="K6467" t="s">
        <v>42</v>
      </c>
      <c r="L6467" t="s">
        <v>63</v>
      </c>
      <c r="Q6467">
        <v>26086</v>
      </c>
      <c r="R6467" t="s">
        <v>119</v>
      </c>
      <c r="S6467" t="s">
        <v>27447</v>
      </c>
      <c r="T6467">
        <v>24</v>
      </c>
      <c r="V6467" s="1">
        <v>45198</v>
      </c>
      <c r="W6467" t="s">
        <v>26915</v>
      </c>
      <c r="X6467">
        <v>831714</v>
      </c>
      <c r="Y6467" t="s">
        <v>34941</v>
      </c>
      <c r="Z6467" t="s">
        <v>22976</v>
      </c>
      <c r="AA6467" s="2" t="s">
        <v>1727</v>
      </c>
      <c r="AB6467" t="s">
        <v>70</v>
      </c>
      <c r="AC6467" t="s">
        <v>39184</v>
      </c>
      <c r="AD6467" t="s">
        <v>1716</v>
      </c>
      <c r="AE6467" t="s">
        <v>1716</v>
      </c>
      <c r="AG6467" t="s">
        <v>39185</v>
      </c>
      <c r="AH6467" t="s">
        <v>27449</v>
      </c>
      <c r="AI6467" t="s">
        <v>39186</v>
      </c>
    </row>
    <row r="6468" spans="2:35" ht="210">
      <c r="B6468" s="1">
        <v>45198</v>
      </c>
      <c r="C6468" s="4">
        <v>45198.538888888892</v>
      </c>
      <c r="D6468" t="s">
        <v>39187</v>
      </c>
      <c r="E6468" t="s">
        <v>3570</v>
      </c>
      <c r="F6468">
        <v>3</v>
      </c>
      <c r="G6468" t="s">
        <v>174</v>
      </c>
      <c r="H6468" t="s">
        <v>39</v>
      </c>
      <c r="I6468" t="s">
        <v>40</v>
      </c>
      <c r="J6468" t="s">
        <v>525</v>
      </c>
      <c r="K6468" t="s">
        <v>42</v>
      </c>
      <c r="L6468" t="s">
        <v>175</v>
      </c>
      <c r="Q6468">
        <v>26085</v>
      </c>
      <c r="R6468" t="s">
        <v>45</v>
      </c>
      <c r="S6468" t="s">
        <v>535</v>
      </c>
      <c r="T6468">
        <v>28</v>
      </c>
      <c r="U6468" s="2" t="s">
        <v>39188</v>
      </c>
      <c r="W6468" t="s">
        <v>84</v>
      </c>
      <c r="X6468">
        <v>807620</v>
      </c>
      <c r="Y6468" t="s">
        <v>7194</v>
      </c>
      <c r="Z6468" t="e">
        <f ca="1">- Reset RAM _xludf.and HDD
- checked cartridge bay, plunger rod, _xludf.filter
- performed _xludf.Power on self test on CPU
- generated reports</f>
        <v>#NAME?</v>
      </c>
      <c r="AA6468" t="s">
        <v>768</v>
      </c>
      <c r="AB6468" s="2" t="s">
        <v>39189</v>
      </c>
      <c r="AG6468" t="s">
        <v>39190</v>
      </c>
      <c r="AH6468" t="s">
        <v>540</v>
      </c>
      <c r="AI6468" t="s">
        <v>39191</v>
      </c>
    </row>
    <row r="6469" spans="2:35" ht="105">
      <c r="B6469" s="1">
        <v>45198</v>
      </c>
      <c r="C6469" s="4">
        <v>45198.459722222222</v>
      </c>
      <c r="D6469" t="s">
        <v>26058</v>
      </c>
      <c r="E6469" t="s">
        <v>26059</v>
      </c>
      <c r="F6469" t="s">
        <v>148</v>
      </c>
      <c r="G6469" t="s">
        <v>174</v>
      </c>
      <c r="H6469" t="s">
        <v>39</v>
      </c>
      <c r="I6469" t="s">
        <v>40</v>
      </c>
      <c r="J6469" s="2" t="s">
        <v>41</v>
      </c>
      <c r="K6469" t="s">
        <v>42</v>
      </c>
      <c r="L6469" t="s">
        <v>175</v>
      </c>
      <c r="Q6469">
        <v>26084</v>
      </c>
      <c r="R6469" t="s">
        <v>45</v>
      </c>
      <c r="S6469" t="s">
        <v>26060</v>
      </c>
      <c r="T6469">
        <v>25</v>
      </c>
      <c r="U6469" s="2" t="s">
        <v>39192</v>
      </c>
      <c r="V6469" s="1">
        <v>45198</v>
      </c>
      <c r="W6469" t="s">
        <v>84</v>
      </c>
      <c r="X6469">
        <v>838856</v>
      </c>
      <c r="Y6469" t="s">
        <v>2034</v>
      </c>
      <c r="Z6469" t="e">
        <f ca="1">- replaced module B2
- checked _xludf.and cleaned cartridge bay, plunger rod, _xludf.filter
- generated reports</f>
        <v>#NAME?</v>
      </c>
      <c r="AA6469" t="s">
        <v>712</v>
      </c>
      <c r="AB6469" t="s">
        <v>88</v>
      </c>
      <c r="AD6469" s="2" t="s">
        <v>39193</v>
      </c>
      <c r="AE6469" t="s">
        <v>103</v>
      </c>
      <c r="AG6469" t="s">
        <v>39194</v>
      </c>
      <c r="AH6469" t="s">
        <v>26064</v>
      </c>
      <c r="AI6469" t="s">
        <v>39195</v>
      </c>
    </row>
    <row r="6470" spans="2:35" ht="255">
      <c r="B6470" s="1">
        <v>45198</v>
      </c>
      <c r="C6470" s="4">
        <v>45198.462500000001</v>
      </c>
      <c r="D6470" t="s">
        <v>4553</v>
      </c>
      <c r="E6470" t="s">
        <v>28025</v>
      </c>
      <c r="F6470" t="s">
        <v>148</v>
      </c>
      <c r="G6470" t="s">
        <v>149</v>
      </c>
      <c r="H6470" t="s">
        <v>39</v>
      </c>
      <c r="I6470" t="s">
        <v>40</v>
      </c>
      <c r="J6470" s="2" t="s">
        <v>1592</v>
      </c>
      <c r="K6470" t="s">
        <v>42</v>
      </c>
      <c r="L6470" t="s">
        <v>43</v>
      </c>
      <c r="Q6470">
        <v>26083</v>
      </c>
      <c r="R6470" t="s">
        <v>119</v>
      </c>
      <c r="S6470" t="s">
        <v>4555</v>
      </c>
      <c r="T6470">
        <v>24</v>
      </c>
      <c r="V6470" s="1">
        <v>45174</v>
      </c>
      <c r="W6470" t="s">
        <v>48</v>
      </c>
      <c r="X6470">
        <v>831598</v>
      </c>
      <c r="Y6470" t="s">
        <v>39196</v>
      </c>
      <c r="Z6470" s="2" t="s">
        <v>39197</v>
      </c>
      <c r="AA6470" s="2" t="s">
        <v>39198</v>
      </c>
      <c r="AB6470" t="s">
        <v>39199</v>
      </c>
      <c r="AD6470" s="2" t="s">
        <v>39200</v>
      </c>
      <c r="AE6470" t="s">
        <v>39201</v>
      </c>
      <c r="AG6470" t="s">
        <v>39202</v>
      </c>
      <c r="AH6470" t="s">
        <v>39203</v>
      </c>
      <c r="AI6470" t="s">
        <v>39204</v>
      </c>
    </row>
    <row r="6471" spans="2:35" ht="255">
      <c r="B6471" s="1">
        <v>45198</v>
      </c>
      <c r="C6471" s="4">
        <v>45197.315972222219</v>
      </c>
      <c r="D6471" t="s">
        <v>1044</v>
      </c>
      <c r="E6471" t="s">
        <v>1045</v>
      </c>
      <c r="F6471">
        <v>1</v>
      </c>
      <c r="G6471" t="s">
        <v>1046</v>
      </c>
      <c r="H6471" t="s">
        <v>1047</v>
      </c>
      <c r="I6471" t="s">
        <v>40</v>
      </c>
      <c r="J6471" s="2" t="s">
        <v>41</v>
      </c>
      <c r="K6471" t="s">
        <v>42</v>
      </c>
      <c r="L6471" t="s">
        <v>1048</v>
      </c>
      <c r="Q6471">
        <v>26082</v>
      </c>
      <c r="R6471" t="s">
        <v>45</v>
      </c>
      <c r="S6471" t="s">
        <v>1050</v>
      </c>
      <c r="T6471">
        <v>24</v>
      </c>
      <c r="V6471" s="1">
        <v>45197</v>
      </c>
      <c r="W6471" t="s">
        <v>360</v>
      </c>
      <c r="X6471">
        <v>812830</v>
      </c>
      <c r="Y6471" t="s">
        <v>35729</v>
      </c>
      <c r="Z6471" s="2" t="s">
        <v>39205</v>
      </c>
      <c r="AA6471" t="s">
        <v>1926</v>
      </c>
      <c r="AB6471" t="s">
        <v>181</v>
      </c>
      <c r="AD6471" t="s">
        <v>39206</v>
      </c>
      <c r="AE6471" t="s">
        <v>103</v>
      </c>
      <c r="AG6471" t="s">
        <v>39207</v>
      </c>
      <c r="AH6471" t="s">
        <v>1055</v>
      </c>
      <c r="AI6471" t="s">
        <v>39208</v>
      </c>
    </row>
    <row r="6472" spans="2:35" ht="409.5">
      <c r="B6472" s="1">
        <v>45198</v>
      </c>
      <c r="C6472" s="4">
        <v>45198.40625</v>
      </c>
      <c r="D6472" t="s">
        <v>36713</v>
      </c>
      <c r="E6472" t="s">
        <v>39209</v>
      </c>
      <c r="F6472" t="s">
        <v>148</v>
      </c>
      <c r="G6472" t="s">
        <v>2007</v>
      </c>
      <c r="H6472" t="s">
        <v>662</v>
      </c>
      <c r="I6472" t="s">
        <v>40</v>
      </c>
      <c r="J6472" t="s">
        <v>525</v>
      </c>
      <c r="K6472" t="s">
        <v>42</v>
      </c>
      <c r="L6472" t="s">
        <v>448</v>
      </c>
      <c r="Q6472">
        <v>26081</v>
      </c>
      <c r="R6472" t="s">
        <v>95</v>
      </c>
      <c r="S6472" t="s">
        <v>4273</v>
      </c>
      <c r="T6472">
        <v>28</v>
      </c>
      <c r="U6472" s="2" t="s">
        <v>39210</v>
      </c>
      <c r="W6472" t="s">
        <v>360</v>
      </c>
      <c r="X6472">
        <v>110001647</v>
      </c>
      <c r="Y6472" t="s">
        <v>39211</v>
      </c>
      <c r="Z6472" s="2" t="s">
        <v>39212</v>
      </c>
      <c r="AA6472" t="s">
        <v>4487</v>
      </c>
      <c r="AB6472" t="s">
        <v>39213</v>
      </c>
      <c r="AC6472" t="s">
        <v>39214</v>
      </c>
      <c r="AG6472" t="s">
        <v>39215</v>
      </c>
      <c r="AH6472" t="s">
        <v>4278</v>
      </c>
      <c r="AI6472" t="s">
        <v>39216</v>
      </c>
    </row>
    <row r="6473" spans="2:35" ht="405">
      <c r="B6473" s="1">
        <v>45197</v>
      </c>
      <c r="C6473" s="4">
        <v>45197.637499999997</v>
      </c>
      <c r="D6473" t="s">
        <v>39217</v>
      </c>
      <c r="E6473" t="s">
        <v>39218</v>
      </c>
      <c r="F6473" t="s">
        <v>148</v>
      </c>
      <c r="G6473" t="s">
        <v>20126</v>
      </c>
      <c r="H6473" t="s">
        <v>39</v>
      </c>
      <c r="I6473" t="s">
        <v>94</v>
      </c>
      <c r="J6473" s="2" t="s">
        <v>190</v>
      </c>
      <c r="K6473" t="s">
        <v>42</v>
      </c>
      <c r="L6473" t="s">
        <v>15532</v>
      </c>
      <c r="Q6473">
        <v>26080</v>
      </c>
      <c r="R6473" t="s">
        <v>45</v>
      </c>
      <c r="S6473" t="s">
        <v>33837</v>
      </c>
      <c r="T6473">
        <v>32</v>
      </c>
      <c r="W6473" t="s">
        <v>597</v>
      </c>
      <c r="X6473">
        <v>812833</v>
      </c>
      <c r="Y6473" s="2" t="s">
        <v>39219</v>
      </c>
      <c r="Z6473" s="2" t="s">
        <v>39220</v>
      </c>
      <c r="AA6473" s="2" t="s">
        <v>39221</v>
      </c>
      <c r="AB6473" s="2" t="s">
        <v>39222</v>
      </c>
      <c r="AG6473" t="s">
        <v>39223</v>
      </c>
      <c r="AH6473" t="s">
        <v>33843</v>
      </c>
      <c r="AI6473" t="s">
        <v>39224</v>
      </c>
    </row>
    <row r="6474" spans="2:35" ht="405">
      <c r="B6474" s="1">
        <v>45197</v>
      </c>
      <c r="C6474" s="4">
        <v>45197.637499999997</v>
      </c>
      <c r="D6474" t="s">
        <v>39217</v>
      </c>
      <c r="E6474" t="s">
        <v>39218</v>
      </c>
      <c r="F6474" t="s">
        <v>148</v>
      </c>
      <c r="G6474" t="s">
        <v>20126</v>
      </c>
      <c r="H6474" t="s">
        <v>39</v>
      </c>
      <c r="I6474" t="s">
        <v>94</v>
      </c>
      <c r="J6474" s="2" t="s">
        <v>190</v>
      </c>
      <c r="K6474" t="s">
        <v>42</v>
      </c>
      <c r="L6474" t="s">
        <v>15532</v>
      </c>
      <c r="Q6474">
        <v>26079</v>
      </c>
      <c r="R6474" t="s">
        <v>45</v>
      </c>
      <c r="S6474" t="s">
        <v>33837</v>
      </c>
      <c r="T6474">
        <v>32</v>
      </c>
      <c r="W6474" t="s">
        <v>597</v>
      </c>
      <c r="X6474">
        <v>812833</v>
      </c>
      <c r="Y6474" s="2" t="s">
        <v>39219</v>
      </c>
      <c r="Z6474" s="2" t="s">
        <v>39220</v>
      </c>
      <c r="AA6474" s="2" t="s">
        <v>39221</v>
      </c>
      <c r="AB6474" s="2" t="s">
        <v>39222</v>
      </c>
      <c r="AG6474" t="s">
        <v>39225</v>
      </c>
      <c r="AH6474" t="s">
        <v>33843</v>
      </c>
      <c r="AI6474" t="s">
        <v>39226</v>
      </c>
    </row>
    <row r="6475" spans="2:35" ht="105">
      <c r="B6475" s="1">
        <v>45197</v>
      </c>
      <c r="C6475" s="4">
        <v>45197.627083333333</v>
      </c>
      <c r="D6475" t="s">
        <v>7951</v>
      </c>
      <c r="E6475" t="s">
        <v>7952</v>
      </c>
      <c r="F6475">
        <v>6</v>
      </c>
      <c r="G6475" t="s">
        <v>5216</v>
      </c>
      <c r="H6475" t="s">
        <v>39</v>
      </c>
      <c r="I6475" t="s">
        <v>40</v>
      </c>
      <c r="J6475" s="2" t="s">
        <v>62</v>
      </c>
      <c r="K6475" t="s">
        <v>42</v>
      </c>
      <c r="L6475" t="s">
        <v>343</v>
      </c>
      <c r="Q6475">
        <v>26078</v>
      </c>
      <c r="R6475" t="s">
        <v>119</v>
      </c>
      <c r="S6475" t="s">
        <v>35478</v>
      </c>
      <c r="T6475">
        <v>28</v>
      </c>
      <c r="U6475" s="2" t="s">
        <v>39227</v>
      </c>
      <c r="V6475" s="1">
        <v>45134</v>
      </c>
      <c r="W6475" t="s">
        <v>6105</v>
      </c>
      <c r="X6475">
        <v>838291</v>
      </c>
      <c r="Y6475" t="s">
        <v>3191</v>
      </c>
      <c r="Z6475" t="e">
        <f ca="1">-run XpertCheck CALIBRATION on ALL four modules</f>
        <v>#NAME?</v>
      </c>
      <c r="AA6475" t="e">
        <f ca="1">-XpertCheck CALIBRATION
-Preventive Maintenance</f>
        <v>#NAME?</v>
      </c>
      <c r="AB6475" t="s">
        <v>39228</v>
      </c>
      <c r="AC6475" t="s">
        <v>6590</v>
      </c>
      <c r="AD6475" t="s">
        <v>39229</v>
      </c>
      <c r="AE6475">
        <v>10312</v>
      </c>
      <c r="AG6475" t="s">
        <v>39230</v>
      </c>
      <c r="AH6475" t="s">
        <v>39231</v>
      </c>
      <c r="AI6475" t="s">
        <v>39232</v>
      </c>
    </row>
    <row r="6476" spans="2:35" ht="285">
      <c r="B6476" s="1">
        <v>45197</v>
      </c>
      <c r="C6476" s="4">
        <v>45197.618055555555</v>
      </c>
      <c r="D6476" t="s">
        <v>10967</v>
      </c>
      <c r="E6476" t="s">
        <v>14481</v>
      </c>
      <c r="F6476">
        <v>7</v>
      </c>
      <c r="G6476" t="s">
        <v>432</v>
      </c>
      <c r="H6476" t="s">
        <v>10969</v>
      </c>
      <c r="I6476" t="s">
        <v>40</v>
      </c>
      <c r="J6476" s="2" t="s">
        <v>1592</v>
      </c>
      <c r="K6476" t="s">
        <v>42</v>
      </c>
      <c r="L6476" t="s">
        <v>1288</v>
      </c>
      <c r="Q6476">
        <v>26077</v>
      </c>
      <c r="R6476" t="s">
        <v>45</v>
      </c>
      <c r="S6476" t="s">
        <v>33292</v>
      </c>
      <c r="T6476">
        <v>29</v>
      </c>
      <c r="U6476" s="2" t="s">
        <v>39233</v>
      </c>
      <c r="W6476" t="s">
        <v>1292</v>
      </c>
      <c r="X6476">
        <v>815275</v>
      </c>
      <c r="Y6476" s="2" t="s">
        <v>39234</v>
      </c>
      <c r="Z6476" t="e">
        <f ca="1">-COLLECT IQR, system _xludf.Log, _xludf.and ARCHIVE</f>
        <v>#NAME?</v>
      </c>
      <c r="AA6476" t="e">
        <f ca="1">-RESOLVE stuck cartridge issue
-PERFORM initial Troubleshooting
-PERFORM GX Cleaning _xludf.and Maintenance</f>
        <v>#NAME?</v>
      </c>
      <c r="AB6476" t="s">
        <v>39235</v>
      </c>
      <c r="AG6476" t="s">
        <v>39236</v>
      </c>
      <c r="AH6476" t="s">
        <v>507</v>
      </c>
      <c r="AI6476" t="s">
        <v>39237</v>
      </c>
    </row>
    <row r="6477" spans="2:35" ht="180">
      <c r="B6477" s="1">
        <v>45197</v>
      </c>
      <c r="C6477" s="4">
        <v>45197.602083333331</v>
      </c>
      <c r="D6477" t="s">
        <v>10122</v>
      </c>
      <c r="E6477" t="s">
        <v>35358</v>
      </c>
      <c r="F6477">
        <v>13</v>
      </c>
      <c r="G6477" t="s">
        <v>931</v>
      </c>
      <c r="H6477" t="s">
        <v>202</v>
      </c>
      <c r="I6477" t="s">
        <v>40</v>
      </c>
      <c r="J6477" s="2" t="s">
        <v>62</v>
      </c>
      <c r="K6477" t="s">
        <v>42</v>
      </c>
      <c r="L6477" t="s">
        <v>933</v>
      </c>
      <c r="Q6477">
        <v>26076</v>
      </c>
      <c r="R6477" t="s">
        <v>119</v>
      </c>
      <c r="S6477" t="s">
        <v>39238</v>
      </c>
      <c r="T6477">
        <v>30</v>
      </c>
      <c r="U6477" s="2" t="s">
        <v>39239</v>
      </c>
      <c r="V6477" s="1">
        <v>45139</v>
      </c>
      <c r="W6477" t="s">
        <v>3662</v>
      </c>
      <c r="X6477">
        <v>838514</v>
      </c>
      <c r="Y6477" t="s">
        <v>39240</v>
      </c>
      <c r="Z6477" t="s">
        <v>13654</v>
      </c>
      <c r="AA6477" s="2" t="s">
        <v>2397</v>
      </c>
      <c r="AB6477" t="s">
        <v>34152</v>
      </c>
      <c r="AD6477" t="s">
        <v>39241</v>
      </c>
      <c r="AE6477">
        <v>10386</v>
      </c>
      <c r="AG6477" t="s">
        <v>39242</v>
      </c>
      <c r="AH6477" t="s">
        <v>10130</v>
      </c>
      <c r="AI6477" t="s">
        <v>39243</v>
      </c>
    </row>
    <row r="6478" spans="2:35" ht="240">
      <c r="B6478" s="1">
        <v>45197</v>
      </c>
      <c r="C6478" s="4">
        <v>45197.605555555558</v>
      </c>
      <c r="D6478" t="s">
        <v>31758</v>
      </c>
      <c r="E6478" t="s">
        <v>39244</v>
      </c>
      <c r="F6478" t="s">
        <v>148</v>
      </c>
      <c r="G6478" t="s">
        <v>406</v>
      </c>
      <c r="H6478" t="s">
        <v>39</v>
      </c>
      <c r="I6478" t="s">
        <v>94</v>
      </c>
      <c r="J6478" s="2" t="s">
        <v>190</v>
      </c>
      <c r="K6478" t="s">
        <v>42</v>
      </c>
      <c r="L6478" t="s">
        <v>43</v>
      </c>
      <c r="Q6478">
        <v>26075</v>
      </c>
      <c r="R6478" t="s">
        <v>45</v>
      </c>
      <c r="S6478" t="s">
        <v>31748</v>
      </c>
      <c r="T6478">
        <v>26</v>
      </c>
      <c r="U6478" s="2" t="s">
        <v>39245</v>
      </c>
      <c r="W6478" t="s">
        <v>48</v>
      </c>
      <c r="X6478">
        <v>804702</v>
      </c>
      <c r="Y6478" t="s">
        <v>39246</v>
      </c>
      <c r="Z6478" t="s">
        <v>35780</v>
      </c>
      <c r="AA6478" s="2" t="s">
        <v>39247</v>
      </c>
      <c r="AB6478" t="s">
        <v>39248</v>
      </c>
      <c r="AG6478" t="s">
        <v>39249</v>
      </c>
      <c r="AH6478" t="s">
        <v>39250</v>
      </c>
      <c r="AI6478" t="s">
        <v>39251</v>
      </c>
    </row>
    <row r="6479" spans="2:35" ht="165">
      <c r="B6479" s="1">
        <v>45197</v>
      </c>
      <c r="C6479" s="4">
        <v>45197.599305555559</v>
      </c>
      <c r="D6479" t="s">
        <v>27474</v>
      </c>
      <c r="E6479" t="s">
        <v>39252</v>
      </c>
      <c r="F6479">
        <v>3</v>
      </c>
      <c r="G6479" t="s">
        <v>134</v>
      </c>
      <c r="H6479" t="s">
        <v>39</v>
      </c>
      <c r="I6479" t="s">
        <v>40</v>
      </c>
      <c r="J6479" s="2" t="s">
        <v>41</v>
      </c>
      <c r="K6479" t="s">
        <v>42</v>
      </c>
      <c r="L6479" t="s">
        <v>63</v>
      </c>
      <c r="Q6479">
        <v>26074</v>
      </c>
      <c r="R6479" t="s">
        <v>119</v>
      </c>
      <c r="S6479" t="s">
        <v>27476</v>
      </c>
      <c r="T6479">
        <v>29</v>
      </c>
      <c r="U6479" s="2" t="s">
        <v>39253</v>
      </c>
      <c r="V6479" s="1">
        <v>45197</v>
      </c>
      <c r="W6479" t="s">
        <v>26915</v>
      </c>
      <c r="X6479">
        <v>831873</v>
      </c>
      <c r="Y6479" t="s">
        <v>6973</v>
      </c>
      <c r="Z6479" t="s">
        <v>11377</v>
      </c>
      <c r="AA6479" s="2" t="s">
        <v>1727</v>
      </c>
      <c r="AB6479" t="s">
        <v>70</v>
      </c>
      <c r="AC6479" t="s">
        <v>11378</v>
      </c>
      <c r="AD6479" t="s">
        <v>1716</v>
      </c>
      <c r="AE6479" t="s">
        <v>1716</v>
      </c>
      <c r="AG6479" t="s">
        <v>39254</v>
      </c>
      <c r="AH6479" t="s">
        <v>39255</v>
      </c>
      <c r="AI6479" t="s">
        <v>39256</v>
      </c>
    </row>
    <row r="6480" spans="2:35" ht="105">
      <c r="B6480" s="1">
        <v>45197</v>
      </c>
      <c r="C6480" s="4">
        <v>45197.548611111109</v>
      </c>
      <c r="D6480" t="s">
        <v>39257</v>
      </c>
      <c r="E6480" t="s">
        <v>39258</v>
      </c>
      <c r="F6480">
        <v>9</v>
      </c>
      <c r="G6480" t="s">
        <v>1628</v>
      </c>
      <c r="H6480" t="s">
        <v>39</v>
      </c>
      <c r="I6480" t="s">
        <v>40</v>
      </c>
      <c r="J6480" s="2" t="s">
        <v>62</v>
      </c>
      <c r="K6480" t="s">
        <v>42</v>
      </c>
      <c r="L6480" t="s">
        <v>1257</v>
      </c>
      <c r="Q6480">
        <v>26073</v>
      </c>
      <c r="R6480" t="s">
        <v>45</v>
      </c>
      <c r="S6480" t="s">
        <v>39259</v>
      </c>
      <c r="T6480">
        <v>28</v>
      </c>
      <c r="U6480" s="2" t="s">
        <v>13483</v>
      </c>
      <c r="V6480" s="1">
        <v>45197</v>
      </c>
      <c r="W6480" t="s">
        <v>4904</v>
      </c>
      <c r="X6480">
        <v>834830</v>
      </c>
      <c r="Y6480" t="s">
        <v>301</v>
      </c>
      <c r="Z6480" t="s">
        <v>39260</v>
      </c>
      <c r="AA6480" t="s">
        <v>39261</v>
      </c>
      <c r="AB6480" t="s">
        <v>7411</v>
      </c>
      <c r="AC6480" t="s">
        <v>301</v>
      </c>
      <c r="AD6480" t="s">
        <v>54</v>
      </c>
      <c r="AE6480" t="s">
        <v>54</v>
      </c>
      <c r="AG6480" t="s">
        <v>39262</v>
      </c>
      <c r="AH6480" t="s">
        <v>39263</v>
      </c>
      <c r="AI6480" t="s">
        <v>39264</v>
      </c>
    </row>
    <row r="6481" spans="2:35">
      <c r="B6481" s="1">
        <v>45197</v>
      </c>
      <c r="C6481" s="4">
        <v>45197.556250000001</v>
      </c>
      <c r="D6481" t="s">
        <v>18972</v>
      </c>
      <c r="E6481" t="s">
        <v>5273</v>
      </c>
      <c r="F6481">
        <v>6</v>
      </c>
      <c r="G6481" t="s">
        <v>5216</v>
      </c>
      <c r="H6481" t="s">
        <v>1498</v>
      </c>
      <c r="I6481" t="s">
        <v>94</v>
      </c>
      <c r="J6481" t="s">
        <v>79</v>
      </c>
      <c r="K6481" t="s">
        <v>42</v>
      </c>
      <c r="L6481" t="s">
        <v>343</v>
      </c>
      <c r="Q6481">
        <v>26072</v>
      </c>
      <c r="R6481" t="s">
        <v>45</v>
      </c>
      <c r="S6481" t="s">
        <v>18974</v>
      </c>
      <c r="T6481">
        <v>21</v>
      </c>
      <c r="V6481" s="1">
        <v>45197</v>
      </c>
      <c r="W6481" t="s">
        <v>6105</v>
      </c>
      <c r="X6481">
        <v>838861</v>
      </c>
      <c r="Y6481" t="s">
        <v>16385</v>
      </c>
      <c r="Z6481" t="s">
        <v>39265</v>
      </c>
      <c r="AA6481" t="e">
        <f ca="1">-module Replacement</f>
        <v>#NAME?</v>
      </c>
      <c r="AB6481" t="s">
        <v>9638</v>
      </c>
      <c r="AD6481" t="s">
        <v>39266</v>
      </c>
      <c r="AE6481" t="s">
        <v>45</v>
      </c>
      <c r="AG6481" t="s">
        <v>39267</v>
      </c>
      <c r="AH6481" t="s">
        <v>18978</v>
      </c>
      <c r="AI6481" t="s">
        <v>39268</v>
      </c>
    </row>
    <row r="6482" spans="2:35" ht="180">
      <c r="B6482" s="1">
        <v>45197</v>
      </c>
      <c r="C6482" s="4">
        <v>45197.51666666667</v>
      </c>
      <c r="D6482" t="s">
        <v>25952</v>
      </c>
      <c r="E6482" t="s">
        <v>25953</v>
      </c>
      <c r="F6482" t="s">
        <v>148</v>
      </c>
      <c r="G6482" t="s">
        <v>447</v>
      </c>
      <c r="H6482" t="s">
        <v>39</v>
      </c>
      <c r="I6482" t="s">
        <v>40</v>
      </c>
      <c r="J6482" s="2" t="s">
        <v>41</v>
      </c>
      <c r="K6482" t="s">
        <v>42</v>
      </c>
      <c r="L6482" t="s">
        <v>175</v>
      </c>
      <c r="Q6482">
        <v>26071</v>
      </c>
      <c r="R6482" t="s">
        <v>119</v>
      </c>
      <c r="S6482" t="s">
        <v>25954</v>
      </c>
      <c r="T6482">
        <v>27</v>
      </c>
      <c r="U6482" s="2" t="s">
        <v>39269</v>
      </c>
      <c r="W6482" t="s">
        <v>84</v>
      </c>
      <c r="X6482">
        <v>831612</v>
      </c>
      <c r="Y6482" t="s">
        <v>39270</v>
      </c>
      <c r="Z6482" t="e">
        <f ca="1">- Manually removed stuck cartridge
- checked _xludf.and cleaned cartridge bay, plunger rod, _xludf.filter
- generated reports</f>
        <v>#NAME?</v>
      </c>
      <c r="AA6482" t="s">
        <v>8743</v>
      </c>
      <c r="AB6482" t="s">
        <v>88</v>
      </c>
      <c r="AG6482" t="s">
        <v>39271</v>
      </c>
      <c r="AH6482" t="s">
        <v>39272</v>
      </c>
      <c r="AI6482" t="s">
        <v>39273</v>
      </c>
    </row>
    <row r="6483" spans="2:35" ht="360">
      <c r="B6483" s="1">
        <v>45197</v>
      </c>
      <c r="C6483" s="4">
        <v>45197.393750000003</v>
      </c>
      <c r="D6483" t="s">
        <v>3521</v>
      </c>
      <c r="E6483" t="s">
        <v>39274</v>
      </c>
      <c r="F6483">
        <v>7</v>
      </c>
      <c r="G6483" t="s">
        <v>269</v>
      </c>
      <c r="H6483" t="s">
        <v>258</v>
      </c>
      <c r="I6483" t="s">
        <v>94</v>
      </c>
      <c r="J6483" s="2" t="s">
        <v>41</v>
      </c>
      <c r="K6483" t="s">
        <v>42</v>
      </c>
      <c r="L6483" t="s">
        <v>270</v>
      </c>
      <c r="Q6483">
        <v>26070</v>
      </c>
      <c r="R6483" t="s">
        <v>45</v>
      </c>
      <c r="S6483" t="s">
        <v>3523</v>
      </c>
      <c r="T6483">
        <v>24</v>
      </c>
      <c r="U6483" s="2" t="s">
        <v>39275</v>
      </c>
      <c r="W6483" t="s">
        <v>16530</v>
      </c>
      <c r="X6483">
        <v>835097</v>
      </c>
      <c r="Y6483" t="s">
        <v>39276</v>
      </c>
      <c r="Z6483" t="e">
        <f ca="1">- Preventive Maintenance (module bay Cleaning, optic slots Cleaning, _xludf.filter Cleaning, ARCHIVE tests, Backup)</f>
        <v>#NAME?</v>
      </c>
      <c r="AA6483" s="2" t="s">
        <v>39277</v>
      </c>
      <c r="AB6483" t="s">
        <v>39278</v>
      </c>
      <c r="AG6483" t="s">
        <v>39279</v>
      </c>
      <c r="AH6483" t="s">
        <v>3531</v>
      </c>
      <c r="AI6483" t="s">
        <v>39280</v>
      </c>
    </row>
    <row r="6484" spans="2:35" ht="409.5">
      <c r="B6484" s="1">
        <v>45197</v>
      </c>
      <c r="C6484" s="4">
        <v>45197.362500000003</v>
      </c>
      <c r="D6484" t="s">
        <v>29913</v>
      </c>
      <c r="E6484" t="s">
        <v>1344</v>
      </c>
      <c r="F6484">
        <v>8</v>
      </c>
      <c r="G6484" t="s">
        <v>342</v>
      </c>
      <c r="H6484" t="s">
        <v>36499</v>
      </c>
      <c r="I6484" t="s">
        <v>40</v>
      </c>
      <c r="J6484" s="2" t="s">
        <v>41</v>
      </c>
      <c r="K6484" t="s">
        <v>42</v>
      </c>
      <c r="L6484" t="s">
        <v>259</v>
      </c>
      <c r="Q6484">
        <v>26069</v>
      </c>
      <c r="R6484" t="s">
        <v>45</v>
      </c>
      <c r="S6484" t="s">
        <v>39281</v>
      </c>
      <c r="T6484">
        <v>20</v>
      </c>
      <c r="V6484" s="1">
        <v>45197</v>
      </c>
      <c r="W6484" t="s">
        <v>84</v>
      </c>
      <c r="X6484">
        <v>707521</v>
      </c>
      <c r="Y6484" t="s">
        <v>39282</v>
      </c>
      <c r="Z6484" t="e">
        <f ca="1">- module Replacement
- Preventive Maintenance</f>
        <v>#NAME?</v>
      </c>
      <c r="AA6484" s="2" t="s">
        <v>39283</v>
      </c>
      <c r="AB6484" t="s">
        <v>70</v>
      </c>
      <c r="AD6484" t="s">
        <v>39284</v>
      </c>
      <c r="AE6484" t="s">
        <v>45</v>
      </c>
      <c r="AG6484" t="s">
        <v>39285</v>
      </c>
      <c r="AH6484" t="s">
        <v>39286</v>
      </c>
      <c r="AI6484" t="s">
        <v>39287</v>
      </c>
    </row>
    <row r="6485" spans="2:35" ht="409.5">
      <c r="B6485" s="1">
        <v>45197</v>
      </c>
      <c r="C6485" s="4">
        <v>45197.362500000003</v>
      </c>
      <c r="D6485" t="s">
        <v>29913</v>
      </c>
      <c r="E6485" t="s">
        <v>1344</v>
      </c>
      <c r="F6485">
        <v>8</v>
      </c>
      <c r="G6485" t="s">
        <v>342</v>
      </c>
      <c r="H6485" t="s">
        <v>36499</v>
      </c>
      <c r="I6485" t="s">
        <v>40</v>
      </c>
      <c r="J6485" s="2" t="s">
        <v>41</v>
      </c>
      <c r="K6485" t="s">
        <v>42</v>
      </c>
      <c r="L6485" t="s">
        <v>259</v>
      </c>
      <c r="Q6485">
        <v>26068</v>
      </c>
      <c r="R6485" t="s">
        <v>45</v>
      </c>
      <c r="S6485" t="s">
        <v>25575</v>
      </c>
      <c r="T6485">
        <v>20</v>
      </c>
      <c r="V6485" s="1">
        <v>45197</v>
      </c>
      <c r="W6485" t="s">
        <v>84</v>
      </c>
      <c r="X6485">
        <v>707521</v>
      </c>
      <c r="Y6485" t="s">
        <v>39282</v>
      </c>
      <c r="Z6485" t="e">
        <f ca="1">- module Replacement
- Preventive Maintenance</f>
        <v>#NAME?</v>
      </c>
      <c r="AA6485" s="2" t="s">
        <v>39283</v>
      </c>
      <c r="AB6485" t="s">
        <v>70</v>
      </c>
      <c r="AD6485" t="s">
        <v>39284</v>
      </c>
      <c r="AE6485" t="s">
        <v>45</v>
      </c>
      <c r="AG6485" t="s">
        <v>39288</v>
      </c>
      <c r="AH6485" t="s">
        <v>39286</v>
      </c>
      <c r="AI6485" t="s">
        <v>39289</v>
      </c>
    </row>
    <row r="6486" spans="2:35" ht="180">
      <c r="B6486" s="1">
        <v>45196</v>
      </c>
      <c r="C6486" s="4">
        <v>45196.908333333333</v>
      </c>
      <c r="D6486" t="s">
        <v>33845</v>
      </c>
      <c r="E6486" t="s">
        <v>18538</v>
      </c>
      <c r="F6486" t="s">
        <v>148</v>
      </c>
      <c r="G6486" t="s">
        <v>447</v>
      </c>
      <c r="H6486" t="s">
        <v>39</v>
      </c>
      <c r="I6486" t="s">
        <v>40</v>
      </c>
      <c r="J6486" s="2" t="s">
        <v>41</v>
      </c>
      <c r="K6486" t="s">
        <v>42</v>
      </c>
      <c r="L6486" t="s">
        <v>15532</v>
      </c>
      <c r="Q6486">
        <v>26067</v>
      </c>
      <c r="R6486" t="s">
        <v>45</v>
      </c>
      <c r="S6486" t="s">
        <v>675</v>
      </c>
      <c r="T6486">
        <v>25</v>
      </c>
      <c r="U6486" s="2" t="s">
        <v>39290</v>
      </c>
      <c r="V6486" s="1">
        <v>45195</v>
      </c>
      <c r="W6486" t="s">
        <v>3244</v>
      </c>
      <c r="X6486">
        <v>707527</v>
      </c>
      <c r="Y6486" t="s">
        <v>2514</v>
      </c>
      <c r="Z6486" s="2" t="s">
        <v>39291</v>
      </c>
      <c r="AA6486" s="2" t="s">
        <v>39292</v>
      </c>
      <c r="AB6486" s="2" t="s">
        <v>15539</v>
      </c>
      <c r="AD6486" t="s">
        <v>39293</v>
      </c>
      <c r="AE6486" t="s">
        <v>39294</v>
      </c>
      <c r="AG6486" t="s">
        <v>39295</v>
      </c>
      <c r="AH6486" t="s">
        <v>39296</v>
      </c>
      <c r="AI6486" t="s">
        <v>39297</v>
      </c>
    </row>
    <row r="6487" spans="2:35" ht="225">
      <c r="B6487" s="1">
        <v>45196</v>
      </c>
      <c r="C6487" s="4">
        <v>45196.683333333334</v>
      </c>
      <c r="D6487" t="s">
        <v>3905</v>
      </c>
      <c r="E6487" t="s">
        <v>39298</v>
      </c>
      <c r="F6487" t="s">
        <v>148</v>
      </c>
      <c r="G6487" t="s">
        <v>406</v>
      </c>
      <c r="H6487" t="s">
        <v>39</v>
      </c>
      <c r="I6487" t="s">
        <v>40</v>
      </c>
      <c r="J6487" s="2" t="s">
        <v>609</v>
      </c>
      <c r="K6487" t="s">
        <v>42</v>
      </c>
      <c r="L6487" t="s">
        <v>43</v>
      </c>
      <c r="Q6487">
        <v>26066</v>
      </c>
      <c r="R6487" t="s">
        <v>45</v>
      </c>
      <c r="S6487" t="s">
        <v>39299</v>
      </c>
      <c r="T6487">
        <v>25</v>
      </c>
      <c r="U6487" s="2" t="s">
        <v>39300</v>
      </c>
      <c r="W6487" t="s">
        <v>48</v>
      </c>
      <c r="X6487">
        <v>814372</v>
      </c>
      <c r="Y6487" t="s">
        <v>121</v>
      </c>
      <c r="Z6487" t="s">
        <v>122</v>
      </c>
      <c r="AA6487" s="2" t="s">
        <v>39301</v>
      </c>
      <c r="AB6487" t="s">
        <v>16412</v>
      </c>
      <c r="AG6487" t="s">
        <v>39302</v>
      </c>
      <c r="AH6487" t="s">
        <v>39303</v>
      </c>
      <c r="AI6487" t="s">
        <v>39304</v>
      </c>
    </row>
    <row r="6488" spans="2:35" ht="300">
      <c r="B6488" s="1">
        <v>45196</v>
      </c>
      <c r="C6488" s="4">
        <v>45195.356249999997</v>
      </c>
      <c r="D6488" t="s">
        <v>3010</v>
      </c>
      <c r="E6488" t="s">
        <v>14119</v>
      </c>
      <c r="F6488">
        <v>1</v>
      </c>
      <c r="G6488" t="s">
        <v>1046</v>
      </c>
      <c r="H6488" t="s">
        <v>39</v>
      </c>
      <c r="I6488" t="s">
        <v>40</v>
      </c>
      <c r="J6488" t="s">
        <v>109</v>
      </c>
      <c r="K6488" t="s">
        <v>42</v>
      </c>
      <c r="L6488" t="s">
        <v>1048</v>
      </c>
      <c r="Q6488">
        <v>26065</v>
      </c>
      <c r="R6488" t="s">
        <v>45</v>
      </c>
      <c r="S6488" t="s">
        <v>30964</v>
      </c>
      <c r="T6488">
        <v>27</v>
      </c>
      <c r="U6488" s="2" t="s">
        <v>39305</v>
      </c>
      <c r="W6488" t="s">
        <v>360</v>
      </c>
      <c r="X6488">
        <v>804726</v>
      </c>
      <c r="Y6488" t="s">
        <v>19210</v>
      </c>
      <c r="Z6488" t="e">
        <f ca="1">- cleaned cartridge Bays, plunger Rods _xludf.and I-CORE
- generated reports</f>
        <v>#NAME?</v>
      </c>
      <c r="AA6488" t="s">
        <v>122</v>
      </c>
      <c r="AB6488" t="s">
        <v>181</v>
      </c>
      <c r="AG6488" t="s">
        <v>39306</v>
      </c>
      <c r="AH6488" t="s">
        <v>39307</v>
      </c>
      <c r="AI6488" t="s">
        <v>39308</v>
      </c>
    </row>
    <row r="6489" spans="2:35" ht="195">
      <c r="B6489" s="1">
        <v>45196</v>
      </c>
      <c r="C6489" s="4">
        <v>45195.361111111109</v>
      </c>
      <c r="D6489" t="s">
        <v>3010</v>
      </c>
      <c r="E6489" t="s">
        <v>3011</v>
      </c>
      <c r="F6489">
        <v>1</v>
      </c>
      <c r="G6489" t="s">
        <v>1046</v>
      </c>
      <c r="H6489" t="s">
        <v>39</v>
      </c>
      <c r="I6489" t="s">
        <v>40</v>
      </c>
      <c r="J6489" t="s">
        <v>109</v>
      </c>
      <c r="K6489" t="s">
        <v>42</v>
      </c>
      <c r="L6489" t="s">
        <v>1048</v>
      </c>
      <c r="Q6489">
        <v>26064</v>
      </c>
      <c r="R6489" t="s">
        <v>45</v>
      </c>
      <c r="S6489" t="s">
        <v>30964</v>
      </c>
      <c r="T6489">
        <v>30</v>
      </c>
      <c r="U6489" s="2" t="s">
        <v>39309</v>
      </c>
      <c r="W6489" t="s">
        <v>31945</v>
      </c>
      <c r="X6489">
        <v>842230</v>
      </c>
      <c r="Y6489" t="s">
        <v>19210</v>
      </c>
      <c r="Z6489" t="e">
        <f ca="1">- cleaned cartridge Bays, plunger Rods _xludf.and I-CORE
- generated reports</f>
        <v>#NAME?</v>
      </c>
      <c r="AA6489" t="s">
        <v>19210</v>
      </c>
      <c r="AB6489" t="s">
        <v>181</v>
      </c>
      <c r="AG6489" t="s">
        <v>39310</v>
      </c>
      <c r="AH6489" t="s">
        <v>35744</v>
      </c>
      <c r="AI6489" t="s">
        <v>39311</v>
      </c>
    </row>
    <row r="6490" spans="2:35" ht="90">
      <c r="B6490" s="1">
        <v>45196</v>
      </c>
      <c r="C6490" s="4">
        <v>45196.558333333334</v>
      </c>
      <c r="D6490" t="s">
        <v>4953</v>
      </c>
      <c r="E6490" t="s">
        <v>4954</v>
      </c>
      <c r="F6490">
        <v>1</v>
      </c>
      <c r="G6490" t="s">
        <v>1046</v>
      </c>
      <c r="H6490" t="s">
        <v>1047</v>
      </c>
      <c r="I6490" t="s">
        <v>40</v>
      </c>
      <c r="J6490" s="2" t="s">
        <v>355</v>
      </c>
      <c r="K6490" t="s">
        <v>42</v>
      </c>
      <c r="L6490" t="s">
        <v>1048</v>
      </c>
      <c r="Q6490">
        <v>26063</v>
      </c>
      <c r="R6490" t="s">
        <v>119</v>
      </c>
      <c r="S6490" t="s">
        <v>4955</v>
      </c>
      <c r="T6490">
        <v>29</v>
      </c>
      <c r="W6490" t="s">
        <v>360</v>
      </c>
      <c r="X6490">
        <v>838437</v>
      </c>
      <c r="Y6490" t="s">
        <v>39312</v>
      </c>
      <c r="Z6490" t="e">
        <f ca="1">- cleaned cartridge Bays, plunger Rods _xludf.and I-CORE
- generated reports</f>
        <v>#NAME?</v>
      </c>
      <c r="AA6490" t="s">
        <v>39313</v>
      </c>
      <c r="AB6490" t="s">
        <v>181</v>
      </c>
      <c r="AC6490" t="s">
        <v>39314</v>
      </c>
      <c r="AG6490" t="s">
        <v>39315</v>
      </c>
      <c r="AH6490" t="s">
        <v>4958</v>
      </c>
      <c r="AI6490" t="s">
        <v>39316</v>
      </c>
    </row>
    <row r="6491" spans="2:35" ht="180">
      <c r="B6491" s="1">
        <v>45196</v>
      </c>
      <c r="C6491" s="4">
        <v>45196.574305555558</v>
      </c>
      <c r="D6491" t="s">
        <v>26545</v>
      </c>
      <c r="E6491" t="s">
        <v>39317</v>
      </c>
      <c r="F6491">
        <v>13</v>
      </c>
      <c r="G6491" t="s">
        <v>7763</v>
      </c>
      <c r="H6491" t="s">
        <v>2125</v>
      </c>
      <c r="I6491" t="s">
        <v>40</v>
      </c>
      <c r="J6491" s="2" t="s">
        <v>62</v>
      </c>
      <c r="K6491" t="s">
        <v>42</v>
      </c>
      <c r="L6491" t="s">
        <v>933</v>
      </c>
      <c r="Q6491">
        <v>26062</v>
      </c>
      <c r="R6491" t="s">
        <v>45</v>
      </c>
      <c r="S6491" t="s">
        <v>26547</v>
      </c>
      <c r="T6491">
        <v>30</v>
      </c>
      <c r="U6491" s="2" t="s">
        <v>39318</v>
      </c>
      <c r="W6491" t="s">
        <v>3662</v>
      </c>
      <c r="X6491">
        <v>815391</v>
      </c>
      <c r="Y6491" t="s">
        <v>39319</v>
      </c>
      <c r="Z6491" t="s">
        <v>13654</v>
      </c>
      <c r="AA6491" s="2" t="s">
        <v>2397</v>
      </c>
      <c r="AB6491" t="s">
        <v>39320</v>
      </c>
      <c r="AG6491" t="s">
        <v>39321</v>
      </c>
      <c r="AH6491" t="s">
        <v>26553</v>
      </c>
      <c r="AI6491" t="s">
        <v>39322</v>
      </c>
    </row>
    <row r="6492" spans="2:35" ht="390">
      <c r="B6492" s="1">
        <v>45196</v>
      </c>
      <c r="C6492" s="4">
        <v>45196.569444444445</v>
      </c>
      <c r="D6492" t="s">
        <v>7826</v>
      </c>
      <c r="E6492" t="s">
        <v>7827</v>
      </c>
      <c r="F6492">
        <v>11</v>
      </c>
      <c r="G6492" t="s">
        <v>1759</v>
      </c>
      <c r="H6492" t="s">
        <v>202</v>
      </c>
      <c r="I6492" t="s">
        <v>40</v>
      </c>
      <c r="J6492" s="2" t="s">
        <v>62</v>
      </c>
      <c r="K6492" t="s">
        <v>42</v>
      </c>
      <c r="L6492" t="s">
        <v>204</v>
      </c>
      <c r="Q6492">
        <v>26061</v>
      </c>
      <c r="R6492" t="s">
        <v>119</v>
      </c>
      <c r="S6492" t="s">
        <v>7828</v>
      </c>
      <c r="T6492">
        <v>25.6</v>
      </c>
      <c r="U6492" s="2" t="s">
        <v>39323</v>
      </c>
      <c r="V6492" s="1">
        <v>45141</v>
      </c>
      <c r="W6492" t="s">
        <v>23237</v>
      </c>
      <c r="X6492">
        <v>838487</v>
      </c>
      <c r="Y6492" t="s">
        <v>27855</v>
      </c>
      <c r="Z6492" s="2" t="s">
        <v>30713</v>
      </c>
      <c r="AA6492" t="s">
        <v>39324</v>
      </c>
      <c r="AB6492" s="2" t="s">
        <v>39325</v>
      </c>
      <c r="AC6492" t="s">
        <v>39326</v>
      </c>
      <c r="AD6492" t="s">
        <v>39327</v>
      </c>
      <c r="AE6492" t="s">
        <v>39328</v>
      </c>
      <c r="AG6492" t="s">
        <v>39329</v>
      </c>
      <c r="AH6492" t="s">
        <v>13935</v>
      </c>
      <c r="AI6492" t="s">
        <v>39330</v>
      </c>
    </row>
    <row r="6493" spans="2:35" ht="120">
      <c r="B6493" s="1">
        <v>45196</v>
      </c>
      <c r="C6493" s="4">
        <v>45196.518750000003</v>
      </c>
      <c r="D6493" t="s">
        <v>228</v>
      </c>
      <c r="E6493" t="s">
        <v>9436</v>
      </c>
      <c r="F6493" t="s">
        <v>148</v>
      </c>
      <c r="G6493" t="s">
        <v>230</v>
      </c>
      <c r="H6493" t="s">
        <v>39</v>
      </c>
      <c r="I6493" t="s">
        <v>40</v>
      </c>
      <c r="J6493" t="s">
        <v>79</v>
      </c>
      <c r="K6493" t="s">
        <v>42</v>
      </c>
      <c r="L6493" t="s">
        <v>175</v>
      </c>
      <c r="Q6493">
        <v>26060</v>
      </c>
      <c r="R6493" t="s">
        <v>45</v>
      </c>
      <c r="S6493" t="s">
        <v>23986</v>
      </c>
      <c r="T6493">
        <v>25</v>
      </c>
      <c r="U6493" s="2" t="s">
        <v>39331</v>
      </c>
      <c r="V6493" s="1">
        <v>45196</v>
      </c>
      <c r="W6493" t="s">
        <v>84</v>
      </c>
      <c r="X6493">
        <v>805062</v>
      </c>
      <c r="Y6493" t="s">
        <v>29266</v>
      </c>
      <c r="Z6493" t="e">
        <f ca="1">- replaced A3, A4
- checked _xludf.and cleaned cartridge bay, plunger rod, _xludf.filter
- generated reports</f>
        <v>#NAME?</v>
      </c>
      <c r="AA6493" t="s">
        <v>39332</v>
      </c>
      <c r="AB6493" t="s">
        <v>88</v>
      </c>
      <c r="AD6493" s="2" t="s">
        <v>39333</v>
      </c>
      <c r="AE6493" t="s">
        <v>103</v>
      </c>
      <c r="AG6493" t="s">
        <v>39334</v>
      </c>
      <c r="AH6493" t="s">
        <v>33059</v>
      </c>
      <c r="AI6493" t="s">
        <v>39335</v>
      </c>
    </row>
    <row r="6494" spans="2:35" ht="409.5">
      <c r="B6494" s="1">
        <v>45196</v>
      </c>
      <c r="C6494" s="4">
        <v>45196.542361111111</v>
      </c>
      <c r="D6494" t="s">
        <v>4118</v>
      </c>
      <c r="E6494" t="s">
        <v>39336</v>
      </c>
      <c r="F6494">
        <v>5</v>
      </c>
      <c r="G6494" t="s">
        <v>759</v>
      </c>
      <c r="H6494" t="s">
        <v>39</v>
      </c>
      <c r="I6494" t="s">
        <v>94</v>
      </c>
      <c r="J6494" t="s">
        <v>109</v>
      </c>
      <c r="K6494" t="s">
        <v>42</v>
      </c>
      <c r="L6494" t="s">
        <v>761</v>
      </c>
      <c r="Q6494">
        <v>26059</v>
      </c>
      <c r="R6494" t="s">
        <v>95</v>
      </c>
      <c r="S6494" t="s">
        <v>39337</v>
      </c>
      <c r="T6494">
        <v>27</v>
      </c>
      <c r="U6494" s="2" t="s">
        <v>39338</v>
      </c>
      <c r="W6494" t="s">
        <v>817</v>
      </c>
      <c r="X6494">
        <v>110017942</v>
      </c>
      <c r="Y6494" t="s">
        <v>1052</v>
      </c>
      <c r="Z6494" s="2" t="s">
        <v>39339</v>
      </c>
      <c r="AA6494" t="s">
        <v>820</v>
      </c>
      <c r="AB6494" t="s">
        <v>70</v>
      </c>
      <c r="AG6494" t="s">
        <v>39340</v>
      </c>
      <c r="AH6494" t="s">
        <v>39341</v>
      </c>
      <c r="AI6494" t="s">
        <v>39342</v>
      </c>
    </row>
    <row r="6495" spans="2:35" ht="165">
      <c r="B6495" s="1">
        <v>45196</v>
      </c>
      <c r="C6495" s="4">
        <v>45196.551388888889</v>
      </c>
      <c r="D6495" t="s">
        <v>32053</v>
      </c>
      <c r="E6495" t="s">
        <v>37133</v>
      </c>
      <c r="F6495" t="s">
        <v>148</v>
      </c>
      <c r="G6495" t="s">
        <v>32055</v>
      </c>
      <c r="H6495" t="s">
        <v>39</v>
      </c>
      <c r="I6495" t="s">
        <v>40</v>
      </c>
      <c r="J6495" s="2" t="s">
        <v>1444</v>
      </c>
      <c r="K6495" t="s">
        <v>42</v>
      </c>
      <c r="L6495" t="s">
        <v>43</v>
      </c>
      <c r="Q6495">
        <v>26058</v>
      </c>
      <c r="R6495" t="s">
        <v>45</v>
      </c>
      <c r="S6495" t="s">
        <v>32056</v>
      </c>
      <c r="T6495">
        <v>25</v>
      </c>
      <c r="U6495" s="2" t="s">
        <v>39343</v>
      </c>
      <c r="W6495" t="s">
        <v>48</v>
      </c>
      <c r="X6495">
        <v>838881</v>
      </c>
      <c r="Y6495" t="s">
        <v>39344</v>
      </c>
      <c r="Z6495" t="s">
        <v>39345</v>
      </c>
      <c r="AA6495" s="2" t="s">
        <v>39346</v>
      </c>
      <c r="AB6495" t="s">
        <v>39347</v>
      </c>
      <c r="AG6495" t="s">
        <v>39348</v>
      </c>
      <c r="AH6495" t="s">
        <v>37140</v>
      </c>
      <c r="AI6495" t="s">
        <v>39349</v>
      </c>
    </row>
    <row r="6496" spans="2:35" ht="210">
      <c r="B6496" s="1">
        <v>45196</v>
      </c>
      <c r="C6496" s="4">
        <v>45196.553472222222</v>
      </c>
      <c r="D6496" t="s">
        <v>32053</v>
      </c>
      <c r="E6496" t="s">
        <v>37133</v>
      </c>
      <c r="F6496" t="s">
        <v>148</v>
      </c>
      <c r="G6496" t="s">
        <v>32055</v>
      </c>
      <c r="H6496" t="s">
        <v>39</v>
      </c>
      <c r="I6496" t="s">
        <v>40</v>
      </c>
      <c r="J6496" t="s">
        <v>109</v>
      </c>
      <c r="K6496" t="s">
        <v>42</v>
      </c>
      <c r="L6496" t="s">
        <v>43</v>
      </c>
      <c r="Q6496">
        <v>26057</v>
      </c>
      <c r="R6496" t="s">
        <v>45</v>
      </c>
      <c r="S6496" t="s">
        <v>32056</v>
      </c>
      <c r="T6496">
        <v>25</v>
      </c>
      <c r="U6496" s="2" t="s">
        <v>39350</v>
      </c>
      <c r="W6496" t="s">
        <v>39351</v>
      </c>
      <c r="X6496">
        <v>834803</v>
      </c>
      <c r="Y6496" t="s">
        <v>121</v>
      </c>
      <c r="Z6496" t="s">
        <v>122</v>
      </c>
      <c r="AA6496" s="2" t="s">
        <v>33688</v>
      </c>
      <c r="AB6496" t="s">
        <v>16412</v>
      </c>
      <c r="AG6496" t="s">
        <v>39352</v>
      </c>
      <c r="AH6496" t="s">
        <v>37140</v>
      </c>
      <c r="AI6496" t="s">
        <v>39353</v>
      </c>
    </row>
    <row r="6497" spans="2:35" ht="405">
      <c r="B6497" s="1">
        <v>45196</v>
      </c>
      <c r="C6497" s="4">
        <v>45196.529861111114</v>
      </c>
      <c r="D6497" t="s">
        <v>21845</v>
      </c>
      <c r="E6497" t="s">
        <v>21846</v>
      </c>
      <c r="F6497">
        <v>3</v>
      </c>
      <c r="G6497" t="s">
        <v>219</v>
      </c>
      <c r="H6497" t="s">
        <v>39</v>
      </c>
      <c r="I6497" t="s">
        <v>40</v>
      </c>
      <c r="J6497" s="2" t="s">
        <v>62</v>
      </c>
      <c r="K6497" t="s">
        <v>42</v>
      </c>
      <c r="L6497" t="s">
        <v>135</v>
      </c>
      <c r="Q6497">
        <v>26056</v>
      </c>
      <c r="R6497" t="s">
        <v>119</v>
      </c>
      <c r="S6497" t="s">
        <v>21847</v>
      </c>
      <c r="T6497">
        <v>26</v>
      </c>
      <c r="U6497" s="2" t="s">
        <v>39354</v>
      </c>
      <c r="W6497" t="s">
        <v>2680</v>
      </c>
      <c r="X6497">
        <v>831608</v>
      </c>
      <c r="Y6497" t="s">
        <v>39355</v>
      </c>
      <c r="Z6497" t="s">
        <v>11518</v>
      </c>
      <c r="AA6497" s="2" t="s">
        <v>29788</v>
      </c>
      <c r="AB6497" t="s">
        <v>9323</v>
      </c>
      <c r="AG6497" t="s">
        <v>39356</v>
      </c>
      <c r="AH6497" t="s">
        <v>26191</v>
      </c>
      <c r="AI6497" t="s">
        <v>39357</v>
      </c>
    </row>
    <row r="6498" spans="2:35" ht="135">
      <c r="B6498" s="1">
        <v>45196</v>
      </c>
      <c r="C6498" s="4">
        <v>45196.515277777777</v>
      </c>
      <c r="D6498" t="s">
        <v>10170</v>
      </c>
      <c r="E6498" t="s">
        <v>39358</v>
      </c>
      <c r="F6498">
        <v>7</v>
      </c>
      <c r="G6498" t="s">
        <v>432</v>
      </c>
      <c r="H6498" t="s">
        <v>2290</v>
      </c>
      <c r="I6498" t="s">
        <v>94</v>
      </c>
      <c r="J6498" t="s">
        <v>109</v>
      </c>
      <c r="K6498" t="s">
        <v>42</v>
      </c>
      <c r="L6498" t="s">
        <v>610</v>
      </c>
      <c r="Q6498">
        <v>26055</v>
      </c>
      <c r="R6498" t="s">
        <v>119</v>
      </c>
      <c r="S6498" t="s">
        <v>6211</v>
      </c>
      <c r="T6498">
        <v>27</v>
      </c>
      <c r="U6498" s="2" t="s">
        <v>17755</v>
      </c>
      <c r="W6498" t="s">
        <v>502</v>
      </c>
      <c r="X6498">
        <v>838534</v>
      </c>
      <c r="Y6498" s="2" t="s">
        <v>39359</v>
      </c>
      <c r="Z6498" t="s">
        <v>39360</v>
      </c>
      <c r="AA6498" t="s">
        <v>39361</v>
      </c>
      <c r="AB6498" t="s">
        <v>1263</v>
      </c>
      <c r="AG6498" t="s">
        <v>39362</v>
      </c>
      <c r="AH6498" t="s">
        <v>39363</v>
      </c>
      <c r="AI6498" t="s">
        <v>39364</v>
      </c>
    </row>
    <row r="6499" spans="2:35" ht="210">
      <c r="B6499" s="1">
        <v>45196</v>
      </c>
      <c r="C6499" s="4">
        <v>45196.511111111111</v>
      </c>
      <c r="D6499" t="s">
        <v>39365</v>
      </c>
      <c r="E6499" t="s">
        <v>39366</v>
      </c>
      <c r="F6499">
        <v>6</v>
      </c>
      <c r="G6499" t="s">
        <v>9400</v>
      </c>
      <c r="H6499" t="s">
        <v>150</v>
      </c>
      <c r="I6499" t="s">
        <v>94</v>
      </c>
      <c r="J6499" t="s">
        <v>109</v>
      </c>
      <c r="K6499" t="s">
        <v>42</v>
      </c>
      <c r="L6499" t="s">
        <v>343</v>
      </c>
      <c r="Q6499">
        <v>26054</v>
      </c>
      <c r="R6499" t="s">
        <v>45</v>
      </c>
      <c r="S6499" t="s">
        <v>39367</v>
      </c>
      <c r="T6499">
        <v>24.7</v>
      </c>
      <c r="U6499" s="2" t="s">
        <v>39368</v>
      </c>
      <c r="W6499" t="s">
        <v>35955</v>
      </c>
      <c r="X6499">
        <v>835096</v>
      </c>
      <c r="Y6499" t="s">
        <v>301</v>
      </c>
      <c r="Z6499" t="s">
        <v>301</v>
      </c>
      <c r="AA6499" s="2" t="s">
        <v>39369</v>
      </c>
      <c r="AB6499" t="s">
        <v>39370</v>
      </c>
      <c r="AG6499" t="s">
        <v>39371</v>
      </c>
      <c r="AH6499" t="s">
        <v>39372</v>
      </c>
      <c r="AI6499" t="s">
        <v>39373</v>
      </c>
    </row>
    <row r="6500" spans="2:35" ht="60">
      <c r="B6500" s="1">
        <v>45196</v>
      </c>
      <c r="C6500" s="4">
        <v>45196.490972222222</v>
      </c>
      <c r="D6500" t="s">
        <v>9062</v>
      </c>
      <c r="E6500" t="s">
        <v>39374</v>
      </c>
      <c r="F6500">
        <v>8</v>
      </c>
      <c r="G6500" t="s">
        <v>342</v>
      </c>
      <c r="H6500" t="s">
        <v>39</v>
      </c>
      <c r="I6500" t="s">
        <v>40</v>
      </c>
      <c r="J6500" s="2" t="s">
        <v>62</v>
      </c>
      <c r="K6500" t="s">
        <v>42</v>
      </c>
      <c r="L6500" t="s">
        <v>259</v>
      </c>
      <c r="Q6500">
        <v>26053</v>
      </c>
      <c r="R6500" t="s">
        <v>119</v>
      </c>
      <c r="S6500" t="s">
        <v>11350</v>
      </c>
      <c r="T6500">
        <v>27</v>
      </c>
      <c r="V6500" s="1">
        <v>45196</v>
      </c>
      <c r="W6500" t="s">
        <v>84</v>
      </c>
      <c r="X6500">
        <v>838399</v>
      </c>
      <c r="Y6500" t="s">
        <v>67</v>
      </c>
      <c r="Z6500" t="e">
        <f ca="1">- CALIBRATION
- Preventive Maintenance</f>
        <v>#NAME?</v>
      </c>
      <c r="AA6500" t="e">
        <f ca="1">- performed XpertCheck CALIBRATION
- Preventive Maintenance
- Generate reports</f>
        <v>#NAME?</v>
      </c>
      <c r="AB6500" t="s">
        <v>70</v>
      </c>
      <c r="AC6500" t="s">
        <v>39375</v>
      </c>
      <c r="AD6500" t="s">
        <v>39376</v>
      </c>
      <c r="AE6500" t="s">
        <v>119</v>
      </c>
      <c r="AG6500" t="s">
        <v>39377</v>
      </c>
      <c r="AH6500" t="s">
        <v>9067</v>
      </c>
      <c r="AI6500" t="s">
        <v>39378</v>
      </c>
    </row>
    <row r="6501" spans="2:35" ht="105">
      <c r="B6501" s="1">
        <v>45196</v>
      </c>
      <c r="C6501" s="4">
        <v>45196.48541666667</v>
      </c>
      <c r="D6501" t="s">
        <v>38791</v>
      </c>
      <c r="E6501" t="s">
        <v>9436</v>
      </c>
      <c r="F6501" t="s">
        <v>148</v>
      </c>
      <c r="G6501" t="s">
        <v>230</v>
      </c>
      <c r="H6501" t="s">
        <v>39</v>
      </c>
      <c r="I6501" t="s">
        <v>40</v>
      </c>
      <c r="J6501" t="s">
        <v>321</v>
      </c>
      <c r="K6501" t="s">
        <v>42</v>
      </c>
      <c r="L6501" t="s">
        <v>175</v>
      </c>
      <c r="Q6501">
        <v>26052</v>
      </c>
      <c r="R6501" t="s">
        <v>703</v>
      </c>
      <c r="S6501" t="s">
        <v>28247</v>
      </c>
      <c r="T6501">
        <v>25</v>
      </c>
      <c r="U6501" s="2" t="s">
        <v>24512</v>
      </c>
      <c r="W6501" t="s">
        <v>84</v>
      </c>
      <c r="X6501">
        <v>110018312</v>
      </c>
      <c r="Y6501" t="s">
        <v>8338</v>
      </c>
      <c r="Z6501" t="e">
        <f ca="1">- installed Unit
- generated reports</f>
        <v>#NAME?</v>
      </c>
      <c r="AA6501" t="s">
        <v>6430</v>
      </c>
      <c r="AB6501" t="s">
        <v>181</v>
      </c>
      <c r="AG6501" t="s">
        <v>38793</v>
      </c>
      <c r="AH6501" t="s">
        <v>38794</v>
      </c>
      <c r="AI6501" t="s">
        <v>38795</v>
      </c>
    </row>
    <row r="6502" spans="2:35" ht="75">
      <c r="B6502" s="1">
        <v>45196</v>
      </c>
      <c r="C6502" s="4">
        <v>45196.484722222223</v>
      </c>
      <c r="D6502" t="s">
        <v>39379</v>
      </c>
      <c r="E6502" t="s">
        <v>39380</v>
      </c>
      <c r="F6502">
        <v>7</v>
      </c>
      <c r="G6502" t="s">
        <v>432</v>
      </c>
      <c r="H6502" t="s">
        <v>39</v>
      </c>
      <c r="I6502" t="s">
        <v>40</v>
      </c>
      <c r="J6502" s="2" t="s">
        <v>220</v>
      </c>
      <c r="K6502" t="s">
        <v>42</v>
      </c>
      <c r="L6502" t="s">
        <v>433</v>
      </c>
      <c r="Q6502">
        <v>26051</v>
      </c>
      <c r="R6502" t="s">
        <v>719</v>
      </c>
      <c r="S6502" t="s">
        <v>720</v>
      </c>
      <c r="T6502">
        <v>25</v>
      </c>
      <c r="W6502" t="s">
        <v>1008</v>
      </c>
      <c r="X6502">
        <v>847333</v>
      </c>
      <c r="Y6502" t="s">
        <v>39381</v>
      </c>
      <c r="Z6502" t="s">
        <v>39382</v>
      </c>
      <c r="AA6502" t="s">
        <v>39383</v>
      </c>
      <c r="AB6502" t="s">
        <v>39384</v>
      </c>
      <c r="AG6502" t="s">
        <v>39385</v>
      </c>
      <c r="AH6502" t="s">
        <v>726</v>
      </c>
      <c r="AI6502" t="s">
        <v>39386</v>
      </c>
    </row>
    <row r="6503" spans="2:35" ht="180">
      <c r="B6503" s="1">
        <v>45196</v>
      </c>
      <c r="C6503" s="4">
        <v>45196.439583333333</v>
      </c>
      <c r="D6503" t="s">
        <v>3604</v>
      </c>
      <c r="E6503" t="s">
        <v>35258</v>
      </c>
      <c r="F6503" t="s">
        <v>148</v>
      </c>
      <c r="G6503" t="s">
        <v>2007</v>
      </c>
      <c r="H6503" t="s">
        <v>39</v>
      </c>
      <c r="I6503" t="s">
        <v>40</v>
      </c>
      <c r="J6503" s="2" t="s">
        <v>41</v>
      </c>
      <c r="K6503" t="s">
        <v>42</v>
      </c>
      <c r="L6503" t="s">
        <v>43</v>
      </c>
      <c r="Q6503">
        <v>26050</v>
      </c>
      <c r="R6503" t="s">
        <v>119</v>
      </c>
      <c r="S6503" t="s">
        <v>3606</v>
      </c>
      <c r="T6503">
        <v>25</v>
      </c>
      <c r="U6503" s="2" t="s">
        <v>26971</v>
      </c>
      <c r="V6503" s="1">
        <v>45173</v>
      </c>
      <c r="W6503" t="s">
        <v>48</v>
      </c>
      <c r="X6503">
        <v>831875</v>
      </c>
      <c r="Y6503" t="s">
        <v>33366</v>
      </c>
      <c r="Z6503" t="s">
        <v>33367</v>
      </c>
      <c r="AA6503" s="2" t="s">
        <v>33368</v>
      </c>
      <c r="AB6503" t="s">
        <v>16412</v>
      </c>
      <c r="AD6503" s="2" t="s">
        <v>39387</v>
      </c>
      <c r="AE6503" t="s">
        <v>39388</v>
      </c>
      <c r="AG6503" t="s">
        <v>39389</v>
      </c>
      <c r="AH6503" t="s">
        <v>39390</v>
      </c>
      <c r="AI6503" t="s">
        <v>39391</v>
      </c>
    </row>
    <row r="6504" spans="2:35" ht="195">
      <c r="B6504" s="1">
        <v>45196</v>
      </c>
      <c r="C6504" s="4">
        <v>45196.40902777778</v>
      </c>
      <c r="D6504" t="s">
        <v>5228</v>
      </c>
      <c r="E6504" t="s">
        <v>39392</v>
      </c>
      <c r="F6504" t="s">
        <v>148</v>
      </c>
      <c r="G6504" t="s">
        <v>447</v>
      </c>
      <c r="H6504" t="s">
        <v>39</v>
      </c>
      <c r="I6504" t="s">
        <v>40</v>
      </c>
      <c r="J6504" s="2" t="s">
        <v>39393</v>
      </c>
      <c r="K6504" t="s">
        <v>42</v>
      </c>
      <c r="L6504" t="s">
        <v>15532</v>
      </c>
      <c r="Q6504">
        <v>26049</v>
      </c>
      <c r="R6504" t="s">
        <v>322</v>
      </c>
      <c r="S6504" t="s">
        <v>8157</v>
      </c>
      <c r="T6504">
        <v>25</v>
      </c>
      <c r="U6504" s="2" t="s">
        <v>39394</v>
      </c>
      <c r="W6504" t="s">
        <v>597</v>
      </c>
      <c r="X6504">
        <v>110012766</v>
      </c>
      <c r="Y6504" t="s">
        <v>39395</v>
      </c>
      <c r="Z6504" s="2" t="s">
        <v>39396</v>
      </c>
      <c r="AA6504" t="s">
        <v>39397</v>
      </c>
      <c r="AB6504" t="s">
        <v>181</v>
      </c>
      <c r="AG6504" t="s">
        <v>39398</v>
      </c>
      <c r="AH6504" t="s">
        <v>39399</v>
      </c>
      <c r="AI6504" t="s">
        <v>39400</v>
      </c>
    </row>
    <row r="6505" spans="2:35" ht="180">
      <c r="B6505" s="1">
        <v>45196</v>
      </c>
      <c r="C6505" s="4">
        <v>45196.397916666669</v>
      </c>
      <c r="D6505" t="s">
        <v>23619</v>
      </c>
      <c r="E6505" t="s">
        <v>27310</v>
      </c>
      <c r="F6505" t="s">
        <v>148</v>
      </c>
      <c r="G6505" t="s">
        <v>23621</v>
      </c>
      <c r="H6505" t="s">
        <v>39</v>
      </c>
      <c r="I6505" t="s">
        <v>40</v>
      </c>
      <c r="J6505" s="2" t="s">
        <v>41</v>
      </c>
      <c r="K6505" t="s">
        <v>42</v>
      </c>
      <c r="L6505" t="s">
        <v>1943</v>
      </c>
      <c r="Q6505">
        <v>26048</v>
      </c>
      <c r="R6505" t="s">
        <v>45</v>
      </c>
      <c r="S6505" t="s">
        <v>23622</v>
      </c>
      <c r="T6505">
        <v>25</v>
      </c>
      <c r="U6505" s="2" t="s">
        <v>39401</v>
      </c>
      <c r="V6505" s="1">
        <v>45195</v>
      </c>
      <c r="W6505" t="s">
        <v>84</v>
      </c>
      <c r="X6505">
        <v>807592</v>
      </c>
      <c r="Y6505" s="2" t="s">
        <v>22466</v>
      </c>
      <c r="Z6505" s="2" t="s">
        <v>33801</v>
      </c>
      <c r="AA6505" t="s">
        <v>22330</v>
      </c>
      <c r="AB6505" t="s">
        <v>88</v>
      </c>
      <c r="AD6505" t="s">
        <v>39402</v>
      </c>
      <c r="AE6505" t="s">
        <v>39403</v>
      </c>
      <c r="AG6505" t="s">
        <v>39404</v>
      </c>
      <c r="AH6505" t="s">
        <v>23626</v>
      </c>
      <c r="AI6505" t="s">
        <v>39405</v>
      </c>
    </row>
    <row r="6506" spans="2:35" ht="285">
      <c r="B6506" s="1">
        <v>45196</v>
      </c>
      <c r="C6506" s="4">
        <v>45196.352777777778</v>
      </c>
      <c r="D6506" t="s">
        <v>217</v>
      </c>
      <c r="E6506" t="s">
        <v>14758</v>
      </c>
      <c r="F6506">
        <v>3</v>
      </c>
      <c r="G6506" t="s">
        <v>219</v>
      </c>
      <c r="H6506" t="s">
        <v>39</v>
      </c>
      <c r="I6506" t="s">
        <v>40</v>
      </c>
      <c r="J6506" s="2" t="s">
        <v>41</v>
      </c>
      <c r="K6506" t="s">
        <v>42</v>
      </c>
      <c r="L6506" t="s">
        <v>135</v>
      </c>
      <c r="N6506" t="s">
        <v>136</v>
      </c>
      <c r="O6506" t="s">
        <v>221</v>
      </c>
      <c r="Q6506">
        <v>26047</v>
      </c>
      <c r="R6506" t="s">
        <v>45</v>
      </c>
      <c r="S6506" t="s">
        <v>221</v>
      </c>
      <c r="T6506">
        <v>27</v>
      </c>
      <c r="U6506" s="2" t="s">
        <v>39406</v>
      </c>
      <c r="W6506" t="s">
        <v>39407</v>
      </c>
      <c r="X6506">
        <v>834807</v>
      </c>
      <c r="Y6506" t="s">
        <v>9298</v>
      </c>
      <c r="Z6506" t="s">
        <v>5712</v>
      </c>
      <c r="AA6506" s="2" t="s">
        <v>32304</v>
      </c>
      <c r="AB6506" t="s">
        <v>181</v>
      </c>
      <c r="AG6506" t="s">
        <v>39408</v>
      </c>
      <c r="AH6506" t="s">
        <v>32312</v>
      </c>
      <c r="AI6506" t="s">
        <v>39409</v>
      </c>
    </row>
    <row r="6507" spans="2:35" ht="255">
      <c r="B6507" s="1">
        <v>45196</v>
      </c>
      <c r="C6507" s="4">
        <v>45176.324999999997</v>
      </c>
      <c r="D6507" t="s">
        <v>26442</v>
      </c>
      <c r="E6507" t="s">
        <v>15186</v>
      </c>
      <c r="F6507">
        <v>3</v>
      </c>
      <c r="G6507" t="s">
        <v>284</v>
      </c>
      <c r="H6507" t="s">
        <v>39</v>
      </c>
      <c r="I6507" t="s">
        <v>40</v>
      </c>
      <c r="J6507" s="2" t="s">
        <v>41</v>
      </c>
      <c r="K6507" t="s">
        <v>42</v>
      </c>
      <c r="L6507" t="s">
        <v>135</v>
      </c>
      <c r="Q6507">
        <v>26046</v>
      </c>
      <c r="R6507" t="s">
        <v>45</v>
      </c>
      <c r="S6507" t="s">
        <v>11281</v>
      </c>
      <c r="T6507">
        <v>29</v>
      </c>
      <c r="W6507" t="s">
        <v>2680</v>
      </c>
      <c r="X6507">
        <v>805124</v>
      </c>
      <c r="Y6507" t="s">
        <v>38525</v>
      </c>
      <c r="Z6507" s="2" t="s">
        <v>29539</v>
      </c>
      <c r="AA6507" s="2" t="s">
        <v>32304</v>
      </c>
      <c r="AB6507" t="s">
        <v>9590</v>
      </c>
      <c r="AG6507" t="s">
        <v>39410</v>
      </c>
      <c r="AH6507" t="s">
        <v>15193</v>
      </c>
      <c r="AI6507" t="s">
        <v>39411</v>
      </c>
    </row>
    <row r="6508" spans="2:35" ht="45">
      <c r="B6508" s="1">
        <v>45196</v>
      </c>
      <c r="C6508" s="4">
        <v>45195.584722222222</v>
      </c>
      <c r="D6508" t="s">
        <v>39412</v>
      </c>
      <c r="E6508" t="s">
        <v>31780</v>
      </c>
      <c r="F6508">
        <v>8</v>
      </c>
      <c r="G6508" t="s">
        <v>342</v>
      </c>
      <c r="H6508" t="s">
        <v>39</v>
      </c>
      <c r="I6508" t="s">
        <v>40</v>
      </c>
      <c r="J6508" s="2" t="s">
        <v>41</v>
      </c>
      <c r="K6508" t="s">
        <v>42</v>
      </c>
      <c r="L6508" t="s">
        <v>259</v>
      </c>
      <c r="Q6508">
        <v>26045</v>
      </c>
      <c r="R6508" t="s">
        <v>45</v>
      </c>
      <c r="S6508" t="s">
        <v>36728</v>
      </c>
      <c r="T6508">
        <v>23</v>
      </c>
      <c r="V6508" s="1">
        <v>45195</v>
      </c>
      <c r="W6508" t="s">
        <v>84</v>
      </c>
      <c r="X6508">
        <v>808631</v>
      </c>
      <c r="Y6508" t="s">
        <v>39413</v>
      </c>
      <c r="Z6508" t="e">
        <f ca="1">- Troubleshoot
- Preventive Maintenance</f>
        <v>#NAME?</v>
      </c>
      <c r="AA6508" t="e">
        <f ca="1">- performed Troubleshooting
- Reset Gateway board _xludf.and _xludf.Clean inside GeneXpert machine
- performed Preventive Maintenance
 - Generate reports</f>
        <v>#NAME?</v>
      </c>
      <c r="AB6508" t="s">
        <v>70</v>
      </c>
      <c r="AG6508" t="s">
        <v>39414</v>
      </c>
      <c r="AH6508" t="s">
        <v>39415</v>
      </c>
      <c r="AI6508" t="s">
        <v>39416</v>
      </c>
    </row>
    <row r="6509" spans="2:35" ht="240">
      <c r="B6509" s="1">
        <v>45195</v>
      </c>
      <c r="C6509" s="4">
        <v>45195.623611111114</v>
      </c>
      <c r="D6509" t="s">
        <v>39417</v>
      </c>
      <c r="E6509" t="s">
        <v>39418</v>
      </c>
      <c r="F6509" t="s">
        <v>148</v>
      </c>
      <c r="G6509" t="s">
        <v>406</v>
      </c>
      <c r="H6509" t="s">
        <v>39</v>
      </c>
      <c r="I6509" t="s">
        <v>40</v>
      </c>
      <c r="J6509" s="2" t="s">
        <v>609</v>
      </c>
      <c r="K6509" t="s">
        <v>42</v>
      </c>
      <c r="L6509" t="s">
        <v>15532</v>
      </c>
      <c r="Q6509">
        <v>26044</v>
      </c>
      <c r="R6509" t="s">
        <v>45</v>
      </c>
      <c r="S6509" t="s">
        <v>39419</v>
      </c>
      <c r="T6509">
        <v>30</v>
      </c>
      <c r="U6509" s="2" t="s">
        <v>39420</v>
      </c>
      <c r="W6509" t="s">
        <v>597</v>
      </c>
      <c r="X6509">
        <v>807591</v>
      </c>
      <c r="Y6509" t="s">
        <v>39421</v>
      </c>
      <c r="Z6509" s="2" t="s">
        <v>39422</v>
      </c>
      <c r="AA6509" t="s">
        <v>39423</v>
      </c>
      <c r="AB6509" t="s">
        <v>181</v>
      </c>
      <c r="AG6509" t="s">
        <v>39424</v>
      </c>
      <c r="AH6509" t="s">
        <v>39425</v>
      </c>
      <c r="AI6509" t="s">
        <v>39426</v>
      </c>
    </row>
    <row r="6510" spans="2:35" ht="405">
      <c r="B6510" s="1">
        <v>45195</v>
      </c>
      <c r="C6510" s="4">
        <v>45195.645833333336</v>
      </c>
      <c r="D6510" t="s">
        <v>24517</v>
      </c>
      <c r="E6510" t="s">
        <v>20596</v>
      </c>
      <c r="F6510">
        <v>3</v>
      </c>
      <c r="G6510" t="s">
        <v>134</v>
      </c>
      <c r="H6510" t="s">
        <v>39</v>
      </c>
      <c r="I6510" t="s">
        <v>40</v>
      </c>
      <c r="J6510" s="2" t="s">
        <v>62</v>
      </c>
      <c r="K6510" t="s">
        <v>42</v>
      </c>
      <c r="L6510" t="s">
        <v>135</v>
      </c>
      <c r="Q6510">
        <v>26043</v>
      </c>
      <c r="R6510" t="s">
        <v>45</v>
      </c>
      <c r="S6510" t="s">
        <v>39427</v>
      </c>
      <c r="T6510">
        <v>29</v>
      </c>
      <c r="U6510" s="2" t="s">
        <v>39428</v>
      </c>
      <c r="W6510" t="s">
        <v>2680</v>
      </c>
      <c r="X6510">
        <v>804763</v>
      </c>
      <c r="Y6510" t="s">
        <v>1751</v>
      </c>
      <c r="Z6510" s="2" t="s">
        <v>39429</v>
      </c>
      <c r="AA6510" s="2" t="s">
        <v>39430</v>
      </c>
      <c r="AB6510" t="s">
        <v>39431</v>
      </c>
      <c r="AG6510" t="s">
        <v>39432</v>
      </c>
      <c r="AH6510" t="s">
        <v>39433</v>
      </c>
      <c r="AI6510" t="s">
        <v>39434</v>
      </c>
    </row>
    <row r="6511" spans="2:35" ht="180">
      <c r="B6511" s="1">
        <v>45195</v>
      </c>
      <c r="C6511" s="4">
        <v>45195.519444444442</v>
      </c>
      <c r="D6511" t="s">
        <v>38660</v>
      </c>
      <c r="E6511" t="s">
        <v>39435</v>
      </c>
      <c r="F6511" t="s">
        <v>148</v>
      </c>
      <c r="G6511" t="s">
        <v>2007</v>
      </c>
      <c r="H6511" t="s">
        <v>39</v>
      </c>
      <c r="I6511" t="s">
        <v>40</v>
      </c>
      <c r="J6511" s="2" t="s">
        <v>609</v>
      </c>
      <c r="K6511" t="s">
        <v>42</v>
      </c>
      <c r="L6511" t="s">
        <v>15532</v>
      </c>
      <c r="Q6511">
        <v>26042</v>
      </c>
      <c r="R6511" t="s">
        <v>45</v>
      </c>
      <c r="S6511" t="s">
        <v>38661</v>
      </c>
      <c r="T6511">
        <v>21</v>
      </c>
      <c r="U6511" s="2" t="s">
        <v>39436</v>
      </c>
      <c r="W6511" t="s">
        <v>3244</v>
      </c>
      <c r="X6511">
        <v>831712</v>
      </c>
      <c r="Y6511" t="s">
        <v>39437</v>
      </c>
      <c r="Z6511" s="2" t="s">
        <v>39438</v>
      </c>
      <c r="AA6511" t="s">
        <v>39439</v>
      </c>
      <c r="AB6511" t="s">
        <v>88</v>
      </c>
      <c r="AG6511" t="s">
        <v>39440</v>
      </c>
      <c r="AH6511" t="s">
        <v>38667</v>
      </c>
      <c r="AI6511" t="s">
        <v>39441</v>
      </c>
    </row>
    <row r="6512" spans="2:35" ht="105">
      <c r="B6512" s="1">
        <v>45195</v>
      </c>
      <c r="C6512" s="4">
        <v>45195.597916666666</v>
      </c>
      <c r="D6512" t="s">
        <v>34336</v>
      </c>
      <c r="E6512" t="s">
        <v>39442</v>
      </c>
      <c r="F6512">
        <v>6</v>
      </c>
      <c r="G6512" t="s">
        <v>1234</v>
      </c>
      <c r="H6512" t="s">
        <v>1047</v>
      </c>
      <c r="I6512" t="s">
        <v>94</v>
      </c>
      <c r="J6512" t="s">
        <v>79</v>
      </c>
      <c r="K6512" t="s">
        <v>42</v>
      </c>
      <c r="L6512" t="s">
        <v>23958</v>
      </c>
      <c r="Q6512">
        <v>26041</v>
      </c>
      <c r="R6512" t="s">
        <v>45</v>
      </c>
      <c r="S6512" t="s">
        <v>34338</v>
      </c>
      <c r="T6512">
        <v>4</v>
      </c>
      <c r="U6512" s="2" t="s">
        <v>11137</v>
      </c>
      <c r="W6512" t="s">
        <v>360</v>
      </c>
      <c r="X6512">
        <v>815283</v>
      </c>
      <c r="Y6512" t="s">
        <v>301</v>
      </c>
      <c r="Z6512" t="s">
        <v>39443</v>
      </c>
      <c r="AA6512" t="s">
        <v>39444</v>
      </c>
      <c r="AB6512" t="s">
        <v>39445</v>
      </c>
      <c r="AG6512" t="s">
        <v>39446</v>
      </c>
      <c r="AH6512" t="s">
        <v>39447</v>
      </c>
      <c r="AI6512" t="s">
        <v>39448</v>
      </c>
    </row>
    <row r="6513" spans="2:35">
      <c r="B6513" s="1">
        <v>45195</v>
      </c>
      <c r="C6513" s="4">
        <v>45195.584027777775</v>
      </c>
      <c r="D6513" t="s">
        <v>8907</v>
      </c>
      <c r="E6513" t="s">
        <v>9399</v>
      </c>
      <c r="F6513">
        <v>6</v>
      </c>
      <c r="G6513" t="s">
        <v>9400</v>
      </c>
      <c r="H6513" t="s">
        <v>22505</v>
      </c>
      <c r="I6513" t="s">
        <v>94</v>
      </c>
      <c r="J6513" t="s">
        <v>109</v>
      </c>
      <c r="K6513" t="s">
        <v>42</v>
      </c>
      <c r="L6513" t="s">
        <v>343</v>
      </c>
      <c r="Q6513">
        <v>26040</v>
      </c>
      <c r="R6513" t="s">
        <v>45</v>
      </c>
      <c r="S6513" t="s">
        <v>9401</v>
      </c>
      <c r="T6513">
        <v>28</v>
      </c>
      <c r="W6513" t="s">
        <v>6105</v>
      </c>
      <c r="X6513">
        <v>804714</v>
      </c>
      <c r="Y6513" t="s">
        <v>301</v>
      </c>
      <c r="Z6513" t="s">
        <v>301</v>
      </c>
      <c r="AA6513" t="e">
        <f ca="1">-Preventive Maintenance</f>
        <v>#NAME?</v>
      </c>
      <c r="AB6513" t="s">
        <v>9638</v>
      </c>
      <c r="AG6513" t="s">
        <v>39449</v>
      </c>
      <c r="AH6513" t="s">
        <v>39450</v>
      </c>
      <c r="AI6513" t="s">
        <v>39451</v>
      </c>
    </row>
    <row r="6514" spans="2:35" ht="300">
      <c r="B6514" s="1">
        <v>45195</v>
      </c>
      <c r="C6514" s="4">
        <v>45195.586805555555</v>
      </c>
      <c r="D6514" t="s">
        <v>8907</v>
      </c>
      <c r="E6514" t="s">
        <v>9399</v>
      </c>
      <c r="F6514">
        <v>6</v>
      </c>
      <c r="G6514" t="s">
        <v>9400</v>
      </c>
      <c r="H6514" t="s">
        <v>22505</v>
      </c>
      <c r="I6514" t="s">
        <v>40</v>
      </c>
      <c r="J6514" s="2" t="s">
        <v>41</v>
      </c>
      <c r="K6514" t="s">
        <v>42</v>
      </c>
      <c r="L6514" t="s">
        <v>343</v>
      </c>
      <c r="Q6514">
        <v>26039</v>
      </c>
      <c r="R6514" t="s">
        <v>119</v>
      </c>
      <c r="S6514" t="s">
        <v>9401</v>
      </c>
      <c r="T6514">
        <v>28</v>
      </c>
      <c r="V6514" s="1">
        <v>45161</v>
      </c>
      <c r="W6514" t="s">
        <v>6105</v>
      </c>
      <c r="X6514">
        <v>838412</v>
      </c>
      <c r="Y6514" t="s">
        <v>33142</v>
      </c>
      <c r="Z6514" s="2" t="s">
        <v>39452</v>
      </c>
      <c r="AA6514" t="e">
        <f ca="1">-module Replacement
-Preventive Maintenance</f>
        <v>#NAME?</v>
      </c>
      <c r="AB6514" t="s">
        <v>9638</v>
      </c>
      <c r="AD6514" t="s">
        <v>39453</v>
      </c>
      <c r="AE6514" t="s">
        <v>39454</v>
      </c>
      <c r="AG6514" t="s">
        <v>39455</v>
      </c>
      <c r="AH6514" t="s">
        <v>15647</v>
      </c>
      <c r="AI6514" t="s">
        <v>39456</v>
      </c>
    </row>
    <row r="6515" spans="2:35" ht="409.5">
      <c r="B6515" s="1">
        <v>45195</v>
      </c>
      <c r="C6515" s="4">
        <v>45195.578472222223</v>
      </c>
      <c r="D6515" t="s">
        <v>3357</v>
      </c>
      <c r="E6515" t="s">
        <v>27224</v>
      </c>
      <c r="F6515">
        <v>3</v>
      </c>
      <c r="G6515" t="s">
        <v>134</v>
      </c>
      <c r="H6515" t="s">
        <v>39</v>
      </c>
      <c r="I6515" t="s">
        <v>40</v>
      </c>
      <c r="J6515" s="2" t="s">
        <v>62</v>
      </c>
      <c r="K6515" t="s">
        <v>42</v>
      </c>
      <c r="L6515" t="s">
        <v>135</v>
      </c>
      <c r="Q6515">
        <v>26038</v>
      </c>
      <c r="R6515" t="s">
        <v>119</v>
      </c>
      <c r="S6515" t="s">
        <v>3359</v>
      </c>
      <c r="T6515">
        <v>28</v>
      </c>
      <c r="U6515" s="2" t="s">
        <v>2367</v>
      </c>
      <c r="W6515" t="s">
        <v>2680</v>
      </c>
      <c r="X6515">
        <v>831912</v>
      </c>
      <c r="Y6515" t="s">
        <v>39457</v>
      </c>
      <c r="Z6515" t="s">
        <v>11518</v>
      </c>
      <c r="AA6515" s="2" t="s">
        <v>31375</v>
      </c>
      <c r="AB6515" t="s">
        <v>14475</v>
      </c>
      <c r="AC6515" t="s">
        <v>39458</v>
      </c>
      <c r="AG6515" t="s">
        <v>39459</v>
      </c>
      <c r="AH6515" t="s">
        <v>3362</v>
      </c>
      <c r="AI6515" t="s">
        <v>39460</v>
      </c>
    </row>
    <row r="6516" spans="2:35" ht="210">
      <c r="B6516" s="1">
        <v>45195</v>
      </c>
      <c r="C6516" s="4">
        <v>45195.429861111108</v>
      </c>
      <c r="D6516" t="s">
        <v>16538</v>
      </c>
      <c r="E6516" t="s">
        <v>39461</v>
      </c>
      <c r="F6516">
        <v>7</v>
      </c>
      <c r="G6516" t="s">
        <v>432</v>
      </c>
      <c r="H6516" t="s">
        <v>608</v>
      </c>
      <c r="I6516" t="s">
        <v>94</v>
      </c>
      <c r="J6516" t="s">
        <v>109</v>
      </c>
      <c r="K6516" t="s">
        <v>42</v>
      </c>
      <c r="L6516" t="s">
        <v>610</v>
      </c>
      <c r="Q6516">
        <v>26037</v>
      </c>
      <c r="R6516" t="s">
        <v>119</v>
      </c>
      <c r="S6516" t="s">
        <v>39462</v>
      </c>
      <c r="T6516">
        <v>30</v>
      </c>
      <c r="U6516" s="2" t="s">
        <v>9873</v>
      </c>
      <c r="W6516" t="s">
        <v>502</v>
      </c>
      <c r="X6516">
        <v>838283</v>
      </c>
      <c r="Y6516" t="s">
        <v>39463</v>
      </c>
      <c r="Z6516" s="2" t="s">
        <v>39464</v>
      </c>
      <c r="AA6516" s="2" t="s">
        <v>39465</v>
      </c>
      <c r="AB6516" t="s">
        <v>1263</v>
      </c>
      <c r="AG6516" t="s">
        <v>39466</v>
      </c>
      <c r="AH6516" t="s">
        <v>39467</v>
      </c>
      <c r="AI6516" t="s">
        <v>39468</v>
      </c>
    </row>
    <row r="6517" spans="2:35" ht="150">
      <c r="B6517" s="1">
        <v>45195</v>
      </c>
      <c r="C6517" s="4">
        <v>45195.423611111109</v>
      </c>
      <c r="D6517" t="s">
        <v>10933</v>
      </c>
      <c r="E6517" t="s">
        <v>10934</v>
      </c>
      <c r="F6517" t="s">
        <v>148</v>
      </c>
      <c r="G6517" t="s">
        <v>310</v>
      </c>
      <c r="H6517" t="s">
        <v>662</v>
      </c>
      <c r="I6517" t="s">
        <v>40</v>
      </c>
      <c r="J6517" t="s">
        <v>79</v>
      </c>
      <c r="K6517" t="s">
        <v>42</v>
      </c>
      <c r="L6517" t="s">
        <v>1028</v>
      </c>
      <c r="Q6517">
        <v>26036</v>
      </c>
      <c r="R6517" t="s">
        <v>322</v>
      </c>
      <c r="S6517" t="s">
        <v>14776</v>
      </c>
      <c r="T6517">
        <v>22</v>
      </c>
      <c r="V6517" s="1">
        <v>45189</v>
      </c>
      <c r="W6517" t="s">
        <v>39469</v>
      </c>
      <c r="X6517">
        <v>110015482</v>
      </c>
      <c r="Y6517" t="s">
        <v>39470</v>
      </c>
      <c r="Z6517" t="s">
        <v>2129</v>
      </c>
      <c r="AA6517" s="2" t="s">
        <v>39471</v>
      </c>
      <c r="AB6517" t="s">
        <v>3063</v>
      </c>
      <c r="AD6517" t="s">
        <v>18642</v>
      </c>
      <c r="AE6517" t="s">
        <v>39472</v>
      </c>
      <c r="AG6517" t="s">
        <v>39473</v>
      </c>
      <c r="AH6517" t="s">
        <v>29438</v>
      </c>
      <c r="AI6517" t="s">
        <v>39474</v>
      </c>
    </row>
    <row r="6518" spans="2:35">
      <c r="B6518" s="1">
        <v>45194</v>
      </c>
      <c r="C6518" s="4">
        <v>45194.609722222223</v>
      </c>
      <c r="D6518" t="s">
        <v>1004</v>
      </c>
      <c r="E6518" t="s">
        <v>718</v>
      </c>
      <c r="F6518">
        <v>7</v>
      </c>
      <c r="G6518" t="s">
        <v>432</v>
      </c>
      <c r="H6518" t="s">
        <v>39</v>
      </c>
      <c r="I6518" t="s">
        <v>94</v>
      </c>
      <c r="J6518" t="s">
        <v>321</v>
      </c>
      <c r="K6518" t="s">
        <v>42</v>
      </c>
      <c r="L6518" t="s">
        <v>594</v>
      </c>
      <c r="Q6518">
        <v>26035</v>
      </c>
      <c r="R6518" t="s">
        <v>45</v>
      </c>
      <c r="S6518" t="s">
        <v>39475</v>
      </c>
      <c r="T6518">
        <v>23</v>
      </c>
      <c r="V6518" s="1">
        <v>45188</v>
      </c>
      <c r="W6518" t="s">
        <v>360</v>
      </c>
      <c r="X6518">
        <v>808630</v>
      </c>
      <c r="Y6518" t="s">
        <v>39476</v>
      </c>
      <c r="Z6518" t="s">
        <v>39477</v>
      </c>
      <c r="AA6518" t="s">
        <v>39478</v>
      </c>
      <c r="AB6518" t="s">
        <v>39479</v>
      </c>
      <c r="AG6518" t="s">
        <v>39480</v>
      </c>
      <c r="AH6518" t="s">
        <v>39481</v>
      </c>
      <c r="AI6518" t="s">
        <v>39482</v>
      </c>
    </row>
    <row r="6519" spans="2:35" ht="225">
      <c r="B6519" s="1">
        <v>45193</v>
      </c>
      <c r="C6519" s="4">
        <v>45189.620138888888</v>
      </c>
      <c r="D6519" t="s">
        <v>1145</v>
      </c>
      <c r="E6519" t="s">
        <v>4267</v>
      </c>
      <c r="F6519" t="s">
        <v>148</v>
      </c>
      <c r="G6519" t="s">
        <v>447</v>
      </c>
      <c r="H6519" t="s">
        <v>150</v>
      </c>
      <c r="I6519" t="s">
        <v>40</v>
      </c>
      <c r="J6519" s="2" t="s">
        <v>41</v>
      </c>
      <c r="K6519" t="s">
        <v>42</v>
      </c>
      <c r="L6519" t="s">
        <v>448</v>
      </c>
      <c r="Q6519">
        <v>26034</v>
      </c>
      <c r="R6519" t="s">
        <v>45</v>
      </c>
      <c r="S6519" t="s">
        <v>1147</v>
      </c>
      <c r="T6519">
        <v>28</v>
      </c>
      <c r="U6519" s="2" t="s">
        <v>39483</v>
      </c>
      <c r="V6519" s="1">
        <v>45189</v>
      </c>
      <c r="W6519" t="s">
        <v>895</v>
      </c>
      <c r="X6519">
        <v>801080</v>
      </c>
      <c r="Y6519" t="s">
        <v>39484</v>
      </c>
      <c r="Z6519" s="2" t="s">
        <v>39485</v>
      </c>
      <c r="AA6519" t="s">
        <v>20643</v>
      </c>
      <c r="AB6519" t="s">
        <v>486</v>
      </c>
      <c r="AD6519" t="s">
        <v>39486</v>
      </c>
      <c r="AE6519" t="s">
        <v>39487</v>
      </c>
      <c r="AG6519" t="s">
        <v>39488</v>
      </c>
      <c r="AH6519" t="s">
        <v>1153</v>
      </c>
      <c r="AI6519" t="s">
        <v>39489</v>
      </c>
    </row>
    <row r="6520" spans="2:35" ht="409.5">
      <c r="B6520" s="1">
        <v>45193</v>
      </c>
      <c r="C6520" s="4">
        <v>45190.656944444447</v>
      </c>
      <c r="D6520" t="s">
        <v>5602</v>
      </c>
      <c r="E6520" t="s">
        <v>26724</v>
      </c>
      <c r="F6520" t="s">
        <v>148</v>
      </c>
      <c r="G6520" t="s">
        <v>447</v>
      </c>
      <c r="H6520" t="s">
        <v>662</v>
      </c>
      <c r="I6520" t="s">
        <v>40</v>
      </c>
      <c r="J6520" s="2" t="s">
        <v>41</v>
      </c>
      <c r="K6520" t="s">
        <v>42</v>
      </c>
      <c r="L6520" t="s">
        <v>448</v>
      </c>
      <c r="Q6520">
        <v>26033</v>
      </c>
      <c r="R6520" t="s">
        <v>322</v>
      </c>
      <c r="S6520" t="s">
        <v>5604</v>
      </c>
      <c r="T6520">
        <v>25</v>
      </c>
      <c r="U6520" s="2" t="s">
        <v>39490</v>
      </c>
      <c r="V6520" s="1">
        <v>45188</v>
      </c>
      <c r="W6520" t="s">
        <v>895</v>
      </c>
      <c r="X6520">
        <v>110005587</v>
      </c>
      <c r="Y6520" t="s">
        <v>39491</v>
      </c>
      <c r="Z6520" s="2" t="s">
        <v>39492</v>
      </c>
      <c r="AA6520" t="s">
        <v>5712</v>
      </c>
      <c r="AB6520" t="s">
        <v>39493</v>
      </c>
      <c r="AD6520" t="s">
        <v>39494</v>
      </c>
      <c r="AE6520">
        <v>10678</v>
      </c>
      <c r="AG6520" t="s">
        <v>39495</v>
      </c>
      <c r="AH6520" t="s">
        <v>5609</v>
      </c>
      <c r="AI6520" t="s">
        <v>39496</v>
      </c>
    </row>
    <row r="6521" spans="2:35">
      <c r="B6521" s="1">
        <v>45191</v>
      </c>
      <c r="C6521" s="4">
        <v>45191.436111111114</v>
      </c>
      <c r="D6521" t="s">
        <v>22725</v>
      </c>
      <c r="E6521" t="s">
        <v>25094</v>
      </c>
      <c r="F6521">
        <v>1</v>
      </c>
      <c r="G6521" t="s">
        <v>1046</v>
      </c>
      <c r="H6521" t="s">
        <v>1047</v>
      </c>
      <c r="I6521" t="s">
        <v>40</v>
      </c>
      <c r="J6521" t="s">
        <v>525</v>
      </c>
      <c r="K6521" t="s">
        <v>42</v>
      </c>
      <c r="L6521" t="s">
        <v>1048</v>
      </c>
      <c r="Q6521">
        <v>26032</v>
      </c>
      <c r="R6521" t="s">
        <v>45</v>
      </c>
      <c r="S6521" t="s">
        <v>25095</v>
      </c>
      <c r="T6521">
        <v>26</v>
      </c>
      <c r="W6521" t="s">
        <v>360</v>
      </c>
      <c r="X6521">
        <v>815394</v>
      </c>
      <c r="Y6521" t="s">
        <v>39497</v>
      </c>
      <c r="Z6521" t="s">
        <v>1935</v>
      </c>
      <c r="AA6521" t="s">
        <v>1935</v>
      </c>
      <c r="AB6521" t="s">
        <v>13135</v>
      </c>
      <c r="AG6521" t="s">
        <v>39498</v>
      </c>
      <c r="AH6521" t="s">
        <v>39499</v>
      </c>
      <c r="AI6521" t="s">
        <v>39500</v>
      </c>
    </row>
    <row r="6522" spans="2:35">
      <c r="B6522" s="1">
        <v>45191</v>
      </c>
      <c r="C6522" s="4">
        <v>45191.436111111114</v>
      </c>
      <c r="D6522" t="s">
        <v>22725</v>
      </c>
      <c r="E6522" t="s">
        <v>25094</v>
      </c>
      <c r="F6522">
        <v>1</v>
      </c>
      <c r="G6522" t="s">
        <v>1046</v>
      </c>
      <c r="H6522" t="s">
        <v>1047</v>
      </c>
      <c r="I6522" t="s">
        <v>40</v>
      </c>
      <c r="J6522" t="s">
        <v>525</v>
      </c>
      <c r="K6522" t="s">
        <v>42</v>
      </c>
      <c r="L6522" t="s">
        <v>1048</v>
      </c>
      <c r="Q6522">
        <v>26031</v>
      </c>
      <c r="R6522" t="s">
        <v>45</v>
      </c>
      <c r="S6522" t="s">
        <v>25095</v>
      </c>
      <c r="T6522">
        <v>26</v>
      </c>
      <c r="W6522" t="s">
        <v>360</v>
      </c>
      <c r="X6522">
        <v>815394</v>
      </c>
      <c r="Y6522" t="s">
        <v>39497</v>
      </c>
      <c r="Z6522" t="s">
        <v>1935</v>
      </c>
      <c r="AA6522" t="s">
        <v>1935</v>
      </c>
      <c r="AB6522" t="s">
        <v>13135</v>
      </c>
      <c r="AG6522" t="s">
        <v>39501</v>
      </c>
      <c r="AH6522" t="s">
        <v>39499</v>
      </c>
      <c r="AI6522" t="s">
        <v>39502</v>
      </c>
    </row>
    <row r="6523" spans="2:35" ht="105">
      <c r="B6523" s="1">
        <v>45191</v>
      </c>
      <c r="C6523" s="4">
        <v>45191.456944444442</v>
      </c>
      <c r="D6523" t="s">
        <v>30740</v>
      </c>
      <c r="E6523" t="s">
        <v>30741</v>
      </c>
      <c r="F6523">
        <v>6</v>
      </c>
      <c r="G6523" t="s">
        <v>1234</v>
      </c>
      <c r="H6523" t="s">
        <v>258</v>
      </c>
      <c r="I6523" t="s">
        <v>94</v>
      </c>
      <c r="J6523" s="2" t="s">
        <v>1006</v>
      </c>
      <c r="K6523" t="s">
        <v>42</v>
      </c>
      <c r="L6523" t="s">
        <v>23958</v>
      </c>
      <c r="Q6523">
        <v>26030</v>
      </c>
      <c r="R6523" t="s">
        <v>45</v>
      </c>
      <c r="S6523" t="s">
        <v>30742</v>
      </c>
      <c r="T6523">
        <v>22</v>
      </c>
      <c r="U6523" s="2" t="s">
        <v>3880</v>
      </c>
      <c r="W6523" t="s">
        <v>3662</v>
      </c>
      <c r="X6523">
        <v>807455</v>
      </c>
      <c r="Y6523" t="s">
        <v>2714</v>
      </c>
      <c r="Z6523" t="e">
        <f ca="1">- Preventive Maintenance (optics Cleaning, _xludf.filter Cleaning, module bay Cleaning)</f>
        <v>#NAME?</v>
      </c>
      <c r="AA6523" t="e">
        <f ca="1">- performed Xpertcheck.
- Import HIV-VL Assay</f>
        <v>#NAME?</v>
      </c>
      <c r="AB6523" t="s">
        <v>39503</v>
      </c>
      <c r="AG6523" t="s">
        <v>39504</v>
      </c>
      <c r="AH6523" t="s">
        <v>39505</v>
      </c>
      <c r="AI6523" t="s">
        <v>39506</v>
      </c>
    </row>
    <row r="6524" spans="2:35" ht="105">
      <c r="B6524" s="1">
        <v>45191</v>
      </c>
      <c r="C6524" s="4">
        <v>45189.348611111112</v>
      </c>
      <c r="D6524" t="s">
        <v>39507</v>
      </c>
      <c r="E6524" t="s">
        <v>39508</v>
      </c>
      <c r="F6524">
        <v>8</v>
      </c>
      <c r="G6524" t="s">
        <v>1789</v>
      </c>
      <c r="H6524" t="s">
        <v>39</v>
      </c>
      <c r="I6524" t="s">
        <v>40</v>
      </c>
      <c r="J6524" s="2" t="s">
        <v>62</v>
      </c>
      <c r="K6524" t="s">
        <v>42</v>
      </c>
      <c r="L6524" t="s">
        <v>259</v>
      </c>
      <c r="Q6524">
        <v>26029</v>
      </c>
      <c r="R6524" t="s">
        <v>45</v>
      </c>
      <c r="S6524" t="s">
        <v>39509</v>
      </c>
      <c r="T6524">
        <v>27</v>
      </c>
      <c r="U6524" s="2" t="s">
        <v>24001</v>
      </c>
      <c r="V6524" s="1">
        <v>45189</v>
      </c>
      <c r="W6524" t="s">
        <v>35955</v>
      </c>
      <c r="X6524">
        <v>835196</v>
      </c>
      <c r="Y6524" t="s">
        <v>67</v>
      </c>
      <c r="Z6524" t="e">
        <f ca="1">- CALIBRATION
- Preventive Maintenance</f>
        <v>#NAME?</v>
      </c>
      <c r="AA6524" t="e">
        <f ca="1">- performed XpertCheck CALIBRATION
- performed Preventive Maintenance
- Generate reports</f>
        <v>#NAME?</v>
      </c>
      <c r="AB6524" t="s">
        <v>70</v>
      </c>
      <c r="AC6524" t="s">
        <v>35957</v>
      </c>
      <c r="AD6524" t="s">
        <v>39510</v>
      </c>
      <c r="AE6524" t="s">
        <v>45</v>
      </c>
      <c r="AG6524" t="s">
        <v>39511</v>
      </c>
      <c r="AH6524" t="s">
        <v>39512</v>
      </c>
      <c r="AI6524" t="s">
        <v>39513</v>
      </c>
    </row>
    <row r="6525" spans="2:35" ht="60">
      <c r="B6525" s="1">
        <v>45191</v>
      </c>
      <c r="C6525" s="4">
        <v>45190.476388888892</v>
      </c>
      <c r="D6525" t="s">
        <v>38445</v>
      </c>
      <c r="E6525" t="s">
        <v>39514</v>
      </c>
      <c r="F6525">
        <v>8</v>
      </c>
      <c r="G6525" t="s">
        <v>1789</v>
      </c>
      <c r="H6525" t="s">
        <v>39</v>
      </c>
      <c r="I6525" t="s">
        <v>40</v>
      </c>
      <c r="J6525" s="2" t="s">
        <v>62</v>
      </c>
      <c r="K6525" t="s">
        <v>42</v>
      </c>
      <c r="L6525" t="s">
        <v>259</v>
      </c>
      <c r="Q6525">
        <v>26028</v>
      </c>
      <c r="R6525" t="s">
        <v>45</v>
      </c>
      <c r="S6525" t="s">
        <v>38447</v>
      </c>
      <c r="T6525">
        <v>31</v>
      </c>
      <c r="V6525" s="1">
        <v>45190</v>
      </c>
      <c r="W6525" t="s">
        <v>35955</v>
      </c>
      <c r="X6525">
        <v>834815</v>
      </c>
      <c r="Y6525" t="s">
        <v>67</v>
      </c>
      <c r="Z6525" t="e">
        <f ca="1">- CALIBRATION
- Preventive Maintenance</f>
        <v>#NAME?</v>
      </c>
      <c r="AA6525" t="e">
        <f ca="1">- XpertCheck CALIBRATION
- performed Preventive Maintenance
- Generate reports</f>
        <v>#NAME?</v>
      </c>
      <c r="AB6525" t="s">
        <v>70</v>
      </c>
      <c r="AC6525" t="s">
        <v>24418</v>
      </c>
      <c r="AD6525" t="s">
        <v>948</v>
      </c>
      <c r="AE6525" t="s">
        <v>39515</v>
      </c>
      <c r="AG6525" t="s">
        <v>39516</v>
      </c>
      <c r="AH6525" t="s">
        <v>39517</v>
      </c>
      <c r="AI6525" t="s">
        <v>39518</v>
      </c>
    </row>
    <row r="6526" spans="2:35" ht="60">
      <c r="B6526" s="1">
        <v>45191</v>
      </c>
      <c r="C6526" s="4">
        <v>45190.476388888892</v>
      </c>
      <c r="D6526" t="s">
        <v>38445</v>
      </c>
      <c r="E6526" t="s">
        <v>39514</v>
      </c>
      <c r="F6526">
        <v>8</v>
      </c>
      <c r="G6526" t="s">
        <v>1789</v>
      </c>
      <c r="H6526" t="s">
        <v>39</v>
      </c>
      <c r="I6526" t="s">
        <v>40</v>
      </c>
      <c r="J6526" s="2" t="s">
        <v>62</v>
      </c>
      <c r="K6526" t="s">
        <v>42</v>
      </c>
      <c r="L6526" t="s">
        <v>259</v>
      </c>
      <c r="Q6526">
        <v>26027</v>
      </c>
      <c r="R6526" t="s">
        <v>45</v>
      </c>
      <c r="S6526" t="s">
        <v>38447</v>
      </c>
      <c r="T6526">
        <v>31</v>
      </c>
      <c r="V6526" s="1">
        <v>45190</v>
      </c>
      <c r="W6526" t="s">
        <v>35955</v>
      </c>
      <c r="X6526">
        <v>834815</v>
      </c>
      <c r="Y6526" t="s">
        <v>67</v>
      </c>
      <c r="Z6526" t="e">
        <f ca="1">- CALIBRATION
- Preventive Maintenance</f>
        <v>#NAME?</v>
      </c>
      <c r="AA6526" t="e">
        <f ca="1">- XpertCheck CALIBRATION
- performed Preventive Maintenance
- Generate reports</f>
        <v>#NAME?</v>
      </c>
      <c r="AB6526" t="s">
        <v>70</v>
      </c>
      <c r="AC6526" t="s">
        <v>24418</v>
      </c>
      <c r="AD6526" t="s">
        <v>948</v>
      </c>
      <c r="AE6526" t="s">
        <v>39515</v>
      </c>
      <c r="AG6526" t="s">
        <v>39519</v>
      </c>
      <c r="AH6526" t="s">
        <v>39517</v>
      </c>
      <c r="AI6526" t="s">
        <v>39520</v>
      </c>
    </row>
    <row r="6527" spans="2:35" ht="180">
      <c r="B6527" s="1">
        <v>45191</v>
      </c>
      <c r="C6527" s="4">
        <v>45191.411111111112</v>
      </c>
      <c r="D6527" t="s">
        <v>16716</v>
      </c>
      <c r="E6527" t="s">
        <v>1128</v>
      </c>
      <c r="F6527">
        <v>8</v>
      </c>
      <c r="G6527" t="s">
        <v>342</v>
      </c>
      <c r="H6527" t="s">
        <v>39</v>
      </c>
      <c r="I6527" t="s">
        <v>40</v>
      </c>
      <c r="J6527" t="s">
        <v>109</v>
      </c>
      <c r="K6527" t="s">
        <v>42</v>
      </c>
      <c r="L6527" t="s">
        <v>259</v>
      </c>
      <c r="Q6527">
        <v>26026</v>
      </c>
      <c r="R6527" t="s">
        <v>119</v>
      </c>
      <c r="S6527" t="s">
        <v>37909</v>
      </c>
      <c r="T6527">
        <v>29</v>
      </c>
      <c r="U6527" s="2" t="s">
        <v>39521</v>
      </c>
      <c r="V6527" s="1">
        <v>45191</v>
      </c>
      <c r="W6527" t="s">
        <v>84</v>
      </c>
      <c r="X6527">
        <v>838421</v>
      </c>
      <c r="Y6527" t="s">
        <v>39522</v>
      </c>
      <c r="Z6527" t="s">
        <v>1716</v>
      </c>
      <c r="AA6527" t="s">
        <v>4315</v>
      </c>
      <c r="AB6527" t="s">
        <v>39523</v>
      </c>
      <c r="AG6527" t="s">
        <v>39524</v>
      </c>
      <c r="AH6527" t="s">
        <v>39525</v>
      </c>
      <c r="AI6527" t="s">
        <v>39526</v>
      </c>
    </row>
    <row r="6528" spans="2:35" ht="255">
      <c r="B6528" s="1">
        <v>45190</v>
      </c>
      <c r="C6528" s="4">
        <v>45190.647916666669</v>
      </c>
      <c r="D6528" t="s">
        <v>39527</v>
      </c>
      <c r="E6528" t="s">
        <v>39528</v>
      </c>
      <c r="F6528" t="s">
        <v>148</v>
      </c>
      <c r="G6528" t="s">
        <v>310</v>
      </c>
      <c r="H6528" t="s">
        <v>39</v>
      </c>
      <c r="I6528" t="s">
        <v>40</v>
      </c>
      <c r="J6528" t="s">
        <v>79</v>
      </c>
      <c r="K6528" t="s">
        <v>42</v>
      </c>
      <c r="L6528" t="s">
        <v>15532</v>
      </c>
      <c r="Q6528">
        <v>26025</v>
      </c>
      <c r="R6528" t="s">
        <v>119</v>
      </c>
      <c r="S6528" t="s">
        <v>25420</v>
      </c>
      <c r="T6528">
        <v>26</v>
      </c>
      <c r="U6528" s="2" t="s">
        <v>39529</v>
      </c>
      <c r="V6528" s="1">
        <v>45184</v>
      </c>
      <c r="W6528" t="s">
        <v>3244</v>
      </c>
      <c r="X6528">
        <v>831684</v>
      </c>
      <c r="Y6528" t="s">
        <v>39530</v>
      </c>
      <c r="Z6528" s="2" t="s">
        <v>39531</v>
      </c>
      <c r="AA6528" s="2" t="s">
        <v>39532</v>
      </c>
      <c r="AB6528" s="2" t="s">
        <v>39533</v>
      </c>
      <c r="AD6528" t="s">
        <v>23942</v>
      </c>
      <c r="AE6528" t="s">
        <v>39534</v>
      </c>
      <c r="AG6528" t="s">
        <v>39535</v>
      </c>
      <c r="AH6528" t="s">
        <v>39536</v>
      </c>
      <c r="AI6528" t="s">
        <v>39537</v>
      </c>
    </row>
    <row r="6529" spans="2:35" ht="165">
      <c r="B6529" s="1">
        <v>45190</v>
      </c>
      <c r="C6529" s="4">
        <v>45190.63958333333</v>
      </c>
      <c r="D6529" t="s">
        <v>22448</v>
      </c>
      <c r="E6529" t="s">
        <v>39538</v>
      </c>
      <c r="F6529">
        <v>3</v>
      </c>
      <c r="G6529" t="s">
        <v>1722</v>
      </c>
      <c r="H6529" t="s">
        <v>39</v>
      </c>
      <c r="I6529" t="s">
        <v>40</v>
      </c>
      <c r="J6529" s="2" t="s">
        <v>190</v>
      </c>
      <c r="K6529" t="s">
        <v>42</v>
      </c>
      <c r="L6529" t="s">
        <v>63</v>
      </c>
      <c r="Q6529">
        <v>26024</v>
      </c>
      <c r="R6529" t="s">
        <v>119</v>
      </c>
      <c r="S6529" t="s">
        <v>22450</v>
      </c>
      <c r="T6529">
        <v>28</v>
      </c>
      <c r="U6529" s="2" t="s">
        <v>13567</v>
      </c>
      <c r="V6529" s="1">
        <v>45190</v>
      </c>
      <c r="W6529" t="s">
        <v>26915</v>
      </c>
      <c r="X6529">
        <v>831695</v>
      </c>
      <c r="Y6529" t="s">
        <v>24940</v>
      </c>
      <c r="Z6529" t="s">
        <v>39539</v>
      </c>
      <c r="AA6529" s="2" t="s">
        <v>1727</v>
      </c>
      <c r="AB6529" t="s">
        <v>70</v>
      </c>
      <c r="AC6529" t="s">
        <v>39540</v>
      </c>
      <c r="AD6529" t="s">
        <v>1716</v>
      </c>
      <c r="AE6529" t="s">
        <v>1716</v>
      </c>
      <c r="AG6529" t="s">
        <v>39541</v>
      </c>
      <c r="AH6529" t="s">
        <v>39542</v>
      </c>
      <c r="AI6529" t="s">
        <v>39543</v>
      </c>
    </row>
    <row r="6530" spans="2:35" ht="150">
      <c r="B6530" s="1">
        <v>45190</v>
      </c>
      <c r="C6530" s="4">
        <v>45190.57916666667</v>
      </c>
      <c r="D6530" t="s">
        <v>39544</v>
      </c>
      <c r="E6530" t="s">
        <v>26059</v>
      </c>
      <c r="F6530" t="s">
        <v>148</v>
      </c>
      <c r="G6530" t="s">
        <v>371</v>
      </c>
      <c r="H6530" t="s">
        <v>39</v>
      </c>
      <c r="I6530" t="s">
        <v>40</v>
      </c>
      <c r="J6530" s="2" t="s">
        <v>190</v>
      </c>
      <c r="K6530" t="s">
        <v>42</v>
      </c>
      <c r="L6530" t="s">
        <v>175</v>
      </c>
      <c r="Q6530">
        <v>26023</v>
      </c>
      <c r="R6530" t="s">
        <v>119</v>
      </c>
      <c r="S6530" t="s">
        <v>27229</v>
      </c>
      <c r="T6530">
        <v>25</v>
      </c>
      <c r="U6530" s="2" t="s">
        <v>39545</v>
      </c>
      <c r="V6530" s="1">
        <v>45190</v>
      </c>
      <c r="W6530" t="s">
        <v>84</v>
      </c>
      <c r="X6530">
        <v>831845</v>
      </c>
      <c r="Y6530" t="s">
        <v>39546</v>
      </c>
      <c r="Z6530" t="e">
        <f ca="1">- checked _xludf.and cleaned cartridge bay, plunger rod, _xludf.filter
- performed XpertCheck
- generated reports</f>
        <v>#NAME?</v>
      </c>
      <c r="AA6530" t="s">
        <v>39547</v>
      </c>
      <c r="AB6530" s="2" t="s">
        <v>39548</v>
      </c>
      <c r="AD6530" t="s">
        <v>7189</v>
      </c>
      <c r="AE6530" t="s">
        <v>103</v>
      </c>
      <c r="AG6530" t="s">
        <v>39549</v>
      </c>
      <c r="AH6530" t="s">
        <v>27231</v>
      </c>
      <c r="AI6530" t="s">
        <v>39550</v>
      </c>
    </row>
    <row r="6531" spans="2:35" ht="195">
      <c r="B6531" s="1">
        <v>45190</v>
      </c>
      <c r="C6531" s="4">
        <v>45190.575694444444</v>
      </c>
      <c r="D6531" t="s">
        <v>25324</v>
      </c>
      <c r="E6531" t="s">
        <v>27738</v>
      </c>
      <c r="F6531" t="s">
        <v>37</v>
      </c>
      <c r="G6531" t="s">
        <v>78</v>
      </c>
      <c r="H6531" t="s">
        <v>39</v>
      </c>
      <c r="I6531" t="s">
        <v>40</v>
      </c>
      <c r="J6531" s="2" t="s">
        <v>190</v>
      </c>
      <c r="K6531" t="s">
        <v>42</v>
      </c>
      <c r="L6531" t="s">
        <v>43</v>
      </c>
      <c r="Q6531">
        <v>26022</v>
      </c>
      <c r="R6531" t="s">
        <v>119</v>
      </c>
      <c r="S6531" t="s">
        <v>27739</v>
      </c>
      <c r="T6531">
        <v>24</v>
      </c>
      <c r="U6531" s="2" t="s">
        <v>39551</v>
      </c>
      <c r="W6531" t="s">
        <v>48</v>
      </c>
      <c r="X6531">
        <v>821393</v>
      </c>
      <c r="Y6531" t="s">
        <v>39552</v>
      </c>
      <c r="Z6531" t="s">
        <v>13673</v>
      </c>
      <c r="AA6531" s="2" t="s">
        <v>39553</v>
      </c>
      <c r="AB6531" t="s">
        <v>88</v>
      </c>
      <c r="AG6531" t="s">
        <v>39554</v>
      </c>
      <c r="AH6531" t="s">
        <v>39555</v>
      </c>
      <c r="AI6531" t="s">
        <v>39556</v>
      </c>
    </row>
    <row r="6532" spans="2:35" ht="105">
      <c r="B6532" s="1">
        <v>45190</v>
      </c>
      <c r="C6532" s="4">
        <v>45190.565972222219</v>
      </c>
      <c r="D6532" t="s">
        <v>5563</v>
      </c>
      <c r="E6532" t="s">
        <v>1555</v>
      </c>
      <c r="F6532">
        <v>7</v>
      </c>
      <c r="G6532" t="s">
        <v>432</v>
      </c>
      <c r="H6532" t="s">
        <v>150</v>
      </c>
      <c r="I6532" t="s">
        <v>40</v>
      </c>
      <c r="J6532" t="s">
        <v>525</v>
      </c>
      <c r="K6532" t="s">
        <v>42</v>
      </c>
      <c r="L6532" t="s">
        <v>343</v>
      </c>
      <c r="Q6532">
        <v>26021</v>
      </c>
      <c r="R6532" t="s">
        <v>119</v>
      </c>
      <c r="S6532" t="s">
        <v>5564</v>
      </c>
      <c r="T6532">
        <v>25.5</v>
      </c>
      <c r="U6532" s="2" t="s">
        <v>15446</v>
      </c>
      <c r="W6532" t="s">
        <v>6105</v>
      </c>
      <c r="X6532">
        <v>838561</v>
      </c>
      <c r="Y6532" t="s">
        <v>39557</v>
      </c>
      <c r="Z6532" t="s">
        <v>301</v>
      </c>
      <c r="AA6532" t="e">
        <f ca="1">-Troubleshoot module
-Observe temperature
-deep _xludf.Clean machine</f>
        <v>#NAME?</v>
      </c>
      <c r="AB6532" t="s">
        <v>9638</v>
      </c>
      <c r="AG6532" t="s">
        <v>39558</v>
      </c>
      <c r="AH6532" t="s">
        <v>14800</v>
      </c>
      <c r="AI6532" t="s">
        <v>39559</v>
      </c>
    </row>
    <row r="6533" spans="2:35" ht="300">
      <c r="B6533" s="1">
        <v>45190</v>
      </c>
      <c r="C6533" s="4">
        <v>45190.556944444441</v>
      </c>
      <c r="D6533" t="s">
        <v>25184</v>
      </c>
      <c r="E6533" t="s">
        <v>25185</v>
      </c>
      <c r="F6533">
        <v>11</v>
      </c>
      <c r="G6533" t="s">
        <v>1205</v>
      </c>
      <c r="H6533" t="s">
        <v>202</v>
      </c>
      <c r="I6533" t="s">
        <v>40</v>
      </c>
      <c r="J6533" s="2" t="s">
        <v>1592</v>
      </c>
      <c r="K6533" t="s">
        <v>42</v>
      </c>
      <c r="L6533" t="s">
        <v>204</v>
      </c>
      <c r="Q6533">
        <v>26020</v>
      </c>
      <c r="R6533" t="s">
        <v>45</v>
      </c>
      <c r="S6533" t="s">
        <v>25186</v>
      </c>
      <c r="T6533">
        <v>24.8</v>
      </c>
      <c r="U6533" s="2" t="s">
        <v>39560</v>
      </c>
      <c r="W6533" t="s">
        <v>23237</v>
      </c>
      <c r="X6533">
        <v>838865</v>
      </c>
      <c r="Y6533" t="s">
        <v>39561</v>
      </c>
      <c r="Z6533" s="2" t="s">
        <v>39562</v>
      </c>
      <c r="AA6533" t="s">
        <v>39563</v>
      </c>
      <c r="AB6533" t="s">
        <v>3063</v>
      </c>
      <c r="AG6533" t="s">
        <v>39564</v>
      </c>
      <c r="AH6533" t="s">
        <v>39565</v>
      </c>
      <c r="AI6533" t="s">
        <v>39566</v>
      </c>
    </row>
    <row r="6534" spans="2:35" ht="105">
      <c r="B6534" s="1">
        <v>45190</v>
      </c>
      <c r="C6534" s="4">
        <v>45190.524305555555</v>
      </c>
      <c r="D6534" t="s">
        <v>8748</v>
      </c>
      <c r="E6534" t="s">
        <v>18078</v>
      </c>
      <c r="F6534">
        <v>12</v>
      </c>
      <c r="G6534" t="s">
        <v>294</v>
      </c>
      <c r="H6534" t="s">
        <v>5391</v>
      </c>
      <c r="I6534" t="s">
        <v>94</v>
      </c>
      <c r="J6534" s="2" t="s">
        <v>62</v>
      </c>
      <c r="K6534" t="s">
        <v>42</v>
      </c>
      <c r="L6534" t="s">
        <v>296</v>
      </c>
      <c r="Q6534">
        <v>26019</v>
      </c>
      <c r="R6534" t="s">
        <v>119</v>
      </c>
      <c r="S6534" t="s">
        <v>19855</v>
      </c>
      <c r="T6534">
        <v>27.6</v>
      </c>
      <c r="U6534" s="2" t="s">
        <v>24878</v>
      </c>
      <c r="V6534" s="1">
        <v>45190</v>
      </c>
      <c r="W6534" t="s">
        <v>23049</v>
      </c>
      <c r="X6534">
        <v>838556</v>
      </c>
      <c r="Y6534" t="s">
        <v>54</v>
      </c>
      <c r="Z6534" t="s">
        <v>9161</v>
      </c>
      <c r="AA6534" t="s">
        <v>39567</v>
      </c>
      <c r="AB6534" t="s">
        <v>972</v>
      </c>
      <c r="AC6534" t="s">
        <v>39568</v>
      </c>
      <c r="AD6534" t="s">
        <v>39569</v>
      </c>
      <c r="AE6534" t="s">
        <v>39570</v>
      </c>
      <c r="AG6534" t="s">
        <v>39571</v>
      </c>
      <c r="AH6534" t="s">
        <v>39572</v>
      </c>
      <c r="AI6534" t="s">
        <v>39573</v>
      </c>
    </row>
    <row r="6535" spans="2:35" ht="195">
      <c r="B6535" s="1">
        <v>45190</v>
      </c>
      <c r="C6535" s="4">
        <v>45190.499305555553</v>
      </c>
      <c r="D6535" t="s">
        <v>1807</v>
      </c>
      <c r="E6535" t="s">
        <v>39095</v>
      </c>
      <c r="F6535">
        <v>6</v>
      </c>
      <c r="G6535" t="s">
        <v>1234</v>
      </c>
      <c r="H6535" t="s">
        <v>258</v>
      </c>
      <c r="I6535" t="s">
        <v>94</v>
      </c>
      <c r="J6535" s="2" t="s">
        <v>1370</v>
      </c>
      <c r="K6535" t="s">
        <v>42</v>
      </c>
      <c r="L6535" t="s">
        <v>270</v>
      </c>
      <c r="Q6535">
        <v>26018</v>
      </c>
      <c r="R6535" t="s">
        <v>45</v>
      </c>
      <c r="S6535" t="s">
        <v>1809</v>
      </c>
      <c r="T6535">
        <v>23</v>
      </c>
      <c r="U6535" s="2" t="s">
        <v>1509</v>
      </c>
      <c r="W6535" t="s">
        <v>3662</v>
      </c>
      <c r="X6535">
        <v>847222</v>
      </c>
      <c r="Y6535" t="s">
        <v>9330</v>
      </c>
      <c r="Z6535" t="s">
        <v>39574</v>
      </c>
      <c r="AA6535" s="2" t="s">
        <v>39575</v>
      </c>
      <c r="AB6535" t="s">
        <v>4741</v>
      </c>
      <c r="AG6535" t="s">
        <v>39576</v>
      </c>
      <c r="AH6535" t="s">
        <v>39577</v>
      </c>
      <c r="AI6535" t="s">
        <v>39578</v>
      </c>
    </row>
    <row r="6536" spans="2:35" ht="180">
      <c r="B6536" s="1">
        <v>45190</v>
      </c>
      <c r="C6536" s="4">
        <v>45190.484722222223</v>
      </c>
      <c r="D6536" t="s">
        <v>7600</v>
      </c>
      <c r="E6536" t="s">
        <v>39579</v>
      </c>
      <c r="F6536" t="s">
        <v>37</v>
      </c>
      <c r="G6536" t="s">
        <v>78</v>
      </c>
      <c r="H6536" t="s">
        <v>39</v>
      </c>
      <c r="I6536" t="s">
        <v>40</v>
      </c>
      <c r="J6536" s="2" t="s">
        <v>41</v>
      </c>
      <c r="K6536" t="s">
        <v>42</v>
      </c>
      <c r="L6536" t="s">
        <v>43</v>
      </c>
      <c r="Q6536">
        <v>26017</v>
      </c>
      <c r="R6536" t="s">
        <v>119</v>
      </c>
      <c r="S6536" t="s">
        <v>39580</v>
      </c>
      <c r="T6536">
        <v>24</v>
      </c>
      <c r="U6536" s="2" t="s">
        <v>9254</v>
      </c>
      <c r="V6536" s="1">
        <v>45174</v>
      </c>
      <c r="W6536" t="s">
        <v>48</v>
      </c>
      <c r="X6536">
        <v>820229</v>
      </c>
      <c r="Y6536" t="s">
        <v>33366</v>
      </c>
      <c r="Z6536" t="s">
        <v>33367</v>
      </c>
      <c r="AA6536" s="2" t="s">
        <v>33368</v>
      </c>
      <c r="AB6536" t="s">
        <v>39581</v>
      </c>
      <c r="AD6536" s="2" t="s">
        <v>39582</v>
      </c>
      <c r="AE6536" t="s">
        <v>39583</v>
      </c>
      <c r="AG6536" t="s">
        <v>39584</v>
      </c>
      <c r="AH6536" t="s">
        <v>39585</v>
      </c>
      <c r="AI6536" t="s">
        <v>39586</v>
      </c>
    </row>
    <row r="6537" spans="2:35" ht="225">
      <c r="B6537" s="1">
        <v>45190</v>
      </c>
      <c r="C6537" s="4">
        <v>45190.416666666664</v>
      </c>
      <c r="D6537" t="s">
        <v>39587</v>
      </c>
      <c r="E6537" t="s">
        <v>3051</v>
      </c>
      <c r="F6537" t="s">
        <v>148</v>
      </c>
      <c r="G6537" t="s">
        <v>371</v>
      </c>
      <c r="H6537" t="s">
        <v>39</v>
      </c>
      <c r="I6537" t="s">
        <v>40</v>
      </c>
      <c r="J6537" t="s">
        <v>525</v>
      </c>
      <c r="K6537" t="s">
        <v>42</v>
      </c>
      <c r="L6537" t="s">
        <v>15532</v>
      </c>
      <c r="Q6537">
        <v>26016</v>
      </c>
      <c r="R6537" t="s">
        <v>45</v>
      </c>
      <c r="S6537" t="s">
        <v>39588</v>
      </c>
      <c r="T6537">
        <v>25</v>
      </c>
      <c r="U6537" s="2" t="s">
        <v>39589</v>
      </c>
      <c r="W6537" t="s">
        <v>3244</v>
      </c>
      <c r="X6537">
        <v>814154</v>
      </c>
      <c r="Y6537" t="s">
        <v>39590</v>
      </c>
      <c r="Z6537" s="2" t="s">
        <v>39591</v>
      </c>
      <c r="AA6537" t="s">
        <v>7847</v>
      </c>
      <c r="AB6537" s="2" t="s">
        <v>39592</v>
      </c>
      <c r="AG6537" t="s">
        <v>39593</v>
      </c>
      <c r="AH6537" t="s">
        <v>25468</v>
      </c>
      <c r="AI6537" t="s">
        <v>39594</v>
      </c>
    </row>
    <row r="6538" spans="2:35" ht="120">
      <c r="B6538" s="1">
        <v>45190</v>
      </c>
      <c r="C6538" s="4">
        <v>45190.324305555558</v>
      </c>
      <c r="D6538" t="s">
        <v>24999</v>
      </c>
      <c r="E6538" t="s">
        <v>25000</v>
      </c>
      <c r="F6538">
        <v>13</v>
      </c>
      <c r="G6538" t="s">
        <v>8524</v>
      </c>
      <c r="H6538" t="s">
        <v>2125</v>
      </c>
      <c r="I6538" t="s">
        <v>40</v>
      </c>
      <c r="J6538" s="2" t="s">
        <v>62</v>
      </c>
      <c r="K6538" t="s">
        <v>42</v>
      </c>
      <c r="L6538" t="s">
        <v>933</v>
      </c>
      <c r="Q6538">
        <v>26014</v>
      </c>
      <c r="R6538" t="s">
        <v>45</v>
      </c>
      <c r="S6538" t="s">
        <v>25001</v>
      </c>
      <c r="T6538">
        <v>30</v>
      </c>
      <c r="U6538" s="2" t="s">
        <v>39595</v>
      </c>
      <c r="W6538" t="s">
        <v>3662</v>
      </c>
      <c r="X6538">
        <v>835098</v>
      </c>
      <c r="Y6538" t="s">
        <v>301</v>
      </c>
      <c r="Z6538" t="s">
        <v>39596</v>
      </c>
      <c r="AA6538" s="2" t="s">
        <v>2397</v>
      </c>
      <c r="AB6538" t="s">
        <v>1263</v>
      </c>
      <c r="AC6538" t="s">
        <v>15697</v>
      </c>
      <c r="AG6538" t="s">
        <v>39597</v>
      </c>
      <c r="AH6538" t="s">
        <v>25006</v>
      </c>
      <c r="AI6538" t="s">
        <v>39598</v>
      </c>
    </row>
    <row r="6539" spans="2:35" ht="60">
      <c r="B6539" s="1">
        <v>45189</v>
      </c>
      <c r="C6539" s="4">
        <v>45189.722222222219</v>
      </c>
      <c r="D6539" t="s">
        <v>35487</v>
      </c>
      <c r="E6539" t="s">
        <v>39599</v>
      </c>
      <c r="F6539" t="s">
        <v>1255</v>
      </c>
      <c r="G6539" t="s">
        <v>17856</v>
      </c>
      <c r="H6539" t="s">
        <v>39</v>
      </c>
      <c r="I6539" t="s">
        <v>40</v>
      </c>
      <c r="J6539" s="2" t="s">
        <v>62</v>
      </c>
      <c r="K6539" t="s">
        <v>42</v>
      </c>
      <c r="L6539" t="s">
        <v>1257</v>
      </c>
      <c r="Q6539">
        <v>26013</v>
      </c>
      <c r="R6539" t="s">
        <v>119</v>
      </c>
      <c r="S6539" t="s">
        <v>39600</v>
      </c>
      <c r="T6539">
        <v>27</v>
      </c>
      <c r="V6539" s="1">
        <v>45140</v>
      </c>
      <c r="W6539" t="s">
        <v>2384</v>
      </c>
      <c r="X6539">
        <v>838834</v>
      </c>
      <c r="Y6539" t="s">
        <v>39601</v>
      </c>
      <c r="Z6539" t="s">
        <v>39602</v>
      </c>
      <c r="AA6539" t="s">
        <v>39603</v>
      </c>
      <c r="AB6539" t="s">
        <v>39604</v>
      </c>
      <c r="AC6539" t="s">
        <v>301</v>
      </c>
      <c r="AD6539" t="s">
        <v>5255</v>
      </c>
      <c r="AE6539">
        <v>10402</v>
      </c>
      <c r="AG6539" t="s">
        <v>39605</v>
      </c>
      <c r="AH6539" t="s">
        <v>17862</v>
      </c>
      <c r="AI6539" t="s">
        <v>39606</v>
      </c>
    </row>
    <row r="6540" spans="2:35" ht="240">
      <c r="B6540" s="1">
        <v>45189</v>
      </c>
      <c r="C6540" s="4">
        <v>45189.680555555555</v>
      </c>
      <c r="D6540" t="s">
        <v>8522</v>
      </c>
      <c r="E6540" t="s">
        <v>17955</v>
      </c>
      <c r="F6540">
        <v>13</v>
      </c>
      <c r="G6540" t="s">
        <v>8524</v>
      </c>
      <c r="H6540" t="s">
        <v>2125</v>
      </c>
      <c r="I6540" t="s">
        <v>40</v>
      </c>
      <c r="J6540" s="2" t="s">
        <v>1309</v>
      </c>
      <c r="K6540" t="s">
        <v>42</v>
      </c>
      <c r="L6540" t="s">
        <v>933</v>
      </c>
      <c r="Q6540">
        <v>26012</v>
      </c>
      <c r="R6540" t="s">
        <v>119</v>
      </c>
      <c r="S6540" t="s">
        <v>25038</v>
      </c>
      <c r="T6540">
        <v>30</v>
      </c>
      <c r="U6540" s="2" t="s">
        <v>3298</v>
      </c>
      <c r="W6540" t="s">
        <v>3662</v>
      </c>
      <c r="X6540">
        <v>838439</v>
      </c>
      <c r="Y6540" t="s">
        <v>39607</v>
      </c>
      <c r="Z6540" t="s">
        <v>39596</v>
      </c>
      <c r="AA6540" s="2" t="s">
        <v>39608</v>
      </c>
      <c r="AB6540" t="s">
        <v>1263</v>
      </c>
      <c r="AG6540" t="s">
        <v>39609</v>
      </c>
      <c r="AH6540" t="s">
        <v>39610</v>
      </c>
      <c r="AI6540" t="s">
        <v>39611</v>
      </c>
    </row>
    <row r="6541" spans="2:35" ht="285">
      <c r="B6541" s="1">
        <v>45189</v>
      </c>
      <c r="C6541" s="4">
        <v>45189.643750000003</v>
      </c>
      <c r="D6541" t="s">
        <v>4561</v>
      </c>
      <c r="E6541" t="s">
        <v>39612</v>
      </c>
      <c r="F6541" t="s">
        <v>148</v>
      </c>
      <c r="G6541" t="s">
        <v>447</v>
      </c>
      <c r="H6541" t="s">
        <v>39</v>
      </c>
      <c r="I6541" t="s">
        <v>40</v>
      </c>
      <c r="J6541" s="2" t="s">
        <v>190</v>
      </c>
      <c r="K6541" t="s">
        <v>42</v>
      </c>
      <c r="L6541" t="s">
        <v>15532</v>
      </c>
      <c r="Q6541">
        <v>26011</v>
      </c>
      <c r="R6541" t="s">
        <v>45</v>
      </c>
      <c r="S6541" t="s">
        <v>39613</v>
      </c>
      <c r="T6541">
        <v>29</v>
      </c>
      <c r="U6541" s="2" t="s">
        <v>39614</v>
      </c>
      <c r="W6541" t="s">
        <v>3244</v>
      </c>
      <c r="X6541">
        <v>804688</v>
      </c>
      <c r="Y6541" t="s">
        <v>39615</v>
      </c>
      <c r="Z6541" s="2" t="s">
        <v>39616</v>
      </c>
      <c r="AA6541" t="s">
        <v>39617</v>
      </c>
      <c r="AB6541" t="s">
        <v>39618</v>
      </c>
      <c r="AG6541" t="s">
        <v>39619</v>
      </c>
      <c r="AH6541" t="s">
        <v>37722</v>
      </c>
      <c r="AI6541" t="s">
        <v>39620</v>
      </c>
    </row>
    <row r="6542" spans="2:35">
      <c r="B6542" s="1">
        <v>45189</v>
      </c>
      <c r="C6542" s="4">
        <v>45189.645138888889</v>
      </c>
      <c r="D6542" t="s">
        <v>39621</v>
      </c>
      <c r="E6542" t="s">
        <v>39622</v>
      </c>
      <c r="F6542" t="s">
        <v>1255</v>
      </c>
      <c r="G6542" t="s">
        <v>17856</v>
      </c>
      <c r="H6542" t="s">
        <v>39</v>
      </c>
      <c r="I6542" t="s">
        <v>40</v>
      </c>
      <c r="J6542" t="s">
        <v>996</v>
      </c>
      <c r="K6542" t="s">
        <v>42</v>
      </c>
      <c r="L6542" t="s">
        <v>1257</v>
      </c>
      <c r="Q6542">
        <v>26010</v>
      </c>
      <c r="R6542" t="s">
        <v>45</v>
      </c>
      <c r="S6542" t="s">
        <v>37974</v>
      </c>
      <c r="T6542">
        <v>28</v>
      </c>
      <c r="V6542" s="1">
        <v>45189</v>
      </c>
      <c r="W6542" t="s">
        <v>2384</v>
      </c>
      <c r="X6542">
        <v>808643</v>
      </c>
      <c r="Y6542" t="s">
        <v>26149</v>
      </c>
      <c r="Z6542" t="s">
        <v>39623</v>
      </c>
      <c r="AA6542" t="s">
        <v>39624</v>
      </c>
      <c r="AB6542" t="s">
        <v>39625</v>
      </c>
      <c r="AC6542" t="s">
        <v>39626</v>
      </c>
      <c r="AD6542" t="s">
        <v>54</v>
      </c>
      <c r="AE6542" t="s">
        <v>54</v>
      </c>
      <c r="AG6542" t="s">
        <v>39627</v>
      </c>
      <c r="AH6542" t="s">
        <v>37976</v>
      </c>
      <c r="AI6542" t="s">
        <v>39628</v>
      </c>
    </row>
    <row r="6543" spans="2:35" ht="75">
      <c r="B6543" s="1">
        <v>45189</v>
      </c>
      <c r="C6543" s="4">
        <v>45189.640277777777</v>
      </c>
      <c r="D6543" t="s">
        <v>39621</v>
      </c>
      <c r="E6543" t="s">
        <v>39629</v>
      </c>
      <c r="F6543">
        <v>9</v>
      </c>
      <c r="G6543" t="s">
        <v>17856</v>
      </c>
      <c r="H6543" t="s">
        <v>39</v>
      </c>
      <c r="I6543" t="s">
        <v>40</v>
      </c>
      <c r="J6543" s="2" t="s">
        <v>17375</v>
      </c>
      <c r="K6543" t="s">
        <v>42</v>
      </c>
      <c r="L6543" t="s">
        <v>1257</v>
      </c>
      <c r="Q6543">
        <v>26009</v>
      </c>
      <c r="R6543" t="s">
        <v>45</v>
      </c>
      <c r="S6543" t="s">
        <v>37974</v>
      </c>
      <c r="T6543">
        <v>28</v>
      </c>
      <c r="V6543" s="1">
        <v>45177</v>
      </c>
      <c r="W6543" t="s">
        <v>2384</v>
      </c>
      <c r="X6543">
        <v>838454</v>
      </c>
      <c r="Y6543" t="s">
        <v>301</v>
      </c>
      <c r="Z6543" t="s">
        <v>39630</v>
      </c>
      <c r="AA6543" t="s">
        <v>25079</v>
      </c>
      <c r="AB6543" t="s">
        <v>7411</v>
      </c>
      <c r="AC6543" t="s">
        <v>301</v>
      </c>
      <c r="AD6543" t="s">
        <v>54</v>
      </c>
      <c r="AE6543" t="s">
        <v>54</v>
      </c>
      <c r="AG6543" t="s">
        <v>39631</v>
      </c>
      <c r="AH6543" t="s">
        <v>39632</v>
      </c>
      <c r="AI6543" t="s">
        <v>39633</v>
      </c>
    </row>
    <row r="6544" spans="2:35" ht="150">
      <c r="B6544" s="1">
        <v>45189</v>
      </c>
      <c r="C6544" s="4">
        <v>45189.64166666667</v>
      </c>
      <c r="D6544" t="s">
        <v>1678</v>
      </c>
      <c r="E6544" t="s">
        <v>39634</v>
      </c>
      <c r="F6544" t="s">
        <v>148</v>
      </c>
      <c r="G6544" t="s">
        <v>785</v>
      </c>
      <c r="H6544" t="s">
        <v>39</v>
      </c>
      <c r="I6544" t="s">
        <v>40</v>
      </c>
      <c r="J6544" s="2" t="s">
        <v>41</v>
      </c>
      <c r="K6544" t="s">
        <v>42</v>
      </c>
      <c r="L6544" t="s">
        <v>43</v>
      </c>
      <c r="Q6544">
        <v>26008</v>
      </c>
      <c r="R6544" t="s">
        <v>719</v>
      </c>
      <c r="S6544" t="s">
        <v>18437</v>
      </c>
      <c r="T6544">
        <v>24</v>
      </c>
      <c r="U6544" s="2" t="s">
        <v>39635</v>
      </c>
      <c r="V6544" s="1">
        <v>45189</v>
      </c>
      <c r="W6544" t="s">
        <v>48</v>
      </c>
      <c r="X6544">
        <v>843924</v>
      </c>
      <c r="Y6544" t="s">
        <v>8731</v>
      </c>
      <c r="Z6544" t="s">
        <v>179</v>
      </c>
      <c r="AA6544" s="2" t="s">
        <v>39636</v>
      </c>
      <c r="AB6544" t="s">
        <v>39637</v>
      </c>
      <c r="AD6544" s="2" t="s">
        <v>39638</v>
      </c>
      <c r="AE6544" t="s">
        <v>39639</v>
      </c>
      <c r="AG6544" t="s">
        <v>39640</v>
      </c>
      <c r="AH6544" t="s">
        <v>14357</v>
      </c>
      <c r="AI6544" t="s">
        <v>39641</v>
      </c>
    </row>
    <row r="6545" spans="2:35" ht="150">
      <c r="B6545" s="1">
        <v>45189</v>
      </c>
      <c r="C6545" s="4">
        <v>45189.609027777777</v>
      </c>
      <c r="D6545" t="s">
        <v>22463</v>
      </c>
      <c r="E6545" t="s">
        <v>39642</v>
      </c>
      <c r="F6545" t="s">
        <v>148</v>
      </c>
      <c r="G6545" t="s">
        <v>310</v>
      </c>
      <c r="H6545" t="s">
        <v>39</v>
      </c>
      <c r="I6545" t="s">
        <v>40</v>
      </c>
      <c r="J6545" s="2" t="s">
        <v>41</v>
      </c>
      <c r="K6545" t="s">
        <v>42</v>
      </c>
      <c r="L6545" t="s">
        <v>1943</v>
      </c>
      <c r="Q6545">
        <v>26007</v>
      </c>
      <c r="R6545" t="s">
        <v>45</v>
      </c>
      <c r="S6545" t="s">
        <v>32486</v>
      </c>
      <c r="T6545">
        <v>25</v>
      </c>
      <c r="U6545" s="2" t="s">
        <v>39643</v>
      </c>
      <c r="V6545" s="1">
        <v>45189</v>
      </c>
      <c r="W6545" t="s">
        <v>84</v>
      </c>
      <c r="X6545">
        <v>808619</v>
      </c>
      <c r="Y6545" s="2" t="s">
        <v>39644</v>
      </c>
      <c r="Z6545" s="2" t="s">
        <v>33081</v>
      </c>
      <c r="AA6545" t="s">
        <v>22330</v>
      </c>
      <c r="AB6545" t="s">
        <v>88</v>
      </c>
      <c r="AD6545" t="s">
        <v>39645</v>
      </c>
      <c r="AE6545" t="s">
        <v>39646</v>
      </c>
      <c r="AG6545" t="s">
        <v>39647</v>
      </c>
      <c r="AH6545" t="s">
        <v>39648</v>
      </c>
      <c r="AI6545" t="s">
        <v>39649</v>
      </c>
    </row>
    <row r="6546" spans="2:35" ht="105">
      <c r="B6546" s="1">
        <v>45189</v>
      </c>
      <c r="C6546" s="4">
        <v>45189.35</v>
      </c>
      <c r="D6546" t="s">
        <v>31998</v>
      </c>
      <c r="E6546" t="s">
        <v>31999</v>
      </c>
      <c r="F6546">
        <v>1</v>
      </c>
      <c r="G6546" t="s">
        <v>1046</v>
      </c>
      <c r="H6546" t="s">
        <v>1047</v>
      </c>
      <c r="I6546" t="s">
        <v>40</v>
      </c>
      <c r="J6546" s="2" t="s">
        <v>190</v>
      </c>
      <c r="K6546" t="s">
        <v>42</v>
      </c>
      <c r="L6546" t="s">
        <v>1048</v>
      </c>
      <c r="N6546" t="s">
        <v>1049</v>
      </c>
      <c r="Q6546">
        <v>26006</v>
      </c>
      <c r="R6546" t="s">
        <v>45</v>
      </c>
      <c r="S6546" t="s">
        <v>39650</v>
      </c>
      <c r="T6546">
        <v>35</v>
      </c>
      <c r="U6546" s="2" t="s">
        <v>19769</v>
      </c>
      <c r="W6546" t="s">
        <v>360</v>
      </c>
      <c r="X6546">
        <v>834369</v>
      </c>
      <c r="Y6546" t="s">
        <v>39651</v>
      </c>
      <c r="Z6546" t="e">
        <f ca="1">- cleaned cartridge Bays, plunger Rods _xludf.and I-CORE
- performed reliability test
- generated reports</f>
        <v>#NAME?</v>
      </c>
      <c r="AA6546" t="s">
        <v>1935</v>
      </c>
      <c r="AB6546" t="s">
        <v>181</v>
      </c>
      <c r="AC6546" t="s">
        <v>37623</v>
      </c>
      <c r="AG6546" t="s">
        <v>39652</v>
      </c>
      <c r="AH6546" t="s">
        <v>39653</v>
      </c>
      <c r="AI6546" t="s">
        <v>39654</v>
      </c>
    </row>
    <row r="6547" spans="2:35" ht="225">
      <c r="B6547" s="1">
        <v>45189</v>
      </c>
      <c r="C6547" s="4">
        <v>45189.55972222222</v>
      </c>
      <c r="D6547" t="s">
        <v>39655</v>
      </c>
      <c r="E6547" t="s">
        <v>39656</v>
      </c>
      <c r="F6547" t="s">
        <v>148</v>
      </c>
      <c r="G6547" t="s">
        <v>310</v>
      </c>
      <c r="H6547" t="s">
        <v>39</v>
      </c>
      <c r="I6547" t="s">
        <v>40</v>
      </c>
      <c r="J6547" s="2" t="s">
        <v>62</v>
      </c>
      <c r="K6547" t="s">
        <v>42</v>
      </c>
      <c r="L6547" t="s">
        <v>15532</v>
      </c>
      <c r="Q6547">
        <v>26005</v>
      </c>
      <c r="R6547" t="s">
        <v>119</v>
      </c>
      <c r="S6547" t="s">
        <v>34536</v>
      </c>
      <c r="T6547">
        <v>24</v>
      </c>
      <c r="U6547" s="2" t="s">
        <v>39657</v>
      </c>
      <c r="W6547" t="s">
        <v>3244</v>
      </c>
      <c r="X6547">
        <v>831527</v>
      </c>
      <c r="Y6547" t="s">
        <v>39658</v>
      </c>
      <c r="Z6547" s="2" t="s">
        <v>39659</v>
      </c>
      <c r="AA6547" t="s">
        <v>39660</v>
      </c>
      <c r="AB6547" t="s">
        <v>34152</v>
      </c>
      <c r="AG6547" t="s">
        <v>39661</v>
      </c>
      <c r="AH6547" t="s">
        <v>34539</v>
      </c>
      <c r="AI6547" t="s">
        <v>39662</v>
      </c>
    </row>
    <row r="6548" spans="2:35" ht="180">
      <c r="B6548" s="1">
        <v>45189</v>
      </c>
      <c r="C6548" s="4">
        <v>45189.538194444445</v>
      </c>
      <c r="D6548" t="s">
        <v>4112</v>
      </c>
      <c r="E6548" t="s">
        <v>39663</v>
      </c>
      <c r="F6548">
        <v>5</v>
      </c>
      <c r="G6548" t="s">
        <v>814</v>
      </c>
      <c r="H6548" t="s">
        <v>39</v>
      </c>
      <c r="I6548" t="s">
        <v>40</v>
      </c>
      <c r="J6548" s="2" t="s">
        <v>62</v>
      </c>
      <c r="K6548" t="s">
        <v>42</v>
      </c>
      <c r="L6548" t="s">
        <v>761</v>
      </c>
      <c r="Q6548">
        <v>26004</v>
      </c>
      <c r="R6548" t="s">
        <v>45</v>
      </c>
      <c r="S6548" t="s">
        <v>31206</v>
      </c>
      <c r="T6548">
        <v>28</v>
      </c>
      <c r="U6548" s="2" t="s">
        <v>17780</v>
      </c>
      <c r="W6548" t="s">
        <v>3662</v>
      </c>
      <c r="X6548">
        <v>835213</v>
      </c>
      <c r="Y6548" t="s">
        <v>21277</v>
      </c>
      <c r="Z6548" s="2" t="s">
        <v>39664</v>
      </c>
      <c r="AA6548" s="2" t="s">
        <v>4477</v>
      </c>
      <c r="AB6548" t="s">
        <v>70</v>
      </c>
      <c r="AC6548" t="s">
        <v>39665</v>
      </c>
      <c r="AG6548" t="s">
        <v>39666</v>
      </c>
      <c r="AH6548" t="s">
        <v>31210</v>
      </c>
      <c r="AI6548" t="s">
        <v>39667</v>
      </c>
    </row>
    <row r="6549" spans="2:35" ht="180">
      <c r="B6549" s="1">
        <v>45189</v>
      </c>
      <c r="C6549" s="4">
        <v>45189.479166666664</v>
      </c>
      <c r="D6549" t="s">
        <v>8429</v>
      </c>
      <c r="E6549" t="s">
        <v>39668</v>
      </c>
      <c r="F6549">
        <v>11</v>
      </c>
      <c r="G6549" t="s">
        <v>1205</v>
      </c>
      <c r="H6549" t="s">
        <v>202</v>
      </c>
      <c r="I6549" t="s">
        <v>40</v>
      </c>
      <c r="J6549" t="s">
        <v>109</v>
      </c>
      <c r="K6549" t="s">
        <v>42</v>
      </c>
      <c r="L6549" t="s">
        <v>204</v>
      </c>
      <c r="Q6549">
        <v>26003</v>
      </c>
      <c r="R6549" t="s">
        <v>119</v>
      </c>
      <c r="S6549" t="s">
        <v>8431</v>
      </c>
      <c r="T6549">
        <v>26.5</v>
      </c>
      <c r="U6549" s="2" t="s">
        <v>39669</v>
      </c>
      <c r="V6549" s="1">
        <v>45141</v>
      </c>
      <c r="W6549" t="s">
        <v>23237</v>
      </c>
      <c r="X6549">
        <v>838456</v>
      </c>
      <c r="Y6549" t="s">
        <v>39670</v>
      </c>
      <c r="Z6549" t="s">
        <v>39671</v>
      </c>
      <c r="AA6549" t="s">
        <v>39672</v>
      </c>
      <c r="AB6549" s="2" t="s">
        <v>39673</v>
      </c>
      <c r="AC6549" t="s">
        <v>39674</v>
      </c>
      <c r="AD6549" t="s">
        <v>18192</v>
      </c>
      <c r="AE6549" t="s">
        <v>39675</v>
      </c>
      <c r="AG6549" t="s">
        <v>39676</v>
      </c>
      <c r="AH6549" t="s">
        <v>35201</v>
      </c>
      <c r="AI6549" t="s">
        <v>39677</v>
      </c>
    </row>
    <row r="6550" spans="2:35" ht="225">
      <c r="B6550" s="1">
        <v>45189</v>
      </c>
      <c r="C6550" s="4">
        <v>45189.436111111114</v>
      </c>
      <c r="D6550" t="s">
        <v>27635</v>
      </c>
      <c r="E6550" t="s">
        <v>39678</v>
      </c>
      <c r="F6550" t="s">
        <v>148</v>
      </c>
      <c r="G6550" t="s">
        <v>447</v>
      </c>
      <c r="H6550" t="s">
        <v>39</v>
      </c>
      <c r="I6550" t="s">
        <v>40</v>
      </c>
      <c r="J6550" s="2" t="s">
        <v>62</v>
      </c>
      <c r="K6550" t="s">
        <v>42</v>
      </c>
      <c r="L6550" t="s">
        <v>15532</v>
      </c>
      <c r="Q6550">
        <v>26002</v>
      </c>
      <c r="R6550" t="s">
        <v>45</v>
      </c>
      <c r="S6550" t="s">
        <v>24625</v>
      </c>
      <c r="T6550">
        <v>29</v>
      </c>
      <c r="U6550" s="2" t="s">
        <v>39679</v>
      </c>
      <c r="W6550" t="s">
        <v>597</v>
      </c>
      <c r="X6550">
        <v>831615</v>
      </c>
      <c r="Y6550" t="s">
        <v>39680</v>
      </c>
      <c r="Z6550" s="2" t="s">
        <v>39681</v>
      </c>
      <c r="AA6550" t="s">
        <v>39682</v>
      </c>
      <c r="AB6550" t="s">
        <v>39618</v>
      </c>
      <c r="AG6550" t="s">
        <v>39683</v>
      </c>
      <c r="AH6550" t="s">
        <v>36316</v>
      </c>
      <c r="AI6550" t="s">
        <v>39684</v>
      </c>
    </row>
    <row r="6551" spans="2:35" ht="330">
      <c r="B6551" s="1">
        <v>45189</v>
      </c>
      <c r="C6551" s="4">
        <v>45189.380555555559</v>
      </c>
      <c r="D6551" t="s">
        <v>1284</v>
      </c>
      <c r="E6551" t="s">
        <v>39685</v>
      </c>
      <c r="F6551">
        <v>6</v>
      </c>
      <c r="G6551" t="s">
        <v>1286</v>
      </c>
      <c r="H6551" t="s">
        <v>258</v>
      </c>
      <c r="I6551" t="s">
        <v>94</v>
      </c>
      <c r="J6551" s="2" t="s">
        <v>41</v>
      </c>
      <c r="K6551" t="s">
        <v>42</v>
      </c>
      <c r="L6551" t="s">
        <v>270</v>
      </c>
      <c r="Q6551">
        <v>26001</v>
      </c>
      <c r="R6551" t="s">
        <v>45</v>
      </c>
      <c r="S6551" t="s">
        <v>31167</v>
      </c>
      <c r="T6551">
        <v>22</v>
      </c>
      <c r="U6551" s="2" t="s">
        <v>39686</v>
      </c>
      <c r="W6551" t="s">
        <v>34485</v>
      </c>
      <c r="X6551">
        <v>839316</v>
      </c>
      <c r="Y6551" t="s">
        <v>39687</v>
      </c>
      <c r="Z6551" s="2" t="s">
        <v>39688</v>
      </c>
      <c r="AA6551" s="2" t="s">
        <v>39689</v>
      </c>
      <c r="AB6551" t="s">
        <v>39690</v>
      </c>
      <c r="AG6551" t="s">
        <v>39691</v>
      </c>
      <c r="AH6551" t="s">
        <v>31171</v>
      </c>
      <c r="AI6551" t="s">
        <v>39692</v>
      </c>
    </row>
    <row r="6552" spans="2:35" ht="390">
      <c r="B6552" s="1">
        <v>45188</v>
      </c>
      <c r="C6552" s="4">
        <v>45188.675694444442</v>
      </c>
      <c r="D6552" t="s">
        <v>7897</v>
      </c>
      <c r="E6552" t="s">
        <v>39693</v>
      </c>
      <c r="F6552">
        <v>11</v>
      </c>
      <c r="G6552" t="s">
        <v>2137</v>
      </c>
      <c r="H6552" t="s">
        <v>202</v>
      </c>
      <c r="I6552" t="s">
        <v>40</v>
      </c>
      <c r="J6552" s="2" t="s">
        <v>62</v>
      </c>
      <c r="K6552" t="s">
        <v>42</v>
      </c>
      <c r="L6552" t="s">
        <v>204</v>
      </c>
      <c r="Q6552">
        <v>26000</v>
      </c>
      <c r="R6552" t="s">
        <v>119</v>
      </c>
      <c r="S6552" t="s">
        <v>39694</v>
      </c>
      <c r="T6552">
        <v>23.6</v>
      </c>
      <c r="U6552" s="2" t="s">
        <v>13523</v>
      </c>
      <c r="V6552" s="1">
        <v>45141</v>
      </c>
      <c r="W6552" t="s">
        <v>23237</v>
      </c>
      <c r="X6552">
        <v>838259</v>
      </c>
      <c r="Y6552" t="s">
        <v>1618</v>
      </c>
      <c r="Z6552" s="2" t="s">
        <v>30713</v>
      </c>
      <c r="AA6552" t="s">
        <v>1620</v>
      </c>
      <c r="AB6552" t="s">
        <v>15776</v>
      </c>
      <c r="AD6552" t="s">
        <v>18192</v>
      </c>
      <c r="AE6552" t="s">
        <v>39695</v>
      </c>
      <c r="AG6552" t="s">
        <v>39696</v>
      </c>
      <c r="AH6552" t="s">
        <v>39697</v>
      </c>
      <c r="AI6552" t="s">
        <v>39698</v>
      </c>
    </row>
    <row r="6553" spans="2:35" ht="150">
      <c r="B6553" s="1">
        <v>45188</v>
      </c>
      <c r="C6553" s="4">
        <v>45188.670138888891</v>
      </c>
      <c r="D6553" t="s">
        <v>11127</v>
      </c>
      <c r="E6553" t="s">
        <v>39699</v>
      </c>
      <c r="F6553">
        <v>5</v>
      </c>
      <c r="G6553" t="s">
        <v>759</v>
      </c>
      <c r="H6553" t="s">
        <v>39</v>
      </c>
      <c r="I6553" t="s">
        <v>40</v>
      </c>
      <c r="J6553" s="2" t="s">
        <v>62</v>
      </c>
      <c r="K6553" t="s">
        <v>42</v>
      </c>
      <c r="L6553" t="s">
        <v>761</v>
      </c>
      <c r="Q6553">
        <v>25999</v>
      </c>
      <c r="R6553" t="s">
        <v>119</v>
      </c>
      <c r="S6553" t="s">
        <v>11128</v>
      </c>
      <c r="T6553">
        <v>26</v>
      </c>
      <c r="U6553" s="2" t="s">
        <v>39700</v>
      </c>
      <c r="W6553" t="s">
        <v>360</v>
      </c>
      <c r="X6553">
        <v>838565</v>
      </c>
      <c r="Y6553" t="s">
        <v>39701</v>
      </c>
      <c r="Z6553" t="s">
        <v>39702</v>
      </c>
      <c r="AA6553" s="2" t="s">
        <v>4477</v>
      </c>
      <c r="AB6553" t="s">
        <v>181</v>
      </c>
      <c r="AC6553" t="s">
        <v>39703</v>
      </c>
      <c r="AG6553" t="s">
        <v>39704</v>
      </c>
      <c r="AH6553" t="s">
        <v>11133</v>
      </c>
      <c r="AI6553" t="s">
        <v>39705</v>
      </c>
    </row>
    <row r="6554" spans="2:35" ht="165">
      <c r="B6554" s="1">
        <v>45188</v>
      </c>
      <c r="C6554" s="4">
        <v>45188.621527777781</v>
      </c>
      <c r="D6554" t="s">
        <v>27942</v>
      </c>
      <c r="E6554" t="s">
        <v>39706</v>
      </c>
      <c r="F6554">
        <v>3</v>
      </c>
      <c r="G6554" t="s">
        <v>1722</v>
      </c>
      <c r="H6554" t="s">
        <v>39</v>
      </c>
      <c r="I6554" t="s">
        <v>40</v>
      </c>
      <c r="J6554" t="s">
        <v>109</v>
      </c>
      <c r="K6554" t="s">
        <v>42</v>
      </c>
      <c r="L6554" t="s">
        <v>63</v>
      </c>
      <c r="Q6554">
        <v>25998</v>
      </c>
      <c r="R6554" t="s">
        <v>119</v>
      </c>
      <c r="S6554" t="s">
        <v>39707</v>
      </c>
      <c r="T6554">
        <v>28</v>
      </c>
      <c r="U6554" s="2" t="s">
        <v>5977</v>
      </c>
      <c r="V6554" s="1">
        <v>45188</v>
      </c>
      <c r="W6554" t="s">
        <v>26915</v>
      </c>
      <c r="X6554">
        <v>831599</v>
      </c>
      <c r="Y6554" t="s">
        <v>1716</v>
      </c>
      <c r="Z6554" t="s">
        <v>1716</v>
      </c>
      <c r="AA6554" s="2" t="s">
        <v>1727</v>
      </c>
      <c r="AB6554" t="s">
        <v>70</v>
      </c>
      <c r="AC6554" t="s">
        <v>1716</v>
      </c>
      <c r="AD6554" t="s">
        <v>1716</v>
      </c>
      <c r="AE6554" t="s">
        <v>1716</v>
      </c>
      <c r="AG6554" t="s">
        <v>39708</v>
      </c>
      <c r="AH6554" t="s">
        <v>39709</v>
      </c>
      <c r="AI6554" t="s">
        <v>39710</v>
      </c>
    </row>
    <row r="6555" spans="2:35" ht="255">
      <c r="B6555" s="1">
        <v>45188</v>
      </c>
      <c r="C6555" s="4">
        <v>45188.597222222219</v>
      </c>
      <c r="D6555" t="s">
        <v>28489</v>
      </c>
      <c r="E6555" t="s">
        <v>39711</v>
      </c>
      <c r="F6555" t="s">
        <v>148</v>
      </c>
      <c r="G6555" t="s">
        <v>2007</v>
      </c>
      <c r="H6555" t="s">
        <v>39</v>
      </c>
      <c r="I6555" t="s">
        <v>40</v>
      </c>
      <c r="J6555" s="2" t="s">
        <v>6184</v>
      </c>
      <c r="K6555" t="s">
        <v>42</v>
      </c>
      <c r="L6555" t="s">
        <v>1028</v>
      </c>
      <c r="Q6555">
        <v>25997</v>
      </c>
      <c r="R6555" t="s">
        <v>1268</v>
      </c>
      <c r="S6555" t="s">
        <v>28491</v>
      </c>
      <c r="T6555">
        <v>24</v>
      </c>
      <c r="U6555" s="2" t="s">
        <v>38673</v>
      </c>
      <c r="W6555" t="s">
        <v>14014</v>
      </c>
      <c r="X6555">
        <v>110004816</v>
      </c>
      <c r="Y6555" t="s">
        <v>38804</v>
      </c>
      <c r="Z6555" t="s">
        <v>15410</v>
      </c>
      <c r="AA6555" s="2" t="s">
        <v>39712</v>
      </c>
      <c r="AB6555" t="s">
        <v>3063</v>
      </c>
      <c r="AG6555" t="s">
        <v>39713</v>
      </c>
      <c r="AH6555" t="s">
        <v>38658</v>
      </c>
      <c r="AI6555" t="s">
        <v>39714</v>
      </c>
    </row>
    <row r="6556" spans="2:35" ht="409.5">
      <c r="B6556" s="1">
        <v>45188</v>
      </c>
      <c r="C6556" s="4">
        <v>45188.549305555556</v>
      </c>
      <c r="D6556" t="s">
        <v>39715</v>
      </c>
      <c r="E6556" t="s">
        <v>39716</v>
      </c>
      <c r="F6556" t="s">
        <v>148</v>
      </c>
      <c r="G6556" t="s">
        <v>20126</v>
      </c>
      <c r="H6556" t="s">
        <v>39</v>
      </c>
      <c r="I6556" t="s">
        <v>40</v>
      </c>
      <c r="J6556" s="2" t="s">
        <v>190</v>
      </c>
      <c r="K6556" t="s">
        <v>42</v>
      </c>
      <c r="L6556" t="s">
        <v>15532</v>
      </c>
      <c r="Q6556">
        <v>25996</v>
      </c>
      <c r="R6556" t="s">
        <v>45</v>
      </c>
      <c r="S6556" t="s">
        <v>33837</v>
      </c>
      <c r="T6556">
        <v>30</v>
      </c>
      <c r="U6556" s="2" t="s">
        <v>9122</v>
      </c>
      <c r="W6556" t="s">
        <v>3244</v>
      </c>
      <c r="X6556">
        <v>812833</v>
      </c>
      <c r="Y6556" t="s">
        <v>39717</v>
      </c>
      <c r="Z6556" s="2" t="s">
        <v>39718</v>
      </c>
      <c r="AA6556" s="2" t="s">
        <v>39719</v>
      </c>
      <c r="AB6556" s="2" t="s">
        <v>39720</v>
      </c>
      <c r="AG6556" t="s">
        <v>39721</v>
      </c>
      <c r="AH6556" t="s">
        <v>33843</v>
      </c>
      <c r="AI6556" t="s">
        <v>39722</v>
      </c>
    </row>
    <row r="6557" spans="2:35" ht="409.5">
      <c r="B6557" s="1">
        <v>45188</v>
      </c>
      <c r="C6557" s="4">
        <v>45188.586111111108</v>
      </c>
      <c r="D6557" t="s">
        <v>34301</v>
      </c>
      <c r="E6557" t="s">
        <v>39723</v>
      </c>
      <c r="F6557">
        <v>6</v>
      </c>
      <c r="G6557" t="s">
        <v>1234</v>
      </c>
      <c r="H6557" t="s">
        <v>39</v>
      </c>
      <c r="I6557" t="s">
        <v>94</v>
      </c>
      <c r="J6557" s="2" t="s">
        <v>4208</v>
      </c>
      <c r="K6557" t="s">
        <v>42</v>
      </c>
      <c r="L6557" t="s">
        <v>270</v>
      </c>
      <c r="Q6557">
        <v>25995</v>
      </c>
      <c r="R6557" t="s">
        <v>45</v>
      </c>
      <c r="S6557" t="s">
        <v>34303</v>
      </c>
      <c r="T6557">
        <v>25</v>
      </c>
      <c r="W6557" t="s">
        <v>1292</v>
      </c>
      <c r="X6557">
        <v>838855</v>
      </c>
      <c r="Y6557" t="s">
        <v>39724</v>
      </c>
      <c r="Z6557" t="e">
        <f ca="1">- Preventive Maintenance (optics Cleaning, plunger rod Maintenace, module bay Cleaning)</f>
        <v>#NAME?</v>
      </c>
      <c r="AA6557" s="2" t="s">
        <v>39725</v>
      </c>
      <c r="AB6557" t="s">
        <v>39726</v>
      </c>
      <c r="AG6557" t="s">
        <v>39727</v>
      </c>
      <c r="AH6557" t="s">
        <v>34307</v>
      </c>
      <c r="AI6557" t="s">
        <v>39728</v>
      </c>
    </row>
    <row r="6558" spans="2:35" ht="360">
      <c r="B6558" s="1">
        <v>45188</v>
      </c>
      <c r="C6558" s="4">
        <v>45188.567361111112</v>
      </c>
      <c r="D6558" t="s">
        <v>5089</v>
      </c>
      <c r="E6558" t="s">
        <v>11244</v>
      </c>
      <c r="F6558">
        <v>3</v>
      </c>
      <c r="G6558" t="s">
        <v>1722</v>
      </c>
      <c r="H6558" t="s">
        <v>39</v>
      </c>
      <c r="I6558" t="s">
        <v>40</v>
      </c>
      <c r="J6558" s="2" t="s">
        <v>190</v>
      </c>
      <c r="K6558" t="s">
        <v>42</v>
      </c>
      <c r="L6558" t="s">
        <v>63</v>
      </c>
      <c r="Q6558">
        <v>25994</v>
      </c>
      <c r="R6558" t="s">
        <v>45</v>
      </c>
      <c r="S6558" t="s">
        <v>15318</v>
      </c>
      <c r="T6558">
        <v>27</v>
      </c>
      <c r="U6558" s="2" t="s">
        <v>39729</v>
      </c>
      <c r="V6558" s="1">
        <v>45188</v>
      </c>
      <c r="W6558" t="s">
        <v>29795</v>
      </c>
      <c r="X6558">
        <v>844111</v>
      </c>
      <c r="Y6558" t="s">
        <v>39730</v>
      </c>
      <c r="Z6558" s="2" t="s">
        <v>39731</v>
      </c>
      <c r="AA6558" s="2" t="s">
        <v>1727</v>
      </c>
      <c r="AB6558" t="s">
        <v>70</v>
      </c>
      <c r="AC6558" t="s">
        <v>39732</v>
      </c>
      <c r="AD6558" t="s">
        <v>1716</v>
      </c>
      <c r="AE6558" t="s">
        <v>1716</v>
      </c>
      <c r="AG6558" t="s">
        <v>39733</v>
      </c>
      <c r="AH6558" t="s">
        <v>21706</v>
      </c>
      <c r="AI6558" t="s">
        <v>39734</v>
      </c>
    </row>
    <row r="6559" spans="2:35" ht="120">
      <c r="B6559" s="1">
        <v>45188</v>
      </c>
      <c r="C6559" s="4">
        <v>45188.530555555553</v>
      </c>
      <c r="D6559" t="s">
        <v>10465</v>
      </c>
      <c r="E6559" t="s">
        <v>10466</v>
      </c>
      <c r="F6559">
        <v>10</v>
      </c>
      <c r="G6559" t="s">
        <v>1395</v>
      </c>
      <c r="H6559" t="s">
        <v>2125</v>
      </c>
      <c r="I6559" t="s">
        <v>40</v>
      </c>
      <c r="J6559" s="2" t="s">
        <v>62</v>
      </c>
      <c r="K6559" t="s">
        <v>42</v>
      </c>
      <c r="L6559" t="s">
        <v>933</v>
      </c>
      <c r="Q6559">
        <v>25993</v>
      </c>
      <c r="R6559" t="s">
        <v>119</v>
      </c>
      <c r="S6559" t="s">
        <v>9174</v>
      </c>
      <c r="T6559">
        <v>27.4</v>
      </c>
      <c r="U6559" s="2" t="s">
        <v>21386</v>
      </c>
      <c r="W6559" t="s">
        <v>3662</v>
      </c>
      <c r="X6559">
        <v>838557</v>
      </c>
      <c r="Y6559" t="s">
        <v>39735</v>
      </c>
      <c r="Z6559" t="s">
        <v>39736</v>
      </c>
      <c r="AA6559" s="2" t="s">
        <v>2397</v>
      </c>
      <c r="AB6559" t="s">
        <v>1263</v>
      </c>
      <c r="AG6559" t="s">
        <v>39737</v>
      </c>
      <c r="AH6559" t="s">
        <v>10469</v>
      </c>
      <c r="AI6559" t="s">
        <v>39738</v>
      </c>
    </row>
    <row r="6560" spans="2:35" ht="105">
      <c r="B6560" s="1">
        <v>45188</v>
      </c>
      <c r="C6560" s="4">
        <v>45187.582638888889</v>
      </c>
      <c r="D6560" t="s">
        <v>4953</v>
      </c>
      <c r="E6560" t="s">
        <v>4954</v>
      </c>
      <c r="F6560">
        <v>1</v>
      </c>
      <c r="G6560" t="s">
        <v>1046</v>
      </c>
      <c r="H6560" t="s">
        <v>39</v>
      </c>
      <c r="I6560" t="s">
        <v>40</v>
      </c>
      <c r="J6560" s="2" t="s">
        <v>190</v>
      </c>
      <c r="K6560" t="s">
        <v>42</v>
      </c>
      <c r="L6560" t="s">
        <v>1048</v>
      </c>
      <c r="Q6560">
        <v>25992</v>
      </c>
      <c r="R6560" t="s">
        <v>119</v>
      </c>
      <c r="S6560" t="s">
        <v>4955</v>
      </c>
      <c r="T6560">
        <v>30</v>
      </c>
      <c r="U6560" s="2" t="s">
        <v>1465</v>
      </c>
      <c r="W6560" t="s">
        <v>360</v>
      </c>
      <c r="X6560">
        <v>838437</v>
      </c>
      <c r="Y6560" t="s">
        <v>39739</v>
      </c>
      <c r="Z6560" t="e">
        <f ca="1">- cleaned cartridge Bays, plunger Rods _xludf.and I-CORE
- generated reports</f>
        <v>#NAME?</v>
      </c>
      <c r="AA6560" t="e">
        <f ca="1">- performed additional Troubleshooting</f>
        <v>#NAME?</v>
      </c>
      <c r="AB6560" t="s">
        <v>181</v>
      </c>
      <c r="AC6560" t="s">
        <v>39314</v>
      </c>
      <c r="AG6560" t="s">
        <v>39740</v>
      </c>
      <c r="AH6560" t="s">
        <v>4958</v>
      </c>
      <c r="AI6560" t="s">
        <v>39741</v>
      </c>
    </row>
    <row r="6561" spans="2:35" ht="150">
      <c r="B6561" s="1">
        <v>45188</v>
      </c>
      <c r="C6561" s="4">
        <v>45188.51666666667</v>
      </c>
      <c r="D6561" t="s">
        <v>39742</v>
      </c>
      <c r="E6561" t="s">
        <v>23296</v>
      </c>
      <c r="F6561">
        <v>3</v>
      </c>
      <c r="G6561" t="s">
        <v>174</v>
      </c>
      <c r="H6561" t="s">
        <v>39</v>
      </c>
      <c r="I6561" t="s">
        <v>40</v>
      </c>
      <c r="J6561" t="s">
        <v>79</v>
      </c>
      <c r="K6561" t="s">
        <v>42</v>
      </c>
      <c r="L6561" t="s">
        <v>175</v>
      </c>
      <c r="Q6561">
        <v>25991</v>
      </c>
      <c r="R6561" t="s">
        <v>45</v>
      </c>
      <c r="S6561" t="s">
        <v>23297</v>
      </c>
      <c r="T6561">
        <v>25</v>
      </c>
      <c r="U6561" s="2" t="s">
        <v>24107</v>
      </c>
      <c r="V6561" s="1">
        <v>45183</v>
      </c>
      <c r="W6561" t="s">
        <v>84</v>
      </c>
      <c r="X6561">
        <v>814165</v>
      </c>
      <c r="Y6561" t="s">
        <v>9897</v>
      </c>
      <c r="Z6561" t="e">
        <f ca="1">- replaced defective monitor
- performed _xludf.Power on self test on monitor</f>
        <v>#NAME?</v>
      </c>
      <c r="AA6561" t="s">
        <v>33367</v>
      </c>
      <c r="AB6561" s="2" t="s">
        <v>39743</v>
      </c>
      <c r="AD6561" s="2" t="s">
        <v>39744</v>
      </c>
      <c r="AE6561" t="s">
        <v>39745</v>
      </c>
      <c r="AG6561" t="s">
        <v>39746</v>
      </c>
      <c r="AH6561" t="s">
        <v>23303</v>
      </c>
      <c r="AI6561" t="s">
        <v>39747</v>
      </c>
    </row>
    <row r="6562" spans="2:35" ht="105">
      <c r="B6562" s="1">
        <v>45188</v>
      </c>
      <c r="C6562" s="4">
        <v>45188.443055555559</v>
      </c>
      <c r="D6562" t="s">
        <v>6844</v>
      </c>
      <c r="E6562" t="s">
        <v>23040</v>
      </c>
      <c r="F6562">
        <v>12</v>
      </c>
      <c r="G6562" t="s">
        <v>294</v>
      </c>
      <c r="H6562" t="s">
        <v>1473</v>
      </c>
      <c r="I6562" t="s">
        <v>94</v>
      </c>
      <c r="J6562" s="2" t="s">
        <v>62</v>
      </c>
      <c r="K6562" t="s">
        <v>42</v>
      </c>
      <c r="L6562" t="s">
        <v>296</v>
      </c>
      <c r="Q6562">
        <v>25990</v>
      </c>
      <c r="R6562" t="s">
        <v>119</v>
      </c>
      <c r="S6562" t="s">
        <v>6846</v>
      </c>
      <c r="T6562">
        <v>28.7</v>
      </c>
      <c r="U6562" s="2" t="s">
        <v>2151</v>
      </c>
      <c r="V6562" s="1">
        <v>45188</v>
      </c>
      <c r="W6562" t="s">
        <v>23049</v>
      </c>
      <c r="X6562">
        <v>838261</v>
      </c>
      <c r="Y6562" t="s">
        <v>39748</v>
      </c>
      <c r="Z6562" t="s">
        <v>9161</v>
      </c>
      <c r="AA6562" t="s">
        <v>39749</v>
      </c>
      <c r="AB6562" t="s">
        <v>1480</v>
      </c>
      <c r="AC6562" t="s">
        <v>39750</v>
      </c>
      <c r="AD6562" t="s">
        <v>38010</v>
      </c>
      <c r="AE6562" t="s">
        <v>39751</v>
      </c>
      <c r="AG6562" t="s">
        <v>39752</v>
      </c>
      <c r="AH6562" t="s">
        <v>9125</v>
      </c>
      <c r="AI6562" t="s">
        <v>39753</v>
      </c>
    </row>
    <row r="6563" spans="2:35" ht="210">
      <c r="B6563" s="1">
        <v>45188</v>
      </c>
      <c r="C6563" s="4">
        <v>45188.406944444447</v>
      </c>
      <c r="D6563" t="s">
        <v>1817</v>
      </c>
      <c r="E6563" t="s">
        <v>4229</v>
      </c>
      <c r="F6563">
        <v>7</v>
      </c>
      <c r="G6563" t="s">
        <v>432</v>
      </c>
      <c r="H6563" t="s">
        <v>39</v>
      </c>
      <c r="I6563" t="s">
        <v>40</v>
      </c>
      <c r="J6563" s="2" t="s">
        <v>39754</v>
      </c>
      <c r="K6563" t="s">
        <v>42</v>
      </c>
      <c r="L6563" t="s">
        <v>433</v>
      </c>
      <c r="Q6563">
        <v>25989</v>
      </c>
      <c r="R6563" t="s">
        <v>45</v>
      </c>
      <c r="S6563" t="s">
        <v>1818</v>
      </c>
      <c r="T6563">
        <v>20</v>
      </c>
      <c r="W6563" t="s">
        <v>1008</v>
      </c>
      <c r="X6563">
        <v>120000133</v>
      </c>
      <c r="Y6563" t="s">
        <v>39755</v>
      </c>
      <c r="Z6563" t="s">
        <v>39756</v>
      </c>
      <c r="AA6563" t="s">
        <v>39756</v>
      </c>
      <c r="AB6563" t="s">
        <v>1011</v>
      </c>
      <c r="AC6563" t="s">
        <v>39757</v>
      </c>
      <c r="AG6563" t="s">
        <v>39758</v>
      </c>
      <c r="AH6563" t="s">
        <v>1823</v>
      </c>
      <c r="AI6563" t="s">
        <v>39759</v>
      </c>
    </row>
    <row r="6564" spans="2:35" ht="105">
      <c r="B6564" s="1">
        <v>45188</v>
      </c>
      <c r="C6564" s="4">
        <v>45188.406944444447</v>
      </c>
      <c r="D6564" t="s">
        <v>1817</v>
      </c>
      <c r="E6564" t="s">
        <v>4229</v>
      </c>
      <c r="F6564">
        <v>7</v>
      </c>
      <c r="G6564" t="s">
        <v>432</v>
      </c>
      <c r="H6564" t="s">
        <v>39</v>
      </c>
      <c r="I6564" t="s">
        <v>40</v>
      </c>
      <c r="J6564" s="2" t="s">
        <v>10552</v>
      </c>
      <c r="K6564" t="s">
        <v>42</v>
      </c>
      <c r="L6564" t="s">
        <v>433</v>
      </c>
      <c r="Q6564">
        <v>25988</v>
      </c>
      <c r="R6564" t="s">
        <v>45</v>
      </c>
      <c r="S6564" t="s">
        <v>1818</v>
      </c>
      <c r="T6564">
        <v>20</v>
      </c>
      <c r="W6564" t="s">
        <v>1008</v>
      </c>
      <c r="X6564">
        <v>120000133</v>
      </c>
      <c r="Y6564" t="s">
        <v>39760</v>
      </c>
      <c r="Z6564" t="s">
        <v>39756</v>
      </c>
      <c r="AA6564" t="s">
        <v>39756</v>
      </c>
      <c r="AB6564" t="s">
        <v>1011</v>
      </c>
      <c r="AC6564" t="s">
        <v>39761</v>
      </c>
      <c r="AG6564" t="s">
        <v>39762</v>
      </c>
      <c r="AH6564" t="s">
        <v>1823</v>
      </c>
      <c r="AI6564" t="s">
        <v>39763</v>
      </c>
    </row>
    <row r="6565" spans="2:35" ht="409.5">
      <c r="B6565" s="1">
        <v>45188</v>
      </c>
      <c r="C6565" s="4">
        <v>45188.352777777778</v>
      </c>
      <c r="D6565" t="s">
        <v>34336</v>
      </c>
      <c r="E6565" t="s">
        <v>39764</v>
      </c>
      <c r="F6565">
        <v>6</v>
      </c>
      <c r="G6565" t="s">
        <v>1234</v>
      </c>
      <c r="H6565" t="s">
        <v>258</v>
      </c>
      <c r="I6565" t="s">
        <v>94</v>
      </c>
      <c r="J6565" s="2" t="s">
        <v>609</v>
      </c>
      <c r="K6565" t="s">
        <v>42</v>
      </c>
      <c r="L6565" t="s">
        <v>270</v>
      </c>
      <c r="Q6565">
        <v>25987</v>
      </c>
      <c r="R6565" t="s">
        <v>45</v>
      </c>
      <c r="S6565" t="s">
        <v>34338</v>
      </c>
      <c r="T6565">
        <v>23</v>
      </c>
      <c r="U6565" s="2" t="s">
        <v>39765</v>
      </c>
      <c r="W6565" t="s">
        <v>1292</v>
      </c>
      <c r="X6565">
        <v>815283</v>
      </c>
      <c r="Y6565" t="s">
        <v>39766</v>
      </c>
      <c r="Z6565" t="e">
        <f ca="1">- Preventive Maintenance (optics Cleaning, plunger rod Maintenace, module bay Cleaning, ARCHIVE tests)</f>
        <v>#NAME?</v>
      </c>
      <c r="AA6565" s="2" t="s">
        <v>39767</v>
      </c>
      <c r="AB6565" t="e">
        <f ca="1">- AVR _xludf.and UPS operational
- module A1, A2, A4 functional
- module A3 defective, waiting _xludf.For module allocation</f>
        <v>#NAME?</v>
      </c>
      <c r="AG6565" t="s">
        <v>39768</v>
      </c>
      <c r="AH6565" t="s">
        <v>39769</v>
      </c>
      <c r="AI6565" t="s">
        <v>39770</v>
      </c>
    </row>
    <row r="6566" spans="2:35" ht="105">
      <c r="B6566" s="1">
        <v>45188</v>
      </c>
      <c r="C6566" s="4">
        <v>45183.862500000003</v>
      </c>
      <c r="D6566" t="s">
        <v>24248</v>
      </c>
      <c r="E6566" t="s">
        <v>39771</v>
      </c>
      <c r="F6566">
        <v>5</v>
      </c>
      <c r="G6566" t="s">
        <v>759</v>
      </c>
      <c r="H6566" t="s">
        <v>39</v>
      </c>
      <c r="I6566" t="s">
        <v>40</v>
      </c>
      <c r="J6566" s="2" t="s">
        <v>190</v>
      </c>
      <c r="K6566" t="s">
        <v>42</v>
      </c>
      <c r="L6566" t="s">
        <v>761</v>
      </c>
      <c r="Q6566">
        <v>25986</v>
      </c>
      <c r="R6566" t="s">
        <v>45</v>
      </c>
      <c r="S6566" t="s">
        <v>39772</v>
      </c>
      <c r="T6566">
        <v>29</v>
      </c>
      <c r="U6566" s="2" t="s">
        <v>22788</v>
      </c>
      <c r="W6566" t="s">
        <v>360</v>
      </c>
      <c r="X6566">
        <v>814371</v>
      </c>
      <c r="Y6566" t="s">
        <v>39773</v>
      </c>
      <c r="Z6566" s="2" t="s">
        <v>39774</v>
      </c>
      <c r="AA6566" s="2" t="s">
        <v>39774</v>
      </c>
      <c r="AB6566" t="s">
        <v>13135</v>
      </c>
      <c r="AC6566" t="s">
        <v>25757</v>
      </c>
      <c r="AG6566" t="s">
        <v>39775</v>
      </c>
      <c r="AH6566" t="s">
        <v>39776</v>
      </c>
      <c r="AI6566" t="s">
        <v>39777</v>
      </c>
    </row>
    <row r="6567" spans="2:35" ht="285">
      <c r="B6567" s="1">
        <v>45188</v>
      </c>
      <c r="C6567" s="4">
        <v>45184.537499999999</v>
      </c>
      <c r="D6567" t="s">
        <v>8312</v>
      </c>
      <c r="E6567" t="s">
        <v>39778</v>
      </c>
      <c r="F6567">
        <v>5</v>
      </c>
      <c r="G6567" t="s">
        <v>8314</v>
      </c>
      <c r="H6567" t="s">
        <v>39</v>
      </c>
      <c r="I6567" t="s">
        <v>40</v>
      </c>
      <c r="J6567" s="2" t="s">
        <v>1309</v>
      </c>
      <c r="K6567" t="s">
        <v>42</v>
      </c>
      <c r="L6567" t="s">
        <v>761</v>
      </c>
      <c r="Q6567">
        <v>25985</v>
      </c>
      <c r="R6567" t="s">
        <v>119</v>
      </c>
      <c r="S6567" t="s">
        <v>10657</v>
      </c>
      <c r="T6567">
        <v>23</v>
      </c>
      <c r="U6567" s="2" t="s">
        <v>39779</v>
      </c>
      <c r="W6567" t="s">
        <v>360</v>
      </c>
      <c r="X6567">
        <v>838563</v>
      </c>
      <c r="Y6567" t="s">
        <v>39780</v>
      </c>
      <c r="Z6567" s="2" t="s">
        <v>39781</v>
      </c>
      <c r="AA6567" s="2" t="s">
        <v>39782</v>
      </c>
      <c r="AB6567" t="s">
        <v>181</v>
      </c>
      <c r="AC6567" t="s">
        <v>39783</v>
      </c>
      <c r="AG6567" t="s">
        <v>39784</v>
      </c>
      <c r="AH6567" t="s">
        <v>8318</v>
      </c>
      <c r="AI6567" t="s">
        <v>39785</v>
      </c>
    </row>
    <row r="6568" spans="2:35" ht="150">
      <c r="B6568" s="1">
        <v>45187</v>
      </c>
      <c r="C6568" s="4">
        <v>45183.38958333333</v>
      </c>
      <c r="D6568" t="s">
        <v>39786</v>
      </c>
      <c r="E6568" t="s">
        <v>39787</v>
      </c>
      <c r="F6568" t="s">
        <v>37</v>
      </c>
      <c r="G6568" t="s">
        <v>748</v>
      </c>
      <c r="H6568" t="s">
        <v>39</v>
      </c>
      <c r="I6568" t="s">
        <v>40</v>
      </c>
      <c r="J6568" s="2" t="s">
        <v>41</v>
      </c>
      <c r="K6568" t="s">
        <v>42</v>
      </c>
      <c r="L6568" t="s">
        <v>1028</v>
      </c>
      <c r="Q6568">
        <v>25984</v>
      </c>
      <c r="R6568" t="s">
        <v>703</v>
      </c>
      <c r="S6568" t="s">
        <v>18636</v>
      </c>
      <c r="T6568">
        <v>24</v>
      </c>
      <c r="U6568" s="2" t="s">
        <v>26181</v>
      </c>
      <c r="V6568" s="1">
        <v>45180</v>
      </c>
      <c r="W6568" t="s">
        <v>38524</v>
      </c>
      <c r="X6568">
        <v>842166</v>
      </c>
      <c r="Y6568" t="s">
        <v>39788</v>
      </c>
      <c r="Z6568" t="s">
        <v>2129</v>
      </c>
      <c r="AA6568" s="2" t="s">
        <v>39789</v>
      </c>
      <c r="AB6568" t="s">
        <v>3063</v>
      </c>
      <c r="AC6568" t="s">
        <v>39790</v>
      </c>
      <c r="AD6568" t="s">
        <v>18642</v>
      </c>
      <c r="AE6568" t="s">
        <v>39791</v>
      </c>
      <c r="AG6568" t="s">
        <v>39792</v>
      </c>
      <c r="AH6568" t="s">
        <v>18644</v>
      </c>
      <c r="AI6568" t="s">
        <v>39793</v>
      </c>
    </row>
    <row r="6569" spans="2:35" ht="150">
      <c r="B6569" s="1">
        <v>45187</v>
      </c>
      <c r="C6569" s="4">
        <v>45181.496527777781</v>
      </c>
      <c r="D6569" t="s">
        <v>1026</v>
      </c>
      <c r="E6569" t="s">
        <v>39794</v>
      </c>
      <c r="F6569" t="s">
        <v>148</v>
      </c>
      <c r="G6569" t="s">
        <v>774</v>
      </c>
      <c r="H6569" t="s">
        <v>513</v>
      </c>
      <c r="I6569" t="s">
        <v>40</v>
      </c>
      <c r="J6569" t="s">
        <v>109</v>
      </c>
      <c r="K6569" t="s">
        <v>387</v>
      </c>
      <c r="L6569" t="s">
        <v>1028</v>
      </c>
      <c r="Q6569">
        <v>25979</v>
      </c>
      <c r="R6569" t="s">
        <v>322</v>
      </c>
      <c r="S6569" t="s">
        <v>3772</v>
      </c>
      <c r="T6569">
        <v>24</v>
      </c>
      <c r="W6569" t="s">
        <v>390</v>
      </c>
      <c r="X6569" t="s">
        <v>5184</v>
      </c>
      <c r="Y6569" t="s">
        <v>33606</v>
      </c>
      <c r="Z6569" t="s">
        <v>3128</v>
      </c>
      <c r="AA6569" s="2" t="s">
        <v>39795</v>
      </c>
      <c r="AB6569" t="s">
        <v>70</v>
      </c>
      <c r="AG6569" t="s">
        <v>39796</v>
      </c>
      <c r="AH6569" t="s">
        <v>16271</v>
      </c>
      <c r="AI6569" t="s">
        <v>39797</v>
      </c>
    </row>
    <row r="6570" spans="2:35" ht="165">
      <c r="B6570" s="1">
        <v>45187</v>
      </c>
      <c r="C6570" s="4">
        <v>45181.467361111114</v>
      </c>
      <c r="D6570" t="s">
        <v>1026</v>
      </c>
      <c r="E6570" t="s">
        <v>39794</v>
      </c>
      <c r="F6570" t="s">
        <v>148</v>
      </c>
      <c r="G6570" t="s">
        <v>774</v>
      </c>
      <c r="H6570" t="s">
        <v>513</v>
      </c>
      <c r="I6570" t="s">
        <v>40</v>
      </c>
      <c r="J6570" t="s">
        <v>109</v>
      </c>
      <c r="K6570" t="s">
        <v>387</v>
      </c>
      <c r="L6570" t="s">
        <v>1028</v>
      </c>
      <c r="Q6570">
        <v>25980</v>
      </c>
      <c r="R6570" t="s">
        <v>322</v>
      </c>
      <c r="S6570" t="s">
        <v>3772</v>
      </c>
      <c r="T6570">
        <v>24</v>
      </c>
      <c r="W6570" t="s">
        <v>390</v>
      </c>
      <c r="X6570" t="s">
        <v>3773</v>
      </c>
      <c r="Y6570" t="s">
        <v>33606</v>
      </c>
      <c r="Z6570" t="s">
        <v>3128</v>
      </c>
      <c r="AA6570" s="2" t="s">
        <v>39798</v>
      </c>
      <c r="AB6570" t="s">
        <v>70</v>
      </c>
      <c r="AG6570" t="s">
        <v>39799</v>
      </c>
      <c r="AH6570" t="s">
        <v>16271</v>
      </c>
      <c r="AI6570" t="s">
        <v>39800</v>
      </c>
    </row>
    <row r="6571" spans="2:35" ht="255">
      <c r="B6571" s="1">
        <v>45187</v>
      </c>
      <c r="C6571" s="4">
        <v>45182.340277777781</v>
      </c>
      <c r="D6571" t="s">
        <v>18135</v>
      </c>
      <c r="E6571" t="s">
        <v>39801</v>
      </c>
      <c r="F6571" t="s">
        <v>148</v>
      </c>
      <c r="G6571" t="s">
        <v>310</v>
      </c>
      <c r="H6571" t="s">
        <v>662</v>
      </c>
      <c r="I6571" t="s">
        <v>40</v>
      </c>
      <c r="J6571" t="s">
        <v>109</v>
      </c>
      <c r="K6571" t="s">
        <v>42</v>
      </c>
      <c r="L6571" t="s">
        <v>1028</v>
      </c>
      <c r="Q6571">
        <v>25981</v>
      </c>
      <c r="R6571" t="s">
        <v>322</v>
      </c>
      <c r="S6571" t="s">
        <v>18136</v>
      </c>
      <c r="T6571">
        <v>24</v>
      </c>
      <c r="U6571" s="2" t="s">
        <v>39802</v>
      </c>
      <c r="W6571" t="s">
        <v>38524</v>
      </c>
      <c r="X6571">
        <v>838777</v>
      </c>
      <c r="Y6571" t="s">
        <v>3127</v>
      </c>
      <c r="Z6571" t="s">
        <v>3128</v>
      </c>
      <c r="AA6571" s="2" t="s">
        <v>39803</v>
      </c>
      <c r="AB6571" t="s">
        <v>36559</v>
      </c>
      <c r="AC6571" t="s">
        <v>39804</v>
      </c>
      <c r="AG6571" t="s">
        <v>39805</v>
      </c>
      <c r="AH6571" t="s">
        <v>18142</v>
      </c>
      <c r="AI6571" t="s">
        <v>39806</v>
      </c>
    </row>
    <row r="6572" spans="2:35" ht="165">
      <c r="B6572" s="1">
        <v>45187</v>
      </c>
      <c r="C6572" s="4">
        <v>45182.460416666669</v>
      </c>
      <c r="D6572" t="s">
        <v>772</v>
      </c>
      <c r="E6572" t="s">
        <v>39807</v>
      </c>
      <c r="F6572" t="s">
        <v>148</v>
      </c>
      <c r="G6572" t="s">
        <v>774</v>
      </c>
      <c r="H6572" t="s">
        <v>39</v>
      </c>
      <c r="I6572" t="s">
        <v>40</v>
      </c>
      <c r="J6572" s="2" t="s">
        <v>190</v>
      </c>
      <c r="K6572" t="s">
        <v>42</v>
      </c>
      <c r="L6572" t="s">
        <v>1028</v>
      </c>
      <c r="Q6572">
        <v>25983</v>
      </c>
      <c r="R6572" t="s">
        <v>119</v>
      </c>
      <c r="S6572" t="s">
        <v>775</v>
      </c>
      <c r="T6572">
        <v>25</v>
      </c>
      <c r="U6572" s="2" t="s">
        <v>39808</v>
      </c>
      <c r="W6572" t="s">
        <v>2680</v>
      </c>
      <c r="X6572">
        <v>831913</v>
      </c>
      <c r="Y6572" t="s">
        <v>39809</v>
      </c>
      <c r="Z6572" t="s">
        <v>21244</v>
      </c>
      <c r="AA6572" s="2" t="s">
        <v>31300</v>
      </c>
      <c r="AB6572" t="s">
        <v>39810</v>
      </c>
      <c r="AC6572" t="s">
        <v>39811</v>
      </c>
      <c r="AG6572" t="s">
        <v>39812</v>
      </c>
      <c r="AH6572" t="s">
        <v>27384</v>
      </c>
      <c r="AI6572" t="s">
        <v>39813</v>
      </c>
    </row>
    <row r="6573" spans="2:35" ht="210">
      <c r="B6573" s="1">
        <v>45187</v>
      </c>
      <c r="C6573" s="4">
        <v>45182.363888888889</v>
      </c>
      <c r="D6573" t="s">
        <v>18135</v>
      </c>
      <c r="E6573" t="s">
        <v>39814</v>
      </c>
      <c r="F6573" t="s">
        <v>148</v>
      </c>
      <c r="G6573" t="s">
        <v>310</v>
      </c>
      <c r="H6573" t="s">
        <v>662</v>
      </c>
      <c r="I6573" t="s">
        <v>40</v>
      </c>
      <c r="J6573" t="s">
        <v>109</v>
      </c>
      <c r="K6573" t="s">
        <v>42</v>
      </c>
      <c r="L6573" t="s">
        <v>1028</v>
      </c>
      <c r="Q6573">
        <v>25982</v>
      </c>
      <c r="R6573" t="s">
        <v>322</v>
      </c>
      <c r="S6573" t="s">
        <v>18136</v>
      </c>
      <c r="T6573">
        <v>24</v>
      </c>
      <c r="U6573" s="2" t="s">
        <v>39815</v>
      </c>
      <c r="W6573" t="s">
        <v>2680</v>
      </c>
      <c r="X6573">
        <v>838836</v>
      </c>
      <c r="Y6573" t="s">
        <v>3127</v>
      </c>
      <c r="Z6573" t="s">
        <v>3128</v>
      </c>
      <c r="AA6573" s="2" t="s">
        <v>39816</v>
      </c>
      <c r="AB6573" t="s">
        <v>3063</v>
      </c>
      <c r="AG6573" t="s">
        <v>39817</v>
      </c>
      <c r="AH6573" t="s">
        <v>18142</v>
      </c>
      <c r="AI6573" t="s">
        <v>39818</v>
      </c>
    </row>
    <row r="6574" spans="2:35" ht="409.5">
      <c r="B6574" s="1">
        <v>45187</v>
      </c>
      <c r="C6574" s="4">
        <v>45187.580555555556</v>
      </c>
      <c r="D6574" t="s">
        <v>39819</v>
      </c>
      <c r="E6574" t="s">
        <v>24416</v>
      </c>
      <c r="F6574">
        <v>11</v>
      </c>
      <c r="G6574" t="s">
        <v>2836</v>
      </c>
      <c r="H6574" t="s">
        <v>202</v>
      </c>
      <c r="I6574" t="s">
        <v>40</v>
      </c>
      <c r="J6574" s="2" t="s">
        <v>190</v>
      </c>
      <c r="K6574" t="s">
        <v>42</v>
      </c>
      <c r="L6574" t="s">
        <v>204</v>
      </c>
      <c r="Q6574">
        <v>25978</v>
      </c>
      <c r="R6574" t="s">
        <v>45</v>
      </c>
      <c r="S6574" t="s">
        <v>24417</v>
      </c>
      <c r="T6574">
        <v>26.5</v>
      </c>
      <c r="U6574" s="2" t="s">
        <v>3223</v>
      </c>
      <c r="W6574" t="s">
        <v>23237</v>
      </c>
      <c r="X6574">
        <v>815383</v>
      </c>
      <c r="Y6574" t="s">
        <v>39820</v>
      </c>
      <c r="Z6574" s="2" t="s">
        <v>39821</v>
      </c>
      <c r="AA6574" t="s">
        <v>39822</v>
      </c>
      <c r="AB6574" s="2" t="s">
        <v>39823</v>
      </c>
      <c r="AC6574" t="s">
        <v>39824</v>
      </c>
      <c r="AG6574" t="s">
        <v>39825</v>
      </c>
      <c r="AH6574" t="s">
        <v>39826</v>
      </c>
      <c r="AI6574" t="s">
        <v>39827</v>
      </c>
    </row>
    <row r="6575" spans="2:35" ht="240">
      <c r="B6575" s="1">
        <v>45187</v>
      </c>
      <c r="C6575" s="4">
        <v>45187.559027777781</v>
      </c>
      <c r="D6575" t="s">
        <v>7634</v>
      </c>
      <c r="E6575" t="s">
        <v>12141</v>
      </c>
      <c r="F6575">
        <v>13</v>
      </c>
      <c r="G6575" t="s">
        <v>4484</v>
      </c>
      <c r="H6575" t="s">
        <v>2125</v>
      </c>
      <c r="I6575" t="s">
        <v>40</v>
      </c>
      <c r="J6575" s="2" t="s">
        <v>1309</v>
      </c>
      <c r="K6575" t="s">
        <v>42</v>
      </c>
      <c r="L6575" t="s">
        <v>933</v>
      </c>
      <c r="Q6575">
        <v>25977</v>
      </c>
      <c r="R6575" t="s">
        <v>119</v>
      </c>
      <c r="S6575" t="s">
        <v>12142</v>
      </c>
      <c r="T6575">
        <v>26.15</v>
      </c>
      <c r="U6575" s="2" t="s">
        <v>30479</v>
      </c>
      <c r="W6575" t="s">
        <v>3662</v>
      </c>
      <c r="X6575">
        <v>837611</v>
      </c>
      <c r="Y6575" t="s">
        <v>39828</v>
      </c>
      <c r="Z6575" t="s">
        <v>301</v>
      </c>
      <c r="AA6575" s="2" t="s">
        <v>39829</v>
      </c>
      <c r="AB6575" t="s">
        <v>1263</v>
      </c>
      <c r="AG6575" t="s">
        <v>39830</v>
      </c>
      <c r="AH6575" t="s">
        <v>13658</v>
      </c>
      <c r="AI6575" t="s">
        <v>39831</v>
      </c>
    </row>
    <row r="6576" spans="2:35" ht="225">
      <c r="B6576" s="1">
        <v>45187</v>
      </c>
      <c r="C6576" s="4">
        <v>45187.474305555559</v>
      </c>
      <c r="D6576" t="s">
        <v>11901</v>
      </c>
      <c r="E6576" t="s">
        <v>39832</v>
      </c>
      <c r="F6576">
        <v>6</v>
      </c>
      <c r="G6576" t="s">
        <v>1234</v>
      </c>
      <c r="H6576" t="s">
        <v>258</v>
      </c>
      <c r="I6576" t="s">
        <v>94</v>
      </c>
      <c r="J6576" s="2" t="s">
        <v>41</v>
      </c>
      <c r="K6576" t="s">
        <v>42</v>
      </c>
      <c r="L6576" t="s">
        <v>270</v>
      </c>
      <c r="Q6576">
        <v>25976</v>
      </c>
      <c r="R6576" t="s">
        <v>45</v>
      </c>
      <c r="S6576" t="s">
        <v>34236</v>
      </c>
      <c r="T6576">
        <v>22</v>
      </c>
      <c r="U6576" s="2" t="s">
        <v>39833</v>
      </c>
      <c r="W6576" t="s">
        <v>1292</v>
      </c>
      <c r="X6576">
        <v>812020</v>
      </c>
      <c r="Y6576" t="s">
        <v>39834</v>
      </c>
      <c r="Z6576" t="e">
        <f ca="1">- performed Preventive Maintenance - plunger rod Cleaning, _xludf.filter Cleaning, optic slots cleaning. archiive tests, database Backup.</f>
        <v>#NAME?</v>
      </c>
      <c r="AA6576" s="2" t="s">
        <v>39835</v>
      </c>
      <c r="AB6576" s="2" t="s">
        <v>39836</v>
      </c>
      <c r="AG6576" t="s">
        <v>39837</v>
      </c>
      <c r="AH6576" t="s">
        <v>39838</v>
      </c>
      <c r="AI6576" t="s">
        <v>39839</v>
      </c>
    </row>
    <row r="6577" spans="2:35">
      <c r="B6577" s="1">
        <v>45187</v>
      </c>
      <c r="C6577" s="4">
        <v>45187.423611111109</v>
      </c>
      <c r="D6577" t="s">
        <v>39840</v>
      </c>
      <c r="E6577" t="s">
        <v>39841</v>
      </c>
      <c r="F6577">
        <v>7</v>
      </c>
      <c r="G6577" t="s">
        <v>269</v>
      </c>
      <c r="H6577" t="s">
        <v>39</v>
      </c>
      <c r="I6577" t="s">
        <v>94</v>
      </c>
      <c r="J6577" t="s">
        <v>321</v>
      </c>
      <c r="K6577" t="s">
        <v>42</v>
      </c>
      <c r="L6577" t="s">
        <v>594</v>
      </c>
      <c r="Q6577">
        <v>25975</v>
      </c>
      <c r="R6577" t="s">
        <v>45</v>
      </c>
      <c r="S6577" t="s">
        <v>10458</v>
      </c>
      <c r="T6577">
        <v>23</v>
      </c>
      <c r="V6577" s="1">
        <v>45174</v>
      </c>
      <c r="W6577" t="s">
        <v>502</v>
      </c>
      <c r="X6577">
        <v>805275</v>
      </c>
      <c r="Y6577" t="s">
        <v>36938</v>
      </c>
      <c r="Z6577" t="s">
        <v>39842</v>
      </c>
      <c r="AA6577" t="s">
        <v>39843</v>
      </c>
      <c r="AB6577" t="s">
        <v>9638</v>
      </c>
      <c r="AG6577" t="s">
        <v>39844</v>
      </c>
      <c r="AH6577" t="s">
        <v>16536</v>
      </c>
      <c r="AI6577" t="s">
        <v>39845</v>
      </c>
    </row>
    <row r="6578" spans="2:35" ht="285">
      <c r="B6578" s="1">
        <v>45187</v>
      </c>
      <c r="C6578" s="4">
        <v>45187.397916666669</v>
      </c>
      <c r="D6578" t="s">
        <v>30506</v>
      </c>
      <c r="E6578" t="s">
        <v>26387</v>
      </c>
      <c r="F6578">
        <v>7</v>
      </c>
      <c r="G6578" t="s">
        <v>6529</v>
      </c>
      <c r="H6578" t="s">
        <v>10969</v>
      </c>
      <c r="I6578" t="s">
        <v>40</v>
      </c>
      <c r="J6578" t="s">
        <v>79</v>
      </c>
      <c r="K6578" t="s">
        <v>42</v>
      </c>
      <c r="L6578" t="s">
        <v>1288</v>
      </c>
      <c r="Q6578">
        <v>25974</v>
      </c>
      <c r="R6578" t="s">
        <v>45</v>
      </c>
      <c r="S6578" t="s">
        <v>30507</v>
      </c>
      <c r="T6578">
        <v>26</v>
      </c>
      <c r="U6578" s="2" t="s">
        <v>39846</v>
      </c>
      <c r="W6578" t="s">
        <v>1292</v>
      </c>
      <c r="X6578">
        <v>838878</v>
      </c>
      <c r="Y6578" t="s">
        <v>36352</v>
      </c>
      <c r="Z6578" t="s">
        <v>39847</v>
      </c>
      <c r="AA6578" t="s">
        <v>39848</v>
      </c>
      <c r="AB6578" t="s">
        <v>1293</v>
      </c>
      <c r="AG6578" t="s">
        <v>39849</v>
      </c>
      <c r="AH6578" t="s">
        <v>30510</v>
      </c>
      <c r="AI6578" t="s">
        <v>39850</v>
      </c>
    </row>
    <row r="6579" spans="2:35" ht="75">
      <c r="B6579" s="1">
        <v>45187</v>
      </c>
      <c r="C6579" s="4">
        <v>45187.356944444444</v>
      </c>
      <c r="D6579" t="s">
        <v>5546</v>
      </c>
      <c r="E6579" t="s">
        <v>1555</v>
      </c>
      <c r="F6579">
        <v>7</v>
      </c>
      <c r="G6579" t="s">
        <v>432</v>
      </c>
      <c r="H6579" t="s">
        <v>39</v>
      </c>
      <c r="I6579" t="s">
        <v>40</v>
      </c>
      <c r="J6579" s="2" t="s">
        <v>14104</v>
      </c>
      <c r="K6579" t="s">
        <v>42</v>
      </c>
      <c r="L6579" t="s">
        <v>433</v>
      </c>
      <c r="Q6579">
        <v>25973</v>
      </c>
      <c r="R6579" t="s">
        <v>95</v>
      </c>
      <c r="S6579" t="s">
        <v>28609</v>
      </c>
      <c r="T6579">
        <v>28</v>
      </c>
      <c r="W6579" t="s">
        <v>1008</v>
      </c>
      <c r="X6579">
        <v>829419</v>
      </c>
      <c r="Y6579" t="s">
        <v>39851</v>
      </c>
      <c r="Z6579" t="s">
        <v>39852</v>
      </c>
      <c r="AA6579" t="s">
        <v>39852</v>
      </c>
      <c r="AB6579" t="s">
        <v>1011</v>
      </c>
      <c r="AG6579" t="s">
        <v>39853</v>
      </c>
      <c r="AH6579" t="s">
        <v>36738</v>
      </c>
      <c r="AI6579" t="s">
        <v>39854</v>
      </c>
    </row>
    <row r="6580" spans="2:35" ht="285">
      <c r="B6580" s="1">
        <v>45185</v>
      </c>
      <c r="C6580" s="4">
        <v>45185.379166666666</v>
      </c>
      <c r="D6580" t="s">
        <v>3679</v>
      </c>
      <c r="E6580" t="s">
        <v>37824</v>
      </c>
      <c r="F6580" t="s">
        <v>148</v>
      </c>
      <c r="G6580" t="s">
        <v>447</v>
      </c>
      <c r="H6580" t="s">
        <v>662</v>
      </c>
      <c r="I6580" t="s">
        <v>40</v>
      </c>
      <c r="J6580" t="s">
        <v>525</v>
      </c>
      <c r="K6580" t="s">
        <v>42</v>
      </c>
      <c r="L6580" t="s">
        <v>448</v>
      </c>
      <c r="Q6580">
        <v>25972</v>
      </c>
      <c r="R6580" t="s">
        <v>322</v>
      </c>
      <c r="S6580" t="s">
        <v>17810</v>
      </c>
      <c r="T6580">
        <v>25</v>
      </c>
      <c r="U6580" s="2" t="s">
        <v>39855</v>
      </c>
      <c r="W6580" t="s">
        <v>325</v>
      </c>
      <c r="X6580">
        <v>838655</v>
      </c>
      <c r="Y6580" t="s">
        <v>39856</v>
      </c>
      <c r="Z6580" s="2" t="s">
        <v>39857</v>
      </c>
      <c r="AA6580" t="s">
        <v>4487</v>
      </c>
      <c r="AB6580" t="s">
        <v>39858</v>
      </c>
      <c r="AG6580" t="s">
        <v>39859</v>
      </c>
      <c r="AH6580" t="s">
        <v>39860</v>
      </c>
      <c r="AI6580" t="s">
        <v>39861</v>
      </c>
    </row>
    <row r="6581" spans="2:35" ht="285">
      <c r="B6581" s="1">
        <v>45185</v>
      </c>
      <c r="C6581" s="4">
        <v>45184.486805555556</v>
      </c>
      <c r="D6581" t="s">
        <v>34900</v>
      </c>
      <c r="E6581" t="s">
        <v>39862</v>
      </c>
      <c r="F6581" t="s">
        <v>37</v>
      </c>
      <c r="G6581" t="s">
        <v>38</v>
      </c>
      <c r="H6581" t="s">
        <v>39</v>
      </c>
      <c r="I6581" t="s">
        <v>40</v>
      </c>
      <c r="J6581" t="s">
        <v>79</v>
      </c>
      <c r="K6581" t="s">
        <v>42</v>
      </c>
      <c r="L6581" t="s">
        <v>448</v>
      </c>
      <c r="Q6581">
        <v>25971</v>
      </c>
      <c r="R6581" t="s">
        <v>45</v>
      </c>
      <c r="S6581" t="s">
        <v>39863</v>
      </c>
      <c r="T6581">
        <v>26</v>
      </c>
      <c r="U6581" s="2" t="s">
        <v>39864</v>
      </c>
      <c r="V6581" s="1">
        <v>45183</v>
      </c>
      <c r="W6581" t="s">
        <v>536</v>
      </c>
      <c r="X6581">
        <v>842226</v>
      </c>
      <c r="Y6581" t="s">
        <v>39865</v>
      </c>
      <c r="Z6581" s="2" t="s">
        <v>39866</v>
      </c>
      <c r="AA6581" t="s">
        <v>20643</v>
      </c>
      <c r="AB6581" t="s">
        <v>39867</v>
      </c>
      <c r="AD6581" t="s">
        <v>19700</v>
      </c>
      <c r="AE6581" t="s">
        <v>39868</v>
      </c>
      <c r="AG6581" t="s">
        <v>39869</v>
      </c>
      <c r="AH6581" t="s">
        <v>3035</v>
      </c>
      <c r="AI6581" t="s">
        <v>39870</v>
      </c>
    </row>
    <row r="6582" spans="2:35" ht="255">
      <c r="B6582" s="1">
        <v>45185</v>
      </c>
      <c r="C6582" s="4">
        <v>45183.601388888892</v>
      </c>
      <c r="D6582" t="s">
        <v>28489</v>
      </c>
      <c r="E6582" t="s">
        <v>39871</v>
      </c>
      <c r="F6582" t="s">
        <v>148</v>
      </c>
      <c r="G6582" t="s">
        <v>2007</v>
      </c>
      <c r="H6582" t="s">
        <v>39</v>
      </c>
      <c r="I6582" t="s">
        <v>40</v>
      </c>
      <c r="J6582" t="s">
        <v>79</v>
      </c>
      <c r="K6582" t="s">
        <v>42</v>
      </c>
      <c r="L6582" t="s">
        <v>448</v>
      </c>
      <c r="Q6582">
        <v>25970</v>
      </c>
      <c r="R6582" t="s">
        <v>1268</v>
      </c>
      <c r="S6582" t="s">
        <v>28491</v>
      </c>
      <c r="T6582">
        <v>28</v>
      </c>
      <c r="U6582" s="2" t="s">
        <v>39872</v>
      </c>
      <c r="V6582" s="1">
        <v>45183</v>
      </c>
      <c r="W6582" t="s">
        <v>360</v>
      </c>
      <c r="X6582">
        <v>805288</v>
      </c>
      <c r="Y6582" t="s">
        <v>39873</v>
      </c>
      <c r="Z6582" s="2" t="s">
        <v>39874</v>
      </c>
      <c r="AA6582" t="s">
        <v>2129</v>
      </c>
      <c r="AB6582" t="s">
        <v>486</v>
      </c>
      <c r="AD6582" t="s">
        <v>10253</v>
      </c>
      <c r="AE6582" t="s">
        <v>54</v>
      </c>
      <c r="AG6582" t="s">
        <v>39875</v>
      </c>
      <c r="AH6582" t="s">
        <v>38658</v>
      </c>
      <c r="AI6582" t="s">
        <v>39876</v>
      </c>
    </row>
    <row r="6583" spans="2:35" ht="165">
      <c r="B6583" s="1">
        <v>45184</v>
      </c>
      <c r="C6583" s="4">
        <v>45184.646527777775</v>
      </c>
      <c r="D6583" t="s">
        <v>1107</v>
      </c>
      <c r="E6583" t="s">
        <v>33952</v>
      </c>
      <c r="F6583" t="s">
        <v>37</v>
      </c>
      <c r="G6583" t="s">
        <v>38</v>
      </c>
      <c r="H6583" t="s">
        <v>39</v>
      </c>
      <c r="I6583" t="s">
        <v>40</v>
      </c>
      <c r="J6583" s="2" t="s">
        <v>41</v>
      </c>
      <c r="K6583" t="s">
        <v>42</v>
      </c>
      <c r="L6583" t="s">
        <v>43</v>
      </c>
      <c r="Q6583">
        <v>25969</v>
      </c>
      <c r="R6583" t="s">
        <v>119</v>
      </c>
      <c r="S6583" t="s">
        <v>26768</v>
      </c>
      <c r="T6583">
        <v>25</v>
      </c>
      <c r="U6583" s="2" t="s">
        <v>39595</v>
      </c>
      <c r="V6583" s="1">
        <v>45174</v>
      </c>
      <c r="W6583" t="s">
        <v>48</v>
      </c>
      <c r="X6583">
        <v>819864</v>
      </c>
      <c r="Y6583" t="s">
        <v>15866</v>
      </c>
      <c r="Z6583" t="s">
        <v>11027</v>
      </c>
      <c r="AA6583" s="2" t="s">
        <v>39877</v>
      </c>
      <c r="AB6583" t="s">
        <v>39878</v>
      </c>
      <c r="AC6583" t="s">
        <v>39879</v>
      </c>
      <c r="AD6583" t="s">
        <v>39880</v>
      </c>
      <c r="AE6583" t="s">
        <v>39881</v>
      </c>
      <c r="AG6583" t="s">
        <v>39882</v>
      </c>
      <c r="AH6583" t="s">
        <v>34446</v>
      </c>
      <c r="AI6583" t="s">
        <v>39883</v>
      </c>
    </row>
    <row r="6584" spans="2:35" ht="285">
      <c r="B6584" s="1">
        <v>45184</v>
      </c>
      <c r="C6584" s="4">
        <v>45184.39166666667</v>
      </c>
      <c r="D6584" t="s">
        <v>36726</v>
      </c>
      <c r="E6584" t="s">
        <v>39884</v>
      </c>
      <c r="F6584">
        <v>8</v>
      </c>
      <c r="G6584" t="s">
        <v>342</v>
      </c>
      <c r="H6584" t="s">
        <v>39</v>
      </c>
      <c r="I6584" t="s">
        <v>40</v>
      </c>
      <c r="J6584" t="s">
        <v>109</v>
      </c>
      <c r="K6584" t="s">
        <v>42</v>
      </c>
      <c r="L6584" t="s">
        <v>259</v>
      </c>
      <c r="Q6584">
        <v>25968</v>
      </c>
      <c r="R6584" t="s">
        <v>45</v>
      </c>
      <c r="S6584" t="s">
        <v>36728</v>
      </c>
      <c r="T6584">
        <v>27</v>
      </c>
      <c r="U6584" s="2" t="s">
        <v>39885</v>
      </c>
      <c r="V6584" s="1">
        <v>45184</v>
      </c>
      <c r="W6584" t="s">
        <v>84</v>
      </c>
      <c r="X6584">
        <v>808631</v>
      </c>
      <c r="Y6584" t="s">
        <v>1716</v>
      </c>
      <c r="Z6584" t="e">
        <f ca="1">- Preventive Maintenance</f>
        <v>#NAME?</v>
      </c>
      <c r="AA6584" t="e">
        <f ca="1">- Preventive Maintenance
- performed functionality test
- Generate reports</f>
        <v>#NAME?</v>
      </c>
      <c r="AB6584" t="s">
        <v>70</v>
      </c>
      <c r="AG6584" t="s">
        <v>39886</v>
      </c>
      <c r="AH6584" t="s">
        <v>39887</v>
      </c>
      <c r="AI6584" t="s">
        <v>39888</v>
      </c>
    </row>
    <row r="6585" spans="2:35" ht="360">
      <c r="B6585" s="1">
        <v>45184</v>
      </c>
      <c r="C6585" s="4">
        <v>45184.579861111109</v>
      </c>
      <c r="D6585" t="s">
        <v>5932</v>
      </c>
      <c r="E6585" t="s">
        <v>39889</v>
      </c>
      <c r="F6585">
        <v>11</v>
      </c>
      <c r="G6585" t="s">
        <v>2836</v>
      </c>
      <c r="H6585" t="s">
        <v>202</v>
      </c>
      <c r="I6585" t="s">
        <v>40</v>
      </c>
      <c r="J6585" s="2" t="s">
        <v>190</v>
      </c>
      <c r="K6585" t="s">
        <v>42</v>
      </c>
      <c r="L6585" t="s">
        <v>204</v>
      </c>
      <c r="Q6585">
        <v>25967</v>
      </c>
      <c r="R6585" t="s">
        <v>119</v>
      </c>
      <c r="S6585" t="s">
        <v>39890</v>
      </c>
      <c r="T6585">
        <v>24.5</v>
      </c>
      <c r="U6585" s="2" t="s">
        <v>39891</v>
      </c>
      <c r="W6585" t="s">
        <v>23237</v>
      </c>
      <c r="X6585">
        <v>838553</v>
      </c>
      <c r="Y6585" t="s">
        <v>39892</v>
      </c>
      <c r="Z6585" s="2" t="s">
        <v>39893</v>
      </c>
      <c r="AA6585" t="s">
        <v>39894</v>
      </c>
      <c r="AB6585" s="2" t="s">
        <v>39895</v>
      </c>
      <c r="AC6585" t="s">
        <v>39896</v>
      </c>
      <c r="AG6585" t="s">
        <v>39897</v>
      </c>
      <c r="AH6585" t="s">
        <v>39898</v>
      </c>
      <c r="AI6585" t="s">
        <v>39899</v>
      </c>
    </row>
    <row r="6586" spans="2:35" ht="105">
      <c r="B6586" s="1">
        <v>45184</v>
      </c>
      <c r="C6586" s="4">
        <v>45184.597222222219</v>
      </c>
      <c r="D6586" t="s">
        <v>4804</v>
      </c>
      <c r="E6586" t="s">
        <v>8615</v>
      </c>
      <c r="F6586" t="s">
        <v>1181</v>
      </c>
      <c r="G6586" t="s">
        <v>1182</v>
      </c>
      <c r="H6586" t="s">
        <v>1047</v>
      </c>
      <c r="I6586" t="s">
        <v>40</v>
      </c>
      <c r="J6586" s="2" t="s">
        <v>39900</v>
      </c>
      <c r="K6586" t="s">
        <v>42</v>
      </c>
      <c r="L6586" t="s">
        <v>80</v>
      </c>
      <c r="Q6586">
        <v>25966</v>
      </c>
      <c r="R6586" t="s">
        <v>45</v>
      </c>
      <c r="S6586" t="s">
        <v>2211</v>
      </c>
      <c r="T6586">
        <v>28</v>
      </c>
      <c r="U6586" s="2" t="s">
        <v>27147</v>
      </c>
      <c r="V6586" s="1">
        <v>45184</v>
      </c>
      <c r="W6586" t="s">
        <v>502</v>
      </c>
      <c r="X6586">
        <v>804272</v>
      </c>
      <c r="Y6586" t="s">
        <v>39901</v>
      </c>
      <c r="Z6586" t="s">
        <v>39902</v>
      </c>
      <c r="AA6586" t="s">
        <v>39903</v>
      </c>
      <c r="AB6586" t="s">
        <v>39904</v>
      </c>
      <c r="AC6586" t="s">
        <v>103</v>
      </c>
      <c r="AD6586" t="s">
        <v>103</v>
      </c>
      <c r="AE6586" t="s">
        <v>103</v>
      </c>
      <c r="AG6586" t="s">
        <v>39905</v>
      </c>
      <c r="AH6586" t="s">
        <v>39906</v>
      </c>
      <c r="AI6586" t="s">
        <v>39907</v>
      </c>
    </row>
    <row r="6587" spans="2:35" ht="105">
      <c r="B6587" s="1">
        <v>45184</v>
      </c>
      <c r="C6587" s="4">
        <v>45184.590277777781</v>
      </c>
      <c r="D6587" t="s">
        <v>4804</v>
      </c>
      <c r="E6587" t="s">
        <v>23201</v>
      </c>
      <c r="F6587" t="s">
        <v>1181</v>
      </c>
      <c r="G6587" t="s">
        <v>1182</v>
      </c>
      <c r="H6587" t="s">
        <v>1047</v>
      </c>
      <c r="I6587" t="s">
        <v>40</v>
      </c>
      <c r="J6587" t="s">
        <v>109</v>
      </c>
      <c r="K6587" t="s">
        <v>42</v>
      </c>
      <c r="L6587" t="s">
        <v>80</v>
      </c>
      <c r="Q6587">
        <v>25965</v>
      </c>
      <c r="R6587" t="s">
        <v>322</v>
      </c>
      <c r="S6587" t="s">
        <v>2211</v>
      </c>
      <c r="T6587">
        <v>28</v>
      </c>
      <c r="U6587" s="2" t="s">
        <v>39908</v>
      </c>
      <c r="V6587" s="1">
        <v>45184</v>
      </c>
      <c r="W6587" t="s">
        <v>502</v>
      </c>
      <c r="X6587">
        <v>832026</v>
      </c>
      <c r="Y6587" t="s">
        <v>39909</v>
      </c>
      <c r="Z6587" t="s">
        <v>122</v>
      </c>
      <c r="AA6587" t="s">
        <v>122</v>
      </c>
      <c r="AB6587" t="s">
        <v>39910</v>
      </c>
      <c r="AC6587" t="s">
        <v>103</v>
      </c>
      <c r="AD6587" t="s">
        <v>103</v>
      </c>
      <c r="AE6587" t="s">
        <v>103</v>
      </c>
      <c r="AG6587" t="s">
        <v>39911</v>
      </c>
      <c r="AH6587" t="s">
        <v>38285</v>
      </c>
      <c r="AI6587" t="s">
        <v>39912</v>
      </c>
    </row>
    <row r="6588" spans="2:35" ht="409.5">
      <c r="B6588" s="1">
        <v>45184</v>
      </c>
      <c r="C6588" s="4">
        <v>45184.564583333333</v>
      </c>
      <c r="D6588" t="s">
        <v>22119</v>
      </c>
      <c r="E6588" t="s">
        <v>39913</v>
      </c>
      <c r="F6588" t="s">
        <v>37</v>
      </c>
      <c r="G6588" t="s">
        <v>2499</v>
      </c>
      <c r="H6588" t="s">
        <v>39</v>
      </c>
      <c r="I6588" t="s">
        <v>40</v>
      </c>
      <c r="J6588" s="2" t="s">
        <v>190</v>
      </c>
      <c r="K6588" t="s">
        <v>42</v>
      </c>
      <c r="L6588" t="s">
        <v>15532</v>
      </c>
      <c r="Q6588">
        <v>25964</v>
      </c>
      <c r="R6588" t="s">
        <v>45</v>
      </c>
      <c r="S6588" t="s">
        <v>22121</v>
      </c>
      <c r="T6588">
        <v>32</v>
      </c>
      <c r="U6588" s="2" t="s">
        <v>39914</v>
      </c>
      <c r="W6588" t="s">
        <v>3244</v>
      </c>
      <c r="X6588">
        <v>814155</v>
      </c>
      <c r="Y6588" t="s">
        <v>7765</v>
      </c>
      <c r="Z6588" s="2" t="s">
        <v>39915</v>
      </c>
      <c r="AA6588" t="s">
        <v>39916</v>
      </c>
      <c r="AB6588" s="2" t="s">
        <v>39917</v>
      </c>
      <c r="AG6588" t="s">
        <v>39918</v>
      </c>
      <c r="AH6588" t="s">
        <v>33338</v>
      </c>
      <c r="AI6588" t="s">
        <v>39919</v>
      </c>
    </row>
    <row r="6589" spans="2:35" ht="180">
      <c r="B6589" s="1">
        <v>45184</v>
      </c>
      <c r="C6589" s="4">
        <v>45184.554861111108</v>
      </c>
      <c r="D6589" t="s">
        <v>39417</v>
      </c>
      <c r="E6589" t="s">
        <v>39920</v>
      </c>
      <c r="F6589" t="s">
        <v>148</v>
      </c>
      <c r="G6589" t="s">
        <v>2007</v>
      </c>
      <c r="H6589" t="s">
        <v>39</v>
      </c>
      <c r="I6589" t="s">
        <v>40</v>
      </c>
      <c r="J6589" s="2" t="s">
        <v>41</v>
      </c>
      <c r="K6589" t="s">
        <v>42</v>
      </c>
      <c r="L6589" t="s">
        <v>43</v>
      </c>
      <c r="Q6589">
        <v>25963</v>
      </c>
      <c r="R6589" t="s">
        <v>45</v>
      </c>
      <c r="S6589" t="s">
        <v>39921</v>
      </c>
      <c r="T6589">
        <v>25</v>
      </c>
      <c r="U6589" s="2" t="s">
        <v>39922</v>
      </c>
      <c r="V6589" s="1">
        <v>45183</v>
      </c>
      <c r="W6589" t="s">
        <v>48</v>
      </c>
      <c r="X6589">
        <v>807591</v>
      </c>
      <c r="Y6589" t="s">
        <v>424</v>
      </c>
      <c r="Z6589" t="s">
        <v>425</v>
      </c>
      <c r="AA6589" s="2" t="s">
        <v>35532</v>
      </c>
      <c r="AB6589" t="s">
        <v>7543</v>
      </c>
      <c r="AD6589" s="2" t="s">
        <v>39923</v>
      </c>
      <c r="AE6589" t="s">
        <v>39924</v>
      </c>
      <c r="AG6589" t="s">
        <v>39925</v>
      </c>
      <c r="AH6589" t="s">
        <v>39926</v>
      </c>
      <c r="AI6589" t="s">
        <v>39927</v>
      </c>
    </row>
    <row r="6590" spans="2:35" ht="210">
      <c r="B6590" s="1">
        <v>45184</v>
      </c>
      <c r="C6590" s="4">
        <v>45184.532638888886</v>
      </c>
      <c r="D6590" t="s">
        <v>228</v>
      </c>
      <c r="E6590" t="s">
        <v>9436</v>
      </c>
      <c r="F6590" t="s">
        <v>148</v>
      </c>
      <c r="G6590" t="s">
        <v>230</v>
      </c>
      <c r="H6590" t="s">
        <v>39</v>
      </c>
      <c r="I6590" t="s">
        <v>40</v>
      </c>
      <c r="J6590" s="2" t="s">
        <v>41</v>
      </c>
      <c r="K6590" t="s">
        <v>42</v>
      </c>
      <c r="L6590" t="s">
        <v>175</v>
      </c>
      <c r="Q6590">
        <v>25962</v>
      </c>
      <c r="R6590" t="s">
        <v>45</v>
      </c>
      <c r="S6590" t="s">
        <v>23986</v>
      </c>
      <c r="T6590">
        <v>25</v>
      </c>
      <c r="U6590" s="2" t="s">
        <v>39928</v>
      </c>
      <c r="V6590" s="1">
        <v>45152</v>
      </c>
      <c r="W6590" t="s">
        <v>84</v>
      </c>
      <c r="X6590">
        <v>805062</v>
      </c>
      <c r="Y6590" t="s">
        <v>570</v>
      </c>
      <c r="Z6590" t="e">
        <f ca="1">- replaced A2
- checked _xludf.and cleaned cartridge bay, plunger rod, _xludf.filter
- generated reports</f>
        <v>#NAME?</v>
      </c>
      <c r="AA6590" t="s">
        <v>39929</v>
      </c>
      <c r="AB6590" t="s">
        <v>88</v>
      </c>
      <c r="AD6590" s="2" t="s">
        <v>39930</v>
      </c>
      <c r="AE6590" t="s">
        <v>103</v>
      </c>
      <c r="AG6590" t="s">
        <v>39931</v>
      </c>
      <c r="AH6590" t="s">
        <v>23990</v>
      </c>
      <c r="AI6590" t="s">
        <v>39932</v>
      </c>
    </row>
    <row r="6591" spans="2:35" ht="240">
      <c r="B6591" s="1">
        <v>45184</v>
      </c>
      <c r="C6591" s="4">
        <v>45184.495833333334</v>
      </c>
      <c r="D6591" t="s">
        <v>25750</v>
      </c>
      <c r="E6591" t="s">
        <v>25751</v>
      </c>
      <c r="F6591">
        <v>2</v>
      </c>
      <c r="G6591" t="s">
        <v>10878</v>
      </c>
      <c r="H6591" t="s">
        <v>39</v>
      </c>
      <c r="I6591" t="s">
        <v>40</v>
      </c>
      <c r="J6591" s="2" t="s">
        <v>41</v>
      </c>
      <c r="K6591" t="s">
        <v>42</v>
      </c>
      <c r="L6591" t="s">
        <v>63</v>
      </c>
      <c r="Q6591">
        <v>25961</v>
      </c>
      <c r="R6591" t="s">
        <v>45</v>
      </c>
      <c r="S6591" t="s">
        <v>25753</v>
      </c>
      <c r="T6591">
        <v>27</v>
      </c>
      <c r="U6591" s="2" t="s">
        <v>10413</v>
      </c>
      <c r="V6591" s="1">
        <v>45184</v>
      </c>
      <c r="W6591" t="s">
        <v>26915</v>
      </c>
      <c r="X6591">
        <v>814166</v>
      </c>
      <c r="Y6591" t="s">
        <v>39933</v>
      </c>
      <c r="Z6591" t="s">
        <v>39934</v>
      </c>
      <c r="AA6591" s="2" t="s">
        <v>39935</v>
      </c>
      <c r="AB6591" t="s">
        <v>70</v>
      </c>
      <c r="AC6591" t="s">
        <v>39936</v>
      </c>
      <c r="AD6591" t="s">
        <v>6397</v>
      </c>
      <c r="AE6591" t="s">
        <v>1716</v>
      </c>
      <c r="AG6591" t="s">
        <v>39937</v>
      </c>
      <c r="AH6591" t="s">
        <v>25759</v>
      </c>
      <c r="AI6591" t="s">
        <v>39938</v>
      </c>
    </row>
    <row r="6592" spans="2:35" ht="300">
      <c r="B6592" s="1">
        <v>45184</v>
      </c>
      <c r="C6592" s="4">
        <v>45184.476388888892</v>
      </c>
      <c r="D6592" t="s">
        <v>39939</v>
      </c>
      <c r="E6592" t="s">
        <v>8615</v>
      </c>
      <c r="F6592" t="s">
        <v>1181</v>
      </c>
      <c r="G6592" t="s">
        <v>1182</v>
      </c>
      <c r="H6592" t="s">
        <v>258</v>
      </c>
      <c r="I6592" t="s">
        <v>40</v>
      </c>
      <c r="J6592" s="2" t="s">
        <v>41</v>
      </c>
      <c r="K6592" t="s">
        <v>42</v>
      </c>
      <c r="L6592" t="s">
        <v>80</v>
      </c>
      <c r="Q6592">
        <v>25960</v>
      </c>
      <c r="R6592" t="s">
        <v>45</v>
      </c>
      <c r="S6592" t="s">
        <v>38271</v>
      </c>
      <c r="T6592">
        <v>28</v>
      </c>
      <c r="U6592" s="2" t="s">
        <v>39940</v>
      </c>
      <c r="V6592" s="1">
        <v>45184</v>
      </c>
      <c r="W6592" t="s">
        <v>34318</v>
      </c>
      <c r="X6592">
        <v>842893</v>
      </c>
      <c r="Y6592" t="s">
        <v>39941</v>
      </c>
      <c r="Z6592" t="s">
        <v>39942</v>
      </c>
      <c r="AA6592" s="2" t="s">
        <v>39943</v>
      </c>
      <c r="AB6592" t="s">
        <v>39944</v>
      </c>
      <c r="AC6592" t="s">
        <v>39945</v>
      </c>
      <c r="AD6592" t="s">
        <v>39946</v>
      </c>
      <c r="AE6592" t="s">
        <v>45</v>
      </c>
      <c r="AG6592" t="s">
        <v>39947</v>
      </c>
      <c r="AH6592" t="s">
        <v>39948</v>
      </c>
      <c r="AI6592" t="s">
        <v>39949</v>
      </c>
    </row>
    <row r="6593" spans="2:35" ht="180">
      <c r="B6593" s="1">
        <v>45184</v>
      </c>
      <c r="C6593" s="4">
        <v>45184.382638888892</v>
      </c>
      <c r="D6593" t="s">
        <v>4333</v>
      </c>
      <c r="E6593" t="s">
        <v>39950</v>
      </c>
      <c r="F6593">
        <v>9</v>
      </c>
      <c r="G6593" t="s">
        <v>3346</v>
      </c>
      <c r="H6593" t="s">
        <v>39</v>
      </c>
      <c r="I6593" t="s">
        <v>40</v>
      </c>
      <c r="J6593" s="2" t="s">
        <v>17375</v>
      </c>
      <c r="K6593" t="s">
        <v>42</v>
      </c>
      <c r="L6593" t="s">
        <v>1257</v>
      </c>
      <c r="Q6593">
        <v>25959</v>
      </c>
      <c r="R6593" t="s">
        <v>45</v>
      </c>
      <c r="S6593" t="s">
        <v>4336</v>
      </c>
      <c r="T6593">
        <v>27</v>
      </c>
      <c r="U6593" s="2" t="s">
        <v>39951</v>
      </c>
      <c r="V6593" s="1">
        <v>45184</v>
      </c>
      <c r="W6593" t="s">
        <v>2384</v>
      </c>
      <c r="X6593">
        <v>807595</v>
      </c>
      <c r="Y6593" t="s">
        <v>301</v>
      </c>
      <c r="Z6593" t="s">
        <v>39952</v>
      </c>
      <c r="AA6593" t="s">
        <v>22443</v>
      </c>
      <c r="AB6593" t="s">
        <v>7411</v>
      </c>
      <c r="AC6593" t="s">
        <v>301</v>
      </c>
      <c r="AD6593" t="s">
        <v>54</v>
      </c>
      <c r="AE6593" t="s">
        <v>54</v>
      </c>
      <c r="AG6593" t="s">
        <v>39953</v>
      </c>
      <c r="AH6593" t="s">
        <v>39954</v>
      </c>
      <c r="AI6593" t="s">
        <v>39955</v>
      </c>
    </row>
    <row r="6594" spans="2:35" ht="105">
      <c r="B6594" s="1">
        <v>45183</v>
      </c>
      <c r="C6594" s="4">
        <v>45183.862500000003</v>
      </c>
      <c r="D6594" t="s">
        <v>39956</v>
      </c>
      <c r="E6594" t="s">
        <v>39957</v>
      </c>
      <c r="F6594" t="s">
        <v>1255</v>
      </c>
      <c r="G6594" t="s">
        <v>3346</v>
      </c>
      <c r="H6594" t="s">
        <v>39</v>
      </c>
      <c r="I6594" t="s">
        <v>40</v>
      </c>
      <c r="J6594" s="2" t="s">
        <v>17375</v>
      </c>
      <c r="K6594" t="s">
        <v>42</v>
      </c>
      <c r="L6594" t="s">
        <v>1257</v>
      </c>
      <c r="Q6594">
        <v>25958</v>
      </c>
      <c r="R6594" t="s">
        <v>45</v>
      </c>
      <c r="S6594" t="s">
        <v>39958</v>
      </c>
      <c r="T6594">
        <v>26</v>
      </c>
      <c r="U6594" s="2" t="s">
        <v>39959</v>
      </c>
      <c r="V6594" s="1">
        <v>45183</v>
      </c>
      <c r="W6594" t="s">
        <v>4904</v>
      </c>
      <c r="X6594">
        <v>707515</v>
      </c>
      <c r="Y6594" t="s">
        <v>301</v>
      </c>
      <c r="Z6594" t="s">
        <v>39960</v>
      </c>
      <c r="AA6594" t="s">
        <v>22443</v>
      </c>
      <c r="AB6594" t="s">
        <v>7411</v>
      </c>
      <c r="AC6594" t="s">
        <v>301</v>
      </c>
      <c r="AD6594" t="s">
        <v>54</v>
      </c>
      <c r="AE6594" t="s">
        <v>54</v>
      </c>
      <c r="AG6594" t="s">
        <v>39961</v>
      </c>
      <c r="AH6594" t="s">
        <v>39962</v>
      </c>
      <c r="AI6594" t="s">
        <v>39963</v>
      </c>
    </row>
    <row r="6595" spans="2:35" ht="105">
      <c r="B6595" s="1">
        <v>45183</v>
      </c>
      <c r="C6595" s="4">
        <v>45183.648611111108</v>
      </c>
      <c r="D6595" t="s">
        <v>32616</v>
      </c>
      <c r="E6595" t="s">
        <v>29745</v>
      </c>
      <c r="F6595">
        <v>3</v>
      </c>
      <c r="G6595" t="s">
        <v>174</v>
      </c>
      <c r="H6595" t="s">
        <v>39</v>
      </c>
      <c r="I6595" t="s">
        <v>40</v>
      </c>
      <c r="J6595" s="2" t="s">
        <v>41</v>
      </c>
      <c r="K6595" t="s">
        <v>42</v>
      </c>
      <c r="L6595" t="s">
        <v>175</v>
      </c>
      <c r="Q6595">
        <v>25957</v>
      </c>
      <c r="R6595" t="s">
        <v>45</v>
      </c>
      <c r="S6595" t="s">
        <v>29746</v>
      </c>
      <c r="T6595">
        <v>25</v>
      </c>
      <c r="U6595" s="2" t="s">
        <v>37230</v>
      </c>
      <c r="W6595" t="s">
        <v>84</v>
      </c>
      <c r="X6595">
        <v>805252</v>
      </c>
      <c r="Y6595" t="s">
        <v>39964</v>
      </c>
      <c r="Z6595" t="e">
        <f ca="1">- Manually removed stuck cartridge
- checked _xludf.and cleaned cartridge bay, plunger rod, _xludf.filter
- generated reports</f>
        <v>#NAME?</v>
      </c>
      <c r="AA6595" t="s">
        <v>8743</v>
      </c>
      <c r="AB6595" t="s">
        <v>88</v>
      </c>
      <c r="AG6595" t="s">
        <v>39965</v>
      </c>
      <c r="AH6595" t="s">
        <v>29751</v>
      </c>
      <c r="AI6595" t="s">
        <v>39966</v>
      </c>
    </row>
    <row r="6596" spans="2:35" ht="345">
      <c r="B6596" s="1">
        <v>45183</v>
      </c>
      <c r="C6596" s="4">
        <v>45183.620833333334</v>
      </c>
      <c r="D6596" t="s">
        <v>5783</v>
      </c>
      <c r="E6596" t="s">
        <v>20623</v>
      </c>
      <c r="F6596">
        <v>12</v>
      </c>
      <c r="G6596" t="s">
        <v>5785</v>
      </c>
      <c r="H6596" t="s">
        <v>5391</v>
      </c>
      <c r="I6596" t="s">
        <v>94</v>
      </c>
      <c r="J6596" s="2" t="s">
        <v>41</v>
      </c>
      <c r="K6596" t="s">
        <v>42</v>
      </c>
      <c r="L6596" t="s">
        <v>296</v>
      </c>
      <c r="Q6596">
        <v>25956</v>
      </c>
      <c r="R6596" t="s">
        <v>119</v>
      </c>
      <c r="S6596" t="s">
        <v>20624</v>
      </c>
      <c r="T6596">
        <v>26.8</v>
      </c>
      <c r="U6596" s="2" t="s">
        <v>3200</v>
      </c>
      <c r="V6596" s="1">
        <v>45183</v>
      </c>
      <c r="W6596" t="s">
        <v>23049</v>
      </c>
      <c r="X6596">
        <v>838546</v>
      </c>
      <c r="Y6596" t="s">
        <v>39967</v>
      </c>
      <c r="Z6596" t="s">
        <v>9161</v>
      </c>
      <c r="AA6596" s="2" t="s">
        <v>39968</v>
      </c>
      <c r="AB6596" t="s">
        <v>972</v>
      </c>
      <c r="AD6596" t="s">
        <v>39969</v>
      </c>
      <c r="AE6596" t="s">
        <v>39970</v>
      </c>
      <c r="AG6596" t="s">
        <v>39971</v>
      </c>
      <c r="AH6596" t="s">
        <v>9163</v>
      </c>
      <c r="AI6596" t="s">
        <v>39972</v>
      </c>
    </row>
    <row r="6597" spans="2:35" ht="180">
      <c r="B6597" s="1">
        <v>45183</v>
      </c>
      <c r="C6597" s="4">
        <v>45183.64166666667</v>
      </c>
      <c r="D6597" t="s">
        <v>4091</v>
      </c>
      <c r="E6597" t="s">
        <v>9894</v>
      </c>
      <c r="F6597">
        <v>13</v>
      </c>
      <c r="G6597" t="s">
        <v>7763</v>
      </c>
      <c r="H6597" t="s">
        <v>2125</v>
      </c>
      <c r="I6597" t="s">
        <v>40</v>
      </c>
      <c r="J6597" t="s">
        <v>79</v>
      </c>
      <c r="K6597" t="s">
        <v>42</v>
      </c>
      <c r="L6597" t="s">
        <v>933</v>
      </c>
      <c r="Q6597">
        <v>25955</v>
      </c>
      <c r="R6597" t="s">
        <v>719</v>
      </c>
      <c r="S6597" t="s">
        <v>39973</v>
      </c>
      <c r="T6597">
        <v>27.45</v>
      </c>
      <c r="U6597" s="2" t="s">
        <v>39974</v>
      </c>
      <c r="W6597" t="s">
        <v>3662</v>
      </c>
      <c r="X6597">
        <v>847258</v>
      </c>
      <c r="Y6597" t="s">
        <v>301</v>
      </c>
      <c r="Z6597" t="s">
        <v>301</v>
      </c>
      <c r="AA6597" t="s">
        <v>39975</v>
      </c>
      <c r="AB6597" t="s">
        <v>1263</v>
      </c>
      <c r="AG6597" t="s">
        <v>39976</v>
      </c>
      <c r="AH6597" t="s">
        <v>39977</v>
      </c>
      <c r="AI6597" t="s">
        <v>39978</v>
      </c>
    </row>
    <row r="6598" spans="2:35" ht="255">
      <c r="B6598" s="1">
        <v>45183</v>
      </c>
      <c r="C6598" s="4">
        <v>45183.613194444442</v>
      </c>
      <c r="D6598" t="s">
        <v>2157</v>
      </c>
      <c r="E6598" t="s">
        <v>39979</v>
      </c>
      <c r="F6598" t="s">
        <v>37</v>
      </c>
      <c r="G6598" t="s">
        <v>38</v>
      </c>
      <c r="H6598" t="s">
        <v>39</v>
      </c>
      <c r="I6598" t="s">
        <v>40</v>
      </c>
      <c r="J6598" s="2" t="s">
        <v>41</v>
      </c>
      <c r="K6598" t="s">
        <v>42</v>
      </c>
      <c r="L6598" t="s">
        <v>43</v>
      </c>
      <c r="Q6598">
        <v>25954</v>
      </c>
      <c r="R6598" t="s">
        <v>45</v>
      </c>
      <c r="S6598" t="s">
        <v>25334</v>
      </c>
      <c r="T6598">
        <v>25</v>
      </c>
      <c r="U6598" s="2" t="s">
        <v>20824</v>
      </c>
      <c r="V6598" s="1">
        <v>45183</v>
      </c>
      <c r="W6598" t="s">
        <v>48</v>
      </c>
      <c r="X6598">
        <v>815389</v>
      </c>
      <c r="Y6598" t="s">
        <v>424</v>
      </c>
      <c r="Z6598" t="s">
        <v>425</v>
      </c>
      <c r="AA6598" s="2" t="s">
        <v>39980</v>
      </c>
      <c r="AB6598" t="s">
        <v>16412</v>
      </c>
      <c r="AD6598" s="2" t="s">
        <v>39981</v>
      </c>
      <c r="AE6598" t="s">
        <v>39982</v>
      </c>
      <c r="AG6598" t="s">
        <v>39983</v>
      </c>
      <c r="AH6598" t="s">
        <v>39984</v>
      </c>
      <c r="AI6598" t="s">
        <v>39985</v>
      </c>
    </row>
    <row r="6599" spans="2:35" ht="60">
      <c r="B6599" s="1">
        <v>45183</v>
      </c>
      <c r="C6599" s="4">
        <v>45183.38958333333</v>
      </c>
      <c r="D6599" t="s">
        <v>39986</v>
      </c>
      <c r="E6599" t="s">
        <v>39987</v>
      </c>
      <c r="F6599">
        <v>8</v>
      </c>
      <c r="G6599" t="s">
        <v>2945</v>
      </c>
      <c r="H6599" t="s">
        <v>39</v>
      </c>
      <c r="I6599" t="s">
        <v>40</v>
      </c>
      <c r="J6599" s="2" t="s">
        <v>62</v>
      </c>
      <c r="K6599" t="s">
        <v>42</v>
      </c>
      <c r="L6599" t="s">
        <v>259</v>
      </c>
      <c r="Q6599">
        <v>25953</v>
      </c>
      <c r="R6599" t="s">
        <v>45</v>
      </c>
      <c r="S6599" t="s">
        <v>39988</v>
      </c>
      <c r="T6599">
        <v>25</v>
      </c>
      <c r="V6599" s="1">
        <v>45183</v>
      </c>
      <c r="W6599" t="s">
        <v>84</v>
      </c>
      <c r="X6599">
        <v>807465</v>
      </c>
      <c r="Y6599" t="s">
        <v>67</v>
      </c>
      <c r="Z6599" t="e">
        <f ca="1">- performed Preventive Maintenance
- performed XpertCheck</f>
        <v>#NAME?</v>
      </c>
      <c r="AA6599" t="e">
        <f ca="1">- XpertCheck CALIBRATION
- Preventive Maintenance
- Generate reports</f>
        <v>#NAME?</v>
      </c>
      <c r="AB6599" t="s">
        <v>70</v>
      </c>
      <c r="AC6599" t="s">
        <v>5243</v>
      </c>
      <c r="AD6599" t="s">
        <v>948</v>
      </c>
      <c r="AE6599" t="s">
        <v>45</v>
      </c>
      <c r="AG6599" t="s">
        <v>39989</v>
      </c>
      <c r="AH6599" t="s">
        <v>39990</v>
      </c>
      <c r="AI6599" t="s">
        <v>39991</v>
      </c>
    </row>
    <row r="6600" spans="2:35" ht="285">
      <c r="B6600" s="1">
        <v>45183</v>
      </c>
      <c r="C6600" s="4">
        <v>45180.55972222222</v>
      </c>
      <c r="D6600" t="s">
        <v>4953</v>
      </c>
      <c r="E6600" t="s">
        <v>4954</v>
      </c>
      <c r="F6600">
        <v>1</v>
      </c>
      <c r="G6600" t="s">
        <v>1046</v>
      </c>
      <c r="H6600" t="s">
        <v>1047</v>
      </c>
      <c r="I6600" t="s">
        <v>40</v>
      </c>
      <c r="J6600" s="2" t="s">
        <v>190</v>
      </c>
      <c r="K6600" t="s">
        <v>42</v>
      </c>
      <c r="L6600" t="s">
        <v>1048</v>
      </c>
      <c r="Q6600">
        <v>25952</v>
      </c>
      <c r="R6600" t="s">
        <v>119</v>
      </c>
      <c r="S6600" t="s">
        <v>4955</v>
      </c>
      <c r="T6600">
        <v>28</v>
      </c>
      <c r="W6600" t="s">
        <v>360</v>
      </c>
      <c r="X6600">
        <v>838437</v>
      </c>
      <c r="Y6600" t="s">
        <v>39992</v>
      </c>
      <c r="Z6600" s="2" t="s">
        <v>39993</v>
      </c>
      <c r="AA6600" t="s">
        <v>820</v>
      </c>
      <c r="AB6600" t="s">
        <v>181</v>
      </c>
      <c r="AG6600" t="s">
        <v>39994</v>
      </c>
      <c r="AH6600" t="s">
        <v>4958</v>
      </c>
      <c r="AI6600" t="s">
        <v>39995</v>
      </c>
    </row>
    <row r="6601" spans="2:35" ht="409.5">
      <c r="B6601" s="1">
        <v>45183</v>
      </c>
      <c r="C6601" s="4">
        <v>45183.529166666667</v>
      </c>
      <c r="D6601" t="s">
        <v>3139</v>
      </c>
      <c r="E6601" t="s">
        <v>3140</v>
      </c>
      <c r="F6601">
        <v>3</v>
      </c>
      <c r="G6601" t="s">
        <v>174</v>
      </c>
      <c r="H6601" t="s">
        <v>61</v>
      </c>
      <c r="I6601" t="s">
        <v>40</v>
      </c>
      <c r="J6601" s="2" t="s">
        <v>190</v>
      </c>
      <c r="K6601" t="s">
        <v>42</v>
      </c>
      <c r="L6601" t="s">
        <v>175</v>
      </c>
      <c r="Q6601">
        <v>25951</v>
      </c>
      <c r="R6601" t="s">
        <v>45</v>
      </c>
      <c r="S6601" t="s">
        <v>18595</v>
      </c>
      <c r="T6601">
        <v>25</v>
      </c>
      <c r="U6601" s="2" t="s">
        <v>39996</v>
      </c>
      <c r="W6601" t="s">
        <v>84</v>
      </c>
      <c r="X6601">
        <v>834623</v>
      </c>
      <c r="Y6601" t="s">
        <v>39997</v>
      </c>
      <c r="Z6601" s="2" t="s">
        <v>39998</v>
      </c>
      <c r="AA6601" t="s">
        <v>768</v>
      </c>
      <c r="AB6601" s="2" t="s">
        <v>39999</v>
      </c>
      <c r="AG6601" t="s">
        <v>40000</v>
      </c>
      <c r="AH6601" t="s">
        <v>18598</v>
      </c>
      <c r="AI6601" t="s">
        <v>40001</v>
      </c>
    </row>
    <row r="6602" spans="2:35" ht="285">
      <c r="B6602" s="1">
        <v>45183</v>
      </c>
      <c r="C6602" s="4">
        <v>45180.55972222222</v>
      </c>
      <c r="D6602" t="s">
        <v>4953</v>
      </c>
      <c r="E6602" t="s">
        <v>4954</v>
      </c>
      <c r="F6602">
        <v>1</v>
      </c>
      <c r="G6602" t="s">
        <v>1046</v>
      </c>
      <c r="H6602" t="s">
        <v>1047</v>
      </c>
      <c r="I6602" t="s">
        <v>40</v>
      </c>
      <c r="J6602" s="2" t="s">
        <v>190</v>
      </c>
      <c r="K6602" t="s">
        <v>42</v>
      </c>
      <c r="L6602" t="s">
        <v>1048</v>
      </c>
      <c r="Q6602">
        <v>25950</v>
      </c>
      <c r="R6602" t="s">
        <v>119</v>
      </c>
      <c r="S6602" t="s">
        <v>4955</v>
      </c>
      <c r="T6602">
        <v>28</v>
      </c>
      <c r="W6602" t="s">
        <v>360</v>
      </c>
      <c r="X6602">
        <v>838437</v>
      </c>
      <c r="Y6602" t="s">
        <v>39992</v>
      </c>
      <c r="Z6602" s="2" t="s">
        <v>39993</v>
      </c>
      <c r="AA6602" t="s">
        <v>820</v>
      </c>
      <c r="AB6602" t="s">
        <v>181</v>
      </c>
      <c r="AG6602" t="s">
        <v>40002</v>
      </c>
      <c r="AH6602" t="s">
        <v>4958</v>
      </c>
      <c r="AI6602" t="s">
        <v>40003</v>
      </c>
    </row>
    <row r="6603" spans="2:35" ht="180">
      <c r="B6603" s="1">
        <v>45183</v>
      </c>
      <c r="C6603" s="4">
        <v>45182.478472222225</v>
      </c>
      <c r="D6603" t="s">
        <v>3732</v>
      </c>
      <c r="E6603" t="s">
        <v>3733</v>
      </c>
      <c r="F6603">
        <v>1</v>
      </c>
      <c r="G6603" t="s">
        <v>1046</v>
      </c>
      <c r="H6603" t="s">
        <v>1047</v>
      </c>
      <c r="I6603" t="s">
        <v>40</v>
      </c>
      <c r="J6603" s="2" t="s">
        <v>1157</v>
      </c>
      <c r="K6603" t="s">
        <v>42</v>
      </c>
      <c r="L6603" t="s">
        <v>1048</v>
      </c>
      <c r="Q6603">
        <v>25949</v>
      </c>
      <c r="R6603" t="s">
        <v>45</v>
      </c>
      <c r="S6603" t="s">
        <v>19601</v>
      </c>
      <c r="T6603">
        <v>28</v>
      </c>
      <c r="U6603" s="2" t="s">
        <v>40004</v>
      </c>
      <c r="W6603" t="s">
        <v>360</v>
      </c>
      <c r="X6603">
        <v>838473</v>
      </c>
      <c r="Y6603" s="2" t="s">
        <v>40005</v>
      </c>
      <c r="Z6603" t="e">
        <f ca="1">- cleaned cartridge Bays, plunger Rods _xludf.and I-CORE
- performed ReXpertCheck
- generated reports</f>
        <v>#NAME?</v>
      </c>
      <c r="AA6603" t="s">
        <v>40006</v>
      </c>
      <c r="AB6603" t="s">
        <v>181</v>
      </c>
      <c r="AC6603" t="s">
        <v>40007</v>
      </c>
      <c r="AG6603" t="s">
        <v>40008</v>
      </c>
      <c r="AH6603" t="s">
        <v>19605</v>
      </c>
      <c r="AI6603" t="s">
        <v>40009</v>
      </c>
    </row>
    <row r="6604" spans="2:35" ht="180">
      <c r="B6604" s="1">
        <v>45183</v>
      </c>
      <c r="C6604" s="4">
        <v>45182.478472222225</v>
      </c>
      <c r="D6604" t="s">
        <v>3732</v>
      </c>
      <c r="E6604" t="s">
        <v>3733</v>
      </c>
      <c r="F6604">
        <v>1</v>
      </c>
      <c r="G6604" t="s">
        <v>1046</v>
      </c>
      <c r="H6604" t="s">
        <v>1047</v>
      </c>
      <c r="I6604" t="s">
        <v>40</v>
      </c>
      <c r="J6604" s="2" t="s">
        <v>1157</v>
      </c>
      <c r="K6604" t="s">
        <v>42</v>
      </c>
      <c r="L6604" t="s">
        <v>1048</v>
      </c>
      <c r="Q6604">
        <v>25948</v>
      </c>
      <c r="R6604" t="s">
        <v>45</v>
      </c>
      <c r="S6604" t="s">
        <v>19601</v>
      </c>
      <c r="T6604">
        <v>28</v>
      </c>
      <c r="U6604" s="2" t="s">
        <v>40004</v>
      </c>
      <c r="W6604" t="s">
        <v>360</v>
      </c>
      <c r="X6604">
        <v>838473</v>
      </c>
      <c r="Y6604" s="2" t="s">
        <v>40005</v>
      </c>
      <c r="Z6604" t="e">
        <f ca="1">- cleaned cartridge Bays, plunger Rods _xludf.and I-CORE
- performed ReXpertCheck
- generated reports</f>
        <v>#NAME?</v>
      </c>
      <c r="AA6604" t="s">
        <v>40006</v>
      </c>
      <c r="AB6604" t="s">
        <v>181</v>
      </c>
      <c r="AC6604" t="s">
        <v>40007</v>
      </c>
      <c r="AG6604" t="s">
        <v>40010</v>
      </c>
      <c r="AH6604" t="s">
        <v>19605</v>
      </c>
      <c r="AI6604" t="s">
        <v>40011</v>
      </c>
    </row>
    <row r="6605" spans="2:35">
      <c r="B6605" s="1">
        <v>45183</v>
      </c>
      <c r="C6605" s="4">
        <v>45182.594444444447</v>
      </c>
      <c r="D6605" t="s">
        <v>22725</v>
      </c>
      <c r="E6605" t="s">
        <v>25094</v>
      </c>
      <c r="F6605">
        <v>1</v>
      </c>
      <c r="G6605" t="s">
        <v>1046</v>
      </c>
      <c r="H6605" t="s">
        <v>1047</v>
      </c>
      <c r="I6605" t="s">
        <v>40</v>
      </c>
      <c r="J6605" t="s">
        <v>525</v>
      </c>
      <c r="K6605" t="s">
        <v>42</v>
      </c>
      <c r="L6605" t="s">
        <v>1048</v>
      </c>
      <c r="Q6605">
        <v>25947</v>
      </c>
      <c r="R6605" t="s">
        <v>45</v>
      </c>
      <c r="S6605" t="s">
        <v>25095</v>
      </c>
      <c r="T6605">
        <v>27</v>
      </c>
      <c r="W6605" t="s">
        <v>360</v>
      </c>
      <c r="X6605">
        <v>815394</v>
      </c>
      <c r="Y6605" t="s">
        <v>40012</v>
      </c>
      <c r="Z6605" t="e">
        <f ca="1">- Remove _xludf.and Reconnect ALL Connections
- Reseat RAM module</f>
        <v>#NAME?</v>
      </c>
      <c r="AA6605" t="s">
        <v>1935</v>
      </c>
      <c r="AB6605" t="s">
        <v>40013</v>
      </c>
      <c r="AC6605" t="s">
        <v>31883</v>
      </c>
      <c r="AG6605" t="s">
        <v>40014</v>
      </c>
      <c r="AH6605" t="s">
        <v>40015</v>
      </c>
      <c r="AI6605" t="s">
        <v>40016</v>
      </c>
    </row>
    <row r="6606" spans="2:35" ht="105">
      <c r="B6606" s="1">
        <v>45183</v>
      </c>
      <c r="C6606" s="4">
        <v>45177.574305555558</v>
      </c>
      <c r="D6606" t="s">
        <v>11880</v>
      </c>
      <c r="E6606" t="s">
        <v>40017</v>
      </c>
      <c r="F6606">
        <v>6</v>
      </c>
      <c r="G6606" t="s">
        <v>1234</v>
      </c>
      <c r="H6606" t="s">
        <v>1047</v>
      </c>
      <c r="I6606" t="s">
        <v>94</v>
      </c>
      <c r="J6606" t="s">
        <v>79</v>
      </c>
      <c r="K6606" t="s">
        <v>42</v>
      </c>
      <c r="L6606" t="s">
        <v>23958</v>
      </c>
      <c r="Q6606">
        <v>25946</v>
      </c>
      <c r="R6606" t="s">
        <v>119</v>
      </c>
      <c r="S6606" t="s">
        <v>40018</v>
      </c>
      <c r="T6606">
        <v>4</v>
      </c>
      <c r="U6606" s="2" t="s">
        <v>11424</v>
      </c>
      <c r="W6606" t="s">
        <v>360</v>
      </c>
      <c r="X6606">
        <v>838477</v>
      </c>
      <c r="Y6606" t="s">
        <v>40019</v>
      </c>
      <c r="Z6606" t="s">
        <v>40020</v>
      </c>
      <c r="AA6606" t="s">
        <v>40021</v>
      </c>
      <c r="AB6606" t="s">
        <v>40022</v>
      </c>
      <c r="AG6606" t="s">
        <v>40023</v>
      </c>
      <c r="AH6606" t="s">
        <v>35279</v>
      </c>
      <c r="AI6606" t="s">
        <v>40024</v>
      </c>
    </row>
    <row r="6607" spans="2:35" ht="105">
      <c r="B6607" s="1">
        <v>45183</v>
      </c>
      <c r="C6607" s="4">
        <v>45177.574305555558</v>
      </c>
      <c r="D6607" t="s">
        <v>11880</v>
      </c>
      <c r="E6607" t="s">
        <v>40017</v>
      </c>
      <c r="F6607">
        <v>6</v>
      </c>
      <c r="G6607" t="s">
        <v>1234</v>
      </c>
      <c r="H6607" t="s">
        <v>1047</v>
      </c>
      <c r="I6607" t="s">
        <v>94</v>
      </c>
      <c r="J6607" t="s">
        <v>79</v>
      </c>
      <c r="K6607" t="s">
        <v>42</v>
      </c>
      <c r="L6607" t="s">
        <v>23958</v>
      </c>
      <c r="Q6607">
        <v>25945</v>
      </c>
      <c r="R6607" t="s">
        <v>119</v>
      </c>
      <c r="S6607" t="s">
        <v>40018</v>
      </c>
      <c r="T6607">
        <v>4</v>
      </c>
      <c r="U6607" s="2" t="s">
        <v>11424</v>
      </c>
      <c r="W6607" t="s">
        <v>360</v>
      </c>
      <c r="X6607">
        <v>838477</v>
      </c>
      <c r="Y6607" t="s">
        <v>40019</v>
      </c>
      <c r="Z6607" t="s">
        <v>40020</v>
      </c>
      <c r="AA6607" t="s">
        <v>40021</v>
      </c>
      <c r="AB6607" t="s">
        <v>40022</v>
      </c>
      <c r="AG6607" t="s">
        <v>40025</v>
      </c>
      <c r="AH6607" t="s">
        <v>35279</v>
      </c>
      <c r="AI6607" t="s">
        <v>40026</v>
      </c>
    </row>
    <row r="6608" spans="2:35" ht="375">
      <c r="B6608" s="1">
        <v>45183</v>
      </c>
      <c r="C6608" s="4">
        <v>45183.492361111108</v>
      </c>
      <c r="D6608" t="s">
        <v>22134</v>
      </c>
      <c r="E6608" t="s">
        <v>40027</v>
      </c>
      <c r="F6608" t="s">
        <v>148</v>
      </c>
      <c r="G6608" t="s">
        <v>2499</v>
      </c>
      <c r="H6608" t="s">
        <v>39</v>
      </c>
      <c r="I6608" t="s">
        <v>40</v>
      </c>
      <c r="J6608" s="2" t="s">
        <v>62</v>
      </c>
      <c r="K6608" t="s">
        <v>42</v>
      </c>
      <c r="L6608" t="s">
        <v>15532</v>
      </c>
      <c r="Q6608">
        <v>25944</v>
      </c>
      <c r="R6608" t="s">
        <v>119</v>
      </c>
      <c r="S6608" t="s">
        <v>40028</v>
      </c>
      <c r="T6608">
        <v>28</v>
      </c>
      <c r="U6608" s="2" t="s">
        <v>25122</v>
      </c>
      <c r="V6608" s="1">
        <v>45181</v>
      </c>
      <c r="W6608" t="s">
        <v>3244</v>
      </c>
      <c r="X6608">
        <v>831636</v>
      </c>
      <c r="Y6608" t="s">
        <v>6766</v>
      </c>
      <c r="Z6608" s="2" t="s">
        <v>40029</v>
      </c>
      <c r="AA6608" s="2" t="s">
        <v>40030</v>
      </c>
      <c r="AB6608" s="2" t="s">
        <v>40031</v>
      </c>
      <c r="AD6608" t="s">
        <v>7189</v>
      </c>
      <c r="AE6608" t="s">
        <v>40032</v>
      </c>
      <c r="AG6608" t="s">
        <v>40033</v>
      </c>
      <c r="AH6608" t="s">
        <v>37533</v>
      </c>
      <c r="AI6608" t="s">
        <v>40034</v>
      </c>
    </row>
    <row r="6609" spans="2:35" ht="105">
      <c r="B6609" s="1">
        <v>45183</v>
      </c>
      <c r="C6609" s="4">
        <v>45183.474999999999</v>
      </c>
      <c r="D6609" t="s">
        <v>40035</v>
      </c>
      <c r="E6609" t="s">
        <v>40036</v>
      </c>
      <c r="F6609">
        <v>6</v>
      </c>
      <c r="G6609" t="s">
        <v>1234</v>
      </c>
      <c r="H6609" t="s">
        <v>202</v>
      </c>
      <c r="I6609" t="s">
        <v>94</v>
      </c>
      <c r="J6609" t="s">
        <v>996</v>
      </c>
      <c r="K6609" t="s">
        <v>42</v>
      </c>
      <c r="L6609" t="s">
        <v>23958</v>
      </c>
      <c r="Q6609">
        <v>25943</v>
      </c>
      <c r="R6609" t="s">
        <v>719</v>
      </c>
      <c r="S6609" t="s">
        <v>3795</v>
      </c>
      <c r="T6609">
        <v>4</v>
      </c>
      <c r="U6609" s="2" t="s">
        <v>40037</v>
      </c>
      <c r="W6609" t="s">
        <v>360</v>
      </c>
      <c r="X6609">
        <v>847255</v>
      </c>
      <c r="Y6609" t="s">
        <v>40038</v>
      </c>
      <c r="Z6609" t="s">
        <v>40039</v>
      </c>
      <c r="AA6609" t="s">
        <v>40040</v>
      </c>
      <c r="AB6609" t="s">
        <v>40041</v>
      </c>
      <c r="AG6609" t="s">
        <v>40042</v>
      </c>
      <c r="AH6609" t="s">
        <v>40043</v>
      </c>
      <c r="AI6609" t="s">
        <v>40044</v>
      </c>
    </row>
    <row r="6610" spans="2:35" ht="330">
      <c r="B6610" s="1">
        <v>45183</v>
      </c>
      <c r="C6610" s="4">
        <v>45183.463194444441</v>
      </c>
      <c r="D6610" t="s">
        <v>24052</v>
      </c>
      <c r="E6610" t="s">
        <v>40045</v>
      </c>
      <c r="F6610">
        <v>2</v>
      </c>
      <c r="G6610" t="s">
        <v>2668</v>
      </c>
      <c r="H6610" t="s">
        <v>39</v>
      </c>
      <c r="I6610" t="s">
        <v>40</v>
      </c>
      <c r="J6610" s="2" t="s">
        <v>1808</v>
      </c>
      <c r="K6610" t="s">
        <v>42</v>
      </c>
      <c r="L6610" t="s">
        <v>63</v>
      </c>
      <c r="Q6610">
        <v>25942</v>
      </c>
      <c r="R6610" t="s">
        <v>45</v>
      </c>
      <c r="S6610" t="s">
        <v>40046</v>
      </c>
      <c r="T6610">
        <v>29</v>
      </c>
      <c r="U6610" s="2" t="s">
        <v>40047</v>
      </c>
      <c r="V6610" s="1">
        <v>45183</v>
      </c>
      <c r="W6610" t="s">
        <v>26915</v>
      </c>
      <c r="X6610">
        <v>834686</v>
      </c>
      <c r="Y6610" t="s">
        <v>1716</v>
      </c>
      <c r="Z6610" t="s">
        <v>1716</v>
      </c>
      <c r="AA6610" s="2" t="s">
        <v>40048</v>
      </c>
      <c r="AB6610" t="s">
        <v>70</v>
      </c>
      <c r="AC6610" t="s">
        <v>1716</v>
      </c>
      <c r="AD6610" t="s">
        <v>1716</v>
      </c>
      <c r="AE6610" t="s">
        <v>1716</v>
      </c>
      <c r="AG6610" t="s">
        <v>40049</v>
      </c>
      <c r="AH6610" t="s">
        <v>40050</v>
      </c>
      <c r="AI6610" t="s">
        <v>40051</v>
      </c>
    </row>
    <row r="6611" spans="2:35" ht="180">
      <c r="B6611" s="1">
        <v>45183</v>
      </c>
      <c r="C6611" s="4">
        <v>45183.356249999997</v>
      </c>
      <c r="D6611" t="s">
        <v>15154</v>
      </c>
      <c r="E6611" t="s">
        <v>40052</v>
      </c>
      <c r="F6611">
        <v>5</v>
      </c>
      <c r="G6611" t="s">
        <v>827</v>
      </c>
      <c r="H6611" t="s">
        <v>39</v>
      </c>
      <c r="I6611" t="s">
        <v>40</v>
      </c>
      <c r="J6611" s="2" t="s">
        <v>1444</v>
      </c>
      <c r="K6611" t="s">
        <v>42</v>
      </c>
      <c r="L6611" t="s">
        <v>761</v>
      </c>
      <c r="Q6611">
        <v>25941</v>
      </c>
      <c r="R6611" t="s">
        <v>119</v>
      </c>
      <c r="S6611" t="s">
        <v>20840</v>
      </c>
      <c r="T6611">
        <v>22</v>
      </c>
      <c r="U6611" s="2" t="s">
        <v>40053</v>
      </c>
      <c r="W6611" t="s">
        <v>360</v>
      </c>
      <c r="X6611">
        <v>838267</v>
      </c>
      <c r="Y6611" t="s">
        <v>40054</v>
      </c>
      <c r="Z6611" s="2" t="s">
        <v>40055</v>
      </c>
      <c r="AA6611" t="s">
        <v>40056</v>
      </c>
      <c r="AB6611" t="s">
        <v>181</v>
      </c>
      <c r="AG6611" t="s">
        <v>40057</v>
      </c>
      <c r="AH6611" t="s">
        <v>15162</v>
      </c>
      <c r="AI6611" t="s">
        <v>40058</v>
      </c>
    </row>
    <row r="6612" spans="2:35" ht="240">
      <c r="B6612" s="1">
        <v>45183</v>
      </c>
      <c r="C6612" s="4">
        <v>45182.713888888888</v>
      </c>
      <c r="D6612" t="s">
        <v>15154</v>
      </c>
      <c r="E6612" t="s">
        <v>15155</v>
      </c>
      <c r="F6612">
        <v>5</v>
      </c>
      <c r="G6612" t="s">
        <v>827</v>
      </c>
      <c r="H6612" t="s">
        <v>39</v>
      </c>
      <c r="I6612" t="s">
        <v>40</v>
      </c>
      <c r="J6612" s="2" t="s">
        <v>41</v>
      </c>
      <c r="K6612" t="s">
        <v>42</v>
      </c>
      <c r="L6612" t="s">
        <v>761</v>
      </c>
      <c r="Q6612">
        <v>25940</v>
      </c>
      <c r="R6612" t="s">
        <v>119</v>
      </c>
      <c r="S6612" t="s">
        <v>20840</v>
      </c>
      <c r="T6612">
        <v>22</v>
      </c>
      <c r="U6612" s="2" t="s">
        <v>40053</v>
      </c>
      <c r="W6612" t="s">
        <v>360</v>
      </c>
      <c r="X6612">
        <v>838267</v>
      </c>
      <c r="Y6612" t="s">
        <v>40059</v>
      </c>
      <c r="Z6612" s="2" t="s">
        <v>40060</v>
      </c>
      <c r="AA6612" s="2" t="s">
        <v>40061</v>
      </c>
      <c r="AB6612" t="s">
        <v>181</v>
      </c>
      <c r="AG6612" t="s">
        <v>40062</v>
      </c>
      <c r="AH6612" t="s">
        <v>15162</v>
      </c>
      <c r="AI6612" t="s">
        <v>40063</v>
      </c>
    </row>
    <row r="6613" spans="2:35" ht="240">
      <c r="B6613" s="1">
        <v>45183</v>
      </c>
      <c r="C6613" s="4">
        <v>45182.532638888886</v>
      </c>
      <c r="D6613" t="s">
        <v>22568</v>
      </c>
      <c r="E6613" t="s">
        <v>40064</v>
      </c>
      <c r="F6613">
        <v>5</v>
      </c>
      <c r="G6613" t="s">
        <v>827</v>
      </c>
      <c r="H6613" t="s">
        <v>39</v>
      </c>
      <c r="I6613" t="s">
        <v>40</v>
      </c>
      <c r="J6613" s="2" t="s">
        <v>41</v>
      </c>
      <c r="K6613" t="s">
        <v>42</v>
      </c>
      <c r="L6613" t="s">
        <v>761</v>
      </c>
      <c r="Q6613">
        <v>25939</v>
      </c>
      <c r="R6613" t="s">
        <v>119</v>
      </c>
      <c r="S6613" t="s">
        <v>762</v>
      </c>
      <c r="T6613">
        <v>27</v>
      </c>
      <c r="U6613" s="2" t="s">
        <v>40065</v>
      </c>
      <c r="W6613" t="s">
        <v>360</v>
      </c>
      <c r="X6613">
        <v>838268</v>
      </c>
      <c r="Y6613" t="s">
        <v>40066</v>
      </c>
      <c r="Z6613" s="2" t="s">
        <v>40067</v>
      </c>
      <c r="AA6613" s="2" t="s">
        <v>40068</v>
      </c>
      <c r="AB6613" t="s">
        <v>181</v>
      </c>
      <c r="AG6613" t="s">
        <v>40069</v>
      </c>
      <c r="AH6613" t="s">
        <v>22574</v>
      </c>
      <c r="AI6613" t="s">
        <v>40070</v>
      </c>
    </row>
    <row r="6614" spans="2:35" ht="60">
      <c r="B6614" s="1">
        <v>45182</v>
      </c>
      <c r="C6614" s="4">
        <v>45182.56527777778</v>
      </c>
      <c r="D6614" t="s">
        <v>40071</v>
      </c>
      <c r="E6614" t="s">
        <v>40072</v>
      </c>
      <c r="F6614">
        <v>8</v>
      </c>
      <c r="G6614" t="s">
        <v>2945</v>
      </c>
      <c r="H6614" t="s">
        <v>22505</v>
      </c>
      <c r="I6614" t="s">
        <v>40</v>
      </c>
      <c r="J6614" s="2" t="s">
        <v>62</v>
      </c>
      <c r="K6614" t="s">
        <v>42</v>
      </c>
      <c r="L6614" t="s">
        <v>259</v>
      </c>
      <c r="Q6614">
        <v>25938</v>
      </c>
      <c r="R6614" t="s">
        <v>45</v>
      </c>
      <c r="S6614" t="s">
        <v>40073</v>
      </c>
      <c r="T6614">
        <v>29</v>
      </c>
      <c r="V6614" s="1">
        <v>45182</v>
      </c>
      <c r="W6614" t="s">
        <v>84</v>
      </c>
      <c r="X6614">
        <v>835062</v>
      </c>
      <c r="Y6614" t="s">
        <v>67</v>
      </c>
      <c r="Z6614" t="e">
        <f ca="1">- XpertCheck
- Preventive Maintenance</f>
        <v>#NAME?</v>
      </c>
      <c r="AA6614" t="e">
        <f ca="1">- XpertCheck CALIBRATION
- Preventive Maintenance
- Generate reports</f>
        <v>#NAME?</v>
      </c>
      <c r="AB6614" t="s">
        <v>70</v>
      </c>
      <c r="AC6614" t="s">
        <v>40074</v>
      </c>
      <c r="AD6614" t="s">
        <v>948</v>
      </c>
      <c r="AE6614" t="s">
        <v>45</v>
      </c>
      <c r="AG6614" t="s">
        <v>40075</v>
      </c>
      <c r="AH6614" t="s">
        <v>40076</v>
      </c>
      <c r="AI6614" t="s">
        <v>40077</v>
      </c>
    </row>
    <row r="6615" spans="2:35" ht="210">
      <c r="B6615" s="1">
        <v>45182</v>
      </c>
      <c r="C6615" s="4">
        <v>45182.652777777781</v>
      </c>
      <c r="D6615" t="s">
        <v>40078</v>
      </c>
      <c r="E6615" t="s">
        <v>40079</v>
      </c>
      <c r="F6615" t="s">
        <v>37</v>
      </c>
      <c r="G6615" t="s">
        <v>38</v>
      </c>
      <c r="H6615" t="s">
        <v>39</v>
      </c>
      <c r="I6615" t="s">
        <v>40</v>
      </c>
      <c r="J6615" t="s">
        <v>109</v>
      </c>
      <c r="K6615" t="s">
        <v>42</v>
      </c>
      <c r="L6615" t="s">
        <v>448</v>
      </c>
      <c r="Q6615">
        <v>25937</v>
      </c>
      <c r="R6615" t="s">
        <v>45</v>
      </c>
      <c r="S6615" t="s">
        <v>29171</v>
      </c>
      <c r="T6615">
        <v>27</v>
      </c>
      <c r="U6615" s="2" t="s">
        <v>40080</v>
      </c>
      <c r="W6615" t="s">
        <v>360</v>
      </c>
      <c r="X6615">
        <v>807580</v>
      </c>
      <c r="Y6615" t="s">
        <v>2692</v>
      </c>
      <c r="Z6615" s="2" t="s">
        <v>38738</v>
      </c>
      <c r="AA6615" t="s">
        <v>6997</v>
      </c>
      <c r="AB6615" t="s">
        <v>486</v>
      </c>
      <c r="AG6615" t="s">
        <v>40081</v>
      </c>
      <c r="AH6615" t="s">
        <v>29177</v>
      </c>
      <c r="AI6615" t="s">
        <v>40082</v>
      </c>
    </row>
    <row r="6616" spans="2:35" ht="210">
      <c r="B6616" s="1">
        <v>45182</v>
      </c>
      <c r="C6616" s="4">
        <v>45181.480555555558</v>
      </c>
      <c r="D6616" t="s">
        <v>40083</v>
      </c>
      <c r="E6616" t="s">
        <v>40084</v>
      </c>
      <c r="F6616" t="s">
        <v>148</v>
      </c>
      <c r="G6616" t="s">
        <v>2007</v>
      </c>
      <c r="H6616" t="s">
        <v>40085</v>
      </c>
      <c r="I6616" t="s">
        <v>40</v>
      </c>
      <c r="J6616" t="s">
        <v>109</v>
      </c>
      <c r="K6616" t="s">
        <v>42</v>
      </c>
      <c r="L6616" t="s">
        <v>448</v>
      </c>
      <c r="Q6616">
        <v>25936</v>
      </c>
      <c r="R6616" t="s">
        <v>95</v>
      </c>
      <c r="S6616" t="s">
        <v>40086</v>
      </c>
      <c r="T6616">
        <v>33</v>
      </c>
      <c r="W6616" t="s">
        <v>360</v>
      </c>
      <c r="X6616">
        <v>812572</v>
      </c>
      <c r="Y6616" t="s">
        <v>40087</v>
      </c>
      <c r="Z6616" s="2" t="s">
        <v>40088</v>
      </c>
      <c r="AA6616" t="s">
        <v>40089</v>
      </c>
      <c r="AB6616" t="s">
        <v>40090</v>
      </c>
      <c r="AG6616" t="s">
        <v>40091</v>
      </c>
      <c r="AH6616" t="s">
        <v>40092</v>
      </c>
      <c r="AI6616" t="s">
        <v>40093</v>
      </c>
    </row>
    <row r="6617" spans="2:35" ht="210">
      <c r="B6617" s="1">
        <v>45182</v>
      </c>
      <c r="C6617" s="4">
        <v>45182.630555555559</v>
      </c>
      <c r="D6617" t="s">
        <v>30323</v>
      </c>
      <c r="E6617" t="s">
        <v>40094</v>
      </c>
      <c r="F6617" t="s">
        <v>37</v>
      </c>
      <c r="G6617" t="s">
        <v>38</v>
      </c>
      <c r="H6617" t="s">
        <v>39</v>
      </c>
      <c r="I6617" t="s">
        <v>40</v>
      </c>
      <c r="J6617" t="s">
        <v>109</v>
      </c>
      <c r="K6617" t="s">
        <v>42</v>
      </c>
      <c r="L6617" t="s">
        <v>448</v>
      </c>
      <c r="Q6617">
        <v>25935</v>
      </c>
      <c r="R6617" t="s">
        <v>45</v>
      </c>
      <c r="S6617" t="s">
        <v>29171</v>
      </c>
      <c r="T6617">
        <v>25</v>
      </c>
      <c r="U6617" s="2" t="s">
        <v>40095</v>
      </c>
      <c r="W6617" t="s">
        <v>360</v>
      </c>
      <c r="X6617">
        <v>838894</v>
      </c>
      <c r="Y6617" t="s">
        <v>2692</v>
      </c>
      <c r="Z6617" s="2" t="s">
        <v>38738</v>
      </c>
      <c r="AA6617" t="s">
        <v>6997</v>
      </c>
      <c r="AB6617" t="s">
        <v>40096</v>
      </c>
      <c r="AG6617" t="s">
        <v>40097</v>
      </c>
      <c r="AH6617" t="s">
        <v>32210</v>
      </c>
      <c r="AI6617" t="s">
        <v>40098</v>
      </c>
    </row>
    <row r="6618" spans="2:35" ht="105">
      <c r="B6618" s="1">
        <v>45182</v>
      </c>
      <c r="C6618" s="4">
        <v>45182.47152777778</v>
      </c>
      <c r="D6618" t="s">
        <v>30763</v>
      </c>
      <c r="E6618" t="s">
        <v>30764</v>
      </c>
      <c r="F6618">
        <v>13</v>
      </c>
      <c r="G6618" t="s">
        <v>7763</v>
      </c>
      <c r="H6618" t="s">
        <v>2125</v>
      </c>
      <c r="I6618" t="s">
        <v>40</v>
      </c>
      <c r="J6618" t="s">
        <v>79</v>
      </c>
      <c r="K6618" t="s">
        <v>42</v>
      </c>
      <c r="L6618" t="s">
        <v>933</v>
      </c>
      <c r="Q6618">
        <v>25934</v>
      </c>
      <c r="R6618" t="s">
        <v>45</v>
      </c>
      <c r="S6618" t="s">
        <v>40099</v>
      </c>
      <c r="T6618">
        <v>20.57</v>
      </c>
      <c r="U6618" s="2" t="s">
        <v>20522</v>
      </c>
      <c r="W6618" t="s">
        <v>3662</v>
      </c>
      <c r="X6618">
        <v>805335</v>
      </c>
      <c r="Y6618" t="s">
        <v>301</v>
      </c>
      <c r="Z6618" t="s">
        <v>301</v>
      </c>
      <c r="AA6618" t="s">
        <v>40100</v>
      </c>
      <c r="AB6618" t="s">
        <v>1263</v>
      </c>
      <c r="AG6618" t="s">
        <v>40101</v>
      </c>
      <c r="AH6618" t="s">
        <v>30769</v>
      </c>
      <c r="AI6618" t="s">
        <v>40102</v>
      </c>
    </row>
    <row r="6619" spans="2:35" ht="210">
      <c r="B6619" s="1">
        <v>45182</v>
      </c>
      <c r="C6619" s="4">
        <v>45182.47152777778</v>
      </c>
      <c r="D6619" t="s">
        <v>25418</v>
      </c>
      <c r="E6619" t="s">
        <v>39528</v>
      </c>
      <c r="F6619" t="s">
        <v>148</v>
      </c>
      <c r="G6619" t="s">
        <v>310</v>
      </c>
      <c r="H6619" t="s">
        <v>500</v>
      </c>
      <c r="I6619" t="s">
        <v>40</v>
      </c>
      <c r="J6619" s="2" t="s">
        <v>41</v>
      </c>
      <c r="K6619" t="s">
        <v>42</v>
      </c>
      <c r="L6619" t="s">
        <v>15532</v>
      </c>
      <c r="Q6619">
        <v>25933</v>
      </c>
      <c r="R6619" t="s">
        <v>119</v>
      </c>
      <c r="S6619" t="s">
        <v>40103</v>
      </c>
      <c r="T6619">
        <v>27</v>
      </c>
      <c r="U6619" s="2" t="s">
        <v>40104</v>
      </c>
      <c r="V6619" s="1">
        <v>45175</v>
      </c>
      <c r="W6619" t="s">
        <v>597</v>
      </c>
      <c r="X6619">
        <v>831684</v>
      </c>
      <c r="Y6619" t="s">
        <v>9897</v>
      </c>
      <c r="Z6619" s="2" t="s">
        <v>40105</v>
      </c>
      <c r="AA6619" s="2" t="s">
        <v>40106</v>
      </c>
      <c r="AB6619" s="2" t="s">
        <v>40107</v>
      </c>
      <c r="AD6619" t="s">
        <v>40108</v>
      </c>
      <c r="AE6619" t="s">
        <v>40109</v>
      </c>
      <c r="AG6619" t="s">
        <v>40110</v>
      </c>
      <c r="AH6619" t="s">
        <v>40111</v>
      </c>
      <c r="AI6619" t="s">
        <v>40112</v>
      </c>
    </row>
    <row r="6620" spans="2:35" ht="360">
      <c r="B6620" s="1">
        <v>45182</v>
      </c>
      <c r="C6620" s="4">
        <v>45182.39166666667</v>
      </c>
      <c r="D6620" t="s">
        <v>1885</v>
      </c>
      <c r="E6620" t="s">
        <v>2136</v>
      </c>
      <c r="F6620" t="s">
        <v>1255</v>
      </c>
      <c r="G6620" t="s">
        <v>1887</v>
      </c>
      <c r="H6620" t="s">
        <v>5391</v>
      </c>
      <c r="I6620" t="s">
        <v>94</v>
      </c>
      <c r="J6620" s="2" t="s">
        <v>41</v>
      </c>
      <c r="K6620" t="s">
        <v>42</v>
      </c>
      <c r="L6620" t="s">
        <v>296</v>
      </c>
      <c r="Q6620">
        <v>25932</v>
      </c>
      <c r="R6620" t="s">
        <v>45</v>
      </c>
      <c r="S6620" t="s">
        <v>23208</v>
      </c>
      <c r="T6620">
        <v>25.6</v>
      </c>
      <c r="U6620" s="2" t="s">
        <v>40113</v>
      </c>
      <c r="V6620" s="1">
        <v>45182</v>
      </c>
      <c r="W6620" t="s">
        <v>12540</v>
      </c>
      <c r="X6620">
        <v>839307</v>
      </c>
      <c r="Y6620" t="s">
        <v>29614</v>
      </c>
      <c r="Z6620" t="s">
        <v>9161</v>
      </c>
      <c r="AA6620" t="s">
        <v>40114</v>
      </c>
      <c r="AB6620" t="s">
        <v>25660</v>
      </c>
      <c r="AD6620" t="s">
        <v>40115</v>
      </c>
      <c r="AE6620" t="s">
        <v>10783</v>
      </c>
      <c r="AG6620" t="s">
        <v>40116</v>
      </c>
      <c r="AH6620" t="s">
        <v>23213</v>
      </c>
      <c r="AI6620" t="s">
        <v>40117</v>
      </c>
    </row>
    <row r="6621" spans="2:35" ht="330">
      <c r="B6621" s="1">
        <v>45182</v>
      </c>
      <c r="C6621" s="4">
        <v>45182.418055555558</v>
      </c>
      <c r="D6621" t="s">
        <v>15729</v>
      </c>
      <c r="E6621" t="s">
        <v>39</v>
      </c>
      <c r="F6621" t="s">
        <v>511</v>
      </c>
      <c r="G6621" t="s">
        <v>15731</v>
      </c>
      <c r="H6621" t="s">
        <v>39</v>
      </c>
      <c r="I6621" t="s">
        <v>40</v>
      </c>
      <c r="J6621" s="2" t="s">
        <v>1592</v>
      </c>
      <c r="K6621" t="s">
        <v>42</v>
      </c>
      <c r="L6621" t="s">
        <v>63</v>
      </c>
      <c r="Q6621">
        <v>25931</v>
      </c>
      <c r="R6621" t="s">
        <v>119</v>
      </c>
      <c r="S6621" t="s">
        <v>15732</v>
      </c>
      <c r="T6621">
        <v>26</v>
      </c>
      <c r="U6621" s="2" t="s">
        <v>11781</v>
      </c>
      <c r="V6621" s="1">
        <v>45162</v>
      </c>
      <c r="W6621" t="s">
        <v>26915</v>
      </c>
      <c r="X6621">
        <v>838466</v>
      </c>
      <c r="Y6621" t="s">
        <v>26157</v>
      </c>
      <c r="Z6621" t="s">
        <v>40118</v>
      </c>
      <c r="AA6621" s="2" t="s">
        <v>40119</v>
      </c>
      <c r="AB6621" t="s">
        <v>70</v>
      </c>
      <c r="AC6621" t="s">
        <v>40120</v>
      </c>
      <c r="AD6621" t="s">
        <v>40121</v>
      </c>
      <c r="AE6621">
        <v>10573</v>
      </c>
      <c r="AG6621" t="s">
        <v>40122</v>
      </c>
      <c r="AH6621" t="s">
        <v>16549</v>
      </c>
      <c r="AI6621" t="s">
        <v>40123</v>
      </c>
    </row>
    <row r="6622" spans="2:35" ht="165">
      <c r="B6622" s="1">
        <v>45182</v>
      </c>
      <c r="C6622" s="4">
        <v>45182.404166666667</v>
      </c>
      <c r="D6622" t="s">
        <v>15729</v>
      </c>
      <c r="E6622" t="s">
        <v>40124</v>
      </c>
      <c r="F6622" t="s">
        <v>511</v>
      </c>
      <c r="G6622" t="s">
        <v>15731</v>
      </c>
      <c r="H6622" t="s">
        <v>39</v>
      </c>
      <c r="I6622" t="s">
        <v>40</v>
      </c>
      <c r="J6622" s="2" t="s">
        <v>190</v>
      </c>
      <c r="K6622" t="s">
        <v>42</v>
      </c>
      <c r="L6622" t="s">
        <v>63</v>
      </c>
      <c r="Q6622">
        <v>25930</v>
      </c>
      <c r="R6622" t="s">
        <v>45</v>
      </c>
      <c r="S6622" t="s">
        <v>15732</v>
      </c>
      <c r="T6622">
        <v>26</v>
      </c>
      <c r="U6622" s="2" t="s">
        <v>17419</v>
      </c>
      <c r="V6622" s="1">
        <v>45182</v>
      </c>
      <c r="W6622" t="s">
        <v>26915</v>
      </c>
      <c r="X6622">
        <v>807622</v>
      </c>
      <c r="Y6622" t="s">
        <v>40125</v>
      </c>
      <c r="Z6622" t="s">
        <v>1935</v>
      </c>
      <c r="AA6622" s="2" t="s">
        <v>1727</v>
      </c>
      <c r="AB6622" t="s">
        <v>70</v>
      </c>
      <c r="AC6622" t="s">
        <v>40126</v>
      </c>
      <c r="AD6622" t="s">
        <v>1716</v>
      </c>
      <c r="AE6622" t="s">
        <v>1716</v>
      </c>
      <c r="AG6622" t="s">
        <v>40127</v>
      </c>
      <c r="AH6622" t="s">
        <v>16549</v>
      </c>
      <c r="AI6622" t="s">
        <v>40128</v>
      </c>
    </row>
    <row r="6623" spans="2:35" ht="345">
      <c r="B6623" s="1">
        <v>45181</v>
      </c>
      <c r="C6623" s="4">
        <v>45181.652777777781</v>
      </c>
      <c r="D6623" t="s">
        <v>4471</v>
      </c>
      <c r="E6623" t="s">
        <v>40129</v>
      </c>
      <c r="F6623">
        <v>5</v>
      </c>
      <c r="G6623" t="s">
        <v>827</v>
      </c>
      <c r="H6623" t="s">
        <v>39</v>
      </c>
      <c r="I6623" t="s">
        <v>40</v>
      </c>
      <c r="J6623" s="2" t="s">
        <v>41</v>
      </c>
      <c r="K6623" t="s">
        <v>42</v>
      </c>
      <c r="L6623" t="s">
        <v>761</v>
      </c>
      <c r="Q6623">
        <v>25929</v>
      </c>
      <c r="R6623" t="s">
        <v>45</v>
      </c>
      <c r="S6623" t="s">
        <v>10691</v>
      </c>
      <c r="T6623">
        <v>26</v>
      </c>
      <c r="W6623" t="s">
        <v>360</v>
      </c>
      <c r="X6623">
        <v>808633</v>
      </c>
      <c r="Y6623" t="s">
        <v>40130</v>
      </c>
      <c r="Z6623" s="2" t="s">
        <v>40131</v>
      </c>
      <c r="AA6623" s="2" t="s">
        <v>40132</v>
      </c>
      <c r="AB6623" t="s">
        <v>181</v>
      </c>
      <c r="AG6623" t="s">
        <v>40133</v>
      </c>
      <c r="AH6623" t="s">
        <v>10694</v>
      </c>
      <c r="AI6623" t="s">
        <v>40134</v>
      </c>
    </row>
    <row r="6624" spans="2:35" ht="285">
      <c r="B6624" s="1">
        <v>45181</v>
      </c>
      <c r="C6624" s="4">
        <v>45180.700694444444</v>
      </c>
      <c r="D6624" t="s">
        <v>40135</v>
      </c>
      <c r="E6624" t="s">
        <v>34463</v>
      </c>
      <c r="F6624">
        <v>5</v>
      </c>
      <c r="G6624" t="s">
        <v>814</v>
      </c>
      <c r="H6624" t="s">
        <v>39</v>
      </c>
      <c r="I6624" t="s">
        <v>40</v>
      </c>
      <c r="J6624" s="2" t="s">
        <v>41</v>
      </c>
      <c r="K6624" t="s">
        <v>42</v>
      </c>
      <c r="L6624" t="s">
        <v>761</v>
      </c>
      <c r="Q6624">
        <v>25928</v>
      </c>
      <c r="R6624" t="s">
        <v>119</v>
      </c>
      <c r="S6624" t="s">
        <v>14253</v>
      </c>
      <c r="T6624">
        <v>27</v>
      </c>
      <c r="U6624" s="2" t="s">
        <v>22617</v>
      </c>
      <c r="W6624" t="s">
        <v>360</v>
      </c>
      <c r="X6624">
        <v>838266</v>
      </c>
      <c r="Y6624" t="s">
        <v>40136</v>
      </c>
      <c r="Z6624" s="2" t="s">
        <v>40137</v>
      </c>
      <c r="AA6624" t="s">
        <v>40138</v>
      </c>
      <c r="AB6624" t="s">
        <v>181</v>
      </c>
      <c r="AG6624" t="s">
        <v>40139</v>
      </c>
      <c r="AH6624" t="s">
        <v>8693</v>
      </c>
      <c r="AI6624" t="s">
        <v>40140</v>
      </c>
    </row>
    <row r="6625" spans="2:35" ht="195">
      <c r="B6625" s="1">
        <v>45181</v>
      </c>
      <c r="C6625" s="4">
        <v>45181.622916666667</v>
      </c>
      <c r="D6625" t="s">
        <v>5228</v>
      </c>
      <c r="E6625" t="s">
        <v>40141</v>
      </c>
      <c r="F6625" t="s">
        <v>148</v>
      </c>
      <c r="G6625" t="s">
        <v>447</v>
      </c>
      <c r="H6625" t="s">
        <v>39</v>
      </c>
      <c r="I6625" t="s">
        <v>40</v>
      </c>
      <c r="J6625" s="2" t="s">
        <v>190</v>
      </c>
      <c r="K6625" t="s">
        <v>42</v>
      </c>
      <c r="L6625" t="s">
        <v>15532</v>
      </c>
      <c r="Q6625">
        <v>25927</v>
      </c>
      <c r="R6625" t="s">
        <v>322</v>
      </c>
      <c r="S6625" t="s">
        <v>8157</v>
      </c>
      <c r="T6625">
        <v>24</v>
      </c>
      <c r="U6625" s="2" t="s">
        <v>39394</v>
      </c>
      <c r="W6625" t="s">
        <v>423</v>
      </c>
      <c r="X6625">
        <v>110012766</v>
      </c>
      <c r="Y6625" t="s">
        <v>40142</v>
      </c>
      <c r="Z6625" s="2" t="s">
        <v>40143</v>
      </c>
      <c r="AA6625" t="s">
        <v>40144</v>
      </c>
      <c r="AB6625" s="2" t="s">
        <v>40145</v>
      </c>
      <c r="AG6625" t="s">
        <v>40146</v>
      </c>
      <c r="AH6625" t="s">
        <v>40147</v>
      </c>
      <c r="AI6625" t="s">
        <v>40148</v>
      </c>
    </row>
    <row r="6626" spans="2:35" ht="105">
      <c r="B6626" s="1">
        <v>45181</v>
      </c>
      <c r="C6626" s="4">
        <v>45181.613194444442</v>
      </c>
      <c r="D6626" t="s">
        <v>4286</v>
      </c>
      <c r="E6626" t="s">
        <v>2956</v>
      </c>
      <c r="F6626">
        <v>9</v>
      </c>
      <c r="G6626" t="s">
        <v>2197</v>
      </c>
      <c r="H6626" t="s">
        <v>39</v>
      </c>
      <c r="I6626" t="s">
        <v>40</v>
      </c>
      <c r="J6626" t="s">
        <v>996</v>
      </c>
      <c r="K6626" t="s">
        <v>42</v>
      </c>
      <c r="L6626" t="s">
        <v>1257</v>
      </c>
      <c r="Q6626">
        <v>25926</v>
      </c>
      <c r="R6626" t="s">
        <v>119</v>
      </c>
      <c r="S6626" t="s">
        <v>2958</v>
      </c>
      <c r="T6626">
        <v>18</v>
      </c>
      <c r="U6626" s="2" t="s">
        <v>40149</v>
      </c>
      <c r="V6626" s="1">
        <v>45140</v>
      </c>
      <c r="W6626" t="s">
        <v>2384</v>
      </c>
      <c r="X6626">
        <v>821214</v>
      </c>
      <c r="Y6626" t="s">
        <v>301</v>
      </c>
      <c r="Z6626" t="s">
        <v>40150</v>
      </c>
      <c r="AA6626" t="s">
        <v>40150</v>
      </c>
      <c r="AB6626" t="s">
        <v>40151</v>
      </c>
      <c r="AC6626" t="s">
        <v>301</v>
      </c>
      <c r="AD6626" t="s">
        <v>5255</v>
      </c>
      <c r="AE6626">
        <v>10398</v>
      </c>
      <c r="AG6626" t="s">
        <v>40152</v>
      </c>
      <c r="AH6626" t="s">
        <v>2968</v>
      </c>
      <c r="AI6626" t="s">
        <v>40153</v>
      </c>
    </row>
    <row r="6627" spans="2:35" ht="270">
      <c r="B6627" s="1">
        <v>45181</v>
      </c>
      <c r="C6627" s="4">
        <v>45181.609027777777</v>
      </c>
      <c r="D6627" t="s">
        <v>22809</v>
      </c>
      <c r="E6627" t="s">
        <v>40154</v>
      </c>
      <c r="F6627" t="s">
        <v>148</v>
      </c>
      <c r="G6627" t="s">
        <v>544</v>
      </c>
      <c r="H6627" t="s">
        <v>39</v>
      </c>
      <c r="I6627" t="s">
        <v>40</v>
      </c>
      <c r="J6627" s="2" t="s">
        <v>1808</v>
      </c>
      <c r="K6627" t="s">
        <v>42</v>
      </c>
      <c r="L6627" t="s">
        <v>43</v>
      </c>
      <c r="Q6627">
        <v>25925</v>
      </c>
      <c r="R6627" t="s">
        <v>45</v>
      </c>
      <c r="S6627" t="s">
        <v>22810</v>
      </c>
      <c r="T6627">
        <v>24</v>
      </c>
      <c r="U6627" s="2" t="s">
        <v>40155</v>
      </c>
      <c r="W6627" t="s">
        <v>48</v>
      </c>
      <c r="X6627">
        <v>809257</v>
      </c>
      <c r="Y6627" t="s">
        <v>6010</v>
      </c>
      <c r="Z6627" t="s">
        <v>40156</v>
      </c>
      <c r="AA6627" s="2" t="s">
        <v>40157</v>
      </c>
      <c r="AB6627" t="s">
        <v>16412</v>
      </c>
      <c r="AC6627" t="s">
        <v>40158</v>
      </c>
      <c r="AG6627" t="s">
        <v>40159</v>
      </c>
      <c r="AH6627" t="s">
        <v>40160</v>
      </c>
      <c r="AI6627" t="s">
        <v>40161</v>
      </c>
    </row>
    <row r="6628" spans="2:35" ht="409.5">
      <c r="B6628" s="1">
        <v>45181</v>
      </c>
      <c r="C6628" s="4">
        <v>45181.577777777777</v>
      </c>
      <c r="D6628" t="s">
        <v>3375</v>
      </c>
      <c r="E6628" t="s">
        <v>40162</v>
      </c>
      <c r="F6628">
        <v>3</v>
      </c>
      <c r="G6628" t="s">
        <v>134</v>
      </c>
      <c r="H6628" t="s">
        <v>39</v>
      </c>
      <c r="I6628" t="s">
        <v>40</v>
      </c>
      <c r="J6628" s="2" t="s">
        <v>62</v>
      </c>
      <c r="K6628" t="s">
        <v>42</v>
      </c>
      <c r="L6628" t="s">
        <v>135</v>
      </c>
      <c r="Q6628">
        <v>25924</v>
      </c>
      <c r="R6628" t="s">
        <v>45</v>
      </c>
      <c r="S6628" t="s">
        <v>3377</v>
      </c>
      <c r="T6628">
        <v>29</v>
      </c>
      <c r="U6628" s="2" t="s">
        <v>40163</v>
      </c>
      <c r="W6628" t="s">
        <v>2680</v>
      </c>
      <c r="X6628">
        <v>807569</v>
      </c>
      <c r="Y6628" t="s">
        <v>40164</v>
      </c>
      <c r="Z6628" s="2" t="s">
        <v>29789</v>
      </c>
      <c r="AA6628" s="2" t="s">
        <v>31375</v>
      </c>
      <c r="AB6628" t="s">
        <v>181</v>
      </c>
      <c r="AC6628" t="s">
        <v>40165</v>
      </c>
      <c r="AG6628" t="s">
        <v>40166</v>
      </c>
      <c r="AH6628" t="s">
        <v>3381</v>
      </c>
      <c r="AI6628" t="s">
        <v>40167</v>
      </c>
    </row>
    <row r="6629" spans="2:35" ht="210">
      <c r="B6629" s="1">
        <v>45181</v>
      </c>
      <c r="C6629" s="4">
        <v>45181.491666666669</v>
      </c>
      <c r="D6629" t="s">
        <v>3050</v>
      </c>
      <c r="E6629" t="s">
        <v>40168</v>
      </c>
      <c r="F6629" t="s">
        <v>148</v>
      </c>
      <c r="G6629" t="s">
        <v>371</v>
      </c>
      <c r="H6629" t="s">
        <v>39</v>
      </c>
      <c r="I6629" t="s">
        <v>40</v>
      </c>
      <c r="J6629" s="2" t="s">
        <v>190</v>
      </c>
      <c r="K6629" t="s">
        <v>42</v>
      </c>
      <c r="L6629" t="s">
        <v>15532</v>
      </c>
      <c r="Q6629">
        <v>25923</v>
      </c>
      <c r="R6629" t="s">
        <v>45</v>
      </c>
      <c r="S6629" t="s">
        <v>3052</v>
      </c>
      <c r="T6629">
        <v>29</v>
      </c>
      <c r="U6629" s="2" t="s">
        <v>39589</v>
      </c>
      <c r="W6629" t="s">
        <v>597</v>
      </c>
      <c r="X6629">
        <v>814154</v>
      </c>
      <c r="Y6629" t="s">
        <v>40169</v>
      </c>
      <c r="Z6629" s="2" t="s">
        <v>40170</v>
      </c>
      <c r="AA6629" t="s">
        <v>40171</v>
      </c>
      <c r="AB6629" t="s">
        <v>962</v>
      </c>
      <c r="AG6629" t="s">
        <v>40172</v>
      </c>
      <c r="AH6629" t="s">
        <v>40173</v>
      </c>
      <c r="AI6629" t="s">
        <v>40174</v>
      </c>
    </row>
    <row r="6630" spans="2:35" ht="300">
      <c r="B6630" s="1">
        <v>45181</v>
      </c>
      <c r="C6630" s="4">
        <v>45181.482638888891</v>
      </c>
      <c r="D6630" t="s">
        <v>29917</v>
      </c>
      <c r="E6630" t="s">
        <v>29918</v>
      </c>
      <c r="F6630" t="s">
        <v>511</v>
      </c>
      <c r="G6630" t="s">
        <v>20778</v>
      </c>
      <c r="H6630" t="s">
        <v>39</v>
      </c>
      <c r="I6630" t="s">
        <v>94</v>
      </c>
      <c r="J6630" s="2" t="s">
        <v>41</v>
      </c>
      <c r="K6630" t="s">
        <v>42</v>
      </c>
      <c r="L6630" t="s">
        <v>63</v>
      </c>
      <c r="Q6630">
        <v>25922</v>
      </c>
      <c r="R6630" t="s">
        <v>45</v>
      </c>
      <c r="S6630" t="s">
        <v>38572</v>
      </c>
      <c r="T6630">
        <v>27</v>
      </c>
      <c r="U6630" s="2" t="s">
        <v>40175</v>
      </c>
      <c r="V6630" s="1">
        <v>45181</v>
      </c>
      <c r="W6630" t="s">
        <v>26915</v>
      </c>
      <c r="X6630">
        <v>807609</v>
      </c>
      <c r="Y6630" t="s">
        <v>40176</v>
      </c>
      <c r="Z6630" t="s">
        <v>32701</v>
      </c>
      <c r="AA6630" s="2" t="s">
        <v>40177</v>
      </c>
      <c r="AB6630" t="s">
        <v>70</v>
      </c>
      <c r="AC6630" t="s">
        <v>40178</v>
      </c>
      <c r="AD6630" t="s">
        <v>70</v>
      </c>
      <c r="AE6630" t="s">
        <v>1716</v>
      </c>
      <c r="AG6630" t="s">
        <v>40179</v>
      </c>
      <c r="AH6630" t="s">
        <v>40180</v>
      </c>
      <c r="AI6630" t="s">
        <v>40181</v>
      </c>
    </row>
    <row r="6631" spans="2:35" ht="45">
      <c r="B6631" s="1">
        <v>45181</v>
      </c>
      <c r="C6631" s="4">
        <v>45175.34652777778</v>
      </c>
      <c r="D6631" t="s">
        <v>10218</v>
      </c>
      <c r="E6631" t="s">
        <v>40182</v>
      </c>
      <c r="F6631">
        <v>7</v>
      </c>
      <c r="G6631" t="s">
        <v>6529</v>
      </c>
      <c r="H6631" t="s">
        <v>39</v>
      </c>
      <c r="I6631" t="s">
        <v>94</v>
      </c>
      <c r="J6631" s="2" t="s">
        <v>1370</v>
      </c>
      <c r="K6631" t="s">
        <v>42</v>
      </c>
      <c r="L6631" t="s">
        <v>433</v>
      </c>
      <c r="Q6631">
        <v>25921</v>
      </c>
      <c r="R6631" t="s">
        <v>119</v>
      </c>
      <c r="S6631" t="s">
        <v>10220</v>
      </c>
      <c r="T6631">
        <v>23.5</v>
      </c>
      <c r="W6631" t="s">
        <v>1008</v>
      </c>
      <c r="X6631">
        <v>838396</v>
      </c>
      <c r="Y6631" t="s">
        <v>40183</v>
      </c>
      <c r="Z6631" t="s">
        <v>40184</v>
      </c>
      <c r="AA6631" t="s">
        <v>40185</v>
      </c>
      <c r="AB6631" t="s">
        <v>1011</v>
      </c>
      <c r="AG6631" t="s">
        <v>40186</v>
      </c>
      <c r="AH6631" t="s">
        <v>19684</v>
      </c>
      <c r="AI6631" t="s">
        <v>40187</v>
      </c>
    </row>
    <row r="6632" spans="2:35" ht="45">
      <c r="B6632" s="1">
        <v>45181</v>
      </c>
      <c r="C6632" s="4">
        <v>45175.34652777778</v>
      </c>
      <c r="D6632" t="s">
        <v>10218</v>
      </c>
      <c r="E6632" t="s">
        <v>40182</v>
      </c>
      <c r="F6632">
        <v>7</v>
      </c>
      <c r="G6632" t="s">
        <v>6529</v>
      </c>
      <c r="H6632" t="s">
        <v>39</v>
      </c>
      <c r="I6632" t="s">
        <v>94</v>
      </c>
      <c r="J6632" s="2" t="s">
        <v>1370</v>
      </c>
      <c r="K6632" t="s">
        <v>42</v>
      </c>
      <c r="L6632" t="s">
        <v>433</v>
      </c>
      <c r="Q6632">
        <v>25920</v>
      </c>
      <c r="R6632" t="s">
        <v>119</v>
      </c>
      <c r="S6632" t="s">
        <v>10220</v>
      </c>
      <c r="T6632">
        <v>23.5</v>
      </c>
      <c r="W6632" t="s">
        <v>1008</v>
      </c>
      <c r="X6632">
        <v>838396</v>
      </c>
      <c r="Y6632" t="s">
        <v>40183</v>
      </c>
      <c r="Z6632" t="s">
        <v>40184</v>
      </c>
      <c r="AA6632" t="s">
        <v>40185</v>
      </c>
      <c r="AB6632" t="s">
        <v>1011</v>
      </c>
      <c r="AG6632" t="s">
        <v>40188</v>
      </c>
      <c r="AH6632" t="s">
        <v>19684</v>
      </c>
      <c r="AI6632" t="s">
        <v>40189</v>
      </c>
    </row>
    <row r="6633" spans="2:35" ht="225">
      <c r="B6633" s="1">
        <v>45181</v>
      </c>
      <c r="C6633" s="4">
        <v>45181.435416666667</v>
      </c>
      <c r="D6633" t="s">
        <v>26323</v>
      </c>
      <c r="E6633" t="s">
        <v>40190</v>
      </c>
      <c r="F6633" t="s">
        <v>148</v>
      </c>
      <c r="G6633" t="s">
        <v>447</v>
      </c>
      <c r="H6633" t="s">
        <v>39</v>
      </c>
      <c r="I6633" t="s">
        <v>40</v>
      </c>
      <c r="J6633" s="2" t="s">
        <v>41</v>
      </c>
      <c r="K6633" t="s">
        <v>42</v>
      </c>
      <c r="L6633" t="s">
        <v>15532</v>
      </c>
      <c r="Q6633">
        <v>25919</v>
      </c>
      <c r="R6633" t="s">
        <v>119</v>
      </c>
      <c r="S6633" t="s">
        <v>40191</v>
      </c>
      <c r="T6633">
        <v>28</v>
      </c>
      <c r="U6633" s="2" t="s">
        <v>40192</v>
      </c>
      <c r="V6633" s="1">
        <v>45175</v>
      </c>
      <c r="W6633" t="s">
        <v>597</v>
      </c>
      <c r="X6633">
        <v>831597</v>
      </c>
      <c r="Y6633" s="2" t="s">
        <v>40193</v>
      </c>
      <c r="Z6633" s="2" t="s">
        <v>40194</v>
      </c>
      <c r="AA6633" s="2" t="s">
        <v>40195</v>
      </c>
      <c r="AB6633" s="2" t="s">
        <v>40196</v>
      </c>
      <c r="AD6633" t="s">
        <v>40197</v>
      </c>
      <c r="AE6633" t="s">
        <v>40198</v>
      </c>
      <c r="AG6633" t="s">
        <v>40199</v>
      </c>
      <c r="AH6633" t="s">
        <v>40200</v>
      </c>
      <c r="AI6633" t="s">
        <v>40201</v>
      </c>
    </row>
    <row r="6634" spans="2:35" ht="240">
      <c r="B6634" s="1">
        <v>45181</v>
      </c>
      <c r="C6634" s="4">
        <v>45181.390277777777</v>
      </c>
      <c r="D6634" t="s">
        <v>9427</v>
      </c>
      <c r="E6634" t="s">
        <v>11438</v>
      </c>
      <c r="F6634">
        <v>2</v>
      </c>
      <c r="G6634" t="s">
        <v>2723</v>
      </c>
      <c r="H6634" t="s">
        <v>39</v>
      </c>
      <c r="I6634" t="s">
        <v>40</v>
      </c>
      <c r="J6634" s="2" t="s">
        <v>41</v>
      </c>
      <c r="K6634" t="s">
        <v>42</v>
      </c>
      <c r="L6634" t="s">
        <v>63</v>
      </c>
      <c r="Q6634">
        <v>25918</v>
      </c>
      <c r="R6634" t="s">
        <v>119</v>
      </c>
      <c r="S6634" t="s">
        <v>9429</v>
      </c>
      <c r="T6634">
        <v>27</v>
      </c>
      <c r="U6634" s="2" t="s">
        <v>40202</v>
      </c>
      <c r="V6634" s="1">
        <v>45162</v>
      </c>
      <c r="W6634" t="s">
        <v>26915</v>
      </c>
      <c r="X6634">
        <v>838530</v>
      </c>
      <c r="Y6634" t="s">
        <v>1716</v>
      </c>
      <c r="Z6634" t="s">
        <v>1716</v>
      </c>
      <c r="AA6634" s="2" t="s">
        <v>39935</v>
      </c>
      <c r="AB6634" t="s">
        <v>70</v>
      </c>
      <c r="AC6634" t="s">
        <v>40203</v>
      </c>
      <c r="AD6634" t="s">
        <v>6397</v>
      </c>
      <c r="AE6634">
        <v>10571</v>
      </c>
      <c r="AG6634" t="s">
        <v>40204</v>
      </c>
      <c r="AH6634" t="s">
        <v>11443</v>
      </c>
      <c r="AI6634" t="s">
        <v>40205</v>
      </c>
    </row>
    <row r="6635" spans="2:35" ht="195">
      <c r="B6635" s="1">
        <v>45180</v>
      </c>
      <c r="C6635" s="4">
        <v>45177.411111111112</v>
      </c>
      <c r="D6635" t="s">
        <v>6499</v>
      </c>
      <c r="E6635" t="s">
        <v>40206</v>
      </c>
      <c r="F6635" t="s">
        <v>148</v>
      </c>
      <c r="G6635" t="s">
        <v>447</v>
      </c>
      <c r="H6635" t="s">
        <v>39</v>
      </c>
      <c r="I6635" t="s">
        <v>40</v>
      </c>
      <c r="J6635" t="s">
        <v>321</v>
      </c>
      <c r="K6635" t="s">
        <v>42</v>
      </c>
      <c r="L6635" t="s">
        <v>1028</v>
      </c>
      <c r="Q6635">
        <v>25916</v>
      </c>
      <c r="R6635" t="s">
        <v>703</v>
      </c>
      <c r="S6635" t="s">
        <v>40207</v>
      </c>
      <c r="T6635">
        <v>24</v>
      </c>
      <c r="V6635" s="1">
        <v>45175</v>
      </c>
      <c r="W6635" t="s">
        <v>1032</v>
      </c>
      <c r="X6635">
        <v>110020700</v>
      </c>
      <c r="Y6635" t="s">
        <v>29377</v>
      </c>
      <c r="Z6635" t="s">
        <v>13110</v>
      </c>
      <c r="AA6635" s="2" t="s">
        <v>40208</v>
      </c>
      <c r="AB6635" t="s">
        <v>3063</v>
      </c>
      <c r="AD6635" t="s">
        <v>3727</v>
      </c>
      <c r="AE6635" t="s">
        <v>40209</v>
      </c>
      <c r="AG6635" t="s">
        <v>40210</v>
      </c>
      <c r="AH6635" t="s">
        <v>40211</v>
      </c>
      <c r="AI6635" t="s">
        <v>40212</v>
      </c>
    </row>
    <row r="6636" spans="2:35" ht="165">
      <c r="B6636" s="1">
        <v>45180</v>
      </c>
      <c r="C6636" s="4">
        <v>45177.65902777778</v>
      </c>
      <c r="D6636" t="s">
        <v>13937</v>
      </c>
      <c r="E6636" t="s">
        <v>39787</v>
      </c>
      <c r="F6636" t="s">
        <v>37</v>
      </c>
      <c r="G6636" t="s">
        <v>748</v>
      </c>
      <c r="H6636" t="s">
        <v>39</v>
      </c>
      <c r="I6636" t="s">
        <v>40</v>
      </c>
      <c r="J6636" s="2" t="s">
        <v>15418</v>
      </c>
      <c r="K6636" t="s">
        <v>42</v>
      </c>
      <c r="L6636" t="s">
        <v>1028</v>
      </c>
      <c r="Q6636">
        <v>25917</v>
      </c>
      <c r="R6636" t="s">
        <v>703</v>
      </c>
      <c r="S6636" t="s">
        <v>18636</v>
      </c>
      <c r="T6636">
        <v>24</v>
      </c>
      <c r="U6636" s="2" t="s">
        <v>22266</v>
      </c>
      <c r="W6636" t="s">
        <v>38524</v>
      </c>
      <c r="X6636">
        <v>842166</v>
      </c>
      <c r="Y6636" t="s">
        <v>40213</v>
      </c>
      <c r="Z6636" t="s">
        <v>38542</v>
      </c>
      <c r="AA6636" s="2" t="s">
        <v>40214</v>
      </c>
      <c r="AB6636" t="s">
        <v>40215</v>
      </c>
      <c r="AG6636" t="s">
        <v>40216</v>
      </c>
      <c r="AH6636" t="s">
        <v>40217</v>
      </c>
      <c r="AI6636" t="s">
        <v>40218</v>
      </c>
    </row>
    <row r="6637" spans="2:35" ht="105">
      <c r="B6637" s="1">
        <v>45180</v>
      </c>
      <c r="C6637" s="4">
        <v>45177.625694444447</v>
      </c>
      <c r="D6637" t="s">
        <v>13937</v>
      </c>
      <c r="E6637" t="s">
        <v>39787</v>
      </c>
      <c r="F6637" t="s">
        <v>37</v>
      </c>
      <c r="G6637" t="s">
        <v>748</v>
      </c>
      <c r="H6637" t="s">
        <v>662</v>
      </c>
      <c r="I6637" t="s">
        <v>40</v>
      </c>
      <c r="J6637" t="s">
        <v>321</v>
      </c>
      <c r="K6637" t="s">
        <v>42</v>
      </c>
      <c r="L6637" t="s">
        <v>1028</v>
      </c>
      <c r="Q6637">
        <v>25915</v>
      </c>
      <c r="R6637" t="s">
        <v>322</v>
      </c>
      <c r="S6637" t="s">
        <v>18647</v>
      </c>
      <c r="T6637">
        <v>24</v>
      </c>
      <c r="W6637" t="s">
        <v>40219</v>
      </c>
      <c r="X6637">
        <v>110012951</v>
      </c>
      <c r="Y6637" t="s">
        <v>29377</v>
      </c>
      <c r="Z6637" t="s">
        <v>13110</v>
      </c>
      <c r="AA6637" s="2" t="s">
        <v>40220</v>
      </c>
      <c r="AB6637" t="s">
        <v>3063</v>
      </c>
      <c r="AG6637" t="s">
        <v>40221</v>
      </c>
      <c r="AH6637" t="s">
        <v>18650</v>
      </c>
      <c r="AI6637" t="s">
        <v>40222</v>
      </c>
    </row>
    <row r="6638" spans="2:35" ht="270">
      <c r="B6638" s="1">
        <v>45180</v>
      </c>
      <c r="C6638" s="4">
        <v>45180.563194444447</v>
      </c>
      <c r="D6638" t="s">
        <v>10344</v>
      </c>
      <c r="E6638" t="s">
        <v>10345</v>
      </c>
      <c r="F6638">
        <v>2</v>
      </c>
      <c r="G6638" t="s">
        <v>2723</v>
      </c>
      <c r="H6638" t="s">
        <v>39</v>
      </c>
      <c r="I6638" t="s">
        <v>40</v>
      </c>
      <c r="J6638" s="2" t="s">
        <v>1592</v>
      </c>
      <c r="K6638" t="s">
        <v>42</v>
      </c>
      <c r="L6638" t="s">
        <v>63</v>
      </c>
      <c r="Q6638">
        <v>25914</v>
      </c>
      <c r="R6638" t="s">
        <v>119</v>
      </c>
      <c r="S6638" t="s">
        <v>10346</v>
      </c>
      <c r="T6638">
        <v>28</v>
      </c>
      <c r="U6638" s="2" t="s">
        <v>23925</v>
      </c>
      <c r="V6638" s="1">
        <v>45162</v>
      </c>
      <c r="W6638" t="s">
        <v>26915</v>
      </c>
      <c r="X6638">
        <v>838474</v>
      </c>
      <c r="Y6638" t="s">
        <v>40223</v>
      </c>
      <c r="Z6638" t="s">
        <v>40224</v>
      </c>
      <c r="AA6638" s="2" t="s">
        <v>40225</v>
      </c>
      <c r="AB6638" t="s">
        <v>70</v>
      </c>
      <c r="AC6638" t="s">
        <v>40226</v>
      </c>
      <c r="AD6638" t="s">
        <v>6397</v>
      </c>
      <c r="AE6638">
        <v>10566</v>
      </c>
      <c r="AG6638" t="s">
        <v>40227</v>
      </c>
      <c r="AH6638" t="s">
        <v>10350</v>
      </c>
      <c r="AI6638" t="s">
        <v>40228</v>
      </c>
    </row>
    <row r="6639" spans="2:35" ht="240">
      <c r="B6639" s="1">
        <v>45180</v>
      </c>
      <c r="C6639" s="4">
        <v>45180.454861111109</v>
      </c>
      <c r="D6639" t="s">
        <v>40229</v>
      </c>
      <c r="E6639" t="s">
        <v>40230</v>
      </c>
      <c r="F6639">
        <v>2</v>
      </c>
      <c r="G6639" t="s">
        <v>2723</v>
      </c>
      <c r="H6639" t="s">
        <v>39</v>
      </c>
      <c r="I6639" t="s">
        <v>40</v>
      </c>
      <c r="J6639" s="2" t="s">
        <v>41</v>
      </c>
      <c r="K6639" t="s">
        <v>42</v>
      </c>
      <c r="L6639" t="s">
        <v>63</v>
      </c>
      <c r="Q6639">
        <v>25913</v>
      </c>
      <c r="R6639" t="s">
        <v>119</v>
      </c>
      <c r="S6639" t="s">
        <v>40231</v>
      </c>
      <c r="T6639">
        <v>27</v>
      </c>
      <c r="U6639" s="2" t="s">
        <v>40232</v>
      </c>
      <c r="V6639" s="1">
        <v>45162</v>
      </c>
      <c r="W6639" t="s">
        <v>26915</v>
      </c>
      <c r="X6639">
        <v>838531</v>
      </c>
      <c r="Y6639" t="s">
        <v>1716</v>
      </c>
      <c r="Z6639" t="s">
        <v>1716</v>
      </c>
      <c r="AA6639" s="2" t="s">
        <v>39935</v>
      </c>
      <c r="AB6639" t="s">
        <v>70</v>
      </c>
      <c r="AC6639" t="s">
        <v>40233</v>
      </c>
      <c r="AD6639" t="s">
        <v>6397</v>
      </c>
      <c r="AE6639">
        <v>10572</v>
      </c>
      <c r="AG6639" t="s">
        <v>40234</v>
      </c>
      <c r="AH6639" t="s">
        <v>40235</v>
      </c>
      <c r="AI6639" t="s">
        <v>40236</v>
      </c>
    </row>
    <row r="6640" spans="2:35" ht="195">
      <c r="B6640" s="1">
        <v>45180</v>
      </c>
      <c r="C6640" s="4">
        <v>45180.40347222222</v>
      </c>
      <c r="D6640" t="s">
        <v>38533</v>
      </c>
      <c r="E6640" t="s">
        <v>2722</v>
      </c>
      <c r="F6640">
        <v>2</v>
      </c>
      <c r="G6640" t="s">
        <v>2723</v>
      </c>
      <c r="H6640" t="s">
        <v>39</v>
      </c>
      <c r="I6640" t="s">
        <v>40</v>
      </c>
      <c r="J6640" s="2" t="s">
        <v>1592</v>
      </c>
      <c r="K6640" t="s">
        <v>42</v>
      </c>
      <c r="L6640" t="s">
        <v>63</v>
      </c>
      <c r="Q6640">
        <v>25912</v>
      </c>
      <c r="R6640" t="s">
        <v>45</v>
      </c>
      <c r="S6640" t="s">
        <v>2724</v>
      </c>
      <c r="T6640">
        <v>27</v>
      </c>
      <c r="U6640" s="2" t="s">
        <v>40237</v>
      </c>
      <c r="V6640" s="1">
        <v>45180</v>
      </c>
      <c r="W6640" t="s">
        <v>29795</v>
      </c>
      <c r="X6640">
        <v>842894</v>
      </c>
      <c r="Y6640" t="s">
        <v>40238</v>
      </c>
      <c r="Z6640" t="s">
        <v>40239</v>
      </c>
      <c r="AA6640" s="2" t="s">
        <v>1727</v>
      </c>
      <c r="AB6640" t="s">
        <v>70</v>
      </c>
      <c r="AC6640" t="s">
        <v>1716</v>
      </c>
      <c r="AD6640" t="s">
        <v>1716</v>
      </c>
      <c r="AE6640" t="s">
        <v>1716</v>
      </c>
      <c r="AG6640" t="s">
        <v>40240</v>
      </c>
      <c r="AH6640" t="s">
        <v>29783</v>
      </c>
      <c r="AI6640" t="s">
        <v>40241</v>
      </c>
    </row>
    <row r="6641" spans="2:35" ht="240">
      <c r="B6641" s="1">
        <v>45180</v>
      </c>
      <c r="C6641" s="4">
        <v>45180.386805555558</v>
      </c>
      <c r="D6641" t="s">
        <v>38533</v>
      </c>
      <c r="E6641" t="s">
        <v>2722</v>
      </c>
      <c r="F6641">
        <v>2</v>
      </c>
      <c r="G6641" t="s">
        <v>2723</v>
      </c>
      <c r="H6641" t="s">
        <v>39</v>
      </c>
      <c r="I6641" t="s">
        <v>40</v>
      </c>
      <c r="J6641" s="2" t="s">
        <v>41</v>
      </c>
      <c r="K6641" t="s">
        <v>42</v>
      </c>
      <c r="L6641" t="s">
        <v>63</v>
      </c>
      <c r="Q6641">
        <v>25911</v>
      </c>
      <c r="R6641" t="s">
        <v>45</v>
      </c>
      <c r="S6641" t="s">
        <v>2724</v>
      </c>
      <c r="T6641">
        <v>27</v>
      </c>
      <c r="V6641" s="1">
        <v>45180</v>
      </c>
      <c r="W6641" t="s">
        <v>26915</v>
      </c>
      <c r="X6641">
        <v>834434</v>
      </c>
      <c r="Y6641" t="s">
        <v>1716</v>
      </c>
      <c r="Z6641" t="s">
        <v>1716</v>
      </c>
      <c r="AA6641" s="2" t="s">
        <v>39935</v>
      </c>
      <c r="AB6641" t="s">
        <v>70</v>
      </c>
      <c r="AC6641" t="s">
        <v>40242</v>
      </c>
      <c r="AD6641" t="s">
        <v>6397</v>
      </c>
      <c r="AE6641" t="s">
        <v>1716</v>
      </c>
      <c r="AG6641" t="s">
        <v>40243</v>
      </c>
      <c r="AH6641" t="s">
        <v>29783</v>
      </c>
      <c r="AI6641" t="s">
        <v>40244</v>
      </c>
    </row>
    <row r="6642" spans="2:35" ht="150">
      <c r="B6642" s="1">
        <v>45180</v>
      </c>
      <c r="C6642" s="4">
        <v>45177.574999999997</v>
      </c>
      <c r="D6642" t="s">
        <v>795</v>
      </c>
      <c r="E6642" t="s">
        <v>38647</v>
      </c>
      <c r="F6642" t="s">
        <v>148</v>
      </c>
      <c r="G6642" t="s">
        <v>406</v>
      </c>
      <c r="H6642" t="s">
        <v>39</v>
      </c>
      <c r="I6642" t="s">
        <v>40</v>
      </c>
      <c r="J6642" s="2" t="s">
        <v>41</v>
      </c>
      <c r="K6642" t="s">
        <v>42</v>
      </c>
      <c r="L6642" t="s">
        <v>43</v>
      </c>
      <c r="Q6642">
        <v>25910</v>
      </c>
      <c r="R6642" t="s">
        <v>45</v>
      </c>
      <c r="S6642" t="s">
        <v>797</v>
      </c>
      <c r="T6642">
        <v>25</v>
      </c>
      <c r="U6642" s="2" t="s">
        <v>38679</v>
      </c>
      <c r="V6642" s="1">
        <v>45174</v>
      </c>
      <c r="W6642" t="s">
        <v>48</v>
      </c>
      <c r="X6642">
        <v>807452</v>
      </c>
      <c r="Y6642" t="s">
        <v>27551</v>
      </c>
      <c r="Z6642" t="s">
        <v>38681</v>
      </c>
      <c r="AA6642" s="2" t="s">
        <v>40245</v>
      </c>
      <c r="AB6642" t="s">
        <v>16412</v>
      </c>
      <c r="AD6642" s="2" t="s">
        <v>38683</v>
      </c>
      <c r="AE6642" t="s">
        <v>38684</v>
      </c>
      <c r="AG6642" t="s">
        <v>40246</v>
      </c>
      <c r="AH6642" t="s">
        <v>40247</v>
      </c>
      <c r="AI6642" t="s">
        <v>40248</v>
      </c>
    </row>
    <row r="6643" spans="2:35" ht="150">
      <c r="B6643" s="1">
        <v>45180</v>
      </c>
      <c r="C6643" s="4">
        <v>45177.574999999997</v>
      </c>
      <c r="D6643" t="s">
        <v>795</v>
      </c>
      <c r="E6643" t="s">
        <v>38647</v>
      </c>
      <c r="F6643" t="s">
        <v>148</v>
      </c>
      <c r="G6643" t="s">
        <v>406</v>
      </c>
      <c r="H6643" t="s">
        <v>39</v>
      </c>
      <c r="I6643" t="s">
        <v>40</v>
      </c>
      <c r="J6643" s="2" t="s">
        <v>41</v>
      </c>
      <c r="K6643" t="s">
        <v>42</v>
      </c>
      <c r="L6643" t="s">
        <v>43</v>
      </c>
      <c r="Q6643">
        <v>25909</v>
      </c>
      <c r="R6643" t="s">
        <v>45</v>
      </c>
      <c r="S6643" t="s">
        <v>797</v>
      </c>
      <c r="T6643">
        <v>25</v>
      </c>
      <c r="U6643" s="2" t="s">
        <v>38679</v>
      </c>
      <c r="V6643" s="1">
        <v>45174</v>
      </c>
      <c r="W6643" t="s">
        <v>48</v>
      </c>
      <c r="X6643">
        <v>807452</v>
      </c>
      <c r="Y6643" t="s">
        <v>27551</v>
      </c>
      <c r="Z6643" t="s">
        <v>38681</v>
      </c>
      <c r="AA6643" s="2" t="s">
        <v>40245</v>
      </c>
      <c r="AB6643" t="s">
        <v>16412</v>
      </c>
      <c r="AD6643" s="2" t="s">
        <v>38683</v>
      </c>
      <c r="AE6643" t="s">
        <v>38684</v>
      </c>
      <c r="AG6643" t="s">
        <v>40249</v>
      </c>
      <c r="AH6643" t="s">
        <v>40247</v>
      </c>
      <c r="AI6643" t="s">
        <v>40250</v>
      </c>
    </row>
    <row r="6644" spans="2:35" ht="225">
      <c r="B6644" s="1">
        <v>45180</v>
      </c>
      <c r="C6644" s="4">
        <v>45174.54791666667</v>
      </c>
      <c r="D6644" t="s">
        <v>1145</v>
      </c>
      <c r="E6644" t="s">
        <v>4267</v>
      </c>
      <c r="F6644" t="s">
        <v>148</v>
      </c>
      <c r="G6644" t="s">
        <v>447</v>
      </c>
      <c r="H6644" t="s">
        <v>150</v>
      </c>
      <c r="I6644" t="s">
        <v>40</v>
      </c>
      <c r="J6644" t="s">
        <v>525</v>
      </c>
      <c r="K6644" t="s">
        <v>42</v>
      </c>
      <c r="L6644" t="s">
        <v>448</v>
      </c>
      <c r="Q6644">
        <v>25908</v>
      </c>
      <c r="R6644" t="s">
        <v>45</v>
      </c>
      <c r="S6644" t="s">
        <v>1147</v>
      </c>
      <c r="T6644">
        <v>27</v>
      </c>
      <c r="U6644" s="2" t="s">
        <v>40251</v>
      </c>
      <c r="W6644" t="s">
        <v>325</v>
      </c>
      <c r="X6644">
        <v>801080</v>
      </c>
      <c r="Y6644" t="s">
        <v>40252</v>
      </c>
      <c r="Z6644" s="2" t="s">
        <v>40253</v>
      </c>
      <c r="AA6644" t="s">
        <v>4487</v>
      </c>
      <c r="AB6644" t="s">
        <v>40254</v>
      </c>
      <c r="AG6644" t="s">
        <v>40255</v>
      </c>
      <c r="AH6644" t="s">
        <v>1153</v>
      </c>
      <c r="AI6644" t="s">
        <v>40256</v>
      </c>
    </row>
    <row r="6645" spans="2:35" ht="60">
      <c r="B6645" s="1">
        <v>45180</v>
      </c>
      <c r="C6645" s="4">
        <v>45177.433333333334</v>
      </c>
      <c r="D6645" t="s">
        <v>40257</v>
      </c>
      <c r="E6645" t="s">
        <v>40258</v>
      </c>
      <c r="F6645">
        <v>8</v>
      </c>
      <c r="G6645" t="s">
        <v>342</v>
      </c>
      <c r="H6645" t="s">
        <v>12698</v>
      </c>
      <c r="I6645" t="s">
        <v>40</v>
      </c>
      <c r="J6645" s="2" t="s">
        <v>62</v>
      </c>
      <c r="K6645" t="s">
        <v>42</v>
      </c>
      <c r="L6645" t="s">
        <v>259</v>
      </c>
      <c r="Q6645">
        <v>25907</v>
      </c>
      <c r="R6645" t="s">
        <v>45</v>
      </c>
      <c r="S6645" t="s">
        <v>40259</v>
      </c>
      <c r="T6645">
        <v>28</v>
      </c>
      <c r="V6645" s="1">
        <v>45177</v>
      </c>
      <c r="W6645" t="s">
        <v>84</v>
      </c>
      <c r="X6645">
        <v>807619</v>
      </c>
      <c r="Y6645" t="s">
        <v>67</v>
      </c>
      <c r="Z6645" t="e">
        <f ca="1">- performed Preventive Maintenance
- performed functionality test</f>
        <v>#NAME?</v>
      </c>
      <c r="AA6645" t="e">
        <f ca="1">- XpertCheck CALIBRATION
- Preventive Maintenance
- Generate reports</f>
        <v>#NAME?</v>
      </c>
      <c r="AB6645" t="s">
        <v>70</v>
      </c>
      <c r="AC6645" t="s">
        <v>5243</v>
      </c>
      <c r="AD6645" t="s">
        <v>948</v>
      </c>
      <c r="AE6645" t="s">
        <v>45</v>
      </c>
      <c r="AG6645" t="s">
        <v>40260</v>
      </c>
      <c r="AH6645" t="s">
        <v>40261</v>
      </c>
      <c r="AI6645" t="s">
        <v>40262</v>
      </c>
    </row>
    <row r="6646" spans="2:35" ht="285">
      <c r="B6646" s="1">
        <v>45179</v>
      </c>
      <c r="C6646" s="4">
        <v>45179.93472222222</v>
      </c>
      <c r="D6646" t="s">
        <v>8907</v>
      </c>
      <c r="E6646" t="s">
        <v>8908</v>
      </c>
      <c r="F6646">
        <v>5</v>
      </c>
      <c r="G6646" t="s">
        <v>839</v>
      </c>
      <c r="H6646" t="s">
        <v>39</v>
      </c>
      <c r="I6646" t="s">
        <v>40</v>
      </c>
      <c r="J6646" s="2" t="s">
        <v>41</v>
      </c>
      <c r="K6646" t="s">
        <v>42</v>
      </c>
      <c r="L6646" t="s">
        <v>761</v>
      </c>
      <c r="Q6646">
        <v>25906</v>
      </c>
      <c r="R6646" t="s">
        <v>119</v>
      </c>
      <c r="S6646" t="s">
        <v>8909</v>
      </c>
      <c r="T6646">
        <v>28</v>
      </c>
      <c r="U6646" s="2" t="s">
        <v>40263</v>
      </c>
      <c r="W6646" t="s">
        <v>360</v>
      </c>
      <c r="X6646">
        <v>838389</v>
      </c>
      <c r="Y6646" t="s">
        <v>40264</v>
      </c>
      <c r="Z6646" s="2" t="s">
        <v>40265</v>
      </c>
      <c r="AA6646" s="2" t="s">
        <v>40266</v>
      </c>
      <c r="AB6646" t="s">
        <v>181</v>
      </c>
      <c r="AG6646" t="s">
        <v>40267</v>
      </c>
      <c r="AH6646" t="s">
        <v>10753</v>
      </c>
      <c r="AI6646" t="s">
        <v>40268</v>
      </c>
    </row>
    <row r="6647" spans="2:35" ht="105">
      <c r="B6647" s="1">
        <v>45178</v>
      </c>
      <c r="C6647" s="4">
        <v>45178.452777777777</v>
      </c>
      <c r="D6647" t="s">
        <v>40269</v>
      </c>
      <c r="E6647" t="s">
        <v>40270</v>
      </c>
      <c r="F6647">
        <v>10</v>
      </c>
      <c r="G6647" t="s">
        <v>2392</v>
      </c>
      <c r="H6647" t="s">
        <v>2290</v>
      </c>
      <c r="I6647" t="s">
        <v>94</v>
      </c>
      <c r="J6647" s="2" t="s">
        <v>2170</v>
      </c>
      <c r="K6647" t="s">
        <v>42</v>
      </c>
      <c r="L6647" t="s">
        <v>610</v>
      </c>
      <c r="Q6647">
        <v>25905</v>
      </c>
      <c r="R6647" t="s">
        <v>45</v>
      </c>
      <c r="S6647" t="s">
        <v>38430</v>
      </c>
      <c r="T6647">
        <v>24</v>
      </c>
      <c r="U6647" s="2" t="s">
        <v>40271</v>
      </c>
      <c r="W6647" t="s">
        <v>502</v>
      </c>
      <c r="X6647">
        <v>807673</v>
      </c>
      <c r="Y6647" t="s">
        <v>40272</v>
      </c>
      <c r="Z6647" t="s">
        <v>40273</v>
      </c>
      <c r="AA6647" t="s">
        <v>40274</v>
      </c>
      <c r="AB6647" t="e">
        <f ca="1">-only B4 passed the CALIBRATION
-B1, B2, B3 hardware failure _xludf.and required service Replacement</f>
        <v>#NAME?</v>
      </c>
      <c r="AG6647" t="s">
        <v>40275</v>
      </c>
      <c r="AH6647" t="s">
        <v>40276</v>
      </c>
      <c r="AI6647" t="s">
        <v>40277</v>
      </c>
    </row>
    <row r="6648" spans="2:35" ht="360">
      <c r="B6648" s="1">
        <v>45177</v>
      </c>
      <c r="C6648" s="4">
        <v>45177.873611111114</v>
      </c>
      <c r="D6648" t="s">
        <v>31013</v>
      </c>
      <c r="E6648" t="s">
        <v>40278</v>
      </c>
      <c r="F6648" t="s">
        <v>37</v>
      </c>
      <c r="G6648" t="s">
        <v>2499</v>
      </c>
      <c r="H6648" t="s">
        <v>39</v>
      </c>
      <c r="I6648" t="s">
        <v>40</v>
      </c>
      <c r="J6648" s="2" t="s">
        <v>190</v>
      </c>
      <c r="K6648" t="s">
        <v>42</v>
      </c>
      <c r="L6648" t="s">
        <v>15532</v>
      </c>
      <c r="Q6648">
        <v>25904</v>
      </c>
      <c r="R6648" t="s">
        <v>45</v>
      </c>
      <c r="S6648" t="s">
        <v>31015</v>
      </c>
      <c r="T6648">
        <v>26</v>
      </c>
      <c r="U6648" s="2" t="s">
        <v>15240</v>
      </c>
      <c r="W6648" t="s">
        <v>3244</v>
      </c>
      <c r="X6648">
        <v>838163</v>
      </c>
      <c r="Y6648" t="s">
        <v>40279</v>
      </c>
      <c r="Z6648" s="2" t="s">
        <v>40280</v>
      </c>
      <c r="AA6648" t="s">
        <v>40281</v>
      </c>
      <c r="AB6648" s="2" t="s">
        <v>30391</v>
      </c>
      <c r="AG6648" t="s">
        <v>40282</v>
      </c>
      <c r="AH6648" t="s">
        <v>40283</v>
      </c>
      <c r="AI6648" t="s">
        <v>40284</v>
      </c>
    </row>
    <row r="6649" spans="2:35" ht="105">
      <c r="B6649" s="1">
        <v>45177</v>
      </c>
      <c r="C6649" s="4">
        <v>45177.704861111109</v>
      </c>
      <c r="D6649" t="s">
        <v>26776</v>
      </c>
      <c r="E6649" t="s">
        <v>40285</v>
      </c>
      <c r="F6649" t="s">
        <v>148</v>
      </c>
      <c r="G6649" t="s">
        <v>447</v>
      </c>
      <c r="H6649" t="s">
        <v>39</v>
      </c>
      <c r="I6649" t="s">
        <v>40</v>
      </c>
      <c r="J6649" s="2" t="s">
        <v>6210</v>
      </c>
      <c r="K6649" t="s">
        <v>26778</v>
      </c>
      <c r="L6649" t="s">
        <v>857</v>
      </c>
      <c r="Q6649">
        <v>25903</v>
      </c>
      <c r="R6649" t="s">
        <v>95</v>
      </c>
      <c r="S6649" t="s">
        <v>26779</v>
      </c>
      <c r="T6649">
        <v>25</v>
      </c>
      <c r="V6649" s="1">
        <v>45173</v>
      </c>
      <c r="W6649" t="s">
        <v>35148</v>
      </c>
      <c r="X6649">
        <v>6114.0141999999996</v>
      </c>
      <c r="Y6649" t="s">
        <v>40286</v>
      </c>
      <c r="Z6649" t="s">
        <v>301</v>
      </c>
      <c r="AA6649" s="2" t="s">
        <v>40287</v>
      </c>
      <c r="AB6649" t="s">
        <v>181</v>
      </c>
      <c r="AD6649" t="s">
        <v>40288</v>
      </c>
      <c r="AE6649">
        <v>10634</v>
      </c>
      <c r="AG6649" t="s">
        <v>40289</v>
      </c>
      <c r="AH6649" t="s">
        <v>27422</v>
      </c>
      <c r="AI6649" t="s">
        <v>40290</v>
      </c>
    </row>
    <row r="6650" spans="2:35" ht="105">
      <c r="B6650" s="1">
        <v>45177</v>
      </c>
      <c r="C6650" s="4">
        <v>45177.681944444441</v>
      </c>
      <c r="D6650" t="s">
        <v>25256</v>
      </c>
      <c r="E6650" t="s">
        <v>25257</v>
      </c>
      <c r="F6650">
        <v>10</v>
      </c>
      <c r="G6650" t="s">
        <v>2392</v>
      </c>
      <c r="H6650" t="s">
        <v>608</v>
      </c>
      <c r="I6650" t="s">
        <v>94</v>
      </c>
      <c r="J6650" s="2" t="s">
        <v>41</v>
      </c>
      <c r="K6650" t="s">
        <v>42</v>
      </c>
      <c r="L6650" t="s">
        <v>610</v>
      </c>
      <c r="Q6650">
        <v>25902</v>
      </c>
      <c r="R6650" t="s">
        <v>45</v>
      </c>
      <c r="S6650" t="s">
        <v>28219</v>
      </c>
      <c r="T6650">
        <v>34</v>
      </c>
      <c r="U6650" s="2" t="s">
        <v>40291</v>
      </c>
      <c r="W6650" t="s">
        <v>360</v>
      </c>
      <c r="X6650">
        <v>804765</v>
      </c>
      <c r="Y6650" t="s">
        <v>40292</v>
      </c>
      <c r="Z6650" t="s">
        <v>40293</v>
      </c>
      <c r="AA6650" t="s">
        <v>40293</v>
      </c>
      <c r="AB6650" t="s">
        <v>40294</v>
      </c>
      <c r="AG6650" t="s">
        <v>40295</v>
      </c>
      <c r="AH6650" t="s">
        <v>38340</v>
      </c>
      <c r="AI6650" t="s">
        <v>40296</v>
      </c>
    </row>
    <row r="6651" spans="2:35" ht="195">
      <c r="B6651" s="1">
        <v>45177</v>
      </c>
      <c r="C6651" s="4">
        <v>45177.675694444442</v>
      </c>
      <c r="D6651" t="s">
        <v>25256</v>
      </c>
      <c r="E6651" t="s">
        <v>40297</v>
      </c>
      <c r="F6651">
        <v>10</v>
      </c>
      <c r="G6651" t="s">
        <v>5571</v>
      </c>
      <c r="H6651" t="s">
        <v>34954</v>
      </c>
      <c r="I6651" t="s">
        <v>94</v>
      </c>
      <c r="J6651" s="2" t="s">
        <v>41</v>
      </c>
      <c r="K6651" t="s">
        <v>42</v>
      </c>
      <c r="L6651" t="s">
        <v>610</v>
      </c>
      <c r="Q6651">
        <v>25901</v>
      </c>
      <c r="R6651" t="s">
        <v>45</v>
      </c>
      <c r="S6651" t="s">
        <v>28219</v>
      </c>
      <c r="T6651">
        <v>29</v>
      </c>
      <c r="U6651" s="2" t="s">
        <v>40298</v>
      </c>
      <c r="W6651" t="s">
        <v>360</v>
      </c>
      <c r="X6651">
        <v>834437</v>
      </c>
      <c r="Y6651" t="s">
        <v>40299</v>
      </c>
      <c r="Z6651" t="s">
        <v>40300</v>
      </c>
      <c r="AA6651" t="s">
        <v>40300</v>
      </c>
      <c r="AB6651" t="s">
        <v>40301</v>
      </c>
      <c r="AG6651" t="s">
        <v>40302</v>
      </c>
      <c r="AH6651" t="s">
        <v>38340</v>
      </c>
      <c r="AI6651" t="s">
        <v>40303</v>
      </c>
    </row>
    <row r="6652" spans="2:35" ht="90">
      <c r="B6652" s="1">
        <v>45177</v>
      </c>
      <c r="C6652" s="4">
        <v>45177.67083333333</v>
      </c>
      <c r="D6652" t="s">
        <v>9642</v>
      </c>
      <c r="E6652" t="s">
        <v>19000</v>
      </c>
      <c r="F6652">
        <v>10</v>
      </c>
      <c r="G6652" t="s">
        <v>2392</v>
      </c>
      <c r="H6652" t="s">
        <v>608</v>
      </c>
      <c r="I6652" t="s">
        <v>94</v>
      </c>
      <c r="J6652" t="s">
        <v>996</v>
      </c>
      <c r="K6652" t="s">
        <v>42</v>
      </c>
      <c r="L6652" t="s">
        <v>610</v>
      </c>
      <c r="Q6652">
        <v>25900</v>
      </c>
      <c r="R6652" t="s">
        <v>119</v>
      </c>
      <c r="S6652" t="s">
        <v>25249</v>
      </c>
      <c r="T6652">
        <v>24</v>
      </c>
      <c r="U6652" s="2" t="s">
        <v>40304</v>
      </c>
      <c r="W6652" t="s">
        <v>360</v>
      </c>
      <c r="X6652">
        <v>838224</v>
      </c>
      <c r="Y6652" t="s">
        <v>40305</v>
      </c>
      <c r="Z6652" t="s">
        <v>40306</v>
      </c>
      <c r="AA6652" t="s">
        <v>40307</v>
      </c>
      <c r="AB6652" t="s">
        <v>40308</v>
      </c>
      <c r="AG6652" t="s">
        <v>40309</v>
      </c>
      <c r="AH6652" t="s">
        <v>25254</v>
      </c>
      <c r="AI6652" t="s">
        <v>40310</v>
      </c>
    </row>
    <row r="6653" spans="2:35" ht="105">
      <c r="B6653" s="1">
        <v>45177</v>
      </c>
      <c r="C6653" s="4">
        <v>45177.667361111111</v>
      </c>
      <c r="D6653" t="s">
        <v>9653</v>
      </c>
      <c r="E6653" t="s">
        <v>18991</v>
      </c>
      <c r="F6653">
        <v>10</v>
      </c>
      <c r="G6653" t="s">
        <v>2392</v>
      </c>
      <c r="H6653" t="s">
        <v>608</v>
      </c>
      <c r="I6653" t="s">
        <v>94</v>
      </c>
      <c r="J6653" t="s">
        <v>996</v>
      </c>
      <c r="K6653" t="s">
        <v>42</v>
      </c>
      <c r="L6653" t="s">
        <v>610</v>
      </c>
      <c r="Q6653">
        <v>25899</v>
      </c>
      <c r="R6653" t="s">
        <v>119</v>
      </c>
      <c r="S6653" t="s">
        <v>18992</v>
      </c>
      <c r="T6653">
        <v>30</v>
      </c>
      <c r="U6653" s="2" t="s">
        <v>37157</v>
      </c>
      <c r="W6653" t="s">
        <v>360</v>
      </c>
      <c r="X6653">
        <v>838229</v>
      </c>
      <c r="Y6653" t="s">
        <v>67</v>
      </c>
      <c r="Z6653" t="s">
        <v>40306</v>
      </c>
      <c r="AA6653" t="s">
        <v>40307</v>
      </c>
      <c r="AB6653" t="s">
        <v>40311</v>
      </c>
      <c r="AG6653" t="s">
        <v>40312</v>
      </c>
      <c r="AH6653" t="s">
        <v>9658</v>
      </c>
      <c r="AI6653" t="s">
        <v>40313</v>
      </c>
    </row>
    <row r="6654" spans="2:35" ht="105">
      <c r="B6654" s="1">
        <v>45177</v>
      </c>
      <c r="C6654" s="4">
        <v>45177.661111111112</v>
      </c>
      <c r="D6654" t="s">
        <v>19006</v>
      </c>
      <c r="E6654" t="s">
        <v>40314</v>
      </c>
      <c r="F6654">
        <v>10</v>
      </c>
      <c r="G6654" t="s">
        <v>2392</v>
      </c>
      <c r="H6654" t="s">
        <v>608</v>
      </c>
      <c r="I6654" t="s">
        <v>94</v>
      </c>
      <c r="J6654" t="s">
        <v>996</v>
      </c>
      <c r="K6654" t="s">
        <v>42</v>
      </c>
      <c r="L6654" t="s">
        <v>610</v>
      </c>
      <c r="Q6654">
        <v>25898</v>
      </c>
      <c r="R6654" t="s">
        <v>119</v>
      </c>
      <c r="S6654" t="s">
        <v>9665</v>
      </c>
      <c r="T6654">
        <v>30</v>
      </c>
      <c r="U6654" s="2" t="s">
        <v>16353</v>
      </c>
      <c r="W6654" t="s">
        <v>360</v>
      </c>
      <c r="X6654">
        <v>838402</v>
      </c>
      <c r="Y6654" t="s">
        <v>40315</v>
      </c>
      <c r="Z6654" t="s">
        <v>40306</v>
      </c>
      <c r="AA6654" t="s">
        <v>40307</v>
      </c>
      <c r="AB6654" t="s">
        <v>40316</v>
      </c>
      <c r="AG6654" t="s">
        <v>40317</v>
      </c>
      <c r="AH6654" t="s">
        <v>19013</v>
      </c>
      <c r="AI6654" t="s">
        <v>40318</v>
      </c>
    </row>
    <row r="6655" spans="2:35" ht="90">
      <c r="B6655" s="1">
        <v>45177</v>
      </c>
      <c r="C6655" s="4">
        <v>45177.645138888889</v>
      </c>
      <c r="D6655" t="s">
        <v>5228</v>
      </c>
      <c r="E6655" t="s">
        <v>40319</v>
      </c>
      <c r="F6655" t="s">
        <v>148</v>
      </c>
      <c r="G6655" t="s">
        <v>447</v>
      </c>
      <c r="H6655" t="s">
        <v>40320</v>
      </c>
      <c r="I6655" t="s">
        <v>40</v>
      </c>
      <c r="J6655" s="2" t="s">
        <v>40321</v>
      </c>
      <c r="K6655" t="s">
        <v>42</v>
      </c>
      <c r="L6655" t="s">
        <v>80</v>
      </c>
      <c r="Q6655">
        <v>25897</v>
      </c>
      <c r="R6655" t="s">
        <v>322</v>
      </c>
      <c r="S6655" t="s">
        <v>8157</v>
      </c>
      <c r="T6655">
        <v>25</v>
      </c>
      <c r="V6655" s="1">
        <v>45177</v>
      </c>
      <c r="W6655" t="s">
        <v>423</v>
      </c>
      <c r="X6655">
        <v>110012766</v>
      </c>
      <c r="Y6655" t="s">
        <v>40322</v>
      </c>
      <c r="Z6655" t="s">
        <v>40323</v>
      </c>
      <c r="AA6655" t="s">
        <v>40324</v>
      </c>
      <c r="AB6655" t="s">
        <v>1188</v>
      </c>
      <c r="AC6655" t="s">
        <v>103</v>
      </c>
      <c r="AD6655" t="s">
        <v>103</v>
      </c>
      <c r="AE6655" t="s">
        <v>103</v>
      </c>
      <c r="AG6655" t="s">
        <v>40325</v>
      </c>
      <c r="AH6655" t="s">
        <v>40326</v>
      </c>
      <c r="AI6655" t="s">
        <v>40327</v>
      </c>
    </row>
    <row r="6656" spans="2:35" ht="409.5">
      <c r="B6656" s="1">
        <v>45177</v>
      </c>
      <c r="C6656" s="4">
        <v>45177.621527777781</v>
      </c>
      <c r="D6656" t="s">
        <v>5474</v>
      </c>
      <c r="E6656" t="s">
        <v>4260</v>
      </c>
      <c r="F6656" t="s">
        <v>148</v>
      </c>
      <c r="G6656" t="s">
        <v>2007</v>
      </c>
      <c r="H6656" t="s">
        <v>9616</v>
      </c>
      <c r="I6656" t="s">
        <v>94</v>
      </c>
      <c r="J6656" s="2" t="s">
        <v>62</v>
      </c>
      <c r="K6656" t="s">
        <v>408</v>
      </c>
      <c r="L6656" t="s">
        <v>448</v>
      </c>
      <c r="P6656" t="s">
        <v>10094</v>
      </c>
      <c r="Q6656">
        <v>25896</v>
      </c>
      <c r="R6656" t="s">
        <v>95</v>
      </c>
      <c r="S6656" t="s">
        <v>40328</v>
      </c>
      <c r="T6656">
        <v>28</v>
      </c>
      <c r="W6656" t="s">
        <v>40329</v>
      </c>
      <c r="X6656">
        <v>1261</v>
      </c>
      <c r="Y6656" t="s">
        <v>485</v>
      </c>
      <c r="Z6656" s="2" t="s">
        <v>40330</v>
      </c>
      <c r="AA6656" t="s">
        <v>40331</v>
      </c>
      <c r="AB6656" t="s">
        <v>486</v>
      </c>
      <c r="AG6656" t="s">
        <v>40332</v>
      </c>
      <c r="AH6656" t="s">
        <v>40333</v>
      </c>
      <c r="AI6656" t="s">
        <v>40334</v>
      </c>
    </row>
    <row r="6657" spans="2:35" ht="409.5">
      <c r="B6657" s="1">
        <v>45177</v>
      </c>
      <c r="C6657" s="4">
        <v>45177.618055555555</v>
      </c>
      <c r="D6657" t="s">
        <v>18226</v>
      </c>
      <c r="E6657" t="s">
        <v>40335</v>
      </c>
      <c r="F6657" t="s">
        <v>148</v>
      </c>
      <c r="G6657" t="s">
        <v>310</v>
      </c>
      <c r="H6657" t="s">
        <v>18031</v>
      </c>
      <c r="I6657" t="s">
        <v>40</v>
      </c>
      <c r="J6657" s="2" t="s">
        <v>41</v>
      </c>
      <c r="K6657" t="s">
        <v>42</v>
      </c>
      <c r="L6657" t="s">
        <v>1943</v>
      </c>
      <c r="Q6657">
        <v>25895</v>
      </c>
      <c r="R6657" t="s">
        <v>95</v>
      </c>
      <c r="S6657" t="s">
        <v>18227</v>
      </c>
      <c r="T6657">
        <v>25</v>
      </c>
      <c r="U6657" s="2" t="s">
        <v>40336</v>
      </c>
      <c r="V6657" s="1">
        <v>45173</v>
      </c>
      <c r="W6657" t="s">
        <v>40337</v>
      </c>
      <c r="X6657">
        <v>110014186</v>
      </c>
      <c r="Y6657" s="2" t="s">
        <v>40338</v>
      </c>
      <c r="Z6657" s="2" t="s">
        <v>40339</v>
      </c>
      <c r="AA6657" t="s">
        <v>22330</v>
      </c>
      <c r="AB6657" t="s">
        <v>548</v>
      </c>
      <c r="AD6657" t="s">
        <v>40340</v>
      </c>
      <c r="AE6657" t="s">
        <v>40341</v>
      </c>
      <c r="AG6657" t="s">
        <v>40342</v>
      </c>
      <c r="AH6657" t="s">
        <v>28075</v>
      </c>
      <c r="AI6657" t="s">
        <v>40343</v>
      </c>
    </row>
    <row r="6658" spans="2:35" ht="375">
      <c r="B6658" s="1">
        <v>45177</v>
      </c>
      <c r="C6658" s="4">
        <v>45177.606944444444</v>
      </c>
      <c r="D6658" t="s">
        <v>369</v>
      </c>
      <c r="E6658" t="s">
        <v>29199</v>
      </c>
      <c r="F6658" t="s">
        <v>148</v>
      </c>
      <c r="G6658" t="s">
        <v>371</v>
      </c>
      <c r="H6658" t="s">
        <v>61</v>
      </c>
      <c r="I6658" t="s">
        <v>40</v>
      </c>
      <c r="J6658" s="2" t="s">
        <v>41</v>
      </c>
      <c r="K6658" t="s">
        <v>42</v>
      </c>
      <c r="L6658" t="s">
        <v>175</v>
      </c>
      <c r="Q6658">
        <v>25894</v>
      </c>
      <c r="R6658" t="s">
        <v>45</v>
      </c>
      <c r="S6658" t="s">
        <v>40344</v>
      </c>
      <c r="T6658">
        <v>25</v>
      </c>
      <c r="U6658" s="2" t="s">
        <v>40345</v>
      </c>
      <c r="V6658" s="1">
        <v>45174</v>
      </c>
      <c r="W6658" t="s">
        <v>84</v>
      </c>
      <c r="X6658">
        <v>834431</v>
      </c>
      <c r="Y6658" t="s">
        <v>40346</v>
      </c>
      <c r="Z6658" t="e">
        <f ca="1">- replaced D4
- checked _xludf.and cleaned cartridge bay, plunger rod, _xludf.filter
- generated reports</f>
        <v>#NAME?</v>
      </c>
      <c r="AA6658" t="s">
        <v>40347</v>
      </c>
      <c r="AB6658" t="s">
        <v>88</v>
      </c>
      <c r="AD6658" s="2" t="s">
        <v>40348</v>
      </c>
      <c r="AE6658" t="s">
        <v>40349</v>
      </c>
      <c r="AG6658" t="s">
        <v>40350</v>
      </c>
      <c r="AH6658" t="s">
        <v>40351</v>
      </c>
      <c r="AI6658" t="s">
        <v>40352</v>
      </c>
    </row>
    <row r="6659" spans="2:35" ht="105">
      <c r="B6659" s="1">
        <v>45177</v>
      </c>
      <c r="C6659" s="4">
        <v>45177.574305555558</v>
      </c>
      <c r="D6659" t="s">
        <v>11880</v>
      </c>
      <c r="E6659" t="s">
        <v>40017</v>
      </c>
      <c r="F6659">
        <v>6</v>
      </c>
      <c r="G6659" t="s">
        <v>1234</v>
      </c>
      <c r="H6659" t="s">
        <v>1047</v>
      </c>
      <c r="I6659" t="s">
        <v>94</v>
      </c>
      <c r="J6659" t="s">
        <v>79</v>
      </c>
      <c r="K6659" t="s">
        <v>42</v>
      </c>
      <c r="L6659" t="s">
        <v>23958</v>
      </c>
      <c r="Q6659">
        <v>25893</v>
      </c>
      <c r="R6659" t="s">
        <v>119</v>
      </c>
      <c r="S6659" t="s">
        <v>40018</v>
      </c>
      <c r="T6659">
        <v>4</v>
      </c>
      <c r="U6659" s="2" t="s">
        <v>11424</v>
      </c>
      <c r="W6659" t="s">
        <v>360</v>
      </c>
      <c r="X6659">
        <v>838477</v>
      </c>
      <c r="Y6659" t="s">
        <v>40019</v>
      </c>
      <c r="Z6659" t="s">
        <v>40020</v>
      </c>
      <c r="AA6659" t="s">
        <v>40021</v>
      </c>
      <c r="AB6659" t="s">
        <v>40022</v>
      </c>
      <c r="AG6659" t="s">
        <v>40353</v>
      </c>
      <c r="AH6659" t="s">
        <v>35279</v>
      </c>
      <c r="AI6659" t="s">
        <v>40354</v>
      </c>
    </row>
    <row r="6660" spans="2:35" ht="240">
      <c r="B6660" s="1">
        <v>45177</v>
      </c>
      <c r="C6660" s="4">
        <v>45177.538888888892</v>
      </c>
      <c r="D6660" t="s">
        <v>7939</v>
      </c>
      <c r="E6660" t="s">
        <v>7940</v>
      </c>
      <c r="F6660">
        <v>5</v>
      </c>
      <c r="G6660" t="s">
        <v>5795</v>
      </c>
      <c r="H6660" t="s">
        <v>39</v>
      </c>
      <c r="I6660" t="s">
        <v>40</v>
      </c>
      <c r="J6660" s="2" t="s">
        <v>41</v>
      </c>
      <c r="K6660" t="s">
        <v>42</v>
      </c>
      <c r="L6660" t="s">
        <v>761</v>
      </c>
      <c r="Q6660">
        <v>25892</v>
      </c>
      <c r="R6660" t="s">
        <v>119</v>
      </c>
      <c r="S6660" t="s">
        <v>7941</v>
      </c>
      <c r="T6660">
        <v>27</v>
      </c>
      <c r="U6660" s="2" t="s">
        <v>39436</v>
      </c>
      <c r="W6660" t="s">
        <v>360</v>
      </c>
      <c r="X6660">
        <v>838207</v>
      </c>
      <c r="Y6660" t="s">
        <v>40355</v>
      </c>
      <c r="Z6660" s="2" t="s">
        <v>40356</v>
      </c>
      <c r="AA6660" s="2" t="s">
        <v>40357</v>
      </c>
      <c r="AB6660" t="s">
        <v>181</v>
      </c>
      <c r="AG6660" t="s">
        <v>40358</v>
      </c>
      <c r="AH6660" t="s">
        <v>21256</v>
      </c>
      <c r="AI6660" t="s">
        <v>40359</v>
      </c>
    </row>
    <row r="6661" spans="2:35" ht="150">
      <c r="B6661" s="1">
        <v>45177</v>
      </c>
      <c r="C6661" s="4">
        <v>45177.536805555559</v>
      </c>
      <c r="D6661" t="s">
        <v>7459</v>
      </c>
      <c r="E6661" t="s">
        <v>40360</v>
      </c>
      <c r="F6661">
        <v>11</v>
      </c>
      <c r="G6661" t="s">
        <v>1205</v>
      </c>
      <c r="H6661" t="s">
        <v>202</v>
      </c>
      <c r="I6661" t="s">
        <v>40</v>
      </c>
      <c r="J6661" t="s">
        <v>996</v>
      </c>
      <c r="K6661" t="s">
        <v>42</v>
      </c>
      <c r="L6661" t="s">
        <v>204</v>
      </c>
      <c r="N6661" t="s">
        <v>205</v>
      </c>
      <c r="O6661" t="s">
        <v>7460</v>
      </c>
      <c r="Q6661">
        <v>25891</v>
      </c>
      <c r="R6661" t="s">
        <v>119</v>
      </c>
      <c r="S6661" t="s">
        <v>40361</v>
      </c>
      <c r="T6661">
        <v>24.6</v>
      </c>
      <c r="U6661" s="2" t="s">
        <v>30615</v>
      </c>
      <c r="V6661" s="1">
        <v>45141</v>
      </c>
      <c r="W6661" t="s">
        <v>24154</v>
      </c>
      <c r="X6661">
        <v>838511</v>
      </c>
      <c r="Y6661" t="s">
        <v>67</v>
      </c>
      <c r="Z6661" t="s">
        <v>40362</v>
      </c>
      <c r="AA6661" t="s">
        <v>28868</v>
      </c>
      <c r="AB6661" s="2" t="s">
        <v>40363</v>
      </c>
      <c r="AC6661" t="s">
        <v>31495</v>
      </c>
      <c r="AD6661" t="s">
        <v>18192</v>
      </c>
      <c r="AE6661" t="s">
        <v>40364</v>
      </c>
      <c r="AG6661" t="s">
        <v>40365</v>
      </c>
      <c r="AH6661" t="s">
        <v>40366</v>
      </c>
      <c r="AI6661" t="s">
        <v>40367</v>
      </c>
    </row>
    <row r="6662" spans="2:35" ht="105">
      <c r="B6662" s="1">
        <v>45177</v>
      </c>
      <c r="C6662" s="4">
        <v>45177.462500000001</v>
      </c>
      <c r="D6662" t="s">
        <v>40368</v>
      </c>
      <c r="E6662" t="s">
        <v>40369</v>
      </c>
      <c r="F6662">
        <v>5</v>
      </c>
      <c r="G6662" t="s">
        <v>839</v>
      </c>
      <c r="H6662" t="s">
        <v>39</v>
      </c>
      <c r="I6662" t="s">
        <v>40</v>
      </c>
      <c r="J6662" s="2" t="s">
        <v>760</v>
      </c>
      <c r="K6662" t="s">
        <v>42</v>
      </c>
      <c r="L6662" t="s">
        <v>761</v>
      </c>
      <c r="Q6662">
        <v>25890</v>
      </c>
      <c r="R6662" t="s">
        <v>45</v>
      </c>
      <c r="S6662" t="s">
        <v>40370</v>
      </c>
      <c r="T6662">
        <v>29</v>
      </c>
      <c r="U6662" s="2" t="s">
        <v>40371</v>
      </c>
      <c r="W6662" t="s">
        <v>360</v>
      </c>
      <c r="X6662">
        <v>808641</v>
      </c>
      <c r="Y6662" t="s">
        <v>40372</v>
      </c>
      <c r="Z6662" s="2" t="s">
        <v>40373</v>
      </c>
      <c r="AA6662" t="s">
        <v>40374</v>
      </c>
      <c r="AB6662" t="s">
        <v>70</v>
      </c>
      <c r="AG6662" t="s">
        <v>40375</v>
      </c>
      <c r="AH6662" t="s">
        <v>40376</v>
      </c>
      <c r="AI6662" t="s">
        <v>40377</v>
      </c>
    </row>
    <row r="6663" spans="2:35" ht="165">
      <c r="B6663" s="1">
        <v>45177</v>
      </c>
      <c r="C6663" s="4">
        <v>45177.460416666669</v>
      </c>
      <c r="D6663" t="s">
        <v>23619</v>
      </c>
      <c r="E6663" t="s">
        <v>27310</v>
      </c>
      <c r="F6663" t="s">
        <v>148</v>
      </c>
      <c r="G6663" t="s">
        <v>23621</v>
      </c>
      <c r="H6663" t="s">
        <v>39</v>
      </c>
      <c r="I6663" t="s">
        <v>40</v>
      </c>
      <c r="J6663" s="2" t="s">
        <v>1157</v>
      </c>
      <c r="K6663" t="s">
        <v>42</v>
      </c>
      <c r="L6663" t="s">
        <v>1943</v>
      </c>
      <c r="Q6663">
        <v>25889</v>
      </c>
      <c r="R6663" t="s">
        <v>119</v>
      </c>
      <c r="S6663" t="s">
        <v>23622</v>
      </c>
      <c r="T6663">
        <v>25</v>
      </c>
      <c r="U6663" s="2" t="s">
        <v>40378</v>
      </c>
      <c r="W6663" t="s">
        <v>84</v>
      </c>
      <c r="X6663">
        <v>831626</v>
      </c>
      <c r="Y6663" s="2" t="s">
        <v>40379</v>
      </c>
      <c r="Z6663" s="2" t="s">
        <v>40380</v>
      </c>
      <c r="AA6663" t="s">
        <v>23660</v>
      </c>
      <c r="AB6663" t="s">
        <v>40381</v>
      </c>
      <c r="AC6663" t="s">
        <v>32710</v>
      </c>
      <c r="AG6663" t="s">
        <v>40382</v>
      </c>
      <c r="AH6663" t="s">
        <v>40383</v>
      </c>
      <c r="AI6663" t="s">
        <v>40384</v>
      </c>
    </row>
    <row r="6664" spans="2:35" ht="180">
      <c r="B6664" s="1">
        <v>45177</v>
      </c>
      <c r="C6664" s="4">
        <v>45177.467361111114</v>
      </c>
      <c r="D6664" t="s">
        <v>23619</v>
      </c>
      <c r="E6664" t="s">
        <v>27310</v>
      </c>
      <c r="F6664" t="s">
        <v>148</v>
      </c>
      <c r="G6664" t="s">
        <v>23621</v>
      </c>
      <c r="H6664" t="s">
        <v>39</v>
      </c>
      <c r="I6664" t="s">
        <v>40</v>
      </c>
      <c r="J6664" s="2" t="s">
        <v>1592</v>
      </c>
      <c r="K6664" t="s">
        <v>42</v>
      </c>
      <c r="L6664" t="s">
        <v>1943</v>
      </c>
      <c r="Q6664">
        <v>25888</v>
      </c>
      <c r="R6664" t="s">
        <v>45</v>
      </c>
      <c r="S6664" t="s">
        <v>23622</v>
      </c>
      <c r="T6664">
        <v>25</v>
      </c>
      <c r="U6664" s="2" t="s">
        <v>40385</v>
      </c>
      <c r="W6664" t="s">
        <v>84</v>
      </c>
      <c r="X6664">
        <v>807592</v>
      </c>
      <c r="Y6664" s="2" t="s">
        <v>40386</v>
      </c>
      <c r="Z6664" s="2" t="s">
        <v>40387</v>
      </c>
      <c r="AA6664" t="s">
        <v>34312</v>
      </c>
      <c r="AB6664" t="s">
        <v>6032</v>
      </c>
      <c r="AC6664" t="s">
        <v>40388</v>
      </c>
      <c r="AG6664" t="s">
        <v>40389</v>
      </c>
      <c r="AH6664" t="s">
        <v>40383</v>
      </c>
      <c r="AI6664" t="s">
        <v>40390</v>
      </c>
    </row>
    <row r="6665" spans="2:35" ht="180">
      <c r="B6665" s="1">
        <v>45177</v>
      </c>
      <c r="C6665" s="4">
        <v>45177.443055555559</v>
      </c>
      <c r="D6665" t="s">
        <v>6518</v>
      </c>
      <c r="E6665" t="s">
        <v>40391</v>
      </c>
      <c r="F6665">
        <v>11</v>
      </c>
      <c r="G6665" t="s">
        <v>1205</v>
      </c>
      <c r="H6665" t="s">
        <v>202</v>
      </c>
      <c r="I6665" t="s">
        <v>40</v>
      </c>
      <c r="J6665" t="s">
        <v>996</v>
      </c>
      <c r="K6665" t="s">
        <v>42</v>
      </c>
      <c r="L6665" t="s">
        <v>204</v>
      </c>
      <c r="Q6665">
        <v>25887</v>
      </c>
      <c r="R6665" t="s">
        <v>119</v>
      </c>
      <c r="S6665" t="s">
        <v>6520</v>
      </c>
      <c r="T6665">
        <v>25.3</v>
      </c>
      <c r="U6665" s="2" t="s">
        <v>40392</v>
      </c>
      <c r="V6665" s="1">
        <v>45141</v>
      </c>
      <c r="W6665" t="s">
        <v>23237</v>
      </c>
      <c r="X6665">
        <v>838505</v>
      </c>
      <c r="Y6665" t="s">
        <v>67</v>
      </c>
      <c r="Z6665" t="s">
        <v>40393</v>
      </c>
      <c r="AA6665" t="s">
        <v>40394</v>
      </c>
      <c r="AB6665" s="2" t="s">
        <v>40395</v>
      </c>
      <c r="AC6665" t="s">
        <v>40396</v>
      </c>
      <c r="AD6665" t="s">
        <v>18451</v>
      </c>
      <c r="AE6665" t="s">
        <v>40397</v>
      </c>
      <c r="AG6665" t="s">
        <v>40398</v>
      </c>
      <c r="AH6665" t="s">
        <v>40399</v>
      </c>
      <c r="AI6665" t="s">
        <v>40400</v>
      </c>
    </row>
    <row r="6666" spans="2:35" ht="330">
      <c r="B6666" s="1">
        <v>45177</v>
      </c>
      <c r="C6666" s="4">
        <v>45177.436805555553</v>
      </c>
      <c r="D6666" t="s">
        <v>132</v>
      </c>
      <c r="E6666" t="s">
        <v>27259</v>
      </c>
      <c r="F6666">
        <v>3</v>
      </c>
      <c r="G6666" t="s">
        <v>134</v>
      </c>
      <c r="H6666" t="s">
        <v>39</v>
      </c>
      <c r="I6666" t="s">
        <v>40</v>
      </c>
      <c r="J6666" s="2" t="s">
        <v>190</v>
      </c>
      <c r="K6666" t="s">
        <v>42</v>
      </c>
      <c r="L6666" t="s">
        <v>135</v>
      </c>
      <c r="Q6666">
        <v>25886</v>
      </c>
      <c r="R6666" t="s">
        <v>119</v>
      </c>
      <c r="S6666" t="s">
        <v>137</v>
      </c>
      <c r="T6666">
        <v>28</v>
      </c>
      <c r="U6666" s="2" t="s">
        <v>40401</v>
      </c>
      <c r="W6666" t="s">
        <v>2680</v>
      </c>
      <c r="X6666">
        <v>831900</v>
      </c>
      <c r="Y6666" t="s">
        <v>40402</v>
      </c>
      <c r="Z6666" s="2" t="s">
        <v>29848</v>
      </c>
      <c r="AA6666" s="2" t="s">
        <v>40403</v>
      </c>
      <c r="AB6666" t="s">
        <v>40404</v>
      </c>
      <c r="AG6666" t="s">
        <v>40405</v>
      </c>
      <c r="AH6666" t="s">
        <v>40406</v>
      </c>
      <c r="AI6666" t="s">
        <v>40407</v>
      </c>
    </row>
    <row r="6667" spans="2:35" ht="210">
      <c r="B6667" s="1">
        <v>45177</v>
      </c>
      <c r="C6667" s="4">
        <v>45177.412499999999</v>
      </c>
      <c r="D6667" t="s">
        <v>2364</v>
      </c>
      <c r="E6667" t="s">
        <v>7483</v>
      </c>
      <c r="F6667">
        <v>12</v>
      </c>
      <c r="G6667" t="s">
        <v>978</v>
      </c>
      <c r="H6667" t="s">
        <v>5391</v>
      </c>
      <c r="I6667" t="s">
        <v>94</v>
      </c>
      <c r="J6667" s="2" t="s">
        <v>41</v>
      </c>
      <c r="K6667" t="s">
        <v>42</v>
      </c>
      <c r="L6667" t="s">
        <v>296</v>
      </c>
      <c r="Q6667">
        <v>25885</v>
      </c>
      <c r="R6667" t="s">
        <v>45</v>
      </c>
      <c r="S6667" t="s">
        <v>2366</v>
      </c>
      <c r="T6667">
        <v>25.6</v>
      </c>
      <c r="U6667" s="2" t="s">
        <v>40408</v>
      </c>
      <c r="V6667" s="1">
        <v>45177</v>
      </c>
      <c r="W6667" t="s">
        <v>23049</v>
      </c>
      <c r="X6667">
        <v>815428</v>
      </c>
      <c r="Y6667" t="s">
        <v>15200</v>
      </c>
      <c r="Z6667" t="s">
        <v>9161</v>
      </c>
      <c r="AA6667" t="s">
        <v>40409</v>
      </c>
      <c r="AB6667" t="s">
        <v>972</v>
      </c>
      <c r="AD6667" t="s">
        <v>40410</v>
      </c>
      <c r="AE6667" t="s">
        <v>19700</v>
      </c>
      <c r="AG6667" t="s">
        <v>40411</v>
      </c>
      <c r="AH6667" t="s">
        <v>40412</v>
      </c>
      <c r="AI6667" t="s">
        <v>40413</v>
      </c>
    </row>
    <row r="6668" spans="2:35" ht="330">
      <c r="B6668" s="1">
        <v>45177</v>
      </c>
      <c r="C6668" s="4">
        <v>45176.602777777778</v>
      </c>
      <c r="D6668" t="s">
        <v>7200</v>
      </c>
      <c r="E6668" t="s">
        <v>12226</v>
      </c>
      <c r="F6668">
        <v>12</v>
      </c>
      <c r="G6668" t="s">
        <v>978</v>
      </c>
      <c r="H6668" t="s">
        <v>40414</v>
      </c>
      <c r="I6668" t="s">
        <v>94</v>
      </c>
      <c r="J6668" s="2" t="s">
        <v>41</v>
      </c>
      <c r="K6668" t="s">
        <v>42</v>
      </c>
      <c r="L6668" t="s">
        <v>296</v>
      </c>
      <c r="Q6668">
        <v>25884</v>
      </c>
      <c r="R6668" t="s">
        <v>119</v>
      </c>
      <c r="S6668" t="s">
        <v>7202</v>
      </c>
      <c r="T6668">
        <v>26.8</v>
      </c>
      <c r="U6668" s="2" t="s">
        <v>40415</v>
      </c>
      <c r="V6668" s="1">
        <v>45176</v>
      </c>
      <c r="W6668" t="s">
        <v>23049</v>
      </c>
      <c r="X6668">
        <v>838504</v>
      </c>
      <c r="Y6668" t="s">
        <v>40416</v>
      </c>
      <c r="Z6668" t="s">
        <v>9161</v>
      </c>
      <c r="AA6668" s="2" t="s">
        <v>40417</v>
      </c>
      <c r="AB6668" t="s">
        <v>1480</v>
      </c>
      <c r="AD6668" t="s">
        <v>37959</v>
      </c>
      <c r="AE6668" t="s">
        <v>40418</v>
      </c>
      <c r="AG6668" t="s">
        <v>40419</v>
      </c>
      <c r="AH6668" t="s">
        <v>32835</v>
      </c>
      <c r="AI6668" t="s">
        <v>40420</v>
      </c>
    </row>
    <row r="6669" spans="2:35" ht="409.5">
      <c r="B6669" s="1">
        <v>45177</v>
      </c>
      <c r="C6669" s="4">
        <v>45177.387499999997</v>
      </c>
      <c r="D6669" t="s">
        <v>1081</v>
      </c>
      <c r="E6669" t="s">
        <v>27369</v>
      </c>
      <c r="F6669" t="s">
        <v>148</v>
      </c>
      <c r="G6669" t="s">
        <v>785</v>
      </c>
      <c r="H6669" t="s">
        <v>39</v>
      </c>
      <c r="I6669" t="s">
        <v>40</v>
      </c>
      <c r="J6669" t="s">
        <v>1422</v>
      </c>
      <c r="K6669" t="s">
        <v>42</v>
      </c>
      <c r="L6669" t="s">
        <v>43</v>
      </c>
      <c r="Q6669">
        <v>25883</v>
      </c>
      <c r="R6669" t="s">
        <v>95</v>
      </c>
      <c r="S6669" t="s">
        <v>2016</v>
      </c>
      <c r="T6669">
        <v>29</v>
      </c>
      <c r="U6669" s="2" t="s">
        <v>40421</v>
      </c>
      <c r="W6669" t="s">
        <v>5136</v>
      </c>
      <c r="X6669">
        <v>110015767</v>
      </c>
      <c r="Y6669" t="s">
        <v>4709</v>
      </c>
      <c r="Z6669" t="s">
        <v>40422</v>
      </c>
      <c r="AA6669" s="2" t="s">
        <v>40423</v>
      </c>
      <c r="AB6669" t="s">
        <v>40424</v>
      </c>
      <c r="AG6669" t="s">
        <v>40425</v>
      </c>
      <c r="AH6669" t="s">
        <v>40426</v>
      </c>
      <c r="AI6669" t="s">
        <v>40427</v>
      </c>
    </row>
    <row r="6670" spans="2:35" ht="270">
      <c r="B6670" s="1">
        <v>45177</v>
      </c>
      <c r="C6670" s="4">
        <v>45176.428472222222</v>
      </c>
      <c r="D6670" t="s">
        <v>10933</v>
      </c>
      <c r="E6670" t="s">
        <v>10934</v>
      </c>
      <c r="F6670" t="s">
        <v>148</v>
      </c>
      <c r="G6670" t="s">
        <v>310</v>
      </c>
      <c r="H6670" t="s">
        <v>662</v>
      </c>
      <c r="I6670" t="s">
        <v>40</v>
      </c>
      <c r="J6670" s="2" t="s">
        <v>62</v>
      </c>
      <c r="K6670" t="s">
        <v>42</v>
      </c>
      <c r="L6670" t="s">
        <v>1028</v>
      </c>
      <c r="Q6670">
        <v>25880</v>
      </c>
      <c r="R6670" t="s">
        <v>322</v>
      </c>
      <c r="S6670" t="s">
        <v>14776</v>
      </c>
      <c r="T6670">
        <v>22</v>
      </c>
      <c r="U6670" s="2" t="s">
        <v>40428</v>
      </c>
      <c r="V6670" s="1">
        <v>45173</v>
      </c>
      <c r="W6670" t="s">
        <v>1032</v>
      </c>
      <c r="X6670">
        <v>110015482</v>
      </c>
      <c r="Y6670" t="s">
        <v>18140</v>
      </c>
      <c r="Z6670" t="s">
        <v>21244</v>
      </c>
      <c r="AA6670" s="2" t="s">
        <v>39021</v>
      </c>
      <c r="AB6670" t="s">
        <v>40429</v>
      </c>
      <c r="AC6670" t="s">
        <v>40430</v>
      </c>
      <c r="AD6670" t="s">
        <v>7189</v>
      </c>
      <c r="AE6670">
        <v>10632</v>
      </c>
      <c r="AG6670" t="s">
        <v>40431</v>
      </c>
      <c r="AH6670" t="s">
        <v>40432</v>
      </c>
      <c r="AI6670" t="s">
        <v>40433</v>
      </c>
    </row>
    <row r="6671" spans="2:35" ht="150">
      <c r="B6671" s="1">
        <v>45177</v>
      </c>
      <c r="C6671" s="4">
        <v>45176.356944444444</v>
      </c>
      <c r="D6671" t="s">
        <v>40434</v>
      </c>
      <c r="E6671" t="s">
        <v>40435</v>
      </c>
      <c r="F6671" t="s">
        <v>148</v>
      </c>
      <c r="G6671" t="s">
        <v>310</v>
      </c>
      <c r="H6671" t="s">
        <v>39</v>
      </c>
      <c r="I6671" t="s">
        <v>40</v>
      </c>
      <c r="J6671" s="2" t="s">
        <v>41</v>
      </c>
      <c r="K6671" t="s">
        <v>42</v>
      </c>
      <c r="L6671" t="s">
        <v>1028</v>
      </c>
      <c r="Q6671">
        <v>25882</v>
      </c>
      <c r="R6671" t="s">
        <v>119</v>
      </c>
      <c r="S6671" t="s">
        <v>27813</v>
      </c>
      <c r="T6671">
        <v>28</v>
      </c>
      <c r="U6671" s="2" t="s">
        <v>20886</v>
      </c>
      <c r="V6671" s="1">
        <v>45163</v>
      </c>
      <c r="W6671" t="s">
        <v>2680</v>
      </c>
      <c r="X6671">
        <v>831694</v>
      </c>
      <c r="Y6671" t="s">
        <v>35646</v>
      </c>
      <c r="Z6671" t="s">
        <v>2129</v>
      </c>
      <c r="AA6671" s="2" t="s">
        <v>40436</v>
      </c>
      <c r="AB6671" t="s">
        <v>3063</v>
      </c>
      <c r="AD6671" t="s">
        <v>18642</v>
      </c>
      <c r="AE6671">
        <v>10597</v>
      </c>
      <c r="AG6671" t="s">
        <v>40437</v>
      </c>
      <c r="AH6671" t="s">
        <v>40438</v>
      </c>
      <c r="AI6671" t="s">
        <v>40439</v>
      </c>
    </row>
    <row r="6672" spans="2:35" ht="285">
      <c r="B6672" s="1">
        <v>45177</v>
      </c>
      <c r="C6672" s="4">
        <v>45175.363194444442</v>
      </c>
      <c r="D6672" t="s">
        <v>31460</v>
      </c>
      <c r="E6672" t="s">
        <v>39787</v>
      </c>
      <c r="F6672" t="s">
        <v>37</v>
      </c>
      <c r="G6672" t="s">
        <v>748</v>
      </c>
      <c r="H6672" t="s">
        <v>39</v>
      </c>
      <c r="I6672" t="s">
        <v>40</v>
      </c>
      <c r="J6672" s="2" t="s">
        <v>41</v>
      </c>
      <c r="K6672" t="s">
        <v>42</v>
      </c>
      <c r="L6672" t="s">
        <v>1028</v>
      </c>
      <c r="Q6672">
        <v>25880</v>
      </c>
      <c r="R6672" t="s">
        <v>45</v>
      </c>
      <c r="S6672" t="s">
        <v>31462</v>
      </c>
      <c r="T6672">
        <v>24</v>
      </c>
      <c r="U6672" s="2" t="s">
        <v>40440</v>
      </c>
      <c r="W6672" t="s">
        <v>2680</v>
      </c>
      <c r="X6672">
        <v>838893</v>
      </c>
      <c r="Y6672" t="s">
        <v>35646</v>
      </c>
      <c r="Z6672" t="s">
        <v>2129</v>
      </c>
      <c r="AA6672" s="2" t="s">
        <v>40436</v>
      </c>
      <c r="AB6672" t="s">
        <v>3063</v>
      </c>
      <c r="AC6672" t="s">
        <v>40441</v>
      </c>
      <c r="AG6672" t="s">
        <v>40442</v>
      </c>
      <c r="AH6672" t="s">
        <v>31468</v>
      </c>
      <c r="AI6672" t="s">
        <v>40443</v>
      </c>
    </row>
    <row r="6673" spans="2:35" ht="120">
      <c r="B6673" s="1">
        <v>45177</v>
      </c>
      <c r="C6673" s="4">
        <v>45175.470138888886</v>
      </c>
      <c r="D6673" t="s">
        <v>13937</v>
      </c>
      <c r="E6673" t="s">
        <v>39787</v>
      </c>
      <c r="F6673" t="s">
        <v>37</v>
      </c>
      <c r="G6673" t="s">
        <v>748</v>
      </c>
      <c r="H6673" t="s">
        <v>39</v>
      </c>
      <c r="I6673" t="s">
        <v>40</v>
      </c>
      <c r="J6673" t="s">
        <v>525</v>
      </c>
      <c r="K6673" t="s">
        <v>42</v>
      </c>
      <c r="L6673" t="s">
        <v>1028</v>
      </c>
      <c r="Q6673">
        <v>25879</v>
      </c>
      <c r="R6673" t="s">
        <v>703</v>
      </c>
      <c r="S6673" t="s">
        <v>18636</v>
      </c>
      <c r="T6673">
        <v>26</v>
      </c>
      <c r="U6673" s="2" t="s">
        <v>40444</v>
      </c>
      <c r="W6673" t="s">
        <v>38524</v>
      </c>
      <c r="X6673">
        <v>842166</v>
      </c>
      <c r="Y6673" t="s">
        <v>40445</v>
      </c>
      <c r="Z6673" t="s">
        <v>10920</v>
      </c>
      <c r="AA6673" s="2" t="s">
        <v>40446</v>
      </c>
      <c r="AB6673" t="s">
        <v>40447</v>
      </c>
      <c r="AG6673" t="s">
        <v>40448</v>
      </c>
      <c r="AH6673" t="s">
        <v>23787</v>
      </c>
      <c r="AI6673" t="s">
        <v>40449</v>
      </c>
    </row>
    <row r="6674" spans="2:35" ht="210">
      <c r="B6674" s="1">
        <v>45177</v>
      </c>
      <c r="C6674" s="4">
        <v>45175.415277777778</v>
      </c>
      <c r="D6674" t="s">
        <v>40450</v>
      </c>
      <c r="E6674" t="s">
        <v>40451</v>
      </c>
      <c r="F6674" t="s">
        <v>37</v>
      </c>
      <c r="G6674" t="s">
        <v>748</v>
      </c>
      <c r="H6674" t="s">
        <v>39</v>
      </c>
      <c r="I6674" t="s">
        <v>40</v>
      </c>
      <c r="J6674" t="s">
        <v>525</v>
      </c>
      <c r="K6674" t="s">
        <v>42</v>
      </c>
      <c r="L6674" t="s">
        <v>1028</v>
      </c>
      <c r="Q6674">
        <v>25881</v>
      </c>
      <c r="R6674" t="s">
        <v>119</v>
      </c>
      <c r="S6674" t="s">
        <v>5176</v>
      </c>
      <c r="T6674">
        <v>26</v>
      </c>
      <c r="W6674" t="s">
        <v>2680</v>
      </c>
      <c r="X6674">
        <v>838535</v>
      </c>
      <c r="Y6674" t="s">
        <v>40452</v>
      </c>
      <c r="Z6674" t="s">
        <v>10920</v>
      </c>
      <c r="AA6674" s="2" t="s">
        <v>40453</v>
      </c>
      <c r="AB6674" t="s">
        <v>40454</v>
      </c>
      <c r="AC6674" t="s">
        <v>40455</v>
      </c>
      <c r="AG6674" t="s">
        <v>40456</v>
      </c>
      <c r="AH6674" t="s">
        <v>5181</v>
      </c>
      <c r="AI6674" t="s">
        <v>40457</v>
      </c>
    </row>
    <row r="6675" spans="2:35" ht="225">
      <c r="B6675" s="1">
        <v>45176</v>
      </c>
      <c r="C6675" s="4">
        <v>45176.61041666667</v>
      </c>
      <c r="D6675" t="s">
        <v>40458</v>
      </c>
      <c r="E6675" t="s">
        <v>40459</v>
      </c>
      <c r="F6675">
        <v>5</v>
      </c>
      <c r="G6675" t="s">
        <v>839</v>
      </c>
      <c r="H6675" t="s">
        <v>39</v>
      </c>
      <c r="I6675" t="s">
        <v>40</v>
      </c>
      <c r="J6675" s="2" t="s">
        <v>41</v>
      </c>
      <c r="K6675" t="s">
        <v>42</v>
      </c>
      <c r="L6675" t="s">
        <v>761</v>
      </c>
      <c r="Q6675">
        <v>25878</v>
      </c>
      <c r="R6675" t="s">
        <v>45</v>
      </c>
      <c r="S6675" t="s">
        <v>2982</v>
      </c>
      <c r="T6675">
        <v>29</v>
      </c>
      <c r="U6675" s="2" t="s">
        <v>40460</v>
      </c>
      <c r="W6675" t="s">
        <v>360</v>
      </c>
      <c r="X6675">
        <v>808285</v>
      </c>
      <c r="Y6675" t="s">
        <v>40461</v>
      </c>
      <c r="Z6675" s="2" t="s">
        <v>40462</v>
      </c>
      <c r="AA6675" s="2" t="s">
        <v>34459</v>
      </c>
      <c r="AB6675" t="s">
        <v>40463</v>
      </c>
      <c r="AG6675" t="s">
        <v>40464</v>
      </c>
      <c r="AH6675" t="s">
        <v>2988</v>
      </c>
      <c r="AI6675" t="s">
        <v>40465</v>
      </c>
    </row>
    <row r="6676" spans="2:35" ht="120">
      <c r="B6676" s="1">
        <v>45176</v>
      </c>
      <c r="C6676" s="4">
        <v>45175.960416666669</v>
      </c>
      <c r="D6676" t="s">
        <v>40466</v>
      </c>
      <c r="E6676" t="s">
        <v>40467</v>
      </c>
      <c r="F6676">
        <v>5</v>
      </c>
      <c r="G6676" t="s">
        <v>839</v>
      </c>
      <c r="H6676" t="s">
        <v>39</v>
      </c>
      <c r="I6676" t="s">
        <v>40</v>
      </c>
      <c r="J6676" t="s">
        <v>525</v>
      </c>
      <c r="K6676" t="s">
        <v>42</v>
      </c>
      <c r="L6676" t="s">
        <v>761</v>
      </c>
      <c r="Q6676">
        <v>25877</v>
      </c>
      <c r="R6676" t="s">
        <v>719</v>
      </c>
      <c r="S6676" t="s">
        <v>40468</v>
      </c>
      <c r="T6676">
        <v>28</v>
      </c>
      <c r="U6676" s="2" t="s">
        <v>19622</v>
      </c>
      <c r="W6676" t="s">
        <v>360</v>
      </c>
      <c r="X6676">
        <v>846355</v>
      </c>
      <c r="Y6676" t="s">
        <v>40469</v>
      </c>
      <c r="Z6676" s="2" t="s">
        <v>40470</v>
      </c>
      <c r="AA6676" t="s">
        <v>587</v>
      </c>
      <c r="AB6676" t="s">
        <v>70</v>
      </c>
      <c r="AG6676" t="s">
        <v>40471</v>
      </c>
      <c r="AH6676" t="s">
        <v>40472</v>
      </c>
      <c r="AI6676" t="s">
        <v>40473</v>
      </c>
    </row>
    <row r="6677" spans="2:35" ht="240">
      <c r="B6677" s="1">
        <v>45176</v>
      </c>
      <c r="C6677" s="4">
        <v>45175.960416666669</v>
      </c>
      <c r="D6677" t="s">
        <v>40474</v>
      </c>
      <c r="E6677" t="s">
        <v>8915</v>
      </c>
      <c r="F6677">
        <v>5</v>
      </c>
      <c r="G6677" t="s">
        <v>839</v>
      </c>
      <c r="H6677" t="s">
        <v>39</v>
      </c>
      <c r="I6677" t="s">
        <v>40</v>
      </c>
      <c r="J6677" s="2" t="s">
        <v>41</v>
      </c>
      <c r="K6677" t="s">
        <v>42</v>
      </c>
      <c r="L6677" t="s">
        <v>761</v>
      </c>
      <c r="Q6677">
        <v>25876</v>
      </c>
      <c r="R6677" t="s">
        <v>119</v>
      </c>
      <c r="S6677" t="s">
        <v>40475</v>
      </c>
      <c r="T6677">
        <v>30</v>
      </c>
      <c r="W6677" t="s">
        <v>360</v>
      </c>
      <c r="X6677">
        <v>838558</v>
      </c>
      <c r="Y6677" t="s">
        <v>40476</v>
      </c>
      <c r="Z6677" s="2" t="s">
        <v>40477</v>
      </c>
      <c r="AA6677" s="2" t="s">
        <v>40068</v>
      </c>
      <c r="AB6677" t="s">
        <v>181</v>
      </c>
      <c r="AG6677" t="s">
        <v>40478</v>
      </c>
      <c r="AH6677" t="s">
        <v>14219</v>
      </c>
      <c r="AI6677" t="s">
        <v>40479</v>
      </c>
    </row>
    <row r="6678" spans="2:35" ht="360">
      <c r="B6678" s="1">
        <v>45176</v>
      </c>
      <c r="C6678" s="4">
        <v>45176.699305555558</v>
      </c>
      <c r="D6678" t="s">
        <v>5089</v>
      </c>
      <c r="E6678" t="s">
        <v>11244</v>
      </c>
      <c r="F6678">
        <v>3</v>
      </c>
      <c r="G6678" t="s">
        <v>1722</v>
      </c>
      <c r="H6678" t="s">
        <v>39</v>
      </c>
      <c r="I6678" t="s">
        <v>40</v>
      </c>
      <c r="J6678" s="2" t="s">
        <v>190</v>
      </c>
      <c r="K6678" t="s">
        <v>42</v>
      </c>
      <c r="L6678" t="s">
        <v>63</v>
      </c>
      <c r="Q6678">
        <v>25875</v>
      </c>
      <c r="R6678" t="s">
        <v>45</v>
      </c>
      <c r="S6678" t="s">
        <v>15318</v>
      </c>
      <c r="T6678">
        <v>28</v>
      </c>
      <c r="U6678" s="2" t="s">
        <v>40480</v>
      </c>
      <c r="V6678" s="1">
        <v>45176</v>
      </c>
      <c r="W6678" t="s">
        <v>26915</v>
      </c>
      <c r="X6678">
        <v>844111</v>
      </c>
      <c r="Y6678" t="s">
        <v>40481</v>
      </c>
      <c r="Z6678" t="s">
        <v>40482</v>
      </c>
      <c r="AA6678" s="2" t="s">
        <v>1727</v>
      </c>
      <c r="AB6678" t="s">
        <v>70</v>
      </c>
      <c r="AC6678" t="s">
        <v>40483</v>
      </c>
      <c r="AD6678" t="s">
        <v>1716</v>
      </c>
      <c r="AE6678" t="s">
        <v>1716</v>
      </c>
      <c r="AG6678" t="s">
        <v>40484</v>
      </c>
      <c r="AH6678" t="s">
        <v>21706</v>
      </c>
      <c r="AI6678" t="s">
        <v>40485</v>
      </c>
    </row>
    <row r="6679" spans="2:35" ht="375">
      <c r="B6679" s="1">
        <v>45176</v>
      </c>
      <c r="C6679" s="4">
        <v>45176.629166666666</v>
      </c>
      <c r="D6679" t="s">
        <v>31830</v>
      </c>
      <c r="E6679" t="s">
        <v>4655</v>
      </c>
      <c r="F6679">
        <v>10</v>
      </c>
      <c r="G6679" t="s">
        <v>1395</v>
      </c>
      <c r="H6679" t="s">
        <v>2125</v>
      </c>
      <c r="I6679" t="s">
        <v>40</v>
      </c>
      <c r="J6679" s="2" t="s">
        <v>41</v>
      </c>
      <c r="K6679" t="s">
        <v>42</v>
      </c>
      <c r="L6679" t="s">
        <v>933</v>
      </c>
      <c r="Q6679">
        <v>25874</v>
      </c>
      <c r="R6679" t="s">
        <v>45</v>
      </c>
      <c r="S6679" t="s">
        <v>31832</v>
      </c>
      <c r="T6679">
        <v>25</v>
      </c>
      <c r="U6679" s="2" t="s">
        <v>40486</v>
      </c>
      <c r="W6679" t="s">
        <v>34485</v>
      </c>
      <c r="X6679">
        <v>844118</v>
      </c>
      <c r="Y6679" t="s">
        <v>40487</v>
      </c>
      <c r="Z6679" t="s">
        <v>301</v>
      </c>
      <c r="AA6679" s="2" t="s">
        <v>40488</v>
      </c>
      <c r="AB6679" t="s">
        <v>40489</v>
      </c>
      <c r="AC6679" t="s">
        <v>40490</v>
      </c>
      <c r="AG6679" t="s">
        <v>40491</v>
      </c>
      <c r="AH6679" t="s">
        <v>40492</v>
      </c>
      <c r="AI6679" t="s">
        <v>40493</v>
      </c>
    </row>
    <row r="6680" spans="2:35" ht="165">
      <c r="B6680" s="1">
        <v>45176</v>
      </c>
      <c r="C6680" s="4">
        <v>45176.62222222222</v>
      </c>
      <c r="D6680" t="s">
        <v>35459</v>
      </c>
      <c r="E6680" t="s">
        <v>35460</v>
      </c>
      <c r="F6680">
        <v>3</v>
      </c>
      <c r="G6680" t="s">
        <v>1722</v>
      </c>
      <c r="H6680" t="s">
        <v>39</v>
      </c>
      <c r="I6680" t="s">
        <v>40</v>
      </c>
      <c r="J6680" s="2" t="s">
        <v>190</v>
      </c>
      <c r="K6680" t="s">
        <v>42</v>
      </c>
      <c r="L6680" t="s">
        <v>63</v>
      </c>
      <c r="Q6680">
        <v>25873</v>
      </c>
      <c r="R6680" t="s">
        <v>119</v>
      </c>
      <c r="S6680" t="s">
        <v>35461</v>
      </c>
      <c r="T6680">
        <v>21</v>
      </c>
      <c r="V6680" s="1">
        <v>45176</v>
      </c>
      <c r="W6680" t="s">
        <v>26915</v>
      </c>
      <c r="X6680">
        <v>831673</v>
      </c>
      <c r="Y6680" t="s">
        <v>6973</v>
      </c>
      <c r="Z6680" t="s">
        <v>11377</v>
      </c>
      <c r="AA6680" s="2" t="s">
        <v>1727</v>
      </c>
      <c r="AB6680" t="s">
        <v>70</v>
      </c>
      <c r="AC6680" t="s">
        <v>11378</v>
      </c>
      <c r="AD6680" t="s">
        <v>1716</v>
      </c>
      <c r="AE6680" t="s">
        <v>1716</v>
      </c>
      <c r="AG6680" t="s">
        <v>40494</v>
      </c>
      <c r="AH6680" t="s">
        <v>40495</v>
      </c>
      <c r="AI6680" t="s">
        <v>40496</v>
      </c>
    </row>
    <row r="6681" spans="2:35" ht="409.5">
      <c r="B6681" s="1">
        <v>45176</v>
      </c>
      <c r="C6681" s="4">
        <v>45176.618055555555</v>
      </c>
      <c r="D6681" t="s">
        <v>24542</v>
      </c>
      <c r="E6681" t="s">
        <v>40497</v>
      </c>
      <c r="F6681">
        <v>7</v>
      </c>
      <c r="G6681" t="s">
        <v>432</v>
      </c>
      <c r="H6681" t="s">
        <v>258</v>
      </c>
      <c r="I6681" t="s">
        <v>40</v>
      </c>
      <c r="J6681" t="s">
        <v>7032</v>
      </c>
      <c r="K6681" t="s">
        <v>42</v>
      </c>
      <c r="L6681" t="s">
        <v>594</v>
      </c>
      <c r="Q6681">
        <v>25872</v>
      </c>
      <c r="R6681" t="s">
        <v>95</v>
      </c>
      <c r="S6681" t="s">
        <v>11980</v>
      </c>
      <c r="T6681">
        <v>21</v>
      </c>
      <c r="U6681" s="2" t="s">
        <v>40498</v>
      </c>
      <c r="W6681" t="s">
        <v>23146</v>
      </c>
      <c r="X6681">
        <v>802314</v>
      </c>
      <c r="Y6681" t="s">
        <v>301</v>
      </c>
      <c r="Z6681" t="s">
        <v>40499</v>
      </c>
      <c r="AA6681" s="2" t="s">
        <v>40500</v>
      </c>
      <c r="AB6681" t="s">
        <v>40501</v>
      </c>
      <c r="AG6681" t="s">
        <v>40502</v>
      </c>
      <c r="AH6681" t="s">
        <v>40503</v>
      </c>
      <c r="AI6681" t="s">
        <v>40504</v>
      </c>
    </row>
    <row r="6682" spans="2:35" ht="105">
      <c r="B6682" s="1">
        <v>45176</v>
      </c>
      <c r="C6682" s="4">
        <v>45176.6</v>
      </c>
      <c r="D6682" t="s">
        <v>9179</v>
      </c>
      <c r="E6682" t="s">
        <v>9180</v>
      </c>
      <c r="F6682">
        <v>8</v>
      </c>
      <c r="G6682" t="s">
        <v>2197</v>
      </c>
      <c r="H6682" t="s">
        <v>39</v>
      </c>
      <c r="I6682" t="s">
        <v>40</v>
      </c>
      <c r="J6682" s="2" t="s">
        <v>1157</v>
      </c>
      <c r="K6682" t="s">
        <v>42</v>
      </c>
      <c r="L6682" t="s">
        <v>1257</v>
      </c>
      <c r="Q6682">
        <v>25871</v>
      </c>
      <c r="R6682" t="s">
        <v>119</v>
      </c>
      <c r="S6682" t="s">
        <v>9181</v>
      </c>
      <c r="T6682">
        <v>27</v>
      </c>
      <c r="U6682" s="2" t="s">
        <v>829</v>
      </c>
      <c r="V6682" s="1">
        <v>45140</v>
      </c>
      <c r="W6682" t="s">
        <v>2384</v>
      </c>
      <c r="X6682">
        <v>838443</v>
      </c>
      <c r="Y6682" t="s">
        <v>40505</v>
      </c>
      <c r="Z6682" t="s">
        <v>40506</v>
      </c>
      <c r="AA6682" t="s">
        <v>40507</v>
      </c>
      <c r="AB6682" t="s">
        <v>40508</v>
      </c>
      <c r="AC6682" t="s">
        <v>301</v>
      </c>
      <c r="AD6682" t="s">
        <v>5255</v>
      </c>
      <c r="AE6682">
        <v>10400</v>
      </c>
      <c r="AG6682" t="s">
        <v>40509</v>
      </c>
      <c r="AH6682" t="s">
        <v>40510</v>
      </c>
      <c r="AI6682" t="s">
        <v>40511</v>
      </c>
    </row>
    <row r="6683" spans="2:35" ht="105">
      <c r="B6683" s="1">
        <v>45176</v>
      </c>
      <c r="C6683" s="4">
        <v>45176.603472222225</v>
      </c>
      <c r="D6683" t="s">
        <v>24542</v>
      </c>
      <c r="E6683" t="s">
        <v>40497</v>
      </c>
      <c r="F6683">
        <v>7</v>
      </c>
      <c r="G6683" t="s">
        <v>432</v>
      </c>
      <c r="H6683" t="s">
        <v>258</v>
      </c>
      <c r="I6683" t="s">
        <v>40</v>
      </c>
      <c r="J6683" t="s">
        <v>321</v>
      </c>
      <c r="K6683" t="s">
        <v>42</v>
      </c>
      <c r="L6683" t="s">
        <v>594</v>
      </c>
      <c r="Q6683">
        <v>25870</v>
      </c>
      <c r="R6683" t="s">
        <v>95</v>
      </c>
      <c r="S6683" t="s">
        <v>11980</v>
      </c>
      <c r="T6683">
        <v>21</v>
      </c>
      <c r="U6683" s="2" t="s">
        <v>1509</v>
      </c>
      <c r="W6683" t="s">
        <v>3662</v>
      </c>
      <c r="X6683">
        <v>110020777</v>
      </c>
      <c r="Y6683" t="s">
        <v>301</v>
      </c>
      <c r="Z6683" t="s">
        <v>40512</v>
      </c>
      <c r="AA6683" t="e">
        <f ca="1">- Install new GeneXpert Unit
- system Configuration (_xludf.Windows _xludf.and GxDx software)
- Add end user profiles
- Import GeneXpert Assays
- Generate Installation QUALIFICATION report</f>
        <v>#NAME?</v>
      </c>
      <c r="AB6683" t="s">
        <v>32359</v>
      </c>
      <c r="AG6683" t="s">
        <v>40513</v>
      </c>
      <c r="AH6683" t="s">
        <v>40514</v>
      </c>
      <c r="AI6683" t="s">
        <v>40515</v>
      </c>
    </row>
    <row r="6684" spans="2:35">
      <c r="B6684" s="1">
        <v>45176</v>
      </c>
      <c r="C6684" s="4">
        <v>45176.572222222225</v>
      </c>
      <c r="D6684" t="s">
        <v>5932</v>
      </c>
      <c r="E6684" t="s">
        <v>40516</v>
      </c>
      <c r="F6684">
        <v>11</v>
      </c>
      <c r="G6684" t="s">
        <v>2836</v>
      </c>
      <c r="H6684" t="s">
        <v>202</v>
      </c>
      <c r="I6684" t="s">
        <v>40</v>
      </c>
      <c r="J6684" t="s">
        <v>525</v>
      </c>
      <c r="K6684" t="s">
        <v>42</v>
      </c>
      <c r="L6684" t="s">
        <v>204</v>
      </c>
      <c r="Q6684">
        <v>25869</v>
      </c>
      <c r="R6684" t="s">
        <v>119</v>
      </c>
      <c r="S6684" t="s">
        <v>39890</v>
      </c>
      <c r="T6684">
        <v>28.5</v>
      </c>
      <c r="W6684" t="s">
        <v>23237</v>
      </c>
      <c r="X6684">
        <v>838553</v>
      </c>
      <c r="Y6684" t="s">
        <v>40517</v>
      </c>
      <c r="Z6684" t="s">
        <v>40518</v>
      </c>
      <c r="AA6684" t="s">
        <v>39822</v>
      </c>
      <c r="AB6684" t="s">
        <v>28863</v>
      </c>
      <c r="AG6684" t="s">
        <v>40519</v>
      </c>
      <c r="AH6684" t="s">
        <v>40520</v>
      </c>
      <c r="AI6684" t="s">
        <v>40521</v>
      </c>
    </row>
    <row r="6685" spans="2:35" ht="45">
      <c r="B6685" s="1">
        <v>45176</v>
      </c>
      <c r="C6685" s="4">
        <v>45176.561111111114</v>
      </c>
      <c r="D6685" t="s">
        <v>10074</v>
      </c>
      <c r="E6685" t="s">
        <v>38364</v>
      </c>
      <c r="F6685">
        <v>6</v>
      </c>
      <c r="G6685" t="s">
        <v>1234</v>
      </c>
      <c r="H6685" t="s">
        <v>1047</v>
      </c>
      <c r="I6685" t="s">
        <v>94</v>
      </c>
      <c r="J6685" s="2" t="s">
        <v>2170</v>
      </c>
      <c r="K6685" t="s">
        <v>42</v>
      </c>
      <c r="L6685" t="s">
        <v>23958</v>
      </c>
      <c r="Q6685">
        <v>25868</v>
      </c>
      <c r="R6685" t="s">
        <v>119</v>
      </c>
      <c r="S6685" t="s">
        <v>10076</v>
      </c>
      <c r="T6685">
        <v>4</v>
      </c>
      <c r="W6685" t="s">
        <v>360</v>
      </c>
      <c r="X6685">
        <v>838486</v>
      </c>
      <c r="Y6685" t="s">
        <v>40522</v>
      </c>
      <c r="Z6685" t="s">
        <v>40523</v>
      </c>
      <c r="AA6685" t="s">
        <v>40524</v>
      </c>
      <c r="AB6685" t="s">
        <v>40525</v>
      </c>
      <c r="AG6685" t="s">
        <v>40526</v>
      </c>
      <c r="AH6685" t="s">
        <v>40527</v>
      </c>
      <c r="AI6685" t="s">
        <v>40528</v>
      </c>
    </row>
    <row r="6686" spans="2:35" ht="409.5">
      <c r="B6686" s="1">
        <v>45176</v>
      </c>
      <c r="C6686" s="4">
        <v>45175.685416666667</v>
      </c>
      <c r="D6686" t="s">
        <v>5602</v>
      </c>
      <c r="E6686" t="s">
        <v>2580</v>
      </c>
      <c r="F6686" t="s">
        <v>148</v>
      </c>
      <c r="G6686" t="s">
        <v>447</v>
      </c>
      <c r="H6686" t="s">
        <v>662</v>
      </c>
      <c r="I6686" t="s">
        <v>94</v>
      </c>
      <c r="J6686" s="2" t="s">
        <v>62</v>
      </c>
      <c r="K6686" t="s">
        <v>42</v>
      </c>
      <c r="L6686" t="s">
        <v>448</v>
      </c>
      <c r="Q6686">
        <v>25867</v>
      </c>
      <c r="R6686" t="s">
        <v>322</v>
      </c>
      <c r="S6686" t="s">
        <v>5604</v>
      </c>
      <c r="T6686">
        <v>26</v>
      </c>
      <c r="U6686" s="2" t="s">
        <v>40529</v>
      </c>
      <c r="V6686" s="1">
        <v>45169</v>
      </c>
      <c r="W6686" t="s">
        <v>325</v>
      </c>
      <c r="X6686">
        <v>110005586</v>
      </c>
      <c r="Y6686" t="s">
        <v>6494</v>
      </c>
      <c r="Z6686" t="s">
        <v>40530</v>
      </c>
      <c r="AA6686" t="s">
        <v>28936</v>
      </c>
      <c r="AB6686" t="s">
        <v>40531</v>
      </c>
      <c r="AC6686" t="s">
        <v>40532</v>
      </c>
      <c r="AD6686" t="s">
        <v>32042</v>
      </c>
      <c r="AE6686">
        <v>96225</v>
      </c>
      <c r="AG6686" t="s">
        <v>40533</v>
      </c>
      <c r="AH6686" t="s">
        <v>5609</v>
      </c>
      <c r="AI6686" t="s">
        <v>40534</v>
      </c>
    </row>
    <row r="6687" spans="2:35" ht="409.5">
      <c r="B6687" s="1">
        <v>45176</v>
      </c>
      <c r="C6687" s="4">
        <v>45175.685416666667</v>
      </c>
      <c r="D6687" t="s">
        <v>5602</v>
      </c>
      <c r="E6687" t="s">
        <v>2580</v>
      </c>
      <c r="F6687" t="s">
        <v>148</v>
      </c>
      <c r="G6687" t="s">
        <v>447</v>
      </c>
      <c r="H6687" t="s">
        <v>662</v>
      </c>
      <c r="I6687" t="s">
        <v>94</v>
      </c>
      <c r="J6687" s="2" t="s">
        <v>62</v>
      </c>
      <c r="K6687" t="s">
        <v>42</v>
      </c>
      <c r="L6687" t="s">
        <v>448</v>
      </c>
      <c r="Q6687">
        <v>25866</v>
      </c>
      <c r="R6687" t="s">
        <v>322</v>
      </c>
      <c r="S6687" t="s">
        <v>5604</v>
      </c>
      <c r="T6687">
        <v>26</v>
      </c>
      <c r="U6687" s="2" t="s">
        <v>40529</v>
      </c>
      <c r="V6687" s="1">
        <v>45169</v>
      </c>
      <c r="W6687" t="s">
        <v>325</v>
      </c>
      <c r="X6687">
        <v>110005586</v>
      </c>
      <c r="Y6687" t="s">
        <v>6494</v>
      </c>
      <c r="Z6687" t="s">
        <v>40530</v>
      </c>
      <c r="AA6687" t="s">
        <v>28936</v>
      </c>
      <c r="AB6687" t="s">
        <v>40531</v>
      </c>
      <c r="AC6687" t="s">
        <v>40532</v>
      </c>
      <c r="AD6687" t="s">
        <v>32042</v>
      </c>
      <c r="AE6687">
        <v>96225</v>
      </c>
      <c r="AG6687" t="s">
        <v>40535</v>
      </c>
      <c r="AH6687" t="s">
        <v>5609</v>
      </c>
      <c r="AI6687" t="s">
        <v>40536</v>
      </c>
    </row>
    <row r="6688" spans="2:35" ht="285">
      <c r="B6688" s="1">
        <v>45176</v>
      </c>
      <c r="C6688" s="4">
        <v>45175.396527777775</v>
      </c>
      <c r="D6688" t="s">
        <v>40537</v>
      </c>
      <c r="E6688" t="s">
        <v>40538</v>
      </c>
      <c r="F6688">
        <v>1</v>
      </c>
      <c r="G6688" t="s">
        <v>512</v>
      </c>
      <c r="H6688" t="s">
        <v>39</v>
      </c>
      <c r="I6688" t="s">
        <v>94</v>
      </c>
      <c r="J6688" s="2" t="s">
        <v>41</v>
      </c>
      <c r="K6688" t="s">
        <v>42</v>
      </c>
      <c r="L6688" t="s">
        <v>1048</v>
      </c>
      <c r="Q6688">
        <v>25865</v>
      </c>
      <c r="R6688" t="s">
        <v>45</v>
      </c>
      <c r="S6688" t="s">
        <v>40539</v>
      </c>
      <c r="T6688">
        <v>25</v>
      </c>
      <c r="U6688" s="2" t="s">
        <v>21172</v>
      </c>
      <c r="V6688" s="1">
        <v>45175</v>
      </c>
      <c r="W6688" t="s">
        <v>360</v>
      </c>
      <c r="X6688">
        <v>814157</v>
      </c>
      <c r="Y6688" t="s">
        <v>35729</v>
      </c>
      <c r="Z6688" s="2" t="s">
        <v>40540</v>
      </c>
      <c r="AA6688" t="s">
        <v>1926</v>
      </c>
      <c r="AB6688" t="s">
        <v>181</v>
      </c>
      <c r="AD6688" t="s">
        <v>40541</v>
      </c>
      <c r="AE6688" t="s">
        <v>103</v>
      </c>
      <c r="AG6688" t="s">
        <v>40542</v>
      </c>
      <c r="AH6688" t="s">
        <v>40543</v>
      </c>
      <c r="AI6688" t="s">
        <v>40544</v>
      </c>
    </row>
    <row r="6689" spans="2:35" ht="285">
      <c r="B6689" s="1">
        <v>45176</v>
      </c>
      <c r="C6689" s="4">
        <v>45175.396527777775</v>
      </c>
      <c r="D6689" t="s">
        <v>40537</v>
      </c>
      <c r="E6689" t="s">
        <v>40538</v>
      </c>
      <c r="F6689">
        <v>1</v>
      </c>
      <c r="G6689" t="s">
        <v>512</v>
      </c>
      <c r="H6689" t="s">
        <v>39</v>
      </c>
      <c r="I6689" t="s">
        <v>94</v>
      </c>
      <c r="J6689" s="2" t="s">
        <v>41</v>
      </c>
      <c r="K6689" t="s">
        <v>42</v>
      </c>
      <c r="L6689" t="s">
        <v>1048</v>
      </c>
      <c r="Q6689">
        <v>25864</v>
      </c>
      <c r="R6689" t="s">
        <v>45</v>
      </c>
      <c r="S6689" t="s">
        <v>40539</v>
      </c>
      <c r="T6689">
        <v>25</v>
      </c>
      <c r="U6689" s="2" t="s">
        <v>21172</v>
      </c>
      <c r="V6689" s="1">
        <v>45175</v>
      </c>
      <c r="W6689" t="s">
        <v>360</v>
      </c>
      <c r="X6689">
        <v>814157</v>
      </c>
      <c r="Y6689" t="s">
        <v>35729</v>
      </c>
      <c r="Z6689" s="2" t="s">
        <v>40540</v>
      </c>
      <c r="AA6689" t="s">
        <v>1926</v>
      </c>
      <c r="AB6689" t="s">
        <v>181</v>
      </c>
      <c r="AD6689" t="s">
        <v>40541</v>
      </c>
      <c r="AE6689" t="s">
        <v>103</v>
      </c>
      <c r="AG6689" t="s">
        <v>40545</v>
      </c>
      <c r="AH6689" t="s">
        <v>40543</v>
      </c>
      <c r="AI6689" t="s">
        <v>40546</v>
      </c>
    </row>
    <row r="6690" spans="2:35" ht="315">
      <c r="B6690" s="1">
        <v>45176</v>
      </c>
      <c r="C6690" s="4">
        <v>45176.527083333334</v>
      </c>
      <c r="D6690" t="s">
        <v>2834</v>
      </c>
      <c r="E6690" t="s">
        <v>40547</v>
      </c>
      <c r="F6690">
        <v>11</v>
      </c>
      <c r="G6690" t="s">
        <v>2836</v>
      </c>
      <c r="H6690" t="s">
        <v>40548</v>
      </c>
      <c r="I6690" t="s">
        <v>40</v>
      </c>
      <c r="J6690" t="s">
        <v>321</v>
      </c>
      <c r="K6690" t="s">
        <v>42</v>
      </c>
      <c r="L6690" t="s">
        <v>204</v>
      </c>
      <c r="Q6690">
        <v>25863</v>
      </c>
      <c r="R6690" t="s">
        <v>95</v>
      </c>
      <c r="S6690" t="s">
        <v>3059</v>
      </c>
      <c r="T6690">
        <v>25.6</v>
      </c>
      <c r="W6690" t="s">
        <v>40549</v>
      </c>
      <c r="X6690">
        <v>120000127</v>
      </c>
      <c r="Y6690" t="s">
        <v>6010</v>
      </c>
      <c r="Z6690" s="2" t="s">
        <v>40550</v>
      </c>
      <c r="AA6690" t="s">
        <v>40551</v>
      </c>
      <c r="AB6690" t="s">
        <v>40552</v>
      </c>
      <c r="AC6690" t="s">
        <v>40553</v>
      </c>
      <c r="AG6690" t="s">
        <v>40554</v>
      </c>
      <c r="AH6690" t="s">
        <v>30710</v>
      </c>
      <c r="AI6690" t="s">
        <v>40555</v>
      </c>
    </row>
    <row r="6691" spans="2:35" ht="240">
      <c r="B6691" s="1">
        <v>45176</v>
      </c>
      <c r="C6691" s="4">
        <v>45176.486111111109</v>
      </c>
      <c r="D6691" t="s">
        <v>2520</v>
      </c>
      <c r="E6691" t="s">
        <v>40556</v>
      </c>
      <c r="F6691" t="s">
        <v>37</v>
      </c>
      <c r="G6691" t="s">
        <v>2499</v>
      </c>
      <c r="H6691" t="s">
        <v>39</v>
      </c>
      <c r="I6691" t="s">
        <v>40</v>
      </c>
      <c r="J6691" s="2" t="s">
        <v>62</v>
      </c>
      <c r="K6691" t="s">
        <v>42</v>
      </c>
      <c r="L6691" t="s">
        <v>15532</v>
      </c>
      <c r="Q6691">
        <v>25862</v>
      </c>
      <c r="R6691" t="s">
        <v>119</v>
      </c>
      <c r="S6691" t="s">
        <v>34886</v>
      </c>
      <c r="T6691">
        <v>24</v>
      </c>
      <c r="U6691" s="2" t="s">
        <v>40557</v>
      </c>
      <c r="W6691" t="s">
        <v>597</v>
      </c>
      <c r="X6691">
        <v>831910</v>
      </c>
      <c r="Y6691" t="s">
        <v>6766</v>
      </c>
      <c r="Z6691" s="2" t="s">
        <v>40558</v>
      </c>
      <c r="AA6691" s="2" t="s">
        <v>40559</v>
      </c>
      <c r="AB6691" s="2" t="s">
        <v>40560</v>
      </c>
      <c r="AG6691" t="s">
        <v>40561</v>
      </c>
      <c r="AH6691" t="s">
        <v>40562</v>
      </c>
      <c r="AI6691" t="s">
        <v>40563</v>
      </c>
    </row>
    <row r="6692" spans="2:35" ht="315">
      <c r="B6692" s="1">
        <v>45176</v>
      </c>
      <c r="C6692" s="4">
        <v>45176.395833333336</v>
      </c>
      <c r="D6692" t="s">
        <v>1420</v>
      </c>
      <c r="E6692" t="s">
        <v>1456</v>
      </c>
      <c r="F6692" t="s">
        <v>511</v>
      </c>
      <c r="G6692" t="s">
        <v>512</v>
      </c>
      <c r="H6692" t="s">
        <v>1047</v>
      </c>
      <c r="I6692" t="s">
        <v>40</v>
      </c>
      <c r="J6692" s="2" t="s">
        <v>41</v>
      </c>
      <c r="K6692" t="s">
        <v>42</v>
      </c>
      <c r="L6692" t="s">
        <v>1048</v>
      </c>
      <c r="Q6692">
        <v>25861</v>
      </c>
      <c r="R6692" t="s">
        <v>45</v>
      </c>
      <c r="S6692" t="s">
        <v>1423</v>
      </c>
      <c r="T6692">
        <v>27</v>
      </c>
      <c r="U6692" s="2" t="s">
        <v>40564</v>
      </c>
      <c r="V6692" s="1">
        <v>45176</v>
      </c>
      <c r="W6692" t="s">
        <v>360</v>
      </c>
      <c r="X6692">
        <v>807621</v>
      </c>
      <c r="Y6692" t="s">
        <v>40565</v>
      </c>
      <c r="Z6692" s="2" t="s">
        <v>40566</v>
      </c>
      <c r="AA6692" t="s">
        <v>1926</v>
      </c>
      <c r="AB6692" t="s">
        <v>181</v>
      </c>
      <c r="AD6692" t="s">
        <v>40567</v>
      </c>
      <c r="AE6692" t="s">
        <v>103</v>
      </c>
      <c r="AG6692" t="s">
        <v>40568</v>
      </c>
      <c r="AH6692" t="s">
        <v>12606</v>
      </c>
      <c r="AI6692" t="s">
        <v>40569</v>
      </c>
    </row>
    <row r="6693" spans="2:35" ht="180">
      <c r="B6693" s="1">
        <v>45176</v>
      </c>
      <c r="C6693" s="4">
        <v>45176.368750000001</v>
      </c>
      <c r="D6693" t="s">
        <v>6919</v>
      </c>
      <c r="E6693" t="s">
        <v>510</v>
      </c>
      <c r="F6693" t="s">
        <v>511</v>
      </c>
      <c r="G6693" t="s">
        <v>512</v>
      </c>
      <c r="H6693" t="s">
        <v>39</v>
      </c>
      <c r="I6693" t="s">
        <v>40</v>
      </c>
      <c r="J6693" s="2" t="s">
        <v>1592</v>
      </c>
      <c r="K6693" t="s">
        <v>42</v>
      </c>
      <c r="L6693" t="s">
        <v>1048</v>
      </c>
      <c r="Q6693">
        <v>25860</v>
      </c>
      <c r="R6693" t="s">
        <v>119</v>
      </c>
      <c r="S6693" t="s">
        <v>6920</v>
      </c>
      <c r="T6693">
        <v>21</v>
      </c>
      <c r="U6693" s="2" t="s">
        <v>40570</v>
      </c>
      <c r="V6693" s="1">
        <v>45162</v>
      </c>
      <c r="W6693" t="s">
        <v>360</v>
      </c>
      <c r="X6693">
        <v>838281</v>
      </c>
      <c r="Y6693" s="2" t="s">
        <v>40571</v>
      </c>
      <c r="Z6693" t="e">
        <f ca="1">- cleaned cartridge Bays, I-CORE _xludf.and plunger Rods
- replaced defective module
- generated reports</f>
        <v>#NAME?</v>
      </c>
      <c r="AA6693" t="e">
        <f ca="1">- replaced defective module
- performed Troubleshooting</f>
        <v>#NAME?</v>
      </c>
      <c r="AB6693" t="s">
        <v>181</v>
      </c>
      <c r="AC6693" t="s">
        <v>40572</v>
      </c>
      <c r="AD6693" t="s">
        <v>40573</v>
      </c>
      <c r="AE6693" t="s">
        <v>40574</v>
      </c>
      <c r="AG6693" t="s">
        <v>40575</v>
      </c>
      <c r="AH6693" t="s">
        <v>6925</v>
      </c>
      <c r="AI6693" t="s">
        <v>40576</v>
      </c>
    </row>
    <row r="6694" spans="2:35" ht="180">
      <c r="B6694" s="1">
        <v>45176</v>
      </c>
      <c r="C6694" s="4">
        <v>45175.597916666666</v>
      </c>
      <c r="D6694" t="s">
        <v>9805</v>
      </c>
      <c r="E6694" t="s">
        <v>510</v>
      </c>
      <c r="F6694">
        <v>1</v>
      </c>
      <c r="G6694" t="s">
        <v>512</v>
      </c>
      <c r="H6694" t="s">
        <v>1047</v>
      </c>
      <c r="I6694" t="s">
        <v>40</v>
      </c>
      <c r="J6694" t="s">
        <v>109</v>
      </c>
      <c r="K6694" t="s">
        <v>42</v>
      </c>
      <c r="L6694" t="s">
        <v>1048</v>
      </c>
      <c r="Q6694">
        <v>25859</v>
      </c>
      <c r="R6694" t="s">
        <v>45</v>
      </c>
      <c r="S6694" t="s">
        <v>29628</v>
      </c>
      <c r="T6694">
        <v>28</v>
      </c>
      <c r="U6694" s="2" t="s">
        <v>40577</v>
      </c>
      <c r="W6694" t="s">
        <v>360</v>
      </c>
      <c r="X6694">
        <v>805212</v>
      </c>
      <c r="Y6694" t="s">
        <v>1052</v>
      </c>
      <c r="Z6694" t="e">
        <f ca="1">- cleaned cartridge Bays, plunger Rods _xludf.and I-CORE
- generated reports</f>
        <v>#NAME?</v>
      </c>
      <c r="AA6694" t="s">
        <v>17481</v>
      </c>
      <c r="AB6694" t="s">
        <v>181</v>
      </c>
      <c r="AG6694" t="s">
        <v>40578</v>
      </c>
      <c r="AH6694" t="s">
        <v>29632</v>
      </c>
      <c r="AI6694" t="s">
        <v>40579</v>
      </c>
    </row>
    <row r="6695" spans="2:35" ht="180">
      <c r="B6695" s="1">
        <v>45176</v>
      </c>
      <c r="C6695" s="4">
        <v>45175.595138888886</v>
      </c>
      <c r="D6695" t="s">
        <v>9805</v>
      </c>
      <c r="E6695" t="s">
        <v>510</v>
      </c>
      <c r="F6695" t="s">
        <v>511</v>
      </c>
      <c r="G6695" t="s">
        <v>512</v>
      </c>
      <c r="H6695" t="s">
        <v>1047</v>
      </c>
      <c r="I6695" t="s">
        <v>40</v>
      </c>
      <c r="J6695" t="s">
        <v>109</v>
      </c>
      <c r="K6695" t="s">
        <v>42</v>
      </c>
      <c r="L6695" t="s">
        <v>1048</v>
      </c>
      <c r="Q6695">
        <v>25858</v>
      </c>
      <c r="R6695" t="s">
        <v>45</v>
      </c>
      <c r="S6695" t="s">
        <v>29628</v>
      </c>
      <c r="T6695">
        <v>27</v>
      </c>
      <c r="U6695" s="2" t="s">
        <v>40580</v>
      </c>
      <c r="W6695" t="s">
        <v>360</v>
      </c>
      <c r="X6695">
        <v>834685</v>
      </c>
      <c r="Y6695" t="s">
        <v>1052</v>
      </c>
      <c r="Z6695" t="e">
        <f ca="1">- cleaned cartridge Bays, plunger Rods _xludf.and I-CORE
- generated reports</f>
        <v>#NAME?</v>
      </c>
      <c r="AA6695" t="s">
        <v>17481</v>
      </c>
      <c r="AB6695" t="s">
        <v>181</v>
      </c>
      <c r="AG6695" t="s">
        <v>40581</v>
      </c>
      <c r="AH6695" t="s">
        <v>29632</v>
      </c>
      <c r="AI6695" t="s">
        <v>40582</v>
      </c>
    </row>
    <row r="6696" spans="2:35" ht="240">
      <c r="B6696" s="1">
        <v>45176</v>
      </c>
      <c r="C6696" s="4">
        <v>45175.581250000003</v>
      </c>
      <c r="D6696" t="s">
        <v>9805</v>
      </c>
      <c r="E6696" t="s">
        <v>510</v>
      </c>
      <c r="F6696" t="s">
        <v>511</v>
      </c>
      <c r="G6696" t="s">
        <v>512</v>
      </c>
      <c r="H6696" t="s">
        <v>1047</v>
      </c>
      <c r="I6696" t="s">
        <v>40</v>
      </c>
      <c r="J6696" t="s">
        <v>525</v>
      </c>
      <c r="K6696" t="s">
        <v>42</v>
      </c>
      <c r="L6696" t="s">
        <v>1048</v>
      </c>
      <c r="Q6696">
        <v>25857</v>
      </c>
      <c r="R6696" t="s">
        <v>45</v>
      </c>
      <c r="S6696" t="s">
        <v>29628</v>
      </c>
      <c r="T6696">
        <v>24</v>
      </c>
      <c r="U6696" s="2" t="s">
        <v>40583</v>
      </c>
      <c r="W6696" t="s">
        <v>2591</v>
      </c>
      <c r="X6696">
        <v>120000171</v>
      </c>
      <c r="Y6696" t="s">
        <v>40584</v>
      </c>
      <c r="Z6696" t="e">
        <f ca="1">- cleaned cartridge Bays, I-CORE _xludf.and plunger Rods
- generated reports</f>
        <v>#NAME?</v>
      </c>
      <c r="AA6696" t="s">
        <v>1935</v>
      </c>
      <c r="AB6696" t="s">
        <v>181</v>
      </c>
      <c r="AC6696" t="s">
        <v>27457</v>
      </c>
      <c r="AG6696" t="s">
        <v>40585</v>
      </c>
      <c r="AH6696" t="s">
        <v>29632</v>
      </c>
      <c r="AI6696" t="s">
        <v>40586</v>
      </c>
    </row>
    <row r="6697" spans="2:35" ht="210">
      <c r="B6697" s="1">
        <v>45176</v>
      </c>
      <c r="C6697" s="4">
        <v>45176.428472222222</v>
      </c>
      <c r="D6697" t="s">
        <v>4197</v>
      </c>
      <c r="E6697" t="s">
        <v>29029</v>
      </c>
      <c r="F6697" t="s">
        <v>37</v>
      </c>
      <c r="G6697" t="s">
        <v>38</v>
      </c>
      <c r="H6697" t="s">
        <v>39</v>
      </c>
      <c r="I6697" t="s">
        <v>40</v>
      </c>
      <c r="J6697" s="2" t="s">
        <v>190</v>
      </c>
      <c r="K6697" t="s">
        <v>42</v>
      </c>
      <c r="L6697" t="s">
        <v>43</v>
      </c>
      <c r="Q6697">
        <v>25856</v>
      </c>
      <c r="R6697" t="s">
        <v>119</v>
      </c>
      <c r="S6697" t="s">
        <v>111</v>
      </c>
      <c r="T6697">
        <v>24</v>
      </c>
      <c r="U6697" s="2" t="s">
        <v>40587</v>
      </c>
      <c r="W6697" t="s">
        <v>48</v>
      </c>
      <c r="X6697">
        <v>831623</v>
      </c>
      <c r="Y6697" t="s">
        <v>40588</v>
      </c>
      <c r="Z6697" t="s">
        <v>38663</v>
      </c>
      <c r="AA6697" s="2" t="s">
        <v>40589</v>
      </c>
      <c r="AB6697" t="s">
        <v>40590</v>
      </c>
      <c r="AG6697" t="s">
        <v>40591</v>
      </c>
      <c r="AH6697" t="s">
        <v>3545</v>
      </c>
      <c r="AI6697" t="s">
        <v>40592</v>
      </c>
    </row>
    <row r="6698" spans="2:35" ht="45">
      <c r="B6698" s="1">
        <v>45176</v>
      </c>
      <c r="C6698" s="4">
        <v>45176.454861111109</v>
      </c>
      <c r="D6698" t="s">
        <v>40593</v>
      </c>
      <c r="E6698" t="s">
        <v>12984</v>
      </c>
      <c r="F6698">
        <v>7</v>
      </c>
      <c r="G6698" t="s">
        <v>6529</v>
      </c>
      <c r="H6698" t="s">
        <v>39</v>
      </c>
      <c r="I6698" t="s">
        <v>94</v>
      </c>
      <c r="J6698" s="2" t="s">
        <v>1370</v>
      </c>
      <c r="K6698" t="s">
        <v>42</v>
      </c>
      <c r="L6698" t="s">
        <v>433</v>
      </c>
      <c r="Q6698">
        <v>25855</v>
      </c>
      <c r="R6698" t="s">
        <v>119</v>
      </c>
      <c r="S6698" t="s">
        <v>17661</v>
      </c>
      <c r="T6698">
        <v>28</v>
      </c>
      <c r="W6698" t="s">
        <v>1008</v>
      </c>
      <c r="X6698">
        <v>838394</v>
      </c>
      <c r="Y6698" t="s">
        <v>40594</v>
      </c>
      <c r="Z6698" t="s">
        <v>40595</v>
      </c>
      <c r="AA6698" t="s">
        <v>40595</v>
      </c>
      <c r="AB6698" t="s">
        <v>1011</v>
      </c>
      <c r="AG6698" t="s">
        <v>40596</v>
      </c>
      <c r="AH6698" t="s">
        <v>40597</v>
      </c>
      <c r="AI6698" t="s">
        <v>40598</v>
      </c>
    </row>
    <row r="6699" spans="2:35" ht="409.5">
      <c r="B6699" s="1">
        <v>45176</v>
      </c>
      <c r="C6699" s="4">
        <v>45176.427777777775</v>
      </c>
      <c r="D6699" t="s">
        <v>3357</v>
      </c>
      <c r="E6699" t="s">
        <v>27224</v>
      </c>
      <c r="F6699">
        <v>3</v>
      </c>
      <c r="G6699" t="s">
        <v>134</v>
      </c>
      <c r="H6699" t="s">
        <v>39</v>
      </c>
      <c r="I6699" t="s">
        <v>40</v>
      </c>
      <c r="J6699" s="2" t="s">
        <v>62</v>
      </c>
      <c r="K6699" t="s">
        <v>42</v>
      </c>
      <c r="L6699" t="s">
        <v>135</v>
      </c>
      <c r="Q6699">
        <v>25854</v>
      </c>
      <c r="R6699" t="s">
        <v>119</v>
      </c>
      <c r="S6699" t="s">
        <v>3359</v>
      </c>
      <c r="T6699">
        <v>26</v>
      </c>
      <c r="U6699" s="2" t="s">
        <v>37783</v>
      </c>
      <c r="W6699" t="s">
        <v>2680</v>
      </c>
      <c r="X6699">
        <v>831912</v>
      </c>
      <c r="Y6699" t="s">
        <v>40599</v>
      </c>
      <c r="Z6699" t="s">
        <v>11518</v>
      </c>
      <c r="AA6699" s="2" t="s">
        <v>31375</v>
      </c>
      <c r="AB6699" t="s">
        <v>40600</v>
      </c>
      <c r="AC6699" t="s">
        <v>32293</v>
      </c>
      <c r="AG6699" t="s">
        <v>40601</v>
      </c>
      <c r="AH6699" t="s">
        <v>40602</v>
      </c>
      <c r="AI6699" t="s">
        <v>40603</v>
      </c>
    </row>
    <row r="6700" spans="2:35" ht="105">
      <c r="B6700" s="1">
        <v>45176</v>
      </c>
      <c r="C6700" s="4">
        <v>45176.413194444445</v>
      </c>
      <c r="D6700" t="s">
        <v>17651</v>
      </c>
      <c r="E6700" t="s">
        <v>40604</v>
      </c>
      <c r="F6700">
        <v>10</v>
      </c>
      <c r="G6700" t="s">
        <v>1395</v>
      </c>
      <c r="H6700" t="s">
        <v>10969</v>
      </c>
      <c r="I6700" t="s">
        <v>40</v>
      </c>
      <c r="J6700" s="2" t="s">
        <v>62</v>
      </c>
      <c r="K6700" t="s">
        <v>42</v>
      </c>
      <c r="L6700" t="s">
        <v>1288</v>
      </c>
      <c r="Q6700">
        <v>25853</v>
      </c>
      <c r="R6700" t="s">
        <v>119</v>
      </c>
      <c r="S6700" t="s">
        <v>10801</v>
      </c>
      <c r="T6700">
        <v>26</v>
      </c>
      <c r="U6700" s="2" t="s">
        <v>15195</v>
      </c>
      <c r="V6700" s="1">
        <v>45138</v>
      </c>
      <c r="W6700" t="s">
        <v>1292</v>
      </c>
      <c r="X6700">
        <v>838269</v>
      </c>
      <c r="Y6700" t="s">
        <v>13756</v>
      </c>
      <c r="Z6700" t="s">
        <v>40605</v>
      </c>
      <c r="AA6700" t="e">
        <f ca="1">-PERFORM Maintenance _xludf.and Cleaning
-PERFORM XpertCheck CALIBRATION:
B1-passed
                                                                                                                                                                                                                                                                B2-passed
                                                                                                                                                                                                                                                                B4-passed</f>
        <v>#NAME?</v>
      </c>
      <c r="AB6700" t="s">
        <v>1293</v>
      </c>
      <c r="AD6700" t="s">
        <v>40606</v>
      </c>
      <c r="AE6700">
        <v>10368</v>
      </c>
      <c r="AG6700" t="s">
        <v>40607</v>
      </c>
      <c r="AH6700" t="s">
        <v>17658</v>
      </c>
      <c r="AI6700" t="s">
        <v>40608</v>
      </c>
    </row>
    <row r="6701" spans="2:35" ht="180">
      <c r="B6701" s="1">
        <v>45176</v>
      </c>
      <c r="C6701" s="4">
        <v>45176.414583333331</v>
      </c>
      <c r="D6701" t="s">
        <v>7465</v>
      </c>
      <c r="E6701" t="s">
        <v>7466</v>
      </c>
      <c r="F6701">
        <v>8</v>
      </c>
      <c r="G6701" t="s">
        <v>342</v>
      </c>
      <c r="H6701" t="s">
        <v>36499</v>
      </c>
      <c r="I6701" t="s">
        <v>40</v>
      </c>
      <c r="J6701" s="2" t="s">
        <v>62</v>
      </c>
      <c r="K6701" t="s">
        <v>42</v>
      </c>
      <c r="L6701" t="s">
        <v>259</v>
      </c>
      <c r="Q6701">
        <v>25852</v>
      </c>
      <c r="R6701" t="s">
        <v>119</v>
      </c>
      <c r="S6701" t="s">
        <v>16053</v>
      </c>
      <c r="T6701">
        <v>29</v>
      </c>
      <c r="U6701" s="2" t="s">
        <v>40609</v>
      </c>
      <c r="V6701" s="1">
        <v>45176</v>
      </c>
      <c r="W6701" t="s">
        <v>84</v>
      </c>
      <c r="X6701">
        <v>838551</v>
      </c>
      <c r="Y6701" t="s">
        <v>67</v>
      </c>
      <c r="Z6701" t="e">
        <f ca="1">- CALIBRATION
- performed Preventive Maintenance
- performed functionality test</f>
        <v>#NAME?</v>
      </c>
      <c r="AA6701" t="e">
        <f ca="1">- XpertCheck CALIBRATION
- Preventive Maintenance
- Generate reports</f>
        <v>#NAME?</v>
      </c>
      <c r="AB6701" t="s">
        <v>70</v>
      </c>
      <c r="AC6701" t="s">
        <v>40610</v>
      </c>
      <c r="AD6701" t="s">
        <v>948</v>
      </c>
      <c r="AE6701" t="s">
        <v>119</v>
      </c>
      <c r="AG6701" t="s">
        <v>40611</v>
      </c>
      <c r="AH6701" t="s">
        <v>40612</v>
      </c>
      <c r="AI6701" t="s">
        <v>40613</v>
      </c>
    </row>
    <row r="6702" spans="2:35" ht="60">
      <c r="B6702" s="1">
        <v>45176</v>
      </c>
      <c r="C6702" s="4">
        <v>45175.434027777781</v>
      </c>
      <c r="D6702" t="s">
        <v>9762</v>
      </c>
      <c r="E6702" t="s">
        <v>9763</v>
      </c>
      <c r="F6702">
        <v>8</v>
      </c>
      <c r="G6702" t="s">
        <v>2945</v>
      </c>
      <c r="H6702" t="s">
        <v>39</v>
      </c>
      <c r="I6702" t="s">
        <v>40</v>
      </c>
      <c r="J6702" s="2" t="s">
        <v>62</v>
      </c>
      <c r="K6702" t="s">
        <v>42</v>
      </c>
      <c r="L6702" t="s">
        <v>259</v>
      </c>
      <c r="Q6702">
        <v>25851</v>
      </c>
      <c r="R6702" t="s">
        <v>119</v>
      </c>
      <c r="S6702" t="s">
        <v>9764</v>
      </c>
      <c r="T6702">
        <v>28</v>
      </c>
      <c r="V6702" s="1">
        <v>45175</v>
      </c>
      <c r="W6702" t="s">
        <v>84</v>
      </c>
      <c r="X6702">
        <v>838548</v>
      </c>
      <c r="Y6702" t="s">
        <v>67</v>
      </c>
      <c r="Z6702" t="e">
        <f ca="1">- performed XpertCheck (ALL modules)
- performed functionality test</f>
        <v>#NAME?</v>
      </c>
      <c r="AA6702" t="e">
        <f ca="1">- XpertCheck CALIBRATION
- Preventive Maintenance
- Generate reports</f>
        <v>#NAME?</v>
      </c>
      <c r="AB6702" t="s">
        <v>70</v>
      </c>
      <c r="AC6702" t="s">
        <v>40614</v>
      </c>
      <c r="AD6702" t="s">
        <v>948</v>
      </c>
      <c r="AE6702" t="s">
        <v>119</v>
      </c>
      <c r="AG6702" t="s">
        <v>40615</v>
      </c>
      <c r="AH6702" t="s">
        <v>17872</v>
      </c>
      <c r="AI6702" t="s">
        <v>40616</v>
      </c>
    </row>
    <row r="6703" spans="2:35" ht="240">
      <c r="B6703" s="1">
        <v>45176</v>
      </c>
      <c r="C6703" s="4">
        <v>45176.353472222225</v>
      </c>
      <c r="D6703" t="s">
        <v>1351</v>
      </c>
      <c r="E6703" t="s">
        <v>27934</v>
      </c>
      <c r="F6703">
        <v>3</v>
      </c>
      <c r="G6703" t="s">
        <v>284</v>
      </c>
      <c r="H6703" t="s">
        <v>39</v>
      </c>
      <c r="I6703" t="s">
        <v>40</v>
      </c>
      <c r="J6703" s="2" t="s">
        <v>190</v>
      </c>
      <c r="K6703" t="s">
        <v>42</v>
      </c>
      <c r="L6703" t="s">
        <v>135</v>
      </c>
      <c r="Q6703">
        <v>25850</v>
      </c>
      <c r="R6703" t="s">
        <v>119</v>
      </c>
      <c r="S6703" t="s">
        <v>285</v>
      </c>
      <c r="T6703">
        <v>28</v>
      </c>
      <c r="U6703" s="2" t="s">
        <v>13161</v>
      </c>
      <c r="W6703" t="s">
        <v>2680</v>
      </c>
      <c r="X6703">
        <v>831878</v>
      </c>
      <c r="Y6703" t="s">
        <v>40617</v>
      </c>
      <c r="Z6703" t="s">
        <v>4487</v>
      </c>
      <c r="AA6703" s="2" t="s">
        <v>40618</v>
      </c>
      <c r="AB6703" t="s">
        <v>40619</v>
      </c>
      <c r="AC6703" t="s">
        <v>40620</v>
      </c>
      <c r="AG6703" t="s">
        <v>40621</v>
      </c>
      <c r="AH6703" t="s">
        <v>290</v>
      </c>
      <c r="AI6703" t="s">
        <v>40622</v>
      </c>
    </row>
    <row r="6704" spans="2:35" ht="360">
      <c r="B6704" s="1">
        <v>45176</v>
      </c>
      <c r="C6704" s="4">
        <v>45176.324999999997</v>
      </c>
      <c r="D6704" t="s">
        <v>26442</v>
      </c>
      <c r="E6704" t="s">
        <v>15186</v>
      </c>
      <c r="F6704">
        <v>3</v>
      </c>
      <c r="G6704" t="s">
        <v>284</v>
      </c>
      <c r="H6704" t="s">
        <v>39</v>
      </c>
      <c r="I6704" t="s">
        <v>40</v>
      </c>
      <c r="J6704" s="2" t="s">
        <v>41</v>
      </c>
      <c r="K6704" t="s">
        <v>42</v>
      </c>
      <c r="L6704" t="s">
        <v>135</v>
      </c>
      <c r="Q6704">
        <v>25849</v>
      </c>
      <c r="R6704" t="s">
        <v>45</v>
      </c>
      <c r="S6704" t="s">
        <v>11281</v>
      </c>
      <c r="T6704">
        <v>29</v>
      </c>
      <c r="U6704" s="2" t="s">
        <v>38990</v>
      </c>
      <c r="W6704" t="s">
        <v>2680</v>
      </c>
      <c r="X6704">
        <v>805124</v>
      </c>
      <c r="Y6704" t="s">
        <v>38525</v>
      </c>
      <c r="Z6704" s="2" t="s">
        <v>29539</v>
      </c>
      <c r="AA6704" s="2" t="s">
        <v>32304</v>
      </c>
      <c r="AB6704" t="s">
        <v>9590</v>
      </c>
      <c r="AG6704" t="s">
        <v>40623</v>
      </c>
      <c r="AH6704" t="s">
        <v>15193</v>
      </c>
      <c r="AI6704" t="s">
        <v>40624</v>
      </c>
    </row>
    <row r="6705" spans="2:35" ht="105">
      <c r="B6705" s="1">
        <v>45175</v>
      </c>
      <c r="C6705" s="4">
        <v>45175.725694444445</v>
      </c>
      <c r="D6705" t="s">
        <v>40625</v>
      </c>
      <c r="E6705" t="s">
        <v>40626</v>
      </c>
      <c r="F6705">
        <v>10</v>
      </c>
      <c r="G6705" t="s">
        <v>8359</v>
      </c>
      <c r="H6705" t="s">
        <v>10969</v>
      </c>
      <c r="I6705" t="s">
        <v>40</v>
      </c>
      <c r="J6705" t="s">
        <v>996</v>
      </c>
      <c r="K6705" t="s">
        <v>42</v>
      </c>
      <c r="L6705" t="s">
        <v>1288</v>
      </c>
      <c r="Q6705">
        <v>25848</v>
      </c>
      <c r="R6705" t="s">
        <v>45</v>
      </c>
      <c r="S6705" t="s">
        <v>40627</v>
      </c>
      <c r="T6705">
        <v>815286</v>
      </c>
      <c r="U6705" s="2" t="s">
        <v>40628</v>
      </c>
      <c r="W6705" t="s">
        <v>1292</v>
      </c>
      <c r="X6705">
        <v>815286</v>
      </c>
      <c r="Y6705" t="s">
        <v>40629</v>
      </c>
      <c r="Z6705" t="s">
        <v>40630</v>
      </c>
      <c r="AA6705" t="s">
        <v>40631</v>
      </c>
      <c r="AB6705" t="s">
        <v>1293</v>
      </c>
      <c r="AG6705" t="s">
        <v>40632</v>
      </c>
      <c r="AH6705" t="s">
        <v>40633</v>
      </c>
      <c r="AI6705" t="s">
        <v>40634</v>
      </c>
    </row>
    <row r="6706" spans="2:35" ht="105">
      <c r="B6706" s="1">
        <v>45175</v>
      </c>
      <c r="C6706" s="4">
        <v>45175.716666666667</v>
      </c>
      <c r="D6706" t="s">
        <v>40635</v>
      </c>
      <c r="E6706" t="s">
        <v>40636</v>
      </c>
      <c r="F6706">
        <v>10</v>
      </c>
      <c r="G6706" t="s">
        <v>8359</v>
      </c>
      <c r="H6706" t="s">
        <v>1047</v>
      </c>
      <c r="I6706" t="s">
        <v>40</v>
      </c>
      <c r="J6706" s="2" t="s">
        <v>62</v>
      </c>
      <c r="K6706" t="s">
        <v>42</v>
      </c>
      <c r="L6706" t="s">
        <v>1288</v>
      </c>
      <c r="Q6706">
        <v>25847</v>
      </c>
      <c r="R6706" t="s">
        <v>119</v>
      </c>
      <c r="S6706" t="s">
        <v>16628</v>
      </c>
      <c r="T6706">
        <v>21</v>
      </c>
      <c r="U6706" s="2" t="s">
        <v>40637</v>
      </c>
      <c r="V6706" s="1">
        <v>45138</v>
      </c>
      <c r="W6706" t="s">
        <v>1292</v>
      </c>
      <c r="X6706">
        <v>838271</v>
      </c>
      <c r="Y6706" t="s">
        <v>13756</v>
      </c>
      <c r="Z6706" t="e">
        <f ca="1">-COLLECT IQR, system _xludf.Log, _xludf.and CALIBRATION Data</f>
        <v>#NAME?</v>
      </c>
      <c r="AA6706" t="e">
        <f ca="1">-PERFORM EQUIPMENT Maintenance _xludf.and Cleaning
-PERFORM XpertCheck CALIBRATION:
B1-Retry THEN passed
                                                                                                                                                                                                                                                                B2-passed
                                                                                                                                                                                                                                                                B3-Retry THEN passed
                                                                                                                                                                                                                                                                B4-passed</f>
        <v>#NAME?</v>
      </c>
      <c r="AB6706" t="s">
        <v>1293</v>
      </c>
      <c r="AD6706" t="s">
        <v>40606</v>
      </c>
      <c r="AE6706">
        <v>10371</v>
      </c>
      <c r="AG6706" t="s">
        <v>40638</v>
      </c>
      <c r="AH6706" t="s">
        <v>40639</v>
      </c>
      <c r="AI6706" t="s">
        <v>40640</v>
      </c>
    </row>
    <row r="6707" spans="2:35" ht="105">
      <c r="B6707" s="1">
        <v>45175</v>
      </c>
      <c r="C6707" s="4">
        <v>45175.697916666664</v>
      </c>
      <c r="D6707" t="s">
        <v>10703</v>
      </c>
      <c r="E6707" t="s">
        <v>40641</v>
      </c>
      <c r="F6707">
        <v>10</v>
      </c>
      <c r="G6707" t="s">
        <v>2392</v>
      </c>
      <c r="H6707" t="s">
        <v>608</v>
      </c>
      <c r="I6707" t="s">
        <v>94</v>
      </c>
      <c r="J6707" t="s">
        <v>996</v>
      </c>
      <c r="K6707" t="s">
        <v>42</v>
      </c>
      <c r="L6707" t="s">
        <v>610</v>
      </c>
      <c r="Q6707">
        <v>25846</v>
      </c>
      <c r="R6707" t="s">
        <v>119</v>
      </c>
      <c r="S6707" t="s">
        <v>10705</v>
      </c>
      <c r="T6707">
        <v>27</v>
      </c>
      <c r="U6707" s="2" t="s">
        <v>40642</v>
      </c>
      <c r="W6707" t="s">
        <v>360</v>
      </c>
      <c r="X6707">
        <v>838294</v>
      </c>
      <c r="Y6707" t="s">
        <v>1751</v>
      </c>
      <c r="Z6707" t="s">
        <v>40306</v>
      </c>
      <c r="AA6707" t="s">
        <v>40307</v>
      </c>
      <c r="AB6707" t="s">
        <v>40316</v>
      </c>
      <c r="AG6707" t="s">
        <v>40643</v>
      </c>
      <c r="AH6707" t="s">
        <v>18393</v>
      </c>
      <c r="AI6707" t="s">
        <v>40644</v>
      </c>
    </row>
    <row r="6708" spans="2:35">
      <c r="B6708" s="1">
        <v>45175</v>
      </c>
      <c r="C6708" s="4">
        <v>45175.692361111112</v>
      </c>
      <c r="D6708" t="s">
        <v>18395</v>
      </c>
      <c r="E6708" t="s">
        <v>40645</v>
      </c>
      <c r="F6708">
        <v>10</v>
      </c>
      <c r="G6708" t="s">
        <v>2392</v>
      </c>
      <c r="H6708" t="s">
        <v>608</v>
      </c>
      <c r="I6708" t="s">
        <v>40</v>
      </c>
      <c r="J6708" t="s">
        <v>996</v>
      </c>
      <c r="K6708" t="s">
        <v>42</v>
      </c>
      <c r="L6708" t="s">
        <v>610</v>
      </c>
      <c r="Q6708">
        <v>25845</v>
      </c>
      <c r="R6708" t="s">
        <v>119</v>
      </c>
      <c r="S6708" t="s">
        <v>18397</v>
      </c>
      <c r="T6708">
        <v>28</v>
      </c>
      <c r="W6708" t="s">
        <v>360</v>
      </c>
      <c r="X6708">
        <v>838227</v>
      </c>
      <c r="Y6708" t="s">
        <v>40646</v>
      </c>
      <c r="Z6708" t="s">
        <v>40647</v>
      </c>
      <c r="AA6708" t="s">
        <v>40307</v>
      </c>
      <c r="AB6708" t="s">
        <v>40648</v>
      </c>
      <c r="AG6708" t="s">
        <v>40649</v>
      </c>
      <c r="AH6708" t="s">
        <v>10681</v>
      </c>
      <c r="AI6708" t="s">
        <v>40650</v>
      </c>
    </row>
    <row r="6709" spans="2:35" ht="150">
      <c r="B6709" s="1">
        <v>45175</v>
      </c>
      <c r="C6709" s="4">
        <v>45175.636111111111</v>
      </c>
      <c r="D6709" t="s">
        <v>40651</v>
      </c>
      <c r="E6709" t="s">
        <v>40652</v>
      </c>
      <c r="F6709" t="s">
        <v>37</v>
      </c>
      <c r="G6709" t="s">
        <v>78</v>
      </c>
      <c r="H6709" t="s">
        <v>39</v>
      </c>
      <c r="I6709" t="s">
        <v>40</v>
      </c>
      <c r="J6709" s="2" t="s">
        <v>41</v>
      </c>
      <c r="K6709" t="s">
        <v>42</v>
      </c>
      <c r="L6709" t="s">
        <v>1943</v>
      </c>
      <c r="Q6709">
        <v>25844</v>
      </c>
      <c r="R6709" t="s">
        <v>119</v>
      </c>
      <c r="S6709" t="s">
        <v>40653</v>
      </c>
      <c r="T6709">
        <v>25</v>
      </c>
      <c r="V6709" s="1">
        <v>45162</v>
      </c>
      <c r="W6709" t="s">
        <v>84</v>
      </c>
      <c r="X6709">
        <v>821164</v>
      </c>
      <c r="Y6709" s="2" t="s">
        <v>40654</v>
      </c>
      <c r="Z6709" s="2" t="s">
        <v>33081</v>
      </c>
      <c r="AA6709" t="s">
        <v>22330</v>
      </c>
      <c r="AB6709" t="s">
        <v>88</v>
      </c>
      <c r="AD6709" t="s">
        <v>40655</v>
      </c>
      <c r="AE6709" t="s">
        <v>40656</v>
      </c>
      <c r="AG6709" t="s">
        <v>40657</v>
      </c>
      <c r="AH6709" t="s">
        <v>40658</v>
      </c>
      <c r="AI6709" t="s">
        <v>40659</v>
      </c>
    </row>
    <row r="6710" spans="2:35" ht="210">
      <c r="B6710" s="1">
        <v>45175</v>
      </c>
      <c r="C6710" s="4">
        <v>45175.645833333336</v>
      </c>
      <c r="D6710" t="s">
        <v>228</v>
      </c>
      <c r="E6710" t="s">
        <v>229</v>
      </c>
      <c r="F6710" t="s">
        <v>148</v>
      </c>
      <c r="G6710" t="s">
        <v>230</v>
      </c>
      <c r="H6710" t="s">
        <v>39</v>
      </c>
      <c r="I6710" t="s">
        <v>40</v>
      </c>
      <c r="J6710" s="2" t="s">
        <v>190</v>
      </c>
      <c r="K6710" t="s">
        <v>42</v>
      </c>
      <c r="L6710" t="s">
        <v>175</v>
      </c>
      <c r="Q6710">
        <v>25843</v>
      </c>
      <c r="R6710" t="s">
        <v>45</v>
      </c>
      <c r="S6710" t="s">
        <v>23986</v>
      </c>
      <c r="T6710">
        <v>25</v>
      </c>
      <c r="U6710" s="2" t="s">
        <v>40660</v>
      </c>
      <c r="W6710" t="s">
        <v>84</v>
      </c>
      <c r="X6710">
        <v>805062</v>
      </c>
      <c r="Y6710" t="s">
        <v>14131</v>
      </c>
      <c r="Z6710" t="e">
        <f ca="1">- checked _xludf.and cleaned cartridge bay, plunger rod, _xludf.filter
- generated reports
- performed several self test on A3</f>
        <v>#NAME?</v>
      </c>
      <c r="AA6710" t="s">
        <v>40661</v>
      </c>
      <c r="AB6710" s="2" t="s">
        <v>40662</v>
      </c>
      <c r="AG6710" t="s">
        <v>40663</v>
      </c>
      <c r="AH6710" t="s">
        <v>12014</v>
      </c>
      <c r="AI6710" t="s">
        <v>40664</v>
      </c>
    </row>
    <row r="6711" spans="2:35" ht="150">
      <c r="B6711" s="1">
        <v>45175</v>
      </c>
      <c r="C6711" s="4">
        <v>45175.643750000003</v>
      </c>
      <c r="D6711" t="s">
        <v>37108</v>
      </c>
      <c r="E6711" t="s">
        <v>40665</v>
      </c>
      <c r="F6711" t="s">
        <v>37</v>
      </c>
      <c r="G6711" t="s">
        <v>2499</v>
      </c>
      <c r="H6711" t="s">
        <v>39</v>
      </c>
      <c r="I6711" t="s">
        <v>40</v>
      </c>
      <c r="J6711" s="2" t="s">
        <v>41</v>
      </c>
      <c r="K6711" t="s">
        <v>42</v>
      </c>
      <c r="L6711" t="s">
        <v>15532</v>
      </c>
      <c r="Q6711">
        <v>25842</v>
      </c>
      <c r="R6711" t="s">
        <v>119</v>
      </c>
      <c r="S6711" t="s">
        <v>37110</v>
      </c>
      <c r="T6711">
        <v>25</v>
      </c>
      <c r="U6711" s="2" t="s">
        <v>10543</v>
      </c>
      <c r="V6711" s="1">
        <v>45162</v>
      </c>
      <c r="W6711" t="s">
        <v>597</v>
      </c>
      <c r="X6711">
        <v>831916</v>
      </c>
      <c r="Y6711" t="s">
        <v>40666</v>
      </c>
      <c r="Z6711" s="2" t="s">
        <v>40667</v>
      </c>
      <c r="AA6711" s="2" t="s">
        <v>40668</v>
      </c>
      <c r="AB6711" s="2" t="s">
        <v>15539</v>
      </c>
      <c r="AD6711" t="s">
        <v>40669</v>
      </c>
      <c r="AE6711" t="s">
        <v>40670</v>
      </c>
      <c r="AG6711" t="s">
        <v>40671</v>
      </c>
      <c r="AH6711" t="s">
        <v>40672</v>
      </c>
      <c r="AI6711" t="s">
        <v>40673</v>
      </c>
    </row>
    <row r="6712" spans="2:35" ht="409.5">
      <c r="B6712" s="1">
        <v>45175</v>
      </c>
      <c r="C6712" s="4">
        <v>45175.577777777777</v>
      </c>
      <c r="D6712" t="s">
        <v>4206</v>
      </c>
      <c r="E6712" t="s">
        <v>40674</v>
      </c>
      <c r="F6712">
        <v>11</v>
      </c>
      <c r="G6712" t="s">
        <v>2836</v>
      </c>
      <c r="H6712" t="s">
        <v>202</v>
      </c>
      <c r="I6712" t="s">
        <v>40</v>
      </c>
      <c r="J6712" s="2" t="s">
        <v>1309</v>
      </c>
      <c r="K6712" t="s">
        <v>42</v>
      </c>
      <c r="L6712" t="s">
        <v>204</v>
      </c>
      <c r="Q6712">
        <v>25841</v>
      </c>
      <c r="R6712" t="s">
        <v>119</v>
      </c>
      <c r="S6712" t="s">
        <v>4209</v>
      </c>
      <c r="T6712">
        <v>22.5</v>
      </c>
      <c r="U6712" s="2" t="s">
        <v>40675</v>
      </c>
      <c r="V6712" s="1">
        <v>45161</v>
      </c>
      <c r="W6712" t="s">
        <v>23237</v>
      </c>
      <c r="X6712">
        <v>838295</v>
      </c>
      <c r="Y6712" s="2" t="s">
        <v>40676</v>
      </c>
      <c r="Z6712" s="2" t="s">
        <v>40677</v>
      </c>
      <c r="AA6712" t="s">
        <v>40678</v>
      </c>
      <c r="AB6712" s="2" t="s">
        <v>40679</v>
      </c>
      <c r="AD6712" t="s">
        <v>40680</v>
      </c>
      <c r="AE6712" t="s">
        <v>40681</v>
      </c>
      <c r="AG6712" t="s">
        <v>40682</v>
      </c>
      <c r="AH6712" t="s">
        <v>35448</v>
      </c>
      <c r="AI6712" t="s">
        <v>40683</v>
      </c>
    </row>
    <row r="6713" spans="2:35" ht="409.5">
      <c r="B6713" s="1">
        <v>45175</v>
      </c>
      <c r="C6713" s="4">
        <v>45175.595833333333</v>
      </c>
      <c r="D6713" t="s">
        <v>25764</v>
      </c>
      <c r="E6713" t="s">
        <v>22556</v>
      </c>
      <c r="F6713">
        <v>3</v>
      </c>
      <c r="G6713" t="s">
        <v>219</v>
      </c>
      <c r="H6713" t="s">
        <v>39</v>
      </c>
      <c r="I6713" t="s">
        <v>40</v>
      </c>
      <c r="J6713" s="2" t="s">
        <v>62</v>
      </c>
      <c r="K6713" t="s">
        <v>42</v>
      </c>
      <c r="L6713" t="s">
        <v>135</v>
      </c>
      <c r="Q6713">
        <v>25840</v>
      </c>
      <c r="R6713" t="s">
        <v>45</v>
      </c>
      <c r="S6713" t="s">
        <v>25766</v>
      </c>
      <c r="T6713">
        <v>27</v>
      </c>
      <c r="U6713" s="2" t="s">
        <v>40684</v>
      </c>
      <c r="W6713" t="s">
        <v>2680</v>
      </c>
      <c r="X6713">
        <v>805070</v>
      </c>
      <c r="Y6713" t="s">
        <v>1751</v>
      </c>
      <c r="Z6713" s="2" t="s">
        <v>29789</v>
      </c>
      <c r="AA6713" s="2" t="s">
        <v>31375</v>
      </c>
      <c r="AB6713" t="s">
        <v>181</v>
      </c>
      <c r="AC6713" t="s">
        <v>34421</v>
      </c>
      <c r="AG6713" t="s">
        <v>40685</v>
      </c>
      <c r="AH6713" t="s">
        <v>40686</v>
      </c>
      <c r="AI6713" t="s">
        <v>40687</v>
      </c>
    </row>
    <row r="6714" spans="2:35" ht="180">
      <c r="B6714" s="1">
        <v>45175</v>
      </c>
      <c r="C6714" s="4">
        <v>45175.59652777778</v>
      </c>
      <c r="D6714" t="s">
        <v>4757</v>
      </c>
      <c r="E6714" t="s">
        <v>40688</v>
      </c>
      <c r="F6714" t="s">
        <v>148</v>
      </c>
      <c r="G6714" t="s">
        <v>785</v>
      </c>
      <c r="H6714" t="s">
        <v>39</v>
      </c>
      <c r="I6714" t="s">
        <v>40</v>
      </c>
      <c r="J6714" s="2" t="s">
        <v>41</v>
      </c>
      <c r="K6714" t="s">
        <v>42</v>
      </c>
      <c r="L6714" t="s">
        <v>43</v>
      </c>
      <c r="Q6714">
        <v>25839</v>
      </c>
      <c r="R6714" t="s">
        <v>119</v>
      </c>
      <c r="S6714" t="s">
        <v>35707</v>
      </c>
      <c r="T6714">
        <v>27</v>
      </c>
      <c r="U6714" s="2" t="s">
        <v>14124</v>
      </c>
      <c r="V6714" s="1">
        <v>45162</v>
      </c>
      <c r="W6714" t="s">
        <v>48</v>
      </c>
      <c r="X6714">
        <v>831905</v>
      </c>
      <c r="Y6714" t="s">
        <v>2034</v>
      </c>
      <c r="Z6714" t="s">
        <v>712</v>
      </c>
      <c r="AA6714" s="2" t="s">
        <v>40689</v>
      </c>
      <c r="AB6714" t="s">
        <v>7543</v>
      </c>
      <c r="AD6714" s="2" t="s">
        <v>40690</v>
      </c>
      <c r="AE6714" t="s">
        <v>40691</v>
      </c>
      <c r="AG6714" t="s">
        <v>40692</v>
      </c>
      <c r="AH6714" t="s">
        <v>35710</v>
      </c>
      <c r="AI6714" t="s">
        <v>40693</v>
      </c>
    </row>
    <row r="6715" spans="2:35" ht="105">
      <c r="B6715" s="1">
        <v>45175</v>
      </c>
      <c r="C6715" s="4">
        <v>45175.576388888891</v>
      </c>
      <c r="D6715" t="s">
        <v>7890</v>
      </c>
      <c r="E6715" t="s">
        <v>40694</v>
      </c>
      <c r="F6715">
        <v>6</v>
      </c>
      <c r="G6715" t="s">
        <v>1286</v>
      </c>
      <c r="H6715" t="s">
        <v>1047</v>
      </c>
      <c r="I6715" t="s">
        <v>94</v>
      </c>
      <c r="J6715" t="s">
        <v>996</v>
      </c>
      <c r="K6715" t="s">
        <v>42</v>
      </c>
      <c r="L6715" t="s">
        <v>23958</v>
      </c>
      <c r="Q6715">
        <v>25838</v>
      </c>
      <c r="R6715" t="s">
        <v>119</v>
      </c>
      <c r="S6715" t="s">
        <v>35948</v>
      </c>
      <c r="T6715">
        <v>4</v>
      </c>
      <c r="U6715" s="2" t="s">
        <v>9057</v>
      </c>
      <c r="W6715" t="s">
        <v>360</v>
      </c>
      <c r="X6715">
        <v>838393</v>
      </c>
      <c r="Y6715" t="s">
        <v>40695</v>
      </c>
      <c r="Z6715" t="s">
        <v>40696</v>
      </c>
      <c r="AA6715" t="s">
        <v>40697</v>
      </c>
      <c r="AB6715" t="s">
        <v>40698</v>
      </c>
      <c r="AG6715" t="s">
        <v>40699</v>
      </c>
      <c r="AH6715" t="s">
        <v>7895</v>
      </c>
      <c r="AI6715" t="s">
        <v>40700</v>
      </c>
    </row>
    <row r="6716" spans="2:35" ht="240">
      <c r="B6716" s="1">
        <v>45175</v>
      </c>
      <c r="C6716" s="4">
        <v>45175.578472222223</v>
      </c>
      <c r="D6716" t="s">
        <v>23423</v>
      </c>
      <c r="E6716" t="s">
        <v>40701</v>
      </c>
      <c r="F6716">
        <v>3</v>
      </c>
      <c r="G6716" t="s">
        <v>134</v>
      </c>
      <c r="H6716" t="s">
        <v>39</v>
      </c>
      <c r="I6716" t="s">
        <v>40</v>
      </c>
      <c r="J6716" s="2" t="s">
        <v>41</v>
      </c>
      <c r="K6716" t="s">
        <v>42</v>
      </c>
      <c r="L6716" t="s">
        <v>63</v>
      </c>
      <c r="Q6716">
        <v>25837</v>
      </c>
      <c r="R6716" t="s">
        <v>119</v>
      </c>
      <c r="S6716" t="s">
        <v>27447</v>
      </c>
      <c r="T6716">
        <v>26</v>
      </c>
      <c r="U6716" s="2" t="s">
        <v>5443</v>
      </c>
      <c r="V6716" s="1">
        <v>45162</v>
      </c>
      <c r="W6716" t="s">
        <v>26915</v>
      </c>
      <c r="X6716">
        <v>831714</v>
      </c>
      <c r="Y6716" t="s">
        <v>1716</v>
      </c>
      <c r="Z6716" t="s">
        <v>1716</v>
      </c>
      <c r="AA6716" s="2" t="s">
        <v>39935</v>
      </c>
      <c r="AB6716" t="s">
        <v>70</v>
      </c>
      <c r="AC6716" t="s">
        <v>40702</v>
      </c>
      <c r="AD6716" t="s">
        <v>6397</v>
      </c>
      <c r="AE6716">
        <v>10552</v>
      </c>
      <c r="AG6716" t="s">
        <v>40703</v>
      </c>
      <c r="AH6716" t="s">
        <v>27449</v>
      </c>
      <c r="AI6716" t="s">
        <v>40704</v>
      </c>
    </row>
    <row r="6717" spans="2:35" ht="210">
      <c r="B6717" s="1">
        <v>45175</v>
      </c>
      <c r="C6717" s="4">
        <v>45175.569444444445</v>
      </c>
      <c r="D6717" t="s">
        <v>40705</v>
      </c>
      <c r="E6717" t="s">
        <v>24319</v>
      </c>
      <c r="F6717" t="s">
        <v>148</v>
      </c>
      <c r="G6717" t="s">
        <v>310</v>
      </c>
      <c r="H6717" t="s">
        <v>39</v>
      </c>
      <c r="I6717" t="s">
        <v>40</v>
      </c>
      <c r="J6717" s="2" t="s">
        <v>41</v>
      </c>
      <c r="K6717" t="s">
        <v>42</v>
      </c>
      <c r="L6717" t="s">
        <v>175</v>
      </c>
      <c r="Q6717">
        <v>25836</v>
      </c>
      <c r="R6717" t="s">
        <v>45</v>
      </c>
      <c r="S6717" t="s">
        <v>40706</v>
      </c>
      <c r="T6717">
        <v>25</v>
      </c>
      <c r="U6717" s="2" t="s">
        <v>40707</v>
      </c>
      <c r="V6717" s="1">
        <v>45174</v>
      </c>
      <c r="W6717" t="s">
        <v>536</v>
      </c>
      <c r="X6717">
        <v>839292</v>
      </c>
      <c r="Y6717" t="s">
        <v>40708</v>
      </c>
      <c r="Z6717" t="e">
        <f ca="1">- replaced modules
- checked _xludf.and cleaned cartridge bay, plunger rod, _xludf.filter
- generated reports</f>
        <v>#NAME?</v>
      </c>
      <c r="AA6717" t="s">
        <v>240</v>
      </c>
      <c r="AB6717" t="s">
        <v>40709</v>
      </c>
      <c r="AD6717" s="2" t="s">
        <v>40710</v>
      </c>
      <c r="AE6717" t="s">
        <v>40711</v>
      </c>
      <c r="AG6717" t="s">
        <v>40712</v>
      </c>
      <c r="AH6717" t="s">
        <v>25560</v>
      </c>
      <c r="AI6717" t="s">
        <v>40713</v>
      </c>
    </row>
    <row r="6718" spans="2:35" ht="225">
      <c r="B6718" s="1">
        <v>45175</v>
      </c>
      <c r="C6718" s="4">
        <v>45175.552083333336</v>
      </c>
      <c r="D6718" t="s">
        <v>5563</v>
      </c>
      <c r="E6718" t="s">
        <v>12328</v>
      </c>
      <c r="F6718">
        <v>7</v>
      </c>
      <c r="G6718" t="s">
        <v>432</v>
      </c>
      <c r="H6718" t="s">
        <v>40714</v>
      </c>
      <c r="I6718" t="s">
        <v>40</v>
      </c>
      <c r="J6718" s="2" t="s">
        <v>1309</v>
      </c>
      <c r="K6718" t="s">
        <v>42</v>
      </c>
      <c r="L6718" t="s">
        <v>343</v>
      </c>
      <c r="Q6718">
        <v>25835</v>
      </c>
      <c r="R6718" t="s">
        <v>119</v>
      </c>
      <c r="S6718" t="s">
        <v>5564</v>
      </c>
      <c r="T6718">
        <v>26.5</v>
      </c>
      <c r="U6718" s="2" t="s">
        <v>40715</v>
      </c>
      <c r="V6718" s="1">
        <v>45161</v>
      </c>
      <c r="W6718" t="s">
        <v>84</v>
      </c>
      <c r="X6718">
        <v>838561</v>
      </c>
      <c r="Y6718" t="s">
        <v>40716</v>
      </c>
      <c r="Z6718" s="2" t="s">
        <v>40717</v>
      </c>
      <c r="AA6718" t="e">
        <f ca="1">-XpertCheck CALIBRATION
-Preventive Maintenance
-module Replacement</f>
        <v>#NAME?</v>
      </c>
      <c r="AB6718" t="s">
        <v>7886</v>
      </c>
      <c r="AC6718" t="s">
        <v>40718</v>
      </c>
      <c r="AD6718" t="s">
        <v>6815</v>
      </c>
      <c r="AE6718">
        <v>10527</v>
      </c>
      <c r="AG6718" t="s">
        <v>40719</v>
      </c>
      <c r="AH6718" t="s">
        <v>14800</v>
      </c>
      <c r="AI6718" t="s">
        <v>40720</v>
      </c>
    </row>
    <row r="6719" spans="2:35" ht="180">
      <c r="B6719" s="1">
        <v>45175</v>
      </c>
      <c r="C6719" s="4">
        <v>45162.617361111108</v>
      </c>
      <c r="D6719" t="s">
        <v>36258</v>
      </c>
      <c r="E6719" t="s">
        <v>40721</v>
      </c>
      <c r="F6719" t="s">
        <v>37</v>
      </c>
      <c r="G6719" t="s">
        <v>38</v>
      </c>
      <c r="H6719" t="s">
        <v>39</v>
      </c>
      <c r="I6719" t="s">
        <v>40</v>
      </c>
      <c r="J6719" s="2" t="s">
        <v>41</v>
      </c>
      <c r="K6719" t="s">
        <v>42</v>
      </c>
      <c r="L6719" t="s">
        <v>43</v>
      </c>
      <c r="Q6719">
        <v>25834</v>
      </c>
      <c r="R6719" t="s">
        <v>45</v>
      </c>
      <c r="S6719" t="s">
        <v>1701</v>
      </c>
      <c r="T6719">
        <v>25</v>
      </c>
      <c r="U6719" s="2" t="s">
        <v>12736</v>
      </c>
      <c r="V6719" s="1">
        <v>45162</v>
      </c>
      <c r="W6719" t="s">
        <v>9792</v>
      </c>
      <c r="X6719">
        <v>838136</v>
      </c>
      <c r="Y6719" t="s">
        <v>40722</v>
      </c>
      <c r="Z6719" t="s">
        <v>40723</v>
      </c>
      <c r="AA6719" s="2" t="s">
        <v>40689</v>
      </c>
      <c r="AB6719" t="s">
        <v>88</v>
      </c>
      <c r="AD6719" s="2" t="s">
        <v>40724</v>
      </c>
      <c r="AE6719" t="s">
        <v>40725</v>
      </c>
      <c r="AG6719" t="s">
        <v>40726</v>
      </c>
      <c r="AH6719" t="s">
        <v>40727</v>
      </c>
      <c r="AI6719" t="s">
        <v>40728</v>
      </c>
    </row>
    <row r="6720" spans="2:35" ht="180">
      <c r="B6720" s="1">
        <v>45175</v>
      </c>
      <c r="C6720" s="4">
        <v>45162.617361111108</v>
      </c>
      <c r="D6720" t="s">
        <v>36258</v>
      </c>
      <c r="E6720" t="s">
        <v>40721</v>
      </c>
      <c r="F6720" t="s">
        <v>37</v>
      </c>
      <c r="G6720" t="s">
        <v>38</v>
      </c>
      <c r="H6720" t="s">
        <v>39</v>
      </c>
      <c r="I6720" t="s">
        <v>40</v>
      </c>
      <c r="J6720" s="2" t="s">
        <v>41</v>
      </c>
      <c r="K6720" t="s">
        <v>42</v>
      </c>
      <c r="L6720" t="s">
        <v>43</v>
      </c>
      <c r="Q6720">
        <v>25833</v>
      </c>
      <c r="R6720" t="s">
        <v>45</v>
      </c>
      <c r="S6720" t="s">
        <v>1701</v>
      </c>
      <c r="T6720">
        <v>25</v>
      </c>
      <c r="U6720" s="2" t="s">
        <v>12736</v>
      </c>
      <c r="V6720" s="1">
        <v>45162</v>
      </c>
      <c r="W6720" t="s">
        <v>9792</v>
      </c>
      <c r="X6720">
        <v>838136</v>
      </c>
      <c r="Y6720" t="s">
        <v>40722</v>
      </c>
      <c r="Z6720" t="s">
        <v>40723</v>
      </c>
      <c r="AA6720" s="2" t="s">
        <v>40689</v>
      </c>
      <c r="AB6720" t="s">
        <v>88</v>
      </c>
      <c r="AD6720" s="2" t="s">
        <v>40724</v>
      </c>
      <c r="AE6720" t="s">
        <v>40725</v>
      </c>
      <c r="AG6720" t="s">
        <v>40729</v>
      </c>
      <c r="AH6720" t="s">
        <v>40727</v>
      </c>
      <c r="AI6720" t="s">
        <v>40730</v>
      </c>
    </row>
    <row r="6721" spans="2:35" ht="409.5">
      <c r="B6721" s="1">
        <v>45175</v>
      </c>
      <c r="C6721" s="4">
        <v>45175.520138888889</v>
      </c>
      <c r="D6721" t="s">
        <v>12505</v>
      </c>
      <c r="E6721" t="s">
        <v>12506</v>
      </c>
      <c r="F6721">
        <v>3</v>
      </c>
      <c r="G6721" t="s">
        <v>219</v>
      </c>
      <c r="H6721" t="s">
        <v>61</v>
      </c>
      <c r="I6721" t="s">
        <v>40</v>
      </c>
      <c r="J6721" s="2" t="s">
        <v>62</v>
      </c>
      <c r="K6721" t="s">
        <v>42</v>
      </c>
      <c r="L6721" t="s">
        <v>135</v>
      </c>
      <c r="Q6721">
        <v>25832</v>
      </c>
      <c r="R6721" t="s">
        <v>45</v>
      </c>
      <c r="S6721" t="s">
        <v>12507</v>
      </c>
      <c r="T6721">
        <v>30</v>
      </c>
      <c r="U6721" s="2" t="s">
        <v>40731</v>
      </c>
      <c r="W6721" t="s">
        <v>2680</v>
      </c>
      <c r="X6721">
        <v>834622</v>
      </c>
      <c r="Y6721" t="s">
        <v>1751</v>
      </c>
      <c r="Z6721" s="2" t="s">
        <v>29789</v>
      </c>
      <c r="AA6721" s="2" t="s">
        <v>31375</v>
      </c>
      <c r="AB6721" t="s">
        <v>40732</v>
      </c>
      <c r="AC6721" t="s">
        <v>40733</v>
      </c>
      <c r="AG6721" t="s">
        <v>40734</v>
      </c>
      <c r="AH6721" t="s">
        <v>21843</v>
      </c>
      <c r="AI6721" t="s">
        <v>40735</v>
      </c>
    </row>
    <row r="6722" spans="2:35" ht="105">
      <c r="B6722" s="1">
        <v>45175</v>
      </c>
      <c r="C6722" s="4">
        <v>45175.486805555556</v>
      </c>
      <c r="D6722" t="s">
        <v>17485</v>
      </c>
      <c r="E6722" t="s">
        <v>40736</v>
      </c>
      <c r="F6722">
        <v>10</v>
      </c>
      <c r="G6722" t="s">
        <v>8359</v>
      </c>
      <c r="H6722" t="s">
        <v>2125</v>
      </c>
      <c r="I6722" t="s">
        <v>40</v>
      </c>
      <c r="J6722" s="2" t="s">
        <v>1309</v>
      </c>
      <c r="K6722" t="s">
        <v>42</v>
      </c>
      <c r="L6722" t="s">
        <v>933</v>
      </c>
      <c r="Q6722">
        <v>25831</v>
      </c>
      <c r="R6722" t="s">
        <v>119</v>
      </c>
      <c r="S6722" t="s">
        <v>17487</v>
      </c>
      <c r="T6722">
        <v>23.27</v>
      </c>
      <c r="U6722" s="2" t="s">
        <v>40737</v>
      </c>
      <c r="V6722" s="1">
        <v>45161</v>
      </c>
      <c r="W6722" t="s">
        <v>3662</v>
      </c>
      <c r="X6722">
        <v>838571</v>
      </c>
      <c r="Y6722" t="s">
        <v>40738</v>
      </c>
      <c r="Z6722" t="s">
        <v>301</v>
      </c>
      <c r="AA6722" t="s">
        <v>40739</v>
      </c>
      <c r="AB6722" t="s">
        <v>40740</v>
      </c>
      <c r="AD6722" t="s">
        <v>40741</v>
      </c>
      <c r="AE6722">
        <v>10536</v>
      </c>
      <c r="AG6722" t="s">
        <v>40742</v>
      </c>
      <c r="AH6722" t="s">
        <v>40743</v>
      </c>
      <c r="AI6722" t="s">
        <v>40744</v>
      </c>
    </row>
    <row r="6723" spans="2:35" ht="150">
      <c r="B6723" s="1">
        <v>45175</v>
      </c>
      <c r="C6723" s="4">
        <v>45175.472916666666</v>
      </c>
      <c r="D6723" t="s">
        <v>2257</v>
      </c>
      <c r="E6723" t="s">
        <v>40745</v>
      </c>
      <c r="F6723" t="s">
        <v>37</v>
      </c>
      <c r="G6723" t="s">
        <v>189</v>
      </c>
      <c r="H6723" t="s">
        <v>39</v>
      </c>
      <c r="I6723" t="s">
        <v>40</v>
      </c>
      <c r="J6723" s="2" t="s">
        <v>41</v>
      </c>
      <c r="K6723" t="s">
        <v>42</v>
      </c>
      <c r="L6723" t="s">
        <v>1943</v>
      </c>
      <c r="Q6723">
        <v>25830</v>
      </c>
      <c r="R6723" t="s">
        <v>119</v>
      </c>
      <c r="S6723" t="s">
        <v>40746</v>
      </c>
      <c r="T6723">
        <v>25</v>
      </c>
      <c r="U6723" s="2" t="s">
        <v>14478</v>
      </c>
      <c r="V6723" s="1">
        <v>45162</v>
      </c>
      <c r="W6723" t="s">
        <v>84</v>
      </c>
      <c r="X6723">
        <v>821421</v>
      </c>
      <c r="Y6723" s="2" t="s">
        <v>25792</v>
      </c>
      <c r="Z6723" s="2" t="s">
        <v>33081</v>
      </c>
      <c r="AA6723" t="s">
        <v>22330</v>
      </c>
      <c r="AB6723" t="s">
        <v>88</v>
      </c>
      <c r="AD6723" t="s">
        <v>40747</v>
      </c>
      <c r="AE6723" t="s">
        <v>40748</v>
      </c>
      <c r="AG6723" t="s">
        <v>40749</v>
      </c>
      <c r="AH6723" t="s">
        <v>40750</v>
      </c>
      <c r="AI6723" t="s">
        <v>40751</v>
      </c>
    </row>
    <row r="6724" spans="2:35" ht="135">
      <c r="B6724" s="1">
        <v>45175</v>
      </c>
      <c r="C6724" s="4">
        <v>45175.452777777777</v>
      </c>
      <c r="D6724" t="s">
        <v>976</v>
      </c>
      <c r="E6724" t="s">
        <v>14526</v>
      </c>
      <c r="F6724">
        <v>12</v>
      </c>
      <c r="G6724" t="s">
        <v>978</v>
      </c>
      <c r="H6724" t="s">
        <v>39</v>
      </c>
      <c r="I6724" t="s">
        <v>94</v>
      </c>
      <c r="J6724" s="2" t="s">
        <v>62</v>
      </c>
      <c r="K6724" t="s">
        <v>42</v>
      </c>
      <c r="L6724" t="s">
        <v>296</v>
      </c>
      <c r="Q6724">
        <v>25829</v>
      </c>
      <c r="R6724" t="s">
        <v>119</v>
      </c>
      <c r="S6724" t="s">
        <v>26910</v>
      </c>
      <c r="T6724">
        <v>21.5</v>
      </c>
      <c r="U6724" s="2" t="s">
        <v>14353</v>
      </c>
      <c r="V6724" s="1">
        <v>45175</v>
      </c>
      <c r="W6724" t="s">
        <v>23049</v>
      </c>
      <c r="X6724">
        <v>838543</v>
      </c>
      <c r="Y6724" s="2" t="s">
        <v>40752</v>
      </c>
      <c r="Z6724" t="s">
        <v>9161</v>
      </c>
      <c r="AA6724" t="s">
        <v>40753</v>
      </c>
      <c r="AB6724" t="s">
        <v>1480</v>
      </c>
      <c r="AC6724" t="s">
        <v>40754</v>
      </c>
      <c r="AD6724" t="s">
        <v>38010</v>
      </c>
      <c r="AE6724" t="s">
        <v>40755</v>
      </c>
      <c r="AG6724" t="s">
        <v>40756</v>
      </c>
      <c r="AH6724" t="s">
        <v>14529</v>
      </c>
      <c r="AI6724" t="s">
        <v>40757</v>
      </c>
    </row>
    <row r="6725" spans="2:35" ht="180">
      <c r="B6725" s="1">
        <v>45175</v>
      </c>
      <c r="C6725" s="4">
        <v>45175.433333333334</v>
      </c>
      <c r="D6725" t="s">
        <v>1686</v>
      </c>
      <c r="E6725" t="s">
        <v>27020</v>
      </c>
      <c r="F6725" t="s">
        <v>148</v>
      </c>
      <c r="G6725" t="s">
        <v>785</v>
      </c>
      <c r="H6725" t="s">
        <v>39</v>
      </c>
      <c r="I6725" t="s">
        <v>40</v>
      </c>
      <c r="J6725" s="2" t="s">
        <v>41</v>
      </c>
      <c r="K6725" t="s">
        <v>42</v>
      </c>
      <c r="L6725" t="s">
        <v>43</v>
      </c>
      <c r="Q6725">
        <v>25828</v>
      </c>
      <c r="R6725" t="s">
        <v>45</v>
      </c>
      <c r="S6725" t="s">
        <v>1688</v>
      </c>
      <c r="T6725">
        <v>24</v>
      </c>
      <c r="U6725" s="2" t="s">
        <v>40758</v>
      </c>
      <c r="V6725" s="1">
        <v>45174</v>
      </c>
      <c r="W6725" t="s">
        <v>48</v>
      </c>
      <c r="X6725">
        <v>838898</v>
      </c>
      <c r="Y6725" t="s">
        <v>2165</v>
      </c>
      <c r="Z6725" t="s">
        <v>40723</v>
      </c>
      <c r="AA6725" s="2" t="s">
        <v>40689</v>
      </c>
      <c r="AB6725" t="s">
        <v>7543</v>
      </c>
      <c r="AD6725" s="2" t="s">
        <v>40759</v>
      </c>
      <c r="AE6725" t="s">
        <v>40760</v>
      </c>
      <c r="AG6725" t="s">
        <v>40761</v>
      </c>
      <c r="AH6725" t="s">
        <v>1692</v>
      </c>
      <c r="AI6725" t="s">
        <v>40762</v>
      </c>
    </row>
    <row r="6726" spans="2:35" ht="210">
      <c r="B6726" s="1">
        <v>45175</v>
      </c>
      <c r="C6726" s="4">
        <v>45175.400694444441</v>
      </c>
      <c r="D6726" t="s">
        <v>40763</v>
      </c>
      <c r="E6726" t="s">
        <v>29325</v>
      </c>
      <c r="F6726">
        <v>6</v>
      </c>
      <c r="G6726" t="s">
        <v>1286</v>
      </c>
      <c r="H6726" t="s">
        <v>1047</v>
      </c>
      <c r="I6726" t="s">
        <v>94</v>
      </c>
      <c r="J6726" t="s">
        <v>79</v>
      </c>
      <c r="K6726" t="s">
        <v>42</v>
      </c>
      <c r="L6726" t="s">
        <v>23958</v>
      </c>
      <c r="Q6726">
        <v>25827</v>
      </c>
      <c r="R6726" t="s">
        <v>45</v>
      </c>
      <c r="S6726" t="s">
        <v>40764</v>
      </c>
      <c r="T6726">
        <v>4</v>
      </c>
      <c r="U6726" s="2" t="s">
        <v>40765</v>
      </c>
      <c r="W6726" t="s">
        <v>360</v>
      </c>
      <c r="X6726">
        <v>807587</v>
      </c>
      <c r="Y6726" t="s">
        <v>40766</v>
      </c>
      <c r="Z6726" t="s">
        <v>40767</v>
      </c>
      <c r="AA6726" t="s">
        <v>40768</v>
      </c>
      <c r="AB6726" t="s">
        <v>40769</v>
      </c>
      <c r="AG6726" t="s">
        <v>40770</v>
      </c>
      <c r="AH6726" t="s">
        <v>40771</v>
      </c>
      <c r="AI6726" t="s">
        <v>40772</v>
      </c>
    </row>
    <row r="6727" spans="2:35" ht="240">
      <c r="B6727" s="1">
        <v>45175</v>
      </c>
      <c r="C6727" s="4">
        <v>45175.352083333331</v>
      </c>
      <c r="D6727" t="s">
        <v>2677</v>
      </c>
      <c r="E6727" t="s">
        <v>2678</v>
      </c>
      <c r="F6727">
        <v>3</v>
      </c>
      <c r="G6727" t="s">
        <v>134</v>
      </c>
      <c r="H6727" t="s">
        <v>39</v>
      </c>
      <c r="I6727" t="s">
        <v>40</v>
      </c>
      <c r="J6727" s="2" t="s">
        <v>41</v>
      </c>
      <c r="K6727" t="s">
        <v>42</v>
      </c>
      <c r="L6727" t="s">
        <v>135</v>
      </c>
      <c r="Q6727">
        <v>25826</v>
      </c>
      <c r="R6727" t="s">
        <v>45</v>
      </c>
      <c r="S6727" t="s">
        <v>2679</v>
      </c>
      <c r="T6727">
        <v>30</v>
      </c>
      <c r="U6727" s="2" t="s">
        <v>18555</v>
      </c>
      <c r="W6727" t="s">
        <v>2680</v>
      </c>
      <c r="X6727">
        <v>812834</v>
      </c>
      <c r="Y6727" t="s">
        <v>40773</v>
      </c>
      <c r="Z6727" s="2" t="s">
        <v>22434</v>
      </c>
      <c r="AA6727" s="2" t="s">
        <v>40774</v>
      </c>
      <c r="AB6727" t="s">
        <v>181</v>
      </c>
      <c r="AC6727" t="s">
        <v>40775</v>
      </c>
      <c r="AG6727" t="s">
        <v>40776</v>
      </c>
      <c r="AH6727" t="s">
        <v>2686</v>
      </c>
      <c r="AI6727" t="s">
        <v>40777</v>
      </c>
    </row>
    <row r="6728" spans="2:35" ht="150">
      <c r="B6728" s="1">
        <v>45174</v>
      </c>
      <c r="C6728" s="4">
        <v>45174.750694444447</v>
      </c>
      <c r="D6728" t="s">
        <v>159</v>
      </c>
      <c r="E6728" t="s">
        <v>40778</v>
      </c>
      <c r="F6728" t="s">
        <v>37</v>
      </c>
      <c r="G6728" t="s">
        <v>78</v>
      </c>
      <c r="H6728" t="s">
        <v>61</v>
      </c>
      <c r="I6728" t="s">
        <v>40</v>
      </c>
      <c r="J6728" s="2" t="s">
        <v>760</v>
      </c>
      <c r="K6728" t="s">
        <v>42</v>
      </c>
      <c r="L6728" t="s">
        <v>1943</v>
      </c>
      <c r="Q6728">
        <v>25825</v>
      </c>
      <c r="R6728" t="s">
        <v>95</v>
      </c>
      <c r="S6728" t="s">
        <v>23763</v>
      </c>
      <c r="T6728">
        <v>25</v>
      </c>
      <c r="W6728" t="s">
        <v>5771</v>
      </c>
      <c r="X6728">
        <v>812916</v>
      </c>
      <c r="Y6728" s="2" t="s">
        <v>40779</v>
      </c>
      <c r="Z6728" t="s">
        <v>40780</v>
      </c>
      <c r="AA6728" t="s">
        <v>3775</v>
      </c>
      <c r="AB6728" t="s">
        <v>40781</v>
      </c>
      <c r="AG6728" t="s">
        <v>40782</v>
      </c>
      <c r="AH6728" t="s">
        <v>40783</v>
      </c>
      <c r="AI6728" t="s">
        <v>40784</v>
      </c>
    </row>
    <row r="6729" spans="2:35" ht="105">
      <c r="B6729" s="1">
        <v>45174</v>
      </c>
      <c r="C6729" s="4">
        <v>45174.698611111111</v>
      </c>
      <c r="D6729" t="s">
        <v>4286</v>
      </c>
      <c r="E6729" t="s">
        <v>40785</v>
      </c>
      <c r="F6729">
        <v>9</v>
      </c>
      <c r="G6729" t="s">
        <v>2197</v>
      </c>
      <c r="H6729" t="s">
        <v>39</v>
      </c>
      <c r="I6729" t="s">
        <v>40</v>
      </c>
      <c r="J6729" s="2" t="s">
        <v>17375</v>
      </c>
      <c r="K6729" t="s">
        <v>42</v>
      </c>
      <c r="L6729" t="s">
        <v>1257</v>
      </c>
      <c r="Q6729">
        <v>25824</v>
      </c>
      <c r="R6729" t="s">
        <v>119</v>
      </c>
      <c r="S6729" t="s">
        <v>2958</v>
      </c>
      <c r="T6729">
        <v>20</v>
      </c>
      <c r="U6729" s="2" t="s">
        <v>40786</v>
      </c>
      <c r="V6729" s="1">
        <v>45161</v>
      </c>
      <c r="W6729" t="s">
        <v>6776</v>
      </c>
      <c r="X6729">
        <v>821214</v>
      </c>
      <c r="Y6729" t="s">
        <v>40787</v>
      </c>
      <c r="Z6729" t="s">
        <v>40788</v>
      </c>
      <c r="AA6729" t="s">
        <v>22443</v>
      </c>
      <c r="AB6729" t="s">
        <v>7411</v>
      </c>
      <c r="AC6729" t="s">
        <v>301</v>
      </c>
      <c r="AD6729" t="s">
        <v>40789</v>
      </c>
      <c r="AE6729">
        <v>10534</v>
      </c>
      <c r="AG6729" t="s">
        <v>40790</v>
      </c>
      <c r="AH6729" t="s">
        <v>2968</v>
      </c>
      <c r="AI6729" t="s">
        <v>40791</v>
      </c>
    </row>
    <row r="6730" spans="2:35" ht="180">
      <c r="B6730" s="1">
        <v>45174</v>
      </c>
      <c r="C6730" s="4">
        <v>45174.680555555555</v>
      </c>
      <c r="D6730" t="s">
        <v>31528</v>
      </c>
      <c r="E6730" t="s">
        <v>18418</v>
      </c>
      <c r="F6730" t="s">
        <v>148</v>
      </c>
      <c r="G6730" t="s">
        <v>447</v>
      </c>
      <c r="H6730" t="s">
        <v>39</v>
      </c>
      <c r="I6730" t="s">
        <v>40</v>
      </c>
      <c r="J6730" s="2" t="s">
        <v>41</v>
      </c>
      <c r="K6730" t="s">
        <v>42</v>
      </c>
      <c r="L6730" t="s">
        <v>15532</v>
      </c>
      <c r="Q6730">
        <v>25823</v>
      </c>
      <c r="R6730" t="s">
        <v>45</v>
      </c>
      <c r="S6730" t="s">
        <v>29952</v>
      </c>
      <c r="T6730">
        <v>34</v>
      </c>
      <c r="U6730" s="2" t="s">
        <v>40792</v>
      </c>
      <c r="V6730" s="1">
        <v>45174</v>
      </c>
      <c r="W6730" t="s">
        <v>597</v>
      </c>
      <c r="X6730">
        <v>805254</v>
      </c>
      <c r="Y6730" t="s">
        <v>40346</v>
      </c>
      <c r="Z6730" s="2" t="s">
        <v>40793</v>
      </c>
      <c r="AA6730" s="2" t="s">
        <v>40794</v>
      </c>
      <c r="AB6730" s="2" t="s">
        <v>15539</v>
      </c>
      <c r="AD6730" t="s">
        <v>15847</v>
      </c>
      <c r="AE6730" t="s">
        <v>40795</v>
      </c>
      <c r="AG6730" t="s">
        <v>40796</v>
      </c>
      <c r="AH6730" t="s">
        <v>29957</v>
      </c>
      <c r="AI6730" t="s">
        <v>40797</v>
      </c>
    </row>
    <row r="6731" spans="2:35" ht="210">
      <c r="B6731" s="1">
        <v>45174</v>
      </c>
      <c r="C6731" s="4">
        <v>45174.654166666667</v>
      </c>
      <c r="D6731" t="s">
        <v>40798</v>
      </c>
      <c r="E6731" t="s">
        <v>40799</v>
      </c>
      <c r="F6731">
        <v>3</v>
      </c>
      <c r="G6731" t="s">
        <v>134</v>
      </c>
      <c r="H6731" t="s">
        <v>39</v>
      </c>
      <c r="I6731" t="s">
        <v>40</v>
      </c>
      <c r="J6731" t="s">
        <v>321</v>
      </c>
      <c r="K6731" t="s">
        <v>42</v>
      </c>
      <c r="L6731" t="s">
        <v>135</v>
      </c>
      <c r="Q6731">
        <v>25822</v>
      </c>
      <c r="R6731" t="s">
        <v>322</v>
      </c>
      <c r="S6731" t="s">
        <v>40800</v>
      </c>
      <c r="T6731">
        <v>27</v>
      </c>
      <c r="U6731" s="2" t="s">
        <v>40801</v>
      </c>
      <c r="W6731" t="s">
        <v>2680</v>
      </c>
      <c r="X6731">
        <v>120000128</v>
      </c>
      <c r="Y6731" t="s">
        <v>13110</v>
      </c>
      <c r="Z6731" t="s">
        <v>25800</v>
      </c>
      <c r="AA6731" s="2" t="s">
        <v>40802</v>
      </c>
      <c r="AB6731" t="s">
        <v>9323</v>
      </c>
      <c r="AG6731" t="s">
        <v>40803</v>
      </c>
      <c r="AH6731" t="s">
        <v>40804</v>
      </c>
      <c r="AI6731" t="s">
        <v>40805</v>
      </c>
    </row>
    <row r="6732" spans="2:35" ht="409.5">
      <c r="B6732" s="1">
        <v>45174</v>
      </c>
      <c r="C6732" s="4">
        <v>45174.577777777777</v>
      </c>
      <c r="D6732" t="s">
        <v>25980</v>
      </c>
      <c r="E6732" t="s">
        <v>3234</v>
      </c>
      <c r="F6732">
        <v>3</v>
      </c>
      <c r="G6732" t="s">
        <v>174</v>
      </c>
      <c r="H6732" t="s">
        <v>39</v>
      </c>
      <c r="I6732" t="s">
        <v>40</v>
      </c>
      <c r="J6732" s="2" t="s">
        <v>190</v>
      </c>
      <c r="K6732" t="s">
        <v>42</v>
      </c>
      <c r="L6732" t="s">
        <v>175</v>
      </c>
      <c r="Q6732">
        <v>25821</v>
      </c>
      <c r="R6732" t="s">
        <v>119</v>
      </c>
      <c r="S6732" t="s">
        <v>3235</v>
      </c>
      <c r="T6732">
        <v>25</v>
      </c>
      <c r="U6732" s="2" t="s">
        <v>40806</v>
      </c>
      <c r="W6732" t="s">
        <v>84</v>
      </c>
      <c r="X6732">
        <v>831904</v>
      </c>
      <c r="Y6732" t="s">
        <v>40807</v>
      </c>
      <c r="Z6732" s="2" t="s">
        <v>40808</v>
      </c>
      <c r="AA6732" t="s">
        <v>40809</v>
      </c>
      <c r="AB6732" t="s">
        <v>40810</v>
      </c>
      <c r="AG6732" t="s">
        <v>40811</v>
      </c>
      <c r="AH6732" t="s">
        <v>3239</v>
      </c>
      <c r="AI6732" t="s">
        <v>40812</v>
      </c>
    </row>
    <row r="6733" spans="2:35" ht="255">
      <c r="B6733" s="1">
        <v>45174</v>
      </c>
      <c r="C6733" s="4">
        <v>45174.595833333333</v>
      </c>
      <c r="D6733" t="s">
        <v>542</v>
      </c>
      <c r="E6733" t="s">
        <v>28584</v>
      </c>
      <c r="F6733" t="s">
        <v>148</v>
      </c>
      <c r="G6733" t="s">
        <v>544</v>
      </c>
      <c r="H6733" t="s">
        <v>39</v>
      </c>
      <c r="I6733" t="s">
        <v>40</v>
      </c>
      <c r="J6733" t="s">
        <v>321</v>
      </c>
      <c r="K6733" t="s">
        <v>42</v>
      </c>
      <c r="L6733" t="s">
        <v>43</v>
      </c>
      <c r="Q6733">
        <v>25820</v>
      </c>
      <c r="R6733" t="s">
        <v>322</v>
      </c>
      <c r="S6733" t="s">
        <v>15929</v>
      </c>
      <c r="T6733">
        <v>25</v>
      </c>
      <c r="W6733" t="s">
        <v>153</v>
      </c>
      <c r="X6733">
        <v>120000613</v>
      </c>
      <c r="Y6733" t="s">
        <v>750</v>
      </c>
      <c r="Z6733" t="s">
        <v>2931</v>
      </c>
      <c r="AA6733" s="2" t="s">
        <v>40813</v>
      </c>
      <c r="AB6733" t="s">
        <v>181</v>
      </c>
      <c r="AG6733" t="s">
        <v>40814</v>
      </c>
      <c r="AH6733" t="s">
        <v>37098</v>
      </c>
      <c r="AI6733" t="s">
        <v>40815</v>
      </c>
    </row>
    <row r="6734" spans="2:35" ht="165">
      <c r="B6734" s="1">
        <v>45174</v>
      </c>
      <c r="C6734" s="4">
        <v>45174.589583333334</v>
      </c>
      <c r="D6734" t="s">
        <v>4218</v>
      </c>
      <c r="E6734" t="s">
        <v>40816</v>
      </c>
      <c r="F6734">
        <v>3</v>
      </c>
      <c r="G6734" t="s">
        <v>1722</v>
      </c>
      <c r="H6734" t="s">
        <v>39</v>
      </c>
      <c r="I6734" t="s">
        <v>40</v>
      </c>
      <c r="J6734" s="2" t="s">
        <v>190</v>
      </c>
      <c r="K6734" t="s">
        <v>42</v>
      </c>
      <c r="L6734" t="s">
        <v>63</v>
      </c>
      <c r="Q6734">
        <v>25819</v>
      </c>
      <c r="R6734" t="s">
        <v>119</v>
      </c>
      <c r="S6734" t="s">
        <v>4220</v>
      </c>
      <c r="T6734">
        <v>25</v>
      </c>
      <c r="U6734" s="2" t="s">
        <v>18745</v>
      </c>
      <c r="V6734" s="1">
        <v>45174</v>
      </c>
      <c r="W6734" t="s">
        <v>26915</v>
      </c>
      <c r="X6734">
        <v>831637</v>
      </c>
      <c r="Y6734" t="s">
        <v>37689</v>
      </c>
      <c r="Z6734" t="s">
        <v>11377</v>
      </c>
      <c r="AA6734" s="2" t="s">
        <v>1727</v>
      </c>
      <c r="AB6734" t="s">
        <v>70</v>
      </c>
      <c r="AC6734" t="s">
        <v>11378</v>
      </c>
      <c r="AD6734" t="s">
        <v>1716</v>
      </c>
      <c r="AE6734" t="s">
        <v>1716</v>
      </c>
      <c r="AG6734" t="s">
        <v>40817</v>
      </c>
      <c r="AH6734" t="s">
        <v>26856</v>
      </c>
      <c r="AI6734" t="s">
        <v>40818</v>
      </c>
    </row>
    <row r="6735" spans="2:35" ht="210">
      <c r="B6735" s="1">
        <v>45174</v>
      </c>
      <c r="C6735" s="4">
        <v>45170.45416666667</v>
      </c>
      <c r="D6735" t="s">
        <v>3705</v>
      </c>
      <c r="E6735" t="s">
        <v>3706</v>
      </c>
      <c r="F6735">
        <v>3</v>
      </c>
      <c r="G6735" t="s">
        <v>174</v>
      </c>
      <c r="H6735" t="s">
        <v>39</v>
      </c>
      <c r="I6735" t="s">
        <v>40</v>
      </c>
      <c r="J6735" s="2" t="s">
        <v>41</v>
      </c>
      <c r="K6735" t="s">
        <v>42</v>
      </c>
      <c r="L6735" t="s">
        <v>175</v>
      </c>
      <c r="Q6735">
        <v>25818</v>
      </c>
      <c r="R6735" t="s">
        <v>119</v>
      </c>
      <c r="S6735" t="s">
        <v>3707</v>
      </c>
      <c r="T6735">
        <v>25</v>
      </c>
      <c r="U6735" s="2" t="s">
        <v>40819</v>
      </c>
      <c r="V6735" s="1">
        <v>45163</v>
      </c>
      <c r="W6735" t="s">
        <v>84</v>
      </c>
      <c r="X6735">
        <v>831897</v>
      </c>
      <c r="Y6735" t="s">
        <v>559</v>
      </c>
      <c r="Z6735" t="e">
        <f ca="1">- replaced module A3
- checked _xludf.and cleaned cartridge bay, plunger rod, _xludf.filter
- generated reports</f>
        <v>#NAME?</v>
      </c>
      <c r="AA6735" t="s">
        <v>22674</v>
      </c>
      <c r="AB6735" t="s">
        <v>88</v>
      </c>
      <c r="AD6735" s="2" t="s">
        <v>40820</v>
      </c>
      <c r="AE6735">
        <v>10578</v>
      </c>
      <c r="AG6735" t="s">
        <v>40821</v>
      </c>
      <c r="AH6735" t="s">
        <v>40822</v>
      </c>
      <c r="AI6735" t="s">
        <v>40823</v>
      </c>
    </row>
    <row r="6736" spans="2:35" ht="210">
      <c r="B6736" s="1">
        <v>45174</v>
      </c>
      <c r="C6736" s="4">
        <v>45170.45416666667</v>
      </c>
      <c r="D6736" t="s">
        <v>3705</v>
      </c>
      <c r="E6736" t="s">
        <v>3706</v>
      </c>
      <c r="F6736">
        <v>3</v>
      </c>
      <c r="G6736" t="s">
        <v>174</v>
      </c>
      <c r="H6736" t="s">
        <v>39</v>
      </c>
      <c r="I6736" t="s">
        <v>40</v>
      </c>
      <c r="J6736" s="2" t="s">
        <v>41</v>
      </c>
      <c r="K6736" t="s">
        <v>42</v>
      </c>
      <c r="L6736" t="s">
        <v>175</v>
      </c>
      <c r="Q6736">
        <v>25817</v>
      </c>
      <c r="R6736" t="s">
        <v>119</v>
      </c>
      <c r="S6736" t="s">
        <v>3707</v>
      </c>
      <c r="T6736">
        <v>25</v>
      </c>
      <c r="U6736" s="2" t="s">
        <v>40819</v>
      </c>
      <c r="V6736" s="1">
        <v>45163</v>
      </c>
      <c r="W6736" t="s">
        <v>84</v>
      </c>
      <c r="X6736">
        <v>831897</v>
      </c>
      <c r="Y6736" t="s">
        <v>559</v>
      </c>
      <c r="Z6736" t="e">
        <f ca="1">- replaced module A3
- checked _xludf.and cleaned cartridge bay, plunger rod, _xludf.filter
- generated reports</f>
        <v>#NAME?</v>
      </c>
      <c r="AA6736" t="s">
        <v>22674</v>
      </c>
      <c r="AB6736" t="s">
        <v>88</v>
      </c>
      <c r="AD6736" s="2" t="s">
        <v>40820</v>
      </c>
      <c r="AE6736">
        <v>10578</v>
      </c>
      <c r="AG6736" t="s">
        <v>40824</v>
      </c>
      <c r="AH6736" t="s">
        <v>40822</v>
      </c>
      <c r="AI6736" t="s">
        <v>40825</v>
      </c>
    </row>
    <row r="6737" spans="2:35" ht="409.5">
      <c r="B6737" s="1">
        <v>45174</v>
      </c>
      <c r="C6737" s="4">
        <v>45174.56527777778</v>
      </c>
      <c r="D6737" t="s">
        <v>3375</v>
      </c>
      <c r="E6737" t="s">
        <v>40826</v>
      </c>
      <c r="F6737">
        <v>3</v>
      </c>
      <c r="G6737" t="s">
        <v>134</v>
      </c>
      <c r="H6737" t="s">
        <v>39</v>
      </c>
      <c r="I6737" t="s">
        <v>40</v>
      </c>
      <c r="J6737" s="2" t="s">
        <v>62</v>
      </c>
      <c r="K6737" t="s">
        <v>42</v>
      </c>
      <c r="L6737" t="s">
        <v>135</v>
      </c>
      <c r="Q6737">
        <v>25816</v>
      </c>
      <c r="R6737" t="s">
        <v>45</v>
      </c>
      <c r="S6737" t="s">
        <v>40827</v>
      </c>
      <c r="T6737">
        <v>31</v>
      </c>
      <c r="U6737" s="2" t="s">
        <v>40828</v>
      </c>
      <c r="W6737" t="s">
        <v>2680</v>
      </c>
      <c r="X6737">
        <v>807569</v>
      </c>
      <c r="Y6737" t="s">
        <v>1751</v>
      </c>
      <c r="Z6737" s="2" t="s">
        <v>29789</v>
      </c>
      <c r="AA6737" s="2" t="s">
        <v>31375</v>
      </c>
      <c r="AB6737" t="s">
        <v>40829</v>
      </c>
      <c r="AC6737" t="s">
        <v>40165</v>
      </c>
      <c r="AG6737" t="s">
        <v>40830</v>
      </c>
      <c r="AH6737" t="s">
        <v>3381</v>
      </c>
      <c r="AI6737" t="s">
        <v>40831</v>
      </c>
    </row>
    <row r="6738" spans="2:35" ht="315">
      <c r="B6738" s="1">
        <v>45174</v>
      </c>
      <c r="C6738" s="4">
        <v>45174.518055555556</v>
      </c>
      <c r="D6738" t="s">
        <v>34184</v>
      </c>
      <c r="E6738" t="s">
        <v>34185</v>
      </c>
      <c r="F6738">
        <v>3</v>
      </c>
      <c r="G6738" t="s">
        <v>421</v>
      </c>
      <c r="H6738" t="s">
        <v>39</v>
      </c>
      <c r="I6738" t="s">
        <v>40</v>
      </c>
      <c r="J6738" s="2" t="s">
        <v>31979</v>
      </c>
      <c r="K6738" t="s">
        <v>42</v>
      </c>
      <c r="L6738" t="s">
        <v>175</v>
      </c>
      <c r="Q6738">
        <v>25815</v>
      </c>
      <c r="R6738" t="s">
        <v>119</v>
      </c>
      <c r="S6738" t="s">
        <v>27782</v>
      </c>
      <c r="T6738">
        <v>25</v>
      </c>
      <c r="U6738" s="2" t="s">
        <v>40832</v>
      </c>
      <c r="W6738" t="s">
        <v>84</v>
      </c>
      <c r="X6738">
        <v>831914</v>
      </c>
      <c r="Y6738" t="s">
        <v>40833</v>
      </c>
      <c r="Z6738" s="2" t="s">
        <v>40834</v>
      </c>
      <c r="AA6738" t="s">
        <v>40835</v>
      </c>
      <c r="AB6738" s="2" t="s">
        <v>40836</v>
      </c>
      <c r="AG6738" t="s">
        <v>40837</v>
      </c>
      <c r="AH6738" t="s">
        <v>27786</v>
      </c>
      <c r="AI6738" t="s">
        <v>40838</v>
      </c>
    </row>
    <row r="6739" spans="2:35" ht="150">
      <c r="B6739" s="1">
        <v>45174</v>
      </c>
      <c r="C6739" s="4">
        <v>45174.556250000001</v>
      </c>
      <c r="D6739" t="s">
        <v>34534</v>
      </c>
      <c r="E6739" t="s">
        <v>40839</v>
      </c>
      <c r="F6739" t="s">
        <v>148</v>
      </c>
      <c r="G6739" t="s">
        <v>310</v>
      </c>
      <c r="H6739" t="s">
        <v>39</v>
      </c>
      <c r="I6739" t="s">
        <v>40</v>
      </c>
      <c r="J6739" s="2" t="s">
        <v>41</v>
      </c>
      <c r="K6739" t="s">
        <v>42</v>
      </c>
      <c r="L6739" t="s">
        <v>15532</v>
      </c>
      <c r="Q6739">
        <v>25814</v>
      </c>
      <c r="R6739" t="s">
        <v>119</v>
      </c>
      <c r="S6739" t="s">
        <v>34536</v>
      </c>
      <c r="T6739">
        <v>25</v>
      </c>
      <c r="U6739" s="2" t="s">
        <v>21154</v>
      </c>
      <c r="W6739" t="s">
        <v>597</v>
      </c>
      <c r="X6739">
        <v>831527</v>
      </c>
      <c r="Y6739" t="s">
        <v>40840</v>
      </c>
      <c r="Z6739" s="2" t="s">
        <v>40841</v>
      </c>
      <c r="AA6739" t="s">
        <v>40842</v>
      </c>
      <c r="AB6739" s="2" t="s">
        <v>40843</v>
      </c>
      <c r="AG6739" t="s">
        <v>40844</v>
      </c>
      <c r="AH6739" t="s">
        <v>34539</v>
      </c>
      <c r="AI6739" t="s">
        <v>40845</v>
      </c>
    </row>
    <row r="6740" spans="2:35" ht="105">
      <c r="B6740" s="1">
        <v>45174</v>
      </c>
      <c r="C6740" s="4">
        <v>45174.518055555556</v>
      </c>
      <c r="D6740" t="s">
        <v>40846</v>
      </c>
      <c r="E6740" t="s">
        <v>5041</v>
      </c>
      <c r="F6740">
        <v>12</v>
      </c>
      <c r="G6740" t="s">
        <v>978</v>
      </c>
      <c r="H6740" t="s">
        <v>513</v>
      </c>
      <c r="I6740" t="s">
        <v>94</v>
      </c>
      <c r="J6740" t="s">
        <v>390</v>
      </c>
      <c r="K6740" t="s">
        <v>387</v>
      </c>
      <c r="L6740" t="s">
        <v>296</v>
      </c>
      <c r="Q6740">
        <v>25813</v>
      </c>
      <c r="R6740" t="s">
        <v>95</v>
      </c>
      <c r="S6740" t="s">
        <v>40847</v>
      </c>
      <c r="T6740">
        <v>23</v>
      </c>
      <c r="W6740" t="s">
        <v>390</v>
      </c>
      <c r="X6740" t="s">
        <v>16210</v>
      </c>
      <c r="Y6740" t="s">
        <v>4768</v>
      </c>
      <c r="Z6740" s="2" t="s">
        <v>40848</v>
      </c>
      <c r="AA6740" s="2" t="s">
        <v>40848</v>
      </c>
      <c r="AB6740" t="s">
        <v>40849</v>
      </c>
      <c r="AG6740" t="s">
        <v>40850</v>
      </c>
      <c r="AH6740" t="s">
        <v>40851</v>
      </c>
      <c r="AI6740" t="s">
        <v>40852</v>
      </c>
    </row>
    <row r="6741" spans="2:35" ht="45">
      <c r="B6741" s="1">
        <v>45174</v>
      </c>
      <c r="C6741" s="4">
        <v>45174.475694444445</v>
      </c>
      <c r="D6741" t="s">
        <v>10368</v>
      </c>
      <c r="E6741" t="s">
        <v>18482</v>
      </c>
      <c r="F6741">
        <v>7</v>
      </c>
      <c r="G6741" t="s">
        <v>6529</v>
      </c>
      <c r="H6741" t="s">
        <v>39</v>
      </c>
      <c r="I6741" t="s">
        <v>94</v>
      </c>
      <c r="J6741" s="2" t="s">
        <v>1370</v>
      </c>
      <c r="K6741" t="s">
        <v>42</v>
      </c>
      <c r="L6741" t="s">
        <v>433</v>
      </c>
      <c r="Q6741">
        <v>25812</v>
      </c>
      <c r="R6741" t="s">
        <v>119</v>
      </c>
      <c r="S6741" t="s">
        <v>10370</v>
      </c>
      <c r="T6741">
        <v>23</v>
      </c>
      <c r="W6741" t="s">
        <v>1008</v>
      </c>
      <c r="X6741">
        <v>838203</v>
      </c>
      <c r="Y6741" t="s">
        <v>40853</v>
      </c>
      <c r="Z6741" t="s">
        <v>40854</v>
      </c>
      <c r="AA6741" t="s">
        <v>40854</v>
      </c>
      <c r="AB6741" t="s">
        <v>1011</v>
      </c>
      <c r="AG6741" t="s">
        <v>40855</v>
      </c>
      <c r="AH6741" t="s">
        <v>40856</v>
      </c>
      <c r="AI6741" t="s">
        <v>40857</v>
      </c>
    </row>
    <row r="6742" spans="2:35" ht="240">
      <c r="B6742" s="1">
        <v>45174</v>
      </c>
      <c r="C6742" s="4">
        <v>45174.455555555556</v>
      </c>
      <c r="D6742" t="s">
        <v>22448</v>
      </c>
      <c r="E6742" t="s">
        <v>40858</v>
      </c>
      <c r="F6742">
        <v>3</v>
      </c>
      <c r="G6742" t="s">
        <v>1722</v>
      </c>
      <c r="H6742" t="s">
        <v>39</v>
      </c>
      <c r="I6742" t="s">
        <v>40</v>
      </c>
      <c r="J6742" s="2" t="s">
        <v>41</v>
      </c>
      <c r="K6742" t="s">
        <v>42</v>
      </c>
      <c r="L6742" t="s">
        <v>63</v>
      </c>
      <c r="Q6742">
        <v>25811</v>
      </c>
      <c r="R6742" t="s">
        <v>119</v>
      </c>
      <c r="S6742" t="s">
        <v>22450</v>
      </c>
      <c r="T6742">
        <v>25</v>
      </c>
      <c r="U6742" s="2" t="s">
        <v>13913</v>
      </c>
      <c r="V6742" s="1">
        <v>45162</v>
      </c>
      <c r="W6742" t="s">
        <v>26915</v>
      </c>
      <c r="X6742">
        <v>831695</v>
      </c>
      <c r="Y6742" t="s">
        <v>1716</v>
      </c>
      <c r="Z6742" t="s">
        <v>1716</v>
      </c>
      <c r="AA6742" s="2" t="s">
        <v>39935</v>
      </c>
      <c r="AB6742" t="s">
        <v>70</v>
      </c>
      <c r="AC6742" t="s">
        <v>40859</v>
      </c>
      <c r="AD6742" t="s">
        <v>6397</v>
      </c>
      <c r="AE6742">
        <v>10558</v>
      </c>
      <c r="AG6742" t="s">
        <v>40860</v>
      </c>
      <c r="AH6742" t="s">
        <v>22453</v>
      </c>
      <c r="AI6742" t="s">
        <v>40861</v>
      </c>
    </row>
    <row r="6743" spans="2:35" ht="270">
      <c r="B6743" s="1">
        <v>45174</v>
      </c>
      <c r="C6743" s="4">
        <v>45174.418749999997</v>
      </c>
      <c r="D6743" t="s">
        <v>22809</v>
      </c>
      <c r="E6743" t="s">
        <v>40154</v>
      </c>
      <c r="F6743" t="s">
        <v>148</v>
      </c>
      <c r="G6743" t="s">
        <v>544</v>
      </c>
      <c r="H6743" t="s">
        <v>39</v>
      </c>
      <c r="I6743" t="s">
        <v>40</v>
      </c>
      <c r="J6743" s="2" t="s">
        <v>41</v>
      </c>
      <c r="K6743" t="s">
        <v>42</v>
      </c>
      <c r="L6743" t="s">
        <v>43</v>
      </c>
      <c r="Q6743">
        <v>25810</v>
      </c>
      <c r="R6743" t="s">
        <v>45</v>
      </c>
      <c r="S6743" t="s">
        <v>22810</v>
      </c>
      <c r="T6743">
        <v>24</v>
      </c>
      <c r="U6743" s="2" t="s">
        <v>40862</v>
      </c>
      <c r="V6743" s="1">
        <v>45174</v>
      </c>
      <c r="W6743" t="s">
        <v>40863</v>
      </c>
      <c r="X6743">
        <v>844113</v>
      </c>
      <c r="Y6743" t="s">
        <v>40864</v>
      </c>
      <c r="Z6743" t="s">
        <v>7399</v>
      </c>
      <c r="AA6743" s="2" t="s">
        <v>40865</v>
      </c>
      <c r="AB6743" t="s">
        <v>16412</v>
      </c>
      <c r="AD6743" s="2" t="s">
        <v>40866</v>
      </c>
      <c r="AE6743" t="s">
        <v>40867</v>
      </c>
      <c r="AG6743" t="s">
        <v>40868</v>
      </c>
      <c r="AH6743" t="s">
        <v>37094</v>
      </c>
      <c r="AI6743" t="s">
        <v>40869</v>
      </c>
    </row>
    <row r="6744" spans="2:35" ht="240">
      <c r="B6744" s="1">
        <v>45174</v>
      </c>
      <c r="C6744" s="4">
        <v>45174.40625</v>
      </c>
      <c r="D6744" t="s">
        <v>8483</v>
      </c>
      <c r="E6744" t="s">
        <v>40870</v>
      </c>
      <c r="F6744">
        <v>10</v>
      </c>
      <c r="G6744" t="s">
        <v>1395</v>
      </c>
      <c r="H6744" t="s">
        <v>2125</v>
      </c>
      <c r="I6744" t="s">
        <v>40</v>
      </c>
      <c r="J6744" s="2" t="s">
        <v>1309</v>
      </c>
      <c r="K6744" t="s">
        <v>42</v>
      </c>
      <c r="L6744" t="s">
        <v>933</v>
      </c>
      <c r="Q6744">
        <v>25809</v>
      </c>
      <c r="R6744" t="s">
        <v>119</v>
      </c>
      <c r="S6744" t="s">
        <v>12065</v>
      </c>
      <c r="T6744">
        <v>25.4</v>
      </c>
      <c r="U6744" s="2" t="s">
        <v>33239</v>
      </c>
      <c r="W6744" t="s">
        <v>3662</v>
      </c>
      <c r="X6744">
        <v>838574</v>
      </c>
      <c r="Y6744" t="s">
        <v>301</v>
      </c>
      <c r="Z6744" t="s">
        <v>301</v>
      </c>
      <c r="AA6744" s="2" t="s">
        <v>40871</v>
      </c>
      <c r="AB6744" t="s">
        <v>1263</v>
      </c>
      <c r="AG6744" t="s">
        <v>40872</v>
      </c>
      <c r="AH6744" t="s">
        <v>40873</v>
      </c>
      <c r="AI6744" t="s">
        <v>40874</v>
      </c>
    </row>
    <row r="6745" spans="2:35" ht="270">
      <c r="B6745" s="1">
        <v>45174</v>
      </c>
      <c r="C6745" s="4">
        <v>45174.39166666667</v>
      </c>
      <c r="D6745" t="s">
        <v>17687</v>
      </c>
      <c r="E6745" t="s">
        <v>23372</v>
      </c>
      <c r="F6745">
        <v>10</v>
      </c>
      <c r="G6745" t="s">
        <v>1395</v>
      </c>
      <c r="H6745" t="s">
        <v>1047</v>
      </c>
      <c r="I6745" t="s">
        <v>40</v>
      </c>
      <c r="J6745" s="2" t="s">
        <v>62</v>
      </c>
      <c r="K6745" t="s">
        <v>42</v>
      </c>
      <c r="L6745" t="s">
        <v>1288</v>
      </c>
      <c r="Q6745">
        <v>25808</v>
      </c>
      <c r="R6745" t="s">
        <v>119</v>
      </c>
      <c r="S6745" t="s">
        <v>10835</v>
      </c>
      <c r="T6745">
        <v>25</v>
      </c>
      <c r="U6745" s="2" t="s">
        <v>40875</v>
      </c>
      <c r="V6745" s="1">
        <v>45138</v>
      </c>
      <c r="W6745" t="s">
        <v>1292</v>
      </c>
      <c r="X6745">
        <v>838435</v>
      </c>
      <c r="Y6745" t="s">
        <v>13756</v>
      </c>
      <c r="Z6745" t="e">
        <f ca="1">-COLLECT IQR,system _xludf.Log, _xludf.and CALIBRATION Data</f>
        <v>#NAME?</v>
      </c>
      <c r="AA6745" s="2" t="s">
        <v>40876</v>
      </c>
      <c r="AB6745" t="s">
        <v>1293</v>
      </c>
      <c r="AD6745" t="s">
        <v>40606</v>
      </c>
      <c r="AE6745">
        <v>10359</v>
      </c>
      <c r="AG6745" t="s">
        <v>40877</v>
      </c>
      <c r="AH6745" t="s">
        <v>40878</v>
      </c>
      <c r="AI6745" t="s">
        <v>40879</v>
      </c>
    </row>
    <row r="6746" spans="2:35" ht="105">
      <c r="B6746" s="1">
        <v>45174</v>
      </c>
      <c r="C6746" s="4">
        <v>45174.385416666664</v>
      </c>
      <c r="D6746" t="s">
        <v>17687</v>
      </c>
      <c r="E6746" t="s">
        <v>23372</v>
      </c>
      <c r="F6746">
        <v>10</v>
      </c>
      <c r="G6746" t="s">
        <v>1395</v>
      </c>
      <c r="H6746" t="s">
        <v>1047</v>
      </c>
      <c r="I6746" t="s">
        <v>40</v>
      </c>
      <c r="J6746" s="2" t="s">
        <v>62</v>
      </c>
      <c r="K6746" t="s">
        <v>42</v>
      </c>
      <c r="L6746" t="s">
        <v>1288</v>
      </c>
      <c r="Q6746">
        <v>25807</v>
      </c>
      <c r="R6746" t="s">
        <v>119</v>
      </c>
      <c r="S6746" t="s">
        <v>10835</v>
      </c>
      <c r="T6746">
        <v>27</v>
      </c>
      <c r="U6746" s="2" t="s">
        <v>40875</v>
      </c>
      <c r="V6746" s="1">
        <v>45138</v>
      </c>
      <c r="W6746" t="s">
        <v>1292</v>
      </c>
      <c r="X6746">
        <v>838441</v>
      </c>
      <c r="Y6746" t="s">
        <v>13756</v>
      </c>
      <c r="Z6746" t="e">
        <f ca="1">-COLLECT IQR,system _xludf.Log, _xludf.and CALIBRATION Data</f>
        <v>#NAME?</v>
      </c>
      <c r="AA6746" t="e">
        <f ca="1">-PERFORM XpertCheck CALIBRATION:
module B2- _xludf.For service
                                                                                                                                                                                                                                                                module B3- Retry THEN _xludf.For service</f>
        <v>#NAME?</v>
      </c>
      <c r="AB6746" t="s">
        <v>1293</v>
      </c>
      <c r="AC6746" t="s">
        <v>40880</v>
      </c>
      <c r="AD6746" t="s">
        <v>40606</v>
      </c>
      <c r="AE6746">
        <v>10360</v>
      </c>
      <c r="AG6746" t="s">
        <v>40881</v>
      </c>
      <c r="AH6746" t="s">
        <v>40878</v>
      </c>
      <c r="AI6746" t="s">
        <v>40882</v>
      </c>
    </row>
    <row r="6747" spans="2:35" ht="360">
      <c r="B6747" s="1">
        <v>45173</v>
      </c>
      <c r="C6747" s="4">
        <v>45173.644444444442</v>
      </c>
      <c r="D6747" t="s">
        <v>5496</v>
      </c>
      <c r="E6747" t="s">
        <v>21287</v>
      </c>
      <c r="F6747">
        <v>5</v>
      </c>
      <c r="G6747" t="s">
        <v>839</v>
      </c>
      <c r="H6747" t="s">
        <v>39</v>
      </c>
      <c r="I6747" t="s">
        <v>40</v>
      </c>
      <c r="J6747" s="2" t="s">
        <v>1309</v>
      </c>
      <c r="K6747" t="s">
        <v>42</v>
      </c>
      <c r="L6747" t="s">
        <v>761</v>
      </c>
      <c r="Q6747">
        <v>25806</v>
      </c>
      <c r="R6747" t="s">
        <v>119</v>
      </c>
      <c r="S6747" t="s">
        <v>5498</v>
      </c>
      <c r="T6747">
        <v>25</v>
      </c>
      <c r="U6747" s="2" t="s">
        <v>28539</v>
      </c>
      <c r="V6747" s="1">
        <v>45163</v>
      </c>
      <c r="W6747" t="s">
        <v>360</v>
      </c>
      <c r="X6747">
        <v>838391</v>
      </c>
      <c r="Y6747" t="s">
        <v>40883</v>
      </c>
      <c r="Z6747" s="2" t="s">
        <v>40884</v>
      </c>
      <c r="AA6747" s="2" t="s">
        <v>40885</v>
      </c>
      <c r="AB6747" t="s">
        <v>70</v>
      </c>
      <c r="AC6747" t="s">
        <v>40886</v>
      </c>
      <c r="AD6747" s="2" t="s">
        <v>40887</v>
      </c>
      <c r="AE6747" t="s">
        <v>40888</v>
      </c>
      <c r="AG6747" t="s">
        <v>40889</v>
      </c>
      <c r="AH6747" t="s">
        <v>5503</v>
      </c>
      <c r="AI6747" t="s">
        <v>40890</v>
      </c>
    </row>
    <row r="6748" spans="2:35" ht="409.5">
      <c r="B6748" s="1">
        <v>45173</v>
      </c>
      <c r="C6748" s="4">
        <v>45173.688194444447</v>
      </c>
      <c r="D6748" t="s">
        <v>3712</v>
      </c>
      <c r="E6748" t="s">
        <v>40891</v>
      </c>
      <c r="F6748" t="s">
        <v>148</v>
      </c>
      <c r="G6748" t="s">
        <v>310</v>
      </c>
      <c r="H6748" t="s">
        <v>386</v>
      </c>
      <c r="I6748" t="s">
        <v>40</v>
      </c>
      <c r="J6748" t="s">
        <v>525</v>
      </c>
      <c r="K6748" t="s">
        <v>387</v>
      </c>
      <c r="L6748" t="s">
        <v>448</v>
      </c>
      <c r="Q6748">
        <v>25805</v>
      </c>
      <c r="R6748" t="s">
        <v>322</v>
      </c>
      <c r="S6748" t="s">
        <v>3824</v>
      </c>
      <c r="T6748">
        <v>28</v>
      </c>
      <c r="V6748" s="1">
        <v>45173</v>
      </c>
      <c r="W6748" t="s">
        <v>390</v>
      </c>
      <c r="X6748" t="s">
        <v>20133</v>
      </c>
      <c r="Y6748" t="s">
        <v>40892</v>
      </c>
      <c r="Z6748" s="2" t="s">
        <v>40893</v>
      </c>
      <c r="AA6748" t="s">
        <v>4487</v>
      </c>
      <c r="AB6748" t="s">
        <v>40894</v>
      </c>
      <c r="AC6748" t="s">
        <v>40895</v>
      </c>
      <c r="AD6748" t="s">
        <v>40896</v>
      </c>
      <c r="AE6748">
        <v>10628</v>
      </c>
      <c r="AG6748" t="s">
        <v>40897</v>
      </c>
      <c r="AH6748" t="s">
        <v>6118</v>
      </c>
      <c r="AI6748" t="s">
        <v>40898</v>
      </c>
    </row>
    <row r="6749" spans="2:35" ht="105">
      <c r="B6749" s="1">
        <v>45173</v>
      </c>
      <c r="C6749" s="4">
        <v>45173.67291666667</v>
      </c>
      <c r="D6749" t="s">
        <v>3453</v>
      </c>
      <c r="E6749" t="s">
        <v>40899</v>
      </c>
      <c r="F6749">
        <v>7</v>
      </c>
      <c r="G6749" t="s">
        <v>432</v>
      </c>
      <c r="H6749" t="s">
        <v>608</v>
      </c>
      <c r="I6749" t="s">
        <v>94</v>
      </c>
      <c r="J6749" t="s">
        <v>79</v>
      </c>
      <c r="K6749" t="s">
        <v>42</v>
      </c>
      <c r="L6749" t="s">
        <v>610</v>
      </c>
      <c r="Q6749">
        <v>25804</v>
      </c>
      <c r="R6749" t="s">
        <v>45</v>
      </c>
      <c r="S6749" t="s">
        <v>40900</v>
      </c>
      <c r="T6749">
        <v>24</v>
      </c>
      <c r="U6749" s="2" t="s">
        <v>40901</v>
      </c>
      <c r="W6749" t="s">
        <v>360</v>
      </c>
      <c r="X6749">
        <v>805214</v>
      </c>
      <c r="Y6749" t="s">
        <v>40902</v>
      </c>
      <c r="Z6749" t="s">
        <v>40903</v>
      </c>
      <c r="AA6749" t="s">
        <v>40904</v>
      </c>
      <c r="AB6749" t="s">
        <v>40905</v>
      </c>
      <c r="AC6749" t="s">
        <v>40906</v>
      </c>
      <c r="AG6749" t="s">
        <v>40907</v>
      </c>
      <c r="AH6749" t="s">
        <v>40908</v>
      </c>
      <c r="AI6749" t="s">
        <v>40909</v>
      </c>
    </row>
    <row r="6750" spans="2:35" ht="210">
      <c r="B6750" s="1">
        <v>45173</v>
      </c>
      <c r="C6750" s="4">
        <v>45170.524305555555</v>
      </c>
      <c r="D6750" t="s">
        <v>6619</v>
      </c>
      <c r="E6750" t="s">
        <v>40451</v>
      </c>
      <c r="F6750" t="s">
        <v>37</v>
      </c>
      <c r="G6750" t="s">
        <v>748</v>
      </c>
      <c r="H6750" t="s">
        <v>39</v>
      </c>
      <c r="I6750" t="s">
        <v>40</v>
      </c>
      <c r="J6750" s="2" t="s">
        <v>41</v>
      </c>
      <c r="K6750" t="s">
        <v>42</v>
      </c>
      <c r="L6750" t="s">
        <v>1028</v>
      </c>
      <c r="Q6750">
        <v>25800</v>
      </c>
      <c r="R6750" t="s">
        <v>119</v>
      </c>
      <c r="S6750" t="s">
        <v>5176</v>
      </c>
      <c r="T6750">
        <v>25</v>
      </c>
      <c r="U6750" s="2" t="s">
        <v>40910</v>
      </c>
      <c r="V6750" s="1">
        <v>45163</v>
      </c>
      <c r="W6750" t="s">
        <v>2680</v>
      </c>
      <c r="X6750">
        <v>838535</v>
      </c>
      <c r="Y6750" t="s">
        <v>40911</v>
      </c>
      <c r="Z6750" t="s">
        <v>2129</v>
      </c>
      <c r="AA6750" s="2" t="s">
        <v>40912</v>
      </c>
      <c r="AB6750" t="s">
        <v>3063</v>
      </c>
      <c r="AD6750" t="s">
        <v>40913</v>
      </c>
      <c r="AE6750" t="s">
        <v>40914</v>
      </c>
      <c r="AG6750" t="s">
        <v>40915</v>
      </c>
      <c r="AH6750" t="s">
        <v>15407</v>
      </c>
      <c r="AI6750" t="s">
        <v>40916</v>
      </c>
    </row>
    <row r="6751" spans="2:35" ht="210">
      <c r="B6751" s="1">
        <v>45173</v>
      </c>
      <c r="C6751" s="4">
        <v>45170.395138888889</v>
      </c>
      <c r="D6751" t="s">
        <v>3782</v>
      </c>
      <c r="E6751" t="s">
        <v>40917</v>
      </c>
      <c r="F6751" t="s">
        <v>37</v>
      </c>
      <c r="G6751" t="s">
        <v>748</v>
      </c>
      <c r="H6751" t="s">
        <v>39</v>
      </c>
      <c r="I6751" t="s">
        <v>40</v>
      </c>
      <c r="J6751" s="2" t="s">
        <v>41</v>
      </c>
      <c r="K6751" t="s">
        <v>42</v>
      </c>
      <c r="L6751" t="s">
        <v>1028</v>
      </c>
      <c r="Q6751">
        <v>25803</v>
      </c>
      <c r="R6751" t="s">
        <v>45</v>
      </c>
      <c r="S6751" t="s">
        <v>3784</v>
      </c>
      <c r="T6751">
        <v>24</v>
      </c>
      <c r="U6751" s="2" t="s">
        <v>40918</v>
      </c>
      <c r="V6751" s="1">
        <v>45167</v>
      </c>
      <c r="W6751" t="s">
        <v>2680</v>
      </c>
      <c r="X6751">
        <v>804691</v>
      </c>
      <c r="Y6751" t="s">
        <v>33257</v>
      </c>
      <c r="Z6751" t="s">
        <v>2129</v>
      </c>
      <c r="AA6751" s="2" t="s">
        <v>40436</v>
      </c>
      <c r="AB6751" t="s">
        <v>3063</v>
      </c>
      <c r="AC6751" t="s">
        <v>40919</v>
      </c>
      <c r="AD6751" t="s">
        <v>27391</v>
      </c>
      <c r="AE6751" t="s">
        <v>40920</v>
      </c>
      <c r="AG6751" t="s">
        <v>40921</v>
      </c>
      <c r="AH6751" t="s">
        <v>40922</v>
      </c>
      <c r="AI6751" t="s">
        <v>40923</v>
      </c>
    </row>
    <row r="6752" spans="2:35" ht="210">
      <c r="B6752" s="1">
        <v>45173</v>
      </c>
      <c r="C6752" s="4">
        <v>45170.454861111109</v>
      </c>
      <c r="D6752" t="s">
        <v>30657</v>
      </c>
      <c r="E6752" t="s">
        <v>40924</v>
      </c>
      <c r="F6752" t="s">
        <v>37</v>
      </c>
      <c r="G6752" t="s">
        <v>748</v>
      </c>
      <c r="H6752" t="s">
        <v>39</v>
      </c>
      <c r="I6752" t="s">
        <v>40</v>
      </c>
      <c r="J6752" s="2" t="s">
        <v>41</v>
      </c>
      <c r="K6752" t="s">
        <v>42</v>
      </c>
      <c r="L6752" t="s">
        <v>1028</v>
      </c>
      <c r="Q6752">
        <v>25801</v>
      </c>
      <c r="R6752" t="s">
        <v>45</v>
      </c>
      <c r="S6752" t="s">
        <v>30659</v>
      </c>
      <c r="T6752">
        <v>25</v>
      </c>
      <c r="U6752" s="2" t="s">
        <v>40925</v>
      </c>
      <c r="V6752" s="1">
        <v>45167</v>
      </c>
      <c r="W6752" t="s">
        <v>2680</v>
      </c>
      <c r="X6752">
        <v>814168</v>
      </c>
      <c r="Y6752" t="s">
        <v>40926</v>
      </c>
      <c r="Z6752" t="s">
        <v>2129</v>
      </c>
      <c r="AA6752" s="2" t="s">
        <v>40927</v>
      </c>
      <c r="AB6752" t="s">
        <v>3063</v>
      </c>
      <c r="AD6752" t="s">
        <v>27381</v>
      </c>
      <c r="AE6752" t="s">
        <v>40928</v>
      </c>
      <c r="AG6752" t="s">
        <v>40929</v>
      </c>
      <c r="AH6752" t="s">
        <v>30663</v>
      </c>
      <c r="AI6752" t="s">
        <v>40930</v>
      </c>
    </row>
    <row r="6753" spans="2:35" ht="150">
      <c r="B6753" s="1">
        <v>45173</v>
      </c>
      <c r="C6753" s="4">
        <v>45169.624305555553</v>
      </c>
      <c r="D6753" t="s">
        <v>25155</v>
      </c>
      <c r="E6753" t="s">
        <v>40931</v>
      </c>
      <c r="F6753" t="s">
        <v>37</v>
      </c>
      <c r="G6753" t="s">
        <v>748</v>
      </c>
      <c r="H6753" t="s">
        <v>39</v>
      </c>
      <c r="I6753" t="s">
        <v>40</v>
      </c>
      <c r="J6753" s="2" t="s">
        <v>41</v>
      </c>
      <c r="K6753" t="s">
        <v>42</v>
      </c>
      <c r="L6753" t="s">
        <v>1028</v>
      </c>
      <c r="Q6753">
        <v>25802</v>
      </c>
      <c r="R6753" t="s">
        <v>119</v>
      </c>
      <c r="S6753" t="s">
        <v>25157</v>
      </c>
      <c r="T6753">
        <v>26</v>
      </c>
      <c r="U6753" s="2" t="s">
        <v>2367</v>
      </c>
      <c r="V6753" s="1">
        <v>45163</v>
      </c>
      <c r="W6753" t="s">
        <v>2680</v>
      </c>
      <c r="X6753">
        <v>821221</v>
      </c>
      <c r="Y6753" t="s">
        <v>35646</v>
      </c>
      <c r="Z6753" t="s">
        <v>2129</v>
      </c>
      <c r="AA6753" s="2" t="s">
        <v>40436</v>
      </c>
      <c r="AB6753" t="s">
        <v>30229</v>
      </c>
      <c r="AD6753" t="s">
        <v>27381</v>
      </c>
      <c r="AE6753" t="s">
        <v>40932</v>
      </c>
      <c r="AG6753" t="s">
        <v>40933</v>
      </c>
      <c r="AH6753" t="s">
        <v>25162</v>
      </c>
      <c r="AI6753" t="s">
        <v>40934</v>
      </c>
    </row>
    <row r="6754" spans="2:35" ht="150">
      <c r="B6754" s="1">
        <v>45173</v>
      </c>
      <c r="C6754" s="4">
        <v>45169.427083333336</v>
      </c>
      <c r="D6754" t="s">
        <v>25923</v>
      </c>
      <c r="E6754" t="s">
        <v>38796</v>
      </c>
      <c r="F6754" t="s">
        <v>37</v>
      </c>
      <c r="G6754" t="s">
        <v>748</v>
      </c>
      <c r="H6754" t="s">
        <v>39</v>
      </c>
      <c r="I6754" t="s">
        <v>40</v>
      </c>
      <c r="J6754" s="2" t="s">
        <v>41</v>
      </c>
      <c r="K6754" t="s">
        <v>42</v>
      </c>
      <c r="L6754" t="s">
        <v>1028</v>
      </c>
      <c r="Q6754">
        <v>25799</v>
      </c>
      <c r="R6754" t="s">
        <v>119</v>
      </c>
      <c r="S6754" t="s">
        <v>25925</v>
      </c>
      <c r="T6754">
        <v>26</v>
      </c>
      <c r="U6754" s="2" t="s">
        <v>40935</v>
      </c>
      <c r="V6754" s="1">
        <v>45163</v>
      </c>
      <c r="W6754" t="s">
        <v>2680</v>
      </c>
      <c r="X6754">
        <v>821284</v>
      </c>
      <c r="Y6754" t="s">
        <v>29577</v>
      </c>
      <c r="Z6754" t="s">
        <v>2129</v>
      </c>
      <c r="AA6754" s="2" t="s">
        <v>40936</v>
      </c>
      <c r="AB6754" t="s">
        <v>3063</v>
      </c>
      <c r="AC6754" t="s">
        <v>40937</v>
      </c>
      <c r="AD6754" t="s">
        <v>40938</v>
      </c>
      <c r="AE6754" t="s">
        <v>40939</v>
      </c>
      <c r="AG6754" t="s">
        <v>40940</v>
      </c>
      <c r="AH6754" t="s">
        <v>25928</v>
      </c>
      <c r="AI6754" t="s">
        <v>40941</v>
      </c>
    </row>
    <row r="6755" spans="2:35" ht="105">
      <c r="B6755" s="1">
        <v>45173</v>
      </c>
      <c r="C6755" s="4">
        <v>45173.5625</v>
      </c>
      <c r="D6755" t="s">
        <v>1471</v>
      </c>
      <c r="E6755" t="s">
        <v>3863</v>
      </c>
      <c r="F6755">
        <v>12</v>
      </c>
      <c r="G6755" t="s">
        <v>978</v>
      </c>
      <c r="H6755" t="s">
        <v>40942</v>
      </c>
      <c r="I6755" t="s">
        <v>94</v>
      </c>
      <c r="J6755" s="2" t="s">
        <v>41</v>
      </c>
      <c r="K6755" t="s">
        <v>42</v>
      </c>
      <c r="L6755" t="s">
        <v>296</v>
      </c>
      <c r="Q6755">
        <v>25798</v>
      </c>
      <c r="R6755" t="s">
        <v>45</v>
      </c>
      <c r="S6755" t="s">
        <v>1475</v>
      </c>
      <c r="T6755">
        <v>24.6</v>
      </c>
      <c r="U6755" s="2" t="s">
        <v>40943</v>
      </c>
      <c r="V6755" s="1">
        <v>45173</v>
      </c>
      <c r="W6755" t="s">
        <v>23049</v>
      </c>
      <c r="X6755">
        <v>707529</v>
      </c>
      <c r="Y6755" t="s">
        <v>38491</v>
      </c>
      <c r="Z6755" t="s">
        <v>9161</v>
      </c>
      <c r="AA6755" t="s">
        <v>40944</v>
      </c>
      <c r="AB6755" t="s">
        <v>972</v>
      </c>
      <c r="AD6755" t="s">
        <v>40945</v>
      </c>
      <c r="AE6755" t="s">
        <v>19700</v>
      </c>
      <c r="AG6755" t="s">
        <v>40946</v>
      </c>
      <c r="AH6755" t="s">
        <v>1482</v>
      </c>
      <c r="AI6755" t="s">
        <v>40947</v>
      </c>
    </row>
    <row r="6756" spans="2:35" ht="330">
      <c r="B6756" s="1">
        <v>45173</v>
      </c>
      <c r="C6756" s="4">
        <v>45173.563888888886</v>
      </c>
      <c r="D6756" t="s">
        <v>17669</v>
      </c>
      <c r="E6756" t="s">
        <v>40948</v>
      </c>
      <c r="F6756">
        <v>10</v>
      </c>
      <c r="G6756" t="s">
        <v>1395</v>
      </c>
      <c r="H6756" t="s">
        <v>10969</v>
      </c>
      <c r="I6756" t="s">
        <v>40</v>
      </c>
      <c r="J6756" s="2" t="s">
        <v>62</v>
      </c>
      <c r="K6756" t="s">
        <v>42</v>
      </c>
      <c r="L6756" t="s">
        <v>1288</v>
      </c>
      <c r="Q6756">
        <v>25797</v>
      </c>
      <c r="R6756" t="s">
        <v>119</v>
      </c>
      <c r="S6756" t="s">
        <v>22161</v>
      </c>
      <c r="T6756">
        <v>26</v>
      </c>
      <c r="U6756" s="2" t="s">
        <v>40949</v>
      </c>
      <c r="V6756" s="1">
        <v>45138</v>
      </c>
      <c r="W6756" t="s">
        <v>1292</v>
      </c>
      <c r="X6756">
        <v>838442</v>
      </c>
      <c r="Y6756" t="s">
        <v>13756</v>
      </c>
      <c r="Z6756" t="s">
        <v>40950</v>
      </c>
      <c r="AA6756" s="2" t="s">
        <v>40951</v>
      </c>
      <c r="AB6756" t="s">
        <v>1293</v>
      </c>
      <c r="AC6756" t="s">
        <v>40952</v>
      </c>
      <c r="AD6756" t="s">
        <v>40606</v>
      </c>
      <c r="AE6756">
        <v>10361</v>
      </c>
      <c r="AG6756" t="s">
        <v>40953</v>
      </c>
      <c r="AH6756" t="s">
        <v>10001</v>
      </c>
      <c r="AI6756" t="s">
        <v>40954</v>
      </c>
    </row>
    <row r="6757" spans="2:35" ht="270">
      <c r="B6757" s="1">
        <v>45173</v>
      </c>
      <c r="C6757" s="4">
        <v>45173.560416666667</v>
      </c>
      <c r="D6757" t="s">
        <v>17706</v>
      </c>
      <c r="E6757" t="s">
        <v>17707</v>
      </c>
      <c r="F6757">
        <v>10</v>
      </c>
      <c r="G6757" t="s">
        <v>1395</v>
      </c>
      <c r="H6757" t="s">
        <v>10969</v>
      </c>
      <c r="I6757" t="s">
        <v>40</v>
      </c>
      <c r="J6757" s="2" t="s">
        <v>62</v>
      </c>
      <c r="K6757" t="s">
        <v>42</v>
      </c>
      <c r="L6757" t="s">
        <v>1288</v>
      </c>
      <c r="Q6757">
        <v>25796</v>
      </c>
      <c r="R6757" t="s">
        <v>119</v>
      </c>
      <c r="S6757" t="s">
        <v>7078</v>
      </c>
      <c r="T6757">
        <v>30</v>
      </c>
      <c r="U6757" s="2" t="s">
        <v>16343</v>
      </c>
      <c r="V6757" s="1">
        <v>45138</v>
      </c>
      <c r="W6757" t="s">
        <v>1292</v>
      </c>
      <c r="X6757">
        <v>838575</v>
      </c>
      <c r="Y6757" t="s">
        <v>13756</v>
      </c>
      <c r="Z6757" t="e">
        <f ca="1">-COLLECT IQR,system _xludf.Log, _xludf.and CALIBRATION Data</f>
        <v>#NAME?</v>
      </c>
      <c r="AA6757" s="2" t="s">
        <v>40955</v>
      </c>
      <c r="AB6757" t="s">
        <v>1293</v>
      </c>
      <c r="AD6757" t="s">
        <v>40956</v>
      </c>
      <c r="AE6757">
        <v>10365</v>
      </c>
      <c r="AG6757" t="s">
        <v>40957</v>
      </c>
      <c r="AH6757" t="s">
        <v>7084</v>
      </c>
      <c r="AI6757" t="s">
        <v>40958</v>
      </c>
    </row>
    <row r="6758" spans="2:35" ht="240">
      <c r="B6758" s="1">
        <v>45173</v>
      </c>
      <c r="C6758" s="4">
        <v>45173.55972222222</v>
      </c>
      <c r="D6758" t="s">
        <v>36408</v>
      </c>
      <c r="E6758" t="s">
        <v>26588</v>
      </c>
      <c r="F6758">
        <v>3</v>
      </c>
      <c r="G6758" t="s">
        <v>134</v>
      </c>
      <c r="H6758" t="s">
        <v>39</v>
      </c>
      <c r="I6758" t="s">
        <v>40</v>
      </c>
      <c r="J6758" s="2" t="s">
        <v>41</v>
      </c>
      <c r="K6758" t="s">
        <v>42</v>
      </c>
      <c r="L6758" t="s">
        <v>63</v>
      </c>
      <c r="Q6758">
        <v>25795</v>
      </c>
      <c r="R6758" t="s">
        <v>119</v>
      </c>
      <c r="S6758" t="s">
        <v>26589</v>
      </c>
      <c r="T6758">
        <v>26</v>
      </c>
      <c r="U6758" s="2" t="s">
        <v>8191</v>
      </c>
      <c r="V6758" s="1">
        <v>45173</v>
      </c>
      <c r="W6758" t="s">
        <v>26915</v>
      </c>
      <c r="X6758">
        <v>831877</v>
      </c>
      <c r="Y6758" t="s">
        <v>1716</v>
      </c>
      <c r="Z6758" t="s">
        <v>1716</v>
      </c>
      <c r="AA6758" s="2" t="s">
        <v>39935</v>
      </c>
      <c r="AB6758" t="s">
        <v>70</v>
      </c>
      <c r="AC6758" t="s">
        <v>40959</v>
      </c>
      <c r="AD6758" t="s">
        <v>6397</v>
      </c>
      <c r="AE6758">
        <v>10568</v>
      </c>
      <c r="AG6758" t="s">
        <v>40960</v>
      </c>
      <c r="AH6758" t="s">
        <v>26591</v>
      </c>
      <c r="AI6758" t="s">
        <v>40961</v>
      </c>
    </row>
    <row r="6759" spans="2:35" ht="409.5">
      <c r="B6759" s="1">
        <v>45173</v>
      </c>
      <c r="C6759" s="4">
        <v>45173.555555555555</v>
      </c>
      <c r="D6759" t="s">
        <v>40962</v>
      </c>
      <c r="E6759" t="s">
        <v>40963</v>
      </c>
      <c r="F6759">
        <v>10</v>
      </c>
      <c r="G6759" t="s">
        <v>1395</v>
      </c>
      <c r="H6759" t="s">
        <v>1047</v>
      </c>
      <c r="I6759" t="s">
        <v>40</v>
      </c>
      <c r="J6759" s="2" t="s">
        <v>1309</v>
      </c>
      <c r="K6759" t="s">
        <v>42</v>
      </c>
      <c r="L6759" t="s">
        <v>1288</v>
      </c>
      <c r="Q6759">
        <v>25794</v>
      </c>
      <c r="R6759" t="s">
        <v>119</v>
      </c>
      <c r="S6759" t="s">
        <v>9727</v>
      </c>
      <c r="T6759">
        <v>26</v>
      </c>
      <c r="U6759" s="2" t="s">
        <v>14127</v>
      </c>
      <c r="V6759" s="1">
        <v>45161</v>
      </c>
      <c r="W6759" t="s">
        <v>1292</v>
      </c>
      <c r="X6759">
        <v>838562</v>
      </c>
      <c r="Y6759" t="e">
        <f ca="1">-_xludf.For module B4 Replacement
-_xludf.For Maintenance _xludf.and CALIBRATION</f>
        <v>#NAME?</v>
      </c>
      <c r="Z6759" t="e">
        <f ca="1">-COLLECT IQR,system _xludf.Log, _xludf.and CALIBRATION Data</f>
        <v>#NAME?</v>
      </c>
      <c r="AA6759" s="2" t="s">
        <v>40964</v>
      </c>
      <c r="AB6759" t="s">
        <v>1293</v>
      </c>
      <c r="AD6759" t="s">
        <v>9247</v>
      </c>
      <c r="AE6759">
        <v>10538</v>
      </c>
      <c r="AG6759" t="s">
        <v>40965</v>
      </c>
      <c r="AH6759" t="s">
        <v>40966</v>
      </c>
      <c r="AI6759" t="s">
        <v>40967</v>
      </c>
    </row>
    <row r="6760" spans="2:35" ht="105">
      <c r="B6760" s="1">
        <v>45173</v>
      </c>
      <c r="C6760" s="4">
        <v>45173.430555555555</v>
      </c>
      <c r="D6760" t="s">
        <v>5017</v>
      </c>
      <c r="E6760" t="s">
        <v>40968</v>
      </c>
      <c r="F6760">
        <v>12</v>
      </c>
      <c r="G6760" t="s">
        <v>978</v>
      </c>
      <c r="H6760" t="s">
        <v>39</v>
      </c>
      <c r="I6760" t="s">
        <v>94</v>
      </c>
      <c r="J6760" s="2" t="s">
        <v>62</v>
      </c>
      <c r="K6760" t="s">
        <v>42</v>
      </c>
      <c r="L6760" t="s">
        <v>296</v>
      </c>
      <c r="Q6760">
        <v>25793</v>
      </c>
      <c r="R6760" t="s">
        <v>119</v>
      </c>
      <c r="S6760" t="s">
        <v>5019</v>
      </c>
      <c r="T6760">
        <v>25.3</v>
      </c>
      <c r="U6760" s="2" t="s">
        <v>10098</v>
      </c>
      <c r="V6760" s="1">
        <v>45173</v>
      </c>
      <c r="W6760" t="s">
        <v>23049</v>
      </c>
      <c r="X6760">
        <v>838569</v>
      </c>
      <c r="Y6760" t="s">
        <v>54</v>
      </c>
      <c r="Z6760" t="s">
        <v>9161</v>
      </c>
      <c r="AA6760" t="s">
        <v>39567</v>
      </c>
      <c r="AB6760" t="s">
        <v>972</v>
      </c>
      <c r="AC6760" t="s">
        <v>40969</v>
      </c>
      <c r="AD6760" t="s">
        <v>38010</v>
      </c>
      <c r="AE6760" t="s">
        <v>40970</v>
      </c>
      <c r="AG6760" t="s">
        <v>40971</v>
      </c>
      <c r="AH6760" t="s">
        <v>7713</v>
      </c>
      <c r="AI6760" t="s">
        <v>40972</v>
      </c>
    </row>
    <row r="6761" spans="2:35" ht="409.5">
      <c r="B6761" s="1">
        <v>45173</v>
      </c>
      <c r="C6761" s="4">
        <v>44896.645833333336</v>
      </c>
      <c r="D6761" t="s">
        <v>5602</v>
      </c>
      <c r="E6761" t="s">
        <v>40973</v>
      </c>
      <c r="F6761" t="s">
        <v>148</v>
      </c>
      <c r="G6761" t="s">
        <v>447</v>
      </c>
      <c r="H6761" t="s">
        <v>662</v>
      </c>
      <c r="I6761" t="s">
        <v>40</v>
      </c>
      <c r="J6761" t="s">
        <v>40974</v>
      </c>
      <c r="K6761" t="s">
        <v>42</v>
      </c>
      <c r="L6761" t="s">
        <v>448</v>
      </c>
      <c r="Q6761">
        <v>25792</v>
      </c>
      <c r="R6761" t="s">
        <v>322</v>
      </c>
      <c r="S6761" t="s">
        <v>5604</v>
      </c>
      <c r="T6761">
        <v>27</v>
      </c>
      <c r="U6761" s="2" t="s">
        <v>40975</v>
      </c>
      <c r="W6761" t="s">
        <v>40976</v>
      </c>
      <c r="X6761">
        <v>110005587</v>
      </c>
      <c r="Y6761" t="s">
        <v>40977</v>
      </c>
      <c r="Z6761" t="s">
        <v>40978</v>
      </c>
      <c r="AA6761" t="s">
        <v>4487</v>
      </c>
      <c r="AB6761" t="s">
        <v>40979</v>
      </c>
      <c r="AG6761" t="s">
        <v>40980</v>
      </c>
      <c r="AH6761" t="s">
        <v>5609</v>
      </c>
      <c r="AI6761" t="s">
        <v>40981</v>
      </c>
    </row>
    <row r="6762" spans="2:35" ht="409.5">
      <c r="B6762" s="1">
        <v>45172</v>
      </c>
      <c r="C6762" s="4">
        <v>45172.510416666664</v>
      </c>
      <c r="D6762" t="s">
        <v>13817</v>
      </c>
      <c r="E6762" t="s">
        <v>40982</v>
      </c>
      <c r="F6762" t="s">
        <v>148</v>
      </c>
      <c r="G6762" t="s">
        <v>406</v>
      </c>
      <c r="H6762" t="s">
        <v>2570</v>
      </c>
      <c r="I6762" t="s">
        <v>40</v>
      </c>
      <c r="J6762" s="2" t="s">
        <v>190</v>
      </c>
      <c r="K6762" t="s">
        <v>42</v>
      </c>
      <c r="L6762" t="s">
        <v>43</v>
      </c>
      <c r="Q6762">
        <v>25791</v>
      </c>
      <c r="R6762" t="s">
        <v>95</v>
      </c>
      <c r="S6762" t="s">
        <v>5690</v>
      </c>
      <c r="T6762">
        <v>24</v>
      </c>
      <c r="U6762" s="2" t="s">
        <v>40983</v>
      </c>
      <c r="W6762" t="s">
        <v>9792</v>
      </c>
      <c r="X6762">
        <v>839231</v>
      </c>
      <c r="Y6762" t="s">
        <v>40984</v>
      </c>
      <c r="Z6762" t="s">
        <v>11377</v>
      </c>
      <c r="AA6762" s="2" t="s">
        <v>40985</v>
      </c>
      <c r="AB6762" t="s">
        <v>40986</v>
      </c>
      <c r="AC6762" t="s">
        <v>40987</v>
      </c>
      <c r="AG6762" t="s">
        <v>40988</v>
      </c>
      <c r="AH6762" t="s">
        <v>40989</v>
      </c>
      <c r="AI6762" t="s">
        <v>40990</v>
      </c>
    </row>
    <row r="6763" spans="2:35" ht="105">
      <c r="B6763" s="1">
        <v>45170</v>
      </c>
      <c r="C6763" s="4">
        <v>45167.711111111108</v>
      </c>
      <c r="D6763" t="s">
        <v>31998</v>
      </c>
      <c r="E6763" t="s">
        <v>31999</v>
      </c>
      <c r="F6763">
        <v>1</v>
      </c>
      <c r="G6763" t="s">
        <v>1046</v>
      </c>
      <c r="H6763" t="s">
        <v>1047</v>
      </c>
      <c r="I6763" t="s">
        <v>40</v>
      </c>
      <c r="J6763" s="2" t="s">
        <v>190</v>
      </c>
      <c r="K6763" t="s">
        <v>42</v>
      </c>
      <c r="L6763" t="s">
        <v>1048</v>
      </c>
      <c r="Q6763">
        <v>25790</v>
      </c>
      <c r="R6763" t="s">
        <v>45</v>
      </c>
      <c r="S6763" t="s">
        <v>32000</v>
      </c>
      <c r="T6763">
        <v>30</v>
      </c>
      <c r="U6763" s="2" t="s">
        <v>8172</v>
      </c>
      <c r="W6763" t="s">
        <v>360</v>
      </c>
      <c r="X6763">
        <v>834369</v>
      </c>
      <c r="Y6763" t="s">
        <v>40991</v>
      </c>
      <c r="Z6763" t="e">
        <f ca="1">- cleaned cartridge Bays, plunger Rods _xludf.and I-CORE
- checked Valve wires
- generated reports</f>
        <v>#NAME?</v>
      </c>
      <c r="AA6763" t="s">
        <v>1935</v>
      </c>
      <c r="AB6763" t="s">
        <v>181</v>
      </c>
      <c r="AC6763" t="s">
        <v>40992</v>
      </c>
      <c r="AG6763" t="s">
        <v>40993</v>
      </c>
      <c r="AH6763" t="s">
        <v>32002</v>
      </c>
      <c r="AI6763" t="s">
        <v>40994</v>
      </c>
    </row>
    <row r="6764" spans="2:35" ht="180">
      <c r="B6764" s="1">
        <v>45170</v>
      </c>
      <c r="C6764" s="4">
        <v>45170.436111111114</v>
      </c>
      <c r="D6764" t="s">
        <v>40995</v>
      </c>
      <c r="E6764" t="s">
        <v>40996</v>
      </c>
      <c r="F6764">
        <v>1</v>
      </c>
      <c r="G6764" t="s">
        <v>1046</v>
      </c>
      <c r="H6764" t="s">
        <v>39</v>
      </c>
      <c r="I6764" t="s">
        <v>40</v>
      </c>
      <c r="J6764" s="2" t="s">
        <v>190</v>
      </c>
      <c r="K6764" t="s">
        <v>42</v>
      </c>
      <c r="L6764" t="s">
        <v>1048</v>
      </c>
      <c r="Q6764">
        <v>25789</v>
      </c>
      <c r="R6764" t="s">
        <v>45</v>
      </c>
      <c r="S6764" t="s">
        <v>40997</v>
      </c>
      <c r="T6764">
        <v>29</v>
      </c>
      <c r="U6764" s="2" t="s">
        <v>40998</v>
      </c>
      <c r="W6764" t="s">
        <v>360</v>
      </c>
      <c r="X6764">
        <v>834664</v>
      </c>
      <c r="Y6764" t="s">
        <v>1934</v>
      </c>
      <c r="Z6764" t="e">
        <f ca="1">- cleaned cartridge Bays, plunger Rods _xludf.and I-CORE
- generated reports</f>
        <v>#NAME?</v>
      </c>
      <c r="AA6764" t="s">
        <v>1935</v>
      </c>
      <c r="AB6764" t="s">
        <v>181</v>
      </c>
      <c r="AG6764" t="s">
        <v>40999</v>
      </c>
      <c r="AH6764" t="s">
        <v>41000</v>
      </c>
      <c r="AI6764" t="s">
        <v>41001</v>
      </c>
    </row>
    <row r="6765" spans="2:35" ht="315">
      <c r="B6765" s="1">
        <v>45170</v>
      </c>
      <c r="C6765" s="4">
        <v>45170.382638888892</v>
      </c>
      <c r="D6765" t="s">
        <v>4534</v>
      </c>
      <c r="E6765" t="s">
        <v>4954</v>
      </c>
      <c r="F6765">
        <v>1</v>
      </c>
      <c r="G6765" t="s">
        <v>1046</v>
      </c>
      <c r="H6765" t="s">
        <v>1047</v>
      </c>
      <c r="I6765" t="s">
        <v>40</v>
      </c>
      <c r="J6765" s="2" t="s">
        <v>41</v>
      </c>
      <c r="K6765" t="s">
        <v>42</v>
      </c>
      <c r="L6765" t="s">
        <v>1048</v>
      </c>
      <c r="Q6765">
        <v>25788</v>
      </c>
      <c r="R6765" t="s">
        <v>45</v>
      </c>
      <c r="S6765" t="s">
        <v>4536</v>
      </c>
      <c r="T6765">
        <v>28</v>
      </c>
      <c r="U6765" s="2" t="s">
        <v>41002</v>
      </c>
      <c r="V6765" s="1">
        <v>45170</v>
      </c>
      <c r="W6765" t="s">
        <v>360</v>
      </c>
      <c r="X6765">
        <v>808283</v>
      </c>
      <c r="Y6765" t="s">
        <v>35729</v>
      </c>
      <c r="Z6765" s="2" t="s">
        <v>41003</v>
      </c>
      <c r="AA6765" t="s">
        <v>1926</v>
      </c>
      <c r="AB6765" t="s">
        <v>181</v>
      </c>
      <c r="AD6765" t="s">
        <v>41004</v>
      </c>
      <c r="AE6765" t="s">
        <v>103</v>
      </c>
      <c r="AG6765" t="s">
        <v>41005</v>
      </c>
      <c r="AH6765" t="s">
        <v>41006</v>
      </c>
      <c r="AI6765" t="s">
        <v>41007</v>
      </c>
    </row>
    <row r="6766" spans="2:35" ht="345">
      <c r="B6766" s="1">
        <v>45170</v>
      </c>
      <c r="C6766" s="4">
        <v>45167.573611111111</v>
      </c>
      <c r="D6766" t="s">
        <v>3732</v>
      </c>
      <c r="E6766" t="s">
        <v>41008</v>
      </c>
      <c r="F6766">
        <v>1</v>
      </c>
      <c r="G6766" t="s">
        <v>1046</v>
      </c>
      <c r="H6766" t="s">
        <v>1047</v>
      </c>
      <c r="I6766" t="s">
        <v>40</v>
      </c>
      <c r="J6766" s="2" t="s">
        <v>41</v>
      </c>
      <c r="K6766" t="s">
        <v>42</v>
      </c>
      <c r="L6766" t="s">
        <v>1048</v>
      </c>
      <c r="Q6766">
        <v>25787</v>
      </c>
      <c r="R6766" t="s">
        <v>119</v>
      </c>
      <c r="S6766" t="s">
        <v>41009</v>
      </c>
      <c r="T6766">
        <v>23</v>
      </c>
      <c r="U6766" s="2" t="s">
        <v>41010</v>
      </c>
      <c r="V6766" s="1">
        <v>45162</v>
      </c>
      <c r="W6766" t="s">
        <v>360</v>
      </c>
      <c r="X6766">
        <v>838473</v>
      </c>
      <c r="Y6766" t="s">
        <v>35729</v>
      </c>
      <c r="Z6766" s="2" t="s">
        <v>41011</v>
      </c>
      <c r="AA6766" t="s">
        <v>41012</v>
      </c>
      <c r="AB6766" t="s">
        <v>181</v>
      </c>
      <c r="AC6766" t="s">
        <v>41013</v>
      </c>
      <c r="AD6766" t="s">
        <v>41014</v>
      </c>
      <c r="AE6766" t="s">
        <v>41015</v>
      </c>
      <c r="AG6766" t="s">
        <v>41016</v>
      </c>
      <c r="AH6766" t="s">
        <v>41017</v>
      </c>
      <c r="AI6766" t="s">
        <v>41018</v>
      </c>
    </row>
    <row r="6767" spans="2:35" ht="345">
      <c r="B6767" s="1">
        <v>45170</v>
      </c>
      <c r="C6767" s="4">
        <v>45167.573611111111</v>
      </c>
      <c r="D6767" t="s">
        <v>3732</v>
      </c>
      <c r="E6767" t="s">
        <v>41008</v>
      </c>
      <c r="F6767">
        <v>1</v>
      </c>
      <c r="G6767" t="s">
        <v>1046</v>
      </c>
      <c r="H6767" t="s">
        <v>1047</v>
      </c>
      <c r="I6767" t="s">
        <v>40</v>
      </c>
      <c r="J6767" s="2" t="s">
        <v>41</v>
      </c>
      <c r="K6767" t="s">
        <v>42</v>
      </c>
      <c r="L6767" t="s">
        <v>1048</v>
      </c>
      <c r="Q6767">
        <v>25786</v>
      </c>
      <c r="R6767" t="s">
        <v>119</v>
      </c>
      <c r="S6767" t="s">
        <v>41009</v>
      </c>
      <c r="T6767">
        <v>23</v>
      </c>
      <c r="U6767" s="2" t="s">
        <v>41010</v>
      </c>
      <c r="V6767" s="1">
        <v>45162</v>
      </c>
      <c r="W6767" t="s">
        <v>360</v>
      </c>
      <c r="X6767">
        <v>838473</v>
      </c>
      <c r="Y6767" t="s">
        <v>35729</v>
      </c>
      <c r="Z6767" s="2" t="s">
        <v>41011</v>
      </c>
      <c r="AA6767" t="s">
        <v>41012</v>
      </c>
      <c r="AB6767" t="s">
        <v>181</v>
      </c>
      <c r="AC6767" t="s">
        <v>41013</v>
      </c>
      <c r="AD6767" t="s">
        <v>41014</v>
      </c>
      <c r="AE6767" t="s">
        <v>41015</v>
      </c>
      <c r="AG6767" t="s">
        <v>41019</v>
      </c>
      <c r="AH6767" t="s">
        <v>41017</v>
      </c>
      <c r="AI6767" t="s">
        <v>41020</v>
      </c>
    </row>
    <row r="6768" spans="2:35" ht="255">
      <c r="B6768" s="1">
        <v>45170</v>
      </c>
      <c r="C6768" s="4">
        <v>44924.48541666667</v>
      </c>
      <c r="D6768" t="s">
        <v>4528</v>
      </c>
      <c r="E6768" t="s">
        <v>4529</v>
      </c>
      <c r="F6768">
        <v>1</v>
      </c>
      <c r="G6768" t="s">
        <v>1046</v>
      </c>
      <c r="H6768" t="s">
        <v>1047</v>
      </c>
      <c r="I6768" t="s">
        <v>40</v>
      </c>
      <c r="J6768" s="2" t="s">
        <v>41</v>
      </c>
      <c r="K6768" t="s">
        <v>42</v>
      </c>
      <c r="L6768" t="s">
        <v>1048</v>
      </c>
      <c r="Q6768">
        <v>25785</v>
      </c>
      <c r="R6768" t="s">
        <v>119</v>
      </c>
      <c r="S6768" t="s">
        <v>4530</v>
      </c>
      <c r="T6768">
        <v>30</v>
      </c>
      <c r="U6768" s="2" t="s">
        <v>41021</v>
      </c>
      <c r="V6768" s="1">
        <v>45162</v>
      </c>
      <c r="W6768" t="s">
        <v>360</v>
      </c>
      <c r="X6768">
        <v>838472</v>
      </c>
      <c r="Y6768" t="s">
        <v>35729</v>
      </c>
      <c r="Z6768" s="2" t="s">
        <v>41022</v>
      </c>
      <c r="AA6768" t="s">
        <v>1926</v>
      </c>
      <c r="AB6768" t="s">
        <v>181</v>
      </c>
      <c r="AC6768" t="s">
        <v>41013</v>
      </c>
      <c r="AD6768" t="s">
        <v>41023</v>
      </c>
      <c r="AE6768" t="s">
        <v>41024</v>
      </c>
      <c r="AG6768" t="s">
        <v>41025</v>
      </c>
      <c r="AH6768" t="s">
        <v>4532</v>
      </c>
      <c r="AI6768" t="s">
        <v>41026</v>
      </c>
    </row>
    <row r="6769" spans="2:35" ht="255">
      <c r="B6769" s="1">
        <v>45170</v>
      </c>
      <c r="C6769" s="4">
        <v>44924.48541666667</v>
      </c>
      <c r="D6769" t="s">
        <v>4528</v>
      </c>
      <c r="E6769" t="s">
        <v>4529</v>
      </c>
      <c r="F6769">
        <v>1</v>
      </c>
      <c r="G6769" t="s">
        <v>1046</v>
      </c>
      <c r="H6769" t="s">
        <v>1047</v>
      </c>
      <c r="I6769" t="s">
        <v>40</v>
      </c>
      <c r="J6769" s="2" t="s">
        <v>41</v>
      </c>
      <c r="K6769" t="s">
        <v>42</v>
      </c>
      <c r="L6769" t="s">
        <v>1048</v>
      </c>
      <c r="Q6769">
        <v>25784</v>
      </c>
      <c r="R6769" t="s">
        <v>119</v>
      </c>
      <c r="S6769" t="s">
        <v>4530</v>
      </c>
      <c r="T6769">
        <v>30</v>
      </c>
      <c r="U6769" s="2" t="s">
        <v>41021</v>
      </c>
      <c r="V6769" s="1">
        <v>45162</v>
      </c>
      <c r="W6769" t="s">
        <v>360</v>
      </c>
      <c r="X6769">
        <v>838472</v>
      </c>
      <c r="Y6769" t="s">
        <v>35729</v>
      </c>
      <c r="Z6769" s="2" t="s">
        <v>41022</v>
      </c>
      <c r="AA6769" t="s">
        <v>1926</v>
      </c>
      <c r="AB6769" t="s">
        <v>181</v>
      </c>
      <c r="AC6769" t="s">
        <v>41013</v>
      </c>
      <c r="AD6769" t="s">
        <v>41023</v>
      </c>
      <c r="AE6769" t="s">
        <v>41024</v>
      </c>
      <c r="AG6769" t="s">
        <v>41027</v>
      </c>
      <c r="AH6769" t="s">
        <v>4532</v>
      </c>
      <c r="AI6769" t="s">
        <v>41028</v>
      </c>
    </row>
    <row r="6770" spans="2:35" ht="105">
      <c r="B6770" s="1">
        <v>45170</v>
      </c>
      <c r="C6770" s="4">
        <v>45170.552083333336</v>
      </c>
      <c r="D6770" t="s">
        <v>5546</v>
      </c>
      <c r="E6770" t="s">
        <v>1555</v>
      </c>
      <c r="F6770">
        <v>7</v>
      </c>
      <c r="G6770" t="s">
        <v>432</v>
      </c>
      <c r="H6770" t="s">
        <v>39</v>
      </c>
      <c r="I6770" t="s">
        <v>94</v>
      </c>
      <c r="J6770" s="2" t="s">
        <v>1370</v>
      </c>
      <c r="K6770" t="s">
        <v>42</v>
      </c>
      <c r="L6770" t="s">
        <v>433</v>
      </c>
      <c r="Q6770">
        <v>25783</v>
      </c>
      <c r="R6770" t="s">
        <v>119</v>
      </c>
      <c r="S6770" t="s">
        <v>5548</v>
      </c>
      <c r="T6770">
        <v>27</v>
      </c>
      <c r="U6770" s="2" t="s">
        <v>26416</v>
      </c>
      <c r="W6770" t="s">
        <v>1008</v>
      </c>
      <c r="X6770">
        <v>838527</v>
      </c>
      <c r="Y6770" t="s">
        <v>41029</v>
      </c>
      <c r="Z6770" t="s">
        <v>41030</v>
      </c>
      <c r="AA6770" t="s">
        <v>41031</v>
      </c>
      <c r="AB6770" t="s">
        <v>1011</v>
      </c>
      <c r="AG6770" t="s">
        <v>41032</v>
      </c>
      <c r="AH6770" t="s">
        <v>7130</v>
      </c>
      <c r="AI6770" t="s">
        <v>41033</v>
      </c>
    </row>
    <row r="6771" spans="2:35" ht="105">
      <c r="B6771" s="1">
        <v>45170</v>
      </c>
      <c r="C6771" s="4">
        <v>45170.59097222222</v>
      </c>
      <c r="D6771" t="s">
        <v>41034</v>
      </c>
      <c r="E6771" t="s">
        <v>41035</v>
      </c>
      <c r="F6771" t="s">
        <v>1181</v>
      </c>
      <c r="G6771" t="s">
        <v>1182</v>
      </c>
      <c r="H6771" t="s">
        <v>41036</v>
      </c>
      <c r="I6771" t="s">
        <v>40</v>
      </c>
      <c r="J6771" s="2" t="s">
        <v>41</v>
      </c>
      <c r="K6771" t="s">
        <v>42</v>
      </c>
      <c r="L6771" t="s">
        <v>80</v>
      </c>
      <c r="Q6771">
        <v>25782</v>
      </c>
      <c r="R6771" t="s">
        <v>45</v>
      </c>
      <c r="S6771" t="s">
        <v>41037</v>
      </c>
      <c r="T6771">
        <v>29</v>
      </c>
      <c r="U6771" s="2" t="s">
        <v>8650</v>
      </c>
      <c r="V6771" s="1">
        <v>45170</v>
      </c>
      <c r="W6771" t="s">
        <v>41038</v>
      </c>
      <c r="X6771">
        <v>807453</v>
      </c>
      <c r="Y6771" t="s">
        <v>41039</v>
      </c>
      <c r="Z6771" t="s">
        <v>456</v>
      </c>
      <c r="AA6771" t="s">
        <v>41040</v>
      </c>
      <c r="AB6771" t="s">
        <v>32359</v>
      </c>
      <c r="AC6771" t="s">
        <v>41041</v>
      </c>
      <c r="AD6771" t="s">
        <v>41042</v>
      </c>
      <c r="AE6771" t="s">
        <v>45</v>
      </c>
      <c r="AG6771" t="s">
        <v>41043</v>
      </c>
      <c r="AH6771" t="s">
        <v>41044</v>
      </c>
      <c r="AI6771" t="s">
        <v>41045</v>
      </c>
    </row>
    <row r="6772" spans="2:35" ht="210">
      <c r="B6772" s="1">
        <v>45170</v>
      </c>
      <c r="C6772" s="4">
        <v>45170.585416666669</v>
      </c>
      <c r="D6772" t="s">
        <v>2148</v>
      </c>
      <c r="E6772" t="s">
        <v>41046</v>
      </c>
      <c r="F6772" t="s">
        <v>37</v>
      </c>
      <c r="G6772" t="s">
        <v>38</v>
      </c>
      <c r="H6772" t="s">
        <v>39</v>
      </c>
      <c r="I6772" t="s">
        <v>40</v>
      </c>
      <c r="J6772" t="s">
        <v>109</v>
      </c>
      <c r="K6772" t="s">
        <v>42</v>
      </c>
      <c r="L6772" t="s">
        <v>43</v>
      </c>
      <c r="Q6772">
        <v>25781</v>
      </c>
      <c r="R6772" t="s">
        <v>119</v>
      </c>
      <c r="S6772" t="s">
        <v>2150</v>
      </c>
      <c r="T6772">
        <v>24</v>
      </c>
      <c r="U6772" s="2" t="s">
        <v>23338</v>
      </c>
      <c r="W6772" t="s">
        <v>9792</v>
      </c>
      <c r="X6772">
        <v>820710</v>
      </c>
      <c r="Y6772" t="s">
        <v>121</v>
      </c>
      <c r="Z6772" t="s">
        <v>122</v>
      </c>
      <c r="AA6772" s="2" t="s">
        <v>33688</v>
      </c>
      <c r="AB6772" t="s">
        <v>88</v>
      </c>
      <c r="AG6772" t="s">
        <v>41047</v>
      </c>
      <c r="AH6772" t="s">
        <v>41048</v>
      </c>
      <c r="AI6772" t="s">
        <v>41049</v>
      </c>
    </row>
    <row r="6773" spans="2:35" ht="330">
      <c r="B6773" s="1">
        <v>45170</v>
      </c>
      <c r="C6773" s="4">
        <v>45170.552777777775</v>
      </c>
      <c r="D6773" t="s">
        <v>5932</v>
      </c>
      <c r="E6773" t="s">
        <v>6971</v>
      </c>
      <c r="F6773">
        <v>11</v>
      </c>
      <c r="G6773" t="s">
        <v>2836</v>
      </c>
      <c r="H6773" t="s">
        <v>202</v>
      </c>
      <c r="I6773" t="s">
        <v>40</v>
      </c>
      <c r="J6773" s="2" t="s">
        <v>62</v>
      </c>
      <c r="K6773" t="s">
        <v>42</v>
      </c>
      <c r="L6773" t="s">
        <v>204</v>
      </c>
      <c r="Q6773">
        <v>25780</v>
      </c>
      <c r="R6773" t="s">
        <v>119</v>
      </c>
      <c r="S6773" t="s">
        <v>7643</v>
      </c>
      <c r="T6773">
        <v>25.6</v>
      </c>
      <c r="U6773" s="2" t="s">
        <v>41050</v>
      </c>
      <c r="V6773" s="1">
        <v>45141</v>
      </c>
      <c r="W6773" t="s">
        <v>23237</v>
      </c>
      <c r="X6773">
        <v>838553</v>
      </c>
      <c r="Y6773" t="s">
        <v>27855</v>
      </c>
      <c r="Z6773" s="2" t="s">
        <v>41051</v>
      </c>
      <c r="AA6773" t="s">
        <v>1620</v>
      </c>
      <c r="AB6773" t="s">
        <v>15776</v>
      </c>
      <c r="AC6773" t="s">
        <v>41052</v>
      </c>
      <c r="AD6773" t="s">
        <v>5365</v>
      </c>
      <c r="AE6773" t="s">
        <v>41053</v>
      </c>
      <c r="AG6773" t="s">
        <v>41054</v>
      </c>
      <c r="AH6773" t="s">
        <v>41055</v>
      </c>
      <c r="AI6773" t="s">
        <v>41056</v>
      </c>
    </row>
    <row r="6774" spans="2:35" ht="390">
      <c r="B6774" s="1">
        <v>45170</v>
      </c>
      <c r="C6774" s="4">
        <v>45170.575694444444</v>
      </c>
      <c r="D6774" t="s">
        <v>31371</v>
      </c>
      <c r="E6774" t="s">
        <v>31372</v>
      </c>
      <c r="F6774">
        <v>3</v>
      </c>
      <c r="G6774" t="s">
        <v>730</v>
      </c>
      <c r="H6774" t="s">
        <v>39</v>
      </c>
      <c r="I6774" t="s">
        <v>40</v>
      </c>
      <c r="J6774" s="2" t="s">
        <v>41</v>
      </c>
      <c r="K6774" t="s">
        <v>42</v>
      </c>
      <c r="L6774" t="s">
        <v>135</v>
      </c>
      <c r="Q6774">
        <v>25779</v>
      </c>
      <c r="R6774" t="s">
        <v>45</v>
      </c>
      <c r="S6774" t="s">
        <v>31373</v>
      </c>
      <c r="T6774">
        <v>28</v>
      </c>
      <c r="U6774" s="2" t="s">
        <v>41057</v>
      </c>
      <c r="V6774" s="1">
        <v>45167</v>
      </c>
      <c r="W6774" t="s">
        <v>2680</v>
      </c>
      <c r="X6774">
        <v>808292</v>
      </c>
      <c r="Y6774" t="s">
        <v>41058</v>
      </c>
      <c r="Z6774" t="s">
        <v>5712</v>
      </c>
      <c r="AA6774" s="2" t="s">
        <v>41059</v>
      </c>
      <c r="AB6774" t="s">
        <v>181</v>
      </c>
      <c r="AE6774">
        <v>42617</v>
      </c>
      <c r="AG6774" t="s">
        <v>41060</v>
      </c>
      <c r="AH6774" t="s">
        <v>31377</v>
      </c>
      <c r="AI6774" t="s">
        <v>41061</v>
      </c>
    </row>
    <row r="6775" spans="2:35">
      <c r="B6775" s="1">
        <v>45170</v>
      </c>
      <c r="C6775" s="4">
        <v>45170.535416666666</v>
      </c>
      <c r="D6775" t="s">
        <v>20190</v>
      </c>
      <c r="E6775" t="s">
        <v>8563</v>
      </c>
      <c r="F6775" t="s">
        <v>148</v>
      </c>
      <c r="G6775" t="s">
        <v>447</v>
      </c>
      <c r="H6775" t="s">
        <v>4735</v>
      </c>
      <c r="I6775" t="s">
        <v>40</v>
      </c>
      <c r="J6775" t="s">
        <v>79</v>
      </c>
      <c r="K6775" t="s">
        <v>42</v>
      </c>
      <c r="L6775" t="s">
        <v>448</v>
      </c>
      <c r="Q6775">
        <v>25778</v>
      </c>
      <c r="R6775" t="s">
        <v>95</v>
      </c>
      <c r="S6775" t="s">
        <v>650</v>
      </c>
      <c r="T6775">
        <v>25</v>
      </c>
      <c r="V6775" s="1">
        <v>45170</v>
      </c>
      <c r="W6775" t="s">
        <v>360</v>
      </c>
      <c r="X6775">
        <v>803870</v>
      </c>
      <c r="Y6775" t="s">
        <v>41062</v>
      </c>
      <c r="Z6775" t="s">
        <v>5712</v>
      </c>
      <c r="AA6775" t="s">
        <v>5712</v>
      </c>
      <c r="AB6775" t="s">
        <v>41063</v>
      </c>
      <c r="AD6775" t="s">
        <v>41064</v>
      </c>
      <c r="AE6775" t="s">
        <v>449</v>
      </c>
      <c r="AG6775" t="s">
        <v>41065</v>
      </c>
      <c r="AH6775" t="s">
        <v>4733</v>
      </c>
      <c r="AI6775" t="s">
        <v>41066</v>
      </c>
    </row>
    <row r="6776" spans="2:35">
      <c r="B6776" s="1">
        <v>45170</v>
      </c>
      <c r="C6776" s="4">
        <v>45170.53125</v>
      </c>
      <c r="D6776" t="s">
        <v>20190</v>
      </c>
      <c r="E6776" t="s">
        <v>8563</v>
      </c>
      <c r="F6776" t="s">
        <v>148</v>
      </c>
      <c r="G6776" t="s">
        <v>447</v>
      </c>
      <c r="H6776" t="s">
        <v>4735</v>
      </c>
      <c r="I6776" t="s">
        <v>40</v>
      </c>
      <c r="J6776" t="s">
        <v>79</v>
      </c>
      <c r="K6776" t="s">
        <v>42</v>
      </c>
      <c r="L6776" t="s">
        <v>448</v>
      </c>
      <c r="Q6776">
        <v>25777</v>
      </c>
      <c r="R6776" t="s">
        <v>95</v>
      </c>
      <c r="S6776" t="s">
        <v>650</v>
      </c>
      <c r="T6776">
        <v>25</v>
      </c>
      <c r="V6776" s="1">
        <v>45170</v>
      </c>
      <c r="W6776" t="s">
        <v>360</v>
      </c>
      <c r="X6776">
        <v>801889</v>
      </c>
      <c r="Y6776" t="s">
        <v>41067</v>
      </c>
      <c r="Z6776" t="s">
        <v>5712</v>
      </c>
      <c r="AA6776" t="s">
        <v>5712</v>
      </c>
      <c r="AB6776" t="s">
        <v>41068</v>
      </c>
      <c r="AD6776" t="s">
        <v>19700</v>
      </c>
      <c r="AE6776" t="s">
        <v>10004</v>
      </c>
      <c r="AG6776" t="s">
        <v>41069</v>
      </c>
      <c r="AH6776" t="s">
        <v>4733</v>
      </c>
      <c r="AI6776" t="s">
        <v>41070</v>
      </c>
    </row>
    <row r="6777" spans="2:35" ht="105">
      <c r="B6777" s="1">
        <v>45170</v>
      </c>
      <c r="C6777" s="4">
        <v>45170.493055555555</v>
      </c>
      <c r="D6777" t="s">
        <v>2221</v>
      </c>
      <c r="E6777" t="s">
        <v>41071</v>
      </c>
      <c r="F6777">
        <v>9</v>
      </c>
      <c r="G6777" t="s">
        <v>2197</v>
      </c>
      <c r="H6777" t="s">
        <v>39</v>
      </c>
      <c r="I6777" t="s">
        <v>40</v>
      </c>
      <c r="J6777" s="2" t="s">
        <v>62</v>
      </c>
      <c r="K6777" t="s">
        <v>42</v>
      </c>
      <c r="L6777" t="s">
        <v>1257</v>
      </c>
      <c r="Q6777">
        <v>25776</v>
      </c>
      <c r="R6777" t="s">
        <v>119</v>
      </c>
      <c r="S6777" t="s">
        <v>2224</v>
      </c>
      <c r="T6777">
        <v>28</v>
      </c>
      <c r="U6777" s="2" t="s">
        <v>32715</v>
      </c>
      <c r="V6777" s="1">
        <v>45140</v>
      </c>
      <c r="W6777" t="s">
        <v>6776</v>
      </c>
      <c r="X6777">
        <v>838204</v>
      </c>
      <c r="Y6777" t="s">
        <v>41072</v>
      </c>
      <c r="Z6777" t="s">
        <v>41073</v>
      </c>
      <c r="AA6777" t="s">
        <v>41073</v>
      </c>
      <c r="AB6777" t="s">
        <v>41074</v>
      </c>
      <c r="AC6777" t="s">
        <v>301</v>
      </c>
      <c r="AD6777" t="s">
        <v>5255</v>
      </c>
      <c r="AE6777">
        <v>10401</v>
      </c>
      <c r="AG6777" t="s">
        <v>41075</v>
      </c>
      <c r="AH6777" t="s">
        <v>16428</v>
      </c>
      <c r="AI6777" t="s">
        <v>41076</v>
      </c>
    </row>
    <row r="6778" spans="2:35" ht="105">
      <c r="B6778" s="1">
        <v>45170</v>
      </c>
      <c r="C6778" s="4">
        <v>45170.432638888888</v>
      </c>
      <c r="D6778" t="s">
        <v>11901</v>
      </c>
      <c r="E6778" t="s">
        <v>41077</v>
      </c>
      <c r="F6778">
        <v>6</v>
      </c>
      <c r="G6778" t="s">
        <v>1234</v>
      </c>
      <c r="H6778" t="s">
        <v>1047</v>
      </c>
      <c r="I6778" t="s">
        <v>94</v>
      </c>
      <c r="J6778" t="s">
        <v>525</v>
      </c>
      <c r="K6778" t="s">
        <v>42</v>
      </c>
      <c r="L6778" t="s">
        <v>23958</v>
      </c>
      <c r="Q6778">
        <v>25775</v>
      </c>
      <c r="R6778" t="s">
        <v>45</v>
      </c>
      <c r="S6778" t="s">
        <v>34236</v>
      </c>
      <c r="T6778">
        <v>4</v>
      </c>
      <c r="U6778" s="2" t="s">
        <v>41078</v>
      </c>
      <c r="W6778" t="s">
        <v>6776</v>
      </c>
      <c r="X6778">
        <v>812020</v>
      </c>
      <c r="Y6778" t="s">
        <v>41079</v>
      </c>
      <c r="Z6778" t="s">
        <v>41080</v>
      </c>
      <c r="AA6778" t="s">
        <v>41081</v>
      </c>
      <c r="AB6778" t="s">
        <v>41082</v>
      </c>
      <c r="AC6778" t="s">
        <v>41083</v>
      </c>
      <c r="AG6778" t="s">
        <v>41084</v>
      </c>
      <c r="AH6778" t="s">
        <v>36973</v>
      </c>
      <c r="AI6778" t="s">
        <v>41085</v>
      </c>
    </row>
    <row r="6779" spans="2:35" ht="210">
      <c r="B6779" s="1">
        <v>45170</v>
      </c>
      <c r="C6779" s="4">
        <v>45170.461805555555</v>
      </c>
      <c r="D6779" t="s">
        <v>1222</v>
      </c>
      <c r="E6779" t="s">
        <v>1223</v>
      </c>
      <c r="F6779" t="s">
        <v>37</v>
      </c>
      <c r="G6779" t="s">
        <v>38</v>
      </c>
      <c r="H6779" t="s">
        <v>39</v>
      </c>
      <c r="I6779" t="s">
        <v>40</v>
      </c>
      <c r="J6779" t="s">
        <v>109</v>
      </c>
      <c r="K6779" t="s">
        <v>42</v>
      </c>
      <c r="L6779" t="s">
        <v>43</v>
      </c>
      <c r="Q6779">
        <v>25774</v>
      </c>
      <c r="R6779" t="s">
        <v>119</v>
      </c>
      <c r="S6779" t="s">
        <v>27731</v>
      </c>
      <c r="T6779">
        <v>26</v>
      </c>
      <c r="U6779" s="2" t="s">
        <v>20711</v>
      </c>
      <c r="W6779" t="s">
        <v>9792</v>
      </c>
      <c r="X6779">
        <v>821213</v>
      </c>
      <c r="Y6779" t="s">
        <v>121</v>
      </c>
      <c r="Z6779" t="s">
        <v>122</v>
      </c>
      <c r="AA6779" s="2" t="s">
        <v>33688</v>
      </c>
      <c r="AB6779" t="s">
        <v>88</v>
      </c>
      <c r="AG6779" t="s">
        <v>41086</v>
      </c>
      <c r="AH6779" t="s">
        <v>1230</v>
      </c>
      <c r="AI6779" t="s">
        <v>41087</v>
      </c>
    </row>
    <row r="6780" spans="2:35" ht="105">
      <c r="B6780" s="1">
        <v>45170</v>
      </c>
      <c r="C6780" s="4">
        <v>45161.495833333334</v>
      </c>
      <c r="D6780" t="s">
        <v>11880</v>
      </c>
      <c r="E6780" t="s">
        <v>40017</v>
      </c>
      <c r="F6780">
        <v>6</v>
      </c>
      <c r="G6780" t="s">
        <v>1234</v>
      </c>
      <c r="H6780" t="s">
        <v>1047</v>
      </c>
      <c r="I6780" t="s">
        <v>94</v>
      </c>
      <c r="J6780" t="s">
        <v>996</v>
      </c>
      <c r="K6780" t="s">
        <v>42</v>
      </c>
      <c r="L6780" t="s">
        <v>23958</v>
      </c>
      <c r="Q6780">
        <v>25773</v>
      </c>
      <c r="R6780" t="s">
        <v>119</v>
      </c>
      <c r="S6780" t="s">
        <v>40018</v>
      </c>
      <c r="T6780">
        <v>28</v>
      </c>
      <c r="U6780" s="2" t="s">
        <v>9132</v>
      </c>
      <c r="W6780" t="s">
        <v>360</v>
      </c>
      <c r="X6780">
        <v>838477</v>
      </c>
      <c r="Y6780" t="s">
        <v>41088</v>
      </c>
      <c r="Z6780" t="s">
        <v>41089</v>
      </c>
      <c r="AA6780" t="s">
        <v>41090</v>
      </c>
      <c r="AB6780" t="s">
        <v>41091</v>
      </c>
      <c r="AG6780" t="s">
        <v>41092</v>
      </c>
      <c r="AH6780" t="s">
        <v>11886</v>
      </c>
      <c r="AI6780" t="s">
        <v>41093</v>
      </c>
    </row>
    <row r="6781" spans="2:35" ht="180">
      <c r="B6781" s="1">
        <v>45170</v>
      </c>
      <c r="C6781" s="4">
        <v>45169.761111111111</v>
      </c>
      <c r="D6781" t="s">
        <v>41094</v>
      </c>
      <c r="E6781" t="s">
        <v>41095</v>
      </c>
      <c r="F6781">
        <v>5</v>
      </c>
      <c r="G6781" t="s">
        <v>827</v>
      </c>
      <c r="H6781" t="s">
        <v>16689</v>
      </c>
      <c r="I6781" t="s">
        <v>40</v>
      </c>
      <c r="J6781" s="2" t="s">
        <v>62</v>
      </c>
      <c r="K6781" t="s">
        <v>42</v>
      </c>
      <c r="L6781" t="s">
        <v>761</v>
      </c>
      <c r="Q6781">
        <v>25772</v>
      </c>
      <c r="R6781" t="s">
        <v>119</v>
      </c>
      <c r="S6781" t="s">
        <v>8627</v>
      </c>
      <c r="T6781">
        <v>30</v>
      </c>
      <c r="U6781" s="2" t="s">
        <v>3796</v>
      </c>
      <c r="W6781" t="s">
        <v>360</v>
      </c>
      <c r="X6781">
        <v>838572</v>
      </c>
      <c r="Y6781" t="s">
        <v>39701</v>
      </c>
      <c r="Z6781" s="2" t="s">
        <v>41096</v>
      </c>
      <c r="AA6781" s="2" t="s">
        <v>4477</v>
      </c>
      <c r="AB6781" s="2" t="s">
        <v>41097</v>
      </c>
      <c r="AG6781" t="s">
        <v>41098</v>
      </c>
      <c r="AH6781" t="s">
        <v>41099</v>
      </c>
      <c r="AI6781" t="s">
        <v>41100</v>
      </c>
    </row>
    <row r="6782" spans="2:35" ht="120">
      <c r="B6782" s="1">
        <v>45170</v>
      </c>
      <c r="C6782" s="4">
        <v>45168.436805555553</v>
      </c>
      <c r="D6782" t="s">
        <v>41101</v>
      </c>
      <c r="E6782" t="s">
        <v>31265</v>
      </c>
      <c r="F6782">
        <v>5</v>
      </c>
      <c r="G6782" t="s">
        <v>759</v>
      </c>
      <c r="H6782" t="s">
        <v>16689</v>
      </c>
      <c r="I6782" t="s">
        <v>40</v>
      </c>
      <c r="J6782" t="s">
        <v>109</v>
      </c>
      <c r="K6782" t="s">
        <v>42</v>
      </c>
      <c r="L6782" t="s">
        <v>761</v>
      </c>
      <c r="Q6782">
        <v>25771</v>
      </c>
      <c r="R6782" t="s">
        <v>45</v>
      </c>
      <c r="S6782" t="s">
        <v>41102</v>
      </c>
      <c r="T6782">
        <v>28</v>
      </c>
      <c r="U6782" s="2" t="s">
        <v>22597</v>
      </c>
      <c r="W6782" t="s">
        <v>360</v>
      </c>
      <c r="X6782">
        <v>808280</v>
      </c>
      <c r="Y6782" t="s">
        <v>1052</v>
      </c>
      <c r="Z6782" s="2" t="s">
        <v>22309</v>
      </c>
      <c r="AA6782" t="s">
        <v>820</v>
      </c>
      <c r="AB6782" t="s">
        <v>181</v>
      </c>
      <c r="AG6782" t="s">
        <v>41103</v>
      </c>
      <c r="AH6782" t="s">
        <v>41104</v>
      </c>
      <c r="AI6782" t="s">
        <v>41105</v>
      </c>
    </row>
    <row r="6783" spans="2:35" ht="195">
      <c r="B6783" s="1">
        <v>45170</v>
      </c>
      <c r="C6783" s="4">
        <v>45167.63958333333</v>
      </c>
      <c r="D6783" t="s">
        <v>2990</v>
      </c>
      <c r="E6783" t="s">
        <v>41106</v>
      </c>
      <c r="F6783">
        <v>5</v>
      </c>
      <c r="G6783" t="s">
        <v>759</v>
      </c>
      <c r="H6783" t="s">
        <v>16689</v>
      </c>
      <c r="I6783" t="s">
        <v>40</v>
      </c>
      <c r="J6783" s="2" t="s">
        <v>1808</v>
      </c>
      <c r="K6783" t="s">
        <v>42</v>
      </c>
      <c r="L6783" t="s">
        <v>761</v>
      </c>
      <c r="Q6783">
        <v>25770</v>
      </c>
      <c r="R6783" t="s">
        <v>45</v>
      </c>
      <c r="S6783" t="s">
        <v>2992</v>
      </c>
      <c r="T6783">
        <v>28</v>
      </c>
      <c r="U6783" s="2" t="s">
        <v>41107</v>
      </c>
      <c r="W6783" t="s">
        <v>360</v>
      </c>
      <c r="X6783">
        <v>804257</v>
      </c>
      <c r="Y6783" t="s">
        <v>9897</v>
      </c>
      <c r="Z6783" s="2" t="s">
        <v>41108</v>
      </c>
      <c r="AA6783" s="2" t="s">
        <v>41109</v>
      </c>
      <c r="AB6783" t="s">
        <v>181</v>
      </c>
      <c r="AG6783" t="s">
        <v>41110</v>
      </c>
      <c r="AH6783" t="s">
        <v>31327</v>
      </c>
      <c r="AI6783" t="s">
        <v>41111</v>
      </c>
    </row>
    <row r="6784" spans="2:35" ht="210">
      <c r="B6784" s="1">
        <v>45170</v>
      </c>
      <c r="C6784" s="4">
        <v>45170.37777777778</v>
      </c>
      <c r="D6784" t="s">
        <v>25636</v>
      </c>
      <c r="E6784" t="s">
        <v>41112</v>
      </c>
      <c r="F6784">
        <v>2</v>
      </c>
      <c r="G6784" t="s">
        <v>2668</v>
      </c>
      <c r="H6784" t="s">
        <v>39</v>
      </c>
      <c r="I6784" t="s">
        <v>40</v>
      </c>
      <c r="J6784" s="2" t="s">
        <v>41</v>
      </c>
      <c r="K6784" t="s">
        <v>42</v>
      </c>
      <c r="L6784" t="s">
        <v>63</v>
      </c>
      <c r="Q6784">
        <v>25769</v>
      </c>
      <c r="R6784" t="s">
        <v>45</v>
      </c>
      <c r="S6784" t="s">
        <v>25639</v>
      </c>
      <c r="T6784">
        <v>29</v>
      </c>
      <c r="U6784" s="2" t="s">
        <v>41113</v>
      </c>
      <c r="V6784" s="1">
        <v>45170</v>
      </c>
      <c r="W6784" t="s">
        <v>26915</v>
      </c>
      <c r="X6784">
        <v>805104</v>
      </c>
      <c r="Y6784" t="s">
        <v>25875</v>
      </c>
      <c r="Z6784" t="s">
        <v>41114</v>
      </c>
      <c r="AA6784" s="2" t="s">
        <v>1727</v>
      </c>
      <c r="AB6784" t="s">
        <v>70</v>
      </c>
      <c r="AC6784" t="s">
        <v>41115</v>
      </c>
      <c r="AD6784" t="s">
        <v>6397</v>
      </c>
      <c r="AE6784" t="s">
        <v>1716</v>
      </c>
      <c r="AG6784" t="s">
        <v>41116</v>
      </c>
      <c r="AH6784" t="s">
        <v>41117</v>
      </c>
      <c r="AI6784" t="s">
        <v>41118</v>
      </c>
    </row>
    <row r="6785" spans="2:35" ht="105">
      <c r="B6785" s="1">
        <v>45170</v>
      </c>
      <c r="C6785" s="4">
        <v>45170.36041666667</v>
      </c>
      <c r="D6785" t="s">
        <v>2327</v>
      </c>
      <c r="E6785" t="s">
        <v>41119</v>
      </c>
      <c r="F6785">
        <v>7</v>
      </c>
      <c r="G6785" t="s">
        <v>432</v>
      </c>
      <c r="H6785" t="s">
        <v>2290</v>
      </c>
      <c r="I6785" t="s">
        <v>94</v>
      </c>
      <c r="J6785" t="s">
        <v>79</v>
      </c>
      <c r="K6785" t="s">
        <v>42</v>
      </c>
      <c r="L6785" t="s">
        <v>610</v>
      </c>
      <c r="Q6785">
        <v>25768</v>
      </c>
      <c r="R6785" t="s">
        <v>119</v>
      </c>
      <c r="S6785" t="s">
        <v>19514</v>
      </c>
      <c r="T6785">
        <v>24</v>
      </c>
      <c r="U6785" s="2" t="s">
        <v>21084</v>
      </c>
      <c r="W6785" t="s">
        <v>502</v>
      </c>
      <c r="X6785">
        <v>838506</v>
      </c>
      <c r="Y6785" t="s">
        <v>41120</v>
      </c>
      <c r="Z6785" t="s">
        <v>37254</v>
      </c>
      <c r="AA6785" t="s">
        <v>41121</v>
      </c>
      <c r="AB6785" t="s">
        <v>41122</v>
      </c>
      <c r="AG6785" t="s">
        <v>41123</v>
      </c>
      <c r="AH6785" t="s">
        <v>41124</v>
      </c>
      <c r="AI6785" t="s">
        <v>41125</v>
      </c>
    </row>
    <row r="6786" spans="2:35" ht="60">
      <c r="B6786" s="1">
        <v>45170</v>
      </c>
      <c r="C6786" s="4">
        <v>45169.45</v>
      </c>
      <c r="D6786" t="s">
        <v>6672</v>
      </c>
      <c r="E6786" t="s">
        <v>41126</v>
      </c>
      <c r="F6786">
        <v>8</v>
      </c>
      <c r="G6786" t="s">
        <v>1663</v>
      </c>
      <c r="H6786" t="s">
        <v>39</v>
      </c>
      <c r="I6786" t="s">
        <v>40</v>
      </c>
      <c r="J6786" s="2" t="s">
        <v>62</v>
      </c>
      <c r="K6786" t="s">
        <v>42</v>
      </c>
      <c r="L6786" t="s">
        <v>259</v>
      </c>
      <c r="Q6786">
        <v>25766</v>
      </c>
      <c r="R6786" t="s">
        <v>119</v>
      </c>
      <c r="S6786" t="s">
        <v>41127</v>
      </c>
      <c r="T6786">
        <v>27</v>
      </c>
      <c r="V6786" s="1">
        <v>45169</v>
      </c>
      <c r="W6786" t="s">
        <v>84</v>
      </c>
      <c r="X6786">
        <v>838202</v>
      </c>
      <c r="Y6786" t="s">
        <v>67</v>
      </c>
      <c r="Z6786" t="e">
        <f ca="1">- CALIBRATION
- Preventive Maintenance</f>
        <v>#NAME?</v>
      </c>
      <c r="AA6786" t="e">
        <f ca="1">- XpertCheck CALIBRATION
- Preventive Maintenance
- performed functionality test
- Generate reports</f>
        <v>#NAME?</v>
      </c>
      <c r="AB6786" t="s">
        <v>70</v>
      </c>
      <c r="AC6786" t="s">
        <v>5243</v>
      </c>
      <c r="AD6786" t="s">
        <v>948</v>
      </c>
      <c r="AE6786" t="s">
        <v>119</v>
      </c>
      <c r="AG6786" t="s">
        <v>41128</v>
      </c>
      <c r="AH6786" t="s">
        <v>41129</v>
      </c>
      <c r="AI6786" t="s">
        <v>41130</v>
      </c>
    </row>
    <row r="6787" spans="2:35" ht="60">
      <c r="B6787" s="1">
        <v>45170</v>
      </c>
      <c r="C6787" s="4">
        <v>45170.347916666666</v>
      </c>
      <c r="D6787" t="s">
        <v>8067</v>
      </c>
      <c r="E6787" t="s">
        <v>8068</v>
      </c>
      <c r="F6787">
        <v>8</v>
      </c>
      <c r="G6787" t="s">
        <v>257</v>
      </c>
      <c r="H6787" t="s">
        <v>36499</v>
      </c>
      <c r="I6787" t="s">
        <v>40</v>
      </c>
      <c r="J6787" s="2" t="s">
        <v>62</v>
      </c>
      <c r="K6787" t="s">
        <v>42</v>
      </c>
      <c r="L6787" t="s">
        <v>259</v>
      </c>
      <c r="Q6787">
        <v>25767</v>
      </c>
      <c r="R6787" t="s">
        <v>119</v>
      </c>
      <c r="S6787" t="s">
        <v>8069</v>
      </c>
      <c r="T6787">
        <v>26</v>
      </c>
      <c r="V6787" s="1">
        <v>45170</v>
      </c>
      <c r="W6787" t="s">
        <v>84</v>
      </c>
      <c r="X6787">
        <v>838406</v>
      </c>
      <c r="Y6787" t="s">
        <v>67</v>
      </c>
      <c r="Z6787" t="e">
        <f ca="1">- performed XpertCheck CALIBRATION</f>
        <v>#NAME?</v>
      </c>
      <c r="AA6787" t="e">
        <f ca="1">- XpertCheck CALIBRATION
- Preventive Maintenance
- performed functionality test
- Generate reports</f>
        <v>#NAME?</v>
      </c>
      <c r="AB6787" t="s">
        <v>70</v>
      </c>
      <c r="AD6787" t="s">
        <v>948</v>
      </c>
      <c r="AE6787" t="s">
        <v>119</v>
      </c>
      <c r="AG6787" t="s">
        <v>41131</v>
      </c>
      <c r="AH6787" t="s">
        <v>41132</v>
      </c>
      <c r="AI6787" t="s">
        <v>41133</v>
      </c>
    </row>
    <row r="6788" spans="2:35" ht="180">
      <c r="B6788" s="1">
        <v>45169</v>
      </c>
      <c r="C6788" s="4">
        <v>45169.70208333333</v>
      </c>
      <c r="D6788" t="s">
        <v>2773</v>
      </c>
      <c r="E6788" t="s">
        <v>2774</v>
      </c>
      <c r="F6788">
        <v>2</v>
      </c>
      <c r="G6788" t="s">
        <v>2723</v>
      </c>
      <c r="H6788" t="s">
        <v>386</v>
      </c>
      <c r="I6788" t="s">
        <v>40</v>
      </c>
      <c r="J6788" s="2" t="s">
        <v>1309</v>
      </c>
      <c r="K6788" t="s">
        <v>387</v>
      </c>
      <c r="L6788" t="s">
        <v>63</v>
      </c>
      <c r="Q6788">
        <v>25765</v>
      </c>
      <c r="R6788" t="s">
        <v>322</v>
      </c>
      <c r="S6788" t="s">
        <v>41134</v>
      </c>
      <c r="T6788">
        <v>27</v>
      </c>
      <c r="V6788" s="1">
        <v>45162</v>
      </c>
      <c r="W6788" t="s">
        <v>390</v>
      </c>
      <c r="X6788" t="s">
        <v>8421</v>
      </c>
      <c r="Y6788" t="s">
        <v>41135</v>
      </c>
      <c r="Z6788" t="s">
        <v>41136</v>
      </c>
      <c r="AA6788" s="2" t="s">
        <v>41137</v>
      </c>
      <c r="AB6788" t="s">
        <v>70</v>
      </c>
      <c r="AC6788" t="s">
        <v>1716</v>
      </c>
      <c r="AD6788" t="s">
        <v>41138</v>
      </c>
      <c r="AE6788">
        <v>10574</v>
      </c>
      <c r="AG6788" t="s">
        <v>41139</v>
      </c>
      <c r="AH6788" t="s">
        <v>41140</v>
      </c>
      <c r="AI6788" t="s">
        <v>41141</v>
      </c>
    </row>
    <row r="6789" spans="2:35" ht="270">
      <c r="B6789" s="1">
        <v>45169</v>
      </c>
      <c r="C6789" s="4">
        <v>45169.690972222219</v>
      </c>
      <c r="D6789" t="s">
        <v>2773</v>
      </c>
      <c r="E6789" t="s">
        <v>2774</v>
      </c>
      <c r="F6789">
        <v>2</v>
      </c>
      <c r="G6789" t="s">
        <v>2723</v>
      </c>
      <c r="H6789" t="s">
        <v>1498</v>
      </c>
      <c r="I6789" t="s">
        <v>40</v>
      </c>
      <c r="J6789" s="2" t="s">
        <v>41142</v>
      </c>
      <c r="K6789" t="s">
        <v>42</v>
      </c>
      <c r="L6789" t="s">
        <v>63</v>
      </c>
      <c r="Q6789">
        <v>25764</v>
      </c>
      <c r="R6789" t="s">
        <v>119</v>
      </c>
      <c r="S6789" t="s">
        <v>34990</v>
      </c>
      <c r="T6789">
        <v>27</v>
      </c>
      <c r="V6789" s="1">
        <v>45169</v>
      </c>
      <c r="W6789" t="s">
        <v>26915</v>
      </c>
      <c r="X6789">
        <v>831718</v>
      </c>
      <c r="Y6789" t="s">
        <v>24940</v>
      </c>
      <c r="Z6789" t="s">
        <v>41143</v>
      </c>
      <c r="AA6789" s="2" t="s">
        <v>41144</v>
      </c>
      <c r="AB6789" t="s">
        <v>70</v>
      </c>
      <c r="AC6789" t="s">
        <v>41145</v>
      </c>
      <c r="AD6789" t="s">
        <v>41146</v>
      </c>
      <c r="AE6789" t="s">
        <v>1716</v>
      </c>
      <c r="AG6789" t="s">
        <v>41147</v>
      </c>
      <c r="AH6789" t="s">
        <v>41148</v>
      </c>
      <c r="AI6789" t="s">
        <v>41149</v>
      </c>
    </row>
    <row r="6790" spans="2:35" ht="75">
      <c r="B6790" s="1">
        <v>45169</v>
      </c>
      <c r="C6790" s="4">
        <v>44561.634722222225</v>
      </c>
      <c r="D6790" t="s">
        <v>17602</v>
      </c>
      <c r="E6790" t="s">
        <v>17603</v>
      </c>
      <c r="F6790" t="s">
        <v>37</v>
      </c>
      <c r="G6790" t="s">
        <v>78</v>
      </c>
      <c r="H6790" t="s">
        <v>39</v>
      </c>
      <c r="I6790" t="s">
        <v>40</v>
      </c>
      <c r="J6790" s="2" t="s">
        <v>31986</v>
      </c>
      <c r="K6790" t="s">
        <v>2629</v>
      </c>
      <c r="L6790" t="s">
        <v>409</v>
      </c>
      <c r="Q6790">
        <v>25763</v>
      </c>
      <c r="R6790" t="s">
        <v>95</v>
      </c>
      <c r="S6790" t="s">
        <v>41150</v>
      </c>
      <c r="T6790">
        <v>25</v>
      </c>
      <c r="W6790" t="s">
        <v>41151</v>
      </c>
      <c r="X6790">
        <v>3148001025</v>
      </c>
      <c r="Y6790" t="s">
        <v>301</v>
      </c>
      <c r="Z6790" t="s">
        <v>41152</v>
      </c>
      <c r="AA6790" s="2" t="s">
        <v>41153</v>
      </c>
      <c r="AB6790" t="s">
        <v>41154</v>
      </c>
      <c r="AG6790" t="s">
        <v>41155</v>
      </c>
      <c r="AH6790" t="s">
        <v>41156</v>
      </c>
      <c r="AI6790" t="s">
        <v>41157</v>
      </c>
    </row>
    <row r="6791" spans="2:35" ht="165">
      <c r="B6791" s="1">
        <v>45169</v>
      </c>
      <c r="C6791" s="4">
        <v>44561.631249999999</v>
      </c>
      <c r="D6791" t="s">
        <v>17602</v>
      </c>
      <c r="E6791" t="s">
        <v>17603</v>
      </c>
      <c r="F6791" t="s">
        <v>37</v>
      </c>
      <c r="G6791" t="s">
        <v>78</v>
      </c>
      <c r="H6791" t="s">
        <v>39</v>
      </c>
      <c r="I6791" t="s">
        <v>40</v>
      </c>
      <c r="J6791" s="2" t="s">
        <v>31979</v>
      </c>
      <c r="K6791" t="s">
        <v>2629</v>
      </c>
      <c r="L6791" t="s">
        <v>409</v>
      </c>
      <c r="Q6791">
        <v>25761</v>
      </c>
      <c r="R6791" t="s">
        <v>95</v>
      </c>
      <c r="S6791" t="s">
        <v>41150</v>
      </c>
      <c r="T6791">
        <v>25</v>
      </c>
      <c r="W6791" t="s">
        <v>41151</v>
      </c>
      <c r="X6791">
        <v>3148011024</v>
      </c>
      <c r="Y6791" t="s">
        <v>41158</v>
      </c>
      <c r="Z6791" t="s">
        <v>41159</v>
      </c>
      <c r="AA6791" s="2" t="s">
        <v>41160</v>
      </c>
      <c r="AB6791" t="s">
        <v>41161</v>
      </c>
      <c r="AC6791" t="s">
        <v>41162</v>
      </c>
      <c r="AG6791" t="s">
        <v>41163</v>
      </c>
      <c r="AH6791" t="s">
        <v>41156</v>
      </c>
      <c r="AI6791" t="s">
        <v>41164</v>
      </c>
    </row>
    <row r="6792" spans="2:35" ht="75">
      <c r="B6792" s="1">
        <v>45169</v>
      </c>
      <c r="C6792" s="4">
        <v>44926.636111111111</v>
      </c>
      <c r="D6792" t="s">
        <v>17602</v>
      </c>
      <c r="E6792" t="s">
        <v>17603</v>
      </c>
      <c r="F6792" t="s">
        <v>37</v>
      </c>
      <c r="G6792" t="s">
        <v>78</v>
      </c>
      <c r="H6792" t="s">
        <v>39</v>
      </c>
      <c r="I6792" t="s">
        <v>40</v>
      </c>
      <c r="J6792" s="2" t="s">
        <v>31986</v>
      </c>
      <c r="K6792" t="s">
        <v>2629</v>
      </c>
      <c r="L6792" t="s">
        <v>409</v>
      </c>
      <c r="Q6792">
        <v>25760</v>
      </c>
      <c r="R6792" t="s">
        <v>95</v>
      </c>
      <c r="S6792" t="s">
        <v>41150</v>
      </c>
      <c r="T6792">
        <v>25</v>
      </c>
      <c r="W6792" t="s">
        <v>41151</v>
      </c>
      <c r="X6792">
        <v>3148001108</v>
      </c>
      <c r="Y6792" t="s">
        <v>301</v>
      </c>
      <c r="Z6792" t="s">
        <v>41152</v>
      </c>
      <c r="AA6792" s="2" t="s">
        <v>41153</v>
      </c>
      <c r="AB6792" t="s">
        <v>181</v>
      </c>
      <c r="AG6792" t="s">
        <v>41165</v>
      </c>
      <c r="AH6792" t="s">
        <v>41156</v>
      </c>
      <c r="AI6792" t="s">
        <v>41166</v>
      </c>
    </row>
    <row r="6793" spans="2:35" ht="60">
      <c r="B6793" s="1">
        <v>45169</v>
      </c>
      <c r="C6793" s="4">
        <v>45169.628472222219</v>
      </c>
      <c r="D6793" t="s">
        <v>17602</v>
      </c>
      <c r="E6793" t="s">
        <v>17603</v>
      </c>
      <c r="F6793" t="s">
        <v>37</v>
      </c>
      <c r="G6793" t="s">
        <v>78</v>
      </c>
      <c r="H6793" t="s">
        <v>39</v>
      </c>
      <c r="I6793" t="s">
        <v>40</v>
      </c>
      <c r="J6793" s="2" t="s">
        <v>31986</v>
      </c>
      <c r="K6793" t="s">
        <v>2629</v>
      </c>
      <c r="L6793" t="s">
        <v>409</v>
      </c>
      <c r="Q6793">
        <v>25762</v>
      </c>
      <c r="R6793" t="s">
        <v>95</v>
      </c>
      <c r="S6793" t="s">
        <v>41150</v>
      </c>
      <c r="T6793">
        <v>25</v>
      </c>
      <c r="W6793" t="s">
        <v>9964</v>
      </c>
      <c r="X6793">
        <v>3947001216</v>
      </c>
      <c r="Y6793" t="s">
        <v>301</v>
      </c>
      <c r="Z6793" t="s">
        <v>301</v>
      </c>
      <c r="AA6793" s="2" t="s">
        <v>41167</v>
      </c>
      <c r="AB6793" t="s">
        <v>41168</v>
      </c>
      <c r="AC6793" t="s">
        <v>1052</v>
      </c>
      <c r="AG6793" t="s">
        <v>41169</v>
      </c>
      <c r="AH6793" t="s">
        <v>41156</v>
      </c>
      <c r="AI6793" t="s">
        <v>41170</v>
      </c>
    </row>
    <row r="6794" spans="2:35" ht="330">
      <c r="B6794" s="1">
        <v>45169</v>
      </c>
      <c r="C6794" s="4">
        <v>44196.567361111112</v>
      </c>
      <c r="D6794" t="s">
        <v>6226</v>
      </c>
      <c r="E6794" t="s">
        <v>41171</v>
      </c>
      <c r="F6794">
        <v>11</v>
      </c>
      <c r="G6794" t="s">
        <v>1205</v>
      </c>
      <c r="H6794" t="s">
        <v>202</v>
      </c>
      <c r="I6794" t="s">
        <v>40</v>
      </c>
      <c r="J6794" s="2" t="s">
        <v>62</v>
      </c>
      <c r="K6794" t="s">
        <v>42</v>
      </c>
      <c r="L6794" t="s">
        <v>204</v>
      </c>
      <c r="Q6794">
        <v>25759</v>
      </c>
      <c r="R6794" t="s">
        <v>119</v>
      </c>
      <c r="S6794" t="s">
        <v>6228</v>
      </c>
      <c r="T6794">
        <v>25.4</v>
      </c>
      <c r="U6794" s="2" t="s">
        <v>15357</v>
      </c>
      <c r="V6794" s="1">
        <v>45140</v>
      </c>
      <c r="W6794" t="s">
        <v>23237</v>
      </c>
      <c r="X6794">
        <v>838395</v>
      </c>
      <c r="Y6794" t="s">
        <v>27855</v>
      </c>
      <c r="Z6794" s="2" t="s">
        <v>41172</v>
      </c>
      <c r="AA6794" t="s">
        <v>1620</v>
      </c>
      <c r="AB6794" s="2" t="s">
        <v>41173</v>
      </c>
      <c r="AD6794" t="s">
        <v>5365</v>
      </c>
      <c r="AE6794" t="s">
        <v>41174</v>
      </c>
      <c r="AG6794" t="s">
        <v>41175</v>
      </c>
      <c r="AH6794" t="s">
        <v>41176</v>
      </c>
      <c r="AI6794" t="s">
        <v>41177</v>
      </c>
    </row>
    <row r="6795" spans="2:35" ht="285">
      <c r="B6795" s="1">
        <v>45169</v>
      </c>
      <c r="C6795" s="4">
        <v>45169.614583333336</v>
      </c>
      <c r="D6795" t="s">
        <v>41178</v>
      </c>
      <c r="E6795" t="s">
        <v>41179</v>
      </c>
      <c r="F6795" t="s">
        <v>37</v>
      </c>
      <c r="G6795" t="s">
        <v>38</v>
      </c>
      <c r="H6795" t="s">
        <v>39</v>
      </c>
      <c r="I6795" t="s">
        <v>40</v>
      </c>
      <c r="J6795" t="s">
        <v>109</v>
      </c>
      <c r="K6795" t="s">
        <v>42</v>
      </c>
      <c r="L6795" t="s">
        <v>43</v>
      </c>
      <c r="Q6795">
        <v>25758</v>
      </c>
      <c r="R6795" t="s">
        <v>95</v>
      </c>
      <c r="S6795" t="s">
        <v>5580</v>
      </c>
      <c r="T6795">
        <v>20</v>
      </c>
      <c r="U6795" s="2" t="s">
        <v>41180</v>
      </c>
      <c r="W6795" t="s">
        <v>9792</v>
      </c>
      <c r="X6795">
        <v>110005265</v>
      </c>
      <c r="Y6795" t="s">
        <v>121</v>
      </c>
      <c r="Z6795" t="s">
        <v>122</v>
      </c>
      <c r="AA6795" s="2" t="s">
        <v>33688</v>
      </c>
      <c r="AB6795" t="s">
        <v>88</v>
      </c>
      <c r="AG6795" t="s">
        <v>41181</v>
      </c>
      <c r="AH6795" t="s">
        <v>11659</v>
      </c>
      <c r="AI6795" t="s">
        <v>41182</v>
      </c>
    </row>
    <row r="6796" spans="2:35" ht="105">
      <c r="B6796" s="1">
        <v>45169</v>
      </c>
      <c r="C6796" s="4">
        <v>45169.607638888891</v>
      </c>
      <c r="D6796" t="s">
        <v>27228</v>
      </c>
      <c r="E6796" t="s">
        <v>26059</v>
      </c>
      <c r="F6796" t="s">
        <v>148</v>
      </c>
      <c r="G6796" t="s">
        <v>371</v>
      </c>
      <c r="H6796" t="s">
        <v>39</v>
      </c>
      <c r="I6796" t="s">
        <v>40</v>
      </c>
      <c r="J6796" s="2" t="s">
        <v>41</v>
      </c>
      <c r="K6796" t="s">
        <v>42</v>
      </c>
      <c r="L6796" t="s">
        <v>175</v>
      </c>
      <c r="Q6796">
        <v>25757</v>
      </c>
      <c r="R6796" t="s">
        <v>119</v>
      </c>
      <c r="S6796" t="s">
        <v>27229</v>
      </c>
      <c r="T6796">
        <v>25</v>
      </c>
      <c r="U6796" s="2" t="s">
        <v>30166</v>
      </c>
      <c r="V6796" s="1">
        <v>45163</v>
      </c>
      <c r="W6796" t="s">
        <v>84</v>
      </c>
      <c r="X6796">
        <v>831677</v>
      </c>
      <c r="Y6796" t="s">
        <v>2514</v>
      </c>
      <c r="Z6796" t="e">
        <f ca="1">- replaced module A1
- checked _xludf.and cleaned cartridge bay, plunger rod, _xludf.filter
- generated reports</f>
        <v>#NAME?</v>
      </c>
      <c r="AA6796" t="s">
        <v>41183</v>
      </c>
      <c r="AB6796" t="s">
        <v>88</v>
      </c>
      <c r="AD6796" s="2" t="s">
        <v>41184</v>
      </c>
      <c r="AE6796">
        <v>10586</v>
      </c>
      <c r="AG6796" t="s">
        <v>41185</v>
      </c>
      <c r="AH6796" t="s">
        <v>27231</v>
      </c>
      <c r="AI6796" t="s">
        <v>41186</v>
      </c>
    </row>
    <row r="6797" spans="2:35" ht="405">
      <c r="B6797" s="1">
        <v>45169</v>
      </c>
      <c r="C6797" s="4">
        <v>45169.567361111112</v>
      </c>
      <c r="D6797" t="s">
        <v>27323</v>
      </c>
      <c r="E6797" t="s">
        <v>27324</v>
      </c>
      <c r="F6797">
        <v>3</v>
      </c>
      <c r="G6797" t="s">
        <v>730</v>
      </c>
      <c r="H6797" t="s">
        <v>39</v>
      </c>
      <c r="I6797" t="s">
        <v>40</v>
      </c>
      <c r="J6797" s="2" t="s">
        <v>62</v>
      </c>
      <c r="K6797" t="s">
        <v>42</v>
      </c>
      <c r="L6797" t="s">
        <v>135</v>
      </c>
      <c r="Q6797">
        <v>25756</v>
      </c>
      <c r="R6797" t="s">
        <v>119</v>
      </c>
      <c r="S6797" t="s">
        <v>41187</v>
      </c>
      <c r="T6797">
        <v>25</v>
      </c>
      <c r="U6797" s="2" t="s">
        <v>10098</v>
      </c>
      <c r="W6797" t="s">
        <v>2680</v>
      </c>
      <c r="X6797">
        <v>831909</v>
      </c>
      <c r="Y6797" t="s">
        <v>39457</v>
      </c>
      <c r="Z6797" s="2" t="s">
        <v>29789</v>
      </c>
      <c r="AA6797" s="2" t="s">
        <v>39430</v>
      </c>
      <c r="AB6797" t="s">
        <v>41188</v>
      </c>
      <c r="AC6797" t="s">
        <v>37232</v>
      </c>
      <c r="AG6797" t="s">
        <v>41189</v>
      </c>
      <c r="AH6797" t="s">
        <v>41190</v>
      </c>
      <c r="AI6797" t="s">
        <v>41191</v>
      </c>
    </row>
    <row r="6798" spans="2:35" ht="105">
      <c r="B6798" s="1">
        <v>45169</v>
      </c>
      <c r="C6798" s="4">
        <v>45169.532638888886</v>
      </c>
      <c r="D6798" t="s">
        <v>8539</v>
      </c>
      <c r="E6798" t="s">
        <v>8540</v>
      </c>
      <c r="F6798">
        <v>9</v>
      </c>
      <c r="G6798" t="s">
        <v>2197</v>
      </c>
      <c r="H6798" t="s">
        <v>39</v>
      </c>
      <c r="I6798" t="s">
        <v>40</v>
      </c>
      <c r="J6798" s="2" t="s">
        <v>62</v>
      </c>
      <c r="K6798" t="s">
        <v>42</v>
      </c>
      <c r="L6798" t="s">
        <v>1257</v>
      </c>
      <c r="Q6798">
        <v>25755</v>
      </c>
      <c r="R6798" t="s">
        <v>119</v>
      </c>
      <c r="S6798" t="s">
        <v>8542</v>
      </c>
      <c r="T6798">
        <v>29</v>
      </c>
      <c r="U6798" s="2" t="s">
        <v>25443</v>
      </c>
      <c r="V6798" s="1">
        <v>45140</v>
      </c>
      <c r="W6798" t="s">
        <v>6776</v>
      </c>
      <c r="X6798">
        <v>838533</v>
      </c>
      <c r="Y6798" t="s">
        <v>301</v>
      </c>
      <c r="Z6798" t="s">
        <v>15263</v>
      </c>
      <c r="AA6798" t="s">
        <v>15263</v>
      </c>
      <c r="AB6798" t="s">
        <v>41192</v>
      </c>
      <c r="AC6798" t="s">
        <v>301</v>
      </c>
      <c r="AD6798" t="s">
        <v>5255</v>
      </c>
      <c r="AE6798">
        <v>10394</v>
      </c>
      <c r="AG6798" t="s">
        <v>41193</v>
      </c>
      <c r="AH6798" t="s">
        <v>41194</v>
      </c>
      <c r="AI6798" t="s">
        <v>41195</v>
      </c>
    </row>
    <row r="6799" spans="2:35">
      <c r="B6799" s="1">
        <v>45169</v>
      </c>
      <c r="C6799" s="4">
        <v>45169.540277777778</v>
      </c>
      <c r="D6799" t="s">
        <v>41196</v>
      </c>
      <c r="E6799" t="s">
        <v>41197</v>
      </c>
      <c r="F6799">
        <v>7</v>
      </c>
      <c r="G6799" t="s">
        <v>432</v>
      </c>
      <c r="H6799" t="s">
        <v>39</v>
      </c>
      <c r="I6799" t="s">
        <v>94</v>
      </c>
      <c r="J6799" t="s">
        <v>996</v>
      </c>
      <c r="K6799" t="s">
        <v>42</v>
      </c>
      <c r="L6799" t="s">
        <v>594</v>
      </c>
      <c r="Q6799">
        <v>25754</v>
      </c>
      <c r="R6799" t="s">
        <v>719</v>
      </c>
      <c r="S6799" t="s">
        <v>720</v>
      </c>
      <c r="T6799">
        <v>22</v>
      </c>
      <c r="V6799" s="1">
        <v>45168</v>
      </c>
      <c r="W6799" t="s">
        <v>360</v>
      </c>
      <c r="X6799">
        <v>847333</v>
      </c>
      <c r="Y6799" t="s">
        <v>67</v>
      </c>
      <c r="Z6799" t="s">
        <v>28868</v>
      </c>
      <c r="AA6799" t="s">
        <v>41198</v>
      </c>
      <c r="AB6799" t="s">
        <v>41199</v>
      </c>
      <c r="AG6799" t="s">
        <v>41200</v>
      </c>
      <c r="AH6799" t="s">
        <v>41201</v>
      </c>
      <c r="AI6799" t="s">
        <v>41202</v>
      </c>
    </row>
    <row r="6800" spans="2:35" ht="105">
      <c r="B6800" s="1">
        <v>45169</v>
      </c>
      <c r="C6800" s="4">
        <v>45169.393055555556</v>
      </c>
      <c r="D6800" t="s">
        <v>5645</v>
      </c>
      <c r="E6800" t="s">
        <v>2136</v>
      </c>
      <c r="F6800" t="s">
        <v>1255</v>
      </c>
      <c r="G6800" t="s">
        <v>1887</v>
      </c>
      <c r="H6800" t="s">
        <v>39</v>
      </c>
      <c r="I6800" t="s">
        <v>94</v>
      </c>
      <c r="J6800" s="2" t="s">
        <v>62</v>
      </c>
      <c r="K6800" t="s">
        <v>42</v>
      </c>
      <c r="L6800" t="s">
        <v>296</v>
      </c>
      <c r="Q6800">
        <v>25753</v>
      </c>
      <c r="R6800" t="s">
        <v>119</v>
      </c>
      <c r="S6800" t="s">
        <v>11535</v>
      </c>
      <c r="T6800">
        <v>26.4</v>
      </c>
      <c r="U6800" s="2" t="s">
        <v>41203</v>
      </c>
      <c r="V6800" s="1">
        <v>45169</v>
      </c>
      <c r="W6800" t="s">
        <v>23049</v>
      </c>
      <c r="X6800">
        <v>838528</v>
      </c>
      <c r="Y6800" t="s">
        <v>41204</v>
      </c>
      <c r="Z6800" t="s">
        <v>9161</v>
      </c>
      <c r="AA6800" t="s">
        <v>39567</v>
      </c>
      <c r="AB6800" t="s">
        <v>16070</v>
      </c>
      <c r="AC6800" t="s">
        <v>41205</v>
      </c>
      <c r="AD6800" t="s">
        <v>38010</v>
      </c>
      <c r="AE6800" t="s">
        <v>41206</v>
      </c>
      <c r="AG6800" t="s">
        <v>41207</v>
      </c>
      <c r="AH6800" t="s">
        <v>41208</v>
      </c>
      <c r="AI6800" t="s">
        <v>41209</v>
      </c>
    </row>
    <row r="6801" spans="2:35" ht="105">
      <c r="B6801" s="1">
        <v>45169</v>
      </c>
      <c r="C6801" s="4">
        <v>45169.393055555556</v>
      </c>
      <c r="D6801" t="s">
        <v>5645</v>
      </c>
      <c r="E6801" t="s">
        <v>2136</v>
      </c>
      <c r="F6801" t="s">
        <v>1255</v>
      </c>
      <c r="G6801" t="s">
        <v>1887</v>
      </c>
      <c r="H6801" t="s">
        <v>39</v>
      </c>
      <c r="I6801" t="s">
        <v>94</v>
      </c>
      <c r="J6801" s="2" t="s">
        <v>62</v>
      </c>
      <c r="K6801" t="s">
        <v>42</v>
      </c>
      <c r="L6801" t="s">
        <v>296</v>
      </c>
      <c r="Q6801">
        <v>25752</v>
      </c>
      <c r="R6801" t="s">
        <v>119</v>
      </c>
      <c r="S6801" t="s">
        <v>11535</v>
      </c>
      <c r="T6801">
        <v>26.4</v>
      </c>
      <c r="U6801" s="2" t="s">
        <v>41203</v>
      </c>
      <c r="V6801" s="1">
        <v>45169</v>
      </c>
      <c r="W6801" t="s">
        <v>23049</v>
      </c>
      <c r="X6801">
        <v>838528</v>
      </c>
      <c r="Y6801" t="s">
        <v>41204</v>
      </c>
      <c r="Z6801" t="s">
        <v>9161</v>
      </c>
      <c r="AA6801" t="s">
        <v>39567</v>
      </c>
      <c r="AB6801" t="s">
        <v>16070</v>
      </c>
      <c r="AC6801" t="s">
        <v>41205</v>
      </c>
      <c r="AD6801" t="s">
        <v>38010</v>
      </c>
      <c r="AE6801" t="s">
        <v>41206</v>
      </c>
      <c r="AG6801" t="s">
        <v>41210</v>
      </c>
      <c r="AH6801" t="s">
        <v>41208</v>
      </c>
      <c r="AI6801" t="s">
        <v>41211</v>
      </c>
    </row>
    <row r="6802" spans="2:35" ht="45">
      <c r="B6802" s="1">
        <v>45169</v>
      </c>
      <c r="C6802" s="4">
        <v>45169.479861111111</v>
      </c>
      <c r="D6802" t="s">
        <v>41212</v>
      </c>
      <c r="E6802" t="s">
        <v>41213</v>
      </c>
      <c r="F6802" t="s">
        <v>37</v>
      </c>
      <c r="G6802" t="s">
        <v>78</v>
      </c>
      <c r="H6802" t="s">
        <v>41214</v>
      </c>
      <c r="I6802" t="s">
        <v>40</v>
      </c>
      <c r="J6802" s="2" t="s">
        <v>9961</v>
      </c>
      <c r="K6802" t="s">
        <v>2629</v>
      </c>
      <c r="L6802" t="s">
        <v>409</v>
      </c>
      <c r="Q6802">
        <v>25749</v>
      </c>
      <c r="R6802" t="s">
        <v>95</v>
      </c>
      <c r="S6802" t="s">
        <v>41215</v>
      </c>
      <c r="T6802">
        <v>25</v>
      </c>
      <c r="V6802" s="1">
        <v>45168</v>
      </c>
      <c r="W6802" t="s">
        <v>9964</v>
      </c>
      <c r="X6802">
        <v>3947020836</v>
      </c>
      <c r="Y6802" t="s">
        <v>301</v>
      </c>
      <c r="Z6802" t="s">
        <v>301</v>
      </c>
      <c r="AA6802" t="s">
        <v>41216</v>
      </c>
      <c r="AB6802" t="s">
        <v>181</v>
      </c>
      <c r="AD6802" t="s">
        <v>41217</v>
      </c>
      <c r="AE6802" t="s">
        <v>41218</v>
      </c>
      <c r="AG6802" t="s">
        <v>41219</v>
      </c>
      <c r="AH6802" t="s">
        <v>41220</v>
      </c>
      <c r="AI6802" t="s">
        <v>41221</v>
      </c>
    </row>
    <row r="6803" spans="2:35" ht="60">
      <c r="B6803" s="1">
        <v>45169</v>
      </c>
      <c r="C6803" s="4">
        <v>45169.48333333333</v>
      </c>
      <c r="D6803" t="s">
        <v>41212</v>
      </c>
      <c r="E6803" t="s">
        <v>41213</v>
      </c>
      <c r="F6803" t="s">
        <v>37</v>
      </c>
      <c r="G6803" t="s">
        <v>78</v>
      </c>
      <c r="H6803" t="s">
        <v>41214</v>
      </c>
      <c r="I6803" t="s">
        <v>40</v>
      </c>
      <c r="J6803" s="2" t="s">
        <v>9117</v>
      </c>
      <c r="K6803" t="s">
        <v>2629</v>
      </c>
      <c r="L6803" t="s">
        <v>409</v>
      </c>
      <c r="Q6803">
        <v>25751</v>
      </c>
      <c r="R6803" t="s">
        <v>95</v>
      </c>
      <c r="S6803" t="s">
        <v>41215</v>
      </c>
      <c r="T6803">
        <v>25</v>
      </c>
      <c r="W6803" t="s">
        <v>9964</v>
      </c>
      <c r="X6803">
        <v>3947019527</v>
      </c>
      <c r="Y6803" t="s">
        <v>41222</v>
      </c>
      <c r="Z6803" t="s">
        <v>41223</v>
      </c>
      <c r="AA6803" t="s">
        <v>13673</v>
      </c>
      <c r="AB6803" t="s">
        <v>41224</v>
      </c>
      <c r="AC6803" t="s">
        <v>41225</v>
      </c>
      <c r="AG6803" t="s">
        <v>41226</v>
      </c>
      <c r="AH6803" t="s">
        <v>41220</v>
      </c>
      <c r="AI6803" t="s">
        <v>41227</v>
      </c>
    </row>
    <row r="6804" spans="2:35" ht="45">
      <c r="B6804" s="1">
        <v>45169</v>
      </c>
      <c r="C6804" s="4">
        <v>45169.484722222223</v>
      </c>
      <c r="D6804" t="s">
        <v>41212</v>
      </c>
      <c r="E6804" t="s">
        <v>41213</v>
      </c>
      <c r="F6804" t="s">
        <v>37</v>
      </c>
      <c r="G6804" t="s">
        <v>78</v>
      </c>
      <c r="H6804" t="s">
        <v>41228</v>
      </c>
      <c r="I6804" t="s">
        <v>40</v>
      </c>
      <c r="J6804" s="2" t="s">
        <v>9961</v>
      </c>
      <c r="K6804" t="s">
        <v>2629</v>
      </c>
      <c r="L6804" t="s">
        <v>409</v>
      </c>
      <c r="Q6804">
        <v>25750</v>
      </c>
      <c r="R6804" t="s">
        <v>95</v>
      </c>
      <c r="S6804" t="s">
        <v>41215</v>
      </c>
      <c r="T6804">
        <v>25</v>
      </c>
      <c r="V6804" s="1">
        <v>45168</v>
      </c>
      <c r="W6804" t="s">
        <v>9964</v>
      </c>
      <c r="X6804">
        <v>3947020834</v>
      </c>
      <c r="Y6804" t="s">
        <v>301</v>
      </c>
      <c r="Z6804" t="s">
        <v>301</v>
      </c>
      <c r="AA6804" t="s">
        <v>41216</v>
      </c>
      <c r="AB6804" t="s">
        <v>181</v>
      </c>
      <c r="AD6804" t="s">
        <v>41217</v>
      </c>
      <c r="AE6804" t="s">
        <v>41218</v>
      </c>
      <c r="AG6804" t="s">
        <v>41229</v>
      </c>
      <c r="AH6804" t="s">
        <v>41220</v>
      </c>
      <c r="AI6804" t="s">
        <v>41230</v>
      </c>
    </row>
    <row r="6805" spans="2:35" ht="285">
      <c r="B6805" s="1">
        <v>45169</v>
      </c>
      <c r="C6805" s="4">
        <v>45169.511805555558</v>
      </c>
      <c r="D6805" t="s">
        <v>41231</v>
      </c>
      <c r="E6805" t="s">
        <v>41232</v>
      </c>
      <c r="F6805" t="s">
        <v>37</v>
      </c>
      <c r="G6805" t="s">
        <v>189</v>
      </c>
      <c r="H6805" t="s">
        <v>39</v>
      </c>
      <c r="I6805" t="s">
        <v>40</v>
      </c>
      <c r="J6805" s="2" t="s">
        <v>41</v>
      </c>
      <c r="K6805" t="s">
        <v>42</v>
      </c>
      <c r="L6805" t="s">
        <v>1943</v>
      </c>
      <c r="Q6805">
        <v>25748</v>
      </c>
      <c r="R6805" t="s">
        <v>119</v>
      </c>
      <c r="S6805" t="s">
        <v>41233</v>
      </c>
      <c r="T6805">
        <v>25</v>
      </c>
      <c r="U6805" s="2" t="s">
        <v>41234</v>
      </c>
      <c r="V6805" s="1">
        <v>45162</v>
      </c>
      <c r="W6805" t="s">
        <v>84</v>
      </c>
      <c r="X6805">
        <v>821299</v>
      </c>
      <c r="Y6805" s="2" t="s">
        <v>25566</v>
      </c>
      <c r="Z6805" s="2" t="s">
        <v>41235</v>
      </c>
      <c r="AA6805" t="s">
        <v>22330</v>
      </c>
      <c r="AB6805" t="s">
        <v>41236</v>
      </c>
      <c r="AD6805" t="s">
        <v>41237</v>
      </c>
      <c r="AE6805" t="s">
        <v>41238</v>
      </c>
      <c r="AG6805" t="s">
        <v>41239</v>
      </c>
      <c r="AH6805" t="s">
        <v>32966</v>
      </c>
      <c r="AI6805" t="s">
        <v>41240</v>
      </c>
    </row>
    <row r="6806" spans="2:35" ht="180">
      <c r="B6806" s="1">
        <v>45169</v>
      </c>
      <c r="C6806" s="4">
        <v>45169.511805555558</v>
      </c>
      <c r="D6806" t="s">
        <v>25952</v>
      </c>
      <c r="E6806" t="s">
        <v>25953</v>
      </c>
      <c r="F6806" t="s">
        <v>148</v>
      </c>
      <c r="G6806" t="s">
        <v>447</v>
      </c>
      <c r="H6806" t="s">
        <v>39</v>
      </c>
      <c r="I6806" t="s">
        <v>40</v>
      </c>
      <c r="J6806" s="2" t="s">
        <v>41</v>
      </c>
      <c r="K6806" t="s">
        <v>42</v>
      </c>
      <c r="L6806" t="s">
        <v>175</v>
      </c>
      <c r="Q6806">
        <v>25747</v>
      </c>
      <c r="R6806" t="s">
        <v>119</v>
      </c>
      <c r="S6806" t="s">
        <v>25954</v>
      </c>
      <c r="T6806">
        <v>25</v>
      </c>
      <c r="U6806" s="2" t="s">
        <v>41241</v>
      </c>
      <c r="V6806" s="1">
        <v>45162</v>
      </c>
      <c r="W6806" t="s">
        <v>84</v>
      </c>
      <c r="X6806">
        <v>831612</v>
      </c>
      <c r="Y6806" t="s">
        <v>41242</v>
      </c>
      <c r="Z6806" t="e">
        <f ca="1">- replaced modules
- checked _xludf.and cleaned cartridge bay, plunger rod, _xludf.filter
- generated reports</f>
        <v>#NAME?</v>
      </c>
      <c r="AA6806" t="s">
        <v>41243</v>
      </c>
      <c r="AB6806" t="s">
        <v>88</v>
      </c>
      <c r="AD6806" s="2" t="s">
        <v>41244</v>
      </c>
      <c r="AE6806" t="s">
        <v>41245</v>
      </c>
      <c r="AG6806" t="s">
        <v>41246</v>
      </c>
      <c r="AH6806" t="s">
        <v>39272</v>
      </c>
      <c r="AI6806" t="s">
        <v>41247</v>
      </c>
    </row>
    <row r="6807" spans="2:35" ht="180">
      <c r="B6807" s="1">
        <v>45169</v>
      </c>
      <c r="C6807" s="4">
        <v>45169.50277777778</v>
      </c>
      <c r="D6807" t="s">
        <v>41248</v>
      </c>
      <c r="E6807" t="s">
        <v>41249</v>
      </c>
      <c r="F6807">
        <v>6</v>
      </c>
      <c r="G6807" t="s">
        <v>1286</v>
      </c>
      <c r="H6807" t="s">
        <v>22505</v>
      </c>
      <c r="I6807" t="s">
        <v>94</v>
      </c>
      <c r="J6807" t="s">
        <v>79</v>
      </c>
      <c r="K6807" t="s">
        <v>42</v>
      </c>
      <c r="L6807" t="s">
        <v>343</v>
      </c>
      <c r="Q6807">
        <v>25746</v>
      </c>
      <c r="R6807" t="s">
        <v>45</v>
      </c>
      <c r="S6807" t="s">
        <v>41250</v>
      </c>
      <c r="T6807">
        <v>22</v>
      </c>
      <c r="U6807" s="2" t="s">
        <v>41251</v>
      </c>
      <c r="V6807" s="1">
        <v>45169</v>
      </c>
      <c r="W6807" t="s">
        <v>84</v>
      </c>
      <c r="X6807">
        <v>838200</v>
      </c>
      <c r="Y6807" t="s">
        <v>41252</v>
      </c>
      <c r="Z6807" t="s">
        <v>41253</v>
      </c>
      <c r="AA6807" t="e">
        <f ca="1">-module Replacement</f>
        <v>#NAME?</v>
      </c>
      <c r="AB6807" t="s">
        <v>9638</v>
      </c>
      <c r="AD6807" t="s">
        <v>31932</v>
      </c>
      <c r="AE6807" t="s">
        <v>45</v>
      </c>
      <c r="AG6807" t="s">
        <v>41254</v>
      </c>
      <c r="AH6807" t="s">
        <v>41255</v>
      </c>
      <c r="AI6807" t="s">
        <v>41256</v>
      </c>
    </row>
    <row r="6808" spans="2:35" ht="210">
      <c r="B6808" s="1">
        <v>45169</v>
      </c>
      <c r="C6808" s="4">
        <v>45169.486111111109</v>
      </c>
      <c r="D6808" t="s">
        <v>1515</v>
      </c>
      <c r="E6808" t="s">
        <v>29024</v>
      </c>
      <c r="F6808" t="s">
        <v>37</v>
      </c>
      <c r="G6808" t="s">
        <v>38</v>
      </c>
      <c r="H6808" t="s">
        <v>39</v>
      </c>
      <c r="I6808" t="s">
        <v>40</v>
      </c>
      <c r="J6808" s="2" t="s">
        <v>190</v>
      </c>
      <c r="K6808" t="s">
        <v>42</v>
      </c>
      <c r="L6808" t="s">
        <v>43</v>
      </c>
      <c r="Q6808">
        <v>25745</v>
      </c>
      <c r="R6808" t="s">
        <v>119</v>
      </c>
      <c r="S6808" t="s">
        <v>29025</v>
      </c>
      <c r="T6808">
        <v>25</v>
      </c>
      <c r="U6808" s="2" t="s">
        <v>41257</v>
      </c>
      <c r="W6808" t="s">
        <v>9792</v>
      </c>
      <c r="X6808">
        <v>821215</v>
      </c>
      <c r="Y6808" s="2" t="s">
        <v>41258</v>
      </c>
      <c r="Z6808" t="s">
        <v>122</v>
      </c>
      <c r="AA6808" s="2" t="s">
        <v>33688</v>
      </c>
      <c r="AB6808" t="s">
        <v>41259</v>
      </c>
      <c r="AG6808" t="s">
        <v>41260</v>
      </c>
      <c r="AH6808" t="s">
        <v>29027</v>
      </c>
      <c r="AI6808" t="s">
        <v>41261</v>
      </c>
    </row>
    <row r="6809" spans="2:35" ht="105">
      <c r="B6809" s="1">
        <v>45169</v>
      </c>
      <c r="C6809" s="4">
        <v>44561.456944444442</v>
      </c>
      <c r="D6809" t="s">
        <v>41262</v>
      </c>
      <c r="E6809" t="s">
        <v>41263</v>
      </c>
      <c r="F6809">
        <v>11</v>
      </c>
      <c r="G6809" t="s">
        <v>201</v>
      </c>
      <c r="H6809" t="s">
        <v>202</v>
      </c>
      <c r="I6809" t="s">
        <v>40</v>
      </c>
      <c r="J6809" t="s">
        <v>79</v>
      </c>
      <c r="K6809" t="s">
        <v>42</v>
      </c>
      <c r="L6809" t="s">
        <v>204</v>
      </c>
      <c r="Q6809">
        <v>25744</v>
      </c>
      <c r="R6809" t="s">
        <v>45</v>
      </c>
      <c r="S6809" t="s">
        <v>41264</v>
      </c>
      <c r="T6809">
        <v>25.6</v>
      </c>
      <c r="U6809" s="2" t="s">
        <v>5469</v>
      </c>
      <c r="W6809" t="s">
        <v>23237</v>
      </c>
      <c r="X6809">
        <v>807432</v>
      </c>
      <c r="Y6809" t="s">
        <v>41265</v>
      </c>
      <c r="Z6809" t="s">
        <v>41266</v>
      </c>
      <c r="AA6809" t="s">
        <v>2551</v>
      </c>
      <c r="AB6809" t="s">
        <v>1211</v>
      </c>
      <c r="AG6809" t="s">
        <v>41267</v>
      </c>
      <c r="AH6809" t="s">
        <v>41268</v>
      </c>
      <c r="AI6809" t="s">
        <v>41269</v>
      </c>
    </row>
    <row r="6810" spans="2:35" ht="60">
      <c r="B6810" s="1">
        <v>45169</v>
      </c>
      <c r="C6810" s="4">
        <v>45169.45</v>
      </c>
      <c r="D6810" t="s">
        <v>6672</v>
      </c>
      <c r="E6810" t="s">
        <v>41126</v>
      </c>
      <c r="F6810">
        <v>8</v>
      </c>
      <c r="G6810" t="s">
        <v>1663</v>
      </c>
      <c r="H6810" t="s">
        <v>39</v>
      </c>
      <c r="I6810" t="s">
        <v>40</v>
      </c>
      <c r="J6810" s="2" t="s">
        <v>62</v>
      </c>
      <c r="K6810" t="s">
        <v>42</v>
      </c>
      <c r="L6810" t="s">
        <v>259</v>
      </c>
      <c r="Q6810">
        <v>25743</v>
      </c>
      <c r="R6810" t="s">
        <v>119</v>
      </c>
      <c r="S6810" t="s">
        <v>41127</v>
      </c>
      <c r="T6810">
        <v>27</v>
      </c>
      <c r="V6810" s="1">
        <v>45169</v>
      </c>
      <c r="W6810" t="s">
        <v>84</v>
      </c>
      <c r="X6810">
        <v>838202</v>
      </c>
      <c r="Y6810" t="s">
        <v>67</v>
      </c>
      <c r="Z6810" t="e">
        <f ca="1">- CALIBRATION
- Preventive Maintenance</f>
        <v>#NAME?</v>
      </c>
      <c r="AA6810" t="e">
        <f ca="1">- XpertCheck CALIBRATION
- Preventive Maintenance
- performed functionality test
- Generate reports</f>
        <v>#NAME?</v>
      </c>
      <c r="AB6810" t="s">
        <v>70</v>
      </c>
      <c r="AC6810" t="s">
        <v>5243</v>
      </c>
      <c r="AD6810" t="s">
        <v>948</v>
      </c>
      <c r="AE6810" t="s">
        <v>119</v>
      </c>
      <c r="AG6810" t="s">
        <v>41270</v>
      </c>
      <c r="AH6810" t="s">
        <v>41129</v>
      </c>
      <c r="AI6810" t="s">
        <v>41271</v>
      </c>
    </row>
    <row r="6811" spans="2:35" ht="150">
      <c r="B6811" s="1">
        <v>45169</v>
      </c>
      <c r="C6811" s="4">
        <v>45169.442361111112</v>
      </c>
      <c r="D6811" t="s">
        <v>2250</v>
      </c>
      <c r="E6811" t="s">
        <v>41272</v>
      </c>
      <c r="F6811" t="s">
        <v>37</v>
      </c>
      <c r="G6811" t="s">
        <v>189</v>
      </c>
      <c r="H6811" t="s">
        <v>39</v>
      </c>
      <c r="I6811" t="s">
        <v>40</v>
      </c>
      <c r="J6811" s="2" t="s">
        <v>41</v>
      </c>
      <c r="K6811" t="s">
        <v>42</v>
      </c>
      <c r="L6811" t="s">
        <v>1943</v>
      </c>
      <c r="Q6811">
        <v>25742</v>
      </c>
      <c r="R6811" t="s">
        <v>119</v>
      </c>
      <c r="S6811" t="s">
        <v>41273</v>
      </c>
      <c r="T6811">
        <v>25</v>
      </c>
      <c r="U6811" s="2" t="s">
        <v>11120</v>
      </c>
      <c r="V6811" s="1">
        <v>45163</v>
      </c>
      <c r="W6811" t="s">
        <v>84</v>
      </c>
      <c r="X6811">
        <v>820201</v>
      </c>
      <c r="Y6811" s="2" t="s">
        <v>25792</v>
      </c>
      <c r="Z6811" s="2" t="s">
        <v>33081</v>
      </c>
      <c r="AA6811" t="s">
        <v>22330</v>
      </c>
      <c r="AB6811" t="s">
        <v>88</v>
      </c>
      <c r="AD6811" t="s">
        <v>41274</v>
      </c>
      <c r="AE6811" t="s">
        <v>41275</v>
      </c>
      <c r="AG6811" t="s">
        <v>41276</v>
      </c>
      <c r="AH6811" t="s">
        <v>41277</v>
      </c>
      <c r="AI6811" t="s">
        <v>41278</v>
      </c>
    </row>
    <row r="6812" spans="2:35" ht="105">
      <c r="B6812" s="1">
        <v>45168</v>
      </c>
      <c r="C6812" s="4">
        <v>44925.671527777777</v>
      </c>
      <c r="D6812" t="s">
        <v>3076</v>
      </c>
      <c r="E6812" t="s">
        <v>41279</v>
      </c>
      <c r="F6812" t="s">
        <v>148</v>
      </c>
      <c r="G6812" t="s">
        <v>447</v>
      </c>
      <c r="H6812" t="s">
        <v>39</v>
      </c>
      <c r="I6812" t="s">
        <v>40</v>
      </c>
      <c r="J6812" s="2" t="s">
        <v>41</v>
      </c>
      <c r="K6812" t="s">
        <v>42</v>
      </c>
      <c r="L6812" t="s">
        <v>448</v>
      </c>
      <c r="Q6812">
        <v>25741</v>
      </c>
      <c r="R6812" t="s">
        <v>119</v>
      </c>
      <c r="S6812" t="s">
        <v>3078</v>
      </c>
      <c r="T6812">
        <v>29</v>
      </c>
      <c r="U6812" s="2" t="s">
        <v>41280</v>
      </c>
      <c r="V6812" s="1">
        <v>45163</v>
      </c>
      <c r="W6812" t="s">
        <v>360</v>
      </c>
      <c r="X6812">
        <v>831899</v>
      </c>
      <c r="Y6812" t="s">
        <v>41281</v>
      </c>
      <c r="Z6812" t="s">
        <v>41282</v>
      </c>
      <c r="AA6812" t="s">
        <v>20643</v>
      </c>
      <c r="AB6812" t="s">
        <v>486</v>
      </c>
      <c r="AD6812" t="s">
        <v>10783</v>
      </c>
      <c r="AE6812">
        <v>10601</v>
      </c>
      <c r="AG6812" t="s">
        <v>41283</v>
      </c>
      <c r="AH6812" t="s">
        <v>3084</v>
      </c>
      <c r="AI6812" t="s">
        <v>41284</v>
      </c>
    </row>
    <row r="6813" spans="2:35" ht="105">
      <c r="B6813" s="1">
        <v>45168</v>
      </c>
      <c r="C6813" s="4">
        <v>44925.671527777777</v>
      </c>
      <c r="D6813" t="s">
        <v>3076</v>
      </c>
      <c r="E6813" t="s">
        <v>41279</v>
      </c>
      <c r="F6813" t="s">
        <v>148</v>
      </c>
      <c r="G6813" t="s">
        <v>447</v>
      </c>
      <c r="H6813" t="s">
        <v>39</v>
      </c>
      <c r="I6813" t="s">
        <v>40</v>
      </c>
      <c r="J6813" s="2" t="s">
        <v>41</v>
      </c>
      <c r="K6813" t="s">
        <v>42</v>
      </c>
      <c r="L6813" t="s">
        <v>448</v>
      </c>
      <c r="Q6813">
        <v>25740</v>
      </c>
      <c r="R6813" t="s">
        <v>119</v>
      </c>
      <c r="S6813" t="s">
        <v>3078</v>
      </c>
      <c r="T6813">
        <v>29</v>
      </c>
      <c r="U6813" s="2" t="s">
        <v>41280</v>
      </c>
      <c r="V6813" s="1">
        <v>45163</v>
      </c>
      <c r="W6813" t="s">
        <v>360</v>
      </c>
      <c r="X6813">
        <v>831899</v>
      </c>
      <c r="Y6813" t="s">
        <v>41281</v>
      </c>
      <c r="Z6813" t="s">
        <v>41282</v>
      </c>
      <c r="AA6813" t="s">
        <v>20643</v>
      </c>
      <c r="AB6813" t="s">
        <v>486</v>
      </c>
      <c r="AD6813" t="s">
        <v>10783</v>
      </c>
      <c r="AE6813">
        <v>10601</v>
      </c>
      <c r="AG6813" t="s">
        <v>41285</v>
      </c>
      <c r="AH6813" t="s">
        <v>3084</v>
      </c>
      <c r="AI6813" t="s">
        <v>41286</v>
      </c>
    </row>
    <row r="6814" spans="2:35" ht="105">
      <c r="B6814" s="1">
        <v>45168</v>
      </c>
      <c r="C6814" s="4">
        <v>45168.671527777777</v>
      </c>
      <c r="D6814" t="s">
        <v>36337</v>
      </c>
      <c r="E6814" t="s">
        <v>41279</v>
      </c>
      <c r="F6814" t="s">
        <v>148</v>
      </c>
      <c r="G6814" t="s">
        <v>447</v>
      </c>
      <c r="H6814" t="s">
        <v>39</v>
      </c>
      <c r="I6814" t="s">
        <v>40</v>
      </c>
      <c r="J6814" s="2" t="s">
        <v>41</v>
      </c>
      <c r="K6814" t="s">
        <v>42</v>
      </c>
      <c r="L6814" t="s">
        <v>448</v>
      </c>
      <c r="Q6814">
        <v>25739</v>
      </c>
      <c r="R6814" t="s">
        <v>119</v>
      </c>
      <c r="S6814" t="s">
        <v>3078</v>
      </c>
      <c r="T6814">
        <v>29</v>
      </c>
      <c r="U6814" s="2" t="s">
        <v>41280</v>
      </c>
      <c r="V6814" s="1">
        <v>45163</v>
      </c>
      <c r="W6814" t="s">
        <v>360</v>
      </c>
      <c r="X6814">
        <v>831899</v>
      </c>
      <c r="Y6814" t="s">
        <v>41281</v>
      </c>
      <c r="Z6814" t="s">
        <v>41282</v>
      </c>
      <c r="AA6814" t="s">
        <v>20643</v>
      </c>
      <c r="AB6814" t="s">
        <v>486</v>
      </c>
      <c r="AD6814" t="s">
        <v>10783</v>
      </c>
      <c r="AE6814">
        <v>10601</v>
      </c>
      <c r="AG6814" t="s">
        <v>41287</v>
      </c>
      <c r="AH6814" t="s">
        <v>3084</v>
      </c>
      <c r="AI6814" t="s">
        <v>41288</v>
      </c>
    </row>
    <row r="6815" spans="2:35" ht="300">
      <c r="B6815" s="1">
        <v>45168</v>
      </c>
      <c r="C6815" s="4">
        <v>44560.478472222225</v>
      </c>
      <c r="D6815" t="s">
        <v>7522</v>
      </c>
      <c r="E6815" t="s">
        <v>7523</v>
      </c>
      <c r="F6815">
        <v>11</v>
      </c>
      <c r="G6815" t="s">
        <v>1759</v>
      </c>
      <c r="H6815" t="s">
        <v>202</v>
      </c>
      <c r="I6815" t="s">
        <v>40</v>
      </c>
      <c r="J6815" s="2" t="s">
        <v>62</v>
      </c>
      <c r="K6815" t="s">
        <v>42</v>
      </c>
      <c r="L6815" t="s">
        <v>204</v>
      </c>
      <c r="Q6815">
        <v>25738</v>
      </c>
      <c r="R6815" t="s">
        <v>119</v>
      </c>
      <c r="S6815" t="s">
        <v>7524</v>
      </c>
      <c r="T6815">
        <v>28.6</v>
      </c>
      <c r="U6815" s="2" t="s">
        <v>41289</v>
      </c>
      <c r="V6815" s="1">
        <v>45141</v>
      </c>
      <c r="W6815" t="s">
        <v>23237</v>
      </c>
      <c r="X6815">
        <v>838500</v>
      </c>
      <c r="Y6815" t="s">
        <v>1618</v>
      </c>
      <c r="Z6815" s="2" t="s">
        <v>41290</v>
      </c>
      <c r="AA6815" t="s">
        <v>1620</v>
      </c>
      <c r="AB6815" t="s">
        <v>19271</v>
      </c>
      <c r="AC6815" t="s">
        <v>41291</v>
      </c>
      <c r="AD6815" t="s">
        <v>5365</v>
      </c>
      <c r="AE6815" t="s">
        <v>41292</v>
      </c>
      <c r="AG6815" t="s">
        <v>41293</v>
      </c>
      <c r="AH6815" t="s">
        <v>20385</v>
      </c>
      <c r="AI6815" t="s">
        <v>41294</v>
      </c>
    </row>
    <row r="6816" spans="2:35" ht="285">
      <c r="B6816" s="1">
        <v>45168</v>
      </c>
      <c r="C6816" s="4">
        <v>45168.652083333334</v>
      </c>
      <c r="D6816" t="s">
        <v>1885</v>
      </c>
      <c r="E6816" t="s">
        <v>2136</v>
      </c>
      <c r="F6816" t="s">
        <v>1255</v>
      </c>
      <c r="G6816" t="s">
        <v>1887</v>
      </c>
      <c r="H6816" t="s">
        <v>608</v>
      </c>
      <c r="I6816" t="s">
        <v>94</v>
      </c>
      <c r="J6816" s="2" t="s">
        <v>41</v>
      </c>
      <c r="K6816" t="s">
        <v>42</v>
      </c>
      <c r="L6816" t="s">
        <v>296</v>
      </c>
      <c r="Q6816">
        <v>25737</v>
      </c>
      <c r="R6816" t="s">
        <v>45</v>
      </c>
      <c r="S6816" t="s">
        <v>23208</v>
      </c>
      <c r="T6816">
        <v>22.3</v>
      </c>
      <c r="U6816" s="2" t="s">
        <v>41295</v>
      </c>
      <c r="V6816" s="1">
        <v>45168</v>
      </c>
      <c r="W6816" t="s">
        <v>23049</v>
      </c>
      <c r="X6816">
        <v>807607</v>
      </c>
      <c r="Y6816" t="s">
        <v>41296</v>
      </c>
      <c r="Z6816" t="s">
        <v>9161</v>
      </c>
      <c r="AA6816" t="s">
        <v>41297</v>
      </c>
      <c r="AB6816" t="s">
        <v>972</v>
      </c>
      <c r="AD6816" t="s">
        <v>41298</v>
      </c>
      <c r="AE6816" t="s">
        <v>19700</v>
      </c>
      <c r="AG6816" t="s">
        <v>41299</v>
      </c>
      <c r="AH6816" t="s">
        <v>23213</v>
      </c>
      <c r="AI6816" t="s">
        <v>41300</v>
      </c>
    </row>
    <row r="6817" spans="2:35" ht="285">
      <c r="B6817" s="1">
        <v>45168</v>
      </c>
      <c r="C6817" s="4">
        <v>45168.647916666669</v>
      </c>
      <c r="D6817" t="s">
        <v>1885</v>
      </c>
      <c r="E6817" t="s">
        <v>2136</v>
      </c>
      <c r="F6817" t="s">
        <v>1255</v>
      </c>
      <c r="G6817" t="s">
        <v>1887</v>
      </c>
      <c r="H6817" t="s">
        <v>608</v>
      </c>
      <c r="I6817" t="s">
        <v>94</v>
      </c>
      <c r="J6817" s="2" t="s">
        <v>41</v>
      </c>
      <c r="K6817" t="s">
        <v>42</v>
      </c>
      <c r="L6817" t="s">
        <v>296</v>
      </c>
      <c r="Q6817">
        <v>25736</v>
      </c>
      <c r="R6817" t="s">
        <v>45</v>
      </c>
      <c r="S6817" t="s">
        <v>23208</v>
      </c>
      <c r="T6817">
        <v>22.1</v>
      </c>
      <c r="U6817" s="2" t="s">
        <v>41301</v>
      </c>
      <c r="V6817" s="1">
        <v>45168</v>
      </c>
      <c r="W6817" t="s">
        <v>23049</v>
      </c>
      <c r="X6817">
        <v>807463</v>
      </c>
      <c r="Y6817" s="2" t="s">
        <v>41302</v>
      </c>
      <c r="Z6817" t="s">
        <v>9161</v>
      </c>
      <c r="AA6817" s="2" t="s">
        <v>41303</v>
      </c>
      <c r="AB6817" t="s">
        <v>1480</v>
      </c>
      <c r="AD6817" t="s">
        <v>41304</v>
      </c>
      <c r="AE6817" t="s">
        <v>19700</v>
      </c>
      <c r="AG6817" t="s">
        <v>41305</v>
      </c>
      <c r="AH6817" t="s">
        <v>23213</v>
      </c>
      <c r="AI6817" t="s">
        <v>41306</v>
      </c>
    </row>
    <row r="6818" spans="2:35" ht="409.5">
      <c r="B6818" s="1">
        <v>45168</v>
      </c>
      <c r="C6818" s="4">
        <v>45168.602083333331</v>
      </c>
      <c r="D6818" t="s">
        <v>369</v>
      </c>
      <c r="E6818" t="s">
        <v>29199</v>
      </c>
      <c r="F6818" t="s">
        <v>148</v>
      </c>
      <c r="G6818" t="s">
        <v>371</v>
      </c>
      <c r="H6818" t="s">
        <v>61</v>
      </c>
      <c r="I6818" t="s">
        <v>40</v>
      </c>
      <c r="J6818" s="2" t="s">
        <v>41</v>
      </c>
      <c r="K6818" t="s">
        <v>42</v>
      </c>
      <c r="L6818" t="s">
        <v>175</v>
      </c>
      <c r="Q6818">
        <v>25735</v>
      </c>
      <c r="R6818" t="s">
        <v>45</v>
      </c>
      <c r="S6818" t="s">
        <v>40344</v>
      </c>
      <c r="T6818">
        <v>25</v>
      </c>
      <c r="U6818" s="2" t="s">
        <v>41307</v>
      </c>
      <c r="V6818" s="1">
        <v>45168</v>
      </c>
      <c r="W6818" t="s">
        <v>84</v>
      </c>
      <c r="X6818">
        <v>834432</v>
      </c>
      <c r="Y6818" t="s">
        <v>39546</v>
      </c>
      <c r="Z6818" t="e">
        <f ca="1">- replaced modules
- checked _xludf.and cleaned cartridge bay, plunger rod, _xludf.filter
- generated reports</f>
        <v>#NAME?</v>
      </c>
      <c r="AA6818" t="s">
        <v>41308</v>
      </c>
      <c r="AB6818" t="s">
        <v>88</v>
      </c>
      <c r="AD6818" s="2" t="s">
        <v>41309</v>
      </c>
      <c r="AE6818" t="s">
        <v>103</v>
      </c>
      <c r="AG6818" t="s">
        <v>41310</v>
      </c>
      <c r="AH6818" t="s">
        <v>40351</v>
      </c>
      <c r="AI6818" t="s">
        <v>41311</v>
      </c>
    </row>
    <row r="6819" spans="2:35" ht="255">
      <c r="B6819" s="1">
        <v>45168</v>
      </c>
      <c r="C6819" s="4">
        <v>45168.620138888888</v>
      </c>
      <c r="D6819" t="s">
        <v>1678</v>
      </c>
      <c r="E6819" t="s">
        <v>27130</v>
      </c>
      <c r="F6819" t="s">
        <v>148</v>
      </c>
      <c r="G6819" t="s">
        <v>785</v>
      </c>
      <c r="H6819" t="s">
        <v>39</v>
      </c>
      <c r="I6819" t="s">
        <v>40</v>
      </c>
      <c r="J6819" s="2" t="s">
        <v>190</v>
      </c>
      <c r="K6819" t="s">
        <v>42</v>
      </c>
      <c r="L6819" t="s">
        <v>43</v>
      </c>
      <c r="Q6819">
        <v>25734</v>
      </c>
      <c r="R6819" t="s">
        <v>719</v>
      </c>
      <c r="S6819" t="s">
        <v>18437</v>
      </c>
      <c r="T6819">
        <v>23</v>
      </c>
      <c r="U6819" s="2" t="s">
        <v>29753</v>
      </c>
      <c r="W6819" t="s">
        <v>9792</v>
      </c>
      <c r="X6819">
        <v>843924</v>
      </c>
      <c r="Y6819" s="2" t="s">
        <v>41312</v>
      </c>
      <c r="Z6819" t="s">
        <v>122</v>
      </c>
      <c r="AA6819" s="2" t="s">
        <v>41313</v>
      </c>
      <c r="AB6819" t="s">
        <v>41314</v>
      </c>
      <c r="AG6819" t="s">
        <v>41315</v>
      </c>
      <c r="AH6819" t="s">
        <v>14357</v>
      </c>
      <c r="AI6819" t="s">
        <v>41316</v>
      </c>
    </row>
    <row r="6820" spans="2:35" ht="105">
      <c r="B6820" s="1">
        <v>45168</v>
      </c>
      <c r="C6820" s="4">
        <v>45168.615972222222</v>
      </c>
      <c r="D6820" t="s">
        <v>23158</v>
      </c>
      <c r="E6820" t="s">
        <v>41317</v>
      </c>
      <c r="F6820">
        <v>6</v>
      </c>
      <c r="G6820" t="s">
        <v>1234</v>
      </c>
      <c r="H6820" t="s">
        <v>1047</v>
      </c>
      <c r="I6820" t="s">
        <v>94</v>
      </c>
      <c r="J6820" t="s">
        <v>79</v>
      </c>
      <c r="K6820" t="s">
        <v>42</v>
      </c>
      <c r="L6820" t="s">
        <v>23958</v>
      </c>
      <c r="Q6820">
        <v>25733</v>
      </c>
      <c r="R6820" t="s">
        <v>45</v>
      </c>
      <c r="S6820" t="s">
        <v>25372</v>
      </c>
      <c r="T6820">
        <v>4</v>
      </c>
      <c r="U6820" s="2" t="s">
        <v>25350</v>
      </c>
      <c r="W6820" t="s">
        <v>360</v>
      </c>
      <c r="X6820">
        <v>838141</v>
      </c>
      <c r="Y6820" t="s">
        <v>41318</v>
      </c>
      <c r="Z6820" t="s">
        <v>41319</v>
      </c>
      <c r="AA6820" t="s">
        <v>41320</v>
      </c>
      <c r="AB6820" t="s">
        <v>41321</v>
      </c>
      <c r="AG6820" t="s">
        <v>41322</v>
      </c>
      <c r="AH6820" t="s">
        <v>25377</v>
      </c>
      <c r="AI6820" t="s">
        <v>41323</v>
      </c>
    </row>
    <row r="6821" spans="2:35" ht="409.5">
      <c r="B6821" s="1">
        <v>45168</v>
      </c>
      <c r="C6821" s="4">
        <v>45167.692361111112</v>
      </c>
      <c r="D6821" t="s">
        <v>1885</v>
      </c>
      <c r="E6821" t="s">
        <v>2136</v>
      </c>
      <c r="F6821" t="s">
        <v>1255</v>
      </c>
      <c r="G6821" t="s">
        <v>1887</v>
      </c>
      <c r="H6821" t="s">
        <v>61</v>
      </c>
      <c r="I6821" t="s">
        <v>94</v>
      </c>
      <c r="J6821" s="2" t="s">
        <v>41</v>
      </c>
      <c r="K6821" t="s">
        <v>42</v>
      </c>
      <c r="L6821" t="s">
        <v>296</v>
      </c>
      <c r="Q6821">
        <v>25732</v>
      </c>
      <c r="R6821" t="s">
        <v>45</v>
      </c>
      <c r="S6821" t="s">
        <v>1888</v>
      </c>
      <c r="T6821">
        <v>25.6</v>
      </c>
      <c r="U6821" s="2" t="s">
        <v>41324</v>
      </c>
      <c r="V6821" s="1">
        <v>45167</v>
      </c>
      <c r="W6821" t="s">
        <v>23049</v>
      </c>
      <c r="X6821">
        <v>834441</v>
      </c>
      <c r="Y6821" t="s">
        <v>41325</v>
      </c>
      <c r="Z6821" t="s">
        <v>9161</v>
      </c>
      <c r="AA6821" s="2" t="s">
        <v>41326</v>
      </c>
      <c r="AB6821" t="s">
        <v>972</v>
      </c>
      <c r="AD6821" s="2" t="s">
        <v>41327</v>
      </c>
      <c r="AE6821" t="s">
        <v>19700</v>
      </c>
      <c r="AG6821" t="s">
        <v>41328</v>
      </c>
      <c r="AH6821" t="s">
        <v>28095</v>
      </c>
      <c r="AI6821" t="s">
        <v>41329</v>
      </c>
    </row>
    <row r="6822" spans="2:35" ht="105">
      <c r="B6822" s="1">
        <v>45168</v>
      </c>
      <c r="C6822" s="4">
        <v>45167.682638888888</v>
      </c>
      <c r="D6822" t="s">
        <v>1885</v>
      </c>
      <c r="E6822" t="s">
        <v>2136</v>
      </c>
      <c r="F6822" t="s">
        <v>1255</v>
      </c>
      <c r="G6822" t="s">
        <v>1887</v>
      </c>
      <c r="H6822" t="s">
        <v>61</v>
      </c>
      <c r="I6822" t="s">
        <v>94</v>
      </c>
      <c r="J6822" s="2" t="s">
        <v>62</v>
      </c>
      <c r="K6822" t="s">
        <v>42</v>
      </c>
      <c r="L6822" t="s">
        <v>296</v>
      </c>
      <c r="Q6822">
        <v>25731</v>
      </c>
      <c r="R6822" t="s">
        <v>119</v>
      </c>
      <c r="S6822" t="s">
        <v>1888</v>
      </c>
      <c r="T6822">
        <v>24.9</v>
      </c>
      <c r="U6822" s="2" t="s">
        <v>41324</v>
      </c>
      <c r="V6822" s="1">
        <v>45167</v>
      </c>
      <c r="W6822" t="s">
        <v>23049</v>
      </c>
      <c r="X6822">
        <v>837662</v>
      </c>
      <c r="Y6822" t="s">
        <v>41330</v>
      </c>
      <c r="Z6822" t="s">
        <v>9161</v>
      </c>
      <c r="AA6822" t="s">
        <v>41331</v>
      </c>
      <c r="AB6822" t="s">
        <v>972</v>
      </c>
      <c r="AC6822" t="s">
        <v>41332</v>
      </c>
      <c r="AD6822" t="s">
        <v>38010</v>
      </c>
      <c r="AE6822" t="s">
        <v>41333</v>
      </c>
      <c r="AG6822" t="s">
        <v>41334</v>
      </c>
      <c r="AH6822" t="s">
        <v>28095</v>
      </c>
      <c r="AI6822" t="s">
        <v>41335</v>
      </c>
    </row>
    <row r="6823" spans="2:35" ht="60">
      <c r="B6823" s="1">
        <v>45168</v>
      </c>
      <c r="C6823" s="4">
        <v>45168.577777777777</v>
      </c>
      <c r="D6823" t="s">
        <v>9469</v>
      </c>
      <c r="E6823" t="s">
        <v>41336</v>
      </c>
      <c r="F6823">
        <v>8</v>
      </c>
      <c r="G6823" t="s">
        <v>1663</v>
      </c>
      <c r="H6823" t="s">
        <v>39</v>
      </c>
      <c r="I6823" t="s">
        <v>40</v>
      </c>
      <c r="J6823" s="2" t="s">
        <v>62</v>
      </c>
      <c r="K6823" t="s">
        <v>42</v>
      </c>
      <c r="L6823" t="s">
        <v>259</v>
      </c>
      <c r="Q6823">
        <v>25730</v>
      </c>
      <c r="R6823" t="s">
        <v>119</v>
      </c>
      <c r="S6823" t="s">
        <v>9471</v>
      </c>
      <c r="T6823">
        <v>28</v>
      </c>
      <c r="U6823" s="2" t="s">
        <v>21798</v>
      </c>
      <c r="V6823" s="1">
        <v>45168</v>
      </c>
      <c r="W6823" t="s">
        <v>84</v>
      </c>
      <c r="X6823">
        <v>838498</v>
      </c>
      <c r="Y6823" t="s">
        <v>67</v>
      </c>
      <c r="Z6823" t="e">
        <f ca="1">- CALIBRATION</f>
        <v>#NAME?</v>
      </c>
      <c r="AA6823" t="e">
        <f ca="1">- XpertCheck CALIBRATION
- Preventive Maintenance
- performed functionality test
 - Generate reports</f>
        <v>#NAME?</v>
      </c>
      <c r="AB6823" t="s">
        <v>70</v>
      </c>
      <c r="AC6823" t="s">
        <v>41337</v>
      </c>
      <c r="AD6823" t="s">
        <v>948</v>
      </c>
      <c r="AE6823" t="s">
        <v>119</v>
      </c>
      <c r="AG6823" t="s">
        <v>41338</v>
      </c>
      <c r="AH6823" t="s">
        <v>41339</v>
      </c>
      <c r="AI6823" t="s">
        <v>41340</v>
      </c>
    </row>
    <row r="6824" spans="2:35" ht="240">
      <c r="B6824" s="1">
        <v>45168</v>
      </c>
      <c r="C6824" s="4">
        <v>45168.555555555555</v>
      </c>
      <c r="D6824" t="s">
        <v>1081</v>
      </c>
      <c r="E6824" t="s">
        <v>27369</v>
      </c>
      <c r="F6824" t="s">
        <v>148</v>
      </c>
      <c r="G6824" t="s">
        <v>785</v>
      </c>
      <c r="H6824" t="s">
        <v>1083</v>
      </c>
      <c r="I6824" t="s">
        <v>40</v>
      </c>
      <c r="J6824" t="s">
        <v>109</v>
      </c>
      <c r="K6824" t="s">
        <v>387</v>
      </c>
      <c r="L6824" t="s">
        <v>43</v>
      </c>
      <c r="Q6824">
        <v>25729</v>
      </c>
      <c r="R6824" t="s">
        <v>95</v>
      </c>
      <c r="S6824" t="s">
        <v>1084</v>
      </c>
      <c r="T6824">
        <v>24</v>
      </c>
      <c r="W6824" t="s">
        <v>390</v>
      </c>
      <c r="X6824" t="s">
        <v>5969</v>
      </c>
      <c r="Y6824" t="s">
        <v>121</v>
      </c>
      <c r="Z6824" t="s">
        <v>122</v>
      </c>
      <c r="AA6824" s="2" t="s">
        <v>41341</v>
      </c>
      <c r="AB6824" t="s">
        <v>88</v>
      </c>
      <c r="AG6824" t="s">
        <v>41342</v>
      </c>
      <c r="AH6824" t="s">
        <v>41343</v>
      </c>
      <c r="AI6824" t="s">
        <v>41344</v>
      </c>
    </row>
    <row r="6825" spans="2:35" ht="105">
      <c r="B6825" s="1">
        <v>45168</v>
      </c>
      <c r="C6825" s="4">
        <v>45168.522222222222</v>
      </c>
      <c r="D6825" t="s">
        <v>41345</v>
      </c>
      <c r="E6825" t="s">
        <v>41346</v>
      </c>
      <c r="F6825">
        <v>13</v>
      </c>
      <c r="G6825" t="s">
        <v>8524</v>
      </c>
      <c r="H6825" t="s">
        <v>2125</v>
      </c>
      <c r="I6825" t="s">
        <v>40</v>
      </c>
      <c r="J6825" t="s">
        <v>79</v>
      </c>
      <c r="K6825" t="s">
        <v>42</v>
      </c>
      <c r="L6825" t="s">
        <v>933</v>
      </c>
      <c r="Q6825">
        <v>25728</v>
      </c>
      <c r="R6825" t="s">
        <v>45</v>
      </c>
      <c r="S6825" t="s">
        <v>41347</v>
      </c>
      <c r="T6825">
        <v>25.75</v>
      </c>
      <c r="U6825" s="2" t="s">
        <v>41348</v>
      </c>
      <c r="W6825" t="s">
        <v>3662</v>
      </c>
      <c r="X6825">
        <v>838877</v>
      </c>
      <c r="Y6825" t="s">
        <v>41349</v>
      </c>
      <c r="Z6825" t="s">
        <v>301</v>
      </c>
      <c r="AA6825" t="s">
        <v>41350</v>
      </c>
      <c r="AB6825" t="s">
        <v>1263</v>
      </c>
      <c r="AG6825" t="s">
        <v>41351</v>
      </c>
      <c r="AH6825" t="s">
        <v>41352</v>
      </c>
      <c r="AI6825" t="s">
        <v>41353</v>
      </c>
    </row>
    <row r="6826" spans="2:35" ht="150">
      <c r="B6826" s="1">
        <v>45168</v>
      </c>
      <c r="C6826" s="4">
        <v>45168.500694444447</v>
      </c>
      <c r="D6826" t="s">
        <v>308</v>
      </c>
      <c r="E6826" t="s">
        <v>41354</v>
      </c>
      <c r="F6826" t="s">
        <v>148</v>
      </c>
      <c r="G6826" t="s">
        <v>310</v>
      </c>
      <c r="H6826" t="s">
        <v>39</v>
      </c>
      <c r="I6826" t="s">
        <v>40</v>
      </c>
      <c r="J6826" s="2" t="s">
        <v>41</v>
      </c>
      <c r="K6826" t="s">
        <v>42</v>
      </c>
      <c r="L6826" t="s">
        <v>1943</v>
      </c>
      <c r="Q6826">
        <v>25727</v>
      </c>
      <c r="R6826" t="s">
        <v>119</v>
      </c>
      <c r="S6826" t="s">
        <v>311</v>
      </c>
      <c r="T6826">
        <v>25</v>
      </c>
      <c r="U6826" s="2" t="s">
        <v>32977</v>
      </c>
      <c r="V6826" s="1">
        <v>45162</v>
      </c>
      <c r="W6826" t="s">
        <v>84</v>
      </c>
      <c r="X6826">
        <v>831534</v>
      </c>
      <c r="Y6826" s="2" t="s">
        <v>33800</v>
      </c>
      <c r="Z6826" s="2" t="s">
        <v>33081</v>
      </c>
      <c r="AA6826" t="s">
        <v>22330</v>
      </c>
      <c r="AB6826" t="s">
        <v>88</v>
      </c>
      <c r="AD6826" t="s">
        <v>41355</v>
      </c>
      <c r="AE6826" t="s">
        <v>41356</v>
      </c>
      <c r="AG6826" t="s">
        <v>41357</v>
      </c>
      <c r="AH6826" t="s">
        <v>317</v>
      </c>
      <c r="AI6826" t="s">
        <v>41358</v>
      </c>
    </row>
    <row r="6827" spans="2:35" ht="270">
      <c r="B6827" s="1">
        <v>45168</v>
      </c>
      <c r="C6827" s="4">
        <v>45168.480555555558</v>
      </c>
      <c r="D6827" t="s">
        <v>33579</v>
      </c>
      <c r="E6827" t="s">
        <v>2136</v>
      </c>
      <c r="F6827" t="s">
        <v>1255</v>
      </c>
      <c r="G6827" t="s">
        <v>1887</v>
      </c>
      <c r="H6827" t="s">
        <v>39</v>
      </c>
      <c r="I6827" t="s">
        <v>94</v>
      </c>
      <c r="J6827" s="2" t="s">
        <v>1592</v>
      </c>
      <c r="K6827" t="s">
        <v>42</v>
      </c>
      <c r="L6827" t="s">
        <v>296</v>
      </c>
      <c r="Q6827">
        <v>25726</v>
      </c>
      <c r="R6827" t="s">
        <v>45</v>
      </c>
      <c r="S6827" t="s">
        <v>33580</v>
      </c>
      <c r="T6827">
        <v>28.8</v>
      </c>
      <c r="U6827" s="2" t="s">
        <v>41359</v>
      </c>
      <c r="W6827" t="s">
        <v>23049</v>
      </c>
      <c r="X6827">
        <v>815277</v>
      </c>
      <c r="Y6827" s="2" t="s">
        <v>41360</v>
      </c>
      <c r="Z6827" t="s">
        <v>9161</v>
      </c>
      <c r="AA6827" s="2" t="s">
        <v>41361</v>
      </c>
      <c r="AB6827" t="s">
        <v>972</v>
      </c>
      <c r="AC6827" t="s">
        <v>7708</v>
      </c>
      <c r="AG6827" t="s">
        <v>41362</v>
      </c>
      <c r="AH6827" t="s">
        <v>41363</v>
      </c>
      <c r="AI6827" t="s">
        <v>41364</v>
      </c>
    </row>
    <row r="6828" spans="2:35" ht="105">
      <c r="B6828" s="1">
        <v>45168</v>
      </c>
      <c r="C6828" s="4">
        <v>45168.476388888892</v>
      </c>
      <c r="D6828" t="s">
        <v>12460</v>
      </c>
      <c r="E6828" t="s">
        <v>10197</v>
      </c>
      <c r="F6828">
        <v>6</v>
      </c>
      <c r="G6828" t="s">
        <v>1507</v>
      </c>
      <c r="H6828" t="s">
        <v>39</v>
      </c>
      <c r="I6828" t="s">
        <v>40</v>
      </c>
      <c r="J6828" s="2" t="s">
        <v>62</v>
      </c>
      <c r="K6828" t="s">
        <v>42</v>
      </c>
      <c r="L6828" t="s">
        <v>343</v>
      </c>
      <c r="Q6828">
        <v>25725</v>
      </c>
      <c r="R6828" t="s">
        <v>119</v>
      </c>
      <c r="S6828" t="s">
        <v>10198</v>
      </c>
      <c r="T6828">
        <v>26.7</v>
      </c>
      <c r="U6828" s="2" t="s">
        <v>3524</v>
      </c>
      <c r="V6828" s="1">
        <v>45134</v>
      </c>
      <c r="W6828" t="s">
        <v>84</v>
      </c>
      <c r="X6828">
        <v>838296</v>
      </c>
      <c r="Y6828" t="s">
        <v>3191</v>
      </c>
      <c r="Z6828" t="e">
        <f ca="1">-run XpertCheck on module B2 _xludf.and B4</f>
        <v>#NAME?</v>
      </c>
      <c r="AA6828" t="e">
        <f ca="1">-Preventive Maintenance
-XpertCheck CALIBRATION</f>
        <v>#NAME?</v>
      </c>
      <c r="AB6828" t="s">
        <v>9638</v>
      </c>
      <c r="AC6828" t="s">
        <v>41365</v>
      </c>
      <c r="AD6828" t="s">
        <v>39229</v>
      </c>
      <c r="AE6828">
        <v>10313</v>
      </c>
      <c r="AG6828" t="s">
        <v>41366</v>
      </c>
      <c r="AH6828" t="s">
        <v>19244</v>
      </c>
      <c r="AI6828" t="s">
        <v>41367</v>
      </c>
    </row>
    <row r="6829" spans="2:35" ht="330">
      <c r="B6829" s="1">
        <v>45168</v>
      </c>
      <c r="C6829" s="4">
        <v>45168.460416666669</v>
      </c>
      <c r="D6829" t="s">
        <v>1661</v>
      </c>
      <c r="E6829" t="s">
        <v>1662</v>
      </c>
      <c r="F6829">
        <v>8</v>
      </c>
      <c r="G6829" t="s">
        <v>1663</v>
      </c>
      <c r="H6829" t="s">
        <v>39</v>
      </c>
      <c r="I6829" t="s">
        <v>40</v>
      </c>
      <c r="J6829" s="2" t="s">
        <v>41</v>
      </c>
      <c r="K6829" t="s">
        <v>42</v>
      </c>
      <c r="L6829" t="s">
        <v>259</v>
      </c>
      <c r="Q6829">
        <v>25724</v>
      </c>
      <c r="R6829" t="s">
        <v>45</v>
      </c>
      <c r="S6829" t="s">
        <v>26127</v>
      </c>
      <c r="T6829">
        <v>28</v>
      </c>
      <c r="U6829" s="2" t="s">
        <v>41368</v>
      </c>
      <c r="V6829" s="1">
        <v>45168</v>
      </c>
      <c r="W6829" t="s">
        <v>84</v>
      </c>
      <c r="X6829">
        <v>807566</v>
      </c>
      <c r="Y6829" t="s">
        <v>41369</v>
      </c>
      <c r="Z6829" t="e">
        <f ca="1">- module Replacement
- Preventive Maintenance</f>
        <v>#NAME?</v>
      </c>
      <c r="AA6829" s="2" t="s">
        <v>41370</v>
      </c>
      <c r="AB6829" t="s">
        <v>70</v>
      </c>
      <c r="AD6829" t="s">
        <v>41371</v>
      </c>
      <c r="AE6829" t="s">
        <v>45</v>
      </c>
      <c r="AG6829" t="s">
        <v>41372</v>
      </c>
      <c r="AH6829" t="s">
        <v>26143</v>
      </c>
      <c r="AI6829" t="s">
        <v>41373</v>
      </c>
    </row>
    <row r="6830" spans="2:35" ht="150">
      <c r="B6830" s="1">
        <v>45168</v>
      </c>
      <c r="C6830" s="4">
        <v>45168.448611111111</v>
      </c>
      <c r="D6830" t="s">
        <v>26333</v>
      </c>
      <c r="E6830" t="s">
        <v>41374</v>
      </c>
      <c r="F6830" t="s">
        <v>148</v>
      </c>
      <c r="G6830" t="s">
        <v>310</v>
      </c>
      <c r="H6830" t="s">
        <v>39</v>
      </c>
      <c r="I6830" t="s">
        <v>40</v>
      </c>
      <c r="J6830" s="2" t="s">
        <v>41</v>
      </c>
      <c r="K6830" t="s">
        <v>42</v>
      </c>
      <c r="L6830" t="s">
        <v>1943</v>
      </c>
      <c r="Q6830">
        <v>25723</v>
      </c>
      <c r="R6830" t="s">
        <v>119</v>
      </c>
      <c r="S6830" t="s">
        <v>34255</v>
      </c>
      <c r="T6830">
        <v>25</v>
      </c>
      <c r="U6830" s="2" t="s">
        <v>12163</v>
      </c>
      <c r="V6830" s="1">
        <v>45163</v>
      </c>
      <c r="W6830" t="s">
        <v>84</v>
      </c>
      <c r="X6830">
        <v>831871</v>
      </c>
      <c r="Y6830" s="2" t="s">
        <v>37579</v>
      </c>
      <c r="Z6830" s="2" t="s">
        <v>33081</v>
      </c>
      <c r="AA6830" t="s">
        <v>22330</v>
      </c>
      <c r="AB6830" t="s">
        <v>88</v>
      </c>
      <c r="AD6830" t="s">
        <v>41375</v>
      </c>
      <c r="AE6830" t="s">
        <v>41376</v>
      </c>
      <c r="AG6830" t="s">
        <v>41377</v>
      </c>
      <c r="AH6830" t="s">
        <v>34262</v>
      </c>
      <c r="AI6830" t="s">
        <v>41378</v>
      </c>
    </row>
    <row r="6831" spans="2:35" ht="409.5">
      <c r="B6831" s="1">
        <v>45168</v>
      </c>
      <c r="C6831" s="4">
        <v>45168.456944444442</v>
      </c>
      <c r="D6831" t="s">
        <v>41379</v>
      </c>
      <c r="E6831" t="s">
        <v>27369</v>
      </c>
      <c r="F6831" t="s">
        <v>148</v>
      </c>
      <c r="G6831" t="s">
        <v>785</v>
      </c>
      <c r="H6831" t="s">
        <v>39</v>
      </c>
      <c r="I6831" t="s">
        <v>40</v>
      </c>
      <c r="J6831" t="s">
        <v>109</v>
      </c>
      <c r="K6831" t="s">
        <v>42</v>
      </c>
      <c r="L6831" t="s">
        <v>43</v>
      </c>
      <c r="Q6831">
        <v>25722</v>
      </c>
      <c r="R6831" t="s">
        <v>95</v>
      </c>
      <c r="S6831" t="s">
        <v>2016</v>
      </c>
      <c r="T6831">
        <v>27</v>
      </c>
      <c r="U6831" s="2" t="s">
        <v>41380</v>
      </c>
      <c r="W6831" t="s">
        <v>41381</v>
      </c>
      <c r="X6831">
        <v>802630</v>
      </c>
      <c r="Y6831" t="s">
        <v>121</v>
      </c>
      <c r="Z6831" t="s">
        <v>122</v>
      </c>
      <c r="AA6831" s="2" t="s">
        <v>33688</v>
      </c>
      <c r="AB6831" t="s">
        <v>27372</v>
      </c>
      <c r="AC6831" t="s">
        <v>41382</v>
      </c>
      <c r="AG6831" t="s">
        <v>41383</v>
      </c>
      <c r="AH6831" t="s">
        <v>14989</v>
      </c>
      <c r="AI6831" t="s">
        <v>41384</v>
      </c>
    </row>
    <row r="6832" spans="2:35" ht="165">
      <c r="B6832" s="1">
        <v>45168</v>
      </c>
      <c r="C6832" s="4">
        <v>45168.411111111112</v>
      </c>
      <c r="D6832" t="s">
        <v>8188</v>
      </c>
      <c r="E6832" t="s">
        <v>41385</v>
      </c>
      <c r="F6832" t="s">
        <v>1255</v>
      </c>
      <c r="G6832" t="s">
        <v>1887</v>
      </c>
      <c r="H6832" t="s">
        <v>39</v>
      </c>
      <c r="I6832" t="s">
        <v>94</v>
      </c>
      <c r="J6832" s="2" t="s">
        <v>62</v>
      </c>
      <c r="K6832" t="s">
        <v>42</v>
      </c>
      <c r="L6832" t="s">
        <v>296</v>
      </c>
      <c r="Q6832">
        <v>25721</v>
      </c>
      <c r="R6832" t="s">
        <v>119</v>
      </c>
      <c r="S6832" t="s">
        <v>8190</v>
      </c>
      <c r="T6832">
        <v>27.8</v>
      </c>
      <c r="U6832" s="2" t="s">
        <v>17628</v>
      </c>
      <c r="V6832" s="1">
        <v>45168</v>
      </c>
      <c r="W6832" t="s">
        <v>23049</v>
      </c>
      <c r="X6832">
        <v>837613</v>
      </c>
      <c r="Y6832" t="s">
        <v>54</v>
      </c>
      <c r="Z6832" t="s">
        <v>303</v>
      </c>
      <c r="AA6832" s="2" t="s">
        <v>41386</v>
      </c>
      <c r="AB6832" t="s">
        <v>972</v>
      </c>
      <c r="AC6832" t="s">
        <v>41387</v>
      </c>
      <c r="AD6832" t="s">
        <v>38010</v>
      </c>
      <c r="AE6832" t="s">
        <v>41388</v>
      </c>
      <c r="AG6832" t="s">
        <v>41389</v>
      </c>
      <c r="AH6832" t="s">
        <v>8194</v>
      </c>
      <c r="AI6832" t="s">
        <v>41390</v>
      </c>
    </row>
    <row r="6833" spans="2:35" ht="285">
      <c r="B6833" s="1">
        <v>45168</v>
      </c>
      <c r="C6833" s="4">
        <v>45168.400694444441</v>
      </c>
      <c r="D6833" t="s">
        <v>3103</v>
      </c>
      <c r="E6833" t="s">
        <v>3104</v>
      </c>
      <c r="F6833">
        <v>6</v>
      </c>
      <c r="G6833" t="s">
        <v>1507</v>
      </c>
      <c r="H6833" t="s">
        <v>22505</v>
      </c>
      <c r="I6833" t="s">
        <v>94</v>
      </c>
      <c r="J6833" s="2" t="s">
        <v>41</v>
      </c>
      <c r="K6833" t="s">
        <v>42</v>
      </c>
      <c r="L6833" t="s">
        <v>343</v>
      </c>
      <c r="Q6833">
        <v>25720</v>
      </c>
      <c r="R6833" t="s">
        <v>45</v>
      </c>
      <c r="S6833" t="s">
        <v>3105</v>
      </c>
      <c r="T6833">
        <v>22</v>
      </c>
      <c r="U6833" s="2" t="s">
        <v>41391</v>
      </c>
      <c r="V6833" s="1">
        <v>45168</v>
      </c>
      <c r="W6833" t="s">
        <v>84</v>
      </c>
      <c r="X6833">
        <v>805333</v>
      </c>
      <c r="Y6833" t="e">
        <f ca="1">-module B4 defective
-module B2 stuck cartridge</f>
        <v>#NAME?</v>
      </c>
      <c r="Z6833" s="2" t="s">
        <v>41392</v>
      </c>
      <c r="AA6833" t="e">
        <f ca="1">-module Replacement
-stuck cartridge Removal
-Preventive Maintenance</f>
        <v>#NAME?</v>
      </c>
      <c r="AB6833" t="s">
        <v>9638</v>
      </c>
      <c r="AD6833" t="s">
        <v>37980</v>
      </c>
      <c r="AE6833" t="s">
        <v>45</v>
      </c>
      <c r="AG6833" t="s">
        <v>41393</v>
      </c>
      <c r="AH6833" t="s">
        <v>41394</v>
      </c>
      <c r="AI6833" t="s">
        <v>41395</v>
      </c>
    </row>
    <row r="6834" spans="2:35" ht="409.5">
      <c r="B6834" s="1">
        <v>45168</v>
      </c>
      <c r="C6834" s="4">
        <v>45168.387499999997</v>
      </c>
      <c r="D6834" t="s">
        <v>23134</v>
      </c>
      <c r="E6834" t="s">
        <v>41396</v>
      </c>
      <c r="F6834" t="s">
        <v>148</v>
      </c>
      <c r="G6834" t="s">
        <v>310</v>
      </c>
      <c r="H6834" t="s">
        <v>41397</v>
      </c>
      <c r="I6834" t="s">
        <v>40</v>
      </c>
      <c r="J6834" s="2" t="s">
        <v>41</v>
      </c>
      <c r="K6834" t="s">
        <v>42</v>
      </c>
      <c r="L6834" t="s">
        <v>1943</v>
      </c>
      <c r="Q6834">
        <v>25719</v>
      </c>
      <c r="R6834" t="s">
        <v>45</v>
      </c>
      <c r="S6834" t="s">
        <v>23136</v>
      </c>
      <c r="T6834">
        <v>25</v>
      </c>
      <c r="U6834" s="2" t="s">
        <v>41398</v>
      </c>
      <c r="V6834" s="1">
        <v>45167</v>
      </c>
      <c r="W6834" t="s">
        <v>895</v>
      </c>
      <c r="X6834">
        <v>844121</v>
      </c>
      <c r="Y6834" s="2" t="s">
        <v>41399</v>
      </c>
      <c r="Z6834" s="2" t="s">
        <v>33081</v>
      </c>
      <c r="AA6834" t="s">
        <v>22330</v>
      </c>
      <c r="AB6834" t="s">
        <v>88</v>
      </c>
      <c r="AD6834" t="s">
        <v>41400</v>
      </c>
      <c r="AE6834" t="s">
        <v>41401</v>
      </c>
      <c r="AG6834" t="s">
        <v>41402</v>
      </c>
      <c r="AH6834" t="s">
        <v>41403</v>
      </c>
      <c r="AI6834" t="s">
        <v>41404</v>
      </c>
    </row>
    <row r="6835" spans="2:35" ht="315">
      <c r="B6835" s="1">
        <v>45168</v>
      </c>
      <c r="C6835" s="4">
        <v>44924.636111111111</v>
      </c>
      <c r="D6835" t="s">
        <v>1203</v>
      </c>
      <c r="E6835" t="s">
        <v>2547</v>
      </c>
      <c r="F6835">
        <v>11</v>
      </c>
      <c r="G6835" t="s">
        <v>1205</v>
      </c>
      <c r="H6835" t="s">
        <v>16893</v>
      </c>
      <c r="I6835" t="s">
        <v>40</v>
      </c>
      <c r="J6835" s="2" t="s">
        <v>190</v>
      </c>
      <c r="K6835" t="s">
        <v>42</v>
      </c>
      <c r="L6835" t="s">
        <v>204</v>
      </c>
      <c r="Q6835">
        <v>25718</v>
      </c>
      <c r="R6835" t="s">
        <v>322</v>
      </c>
      <c r="S6835" t="s">
        <v>1206</v>
      </c>
      <c r="T6835">
        <v>22.5</v>
      </c>
      <c r="U6835" s="2" t="s">
        <v>41405</v>
      </c>
      <c r="W6835" t="s">
        <v>23237</v>
      </c>
      <c r="X6835">
        <v>839152</v>
      </c>
      <c r="Y6835" t="s">
        <v>41406</v>
      </c>
      <c r="Z6835" s="2" t="s">
        <v>41407</v>
      </c>
      <c r="AA6835" t="s">
        <v>2924</v>
      </c>
      <c r="AB6835" s="2" t="s">
        <v>41408</v>
      </c>
      <c r="AC6835" t="s">
        <v>41409</v>
      </c>
      <c r="AG6835" t="s">
        <v>41410</v>
      </c>
      <c r="AH6835" t="s">
        <v>41411</v>
      </c>
      <c r="AI6835" t="s">
        <v>41412</v>
      </c>
    </row>
    <row r="6836" spans="2:35" ht="285">
      <c r="B6836" s="1">
        <v>45167</v>
      </c>
      <c r="C6836" s="4">
        <v>45167.575694444444</v>
      </c>
      <c r="D6836" t="s">
        <v>41413</v>
      </c>
      <c r="E6836" t="s">
        <v>41414</v>
      </c>
      <c r="F6836">
        <v>6</v>
      </c>
      <c r="G6836" t="s">
        <v>1507</v>
      </c>
      <c r="H6836" t="s">
        <v>39</v>
      </c>
      <c r="I6836" t="s">
        <v>40</v>
      </c>
      <c r="J6836" s="2" t="s">
        <v>62</v>
      </c>
      <c r="K6836" t="s">
        <v>42</v>
      </c>
      <c r="L6836" t="s">
        <v>343</v>
      </c>
      <c r="Q6836">
        <v>25717</v>
      </c>
      <c r="R6836" t="s">
        <v>119</v>
      </c>
      <c r="S6836" t="s">
        <v>41415</v>
      </c>
      <c r="T6836">
        <v>24.6</v>
      </c>
      <c r="U6836" s="2" t="s">
        <v>41416</v>
      </c>
      <c r="V6836" s="1">
        <v>45134</v>
      </c>
      <c r="W6836" t="s">
        <v>84</v>
      </c>
      <c r="X6836">
        <v>837615</v>
      </c>
      <c r="Y6836" t="s">
        <v>3191</v>
      </c>
      <c r="Z6836" t="e">
        <f ca="1">-run XpertCheck on ALL modules</f>
        <v>#NAME?</v>
      </c>
      <c r="AA6836" t="e">
        <f ca="1">-XpertCheck CALIBRATION
-Preventive Maintenance</f>
        <v>#NAME?</v>
      </c>
      <c r="AB6836" t="s">
        <v>9638</v>
      </c>
      <c r="AC6836" t="s">
        <v>41417</v>
      </c>
      <c r="AD6836" t="s">
        <v>39229</v>
      </c>
      <c r="AE6836">
        <v>10315</v>
      </c>
      <c r="AG6836" t="s">
        <v>41418</v>
      </c>
      <c r="AH6836" t="s">
        <v>41419</v>
      </c>
      <c r="AI6836" t="s">
        <v>41420</v>
      </c>
    </row>
    <row r="6837" spans="2:35" ht="105">
      <c r="B6837" s="1">
        <v>45167</v>
      </c>
      <c r="C6837" s="4">
        <v>45167.65</v>
      </c>
      <c r="D6837" t="s">
        <v>9682</v>
      </c>
      <c r="E6837" t="s">
        <v>10777</v>
      </c>
      <c r="F6837">
        <v>9</v>
      </c>
      <c r="G6837" t="s">
        <v>2197</v>
      </c>
      <c r="H6837" t="s">
        <v>39</v>
      </c>
      <c r="I6837" t="s">
        <v>40</v>
      </c>
      <c r="J6837" t="s">
        <v>79</v>
      </c>
      <c r="K6837" t="s">
        <v>42</v>
      </c>
      <c r="L6837" t="s">
        <v>1257</v>
      </c>
      <c r="Q6837">
        <v>25716</v>
      </c>
      <c r="R6837" t="s">
        <v>119</v>
      </c>
      <c r="S6837" t="s">
        <v>41421</v>
      </c>
      <c r="T6837">
        <v>26</v>
      </c>
      <c r="U6837" s="2" t="s">
        <v>41422</v>
      </c>
      <c r="V6837" s="1">
        <v>45167</v>
      </c>
      <c r="W6837" t="s">
        <v>6776</v>
      </c>
      <c r="X6837">
        <v>838568</v>
      </c>
      <c r="Y6837" t="s">
        <v>41423</v>
      </c>
      <c r="Z6837" t="s">
        <v>41424</v>
      </c>
      <c r="AA6837" t="s">
        <v>41424</v>
      </c>
      <c r="AB6837" t="s">
        <v>7411</v>
      </c>
      <c r="AC6837" t="s">
        <v>301</v>
      </c>
      <c r="AD6837" t="s">
        <v>54</v>
      </c>
      <c r="AE6837" t="s">
        <v>54</v>
      </c>
      <c r="AG6837" t="s">
        <v>41425</v>
      </c>
      <c r="AH6837" t="s">
        <v>41426</v>
      </c>
      <c r="AI6837" t="s">
        <v>41427</v>
      </c>
    </row>
    <row r="6838" spans="2:35" ht="240">
      <c r="B6838" s="1">
        <v>45167</v>
      </c>
      <c r="C6838" s="4">
        <v>45167.613194444442</v>
      </c>
      <c r="D6838" t="s">
        <v>23687</v>
      </c>
      <c r="E6838" t="s">
        <v>41428</v>
      </c>
      <c r="F6838">
        <v>3</v>
      </c>
      <c r="G6838" t="s">
        <v>1722</v>
      </c>
      <c r="H6838" t="s">
        <v>39</v>
      </c>
      <c r="I6838" t="s">
        <v>40</v>
      </c>
      <c r="J6838" s="2" t="s">
        <v>41</v>
      </c>
      <c r="K6838" t="s">
        <v>42</v>
      </c>
      <c r="L6838" t="s">
        <v>63</v>
      </c>
      <c r="Q6838">
        <v>25715</v>
      </c>
      <c r="R6838" t="s">
        <v>119</v>
      </c>
      <c r="S6838" t="s">
        <v>23689</v>
      </c>
      <c r="T6838">
        <v>29</v>
      </c>
      <c r="U6838" s="2" t="s">
        <v>41429</v>
      </c>
      <c r="V6838" s="1">
        <v>45162</v>
      </c>
      <c r="W6838" t="s">
        <v>26915</v>
      </c>
      <c r="X6838">
        <v>831592</v>
      </c>
      <c r="Y6838" t="s">
        <v>1716</v>
      </c>
      <c r="Z6838" t="s">
        <v>1716</v>
      </c>
      <c r="AA6838" s="2" t="s">
        <v>41430</v>
      </c>
      <c r="AB6838" t="s">
        <v>70</v>
      </c>
      <c r="AC6838" t="s">
        <v>41431</v>
      </c>
      <c r="AD6838" t="s">
        <v>41432</v>
      </c>
      <c r="AE6838">
        <v>10551</v>
      </c>
      <c r="AG6838" t="s">
        <v>41433</v>
      </c>
      <c r="AH6838" t="s">
        <v>23694</v>
      </c>
      <c r="AI6838" t="s">
        <v>41434</v>
      </c>
    </row>
    <row r="6839" spans="2:35" ht="105">
      <c r="B6839" s="1">
        <v>45167</v>
      </c>
      <c r="C6839" s="4">
        <v>45167.537499999999</v>
      </c>
      <c r="D6839" t="s">
        <v>41435</v>
      </c>
      <c r="E6839" t="s">
        <v>41436</v>
      </c>
      <c r="F6839">
        <v>7</v>
      </c>
      <c r="G6839" t="s">
        <v>432</v>
      </c>
      <c r="H6839" t="s">
        <v>39</v>
      </c>
      <c r="I6839" t="s">
        <v>94</v>
      </c>
      <c r="J6839" t="s">
        <v>109</v>
      </c>
      <c r="K6839" t="s">
        <v>42</v>
      </c>
      <c r="L6839" t="s">
        <v>594</v>
      </c>
      <c r="Q6839">
        <v>25714</v>
      </c>
      <c r="R6839" t="s">
        <v>719</v>
      </c>
      <c r="S6839" t="s">
        <v>720</v>
      </c>
      <c r="T6839">
        <v>23</v>
      </c>
      <c r="U6839" s="2" t="s">
        <v>41437</v>
      </c>
      <c r="V6839" s="1">
        <v>45162</v>
      </c>
      <c r="W6839" t="s">
        <v>360</v>
      </c>
      <c r="X6839">
        <v>847333</v>
      </c>
      <c r="Y6839" t="s">
        <v>4315</v>
      </c>
      <c r="Z6839" t="s">
        <v>41438</v>
      </c>
      <c r="AA6839" t="s">
        <v>13318</v>
      </c>
      <c r="AB6839" t="s">
        <v>9638</v>
      </c>
      <c r="AG6839" t="s">
        <v>41439</v>
      </c>
      <c r="AH6839" t="s">
        <v>41440</v>
      </c>
      <c r="AI6839" t="s">
        <v>41441</v>
      </c>
    </row>
    <row r="6840" spans="2:35" ht="60">
      <c r="B6840" s="1">
        <v>45167</v>
      </c>
      <c r="C6840" s="4">
        <v>45167.520833333336</v>
      </c>
      <c r="D6840" t="s">
        <v>8654</v>
      </c>
      <c r="E6840" t="s">
        <v>8655</v>
      </c>
      <c r="F6840">
        <v>8</v>
      </c>
      <c r="G6840" t="s">
        <v>257</v>
      </c>
      <c r="H6840" t="s">
        <v>39</v>
      </c>
      <c r="I6840" t="s">
        <v>40</v>
      </c>
      <c r="J6840" s="2" t="s">
        <v>62</v>
      </c>
      <c r="K6840" t="s">
        <v>42</v>
      </c>
      <c r="L6840" t="s">
        <v>259</v>
      </c>
      <c r="Q6840">
        <v>25713</v>
      </c>
      <c r="R6840" t="s">
        <v>119</v>
      </c>
      <c r="S6840" t="s">
        <v>41442</v>
      </c>
      <c r="T6840">
        <v>28</v>
      </c>
      <c r="V6840" s="1">
        <v>45167</v>
      </c>
      <c r="W6840" t="s">
        <v>84</v>
      </c>
      <c r="X6840">
        <v>838409</v>
      </c>
      <c r="Y6840" t="s">
        <v>67</v>
      </c>
      <c r="Z6840" t="e">
        <f ca="1">- XpertCheck CALIBRATION</f>
        <v>#NAME?</v>
      </c>
      <c r="AA6840" t="e">
        <f ca="1">- performed XpertCheck CALIBRATION
- performed Preventive Maintenance
- Generate reports</f>
        <v>#NAME?</v>
      </c>
      <c r="AB6840" t="s">
        <v>70</v>
      </c>
      <c r="AC6840" t="e">
        <f ca="1">- module B1 Retry _xludf.and service required</f>
        <v>#NAME?</v>
      </c>
      <c r="AD6840" t="s">
        <v>948</v>
      </c>
      <c r="AE6840" t="s">
        <v>119</v>
      </c>
      <c r="AG6840" t="s">
        <v>41443</v>
      </c>
      <c r="AH6840" t="s">
        <v>30851</v>
      </c>
      <c r="AI6840" t="s">
        <v>41444</v>
      </c>
    </row>
    <row r="6841" spans="2:35" ht="180">
      <c r="B6841" s="1">
        <v>45167</v>
      </c>
      <c r="C6841" s="4">
        <v>45167.502083333333</v>
      </c>
      <c r="D6841" t="s">
        <v>7761</v>
      </c>
      <c r="E6841" t="s">
        <v>10602</v>
      </c>
      <c r="F6841">
        <v>13</v>
      </c>
      <c r="G6841" t="s">
        <v>7763</v>
      </c>
      <c r="H6841" t="s">
        <v>2125</v>
      </c>
      <c r="I6841" t="s">
        <v>40</v>
      </c>
      <c r="J6841" s="2" t="s">
        <v>62</v>
      </c>
      <c r="K6841" t="s">
        <v>42</v>
      </c>
      <c r="L6841" t="s">
        <v>933</v>
      </c>
      <c r="Q6841">
        <v>25712</v>
      </c>
      <c r="R6841" t="s">
        <v>119</v>
      </c>
      <c r="S6841" t="s">
        <v>10603</v>
      </c>
      <c r="T6841">
        <v>27</v>
      </c>
      <c r="U6841" s="2" t="s">
        <v>41445</v>
      </c>
      <c r="V6841" s="1">
        <v>45139</v>
      </c>
      <c r="W6841" t="s">
        <v>3662</v>
      </c>
      <c r="X6841">
        <v>838275</v>
      </c>
      <c r="Y6841" t="s">
        <v>41446</v>
      </c>
      <c r="Z6841" t="s">
        <v>41447</v>
      </c>
      <c r="AA6841" s="2" t="s">
        <v>41448</v>
      </c>
      <c r="AB6841" t="s">
        <v>13650</v>
      </c>
      <c r="AC6841" t="s">
        <v>41449</v>
      </c>
      <c r="AD6841" t="s">
        <v>5323</v>
      </c>
      <c r="AE6841">
        <v>10392</v>
      </c>
      <c r="AG6841" t="s">
        <v>41450</v>
      </c>
      <c r="AH6841" t="s">
        <v>26944</v>
      </c>
      <c r="AI6841" t="s">
        <v>41451</v>
      </c>
    </row>
    <row r="6842" spans="2:35" ht="210">
      <c r="B6842" s="1">
        <v>45167</v>
      </c>
      <c r="C6842" s="4">
        <v>45167.431250000001</v>
      </c>
      <c r="D6842" t="s">
        <v>41452</v>
      </c>
      <c r="E6842" t="s">
        <v>41453</v>
      </c>
      <c r="F6842">
        <v>3</v>
      </c>
      <c r="G6842" t="s">
        <v>730</v>
      </c>
      <c r="H6842" t="s">
        <v>39</v>
      </c>
      <c r="I6842" t="s">
        <v>40</v>
      </c>
      <c r="J6842" s="2" t="s">
        <v>190</v>
      </c>
      <c r="K6842" t="s">
        <v>42</v>
      </c>
      <c r="L6842" t="s">
        <v>135</v>
      </c>
      <c r="Q6842">
        <v>25711</v>
      </c>
      <c r="R6842" t="s">
        <v>45</v>
      </c>
      <c r="S6842" t="s">
        <v>32531</v>
      </c>
      <c r="T6842">
        <v>25</v>
      </c>
      <c r="U6842" s="2" t="s">
        <v>1509</v>
      </c>
      <c r="W6842" t="s">
        <v>2680</v>
      </c>
      <c r="X6842">
        <v>812792</v>
      </c>
      <c r="Y6842" s="2" t="s">
        <v>41454</v>
      </c>
      <c r="Z6842" t="s">
        <v>41455</v>
      </c>
      <c r="AA6842" s="2" t="s">
        <v>41456</v>
      </c>
      <c r="AB6842" t="s">
        <v>41457</v>
      </c>
      <c r="AC6842" t="s">
        <v>41458</v>
      </c>
      <c r="AG6842" t="s">
        <v>41459</v>
      </c>
      <c r="AH6842" t="s">
        <v>32535</v>
      </c>
      <c r="AI6842" t="s">
        <v>41460</v>
      </c>
    </row>
    <row r="6843" spans="2:35" ht="150">
      <c r="B6843" s="1">
        <v>45167</v>
      </c>
      <c r="C6843" s="4">
        <v>45162.415972222225</v>
      </c>
      <c r="D6843" t="s">
        <v>1825</v>
      </c>
      <c r="E6843" t="s">
        <v>1555</v>
      </c>
      <c r="F6843">
        <v>7</v>
      </c>
      <c r="G6843" t="s">
        <v>432</v>
      </c>
      <c r="H6843" t="s">
        <v>39</v>
      </c>
      <c r="I6843" t="s">
        <v>40</v>
      </c>
      <c r="J6843" s="2" t="s">
        <v>41461</v>
      </c>
      <c r="K6843" t="s">
        <v>42</v>
      </c>
      <c r="L6843" t="s">
        <v>433</v>
      </c>
      <c r="Q6843">
        <v>25710</v>
      </c>
      <c r="R6843" t="s">
        <v>45</v>
      </c>
      <c r="S6843" t="s">
        <v>1818</v>
      </c>
      <c r="T6843">
        <v>26</v>
      </c>
      <c r="W6843" t="s">
        <v>502</v>
      </c>
      <c r="X6843">
        <v>838882</v>
      </c>
      <c r="Y6843" t="s">
        <v>41462</v>
      </c>
      <c r="Z6843" t="s">
        <v>41463</v>
      </c>
      <c r="AA6843" t="s">
        <v>41463</v>
      </c>
      <c r="AB6843" t="s">
        <v>1011</v>
      </c>
      <c r="AG6843" t="s">
        <v>41464</v>
      </c>
      <c r="AH6843" t="s">
        <v>1823</v>
      </c>
      <c r="AI6843" t="s">
        <v>41465</v>
      </c>
    </row>
    <row r="6844" spans="2:35" ht="105">
      <c r="B6844" s="1">
        <v>45167</v>
      </c>
      <c r="C6844" s="4">
        <v>45161.410416666666</v>
      </c>
      <c r="D6844" t="s">
        <v>5546</v>
      </c>
      <c r="E6844" t="s">
        <v>1555</v>
      </c>
      <c r="F6844">
        <v>7</v>
      </c>
      <c r="G6844" t="s">
        <v>432</v>
      </c>
      <c r="H6844" t="s">
        <v>39</v>
      </c>
      <c r="I6844" t="s">
        <v>40</v>
      </c>
      <c r="J6844" s="2" t="s">
        <v>41466</v>
      </c>
      <c r="K6844" t="s">
        <v>42</v>
      </c>
      <c r="L6844" t="s">
        <v>433</v>
      </c>
      <c r="Q6844">
        <v>25709</v>
      </c>
      <c r="R6844" t="s">
        <v>45</v>
      </c>
      <c r="S6844" t="s">
        <v>5548</v>
      </c>
      <c r="T6844">
        <v>25</v>
      </c>
      <c r="W6844" t="s">
        <v>1008</v>
      </c>
      <c r="X6844">
        <v>808620</v>
      </c>
      <c r="Y6844" t="s">
        <v>41467</v>
      </c>
      <c r="Z6844" t="s">
        <v>41468</v>
      </c>
      <c r="AA6844" t="s">
        <v>41468</v>
      </c>
      <c r="AB6844" t="s">
        <v>2789</v>
      </c>
      <c r="AG6844" t="s">
        <v>41469</v>
      </c>
      <c r="AH6844" t="s">
        <v>7130</v>
      </c>
      <c r="AI6844" t="s">
        <v>41470</v>
      </c>
    </row>
    <row r="6845" spans="2:35" ht="180">
      <c r="B6845" s="1">
        <v>45167</v>
      </c>
      <c r="C6845" s="4">
        <v>45163.625</v>
      </c>
      <c r="D6845" t="s">
        <v>1107</v>
      </c>
      <c r="E6845" t="s">
        <v>41471</v>
      </c>
      <c r="F6845" t="s">
        <v>37</v>
      </c>
      <c r="G6845" t="s">
        <v>38</v>
      </c>
      <c r="H6845" t="s">
        <v>39</v>
      </c>
      <c r="I6845" t="s">
        <v>40</v>
      </c>
      <c r="J6845" s="2" t="s">
        <v>190</v>
      </c>
      <c r="K6845" t="s">
        <v>42</v>
      </c>
      <c r="L6845" t="s">
        <v>43</v>
      </c>
      <c r="Q6845">
        <v>25708</v>
      </c>
      <c r="R6845" t="s">
        <v>119</v>
      </c>
      <c r="S6845" t="s">
        <v>26768</v>
      </c>
      <c r="T6845">
        <v>25</v>
      </c>
      <c r="U6845" s="2" t="s">
        <v>5573</v>
      </c>
      <c r="W6845" t="s">
        <v>9792</v>
      </c>
      <c r="X6845">
        <v>819864</v>
      </c>
      <c r="Y6845" t="s">
        <v>41472</v>
      </c>
      <c r="Z6845" t="s">
        <v>41473</v>
      </c>
      <c r="AA6845" s="2" t="s">
        <v>41474</v>
      </c>
      <c r="AB6845" t="s">
        <v>41475</v>
      </c>
      <c r="AC6845" t="s">
        <v>41476</v>
      </c>
      <c r="AG6845" t="s">
        <v>41477</v>
      </c>
      <c r="AH6845" t="s">
        <v>34446</v>
      </c>
      <c r="AI6845" t="s">
        <v>41478</v>
      </c>
    </row>
    <row r="6846" spans="2:35" ht="390">
      <c r="B6846" s="1">
        <v>45167</v>
      </c>
      <c r="C6846" s="4">
        <v>45167.371527777781</v>
      </c>
      <c r="D6846" t="s">
        <v>24888</v>
      </c>
      <c r="E6846" t="s">
        <v>35126</v>
      </c>
      <c r="F6846">
        <v>3</v>
      </c>
      <c r="G6846" t="s">
        <v>730</v>
      </c>
      <c r="H6846" t="s">
        <v>39</v>
      </c>
      <c r="I6846" t="s">
        <v>40</v>
      </c>
      <c r="J6846" s="2" t="s">
        <v>41</v>
      </c>
      <c r="K6846" t="s">
        <v>42</v>
      </c>
      <c r="L6846" t="s">
        <v>135</v>
      </c>
      <c r="Q6846">
        <v>25707</v>
      </c>
      <c r="R6846" t="s">
        <v>119</v>
      </c>
      <c r="S6846" t="s">
        <v>24890</v>
      </c>
      <c r="T6846">
        <v>25</v>
      </c>
      <c r="U6846" s="2" t="s">
        <v>41479</v>
      </c>
      <c r="V6846" s="1">
        <v>45160</v>
      </c>
      <c r="W6846" t="s">
        <v>2680</v>
      </c>
      <c r="X6846">
        <v>831669</v>
      </c>
      <c r="Y6846" t="s">
        <v>41480</v>
      </c>
      <c r="Z6846" s="2" t="s">
        <v>29539</v>
      </c>
      <c r="AA6846" s="2" t="s">
        <v>41481</v>
      </c>
      <c r="AB6846" t="s">
        <v>9590</v>
      </c>
      <c r="AD6846" t="s">
        <v>41482</v>
      </c>
      <c r="AE6846" t="s">
        <v>41483</v>
      </c>
      <c r="AG6846" t="s">
        <v>41484</v>
      </c>
      <c r="AH6846" t="s">
        <v>27615</v>
      </c>
      <c r="AI6846" t="s">
        <v>41485</v>
      </c>
    </row>
    <row r="6847" spans="2:35" ht="409.5">
      <c r="B6847" s="1">
        <v>45166</v>
      </c>
      <c r="C6847" s="4">
        <v>45166.890277777777</v>
      </c>
      <c r="D6847" t="s">
        <v>3279</v>
      </c>
      <c r="E6847" t="s">
        <v>3280</v>
      </c>
      <c r="F6847">
        <v>3</v>
      </c>
      <c r="G6847" t="s">
        <v>1722</v>
      </c>
      <c r="H6847" t="s">
        <v>39</v>
      </c>
      <c r="I6847" t="s">
        <v>40</v>
      </c>
      <c r="J6847" s="2" t="s">
        <v>1157</v>
      </c>
      <c r="K6847" t="s">
        <v>42</v>
      </c>
      <c r="L6847" t="s">
        <v>135</v>
      </c>
      <c r="Q6847">
        <v>25706</v>
      </c>
      <c r="R6847" t="s">
        <v>119</v>
      </c>
      <c r="S6847" t="s">
        <v>3281</v>
      </c>
      <c r="T6847">
        <v>31</v>
      </c>
      <c r="U6847" s="2" t="s">
        <v>41486</v>
      </c>
      <c r="W6847" t="s">
        <v>2680</v>
      </c>
      <c r="X6847">
        <v>831672</v>
      </c>
      <c r="Y6847" s="2" t="s">
        <v>41487</v>
      </c>
      <c r="Z6847" s="2" t="s">
        <v>29789</v>
      </c>
      <c r="AA6847" s="2" t="s">
        <v>31375</v>
      </c>
      <c r="AB6847" t="s">
        <v>41488</v>
      </c>
      <c r="AC6847" t="s">
        <v>41489</v>
      </c>
      <c r="AG6847" t="s">
        <v>41490</v>
      </c>
      <c r="AH6847" t="s">
        <v>41491</v>
      </c>
      <c r="AI6847" t="s">
        <v>41492</v>
      </c>
    </row>
    <row r="6848" spans="2:35">
      <c r="B6848" s="1">
        <v>45165</v>
      </c>
      <c r="C6848" s="4">
        <v>44918.395833333336</v>
      </c>
      <c r="D6848" t="s">
        <v>1145</v>
      </c>
      <c r="E6848" t="s">
        <v>41493</v>
      </c>
      <c r="F6848" t="s">
        <v>148</v>
      </c>
      <c r="G6848" t="s">
        <v>447</v>
      </c>
      <c r="H6848" t="s">
        <v>386</v>
      </c>
      <c r="I6848" t="s">
        <v>40</v>
      </c>
      <c r="J6848" t="s">
        <v>109</v>
      </c>
      <c r="K6848" t="s">
        <v>387</v>
      </c>
      <c r="L6848" t="s">
        <v>448</v>
      </c>
      <c r="Q6848">
        <v>25705</v>
      </c>
      <c r="R6848" t="s">
        <v>322</v>
      </c>
      <c r="S6848" t="s">
        <v>41494</v>
      </c>
      <c r="T6848">
        <v>26</v>
      </c>
      <c r="W6848" t="s">
        <v>476</v>
      </c>
      <c r="X6848" t="s">
        <v>5005</v>
      </c>
      <c r="Y6848" t="s">
        <v>485</v>
      </c>
      <c r="Z6848" t="s">
        <v>41495</v>
      </c>
      <c r="AA6848" t="s">
        <v>6997</v>
      </c>
      <c r="AB6848" t="s">
        <v>486</v>
      </c>
      <c r="AG6848" t="s">
        <v>41496</v>
      </c>
      <c r="AH6848" t="s">
        <v>41497</v>
      </c>
      <c r="AI6848" t="s">
        <v>41498</v>
      </c>
    </row>
    <row r="6849" spans="2:35">
      <c r="B6849" s="1">
        <v>45165</v>
      </c>
      <c r="C6849" s="4">
        <v>44918.417361111111</v>
      </c>
      <c r="D6849" t="s">
        <v>1145</v>
      </c>
      <c r="E6849" t="s">
        <v>41499</v>
      </c>
      <c r="F6849" t="s">
        <v>148</v>
      </c>
      <c r="G6849" t="s">
        <v>447</v>
      </c>
      <c r="H6849" t="s">
        <v>386</v>
      </c>
      <c r="I6849" t="s">
        <v>40</v>
      </c>
      <c r="J6849" t="s">
        <v>109</v>
      </c>
      <c r="K6849" t="s">
        <v>387</v>
      </c>
      <c r="L6849" t="s">
        <v>448</v>
      </c>
      <c r="Q6849">
        <v>25704</v>
      </c>
      <c r="R6849" t="s">
        <v>322</v>
      </c>
      <c r="S6849" t="s">
        <v>41494</v>
      </c>
      <c r="T6849">
        <v>26</v>
      </c>
      <c r="W6849" t="s">
        <v>476</v>
      </c>
      <c r="X6849" t="s">
        <v>7383</v>
      </c>
      <c r="Y6849" t="s">
        <v>485</v>
      </c>
      <c r="Z6849" t="s">
        <v>41495</v>
      </c>
      <c r="AA6849" t="s">
        <v>6997</v>
      </c>
      <c r="AB6849" t="s">
        <v>486</v>
      </c>
      <c r="AG6849" t="s">
        <v>41500</v>
      </c>
      <c r="AH6849" t="s">
        <v>7392</v>
      </c>
      <c r="AI6849" t="s">
        <v>41501</v>
      </c>
    </row>
    <row r="6850" spans="2:35" ht="195">
      <c r="B6850" s="1">
        <v>45165</v>
      </c>
      <c r="C6850" s="4">
        <v>44918.429861111108</v>
      </c>
      <c r="D6850" t="s">
        <v>1145</v>
      </c>
      <c r="E6850" t="s">
        <v>41502</v>
      </c>
      <c r="F6850" t="s">
        <v>148</v>
      </c>
      <c r="G6850" t="s">
        <v>447</v>
      </c>
      <c r="H6850" t="s">
        <v>150</v>
      </c>
      <c r="I6850" t="s">
        <v>40</v>
      </c>
      <c r="J6850" t="s">
        <v>109</v>
      </c>
      <c r="K6850" t="s">
        <v>42</v>
      </c>
      <c r="L6850" t="s">
        <v>448</v>
      </c>
      <c r="Q6850">
        <v>25703</v>
      </c>
      <c r="R6850" t="s">
        <v>45</v>
      </c>
      <c r="S6850" t="s">
        <v>1147</v>
      </c>
      <c r="T6850">
        <v>28</v>
      </c>
      <c r="U6850" s="2" t="s">
        <v>41503</v>
      </c>
      <c r="W6850" t="s">
        <v>325</v>
      </c>
      <c r="X6850">
        <v>801080</v>
      </c>
      <c r="Y6850" t="s">
        <v>41504</v>
      </c>
      <c r="Z6850" t="s">
        <v>41505</v>
      </c>
      <c r="AA6850" t="s">
        <v>3589</v>
      </c>
      <c r="AB6850" t="s">
        <v>41506</v>
      </c>
      <c r="AG6850" t="s">
        <v>41507</v>
      </c>
      <c r="AH6850" t="s">
        <v>1153</v>
      </c>
      <c r="AI6850" t="s">
        <v>41508</v>
      </c>
    </row>
    <row r="6851" spans="2:35" ht="409.5">
      <c r="B6851" s="1">
        <v>45165</v>
      </c>
      <c r="C6851" s="4">
        <v>44919.582638888889</v>
      </c>
      <c r="D6851" t="s">
        <v>41509</v>
      </c>
      <c r="E6851" t="s">
        <v>33463</v>
      </c>
      <c r="F6851" t="s">
        <v>148</v>
      </c>
      <c r="G6851" t="s">
        <v>2007</v>
      </c>
      <c r="H6851" t="s">
        <v>662</v>
      </c>
      <c r="I6851" t="s">
        <v>40</v>
      </c>
      <c r="J6851" t="s">
        <v>79</v>
      </c>
      <c r="K6851" t="s">
        <v>42</v>
      </c>
      <c r="L6851" t="s">
        <v>448</v>
      </c>
      <c r="Q6851">
        <v>25702</v>
      </c>
      <c r="R6851" t="s">
        <v>95</v>
      </c>
      <c r="S6851" t="s">
        <v>4273</v>
      </c>
      <c r="T6851">
        <v>26</v>
      </c>
      <c r="U6851" s="2" t="s">
        <v>41510</v>
      </c>
      <c r="V6851" s="1">
        <v>45161</v>
      </c>
      <c r="W6851" t="s">
        <v>6504</v>
      </c>
      <c r="X6851">
        <v>110001647</v>
      </c>
      <c r="Y6851" t="s">
        <v>41511</v>
      </c>
      <c r="Z6851" t="s">
        <v>41512</v>
      </c>
      <c r="AA6851" t="s">
        <v>5712</v>
      </c>
      <c r="AB6851" t="s">
        <v>486</v>
      </c>
      <c r="AD6851" t="s">
        <v>41513</v>
      </c>
      <c r="AE6851">
        <v>10550</v>
      </c>
      <c r="AG6851" t="s">
        <v>41514</v>
      </c>
      <c r="AH6851" t="s">
        <v>7000</v>
      </c>
      <c r="AI6851" t="s">
        <v>41515</v>
      </c>
    </row>
    <row r="6852" spans="2:35" ht="105">
      <c r="B6852" s="1">
        <v>45165</v>
      </c>
      <c r="C6852" s="4">
        <v>44920.650694444441</v>
      </c>
      <c r="D6852" t="s">
        <v>41516</v>
      </c>
      <c r="E6852" t="s">
        <v>41517</v>
      </c>
      <c r="F6852" t="s">
        <v>37</v>
      </c>
      <c r="G6852" t="s">
        <v>38</v>
      </c>
      <c r="H6852" t="s">
        <v>39</v>
      </c>
      <c r="I6852" t="s">
        <v>40</v>
      </c>
      <c r="J6852" t="s">
        <v>109</v>
      </c>
      <c r="K6852" t="s">
        <v>42</v>
      </c>
      <c r="L6852" t="s">
        <v>448</v>
      </c>
      <c r="Q6852">
        <v>25701</v>
      </c>
      <c r="R6852" t="s">
        <v>119</v>
      </c>
      <c r="S6852" t="s">
        <v>41518</v>
      </c>
      <c r="T6852">
        <v>32</v>
      </c>
      <c r="U6852" s="2" t="s">
        <v>41519</v>
      </c>
      <c r="W6852" t="s">
        <v>360</v>
      </c>
      <c r="X6852">
        <v>831642</v>
      </c>
      <c r="Y6852" t="s">
        <v>2692</v>
      </c>
      <c r="Z6852" t="s">
        <v>40978</v>
      </c>
      <c r="AA6852" t="s">
        <v>6997</v>
      </c>
      <c r="AB6852" t="s">
        <v>486</v>
      </c>
      <c r="AG6852" t="s">
        <v>41520</v>
      </c>
      <c r="AH6852" t="s">
        <v>41521</v>
      </c>
      <c r="AI6852" t="s">
        <v>41522</v>
      </c>
    </row>
    <row r="6853" spans="2:35" ht="135">
      <c r="B6853" s="1">
        <v>45164</v>
      </c>
      <c r="C6853" s="4">
        <v>45163.540972222225</v>
      </c>
      <c r="D6853" t="s">
        <v>9886</v>
      </c>
      <c r="E6853" t="s">
        <v>41523</v>
      </c>
      <c r="F6853">
        <v>12</v>
      </c>
      <c r="G6853" t="s">
        <v>5785</v>
      </c>
      <c r="H6853" t="s">
        <v>39</v>
      </c>
      <c r="I6853" t="s">
        <v>94</v>
      </c>
      <c r="J6853" s="2" t="s">
        <v>41524</v>
      </c>
      <c r="K6853" t="s">
        <v>42</v>
      </c>
      <c r="L6853" t="s">
        <v>296</v>
      </c>
      <c r="Q6853">
        <v>25700</v>
      </c>
      <c r="R6853" t="s">
        <v>119</v>
      </c>
      <c r="S6853" t="s">
        <v>9888</v>
      </c>
      <c r="T6853">
        <v>28</v>
      </c>
      <c r="U6853" s="2" t="s">
        <v>19504</v>
      </c>
      <c r="W6853" t="s">
        <v>23049</v>
      </c>
      <c r="X6853">
        <v>838419</v>
      </c>
      <c r="Y6853" t="s">
        <v>54</v>
      </c>
      <c r="Z6853" t="s">
        <v>41525</v>
      </c>
      <c r="AA6853" t="s">
        <v>41526</v>
      </c>
      <c r="AB6853" t="s">
        <v>972</v>
      </c>
      <c r="AG6853" t="s">
        <v>41527</v>
      </c>
      <c r="AH6853" t="s">
        <v>9892</v>
      </c>
      <c r="AI6853" t="s">
        <v>41528</v>
      </c>
    </row>
    <row r="6854" spans="2:35" ht="409.5">
      <c r="B6854" s="1">
        <v>45163</v>
      </c>
      <c r="C6854" s="4">
        <v>44919.481944444444</v>
      </c>
      <c r="D6854" t="s">
        <v>41529</v>
      </c>
      <c r="E6854" t="s">
        <v>41530</v>
      </c>
      <c r="F6854" t="s">
        <v>148</v>
      </c>
      <c r="G6854" t="s">
        <v>406</v>
      </c>
      <c r="H6854" t="s">
        <v>2570</v>
      </c>
      <c r="I6854" t="s">
        <v>94</v>
      </c>
      <c r="J6854" s="2" t="s">
        <v>41</v>
      </c>
      <c r="K6854" t="s">
        <v>42</v>
      </c>
      <c r="L6854" t="s">
        <v>448</v>
      </c>
      <c r="Q6854">
        <v>25699</v>
      </c>
      <c r="R6854" t="s">
        <v>95</v>
      </c>
      <c r="S6854" t="s">
        <v>1091</v>
      </c>
      <c r="T6854">
        <v>26</v>
      </c>
      <c r="U6854" s="2" t="s">
        <v>41531</v>
      </c>
      <c r="V6854" s="1">
        <v>45156</v>
      </c>
      <c r="W6854" t="s">
        <v>360</v>
      </c>
      <c r="X6854">
        <v>839231</v>
      </c>
      <c r="Y6854" t="s">
        <v>41532</v>
      </c>
      <c r="Z6854" t="s">
        <v>41282</v>
      </c>
      <c r="AA6854" t="s">
        <v>20643</v>
      </c>
      <c r="AB6854" t="s">
        <v>41533</v>
      </c>
      <c r="AD6854" t="s">
        <v>19700</v>
      </c>
      <c r="AE6854">
        <v>96151</v>
      </c>
      <c r="AG6854" t="s">
        <v>41534</v>
      </c>
      <c r="AH6854" t="s">
        <v>41535</v>
      </c>
      <c r="AI6854" t="s">
        <v>41536</v>
      </c>
    </row>
    <row r="6855" spans="2:35" ht="345">
      <c r="B6855" s="1">
        <v>45163</v>
      </c>
      <c r="C6855" s="4">
        <v>45163.59097222222</v>
      </c>
      <c r="D6855" t="s">
        <v>2408</v>
      </c>
      <c r="E6855" t="s">
        <v>41537</v>
      </c>
      <c r="F6855">
        <v>3</v>
      </c>
      <c r="G6855" t="s">
        <v>730</v>
      </c>
      <c r="H6855" t="s">
        <v>39</v>
      </c>
      <c r="I6855" t="s">
        <v>40</v>
      </c>
      <c r="J6855" s="2" t="s">
        <v>190</v>
      </c>
      <c r="K6855" t="s">
        <v>42</v>
      </c>
      <c r="L6855" t="s">
        <v>135</v>
      </c>
      <c r="Q6855">
        <v>25698</v>
      </c>
      <c r="R6855" t="s">
        <v>45</v>
      </c>
      <c r="S6855" t="s">
        <v>2410</v>
      </c>
      <c r="T6855">
        <v>28</v>
      </c>
      <c r="U6855" s="2" t="s">
        <v>41538</v>
      </c>
      <c r="W6855" t="s">
        <v>2680</v>
      </c>
      <c r="X6855">
        <v>807562</v>
      </c>
      <c r="Y6855" t="s">
        <v>41539</v>
      </c>
      <c r="Z6855" s="2" t="s">
        <v>29848</v>
      </c>
      <c r="AA6855" s="2" t="s">
        <v>41540</v>
      </c>
      <c r="AB6855" t="s">
        <v>181</v>
      </c>
      <c r="AG6855" t="s">
        <v>41541</v>
      </c>
      <c r="AH6855" t="s">
        <v>38459</v>
      </c>
      <c r="AI6855" t="s">
        <v>41542</v>
      </c>
    </row>
    <row r="6856" spans="2:35" ht="409.5">
      <c r="B6856" s="1">
        <v>45163</v>
      </c>
      <c r="C6856" s="4">
        <v>44555.532638888886</v>
      </c>
      <c r="D6856" t="s">
        <v>31363</v>
      </c>
      <c r="E6856" t="s">
        <v>41543</v>
      </c>
      <c r="F6856">
        <v>11</v>
      </c>
      <c r="G6856" t="s">
        <v>1205</v>
      </c>
      <c r="H6856" t="s">
        <v>202</v>
      </c>
      <c r="I6856" t="s">
        <v>40</v>
      </c>
      <c r="J6856" t="s">
        <v>79</v>
      </c>
      <c r="K6856" t="s">
        <v>42</v>
      </c>
      <c r="L6856" t="s">
        <v>204</v>
      </c>
      <c r="Q6856">
        <v>25697</v>
      </c>
      <c r="R6856" t="s">
        <v>45</v>
      </c>
      <c r="S6856" t="s">
        <v>31365</v>
      </c>
      <c r="T6856">
        <v>25.5</v>
      </c>
      <c r="U6856" s="2" t="s">
        <v>41544</v>
      </c>
      <c r="W6856" t="s">
        <v>23237</v>
      </c>
      <c r="X6856">
        <v>807464</v>
      </c>
      <c r="Y6856" t="s">
        <v>2034</v>
      </c>
      <c r="Z6856" s="2" t="s">
        <v>41545</v>
      </c>
      <c r="AA6856" t="s">
        <v>10252</v>
      </c>
      <c r="AB6856" t="s">
        <v>1211</v>
      </c>
      <c r="AG6856" t="s">
        <v>41546</v>
      </c>
      <c r="AH6856" t="s">
        <v>32449</v>
      </c>
      <c r="AI6856" t="s">
        <v>41547</v>
      </c>
    </row>
    <row r="6857" spans="2:35" ht="270">
      <c r="B6857" s="1">
        <v>45163</v>
      </c>
      <c r="C6857" s="4">
        <v>45163.541666666664</v>
      </c>
      <c r="D6857" t="s">
        <v>620</v>
      </c>
      <c r="E6857" t="s">
        <v>41548</v>
      </c>
      <c r="F6857" t="s">
        <v>148</v>
      </c>
      <c r="G6857" t="s">
        <v>447</v>
      </c>
      <c r="H6857" t="s">
        <v>39</v>
      </c>
      <c r="I6857" t="s">
        <v>40</v>
      </c>
      <c r="J6857" s="2" t="s">
        <v>190</v>
      </c>
      <c r="K6857" t="s">
        <v>42</v>
      </c>
      <c r="L6857" t="s">
        <v>15532</v>
      </c>
      <c r="Q6857">
        <v>25696</v>
      </c>
      <c r="R6857" t="s">
        <v>119</v>
      </c>
      <c r="S6857" t="s">
        <v>24896</v>
      </c>
      <c r="T6857">
        <v>29</v>
      </c>
      <c r="U6857" s="2" t="s">
        <v>41549</v>
      </c>
      <c r="W6857" t="s">
        <v>3244</v>
      </c>
      <c r="X6857">
        <v>831876</v>
      </c>
      <c r="Y6857" t="s">
        <v>41550</v>
      </c>
      <c r="Z6857" s="2" t="s">
        <v>41551</v>
      </c>
      <c r="AA6857" t="s">
        <v>41552</v>
      </c>
      <c r="AB6857" t="s">
        <v>181</v>
      </c>
      <c r="AG6857" t="s">
        <v>41553</v>
      </c>
      <c r="AH6857" t="s">
        <v>31514</v>
      </c>
      <c r="AI6857" t="s">
        <v>41554</v>
      </c>
    </row>
    <row r="6858" spans="2:35" ht="135">
      <c r="B6858" s="1">
        <v>45163</v>
      </c>
      <c r="C6858" s="4">
        <v>44918.694444444445</v>
      </c>
      <c r="D6858" t="s">
        <v>41555</v>
      </c>
      <c r="E6858" t="s">
        <v>839</v>
      </c>
      <c r="F6858">
        <v>5</v>
      </c>
      <c r="G6858" t="s">
        <v>839</v>
      </c>
      <c r="H6858" t="s">
        <v>39</v>
      </c>
      <c r="I6858" t="s">
        <v>40</v>
      </c>
      <c r="J6858" s="2" t="s">
        <v>1592</v>
      </c>
      <c r="K6858" t="s">
        <v>42</v>
      </c>
      <c r="L6858" t="s">
        <v>761</v>
      </c>
      <c r="Q6858">
        <v>25695</v>
      </c>
      <c r="R6858" t="s">
        <v>45</v>
      </c>
      <c r="S6858" t="s">
        <v>22523</v>
      </c>
      <c r="T6858">
        <v>29</v>
      </c>
      <c r="U6858" s="2" t="s">
        <v>41556</v>
      </c>
      <c r="W6858" t="s">
        <v>360</v>
      </c>
      <c r="X6858">
        <v>807601</v>
      </c>
      <c r="Y6858" t="s">
        <v>41557</v>
      </c>
      <c r="Z6858" t="s">
        <v>41558</v>
      </c>
      <c r="AA6858" s="2" t="s">
        <v>24583</v>
      </c>
      <c r="AB6858" t="s">
        <v>181</v>
      </c>
      <c r="AG6858" t="s">
        <v>41559</v>
      </c>
      <c r="AH6858" t="s">
        <v>31520</v>
      </c>
      <c r="AI6858" t="s">
        <v>41560</v>
      </c>
    </row>
    <row r="6859" spans="2:35" ht="195">
      <c r="B6859" s="1">
        <v>45163</v>
      </c>
      <c r="C6859" s="4">
        <v>44919.526388888888</v>
      </c>
      <c r="D6859" t="s">
        <v>31795</v>
      </c>
      <c r="E6859" t="s">
        <v>40467</v>
      </c>
      <c r="F6859">
        <v>5</v>
      </c>
      <c r="G6859" t="s">
        <v>839</v>
      </c>
      <c r="H6859" t="s">
        <v>39</v>
      </c>
      <c r="I6859" t="s">
        <v>40</v>
      </c>
      <c r="J6859" s="2" t="s">
        <v>190</v>
      </c>
      <c r="K6859" t="s">
        <v>42</v>
      </c>
      <c r="L6859" t="s">
        <v>761</v>
      </c>
      <c r="Q6859">
        <v>25694</v>
      </c>
      <c r="R6859" t="s">
        <v>719</v>
      </c>
      <c r="S6859" t="s">
        <v>41561</v>
      </c>
      <c r="T6859">
        <v>28</v>
      </c>
      <c r="U6859" s="2" t="s">
        <v>41562</v>
      </c>
      <c r="W6859" t="s">
        <v>360</v>
      </c>
      <c r="X6859">
        <v>846355</v>
      </c>
      <c r="Y6859" t="s">
        <v>41563</v>
      </c>
      <c r="Z6859" s="2" t="s">
        <v>41564</v>
      </c>
      <c r="AA6859" s="2" t="s">
        <v>10392</v>
      </c>
      <c r="AB6859" s="2" t="s">
        <v>41565</v>
      </c>
      <c r="AG6859" t="s">
        <v>41566</v>
      </c>
      <c r="AH6859" t="s">
        <v>41567</v>
      </c>
      <c r="AI6859" t="s">
        <v>41568</v>
      </c>
    </row>
    <row r="6860" spans="2:35" ht="180">
      <c r="B6860" s="1">
        <v>45163</v>
      </c>
      <c r="C6860" s="4">
        <v>45163.462500000001</v>
      </c>
      <c r="D6860" t="s">
        <v>4013</v>
      </c>
      <c r="E6860" t="s">
        <v>41569</v>
      </c>
      <c r="F6860">
        <v>13</v>
      </c>
      <c r="G6860" t="s">
        <v>931</v>
      </c>
      <c r="H6860" t="s">
        <v>2125</v>
      </c>
      <c r="I6860" t="s">
        <v>40</v>
      </c>
      <c r="J6860" t="s">
        <v>79</v>
      </c>
      <c r="K6860" t="s">
        <v>42</v>
      </c>
      <c r="L6860" t="s">
        <v>933</v>
      </c>
      <c r="Q6860">
        <v>25693</v>
      </c>
      <c r="R6860" t="s">
        <v>45</v>
      </c>
      <c r="S6860" t="s">
        <v>4016</v>
      </c>
      <c r="T6860">
        <v>27.63</v>
      </c>
      <c r="U6860" s="2" t="s">
        <v>41570</v>
      </c>
      <c r="W6860" t="s">
        <v>3662</v>
      </c>
      <c r="X6860">
        <v>807611</v>
      </c>
      <c r="Y6860" t="s">
        <v>301</v>
      </c>
      <c r="Z6860" t="s">
        <v>301</v>
      </c>
      <c r="AA6860" t="s">
        <v>41571</v>
      </c>
      <c r="AB6860" t="s">
        <v>1263</v>
      </c>
      <c r="AG6860" t="s">
        <v>41572</v>
      </c>
      <c r="AH6860" t="s">
        <v>4018</v>
      </c>
      <c r="AI6860" t="s">
        <v>41573</v>
      </c>
    </row>
    <row r="6861" spans="2:35" ht="195">
      <c r="B6861" s="1">
        <v>45163</v>
      </c>
      <c r="C6861" s="4">
        <v>45163.418055555558</v>
      </c>
      <c r="D6861" t="s">
        <v>22594</v>
      </c>
      <c r="E6861" t="s">
        <v>41574</v>
      </c>
      <c r="F6861" t="s">
        <v>148</v>
      </c>
      <c r="G6861" t="s">
        <v>447</v>
      </c>
      <c r="H6861" t="s">
        <v>39</v>
      </c>
      <c r="I6861" t="s">
        <v>40</v>
      </c>
      <c r="J6861" s="2" t="s">
        <v>190</v>
      </c>
      <c r="K6861" t="s">
        <v>42</v>
      </c>
      <c r="L6861" t="s">
        <v>15532</v>
      </c>
      <c r="Q6861">
        <v>25692</v>
      </c>
      <c r="R6861" t="s">
        <v>119</v>
      </c>
      <c r="S6861" t="s">
        <v>22596</v>
      </c>
      <c r="T6861">
        <v>25</v>
      </c>
      <c r="U6861" s="2" t="s">
        <v>41575</v>
      </c>
      <c r="W6861" t="s">
        <v>597</v>
      </c>
      <c r="X6861">
        <v>831901</v>
      </c>
      <c r="Y6861" t="s">
        <v>41576</v>
      </c>
      <c r="Z6861" s="2" t="s">
        <v>41577</v>
      </c>
      <c r="AA6861" t="s">
        <v>41578</v>
      </c>
      <c r="AB6861" s="2" t="s">
        <v>41579</v>
      </c>
      <c r="AG6861" t="s">
        <v>41580</v>
      </c>
      <c r="AH6861" t="s">
        <v>26830</v>
      </c>
      <c r="AI6861" t="s">
        <v>41581</v>
      </c>
    </row>
    <row r="6862" spans="2:35" ht="409.5">
      <c r="B6862" s="1">
        <v>45163</v>
      </c>
      <c r="C6862" s="4">
        <v>45163.375694444447</v>
      </c>
      <c r="D6862" t="s">
        <v>24882</v>
      </c>
      <c r="E6862" t="s">
        <v>41582</v>
      </c>
      <c r="F6862">
        <v>3</v>
      </c>
      <c r="G6862" t="s">
        <v>730</v>
      </c>
      <c r="H6862" t="s">
        <v>39</v>
      </c>
      <c r="I6862" t="s">
        <v>40</v>
      </c>
      <c r="J6862" s="2" t="s">
        <v>1309</v>
      </c>
      <c r="K6862" t="s">
        <v>42</v>
      </c>
      <c r="L6862" t="s">
        <v>135</v>
      </c>
      <c r="Q6862">
        <v>25691</v>
      </c>
      <c r="R6862" t="s">
        <v>119</v>
      </c>
      <c r="S6862" t="s">
        <v>24884</v>
      </c>
      <c r="T6862">
        <v>29</v>
      </c>
      <c r="U6862" s="2" t="s">
        <v>41583</v>
      </c>
      <c r="V6862" s="1">
        <v>45160</v>
      </c>
      <c r="W6862" t="s">
        <v>2680</v>
      </c>
      <c r="X6862">
        <v>831693</v>
      </c>
      <c r="Y6862" s="2" t="s">
        <v>41584</v>
      </c>
      <c r="Z6862" s="2" t="s">
        <v>41585</v>
      </c>
      <c r="AA6862" s="2" t="s">
        <v>41586</v>
      </c>
      <c r="AB6862" t="s">
        <v>181</v>
      </c>
      <c r="AC6862" t="s">
        <v>41587</v>
      </c>
      <c r="AD6862" s="2" t="s">
        <v>41588</v>
      </c>
      <c r="AE6862">
        <v>10519</v>
      </c>
      <c r="AG6862" t="s">
        <v>41589</v>
      </c>
      <c r="AH6862" t="s">
        <v>28905</v>
      </c>
      <c r="AI6862" t="s">
        <v>41590</v>
      </c>
    </row>
    <row r="6863" spans="2:35" ht="105">
      <c r="B6863" s="1">
        <v>45162</v>
      </c>
      <c r="C6863" s="4">
        <v>45161.53402777778</v>
      </c>
      <c r="D6863" t="s">
        <v>41591</v>
      </c>
      <c r="E6863" t="s">
        <v>41592</v>
      </c>
      <c r="F6863">
        <v>1</v>
      </c>
      <c r="G6863" t="s">
        <v>1922</v>
      </c>
      <c r="H6863" t="s">
        <v>1047</v>
      </c>
      <c r="I6863" t="s">
        <v>40</v>
      </c>
      <c r="J6863" s="2" t="s">
        <v>62</v>
      </c>
      <c r="K6863" t="s">
        <v>42</v>
      </c>
      <c r="L6863" t="s">
        <v>1048</v>
      </c>
      <c r="Q6863">
        <v>25690</v>
      </c>
      <c r="R6863" t="s">
        <v>45</v>
      </c>
      <c r="S6863" t="s">
        <v>41593</v>
      </c>
      <c r="T6863">
        <v>30</v>
      </c>
      <c r="U6863" s="2" t="s">
        <v>4806</v>
      </c>
      <c r="W6863" t="s">
        <v>360</v>
      </c>
      <c r="X6863">
        <v>835190</v>
      </c>
      <c r="Y6863" t="s">
        <v>67</v>
      </c>
      <c r="Z6863" t="e">
        <f ca="1">- cleaned cartridge Bays, plunger Rods _xludf.and I-CORE
- performed XpertCheck
- generated reports</f>
        <v>#NAME?</v>
      </c>
      <c r="AA6863" t="s">
        <v>999</v>
      </c>
      <c r="AB6863" t="s">
        <v>181</v>
      </c>
      <c r="AG6863" t="s">
        <v>41594</v>
      </c>
      <c r="AH6863" t="s">
        <v>41595</v>
      </c>
      <c r="AI6863" t="s">
        <v>41596</v>
      </c>
    </row>
    <row r="6864" spans="2:35" ht="105">
      <c r="B6864" s="1">
        <v>45162</v>
      </c>
      <c r="C6864" s="4">
        <v>45161.646527777775</v>
      </c>
      <c r="D6864" t="s">
        <v>1931</v>
      </c>
      <c r="E6864" t="s">
        <v>1932</v>
      </c>
      <c r="F6864">
        <v>1</v>
      </c>
      <c r="G6864" t="s">
        <v>1922</v>
      </c>
      <c r="H6864" t="s">
        <v>1047</v>
      </c>
      <c r="I6864" t="s">
        <v>40</v>
      </c>
      <c r="J6864" s="2" t="s">
        <v>41</v>
      </c>
      <c r="K6864" t="s">
        <v>42</v>
      </c>
      <c r="L6864" t="s">
        <v>1048</v>
      </c>
      <c r="Q6864">
        <v>25689</v>
      </c>
      <c r="R6864" t="s">
        <v>45</v>
      </c>
      <c r="S6864" t="s">
        <v>1933</v>
      </c>
      <c r="T6864">
        <v>30</v>
      </c>
      <c r="U6864" s="2" t="s">
        <v>10718</v>
      </c>
      <c r="W6864" t="s">
        <v>360</v>
      </c>
      <c r="X6864">
        <v>807585</v>
      </c>
      <c r="Y6864" t="s">
        <v>41597</v>
      </c>
      <c r="Z6864" t="e">
        <f ca="1">- removed stuck cartridge
- cleaned cartridge Bays, plunger Rods _xludf.and I-CORE
- generated reports</f>
        <v>#NAME?</v>
      </c>
      <c r="AA6864" t="s">
        <v>41598</v>
      </c>
      <c r="AB6864" t="s">
        <v>181</v>
      </c>
      <c r="AC6864" t="s">
        <v>41599</v>
      </c>
      <c r="AG6864" t="s">
        <v>41600</v>
      </c>
      <c r="AH6864" t="s">
        <v>41601</v>
      </c>
      <c r="AI6864" t="s">
        <v>41602</v>
      </c>
    </row>
    <row r="6865" spans="2:35" ht="360">
      <c r="B6865" s="1">
        <v>45162</v>
      </c>
      <c r="C6865" s="4">
        <v>45162.418749999997</v>
      </c>
      <c r="D6865" t="s">
        <v>5707</v>
      </c>
      <c r="E6865" t="s">
        <v>11096</v>
      </c>
      <c r="F6865">
        <v>1</v>
      </c>
      <c r="G6865" t="s">
        <v>1922</v>
      </c>
      <c r="H6865" t="s">
        <v>1047</v>
      </c>
      <c r="I6865" t="s">
        <v>40</v>
      </c>
      <c r="J6865" s="2" t="s">
        <v>41</v>
      </c>
      <c r="K6865" t="s">
        <v>42</v>
      </c>
      <c r="L6865" t="s">
        <v>1048</v>
      </c>
      <c r="Q6865">
        <v>25688</v>
      </c>
      <c r="R6865" t="s">
        <v>119</v>
      </c>
      <c r="S6865" t="s">
        <v>5709</v>
      </c>
      <c r="T6865">
        <v>30</v>
      </c>
      <c r="U6865" s="2" t="s">
        <v>33855</v>
      </c>
      <c r="V6865" s="1">
        <v>45131</v>
      </c>
      <c r="W6865" t="s">
        <v>360</v>
      </c>
      <c r="X6865">
        <v>838273</v>
      </c>
      <c r="Y6865" t="s">
        <v>41603</v>
      </c>
      <c r="Z6865" s="2" t="s">
        <v>41604</v>
      </c>
      <c r="AA6865" t="s">
        <v>9431</v>
      </c>
      <c r="AB6865" t="s">
        <v>181</v>
      </c>
      <c r="AD6865" t="s">
        <v>41605</v>
      </c>
      <c r="AE6865" t="s">
        <v>41606</v>
      </c>
      <c r="AG6865" t="s">
        <v>41607</v>
      </c>
      <c r="AH6865" t="s">
        <v>5716</v>
      </c>
      <c r="AI6865" t="s">
        <v>41608</v>
      </c>
    </row>
    <row r="6866" spans="2:35" ht="270">
      <c r="B6866" s="1">
        <v>45162</v>
      </c>
      <c r="C6866" s="4">
        <v>45161.359722222223</v>
      </c>
      <c r="D6866" t="s">
        <v>2614</v>
      </c>
      <c r="E6866" t="s">
        <v>2615</v>
      </c>
      <c r="F6866">
        <v>1</v>
      </c>
      <c r="G6866" t="s">
        <v>2599</v>
      </c>
      <c r="H6866" t="s">
        <v>39</v>
      </c>
      <c r="I6866" t="s">
        <v>40</v>
      </c>
      <c r="J6866" s="2" t="s">
        <v>41</v>
      </c>
      <c r="K6866" t="s">
        <v>42</v>
      </c>
      <c r="L6866" t="s">
        <v>1048</v>
      </c>
      <c r="Q6866">
        <v>25687</v>
      </c>
      <c r="R6866" t="s">
        <v>45</v>
      </c>
      <c r="S6866" t="s">
        <v>2616</v>
      </c>
      <c r="T6866">
        <v>29</v>
      </c>
      <c r="U6866" s="2" t="s">
        <v>15755</v>
      </c>
      <c r="V6866" s="1">
        <v>45161</v>
      </c>
      <c r="W6866" t="s">
        <v>360</v>
      </c>
      <c r="X6866">
        <v>807430</v>
      </c>
      <c r="Y6866" t="s">
        <v>35729</v>
      </c>
      <c r="Z6866" s="2" t="s">
        <v>41609</v>
      </c>
      <c r="AA6866" t="s">
        <v>1926</v>
      </c>
      <c r="AB6866" t="s">
        <v>181</v>
      </c>
      <c r="AD6866" t="s">
        <v>41610</v>
      </c>
      <c r="AE6866" t="s">
        <v>103</v>
      </c>
      <c r="AG6866" t="s">
        <v>41611</v>
      </c>
      <c r="AH6866" t="s">
        <v>2618</v>
      </c>
      <c r="AI6866" t="s">
        <v>41612</v>
      </c>
    </row>
    <row r="6867" spans="2:35" ht="255">
      <c r="B6867" s="1">
        <v>45162</v>
      </c>
      <c r="C6867" s="4">
        <v>45162.675000000003</v>
      </c>
      <c r="D6867" t="s">
        <v>28489</v>
      </c>
      <c r="E6867" t="s">
        <v>39871</v>
      </c>
      <c r="F6867" t="s">
        <v>148</v>
      </c>
      <c r="G6867" t="s">
        <v>2007</v>
      </c>
      <c r="H6867" t="s">
        <v>39</v>
      </c>
      <c r="I6867" t="s">
        <v>40</v>
      </c>
      <c r="J6867" t="s">
        <v>583</v>
      </c>
      <c r="K6867" t="s">
        <v>42</v>
      </c>
      <c r="L6867" t="s">
        <v>448</v>
      </c>
      <c r="Q6867">
        <v>25686</v>
      </c>
      <c r="R6867" t="s">
        <v>95</v>
      </c>
      <c r="S6867" t="s">
        <v>28491</v>
      </c>
      <c r="T6867">
        <v>30</v>
      </c>
      <c r="U6867" s="2" t="s">
        <v>41613</v>
      </c>
      <c r="W6867" t="s">
        <v>27867</v>
      </c>
      <c r="X6867">
        <v>110004816</v>
      </c>
      <c r="Y6867" t="s">
        <v>41614</v>
      </c>
      <c r="Z6867" s="2" t="s">
        <v>41615</v>
      </c>
      <c r="AA6867" t="s">
        <v>41616</v>
      </c>
      <c r="AB6867" t="s">
        <v>486</v>
      </c>
      <c r="AG6867" t="s">
        <v>41617</v>
      </c>
      <c r="AH6867" t="s">
        <v>38658</v>
      </c>
      <c r="AI6867" t="s">
        <v>41618</v>
      </c>
    </row>
    <row r="6868" spans="2:35" ht="180">
      <c r="B6868" s="1">
        <v>45162</v>
      </c>
      <c r="C6868" s="4">
        <v>44554.667361111111</v>
      </c>
      <c r="D6868" t="s">
        <v>33869</v>
      </c>
      <c r="E6868" t="s">
        <v>41619</v>
      </c>
      <c r="F6868">
        <v>11</v>
      </c>
      <c r="G6868" t="s">
        <v>1205</v>
      </c>
      <c r="H6868" t="s">
        <v>202</v>
      </c>
      <c r="I6868" t="s">
        <v>40</v>
      </c>
      <c r="J6868" t="s">
        <v>996</v>
      </c>
      <c r="K6868" t="s">
        <v>42</v>
      </c>
      <c r="L6868" t="s">
        <v>204</v>
      </c>
      <c r="N6868" t="s">
        <v>205</v>
      </c>
      <c r="Q6868">
        <v>25685</v>
      </c>
      <c r="R6868" t="s">
        <v>119</v>
      </c>
      <c r="S6868" t="s">
        <v>7745</v>
      </c>
      <c r="T6868">
        <v>25.6</v>
      </c>
      <c r="U6868" s="2" t="s">
        <v>41620</v>
      </c>
      <c r="V6868" s="1">
        <v>45140</v>
      </c>
      <c r="W6868" t="s">
        <v>23237</v>
      </c>
      <c r="X6868">
        <v>838492</v>
      </c>
      <c r="Y6868" t="s">
        <v>67</v>
      </c>
      <c r="Z6868" t="s">
        <v>41621</v>
      </c>
      <c r="AA6868" t="s">
        <v>39672</v>
      </c>
      <c r="AB6868" s="2" t="s">
        <v>41622</v>
      </c>
      <c r="AD6868" t="s">
        <v>18192</v>
      </c>
      <c r="AE6868" t="s">
        <v>41623</v>
      </c>
      <c r="AG6868" t="s">
        <v>41624</v>
      </c>
      <c r="AH6868" t="s">
        <v>41625</v>
      </c>
      <c r="AI6868" t="s">
        <v>41626</v>
      </c>
    </row>
    <row r="6869" spans="2:35">
      <c r="B6869" s="1">
        <v>45162</v>
      </c>
      <c r="C6869" s="4">
        <v>45162.674305555556</v>
      </c>
      <c r="D6869" t="s">
        <v>41627</v>
      </c>
      <c r="E6869" t="s">
        <v>41628</v>
      </c>
      <c r="F6869">
        <v>7</v>
      </c>
      <c r="G6869" t="s">
        <v>432</v>
      </c>
      <c r="H6869" t="s">
        <v>39</v>
      </c>
      <c r="I6869" t="s">
        <v>40</v>
      </c>
      <c r="J6869" t="s">
        <v>583</v>
      </c>
      <c r="K6869" t="s">
        <v>42</v>
      </c>
      <c r="L6869" t="s">
        <v>343</v>
      </c>
      <c r="Q6869">
        <v>25684</v>
      </c>
      <c r="R6869" t="s">
        <v>119</v>
      </c>
      <c r="S6869" t="s">
        <v>2235</v>
      </c>
      <c r="T6869">
        <v>24</v>
      </c>
      <c r="W6869" t="s">
        <v>84</v>
      </c>
      <c r="X6869">
        <v>838231</v>
      </c>
      <c r="Y6869" t="s">
        <v>301</v>
      </c>
      <c r="Z6869" t="s">
        <v>301</v>
      </c>
      <c r="AA6869" t="e">
        <f ca="1">-Activate XpertCheck
-machine Check-up</f>
        <v>#NAME?</v>
      </c>
      <c r="AB6869" t="s">
        <v>9638</v>
      </c>
      <c r="AG6869" t="s">
        <v>41629</v>
      </c>
      <c r="AH6869" t="s">
        <v>12809</v>
      </c>
      <c r="AI6869" t="s">
        <v>41630</v>
      </c>
    </row>
    <row r="6870" spans="2:35">
      <c r="B6870" s="1">
        <v>45162</v>
      </c>
      <c r="C6870" s="4">
        <v>45162.676388888889</v>
      </c>
      <c r="D6870" t="s">
        <v>41627</v>
      </c>
      <c r="E6870" t="s">
        <v>41628</v>
      </c>
      <c r="F6870">
        <v>7</v>
      </c>
      <c r="G6870" t="s">
        <v>432</v>
      </c>
      <c r="H6870" t="s">
        <v>39</v>
      </c>
      <c r="I6870" t="s">
        <v>40</v>
      </c>
      <c r="J6870" t="s">
        <v>583</v>
      </c>
      <c r="K6870" t="s">
        <v>42</v>
      </c>
      <c r="L6870" t="s">
        <v>343</v>
      </c>
      <c r="Q6870">
        <v>25683</v>
      </c>
      <c r="R6870" t="s">
        <v>119</v>
      </c>
      <c r="S6870" t="s">
        <v>2235</v>
      </c>
      <c r="T6870">
        <v>24</v>
      </c>
      <c r="W6870" t="s">
        <v>84</v>
      </c>
      <c r="X6870">
        <v>838564</v>
      </c>
      <c r="Y6870" t="s">
        <v>301</v>
      </c>
      <c r="Z6870" t="s">
        <v>301</v>
      </c>
      <c r="AA6870" t="e">
        <f ca="1">-XpertCheck Activation
-machine Check-up</f>
        <v>#NAME?</v>
      </c>
      <c r="AB6870" t="s">
        <v>9638</v>
      </c>
      <c r="AG6870" t="s">
        <v>41631</v>
      </c>
      <c r="AH6870" t="s">
        <v>12809</v>
      </c>
      <c r="AI6870" t="s">
        <v>41632</v>
      </c>
    </row>
    <row r="6871" spans="2:35" ht="409.5">
      <c r="B6871" s="1">
        <v>45162</v>
      </c>
      <c r="C6871" s="4">
        <v>45162.629861111112</v>
      </c>
      <c r="D6871" t="s">
        <v>5060</v>
      </c>
      <c r="E6871" t="s">
        <v>41633</v>
      </c>
      <c r="F6871">
        <v>3</v>
      </c>
      <c r="G6871" t="s">
        <v>284</v>
      </c>
      <c r="H6871" t="s">
        <v>39</v>
      </c>
      <c r="I6871" t="s">
        <v>40</v>
      </c>
      <c r="J6871" s="2" t="s">
        <v>62</v>
      </c>
      <c r="K6871" t="s">
        <v>42</v>
      </c>
      <c r="L6871" t="s">
        <v>135</v>
      </c>
      <c r="Q6871">
        <v>25682</v>
      </c>
      <c r="R6871" t="s">
        <v>45</v>
      </c>
      <c r="S6871" t="s">
        <v>41634</v>
      </c>
      <c r="T6871">
        <v>31</v>
      </c>
      <c r="U6871" s="2" t="s">
        <v>41635</v>
      </c>
      <c r="W6871" t="s">
        <v>2680</v>
      </c>
      <c r="X6871">
        <v>805124</v>
      </c>
      <c r="Y6871" t="s">
        <v>67</v>
      </c>
      <c r="Z6871" s="2" t="s">
        <v>29789</v>
      </c>
      <c r="AA6871" s="2" t="s">
        <v>31375</v>
      </c>
      <c r="AB6871" t="s">
        <v>41636</v>
      </c>
      <c r="AC6871" t="s">
        <v>41637</v>
      </c>
      <c r="AG6871" t="s">
        <v>41638</v>
      </c>
      <c r="AH6871" t="s">
        <v>41639</v>
      </c>
      <c r="AI6871" t="s">
        <v>41640</v>
      </c>
    </row>
    <row r="6872" spans="2:35" ht="180">
      <c r="B6872" s="1">
        <v>45162</v>
      </c>
      <c r="C6872" s="4">
        <v>45162.623611111114</v>
      </c>
      <c r="D6872" t="s">
        <v>41641</v>
      </c>
      <c r="E6872" t="s">
        <v>32696</v>
      </c>
      <c r="F6872" t="s">
        <v>148</v>
      </c>
      <c r="G6872" t="s">
        <v>447</v>
      </c>
      <c r="H6872" t="s">
        <v>39</v>
      </c>
      <c r="I6872" t="s">
        <v>40</v>
      </c>
      <c r="J6872" s="2" t="s">
        <v>41</v>
      </c>
      <c r="K6872" t="s">
        <v>42</v>
      </c>
      <c r="L6872" t="s">
        <v>15532</v>
      </c>
      <c r="Q6872">
        <v>25681</v>
      </c>
      <c r="R6872" t="s">
        <v>119</v>
      </c>
      <c r="S6872" t="s">
        <v>24625</v>
      </c>
      <c r="T6872">
        <v>29</v>
      </c>
      <c r="U6872" s="2" t="s">
        <v>41642</v>
      </c>
      <c r="V6872" s="1">
        <v>45161</v>
      </c>
      <c r="W6872" t="s">
        <v>597</v>
      </c>
      <c r="X6872">
        <v>831615</v>
      </c>
      <c r="Y6872" t="s">
        <v>27453</v>
      </c>
      <c r="Z6872" s="2" t="s">
        <v>41643</v>
      </c>
      <c r="AA6872" s="2" t="s">
        <v>41644</v>
      </c>
      <c r="AB6872" s="2" t="s">
        <v>41645</v>
      </c>
      <c r="AD6872" t="s">
        <v>41646</v>
      </c>
      <c r="AE6872" t="s">
        <v>41647</v>
      </c>
      <c r="AG6872" t="s">
        <v>41648</v>
      </c>
      <c r="AH6872" t="s">
        <v>36316</v>
      </c>
      <c r="AI6872" t="s">
        <v>41649</v>
      </c>
    </row>
    <row r="6873" spans="2:35" ht="105">
      <c r="B6873" s="1">
        <v>45162</v>
      </c>
      <c r="C6873" s="4">
        <v>43823.556250000001</v>
      </c>
      <c r="D6873" t="s">
        <v>32537</v>
      </c>
      <c r="E6873" t="s">
        <v>41650</v>
      </c>
      <c r="F6873">
        <v>11</v>
      </c>
      <c r="G6873" t="s">
        <v>1205</v>
      </c>
      <c r="H6873" t="s">
        <v>202</v>
      </c>
      <c r="I6873" t="s">
        <v>40</v>
      </c>
      <c r="J6873" t="s">
        <v>79</v>
      </c>
      <c r="K6873" t="s">
        <v>42</v>
      </c>
      <c r="L6873" t="s">
        <v>204</v>
      </c>
      <c r="Q6873">
        <v>25680</v>
      </c>
      <c r="R6873" t="s">
        <v>45</v>
      </c>
      <c r="S6873" t="s">
        <v>32539</v>
      </c>
      <c r="T6873">
        <v>22.6</v>
      </c>
      <c r="U6873" s="2" t="s">
        <v>37698</v>
      </c>
      <c r="W6873" t="s">
        <v>23237</v>
      </c>
      <c r="X6873">
        <v>815385</v>
      </c>
      <c r="Y6873" t="s">
        <v>8731</v>
      </c>
      <c r="Z6873" t="s">
        <v>41651</v>
      </c>
      <c r="AA6873" t="s">
        <v>12182</v>
      </c>
      <c r="AB6873" t="s">
        <v>3063</v>
      </c>
      <c r="AG6873" t="s">
        <v>41652</v>
      </c>
      <c r="AH6873" t="s">
        <v>41653</v>
      </c>
      <c r="AI6873" t="s">
        <v>41654</v>
      </c>
    </row>
    <row r="6874" spans="2:35" ht="105">
      <c r="B6874" s="1">
        <v>45162</v>
      </c>
      <c r="C6874" s="4">
        <v>45162.573611111111</v>
      </c>
      <c r="D6874" t="s">
        <v>4413</v>
      </c>
      <c r="E6874" t="s">
        <v>4414</v>
      </c>
      <c r="F6874">
        <v>12</v>
      </c>
      <c r="G6874" t="s">
        <v>978</v>
      </c>
      <c r="H6874" t="s">
        <v>39</v>
      </c>
      <c r="I6874" t="s">
        <v>94</v>
      </c>
      <c r="J6874" s="2" t="s">
        <v>62</v>
      </c>
      <c r="K6874" t="s">
        <v>42</v>
      </c>
      <c r="L6874" t="s">
        <v>296</v>
      </c>
      <c r="Q6874">
        <v>25679</v>
      </c>
      <c r="R6874" t="s">
        <v>119</v>
      </c>
      <c r="S6874" t="s">
        <v>4415</v>
      </c>
      <c r="T6874">
        <v>28.2</v>
      </c>
      <c r="U6874" s="2" t="s">
        <v>41359</v>
      </c>
      <c r="V6874" s="1">
        <v>45162</v>
      </c>
      <c r="W6874" t="s">
        <v>23049</v>
      </c>
      <c r="X6874">
        <v>838544</v>
      </c>
      <c r="Y6874" t="s">
        <v>16344</v>
      </c>
      <c r="Z6874" t="s">
        <v>9161</v>
      </c>
      <c r="AA6874" t="s">
        <v>41331</v>
      </c>
      <c r="AB6874" t="s">
        <v>1480</v>
      </c>
      <c r="AD6874" t="s">
        <v>38010</v>
      </c>
      <c r="AE6874" t="s">
        <v>41655</v>
      </c>
      <c r="AG6874" t="s">
        <v>41656</v>
      </c>
      <c r="AH6874" t="s">
        <v>10387</v>
      </c>
      <c r="AI6874" t="s">
        <v>41657</v>
      </c>
    </row>
    <row r="6875" spans="2:35" ht="255">
      <c r="B6875" s="1">
        <v>45162</v>
      </c>
      <c r="C6875" s="4">
        <v>45161.408333333333</v>
      </c>
      <c r="D6875" t="s">
        <v>3853</v>
      </c>
      <c r="E6875" t="s">
        <v>41658</v>
      </c>
      <c r="F6875">
        <v>12</v>
      </c>
      <c r="G6875" t="s">
        <v>2137</v>
      </c>
      <c r="H6875" t="s">
        <v>39</v>
      </c>
      <c r="I6875" t="s">
        <v>94</v>
      </c>
      <c r="J6875" s="2" t="s">
        <v>62</v>
      </c>
      <c r="K6875" t="s">
        <v>42</v>
      </c>
      <c r="L6875" t="s">
        <v>296</v>
      </c>
      <c r="Q6875">
        <v>25678</v>
      </c>
      <c r="R6875" t="s">
        <v>45</v>
      </c>
      <c r="S6875" t="s">
        <v>3855</v>
      </c>
      <c r="T6875">
        <v>22.75</v>
      </c>
      <c r="U6875" s="2" t="s">
        <v>41659</v>
      </c>
      <c r="V6875" s="1">
        <v>45161</v>
      </c>
      <c r="W6875" t="s">
        <v>23049</v>
      </c>
      <c r="X6875">
        <v>807615</v>
      </c>
      <c r="Y6875" s="2" t="s">
        <v>41660</v>
      </c>
      <c r="Z6875" t="s">
        <v>9161</v>
      </c>
      <c r="AA6875" s="2" t="s">
        <v>41661</v>
      </c>
      <c r="AB6875" t="s">
        <v>1480</v>
      </c>
      <c r="AC6875" t="s">
        <v>41662</v>
      </c>
      <c r="AD6875" t="s">
        <v>38010</v>
      </c>
      <c r="AE6875" t="s">
        <v>32095</v>
      </c>
      <c r="AG6875" t="s">
        <v>41663</v>
      </c>
      <c r="AH6875" t="s">
        <v>3861</v>
      </c>
      <c r="AI6875" t="s">
        <v>41664</v>
      </c>
    </row>
    <row r="6876" spans="2:35" ht="210">
      <c r="B6876" s="1">
        <v>45162</v>
      </c>
      <c r="C6876" s="4">
        <v>45162.55</v>
      </c>
      <c r="D6876" t="s">
        <v>26071</v>
      </c>
      <c r="E6876" t="s">
        <v>26072</v>
      </c>
      <c r="F6876" t="s">
        <v>148</v>
      </c>
      <c r="G6876" t="s">
        <v>421</v>
      </c>
      <c r="H6876" t="s">
        <v>39</v>
      </c>
      <c r="I6876" t="s">
        <v>40</v>
      </c>
      <c r="J6876" s="2" t="s">
        <v>1592</v>
      </c>
      <c r="K6876" t="s">
        <v>42</v>
      </c>
      <c r="L6876" t="s">
        <v>175</v>
      </c>
      <c r="Q6876">
        <v>25677</v>
      </c>
      <c r="R6876" t="s">
        <v>45</v>
      </c>
      <c r="S6876" t="s">
        <v>422</v>
      </c>
      <c r="T6876">
        <v>35</v>
      </c>
      <c r="U6876" s="2" t="s">
        <v>41665</v>
      </c>
      <c r="V6876" s="1">
        <v>45162</v>
      </c>
      <c r="W6876" t="s">
        <v>84</v>
      </c>
      <c r="X6876">
        <v>814151</v>
      </c>
      <c r="Y6876" t="s">
        <v>41666</v>
      </c>
      <c r="Z6876" t="e">
        <f ca="1">- replaced parts
- checked _xludf.and cleaned cartridge bay, plunger rod, _xludf.filter
- Changed Gateway SN
- performed functionality test</f>
        <v>#NAME?</v>
      </c>
      <c r="AA6876" t="s">
        <v>41667</v>
      </c>
      <c r="AB6876" t="s">
        <v>88</v>
      </c>
      <c r="AD6876" s="2" t="s">
        <v>41668</v>
      </c>
      <c r="AE6876" t="s">
        <v>103</v>
      </c>
      <c r="AG6876" t="s">
        <v>41669</v>
      </c>
      <c r="AH6876" t="s">
        <v>428</v>
      </c>
      <c r="AI6876" t="s">
        <v>41670</v>
      </c>
    </row>
    <row r="6877" spans="2:35" ht="180">
      <c r="B6877" s="1">
        <v>45162</v>
      </c>
      <c r="C6877" s="4">
        <v>45162.481944444444</v>
      </c>
      <c r="D6877" t="s">
        <v>8059</v>
      </c>
      <c r="E6877" t="s">
        <v>41671</v>
      </c>
      <c r="F6877">
        <v>7</v>
      </c>
      <c r="G6877" t="s">
        <v>432</v>
      </c>
      <c r="H6877" t="s">
        <v>39</v>
      </c>
      <c r="I6877" t="s">
        <v>40</v>
      </c>
      <c r="J6877" s="2" t="s">
        <v>41672</v>
      </c>
      <c r="K6877" t="s">
        <v>42</v>
      </c>
      <c r="L6877" t="s">
        <v>433</v>
      </c>
      <c r="Q6877">
        <v>25676</v>
      </c>
      <c r="R6877" t="s">
        <v>45</v>
      </c>
      <c r="S6877" t="s">
        <v>33139</v>
      </c>
      <c r="T6877">
        <v>27</v>
      </c>
      <c r="W6877" t="s">
        <v>1008</v>
      </c>
      <c r="X6877">
        <v>808620</v>
      </c>
      <c r="Y6877" t="s">
        <v>2789</v>
      </c>
      <c r="Z6877" t="s">
        <v>41673</v>
      </c>
      <c r="AA6877" t="s">
        <v>41674</v>
      </c>
      <c r="AB6877" t="s">
        <v>41675</v>
      </c>
      <c r="AG6877" t="s">
        <v>41676</v>
      </c>
      <c r="AH6877" t="s">
        <v>33144</v>
      </c>
      <c r="AI6877" t="s">
        <v>41677</v>
      </c>
    </row>
    <row r="6878" spans="2:35" ht="409.5">
      <c r="B6878" s="1">
        <v>45162</v>
      </c>
      <c r="C6878" s="4">
        <v>45162.517361111109</v>
      </c>
      <c r="D6878" t="s">
        <v>23024</v>
      </c>
      <c r="E6878" t="s">
        <v>35523</v>
      </c>
      <c r="F6878" t="s">
        <v>148</v>
      </c>
      <c r="G6878" t="s">
        <v>447</v>
      </c>
      <c r="H6878" t="s">
        <v>39</v>
      </c>
      <c r="I6878" t="s">
        <v>40</v>
      </c>
      <c r="J6878" s="2" t="s">
        <v>62</v>
      </c>
      <c r="K6878" t="s">
        <v>42</v>
      </c>
      <c r="L6878" t="s">
        <v>15532</v>
      </c>
      <c r="Q6878">
        <v>25675</v>
      </c>
      <c r="R6878" t="s">
        <v>45</v>
      </c>
      <c r="S6878" t="s">
        <v>23026</v>
      </c>
      <c r="T6878">
        <v>33</v>
      </c>
      <c r="U6878" s="2" t="s">
        <v>41678</v>
      </c>
      <c r="V6878" s="1">
        <v>44998</v>
      </c>
      <c r="W6878" t="s">
        <v>3244</v>
      </c>
      <c r="X6878">
        <v>815484</v>
      </c>
      <c r="Y6878" t="s">
        <v>6766</v>
      </c>
      <c r="Z6878" s="2" t="s">
        <v>37479</v>
      </c>
      <c r="AA6878" t="s">
        <v>999</v>
      </c>
      <c r="AB6878" s="2" t="s">
        <v>41679</v>
      </c>
      <c r="AC6878" t="s">
        <v>41680</v>
      </c>
      <c r="AD6878" t="s">
        <v>7189</v>
      </c>
      <c r="AE6878" t="s">
        <v>41681</v>
      </c>
      <c r="AG6878" t="s">
        <v>41682</v>
      </c>
      <c r="AH6878" t="s">
        <v>25170</v>
      </c>
      <c r="AI6878" t="s">
        <v>41683</v>
      </c>
    </row>
    <row r="6879" spans="2:35" ht="300">
      <c r="B6879" s="1">
        <v>45162</v>
      </c>
      <c r="C6879" s="4">
        <v>45162.497916666667</v>
      </c>
      <c r="D6879" t="s">
        <v>41684</v>
      </c>
      <c r="E6879" t="s">
        <v>41685</v>
      </c>
      <c r="F6879">
        <v>3</v>
      </c>
      <c r="G6879" t="s">
        <v>219</v>
      </c>
      <c r="H6879" t="s">
        <v>39</v>
      </c>
      <c r="I6879" t="s">
        <v>40</v>
      </c>
      <c r="J6879" s="2" t="s">
        <v>1592</v>
      </c>
      <c r="K6879" t="s">
        <v>42</v>
      </c>
      <c r="L6879" t="s">
        <v>63</v>
      </c>
      <c r="Q6879">
        <v>25674</v>
      </c>
      <c r="R6879" t="s">
        <v>45</v>
      </c>
      <c r="S6879" t="s">
        <v>41686</v>
      </c>
      <c r="T6879">
        <v>26</v>
      </c>
      <c r="U6879" s="2" t="s">
        <v>41687</v>
      </c>
      <c r="V6879" s="1">
        <v>45162</v>
      </c>
      <c r="W6879" t="s">
        <v>26915</v>
      </c>
      <c r="X6879">
        <v>812788</v>
      </c>
      <c r="Y6879" t="s">
        <v>20629</v>
      </c>
      <c r="Z6879" t="s">
        <v>41688</v>
      </c>
      <c r="AA6879" s="2" t="s">
        <v>1727</v>
      </c>
      <c r="AB6879" t="s">
        <v>70</v>
      </c>
      <c r="AC6879" t="s">
        <v>1716</v>
      </c>
      <c r="AD6879" t="s">
        <v>1716</v>
      </c>
      <c r="AE6879" t="s">
        <v>1716</v>
      </c>
      <c r="AG6879" t="s">
        <v>41689</v>
      </c>
      <c r="AH6879" t="s">
        <v>41690</v>
      </c>
      <c r="AI6879" t="s">
        <v>41691</v>
      </c>
    </row>
    <row r="6880" spans="2:35" ht="150">
      <c r="B6880" s="1">
        <v>45162</v>
      </c>
      <c r="C6880" s="4">
        <v>44919.457638888889</v>
      </c>
      <c r="D6880" t="s">
        <v>3719</v>
      </c>
      <c r="E6880" t="s">
        <v>41692</v>
      </c>
      <c r="F6880" t="s">
        <v>148</v>
      </c>
      <c r="G6880" t="s">
        <v>310</v>
      </c>
      <c r="H6880" t="s">
        <v>39</v>
      </c>
      <c r="I6880" t="s">
        <v>40</v>
      </c>
      <c r="J6880" s="2" t="s">
        <v>62</v>
      </c>
      <c r="K6880" t="s">
        <v>42</v>
      </c>
      <c r="L6880" t="s">
        <v>1943</v>
      </c>
      <c r="Q6880">
        <v>25673</v>
      </c>
      <c r="R6880" t="s">
        <v>119</v>
      </c>
      <c r="S6880" t="s">
        <v>3721</v>
      </c>
      <c r="T6880">
        <v>25</v>
      </c>
      <c r="U6880" s="2" t="s">
        <v>12736</v>
      </c>
      <c r="W6880" t="s">
        <v>84</v>
      </c>
      <c r="X6880">
        <v>831644</v>
      </c>
      <c r="Y6880" s="2" t="s">
        <v>41693</v>
      </c>
      <c r="Z6880" s="2" t="s">
        <v>41694</v>
      </c>
      <c r="AA6880" t="s">
        <v>23660</v>
      </c>
      <c r="AB6880" t="s">
        <v>41695</v>
      </c>
      <c r="AC6880" t="s">
        <v>37598</v>
      </c>
      <c r="AG6880" t="s">
        <v>41696</v>
      </c>
      <c r="AH6880" t="s">
        <v>27633</v>
      </c>
      <c r="AI6880" t="s">
        <v>41697</v>
      </c>
    </row>
    <row r="6881" spans="2:35" ht="330">
      <c r="B6881" s="1">
        <v>45162</v>
      </c>
      <c r="C6881" s="4">
        <v>45162.397916666669</v>
      </c>
      <c r="D6881" t="s">
        <v>22431</v>
      </c>
      <c r="E6881" t="s">
        <v>22432</v>
      </c>
      <c r="F6881">
        <v>3</v>
      </c>
      <c r="G6881" t="s">
        <v>730</v>
      </c>
      <c r="H6881" t="s">
        <v>39</v>
      </c>
      <c r="I6881" t="s">
        <v>40</v>
      </c>
      <c r="J6881" s="2" t="s">
        <v>41</v>
      </c>
      <c r="K6881" t="s">
        <v>42</v>
      </c>
      <c r="L6881" t="s">
        <v>135</v>
      </c>
      <c r="Q6881">
        <v>25672</v>
      </c>
      <c r="R6881" t="s">
        <v>119</v>
      </c>
      <c r="S6881" t="s">
        <v>22433</v>
      </c>
      <c r="T6881">
        <v>26</v>
      </c>
      <c r="U6881" s="2" t="s">
        <v>1509</v>
      </c>
      <c r="V6881" s="1">
        <v>45160</v>
      </c>
      <c r="W6881" t="s">
        <v>2680</v>
      </c>
      <c r="X6881">
        <v>831917</v>
      </c>
      <c r="Y6881" s="2" t="s">
        <v>41698</v>
      </c>
      <c r="Z6881" s="2" t="s">
        <v>41699</v>
      </c>
      <c r="AA6881" s="2" t="s">
        <v>41700</v>
      </c>
      <c r="AB6881" t="s">
        <v>181</v>
      </c>
      <c r="AC6881" t="s">
        <v>15866</v>
      </c>
      <c r="AD6881" s="2" t="s">
        <v>41701</v>
      </c>
      <c r="AE6881" t="s">
        <v>41702</v>
      </c>
      <c r="AG6881" t="s">
        <v>41703</v>
      </c>
      <c r="AH6881" t="s">
        <v>24873</v>
      </c>
      <c r="AI6881" t="s">
        <v>41704</v>
      </c>
    </row>
    <row r="6882" spans="2:35" ht="330">
      <c r="B6882" s="1">
        <v>45162</v>
      </c>
      <c r="C6882" s="4">
        <v>45162.388194444444</v>
      </c>
      <c r="D6882" t="s">
        <v>29310</v>
      </c>
      <c r="E6882" t="s">
        <v>41705</v>
      </c>
      <c r="F6882">
        <v>8</v>
      </c>
      <c r="G6882" t="s">
        <v>342</v>
      </c>
      <c r="H6882" t="s">
        <v>202</v>
      </c>
      <c r="I6882" t="s">
        <v>40</v>
      </c>
      <c r="J6882" s="2" t="s">
        <v>41</v>
      </c>
      <c r="K6882" t="s">
        <v>42</v>
      </c>
      <c r="L6882" t="s">
        <v>259</v>
      </c>
      <c r="Q6882">
        <v>25671</v>
      </c>
      <c r="R6882" t="s">
        <v>719</v>
      </c>
      <c r="S6882" t="s">
        <v>29312</v>
      </c>
      <c r="T6882">
        <v>27</v>
      </c>
      <c r="U6882" s="2" t="s">
        <v>41706</v>
      </c>
      <c r="V6882" s="1">
        <v>45162</v>
      </c>
      <c r="W6882" t="s">
        <v>84</v>
      </c>
      <c r="X6882">
        <v>847227</v>
      </c>
      <c r="Y6882" t="s">
        <v>41707</v>
      </c>
      <c r="Z6882" t="e">
        <f ca="1">- module Replacement</f>
        <v>#NAME?</v>
      </c>
      <c r="AA6882" s="2" t="s">
        <v>41708</v>
      </c>
      <c r="AB6882" t="s">
        <v>41709</v>
      </c>
      <c r="AD6882" t="s">
        <v>41710</v>
      </c>
      <c r="AE6882" t="s">
        <v>719</v>
      </c>
      <c r="AG6882" t="s">
        <v>41711</v>
      </c>
      <c r="AH6882" t="s">
        <v>29317</v>
      </c>
      <c r="AI6882" t="s">
        <v>41712</v>
      </c>
    </row>
    <row r="6883" spans="2:35" ht="330">
      <c r="B6883" s="1">
        <v>45161</v>
      </c>
      <c r="C6883" s="4">
        <v>44188.667361111111</v>
      </c>
      <c r="D6883" t="s">
        <v>8160</v>
      </c>
      <c r="E6883" t="s">
        <v>15636</v>
      </c>
      <c r="F6883">
        <v>11</v>
      </c>
      <c r="G6883" t="s">
        <v>1205</v>
      </c>
      <c r="H6883" t="s">
        <v>202</v>
      </c>
      <c r="I6883" t="s">
        <v>40</v>
      </c>
      <c r="J6883" s="2" t="s">
        <v>62</v>
      </c>
      <c r="K6883" t="s">
        <v>42</v>
      </c>
      <c r="L6883" t="s">
        <v>204</v>
      </c>
      <c r="Q6883">
        <v>25670</v>
      </c>
      <c r="R6883" t="s">
        <v>119</v>
      </c>
      <c r="S6883" t="s">
        <v>8162</v>
      </c>
      <c r="T6883">
        <v>25.8</v>
      </c>
      <c r="U6883" s="2" t="s">
        <v>12788</v>
      </c>
      <c r="V6883" s="1">
        <v>45141</v>
      </c>
      <c r="W6883" t="s">
        <v>23237</v>
      </c>
      <c r="X6883">
        <v>838401</v>
      </c>
      <c r="Y6883" t="s">
        <v>27855</v>
      </c>
      <c r="Z6883" s="2" t="s">
        <v>41713</v>
      </c>
      <c r="AA6883" t="s">
        <v>1620</v>
      </c>
      <c r="AB6883" t="s">
        <v>30714</v>
      </c>
      <c r="AD6883" t="s">
        <v>18887</v>
      </c>
      <c r="AE6883" t="s">
        <v>41714</v>
      </c>
      <c r="AG6883" t="s">
        <v>41715</v>
      </c>
      <c r="AH6883" t="s">
        <v>16709</v>
      </c>
      <c r="AI6883" t="s">
        <v>41716</v>
      </c>
    </row>
    <row r="6884" spans="2:35" ht="135">
      <c r="B6884" s="1">
        <v>45161</v>
      </c>
      <c r="C6884" s="4">
        <v>45161.70416666667</v>
      </c>
      <c r="D6884" t="s">
        <v>5546</v>
      </c>
      <c r="E6884" t="s">
        <v>1555</v>
      </c>
      <c r="F6884">
        <v>7</v>
      </c>
      <c r="G6884" t="s">
        <v>432</v>
      </c>
      <c r="H6884" t="s">
        <v>39</v>
      </c>
      <c r="I6884" t="s">
        <v>40</v>
      </c>
      <c r="J6884" s="2" t="s">
        <v>41717</v>
      </c>
      <c r="K6884" t="s">
        <v>42</v>
      </c>
      <c r="L6884" t="s">
        <v>433</v>
      </c>
      <c r="Q6884">
        <v>25669</v>
      </c>
      <c r="R6884" t="s">
        <v>45</v>
      </c>
      <c r="S6884" t="s">
        <v>5548</v>
      </c>
      <c r="T6884">
        <v>28</v>
      </c>
      <c r="W6884" t="s">
        <v>2384</v>
      </c>
      <c r="X6884">
        <v>838882</v>
      </c>
      <c r="Y6884" t="s">
        <v>41718</v>
      </c>
      <c r="Z6884" t="s">
        <v>41719</v>
      </c>
      <c r="AA6884" t="s">
        <v>41719</v>
      </c>
      <c r="AB6884" t="s">
        <v>1011</v>
      </c>
      <c r="AG6884" t="s">
        <v>41720</v>
      </c>
      <c r="AH6884" t="s">
        <v>7130</v>
      </c>
      <c r="AI6884" t="s">
        <v>41721</v>
      </c>
    </row>
    <row r="6885" spans="2:35" ht="210">
      <c r="B6885" s="1">
        <v>45161</v>
      </c>
      <c r="C6885" s="4">
        <v>45161.677083333336</v>
      </c>
      <c r="D6885" t="s">
        <v>228</v>
      </c>
      <c r="E6885" t="s">
        <v>9436</v>
      </c>
      <c r="F6885" t="s">
        <v>148</v>
      </c>
      <c r="G6885" t="s">
        <v>230</v>
      </c>
      <c r="H6885" t="s">
        <v>39</v>
      </c>
      <c r="I6885" t="s">
        <v>40</v>
      </c>
      <c r="J6885" s="2" t="s">
        <v>41</v>
      </c>
      <c r="K6885" t="s">
        <v>42</v>
      </c>
      <c r="L6885" t="s">
        <v>175</v>
      </c>
      <c r="Q6885">
        <v>25668</v>
      </c>
      <c r="R6885" t="s">
        <v>45</v>
      </c>
      <c r="S6885" t="s">
        <v>23986</v>
      </c>
      <c r="T6885">
        <v>25</v>
      </c>
      <c r="U6885" s="2" t="s">
        <v>41722</v>
      </c>
      <c r="V6885" s="1">
        <v>45161</v>
      </c>
      <c r="W6885" t="s">
        <v>84</v>
      </c>
      <c r="X6885">
        <v>805062</v>
      </c>
      <c r="Y6885" t="s">
        <v>2514</v>
      </c>
      <c r="Z6885" t="e">
        <f ca="1">- checked _xludf.and cleaned cartridge bay, plunger rod, _xludf.filter
- replaced A1
- generated reports</f>
        <v>#NAME?</v>
      </c>
      <c r="AA6885" t="s">
        <v>41183</v>
      </c>
      <c r="AB6885" t="s">
        <v>88</v>
      </c>
      <c r="AD6885" s="2" t="s">
        <v>41723</v>
      </c>
      <c r="AE6885" t="s">
        <v>103</v>
      </c>
      <c r="AG6885" t="s">
        <v>41724</v>
      </c>
      <c r="AH6885" t="s">
        <v>23990</v>
      </c>
      <c r="AI6885" t="s">
        <v>41725</v>
      </c>
    </row>
    <row r="6886" spans="2:35" ht="360">
      <c r="B6886" s="1">
        <v>45161</v>
      </c>
      <c r="C6886" s="4">
        <v>45161.654861111114</v>
      </c>
      <c r="D6886" t="s">
        <v>41726</v>
      </c>
      <c r="E6886" t="s">
        <v>30075</v>
      </c>
      <c r="F6886">
        <v>3</v>
      </c>
      <c r="G6886" t="s">
        <v>134</v>
      </c>
      <c r="H6886" t="s">
        <v>39</v>
      </c>
      <c r="I6886" t="s">
        <v>40</v>
      </c>
      <c r="J6886" s="2" t="s">
        <v>41</v>
      </c>
      <c r="K6886" t="s">
        <v>42</v>
      </c>
      <c r="L6886" t="s">
        <v>135</v>
      </c>
      <c r="Q6886">
        <v>25667</v>
      </c>
      <c r="R6886" t="s">
        <v>45</v>
      </c>
      <c r="S6886" t="s">
        <v>41727</v>
      </c>
      <c r="T6886">
        <v>30</v>
      </c>
      <c r="U6886" s="2" t="s">
        <v>41728</v>
      </c>
      <c r="W6886" t="s">
        <v>2680</v>
      </c>
      <c r="X6886">
        <v>804763</v>
      </c>
      <c r="Y6886" t="s">
        <v>9897</v>
      </c>
      <c r="Z6886" t="s">
        <v>41729</v>
      </c>
      <c r="AA6886" s="2" t="s">
        <v>41730</v>
      </c>
      <c r="AB6886" t="s">
        <v>9590</v>
      </c>
      <c r="AG6886" t="s">
        <v>41731</v>
      </c>
      <c r="AH6886" t="s">
        <v>41732</v>
      </c>
      <c r="AI6886" t="s">
        <v>41733</v>
      </c>
    </row>
    <row r="6887" spans="2:35" ht="165">
      <c r="B6887" s="1">
        <v>45161</v>
      </c>
      <c r="C6887" s="4">
        <v>45161.65625</v>
      </c>
      <c r="D6887" t="s">
        <v>35459</v>
      </c>
      <c r="E6887" t="s">
        <v>35460</v>
      </c>
      <c r="F6887">
        <v>3</v>
      </c>
      <c r="G6887" t="s">
        <v>1722</v>
      </c>
      <c r="H6887" t="s">
        <v>39</v>
      </c>
      <c r="I6887" t="s">
        <v>40</v>
      </c>
      <c r="J6887" s="2" t="s">
        <v>3198</v>
      </c>
      <c r="K6887" t="s">
        <v>42</v>
      </c>
      <c r="L6887" t="s">
        <v>63</v>
      </c>
      <c r="Q6887">
        <v>25666</v>
      </c>
      <c r="R6887" t="s">
        <v>119</v>
      </c>
      <c r="S6887" t="s">
        <v>35461</v>
      </c>
      <c r="T6887">
        <v>22</v>
      </c>
      <c r="U6887" s="2" t="s">
        <v>41734</v>
      </c>
      <c r="V6887" s="1">
        <v>45161</v>
      </c>
      <c r="W6887" t="s">
        <v>26915</v>
      </c>
      <c r="X6887">
        <v>831673</v>
      </c>
      <c r="Y6887" t="s">
        <v>26853</v>
      </c>
      <c r="Z6887" t="s">
        <v>38754</v>
      </c>
      <c r="AA6887" s="2" t="s">
        <v>1727</v>
      </c>
      <c r="AB6887" t="s">
        <v>70</v>
      </c>
      <c r="AC6887" t="s">
        <v>38755</v>
      </c>
      <c r="AD6887" t="s">
        <v>32127</v>
      </c>
      <c r="AE6887" t="s">
        <v>1716</v>
      </c>
      <c r="AG6887" t="s">
        <v>41735</v>
      </c>
      <c r="AH6887" t="s">
        <v>41736</v>
      </c>
      <c r="AI6887" t="s">
        <v>41737</v>
      </c>
    </row>
    <row r="6888" spans="2:35" ht="285">
      <c r="B6888" s="1">
        <v>45161</v>
      </c>
      <c r="C6888" s="4">
        <v>45161.627083333333</v>
      </c>
      <c r="D6888" t="s">
        <v>1155</v>
      </c>
      <c r="E6888" t="s">
        <v>8331</v>
      </c>
      <c r="F6888" t="s">
        <v>148</v>
      </c>
      <c r="G6888" t="s">
        <v>230</v>
      </c>
      <c r="H6888" t="s">
        <v>39</v>
      </c>
      <c r="I6888" t="s">
        <v>40</v>
      </c>
      <c r="J6888" s="2" t="s">
        <v>62</v>
      </c>
      <c r="K6888" t="s">
        <v>42</v>
      </c>
      <c r="L6888" t="s">
        <v>175</v>
      </c>
      <c r="Q6888">
        <v>25665</v>
      </c>
      <c r="R6888" t="s">
        <v>322</v>
      </c>
      <c r="S6888" t="s">
        <v>8332</v>
      </c>
      <c r="T6888">
        <v>25</v>
      </c>
      <c r="U6888" s="2" t="s">
        <v>41738</v>
      </c>
      <c r="V6888" s="1">
        <v>45161</v>
      </c>
      <c r="W6888" t="s">
        <v>84</v>
      </c>
      <c r="X6888">
        <v>807112</v>
      </c>
      <c r="Y6888" t="s">
        <v>6766</v>
      </c>
      <c r="Z6888" t="e">
        <f ca="1">- checked _xludf.and cleaned cartridge bay, plunger rod,  _xludf.filter
- performed XpertCheck
- generated reports</f>
        <v>#NAME?</v>
      </c>
      <c r="AA6888" t="s">
        <v>999</v>
      </c>
      <c r="AB6888" s="2" t="s">
        <v>41739</v>
      </c>
      <c r="AD6888" t="s">
        <v>7189</v>
      </c>
      <c r="AE6888" t="s">
        <v>103</v>
      </c>
      <c r="AG6888" t="s">
        <v>41740</v>
      </c>
      <c r="AH6888" t="s">
        <v>1166</v>
      </c>
      <c r="AI6888" t="s">
        <v>41741</v>
      </c>
    </row>
    <row r="6889" spans="2:35" ht="285">
      <c r="B6889" s="1">
        <v>45161</v>
      </c>
      <c r="C6889" s="4">
        <v>45161.615277777775</v>
      </c>
      <c r="D6889" t="s">
        <v>1155</v>
      </c>
      <c r="E6889" t="s">
        <v>8331</v>
      </c>
      <c r="F6889" t="s">
        <v>148</v>
      </c>
      <c r="G6889" t="s">
        <v>230</v>
      </c>
      <c r="H6889" t="s">
        <v>39</v>
      </c>
      <c r="I6889" t="s">
        <v>40</v>
      </c>
      <c r="J6889" s="2" t="s">
        <v>41</v>
      </c>
      <c r="K6889" t="s">
        <v>42</v>
      </c>
      <c r="L6889" t="s">
        <v>175</v>
      </c>
      <c r="Q6889">
        <v>25664</v>
      </c>
      <c r="R6889" t="s">
        <v>45</v>
      </c>
      <c r="S6889" t="s">
        <v>8332</v>
      </c>
      <c r="T6889">
        <v>25</v>
      </c>
      <c r="U6889" s="2" t="s">
        <v>41738</v>
      </c>
      <c r="V6889" s="1">
        <v>45161</v>
      </c>
      <c r="W6889" t="s">
        <v>84</v>
      </c>
      <c r="X6889">
        <v>808649</v>
      </c>
      <c r="Y6889" t="s">
        <v>41742</v>
      </c>
      <c r="Z6889" t="e">
        <f ca="1">- replaced B2, B3, B4
- checked _xludf.and cleaned cartridge bay, plunger, _xludf.filter
- generated reports</f>
        <v>#NAME?</v>
      </c>
      <c r="AA6889" t="s">
        <v>240</v>
      </c>
      <c r="AB6889" t="s">
        <v>88</v>
      </c>
      <c r="AD6889" s="2" t="s">
        <v>41743</v>
      </c>
      <c r="AE6889" t="s">
        <v>103</v>
      </c>
      <c r="AG6889" t="s">
        <v>41744</v>
      </c>
      <c r="AH6889" t="s">
        <v>1166</v>
      </c>
      <c r="AI6889" t="s">
        <v>41745</v>
      </c>
    </row>
    <row r="6890" spans="2:35" ht="285">
      <c r="B6890" s="1">
        <v>45161</v>
      </c>
      <c r="C6890" s="4">
        <v>45161.629861111112</v>
      </c>
      <c r="D6890" t="s">
        <v>1155</v>
      </c>
      <c r="E6890" t="s">
        <v>8331</v>
      </c>
      <c r="F6890" t="s">
        <v>148</v>
      </c>
      <c r="G6890" t="s">
        <v>230</v>
      </c>
      <c r="H6890" t="s">
        <v>39</v>
      </c>
      <c r="I6890" t="s">
        <v>40</v>
      </c>
      <c r="J6890" s="2" t="s">
        <v>62</v>
      </c>
      <c r="K6890" t="s">
        <v>42</v>
      </c>
      <c r="L6890" t="s">
        <v>175</v>
      </c>
      <c r="Q6890">
        <v>25663</v>
      </c>
      <c r="R6890" t="s">
        <v>322</v>
      </c>
      <c r="S6890" t="s">
        <v>8332</v>
      </c>
      <c r="T6890">
        <v>25</v>
      </c>
      <c r="U6890" s="2" t="s">
        <v>41738</v>
      </c>
      <c r="V6890" s="1">
        <v>45161</v>
      </c>
      <c r="W6890" t="s">
        <v>84</v>
      </c>
      <c r="X6890">
        <v>807956</v>
      </c>
      <c r="Y6890" t="s">
        <v>8259</v>
      </c>
      <c r="Z6890" t="e">
        <f ca="1">- checked _xludf.and cleaned cartridge bay, plunger rod, _xludf.filter
- performed XpertCheck
- generated reports</f>
        <v>#NAME?</v>
      </c>
      <c r="AA6890" t="s">
        <v>999</v>
      </c>
      <c r="AB6890" s="2" t="s">
        <v>41746</v>
      </c>
      <c r="AD6890" t="s">
        <v>7189</v>
      </c>
      <c r="AE6890" t="s">
        <v>103</v>
      </c>
      <c r="AG6890" t="s">
        <v>41747</v>
      </c>
      <c r="AH6890" t="s">
        <v>1166</v>
      </c>
      <c r="AI6890" t="s">
        <v>41748</v>
      </c>
    </row>
    <row r="6891" spans="2:35" ht="180">
      <c r="B6891" s="1">
        <v>45161</v>
      </c>
      <c r="C6891" s="4">
        <v>45161.623611111114</v>
      </c>
      <c r="D6891" t="s">
        <v>41749</v>
      </c>
      <c r="E6891" t="s">
        <v>41750</v>
      </c>
      <c r="F6891">
        <v>7</v>
      </c>
      <c r="G6891" t="s">
        <v>432</v>
      </c>
      <c r="H6891" t="s">
        <v>1047</v>
      </c>
      <c r="I6891" t="s">
        <v>40</v>
      </c>
      <c r="J6891" s="2" t="s">
        <v>62</v>
      </c>
      <c r="K6891" t="s">
        <v>42</v>
      </c>
      <c r="L6891" t="s">
        <v>1288</v>
      </c>
      <c r="Q6891">
        <v>25662</v>
      </c>
      <c r="R6891" t="s">
        <v>119</v>
      </c>
      <c r="S6891" t="s">
        <v>16409</v>
      </c>
      <c r="T6891">
        <v>22</v>
      </c>
      <c r="U6891" s="2" t="s">
        <v>41751</v>
      </c>
      <c r="V6891" s="1">
        <v>45138</v>
      </c>
      <c r="W6891" t="s">
        <v>1292</v>
      </c>
      <c r="X6891">
        <v>838513</v>
      </c>
      <c r="Y6891" t="s">
        <v>13756</v>
      </c>
      <c r="Z6891" t="e">
        <f ca="1">-COLLECT IQR,system _xludf.Log, _xludf.and ARCHIVE</f>
        <v>#NAME?</v>
      </c>
      <c r="AA6891" t="e">
        <f ca="1">-PERFORM Preventive Maintenance _xludf.and Cleaning
-PERFORM XpertCheck CALIBRATION:
ALL modules PASSES</f>
        <v>#NAME?</v>
      </c>
      <c r="AB6891" t="s">
        <v>1293</v>
      </c>
      <c r="AD6891" t="s">
        <v>5255</v>
      </c>
      <c r="AE6891">
        <v>10352</v>
      </c>
      <c r="AG6891" t="s">
        <v>41752</v>
      </c>
      <c r="AH6891" t="s">
        <v>41753</v>
      </c>
      <c r="AI6891" t="s">
        <v>41754</v>
      </c>
    </row>
    <row r="6892" spans="2:35" ht="165">
      <c r="B6892" s="1">
        <v>45161</v>
      </c>
      <c r="C6892" s="4">
        <v>45161.586805555555</v>
      </c>
      <c r="D6892" t="s">
        <v>8123</v>
      </c>
      <c r="E6892" t="s">
        <v>8124</v>
      </c>
      <c r="F6892">
        <v>13</v>
      </c>
      <c r="G6892" t="s">
        <v>4484</v>
      </c>
      <c r="H6892" t="s">
        <v>2125</v>
      </c>
      <c r="I6892" t="s">
        <v>40</v>
      </c>
      <c r="J6892" s="2" t="s">
        <v>62</v>
      </c>
      <c r="K6892" t="s">
        <v>42</v>
      </c>
      <c r="L6892" t="s">
        <v>933</v>
      </c>
      <c r="Q6892">
        <v>25661</v>
      </c>
      <c r="R6892" t="s">
        <v>119</v>
      </c>
      <c r="S6892" t="s">
        <v>8125</v>
      </c>
      <c r="T6892">
        <v>31.9</v>
      </c>
      <c r="U6892" s="2" t="s">
        <v>24807</v>
      </c>
      <c r="V6892" s="1">
        <v>45139</v>
      </c>
      <c r="W6892" t="s">
        <v>3662</v>
      </c>
      <c r="X6892">
        <v>838554</v>
      </c>
      <c r="Y6892" t="s">
        <v>41755</v>
      </c>
      <c r="Z6892" t="s">
        <v>13654</v>
      </c>
      <c r="AA6892" s="2" t="s">
        <v>2397</v>
      </c>
      <c r="AB6892" s="2" t="s">
        <v>41756</v>
      </c>
      <c r="AD6892" t="s">
        <v>5618</v>
      </c>
      <c r="AE6892">
        <v>10387</v>
      </c>
      <c r="AG6892" t="s">
        <v>41757</v>
      </c>
      <c r="AH6892" t="s">
        <v>8129</v>
      </c>
      <c r="AI6892" t="s">
        <v>41758</v>
      </c>
    </row>
    <row r="6893" spans="2:35" ht="135">
      <c r="B6893" s="1">
        <v>45161</v>
      </c>
      <c r="C6893" s="4">
        <v>45161.584722222222</v>
      </c>
      <c r="D6893" t="s">
        <v>461</v>
      </c>
      <c r="E6893" t="s">
        <v>41759</v>
      </c>
      <c r="F6893" t="s">
        <v>148</v>
      </c>
      <c r="G6893" t="s">
        <v>447</v>
      </c>
      <c r="H6893" t="s">
        <v>39</v>
      </c>
      <c r="I6893" t="s">
        <v>40</v>
      </c>
      <c r="J6893" s="2" t="s">
        <v>41</v>
      </c>
      <c r="K6893" t="s">
        <v>42</v>
      </c>
      <c r="L6893" t="s">
        <v>15532</v>
      </c>
      <c r="Q6893">
        <v>25660</v>
      </c>
      <c r="R6893" t="s">
        <v>45</v>
      </c>
      <c r="S6893" t="s">
        <v>464</v>
      </c>
      <c r="T6893">
        <v>27</v>
      </c>
      <c r="U6893" s="2" t="s">
        <v>41760</v>
      </c>
      <c r="V6893" s="1">
        <v>45161</v>
      </c>
      <c r="W6893" t="s">
        <v>3244</v>
      </c>
      <c r="X6893">
        <v>814160</v>
      </c>
      <c r="Y6893" t="s">
        <v>41761</v>
      </c>
      <c r="Z6893" s="2" t="s">
        <v>33333</v>
      </c>
      <c r="AA6893" t="s">
        <v>9899</v>
      </c>
      <c r="AB6893" s="2" t="s">
        <v>41762</v>
      </c>
      <c r="AD6893" t="s">
        <v>41763</v>
      </c>
      <c r="AE6893" t="s">
        <v>41764</v>
      </c>
      <c r="AG6893" t="s">
        <v>41765</v>
      </c>
      <c r="AH6893" t="s">
        <v>41766</v>
      </c>
      <c r="AI6893" t="s">
        <v>41767</v>
      </c>
    </row>
    <row r="6894" spans="2:35">
      <c r="B6894" s="1">
        <v>45161</v>
      </c>
      <c r="C6894" s="4">
        <v>45161.49722222222</v>
      </c>
      <c r="D6894" t="s">
        <v>36450</v>
      </c>
      <c r="E6894" t="s">
        <v>41768</v>
      </c>
      <c r="F6894">
        <v>11</v>
      </c>
      <c r="G6894" t="s">
        <v>1205</v>
      </c>
      <c r="H6894" t="s">
        <v>202</v>
      </c>
      <c r="I6894" t="s">
        <v>40</v>
      </c>
      <c r="J6894" t="s">
        <v>525</v>
      </c>
      <c r="K6894" t="s">
        <v>42</v>
      </c>
      <c r="L6894" t="s">
        <v>204</v>
      </c>
      <c r="Q6894">
        <v>25659</v>
      </c>
      <c r="R6894" t="s">
        <v>45</v>
      </c>
      <c r="S6894" t="s">
        <v>36452</v>
      </c>
      <c r="T6894">
        <v>24.5</v>
      </c>
      <c r="W6894" t="s">
        <v>23237</v>
      </c>
      <c r="X6894">
        <v>815390</v>
      </c>
      <c r="Y6894" t="s">
        <v>41769</v>
      </c>
      <c r="Z6894" t="s">
        <v>41770</v>
      </c>
      <c r="AA6894" t="s">
        <v>41771</v>
      </c>
      <c r="AB6894" t="s">
        <v>41772</v>
      </c>
      <c r="AC6894" t="s">
        <v>41773</v>
      </c>
      <c r="AG6894" t="s">
        <v>41774</v>
      </c>
      <c r="AH6894" t="s">
        <v>41775</v>
      </c>
      <c r="AI6894" t="s">
        <v>41776</v>
      </c>
    </row>
    <row r="6895" spans="2:35" ht="180">
      <c r="B6895" s="1">
        <v>45161</v>
      </c>
      <c r="C6895" s="4">
        <v>45161.497916666667</v>
      </c>
      <c r="D6895" t="s">
        <v>674</v>
      </c>
      <c r="E6895" t="s">
        <v>41777</v>
      </c>
      <c r="F6895" t="s">
        <v>148</v>
      </c>
      <c r="G6895" t="s">
        <v>447</v>
      </c>
      <c r="H6895" t="s">
        <v>39</v>
      </c>
      <c r="I6895" t="s">
        <v>40</v>
      </c>
      <c r="J6895" s="2" t="s">
        <v>41</v>
      </c>
      <c r="K6895" t="s">
        <v>42</v>
      </c>
      <c r="L6895" t="s">
        <v>15532</v>
      </c>
      <c r="Q6895">
        <v>25658</v>
      </c>
      <c r="R6895" t="s">
        <v>45</v>
      </c>
      <c r="S6895" t="s">
        <v>675</v>
      </c>
      <c r="T6895">
        <v>23</v>
      </c>
      <c r="U6895" s="2" t="s">
        <v>41778</v>
      </c>
      <c r="V6895" s="1">
        <v>45160</v>
      </c>
      <c r="W6895" t="s">
        <v>597</v>
      </c>
      <c r="X6895">
        <v>707527</v>
      </c>
      <c r="Y6895" t="s">
        <v>49</v>
      </c>
      <c r="Z6895" s="2" t="s">
        <v>41779</v>
      </c>
      <c r="AA6895" s="2" t="s">
        <v>41780</v>
      </c>
      <c r="AB6895" t="s">
        <v>34796</v>
      </c>
      <c r="AD6895" t="s">
        <v>41781</v>
      </c>
      <c r="AE6895" t="s">
        <v>41782</v>
      </c>
      <c r="AG6895" t="s">
        <v>41783</v>
      </c>
      <c r="AH6895" t="s">
        <v>41784</v>
      </c>
      <c r="AI6895" t="s">
        <v>41785</v>
      </c>
    </row>
    <row r="6896" spans="2:35" ht="105">
      <c r="B6896" s="1">
        <v>45160</v>
      </c>
      <c r="C6896" s="4">
        <v>45160.580555555556</v>
      </c>
      <c r="D6896" t="s">
        <v>4694</v>
      </c>
      <c r="E6896" t="s">
        <v>13697</v>
      </c>
      <c r="F6896">
        <v>12</v>
      </c>
      <c r="G6896" t="s">
        <v>2137</v>
      </c>
      <c r="H6896" t="s">
        <v>39</v>
      </c>
      <c r="I6896" t="s">
        <v>94</v>
      </c>
      <c r="J6896" s="2" t="s">
        <v>62</v>
      </c>
      <c r="K6896" t="s">
        <v>42</v>
      </c>
      <c r="L6896" t="s">
        <v>296</v>
      </c>
      <c r="Q6896">
        <v>25657</v>
      </c>
      <c r="R6896" t="s">
        <v>119</v>
      </c>
      <c r="S6896" t="s">
        <v>38915</v>
      </c>
      <c r="T6896">
        <v>25.2</v>
      </c>
      <c r="U6896" s="2" t="s">
        <v>7328</v>
      </c>
      <c r="V6896" s="1">
        <v>45160</v>
      </c>
      <c r="W6896" t="s">
        <v>23049</v>
      </c>
      <c r="X6896">
        <v>838545</v>
      </c>
      <c r="Y6896" t="s">
        <v>54</v>
      </c>
      <c r="Z6896" t="s">
        <v>9161</v>
      </c>
      <c r="AA6896" t="s">
        <v>41331</v>
      </c>
      <c r="AB6896" t="s">
        <v>972</v>
      </c>
      <c r="AC6896" t="s">
        <v>41786</v>
      </c>
      <c r="AD6896" t="s">
        <v>38010</v>
      </c>
      <c r="AE6896" t="s">
        <v>41787</v>
      </c>
      <c r="AG6896" t="s">
        <v>41788</v>
      </c>
      <c r="AH6896" t="s">
        <v>38917</v>
      </c>
      <c r="AI6896" t="s">
        <v>41789</v>
      </c>
    </row>
    <row r="6897" spans="2:35" ht="105">
      <c r="B6897" s="1">
        <v>45160</v>
      </c>
      <c r="C6897" s="4">
        <v>45160.624305555553</v>
      </c>
      <c r="D6897" t="s">
        <v>5546</v>
      </c>
      <c r="E6897" t="s">
        <v>1555</v>
      </c>
      <c r="F6897">
        <v>7</v>
      </c>
      <c r="G6897" t="s">
        <v>432</v>
      </c>
      <c r="H6897" t="s">
        <v>39</v>
      </c>
      <c r="I6897" t="s">
        <v>40</v>
      </c>
      <c r="J6897" s="2" t="s">
        <v>1899</v>
      </c>
      <c r="K6897" t="s">
        <v>42</v>
      </c>
      <c r="L6897" t="s">
        <v>433</v>
      </c>
      <c r="Q6897">
        <v>25656</v>
      </c>
      <c r="R6897" t="s">
        <v>45</v>
      </c>
      <c r="S6897" t="s">
        <v>5548</v>
      </c>
      <c r="T6897">
        <v>29</v>
      </c>
      <c r="W6897" t="s">
        <v>1008</v>
      </c>
      <c r="X6897">
        <v>808620</v>
      </c>
      <c r="Y6897" t="s">
        <v>41790</v>
      </c>
      <c r="Z6897" t="s">
        <v>41791</v>
      </c>
      <c r="AA6897" t="s">
        <v>41791</v>
      </c>
      <c r="AB6897" t="s">
        <v>1011</v>
      </c>
      <c r="AG6897" t="s">
        <v>41792</v>
      </c>
      <c r="AH6897" t="s">
        <v>7130</v>
      </c>
      <c r="AI6897" t="s">
        <v>41793</v>
      </c>
    </row>
    <row r="6898" spans="2:35" ht="390">
      <c r="B6898" s="1">
        <v>45160</v>
      </c>
      <c r="C6898" s="4">
        <v>45160.520138888889</v>
      </c>
      <c r="D6898" t="s">
        <v>737</v>
      </c>
      <c r="E6898" t="s">
        <v>41794</v>
      </c>
      <c r="F6898">
        <v>8</v>
      </c>
      <c r="G6898" t="s">
        <v>630</v>
      </c>
      <c r="H6898" t="s">
        <v>36499</v>
      </c>
      <c r="I6898" t="s">
        <v>40</v>
      </c>
      <c r="J6898" s="2" t="s">
        <v>41</v>
      </c>
      <c r="K6898" t="s">
        <v>42</v>
      </c>
      <c r="L6898" t="s">
        <v>259</v>
      </c>
      <c r="Q6898">
        <v>25655</v>
      </c>
      <c r="R6898" t="s">
        <v>45</v>
      </c>
      <c r="S6898" t="s">
        <v>24658</v>
      </c>
      <c r="T6898">
        <v>25</v>
      </c>
      <c r="U6898" s="2" t="s">
        <v>41795</v>
      </c>
      <c r="V6898" s="1">
        <v>45160</v>
      </c>
      <c r="W6898" t="s">
        <v>35955</v>
      </c>
      <c r="X6898">
        <v>835060</v>
      </c>
      <c r="Y6898" t="s">
        <v>41796</v>
      </c>
      <c r="Z6898" t="e">
        <f ca="1">- module Replacement
- Preventive Maintenance</f>
        <v>#NAME?</v>
      </c>
      <c r="AA6898" s="2" t="s">
        <v>41797</v>
      </c>
      <c r="AB6898" t="s">
        <v>70</v>
      </c>
      <c r="AD6898" t="s">
        <v>41798</v>
      </c>
      <c r="AE6898" t="s">
        <v>45</v>
      </c>
      <c r="AG6898" t="s">
        <v>41799</v>
      </c>
      <c r="AH6898" t="s">
        <v>24665</v>
      </c>
      <c r="AI6898" t="s">
        <v>41800</v>
      </c>
    </row>
    <row r="6899" spans="2:35" ht="225">
      <c r="B6899" s="1">
        <v>45160</v>
      </c>
      <c r="C6899" s="4">
        <v>45160.49722222222</v>
      </c>
      <c r="D6899" t="s">
        <v>21029</v>
      </c>
      <c r="E6899" t="s">
        <v>20596</v>
      </c>
      <c r="F6899">
        <v>3</v>
      </c>
      <c r="G6899" t="s">
        <v>134</v>
      </c>
      <c r="H6899" t="s">
        <v>39</v>
      </c>
      <c r="I6899" t="s">
        <v>40</v>
      </c>
      <c r="J6899" s="2" t="s">
        <v>1592</v>
      </c>
      <c r="K6899" t="s">
        <v>42</v>
      </c>
      <c r="L6899" t="s">
        <v>135</v>
      </c>
      <c r="Q6899">
        <v>25654</v>
      </c>
      <c r="R6899" t="s">
        <v>322</v>
      </c>
      <c r="S6899" t="s">
        <v>14695</v>
      </c>
      <c r="T6899">
        <v>24</v>
      </c>
      <c r="U6899" s="2" t="s">
        <v>7554</v>
      </c>
      <c r="W6899" t="s">
        <v>2680</v>
      </c>
      <c r="X6899">
        <v>110018556</v>
      </c>
      <c r="Y6899" t="s">
        <v>41801</v>
      </c>
      <c r="Z6899" t="s">
        <v>4487</v>
      </c>
      <c r="AA6899" s="2" t="s">
        <v>41802</v>
      </c>
      <c r="AB6899" t="s">
        <v>9590</v>
      </c>
      <c r="AG6899" t="s">
        <v>41803</v>
      </c>
      <c r="AH6899" t="s">
        <v>21033</v>
      </c>
      <c r="AI6899" t="s">
        <v>41804</v>
      </c>
    </row>
    <row r="6900" spans="2:35" ht="225">
      <c r="B6900" s="1">
        <v>45160</v>
      </c>
      <c r="C6900" s="4">
        <v>45160.468055555553</v>
      </c>
      <c r="D6900" t="s">
        <v>20859</v>
      </c>
      <c r="E6900" t="s">
        <v>41805</v>
      </c>
      <c r="F6900">
        <v>5</v>
      </c>
      <c r="G6900" t="s">
        <v>759</v>
      </c>
      <c r="H6900" t="s">
        <v>39</v>
      </c>
      <c r="I6900" t="s">
        <v>40</v>
      </c>
      <c r="J6900" s="2" t="s">
        <v>62</v>
      </c>
      <c r="K6900" t="s">
        <v>42</v>
      </c>
      <c r="L6900" t="s">
        <v>761</v>
      </c>
      <c r="Q6900">
        <v>25653</v>
      </c>
      <c r="R6900" t="s">
        <v>119</v>
      </c>
      <c r="S6900" t="s">
        <v>7298</v>
      </c>
      <c r="T6900">
        <v>30</v>
      </c>
      <c r="U6900" s="2" t="s">
        <v>41806</v>
      </c>
      <c r="W6900" t="s">
        <v>360</v>
      </c>
      <c r="X6900">
        <v>838264</v>
      </c>
      <c r="Y6900" t="s">
        <v>41807</v>
      </c>
      <c r="Z6900" s="2" t="s">
        <v>41808</v>
      </c>
      <c r="AA6900" s="2" t="s">
        <v>4477</v>
      </c>
      <c r="AB6900" t="s">
        <v>181</v>
      </c>
      <c r="AG6900" t="s">
        <v>41809</v>
      </c>
      <c r="AH6900" t="s">
        <v>11125</v>
      </c>
      <c r="AI6900" t="s">
        <v>41810</v>
      </c>
    </row>
    <row r="6901" spans="2:35" ht="409.5">
      <c r="B6901" s="1">
        <v>45160</v>
      </c>
      <c r="C6901" s="4">
        <v>45160.462500000001</v>
      </c>
      <c r="D6901" t="s">
        <v>837</v>
      </c>
      <c r="E6901" t="s">
        <v>12521</v>
      </c>
      <c r="F6901">
        <v>5</v>
      </c>
      <c r="G6901" t="s">
        <v>839</v>
      </c>
      <c r="H6901" t="s">
        <v>39</v>
      </c>
      <c r="I6901" t="s">
        <v>40</v>
      </c>
      <c r="J6901" t="s">
        <v>109</v>
      </c>
      <c r="K6901" t="s">
        <v>42</v>
      </c>
      <c r="L6901" t="s">
        <v>761</v>
      </c>
      <c r="Q6901">
        <v>25652</v>
      </c>
      <c r="R6901" t="s">
        <v>45</v>
      </c>
      <c r="S6901" t="s">
        <v>36864</v>
      </c>
      <c r="T6901">
        <v>30</v>
      </c>
      <c r="U6901" s="2" t="s">
        <v>41811</v>
      </c>
      <c r="W6901" t="s">
        <v>895</v>
      </c>
      <c r="X6901">
        <v>842225</v>
      </c>
      <c r="Y6901" t="s">
        <v>1052</v>
      </c>
      <c r="Z6901" s="2" t="s">
        <v>41812</v>
      </c>
      <c r="AA6901" t="s">
        <v>820</v>
      </c>
      <c r="AB6901" t="s">
        <v>181</v>
      </c>
      <c r="AG6901" t="s">
        <v>41813</v>
      </c>
      <c r="AH6901" t="s">
        <v>36870</v>
      </c>
      <c r="AI6901" t="s">
        <v>41814</v>
      </c>
    </row>
    <row r="6902" spans="2:35" ht="240">
      <c r="B6902" s="1">
        <v>45160</v>
      </c>
      <c r="C6902" s="4">
        <v>45160.376388888886</v>
      </c>
      <c r="D6902" t="s">
        <v>22297</v>
      </c>
      <c r="E6902" t="s">
        <v>40369</v>
      </c>
      <c r="F6902">
        <v>5</v>
      </c>
      <c r="G6902" t="s">
        <v>839</v>
      </c>
      <c r="H6902" t="s">
        <v>39</v>
      </c>
      <c r="I6902" t="s">
        <v>40</v>
      </c>
      <c r="J6902" s="2" t="s">
        <v>41</v>
      </c>
      <c r="K6902" t="s">
        <v>42</v>
      </c>
      <c r="L6902" t="s">
        <v>761</v>
      </c>
      <c r="Q6902">
        <v>25651</v>
      </c>
      <c r="R6902" t="s">
        <v>45</v>
      </c>
      <c r="S6902" t="s">
        <v>41815</v>
      </c>
      <c r="T6902">
        <v>30</v>
      </c>
      <c r="U6902" s="2" t="s">
        <v>41816</v>
      </c>
      <c r="W6902" t="s">
        <v>360</v>
      </c>
      <c r="X6902">
        <v>808641</v>
      </c>
      <c r="Y6902" t="s">
        <v>41817</v>
      </c>
      <c r="Z6902" s="2" t="s">
        <v>41818</v>
      </c>
      <c r="AA6902" s="2" t="s">
        <v>41819</v>
      </c>
      <c r="AB6902" t="s">
        <v>181</v>
      </c>
      <c r="AG6902" t="s">
        <v>41820</v>
      </c>
      <c r="AH6902" t="s">
        <v>21256</v>
      </c>
      <c r="AI6902" t="s">
        <v>41821</v>
      </c>
    </row>
    <row r="6903" spans="2:35">
      <c r="B6903" s="1">
        <v>45160</v>
      </c>
      <c r="C6903" s="4">
        <v>45155.481249999997</v>
      </c>
      <c r="D6903" t="s">
        <v>38422</v>
      </c>
      <c r="E6903" t="s">
        <v>41822</v>
      </c>
      <c r="F6903" t="s">
        <v>148</v>
      </c>
      <c r="G6903" t="s">
        <v>447</v>
      </c>
      <c r="H6903" t="s">
        <v>386</v>
      </c>
      <c r="I6903" t="s">
        <v>40</v>
      </c>
      <c r="J6903" t="s">
        <v>525</v>
      </c>
      <c r="K6903" t="s">
        <v>387</v>
      </c>
      <c r="L6903" t="s">
        <v>448</v>
      </c>
      <c r="Q6903">
        <v>25650</v>
      </c>
      <c r="R6903" t="s">
        <v>322</v>
      </c>
      <c r="S6903" t="s">
        <v>37391</v>
      </c>
      <c r="T6903">
        <v>28</v>
      </c>
      <c r="W6903" t="s">
        <v>476</v>
      </c>
      <c r="X6903">
        <v>20168</v>
      </c>
      <c r="Y6903" t="s">
        <v>41823</v>
      </c>
      <c r="Z6903" t="s">
        <v>41495</v>
      </c>
      <c r="AA6903" t="s">
        <v>4487</v>
      </c>
      <c r="AB6903" t="s">
        <v>486</v>
      </c>
      <c r="AG6903" t="s">
        <v>41824</v>
      </c>
      <c r="AH6903" t="s">
        <v>25726</v>
      </c>
      <c r="AI6903" t="s">
        <v>41825</v>
      </c>
    </row>
    <row r="6904" spans="2:35">
      <c r="B6904" s="1">
        <v>45160</v>
      </c>
      <c r="C6904" s="4">
        <v>45155.459027777775</v>
      </c>
      <c r="D6904" t="s">
        <v>38422</v>
      </c>
      <c r="E6904" t="s">
        <v>41822</v>
      </c>
      <c r="F6904" t="s">
        <v>148</v>
      </c>
      <c r="G6904" t="s">
        <v>447</v>
      </c>
      <c r="H6904" t="s">
        <v>386</v>
      </c>
      <c r="I6904" t="s">
        <v>40</v>
      </c>
      <c r="J6904" t="s">
        <v>525</v>
      </c>
      <c r="K6904" t="s">
        <v>387</v>
      </c>
      <c r="L6904" t="s">
        <v>448</v>
      </c>
      <c r="Q6904">
        <v>25649</v>
      </c>
      <c r="R6904" t="s">
        <v>322</v>
      </c>
      <c r="S6904" t="s">
        <v>37391</v>
      </c>
      <c r="T6904">
        <v>28</v>
      </c>
      <c r="W6904" t="s">
        <v>476</v>
      </c>
      <c r="X6904" t="s">
        <v>3690</v>
      </c>
      <c r="Y6904" t="s">
        <v>41826</v>
      </c>
      <c r="Z6904" t="s">
        <v>41827</v>
      </c>
      <c r="AA6904" t="s">
        <v>4487</v>
      </c>
      <c r="AB6904" t="s">
        <v>486</v>
      </c>
      <c r="AG6904" t="s">
        <v>41828</v>
      </c>
      <c r="AH6904" t="s">
        <v>25726</v>
      </c>
      <c r="AI6904" t="s">
        <v>41829</v>
      </c>
    </row>
    <row r="6905" spans="2:35" ht="240">
      <c r="B6905" s="1">
        <v>45159</v>
      </c>
      <c r="C6905" s="4">
        <v>45156.540972222225</v>
      </c>
      <c r="D6905" t="s">
        <v>41830</v>
      </c>
      <c r="E6905" t="s">
        <v>41831</v>
      </c>
      <c r="F6905" t="s">
        <v>511</v>
      </c>
      <c r="G6905" t="s">
        <v>512</v>
      </c>
      <c r="H6905" t="s">
        <v>608</v>
      </c>
      <c r="I6905" t="s">
        <v>40</v>
      </c>
      <c r="J6905" s="2" t="s">
        <v>62</v>
      </c>
      <c r="K6905" t="s">
        <v>42</v>
      </c>
      <c r="L6905" t="s">
        <v>448</v>
      </c>
      <c r="Q6905">
        <v>25648</v>
      </c>
      <c r="R6905" t="s">
        <v>45</v>
      </c>
      <c r="S6905" t="s">
        <v>23268</v>
      </c>
      <c r="T6905">
        <v>26</v>
      </c>
      <c r="U6905" s="2" t="s">
        <v>41832</v>
      </c>
      <c r="W6905" t="s">
        <v>360</v>
      </c>
      <c r="X6905">
        <v>805212</v>
      </c>
      <c r="Y6905" t="s">
        <v>6494</v>
      </c>
      <c r="Z6905" s="2" t="s">
        <v>41833</v>
      </c>
      <c r="AA6905" t="s">
        <v>28936</v>
      </c>
      <c r="AB6905" t="s">
        <v>41834</v>
      </c>
      <c r="AG6905" t="s">
        <v>41835</v>
      </c>
      <c r="AH6905" t="s">
        <v>16579</v>
      </c>
      <c r="AI6905" t="s">
        <v>41836</v>
      </c>
    </row>
    <row r="6906" spans="2:35" ht="105">
      <c r="B6906" s="1">
        <v>45156</v>
      </c>
      <c r="C6906" s="4">
        <v>45156.790277777778</v>
      </c>
      <c r="D6906" t="s">
        <v>33036</v>
      </c>
      <c r="E6906" t="s">
        <v>41837</v>
      </c>
      <c r="F6906">
        <v>7</v>
      </c>
      <c r="G6906" t="s">
        <v>432</v>
      </c>
      <c r="H6906" t="s">
        <v>2290</v>
      </c>
      <c r="I6906" t="s">
        <v>94</v>
      </c>
      <c r="J6906" t="s">
        <v>996</v>
      </c>
      <c r="K6906" t="s">
        <v>42</v>
      </c>
      <c r="L6906" t="s">
        <v>610</v>
      </c>
      <c r="Q6906">
        <v>25647</v>
      </c>
      <c r="R6906" t="s">
        <v>119</v>
      </c>
      <c r="S6906" t="s">
        <v>1818</v>
      </c>
      <c r="T6906">
        <v>24</v>
      </c>
      <c r="U6906" s="2" t="s">
        <v>41838</v>
      </c>
      <c r="W6906" t="s">
        <v>502</v>
      </c>
      <c r="X6906">
        <v>838263</v>
      </c>
      <c r="Y6906" t="s">
        <v>41839</v>
      </c>
      <c r="Z6906" t="s">
        <v>41840</v>
      </c>
      <c r="AA6906" t="s">
        <v>41841</v>
      </c>
      <c r="AB6906" t="s">
        <v>41842</v>
      </c>
      <c r="AG6906" t="s">
        <v>41843</v>
      </c>
      <c r="AH6906" t="s">
        <v>4234</v>
      </c>
      <c r="AI6906" t="s">
        <v>41844</v>
      </c>
    </row>
    <row r="6907" spans="2:35" ht="300">
      <c r="B6907" s="1">
        <v>45156</v>
      </c>
      <c r="C6907" s="4">
        <v>45156.781944444447</v>
      </c>
      <c r="D6907" t="s">
        <v>41845</v>
      </c>
      <c r="E6907" t="s">
        <v>41846</v>
      </c>
      <c r="F6907">
        <v>7</v>
      </c>
      <c r="G6907" t="s">
        <v>432</v>
      </c>
      <c r="H6907" t="s">
        <v>10969</v>
      </c>
      <c r="I6907" t="s">
        <v>40</v>
      </c>
      <c r="J6907" s="2" t="s">
        <v>355</v>
      </c>
      <c r="K6907" t="s">
        <v>42</v>
      </c>
      <c r="L6907" t="s">
        <v>1288</v>
      </c>
      <c r="Q6907">
        <v>25646</v>
      </c>
      <c r="R6907" t="s">
        <v>45</v>
      </c>
      <c r="S6907" t="s">
        <v>36996</v>
      </c>
      <c r="T6907">
        <v>0</v>
      </c>
      <c r="W6907" t="s">
        <v>1292</v>
      </c>
      <c r="X6907">
        <v>835057</v>
      </c>
      <c r="Y6907" t="s">
        <v>41847</v>
      </c>
      <c r="Z6907" t="e">
        <f ca="1">-COLLECT DOCUMENTATION _xludf.For Reported issue</f>
        <v>#NAME?</v>
      </c>
      <c r="AA6907" s="2" t="s">
        <v>41848</v>
      </c>
      <c r="AB6907" t="s">
        <v>41849</v>
      </c>
      <c r="AG6907" t="s">
        <v>41850</v>
      </c>
      <c r="AH6907" t="s">
        <v>41851</v>
      </c>
      <c r="AI6907" t="s">
        <v>41852</v>
      </c>
    </row>
    <row r="6908" spans="2:35" ht="360">
      <c r="B6908" s="1">
        <v>45156</v>
      </c>
      <c r="C6908" s="4">
        <v>45156.67083333333</v>
      </c>
      <c r="D6908" t="s">
        <v>37809</v>
      </c>
      <c r="E6908" t="s">
        <v>41853</v>
      </c>
      <c r="F6908" t="s">
        <v>148</v>
      </c>
      <c r="G6908" t="s">
        <v>310</v>
      </c>
      <c r="H6908" t="s">
        <v>39</v>
      </c>
      <c r="I6908" t="s">
        <v>40</v>
      </c>
      <c r="J6908" s="2" t="s">
        <v>41</v>
      </c>
      <c r="K6908" t="s">
        <v>42</v>
      </c>
      <c r="L6908" t="s">
        <v>409</v>
      </c>
      <c r="Q6908">
        <v>25645</v>
      </c>
      <c r="R6908" t="s">
        <v>322</v>
      </c>
      <c r="S6908" t="s">
        <v>859</v>
      </c>
      <c r="T6908">
        <v>23.2</v>
      </c>
      <c r="U6908" s="2" t="s">
        <v>41854</v>
      </c>
      <c r="V6908" s="1">
        <v>45152</v>
      </c>
      <c r="W6908" t="s">
        <v>6901</v>
      </c>
      <c r="X6908">
        <v>809643</v>
      </c>
      <c r="Y6908" t="s">
        <v>41855</v>
      </c>
      <c r="Z6908" t="s">
        <v>41856</v>
      </c>
      <c r="AA6908" s="2" t="s">
        <v>41857</v>
      </c>
      <c r="AB6908" t="s">
        <v>181</v>
      </c>
      <c r="AC6908" t="s">
        <v>41858</v>
      </c>
      <c r="AD6908" t="s">
        <v>41859</v>
      </c>
      <c r="AE6908" t="s">
        <v>41860</v>
      </c>
      <c r="AG6908" t="s">
        <v>41861</v>
      </c>
      <c r="AH6908" t="s">
        <v>6908</v>
      </c>
      <c r="AI6908" t="s">
        <v>41862</v>
      </c>
    </row>
    <row r="6909" spans="2:35" ht="180">
      <c r="B6909" s="1">
        <v>45156</v>
      </c>
      <c r="C6909" s="4">
        <v>45156.658333333333</v>
      </c>
      <c r="D6909" t="s">
        <v>13199</v>
      </c>
      <c r="E6909" t="s">
        <v>41863</v>
      </c>
      <c r="F6909">
        <v>7</v>
      </c>
      <c r="G6909" t="s">
        <v>432</v>
      </c>
      <c r="H6909" t="s">
        <v>10969</v>
      </c>
      <c r="I6909" t="s">
        <v>40</v>
      </c>
      <c r="J6909" s="2" t="s">
        <v>62</v>
      </c>
      <c r="K6909" t="s">
        <v>42</v>
      </c>
      <c r="L6909" t="s">
        <v>1288</v>
      </c>
      <c r="Q6909">
        <v>25644</v>
      </c>
      <c r="R6909" t="s">
        <v>119</v>
      </c>
      <c r="S6909" t="s">
        <v>13201</v>
      </c>
      <c r="T6909">
        <v>30</v>
      </c>
      <c r="U6909" s="2" t="s">
        <v>41864</v>
      </c>
      <c r="V6909" s="1">
        <v>45865</v>
      </c>
      <c r="W6909" t="s">
        <v>1292</v>
      </c>
      <c r="X6909">
        <v>838509</v>
      </c>
      <c r="Y6909" t="s">
        <v>10179</v>
      </c>
      <c r="Z6909" t="e">
        <f ca="1">-COLLECT IQR, system _xludf.Log, _xludf.and ARCHIVE</f>
        <v>#NAME?</v>
      </c>
      <c r="AA6909" t="e">
        <f ca="1">-PERFORM Cleaning _xludf.and Preventive Maintenance
-PERFORM module B2 _xludf.and B3 Replacement, passed</f>
        <v>#NAME?</v>
      </c>
      <c r="AB6909" t="s">
        <v>1293</v>
      </c>
      <c r="AD6909" t="s">
        <v>5255</v>
      </c>
      <c r="AE6909">
        <v>10322</v>
      </c>
      <c r="AG6909" t="s">
        <v>41865</v>
      </c>
      <c r="AH6909" t="s">
        <v>8469</v>
      </c>
      <c r="AI6909" t="s">
        <v>41866</v>
      </c>
    </row>
    <row r="6910" spans="2:35" ht="300">
      <c r="B6910" s="1">
        <v>45156</v>
      </c>
      <c r="C6910" s="4">
        <v>45156.620138888888</v>
      </c>
      <c r="D6910" t="s">
        <v>24517</v>
      </c>
      <c r="E6910" t="s">
        <v>24518</v>
      </c>
      <c r="F6910">
        <v>3</v>
      </c>
      <c r="G6910" t="s">
        <v>134</v>
      </c>
      <c r="H6910" t="s">
        <v>9141</v>
      </c>
      <c r="I6910" t="s">
        <v>40</v>
      </c>
      <c r="J6910" s="2" t="s">
        <v>1808</v>
      </c>
      <c r="K6910" t="s">
        <v>42</v>
      </c>
      <c r="L6910" t="s">
        <v>63</v>
      </c>
      <c r="Q6910">
        <v>25643</v>
      </c>
      <c r="R6910" t="s">
        <v>322</v>
      </c>
      <c r="S6910" t="s">
        <v>9328</v>
      </c>
      <c r="T6910">
        <v>28</v>
      </c>
      <c r="V6910" s="1">
        <v>45156</v>
      </c>
      <c r="W6910" t="s">
        <v>26915</v>
      </c>
      <c r="X6910">
        <v>110013748</v>
      </c>
      <c r="Y6910" t="s">
        <v>1716</v>
      </c>
      <c r="Z6910" t="s">
        <v>1716</v>
      </c>
      <c r="AA6910" s="2" t="s">
        <v>41867</v>
      </c>
      <c r="AB6910" t="s">
        <v>70</v>
      </c>
      <c r="AC6910" t="s">
        <v>1716</v>
      </c>
      <c r="AD6910" t="s">
        <v>1716</v>
      </c>
      <c r="AE6910" t="s">
        <v>1716</v>
      </c>
      <c r="AG6910" t="s">
        <v>41868</v>
      </c>
      <c r="AH6910" t="s">
        <v>14739</v>
      </c>
      <c r="AI6910" t="s">
        <v>41869</v>
      </c>
    </row>
    <row r="6911" spans="2:35" ht="345">
      <c r="B6911" s="1">
        <v>45156</v>
      </c>
      <c r="C6911" s="4">
        <v>45156.579861111109</v>
      </c>
      <c r="D6911" t="s">
        <v>4982</v>
      </c>
      <c r="E6911" t="s">
        <v>41870</v>
      </c>
      <c r="F6911">
        <v>5</v>
      </c>
      <c r="G6911" t="s">
        <v>759</v>
      </c>
      <c r="H6911" t="s">
        <v>39</v>
      </c>
      <c r="I6911" t="s">
        <v>40</v>
      </c>
      <c r="J6911" s="2" t="s">
        <v>41</v>
      </c>
      <c r="K6911" t="s">
        <v>42</v>
      </c>
      <c r="L6911" t="s">
        <v>761</v>
      </c>
      <c r="Q6911">
        <v>25642</v>
      </c>
      <c r="R6911" t="s">
        <v>45</v>
      </c>
      <c r="S6911" t="s">
        <v>4983</v>
      </c>
      <c r="T6911">
        <v>26</v>
      </c>
      <c r="U6911" s="2" t="s">
        <v>41871</v>
      </c>
      <c r="W6911" t="s">
        <v>360</v>
      </c>
      <c r="X6911">
        <v>808636</v>
      </c>
      <c r="Y6911" t="s">
        <v>41872</v>
      </c>
      <c r="Z6911" s="2" t="s">
        <v>41873</v>
      </c>
      <c r="AA6911" s="2" t="s">
        <v>41874</v>
      </c>
      <c r="AB6911" t="s">
        <v>181</v>
      </c>
      <c r="AG6911" t="s">
        <v>41875</v>
      </c>
      <c r="AH6911" t="s">
        <v>41876</v>
      </c>
      <c r="AI6911" t="s">
        <v>41877</v>
      </c>
    </row>
    <row r="6912" spans="2:35" ht="60">
      <c r="B6912" s="1">
        <v>45156</v>
      </c>
      <c r="C6912" s="4">
        <v>45156.556944444441</v>
      </c>
      <c r="D6912" t="s">
        <v>7325</v>
      </c>
      <c r="E6912" t="s">
        <v>12097</v>
      </c>
      <c r="F6912">
        <v>12</v>
      </c>
      <c r="G6912" t="s">
        <v>978</v>
      </c>
      <c r="H6912" t="s">
        <v>39</v>
      </c>
      <c r="I6912" t="s">
        <v>94</v>
      </c>
      <c r="J6912" s="2" t="s">
        <v>62</v>
      </c>
      <c r="K6912" t="s">
        <v>42</v>
      </c>
      <c r="L6912" t="s">
        <v>296</v>
      </c>
      <c r="Q6912">
        <v>25641</v>
      </c>
      <c r="R6912" t="s">
        <v>119</v>
      </c>
      <c r="S6912" t="s">
        <v>41878</v>
      </c>
      <c r="T6912">
        <v>27.1</v>
      </c>
      <c r="V6912" s="1">
        <v>45156</v>
      </c>
      <c r="W6912" t="s">
        <v>23049</v>
      </c>
      <c r="X6912">
        <v>838265</v>
      </c>
      <c r="Y6912" t="s">
        <v>54</v>
      </c>
      <c r="Z6912" t="s">
        <v>9161</v>
      </c>
      <c r="AA6912" t="s">
        <v>41331</v>
      </c>
      <c r="AB6912" t="s">
        <v>972</v>
      </c>
      <c r="AC6912" t="s">
        <v>25110</v>
      </c>
      <c r="AD6912" t="s">
        <v>41879</v>
      </c>
      <c r="AE6912" t="s">
        <v>41880</v>
      </c>
      <c r="AG6912" t="s">
        <v>41881</v>
      </c>
      <c r="AH6912" t="s">
        <v>41882</v>
      </c>
      <c r="AI6912" t="s">
        <v>41883</v>
      </c>
    </row>
    <row r="6913" spans="2:35" ht="105">
      <c r="B6913" s="1">
        <v>45156</v>
      </c>
      <c r="C6913" s="4">
        <v>45156.56527777778</v>
      </c>
      <c r="D6913" t="s">
        <v>3154</v>
      </c>
      <c r="E6913" t="s">
        <v>41884</v>
      </c>
      <c r="F6913">
        <v>9</v>
      </c>
      <c r="G6913" t="s">
        <v>2197</v>
      </c>
      <c r="H6913" t="s">
        <v>39</v>
      </c>
      <c r="I6913" t="s">
        <v>40</v>
      </c>
      <c r="J6913" s="2" t="s">
        <v>62</v>
      </c>
      <c r="K6913" t="s">
        <v>42</v>
      </c>
      <c r="L6913" t="s">
        <v>1257</v>
      </c>
      <c r="Q6913">
        <v>25640</v>
      </c>
      <c r="R6913" t="s">
        <v>45</v>
      </c>
      <c r="S6913" t="s">
        <v>33516</v>
      </c>
      <c r="T6913">
        <v>22</v>
      </c>
      <c r="U6913" s="2" t="s">
        <v>15078</v>
      </c>
      <c r="V6913" s="1">
        <v>45156</v>
      </c>
      <c r="W6913" t="s">
        <v>2384</v>
      </c>
      <c r="X6913">
        <v>818902</v>
      </c>
      <c r="Y6913" t="s">
        <v>301</v>
      </c>
      <c r="Z6913" t="s">
        <v>41885</v>
      </c>
      <c r="AA6913" t="s">
        <v>37707</v>
      </c>
      <c r="AB6913" t="s">
        <v>41886</v>
      </c>
      <c r="AC6913" t="s">
        <v>41887</v>
      </c>
      <c r="AD6913" t="s">
        <v>54</v>
      </c>
      <c r="AE6913" t="s">
        <v>54</v>
      </c>
      <c r="AG6913" t="s">
        <v>41888</v>
      </c>
      <c r="AH6913" t="s">
        <v>3163</v>
      </c>
      <c r="AI6913" t="s">
        <v>41889</v>
      </c>
    </row>
    <row r="6914" spans="2:35" ht="255">
      <c r="B6914" s="1">
        <v>45156</v>
      </c>
      <c r="C6914" s="4">
        <v>45156.42291666667</v>
      </c>
      <c r="D6914" t="s">
        <v>7200</v>
      </c>
      <c r="E6914" t="s">
        <v>7201</v>
      </c>
      <c r="F6914">
        <v>12</v>
      </c>
      <c r="G6914" t="s">
        <v>978</v>
      </c>
      <c r="H6914" t="s">
        <v>39</v>
      </c>
      <c r="I6914" t="s">
        <v>94</v>
      </c>
      <c r="J6914" s="2" t="s">
        <v>62</v>
      </c>
      <c r="K6914" t="s">
        <v>42</v>
      </c>
      <c r="L6914" t="s">
        <v>296</v>
      </c>
      <c r="Q6914">
        <v>25639</v>
      </c>
      <c r="R6914" t="s">
        <v>119</v>
      </c>
      <c r="S6914" t="s">
        <v>7202</v>
      </c>
      <c r="T6914">
        <v>26.8</v>
      </c>
      <c r="U6914" s="2" t="s">
        <v>12755</v>
      </c>
      <c r="V6914" s="1">
        <v>45156</v>
      </c>
      <c r="W6914" t="s">
        <v>23049</v>
      </c>
      <c r="X6914">
        <v>838504</v>
      </c>
      <c r="Y6914" s="2" t="s">
        <v>41890</v>
      </c>
      <c r="Z6914" t="s">
        <v>9161</v>
      </c>
      <c r="AA6914" t="s">
        <v>41331</v>
      </c>
      <c r="AB6914" t="s">
        <v>17179</v>
      </c>
      <c r="AC6914" t="s">
        <v>41891</v>
      </c>
      <c r="AD6914" t="s">
        <v>38010</v>
      </c>
      <c r="AE6914" t="s">
        <v>41892</v>
      </c>
      <c r="AG6914" t="s">
        <v>41893</v>
      </c>
      <c r="AH6914" t="s">
        <v>41894</v>
      </c>
      <c r="AI6914" t="s">
        <v>41895</v>
      </c>
    </row>
    <row r="6915" spans="2:35" ht="255">
      <c r="B6915" s="1">
        <v>45156</v>
      </c>
      <c r="C6915" s="4">
        <v>45156.42291666667</v>
      </c>
      <c r="D6915" t="s">
        <v>7200</v>
      </c>
      <c r="E6915" t="s">
        <v>7201</v>
      </c>
      <c r="F6915">
        <v>12</v>
      </c>
      <c r="G6915" t="s">
        <v>978</v>
      </c>
      <c r="H6915" t="s">
        <v>39</v>
      </c>
      <c r="I6915" t="s">
        <v>94</v>
      </c>
      <c r="J6915" s="2" t="s">
        <v>62</v>
      </c>
      <c r="K6915" t="s">
        <v>42</v>
      </c>
      <c r="L6915" t="s">
        <v>296</v>
      </c>
      <c r="Q6915">
        <v>25638</v>
      </c>
      <c r="R6915" t="s">
        <v>119</v>
      </c>
      <c r="S6915" t="s">
        <v>7202</v>
      </c>
      <c r="T6915">
        <v>26.8</v>
      </c>
      <c r="U6915" s="2" t="s">
        <v>12755</v>
      </c>
      <c r="V6915" s="1">
        <v>45156</v>
      </c>
      <c r="W6915" t="s">
        <v>23049</v>
      </c>
      <c r="X6915">
        <v>838504</v>
      </c>
      <c r="Y6915" s="2" t="s">
        <v>41890</v>
      </c>
      <c r="Z6915" t="s">
        <v>9161</v>
      </c>
      <c r="AA6915" t="s">
        <v>41331</v>
      </c>
      <c r="AB6915" t="s">
        <v>17179</v>
      </c>
      <c r="AC6915" t="s">
        <v>41891</v>
      </c>
      <c r="AD6915" t="s">
        <v>38010</v>
      </c>
      <c r="AE6915" t="s">
        <v>41892</v>
      </c>
      <c r="AG6915" t="s">
        <v>41896</v>
      </c>
      <c r="AH6915" t="s">
        <v>41894</v>
      </c>
      <c r="AI6915" t="s">
        <v>41897</v>
      </c>
    </row>
    <row r="6916" spans="2:35" ht="105">
      <c r="B6916" s="1">
        <v>45156</v>
      </c>
      <c r="C6916" s="4">
        <v>45156.496527777781</v>
      </c>
      <c r="D6916" t="s">
        <v>41830</v>
      </c>
      <c r="E6916" t="s">
        <v>510</v>
      </c>
      <c r="F6916" t="s">
        <v>511</v>
      </c>
      <c r="G6916" t="s">
        <v>512</v>
      </c>
      <c r="H6916" t="s">
        <v>662</v>
      </c>
      <c r="I6916" t="s">
        <v>40</v>
      </c>
      <c r="J6916" t="s">
        <v>79</v>
      </c>
      <c r="K6916" t="s">
        <v>42</v>
      </c>
      <c r="L6916" t="s">
        <v>448</v>
      </c>
      <c r="Q6916">
        <v>25637</v>
      </c>
      <c r="R6916" t="s">
        <v>322</v>
      </c>
      <c r="S6916" t="s">
        <v>9806</v>
      </c>
      <c r="T6916">
        <v>25</v>
      </c>
      <c r="U6916" s="2" t="s">
        <v>41898</v>
      </c>
      <c r="V6916" s="1">
        <v>45154</v>
      </c>
      <c r="W6916" t="s">
        <v>41899</v>
      </c>
      <c r="X6916">
        <v>110016112</v>
      </c>
      <c r="Y6916" t="s">
        <v>41900</v>
      </c>
      <c r="Z6916" t="s">
        <v>41901</v>
      </c>
      <c r="AA6916" t="s">
        <v>5712</v>
      </c>
      <c r="AB6916" t="s">
        <v>4741</v>
      </c>
      <c r="AD6916" t="s">
        <v>10535</v>
      </c>
      <c r="AE6916" t="s">
        <v>41902</v>
      </c>
      <c r="AG6916" t="s">
        <v>41903</v>
      </c>
      <c r="AH6916" t="s">
        <v>41904</v>
      </c>
      <c r="AI6916" t="s">
        <v>41905</v>
      </c>
    </row>
    <row r="6917" spans="2:35" ht="300">
      <c r="B6917" s="1">
        <v>45156</v>
      </c>
      <c r="C6917" s="4">
        <v>45156.477083333331</v>
      </c>
      <c r="D6917" t="s">
        <v>24517</v>
      </c>
      <c r="E6917" t="s">
        <v>27680</v>
      </c>
      <c r="F6917">
        <v>3</v>
      </c>
      <c r="G6917" t="s">
        <v>134</v>
      </c>
      <c r="H6917" t="s">
        <v>61</v>
      </c>
      <c r="I6917" t="s">
        <v>40</v>
      </c>
      <c r="J6917" s="2" t="s">
        <v>1808</v>
      </c>
      <c r="K6917" t="s">
        <v>42</v>
      </c>
      <c r="L6917" t="s">
        <v>63</v>
      </c>
      <c r="Q6917">
        <v>25636</v>
      </c>
      <c r="R6917" t="s">
        <v>322</v>
      </c>
      <c r="S6917" t="s">
        <v>41906</v>
      </c>
      <c r="T6917">
        <v>25</v>
      </c>
      <c r="V6917" s="1">
        <v>45155</v>
      </c>
      <c r="W6917" t="s">
        <v>26915</v>
      </c>
      <c r="X6917">
        <v>110012825</v>
      </c>
      <c r="Y6917" t="s">
        <v>1716</v>
      </c>
      <c r="Z6917" t="s">
        <v>1716</v>
      </c>
      <c r="AA6917" s="2" t="s">
        <v>41867</v>
      </c>
      <c r="AB6917" t="s">
        <v>70</v>
      </c>
      <c r="AC6917" t="s">
        <v>1716</v>
      </c>
      <c r="AD6917" t="s">
        <v>22883</v>
      </c>
      <c r="AE6917">
        <v>10511</v>
      </c>
      <c r="AG6917" t="s">
        <v>41907</v>
      </c>
      <c r="AH6917" t="s">
        <v>41908</v>
      </c>
      <c r="AI6917" t="s">
        <v>41909</v>
      </c>
    </row>
    <row r="6918" spans="2:35" ht="270">
      <c r="B6918" s="1">
        <v>45156</v>
      </c>
      <c r="C6918" s="4">
        <v>45156.46597222222</v>
      </c>
      <c r="D6918" t="s">
        <v>41910</v>
      </c>
      <c r="E6918" t="s">
        <v>41911</v>
      </c>
      <c r="F6918" t="s">
        <v>1181</v>
      </c>
      <c r="G6918" t="s">
        <v>41912</v>
      </c>
      <c r="H6918" t="s">
        <v>39</v>
      </c>
      <c r="I6918" t="s">
        <v>40</v>
      </c>
      <c r="J6918" s="2" t="s">
        <v>41</v>
      </c>
      <c r="K6918" t="s">
        <v>42</v>
      </c>
      <c r="L6918" t="s">
        <v>15532</v>
      </c>
      <c r="Q6918">
        <v>25635</v>
      </c>
      <c r="R6918" t="s">
        <v>45</v>
      </c>
      <c r="S6918" t="s">
        <v>41913</v>
      </c>
      <c r="T6918">
        <v>26</v>
      </c>
      <c r="U6918" s="2" t="s">
        <v>1689</v>
      </c>
      <c r="V6918" s="1">
        <v>45149</v>
      </c>
      <c r="W6918" t="s">
        <v>3244</v>
      </c>
      <c r="X6918">
        <v>807563</v>
      </c>
      <c r="Y6918" t="s">
        <v>41914</v>
      </c>
      <c r="Z6918" s="2" t="s">
        <v>41915</v>
      </c>
      <c r="AA6918" s="2" t="s">
        <v>41916</v>
      </c>
      <c r="AB6918" t="s">
        <v>34796</v>
      </c>
      <c r="AD6918" t="s">
        <v>41917</v>
      </c>
      <c r="AE6918" t="s">
        <v>41918</v>
      </c>
      <c r="AG6918" t="s">
        <v>41919</v>
      </c>
      <c r="AH6918" t="s">
        <v>41920</v>
      </c>
      <c r="AI6918" t="s">
        <v>41921</v>
      </c>
    </row>
    <row r="6919" spans="2:35" ht="180">
      <c r="B6919" s="1">
        <v>45156</v>
      </c>
      <c r="C6919" s="4">
        <v>45156.445138888892</v>
      </c>
      <c r="D6919" t="s">
        <v>41922</v>
      </c>
      <c r="E6919" t="s">
        <v>1128</v>
      </c>
      <c r="F6919">
        <v>8</v>
      </c>
      <c r="G6919" t="s">
        <v>342</v>
      </c>
      <c r="H6919" t="s">
        <v>36499</v>
      </c>
      <c r="I6919" t="s">
        <v>40</v>
      </c>
      <c r="J6919" t="s">
        <v>109</v>
      </c>
      <c r="K6919" t="s">
        <v>42</v>
      </c>
      <c r="L6919" t="s">
        <v>259</v>
      </c>
      <c r="Q6919">
        <v>25634</v>
      </c>
      <c r="R6919" t="s">
        <v>119</v>
      </c>
      <c r="S6919" t="s">
        <v>17749</v>
      </c>
      <c r="T6919">
        <v>29</v>
      </c>
      <c r="U6919" s="2" t="s">
        <v>41923</v>
      </c>
      <c r="V6919" s="1">
        <v>45156</v>
      </c>
      <c r="W6919" t="s">
        <v>84</v>
      </c>
      <c r="X6919">
        <v>838421</v>
      </c>
      <c r="Y6919" t="s">
        <v>3001</v>
      </c>
      <c r="Z6919" t="s">
        <v>54</v>
      </c>
      <c r="AA6919" t="e">
        <f ca="1">- Preventive Maintenance
- performed functionality test
- Generate reports</f>
        <v>#NAME?</v>
      </c>
      <c r="AB6919" t="e">
        <f ca="1">-Unit is operational
-module B1 _xludf.and B4 disabled (waiting _xludf.For module Replacement)</f>
        <v>#NAME?</v>
      </c>
      <c r="AG6919" t="s">
        <v>41924</v>
      </c>
      <c r="AH6919" t="s">
        <v>41925</v>
      </c>
      <c r="AI6919" t="s">
        <v>41926</v>
      </c>
    </row>
    <row r="6920" spans="2:35" ht="255">
      <c r="B6920" s="1">
        <v>45156</v>
      </c>
      <c r="C6920" s="4">
        <v>45156.431944444441</v>
      </c>
      <c r="D6920" t="s">
        <v>37170</v>
      </c>
      <c r="E6920" t="s">
        <v>41927</v>
      </c>
      <c r="F6920" t="s">
        <v>37</v>
      </c>
      <c r="G6920" t="s">
        <v>189</v>
      </c>
      <c r="H6920" t="s">
        <v>39</v>
      </c>
      <c r="I6920" t="s">
        <v>40</v>
      </c>
      <c r="J6920" s="2" t="s">
        <v>41</v>
      </c>
      <c r="K6920" t="s">
        <v>42</v>
      </c>
      <c r="L6920" t="s">
        <v>1943</v>
      </c>
      <c r="Q6920">
        <v>25633</v>
      </c>
      <c r="R6920" t="s">
        <v>45</v>
      </c>
      <c r="S6920" t="s">
        <v>37172</v>
      </c>
      <c r="T6920">
        <v>25</v>
      </c>
      <c r="U6920" s="2" t="s">
        <v>41928</v>
      </c>
      <c r="V6920" s="1">
        <v>45154</v>
      </c>
      <c r="W6920" t="s">
        <v>84</v>
      </c>
      <c r="X6920">
        <v>812786</v>
      </c>
      <c r="Y6920" s="2" t="s">
        <v>41929</v>
      </c>
      <c r="Z6920" s="2" t="s">
        <v>41930</v>
      </c>
      <c r="AA6920" t="s">
        <v>29208</v>
      </c>
      <c r="AB6920" t="s">
        <v>88</v>
      </c>
      <c r="AD6920" s="2" t="s">
        <v>41931</v>
      </c>
      <c r="AE6920" t="s">
        <v>41932</v>
      </c>
      <c r="AG6920" t="s">
        <v>41933</v>
      </c>
      <c r="AH6920" t="s">
        <v>41934</v>
      </c>
      <c r="AI6920" t="s">
        <v>41935</v>
      </c>
    </row>
    <row r="6921" spans="2:35" ht="300">
      <c r="B6921" s="1">
        <v>45156</v>
      </c>
      <c r="C6921" s="4">
        <v>45156.395138888889</v>
      </c>
      <c r="D6921" t="s">
        <v>41936</v>
      </c>
      <c r="E6921" t="s">
        <v>41937</v>
      </c>
      <c r="F6921" t="s">
        <v>1181</v>
      </c>
      <c r="G6921" t="s">
        <v>41912</v>
      </c>
      <c r="H6921" t="s">
        <v>61</v>
      </c>
      <c r="I6921" t="s">
        <v>40</v>
      </c>
      <c r="J6921" s="2" t="s">
        <v>41</v>
      </c>
      <c r="K6921" t="s">
        <v>42</v>
      </c>
      <c r="L6921" t="s">
        <v>15532</v>
      </c>
      <c r="Q6921">
        <v>25632</v>
      </c>
      <c r="R6921" t="s">
        <v>45</v>
      </c>
      <c r="S6921" t="s">
        <v>41938</v>
      </c>
      <c r="T6921">
        <v>23</v>
      </c>
      <c r="U6921" s="2" t="s">
        <v>41939</v>
      </c>
      <c r="V6921" s="1">
        <v>45134</v>
      </c>
      <c r="W6921" t="s">
        <v>597</v>
      </c>
      <c r="X6921">
        <v>835084</v>
      </c>
      <c r="Y6921" t="s">
        <v>2034</v>
      </c>
      <c r="Z6921" s="2" t="s">
        <v>41940</v>
      </c>
      <c r="AA6921" s="2" t="s">
        <v>41941</v>
      </c>
      <c r="AB6921" t="s">
        <v>41942</v>
      </c>
      <c r="AD6921" t="s">
        <v>41943</v>
      </c>
      <c r="AE6921" t="s">
        <v>41944</v>
      </c>
      <c r="AG6921" t="s">
        <v>41945</v>
      </c>
      <c r="AH6921" t="s">
        <v>41946</v>
      </c>
      <c r="AI6921" t="s">
        <v>41947</v>
      </c>
    </row>
    <row r="6922" spans="2:35" ht="105">
      <c r="B6922" s="1">
        <v>45156</v>
      </c>
      <c r="C6922" s="4">
        <v>45156.383333333331</v>
      </c>
      <c r="D6922" t="s">
        <v>7593</v>
      </c>
      <c r="E6922" t="s">
        <v>7594</v>
      </c>
      <c r="F6922">
        <v>1</v>
      </c>
      <c r="G6922" t="s">
        <v>1909</v>
      </c>
      <c r="H6922" t="s">
        <v>39</v>
      </c>
      <c r="I6922" t="s">
        <v>40</v>
      </c>
      <c r="J6922" t="s">
        <v>109</v>
      </c>
      <c r="K6922" t="s">
        <v>42</v>
      </c>
      <c r="L6922" t="s">
        <v>1048</v>
      </c>
      <c r="Q6922">
        <v>25631</v>
      </c>
      <c r="R6922" t="s">
        <v>119</v>
      </c>
      <c r="S6922" t="s">
        <v>7595</v>
      </c>
      <c r="T6922">
        <v>29</v>
      </c>
      <c r="U6922" s="2" t="s">
        <v>17376</v>
      </c>
      <c r="W6922" t="s">
        <v>360</v>
      </c>
      <c r="X6922">
        <v>838426</v>
      </c>
      <c r="Y6922" t="s">
        <v>19210</v>
      </c>
      <c r="Z6922" t="e">
        <f ca="1">- cleaned cartridge Bays, plunger Rods _xludf.and I-CORE
- generated reports</f>
        <v>#NAME?</v>
      </c>
      <c r="AA6922" t="s">
        <v>10275</v>
      </c>
      <c r="AB6922" t="s">
        <v>181</v>
      </c>
      <c r="AG6922" t="s">
        <v>41948</v>
      </c>
      <c r="AH6922" t="s">
        <v>10444</v>
      </c>
      <c r="AI6922" t="s">
        <v>41949</v>
      </c>
    </row>
    <row r="6923" spans="2:35" ht="105">
      <c r="B6923" s="1">
        <v>45156</v>
      </c>
      <c r="C6923" s="4">
        <v>45156.380555555559</v>
      </c>
      <c r="D6923" t="s">
        <v>35746</v>
      </c>
      <c r="E6923" t="s">
        <v>35747</v>
      </c>
      <c r="F6923">
        <v>1</v>
      </c>
      <c r="G6923" t="s">
        <v>1909</v>
      </c>
      <c r="H6923" t="s">
        <v>39</v>
      </c>
      <c r="I6923" t="s">
        <v>40</v>
      </c>
      <c r="J6923" t="s">
        <v>525</v>
      </c>
      <c r="K6923" t="s">
        <v>42</v>
      </c>
      <c r="L6923" t="s">
        <v>1048</v>
      </c>
      <c r="Q6923">
        <v>25630</v>
      </c>
      <c r="R6923" t="s">
        <v>45</v>
      </c>
      <c r="S6923" t="s">
        <v>41950</v>
      </c>
      <c r="T6923">
        <v>30</v>
      </c>
      <c r="U6923" s="2" t="s">
        <v>14797</v>
      </c>
      <c r="W6923" t="s">
        <v>360</v>
      </c>
      <c r="X6923">
        <v>707400</v>
      </c>
      <c r="Y6923" t="s">
        <v>41951</v>
      </c>
      <c r="Z6923" t="s">
        <v>41952</v>
      </c>
      <c r="AA6923" t="s">
        <v>1935</v>
      </c>
      <c r="AB6923" t="s">
        <v>181</v>
      </c>
      <c r="AG6923" t="s">
        <v>41953</v>
      </c>
      <c r="AH6923" t="s">
        <v>41954</v>
      </c>
      <c r="AI6923" t="s">
        <v>41955</v>
      </c>
    </row>
    <row r="6924" spans="2:35" ht="409.5">
      <c r="B6924" s="1">
        <v>45156</v>
      </c>
      <c r="C6924" s="4">
        <v>45149.504861111112</v>
      </c>
      <c r="D6924" t="s">
        <v>40537</v>
      </c>
      <c r="E6924" t="s">
        <v>40538</v>
      </c>
      <c r="F6924" t="s">
        <v>511</v>
      </c>
      <c r="G6924" t="s">
        <v>512</v>
      </c>
      <c r="H6924" t="s">
        <v>39</v>
      </c>
      <c r="I6924" t="s">
        <v>40</v>
      </c>
      <c r="J6924" s="2" t="s">
        <v>1309</v>
      </c>
      <c r="K6924" t="s">
        <v>42</v>
      </c>
      <c r="L6924" t="s">
        <v>1048</v>
      </c>
      <c r="Q6924">
        <v>25629</v>
      </c>
      <c r="R6924" t="s">
        <v>45</v>
      </c>
      <c r="S6924" t="s">
        <v>40539</v>
      </c>
      <c r="T6924">
        <v>26</v>
      </c>
      <c r="V6924" s="1">
        <v>45149</v>
      </c>
      <c r="W6924" t="s">
        <v>360</v>
      </c>
      <c r="X6924">
        <v>814157</v>
      </c>
      <c r="Y6924" s="2" t="s">
        <v>41956</v>
      </c>
      <c r="Z6924" s="2" t="s">
        <v>41957</v>
      </c>
      <c r="AA6924" s="2" t="s">
        <v>41958</v>
      </c>
      <c r="AB6924" t="s">
        <v>181</v>
      </c>
      <c r="AC6924" t="s">
        <v>28761</v>
      </c>
      <c r="AD6924" t="s">
        <v>41959</v>
      </c>
      <c r="AE6924" t="s">
        <v>54</v>
      </c>
      <c r="AG6924" t="s">
        <v>41960</v>
      </c>
      <c r="AH6924" t="s">
        <v>40543</v>
      </c>
      <c r="AI6924" t="s">
        <v>41961</v>
      </c>
    </row>
    <row r="6925" spans="2:35" ht="105">
      <c r="B6925" s="1">
        <v>45156</v>
      </c>
      <c r="C6925" s="4">
        <v>45149.693055555559</v>
      </c>
      <c r="D6925" t="s">
        <v>1420</v>
      </c>
      <c r="E6925" t="s">
        <v>1456</v>
      </c>
      <c r="F6925" t="s">
        <v>511</v>
      </c>
      <c r="G6925" t="s">
        <v>512</v>
      </c>
      <c r="H6925" t="s">
        <v>39</v>
      </c>
      <c r="I6925" t="s">
        <v>40</v>
      </c>
      <c r="J6925" t="s">
        <v>525</v>
      </c>
      <c r="K6925" t="s">
        <v>42</v>
      </c>
      <c r="L6925" t="s">
        <v>1048</v>
      </c>
      <c r="Q6925">
        <v>25628</v>
      </c>
      <c r="R6925" t="s">
        <v>45</v>
      </c>
      <c r="S6925" t="s">
        <v>1423</v>
      </c>
      <c r="T6925">
        <v>29</v>
      </c>
      <c r="U6925" s="2" t="s">
        <v>8344</v>
      </c>
      <c r="W6925" t="s">
        <v>360</v>
      </c>
      <c r="X6925">
        <v>807621</v>
      </c>
      <c r="Y6925" t="s">
        <v>41962</v>
      </c>
      <c r="Z6925" t="e">
        <f ca="1">- cleaned cartridge Bays, plunger Rods _xludf.and I-CORE
- generated reports</f>
        <v>#NAME?</v>
      </c>
      <c r="AA6925" t="s">
        <v>1935</v>
      </c>
      <c r="AB6925" t="s">
        <v>181</v>
      </c>
      <c r="AC6925" t="s">
        <v>35742</v>
      </c>
      <c r="AG6925" t="s">
        <v>41963</v>
      </c>
      <c r="AH6925" t="s">
        <v>20477</v>
      </c>
      <c r="AI6925" t="s">
        <v>41964</v>
      </c>
    </row>
    <row r="6926" spans="2:35" ht="135">
      <c r="B6926" s="1">
        <v>45156</v>
      </c>
      <c r="C6926" s="4">
        <v>45152.551388888889</v>
      </c>
      <c r="D6926" t="s">
        <v>4534</v>
      </c>
      <c r="E6926" t="s">
        <v>24607</v>
      </c>
      <c r="F6926">
        <v>1</v>
      </c>
      <c r="G6926" t="s">
        <v>1046</v>
      </c>
      <c r="H6926" t="s">
        <v>1047</v>
      </c>
      <c r="I6926" t="s">
        <v>40</v>
      </c>
      <c r="J6926" s="2" t="s">
        <v>62</v>
      </c>
      <c r="K6926" t="s">
        <v>42</v>
      </c>
      <c r="L6926" t="s">
        <v>1048</v>
      </c>
      <c r="Q6926">
        <v>25627</v>
      </c>
      <c r="R6926" t="s">
        <v>45</v>
      </c>
      <c r="S6926" t="s">
        <v>4536</v>
      </c>
      <c r="T6926">
        <v>30</v>
      </c>
      <c r="U6926" s="2" t="s">
        <v>41965</v>
      </c>
      <c r="W6926" t="s">
        <v>360</v>
      </c>
      <c r="X6926">
        <v>808283</v>
      </c>
      <c r="Y6926" t="s">
        <v>67</v>
      </c>
      <c r="Z6926" t="e">
        <f ca="1">- cleaned cartridge Bays, plunger Rods _xludf.and I-CORE
- performed XpertCheck
- generated reports</f>
        <v>#NAME?</v>
      </c>
      <c r="AA6926" t="s">
        <v>999</v>
      </c>
      <c r="AB6926" t="s">
        <v>181</v>
      </c>
      <c r="AC6926" t="s">
        <v>41966</v>
      </c>
      <c r="AG6926" t="s">
        <v>41967</v>
      </c>
      <c r="AH6926" t="s">
        <v>4538</v>
      </c>
      <c r="AI6926" t="s">
        <v>41968</v>
      </c>
    </row>
    <row r="6927" spans="2:35" ht="409.5">
      <c r="B6927" s="1">
        <v>45156</v>
      </c>
      <c r="C6927" s="4">
        <v>45149.504861111112</v>
      </c>
      <c r="D6927" t="s">
        <v>40537</v>
      </c>
      <c r="E6927" t="s">
        <v>40538</v>
      </c>
      <c r="F6927" t="s">
        <v>511</v>
      </c>
      <c r="G6927" t="s">
        <v>512</v>
      </c>
      <c r="H6927" t="s">
        <v>39</v>
      </c>
      <c r="I6927" t="s">
        <v>40</v>
      </c>
      <c r="J6927" s="2" t="s">
        <v>1309</v>
      </c>
      <c r="K6927" t="s">
        <v>42</v>
      </c>
      <c r="L6927" t="s">
        <v>1048</v>
      </c>
      <c r="Q6927">
        <v>25626</v>
      </c>
      <c r="R6927" t="s">
        <v>45</v>
      </c>
      <c r="S6927" t="s">
        <v>40539</v>
      </c>
      <c r="T6927">
        <v>26</v>
      </c>
      <c r="V6927" s="1">
        <v>45149</v>
      </c>
      <c r="W6927" t="s">
        <v>360</v>
      </c>
      <c r="X6927">
        <v>814157</v>
      </c>
      <c r="Y6927" s="2" t="s">
        <v>41956</v>
      </c>
      <c r="Z6927" s="2" t="s">
        <v>41957</v>
      </c>
      <c r="AA6927" s="2" t="s">
        <v>41958</v>
      </c>
      <c r="AB6927" t="s">
        <v>181</v>
      </c>
      <c r="AC6927" t="s">
        <v>28761</v>
      </c>
      <c r="AD6927" t="s">
        <v>41959</v>
      </c>
      <c r="AE6927" t="s">
        <v>54</v>
      </c>
      <c r="AG6927" t="s">
        <v>41969</v>
      </c>
      <c r="AH6927" t="s">
        <v>40543</v>
      </c>
      <c r="AI6927" t="s">
        <v>41970</v>
      </c>
    </row>
    <row r="6928" spans="2:35" ht="270">
      <c r="B6928" s="1">
        <v>45156</v>
      </c>
      <c r="C6928" s="4">
        <v>45155.407638888886</v>
      </c>
      <c r="D6928" t="s">
        <v>40995</v>
      </c>
      <c r="E6928" t="s">
        <v>40996</v>
      </c>
      <c r="F6928">
        <v>1</v>
      </c>
      <c r="G6928" t="s">
        <v>1046</v>
      </c>
      <c r="H6928" t="s">
        <v>39</v>
      </c>
      <c r="I6928" t="s">
        <v>40</v>
      </c>
      <c r="J6928" s="2" t="s">
        <v>41</v>
      </c>
      <c r="K6928" t="s">
        <v>42</v>
      </c>
      <c r="L6928" t="s">
        <v>1048</v>
      </c>
      <c r="Q6928">
        <v>25625</v>
      </c>
      <c r="R6928" t="s">
        <v>45</v>
      </c>
      <c r="S6928" t="s">
        <v>40997</v>
      </c>
      <c r="T6928">
        <v>28</v>
      </c>
      <c r="U6928" s="2" t="s">
        <v>41971</v>
      </c>
      <c r="V6928" s="1">
        <v>45155</v>
      </c>
      <c r="W6928" t="s">
        <v>360</v>
      </c>
      <c r="X6928">
        <v>834664</v>
      </c>
      <c r="Y6928" t="s">
        <v>35729</v>
      </c>
      <c r="Z6928" s="2" t="s">
        <v>41972</v>
      </c>
      <c r="AA6928" t="s">
        <v>1926</v>
      </c>
      <c r="AB6928" t="s">
        <v>181</v>
      </c>
      <c r="AD6928" t="s">
        <v>41973</v>
      </c>
      <c r="AE6928" t="s">
        <v>103</v>
      </c>
      <c r="AG6928" t="s">
        <v>41974</v>
      </c>
      <c r="AH6928" t="s">
        <v>41000</v>
      </c>
      <c r="AI6928" t="s">
        <v>41975</v>
      </c>
    </row>
    <row r="6929" spans="2:35" ht="105">
      <c r="B6929" s="1">
        <v>45156</v>
      </c>
      <c r="C6929" s="4">
        <v>45152.607638888891</v>
      </c>
      <c r="D6929" t="s">
        <v>4953</v>
      </c>
      <c r="E6929" t="s">
        <v>4954</v>
      </c>
      <c r="F6929">
        <v>1</v>
      </c>
      <c r="G6929" t="s">
        <v>1046</v>
      </c>
      <c r="H6929" t="s">
        <v>1047</v>
      </c>
      <c r="I6929" t="s">
        <v>40</v>
      </c>
      <c r="J6929" t="s">
        <v>525</v>
      </c>
      <c r="K6929" t="s">
        <v>42</v>
      </c>
      <c r="L6929" t="s">
        <v>1048</v>
      </c>
      <c r="Q6929">
        <v>25624</v>
      </c>
      <c r="R6929" t="s">
        <v>119</v>
      </c>
      <c r="S6929" t="s">
        <v>4955</v>
      </c>
      <c r="T6929">
        <v>28</v>
      </c>
      <c r="U6929" s="2" t="s">
        <v>33205</v>
      </c>
      <c r="W6929" t="s">
        <v>360</v>
      </c>
      <c r="X6929">
        <v>838437</v>
      </c>
      <c r="Y6929" t="s">
        <v>1934</v>
      </c>
      <c r="Z6929" t="e">
        <f ca="1">- cleaned cartridge Bays, plunger Rods _xludf.and I-CORE
- generated reports</f>
        <v>#NAME?</v>
      </c>
      <c r="AA6929" t="s">
        <v>1935</v>
      </c>
      <c r="AB6929" t="s">
        <v>181</v>
      </c>
      <c r="AC6929" t="s">
        <v>41976</v>
      </c>
      <c r="AG6929" t="s">
        <v>41977</v>
      </c>
      <c r="AH6929" t="s">
        <v>4958</v>
      </c>
      <c r="AI6929" t="s">
        <v>41978</v>
      </c>
    </row>
    <row r="6930" spans="2:35" ht="105">
      <c r="B6930" s="1">
        <v>45155</v>
      </c>
      <c r="C6930" s="4">
        <v>45155.567361111112</v>
      </c>
      <c r="D6930" t="s">
        <v>5783</v>
      </c>
      <c r="E6930" t="s">
        <v>41979</v>
      </c>
      <c r="F6930">
        <v>12</v>
      </c>
      <c r="G6930" t="s">
        <v>5785</v>
      </c>
      <c r="H6930" t="s">
        <v>39</v>
      </c>
      <c r="I6930" t="s">
        <v>94</v>
      </c>
      <c r="J6930" s="2" t="s">
        <v>62</v>
      </c>
      <c r="K6930" t="s">
        <v>42</v>
      </c>
      <c r="L6930" t="s">
        <v>296</v>
      </c>
      <c r="Q6930">
        <v>25623</v>
      </c>
      <c r="R6930" t="s">
        <v>119</v>
      </c>
      <c r="S6930" t="s">
        <v>5787</v>
      </c>
      <c r="T6930">
        <v>27.1</v>
      </c>
      <c r="U6930" s="2" t="s">
        <v>41980</v>
      </c>
      <c r="V6930" s="1">
        <v>45155</v>
      </c>
      <c r="W6930" t="s">
        <v>23049</v>
      </c>
      <c r="X6930">
        <v>838546</v>
      </c>
      <c r="Y6930" s="2" t="s">
        <v>41981</v>
      </c>
      <c r="Z6930" t="s">
        <v>9161</v>
      </c>
      <c r="AA6930" t="s">
        <v>41331</v>
      </c>
      <c r="AB6930" t="s">
        <v>16070</v>
      </c>
      <c r="AC6930" t="s">
        <v>41982</v>
      </c>
      <c r="AD6930" t="s">
        <v>38010</v>
      </c>
      <c r="AE6930" t="s">
        <v>41983</v>
      </c>
      <c r="AG6930" t="s">
        <v>41984</v>
      </c>
      <c r="AH6930" t="s">
        <v>41985</v>
      </c>
      <c r="AI6930" t="s">
        <v>41986</v>
      </c>
    </row>
    <row r="6931" spans="2:35" ht="330">
      <c r="B6931" s="1">
        <v>45155</v>
      </c>
      <c r="C6931" s="4">
        <v>45155.826388888891</v>
      </c>
      <c r="D6931" t="s">
        <v>7810</v>
      </c>
      <c r="E6931" t="s">
        <v>30038</v>
      </c>
      <c r="F6931">
        <v>11</v>
      </c>
      <c r="G6931" t="s">
        <v>1205</v>
      </c>
      <c r="H6931" t="s">
        <v>202</v>
      </c>
      <c r="I6931" t="s">
        <v>40</v>
      </c>
      <c r="J6931" s="2" t="s">
        <v>62</v>
      </c>
      <c r="K6931" t="s">
        <v>42</v>
      </c>
      <c r="L6931" t="s">
        <v>204</v>
      </c>
      <c r="Q6931">
        <v>25622</v>
      </c>
      <c r="R6931" t="s">
        <v>119</v>
      </c>
      <c r="S6931" t="s">
        <v>7812</v>
      </c>
      <c r="T6931">
        <v>25.5</v>
      </c>
      <c r="U6931" s="2" t="s">
        <v>25843</v>
      </c>
      <c r="V6931" s="1">
        <v>45140</v>
      </c>
      <c r="W6931" t="s">
        <v>23237</v>
      </c>
      <c r="X6931">
        <v>838232</v>
      </c>
      <c r="Y6931" t="s">
        <v>1618</v>
      </c>
      <c r="Z6931" s="2" t="s">
        <v>41713</v>
      </c>
      <c r="AA6931" t="s">
        <v>1620</v>
      </c>
      <c r="AB6931" t="s">
        <v>15776</v>
      </c>
      <c r="AD6931" t="s">
        <v>18192</v>
      </c>
      <c r="AE6931" t="s">
        <v>41987</v>
      </c>
      <c r="AG6931" t="s">
        <v>41988</v>
      </c>
      <c r="AH6931" t="s">
        <v>41989</v>
      </c>
      <c r="AI6931" t="s">
        <v>41990</v>
      </c>
    </row>
    <row r="6932" spans="2:35" ht="240">
      <c r="B6932" s="1">
        <v>45155</v>
      </c>
      <c r="C6932" s="4">
        <v>45155.67291666667</v>
      </c>
      <c r="D6932" t="s">
        <v>1462</v>
      </c>
      <c r="E6932" t="s">
        <v>31739</v>
      </c>
      <c r="F6932">
        <v>3</v>
      </c>
      <c r="G6932" t="s">
        <v>1722</v>
      </c>
      <c r="H6932" t="s">
        <v>39</v>
      </c>
      <c r="I6932" t="s">
        <v>40</v>
      </c>
      <c r="J6932" s="2" t="s">
        <v>41</v>
      </c>
      <c r="K6932" t="s">
        <v>42</v>
      </c>
      <c r="L6932" t="s">
        <v>63</v>
      </c>
      <c r="Q6932">
        <v>25621</v>
      </c>
      <c r="R6932" t="s">
        <v>45</v>
      </c>
      <c r="S6932" t="s">
        <v>31740</v>
      </c>
      <c r="T6932">
        <v>24</v>
      </c>
      <c r="U6932" s="2" t="s">
        <v>40557</v>
      </c>
      <c r="V6932" s="1">
        <v>45155</v>
      </c>
      <c r="W6932" t="s">
        <v>26915</v>
      </c>
      <c r="X6932">
        <v>805107</v>
      </c>
      <c r="Y6932" t="s">
        <v>1716</v>
      </c>
      <c r="Z6932" t="s">
        <v>1716</v>
      </c>
      <c r="AA6932" s="2" t="s">
        <v>39935</v>
      </c>
      <c r="AB6932" t="s">
        <v>70</v>
      </c>
      <c r="AC6932" t="s">
        <v>41991</v>
      </c>
      <c r="AD6932" t="s">
        <v>41992</v>
      </c>
      <c r="AE6932" t="s">
        <v>1716</v>
      </c>
      <c r="AG6932" t="s">
        <v>41993</v>
      </c>
      <c r="AH6932" t="s">
        <v>41994</v>
      </c>
      <c r="AI6932" t="s">
        <v>41995</v>
      </c>
    </row>
    <row r="6933" spans="2:35" ht="105">
      <c r="B6933" s="1">
        <v>45155</v>
      </c>
      <c r="C6933" s="4">
        <v>45155.603472222225</v>
      </c>
      <c r="D6933" t="s">
        <v>2327</v>
      </c>
      <c r="E6933" t="s">
        <v>41996</v>
      </c>
      <c r="F6933">
        <v>7</v>
      </c>
      <c r="G6933" t="s">
        <v>432</v>
      </c>
      <c r="H6933" t="s">
        <v>2290</v>
      </c>
      <c r="I6933" t="s">
        <v>94</v>
      </c>
      <c r="J6933" t="s">
        <v>996</v>
      </c>
      <c r="K6933" t="s">
        <v>42</v>
      </c>
      <c r="L6933" t="s">
        <v>610</v>
      </c>
      <c r="Q6933">
        <v>25620</v>
      </c>
      <c r="R6933" t="s">
        <v>119</v>
      </c>
      <c r="S6933" t="s">
        <v>19514</v>
      </c>
      <c r="T6933">
        <v>24</v>
      </c>
      <c r="U6933" s="2" t="s">
        <v>31446</v>
      </c>
      <c r="W6933" t="s">
        <v>502</v>
      </c>
      <c r="X6933">
        <v>838506</v>
      </c>
      <c r="Y6933" t="s">
        <v>41997</v>
      </c>
      <c r="Z6933" t="s">
        <v>41998</v>
      </c>
      <c r="AA6933" t="s">
        <v>41999</v>
      </c>
      <c r="AB6933" t="s">
        <v>42000</v>
      </c>
      <c r="AG6933" t="s">
        <v>42001</v>
      </c>
      <c r="AH6933" t="s">
        <v>13462</v>
      </c>
      <c r="AI6933" t="s">
        <v>42002</v>
      </c>
    </row>
    <row r="6934" spans="2:35" ht="240">
      <c r="B6934" s="1">
        <v>45155</v>
      </c>
      <c r="C6934" s="4">
        <v>45155.558333333334</v>
      </c>
      <c r="D6934" t="s">
        <v>27474</v>
      </c>
      <c r="E6934" t="s">
        <v>27475</v>
      </c>
      <c r="F6934">
        <v>3</v>
      </c>
      <c r="G6934" t="s">
        <v>134</v>
      </c>
      <c r="H6934" t="s">
        <v>39</v>
      </c>
      <c r="I6934" t="s">
        <v>40</v>
      </c>
      <c r="J6934" s="2" t="s">
        <v>41</v>
      </c>
      <c r="K6934" t="s">
        <v>42</v>
      </c>
      <c r="L6934" t="s">
        <v>63</v>
      </c>
      <c r="Q6934">
        <v>25619</v>
      </c>
      <c r="R6934" t="s">
        <v>119</v>
      </c>
      <c r="S6934" t="s">
        <v>27476</v>
      </c>
      <c r="T6934">
        <v>28</v>
      </c>
      <c r="U6934" s="2" t="s">
        <v>42003</v>
      </c>
      <c r="V6934" s="1">
        <v>45127</v>
      </c>
      <c r="W6934" t="s">
        <v>26915</v>
      </c>
      <c r="X6934">
        <v>831873</v>
      </c>
      <c r="Y6934" t="s">
        <v>1716</v>
      </c>
      <c r="Z6934" t="s">
        <v>1716</v>
      </c>
      <c r="AA6934" s="2" t="s">
        <v>39935</v>
      </c>
      <c r="AB6934" t="s">
        <v>70</v>
      </c>
      <c r="AC6934" t="s">
        <v>42004</v>
      </c>
      <c r="AD6934" t="s">
        <v>42005</v>
      </c>
      <c r="AE6934">
        <v>10210</v>
      </c>
      <c r="AG6934" t="s">
        <v>42006</v>
      </c>
      <c r="AH6934" t="s">
        <v>42007</v>
      </c>
      <c r="AI6934" t="s">
        <v>42008</v>
      </c>
    </row>
    <row r="6935" spans="2:35" ht="165">
      <c r="B6935" s="1">
        <v>45155</v>
      </c>
      <c r="C6935" s="4">
        <v>45155.54791666667</v>
      </c>
      <c r="D6935" t="s">
        <v>25555</v>
      </c>
      <c r="E6935" t="s">
        <v>24319</v>
      </c>
      <c r="F6935" t="s">
        <v>148</v>
      </c>
      <c r="G6935" t="s">
        <v>310</v>
      </c>
      <c r="H6935" t="s">
        <v>39</v>
      </c>
      <c r="I6935" t="s">
        <v>40</v>
      </c>
      <c r="J6935" s="2" t="s">
        <v>190</v>
      </c>
      <c r="K6935" t="s">
        <v>42</v>
      </c>
      <c r="L6935" t="s">
        <v>175</v>
      </c>
      <c r="Q6935">
        <v>25618</v>
      </c>
      <c r="R6935" t="s">
        <v>45</v>
      </c>
      <c r="S6935" t="s">
        <v>40706</v>
      </c>
      <c r="T6935">
        <v>28</v>
      </c>
      <c r="U6935" s="2" t="s">
        <v>42009</v>
      </c>
      <c r="W6935" t="s">
        <v>325</v>
      </c>
      <c r="X6935">
        <v>839292</v>
      </c>
      <c r="Y6935" t="s">
        <v>42010</v>
      </c>
      <c r="Z6935" t="e">
        <f ca="1">- checked system _xludf.Log _xludf.For hardware errors (None)
- checked _xludf.and cleaned cartridge bay, plunger, _xludf.filter
- performed XpertCheck
- generated reports</f>
        <v>#NAME?</v>
      </c>
      <c r="AA6935" t="s">
        <v>42011</v>
      </c>
      <c r="AB6935" s="2" t="s">
        <v>42012</v>
      </c>
      <c r="AG6935" t="s">
        <v>42013</v>
      </c>
      <c r="AH6935" t="s">
        <v>25560</v>
      </c>
      <c r="AI6935" t="s">
        <v>42014</v>
      </c>
    </row>
    <row r="6936" spans="2:35" ht="390">
      <c r="B6936" s="1">
        <v>45155</v>
      </c>
      <c r="C6936" s="4">
        <v>45155.515277777777</v>
      </c>
      <c r="D6936" t="s">
        <v>3010</v>
      </c>
      <c r="E6936" t="s">
        <v>14119</v>
      </c>
      <c r="F6936">
        <v>1</v>
      </c>
      <c r="G6936" t="s">
        <v>1046</v>
      </c>
      <c r="H6936" t="s">
        <v>39</v>
      </c>
      <c r="I6936" t="s">
        <v>40</v>
      </c>
      <c r="J6936" s="2" t="s">
        <v>41</v>
      </c>
      <c r="K6936" t="s">
        <v>42</v>
      </c>
      <c r="L6936" t="s">
        <v>135</v>
      </c>
      <c r="Q6936">
        <v>25617</v>
      </c>
      <c r="R6936" t="s">
        <v>45</v>
      </c>
      <c r="S6936" t="s">
        <v>30964</v>
      </c>
      <c r="T6936">
        <v>27</v>
      </c>
      <c r="U6936" s="2" t="s">
        <v>42015</v>
      </c>
      <c r="W6936" t="s">
        <v>2680</v>
      </c>
      <c r="X6936">
        <v>738529</v>
      </c>
      <c r="Y6936" t="s">
        <v>39092</v>
      </c>
      <c r="Z6936" s="2" t="s">
        <v>42016</v>
      </c>
      <c r="AA6936" s="2" t="s">
        <v>41059</v>
      </c>
      <c r="AB6936" t="s">
        <v>9590</v>
      </c>
      <c r="AC6936" t="s">
        <v>42017</v>
      </c>
      <c r="AG6936" t="s">
        <v>42018</v>
      </c>
      <c r="AH6936" t="s">
        <v>42019</v>
      </c>
      <c r="AI6936" t="s">
        <v>42020</v>
      </c>
    </row>
    <row r="6937" spans="2:35" ht="105">
      <c r="B6937" s="1">
        <v>45155</v>
      </c>
      <c r="C6937" s="4">
        <v>45155.425000000003</v>
      </c>
      <c r="D6937" t="s">
        <v>2364</v>
      </c>
      <c r="E6937" t="s">
        <v>7483</v>
      </c>
      <c r="F6937">
        <v>12</v>
      </c>
      <c r="G6937" t="s">
        <v>978</v>
      </c>
      <c r="H6937" t="s">
        <v>39</v>
      </c>
      <c r="I6937" t="s">
        <v>94</v>
      </c>
      <c r="J6937" s="2" t="s">
        <v>62</v>
      </c>
      <c r="K6937" t="s">
        <v>42</v>
      </c>
      <c r="L6937" t="s">
        <v>296</v>
      </c>
      <c r="Q6937">
        <v>25616</v>
      </c>
      <c r="R6937" t="s">
        <v>119</v>
      </c>
      <c r="S6937" t="s">
        <v>2366</v>
      </c>
      <c r="T6937">
        <v>23.8</v>
      </c>
      <c r="U6937" s="2" t="s">
        <v>27700</v>
      </c>
      <c r="V6937" s="1">
        <v>45410</v>
      </c>
      <c r="W6937" t="s">
        <v>23049</v>
      </c>
      <c r="X6937">
        <v>838570</v>
      </c>
      <c r="Y6937" t="s">
        <v>35176</v>
      </c>
      <c r="Z6937" t="s">
        <v>9161</v>
      </c>
      <c r="AA6937" t="s">
        <v>41331</v>
      </c>
      <c r="AB6937" t="s">
        <v>16070</v>
      </c>
      <c r="AD6937" t="s">
        <v>38010</v>
      </c>
      <c r="AE6937" t="s">
        <v>42021</v>
      </c>
      <c r="AG6937" t="s">
        <v>42022</v>
      </c>
      <c r="AH6937" t="s">
        <v>40412</v>
      </c>
      <c r="AI6937" t="s">
        <v>42023</v>
      </c>
    </row>
    <row r="6938" spans="2:35" ht="180">
      <c r="B6938" s="1">
        <v>45155</v>
      </c>
      <c r="C6938" s="4">
        <v>45155.445138888892</v>
      </c>
      <c r="D6938" t="s">
        <v>21957</v>
      </c>
      <c r="E6938" t="s">
        <v>18789</v>
      </c>
      <c r="F6938">
        <v>7</v>
      </c>
      <c r="G6938" t="s">
        <v>269</v>
      </c>
      <c r="H6938" t="s">
        <v>258</v>
      </c>
      <c r="I6938" t="s">
        <v>40</v>
      </c>
      <c r="J6938" s="2" t="s">
        <v>62</v>
      </c>
      <c r="K6938" t="s">
        <v>42</v>
      </c>
      <c r="L6938" t="s">
        <v>270</v>
      </c>
      <c r="Q6938">
        <v>25615</v>
      </c>
      <c r="R6938" t="s">
        <v>119</v>
      </c>
      <c r="S6938" t="s">
        <v>18790</v>
      </c>
      <c r="T6938">
        <v>22</v>
      </c>
      <c r="U6938" s="2" t="s">
        <v>42024</v>
      </c>
      <c r="W6938" t="s">
        <v>1292</v>
      </c>
      <c r="X6938">
        <v>838482</v>
      </c>
      <c r="Y6938" s="2" t="s">
        <v>42025</v>
      </c>
      <c r="Z6938" t="e">
        <f ca="1">- Preventive Maintenance
- module bay Cleaning
- _xludf.filter Cleaning
- plunger rod Maintenance
- optics Cleaning
- replaced batteries _xludf.For wireless Keyboard _xludf.and mouse.</f>
        <v>#NAME?</v>
      </c>
      <c r="AA6938" t="s">
        <v>15756</v>
      </c>
      <c r="AB6938" t="s">
        <v>42026</v>
      </c>
      <c r="AG6938" t="s">
        <v>42027</v>
      </c>
      <c r="AH6938" t="s">
        <v>42028</v>
      </c>
      <c r="AI6938" t="s">
        <v>42029</v>
      </c>
    </row>
    <row r="6939" spans="2:35" ht="210">
      <c r="B6939" s="1">
        <v>45155</v>
      </c>
      <c r="C6939" s="4">
        <v>45155.440972222219</v>
      </c>
      <c r="D6939" t="s">
        <v>2364</v>
      </c>
      <c r="E6939" t="s">
        <v>7483</v>
      </c>
      <c r="F6939">
        <v>12</v>
      </c>
      <c r="G6939" t="s">
        <v>978</v>
      </c>
      <c r="H6939" t="s">
        <v>39</v>
      </c>
      <c r="I6939" t="s">
        <v>94</v>
      </c>
      <c r="J6939" s="2" t="s">
        <v>62</v>
      </c>
      <c r="K6939" t="s">
        <v>42</v>
      </c>
      <c r="L6939" t="s">
        <v>296</v>
      </c>
      <c r="Q6939">
        <v>25614</v>
      </c>
      <c r="R6939" t="s">
        <v>45</v>
      </c>
      <c r="S6939" t="s">
        <v>2366</v>
      </c>
      <c r="T6939">
        <v>23.7</v>
      </c>
      <c r="U6939" s="2" t="s">
        <v>42030</v>
      </c>
      <c r="V6939" s="1">
        <v>45155</v>
      </c>
      <c r="W6939" t="s">
        <v>23049</v>
      </c>
      <c r="X6939">
        <v>815428</v>
      </c>
      <c r="Y6939" t="s">
        <v>15200</v>
      </c>
      <c r="Z6939" t="s">
        <v>9161</v>
      </c>
      <c r="AA6939" t="s">
        <v>41331</v>
      </c>
      <c r="AB6939" t="s">
        <v>1480</v>
      </c>
      <c r="AC6939" t="s">
        <v>42031</v>
      </c>
      <c r="AD6939" t="s">
        <v>38010</v>
      </c>
      <c r="AE6939" t="s">
        <v>24365</v>
      </c>
      <c r="AG6939" t="s">
        <v>42032</v>
      </c>
      <c r="AH6939" t="s">
        <v>40412</v>
      </c>
      <c r="AI6939" t="s">
        <v>42033</v>
      </c>
    </row>
    <row r="6940" spans="2:35" ht="105">
      <c r="B6940" s="1">
        <v>45155</v>
      </c>
      <c r="C6940" s="4">
        <v>45155.432638888888</v>
      </c>
      <c r="D6940" t="s">
        <v>42034</v>
      </c>
      <c r="E6940" t="s">
        <v>42035</v>
      </c>
      <c r="F6940">
        <v>8</v>
      </c>
      <c r="G6940" t="s">
        <v>257</v>
      </c>
      <c r="H6940" t="s">
        <v>36499</v>
      </c>
      <c r="I6940" t="s">
        <v>40</v>
      </c>
      <c r="J6940" s="2" t="s">
        <v>62</v>
      </c>
      <c r="K6940" t="s">
        <v>42</v>
      </c>
      <c r="L6940" t="s">
        <v>259</v>
      </c>
      <c r="Q6940">
        <v>25613</v>
      </c>
      <c r="R6940" t="s">
        <v>45</v>
      </c>
      <c r="S6940" t="s">
        <v>42036</v>
      </c>
      <c r="T6940">
        <v>29</v>
      </c>
      <c r="U6940" s="2" t="s">
        <v>10098</v>
      </c>
      <c r="V6940" s="1">
        <v>45155</v>
      </c>
      <c r="W6940" t="s">
        <v>35955</v>
      </c>
      <c r="X6940">
        <v>834823</v>
      </c>
      <c r="Y6940" t="s">
        <v>67</v>
      </c>
      <c r="Z6940" t="e">
        <f ca="1">- CALIBRATION
- Preventive Maintenance</f>
        <v>#NAME?</v>
      </c>
      <c r="AA6940" t="e">
        <f ca="1">- performed XpertCheck CALIBRATION
- performed Preventive Maintenance
- performed functionality test
- Generate reports</f>
        <v>#NAME?</v>
      </c>
      <c r="AB6940" t="s">
        <v>70</v>
      </c>
      <c r="AD6940" t="s">
        <v>948</v>
      </c>
      <c r="AE6940" t="s">
        <v>45</v>
      </c>
      <c r="AG6940" t="s">
        <v>42037</v>
      </c>
      <c r="AH6940" t="s">
        <v>42038</v>
      </c>
      <c r="AI6940" t="s">
        <v>42039</v>
      </c>
    </row>
    <row r="6941" spans="2:35" ht="105">
      <c r="B6941" s="1">
        <v>45155</v>
      </c>
      <c r="C6941" s="4">
        <v>45154.598611111112</v>
      </c>
      <c r="D6941" t="s">
        <v>9886</v>
      </c>
      <c r="E6941" t="s">
        <v>11926</v>
      </c>
      <c r="F6941">
        <v>12</v>
      </c>
      <c r="G6941" t="s">
        <v>5785</v>
      </c>
      <c r="H6941" t="s">
        <v>39</v>
      </c>
      <c r="I6941" t="s">
        <v>40</v>
      </c>
      <c r="J6941" s="2" t="s">
        <v>62</v>
      </c>
      <c r="K6941" t="s">
        <v>42</v>
      </c>
      <c r="L6941" t="s">
        <v>296</v>
      </c>
      <c r="Q6941">
        <v>25612</v>
      </c>
      <c r="R6941" t="s">
        <v>119</v>
      </c>
      <c r="S6941" t="s">
        <v>29012</v>
      </c>
      <c r="T6941">
        <v>27</v>
      </c>
      <c r="U6941" s="2" t="s">
        <v>42040</v>
      </c>
      <c r="V6941" s="1">
        <v>45154</v>
      </c>
      <c r="W6941" t="s">
        <v>23049</v>
      </c>
      <c r="X6941">
        <v>838419</v>
      </c>
      <c r="Y6941" t="s">
        <v>54</v>
      </c>
      <c r="Z6941" t="s">
        <v>9161</v>
      </c>
      <c r="AA6941" t="s">
        <v>41331</v>
      </c>
      <c r="AB6941" t="s">
        <v>972</v>
      </c>
      <c r="AC6941" t="s">
        <v>25110</v>
      </c>
      <c r="AD6941" t="s">
        <v>42041</v>
      </c>
      <c r="AE6941" t="s">
        <v>42042</v>
      </c>
      <c r="AG6941" t="s">
        <v>42043</v>
      </c>
      <c r="AH6941" t="s">
        <v>42044</v>
      </c>
      <c r="AI6941" t="s">
        <v>42045</v>
      </c>
    </row>
    <row r="6942" spans="2:35" ht="345">
      <c r="B6942" s="1">
        <v>45155</v>
      </c>
      <c r="C6942" s="4">
        <v>45155.415972222225</v>
      </c>
      <c r="D6942" t="s">
        <v>36342</v>
      </c>
      <c r="E6942" t="s">
        <v>42046</v>
      </c>
      <c r="F6942" t="s">
        <v>148</v>
      </c>
      <c r="G6942" t="s">
        <v>447</v>
      </c>
      <c r="H6942" t="s">
        <v>39</v>
      </c>
      <c r="I6942" t="s">
        <v>40</v>
      </c>
      <c r="J6942" t="s">
        <v>109</v>
      </c>
      <c r="K6942" t="s">
        <v>42</v>
      </c>
      <c r="L6942" t="s">
        <v>448</v>
      </c>
      <c r="Q6942">
        <v>25611</v>
      </c>
      <c r="R6942" t="s">
        <v>95</v>
      </c>
      <c r="S6942" t="s">
        <v>36344</v>
      </c>
      <c r="T6942">
        <v>28</v>
      </c>
      <c r="U6942" s="2" t="s">
        <v>42047</v>
      </c>
      <c r="W6942" t="s">
        <v>360</v>
      </c>
      <c r="X6942">
        <v>110008529</v>
      </c>
      <c r="Y6942" t="s">
        <v>485</v>
      </c>
      <c r="Z6942" t="s">
        <v>40978</v>
      </c>
      <c r="AA6942" t="s">
        <v>6997</v>
      </c>
      <c r="AB6942" t="s">
        <v>486</v>
      </c>
      <c r="AG6942" t="s">
        <v>42048</v>
      </c>
      <c r="AH6942" t="s">
        <v>42049</v>
      </c>
      <c r="AI6942" t="s">
        <v>42050</v>
      </c>
    </row>
    <row r="6943" spans="2:35" ht="330">
      <c r="B6943" s="1">
        <v>45155</v>
      </c>
      <c r="C6943" s="4">
        <v>45155.392361111109</v>
      </c>
      <c r="D6943" t="s">
        <v>31371</v>
      </c>
      <c r="E6943" t="s">
        <v>31372</v>
      </c>
      <c r="F6943">
        <v>3</v>
      </c>
      <c r="G6943" t="s">
        <v>730</v>
      </c>
      <c r="H6943" t="s">
        <v>39</v>
      </c>
      <c r="I6943" t="s">
        <v>40</v>
      </c>
      <c r="J6943" s="2" t="s">
        <v>190</v>
      </c>
      <c r="K6943" t="s">
        <v>42</v>
      </c>
      <c r="L6943" t="s">
        <v>135</v>
      </c>
      <c r="Q6943">
        <v>25610</v>
      </c>
      <c r="R6943" t="s">
        <v>45</v>
      </c>
      <c r="S6943" t="s">
        <v>31373</v>
      </c>
      <c r="T6943">
        <v>29</v>
      </c>
      <c r="W6943" t="s">
        <v>2680</v>
      </c>
      <c r="X6943">
        <v>808292</v>
      </c>
      <c r="Y6943" t="s">
        <v>42051</v>
      </c>
      <c r="Z6943" s="2" t="s">
        <v>29848</v>
      </c>
      <c r="AA6943" s="2" t="s">
        <v>42052</v>
      </c>
      <c r="AB6943" t="s">
        <v>42053</v>
      </c>
      <c r="AC6943" t="s">
        <v>9330</v>
      </c>
      <c r="AG6943" t="s">
        <v>42054</v>
      </c>
      <c r="AH6943" t="s">
        <v>31377</v>
      </c>
      <c r="AI6943" t="s">
        <v>42055</v>
      </c>
    </row>
    <row r="6944" spans="2:35" ht="375">
      <c r="B6944" s="1">
        <v>45155</v>
      </c>
      <c r="C6944" s="4">
        <v>45155.39166666667</v>
      </c>
      <c r="D6944" t="s">
        <v>7662</v>
      </c>
      <c r="E6944" t="s">
        <v>14902</v>
      </c>
      <c r="F6944">
        <v>9</v>
      </c>
      <c r="G6944" t="s">
        <v>2903</v>
      </c>
      <c r="H6944" t="s">
        <v>39</v>
      </c>
      <c r="I6944" t="s">
        <v>40</v>
      </c>
      <c r="J6944" s="2" t="s">
        <v>62</v>
      </c>
      <c r="K6944" t="s">
        <v>42</v>
      </c>
      <c r="L6944" t="s">
        <v>1257</v>
      </c>
      <c r="Q6944">
        <v>25609</v>
      </c>
      <c r="R6944" t="s">
        <v>45</v>
      </c>
      <c r="S6944" t="s">
        <v>42056</v>
      </c>
      <c r="T6944">
        <v>27</v>
      </c>
      <c r="U6944" s="2" t="s">
        <v>40564</v>
      </c>
      <c r="V6944" s="1">
        <v>45140</v>
      </c>
      <c r="W6944" t="s">
        <v>360</v>
      </c>
      <c r="X6944">
        <v>838436</v>
      </c>
      <c r="Y6944" t="s">
        <v>28696</v>
      </c>
      <c r="Z6944" s="2" t="s">
        <v>42057</v>
      </c>
      <c r="AA6944" t="s">
        <v>42058</v>
      </c>
      <c r="AB6944" t="s">
        <v>42059</v>
      </c>
      <c r="AC6944" t="s">
        <v>301</v>
      </c>
      <c r="AD6944" t="s">
        <v>42060</v>
      </c>
      <c r="AE6944">
        <v>10396</v>
      </c>
      <c r="AG6944" t="s">
        <v>42061</v>
      </c>
      <c r="AH6944" t="s">
        <v>42062</v>
      </c>
      <c r="AI6944" t="s">
        <v>42063</v>
      </c>
    </row>
    <row r="6945" spans="2:35" ht="285">
      <c r="B6945" s="1">
        <v>45155</v>
      </c>
      <c r="C6945" s="4">
        <v>45155.355555555558</v>
      </c>
      <c r="D6945" t="s">
        <v>728</v>
      </c>
      <c r="E6945" t="s">
        <v>42064</v>
      </c>
      <c r="F6945">
        <v>3</v>
      </c>
      <c r="G6945" t="s">
        <v>730</v>
      </c>
      <c r="H6945" t="s">
        <v>39</v>
      </c>
      <c r="I6945" t="s">
        <v>40</v>
      </c>
      <c r="J6945" s="2" t="s">
        <v>41</v>
      </c>
      <c r="K6945" t="s">
        <v>42</v>
      </c>
      <c r="L6945" t="s">
        <v>135</v>
      </c>
      <c r="Q6945">
        <v>25608</v>
      </c>
      <c r="R6945" t="s">
        <v>119</v>
      </c>
      <c r="S6945" t="s">
        <v>731</v>
      </c>
      <c r="T6945">
        <v>29</v>
      </c>
      <c r="U6945" s="2" t="s">
        <v>42065</v>
      </c>
      <c r="V6945" s="1">
        <v>45133</v>
      </c>
      <c r="W6945" t="s">
        <v>2680</v>
      </c>
      <c r="X6945">
        <v>831721</v>
      </c>
      <c r="Y6945" t="s">
        <v>9330</v>
      </c>
      <c r="Z6945" s="2" t="s">
        <v>42066</v>
      </c>
      <c r="AA6945" s="2" t="s">
        <v>42067</v>
      </c>
      <c r="AB6945" t="s">
        <v>9590</v>
      </c>
      <c r="AD6945" t="s">
        <v>1859</v>
      </c>
      <c r="AE6945">
        <v>10294</v>
      </c>
      <c r="AG6945" t="s">
        <v>42068</v>
      </c>
      <c r="AH6945" t="s">
        <v>735</v>
      </c>
      <c r="AI6945" t="s">
        <v>42069</v>
      </c>
    </row>
    <row r="6946" spans="2:35" ht="225">
      <c r="B6946" s="1">
        <v>45155</v>
      </c>
      <c r="C6946" s="4">
        <v>45155.315972222219</v>
      </c>
      <c r="D6946" t="s">
        <v>26647</v>
      </c>
      <c r="E6946" t="s">
        <v>42070</v>
      </c>
      <c r="F6946">
        <v>5</v>
      </c>
      <c r="G6946" t="s">
        <v>759</v>
      </c>
      <c r="H6946" t="s">
        <v>39</v>
      </c>
      <c r="I6946" t="s">
        <v>40</v>
      </c>
      <c r="J6946" s="2" t="s">
        <v>62</v>
      </c>
      <c r="K6946" t="s">
        <v>42</v>
      </c>
      <c r="L6946" t="s">
        <v>761</v>
      </c>
      <c r="Q6946">
        <v>25607</v>
      </c>
      <c r="R6946" t="s">
        <v>45</v>
      </c>
      <c r="S6946" t="s">
        <v>26649</v>
      </c>
      <c r="T6946">
        <v>26</v>
      </c>
      <c r="U6946" s="2" t="s">
        <v>37157</v>
      </c>
      <c r="W6946" t="s">
        <v>360</v>
      </c>
      <c r="X6946">
        <v>835187</v>
      </c>
      <c r="Y6946" t="s">
        <v>42071</v>
      </c>
      <c r="Z6946" s="2" t="s">
        <v>42072</v>
      </c>
      <c r="AA6946" t="s">
        <v>999</v>
      </c>
      <c r="AB6946" s="2" t="s">
        <v>42073</v>
      </c>
      <c r="AG6946" t="s">
        <v>42074</v>
      </c>
      <c r="AH6946" t="s">
        <v>42075</v>
      </c>
      <c r="AI6946" t="s">
        <v>42076</v>
      </c>
    </row>
    <row r="6947" spans="2:35" ht="210">
      <c r="B6947" s="1">
        <v>45154</v>
      </c>
      <c r="C6947" s="4">
        <v>45154.931250000001</v>
      </c>
      <c r="D6947" t="s">
        <v>16527</v>
      </c>
      <c r="E6947" t="s">
        <v>42077</v>
      </c>
      <c r="F6947">
        <v>7</v>
      </c>
      <c r="G6947" t="s">
        <v>269</v>
      </c>
      <c r="H6947" t="s">
        <v>258</v>
      </c>
      <c r="I6947" t="s">
        <v>40</v>
      </c>
      <c r="J6947" s="2" t="s">
        <v>62</v>
      </c>
      <c r="K6947" t="s">
        <v>42</v>
      </c>
      <c r="L6947" t="s">
        <v>270</v>
      </c>
      <c r="Q6947">
        <v>25606</v>
      </c>
      <c r="R6947" t="s">
        <v>119</v>
      </c>
      <c r="S6947" t="s">
        <v>10458</v>
      </c>
      <c r="T6947">
        <v>22</v>
      </c>
      <c r="U6947" s="2" t="s">
        <v>42078</v>
      </c>
      <c r="W6947" t="s">
        <v>1292</v>
      </c>
      <c r="X6947">
        <v>838525</v>
      </c>
      <c r="Y6947" t="s">
        <v>42079</v>
      </c>
      <c r="Z6947" t="e">
        <f ca="1">- Preventive Maintenance
- module bay Cleaning
- _xludf.filter Cleaning
- plunger rod Maintenance
- optics Cleaning</f>
        <v>#NAME?</v>
      </c>
      <c r="AA6947" t="s">
        <v>42080</v>
      </c>
      <c r="AB6947" t="s">
        <v>42081</v>
      </c>
      <c r="AG6947" t="s">
        <v>42082</v>
      </c>
      <c r="AH6947" t="s">
        <v>16536</v>
      </c>
      <c r="AI6947" t="s">
        <v>42083</v>
      </c>
    </row>
    <row r="6948" spans="2:35" ht="210">
      <c r="B6948" s="1">
        <v>45154</v>
      </c>
      <c r="C6948" s="4">
        <v>45154.927777777775</v>
      </c>
      <c r="D6948" t="s">
        <v>16527</v>
      </c>
      <c r="E6948" t="s">
        <v>16528</v>
      </c>
      <c r="F6948">
        <v>7</v>
      </c>
      <c r="G6948" t="s">
        <v>269</v>
      </c>
      <c r="H6948" t="s">
        <v>258</v>
      </c>
      <c r="I6948" t="s">
        <v>94</v>
      </c>
      <c r="J6948" s="2" t="s">
        <v>41</v>
      </c>
      <c r="K6948" t="s">
        <v>42</v>
      </c>
      <c r="L6948" t="s">
        <v>270</v>
      </c>
      <c r="Q6948">
        <v>25605</v>
      </c>
      <c r="R6948" t="s">
        <v>45</v>
      </c>
      <c r="S6948" t="s">
        <v>10458</v>
      </c>
      <c r="T6948">
        <v>22</v>
      </c>
      <c r="U6948" s="2" t="s">
        <v>42078</v>
      </c>
      <c r="W6948" t="s">
        <v>1292</v>
      </c>
      <c r="X6948">
        <v>815433</v>
      </c>
      <c r="Y6948" t="s">
        <v>42084</v>
      </c>
      <c r="Z6948" t="e">
        <f ca="1">- Preventive Maintenance
- module bay Cleaning
- _xludf.filter Cleaning
- plunger rod Maintenance
- optics Cleaning</f>
        <v>#NAME?</v>
      </c>
      <c r="AA6948" t="s">
        <v>42085</v>
      </c>
      <c r="AB6948" t="s">
        <v>4668</v>
      </c>
      <c r="AG6948" t="s">
        <v>42086</v>
      </c>
      <c r="AH6948" t="s">
        <v>16536</v>
      </c>
      <c r="AI6948" t="s">
        <v>42087</v>
      </c>
    </row>
    <row r="6949" spans="2:35" ht="210">
      <c r="B6949" s="1">
        <v>45154</v>
      </c>
      <c r="C6949" s="4">
        <v>45154.922222222223</v>
      </c>
      <c r="D6949" t="s">
        <v>16527</v>
      </c>
      <c r="E6949" t="s">
        <v>16528</v>
      </c>
      <c r="F6949">
        <v>7</v>
      </c>
      <c r="G6949" t="s">
        <v>269</v>
      </c>
      <c r="H6949" t="s">
        <v>258</v>
      </c>
      <c r="I6949" t="s">
        <v>94</v>
      </c>
      <c r="J6949" s="2" t="s">
        <v>41</v>
      </c>
      <c r="K6949" t="s">
        <v>42</v>
      </c>
      <c r="L6949" t="s">
        <v>270</v>
      </c>
      <c r="Q6949">
        <v>25604</v>
      </c>
      <c r="R6949" t="s">
        <v>45</v>
      </c>
      <c r="S6949" t="s">
        <v>10458</v>
      </c>
      <c r="T6949">
        <v>22</v>
      </c>
      <c r="U6949" s="2" t="s">
        <v>42078</v>
      </c>
      <c r="W6949" t="s">
        <v>1292</v>
      </c>
      <c r="X6949">
        <v>805275</v>
      </c>
      <c r="Y6949" t="s">
        <v>2789</v>
      </c>
      <c r="Z6949" t="e">
        <f ca="1">- Preventive Maintenance
- module bay Cleaning
- _xludf.filter Cleaning
- plunger rod Maintenance
- optics Cleaning</f>
        <v>#NAME?</v>
      </c>
      <c r="AA6949" t="s">
        <v>42088</v>
      </c>
      <c r="AB6949" t="s">
        <v>42089</v>
      </c>
      <c r="AG6949" t="s">
        <v>42090</v>
      </c>
      <c r="AH6949" t="s">
        <v>16536</v>
      </c>
      <c r="AI6949" t="s">
        <v>42091</v>
      </c>
    </row>
    <row r="6950" spans="2:35">
      <c r="B6950" s="1">
        <v>45154</v>
      </c>
      <c r="C6950" s="4">
        <v>45154.854166666664</v>
      </c>
      <c r="D6950" t="s">
        <v>42092</v>
      </c>
      <c r="E6950" t="s">
        <v>10433</v>
      </c>
      <c r="F6950" t="s">
        <v>148</v>
      </c>
      <c r="G6950" t="s">
        <v>447</v>
      </c>
      <c r="H6950" t="s">
        <v>386</v>
      </c>
      <c r="I6950" t="s">
        <v>40</v>
      </c>
      <c r="J6950" t="s">
        <v>109</v>
      </c>
      <c r="K6950" t="s">
        <v>387</v>
      </c>
      <c r="L6950" t="s">
        <v>448</v>
      </c>
      <c r="Q6950">
        <v>25603</v>
      </c>
      <c r="R6950" t="s">
        <v>322</v>
      </c>
      <c r="S6950" t="s">
        <v>9610</v>
      </c>
      <c r="T6950">
        <v>28</v>
      </c>
      <c r="W6950" t="s">
        <v>476</v>
      </c>
      <c r="X6950" t="s">
        <v>5906</v>
      </c>
      <c r="Y6950" t="s">
        <v>485</v>
      </c>
      <c r="Z6950" t="s">
        <v>41495</v>
      </c>
      <c r="AA6950" t="s">
        <v>6997</v>
      </c>
      <c r="AB6950" t="s">
        <v>42093</v>
      </c>
      <c r="AG6950" t="s">
        <v>42094</v>
      </c>
      <c r="AH6950" t="s">
        <v>9614</v>
      </c>
      <c r="AI6950" t="s">
        <v>42095</v>
      </c>
    </row>
    <row r="6951" spans="2:35" ht="300">
      <c r="B6951" s="1">
        <v>45154</v>
      </c>
      <c r="C6951" s="4">
        <v>45154.838888888888</v>
      </c>
      <c r="D6951" t="s">
        <v>3453</v>
      </c>
      <c r="E6951" t="s">
        <v>40899</v>
      </c>
      <c r="F6951">
        <v>7</v>
      </c>
      <c r="G6951" t="s">
        <v>432</v>
      </c>
      <c r="H6951" t="s">
        <v>608</v>
      </c>
      <c r="I6951" t="s">
        <v>94</v>
      </c>
      <c r="J6951" t="s">
        <v>996</v>
      </c>
      <c r="K6951" t="s">
        <v>42</v>
      </c>
      <c r="L6951" t="s">
        <v>610</v>
      </c>
      <c r="Q6951">
        <v>25602</v>
      </c>
      <c r="R6951" t="s">
        <v>45</v>
      </c>
      <c r="S6951" t="s">
        <v>40900</v>
      </c>
      <c r="T6951">
        <v>23</v>
      </c>
      <c r="U6951" s="2" t="s">
        <v>42096</v>
      </c>
      <c r="W6951" t="s">
        <v>360</v>
      </c>
      <c r="X6951">
        <v>805214</v>
      </c>
      <c r="Y6951" t="s">
        <v>42097</v>
      </c>
      <c r="Z6951" t="s">
        <v>42098</v>
      </c>
      <c r="AA6951" t="s">
        <v>42099</v>
      </c>
      <c r="AB6951" s="2" t="s">
        <v>42100</v>
      </c>
      <c r="AG6951" t="s">
        <v>42101</v>
      </c>
      <c r="AH6951" t="s">
        <v>40908</v>
      </c>
      <c r="AI6951" t="s">
        <v>42102</v>
      </c>
    </row>
    <row r="6952" spans="2:35" ht="180">
      <c r="B6952" s="1">
        <v>45154</v>
      </c>
      <c r="C6952" s="4">
        <v>45154.710416666669</v>
      </c>
      <c r="D6952" t="s">
        <v>42103</v>
      </c>
      <c r="E6952" t="s">
        <v>42104</v>
      </c>
      <c r="F6952">
        <v>11</v>
      </c>
      <c r="G6952" t="s">
        <v>1205</v>
      </c>
      <c r="H6952" t="s">
        <v>202</v>
      </c>
      <c r="I6952" t="s">
        <v>40</v>
      </c>
      <c r="J6952" t="s">
        <v>996</v>
      </c>
      <c r="K6952" t="s">
        <v>42</v>
      </c>
      <c r="L6952" t="s">
        <v>204</v>
      </c>
      <c r="Q6952">
        <v>25601</v>
      </c>
      <c r="R6952" t="s">
        <v>119</v>
      </c>
      <c r="S6952" t="s">
        <v>7478</v>
      </c>
      <c r="T6952">
        <v>24.8</v>
      </c>
      <c r="U6952" s="2" t="s">
        <v>42105</v>
      </c>
      <c r="V6952" s="1">
        <v>45141</v>
      </c>
      <c r="W6952" t="s">
        <v>24154</v>
      </c>
      <c r="X6952">
        <v>838507</v>
      </c>
      <c r="Y6952" t="s">
        <v>67</v>
      </c>
      <c r="Z6952" t="s">
        <v>42106</v>
      </c>
      <c r="AA6952" t="s">
        <v>39672</v>
      </c>
      <c r="AB6952" t="s">
        <v>15776</v>
      </c>
      <c r="AD6952" t="s">
        <v>18192</v>
      </c>
      <c r="AE6952" t="s">
        <v>42107</v>
      </c>
      <c r="AG6952" t="s">
        <v>42108</v>
      </c>
      <c r="AH6952" t="s">
        <v>42109</v>
      </c>
      <c r="AI6952" t="s">
        <v>42110</v>
      </c>
    </row>
    <row r="6953" spans="2:35" ht="75">
      <c r="B6953" s="1">
        <v>45154</v>
      </c>
      <c r="C6953" s="4">
        <v>45154.580555555556</v>
      </c>
      <c r="D6953" t="s">
        <v>42111</v>
      </c>
      <c r="E6953" t="s">
        <v>35777</v>
      </c>
      <c r="F6953" t="s">
        <v>148</v>
      </c>
      <c r="G6953" t="s">
        <v>406</v>
      </c>
      <c r="H6953" t="s">
        <v>39</v>
      </c>
      <c r="I6953" t="s">
        <v>40</v>
      </c>
      <c r="J6953" s="2" t="s">
        <v>609</v>
      </c>
      <c r="K6953" t="s">
        <v>42</v>
      </c>
      <c r="L6953" t="s">
        <v>175</v>
      </c>
      <c r="Q6953">
        <v>25600</v>
      </c>
      <c r="R6953" t="s">
        <v>45</v>
      </c>
      <c r="S6953" t="s">
        <v>32878</v>
      </c>
      <c r="T6953">
        <v>25</v>
      </c>
      <c r="W6953" t="s">
        <v>84</v>
      </c>
      <c r="X6953">
        <v>807452</v>
      </c>
      <c r="Y6953" t="s">
        <v>8255</v>
      </c>
      <c r="Z6953" t="e">
        <f ca="1">- Relocated Unit
- checked _xludf.and cleaned cartridge bay, plunger rod, _xludf.filter
- generated reports</f>
        <v>#NAME?</v>
      </c>
      <c r="AA6953" t="s">
        <v>42112</v>
      </c>
      <c r="AB6953" t="s">
        <v>88</v>
      </c>
      <c r="AG6953" t="s">
        <v>42113</v>
      </c>
      <c r="AH6953" t="s">
        <v>42114</v>
      </c>
      <c r="AI6953" t="s">
        <v>42115</v>
      </c>
    </row>
    <row r="6954" spans="2:35" ht="225">
      <c r="B6954" s="1">
        <v>45154</v>
      </c>
      <c r="C6954" s="4">
        <v>45154.675694444442</v>
      </c>
      <c r="D6954" t="s">
        <v>5228</v>
      </c>
      <c r="E6954" t="s">
        <v>42116</v>
      </c>
      <c r="F6954" t="s">
        <v>148</v>
      </c>
      <c r="G6954" t="s">
        <v>447</v>
      </c>
      <c r="H6954" t="s">
        <v>39</v>
      </c>
      <c r="I6954" t="s">
        <v>40</v>
      </c>
      <c r="J6954" t="s">
        <v>321</v>
      </c>
      <c r="K6954" t="s">
        <v>42</v>
      </c>
      <c r="L6954" t="s">
        <v>15532</v>
      </c>
      <c r="Q6954">
        <v>25599</v>
      </c>
      <c r="R6954" t="s">
        <v>322</v>
      </c>
      <c r="S6954" t="s">
        <v>8157</v>
      </c>
      <c r="T6954">
        <v>27</v>
      </c>
      <c r="V6954" s="1">
        <v>45147</v>
      </c>
      <c r="W6954" t="s">
        <v>423</v>
      </c>
      <c r="X6954">
        <v>110012766</v>
      </c>
      <c r="Y6954" t="s">
        <v>34734</v>
      </c>
      <c r="Z6954" s="2" t="s">
        <v>42117</v>
      </c>
      <c r="AA6954" t="s">
        <v>24627</v>
      </c>
      <c r="AB6954" t="s">
        <v>88</v>
      </c>
      <c r="AD6954" t="s">
        <v>42118</v>
      </c>
      <c r="AE6954" t="s">
        <v>42119</v>
      </c>
      <c r="AG6954" t="s">
        <v>42120</v>
      </c>
      <c r="AH6954" t="s">
        <v>42121</v>
      </c>
      <c r="AI6954" t="s">
        <v>42122</v>
      </c>
    </row>
    <row r="6955" spans="2:35" ht="225">
      <c r="B6955" s="1">
        <v>45154</v>
      </c>
      <c r="C6955" s="4">
        <v>45153.555555555555</v>
      </c>
      <c r="D6955" t="s">
        <v>132</v>
      </c>
      <c r="E6955" t="s">
        <v>27259</v>
      </c>
      <c r="F6955">
        <v>3</v>
      </c>
      <c r="G6955" t="s">
        <v>134</v>
      </c>
      <c r="H6955" t="s">
        <v>42123</v>
      </c>
      <c r="I6955" t="s">
        <v>40</v>
      </c>
      <c r="J6955" s="2" t="s">
        <v>190</v>
      </c>
      <c r="K6955" t="s">
        <v>42</v>
      </c>
      <c r="L6955" t="s">
        <v>135</v>
      </c>
      <c r="Q6955">
        <v>25598</v>
      </c>
      <c r="R6955" t="s">
        <v>119</v>
      </c>
      <c r="S6955" t="s">
        <v>137</v>
      </c>
      <c r="T6955">
        <v>30</v>
      </c>
      <c r="U6955" s="2" t="s">
        <v>42124</v>
      </c>
      <c r="W6955" t="s">
        <v>2680</v>
      </c>
      <c r="X6955">
        <v>831900</v>
      </c>
      <c r="Y6955" t="s">
        <v>42125</v>
      </c>
      <c r="Z6955" s="2" t="s">
        <v>29848</v>
      </c>
      <c r="AA6955" s="2" t="s">
        <v>42126</v>
      </c>
      <c r="AB6955" t="s">
        <v>14475</v>
      </c>
      <c r="AC6955" t="s">
        <v>42127</v>
      </c>
      <c r="AG6955" t="s">
        <v>42128</v>
      </c>
      <c r="AH6955" t="s">
        <v>42129</v>
      </c>
      <c r="AI6955" t="s">
        <v>42130</v>
      </c>
    </row>
    <row r="6956" spans="2:35" ht="165">
      <c r="B6956" s="1">
        <v>45154</v>
      </c>
      <c r="C6956" s="4">
        <v>45154.585416666669</v>
      </c>
      <c r="D6956" t="s">
        <v>23601</v>
      </c>
      <c r="E6956" t="s">
        <v>23602</v>
      </c>
      <c r="F6956">
        <v>3</v>
      </c>
      <c r="G6956" t="s">
        <v>134</v>
      </c>
      <c r="H6956" t="s">
        <v>39</v>
      </c>
      <c r="I6956" t="s">
        <v>40</v>
      </c>
      <c r="J6956" s="2" t="s">
        <v>3198</v>
      </c>
      <c r="K6956" t="s">
        <v>42</v>
      </c>
      <c r="L6956" t="s">
        <v>63</v>
      </c>
      <c r="Q6956">
        <v>25597</v>
      </c>
      <c r="R6956" t="s">
        <v>119</v>
      </c>
      <c r="S6956" t="s">
        <v>23603</v>
      </c>
      <c r="T6956">
        <v>28</v>
      </c>
      <c r="U6956" s="2" t="s">
        <v>42131</v>
      </c>
      <c r="V6956" s="1">
        <v>45154</v>
      </c>
      <c r="W6956" t="s">
        <v>26915</v>
      </c>
      <c r="X6956">
        <v>831902</v>
      </c>
      <c r="Y6956" t="s">
        <v>24940</v>
      </c>
      <c r="Z6956" t="s">
        <v>42132</v>
      </c>
      <c r="AA6956" s="2" t="s">
        <v>1727</v>
      </c>
      <c r="AB6956" t="s">
        <v>70</v>
      </c>
      <c r="AC6956" t="s">
        <v>38755</v>
      </c>
      <c r="AD6956" t="s">
        <v>32127</v>
      </c>
      <c r="AE6956" t="s">
        <v>1716</v>
      </c>
      <c r="AG6956" t="s">
        <v>42133</v>
      </c>
      <c r="AH6956" t="s">
        <v>42134</v>
      </c>
      <c r="AI6956" t="s">
        <v>42135</v>
      </c>
    </row>
    <row r="6957" spans="2:35" ht="210">
      <c r="B6957" s="1">
        <v>45154</v>
      </c>
      <c r="C6957" s="4">
        <v>45154.590277777781</v>
      </c>
      <c r="D6957" t="s">
        <v>42136</v>
      </c>
      <c r="E6957" t="s">
        <v>6893</v>
      </c>
      <c r="F6957">
        <v>11</v>
      </c>
      <c r="G6957" t="s">
        <v>1205</v>
      </c>
      <c r="H6957" t="s">
        <v>1317</v>
      </c>
      <c r="I6957" t="s">
        <v>40</v>
      </c>
      <c r="J6957" s="2" t="s">
        <v>1444</v>
      </c>
      <c r="K6957" t="s">
        <v>42</v>
      </c>
      <c r="L6957" t="s">
        <v>204</v>
      </c>
      <c r="Q6957">
        <v>25596</v>
      </c>
      <c r="R6957" t="s">
        <v>119</v>
      </c>
      <c r="S6957" t="s">
        <v>1318</v>
      </c>
      <c r="T6957">
        <v>25.6</v>
      </c>
      <c r="U6957" s="2" t="s">
        <v>42137</v>
      </c>
      <c r="V6957" s="1">
        <v>45141</v>
      </c>
      <c r="W6957" t="s">
        <v>32213</v>
      </c>
      <c r="X6957">
        <v>838262</v>
      </c>
      <c r="Y6957" s="2" t="s">
        <v>42138</v>
      </c>
      <c r="Z6957" t="s">
        <v>42139</v>
      </c>
      <c r="AA6957" t="s">
        <v>42140</v>
      </c>
      <c r="AB6957" t="s">
        <v>15776</v>
      </c>
      <c r="AC6957" t="s">
        <v>34562</v>
      </c>
      <c r="AD6957" t="s">
        <v>5365</v>
      </c>
      <c r="AE6957" t="s">
        <v>42141</v>
      </c>
      <c r="AG6957" t="s">
        <v>42142</v>
      </c>
      <c r="AH6957" t="s">
        <v>42143</v>
      </c>
      <c r="AI6957" t="s">
        <v>42144</v>
      </c>
    </row>
    <row r="6958" spans="2:35" ht="180">
      <c r="B6958" s="1">
        <v>45154</v>
      </c>
      <c r="C6958" s="4">
        <v>45154.553472222222</v>
      </c>
      <c r="D6958" t="s">
        <v>10218</v>
      </c>
      <c r="E6958" t="s">
        <v>42145</v>
      </c>
      <c r="F6958">
        <v>7</v>
      </c>
      <c r="G6958" t="s">
        <v>6529</v>
      </c>
      <c r="H6958" t="s">
        <v>2125</v>
      </c>
      <c r="I6958" t="s">
        <v>40</v>
      </c>
      <c r="J6958" s="2" t="s">
        <v>62</v>
      </c>
      <c r="K6958" t="s">
        <v>42</v>
      </c>
      <c r="L6958" t="s">
        <v>933</v>
      </c>
      <c r="Q6958">
        <v>25595</v>
      </c>
      <c r="R6958" t="s">
        <v>119</v>
      </c>
      <c r="S6958" t="s">
        <v>42146</v>
      </c>
      <c r="T6958">
        <v>22.125</v>
      </c>
      <c r="U6958" s="2" t="s">
        <v>42147</v>
      </c>
      <c r="V6958" s="1">
        <v>45134</v>
      </c>
      <c r="W6958" t="s">
        <v>3662</v>
      </c>
      <c r="X6958">
        <v>838396</v>
      </c>
      <c r="Y6958" s="2" t="s">
        <v>42148</v>
      </c>
      <c r="Z6958" t="s">
        <v>42149</v>
      </c>
      <c r="AA6958" s="2" t="s">
        <v>2397</v>
      </c>
      <c r="AB6958" s="2" t="s">
        <v>42150</v>
      </c>
      <c r="AC6958" t="s">
        <v>42151</v>
      </c>
      <c r="AD6958" t="s">
        <v>5618</v>
      </c>
      <c r="AE6958">
        <v>10324</v>
      </c>
      <c r="AG6958" t="s">
        <v>42152</v>
      </c>
      <c r="AH6958" t="s">
        <v>42153</v>
      </c>
      <c r="AI6958" t="s">
        <v>42154</v>
      </c>
    </row>
    <row r="6959" spans="2:35" ht="105">
      <c r="B6959" s="1">
        <v>45154</v>
      </c>
      <c r="C6959" s="4">
        <v>45154.526388888888</v>
      </c>
      <c r="D6959" t="s">
        <v>9878</v>
      </c>
      <c r="E6959" t="s">
        <v>9879</v>
      </c>
      <c r="F6959">
        <v>12</v>
      </c>
      <c r="G6959" t="s">
        <v>5785</v>
      </c>
      <c r="H6959" t="s">
        <v>39</v>
      </c>
      <c r="I6959" t="s">
        <v>94</v>
      </c>
      <c r="J6959" s="2" t="s">
        <v>62</v>
      </c>
      <c r="K6959" t="s">
        <v>42</v>
      </c>
      <c r="L6959" t="s">
        <v>296</v>
      </c>
      <c r="Q6959">
        <v>25594</v>
      </c>
      <c r="R6959" t="s">
        <v>119</v>
      </c>
      <c r="S6959" t="s">
        <v>9880</v>
      </c>
      <c r="T6959">
        <v>20.6</v>
      </c>
      <c r="U6959" s="2" t="s">
        <v>42155</v>
      </c>
      <c r="V6959" s="1">
        <v>45154</v>
      </c>
      <c r="W6959" t="s">
        <v>23049</v>
      </c>
      <c r="X6959">
        <v>838542</v>
      </c>
      <c r="Y6959" t="s">
        <v>54</v>
      </c>
      <c r="Z6959" t="s">
        <v>9161</v>
      </c>
      <c r="AA6959" t="s">
        <v>41331</v>
      </c>
      <c r="AB6959" t="s">
        <v>972</v>
      </c>
      <c r="AD6959" t="s">
        <v>42156</v>
      </c>
      <c r="AE6959" t="s">
        <v>42157</v>
      </c>
      <c r="AG6959" t="s">
        <v>42158</v>
      </c>
      <c r="AH6959" t="s">
        <v>9884</v>
      </c>
      <c r="AI6959" t="s">
        <v>42159</v>
      </c>
    </row>
    <row r="6960" spans="2:35" ht="255">
      <c r="B6960" s="1">
        <v>45154</v>
      </c>
      <c r="C6960" s="4">
        <v>45154.536805555559</v>
      </c>
      <c r="D6960" t="s">
        <v>1343</v>
      </c>
      <c r="E6960" t="s">
        <v>42160</v>
      </c>
      <c r="F6960">
        <v>8</v>
      </c>
      <c r="G6960" t="s">
        <v>342</v>
      </c>
      <c r="H6960" t="s">
        <v>39</v>
      </c>
      <c r="I6960" t="s">
        <v>40</v>
      </c>
      <c r="J6960" s="2" t="s">
        <v>41</v>
      </c>
      <c r="K6960" t="s">
        <v>42</v>
      </c>
      <c r="L6960" t="s">
        <v>259</v>
      </c>
      <c r="Q6960">
        <v>25593</v>
      </c>
      <c r="R6960" t="s">
        <v>45</v>
      </c>
      <c r="S6960" t="s">
        <v>1345</v>
      </c>
      <c r="T6960">
        <v>28</v>
      </c>
      <c r="U6960" s="2" t="s">
        <v>42161</v>
      </c>
      <c r="V6960" s="1">
        <v>45154</v>
      </c>
      <c r="W6960" t="s">
        <v>84</v>
      </c>
      <c r="X6960">
        <v>815267</v>
      </c>
      <c r="Y6960" s="2" t="s">
        <v>42162</v>
      </c>
      <c r="Z6960" t="e">
        <f ca="1">- Troubleshooting
- Preventive Maintenance</f>
        <v>#NAME?</v>
      </c>
      <c r="AA6960" t="e">
        <f ca="1">- performed Troubleshooting
- checked BIOS sytem
- Changed CMOS battery
- performed Preventive Maintenance
- performed functionality test
- Generate reports</f>
        <v>#NAME?</v>
      </c>
      <c r="AB6960" t="s">
        <v>70</v>
      </c>
      <c r="AG6960" t="s">
        <v>42163</v>
      </c>
      <c r="AH6960" t="s">
        <v>42164</v>
      </c>
      <c r="AI6960" t="s">
        <v>42165</v>
      </c>
    </row>
    <row r="6961" spans="2:35" ht="60">
      <c r="B6961" s="1">
        <v>45154</v>
      </c>
      <c r="C6961" s="4">
        <v>45154.490277777775</v>
      </c>
      <c r="D6961" t="s">
        <v>30853</v>
      </c>
      <c r="E6961" t="s">
        <v>18404</v>
      </c>
      <c r="F6961">
        <v>7</v>
      </c>
      <c r="G6961" t="s">
        <v>6529</v>
      </c>
      <c r="H6961" t="s">
        <v>39</v>
      </c>
      <c r="I6961" t="s">
        <v>40</v>
      </c>
      <c r="J6961" s="2" t="s">
        <v>62</v>
      </c>
      <c r="K6961" t="s">
        <v>42</v>
      </c>
      <c r="L6961" t="s">
        <v>433</v>
      </c>
      <c r="Q6961">
        <v>25592</v>
      </c>
      <c r="R6961" t="s">
        <v>119</v>
      </c>
      <c r="S6961" t="s">
        <v>30507</v>
      </c>
      <c r="T6961">
        <v>27</v>
      </c>
      <c r="W6961" t="s">
        <v>1008</v>
      </c>
      <c r="X6961">
        <v>820228</v>
      </c>
      <c r="Y6961" t="s">
        <v>42166</v>
      </c>
      <c r="Z6961" t="s">
        <v>42167</v>
      </c>
      <c r="AA6961" t="s">
        <v>42167</v>
      </c>
      <c r="AB6961" t="s">
        <v>42168</v>
      </c>
      <c r="AG6961" t="s">
        <v>42169</v>
      </c>
      <c r="AH6961" t="s">
        <v>36402</v>
      </c>
      <c r="AI6961" t="s">
        <v>42170</v>
      </c>
    </row>
    <row r="6962" spans="2:35" ht="45">
      <c r="B6962" s="1">
        <v>45154</v>
      </c>
      <c r="C6962" s="4">
        <v>45154.48333333333</v>
      </c>
      <c r="D6962" t="s">
        <v>42171</v>
      </c>
      <c r="E6962" t="s">
        <v>42172</v>
      </c>
      <c r="F6962">
        <v>7</v>
      </c>
      <c r="G6962" t="s">
        <v>6529</v>
      </c>
      <c r="H6962" t="s">
        <v>39</v>
      </c>
      <c r="I6962" t="s">
        <v>40</v>
      </c>
      <c r="J6962" s="2" t="s">
        <v>1370</v>
      </c>
      <c r="K6962" t="s">
        <v>42</v>
      </c>
      <c r="L6962" t="s">
        <v>433</v>
      </c>
      <c r="Q6962">
        <v>25591</v>
      </c>
      <c r="R6962" t="s">
        <v>45</v>
      </c>
      <c r="S6962" t="s">
        <v>30507</v>
      </c>
      <c r="T6962">
        <v>27</v>
      </c>
      <c r="W6962" t="s">
        <v>1008</v>
      </c>
      <c r="X6962">
        <v>838878</v>
      </c>
      <c r="Y6962" t="s">
        <v>42173</v>
      </c>
      <c r="Z6962" t="s">
        <v>42174</v>
      </c>
      <c r="AA6962" t="s">
        <v>42174</v>
      </c>
      <c r="AB6962" t="s">
        <v>1011</v>
      </c>
      <c r="AG6962" t="s">
        <v>42175</v>
      </c>
      <c r="AH6962" t="s">
        <v>36402</v>
      </c>
      <c r="AI6962" t="s">
        <v>42176</v>
      </c>
    </row>
    <row r="6963" spans="2:35" ht="105">
      <c r="B6963" s="1">
        <v>45154</v>
      </c>
      <c r="C6963" s="4">
        <v>45154.476388888892</v>
      </c>
      <c r="D6963" t="s">
        <v>9147</v>
      </c>
      <c r="E6963" t="s">
        <v>10264</v>
      </c>
      <c r="F6963">
        <v>6</v>
      </c>
      <c r="G6963" t="s">
        <v>1234</v>
      </c>
      <c r="H6963" t="s">
        <v>1047</v>
      </c>
      <c r="I6963" t="s">
        <v>94</v>
      </c>
      <c r="J6963" t="s">
        <v>996</v>
      </c>
      <c r="K6963" t="s">
        <v>42</v>
      </c>
      <c r="L6963" t="s">
        <v>23958</v>
      </c>
      <c r="Q6963">
        <v>25590</v>
      </c>
      <c r="R6963" t="s">
        <v>119</v>
      </c>
      <c r="S6963" t="s">
        <v>19064</v>
      </c>
      <c r="T6963">
        <v>30</v>
      </c>
      <c r="U6963" s="2" t="s">
        <v>12216</v>
      </c>
      <c r="W6963" t="s">
        <v>360</v>
      </c>
      <c r="X6963">
        <v>838523</v>
      </c>
      <c r="Y6963" t="s">
        <v>301</v>
      </c>
      <c r="Z6963" t="s">
        <v>42177</v>
      </c>
      <c r="AA6963" t="s">
        <v>42178</v>
      </c>
      <c r="AB6963" t="s">
        <v>42179</v>
      </c>
      <c r="AG6963" t="s">
        <v>42180</v>
      </c>
      <c r="AH6963" t="s">
        <v>21020</v>
      </c>
      <c r="AI6963" t="s">
        <v>42181</v>
      </c>
    </row>
    <row r="6964" spans="2:35" ht="180">
      <c r="B6964" s="1">
        <v>45154</v>
      </c>
      <c r="C6964" s="4">
        <v>45154.429861111108</v>
      </c>
      <c r="D6964" t="s">
        <v>6527</v>
      </c>
      <c r="E6964" t="s">
        <v>42182</v>
      </c>
      <c r="F6964">
        <v>7</v>
      </c>
      <c r="G6964" t="s">
        <v>6529</v>
      </c>
      <c r="H6964" t="s">
        <v>2125</v>
      </c>
      <c r="I6964" t="s">
        <v>40</v>
      </c>
      <c r="J6964" t="s">
        <v>996</v>
      </c>
      <c r="K6964" t="s">
        <v>42</v>
      </c>
      <c r="L6964" t="s">
        <v>933</v>
      </c>
      <c r="Q6964">
        <v>25589</v>
      </c>
      <c r="R6964" t="s">
        <v>119</v>
      </c>
      <c r="S6964" t="s">
        <v>19662</v>
      </c>
      <c r="T6964">
        <v>30</v>
      </c>
      <c r="U6964" s="2" t="s">
        <v>42183</v>
      </c>
      <c r="V6964" s="1">
        <v>45138</v>
      </c>
      <c r="W6964" t="s">
        <v>3662</v>
      </c>
      <c r="X6964">
        <v>838292</v>
      </c>
      <c r="Y6964" t="s">
        <v>42184</v>
      </c>
      <c r="Z6964" t="s">
        <v>301</v>
      </c>
      <c r="AA6964" s="2" t="s">
        <v>2397</v>
      </c>
      <c r="AB6964" t="s">
        <v>1263</v>
      </c>
      <c r="AC6964" t="s">
        <v>42185</v>
      </c>
      <c r="AD6964" t="s">
        <v>39241</v>
      </c>
      <c r="AE6964">
        <v>10354</v>
      </c>
      <c r="AG6964" t="s">
        <v>42186</v>
      </c>
      <c r="AH6964" t="s">
        <v>42187</v>
      </c>
      <c r="AI6964" t="s">
        <v>42188</v>
      </c>
    </row>
    <row r="6965" spans="2:35" ht="210">
      <c r="B6965" s="1">
        <v>45154</v>
      </c>
      <c r="C6965" s="4">
        <v>45154.462500000001</v>
      </c>
      <c r="D6965" t="s">
        <v>42189</v>
      </c>
      <c r="E6965" t="s">
        <v>40168</v>
      </c>
      <c r="F6965" t="s">
        <v>148</v>
      </c>
      <c r="G6965" t="s">
        <v>371</v>
      </c>
      <c r="H6965" t="s">
        <v>39</v>
      </c>
      <c r="I6965" t="s">
        <v>40</v>
      </c>
      <c r="J6965" s="2" t="s">
        <v>41</v>
      </c>
      <c r="K6965" t="s">
        <v>42</v>
      </c>
      <c r="L6965" t="s">
        <v>15532</v>
      </c>
      <c r="Q6965">
        <v>25588</v>
      </c>
      <c r="R6965" t="s">
        <v>45</v>
      </c>
      <c r="S6965" t="s">
        <v>3052</v>
      </c>
      <c r="T6965">
        <v>30</v>
      </c>
      <c r="U6965" s="2" t="s">
        <v>42190</v>
      </c>
      <c r="W6965" t="s">
        <v>597</v>
      </c>
      <c r="X6965" t="s">
        <v>25461</v>
      </c>
      <c r="Y6965" t="s">
        <v>42191</v>
      </c>
      <c r="Z6965" s="2" t="s">
        <v>42192</v>
      </c>
      <c r="AA6965" t="s">
        <v>42193</v>
      </c>
      <c r="AB6965" t="s">
        <v>88</v>
      </c>
      <c r="AG6965" t="s">
        <v>42194</v>
      </c>
      <c r="AH6965" t="s">
        <v>25468</v>
      </c>
      <c r="AI6965" t="s">
        <v>42195</v>
      </c>
    </row>
    <row r="6966" spans="2:35" ht="105">
      <c r="B6966" s="1">
        <v>45154</v>
      </c>
      <c r="C6966" s="4">
        <v>45154.448611111111</v>
      </c>
      <c r="D6966" t="s">
        <v>42196</v>
      </c>
      <c r="E6966" t="s">
        <v>42197</v>
      </c>
      <c r="F6966">
        <v>9</v>
      </c>
      <c r="G6966" t="s">
        <v>2903</v>
      </c>
      <c r="H6966" t="s">
        <v>39</v>
      </c>
      <c r="I6966" t="s">
        <v>40</v>
      </c>
      <c r="J6966" s="2" t="s">
        <v>31863</v>
      </c>
      <c r="K6966" t="s">
        <v>42</v>
      </c>
      <c r="L6966" t="s">
        <v>1257</v>
      </c>
      <c r="Q6966">
        <v>25587</v>
      </c>
      <c r="R6966" t="s">
        <v>45</v>
      </c>
      <c r="S6966" t="s">
        <v>22915</v>
      </c>
      <c r="T6966">
        <v>25</v>
      </c>
      <c r="U6966" s="2" t="s">
        <v>23838</v>
      </c>
      <c r="V6966" s="1">
        <v>45154</v>
      </c>
      <c r="W6966" t="s">
        <v>37384</v>
      </c>
      <c r="X6966">
        <v>834827</v>
      </c>
      <c r="Y6966" t="s">
        <v>26149</v>
      </c>
      <c r="Z6966" t="s">
        <v>42198</v>
      </c>
      <c r="AA6966" t="s">
        <v>42199</v>
      </c>
      <c r="AB6966" t="s">
        <v>7411</v>
      </c>
      <c r="AC6966" t="s">
        <v>301</v>
      </c>
      <c r="AD6966" t="s">
        <v>54</v>
      </c>
      <c r="AE6966" t="s">
        <v>54</v>
      </c>
      <c r="AG6966" t="s">
        <v>42200</v>
      </c>
      <c r="AH6966" t="s">
        <v>42201</v>
      </c>
      <c r="AI6966" t="s">
        <v>42202</v>
      </c>
    </row>
    <row r="6967" spans="2:35">
      <c r="B6967" s="1">
        <v>45154</v>
      </c>
      <c r="C6967" s="4">
        <v>45154.448611111111</v>
      </c>
      <c r="D6967" t="s">
        <v>1496</v>
      </c>
      <c r="E6967" t="s">
        <v>1497</v>
      </c>
      <c r="F6967">
        <v>8</v>
      </c>
      <c r="G6967" t="s">
        <v>342</v>
      </c>
      <c r="H6967" t="s">
        <v>1498</v>
      </c>
      <c r="I6967" t="s">
        <v>40</v>
      </c>
      <c r="J6967" t="s">
        <v>583</v>
      </c>
      <c r="K6967" t="s">
        <v>42</v>
      </c>
      <c r="L6967" t="s">
        <v>343</v>
      </c>
      <c r="Q6967">
        <v>25586</v>
      </c>
      <c r="R6967" t="s">
        <v>119</v>
      </c>
      <c r="S6967" t="s">
        <v>7820</v>
      </c>
      <c r="T6967">
        <v>26</v>
      </c>
      <c r="W6967" t="s">
        <v>6105</v>
      </c>
      <c r="X6967">
        <v>838297</v>
      </c>
      <c r="Y6967" t="s">
        <v>301</v>
      </c>
      <c r="Z6967" t="s">
        <v>301</v>
      </c>
      <c r="AA6967" t="e">
        <f ca="1">-XpertCheck Activation</f>
        <v>#NAME?</v>
      </c>
      <c r="AB6967" t="s">
        <v>42203</v>
      </c>
      <c r="AG6967" t="s">
        <v>42204</v>
      </c>
      <c r="AH6967" t="s">
        <v>12926</v>
      </c>
      <c r="AI6967" t="s">
        <v>42205</v>
      </c>
    </row>
    <row r="6968" spans="2:35" ht="409.5">
      <c r="B6968" s="1">
        <v>45154</v>
      </c>
      <c r="C6968" s="4">
        <v>45154.446527777778</v>
      </c>
      <c r="D6968" t="s">
        <v>42206</v>
      </c>
      <c r="E6968" t="s">
        <v>42207</v>
      </c>
      <c r="F6968" t="s">
        <v>148</v>
      </c>
      <c r="G6968" t="s">
        <v>310</v>
      </c>
      <c r="H6968" t="s">
        <v>39</v>
      </c>
      <c r="I6968" t="s">
        <v>40</v>
      </c>
      <c r="J6968" s="2" t="s">
        <v>4208</v>
      </c>
      <c r="K6968" t="s">
        <v>42</v>
      </c>
      <c r="L6968" t="s">
        <v>1943</v>
      </c>
      <c r="Q6968">
        <v>25585</v>
      </c>
      <c r="R6968" t="s">
        <v>95</v>
      </c>
      <c r="S6968" t="s">
        <v>12194</v>
      </c>
      <c r="T6968">
        <v>25</v>
      </c>
      <c r="U6968" s="2" t="s">
        <v>42208</v>
      </c>
      <c r="W6968" t="s">
        <v>5225</v>
      </c>
      <c r="X6968">
        <v>110014186</v>
      </c>
      <c r="Y6968" s="2" t="s">
        <v>42209</v>
      </c>
      <c r="Z6968" s="2" t="s">
        <v>42210</v>
      </c>
      <c r="AA6968" t="s">
        <v>4402</v>
      </c>
      <c r="AB6968" t="s">
        <v>42211</v>
      </c>
      <c r="AG6968" t="s">
        <v>42212</v>
      </c>
      <c r="AH6968" t="s">
        <v>12191</v>
      </c>
      <c r="AI6968" t="s">
        <v>42213</v>
      </c>
    </row>
    <row r="6969" spans="2:35" ht="105">
      <c r="B6969" s="1">
        <v>45154</v>
      </c>
      <c r="C6969" s="4">
        <v>45154.408333333333</v>
      </c>
      <c r="D6969" t="s">
        <v>13336</v>
      </c>
      <c r="E6969" t="s">
        <v>582</v>
      </c>
      <c r="F6969" t="s">
        <v>148</v>
      </c>
      <c r="G6969" t="s">
        <v>447</v>
      </c>
      <c r="H6969" t="s">
        <v>5452</v>
      </c>
      <c r="I6969" t="s">
        <v>40</v>
      </c>
      <c r="J6969" s="2" t="s">
        <v>760</v>
      </c>
      <c r="K6969" t="s">
        <v>408</v>
      </c>
      <c r="L6969" t="s">
        <v>175</v>
      </c>
      <c r="P6969" t="s">
        <v>42214</v>
      </c>
      <c r="Q6969">
        <v>25584</v>
      </c>
      <c r="R6969" t="s">
        <v>322</v>
      </c>
      <c r="S6969" t="s">
        <v>176</v>
      </c>
      <c r="T6969">
        <v>25</v>
      </c>
      <c r="W6969" t="s">
        <v>42215</v>
      </c>
      <c r="X6969" t="s">
        <v>42216</v>
      </c>
      <c r="Y6969" t="s">
        <v>42217</v>
      </c>
      <c r="Z6969" t="e">
        <f ca="1">- swapped RAM _xludf.and SSD
- performed functionality test</f>
        <v>#NAME?</v>
      </c>
      <c r="AA6969" t="s">
        <v>42218</v>
      </c>
      <c r="AB6969" s="2" t="s">
        <v>42219</v>
      </c>
      <c r="AG6969" t="s">
        <v>42220</v>
      </c>
      <c r="AH6969" t="s">
        <v>42221</v>
      </c>
      <c r="AI6969" t="s">
        <v>42222</v>
      </c>
    </row>
    <row r="6970" spans="2:35" ht="180">
      <c r="B6970" s="1">
        <v>45154</v>
      </c>
      <c r="C6970" s="4">
        <v>45154.40625</v>
      </c>
      <c r="D6970" t="s">
        <v>267</v>
      </c>
      <c r="E6970" t="s">
        <v>268</v>
      </c>
      <c r="F6970">
        <v>7</v>
      </c>
      <c r="G6970" t="s">
        <v>269</v>
      </c>
      <c r="H6970" t="s">
        <v>39</v>
      </c>
      <c r="I6970" t="s">
        <v>40</v>
      </c>
      <c r="J6970" s="2" t="s">
        <v>62</v>
      </c>
      <c r="K6970" t="s">
        <v>42</v>
      </c>
      <c r="L6970" t="s">
        <v>270</v>
      </c>
      <c r="Q6970">
        <v>25583</v>
      </c>
      <c r="R6970" t="s">
        <v>45</v>
      </c>
      <c r="S6970" t="s">
        <v>13431</v>
      </c>
      <c r="T6970">
        <v>22</v>
      </c>
      <c r="U6970" s="2" t="s">
        <v>42223</v>
      </c>
      <c r="W6970" t="s">
        <v>360</v>
      </c>
      <c r="X6970">
        <v>838475</v>
      </c>
      <c r="Y6970" t="s">
        <v>301</v>
      </c>
      <c r="Z6970" t="e">
        <f ca="1">- Preventive Maintenance
- optics Cleaning
- plunger Maintenance
- module bay Cleaning
- _xludf.filter Cleaning</f>
        <v>#NAME?</v>
      </c>
      <c r="AA6970" t="s">
        <v>42224</v>
      </c>
      <c r="AB6970" t="s">
        <v>39503</v>
      </c>
      <c r="AG6970" t="s">
        <v>42225</v>
      </c>
      <c r="AH6970" t="s">
        <v>21557</v>
      </c>
      <c r="AI6970" t="s">
        <v>42226</v>
      </c>
    </row>
    <row r="6971" spans="2:35" ht="105">
      <c r="B6971" s="1">
        <v>45154</v>
      </c>
      <c r="C6971" s="4">
        <v>45154.404861111114</v>
      </c>
      <c r="D6971" t="s">
        <v>7881</v>
      </c>
      <c r="E6971" t="s">
        <v>42227</v>
      </c>
      <c r="F6971">
        <v>7</v>
      </c>
      <c r="G6971" t="s">
        <v>432</v>
      </c>
      <c r="H6971" t="s">
        <v>608</v>
      </c>
      <c r="I6971" t="s">
        <v>94</v>
      </c>
      <c r="J6971" t="s">
        <v>996</v>
      </c>
      <c r="K6971" t="s">
        <v>42</v>
      </c>
      <c r="L6971" t="s">
        <v>610</v>
      </c>
      <c r="Q6971">
        <v>25582</v>
      </c>
      <c r="R6971" t="s">
        <v>119</v>
      </c>
      <c r="S6971" t="s">
        <v>13419</v>
      </c>
      <c r="T6971">
        <v>23</v>
      </c>
      <c r="U6971" s="2" t="s">
        <v>42096</v>
      </c>
      <c r="W6971" t="s">
        <v>360</v>
      </c>
      <c r="X6971">
        <v>838512</v>
      </c>
      <c r="Y6971" t="s">
        <v>42228</v>
      </c>
      <c r="Z6971" t="s">
        <v>42229</v>
      </c>
      <c r="AA6971" t="s">
        <v>40273</v>
      </c>
      <c r="AB6971" t="s">
        <v>42230</v>
      </c>
      <c r="AG6971" t="s">
        <v>42231</v>
      </c>
      <c r="AH6971" t="s">
        <v>31810</v>
      </c>
      <c r="AI6971" t="s">
        <v>42232</v>
      </c>
    </row>
    <row r="6972" spans="2:35" ht="90">
      <c r="B6972" s="1">
        <v>45154</v>
      </c>
      <c r="C6972" s="4">
        <v>45154.40625</v>
      </c>
      <c r="D6972" t="s">
        <v>13336</v>
      </c>
      <c r="E6972" t="s">
        <v>582</v>
      </c>
      <c r="F6972" t="s">
        <v>148</v>
      </c>
      <c r="G6972" t="s">
        <v>447</v>
      </c>
      <c r="H6972" t="s">
        <v>5452</v>
      </c>
      <c r="I6972" t="s">
        <v>40</v>
      </c>
      <c r="J6972" s="2" t="s">
        <v>760</v>
      </c>
      <c r="K6972" t="s">
        <v>408</v>
      </c>
      <c r="L6972" t="s">
        <v>175</v>
      </c>
      <c r="P6972" t="s">
        <v>42214</v>
      </c>
      <c r="Q6972">
        <v>25581</v>
      </c>
      <c r="R6972" t="s">
        <v>322</v>
      </c>
      <c r="S6972" t="s">
        <v>176</v>
      </c>
      <c r="T6972">
        <v>25</v>
      </c>
      <c r="W6972" t="s">
        <v>42215</v>
      </c>
      <c r="X6972" t="s">
        <v>42233</v>
      </c>
      <c r="Y6972" t="s">
        <v>42217</v>
      </c>
      <c r="Z6972" t="e">
        <f ca="1">- Reset internal cables
- swapped RAM _xludf.and SSD
- performed functionality test</f>
        <v>#NAME?</v>
      </c>
      <c r="AA6972" t="s">
        <v>768</v>
      </c>
      <c r="AB6972" s="2" t="s">
        <v>42234</v>
      </c>
      <c r="AG6972" t="s">
        <v>42235</v>
      </c>
      <c r="AH6972" t="s">
        <v>42221</v>
      </c>
      <c r="AI6972" t="s">
        <v>42236</v>
      </c>
    </row>
    <row r="6973" spans="2:35" ht="210">
      <c r="B6973" s="1">
        <v>45154</v>
      </c>
      <c r="C6973" s="4">
        <v>45154.395138888889</v>
      </c>
      <c r="D6973" t="s">
        <v>7219</v>
      </c>
      <c r="E6973" t="s">
        <v>42237</v>
      </c>
      <c r="F6973" t="s">
        <v>148</v>
      </c>
      <c r="G6973" t="s">
        <v>310</v>
      </c>
      <c r="H6973" t="s">
        <v>39</v>
      </c>
      <c r="I6973" t="s">
        <v>40</v>
      </c>
      <c r="J6973" s="2" t="s">
        <v>41</v>
      </c>
      <c r="K6973" t="s">
        <v>42</v>
      </c>
      <c r="L6973" t="s">
        <v>1943</v>
      </c>
      <c r="Q6973">
        <v>25580</v>
      </c>
      <c r="R6973" t="s">
        <v>45</v>
      </c>
      <c r="S6973" t="s">
        <v>35366</v>
      </c>
      <c r="T6973">
        <v>25</v>
      </c>
      <c r="U6973" s="2" t="s">
        <v>42238</v>
      </c>
      <c r="V6973" s="1">
        <v>45154</v>
      </c>
      <c r="W6973" t="s">
        <v>84</v>
      </c>
      <c r="X6973">
        <v>707843</v>
      </c>
      <c r="Y6973" s="2" t="s">
        <v>42239</v>
      </c>
      <c r="Z6973" s="2" t="s">
        <v>42240</v>
      </c>
      <c r="AA6973" t="s">
        <v>22330</v>
      </c>
      <c r="AB6973" t="s">
        <v>88</v>
      </c>
      <c r="AD6973" t="s">
        <v>42241</v>
      </c>
      <c r="AE6973" t="s">
        <v>8904</v>
      </c>
      <c r="AG6973" t="s">
        <v>42242</v>
      </c>
      <c r="AH6973" t="s">
        <v>35371</v>
      </c>
      <c r="AI6973" t="s">
        <v>42243</v>
      </c>
    </row>
    <row r="6974" spans="2:35" ht="330">
      <c r="B6974" s="1">
        <v>45154</v>
      </c>
      <c r="C6974" s="4">
        <v>45154.388888888891</v>
      </c>
      <c r="D6974" t="s">
        <v>42244</v>
      </c>
      <c r="E6974" t="s">
        <v>42245</v>
      </c>
      <c r="F6974">
        <v>13</v>
      </c>
      <c r="G6974" t="s">
        <v>4484</v>
      </c>
      <c r="H6974" t="s">
        <v>10969</v>
      </c>
      <c r="I6974" t="s">
        <v>40</v>
      </c>
      <c r="J6974" s="2" t="s">
        <v>41</v>
      </c>
      <c r="K6974" t="s">
        <v>42</v>
      </c>
      <c r="L6974" t="s">
        <v>1288</v>
      </c>
      <c r="Q6974">
        <v>25579</v>
      </c>
      <c r="R6974" t="s">
        <v>45</v>
      </c>
      <c r="S6974" t="s">
        <v>26014</v>
      </c>
      <c r="T6974">
        <v>25</v>
      </c>
      <c r="U6974" s="2" t="s">
        <v>42246</v>
      </c>
      <c r="W6974" t="s">
        <v>1292</v>
      </c>
      <c r="X6974">
        <v>807461</v>
      </c>
      <c r="Y6974" t="s">
        <v>31822</v>
      </c>
      <c r="Z6974" t="e">
        <f ca="1">-COLLECT IQR , system _xludf.Log, _xludf.and ARCHIVE</f>
        <v>#NAME?</v>
      </c>
      <c r="AA6974" s="2" t="s">
        <v>42247</v>
      </c>
      <c r="AB6974" t="s">
        <v>1293</v>
      </c>
      <c r="AG6974" t="s">
        <v>42248</v>
      </c>
      <c r="AH6974" t="s">
        <v>31336</v>
      </c>
      <c r="AI6974" t="s">
        <v>42249</v>
      </c>
    </row>
    <row r="6975" spans="2:35" ht="315">
      <c r="B6975" s="1">
        <v>45153</v>
      </c>
      <c r="C6975" s="4">
        <v>45153.802777777775</v>
      </c>
      <c r="D6975" t="s">
        <v>42250</v>
      </c>
      <c r="E6975" t="s">
        <v>42251</v>
      </c>
      <c r="F6975">
        <v>13</v>
      </c>
      <c r="G6975" t="s">
        <v>8524</v>
      </c>
      <c r="H6975" t="s">
        <v>10969</v>
      </c>
      <c r="I6975" t="s">
        <v>40</v>
      </c>
      <c r="J6975" s="2" t="s">
        <v>41</v>
      </c>
      <c r="K6975" t="s">
        <v>42</v>
      </c>
      <c r="L6975" t="s">
        <v>1288</v>
      </c>
      <c r="Q6975">
        <v>25578</v>
      </c>
      <c r="R6975" t="s">
        <v>45</v>
      </c>
      <c r="S6975" t="s">
        <v>42252</v>
      </c>
      <c r="T6975">
        <v>23</v>
      </c>
      <c r="U6975" s="2" t="s">
        <v>42253</v>
      </c>
      <c r="W6975" t="s">
        <v>6776</v>
      </c>
      <c r="X6975">
        <v>805280</v>
      </c>
      <c r="Y6975" t="s">
        <v>36352</v>
      </c>
      <c r="Z6975" t="e">
        <f ca="1">-COLLECT IQR,system _xludf.Log,_xludf.and Assay statistics</f>
        <v>#NAME?</v>
      </c>
      <c r="AA6975" s="2" t="s">
        <v>42254</v>
      </c>
      <c r="AB6975" t="s">
        <v>1293</v>
      </c>
      <c r="AG6975" t="s">
        <v>42255</v>
      </c>
      <c r="AH6975" t="s">
        <v>42256</v>
      </c>
      <c r="AI6975" t="s">
        <v>42257</v>
      </c>
    </row>
    <row r="6976" spans="2:35" ht="270">
      <c r="B6976" s="1">
        <v>45153</v>
      </c>
      <c r="C6976" s="4">
        <v>45153.694444444445</v>
      </c>
      <c r="D6976" t="s">
        <v>837</v>
      </c>
      <c r="E6976" t="s">
        <v>42258</v>
      </c>
      <c r="F6976">
        <v>5</v>
      </c>
      <c r="G6976" t="s">
        <v>839</v>
      </c>
      <c r="H6976" t="s">
        <v>932</v>
      </c>
      <c r="I6976" t="s">
        <v>40</v>
      </c>
      <c r="J6976" s="2" t="s">
        <v>41</v>
      </c>
      <c r="K6976" t="s">
        <v>42</v>
      </c>
      <c r="L6976" t="s">
        <v>761</v>
      </c>
      <c r="Q6976">
        <v>25577</v>
      </c>
      <c r="R6976" t="s">
        <v>322</v>
      </c>
      <c r="S6976" t="s">
        <v>36864</v>
      </c>
      <c r="T6976">
        <v>30</v>
      </c>
      <c r="U6976" s="2" t="s">
        <v>42259</v>
      </c>
      <c r="W6976" t="s">
        <v>360</v>
      </c>
      <c r="X6976">
        <v>110008458</v>
      </c>
      <c r="Y6976" t="s">
        <v>42260</v>
      </c>
      <c r="Z6976" s="2" t="s">
        <v>42261</v>
      </c>
      <c r="AA6976" s="2" t="s">
        <v>42262</v>
      </c>
      <c r="AB6976" t="s">
        <v>181</v>
      </c>
      <c r="AG6976" t="s">
        <v>42263</v>
      </c>
      <c r="AH6976" t="s">
        <v>36870</v>
      </c>
      <c r="AI6976" t="s">
        <v>42264</v>
      </c>
    </row>
    <row r="6977" spans="2:35" ht="180">
      <c r="B6977" s="1">
        <v>45153</v>
      </c>
      <c r="C6977" s="4">
        <v>45153.684027777781</v>
      </c>
      <c r="D6977" t="s">
        <v>42265</v>
      </c>
      <c r="E6977" t="s">
        <v>42266</v>
      </c>
      <c r="F6977">
        <v>3</v>
      </c>
      <c r="G6977" t="s">
        <v>1722</v>
      </c>
      <c r="H6977" t="s">
        <v>39</v>
      </c>
      <c r="I6977" t="s">
        <v>40</v>
      </c>
      <c r="J6977" s="2" t="s">
        <v>190</v>
      </c>
      <c r="K6977" t="s">
        <v>42</v>
      </c>
      <c r="L6977" t="s">
        <v>63</v>
      </c>
      <c r="Q6977">
        <v>25574</v>
      </c>
      <c r="R6977" t="s">
        <v>45</v>
      </c>
      <c r="S6977" t="s">
        <v>42267</v>
      </c>
      <c r="T6977">
        <v>27</v>
      </c>
      <c r="U6977" s="2" t="s">
        <v>42268</v>
      </c>
      <c r="V6977" s="1">
        <v>45153</v>
      </c>
      <c r="W6977" t="s">
        <v>26915</v>
      </c>
      <c r="X6977">
        <v>846042</v>
      </c>
      <c r="Y6977" s="2" t="s">
        <v>42269</v>
      </c>
      <c r="Z6977" s="2" t="s">
        <v>42270</v>
      </c>
      <c r="AA6977" s="2" t="s">
        <v>1727</v>
      </c>
      <c r="AB6977" t="s">
        <v>70</v>
      </c>
      <c r="AC6977" t="s">
        <v>11378</v>
      </c>
      <c r="AD6977" t="s">
        <v>1716</v>
      </c>
      <c r="AE6977" t="s">
        <v>1716</v>
      </c>
      <c r="AG6977" t="s">
        <v>42271</v>
      </c>
      <c r="AH6977" t="s">
        <v>3277</v>
      </c>
      <c r="AI6977" t="s">
        <v>42272</v>
      </c>
    </row>
    <row r="6978" spans="2:35" ht="180">
      <c r="B6978" s="1">
        <v>45153</v>
      </c>
      <c r="C6978" s="4">
        <v>45153.684027777781</v>
      </c>
      <c r="D6978" t="s">
        <v>42265</v>
      </c>
      <c r="E6978" t="s">
        <v>42266</v>
      </c>
      <c r="F6978">
        <v>3</v>
      </c>
      <c r="G6978" t="s">
        <v>1722</v>
      </c>
      <c r="H6978" t="s">
        <v>39</v>
      </c>
      <c r="I6978" t="s">
        <v>40</v>
      </c>
      <c r="J6978" s="2" t="s">
        <v>190</v>
      </c>
      <c r="K6978" t="s">
        <v>42</v>
      </c>
      <c r="L6978" t="s">
        <v>63</v>
      </c>
      <c r="Q6978">
        <v>25575</v>
      </c>
      <c r="R6978" t="s">
        <v>45</v>
      </c>
      <c r="S6978" t="s">
        <v>42267</v>
      </c>
      <c r="T6978">
        <v>27</v>
      </c>
      <c r="U6978" s="2" t="s">
        <v>42268</v>
      </c>
      <c r="V6978" s="1">
        <v>45153</v>
      </c>
      <c r="W6978" t="s">
        <v>26915</v>
      </c>
      <c r="X6978">
        <v>846042</v>
      </c>
      <c r="Y6978" s="2" t="s">
        <v>42269</v>
      </c>
      <c r="Z6978" s="2" t="s">
        <v>42270</v>
      </c>
      <c r="AA6978" s="2" t="s">
        <v>1727</v>
      </c>
      <c r="AB6978" t="s">
        <v>70</v>
      </c>
      <c r="AC6978" t="s">
        <v>11378</v>
      </c>
      <c r="AD6978" t="s">
        <v>1716</v>
      </c>
      <c r="AE6978" t="s">
        <v>1716</v>
      </c>
      <c r="AG6978" t="s">
        <v>42273</v>
      </c>
      <c r="AH6978" t="s">
        <v>3277</v>
      </c>
      <c r="AI6978" t="s">
        <v>42274</v>
      </c>
    </row>
    <row r="6979" spans="2:35" ht="180">
      <c r="B6979" s="1">
        <v>45153</v>
      </c>
      <c r="C6979" s="4">
        <v>45153.684027777781</v>
      </c>
      <c r="D6979" t="s">
        <v>42265</v>
      </c>
      <c r="E6979" t="s">
        <v>42266</v>
      </c>
      <c r="F6979">
        <v>3</v>
      </c>
      <c r="G6979" t="s">
        <v>1722</v>
      </c>
      <c r="H6979" t="s">
        <v>39</v>
      </c>
      <c r="I6979" t="s">
        <v>40</v>
      </c>
      <c r="J6979" s="2" t="s">
        <v>190</v>
      </c>
      <c r="K6979" t="s">
        <v>42</v>
      </c>
      <c r="L6979" t="s">
        <v>63</v>
      </c>
      <c r="Q6979">
        <v>25576</v>
      </c>
      <c r="R6979" t="s">
        <v>45</v>
      </c>
      <c r="S6979" t="s">
        <v>42267</v>
      </c>
      <c r="T6979">
        <v>27</v>
      </c>
      <c r="U6979" s="2" t="s">
        <v>42268</v>
      </c>
      <c r="V6979" s="1">
        <v>45153</v>
      </c>
      <c r="W6979" t="s">
        <v>26915</v>
      </c>
      <c r="X6979">
        <v>846042</v>
      </c>
      <c r="Y6979" s="2" t="s">
        <v>42269</v>
      </c>
      <c r="Z6979" s="2" t="s">
        <v>42270</v>
      </c>
      <c r="AA6979" s="2" t="s">
        <v>1727</v>
      </c>
      <c r="AB6979" t="s">
        <v>70</v>
      </c>
      <c r="AC6979" t="s">
        <v>11378</v>
      </c>
      <c r="AD6979" t="s">
        <v>1716</v>
      </c>
      <c r="AE6979" t="s">
        <v>1716</v>
      </c>
      <c r="AG6979" t="s">
        <v>42275</v>
      </c>
      <c r="AH6979" t="s">
        <v>3277</v>
      </c>
      <c r="AI6979" t="s">
        <v>42276</v>
      </c>
    </row>
    <row r="6980" spans="2:35" ht="180">
      <c r="B6980" s="1">
        <v>45153</v>
      </c>
      <c r="C6980" s="4">
        <v>45153.684027777781</v>
      </c>
      <c r="D6980" t="s">
        <v>42265</v>
      </c>
      <c r="E6980" t="s">
        <v>42266</v>
      </c>
      <c r="F6980">
        <v>3</v>
      </c>
      <c r="G6980" t="s">
        <v>1722</v>
      </c>
      <c r="H6980" t="s">
        <v>39</v>
      </c>
      <c r="I6980" t="s">
        <v>40</v>
      </c>
      <c r="J6980" s="2" t="s">
        <v>190</v>
      </c>
      <c r="K6980" t="s">
        <v>42</v>
      </c>
      <c r="L6980" t="s">
        <v>63</v>
      </c>
      <c r="Q6980">
        <v>25573</v>
      </c>
      <c r="R6980" t="s">
        <v>45</v>
      </c>
      <c r="S6980" t="s">
        <v>42267</v>
      </c>
      <c r="T6980">
        <v>27</v>
      </c>
      <c r="U6980" s="2" t="s">
        <v>42268</v>
      </c>
      <c r="V6980" s="1">
        <v>45153</v>
      </c>
      <c r="W6980" t="s">
        <v>26915</v>
      </c>
      <c r="X6980">
        <v>846042</v>
      </c>
      <c r="Y6980" s="2" t="s">
        <v>42269</v>
      </c>
      <c r="Z6980" s="2" t="s">
        <v>42270</v>
      </c>
      <c r="AA6980" s="2" t="s">
        <v>1727</v>
      </c>
      <c r="AB6980" t="s">
        <v>70</v>
      </c>
      <c r="AC6980" t="s">
        <v>11378</v>
      </c>
      <c r="AD6980" t="s">
        <v>1716</v>
      </c>
      <c r="AE6980" t="s">
        <v>1716</v>
      </c>
      <c r="AG6980" t="s">
        <v>42277</v>
      </c>
      <c r="AH6980" t="s">
        <v>3277</v>
      </c>
      <c r="AI6980" t="s">
        <v>42278</v>
      </c>
    </row>
    <row r="6981" spans="2:35" ht="105">
      <c r="B6981" s="1">
        <v>45153</v>
      </c>
      <c r="C6981" s="4">
        <v>45153.586805555555</v>
      </c>
      <c r="D6981" t="s">
        <v>25967</v>
      </c>
      <c r="E6981" t="s">
        <v>25968</v>
      </c>
      <c r="F6981">
        <v>3</v>
      </c>
      <c r="G6981" t="s">
        <v>174</v>
      </c>
      <c r="H6981" t="s">
        <v>39</v>
      </c>
      <c r="I6981" t="s">
        <v>40</v>
      </c>
      <c r="J6981" s="2" t="s">
        <v>62</v>
      </c>
      <c r="K6981" t="s">
        <v>42</v>
      </c>
      <c r="L6981" t="s">
        <v>175</v>
      </c>
      <c r="Q6981">
        <v>25572</v>
      </c>
      <c r="R6981" t="s">
        <v>119</v>
      </c>
      <c r="S6981" t="s">
        <v>25969</v>
      </c>
      <c r="T6981">
        <v>25</v>
      </c>
      <c r="U6981" s="2" t="s">
        <v>12731</v>
      </c>
      <c r="W6981" t="s">
        <v>84</v>
      </c>
      <c r="X6981">
        <v>831691</v>
      </c>
      <c r="Y6981" t="s">
        <v>42279</v>
      </c>
      <c r="Z6981" t="e">
        <f ca="1">- checked cartridge bay, plunger rod, _xludf.filter
- performed XpertCheck
- generated reports</f>
        <v>#NAME?</v>
      </c>
      <c r="AA6981" t="s">
        <v>999</v>
      </c>
      <c r="AB6981" s="2" t="s">
        <v>42280</v>
      </c>
      <c r="AG6981" t="s">
        <v>42281</v>
      </c>
      <c r="AH6981" t="s">
        <v>25971</v>
      </c>
      <c r="AI6981" t="s">
        <v>42282</v>
      </c>
    </row>
    <row r="6982" spans="2:35" ht="60">
      <c r="B6982" s="1">
        <v>45153</v>
      </c>
      <c r="C6982" s="4">
        <v>45153.548611111109</v>
      </c>
      <c r="D6982" t="s">
        <v>20181</v>
      </c>
      <c r="E6982" t="s">
        <v>42283</v>
      </c>
      <c r="F6982">
        <v>7</v>
      </c>
      <c r="G6982" t="s">
        <v>6529</v>
      </c>
      <c r="H6982" t="s">
        <v>39</v>
      </c>
      <c r="I6982" t="s">
        <v>94</v>
      </c>
      <c r="J6982" s="2" t="s">
        <v>62</v>
      </c>
      <c r="K6982" t="s">
        <v>42</v>
      </c>
      <c r="L6982" t="s">
        <v>433</v>
      </c>
      <c r="Q6982">
        <v>25571</v>
      </c>
      <c r="R6982" t="s">
        <v>119</v>
      </c>
      <c r="S6982" t="s">
        <v>10213</v>
      </c>
      <c r="T6982">
        <v>27</v>
      </c>
      <c r="W6982" t="s">
        <v>1008</v>
      </c>
      <c r="X6982">
        <v>838394</v>
      </c>
      <c r="Y6982" t="s">
        <v>42284</v>
      </c>
      <c r="Z6982" t="s">
        <v>42285</v>
      </c>
      <c r="AA6982" t="s">
        <v>42285</v>
      </c>
      <c r="AB6982" t="s">
        <v>42286</v>
      </c>
      <c r="AG6982" t="s">
        <v>42287</v>
      </c>
      <c r="AH6982" t="s">
        <v>12989</v>
      </c>
      <c r="AI6982" t="s">
        <v>42288</v>
      </c>
    </row>
    <row r="6983" spans="2:35" ht="180">
      <c r="B6983" s="1">
        <v>45153</v>
      </c>
      <c r="C6983" s="4">
        <v>45153.539583333331</v>
      </c>
      <c r="D6983" t="s">
        <v>29075</v>
      </c>
      <c r="E6983" t="s">
        <v>42289</v>
      </c>
      <c r="F6983">
        <v>3</v>
      </c>
      <c r="G6983" t="s">
        <v>1722</v>
      </c>
      <c r="H6983" t="s">
        <v>39</v>
      </c>
      <c r="I6983" t="s">
        <v>40</v>
      </c>
      <c r="J6983" s="2" t="s">
        <v>190</v>
      </c>
      <c r="K6983" t="s">
        <v>42</v>
      </c>
      <c r="L6983" t="s">
        <v>63</v>
      </c>
      <c r="Q6983">
        <v>25570</v>
      </c>
      <c r="R6983" t="s">
        <v>119</v>
      </c>
      <c r="S6983" t="s">
        <v>29077</v>
      </c>
      <c r="T6983">
        <v>28</v>
      </c>
      <c r="U6983" s="2" t="s">
        <v>42290</v>
      </c>
      <c r="V6983" s="1">
        <v>45153</v>
      </c>
      <c r="W6983" t="s">
        <v>26915</v>
      </c>
      <c r="X6983">
        <v>831582</v>
      </c>
      <c r="Y6983" t="s">
        <v>42291</v>
      </c>
      <c r="Z6983" t="s">
        <v>40118</v>
      </c>
      <c r="AA6983" s="2" t="s">
        <v>1727</v>
      </c>
      <c r="AB6983" t="s">
        <v>70</v>
      </c>
      <c r="AC6983" t="s">
        <v>42292</v>
      </c>
      <c r="AD6983" t="s">
        <v>32127</v>
      </c>
      <c r="AE6983" t="s">
        <v>1716</v>
      </c>
      <c r="AG6983" t="s">
        <v>42293</v>
      </c>
      <c r="AH6983" t="s">
        <v>32980</v>
      </c>
      <c r="AI6983" t="s">
        <v>42294</v>
      </c>
    </row>
    <row r="6984" spans="2:35" ht="135">
      <c r="B6984" s="1">
        <v>45153</v>
      </c>
      <c r="C6984" s="4">
        <v>45153.537499999999</v>
      </c>
      <c r="D6984" t="s">
        <v>5207</v>
      </c>
      <c r="E6984" t="s">
        <v>42295</v>
      </c>
      <c r="F6984" t="s">
        <v>148</v>
      </c>
      <c r="G6984" t="s">
        <v>310</v>
      </c>
      <c r="H6984" t="s">
        <v>39</v>
      </c>
      <c r="I6984" t="s">
        <v>40</v>
      </c>
      <c r="J6984" t="s">
        <v>109</v>
      </c>
      <c r="K6984" t="s">
        <v>42</v>
      </c>
      <c r="L6984" t="s">
        <v>1943</v>
      </c>
      <c r="Q6984">
        <v>25569</v>
      </c>
      <c r="R6984" t="s">
        <v>322</v>
      </c>
      <c r="S6984" t="s">
        <v>11992</v>
      </c>
      <c r="T6984">
        <v>25</v>
      </c>
      <c r="U6984" s="2" t="s">
        <v>21292</v>
      </c>
      <c r="W6984" t="s">
        <v>5225</v>
      </c>
      <c r="X6984">
        <v>110016343</v>
      </c>
      <c r="Y6984" t="s">
        <v>2099</v>
      </c>
      <c r="Z6984" s="2" t="s">
        <v>42296</v>
      </c>
      <c r="AA6984" t="s">
        <v>2100</v>
      </c>
      <c r="AB6984" t="s">
        <v>88</v>
      </c>
      <c r="AG6984" t="s">
        <v>42297</v>
      </c>
      <c r="AH6984" t="s">
        <v>5212</v>
      </c>
      <c r="AI6984" t="s">
        <v>42298</v>
      </c>
    </row>
    <row r="6985" spans="2:35" ht="165">
      <c r="B6985" s="1">
        <v>45153</v>
      </c>
      <c r="C6985" s="4">
        <v>45153.533333333333</v>
      </c>
      <c r="D6985" t="s">
        <v>5207</v>
      </c>
      <c r="E6985" t="s">
        <v>42295</v>
      </c>
      <c r="F6985" t="s">
        <v>148</v>
      </c>
      <c r="G6985" t="s">
        <v>310</v>
      </c>
      <c r="H6985" t="s">
        <v>39</v>
      </c>
      <c r="I6985" t="s">
        <v>40</v>
      </c>
      <c r="J6985" t="s">
        <v>109</v>
      </c>
      <c r="K6985" t="s">
        <v>42</v>
      </c>
      <c r="L6985" t="s">
        <v>1943</v>
      </c>
      <c r="Q6985">
        <v>25568</v>
      </c>
      <c r="R6985" t="s">
        <v>322</v>
      </c>
      <c r="S6985" t="s">
        <v>42299</v>
      </c>
      <c r="T6985">
        <v>25</v>
      </c>
      <c r="U6985" s="2" t="s">
        <v>42300</v>
      </c>
      <c r="W6985" t="s">
        <v>373</v>
      </c>
      <c r="X6985">
        <v>110001650</v>
      </c>
      <c r="Y6985" t="s">
        <v>2099</v>
      </c>
      <c r="Z6985" s="2" t="s">
        <v>42296</v>
      </c>
      <c r="AA6985" t="s">
        <v>2100</v>
      </c>
      <c r="AB6985" t="s">
        <v>42301</v>
      </c>
      <c r="AG6985" t="s">
        <v>42302</v>
      </c>
      <c r="AH6985" t="s">
        <v>27196</v>
      </c>
      <c r="AI6985" t="s">
        <v>42303</v>
      </c>
    </row>
    <row r="6986" spans="2:35" ht="180">
      <c r="B6986" s="1">
        <v>45153</v>
      </c>
      <c r="C6986" s="4">
        <v>45153.522916666669</v>
      </c>
      <c r="D6986" t="s">
        <v>340</v>
      </c>
      <c r="E6986" t="s">
        <v>341</v>
      </c>
      <c r="F6986">
        <v>8</v>
      </c>
      <c r="G6986" t="s">
        <v>342</v>
      </c>
      <c r="H6986" t="s">
        <v>1498</v>
      </c>
      <c r="I6986" t="s">
        <v>40</v>
      </c>
      <c r="J6986" s="2" t="s">
        <v>62</v>
      </c>
      <c r="K6986" t="s">
        <v>42</v>
      </c>
      <c r="L6986" t="s">
        <v>343</v>
      </c>
      <c r="Q6986">
        <v>25567</v>
      </c>
      <c r="R6986" t="s">
        <v>119</v>
      </c>
      <c r="S6986" t="s">
        <v>345</v>
      </c>
      <c r="T6986">
        <v>23</v>
      </c>
      <c r="U6986" s="2" t="s">
        <v>42304</v>
      </c>
      <c r="V6986" s="1">
        <v>45138</v>
      </c>
      <c r="W6986" t="s">
        <v>6105</v>
      </c>
      <c r="X6986">
        <v>838555</v>
      </c>
      <c r="Y6986" t="s">
        <v>42305</v>
      </c>
      <c r="Z6986" t="e">
        <f ca="1">-run XpertCheck on module A1, A2, _xludf.and A4</f>
        <v>#NAME?</v>
      </c>
      <c r="AA6986" t="e">
        <f ca="1">-XpertCheck CALIBRATION
-Preventive Maintenance</f>
        <v>#NAME?</v>
      </c>
      <c r="AB6986" t="s">
        <v>42306</v>
      </c>
      <c r="AD6986" t="s">
        <v>5255</v>
      </c>
      <c r="AE6986">
        <v>10357</v>
      </c>
      <c r="AG6986" t="s">
        <v>42307</v>
      </c>
      <c r="AH6986" t="s">
        <v>42308</v>
      </c>
      <c r="AI6986" t="s">
        <v>42309</v>
      </c>
    </row>
    <row r="6987" spans="2:35" ht="210">
      <c r="B6987" s="1">
        <v>45153</v>
      </c>
      <c r="C6987" s="4">
        <v>45153.497916666667</v>
      </c>
      <c r="D6987" t="s">
        <v>42189</v>
      </c>
      <c r="E6987" t="s">
        <v>40168</v>
      </c>
      <c r="F6987" t="s">
        <v>148</v>
      </c>
      <c r="G6987" t="s">
        <v>371</v>
      </c>
      <c r="H6987" t="s">
        <v>39</v>
      </c>
      <c r="I6987" t="s">
        <v>40</v>
      </c>
      <c r="J6987" s="2" t="s">
        <v>41</v>
      </c>
      <c r="K6987" t="s">
        <v>42</v>
      </c>
      <c r="L6987" t="s">
        <v>15532</v>
      </c>
      <c r="Q6987">
        <v>25566</v>
      </c>
      <c r="R6987" t="s">
        <v>45</v>
      </c>
      <c r="S6987" t="s">
        <v>3052</v>
      </c>
      <c r="T6987">
        <v>31</v>
      </c>
      <c r="U6987" s="2" t="s">
        <v>42310</v>
      </c>
      <c r="W6987" t="s">
        <v>597</v>
      </c>
      <c r="X6987">
        <v>805271</v>
      </c>
      <c r="Y6987" t="s">
        <v>42311</v>
      </c>
      <c r="Z6987" s="2" t="s">
        <v>42312</v>
      </c>
      <c r="AA6987" t="s">
        <v>2322</v>
      </c>
      <c r="AB6987" t="s">
        <v>42313</v>
      </c>
      <c r="AG6987" t="s">
        <v>42314</v>
      </c>
      <c r="AH6987" t="s">
        <v>25468</v>
      </c>
      <c r="AI6987" t="s">
        <v>42315</v>
      </c>
    </row>
    <row r="6988" spans="2:35" ht="300">
      <c r="B6988" s="1">
        <v>45153</v>
      </c>
      <c r="C6988" s="4">
        <v>45153.482638888891</v>
      </c>
      <c r="D6988" t="s">
        <v>3050</v>
      </c>
      <c r="E6988" t="s">
        <v>40168</v>
      </c>
      <c r="F6988" t="s">
        <v>148</v>
      </c>
      <c r="G6988" t="s">
        <v>371</v>
      </c>
      <c r="H6988" t="s">
        <v>39</v>
      </c>
      <c r="I6988" t="s">
        <v>40</v>
      </c>
      <c r="J6988" s="2" t="s">
        <v>190</v>
      </c>
      <c r="K6988" t="s">
        <v>42</v>
      </c>
      <c r="L6988" t="s">
        <v>15532</v>
      </c>
      <c r="Q6988">
        <v>25565</v>
      </c>
      <c r="R6988" t="s">
        <v>45</v>
      </c>
      <c r="S6988" t="s">
        <v>3052</v>
      </c>
      <c r="T6988">
        <v>29</v>
      </c>
      <c r="U6988" s="2" t="s">
        <v>39589</v>
      </c>
      <c r="W6988" t="s">
        <v>597</v>
      </c>
      <c r="X6988">
        <v>814154</v>
      </c>
      <c r="Y6988" s="2" t="s">
        <v>42316</v>
      </c>
      <c r="Z6988" s="2" t="s">
        <v>42317</v>
      </c>
      <c r="AA6988" t="s">
        <v>2322</v>
      </c>
      <c r="AB6988" s="2" t="s">
        <v>42318</v>
      </c>
      <c r="AG6988" t="s">
        <v>42319</v>
      </c>
      <c r="AH6988" t="s">
        <v>25468</v>
      </c>
      <c r="AI6988" t="s">
        <v>42320</v>
      </c>
    </row>
    <row r="6989" spans="2:35" ht="60">
      <c r="B6989" s="1">
        <v>45153</v>
      </c>
      <c r="C6989" s="4">
        <v>45153.411805555559</v>
      </c>
      <c r="D6989" t="s">
        <v>42321</v>
      </c>
      <c r="E6989" t="s">
        <v>42322</v>
      </c>
      <c r="F6989">
        <v>7</v>
      </c>
      <c r="G6989" t="s">
        <v>6529</v>
      </c>
      <c r="H6989" t="s">
        <v>39</v>
      </c>
      <c r="I6989" t="s">
        <v>94</v>
      </c>
      <c r="J6989" s="2" t="s">
        <v>62</v>
      </c>
      <c r="K6989" t="s">
        <v>42</v>
      </c>
      <c r="L6989" t="s">
        <v>433</v>
      </c>
      <c r="Q6989">
        <v>25564</v>
      </c>
      <c r="R6989" t="s">
        <v>119</v>
      </c>
      <c r="S6989" t="s">
        <v>10370</v>
      </c>
      <c r="T6989">
        <v>24</v>
      </c>
      <c r="W6989" t="s">
        <v>502</v>
      </c>
      <c r="X6989">
        <v>838203</v>
      </c>
      <c r="Y6989" t="s">
        <v>42323</v>
      </c>
      <c r="Z6989" t="s">
        <v>42324</v>
      </c>
      <c r="AA6989" t="s">
        <v>42324</v>
      </c>
      <c r="AB6989" t="s">
        <v>42325</v>
      </c>
      <c r="AG6989" t="s">
        <v>42326</v>
      </c>
      <c r="AH6989" t="s">
        <v>16592</v>
      </c>
      <c r="AI6989" t="s">
        <v>42327</v>
      </c>
    </row>
    <row r="6990" spans="2:35" ht="180">
      <c r="B6990" s="1">
        <v>45153</v>
      </c>
      <c r="C6990" s="4">
        <v>45153.388194444444</v>
      </c>
      <c r="D6990" t="s">
        <v>42328</v>
      </c>
      <c r="E6990" t="s">
        <v>11066</v>
      </c>
      <c r="F6990">
        <v>7</v>
      </c>
      <c r="G6990" t="s">
        <v>269</v>
      </c>
      <c r="H6990" t="s">
        <v>39</v>
      </c>
      <c r="I6990" t="s">
        <v>40</v>
      </c>
      <c r="J6990" s="2" t="s">
        <v>62</v>
      </c>
      <c r="K6990" t="s">
        <v>42</v>
      </c>
      <c r="L6990" t="s">
        <v>270</v>
      </c>
      <c r="Q6990">
        <v>25563</v>
      </c>
      <c r="R6990" t="s">
        <v>119</v>
      </c>
      <c r="S6990" t="s">
        <v>16682</v>
      </c>
      <c r="T6990">
        <v>21</v>
      </c>
      <c r="U6990" s="2" t="s">
        <v>42329</v>
      </c>
      <c r="W6990" t="s">
        <v>360</v>
      </c>
      <c r="X6990">
        <v>838481</v>
      </c>
      <c r="Y6990" t="s">
        <v>42330</v>
      </c>
      <c r="Z6990" t="e">
        <f ca="1">- Preventive Maintenance
- _xludf.Clean optics
- module bay Cleaning
- _xludf.filter Cleaning
- ARCHIVE tests
- plunger rod Maintenance</f>
        <v>#NAME?</v>
      </c>
      <c r="AA6990" t="s">
        <v>42331</v>
      </c>
      <c r="AB6990" t="s">
        <v>30443</v>
      </c>
      <c r="AG6990" t="s">
        <v>42332</v>
      </c>
      <c r="AH6990" t="s">
        <v>12626</v>
      </c>
      <c r="AI6990" t="s">
        <v>42333</v>
      </c>
    </row>
    <row r="6991" spans="2:35" ht="375">
      <c r="B6991" s="1">
        <v>45153</v>
      </c>
      <c r="C6991" s="4">
        <v>45153.347222222219</v>
      </c>
      <c r="D6991" t="s">
        <v>23134</v>
      </c>
      <c r="E6991" t="s">
        <v>42334</v>
      </c>
      <c r="F6991" t="s">
        <v>148</v>
      </c>
      <c r="G6991" t="s">
        <v>310</v>
      </c>
      <c r="H6991" t="s">
        <v>41397</v>
      </c>
      <c r="I6991" t="s">
        <v>40</v>
      </c>
      <c r="J6991" t="s">
        <v>109</v>
      </c>
      <c r="K6991" t="s">
        <v>42</v>
      </c>
      <c r="L6991" t="s">
        <v>1943</v>
      </c>
      <c r="Q6991">
        <v>25562</v>
      </c>
      <c r="R6991" t="s">
        <v>45</v>
      </c>
      <c r="S6991" t="s">
        <v>23136</v>
      </c>
      <c r="T6991">
        <v>25</v>
      </c>
      <c r="U6991" s="2" t="s">
        <v>42335</v>
      </c>
      <c r="W6991" t="s">
        <v>84</v>
      </c>
      <c r="X6991">
        <v>834430</v>
      </c>
      <c r="Y6991" t="s">
        <v>28970</v>
      </c>
      <c r="Z6991" s="2" t="s">
        <v>42296</v>
      </c>
      <c r="AA6991" t="s">
        <v>2100</v>
      </c>
      <c r="AB6991" t="s">
        <v>88</v>
      </c>
      <c r="AG6991" t="s">
        <v>42336</v>
      </c>
      <c r="AH6991" t="s">
        <v>42337</v>
      </c>
      <c r="AI6991" t="s">
        <v>42338</v>
      </c>
    </row>
    <row r="6992" spans="2:35" ht="409.5">
      <c r="B6992" s="1">
        <v>45153</v>
      </c>
      <c r="C6992" s="4">
        <v>45153.351388888892</v>
      </c>
      <c r="D6992" t="s">
        <v>23134</v>
      </c>
      <c r="E6992" t="s">
        <v>42334</v>
      </c>
      <c r="F6992" t="s">
        <v>148</v>
      </c>
      <c r="G6992" t="s">
        <v>310</v>
      </c>
      <c r="H6992" t="s">
        <v>41397</v>
      </c>
      <c r="I6992" t="s">
        <v>40</v>
      </c>
      <c r="J6992" s="2" t="s">
        <v>190</v>
      </c>
      <c r="K6992" t="s">
        <v>42</v>
      </c>
      <c r="L6992" t="s">
        <v>1943</v>
      </c>
      <c r="Q6992">
        <v>25561</v>
      </c>
      <c r="R6992" t="s">
        <v>45</v>
      </c>
      <c r="S6992" t="s">
        <v>23136</v>
      </c>
      <c r="T6992">
        <v>25</v>
      </c>
      <c r="U6992" s="2" t="s">
        <v>42339</v>
      </c>
      <c r="W6992" t="s">
        <v>895</v>
      </c>
      <c r="X6992">
        <v>844121</v>
      </c>
      <c r="Y6992" s="2" t="s">
        <v>42340</v>
      </c>
      <c r="Z6992" s="2" t="s">
        <v>42341</v>
      </c>
      <c r="AA6992" t="s">
        <v>4402</v>
      </c>
      <c r="AB6992" t="s">
        <v>42342</v>
      </c>
      <c r="AG6992" t="s">
        <v>42343</v>
      </c>
      <c r="AH6992" t="s">
        <v>42337</v>
      </c>
      <c r="AI6992" t="s">
        <v>42344</v>
      </c>
    </row>
    <row r="6993" spans="2:35" ht="360">
      <c r="B6993" s="1">
        <v>45152</v>
      </c>
      <c r="C6993" s="4">
        <v>45152.544444444444</v>
      </c>
      <c r="D6993" t="s">
        <v>42345</v>
      </c>
      <c r="E6993" t="s">
        <v>42346</v>
      </c>
      <c r="F6993">
        <v>13</v>
      </c>
      <c r="G6993" t="s">
        <v>4015</v>
      </c>
      <c r="H6993" t="s">
        <v>10969</v>
      </c>
      <c r="I6993" t="s">
        <v>40</v>
      </c>
      <c r="J6993" s="2" t="s">
        <v>41</v>
      </c>
      <c r="K6993" t="s">
        <v>42</v>
      </c>
      <c r="L6993" t="s">
        <v>1288</v>
      </c>
      <c r="Q6993">
        <v>25560</v>
      </c>
      <c r="R6993" t="s">
        <v>45</v>
      </c>
      <c r="S6993" t="s">
        <v>42347</v>
      </c>
      <c r="T6993">
        <v>30</v>
      </c>
      <c r="U6993" s="2" t="s">
        <v>42348</v>
      </c>
      <c r="W6993" t="s">
        <v>1292</v>
      </c>
      <c r="X6993">
        <v>807611</v>
      </c>
      <c r="Y6993" t="s">
        <v>42349</v>
      </c>
      <c r="Z6993" t="s">
        <v>42350</v>
      </c>
      <c r="AA6993" s="2" t="s">
        <v>42351</v>
      </c>
      <c r="AB6993" t="s">
        <v>1293</v>
      </c>
      <c r="AC6993" t="s">
        <v>39176</v>
      </c>
      <c r="AG6993" t="s">
        <v>42352</v>
      </c>
      <c r="AH6993" t="s">
        <v>42353</v>
      </c>
      <c r="AI6993" t="s">
        <v>42354</v>
      </c>
    </row>
    <row r="6994" spans="2:35" ht="210">
      <c r="B6994" s="1">
        <v>45152</v>
      </c>
      <c r="C6994" s="4">
        <v>45152.554166666669</v>
      </c>
      <c r="D6994" t="s">
        <v>1496</v>
      </c>
      <c r="E6994" t="s">
        <v>1497</v>
      </c>
      <c r="F6994">
        <v>8</v>
      </c>
      <c r="G6994" t="s">
        <v>342</v>
      </c>
      <c r="H6994" t="s">
        <v>1498</v>
      </c>
      <c r="I6994" t="s">
        <v>40</v>
      </c>
      <c r="J6994" s="2" t="s">
        <v>62</v>
      </c>
      <c r="K6994" t="s">
        <v>42</v>
      </c>
      <c r="L6994" t="s">
        <v>343</v>
      </c>
      <c r="Q6994">
        <v>25559</v>
      </c>
      <c r="R6994" t="s">
        <v>119</v>
      </c>
      <c r="S6994" t="s">
        <v>7820</v>
      </c>
      <c r="T6994">
        <v>24</v>
      </c>
      <c r="U6994" s="2" t="s">
        <v>42355</v>
      </c>
      <c r="V6994" s="1">
        <v>45138</v>
      </c>
      <c r="W6994" t="s">
        <v>6105</v>
      </c>
      <c r="X6994">
        <v>838297</v>
      </c>
      <c r="Y6994" t="s">
        <v>3191</v>
      </c>
      <c r="Z6994" t="e">
        <f ca="1">-run XpertCheck on ALL four modules</f>
        <v>#NAME?</v>
      </c>
      <c r="AA6994" t="e">
        <f ca="1">-XpertCheck CALIBRATION
-Preventive Maintenance</f>
        <v>#NAME?</v>
      </c>
      <c r="AB6994" s="2" t="s">
        <v>42356</v>
      </c>
      <c r="AD6994" t="s">
        <v>5255</v>
      </c>
      <c r="AE6994">
        <v>10358</v>
      </c>
      <c r="AG6994" t="s">
        <v>42357</v>
      </c>
      <c r="AH6994" t="s">
        <v>12926</v>
      </c>
      <c r="AI6994" t="s">
        <v>42358</v>
      </c>
    </row>
    <row r="6995" spans="2:35" ht="60">
      <c r="B6995" s="1">
        <v>45152</v>
      </c>
      <c r="C6995" s="4">
        <v>45152.560416666667</v>
      </c>
      <c r="D6995" t="s">
        <v>10354</v>
      </c>
      <c r="E6995" t="s">
        <v>12991</v>
      </c>
      <c r="F6995">
        <v>7</v>
      </c>
      <c r="G6995" t="s">
        <v>6529</v>
      </c>
      <c r="H6995" t="s">
        <v>39</v>
      </c>
      <c r="I6995" t="s">
        <v>94</v>
      </c>
      <c r="J6995" s="2" t="s">
        <v>62</v>
      </c>
      <c r="K6995" t="s">
        <v>42</v>
      </c>
      <c r="L6995" t="s">
        <v>433</v>
      </c>
      <c r="Q6995">
        <v>25558</v>
      </c>
      <c r="R6995" t="s">
        <v>119</v>
      </c>
      <c r="S6995" t="s">
        <v>14511</v>
      </c>
      <c r="T6995">
        <v>28</v>
      </c>
      <c r="W6995" t="s">
        <v>1008</v>
      </c>
      <c r="X6995">
        <v>838494</v>
      </c>
      <c r="Y6995" t="s">
        <v>42359</v>
      </c>
      <c r="Z6995" t="s">
        <v>42360</v>
      </c>
      <c r="AA6995" t="s">
        <v>42361</v>
      </c>
      <c r="AB6995" t="s">
        <v>42362</v>
      </c>
      <c r="AG6995" t="s">
        <v>42363</v>
      </c>
      <c r="AH6995" t="s">
        <v>19616</v>
      </c>
      <c r="AI6995" t="s">
        <v>42364</v>
      </c>
    </row>
    <row r="6996" spans="2:35" ht="180">
      <c r="B6996" s="1">
        <v>45152</v>
      </c>
      <c r="C6996" s="4">
        <v>45148.614583333336</v>
      </c>
      <c r="D6996" t="s">
        <v>42365</v>
      </c>
      <c r="E6996" t="s">
        <v>42366</v>
      </c>
      <c r="F6996">
        <v>5</v>
      </c>
      <c r="G6996" t="s">
        <v>827</v>
      </c>
      <c r="H6996" t="s">
        <v>39</v>
      </c>
      <c r="I6996" t="s">
        <v>40</v>
      </c>
      <c r="J6996" s="2" t="s">
        <v>62</v>
      </c>
      <c r="K6996" t="s">
        <v>42</v>
      </c>
      <c r="L6996" t="s">
        <v>761</v>
      </c>
      <c r="Q6996">
        <v>25557</v>
      </c>
      <c r="R6996" t="s">
        <v>45</v>
      </c>
      <c r="S6996" t="s">
        <v>22578</v>
      </c>
      <c r="T6996">
        <v>26</v>
      </c>
      <c r="U6996" s="2" t="s">
        <v>42367</v>
      </c>
      <c r="W6996" t="s">
        <v>360</v>
      </c>
      <c r="X6996">
        <v>838244</v>
      </c>
      <c r="Y6996" t="s">
        <v>1111</v>
      </c>
      <c r="Z6996" s="2" t="s">
        <v>42368</v>
      </c>
      <c r="AA6996" s="2" t="s">
        <v>4477</v>
      </c>
      <c r="AB6996" s="2" t="s">
        <v>42369</v>
      </c>
      <c r="AG6996" t="s">
        <v>42370</v>
      </c>
      <c r="AH6996" t="s">
        <v>42371</v>
      </c>
      <c r="AI6996" t="s">
        <v>42372</v>
      </c>
    </row>
    <row r="6997" spans="2:35" ht="120">
      <c r="B6997" s="1">
        <v>45152</v>
      </c>
      <c r="C6997" s="4">
        <v>45152.4375</v>
      </c>
      <c r="D6997" t="s">
        <v>3241</v>
      </c>
      <c r="E6997" t="s">
        <v>42373</v>
      </c>
      <c r="F6997">
        <v>7</v>
      </c>
      <c r="G6997" t="s">
        <v>432</v>
      </c>
      <c r="H6997" t="s">
        <v>2290</v>
      </c>
      <c r="I6997" t="s">
        <v>94</v>
      </c>
      <c r="J6997" t="s">
        <v>79</v>
      </c>
      <c r="K6997" t="s">
        <v>42</v>
      </c>
      <c r="L6997" t="s">
        <v>610</v>
      </c>
      <c r="Q6997">
        <v>25556</v>
      </c>
      <c r="R6997" t="s">
        <v>45</v>
      </c>
      <c r="S6997" t="s">
        <v>23380</v>
      </c>
      <c r="T6997">
        <v>27</v>
      </c>
      <c r="U6997" s="2" t="s">
        <v>30166</v>
      </c>
      <c r="W6997" t="s">
        <v>502</v>
      </c>
      <c r="X6997">
        <v>808640</v>
      </c>
      <c r="Y6997" t="s">
        <v>42374</v>
      </c>
      <c r="Z6997" s="2" t="s">
        <v>42375</v>
      </c>
      <c r="AA6997" t="s">
        <v>42376</v>
      </c>
      <c r="AB6997" t="s">
        <v>1263</v>
      </c>
      <c r="AG6997" t="s">
        <v>42377</v>
      </c>
      <c r="AH6997" t="s">
        <v>23386</v>
      </c>
      <c r="AI6997" t="s">
        <v>42378</v>
      </c>
    </row>
    <row r="6998" spans="2:35" ht="75">
      <c r="B6998" s="1">
        <v>45152</v>
      </c>
      <c r="C6998" s="4">
        <v>45152.429861111108</v>
      </c>
      <c r="D6998" t="s">
        <v>42379</v>
      </c>
      <c r="E6998" t="s">
        <v>42380</v>
      </c>
      <c r="F6998">
        <v>7</v>
      </c>
      <c r="G6998" t="s">
        <v>6529</v>
      </c>
      <c r="H6998" t="s">
        <v>39</v>
      </c>
      <c r="I6998" t="s">
        <v>40</v>
      </c>
      <c r="J6998" s="2" t="s">
        <v>220</v>
      </c>
      <c r="K6998" t="s">
        <v>42</v>
      </c>
      <c r="L6998" t="s">
        <v>433</v>
      </c>
      <c r="Q6998">
        <v>25555</v>
      </c>
      <c r="R6998" t="s">
        <v>45</v>
      </c>
      <c r="S6998" t="s">
        <v>42381</v>
      </c>
      <c r="T6998">
        <v>25</v>
      </c>
      <c r="W6998" t="s">
        <v>1008</v>
      </c>
      <c r="X6998">
        <v>815431</v>
      </c>
      <c r="Y6998" t="s">
        <v>42382</v>
      </c>
      <c r="Z6998" t="s">
        <v>42383</v>
      </c>
      <c r="AA6998" t="s">
        <v>42383</v>
      </c>
      <c r="AB6998" t="s">
        <v>1011</v>
      </c>
      <c r="AG6998" t="s">
        <v>42384</v>
      </c>
      <c r="AH6998" t="s">
        <v>42385</v>
      </c>
      <c r="AI6998" t="s">
        <v>42386</v>
      </c>
    </row>
    <row r="6999" spans="2:35">
      <c r="B6999" s="1">
        <v>45152</v>
      </c>
      <c r="C6999" s="4">
        <v>45152.401388888888</v>
      </c>
      <c r="D6999" t="s">
        <v>1004</v>
      </c>
      <c r="E6999" t="s">
        <v>42387</v>
      </c>
      <c r="F6999">
        <v>7</v>
      </c>
      <c r="G6999" t="s">
        <v>432</v>
      </c>
      <c r="H6999" t="s">
        <v>39</v>
      </c>
      <c r="I6999" t="s">
        <v>94</v>
      </c>
      <c r="J6999" t="s">
        <v>321</v>
      </c>
      <c r="K6999" t="s">
        <v>42</v>
      </c>
      <c r="L6999" t="s">
        <v>594</v>
      </c>
      <c r="Q6999">
        <v>25554</v>
      </c>
      <c r="R6999" t="s">
        <v>45</v>
      </c>
      <c r="S6999" t="s">
        <v>1007</v>
      </c>
      <c r="T6999">
        <v>23</v>
      </c>
      <c r="V6999" s="1">
        <v>45149</v>
      </c>
      <c r="W6999" t="s">
        <v>360</v>
      </c>
      <c r="X6999">
        <v>808630</v>
      </c>
      <c r="Y6999" t="s">
        <v>42388</v>
      </c>
      <c r="Z6999" t="s">
        <v>42389</v>
      </c>
      <c r="AA6999" t="s">
        <v>42390</v>
      </c>
      <c r="AB6999" t="s">
        <v>4253</v>
      </c>
      <c r="AG6999" t="s">
        <v>42391</v>
      </c>
      <c r="AH6999" t="s">
        <v>42392</v>
      </c>
      <c r="AI6999" t="s">
        <v>42393</v>
      </c>
    </row>
    <row r="7000" spans="2:35" ht="105">
      <c r="B7000" s="1">
        <v>45152</v>
      </c>
      <c r="C7000" s="4">
        <v>45152.395833333336</v>
      </c>
      <c r="D7000" t="s">
        <v>42394</v>
      </c>
      <c r="E7000" t="s">
        <v>42395</v>
      </c>
      <c r="F7000">
        <v>6</v>
      </c>
      <c r="G7000" t="s">
        <v>1234</v>
      </c>
      <c r="H7000" t="s">
        <v>39</v>
      </c>
      <c r="I7000" t="s">
        <v>94</v>
      </c>
      <c r="J7000" s="2" t="s">
        <v>41</v>
      </c>
      <c r="K7000" t="s">
        <v>42</v>
      </c>
      <c r="L7000" t="s">
        <v>270</v>
      </c>
      <c r="Q7000">
        <v>25553</v>
      </c>
      <c r="R7000" t="s">
        <v>45</v>
      </c>
      <c r="S7000" t="s">
        <v>42396</v>
      </c>
      <c r="T7000">
        <v>22</v>
      </c>
      <c r="U7000" s="2" t="s">
        <v>42397</v>
      </c>
      <c r="W7000" t="s">
        <v>360</v>
      </c>
      <c r="X7000">
        <v>807594</v>
      </c>
      <c r="Y7000" t="s">
        <v>42398</v>
      </c>
      <c r="Z7000" t="s">
        <v>42399</v>
      </c>
      <c r="AA7000" t="s">
        <v>42400</v>
      </c>
      <c r="AB7000" t="s">
        <v>4668</v>
      </c>
      <c r="AG7000" t="s">
        <v>42401</v>
      </c>
      <c r="AH7000" t="s">
        <v>42402</v>
      </c>
      <c r="AI7000" t="s">
        <v>42403</v>
      </c>
    </row>
    <row r="7001" spans="2:35" ht="409.5">
      <c r="B7001" s="1">
        <v>45152</v>
      </c>
      <c r="C7001" s="4">
        <v>45146.634722222225</v>
      </c>
      <c r="D7001" t="s">
        <v>36713</v>
      </c>
      <c r="E7001" t="s">
        <v>42404</v>
      </c>
      <c r="F7001" t="s">
        <v>148</v>
      </c>
      <c r="G7001" t="s">
        <v>2007</v>
      </c>
      <c r="H7001" t="s">
        <v>662</v>
      </c>
      <c r="I7001" t="s">
        <v>40</v>
      </c>
      <c r="J7001" t="s">
        <v>525</v>
      </c>
      <c r="K7001" t="s">
        <v>42</v>
      </c>
      <c r="L7001" t="s">
        <v>448</v>
      </c>
      <c r="Q7001">
        <v>25552</v>
      </c>
      <c r="R7001" t="s">
        <v>95</v>
      </c>
      <c r="S7001" t="s">
        <v>2008</v>
      </c>
      <c r="T7001">
        <v>27</v>
      </c>
      <c r="U7001" s="2" t="s">
        <v>42405</v>
      </c>
      <c r="W7001" t="s">
        <v>2591</v>
      </c>
      <c r="X7001">
        <v>110001647</v>
      </c>
      <c r="Y7001" t="s">
        <v>42406</v>
      </c>
      <c r="Z7001" t="s">
        <v>42407</v>
      </c>
      <c r="AA7001" t="s">
        <v>42408</v>
      </c>
      <c r="AB7001" t="s">
        <v>42409</v>
      </c>
      <c r="AG7001" t="s">
        <v>42410</v>
      </c>
      <c r="AH7001" t="s">
        <v>2013</v>
      </c>
      <c r="AI7001" t="s">
        <v>42411</v>
      </c>
    </row>
    <row r="7002" spans="2:35" ht="105">
      <c r="B7002" s="1">
        <v>45152</v>
      </c>
      <c r="C7002" s="4">
        <v>45147.476388888892</v>
      </c>
      <c r="D7002" t="s">
        <v>42412</v>
      </c>
      <c r="E7002" t="s">
        <v>42413</v>
      </c>
      <c r="F7002" t="s">
        <v>37</v>
      </c>
      <c r="G7002" t="s">
        <v>2499</v>
      </c>
      <c r="H7002" t="s">
        <v>39</v>
      </c>
      <c r="I7002" t="s">
        <v>40</v>
      </c>
      <c r="J7002" s="2" t="s">
        <v>41</v>
      </c>
      <c r="K7002" t="s">
        <v>42</v>
      </c>
      <c r="L7002" t="s">
        <v>448</v>
      </c>
      <c r="Q7002">
        <v>25551</v>
      </c>
      <c r="R7002" t="s">
        <v>45</v>
      </c>
      <c r="S7002" t="s">
        <v>24819</v>
      </c>
      <c r="T7002">
        <v>30</v>
      </c>
      <c r="U7002" s="2" t="s">
        <v>36321</v>
      </c>
      <c r="V7002" s="1">
        <v>45147</v>
      </c>
      <c r="W7002" t="s">
        <v>360</v>
      </c>
      <c r="X7002">
        <v>838180</v>
      </c>
      <c r="Y7002" t="s">
        <v>42414</v>
      </c>
      <c r="Z7002" t="s">
        <v>41282</v>
      </c>
      <c r="AA7002" t="s">
        <v>20643</v>
      </c>
      <c r="AB7002" t="s">
        <v>486</v>
      </c>
      <c r="AD7002" t="s">
        <v>19700</v>
      </c>
      <c r="AE7002">
        <v>0</v>
      </c>
      <c r="AG7002" t="s">
        <v>42415</v>
      </c>
      <c r="AH7002" t="s">
        <v>42416</v>
      </c>
      <c r="AI7002" t="s">
        <v>42417</v>
      </c>
    </row>
    <row r="7003" spans="2:35" ht="105">
      <c r="B7003" s="1">
        <v>45152</v>
      </c>
      <c r="C7003" s="4">
        <v>45147.550694444442</v>
      </c>
      <c r="D7003" t="s">
        <v>42418</v>
      </c>
      <c r="E7003" t="s">
        <v>42419</v>
      </c>
      <c r="F7003" t="s">
        <v>37</v>
      </c>
      <c r="G7003" t="s">
        <v>2499</v>
      </c>
      <c r="H7003" t="s">
        <v>2581</v>
      </c>
      <c r="I7003" t="s">
        <v>40</v>
      </c>
      <c r="J7003" s="2" t="s">
        <v>62</v>
      </c>
      <c r="K7003" t="s">
        <v>42</v>
      </c>
      <c r="L7003" t="s">
        <v>448</v>
      </c>
      <c r="Q7003">
        <v>25550</v>
      </c>
      <c r="R7003" t="s">
        <v>45</v>
      </c>
      <c r="S7003" t="s">
        <v>42420</v>
      </c>
      <c r="T7003">
        <v>30</v>
      </c>
      <c r="U7003" s="2" t="s">
        <v>2828</v>
      </c>
      <c r="V7003" s="1">
        <v>45147</v>
      </c>
      <c r="W7003" t="s">
        <v>360</v>
      </c>
      <c r="X7003">
        <v>807608</v>
      </c>
      <c r="Y7003" t="s">
        <v>6494</v>
      </c>
      <c r="Z7003" t="s">
        <v>42421</v>
      </c>
      <c r="AA7003" t="s">
        <v>24030</v>
      </c>
      <c r="AB7003" t="s">
        <v>5243</v>
      </c>
      <c r="AD7003" t="s">
        <v>5255</v>
      </c>
      <c r="AE7003">
        <v>0</v>
      </c>
      <c r="AG7003" t="s">
        <v>42422</v>
      </c>
      <c r="AH7003" t="s">
        <v>42423</v>
      </c>
      <c r="AI7003" t="s">
        <v>42424</v>
      </c>
    </row>
    <row r="7004" spans="2:35" ht="285">
      <c r="B7004" s="1">
        <v>45152</v>
      </c>
      <c r="C7004" s="4">
        <v>45148.482638888891</v>
      </c>
      <c r="D7004" t="s">
        <v>42425</v>
      </c>
      <c r="E7004" t="s">
        <v>42426</v>
      </c>
      <c r="F7004" t="s">
        <v>148</v>
      </c>
      <c r="G7004" t="s">
        <v>2007</v>
      </c>
      <c r="H7004" t="s">
        <v>39</v>
      </c>
      <c r="I7004" t="s">
        <v>40</v>
      </c>
      <c r="J7004" s="2" t="s">
        <v>62</v>
      </c>
      <c r="K7004" t="s">
        <v>42</v>
      </c>
      <c r="L7004" t="s">
        <v>448</v>
      </c>
      <c r="Q7004">
        <v>25549</v>
      </c>
      <c r="R7004" t="s">
        <v>95</v>
      </c>
      <c r="S7004" t="s">
        <v>4261</v>
      </c>
      <c r="T7004">
        <v>27</v>
      </c>
      <c r="U7004" s="2" t="s">
        <v>42427</v>
      </c>
      <c r="V7004" s="1">
        <v>45146</v>
      </c>
      <c r="W7004" t="s">
        <v>360</v>
      </c>
      <c r="X7004">
        <v>705175</v>
      </c>
      <c r="Y7004" t="s">
        <v>6494</v>
      </c>
      <c r="Z7004" t="s">
        <v>42428</v>
      </c>
      <c r="AA7004" t="s">
        <v>28936</v>
      </c>
      <c r="AB7004" t="s">
        <v>486</v>
      </c>
      <c r="AD7004" t="s">
        <v>32042</v>
      </c>
      <c r="AE7004">
        <v>96085</v>
      </c>
      <c r="AG7004" t="s">
        <v>42429</v>
      </c>
      <c r="AH7004" t="s">
        <v>6189</v>
      </c>
      <c r="AI7004" t="s">
        <v>42430</v>
      </c>
    </row>
    <row r="7005" spans="2:35" ht="300">
      <c r="B7005" s="1">
        <v>45152</v>
      </c>
      <c r="C7005" s="4">
        <v>45148.614583333336</v>
      </c>
      <c r="D7005" t="s">
        <v>42431</v>
      </c>
      <c r="E7005" t="s">
        <v>42432</v>
      </c>
      <c r="F7005" t="s">
        <v>148</v>
      </c>
      <c r="G7005" t="s">
        <v>447</v>
      </c>
      <c r="H7005" t="s">
        <v>9616</v>
      </c>
      <c r="I7005" t="s">
        <v>40</v>
      </c>
      <c r="J7005" t="s">
        <v>109</v>
      </c>
      <c r="K7005" t="s">
        <v>408</v>
      </c>
      <c r="L7005" t="s">
        <v>448</v>
      </c>
      <c r="P7005" t="s">
        <v>9618</v>
      </c>
      <c r="Q7005">
        <v>25548</v>
      </c>
      <c r="R7005" t="s">
        <v>322</v>
      </c>
      <c r="S7005" t="s">
        <v>42433</v>
      </c>
      <c r="T7005">
        <v>28</v>
      </c>
      <c r="W7005" t="s">
        <v>6378</v>
      </c>
      <c r="X7005" t="s">
        <v>42434</v>
      </c>
      <c r="Y7005" t="s">
        <v>485</v>
      </c>
      <c r="Z7005" s="2" t="s">
        <v>42435</v>
      </c>
      <c r="AA7005" t="s">
        <v>6997</v>
      </c>
      <c r="AB7005" t="s">
        <v>42436</v>
      </c>
      <c r="AG7005" t="s">
        <v>42437</v>
      </c>
      <c r="AH7005" t="s">
        <v>42438</v>
      </c>
      <c r="AI7005" t="s">
        <v>42439</v>
      </c>
    </row>
    <row r="7006" spans="2:35" ht="225">
      <c r="B7006" s="1">
        <v>45152</v>
      </c>
      <c r="C7006" s="4">
        <v>45149.578472222223</v>
      </c>
      <c r="D7006" t="s">
        <v>37073</v>
      </c>
      <c r="E7006" t="s">
        <v>42440</v>
      </c>
      <c r="F7006" t="s">
        <v>148</v>
      </c>
      <c r="G7006" t="s">
        <v>447</v>
      </c>
      <c r="H7006" t="s">
        <v>39</v>
      </c>
      <c r="I7006" t="s">
        <v>40</v>
      </c>
      <c r="J7006" t="s">
        <v>525</v>
      </c>
      <c r="K7006" t="s">
        <v>408</v>
      </c>
      <c r="L7006" t="s">
        <v>448</v>
      </c>
      <c r="P7006" t="s">
        <v>42441</v>
      </c>
      <c r="Q7006">
        <v>25547</v>
      </c>
      <c r="R7006" t="s">
        <v>95</v>
      </c>
      <c r="S7006" t="s">
        <v>42442</v>
      </c>
      <c r="T7006">
        <v>26</v>
      </c>
      <c r="W7006" t="s">
        <v>42443</v>
      </c>
      <c r="X7006" t="s">
        <v>42444</v>
      </c>
      <c r="Y7006" t="s">
        <v>42445</v>
      </c>
      <c r="Z7006" s="2" t="s">
        <v>42446</v>
      </c>
      <c r="AA7006" t="s">
        <v>4487</v>
      </c>
      <c r="AB7006" t="s">
        <v>42447</v>
      </c>
      <c r="AG7006" t="s">
        <v>42448</v>
      </c>
      <c r="AH7006" t="s">
        <v>42449</v>
      </c>
      <c r="AI7006" t="s">
        <v>42450</v>
      </c>
    </row>
    <row r="7007" spans="2:35" ht="409.5">
      <c r="B7007" s="1">
        <v>45152</v>
      </c>
      <c r="C7007" s="4">
        <v>45149.65625</v>
      </c>
      <c r="D7007" t="s">
        <v>38717</v>
      </c>
      <c r="E7007" t="s">
        <v>41822</v>
      </c>
      <c r="F7007" t="s">
        <v>148</v>
      </c>
      <c r="G7007" t="s">
        <v>447</v>
      </c>
      <c r="H7007" t="s">
        <v>662</v>
      </c>
      <c r="I7007" t="s">
        <v>40</v>
      </c>
      <c r="J7007" t="s">
        <v>79</v>
      </c>
      <c r="K7007" t="s">
        <v>42</v>
      </c>
      <c r="L7007" t="s">
        <v>448</v>
      </c>
      <c r="Q7007">
        <v>25546</v>
      </c>
      <c r="R7007" t="s">
        <v>322</v>
      </c>
      <c r="S7007" t="s">
        <v>5604</v>
      </c>
      <c r="T7007">
        <v>25</v>
      </c>
      <c r="U7007" s="2" t="s">
        <v>42451</v>
      </c>
      <c r="V7007" s="1">
        <v>45148</v>
      </c>
      <c r="W7007" t="s">
        <v>325</v>
      </c>
      <c r="X7007">
        <v>110005587</v>
      </c>
      <c r="Y7007" t="s">
        <v>42452</v>
      </c>
      <c r="Z7007" t="s">
        <v>41282</v>
      </c>
      <c r="AA7007" t="s">
        <v>20643</v>
      </c>
      <c r="AB7007" t="s">
        <v>486</v>
      </c>
      <c r="AD7007" t="s">
        <v>10783</v>
      </c>
      <c r="AE7007">
        <v>10490</v>
      </c>
      <c r="AG7007" t="s">
        <v>42453</v>
      </c>
      <c r="AH7007" t="s">
        <v>5609</v>
      </c>
      <c r="AI7007" t="s">
        <v>42454</v>
      </c>
    </row>
    <row r="7008" spans="2:35" ht="315">
      <c r="B7008" s="1">
        <v>45152</v>
      </c>
      <c r="C7008" s="4">
        <v>45149.720138888886</v>
      </c>
      <c r="D7008" t="s">
        <v>2176</v>
      </c>
      <c r="E7008" t="s">
        <v>41822</v>
      </c>
      <c r="F7008" t="s">
        <v>148</v>
      </c>
      <c r="G7008" t="s">
        <v>447</v>
      </c>
      <c r="H7008" t="s">
        <v>662</v>
      </c>
      <c r="I7008" t="s">
        <v>40</v>
      </c>
      <c r="J7008" s="2" t="s">
        <v>41</v>
      </c>
      <c r="K7008" t="s">
        <v>42</v>
      </c>
      <c r="L7008" t="s">
        <v>448</v>
      </c>
      <c r="Q7008">
        <v>25545</v>
      </c>
      <c r="R7008" t="s">
        <v>322</v>
      </c>
      <c r="S7008" t="s">
        <v>3086</v>
      </c>
      <c r="T7008">
        <v>22</v>
      </c>
      <c r="U7008" s="2" t="s">
        <v>42455</v>
      </c>
      <c r="V7008" s="1">
        <v>45148</v>
      </c>
      <c r="W7008" t="s">
        <v>360</v>
      </c>
      <c r="X7008">
        <v>110014085</v>
      </c>
      <c r="Y7008" t="s">
        <v>42456</v>
      </c>
      <c r="Z7008" t="s">
        <v>42457</v>
      </c>
      <c r="AA7008" t="s">
        <v>42458</v>
      </c>
      <c r="AB7008" t="s">
        <v>486</v>
      </c>
      <c r="AD7008" t="s">
        <v>42459</v>
      </c>
      <c r="AE7008">
        <v>10491</v>
      </c>
      <c r="AG7008" t="s">
        <v>42460</v>
      </c>
      <c r="AH7008" t="s">
        <v>38352</v>
      </c>
      <c r="AI7008" t="s">
        <v>42461</v>
      </c>
    </row>
    <row r="7009" spans="2:35" ht="180">
      <c r="B7009" s="1">
        <v>45151</v>
      </c>
      <c r="C7009" s="4">
        <v>45151.793055555558</v>
      </c>
      <c r="D7009" t="s">
        <v>12747</v>
      </c>
      <c r="E7009" t="s">
        <v>16605</v>
      </c>
      <c r="F7009">
        <v>6</v>
      </c>
      <c r="G7009" t="s">
        <v>1234</v>
      </c>
      <c r="H7009" t="s">
        <v>1047</v>
      </c>
      <c r="I7009" t="s">
        <v>94</v>
      </c>
      <c r="J7009" t="s">
        <v>996</v>
      </c>
      <c r="K7009" t="s">
        <v>42</v>
      </c>
      <c r="L7009" t="s">
        <v>23958</v>
      </c>
      <c r="Q7009">
        <v>25544</v>
      </c>
      <c r="R7009" t="s">
        <v>45</v>
      </c>
      <c r="S7009" t="s">
        <v>42462</v>
      </c>
      <c r="T7009">
        <v>4</v>
      </c>
      <c r="U7009" s="2" t="s">
        <v>42463</v>
      </c>
      <c r="W7009" t="s">
        <v>360</v>
      </c>
      <c r="X7009">
        <v>805093</v>
      </c>
      <c r="Y7009" t="s">
        <v>301</v>
      </c>
      <c r="Z7009" t="s">
        <v>42464</v>
      </c>
      <c r="AA7009" t="s">
        <v>42465</v>
      </c>
      <c r="AB7009" t="s">
        <v>37708</v>
      </c>
      <c r="AG7009" t="s">
        <v>42466</v>
      </c>
      <c r="AH7009" t="s">
        <v>42467</v>
      </c>
      <c r="AI7009" t="s">
        <v>42468</v>
      </c>
    </row>
    <row r="7010" spans="2:35" ht="180">
      <c r="B7010" s="1">
        <v>45151</v>
      </c>
      <c r="C7010" s="4">
        <v>45149.677777777775</v>
      </c>
      <c r="D7010" t="s">
        <v>12747</v>
      </c>
      <c r="E7010" t="s">
        <v>16605</v>
      </c>
      <c r="F7010">
        <v>6</v>
      </c>
      <c r="G7010" t="s">
        <v>1234</v>
      </c>
      <c r="H7010" t="s">
        <v>1047</v>
      </c>
      <c r="I7010" t="s">
        <v>94</v>
      </c>
      <c r="J7010" t="s">
        <v>996</v>
      </c>
      <c r="K7010" t="s">
        <v>42</v>
      </c>
      <c r="L7010" t="s">
        <v>23958</v>
      </c>
      <c r="Q7010">
        <v>25543</v>
      </c>
      <c r="R7010" t="s">
        <v>119</v>
      </c>
      <c r="S7010" t="s">
        <v>42462</v>
      </c>
      <c r="T7010">
        <v>4</v>
      </c>
      <c r="U7010" s="2" t="s">
        <v>42463</v>
      </c>
      <c r="W7010" t="s">
        <v>360</v>
      </c>
      <c r="X7010">
        <v>838464</v>
      </c>
      <c r="Y7010" t="s">
        <v>42469</v>
      </c>
      <c r="Z7010" t="s">
        <v>42464</v>
      </c>
      <c r="AA7010" t="s">
        <v>42465</v>
      </c>
      <c r="AB7010" t="s">
        <v>42470</v>
      </c>
      <c r="AG7010" t="s">
        <v>42471</v>
      </c>
      <c r="AH7010" t="s">
        <v>42467</v>
      </c>
      <c r="AI7010" t="s">
        <v>42472</v>
      </c>
    </row>
    <row r="7011" spans="2:35">
      <c r="B7011" s="1">
        <v>45151</v>
      </c>
      <c r="C7011" s="4">
        <v>45151.501388888886</v>
      </c>
      <c r="D7011" t="s">
        <v>1071</v>
      </c>
      <c r="E7011" t="s">
        <v>42473</v>
      </c>
      <c r="F7011">
        <v>7</v>
      </c>
      <c r="G7011" t="s">
        <v>432</v>
      </c>
      <c r="H7011" t="s">
        <v>386</v>
      </c>
      <c r="I7011" t="s">
        <v>94</v>
      </c>
      <c r="J7011" t="s">
        <v>79</v>
      </c>
      <c r="K7011" t="s">
        <v>387</v>
      </c>
      <c r="L7011" t="s">
        <v>610</v>
      </c>
      <c r="Q7011">
        <v>25542</v>
      </c>
      <c r="R7011" t="s">
        <v>95</v>
      </c>
      <c r="S7011" t="s">
        <v>1073</v>
      </c>
      <c r="T7011">
        <v>25</v>
      </c>
      <c r="W7011" t="s">
        <v>436</v>
      </c>
      <c r="X7011" t="s">
        <v>1074</v>
      </c>
      <c r="Y7011" t="s">
        <v>42474</v>
      </c>
      <c r="Z7011" t="s">
        <v>42475</v>
      </c>
      <c r="AA7011" t="s">
        <v>42476</v>
      </c>
      <c r="AB7011" t="s">
        <v>42477</v>
      </c>
      <c r="AG7011" t="s">
        <v>42478</v>
      </c>
      <c r="AH7011" t="s">
        <v>42479</v>
      </c>
      <c r="AI7011" t="s">
        <v>42480</v>
      </c>
    </row>
    <row r="7012" spans="2:35" ht="210">
      <c r="B7012" s="1">
        <v>45150</v>
      </c>
      <c r="C7012" s="4">
        <v>45150.395138888889</v>
      </c>
      <c r="D7012" t="s">
        <v>606</v>
      </c>
      <c r="E7012" t="s">
        <v>42481</v>
      </c>
      <c r="F7012">
        <v>7</v>
      </c>
      <c r="G7012" t="s">
        <v>432</v>
      </c>
      <c r="H7012" t="s">
        <v>2290</v>
      </c>
      <c r="I7012" t="s">
        <v>94</v>
      </c>
      <c r="J7012" s="2" t="s">
        <v>1444</v>
      </c>
      <c r="K7012" t="s">
        <v>42</v>
      </c>
      <c r="L7012" t="s">
        <v>610</v>
      </c>
      <c r="Q7012">
        <v>25541</v>
      </c>
      <c r="R7012" t="s">
        <v>119</v>
      </c>
      <c r="S7012" t="s">
        <v>42482</v>
      </c>
      <c r="T7012">
        <v>27</v>
      </c>
      <c r="U7012" s="2" t="s">
        <v>42483</v>
      </c>
      <c r="W7012" t="s">
        <v>502</v>
      </c>
      <c r="X7012">
        <v>838559</v>
      </c>
      <c r="Y7012" t="s">
        <v>42484</v>
      </c>
      <c r="Z7012" t="s">
        <v>5230</v>
      </c>
      <c r="AA7012" t="s">
        <v>42485</v>
      </c>
      <c r="AB7012" t="s">
        <v>42486</v>
      </c>
      <c r="AG7012" t="s">
        <v>42487</v>
      </c>
      <c r="AH7012" t="s">
        <v>42488</v>
      </c>
      <c r="AI7012" t="s">
        <v>42489</v>
      </c>
    </row>
    <row r="7013" spans="2:35" ht="375">
      <c r="B7013" s="1">
        <v>45149</v>
      </c>
      <c r="C7013" s="4">
        <v>45149.661805555559</v>
      </c>
      <c r="D7013" t="s">
        <v>15507</v>
      </c>
      <c r="E7013" t="s">
        <v>42490</v>
      </c>
      <c r="F7013">
        <v>9</v>
      </c>
      <c r="G7013" t="s">
        <v>2197</v>
      </c>
      <c r="H7013" t="s">
        <v>39</v>
      </c>
      <c r="I7013" t="s">
        <v>40</v>
      </c>
      <c r="J7013" t="s">
        <v>109</v>
      </c>
      <c r="K7013" t="s">
        <v>42</v>
      </c>
      <c r="L7013" t="s">
        <v>1257</v>
      </c>
      <c r="Q7013">
        <v>25540</v>
      </c>
      <c r="R7013" t="s">
        <v>45</v>
      </c>
      <c r="S7013" t="s">
        <v>42491</v>
      </c>
      <c r="T7013">
        <v>28</v>
      </c>
      <c r="U7013" s="2" t="s">
        <v>42492</v>
      </c>
      <c r="V7013" s="1">
        <v>45149</v>
      </c>
      <c r="W7013" t="s">
        <v>31945</v>
      </c>
      <c r="X7013">
        <v>839309</v>
      </c>
      <c r="Y7013" t="s">
        <v>42493</v>
      </c>
      <c r="Z7013" t="s">
        <v>42494</v>
      </c>
      <c r="AA7013" t="s">
        <v>25079</v>
      </c>
      <c r="AB7013" t="s">
        <v>7411</v>
      </c>
      <c r="AC7013" t="s">
        <v>301</v>
      </c>
      <c r="AD7013" t="s">
        <v>54</v>
      </c>
      <c r="AE7013" t="s">
        <v>54</v>
      </c>
      <c r="AG7013" t="s">
        <v>42495</v>
      </c>
      <c r="AH7013" t="s">
        <v>42496</v>
      </c>
      <c r="AI7013" t="s">
        <v>42497</v>
      </c>
    </row>
    <row r="7014" spans="2:35" ht="375">
      <c r="B7014" s="1">
        <v>45149</v>
      </c>
      <c r="C7014" s="4">
        <v>45149.661805555559</v>
      </c>
      <c r="D7014" t="s">
        <v>15507</v>
      </c>
      <c r="E7014" t="s">
        <v>42490</v>
      </c>
      <c r="F7014">
        <v>9</v>
      </c>
      <c r="G7014" t="s">
        <v>2197</v>
      </c>
      <c r="H7014" t="s">
        <v>39</v>
      </c>
      <c r="I7014" t="s">
        <v>40</v>
      </c>
      <c r="J7014" s="2" t="s">
        <v>17375</v>
      </c>
      <c r="K7014" t="s">
        <v>42</v>
      </c>
      <c r="L7014" t="s">
        <v>1257</v>
      </c>
      <c r="Q7014">
        <v>25539</v>
      </c>
      <c r="R7014" t="s">
        <v>45</v>
      </c>
      <c r="S7014" t="s">
        <v>42491</v>
      </c>
      <c r="T7014">
        <v>28</v>
      </c>
      <c r="U7014" s="2" t="s">
        <v>42492</v>
      </c>
      <c r="V7014" s="1">
        <v>45149</v>
      </c>
      <c r="W7014" t="s">
        <v>31945</v>
      </c>
      <c r="X7014">
        <v>839309</v>
      </c>
      <c r="Y7014" t="s">
        <v>42493</v>
      </c>
      <c r="Z7014" t="s">
        <v>42498</v>
      </c>
      <c r="AA7014" t="s">
        <v>25079</v>
      </c>
      <c r="AB7014" t="s">
        <v>7411</v>
      </c>
      <c r="AC7014" t="s">
        <v>301</v>
      </c>
      <c r="AD7014" t="s">
        <v>54</v>
      </c>
      <c r="AE7014" t="s">
        <v>54</v>
      </c>
      <c r="AG7014" t="s">
        <v>42495</v>
      </c>
      <c r="AH7014" t="s">
        <v>42496</v>
      </c>
      <c r="AI7014" t="s">
        <v>42497</v>
      </c>
    </row>
    <row r="7015" spans="2:35" ht="240">
      <c r="B7015" s="1">
        <v>45149</v>
      </c>
      <c r="C7015" s="4">
        <v>45149.625694444447</v>
      </c>
      <c r="D7015" t="s">
        <v>4503</v>
      </c>
      <c r="E7015" t="s">
        <v>42499</v>
      </c>
      <c r="F7015">
        <v>2</v>
      </c>
      <c r="G7015" t="s">
        <v>2668</v>
      </c>
      <c r="H7015" t="s">
        <v>39</v>
      </c>
      <c r="I7015" t="s">
        <v>40</v>
      </c>
      <c r="J7015" s="2" t="s">
        <v>41</v>
      </c>
      <c r="K7015" t="s">
        <v>42</v>
      </c>
      <c r="L7015" t="s">
        <v>63</v>
      </c>
      <c r="Q7015">
        <v>25538</v>
      </c>
      <c r="R7015" t="s">
        <v>45</v>
      </c>
      <c r="S7015" t="s">
        <v>42500</v>
      </c>
      <c r="T7015">
        <v>28</v>
      </c>
      <c r="U7015" s="2" t="s">
        <v>34339</v>
      </c>
      <c r="V7015" s="1">
        <v>45149</v>
      </c>
      <c r="W7015" t="s">
        <v>26915</v>
      </c>
      <c r="X7015">
        <v>834686</v>
      </c>
      <c r="Y7015" t="s">
        <v>1716</v>
      </c>
      <c r="Z7015" t="s">
        <v>1716</v>
      </c>
      <c r="AA7015" s="2" t="s">
        <v>42501</v>
      </c>
      <c r="AB7015" t="s">
        <v>70</v>
      </c>
      <c r="AC7015" t="s">
        <v>42502</v>
      </c>
      <c r="AD7015" t="s">
        <v>42503</v>
      </c>
      <c r="AE7015" t="s">
        <v>1716</v>
      </c>
      <c r="AG7015" t="s">
        <v>42504</v>
      </c>
      <c r="AH7015" t="s">
        <v>42505</v>
      </c>
      <c r="AI7015" t="s">
        <v>42506</v>
      </c>
    </row>
    <row r="7016" spans="2:35" ht="150">
      <c r="B7016" s="1">
        <v>45149</v>
      </c>
      <c r="C7016" s="4">
        <v>45149.636805555558</v>
      </c>
      <c r="D7016" t="s">
        <v>472</v>
      </c>
      <c r="E7016" t="s">
        <v>9810</v>
      </c>
      <c r="F7016" t="s">
        <v>148</v>
      </c>
      <c r="G7016" t="s">
        <v>447</v>
      </c>
      <c r="H7016" t="s">
        <v>513</v>
      </c>
      <c r="I7016" t="s">
        <v>40</v>
      </c>
      <c r="J7016" s="2" t="s">
        <v>190</v>
      </c>
      <c r="K7016" t="s">
        <v>387</v>
      </c>
      <c r="L7016" t="s">
        <v>175</v>
      </c>
      <c r="Q7016">
        <v>25537</v>
      </c>
      <c r="R7016" t="s">
        <v>322</v>
      </c>
      <c r="S7016" t="s">
        <v>176</v>
      </c>
      <c r="T7016">
        <v>25</v>
      </c>
      <c r="W7016" t="s">
        <v>390</v>
      </c>
      <c r="X7016" t="s">
        <v>477</v>
      </c>
      <c r="Y7016" t="s">
        <v>42507</v>
      </c>
      <c r="Z7016" t="e">
        <f ca="1">- swapped CPU assembly with good Unit (_xludf.not _xludf.fixed)
- swapped display PANEL ribbon with good Unit (worked)
- performed functionality test
- swapped Back Original ribbon</f>
        <v>#NAME?</v>
      </c>
      <c r="AA7016" t="s">
        <v>768</v>
      </c>
      <c r="AB7016" s="2" t="s">
        <v>42508</v>
      </c>
      <c r="AG7016" t="s">
        <v>42509</v>
      </c>
      <c r="AH7016" t="s">
        <v>14090</v>
      </c>
      <c r="AI7016" t="s">
        <v>42510</v>
      </c>
    </row>
    <row r="7017" spans="2:35">
      <c r="B7017" s="1">
        <v>45149</v>
      </c>
      <c r="C7017" s="4">
        <v>45149.638888888891</v>
      </c>
      <c r="D7017" t="s">
        <v>472</v>
      </c>
      <c r="E7017" t="s">
        <v>42511</v>
      </c>
      <c r="F7017" t="s">
        <v>148</v>
      </c>
      <c r="G7017" t="s">
        <v>447</v>
      </c>
      <c r="H7017" t="s">
        <v>513</v>
      </c>
      <c r="I7017" t="s">
        <v>40</v>
      </c>
      <c r="J7017" t="s">
        <v>109</v>
      </c>
      <c r="K7017" t="s">
        <v>387</v>
      </c>
      <c r="L7017" t="s">
        <v>175</v>
      </c>
      <c r="Q7017">
        <v>25536</v>
      </c>
      <c r="R7017" t="s">
        <v>322</v>
      </c>
      <c r="S7017" t="s">
        <v>6331</v>
      </c>
      <c r="T7017">
        <v>25</v>
      </c>
      <c r="W7017" t="s">
        <v>390</v>
      </c>
      <c r="X7017" t="s">
        <v>20799</v>
      </c>
      <c r="Y7017" t="s">
        <v>374</v>
      </c>
      <c r="Z7017" t="e">
        <f ca="1">- checked rotor roller pumps
- checked CALIBRATION parameters
- performed self test</f>
        <v>#NAME?</v>
      </c>
      <c r="AA7017" t="s">
        <v>122</v>
      </c>
      <c r="AB7017" t="s">
        <v>88</v>
      </c>
      <c r="AG7017" t="s">
        <v>42512</v>
      </c>
      <c r="AH7017" t="s">
        <v>14090</v>
      </c>
      <c r="AI7017" t="s">
        <v>42513</v>
      </c>
    </row>
    <row r="7018" spans="2:35">
      <c r="B7018" s="1">
        <v>45149</v>
      </c>
      <c r="C7018" s="4">
        <v>45149.640277777777</v>
      </c>
      <c r="D7018" t="s">
        <v>472</v>
      </c>
      <c r="E7018" t="s">
        <v>42511</v>
      </c>
      <c r="F7018" t="s">
        <v>148</v>
      </c>
      <c r="G7018" t="s">
        <v>447</v>
      </c>
      <c r="H7018" t="s">
        <v>513</v>
      </c>
      <c r="I7018" t="s">
        <v>40</v>
      </c>
      <c r="J7018" t="s">
        <v>109</v>
      </c>
      <c r="K7018" t="s">
        <v>387</v>
      </c>
      <c r="L7018" t="s">
        <v>175</v>
      </c>
      <c r="Q7018">
        <v>25535</v>
      </c>
      <c r="R7018" t="s">
        <v>322</v>
      </c>
      <c r="S7018" t="s">
        <v>6331</v>
      </c>
      <c r="T7018">
        <v>25</v>
      </c>
      <c r="W7018" t="s">
        <v>390</v>
      </c>
      <c r="X7018" t="s">
        <v>492</v>
      </c>
      <c r="Y7018" t="s">
        <v>374</v>
      </c>
      <c r="Z7018" t="e">
        <f ca="1">- checked rotor roller pumps
- checked CALIBRATION parameters
- performed self test</f>
        <v>#NAME?</v>
      </c>
      <c r="AA7018" t="s">
        <v>122</v>
      </c>
      <c r="AB7018" t="s">
        <v>88</v>
      </c>
      <c r="AG7018" t="s">
        <v>42514</v>
      </c>
      <c r="AH7018" t="s">
        <v>14090</v>
      </c>
      <c r="AI7018" t="s">
        <v>42515</v>
      </c>
    </row>
    <row r="7019" spans="2:35" ht="225">
      <c r="B7019" s="1">
        <v>45149</v>
      </c>
      <c r="C7019" s="4">
        <v>45149.591666666667</v>
      </c>
      <c r="D7019" t="s">
        <v>2056</v>
      </c>
      <c r="E7019" t="s">
        <v>42516</v>
      </c>
      <c r="F7019" t="s">
        <v>1181</v>
      </c>
      <c r="G7019" t="s">
        <v>1182</v>
      </c>
      <c r="H7019" t="s">
        <v>39</v>
      </c>
      <c r="I7019" t="s">
        <v>40</v>
      </c>
      <c r="J7019" s="2" t="s">
        <v>62</v>
      </c>
      <c r="K7019" t="s">
        <v>42</v>
      </c>
      <c r="L7019" t="s">
        <v>15532</v>
      </c>
      <c r="Q7019">
        <v>25534</v>
      </c>
      <c r="R7019" t="s">
        <v>45</v>
      </c>
      <c r="S7019" t="s">
        <v>36616</v>
      </c>
      <c r="T7019">
        <v>30</v>
      </c>
      <c r="U7019" s="2" t="s">
        <v>42517</v>
      </c>
      <c r="V7019" s="1">
        <v>44907</v>
      </c>
      <c r="W7019" t="s">
        <v>42518</v>
      </c>
      <c r="X7019">
        <v>842893</v>
      </c>
      <c r="Y7019" t="s">
        <v>6766</v>
      </c>
      <c r="Z7019" s="2" t="s">
        <v>42519</v>
      </c>
      <c r="AA7019" t="s">
        <v>999</v>
      </c>
      <c r="AB7019" s="2" t="s">
        <v>42520</v>
      </c>
      <c r="AD7019" t="s">
        <v>7189</v>
      </c>
      <c r="AE7019" t="s">
        <v>42521</v>
      </c>
      <c r="AG7019" t="s">
        <v>42522</v>
      </c>
      <c r="AH7019" t="s">
        <v>36624</v>
      </c>
      <c r="AI7019" t="s">
        <v>42523</v>
      </c>
    </row>
    <row r="7020" spans="2:35" ht="315">
      <c r="B7020" s="1">
        <v>45149</v>
      </c>
      <c r="C7020" s="4">
        <v>45149.556944444441</v>
      </c>
      <c r="D7020" t="s">
        <v>41684</v>
      </c>
      <c r="E7020" t="s">
        <v>42524</v>
      </c>
      <c r="F7020">
        <v>3</v>
      </c>
      <c r="G7020" t="s">
        <v>219</v>
      </c>
      <c r="H7020" t="s">
        <v>39</v>
      </c>
      <c r="I7020" t="s">
        <v>40</v>
      </c>
      <c r="J7020" s="2" t="s">
        <v>41</v>
      </c>
      <c r="K7020" t="s">
        <v>42</v>
      </c>
      <c r="L7020" t="s">
        <v>135</v>
      </c>
      <c r="Q7020">
        <v>25533</v>
      </c>
      <c r="R7020" t="s">
        <v>45</v>
      </c>
      <c r="S7020" t="s">
        <v>42525</v>
      </c>
      <c r="T7020">
        <v>29</v>
      </c>
      <c r="U7020" s="2" t="s">
        <v>42526</v>
      </c>
      <c r="V7020" s="1">
        <v>45145</v>
      </c>
      <c r="W7020" t="s">
        <v>2680</v>
      </c>
      <c r="X7020">
        <v>812788</v>
      </c>
      <c r="Y7020" t="s">
        <v>38525</v>
      </c>
      <c r="Z7020" s="2" t="s">
        <v>29539</v>
      </c>
      <c r="AA7020" s="2" t="s">
        <v>42527</v>
      </c>
      <c r="AB7020" t="s">
        <v>9590</v>
      </c>
      <c r="AD7020" t="s">
        <v>22730</v>
      </c>
      <c r="AE7020">
        <v>42436</v>
      </c>
      <c r="AG7020" t="s">
        <v>42528</v>
      </c>
      <c r="AH7020" t="s">
        <v>37270</v>
      </c>
      <c r="AI7020" t="s">
        <v>42529</v>
      </c>
    </row>
    <row r="7021" spans="2:35" ht="315">
      <c r="B7021" s="1">
        <v>45149</v>
      </c>
      <c r="C7021" s="4">
        <v>45149.556944444441</v>
      </c>
      <c r="D7021" t="s">
        <v>41684</v>
      </c>
      <c r="E7021" t="s">
        <v>42524</v>
      </c>
      <c r="F7021">
        <v>3</v>
      </c>
      <c r="G7021" t="s">
        <v>219</v>
      </c>
      <c r="H7021" t="s">
        <v>39</v>
      </c>
      <c r="I7021" t="s">
        <v>40</v>
      </c>
      <c r="J7021" s="2" t="s">
        <v>41</v>
      </c>
      <c r="K7021" t="s">
        <v>42</v>
      </c>
      <c r="L7021" t="s">
        <v>135</v>
      </c>
      <c r="Q7021">
        <v>25532</v>
      </c>
      <c r="R7021" t="s">
        <v>45</v>
      </c>
      <c r="S7021" t="s">
        <v>42525</v>
      </c>
      <c r="T7021">
        <v>29</v>
      </c>
      <c r="U7021" s="2" t="s">
        <v>42526</v>
      </c>
      <c r="V7021" s="1">
        <v>45145</v>
      </c>
      <c r="W7021" t="s">
        <v>2680</v>
      </c>
      <c r="X7021">
        <v>812788</v>
      </c>
      <c r="Y7021" t="s">
        <v>38525</v>
      </c>
      <c r="Z7021" s="2" t="s">
        <v>29539</v>
      </c>
      <c r="AA7021" s="2" t="s">
        <v>42527</v>
      </c>
      <c r="AB7021" t="s">
        <v>9590</v>
      </c>
      <c r="AD7021" t="s">
        <v>22730</v>
      </c>
      <c r="AE7021">
        <v>42436</v>
      </c>
      <c r="AG7021" t="s">
        <v>42530</v>
      </c>
      <c r="AH7021" t="s">
        <v>37270</v>
      </c>
      <c r="AI7021" t="s">
        <v>42531</v>
      </c>
    </row>
    <row r="7022" spans="2:35" ht="180">
      <c r="B7022" s="1">
        <v>45149</v>
      </c>
      <c r="C7022" s="4">
        <v>45149.554166666669</v>
      </c>
      <c r="D7022" t="s">
        <v>4091</v>
      </c>
      <c r="E7022" t="s">
        <v>9894</v>
      </c>
      <c r="F7022">
        <v>13</v>
      </c>
      <c r="G7022" t="s">
        <v>7763</v>
      </c>
      <c r="H7022" t="s">
        <v>2125</v>
      </c>
      <c r="I7022" t="s">
        <v>40</v>
      </c>
      <c r="J7022" t="s">
        <v>996</v>
      </c>
      <c r="K7022" t="s">
        <v>42</v>
      </c>
      <c r="L7022" t="s">
        <v>933</v>
      </c>
      <c r="Q7022">
        <v>25531</v>
      </c>
      <c r="R7022" t="s">
        <v>719</v>
      </c>
      <c r="S7022" t="s">
        <v>42532</v>
      </c>
      <c r="T7022">
        <v>28</v>
      </c>
      <c r="U7022" s="2" t="s">
        <v>42533</v>
      </c>
      <c r="W7022" t="s">
        <v>3662</v>
      </c>
      <c r="X7022">
        <v>847258</v>
      </c>
      <c r="Y7022" t="s">
        <v>42534</v>
      </c>
      <c r="Z7022" t="s">
        <v>301</v>
      </c>
      <c r="AA7022" s="2" t="s">
        <v>2397</v>
      </c>
      <c r="AB7022" t="s">
        <v>1263</v>
      </c>
      <c r="AG7022" t="s">
        <v>42535</v>
      </c>
      <c r="AH7022" t="s">
        <v>42536</v>
      </c>
      <c r="AI7022" t="s">
        <v>42537</v>
      </c>
    </row>
    <row r="7023" spans="2:35" ht="90">
      <c r="B7023" s="1">
        <v>45149</v>
      </c>
      <c r="C7023" s="4">
        <v>45149.45208333333</v>
      </c>
      <c r="D7023" t="s">
        <v>42538</v>
      </c>
      <c r="E7023" t="s">
        <v>2569</v>
      </c>
      <c r="F7023" t="s">
        <v>148</v>
      </c>
      <c r="G7023" t="s">
        <v>447</v>
      </c>
      <c r="H7023" t="s">
        <v>150</v>
      </c>
      <c r="I7023" t="s">
        <v>94</v>
      </c>
      <c r="J7023" s="2" t="s">
        <v>41</v>
      </c>
      <c r="K7023" t="s">
        <v>42</v>
      </c>
      <c r="L7023" t="s">
        <v>448</v>
      </c>
      <c r="Q7023">
        <v>25530</v>
      </c>
      <c r="R7023" t="s">
        <v>95</v>
      </c>
      <c r="S7023" t="s">
        <v>2809</v>
      </c>
      <c r="T7023">
        <v>25</v>
      </c>
      <c r="U7023" s="2" t="s">
        <v>42539</v>
      </c>
      <c r="V7023" s="1">
        <v>45146</v>
      </c>
      <c r="W7023" t="s">
        <v>360</v>
      </c>
      <c r="X7023">
        <v>839234</v>
      </c>
      <c r="Y7023" t="s">
        <v>42540</v>
      </c>
      <c r="Z7023" t="s">
        <v>42541</v>
      </c>
      <c r="AA7023" t="s">
        <v>20643</v>
      </c>
      <c r="AB7023" t="s">
        <v>42542</v>
      </c>
      <c r="AD7023" t="s">
        <v>19700</v>
      </c>
      <c r="AE7023">
        <v>96091</v>
      </c>
      <c r="AG7023" t="s">
        <v>42543</v>
      </c>
      <c r="AH7023" t="s">
        <v>11567</v>
      </c>
      <c r="AI7023" t="s">
        <v>42544</v>
      </c>
    </row>
    <row r="7024" spans="2:35" ht="90">
      <c r="B7024" s="1">
        <v>45149</v>
      </c>
      <c r="C7024" s="4">
        <v>45149.45208333333</v>
      </c>
      <c r="D7024" t="s">
        <v>42538</v>
      </c>
      <c r="E7024" t="s">
        <v>2569</v>
      </c>
      <c r="F7024" t="s">
        <v>148</v>
      </c>
      <c r="G7024" t="s">
        <v>447</v>
      </c>
      <c r="H7024" t="s">
        <v>150</v>
      </c>
      <c r="I7024" t="s">
        <v>94</v>
      </c>
      <c r="J7024" s="2" t="s">
        <v>41</v>
      </c>
      <c r="K7024" t="s">
        <v>42</v>
      </c>
      <c r="L7024" t="s">
        <v>448</v>
      </c>
      <c r="Q7024">
        <v>25529</v>
      </c>
      <c r="R7024" t="s">
        <v>95</v>
      </c>
      <c r="S7024" t="s">
        <v>2808</v>
      </c>
      <c r="T7024">
        <v>25</v>
      </c>
      <c r="U7024" s="2" t="s">
        <v>42539</v>
      </c>
      <c r="V7024" s="1">
        <v>45146</v>
      </c>
      <c r="W7024" t="s">
        <v>360</v>
      </c>
      <c r="X7024">
        <v>839234</v>
      </c>
      <c r="Y7024" t="s">
        <v>42540</v>
      </c>
      <c r="Z7024" t="s">
        <v>42541</v>
      </c>
      <c r="AA7024" t="s">
        <v>20643</v>
      </c>
      <c r="AB7024" t="s">
        <v>42542</v>
      </c>
      <c r="AD7024" t="s">
        <v>19700</v>
      </c>
      <c r="AE7024">
        <v>96091</v>
      </c>
      <c r="AG7024" t="s">
        <v>42545</v>
      </c>
      <c r="AH7024" t="s">
        <v>11567</v>
      </c>
      <c r="AI7024" t="s">
        <v>42546</v>
      </c>
    </row>
    <row r="7025" spans="2:35" ht="405">
      <c r="B7025" s="1">
        <v>45148</v>
      </c>
      <c r="C7025" s="4">
        <v>45148.713888888888</v>
      </c>
      <c r="D7025" t="s">
        <v>31424</v>
      </c>
      <c r="E7025" t="s">
        <v>33942</v>
      </c>
      <c r="F7025" t="s">
        <v>511</v>
      </c>
      <c r="G7025" t="s">
        <v>31426</v>
      </c>
      <c r="H7025" t="s">
        <v>1047</v>
      </c>
      <c r="I7025" t="s">
        <v>40</v>
      </c>
      <c r="J7025" s="2" t="s">
        <v>41</v>
      </c>
      <c r="K7025" t="s">
        <v>42</v>
      </c>
      <c r="L7025" t="s">
        <v>1048</v>
      </c>
      <c r="Q7025">
        <v>25528</v>
      </c>
      <c r="R7025" t="s">
        <v>45</v>
      </c>
      <c r="S7025" t="s">
        <v>33943</v>
      </c>
      <c r="T7025">
        <v>27</v>
      </c>
      <c r="U7025" s="2" t="s">
        <v>23338</v>
      </c>
      <c r="V7025" s="1">
        <v>45148</v>
      </c>
      <c r="W7025" t="s">
        <v>360</v>
      </c>
      <c r="X7025">
        <v>807582</v>
      </c>
      <c r="Y7025" t="s">
        <v>35729</v>
      </c>
      <c r="Z7025" s="2" t="s">
        <v>42547</v>
      </c>
      <c r="AA7025" t="s">
        <v>1926</v>
      </c>
      <c r="AB7025" t="s">
        <v>181</v>
      </c>
      <c r="AD7025" t="s">
        <v>42548</v>
      </c>
      <c r="AE7025" t="s">
        <v>54</v>
      </c>
      <c r="AG7025" t="s">
        <v>42549</v>
      </c>
      <c r="AH7025" t="s">
        <v>42550</v>
      </c>
      <c r="AI7025" t="s">
        <v>42551</v>
      </c>
    </row>
    <row r="7026" spans="2:35" ht="390">
      <c r="B7026" s="1">
        <v>45148</v>
      </c>
      <c r="C7026" s="4">
        <v>45147.582638888889</v>
      </c>
      <c r="D7026" t="s">
        <v>6919</v>
      </c>
      <c r="E7026" t="s">
        <v>42552</v>
      </c>
      <c r="F7026" t="s">
        <v>511</v>
      </c>
      <c r="G7026" t="s">
        <v>512</v>
      </c>
      <c r="H7026" t="s">
        <v>1047</v>
      </c>
      <c r="I7026" t="s">
        <v>40</v>
      </c>
      <c r="J7026" s="2" t="s">
        <v>1592</v>
      </c>
      <c r="K7026" t="s">
        <v>42</v>
      </c>
      <c r="L7026" t="s">
        <v>1048</v>
      </c>
      <c r="Q7026">
        <v>25527</v>
      </c>
      <c r="R7026" t="s">
        <v>119</v>
      </c>
      <c r="S7026" t="s">
        <v>6920</v>
      </c>
      <c r="T7026">
        <v>23</v>
      </c>
      <c r="V7026" s="1">
        <v>45127</v>
      </c>
      <c r="W7026" t="s">
        <v>360</v>
      </c>
      <c r="X7026">
        <v>838281</v>
      </c>
      <c r="Y7026" s="2" t="s">
        <v>42553</v>
      </c>
      <c r="Z7026" s="2" t="s">
        <v>42554</v>
      </c>
      <c r="AA7026" s="2" t="s">
        <v>42555</v>
      </c>
      <c r="AB7026" t="s">
        <v>181</v>
      </c>
      <c r="AD7026" t="s">
        <v>42556</v>
      </c>
      <c r="AE7026" t="s">
        <v>42557</v>
      </c>
      <c r="AG7026" t="s">
        <v>42558</v>
      </c>
      <c r="AH7026" t="s">
        <v>6925</v>
      </c>
      <c r="AI7026" t="s">
        <v>42559</v>
      </c>
    </row>
    <row r="7027" spans="2:35" ht="409.5">
      <c r="B7027" s="1">
        <v>45148</v>
      </c>
      <c r="C7027" s="4">
        <v>45148.62222222222</v>
      </c>
      <c r="D7027" t="s">
        <v>23305</v>
      </c>
      <c r="E7027" t="s">
        <v>42560</v>
      </c>
      <c r="F7027" t="s">
        <v>1181</v>
      </c>
      <c r="G7027" t="s">
        <v>1182</v>
      </c>
      <c r="H7027" t="s">
        <v>39</v>
      </c>
      <c r="I7027" t="s">
        <v>40</v>
      </c>
      <c r="J7027" s="2" t="s">
        <v>8419</v>
      </c>
      <c r="K7027" t="s">
        <v>42</v>
      </c>
      <c r="L7027" t="s">
        <v>15532</v>
      </c>
      <c r="Q7027">
        <v>25526</v>
      </c>
      <c r="R7027" t="s">
        <v>45</v>
      </c>
      <c r="S7027" t="s">
        <v>42561</v>
      </c>
      <c r="T7027">
        <v>26</v>
      </c>
      <c r="U7027" s="2" t="s">
        <v>9827</v>
      </c>
      <c r="V7027" s="1">
        <v>45131</v>
      </c>
      <c r="W7027" t="s">
        <v>597</v>
      </c>
      <c r="X7027">
        <v>804271</v>
      </c>
      <c r="Y7027" s="2" t="s">
        <v>42562</v>
      </c>
      <c r="Z7027" s="2" t="s">
        <v>42563</v>
      </c>
      <c r="AA7027" s="2" t="s">
        <v>42564</v>
      </c>
      <c r="AB7027" t="s">
        <v>181</v>
      </c>
      <c r="AD7027" t="s">
        <v>42565</v>
      </c>
      <c r="AE7027" t="s">
        <v>42566</v>
      </c>
      <c r="AG7027" t="s">
        <v>42567</v>
      </c>
      <c r="AH7027" t="s">
        <v>42568</v>
      </c>
      <c r="AI7027" t="s">
        <v>42569</v>
      </c>
    </row>
    <row r="7028" spans="2:35" ht="180">
      <c r="B7028" s="1">
        <v>45148</v>
      </c>
      <c r="C7028" s="4">
        <v>45148.675694444442</v>
      </c>
      <c r="D7028" t="s">
        <v>7547</v>
      </c>
      <c r="E7028" t="s">
        <v>42570</v>
      </c>
      <c r="F7028" t="s">
        <v>1181</v>
      </c>
      <c r="G7028" t="s">
        <v>3753</v>
      </c>
      <c r="H7028" t="s">
        <v>39</v>
      </c>
      <c r="I7028" t="s">
        <v>40</v>
      </c>
      <c r="J7028" s="2" t="s">
        <v>41</v>
      </c>
      <c r="K7028" t="s">
        <v>42</v>
      </c>
      <c r="L7028" t="s">
        <v>1943</v>
      </c>
      <c r="Q7028">
        <v>25525</v>
      </c>
      <c r="R7028" t="s">
        <v>119</v>
      </c>
      <c r="S7028" t="s">
        <v>42571</v>
      </c>
      <c r="T7028">
        <v>25</v>
      </c>
      <c r="U7028" s="2" t="s">
        <v>17437</v>
      </c>
      <c r="V7028" s="1">
        <v>45132</v>
      </c>
      <c r="W7028" t="s">
        <v>9792</v>
      </c>
      <c r="X7028">
        <v>838226</v>
      </c>
      <c r="Y7028" t="s">
        <v>42572</v>
      </c>
      <c r="Z7028" t="s">
        <v>7399</v>
      </c>
      <c r="AA7028" s="2" t="s">
        <v>42573</v>
      </c>
      <c r="AB7028" t="s">
        <v>181</v>
      </c>
      <c r="AD7028" s="2" t="s">
        <v>42574</v>
      </c>
      <c r="AE7028" t="s">
        <v>42575</v>
      </c>
      <c r="AG7028" t="s">
        <v>42576</v>
      </c>
      <c r="AH7028" t="s">
        <v>42577</v>
      </c>
      <c r="AI7028" t="s">
        <v>42578</v>
      </c>
    </row>
    <row r="7029" spans="2:35" ht="150">
      <c r="B7029" s="1">
        <v>45148</v>
      </c>
      <c r="C7029" s="4">
        <v>45148.65347222222</v>
      </c>
      <c r="D7029" t="s">
        <v>24124</v>
      </c>
      <c r="E7029" t="s">
        <v>42579</v>
      </c>
      <c r="F7029">
        <v>7</v>
      </c>
      <c r="G7029" t="s">
        <v>432</v>
      </c>
      <c r="H7029" t="s">
        <v>2290</v>
      </c>
      <c r="I7029" t="s">
        <v>94</v>
      </c>
      <c r="J7029" t="s">
        <v>109</v>
      </c>
      <c r="K7029" t="s">
        <v>42</v>
      </c>
      <c r="L7029" t="s">
        <v>610</v>
      </c>
      <c r="Q7029">
        <v>25524</v>
      </c>
      <c r="R7029" t="s">
        <v>45</v>
      </c>
      <c r="S7029" t="s">
        <v>42580</v>
      </c>
      <c r="T7029">
        <v>38</v>
      </c>
      <c r="U7029" s="2" t="s">
        <v>13894</v>
      </c>
      <c r="W7029" t="s">
        <v>502</v>
      </c>
      <c r="X7029">
        <v>807588</v>
      </c>
      <c r="Y7029" t="s">
        <v>42581</v>
      </c>
      <c r="Z7029" t="s">
        <v>42582</v>
      </c>
      <c r="AA7029" t="s">
        <v>42583</v>
      </c>
      <c r="AB7029" s="2" t="s">
        <v>42584</v>
      </c>
      <c r="AG7029" t="s">
        <v>42585</v>
      </c>
      <c r="AH7029" t="s">
        <v>24129</v>
      </c>
      <c r="AI7029" t="s">
        <v>42586</v>
      </c>
    </row>
    <row r="7030" spans="2:35" ht="375">
      <c r="B7030" s="1">
        <v>45148</v>
      </c>
      <c r="C7030" s="4">
        <v>45148.620138888888</v>
      </c>
      <c r="D7030" t="s">
        <v>15507</v>
      </c>
      <c r="E7030" t="s">
        <v>42587</v>
      </c>
      <c r="F7030">
        <v>9</v>
      </c>
      <c r="G7030" t="s">
        <v>2197</v>
      </c>
      <c r="H7030" t="s">
        <v>39</v>
      </c>
      <c r="I7030" t="s">
        <v>40</v>
      </c>
      <c r="J7030" s="2" t="s">
        <v>17375</v>
      </c>
      <c r="K7030" t="s">
        <v>42</v>
      </c>
      <c r="L7030" t="s">
        <v>1257</v>
      </c>
      <c r="Q7030">
        <v>25523</v>
      </c>
      <c r="R7030" t="s">
        <v>719</v>
      </c>
      <c r="S7030" t="s">
        <v>42491</v>
      </c>
      <c r="T7030">
        <v>29</v>
      </c>
      <c r="U7030" s="2" t="s">
        <v>42588</v>
      </c>
      <c r="V7030" s="1">
        <v>45148</v>
      </c>
      <c r="W7030" t="s">
        <v>2384</v>
      </c>
      <c r="X7030">
        <v>848250</v>
      </c>
      <c r="Y7030" t="s">
        <v>26149</v>
      </c>
      <c r="Z7030" t="s">
        <v>42589</v>
      </c>
      <c r="AA7030" t="s">
        <v>25079</v>
      </c>
      <c r="AB7030" t="s">
        <v>7411</v>
      </c>
      <c r="AC7030" t="s">
        <v>301</v>
      </c>
      <c r="AD7030" t="s">
        <v>54</v>
      </c>
      <c r="AE7030" t="s">
        <v>54</v>
      </c>
      <c r="AG7030" t="s">
        <v>42590</v>
      </c>
      <c r="AH7030" t="s">
        <v>42496</v>
      </c>
      <c r="AI7030" t="s">
        <v>42591</v>
      </c>
    </row>
    <row r="7031" spans="2:35" ht="255">
      <c r="B7031" s="1">
        <v>45148</v>
      </c>
      <c r="C7031" s="4">
        <v>45148.587500000001</v>
      </c>
      <c r="D7031" t="s">
        <v>7608</v>
      </c>
      <c r="E7031" t="s">
        <v>42592</v>
      </c>
      <c r="F7031" t="s">
        <v>1181</v>
      </c>
      <c r="G7031" t="s">
        <v>3753</v>
      </c>
      <c r="H7031" t="s">
        <v>39</v>
      </c>
      <c r="I7031" t="s">
        <v>40</v>
      </c>
      <c r="J7031" s="2" t="s">
        <v>1592</v>
      </c>
      <c r="K7031" t="s">
        <v>42</v>
      </c>
      <c r="L7031" t="s">
        <v>1943</v>
      </c>
      <c r="Q7031">
        <v>25522</v>
      </c>
      <c r="R7031" t="s">
        <v>119</v>
      </c>
      <c r="S7031" t="s">
        <v>21141</v>
      </c>
      <c r="T7031">
        <v>25</v>
      </c>
      <c r="U7031" s="2" t="s">
        <v>22898</v>
      </c>
      <c r="V7031" s="1">
        <v>45132</v>
      </c>
      <c r="W7031" t="s">
        <v>9792</v>
      </c>
      <c r="X7031">
        <v>838230</v>
      </c>
      <c r="Y7031" t="s">
        <v>42593</v>
      </c>
      <c r="Z7031" s="2" t="s">
        <v>42594</v>
      </c>
      <c r="AA7031" s="2" t="s">
        <v>42595</v>
      </c>
      <c r="AB7031" t="s">
        <v>42596</v>
      </c>
      <c r="AC7031" t="s">
        <v>42597</v>
      </c>
      <c r="AD7031" s="2" t="s">
        <v>42598</v>
      </c>
      <c r="AE7031" t="s">
        <v>42599</v>
      </c>
      <c r="AG7031" t="s">
        <v>42600</v>
      </c>
      <c r="AH7031" t="s">
        <v>42601</v>
      </c>
      <c r="AI7031" t="s">
        <v>42602</v>
      </c>
    </row>
    <row r="7032" spans="2:35" ht="105">
      <c r="B7032" s="1">
        <v>45148</v>
      </c>
      <c r="C7032" s="4">
        <v>45148.581250000003</v>
      </c>
      <c r="D7032" t="s">
        <v>30177</v>
      </c>
      <c r="E7032" t="s">
        <v>42603</v>
      </c>
      <c r="F7032">
        <v>7</v>
      </c>
      <c r="G7032" t="s">
        <v>432</v>
      </c>
      <c r="H7032" t="s">
        <v>2290</v>
      </c>
      <c r="I7032" t="s">
        <v>94</v>
      </c>
      <c r="J7032" s="2" t="s">
        <v>760</v>
      </c>
      <c r="K7032" t="s">
        <v>42</v>
      </c>
      <c r="L7032" t="s">
        <v>610</v>
      </c>
      <c r="Q7032">
        <v>25521</v>
      </c>
      <c r="R7032" t="s">
        <v>322</v>
      </c>
      <c r="S7032" t="s">
        <v>37281</v>
      </c>
      <c r="T7032">
        <v>23</v>
      </c>
      <c r="U7032" s="2" t="s">
        <v>42604</v>
      </c>
      <c r="W7032" t="s">
        <v>502</v>
      </c>
      <c r="X7032">
        <v>838892</v>
      </c>
      <c r="Y7032" t="s">
        <v>15451</v>
      </c>
      <c r="Z7032" t="s">
        <v>42605</v>
      </c>
      <c r="AA7032" t="s">
        <v>42606</v>
      </c>
      <c r="AB7032" t="s">
        <v>42607</v>
      </c>
      <c r="AG7032" t="s">
        <v>42608</v>
      </c>
      <c r="AH7032" t="s">
        <v>42609</v>
      </c>
      <c r="AI7032" t="s">
        <v>42610</v>
      </c>
    </row>
    <row r="7033" spans="2:35" ht="105">
      <c r="B7033" s="1">
        <v>45148</v>
      </c>
      <c r="C7033" s="4">
        <v>45148.55</v>
      </c>
      <c r="D7033" t="s">
        <v>24550</v>
      </c>
      <c r="E7033" t="s">
        <v>42611</v>
      </c>
      <c r="F7033">
        <v>13</v>
      </c>
      <c r="G7033" t="s">
        <v>4484</v>
      </c>
      <c r="H7033" t="s">
        <v>2125</v>
      </c>
      <c r="I7033" t="s">
        <v>40</v>
      </c>
      <c r="J7033" t="s">
        <v>79</v>
      </c>
      <c r="K7033" t="s">
        <v>42</v>
      </c>
      <c r="L7033" t="s">
        <v>933</v>
      </c>
      <c r="Q7033">
        <v>25520</v>
      </c>
      <c r="R7033" t="s">
        <v>719</v>
      </c>
      <c r="S7033" t="s">
        <v>42612</v>
      </c>
      <c r="T7033">
        <v>27.87</v>
      </c>
      <c r="U7033" s="2" t="s">
        <v>35299</v>
      </c>
      <c r="W7033" t="s">
        <v>3662</v>
      </c>
      <c r="X7033">
        <v>847338</v>
      </c>
      <c r="Y7033" t="s">
        <v>42613</v>
      </c>
      <c r="Z7033" t="s">
        <v>301</v>
      </c>
      <c r="AA7033" t="s">
        <v>42614</v>
      </c>
      <c r="AB7033" t="s">
        <v>1263</v>
      </c>
      <c r="AG7033" t="s">
        <v>42615</v>
      </c>
      <c r="AH7033" t="s">
        <v>24557</v>
      </c>
      <c r="AI7033" t="s">
        <v>42616</v>
      </c>
    </row>
    <row r="7034" spans="2:35" ht="75">
      <c r="B7034" s="1">
        <v>45148</v>
      </c>
      <c r="C7034" s="4">
        <v>45148.538194444445</v>
      </c>
      <c r="D7034" t="s">
        <v>39507</v>
      </c>
      <c r="E7034" t="s">
        <v>39508</v>
      </c>
      <c r="F7034">
        <v>8</v>
      </c>
      <c r="G7034" t="s">
        <v>1789</v>
      </c>
      <c r="H7034" t="s">
        <v>1498</v>
      </c>
      <c r="I7034" t="s">
        <v>94</v>
      </c>
      <c r="J7034" s="2" t="s">
        <v>14104</v>
      </c>
      <c r="K7034" t="s">
        <v>42</v>
      </c>
      <c r="L7034" t="s">
        <v>343</v>
      </c>
      <c r="Q7034">
        <v>25519</v>
      </c>
      <c r="R7034" t="s">
        <v>45</v>
      </c>
      <c r="S7034" t="s">
        <v>42617</v>
      </c>
      <c r="T7034">
        <v>25</v>
      </c>
      <c r="V7034" s="1">
        <v>45148</v>
      </c>
      <c r="W7034" t="s">
        <v>5771</v>
      </c>
      <c r="X7034">
        <v>835196</v>
      </c>
      <c r="Y7034" t="s">
        <v>2789</v>
      </c>
      <c r="Z7034" t="e">
        <f ca="1">-Install new CPU with SN: CPH0622F37221</f>
        <v>#NAME?</v>
      </c>
      <c r="AA7034" t="e">
        <f ca="1">-Installation of new CPU
-Setup GeneXpert softwares
-Setup printer</f>
        <v>#NAME?</v>
      </c>
      <c r="AB7034" t="s">
        <v>9638</v>
      </c>
      <c r="AD7034" t="s">
        <v>42618</v>
      </c>
      <c r="AE7034" t="s">
        <v>45</v>
      </c>
      <c r="AG7034" t="s">
        <v>42619</v>
      </c>
      <c r="AH7034" t="s">
        <v>42620</v>
      </c>
      <c r="AI7034" t="s">
        <v>42621</v>
      </c>
    </row>
    <row r="7035" spans="2:35" ht="300">
      <c r="B7035" s="1">
        <v>45148</v>
      </c>
      <c r="C7035" s="4">
        <v>45148.504861111112</v>
      </c>
      <c r="D7035" t="s">
        <v>825</v>
      </c>
      <c r="E7035" t="s">
        <v>42622</v>
      </c>
      <c r="F7035">
        <v>5</v>
      </c>
      <c r="G7035" t="s">
        <v>827</v>
      </c>
      <c r="H7035" t="s">
        <v>16689</v>
      </c>
      <c r="I7035" t="s">
        <v>40</v>
      </c>
      <c r="J7035" s="2" t="s">
        <v>1309</v>
      </c>
      <c r="K7035" t="s">
        <v>42</v>
      </c>
      <c r="L7035" t="s">
        <v>761</v>
      </c>
      <c r="Q7035">
        <v>25518</v>
      </c>
      <c r="R7035" t="s">
        <v>45</v>
      </c>
      <c r="S7035" t="s">
        <v>42623</v>
      </c>
      <c r="T7035">
        <v>27</v>
      </c>
      <c r="U7035" s="2" t="s">
        <v>38410</v>
      </c>
      <c r="W7035" t="s">
        <v>360</v>
      </c>
      <c r="X7035">
        <v>835199</v>
      </c>
      <c r="Y7035" t="s">
        <v>42624</v>
      </c>
      <c r="Z7035" s="2" t="s">
        <v>42625</v>
      </c>
      <c r="AA7035" s="2" t="s">
        <v>42626</v>
      </c>
      <c r="AB7035" s="2" t="s">
        <v>42627</v>
      </c>
      <c r="AG7035" t="s">
        <v>42628</v>
      </c>
      <c r="AH7035" t="s">
        <v>835</v>
      </c>
      <c r="AI7035" t="s">
        <v>42629</v>
      </c>
    </row>
    <row r="7036" spans="2:35" ht="240">
      <c r="B7036" s="1">
        <v>45148</v>
      </c>
      <c r="C7036" s="4">
        <v>45148.452777777777</v>
      </c>
      <c r="D7036" t="s">
        <v>42630</v>
      </c>
      <c r="E7036" t="s">
        <v>42631</v>
      </c>
      <c r="F7036">
        <v>2</v>
      </c>
      <c r="G7036" t="s">
        <v>2668</v>
      </c>
      <c r="H7036" t="s">
        <v>39</v>
      </c>
      <c r="I7036" t="s">
        <v>40</v>
      </c>
      <c r="J7036" s="2" t="s">
        <v>41</v>
      </c>
      <c r="K7036" t="s">
        <v>42</v>
      </c>
      <c r="L7036" t="s">
        <v>63</v>
      </c>
      <c r="Q7036">
        <v>25517</v>
      </c>
      <c r="R7036" t="s">
        <v>45</v>
      </c>
      <c r="S7036" t="s">
        <v>42632</v>
      </c>
      <c r="T7036">
        <v>28</v>
      </c>
      <c r="U7036" s="2" t="s">
        <v>18812</v>
      </c>
      <c r="V7036" s="1">
        <v>45148</v>
      </c>
      <c r="W7036" t="s">
        <v>26915</v>
      </c>
      <c r="X7036">
        <v>812789</v>
      </c>
      <c r="Y7036" t="s">
        <v>1716</v>
      </c>
      <c r="Z7036" t="s">
        <v>1716</v>
      </c>
      <c r="AA7036" s="2" t="s">
        <v>39935</v>
      </c>
      <c r="AB7036" t="s">
        <v>70</v>
      </c>
      <c r="AC7036" t="s">
        <v>42633</v>
      </c>
      <c r="AD7036" t="s">
        <v>42634</v>
      </c>
      <c r="AE7036" t="s">
        <v>1716</v>
      </c>
      <c r="AG7036" t="s">
        <v>42635</v>
      </c>
      <c r="AH7036" t="s">
        <v>42636</v>
      </c>
      <c r="AI7036" t="s">
        <v>42637</v>
      </c>
    </row>
    <row r="7037" spans="2:35" ht="240">
      <c r="B7037" s="1">
        <v>45148</v>
      </c>
      <c r="C7037" s="4">
        <v>45148.452777777777</v>
      </c>
      <c r="D7037" t="s">
        <v>42630</v>
      </c>
      <c r="E7037" t="s">
        <v>42631</v>
      </c>
      <c r="F7037">
        <v>2</v>
      </c>
      <c r="G7037" t="s">
        <v>2668</v>
      </c>
      <c r="H7037" t="s">
        <v>39</v>
      </c>
      <c r="I7037" t="s">
        <v>40</v>
      </c>
      <c r="J7037" s="2" t="s">
        <v>41</v>
      </c>
      <c r="K7037" t="s">
        <v>42</v>
      </c>
      <c r="L7037" t="s">
        <v>63</v>
      </c>
      <c r="Q7037">
        <v>25516</v>
      </c>
      <c r="R7037" t="s">
        <v>45</v>
      </c>
      <c r="S7037" t="s">
        <v>42632</v>
      </c>
      <c r="T7037">
        <v>28</v>
      </c>
      <c r="U7037" s="2" t="s">
        <v>18812</v>
      </c>
      <c r="V7037" s="1">
        <v>45148</v>
      </c>
      <c r="W7037" t="s">
        <v>26915</v>
      </c>
      <c r="X7037">
        <v>812789</v>
      </c>
      <c r="Y7037" t="s">
        <v>1716</v>
      </c>
      <c r="Z7037" t="s">
        <v>1716</v>
      </c>
      <c r="AA7037" s="2" t="s">
        <v>39935</v>
      </c>
      <c r="AB7037" t="s">
        <v>70</v>
      </c>
      <c r="AC7037" t="s">
        <v>42633</v>
      </c>
      <c r="AD7037" t="s">
        <v>42634</v>
      </c>
      <c r="AE7037" t="s">
        <v>1716</v>
      </c>
      <c r="AG7037" t="s">
        <v>42638</v>
      </c>
      <c r="AH7037" t="s">
        <v>42636</v>
      </c>
      <c r="AI7037" t="s">
        <v>42639</v>
      </c>
    </row>
    <row r="7038" spans="2:35" ht="105">
      <c r="B7038" s="1">
        <v>45148</v>
      </c>
      <c r="C7038" s="4">
        <v>45148.43472222222</v>
      </c>
      <c r="D7038" t="s">
        <v>8654</v>
      </c>
      <c r="E7038" t="s">
        <v>8655</v>
      </c>
      <c r="F7038">
        <v>8</v>
      </c>
      <c r="G7038" t="s">
        <v>257</v>
      </c>
      <c r="H7038" t="s">
        <v>12698</v>
      </c>
      <c r="I7038" t="s">
        <v>40</v>
      </c>
      <c r="J7038" t="s">
        <v>109</v>
      </c>
      <c r="K7038" t="s">
        <v>42</v>
      </c>
      <c r="L7038" t="s">
        <v>259</v>
      </c>
      <c r="Q7038">
        <v>25515</v>
      </c>
      <c r="R7038" t="s">
        <v>119</v>
      </c>
      <c r="S7038" t="s">
        <v>42640</v>
      </c>
      <c r="T7038">
        <v>28</v>
      </c>
      <c r="U7038" s="2" t="s">
        <v>34775</v>
      </c>
      <c r="W7038" t="s">
        <v>84</v>
      </c>
      <c r="X7038">
        <v>838409</v>
      </c>
      <c r="Y7038" t="s">
        <v>1716</v>
      </c>
      <c r="Z7038" t="s">
        <v>1716</v>
      </c>
      <c r="AA7038" t="e">
        <f ca="1">-Preventive Maintenance
- ARCHIVE test results
- Generate reports</f>
        <v>#NAME?</v>
      </c>
      <c r="AB7038" t="s">
        <v>70</v>
      </c>
      <c r="AG7038" t="s">
        <v>42641</v>
      </c>
      <c r="AH7038" t="s">
        <v>14223</v>
      </c>
      <c r="AI7038" t="s">
        <v>42642</v>
      </c>
    </row>
    <row r="7039" spans="2:35" ht="135">
      <c r="B7039" s="1">
        <v>45148</v>
      </c>
      <c r="C7039" s="4">
        <v>45148.42291666667</v>
      </c>
      <c r="D7039" t="s">
        <v>22431</v>
      </c>
      <c r="E7039" t="s">
        <v>22432</v>
      </c>
      <c r="F7039">
        <v>3</v>
      </c>
      <c r="G7039" t="s">
        <v>730</v>
      </c>
      <c r="H7039" t="s">
        <v>39</v>
      </c>
      <c r="I7039" t="s">
        <v>40</v>
      </c>
      <c r="J7039" t="s">
        <v>42643</v>
      </c>
      <c r="K7039" t="s">
        <v>42</v>
      </c>
      <c r="L7039" t="s">
        <v>135</v>
      </c>
      <c r="Q7039">
        <v>25514</v>
      </c>
      <c r="R7039" t="s">
        <v>119</v>
      </c>
      <c r="S7039" t="s">
        <v>22433</v>
      </c>
      <c r="T7039">
        <v>25</v>
      </c>
      <c r="U7039" s="2" t="s">
        <v>1509</v>
      </c>
      <c r="W7039" t="s">
        <v>2680</v>
      </c>
      <c r="X7039">
        <v>831917</v>
      </c>
      <c r="Y7039" s="2" t="s">
        <v>42644</v>
      </c>
      <c r="Z7039" t="s">
        <v>4487</v>
      </c>
      <c r="AA7039" s="2" t="s">
        <v>42645</v>
      </c>
      <c r="AB7039" t="s">
        <v>42646</v>
      </c>
      <c r="AG7039" t="s">
        <v>42647</v>
      </c>
      <c r="AH7039" t="s">
        <v>24873</v>
      </c>
      <c r="AI7039" t="s">
        <v>42648</v>
      </c>
    </row>
    <row r="7040" spans="2:35" ht="135">
      <c r="B7040" s="1">
        <v>45148</v>
      </c>
      <c r="C7040" s="4">
        <v>45148.42291666667</v>
      </c>
      <c r="D7040" t="s">
        <v>22431</v>
      </c>
      <c r="E7040" t="s">
        <v>22432</v>
      </c>
      <c r="F7040">
        <v>3</v>
      </c>
      <c r="G7040" t="s">
        <v>730</v>
      </c>
      <c r="H7040" t="s">
        <v>39</v>
      </c>
      <c r="I7040" t="s">
        <v>40</v>
      </c>
      <c r="J7040" t="s">
        <v>42643</v>
      </c>
      <c r="K7040" t="s">
        <v>42</v>
      </c>
      <c r="L7040" t="s">
        <v>135</v>
      </c>
      <c r="Q7040">
        <v>25513</v>
      </c>
      <c r="R7040" t="s">
        <v>119</v>
      </c>
      <c r="S7040" t="s">
        <v>22433</v>
      </c>
      <c r="T7040">
        <v>25</v>
      </c>
      <c r="U7040" s="2" t="s">
        <v>1509</v>
      </c>
      <c r="W7040" t="s">
        <v>2680</v>
      </c>
      <c r="X7040">
        <v>831917</v>
      </c>
      <c r="Y7040" s="2" t="s">
        <v>42644</v>
      </c>
      <c r="Z7040" t="s">
        <v>4487</v>
      </c>
      <c r="AA7040" s="2" t="s">
        <v>42645</v>
      </c>
      <c r="AB7040" t="s">
        <v>42646</v>
      </c>
      <c r="AG7040" t="s">
        <v>42649</v>
      </c>
      <c r="AH7040" t="s">
        <v>24873</v>
      </c>
      <c r="AI7040" t="s">
        <v>42650</v>
      </c>
    </row>
    <row r="7041" spans="2:35" ht="60">
      <c r="B7041" s="1">
        <v>45148</v>
      </c>
      <c r="C7041" s="4">
        <v>45148.388194444444</v>
      </c>
      <c r="D7041" t="s">
        <v>4149</v>
      </c>
      <c r="E7041" t="s">
        <v>4150</v>
      </c>
      <c r="F7041">
        <v>7</v>
      </c>
      <c r="G7041" t="s">
        <v>432</v>
      </c>
      <c r="H7041" t="s">
        <v>39</v>
      </c>
      <c r="I7041" t="s">
        <v>40</v>
      </c>
      <c r="J7041" s="2" t="s">
        <v>1808</v>
      </c>
      <c r="K7041" t="s">
        <v>42</v>
      </c>
      <c r="L7041" t="s">
        <v>433</v>
      </c>
      <c r="Q7041">
        <v>25512</v>
      </c>
      <c r="R7041" t="s">
        <v>45</v>
      </c>
      <c r="S7041" t="s">
        <v>4152</v>
      </c>
      <c r="T7041">
        <v>28</v>
      </c>
      <c r="W7041" t="s">
        <v>1008</v>
      </c>
      <c r="X7041">
        <v>808286</v>
      </c>
      <c r="Y7041" t="s">
        <v>42651</v>
      </c>
      <c r="Z7041" t="s">
        <v>42652</v>
      </c>
      <c r="AA7041" t="s">
        <v>42653</v>
      </c>
      <c r="AB7041" t="s">
        <v>1011</v>
      </c>
      <c r="AG7041" t="s">
        <v>42654</v>
      </c>
      <c r="AH7041" t="s">
        <v>24680</v>
      </c>
      <c r="AI7041" t="s">
        <v>42655</v>
      </c>
    </row>
    <row r="7042" spans="2:35" ht="180">
      <c r="B7042" s="1">
        <v>45148</v>
      </c>
      <c r="C7042" s="4">
        <v>45148.361805555556</v>
      </c>
      <c r="D7042" t="s">
        <v>31886</v>
      </c>
      <c r="E7042" t="s">
        <v>42656</v>
      </c>
      <c r="F7042" t="s">
        <v>1181</v>
      </c>
      <c r="G7042" t="s">
        <v>7148</v>
      </c>
      <c r="H7042" t="s">
        <v>39</v>
      </c>
      <c r="I7042" t="s">
        <v>40</v>
      </c>
      <c r="J7042" s="2" t="s">
        <v>41</v>
      </c>
      <c r="K7042" t="s">
        <v>42</v>
      </c>
      <c r="L7042" t="s">
        <v>43</v>
      </c>
      <c r="Q7042">
        <v>25510</v>
      </c>
      <c r="R7042" t="s">
        <v>45</v>
      </c>
      <c r="S7042" t="s">
        <v>42657</v>
      </c>
      <c r="T7042">
        <v>24</v>
      </c>
      <c r="U7042" s="2" t="s">
        <v>42658</v>
      </c>
      <c r="V7042" s="1">
        <v>45148</v>
      </c>
      <c r="W7042" t="s">
        <v>9792</v>
      </c>
      <c r="X7042">
        <v>812791</v>
      </c>
      <c r="Y7042" t="s">
        <v>2034</v>
      </c>
      <c r="Z7042" t="s">
        <v>712</v>
      </c>
      <c r="AA7042" s="2" t="s">
        <v>40689</v>
      </c>
      <c r="AB7042" t="s">
        <v>16412</v>
      </c>
      <c r="AD7042" s="2" t="s">
        <v>42659</v>
      </c>
      <c r="AE7042" t="s">
        <v>54</v>
      </c>
      <c r="AG7042" t="s">
        <v>42660</v>
      </c>
      <c r="AH7042" t="s">
        <v>42661</v>
      </c>
      <c r="AI7042" t="s">
        <v>42662</v>
      </c>
    </row>
    <row r="7043" spans="2:35" ht="180">
      <c r="B7043" s="1">
        <v>45148</v>
      </c>
      <c r="C7043" s="4">
        <v>45148.361805555556</v>
      </c>
      <c r="D7043" t="s">
        <v>31886</v>
      </c>
      <c r="E7043" t="s">
        <v>42656</v>
      </c>
      <c r="F7043" t="s">
        <v>1181</v>
      </c>
      <c r="G7043" t="s">
        <v>7148</v>
      </c>
      <c r="H7043" t="s">
        <v>39</v>
      </c>
      <c r="I7043" t="s">
        <v>40</v>
      </c>
      <c r="J7043" s="2" t="s">
        <v>41</v>
      </c>
      <c r="K7043" t="s">
        <v>42</v>
      </c>
      <c r="L7043" t="s">
        <v>43</v>
      </c>
      <c r="Q7043">
        <v>25511</v>
      </c>
      <c r="R7043" t="s">
        <v>45</v>
      </c>
      <c r="S7043" t="s">
        <v>42657</v>
      </c>
      <c r="T7043">
        <v>24</v>
      </c>
      <c r="U7043" s="2" t="s">
        <v>42658</v>
      </c>
      <c r="V7043" s="1">
        <v>45148</v>
      </c>
      <c r="W7043" t="s">
        <v>9792</v>
      </c>
      <c r="X7043">
        <v>812791</v>
      </c>
      <c r="Y7043" t="s">
        <v>2034</v>
      </c>
      <c r="Z7043" t="s">
        <v>712</v>
      </c>
      <c r="AA7043" s="2" t="s">
        <v>40689</v>
      </c>
      <c r="AB7043" t="s">
        <v>16412</v>
      </c>
      <c r="AD7043" s="2" t="s">
        <v>42659</v>
      </c>
      <c r="AE7043" t="s">
        <v>54</v>
      </c>
      <c r="AG7043" t="s">
        <v>42663</v>
      </c>
      <c r="AH7043" t="s">
        <v>42661</v>
      </c>
      <c r="AI7043" t="s">
        <v>42664</v>
      </c>
    </row>
    <row r="7044" spans="2:35" ht="105">
      <c r="B7044" s="1">
        <v>45147</v>
      </c>
      <c r="C7044" s="4">
        <v>45147.451388888891</v>
      </c>
      <c r="D7044" t="s">
        <v>3470</v>
      </c>
      <c r="E7044" t="s">
        <v>42665</v>
      </c>
      <c r="F7044">
        <v>12</v>
      </c>
      <c r="G7044" t="s">
        <v>294</v>
      </c>
      <c r="H7044" t="s">
        <v>39</v>
      </c>
      <c r="I7044" t="s">
        <v>94</v>
      </c>
      <c r="J7044" t="s">
        <v>109</v>
      </c>
      <c r="K7044" t="s">
        <v>42</v>
      </c>
      <c r="L7044" t="s">
        <v>296</v>
      </c>
      <c r="Q7044">
        <v>25509</v>
      </c>
      <c r="R7044" t="s">
        <v>45</v>
      </c>
      <c r="S7044" t="s">
        <v>3472</v>
      </c>
      <c r="T7044">
        <v>24.3</v>
      </c>
      <c r="U7044" s="2" t="s">
        <v>1236</v>
      </c>
      <c r="W7044" t="s">
        <v>23049</v>
      </c>
      <c r="X7044">
        <v>838159</v>
      </c>
      <c r="Y7044" t="s">
        <v>54</v>
      </c>
      <c r="Z7044" t="s">
        <v>9161</v>
      </c>
      <c r="AA7044" t="s">
        <v>9161</v>
      </c>
      <c r="AB7044" t="s">
        <v>972</v>
      </c>
      <c r="AG7044" t="s">
        <v>42666</v>
      </c>
      <c r="AH7044" t="s">
        <v>42667</v>
      </c>
      <c r="AI7044" t="s">
        <v>42668</v>
      </c>
    </row>
    <row r="7045" spans="2:35" ht="300">
      <c r="B7045" s="1">
        <v>45147</v>
      </c>
      <c r="C7045" s="4">
        <v>45147.898611111108</v>
      </c>
      <c r="D7045" t="s">
        <v>4471</v>
      </c>
      <c r="E7045" t="s">
        <v>42669</v>
      </c>
      <c r="F7045">
        <v>5</v>
      </c>
      <c r="G7045" t="s">
        <v>827</v>
      </c>
      <c r="H7045" t="s">
        <v>16689</v>
      </c>
      <c r="I7045" t="s">
        <v>40</v>
      </c>
      <c r="J7045" s="2" t="s">
        <v>62</v>
      </c>
      <c r="K7045" t="s">
        <v>42</v>
      </c>
      <c r="L7045" t="s">
        <v>761</v>
      </c>
      <c r="Q7045">
        <v>25508</v>
      </c>
      <c r="R7045" t="s">
        <v>45</v>
      </c>
      <c r="S7045" t="s">
        <v>10691</v>
      </c>
      <c r="T7045">
        <v>28</v>
      </c>
      <c r="U7045" s="2" t="s">
        <v>42670</v>
      </c>
      <c r="W7045" t="s">
        <v>360</v>
      </c>
      <c r="X7045">
        <v>808633</v>
      </c>
      <c r="Y7045" t="s">
        <v>32572</v>
      </c>
      <c r="Z7045" s="2" t="s">
        <v>42671</v>
      </c>
      <c r="AA7045" s="2" t="s">
        <v>42672</v>
      </c>
      <c r="AB7045" s="2" t="s">
        <v>42673</v>
      </c>
      <c r="AG7045" t="s">
        <v>42674</v>
      </c>
      <c r="AH7045" t="s">
        <v>10694</v>
      </c>
      <c r="AI7045" t="s">
        <v>42675</v>
      </c>
    </row>
    <row r="7046" spans="2:35" ht="330">
      <c r="B7046" s="1">
        <v>45147</v>
      </c>
      <c r="C7046" s="4">
        <v>45133.508333333331</v>
      </c>
      <c r="D7046" t="s">
        <v>30463</v>
      </c>
      <c r="E7046" t="s">
        <v>42676</v>
      </c>
      <c r="F7046">
        <v>5</v>
      </c>
      <c r="G7046" t="s">
        <v>827</v>
      </c>
      <c r="H7046" t="s">
        <v>16689</v>
      </c>
      <c r="I7046" t="s">
        <v>40</v>
      </c>
      <c r="J7046" s="2" t="s">
        <v>1309</v>
      </c>
      <c r="K7046" t="s">
        <v>42</v>
      </c>
      <c r="L7046" t="s">
        <v>761</v>
      </c>
      <c r="Q7046">
        <v>25507</v>
      </c>
      <c r="R7046" t="s">
        <v>45</v>
      </c>
      <c r="S7046" t="s">
        <v>30465</v>
      </c>
      <c r="T7046">
        <v>27</v>
      </c>
      <c r="U7046" s="2" t="s">
        <v>42677</v>
      </c>
      <c r="W7046" t="s">
        <v>360</v>
      </c>
      <c r="X7046">
        <v>838164</v>
      </c>
      <c r="Y7046" t="s">
        <v>42678</v>
      </c>
      <c r="Z7046" s="2" t="s">
        <v>42679</v>
      </c>
      <c r="AA7046" s="2" t="s">
        <v>42680</v>
      </c>
      <c r="AB7046" t="s">
        <v>181</v>
      </c>
      <c r="AG7046" t="s">
        <v>42681</v>
      </c>
      <c r="AH7046" t="s">
        <v>42682</v>
      </c>
      <c r="AI7046" t="s">
        <v>42683</v>
      </c>
    </row>
    <row r="7047" spans="2:35" ht="105">
      <c r="B7047" s="1">
        <v>45147</v>
      </c>
      <c r="C7047" s="4">
        <v>45147.711805555555</v>
      </c>
      <c r="D7047" t="s">
        <v>42684</v>
      </c>
      <c r="E7047" t="s">
        <v>42685</v>
      </c>
      <c r="F7047">
        <v>7</v>
      </c>
      <c r="G7047" t="s">
        <v>432</v>
      </c>
      <c r="H7047" t="s">
        <v>2290</v>
      </c>
      <c r="I7047" t="s">
        <v>94</v>
      </c>
      <c r="J7047" t="s">
        <v>996</v>
      </c>
      <c r="K7047" t="s">
        <v>42</v>
      </c>
      <c r="L7047" t="s">
        <v>610</v>
      </c>
      <c r="Q7047">
        <v>25506</v>
      </c>
      <c r="R7047" t="s">
        <v>119</v>
      </c>
      <c r="S7047" t="s">
        <v>6211</v>
      </c>
      <c r="T7047">
        <v>24</v>
      </c>
      <c r="U7047" s="2" t="s">
        <v>12439</v>
      </c>
      <c r="W7047" t="s">
        <v>502</v>
      </c>
      <c r="X7047">
        <v>838534</v>
      </c>
      <c r="Y7047" t="s">
        <v>67</v>
      </c>
      <c r="Z7047" t="s">
        <v>42686</v>
      </c>
      <c r="AA7047" t="s">
        <v>6930</v>
      </c>
      <c r="AB7047" t="s">
        <v>42687</v>
      </c>
      <c r="AG7047" t="s">
        <v>42688</v>
      </c>
      <c r="AH7047" t="s">
        <v>42689</v>
      </c>
      <c r="AI7047" t="s">
        <v>42690</v>
      </c>
    </row>
    <row r="7048" spans="2:35" ht="330">
      <c r="B7048" s="1">
        <v>45147</v>
      </c>
      <c r="C7048" s="4">
        <v>45147.644444444442</v>
      </c>
      <c r="D7048" t="s">
        <v>1652</v>
      </c>
      <c r="E7048" t="s">
        <v>1653</v>
      </c>
      <c r="F7048">
        <v>8</v>
      </c>
      <c r="G7048" t="s">
        <v>342</v>
      </c>
      <c r="H7048" t="s">
        <v>39</v>
      </c>
      <c r="I7048" t="s">
        <v>94</v>
      </c>
      <c r="J7048" s="2" t="s">
        <v>41</v>
      </c>
      <c r="K7048" t="s">
        <v>42</v>
      </c>
      <c r="L7048" t="s">
        <v>343</v>
      </c>
      <c r="Q7048">
        <v>25505</v>
      </c>
      <c r="R7048" t="s">
        <v>45</v>
      </c>
      <c r="S7048" t="s">
        <v>1654</v>
      </c>
      <c r="T7048">
        <v>27</v>
      </c>
      <c r="U7048" s="2" t="s">
        <v>42691</v>
      </c>
      <c r="V7048" s="1">
        <v>45147</v>
      </c>
      <c r="W7048" t="s">
        <v>6105</v>
      </c>
      <c r="X7048">
        <v>804253</v>
      </c>
      <c r="Y7048" t="s">
        <v>42692</v>
      </c>
      <c r="Z7048" s="2" t="s">
        <v>42693</v>
      </c>
      <c r="AA7048" t="e">
        <f ca="1">-module Replacement
-Preventive Maintenance</f>
        <v>#NAME?</v>
      </c>
      <c r="AB7048" t="s">
        <v>9638</v>
      </c>
      <c r="AD7048" t="s">
        <v>19700</v>
      </c>
      <c r="AE7048" t="s">
        <v>45</v>
      </c>
      <c r="AG7048" t="s">
        <v>42694</v>
      </c>
      <c r="AH7048" t="s">
        <v>42695</v>
      </c>
      <c r="AI7048" t="s">
        <v>42696</v>
      </c>
    </row>
    <row r="7049" spans="2:35" ht="60">
      <c r="B7049" s="1">
        <v>45147</v>
      </c>
      <c r="C7049" s="4">
        <v>45147.611111111109</v>
      </c>
      <c r="D7049" t="s">
        <v>1155</v>
      </c>
      <c r="E7049" t="s">
        <v>8331</v>
      </c>
      <c r="F7049" t="s">
        <v>148</v>
      </c>
      <c r="G7049" t="s">
        <v>230</v>
      </c>
      <c r="H7049" t="s">
        <v>39</v>
      </c>
      <c r="I7049" t="s">
        <v>40</v>
      </c>
      <c r="J7049" s="2" t="s">
        <v>760</v>
      </c>
      <c r="K7049" t="s">
        <v>42</v>
      </c>
      <c r="L7049" t="s">
        <v>175</v>
      </c>
      <c r="Q7049">
        <v>25504</v>
      </c>
      <c r="R7049" t="s">
        <v>45</v>
      </c>
      <c r="S7049" t="s">
        <v>1159</v>
      </c>
      <c r="T7049">
        <v>25</v>
      </c>
      <c r="W7049" t="s">
        <v>84</v>
      </c>
      <c r="X7049">
        <v>808649</v>
      </c>
      <c r="Y7049" t="s">
        <v>42697</v>
      </c>
      <c r="Z7049" t="e">
        <f ca="1">- replaced CMOS battery (Unable to replace. Laptop CMOS is modular _xludf.type)
- checked cartridge bay, plunger rod, _xludf.filter
- generated reports
- performed functionality test</f>
        <v>#NAME?</v>
      </c>
      <c r="AA7049" t="s">
        <v>1227</v>
      </c>
      <c r="AB7049" t="s">
        <v>88</v>
      </c>
      <c r="AG7049" t="s">
        <v>42698</v>
      </c>
      <c r="AH7049" t="s">
        <v>16488</v>
      </c>
      <c r="AI7049" t="s">
        <v>42699</v>
      </c>
    </row>
    <row r="7050" spans="2:35" ht="105">
      <c r="B7050" s="1">
        <v>45147</v>
      </c>
      <c r="C7050" s="4">
        <v>45147.652083333334</v>
      </c>
      <c r="D7050" t="s">
        <v>9682</v>
      </c>
      <c r="E7050" t="s">
        <v>9682</v>
      </c>
      <c r="F7050">
        <v>9</v>
      </c>
      <c r="G7050" t="s">
        <v>2197</v>
      </c>
      <c r="H7050" t="s">
        <v>39</v>
      </c>
      <c r="I7050" t="s">
        <v>40</v>
      </c>
      <c r="J7050" s="2" t="s">
        <v>31863</v>
      </c>
      <c r="K7050" t="s">
        <v>42</v>
      </c>
      <c r="L7050" t="s">
        <v>1257</v>
      </c>
      <c r="Q7050">
        <v>25503</v>
      </c>
      <c r="R7050" t="s">
        <v>119</v>
      </c>
      <c r="S7050" t="s">
        <v>13247</v>
      </c>
      <c r="T7050">
        <v>28</v>
      </c>
      <c r="U7050" s="2" t="s">
        <v>2367</v>
      </c>
      <c r="V7050" s="1">
        <v>45128</v>
      </c>
      <c r="W7050" t="s">
        <v>2384</v>
      </c>
      <c r="X7050">
        <v>838568</v>
      </c>
      <c r="Y7050" t="s">
        <v>26149</v>
      </c>
      <c r="Z7050" t="s">
        <v>42700</v>
      </c>
      <c r="AA7050" t="s">
        <v>42701</v>
      </c>
      <c r="AB7050" t="s">
        <v>7668</v>
      </c>
      <c r="AC7050" t="s">
        <v>301</v>
      </c>
      <c r="AD7050" t="s">
        <v>42702</v>
      </c>
      <c r="AE7050">
        <v>10225</v>
      </c>
      <c r="AG7050" t="s">
        <v>42703</v>
      </c>
      <c r="AH7050" t="s">
        <v>13254</v>
      </c>
      <c r="AI7050" t="s">
        <v>42704</v>
      </c>
    </row>
    <row r="7051" spans="2:35">
      <c r="B7051" s="1">
        <v>45147</v>
      </c>
      <c r="C7051" s="4">
        <v>45147.613194444442</v>
      </c>
      <c r="D7051" t="s">
        <v>2233</v>
      </c>
      <c r="E7051" t="s">
        <v>42705</v>
      </c>
      <c r="F7051">
        <v>7</v>
      </c>
      <c r="G7051" t="s">
        <v>432</v>
      </c>
      <c r="H7051" t="s">
        <v>39</v>
      </c>
      <c r="I7051" t="s">
        <v>94</v>
      </c>
      <c r="J7051" t="s">
        <v>996</v>
      </c>
      <c r="K7051" t="s">
        <v>42</v>
      </c>
      <c r="L7051" t="s">
        <v>594</v>
      </c>
      <c r="Q7051">
        <v>25502</v>
      </c>
      <c r="R7051" t="s">
        <v>119</v>
      </c>
      <c r="S7051" t="s">
        <v>2235</v>
      </c>
      <c r="T7051">
        <v>22</v>
      </c>
      <c r="V7051" s="1">
        <v>45147</v>
      </c>
      <c r="W7051" t="s">
        <v>502</v>
      </c>
      <c r="X7051">
        <v>838231</v>
      </c>
      <c r="Y7051" t="s">
        <v>1751</v>
      </c>
      <c r="Z7051" t="s">
        <v>41198</v>
      </c>
      <c r="AA7051" t="s">
        <v>42706</v>
      </c>
      <c r="AB7051" t="s">
        <v>42707</v>
      </c>
      <c r="AG7051" t="s">
        <v>42708</v>
      </c>
      <c r="AH7051" t="s">
        <v>2241</v>
      </c>
      <c r="AI7051" t="s">
        <v>42709</v>
      </c>
    </row>
    <row r="7052" spans="2:35">
      <c r="B7052" s="1">
        <v>45147</v>
      </c>
      <c r="C7052" s="4">
        <v>45147.60833333333</v>
      </c>
      <c r="D7052" t="s">
        <v>2233</v>
      </c>
      <c r="E7052" t="s">
        <v>42705</v>
      </c>
      <c r="F7052">
        <v>7</v>
      </c>
      <c r="G7052" t="s">
        <v>432</v>
      </c>
      <c r="H7052" t="s">
        <v>39</v>
      </c>
      <c r="I7052" t="s">
        <v>94</v>
      </c>
      <c r="J7052" t="s">
        <v>996</v>
      </c>
      <c r="K7052" t="s">
        <v>42</v>
      </c>
      <c r="L7052" t="s">
        <v>594</v>
      </c>
      <c r="Q7052">
        <v>25501</v>
      </c>
      <c r="R7052" t="s">
        <v>119</v>
      </c>
      <c r="S7052" t="s">
        <v>2235</v>
      </c>
      <c r="T7052">
        <v>22</v>
      </c>
      <c r="V7052" s="1">
        <v>45147</v>
      </c>
      <c r="W7052" t="s">
        <v>502</v>
      </c>
      <c r="X7052">
        <v>838564</v>
      </c>
      <c r="Y7052" t="s">
        <v>42710</v>
      </c>
      <c r="Z7052" t="s">
        <v>41198</v>
      </c>
      <c r="AA7052" t="s">
        <v>42711</v>
      </c>
      <c r="AB7052" t="s">
        <v>5470</v>
      </c>
      <c r="AG7052" t="s">
        <v>42712</v>
      </c>
      <c r="AH7052" t="s">
        <v>2241</v>
      </c>
      <c r="AI7052" t="s">
        <v>42713</v>
      </c>
    </row>
    <row r="7053" spans="2:35" ht="135">
      <c r="B7053" s="1">
        <v>45147</v>
      </c>
      <c r="C7053" s="4">
        <v>45147.591666666667</v>
      </c>
      <c r="D7053" t="s">
        <v>42714</v>
      </c>
      <c r="E7053" t="s">
        <v>42715</v>
      </c>
      <c r="F7053">
        <v>5</v>
      </c>
      <c r="G7053" t="s">
        <v>827</v>
      </c>
      <c r="H7053" t="s">
        <v>39</v>
      </c>
      <c r="I7053" t="s">
        <v>40</v>
      </c>
      <c r="J7053" t="s">
        <v>109</v>
      </c>
      <c r="K7053" t="s">
        <v>42</v>
      </c>
      <c r="L7053" t="s">
        <v>761</v>
      </c>
      <c r="Q7053">
        <v>25500</v>
      </c>
      <c r="R7053" t="s">
        <v>45</v>
      </c>
      <c r="S7053" t="s">
        <v>42716</v>
      </c>
      <c r="T7053">
        <v>30</v>
      </c>
      <c r="U7053" s="2" t="s">
        <v>10880</v>
      </c>
      <c r="W7053" t="s">
        <v>360</v>
      </c>
      <c r="X7053">
        <v>835198</v>
      </c>
      <c r="Y7053" t="s">
        <v>37766</v>
      </c>
      <c r="Z7053" s="2" t="s">
        <v>42717</v>
      </c>
      <c r="AA7053" t="s">
        <v>820</v>
      </c>
      <c r="AB7053" t="s">
        <v>181</v>
      </c>
      <c r="AG7053" t="s">
        <v>42718</v>
      </c>
      <c r="AH7053" t="s">
        <v>42719</v>
      </c>
      <c r="AI7053" t="s">
        <v>42720</v>
      </c>
    </row>
    <row r="7054" spans="2:35" ht="270">
      <c r="B7054" s="1">
        <v>45147</v>
      </c>
      <c r="C7054" s="4">
        <v>45147.575694444444</v>
      </c>
      <c r="D7054" t="s">
        <v>42721</v>
      </c>
      <c r="E7054" t="s">
        <v>30211</v>
      </c>
      <c r="F7054" t="s">
        <v>148</v>
      </c>
      <c r="G7054" t="s">
        <v>447</v>
      </c>
      <c r="H7054" t="s">
        <v>39</v>
      </c>
      <c r="I7054" t="s">
        <v>40</v>
      </c>
      <c r="J7054" s="2" t="s">
        <v>41</v>
      </c>
      <c r="K7054" t="s">
        <v>42</v>
      </c>
      <c r="L7054" t="s">
        <v>15532</v>
      </c>
      <c r="Q7054">
        <v>25499</v>
      </c>
      <c r="R7054" t="s">
        <v>322</v>
      </c>
      <c r="S7054" t="s">
        <v>14635</v>
      </c>
      <c r="T7054">
        <v>26</v>
      </c>
      <c r="U7054" s="2" t="s">
        <v>42722</v>
      </c>
      <c r="W7054" t="s">
        <v>423</v>
      </c>
      <c r="X7054">
        <v>110014099</v>
      </c>
      <c r="Y7054" t="s">
        <v>42723</v>
      </c>
      <c r="Z7054" s="2" t="s">
        <v>42724</v>
      </c>
      <c r="AA7054" t="s">
        <v>42725</v>
      </c>
      <c r="AB7054" t="s">
        <v>42726</v>
      </c>
      <c r="AG7054" t="s">
        <v>42727</v>
      </c>
      <c r="AH7054" t="s">
        <v>29555</v>
      </c>
      <c r="AI7054" t="s">
        <v>42728</v>
      </c>
    </row>
    <row r="7055" spans="2:35" ht="405">
      <c r="B7055" s="1">
        <v>45147</v>
      </c>
      <c r="C7055" s="4">
        <v>45147.538194444445</v>
      </c>
      <c r="D7055" t="s">
        <v>24738</v>
      </c>
      <c r="E7055" t="s">
        <v>42729</v>
      </c>
      <c r="F7055" t="s">
        <v>37</v>
      </c>
      <c r="G7055" t="s">
        <v>748</v>
      </c>
      <c r="H7055" t="s">
        <v>39</v>
      </c>
      <c r="I7055" t="s">
        <v>40</v>
      </c>
      <c r="J7055" s="2" t="s">
        <v>1899</v>
      </c>
      <c r="K7055" t="s">
        <v>42</v>
      </c>
      <c r="L7055" t="s">
        <v>1943</v>
      </c>
      <c r="Q7055">
        <v>25498</v>
      </c>
      <c r="R7055" t="s">
        <v>119</v>
      </c>
      <c r="S7055" t="s">
        <v>24740</v>
      </c>
      <c r="T7055">
        <v>25</v>
      </c>
      <c r="U7055" s="2" t="s">
        <v>42730</v>
      </c>
      <c r="W7055" t="s">
        <v>84</v>
      </c>
      <c r="X7055">
        <v>821227</v>
      </c>
      <c r="Y7055" t="s">
        <v>29130</v>
      </c>
      <c r="Z7055" s="2" t="s">
        <v>42731</v>
      </c>
      <c r="AA7055" t="s">
        <v>42732</v>
      </c>
      <c r="AB7055" t="s">
        <v>42733</v>
      </c>
      <c r="AG7055" t="s">
        <v>42734</v>
      </c>
      <c r="AH7055" t="s">
        <v>27998</v>
      </c>
      <c r="AI7055" t="s">
        <v>42735</v>
      </c>
    </row>
    <row r="7056" spans="2:35" ht="105">
      <c r="B7056" s="1">
        <v>45147</v>
      </c>
      <c r="C7056" s="4">
        <v>45147.505555555559</v>
      </c>
      <c r="D7056" t="s">
        <v>42736</v>
      </c>
      <c r="E7056" t="s">
        <v>15515</v>
      </c>
      <c r="F7056">
        <v>6</v>
      </c>
      <c r="G7056" t="s">
        <v>4457</v>
      </c>
      <c r="H7056" t="s">
        <v>34104</v>
      </c>
      <c r="I7056" t="s">
        <v>94</v>
      </c>
      <c r="J7056" t="s">
        <v>996</v>
      </c>
      <c r="K7056" t="s">
        <v>42</v>
      </c>
      <c r="L7056" t="s">
        <v>23958</v>
      </c>
      <c r="Q7056">
        <v>25497</v>
      </c>
      <c r="R7056" t="s">
        <v>119</v>
      </c>
      <c r="S7056" t="s">
        <v>42737</v>
      </c>
      <c r="T7056">
        <v>30</v>
      </c>
      <c r="U7056" s="2" t="s">
        <v>42738</v>
      </c>
      <c r="W7056" t="s">
        <v>360</v>
      </c>
      <c r="X7056">
        <v>838457</v>
      </c>
      <c r="Y7056" t="s">
        <v>301</v>
      </c>
      <c r="Z7056" t="s">
        <v>42739</v>
      </c>
      <c r="AA7056" t="s">
        <v>42740</v>
      </c>
      <c r="AB7056" t="s">
        <v>42687</v>
      </c>
      <c r="AG7056" t="s">
        <v>42741</v>
      </c>
      <c r="AH7056" t="s">
        <v>42742</v>
      </c>
      <c r="AI7056" t="s">
        <v>42743</v>
      </c>
    </row>
    <row r="7057" spans="2:35" ht="105">
      <c r="B7057" s="1">
        <v>45147</v>
      </c>
      <c r="C7057" s="4">
        <v>45147.505555555559</v>
      </c>
      <c r="D7057" t="s">
        <v>42736</v>
      </c>
      <c r="E7057" t="s">
        <v>15515</v>
      </c>
      <c r="F7057">
        <v>6</v>
      </c>
      <c r="G7057" t="s">
        <v>4457</v>
      </c>
      <c r="H7057" t="s">
        <v>34104</v>
      </c>
      <c r="I7057" t="s">
        <v>94</v>
      </c>
      <c r="J7057" t="s">
        <v>996</v>
      </c>
      <c r="K7057" t="s">
        <v>42</v>
      </c>
      <c r="L7057" t="s">
        <v>23958</v>
      </c>
      <c r="Q7057">
        <v>25496</v>
      </c>
      <c r="R7057" t="s">
        <v>119</v>
      </c>
      <c r="S7057" t="s">
        <v>42737</v>
      </c>
      <c r="T7057">
        <v>30</v>
      </c>
      <c r="U7057" s="2" t="s">
        <v>42738</v>
      </c>
      <c r="W7057" t="s">
        <v>360</v>
      </c>
      <c r="X7057">
        <v>838457</v>
      </c>
      <c r="Y7057" t="s">
        <v>301</v>
      </c>
      <c r="Z7057" t="s">
        <v>42739</v>
      </c>
      <c r="AA7057" t="s">
        <v>42740</v>
      </c>
      <c r="AB7057" t="s">
        <v>42687</v>
      </c>
      <c r="AG7057" t="s">
        <v>42744</v>
      </c>
      <c r="AH7057" t="s">
        <v>42742</v>
      </c>
      <c r="AI7057" t="s">
        <v>42745</v>
      </c>
    </row>
    <row r="7058" spans="2:35" ht="135">
      <c r="B7058" s="1">
        <v>45147</v>
      </c>
      <c r="C7058" s="4">
        <v>45147.505555555559</v>
      </c>
      <c r="D7058" t="s">
        <v>30463</v>
      </c>
      <c r="E7058" t="s">
        <v>42676</v>
      </c>
      <c r="F7058">
        <v>5</v>
      </c>
      <c r="G7058" t="s">
        <v>827</v>
      </c>
      <c r="H7058" t="s">
        <v>16689</v>
      </c>
      <c r="I7058" t="s">
        <v>40</v>
      </c>
      <c r="J7058" t="s">
        <v>109</v>
      </c>
      <c r="K7058" t="s">
        <v>42</v>
      </c>
      <c r="L7058" t="s">
        <v>761</v>
      </c>
      <c r="Q7058">
        <v>25495</v>
      </c>
      <c r="R7058" t="s">
        <v>45</v>
      </c>
      <c r="S7058" t="s">
        <v>30465</v>
      </c>
      <c r="T7058">
        <v>28</v>
      </c>
      <c r="U7058" s="2" t="s">
        <v>42746</v>
      </c>
      <c r="W7058" t="s">
        <v>360</v>
      </c>
      <c r="X7058">
        <v>812787</v>
      </c>
      <c r="Y7058" t="s">
        <v>1052</v>
      </c>
      <c r="Z7058" s="2" t="s">
        <v>42747</v>
      </c>
      <c r="AA7058" t="s">
        <v>820</v>
      </c>
      <c r="AB7058" t="s">
        <v>181</v>
      </c>
      <c r="AG7058" t="s">
        <v>42748</v>
      </c>
      <c r="AH7058" t="s">
        <v>42749</v>
      </c>
      <c r="AI7058" t="s">
        <v>42750</v>
      </c>
    </row>
    <row r="7059" spans="2:35" ht="180">
      <c r="B7059" s="1">
        <v>45147</v>
      </c>
      <c r="C7059" s="4">
        <v>45147.495138888888</v>
      </c>
      <c r="D7059" t="s">
        <v>14503</v>
      </c>
      <c r="E7059" t="s">
        <v>42751</v>
      </c>
      <c r="F7059">
        <v>13</v>
      </c>
      <c r="G7059" t="s">
        <v>4484</v>
      </c>
      <c r="H7059" t="s">
        <v>2125</v>
      </c>
      <c r="I7059" t="s">
        <v>40</v>
      </c>
      <c r="J7059" s="2" t="s">
        <v>41</v>
      </c>
      <c r="K7059" t="s">
        <v>42</v>
      </c>
      <c r="L7059" t="s">
        <v>933</v>
      </c>
      <c r="Q7059">
        <v>25494</v>
      </c>
      <c r="R7059" t="s">
        <v>119</v>
      </c>
      <c r="S7059" t="s">
        <v>14505</v>
      </c>
      <c r="T7059">
        <v>27.27</v>
      </c>
      <c r="U7059" s="2" t="s">
        <v>42752</v>
      </c>
      <c r="V7059" s="1">
        <v>45128</v>
      </c>
      <c r="W7059" t="s">
        <v>3662</v>
      </c>
      <c r="X7059">
        <v>838550</v>
      </c>
      <c r="Y7059" t="s">
        <v>301</v>
      </c>
      <c r="Z7059" t="s">
        <v>301</v>
      </c>
      <c r="AA7059" s="2" t="s">
        <v>42753</v>
      </c>
      <c r="AB7059" t="s">
        <v>1263</v>
      </c>
      <c r="AD7059" t="s">
        <v>37980</v>
      </c>
      <c r="AE7059">
        <v>10229</v>
      </c>
      <c r="AG7059" t="s">
        <v>42754</v>
      </c>
      <c r="AH7059" t="s">
        <v>20656</v>
      </c>
      <c r="AI7059" t="s">
        <v>42755</v>
      </c>
    </row>
    <row r="7060" spans="2:35">
      <c r="B7060" s="1">
        <v>45147</v>
      </c>
      <c r="C7060" s="4">
        <v>45147.470138888886</v>
      </c>
      <c r="D7060" t="s">
        <v>42756</v>
      </c>
      <c r="E7060" t="s">
        <v>42757</v>
      </c>
      <c r="F7060">
        <v>11</v>
      </c>
      <c r="G7060" t="s">
        <v>2836</v>
      </c>
      <c r="H7060" t="s">
        <v>202</v>
      </c>
      <c r="I7060" t="s">
        <v>40</v>
      </c>
      <c r="J7060" t="s">
        <v>996</v>
      </c>
      <c r="K7060" t="s">
        <v>42</v>
      </c>
      <c r="L7060" t="s">
        <v>204</v>
      </c>
      <c r="Q7060">
        <v>25493</v>
      </c>
      <c r="R7060" t="s">
        <v>45</v>
      </c>
      <c r="S7060" t="s">
        <v>42758</v>
      </c>
      <c r="T7060">
        <v>25.9</v>
      </c>
      <c r="W7060" t="s">
        <v>26281</v>
      </c>
      <c r="X7060">
        <v>835216</v>
      </c>
      <c r="Y7060" t="s">
        <v>6929</v>
      </c>
      <c r="Z7060" t="s">
        <v>42759</v>
      </c>
      <c r="AA7060" t="s">
        <v>40394</v>
      </c>
      <c r="AB7060" t="s">
        <v>15776</v>
      </c>
      <c r="AG7060" t="s">
        <v>42760</v>
      </c>
      <c r="AH7060" t="s">
        <v>42761</v>
      </c>
      <c r="AI7060" t="s">
        <v>42762</v>
      </c>
    </row>
    <row r="7061" spans="2:35" ht="375">
      <c r="B7061" s="1">
        <v>45147</v>
      </c>
      <c r="C7061" s="4">
        <v>45147.478472222225</v>
      </c>
      <c r="D7061" t="s">
        <v>24080</v>
      </c>
      <c r="E7061" t="s">
        <v>20796</v>
      </c>
      <c r="F7061">
        <v>2</v>
      </c>
      <c r="G7061" t="s">
        <v>2668</v>
      </c>
      <c r="H7061" t="s">
        <v>39</v>
      </c>
      <c r="I7061" t="s">
        <v>40</v>
      </c>
      <c r="J7061" s="2" t="s">
        <v>1157</v>
      </c>
      <c r="K7061" t="s">
        <v>42</v>
      </c>
      <c r="L7061" t="s">
        <v>63</v>
      </c>
      <c r="N7061" t="s">
        <v>64</v>
      </c>
      <c r="O7061" t="s">
        <v>24081</v>
      </c>
      <c r="Q7061">
        <v>25492</v>
      </c>
      <c r="R7061" t="s">
        <v>119</v>
      </c>
      <c r="S7061" t="s">
        <v>42763</v>
      </c>
      <c r="T7061">
        <v>28</v>
      </c>
      <c r="V7061" s="1">
        <v>44971</v>
      </c>
      <c r="W7061" t="s">
        <v>26915</v>
      </c>
      <c r="X7061">
        <v>838208</v>
      </c>
      <c r="Y7061" t="s">
        <v>42764</v>
      </c>
      <c r="Z7061" t="s">
        <v>42132</v>
      </c>
      <c r="AA7061" s="2" t="s">
        <v>42765</v>
      </c>
      <c r="AB7061" t="s">
        <v>70</v>
      </c>
      <c r="AC7061" t="s">
        <v>42766</v>
      </c>
      <c r="AD7061" t="s">
        <v>31742</v>
      </c>
      <c r="AE7061" t="s">
        <v>1716</v>
      </c>
      <c r="AG7061" t="s">
        <v>42767</v>
      </c>
      <c r="AH7061" t="s">
        <v>42768</v>
      </c>
      <c r="AI7061" t="s">
        <v>42769</v>
      </c>
    </row>
    <row r="7062" spans="2:35" ht="225">
      <c r="B7062" s="1">
        <v>45147</v>
      </c>
      <c r="C7062" s="4">
        <v>45147.478472222225</v>
      </c>
      <c r="D7062" t="s">
        <v>24080</v>
      </c>
      <c r="E7062" t="s">
        <v>20796</v>
      </c>
      <c r="F7062">
        <v>2</v>
      </c>
      <c r="G7062" t="s">
        <v>2668</v>
      </c>
      <c r="H7062" t="s">
        <v>39</v>
      </c>
      <c r="I7062" t="s">
        <v>40</v>
      </c>
      <c r="J7062" s="2" t="s">
        <v>1157</v>
      </c>
      <c r="K7062" t="s">
        <v>42</v>
      </c>
      <c r="L7062" t="s">
        <v>63</v>
      </c>
      <c r="Q7062">
        <v>25491</v>
      </c>
      <c r="R7062" t="s">
        <v>119</v>
      </c>
      <c r="S7062" t="s">
        <v>42763</v>
      </c>
      <c r="T7062">
        <v>28</v>
      </c>
      <c r="V7062" s="1">
        <v>44971</v>
      </c>
      <c r="W7062" t="s">
        <v>26915</v>
      </c>
      <c r="X7062">
        <v>838208</v>
      </c>
      <c r="Y7062" t="s">
        <v>42764</v>
      </c>
      <c r="Z7062" t="s">
        <v>42132</v>
      </c>
      <c r="AA7062" s="2" t="s">
        <v>38119</v>
      </c>
      <c r="AB7062" t="s">
        <v>70</v>
      </c>
      <c r="AC7062" t="s">
        <v>42770</v>
      </c>
      <c r="AD7062" t="s">
        <v>31742</v>
      </c>
      <c r="AE7062" t="s">
        <v>1716</v>
      </c>
      <c r="AG7062" t="s">
        <v>42771</v>
      </c>
      <c r="AH7062" t="s">
        <v>42768</v>
      </c>
      <c r="AI7062" t="s">
        <v>42772</v>
      </c>
    </row>
    <row r="7063" spans="2:35" ht="165">
      <c r="B7063" s="1">
        <v>45147</v>
      </c>
      <c r="C7063" s="4">
        <v>45147.479166666664</v>
      </c>
      <c r="D7063" t="s">
        <v>32402</v>
      </c>
      <c r="E7063" t="s">
        <v>42773</v>
      </c>
      <c r="F7063" t="s">
        <v>148</v>
      </c>
      <c r="G7063" t="s">
        <v>4786</v>
      </c>
      <c r="H7063" t="s">
        <v>39</v>
      </c>
      <c r="I7063" t="s">
        <v>40</v>
      </c>
      <c r="J7063" s="2" t="s">
        <v>41</v>
      </c>
      <c r="K7063" t="s">
        <v>42</v>
      </c>
      <c r="L7063" t="s">
        <v>1943</v>
      </c>
      <c r="Q7063">
        <v>25490</v>
      </c>
      <c r="R7063" t="s">
        <v>45</v>
      </c>
      <c r="S7063" t="s">
        <v>32404</v>
      </c>
      <c r="T7063">
        <v>25</v>
      </c>
      <c r="U7063" s="2" t="s">
        <v>9649</v>
      </c>
      <c r="V7063" s="1">
        <v>45145</v>
      </c>
      <c r="W7063" t="s">
        <v>84</v>
      </c>
      <c r="X7063">
        <v>838183</v>
      </c>
      <c r="Y7063" s="2" t="s">
        <v>33800</v>
      </c>
      <c r="Z7063" s="2" t="s">
        <v>42774</v>
      </c>
      <c r="AA7063" t="s">
        <v>22330</v>
      </c>
      <c r="AB7063" t="s">
        <v>88</v>
      </c>
      <c r="AD7063" t="s">
        <v>42775</v>
      </c>
      <c r="AE7063" t="s">
        <v>42776</v>
      </c>
      <c r="AG7063" t="s">
        <v>42777</v>
      </c>
      <c r="AH7063" t="s">
        <v>32410</v>
      </c>
      <c r="AI7063" t="s">
        <v>42778</v>
      </c>
    </row>
    <row r="7064" spans="2:35" ht="315">
      <c r="B7064" s="1">
        <v>45147</v>
      </c>
      <c r="C7064" s="4">
        <v>45147.47152777778</v>
      </c>
      <c r="D7064" t="s">
        <v>8067</v>
      </c>
      <c r="E7064" t="s">
        <v>42779</v>
      </c>
      <c r="F7064">
        <v>8</v>
      </c>
      <c r="G7064" t="s">
        <v>257</v>
      </c>
      <c r="H7064" t="s">
        <v>36499</v>
      </c>
      <c r="I7064" t="s">
        <v>40</v>
      </c>
      <c r="J7064" s="2" t="s">
        <v>41</v>
      </c>
      <c r="K7064" t="s">
        <v>42</v>
      </c>
      <c r="L7064" t="s">
        <v>259</v>
      </c>
      <c r="Q7064">
        <v>25489</v>
      </c>
      <c r="R7064" t="s">
        <v>119</v>
      </c>
      <c r="S7064" t="s">
        <v>8069</v>
      </c>
      <c r="T7064">
        <v>28</v>
      </c>
      <c r="U7064" s="2" t="s">
        <v>42780</v>
      </c>
      <c r="V7064" s="1">
        <v>45147</v>
      </c>
      <c r="W7064" t="s">
        <v>84</v>
      </c>
      <c r="X7064">
        <v>838406</v>
      </c>
      <c r="Y7064" t="s">
        <v>42781</v>
      </c>
      <c r="Z7064" t="e">
        <f ca="1">- module Replacement
- Preventive Maintenance</f>
        <v>#NAME?</v>
      </c>
      <c r="AA7064" s="2" t="s">
        <v>42782</v>
      </c>
      <c r="AB7064" t="s">
        <v>70</v>
      </c>
      <c r="AD7064" t="s">
        <v>42783</v>
      </c>
      <c r="AE7064" t="s">
        <v>119</v>
      </c>
      <c r="AG7064" t="s">
        <v>42784</v>
      </c>
      <c r="AH7064" t="s">
        <v>18470</v>
      </c>
      <c r="AI7064" t="s">
        <v>42785</v>
      </c>
    </row>
    <row r="7065" spans="2:35" ht="105">
      <c r="B7065" s="1">
        <v>45147</v>
      </c>
      <c r="C7065" s="4">
        <v>45147.441666666666</v>
      </c>
      <c r="D7065" t="s">
        <v>42786</v>
      </c>
      <c r="E7065" t="s">
        <v>42787</v>
      </c>
      <c r="F7065">
        <v>6</v>
      </c>
      <c r="G7065" t="s">
        <v>4457</v>
      </c>
      <c r="H7065" t="s">
        <v>1047</v>
      </c>
      <c r="I7065" t="s">
        <v>94</v>
      </c>
      <c r="J7065" t="s">
        <v>79</v>
      </c>
      <c r="K7065" t="s">
        <v>42</v>
      </c>
      <c r="L7065" t="s">
        <v>23958</v>
      </c>
      <c r="Q7065">
        <v>25488</v>
      </c>
      <c r="R7065" t="s">
        <v>45</v>
      </c>
      <c r="S7065" t="s">
        <v>42788</v>
      </c>
      <c r="T7065">
        <v>29</v>
      </c>
      <c r="U7065" s="2" t="s">
        <v>22775</v>
      </c>
      <c r="W7065" t="s">
        <v>360</v>
      </c>
      <c r="X7065">
        <v>815387</v>
      </c>
      <c r="Y7065" t="s">
        <v>42789</v>
      </c>
      <c r="Z7065" t="s">
        <v>42177</v>
      </c>
      <c r="AA7065" t="s">
        <v>42790</v>
      </c>
      <c r="AB7065" t="s">
        <v>41321</v>
      </c>
      <c r="AG7065" t="s">
        <v>42791</v>
      </c>
      <c r="AH7065" t="s">
        <v>42792</v>
      </c>
      <c r="AI7065" t="s">
        <v>42793</v>
      </c>
    </row>
    <row r="7066" spans="2:35" ht="409.5">
      <c r="B7066" s="1">
        <v>45146</v>
      </c>
      <c r="C7066" s="4">
        <v>45146.665972222225</v>
      </c>
      <c r="D7066" t="s">
        <v>42794</v>
      </c>
      <c r="E7066" t="s">
        <v>30075</v>
      </c>
      <c r="F7066">
        <v>3</v>
      </c>
      <c r="G7066" t="s">
        <v>134</v>
      </c>
      <c r="H7066" t="s">
        <v>39</v>
      </c>
      <c r="I7066" t="s">
        <v>40</v>
      </c>
      <c r="J7066" s="2" t="s">
        <v>42795</v>
      </c>
      <c r="K7066" t="s">
        <v>42</v>
      </c>
      <c r="L7066" t="s">
        <v>135</v>
      </c>
      <c r="Q7066">
        <v>25487</v>
      </c>
      <c r="R7066" t="s">
        <v>322</v>
      </c>
      <c r="S7066" t="s">
        <v>14695</v>
      </c>
      <c r="T7066">
        <v>23</v>
      </c>
      <c r="U7066" s="2" t="s">
        <v>7554</v>
      </c>
      <c r="W7066" t="s">
        <v>2680</v>
      </c>
      <c r="X7066">
        <v>110018556</v>
      </c>
      <c r="Y7066" t="s">
        <v>4709</v>
      </c>
      <c r="Z7066" t="s">
        <v>4315</v>
      </c>
      <c r="AA7066" s="2" t="s">
        <v>42796</v>
      </c>
      <c r="AB7066" t="s">
        <v>181</v>
      </c>
      <c r="AG7066" t="s">
        <v>42797</v>
      </c>
      <c r="AH7066" t="s">
        <v>42798</v>
      </c>
      <c r="AI7066" t="s">
        <v>42799</v>
      </c>
    </row>
    <row r="7067" spans="2:35" ht="409.5">
      <c r="B7067" s="1">
        <v>45146</v>
      </c>
      <c r="C7067" s="4">
        <v>45146.665972222225</v>
      </c>
      <c r="D7067" t="s">
        <v>42794</v>
      </c>
      <c r="E7067" t="s">
        <v>30075</v>
      </c>
      <c r="F7067">
        <v>3</v>
      </c>
      <c r="G7067" t="s">
        <v>134</v>
      </c>
      <c r="H7067" t="s">
        <v>39</v>
      </c>
      <c r="I7067" t="s">
        <v>40</v>
      </c>
      <c r="J7067" s="2" t="s">
        <v>42795</v>
      </c>
      <c r="K7067" t="s">
        <v>42</v>
      </c>
      <c r="L7067" t="s">
        <v>135</v>
      </c>
      <c r="Q7067">
        <v>25486</v>
      </c>
      <c r="R7067" t="s">
        <v>322</v>
      </c>
      <c r="S7067" t="s">
        <v>14695</v>
      </c>
      <c r="T7067">
        <v>23</v>
      </c>
      <c r="U7067" s="2" t="s">
        <v>7554</v>
      </c>
      <c r="W7067" t="s">
        <v>2680</v>
      </c>
      <c r="X7067">
        <v>110018556</v>
      </c>
      <c r="Y7067" t="s">
        <v>4709</v>
      </c>
      <c r="Z7067" t="s">
        <v>4315</v>
      </c>
      <c r="AA7067" s="2" t="s">
        <v>42796</v>
      </c>
      <c r="AB7067" t="s">
        <v>181</v>
      </c>
      <c r="AG7067" t="s">
        <v>42800</v>
      </c>
      <c r="AH7067" t="s">
        <v>42798</v>
      </c>
      <c r="AI7067" t="s">
        <v>42801</v>
      </c>
    </row>
    <row r="7068" spans="2:35" ht="240">
      <c r="B7068" s="1">
        <v>45146</v>
      </c>
      <c r="C7068" s="4">
        <v>45146.647222222222</v>
      </c>
      <c r="D7068" t="s">
        <v>38533</v>
      </c>
      <c r="E7068" t="s">
        <v>2722</v>
      </c>
      <c r="F7068">
        <v>2</v>
      </c>
      <c r="G7068" t="s">
        <v>2723</v>
      </c>
      <c r="H7068" t="s">
        <v>39</v>
      </c>
      <c r="I7068" t="s">
        <v>40</v>
      </c>
      <c r="J7068" s="2" t="s">
        <v>1592</v>
      </c>
      <c r="K7068" t="s">
        <v>42</v>
      </c>
      <c r="L7068" t="s">
        <v>63</v>
      </c>
      <c r="Q7068">
        <v>25485</v>
      </c>
      <c r="R7068" t="s">
        <v>45</v>
      </c>
      <c r="S7068" t="s">
        <v>2724</v>
      </c>
      <c r="T7068">
        <v>26</v>
      </c>
      <c r="U7068" s="2" t="s">
        <v>42802</v>
      </c>
      <c r="V7068" s="1">
        <v>45146</v>
      </c>
      <c r="W7068" t="s">
        <v>29795</v>
      </c>
      <c r="X7068">
        <v>842894</v>
      </c>
      <c r="Y7068" t="s">
        <v>42803</v>
      </c>
      <c r="Z7068" t="s">
        <v>4542</v>
      </c>
      <c r="AA7068" s="2" t="s">
        <v>39935</v>
      </c>
      <c r="AB7068" t="s">
        <v>70</v>
      </c>
      <c r="AC7068" t="s">
        <v>42804</v>
      </c>
      <c r="AD7068" t="s">
        <v>42805</v>
      </c>
      <c r="AE7068" t="s">
        <v>1716</v>
      </c>
      <c r="AG7068" t="s">
        <v>42806</v>
      </c>
      <c r="AH7068" t="s">
        <v>29783</v>
      </c>
      <c r="AI7068" t="s">
        <v>42807</v>
      </c>
    </row>
    <row r="7069" spans="2:35" ht="285">
      <c r="B7069" s="1">
        <v>45146</v>
      </c>
      <c r="C7069" s="4">
        <v>45146.650694444441</v>
      </c>
      <c r="D7069" t="s">
        <v>10967</v>
      </c>
      <c r="E7069" t="s">
        <v>14481</v>
      </c>
      <c r="F7069">
        <v>7</v>
      </c>
      <c r="G7069" t="s">
        <v>432</v>
      </c>
      <c r="H7069" t="s">
        <v>10969</v>
      </c>
      <c r="I7069" t="s">
        <v>40</v>
      </c>
      <c r="J7069" s="2" t="s">
        <v>62</v>
      </c>
      <c r="K7069" t="s">
        <v>42</v>
      </c>
      <c r="L7069" t="s">
        <v>1288</v>
      </c>
      <c r="Q7069">
        <v>25484</v>
      </c>
      <c r="R7069" t="s">
        <v>119</v>
      </c>
      <c r="S7069" t="s">
        <v>33292</v>
      </c>
      <c r="T7069">
        <v>28</v>
      </c>
      <c r="U7069" s="2" t="s">
        <v>42808</v>
      </c>
      <c r="V7069" s="1">
        <v>45138</v>
      </c>
      <c r="W7069" t="s">
        <v>1292</v>
      </c>
      <c r="X7069">
        <v>838510</v>
      </c>
      <c r="Y7069" t="s">
        <v>10179</v>
      </c>
      <c r="Z7069" t="e">
        <f ca="1">-COLLECT IQR,system _xludf.Log, _xludf.and ARCHIVE</f>
        <v>#NAME?</v>
      </c>
      <c r="AA7069" t="e">
        <f ca="1">-PERFORM Preventive Maintenance _xludf.and Cleaning of GX EQUIPMENT
-PERFORM GeneXpert CALIBRATION:
module C1   : Retry THEN _xludf.For service
                                                                                                                                                                                                                                                                module C4   : _xludf.For service</f>
        <v>#NAME?</v>
      </c>
      <c r="AB7069" t="e">
        <f ca="1">-EQUIPMENT is operational</f>
        <v>#NAME?</v>
      </c>
      <c r="AD7069" t="s">
        <v>42809</v>
      </c>
      <c r="AE7069">
        <v>10347</v>
      </c>
      <c r="AG7069" t="s">
        <v>42810</v>
      </c>
      <c r="AH7069" t="s">
        <v>507</v>
      </c>
      <c r="AI7069" t="s">
        <v>42811</v>
      </c>
    </row>
    <row r="7070" spans="2:35" ht="285">
      <c r="B7070" s="1">
        <v>45146</v>
      </c>
      <c r="C7070" s="4">
        <v>45146.645138888889</v>
      </c>
      <c r="D7070" t="s">
        <v>10967</v>
      </c>
      <c r="E7070" t="s">
        <v>14481</v>
      </c>
      <c r="F7070">
        <v>7</v>
      </c>
      <c r="G7070" t="s">
        <v>432</v>
      </c>
      <c r="H7070" t="s">
        <v>10969</v>
      </c>
      <c r="I7070" t="s">
        <v>40</v>
      </c>
      <c r="J7070" s="2" t="s">
        <v>62</v>
      </c>
      <c r="K7070" t="s">
        <v>42</v>
      </c>
      <c r="L7070" t="s">
        <v>1288</v>
      </c>
      <c r="Q7070">
        <v>25483</v>
      </c>
      <c r="R7070" t="s">
        <v>119</v>
      </c>
      <c r="S7070" t="s">
        <v>33292</v>
      </c>
      <c r="T7070">
        <v>28</v>
      </c>
      <c r="U7070" s="2" t="s">
        <v>42808</v>
      </c>
      <c r="V7070" s="1">
        <v>45138</v>
      </c>
      <c r="W7070" t="s">
        <v>1292</v>
      </c>
      <c r="X7070">
        <v>838508</v>
      </c>
      <c r="Y7070" t="s">
        <v>10179</v>
      </c>
      <c r="Z7070" t="e">
        <f ca="1">-COLLECT IQR,system _xludf.Log, _xludf.and ARCHIVE</f>
        <v>#NAME?</v>
      </c>
      <c r="AA7070" t="e">
        <f ca="1">-PERFORM Preventive Maintenance _xludf.and Cleaning of GX EQUIPMENT
-PERFORM GeneXpert CALIBRATION:
module B2   : _xludf.For service
                                                                                                                                                                                                                                                                module B4   : _xludf.For service</f>
        <v>#NAME?</v>
      </c>
      <c r="AB7070" t="e">
        <f ca="1">-EQUIPMENT is operational</f>
        <v>#NAME?</v>
      </c>
      <c r="AD7070" t="s">
        <v>42809</v>
      </c>
      <c r="AE7070">
        <v>10346</v>
      </c>
      <c r="AG7070" t="s">
        <v>42812</v>
      </c>
      <c r="AH7070" t="s">
        <v>507</v>
      </c>
      <c r="AI7070" t="s">
        <v>42813</v>
      </c>
    </row>
    <row r="7071" spans="2:35" ht="165">
      <c r="B7071" s="1">
        <v>45146</v>
      </c>
      <c r="C7071" s="4">
        <v>45146.494444444441</v>
      </c>
      <c r="D7071" t="s">
        <v>2773</v>
      </c>
      <c r="E7071" t="s">
        <v>2774</v>
      </c>
      <c r="F7071">
        <v>2</v>
      </c>
      <c r="G7071" t="s">
        <v>2723</v>
      </c>
      <c r="H7071" t="s">
        <v>61</v>
      </c>
      <c r="I7071" t="s">
        <v>40</v>
      </c>
      <c r="J7071" s="2" t="s">
        <v>10552</v>
      </c>
      <c r="K7071" t="s">
        <v>42</v>
      </c>
      <c r="L7071" t="s">
        <v>63</v>
      </c>
      <c r="Q7071">
        <v>25482</v>
      </c>
      <c r="R7071" t="s">
        <v>322</v>
      </c>
      <c r="S7071" t="s">
        <v>22973</v>
      </c>
      <c r="T7071">
        <v>24</v>
      </c>
      <c r="V7071" s="1">
        <v>45146</v>
      </c>
      <c r="W7071" t="s">
        <v>26915</v>
      </c>
      <c r="X7071">
        <v>110008457</v>
      </c>
      <c r="Y7071" t="s">
        <v>1716</v>
      </c>
      <c r="Z7071" t="s">
        <v>1716</v>
      </c>
      <c r="AA7071" s="2" t="s">
        <v>42814</v>
      </c>
      <c r="AB7071" t="s">
        <v>42815</v>
      </c>
      <c r="AC7071" t="s">
        <v>1716</v>
      </c>
      <c r="AD7071" t="s">
        <v>1716</v>
      </c>
      <c r="AE7071" t="s">
        <v>1716</v>
      </c>
      <c r="AG7071" t="s">
        <v>42816</v>
      </c>
      <c r="AH7071" t="s">
        <v>22978</v>
      </c>
      <c r="AI7071" t="s">
        <v>42817</v>
      </c>
    </row>
    <row r="7072" spans="2:35" ht="165">
      <c r="B7072" s="1">
        <v>45146</v>
      </c>
      <c r="C7072" s="4">
        <v>45146.494444444441</v>
      </c>
      <c r="D7072" t="s">
        <v>2773</v>
      </c>
      <c r="E7072" t="s">
        <v>2774</v>
      </c>
      <c r="F7072">
        <v>2</v>
      </c>
      <c r="G7072" t="s">
        <v>2723</v>
      </c>
      <c r="H7072" t="s">
        <v>61</v>
      </c>
      <c r="I7072" t="s">
        <v>40</v>
      </c>
      <c r="J7072" s="2" t="s">
        <v>10552</v>
      </c>
      <c r="K7072" t="s">
        <v>42</v>
      </c>
      <c r="L7072" t="s">
        <v>63</v>
      </c>
      <c r="Q7072">
        <v>25481</v>
      </c>
      <c r="R7072" t="s">
        <v>322</v>
      </c>
      <c r="S7072" t="s">
        <v>22973</v>
      </c>
      <c r="T7072">
        <v>24</v>
      </c>
      <c r="V7072" s="1">
        <v>45146</v>
      </c>
      <c r="W7072" t="s">
        <v>26915</v>
      </c>
      <c r="X7072">
        <v>110008457</v>
      </c>
      <c r="Y7072" t="s">
        <v>1716</v>
      </c>
      <c r="Z7072" t="s">
        <v>1716</v>
      </c>
      <c r="AA7072" s="2" t="s">
        <v>42814</v>
      </c>
      <c r="AB7072" t="s">
        <v>42815</v>
      </c>
      <c r="AC7072" t="s">
        <v>1716</v>
      </c>
      <c r="AD7072" t="s">
        <v>1716</v>
      </c>
      <c r="AE7072" t="s">
        <v>1716</v>
      </c>
      <c r="AG7072" t="s">
        <v>42818</v>
      </c>
      <c r="AH7072" t="s">
        <v>22978</v>
      </c>
      <c r="AI7072" t="s">
        <v>42819</v>
      </c>
    </row>
    <row r="7073" spans="2:35" ht="360">
      <c r="B7073" s="1">
        <v>45146</v>
      </c>
      <c r="C7073" s="4">
        <v>45146.629166666666</v>
      </c>
      <c r="D7073" t="s">
        <v>1071</v>
      </c>
      <c r="E7073" t="s">
        <v>12328</v>
      </c>
      <c r="F7073">
        <v>7</v>
      </c>
      <c r="G7073" t="s">
        <v>432</v>
      </c>
      <c r="H7073" t="s">
        <v>150</v>
      </c>
      <c r="I7073" t="s">
        <v>40</v>
      </c>
      <c r="J7073" s="2" t="s">
        <v>62</v>
      </c>
      <c r="K7073" t="s">
        <v>42</v>
      </c>
      <c r="L7073" t="s">
        <v>343</v>
      </c>
      <c r="Q7073">
        <v>25480</v>
      </c>
      <c r="R7073" t="s">
        <v>119</v>
      </c>
      <c r="S7073" t="s">
        <v>8679</v>
      </c>
      <c r="T7073">
        <v>29</v>
      </c>
      <c r="U7073" s="2" t="s">
        <v>42820</v>
      </c>
      <c r="V7073" s="1">
        <v>45138</v>
      </c>
      <c r="W7073" t="s">
        <v>6105</v>
      </c>
      <c r="X7073">
        <v>838285</v>
      </c>
      <c r="Y7073" t="s">
        <v>42710</v>
      </c>
      <c r="Z7073" t="e">
        <f ca="1">-PERFORM XpertCheck CALIBRATION on module A1, A2, _xludf.and A4</f>
        <v>#NAME?</v>
      </c>
      <c r="AA7073" t="e">
        <f ca="1">-XpertCheck CALIBRATION
-Preventive Maintenance</f>
        <v>#NAME?</v>
      </c>
      <c r="AB7073" t="s">
        <v>9638</v>
      </c>
      <c r="AD7073" t="s">
        <v>39229</v>
      </c>
      <c r="AE7073">
        <v>10355</v>
      </c>
      <c r="AG7073" t="s">
        <v>42821</v>
      </c>
      <c r="AH7073" t="s">
        <v>20261</v>
      </c>
      <c r="AI7073" t="s">
        <v>42822</v>
      </c>
    </row>
    <row r="7074" spans="2:35" ht="360">
      <c r="B7074" s="1">
        <v>45146</v>
      </c>
      <c r="C7074" s="4">
        <v>45146.640972222223</v>
      </c>
      <c r="D7074" t="s">
        <v>1071</v>
      </c>
      <c r="E7074" t="s">
        <v>1555</v>
      </c>
      <c r="F7074">
        <v>7</v>
      </c>
      <c r="G7074" t="s">
        <v>432</v>
      </c>
      <c r="H7074" t="s">
        <v>150</v>
      </c>
      <c r="I7074" t="s">
        <v>40</v>
      </c>
      <c r="J7074" s="2" t="s">
        <v>62</v>
      </c>
      <c r="K7074" t="s">
        <v>42</v>
      </c>
      <c r="L7074" t="s">
        <v>343</v>
      </c>
      <c r="Q7074">
        <v>25479</v>
      </c>
      <c r="R7074" t="s">
        <v>119</v>
      </c>
      <c r="S7074" t="s">
        <v>8679</v>
      </c>
      <c r="T7074">
        <v>29</v>
      </c>
      <c r="U7074" s="2" t="s">
        <v>42823</v>
      </c>
      <c r="V7074" s="1">
        <v>45138</v>
      </c>
      <c r="W7074" t="s">
        <v>6105</v>
      </c>
      <c r="X7074">
        <v>820206</v>
      </c>
      <c r="Y7074" t="s">
        <v>1751</v>
      </c>
      <c r="Z7074" t="s">
        <v>42824</v>
      </c>
      <c r="AA7074" t="e">
        <f ca="1">-XpertCheck CALIBRATION
-Preventive Maintenance</f>
        <v>#NAME?</v>
      </c>
      <c r="AB7074" t="s">
        <v>42825</v>
      </c>
      <c r="AD7074" t="s">
        <v>39229</v>
      </c>
      <c r="AE7074">
        <v>10356</v>
      </c>
      <c r="AG7074" t="s">
        <v>42826</v>
      </c>
      <c r="AH7074" t="s">
        <v>20261</v>
      </c>
      <c r="AI7074" t="s">
        <v>42827</v>
      </c>
    </row>
    <row r="7075" spans="2:35" ht="240">
      <c r="B7075" s="1">
        <v>45146</v>
      </c>
      <c r="C7075" s="4">
        <v>45146.620833333334</v>
      </c>
      <c r="D7075" t="s">
        <v>31528</v>
      </c>
      <c r="E7075" t="s">
        <v>42828</v>
      </c>
      <c r="F7075" t="s">
        <v>148</v>
      </c>
      <c r="G7075" t="s">
        <v>447</v>
      </c>
      <c r="H7075" t="s">
        <v>39</v>
      </c>
      <c r="I7075" t="s">
        <v>40</v>
      </c>
      <c r="J7075" s="2" t="s">
        <v>190</v>
      </c>
      <c r="K7075" t="s">
        <v>42</v>
      </c>
      <c r="L7075" t="s">
        <v>15532</v>
      </c>
      <c r="Q7075">
        <v>25478</v>
      </c>
      <c r="R7075" t="s">
        <v>45</v>
      </c>
      <c r="S7075" t="s">
        <v>29952</v>
      </c>
      <c r="T7075">
        <v>25</v>
      </c>
      <c r="U7075" s="2" t="s">
        <v>42829</v>
      </c>
      <c r="W7075" t="s">
        <v>597</v>
      </c>
      <c r="X7075">
        <v>805254</v>
      </c>
      <c r="Y7075" t="s">
        <v>42830</v>
      </c>
      <c r="Z7075" s="2" t="s">
        <v>42831</v>
      </c>
      <c r="AA7075" s="2" t="s">
        <v>42832</v>
      </c>
      <c r="AB7075" t="s">
        <v>42833</v>
      </c>
      <c r="AG7075" t="s">
        <v>42834</v>
      </c>
      <c r="AH7075" t="s">
        <v>29957</v>
      </c>
      <c r="AI7075" t="s">
        <v>42835</v>
      </c>
    </row>
    <row r="7076" spans="2:35" ht="409.5">
      <c r="B7076" s="1">
        <v>45146</v>
      </c>
      <c r="C7076" s="4">
        <v>45146.603472222225</v>
      </c>
      <c r="D7076" t="s">
        <v>369</v>
      </c>
      <c r="E7076" t="s">
        <v>29199</v>
      </c>
      <c r="F7076" t="s">
        <v>148</v>
      </c>
      <c r="G7076" t="s">
        <v>371</v>
      </c>
      <c r="H7076" t="s">
        <v>39</v>
      </c>
      <c r="I7076" t="s">
        <v>40</v>
      </c>
      <c r="J7076" s="2" t="s">
        <v>62</v>
      </c>
      <c r="K7076" t="s">
        <v>42</v>
      </c>
      <c r="L7076" t="s">
        <v>175</v>
      </c>
      <c r="Q7076">
        <v>25477</v>
      </c>
      <c r="R7076" t="s">
        <v>45</v>
      </c>
      <c r="S7076" t="s">
        <v>40344</v>
      </c>
      <c r="T7076">
        <v>25</v>
      </c>
      <c r="U7076" s="2" t="s">
        <v>42836</v>
      </c>
      <c r="V7076" s="1">
        <v>45146</v>
      </c>
      <c r="W7076" t="s">
        <v>84</v>
      </c>
      <c r="X7076">
        <v>834432</v>
      </c>
      <c r="Y7076" t="s">
        <v>998</v>
      </c>
      <c r="Z7076" t="e">
        <f ca="1">- checked _xludf.and cleaned cartridge bay, plunger rod, _xludf.filter, icore slot
- performed XpertCheck
- generated reports</f>
        <v>#NAME?</v>
      </c>
      <c r="AA7076" t="s">
        <v>999</v>
      </c>
      <c r="AB7076" s="2" t="s">
        <v>42837</v>
      </c>
      <c r="AD7076" t="s">
        <v>7189</v>
      </c>
      <c r="AE7076" t="s">
        <v>103</v>
      </c>
      <c r="AG7076" t="s">
        <v>42838</v>
      </c>
      <c r="AH7076" t="s">
        <v>42839</v>
      </c>
      <c r="AI7076" t="s">
        <v>42840</v>
      </c>
    </row>
    <row r="7077" spans="2:35" ht="90">
      <c r="B7077" s="1">
        <v>45146</v>
      </c>
      <c r="C7077" s="4">
        <v>45146.607638888891</v>
      </c>
      <c r="D7077" t="s">
        <v>7859</v>
      </c>
      <c r="E7077" t="s">
        <v>28384</v>
      </c>
      <c r="F7077">
        <v>6</v>
      </c>
      <c r="G7077" t="s">
        <v>1286</v>
      </c>
      <c r="H7077" t="s">
        <v>61</v>
      </c>
      <c r="I7077" t="s">
        <v>94</v>
      </c>
      <c r="J7077" t="s">
        <v>996</v>
      </c>
      <c r="K7077" t="s">
        <v>42</v>
      </c>
      <c r="L7077" t="s">
        <v>23958</v>
      </c>
      <c r="Q7077">
        <v>25476</v>
      </c>
      <c r="R7077" t="s">
        <v>119</v>
      </c>
      <c r="S7077" t="s">
        <v>42841</v>
      </c>
      <c r="T7077">
        <v>4</v>
      </c>
      <c r="U7077" s="2" t="s">
        <v>42842</v>
      </c>
      <c r="W7077" t="s">
        <v>360</v>
      </c>
      <c r="X7077">
        <v>838290</v>
      </c>
      <c r="Y7077" t="s">
        <v>301</v>
      </c>
      <c r="Z7077" t="s">
        <v>42177</v>
      </c>
      <c r="AA7077" t="s">
        <v>42843</v>
      </c>
      <c r="AB7077" t="s">
        <v>42687</v>
      </c>
      <c r="AG7077" t="s">
        <v>42844</v>
      </c>
      <c r="AH7077" t="s">
        <v>7856</v>
      </c>
      <c r="AI7077" t="s">
        <v>42845</v>
      </c>
    </row>
    <row r="7078" spans="2:35" ht="409.5">
      <c r="B7078" s="1">
        <v>45146</v>
      </c>
      <c r="C7078" s="4">
        <v>45146.606249999997</v>
      </c>
      <c r="D7078" t="s">
        <v>369</v>
      </c>
      <c r="E7078" t="s">
        <v>29199</v>
      </c>
      <c r="F7078" t="s">
        <v>148</v>
      </c>
      <c r="G7078" t="s">
        <v>371</v>
      </c>
      <c r="H7078" t="s">
        <v>39</v>
      </c>
      <c r="I7078" t="s">
        <v>40</v>
      </c>
      <c r="J7078" s="2" t="s">
        <v>62</v>
      </c>
      <c r="K7078" t="s">
        <v>42</v>
      </c>
      <c r="L7078" t="s">
        <v>175</v>
      </c>
      <c r="Q7078">
        <v>25475</v>
      </c>
      <c r="R7078" t="s">
        <v>45</v>
      </c>
      <c r="S7078" t="s">
        <v>40344</v>
      </c>
      <c r="T7078">
        <v>25</v>
      </c>
      <c r="U7078" s="2" t="s">
        <v>42846</v>
      </c>
      <c r="V7078" s="1">
        <v>45146</v>
      </c>
      <c r="W7078" t="s">
        <v>84</v>
      </c>
      <c r="X7078">
        <v>834431</v>
      </c>
      <c r="Y7078" t="s">
        <v>998</v>
      </c>
      <c r="Z7078" t="e">
        <f ca="1">- checked _xludf.and cleaned cartridge bay, plunger rod, _xludf.filter, icore slot
- performed XpertCheck
- generated reports</f>
        <v>#NAME?</v>
      </c>
      <c r="AA7078" t="s">
        <v>999</v>
      </c>
      <c r="AB7078" s="2" t="s">
        <v>42847</v>
      </c>
      <c r="AD7078" t="s">
        <v>7189</v>
      </c>
      <c r="AE7078" t="s">
        <v>103</v>
      </c>
      <c r="AG7078" t="s">
        <v>42848</v>
      </c>
      <c r="AH7078" t="s">
        <v>42839</v>
      </c>
      <c r="AI7078" t="s">
        <v>42849</v>
      </c>
    </row>
    <row r="7079" spans="2:35" ht="255">
      <c r="B7079" s="1">
        <v>45146</v>
      </c>
      <c r="C7079" s="4">
        <v>45146.588194444441</v>
      </c>
      <c r="D7079" t="s">
        <v>8429</v>
      </c>
      <c r="E7079" t="s">
        <v>17697</v>
      </c>
      <c r="F7079">
        <v>11</v>
      </c>
      <c r="G7079" t="s">
        <v>1205</v>
      </c>
      <c r="H7079" t="s">
        <v>202</v>
      </c>
      <c r="I7079" t="s">
        <v>40</v>
      </c>
      <c r="J7079" t="s">
        <v>109</v>
      </c>
      <c r="K7079" t="s">
        <v>42</v>
      </c>
      <c r="L7079" t="s">
        <v>204</v>
      </c>
      <c r="Q7079">
        <v>25474</v>
      </c>
      <c r="R7079" t="s">
        <v>119</v>
      </c>
      <c r="S7079" t="s">
        <v>8431</v>
      </c>
      <c r="T7079">
        <v>28.5</v>
      </c>
      <c r="U7079" s="2" t="s">
        <v>42850</v>
      </c>
      <c r="W7079" t="s">
        <v>23237</v>
      </c>
      <c r="X7079">
        <v>838456</v>
      </c>
      <c r="Y7079" t="s">
        <v>2851</v>
      </c>
      <c r="Z7079" s="2" t="s">
        <v>9722</v>
      </c>
      <c r="AA7079" t="s">
        <v>2551</v>
      </c>
      <c r="AB7079" t="s">
        <v>3063</v>
      </c>
      <c r="AG7079" t="s">
        <v>42851</v>
      </c>
      <c r="AH7079" t="s">
        <v>42852</v>
      </c>
      <c r="AI7079" t="s">
        <v>42853</v>
      </c>
    </row>
    <row r="7080" spans="2:35" ht="330">
      <c r="B7080" s="1">
        <v>45146</v>
      </c>
      <c r="C7080" s="4">
        <v>45146.566666666666</v>
      </c>
      <c r="D7080" t="s">
        <v>26193</v>
      </c>
      <c r="E7080" t="s">
        <v>42854</v>
      </c>
      <c r="F7080">
        <v>3</v>
      </c>
      <c r="G7080" t="s">
        <v>284</v>
      </c>
      <c r="H7080" t="s">
        <v>39</v>
      </c>
      <c r="I7080" t="s">
        <v>40</v>
      </c>
      <c r="J7080" s="2" t="s">
        <v>1592</v>
      </c>
      <c r="K7080" t="s">
        <v>42</v>
      </c>
      <c r="L7080" t="s">
        <v>135</v>
      </c>
      <c r="Q7080">
        <v>25473</v>
      </c>
      <c r="R7080" t="s">
        <v>45</v>
      </c>
      <c r="S7080" t="s">
        <v>26195</v>
      </c>
      <c r="T7080">
        <v>26</v>
      </c>
      <c r="U7080" s="2" t="s">
        <v>21122</v>
      </c>
      <c r="V7080" s="1">
        <v>45114</v>
      </c>
      <c r="W7080" t="s">
        <v>2680</v>
      </c>
      <c r="X7080">
        <v>835102</v>
      </c>
      <c r="Y7080" s="2" t="s">
        <v>42855</v>
      </c>
      <c r="Z7080" s="2" t="s">
        <v>42856</v>
      </c>
      <c r="AA7080" s="2" t="s">
        <v>42857</v>
      </c>
      <c r="AB7080" t="s">
        <v>181</v>
      </c>
      <c r="AC7080" t="s">
        <v>42858</v>
      </c>
      <c r="AD7080" t="s">
        <v>13225</v>
      </c>
      <c r="AE7080">
        <v>42435</v>
      </c>
      <c r="AG7080" t="s">
        <v>42859</v>
      </c>
      <c r="AH7080" t="s">
        <v>42860</v>
      </c>
      <c r="AI7080" t="s">
        <v>42861</v>
      </c>
    </row>
    <row r="7081" spans="2:35" ht="409.5">
      <c r="B7081" s="1">
        <v>45146</v>
      </c>
      <c r="C7081" s="4">
        <v>45146.572222222225</v>
      </c>
      <c r="D7081" t="s">
        <v>42862</v>
      </c>
      <c r="E7081" t="s">
        <v>42863</v>
      </c>
      <c r="F7081">
        <v>13</v>
      </c>
      <c r="G7081" t="s">
        <v>7763</v>
      </c>
      <c r="H7081" t="s">
        <v>2125</v>
      </c>
      <c r="I7081" t="s">
        <v>40</v>
      </c>
      <c r="J7081" s="2" t="s">
        <v>1370</v>
      </c>
      <c r="K7081" t="s">
        <v>42</v>
      </c>
      <c r="L7081" t="s">
        <v>933</v>
      </c>
      <c r="Q7081">
        <v>25472</v>
      </c>
      <c r="R7081" t="s">
        <v>45</v>
      </c>
      <c r="S7081" t="s">
        <v>40099</v>
      </c>
      <c r="T7081">
        <v>23.86</v>
      </c>
      <c r="U7081" s="2" t="s">
        <v>42864</v>
      </c>
      <c r="W7081" t="s">
        <v>3662</v>
      </c>
      <c r="X7081">
        <v>805335</v>
      </c>
      <c r="Y7081" t="s">
        <v>42865</v>
      </c>
      <c r="Z7081" t="s">
        <v>301</v>
      </c>
      <c r="AA7081" s="2" t="s">
        <v>42866</v>
      </c>
      <c r="AB7081" t="s">
        <v>42867</v>
      </c>
      <c r="AG7081" t="s">
        <v>42868</v>
      </c>
      <c r="AH7081" t="s">
        <v>30769</v>
      </c>
      <c r="AI7081" t="s">
        <v>42869</v>
      </c>
    </row>
    <row r="7082" spans="2:35" ht="105">
      <c r="B7082" s="1">
        <v>45146</v>
      </c>
      <c r="C7082" s="4">
        <v>45146.555555555555</v>
      </c>
      <c r="D7082" t="s">
        <v>16538</v>
      </c>
      <c r="E7082" t="s">
        <v>42870</v>
      </c>
      <c r="F7082">
        <v>7</v>
      </c>
      <c r="G7082" t="s">
        <v>432</v>
      </c>
      <c r="H7082" t="s">
        <v>2290</v>
      </c>
      <c r="I7082" t="s">
        <v>94</v>
      </c>
      <c r="J7082" s="2" t="s">
        <v>62</v>
      </c>
      <c r="K7082" t="s">
        <v>42</v>
      </c>
      <c r="L7082" t="s">
        <v>610</v>
      </c>
      <c r="Q7082">
        <v>25471</v>
      </c>
      <c r="R7082" t="s">
        <v>119</v>
      </c>
      <c r="S7082" t="s">
        <v>16540</v>
      </c>
      <c r="T7082">
        <v>23</v>
      </c>
      <c r="U7082" s="2" t="s">
        <v>33027</v>
      </c>
      <c r="W7082" t="s">
        <v>502</v>
      </c>
      <c r="X7082">
        <v>838283</v>
      </c>
      <c r="Y7082" t="s">
        <v>67</v>
      </c>
      <c r="Z7082" t="s">
        <v>42871</v>
      </c>
      <c r="AA7082" t="s">
        <v>42872</v>
      </c>
      <c r="AB7082" t="s">
        <v>42873</v>
      </c>
      <c r="AG7082" t="s">
        <v>42874</v>
      </c>
      <c r="AH7082" t="s">
        <v>42875</v>
      </c>
      <c r="AI7082" t="s">
        <v>42876</v>
      </c>
    </row>
    <row r="7083" spans="2:35" ht="165">
      <c r="B7083" s="1">
        <v>45146</v>
      </c>
      <c r="C7083" s="4">
        <v>45146.512499999997</v>
      </c>
      <c r="D7083" t="s">
        <v>1607</v>
      </c>
      <c r="E7083" t="s">
        <v>42877</v>
      </c>
      <c r="F7083" t="s">
        <v>148</v>
      </c>
      <c r="G7083" t="s">
        <v>371</v>
      </c>
      <c r="H7083" t="s">
        <v>39</v>
      </c>
      <c r="I7083" t="s">
        <v>40</v>
      </c>
      <c r="J7083" s="2" t="s">
        <v>62</v>
      </c>
      <c r="K7083" t="s">
        <v>42</v>
      </c>
      <c r="L7083" t="s">
        <v>175</v>
      </c>
      <c r="Q7083">
        <v>25470</v>
      </c>
      <c r="R7083" t="s">
        <v>45</v>
      </c>
      <c r="S7083" t="s">
        <v>1609</v>
      </c>
      <c r="T7083">
        <v>25</v>
      </c>
      <c r="U7083" s="2" t="s">
        <v>42878</v>
      </c>
      <c r="V7083" s="1">
        <v>45146</v>
      </c>
      <c r="W7083" t="s">
        <v>84</v>
      </c>
      <c r="X7083">
        <v>831895</v>
      </c>
      <c r="Y7083" t="s">
        <v>998</v>
      </c>
      <c r="Z7083" t="e">
        <f ca="1">- checked _xludf.and cleaned cartridge bay, plunger rod, _xludf.filter
- performed XpertCheck
- generated reports</f>
        <v>#NAME?</v>
      </c>
      <c r="AA7083" t="s">
        <v>999</v>
      </c>
      <c r="AB7083" s="2" t="s">
        <v>36900</v>
      </c>
      <c r="AD7083" t="s">
        <v>7189</v>
      </c>
      <c r="AE7083" t="s">
        <v>103</v>
      </c>
      <c r="AG7083" t="s">
        <v>42879</v>
      </c>
      <c r="AH7083" t="s">
        <v>1612</v>
      </c>
      <c r="AI7083" t="s">
        <v>42880</v>
      </c>
    </row>
    <row r="7084" spans="2:35" ht="60">
      <c r="B7084" s="1">
        <v>45146</v>
      </c>
      <c r="C7084" s="4">
        <v>45146.424305555556</v>
      </c>
      <c r="D7084" t="s">
        <v>5546</v>
      </c>
      <c r="E7084" t="s">
        <v>1555</v>
      </c>
      <c r="F7084">
        <v>7</v>
      </c>
      <c r="G7084" t="s">
        <v>432</v>
      </c>
      <c r="H7084" t="s">
        <v>39</v>
      </c>
      <c r="I7084" t="s">
        <v>94</v>
      </c>
      <c r="J7084" s="2" t="s">
        <v>62</v>
      </c>
      <c r="K7084" t="s">
        <v>42</v>
      </c>
      <c r="L7084" t="s">
        <v>433</v>
      </c>
      <c r="Q7084">
        <v>25469</v>
      </c>
      <c r="R7084" t="s">
        <v>119</v>
      </c>
      <c r="S7084" t="s">
        <v>5548</v>
      </c>
      <c r="T7084">
        <v>28</v>
      </c>
      <c r="W7084" t="s">
        <v>1008</v>
      </c>
      <c r="X7084">
        <v>838527</v>
      </c>
      <c r="Y7084" t="s">
        <v>2303</v>
      </c>
      <c r="Z7084" t="s">
        <v>42881</v>
      </c>
      <c r="AA7084" t="s">
        <v>42881</v>
      </c>
      <c r="AB7084" t="s">
        <v>42882</v>
      </c>
      <c r="AG7084" t="s">
        <v>42883</v>
      </c>
      <c r="AH7084" t="s">
        <v>7130</v>
      </c>
      <c r="AI7084" t="s">
        <v>42884</v>
      </c>
    </row>
    <row r="7085" spans="2:35" ht="105">
      <c r="B7085" s="1">
        <v>45146</v>
      </c>
      <c r="C7085" s="4">
        <v>45146.506944444445</v>
      </c>
      <c r="D7085" t="s">
        <v>6414</v>
      </c>
      <c r="E7085" t="s">
        <v>6415</v>
      </c>
      <c r="F7085">
        <v>6</v>
      </c>
      <c r="G7085" t="s">
        <v>1286</v>
      </c>
      <c r="H7085" t="s">
        <v>1047</v>
      </c>
      <c r="I7085" t="s">
        <v>94</v>
      </c>
      <c r="J7085" t="s">
        <v>996</v>
      </c>
      <c r="K7085" t="s">
        <v>42</v>
      </c>
      <c r="L7085" t="s">
        <v>23958</v>
      </c>
      <c r="Q7085">
        <v>25468</v>
      </c>
      <c r="R7085" t="s">
        <v>119</v>
      </c>
      <c r="S7085" t="s">
        <v>6416</v>
      </c>
      <c r="T7085">
        <v>4</v>
      </c>
      <c r="U7085" s="2" t="s">
        <v>12580</v>
      </c>
      <c r="W7085" t="s">
        <v>360</v>
      </c>
      <c r="X7085">
        <v>838289</v>
      </c>
      <c r="Y7085" t="s">
        <v>301</v>
      </c>
      <c r="Z7085" t="s">
        <v>42464</v>
      </c>
      <c r="AA7085" t="s">
        <v>42843</v>
      </c>
      <c r="AB7085" t="s">
        <v>42687</v>
      </c>
      <c r="AG7085" t="s">
        <v>42885</v>
      </c>
      <c r="AH7085" t="s">
        <v>6422</v>
      </c>
      <c r="AI7085" t="s">
        <v>42886</v>
      </c>
    </row>
    <row r="7086" spans="2:35" ht="180">
      <c r="B7086" s="1">
        <v>45146</v>
      </c>
      <c r="C7086" s="4">
        <v>45146.448611111111</v>
      </c>
      <c r="D7086" t="s">
        <v>42887</v>
      </c>
      <c r="E7086" t="s">
        <v>42888</v>
      </c>
      <c r="F7086">
        <v>6</v>
      </c>
      <c r="G7086" t="s">
        <v>1286</v>
      </c>
      <c r="H7086" t="s">
        <v>1047</v>
      </c>
      <c r="I7086" t="s">
        <v>94</v>
      </c>
      <c r="J7086" t="s">
        <v>996</v>
      </c>
      <c r="K7086" t="s">
        <v>42</v>
      </c>
      <c r="L7086" t="s">
        <v>23958</v>
      </c>
      <c r="Q7086">
        <v>25467</v>
      </c>
      <c r="R7086" t="s">
        <v>119</v>
      </c>
      <c r="S7086" t="s">
        <v>30052</v>
      </c>
      <c r="T7086">
        <v>4</v>
      </c>
      <c r="U7086" s="2" t="s">
        <v>42889</v>
      </c>
      <c r="W7086" t="s">
        <v>360</v>
      </c>
      <c r="X7086">
        <v>838501</v>
      </c>
      <c r="Y7086" t="s">
        <v>301</v>
      </c>
      <c r="Z7086" t="s">
        <v>42890</v>
      </c>
      <c r="AA7086" t="s">
        <v>42843</v>
      </c>
      <c r="AB7086" t="s">
        <v>42687</v>
      </c>
      <c r="AG7086" t="s">
        <v>42891</v>
      </c>
      <c r="AH7086" t="s">
        <v>42892</v>
      </c>
      <c r="AI7086" t="s">
        <v>42893</v>
      </c>
    </row>
    <row r="7087" spans="2:35" ht="285">
      <c r="B7087" s="1">
        <v>45146</v>
      </c>
      <c r="C7087" s="4">
        <v>45146.428472222222</v>
      </c>
      <c r="D7087" t="s">
        <v>1661</v>
      </c>
      <c r="E7087" t="s">
        <v>42894</v>
      </c>
      <c r="F7087">
        <v>8</v>
      </c>
      <c r="G7087" t="s">
        <v>1663</v>
      </c>
      <c r="H7087" t="s">
        <v>39</v>
      </c>
      <c r="I7087" t="s">
        <v>40</v>
      </c>
      <c r="J7087" s="2" t="s">
        <v>62</v>
      </c>
      <c r="K7087" t="s">
        <v>42</v>
      </c>
      <c r="L7087" t="s">
        <v>259</v>
      </c>
      <c r="Q7087">
        <v>25466</v>
      </c>
      <c r="R7087" t="s">
        <v>45</v>
      </c>
      <c r="S7087" t="s">
        <v>26127</v>
      </c>
      <c r="T7087">
        <v>28</v>
      </c>
      <c r="U7087" s="2" t="s">
        <v>42895</v>
      </c>
      <c r="V7087" s="1">
        <v>45146</v>
      </c>
      <c r="W7087" t="s">
        <v>84</v>
      </c>
      <c r="X7087">
        <v>807566</v>
      </c>
      <c r="Y7087" t="s">
        <v>21236</v>
      </c>
      <c r="Z7087" t="e">
        <f ca="1">- performed Preventive Maintenance
- performed XpertCheck CALIBRATION</f>
        <v>#NAME?</v>
      </c>
      <c r="AA7087" t="e">
        <f ca="1">- re-installed XpertCheck software
-  Preventive Maintenance
-  XpertCheck CALIBRATION
- Generate reports</f>
        <v>#NAME?</v>
      </c>
      <c r="AB7087" t="s">
        <v>42896</v>
      </c>
      <c r="AD7087" t="s">
        <v>948</v>
      </c>
      <c r="AE7087" t="s">
        <v>45</v>
      </c>
      <c r="AG7087" t="s">
        <v>42897</v>
      </c>
      <c r="AH7087" t="s">
        <v>26143</v>
      </c>
      <c r="AI7087" t="s">
        <v>42898</v>
      </c>
    </row>
    <row r="7088" spans="2:35" ht="270">
      <c r="B7088" s="1">
        <v>45146</v>
      </c>
      <c r="C7088" s="4">
        <v>45146.407638888886</v>
      </c>
      <c r="D7088" t="s">
        <v>5563</v>
      </c>
      <c r="E7088" t="s">
        <v>1555</v>
      </c>
      <c r="F7088">
        <v>7</v>
      </c>
      <c r="G7088" t="s">
        <v>432</v>
      </c>
      <c r="H7088" t="s">
        <v>150</v>
      </c>
      <c r="I7088" t="s">
        <v>40</v>
      </c>
      <c r="J7088" s="2" t="s">
        <v>62</v>
      </c>
      <c r="K7088" t="s">
        <v>42</v>
      </c>
      <c r="L7088" t="s">
        <v>343</v>
      </c>
      <c r="Q7088">
        <v>25465</v>
      </c>
      <c r="R7088" t="s">
        <v>119</v>
      </c>
      <c r="S7088" t="s">
        <v>5564</v>
      </c>
      <c r="T7088">
        <v>24</v>
      </c>
      <c r="U7088" s="2" t="s">
        <v>42899</v>
      </c>
      <c r="V7088" s="1">
        <v>45134</v>
      </c>
      <c r="W7088" t="s">
        <v>6105</v>
      </c>
      <c r="X7088">
        <v>838561</v>
      </c>
      <c r="Y7088" t="s">
        <v>1751</v>
      </c>
      <c r="Z7088" t="e">
        <f ca="1">-run XpertCheck CALIBRATION on module A3</f>
        <v>#NAME?</v>
      </c>
      <c r="AA7088" t="e">
        <f ca="1">-XpertCheck CALIBRATION
-Preventive Maintenance</f>
        <v>#NAME?</v>
      </c>
      <c r="AB7088" s="2" t="s">
        <v>42900</v>
      </c>
      <c r="AD7088" t="s">
        <v>39229</v>
      </c>
      <c r="AE7088">
        <v>10328</v>
      </c>
      <c r="AG7088" t="s">
        <v>42901</v>
      </c>
      <c r="AH7088" t="s">
        <v>14800</v>
      </c>
      <c r="AI7088" t="s">
        <v>42902</v>
      </c>
    </row>
    <row r="7089" spans="2:35" ht="180">
      <c r="B7089" s="1">
        <v>45145</v>
      </c>
      <c r="C7089" s="4">
        <v>45145.663194444445</v>
      </c>
      <c r="D7089" t="s">
        <v>10074</v>
      </c>
      <c r="E7089" t="s">
        <v>38364</v>
      </c>
      <c r="F7089">
        <v>6</v>
      </c>
      <c r="G7089" t="s">
        <v>1234</v>
      </c>
      <c r="H7089" t="s">
        <v>34104</v>
      </c>
      <c r="I7089" t="s">
        <v>94</v>
      </c>
      <c r="J7089" t="s">
        <v>996</v>
      </c>
      <c r="K7089" t="s">
        <v>42</v>
      </c>
      <c r="L7089" t="s">
        <v>23958</v>
      </c>
      <c r="Q7089">
        <v>25464</v>
      </c>
      <c r="R7089" t="s">
        <v>119</v>
      </c>
      <c r="S7089" t="s">
        <v>10076</v>
      </c>
      <c r="T7089">
        <v>4</v>
      </c>
      <c r="U7089" s="2" t="s">
        <v>42903</v>
      </c>
      <c r="W7089" t="s">
        <v>360</v>
      </c>
      <c r="X7089">
        <v>838486</v>
      </c>
      <c r="Y7089" t="s">
        <v>42904</v>
      </c>
      <c r="Z7089" t="s">
        <v>42177</v>
      </c>
      <c r="AA7089" t="s">
        <v>42905</v>
      </c>
      <c r="AB7089" t="s">
        <v>42906</v>
      </c>
      <c r="AG7089" t="s">
        <v>42907</v>
      </c>
      <c r="AH7089" t="s">
        <v>42908</v>
      </c>
      <c r="AI7089" t="s">
        <v>42909</v>
      </c>
    </row>
    <row r="7090" spans="2:35" ht="409.5">
      <c r="B7090" s="1">
        <v>45145</v>
      </c>
      <c r="C7090" s="4">
        <v>45142.678472222222</v>
      </c>
      <c r="D7090" t="s">
        <v>38717</v>
      </c>
      <c r="E7090" t="s">
        <v>15944</v>
      </c>
      <c r="F7090" t="s">
        <v>148</v>
      </c>
      <c r="G7090" t="s">
        <v>447</v>
      </c>
      <c r="H7090" t="s">
        <v>662</v>
      </c>
      <c r="I7090" t="s">
        <v>40</v>
      </c>
      <c r="J7090" t="s">
        <v>525</v>
      </c>
      <c r="K7090" t="s">
        <v>42</v>
      </c>
      <c r="L7090" t="s">
        <v>448</v>
      </c>
      <c r="Q7090">
        <v>25463</v>
      </c>
      <c r="R7090" t="s">
        <v>322</v>
      </c>
      <c r="S7090" t="s">
        <v>5604</v>
      </c>
      <c r="T7090">
        <v>22</v>
      </c>
      <c r="U7090" s="2" t="s">
        <v>42910</v>
      </c>
      <c r="W7090" t="s">
        <v>325</v>
      </c>
      <c r="X7090">
        <v>110005587</v>
      </c>
      <c r="Y7090" t="s">
        <v>42911</v>
      </c>
      <c r="Z7090" s="2" t="s">
        <v>42912</v>
      </c>
      <c r="AA7090" t="s">
        <v>4487</v>
      </c>
      <c r="AB7090" t="s">
        <v>42913</v>
      </c>
      <c r="AG7090" t="s">
        <v>42914</v>
      </c>
      <c r="AH7090" t="s">
        <v>5609</v>
      </c>
      <c r="AI7090" t="s">
        <v>42915</v>
      </c>
    </row>
    <row r="7091" spans="2:35" ht="255">
      <c r="B7091" s="1">
        <v>45145</v>
      </c>
      <c r="C7091" s="4">
        <v>45141.591666666667</v>
      </c>
      <c r="D7091" t="s">
        <v>3679</v>
      </c>
      <c r="E7091" t="s">
        <v>5757</v>
      </c>
      <c r="F7091" t="s">
        <v>148</v>
      </c>
      <c r="G7091" t="s">
        <v>447</v>
      </c>
      <c r="H7091" t="s">
        <v>662</v>
      </c>
      <c r="I7091" t="s">
        <v>40</v>
      </c>
      <c r="J7091" s="2" t="s">
        <v>41</v>
      </c>
      <c r="K7091" t="s">
        <v>42</v>
      </c>
      <c r="L7091" t="s">
        <v>448</v>
      </c>
      <c r="Q7091">
        <v>25462</v>
      </c>
      <c r="R7091" t="s">
        <v>45</v>
      </c>
      <c r="S7091" t="s">
        <v>17810</v>
      </c>
      <c r="T7091">
        <v>26</v>
      </c>
      <c r="U7091" s="2" t="s">
        <v>42916</v>
      </c>
      <c r="V7091" s="1">
        <v>45138</v>
      </c>
      <c r="W7091" t="s">
        <v>360</v>
      </c>
      <c r="X7091">
        <v>834443</v>
      </c>
      <c r="Y7091" t="s">
        <v>42917</v>
      </c>
      <c r="Z7091" s="2" t="s">
        <v>42918</v>
      </c>
      <c r="AA7091" t="s">
        <v>28145</v>
      </c>
      <c r="AB7091" t="s">
        <v>486</v>
      </c>
      <c r="AD7091" t="s">
        <v>19700</v>
      </c>
      <c r="AE7091" t="s">
        <v>42919</v>
      </c>
      <c r="AG7091" t="s">
        <v>42920</v>
      </c>
      <c r="AH7091" t="s">
        <v>39860</v>
      </c>
      <c r="AI7091" t="s">
        <v>42921</v>
      </c>
    </row>
    <row r="7092" spans="2:35" ht="180">
      <c r="B7092" s="1">
        <v>45145</v>
      </c>
      <c r="C7092" s="4">
        <v>45141.45416666667</v>
      </c>
      <c r="D7092" t="s">
        <v>2176</v>
      </c>
      <c r="E7092" t="s">
        <v>42922</v>
      </c>
      <c r="F7092" t="s">
        <v>148</v>
      </c>
      <c r="G7092" t="s">
        <v>447</v>
      </c>
      <c r="H7092" t="s">
        <v>2581</v>
      </c>
      <c r="I7092" t="s">
        <v>40</v>
      </c>
      <c r="J7092" t="s">
        <v>525</v>
      </c>
      <c r="K7092" t="s">
        <v>42</v>
      </c>
      <c r="L7092" t="s">
        <v>448</v>
      </c>
      <c r="Q7092">
        <v>25461</v>
      </c>
      <c r="R7092" t="s">
        <v>45</v>
      </c>
      <c r="S7092" t="s">
        <v>2582</v>
      </c>
      <c r="T7092">
        <v>29</v>
      </c>
      <c r="U7092" s="2" t="s">
        <v>42923</v>
      </c>
      <c r="W7092" t="s">
        <v>360</v>
      </c>
      <c r="X7092">
        <v>803087</v>
      </c>
      <c r="Y7092" t="s">
        <v>42924</v>
      </c>
      <c r="Z7092" s="2" t="s">
        <v>42925</v>
      </c>
      <c r="AA7092" t="s">
        <v>4487</v>
      </c>
      <c r="AB7092" t="s">
        <v>42926</v>
      </c>
      <c r="AG7092" t="s">
        <v>42927</v>
      </c>
      <c r="AH7092" t="s">
        <v>15742</v>
      </c>
      <c r="AI7092" t="s">
        <v>42928</v>
      </c>
    </row>
    <row r="7093" spans="2:35" ht="409.5">
      <c r="B7093" s="1">
        <v>45145</v>
      </c>
      <c r="C7093" s="4">
        <v>45140.640972222223</v>
      </c>
      <c r="D7093" t="s">
        <v>1081</v>
      </c>
      <c r="E7093" t="s">
        <v>42929</v>
      </c>
      <c r="F7093" t="s">
        <v>148</v>
      </c>
      <c r="G7093" t="s">
        <v>785</v>
      </c>
      <c r="H7093" t="s">
        <v>662</v>
      </c>
      <c r="I7093" t="s">
        <v>40</v>
      </c>
      <c r="J7093" t="s">
        <v>1422</v>
      </c>
      <c r="K7093" t="s">
        <v>42</v>
      </c>
      <c r="L7093" t="s">
        <v>448</v>
      </c>
      <c r="Q7093">
        <v>25460</v>
      </c>
      <c r="R7093" t="s">
        <v>95</v>
      </c>
      <c r="S7093" t="s">
        <v>2016</v>
      </c>
      <c r="T7093">
        <v>29</v>
      </c>
      <c r="U7093" s="2" t="s">
        <v>42930</v>
      </c>
      <c r="W7093" t="s">
        <v>325</v>
      </c>
      <c r="X7093">
        <v>110015767</v>
      </c>
      <c r="Y7093" t="s">
        <v>42931</v>
      </c>
      <c r="Z7093" t="s">
        <v>42932</v>
      </c>
      <c r="AA7093" t="s">
        <v>42933</v>
      </c>
      <c r="AB7093" t="s">
        <v>486</v>
      </c>
      <c r="AG7093" t="s">
        <v>42934</v>
      </c>
      <c r="AH7093" t="s">
        <v>9532</v>
      </c>
      <c r="AI7093" t="s">
        <v>42935</v>
      </c>
    </row>
    <row r="7094" spans="2:35" ht="270">
      <c r="B7094" s="1">
        <v>45145</v>
      </c>
      <c r="C7094" s="4">
        <v>45145.586805555555</v>
      </c>
      <c r="D7094" t="s">
        <v>23024</v>
      </c>
      <c r="E7094" t="s">
        <v>42936</v>
      </c>
      <c r="F7094" t="s">
        <v>148</v>
      </c>
      <c r="G7094" t="s">
        <v>447</v>
      </c>
      <c r="H7094" t="s">
        <v>42937</v>
      </c>
      <c r="I7094" t="s">
        <v>40</v>
      </c>
      <c r="J7094" t="s">
        <v>525</v>
      </c>
      <c r="K7094" t="s">
        <v>387</v>
      </c>
      <c r="L7094" t="s">
        <v>175</v>
      </c>
      <c r="Q7094">
        <v>25459</v>
      </c>
      <c r="R7094" t="s">
        <v>95</v>
      </c>
      <c r="S7094" t="s">
        <v>42938</v>
      </c>
      <c r="T7094">
        <v>25</v>
      </c>
      <c r="W7094" t="s">
        <v>390</v>
      </c>
      <c r="X7094" t="s">
        <v>42939</v>
      </c>
      <c r="Y7094" t="s">
        <v>42940</v>
      </c>
      <c r="Z7094" s="2" t="s">
        <v>42941</v>
      </c>
      <c r="AA7094" t="s">
        <v>42942</v>
      </c>
      <c r="AB7094" t="s">
        <v>88</v>
      </c>
      <c r="AG7094" t="s">
        <v>42943</v>
      </c>
      <c r="AH7094" t="s">
        <v>42944</v>
      </c>
      <c r="AI7094" t="s">
        <v>42945</v>
      </c>
    </row>
    <row r="7095" spans="2:35" ht="180">
      <c r="B7095" s="1">
        <v>45145</v>
      </c>
      <c r="C7095" s="4">
        <v>45145.569444444445</v>
      </c>
      <c r="D7095" t="s">
        <v>42946</v>
      </c>
      <c r="E7095" t="s">
        <v>12839</v>
      </c>
      <c r="F7095">
        <v>6</v>
      </c>
      <c r="G7095" t="s">
        <v>1234</v>
      </c>
      <c r="H7095" t="s">
        <v>1047</v>
      </c>
      <c r="I7095" t="s">
        <v>94</v>
      </c>
      <c r="J7095" t="s">
        <v>996</v>
      </c>
      <c r="K7095" t="s">
        <v>42</v>
      </c>
      <c r="L7095" t="s">
        <v>23958</v>
      </c>
      <c r="Q7095">
        <v>25458</v>
      </c>
      <c r="R7095" t="s">
        <v>119</v>
      </c>
      <c r="S7095" t="s">
        <v>23016</v>
      </c>
      <c r="T7095">
        <v>4</v>
      </c>
      <c r="U7095" s="2" t="s">
        <v>42947</v>
      </c>
      <c r="W7095" t="s">
        <v>360</v>
      </c>
      <c r="X7095">
        <v>838280</v>
      </c>
      <c r="Y7095" t="s">
        <v>301</v>
      </c>
      <c r="Z7095" t="s">
        <v>42464</v>
      </c>
      <c r="AA7095" t="s">
        <v>42843</v>
      </c>
      <c r="AB7095" t="s">
        <v>42687</v>
      </c>
      <c r="AG7095" t="s">
        <v>42948</v>
      </c>
      <c r="AH7095" t="s">
        <v>42949</v>
      </c>
      <c r="AI7095" t="s">
        <v>42950</v>
      </c>
    </row>
    <row r="7096" spans="2:35" ht="180">
      <c r="B7096" s="1">
        <v>45145</v>
      </c>
      <c r="C7096" s="4">
        <v>45133.560416666667</v>
      </c>
      <c r="D7096" t="s">
        <v>4757</v>
      </c>
      <c r="E7096" t="s">
        <v>42951</v>
      </c>
      <c r="F7096" t="s">
        <v>148</v>
      </c>
      <c r="G7096" t="s">
        <v>785</v>
      </c>
      <c r="H7096" t="s">
        <v>39</v>
      </c>
      <c r="I7096" t="s">
        <v>40</v>
      </c>
      <c r="J7096" s="2" t="s">
        <v>41</v>
      </c>
      <c r="K7096" t="s">
        <v>42</v>
      </c>
      <c r="L7096" t="s">
        <v>43</v>
      </c>
      <c r="Q7096">
        <v>25457</v>
      </c>
      <c r="R7096" t="s">
        <v>119</v>
      </c>
      <c r="S7096" t="s">
        <v>35707</v>
      </c>
      <c r="T7096">
        <v>25</v>
      </c>
      <c r="U7096" s="2" t="s">
        <v>8581</v>
      </c>
      <c r="V7096" s="1">
        <v>45131</v>
      </c>
      <c r="W7096" t="s">
        <v>9792</v>
      </c>
      <c r="X7096">
        <v>831905</v>
      </c>
      <c r="Y7096" t="s">
        <v>33997</v>
      </c>
      <c r="Z7096" t="s">
        <v>7399</v>
      </c>
      <c r="AA7096" s="2" t="s">
        <v>11546</v>
      </c>
      <c r="AB7096" t="s">
        <v>42952</v>
      </c>
      <c r="AD7096" s="2" t="s">
        <v>42953</v>
      </c>
      <c r="AE7096" t="s">
        <v>42954</v>
      </c>
      <c r="AG7096" t="s">
        <v>42955</v>
      </c>
      <c r="AH7096" t="s">
        <v>42956</v>
      </c>
      <c r="AI7096" t="s">
        <v>42957</v>
      </c>
    </row>
    <row r="7097" spans="2:35" ht="180">
      <c r="B7097" s="1">
        <v>45145</v>
      </c>
      <c r="C7097" s="4">
        <v>45133.560416666667</v>
      </c>
      <c r="D7097" t="s">
        <v>4757</v>
      </c>
      <c r="E7097" t="s">
        <v>42951</v>
      </c>
      <c r="F7097" t="s">
        <v>148</v>
      </c>
      <c r="G7097" t="s">
        <v>785</v>
      </c>
      <c r="H7097" t="s">
        <v>39</v>
      </c>
      <c r="I7097" t="s">
        <v>40</v>
      </c>
      <c r="J7097" s="2" t="s">
        <v>41</v>
      </c>
      <c r="K7097" t="s">
        <v>42</v>
      </c>
      <c r="L7097" t="s">
        <v>43</v>
      </c>
      <c r="Q7097">
        <v>25456</v>
      </c>
      <c r="R7097" t="s">
        <v>119</v>
      </c>
      <c r="S7097" t="s">
        <v>35707</v>
      </c>
      <c r="T7097">
        <v>25</v>
      </c>
      <c r="U7097" s="2" t="s">
        <v>8581</v>
      </c>
      <c r="V7097" s="1">
        <v>45131</v>
      </c>
      <c r="W7097" t="s">
        <v>9792</v>
      </c>
      <c r="X7097">
        <v>831905</v>
      </c>
      <c r="Y7097" t="s">
        <v>33997</v>
      </c>
      <c r="Z7097" t="s">
        <v>7399</v>
      </c>
      <c r="AA7097" s="2" t="s">
        <v>11546</v>
      </c>
      <c r="AB7097" t="s">
        <v>42952</v>
      </c>
      <c r="AD7097" s="2" t="s">
        <v>42953</v>
      </c>
      <c r="AE7097" t="s">
        <v>42954</v>
      </c>
      <c r="AG7097" t="s">
        <v>42958</v>
      </c>
      <c r="AH7097" t="s">
        <v>42956</v>
      </c>
      <c r="AI7097" t="s">
        <v>42959</v>
      </c>
    </row>
    <row r="7098" spans="2:35" ht="150">
      <c r="B7098" s="1">
        <v>45145</v>
      </c>
      <c r="C7098" s="4">
        <v>45142.484027777777</v>
      </c>
      <c r="D7098" t="s">
        <v>32381</v>
      </c>
      <c r="E7098" t="s">
        <v>42960</v>
      </c>
      <c r="F7098" t="s">
        <v>37</v>
      </c>
      <c r="G7098" t="s">
        <v>748</v>
      </c>
      <c r="H7098" t="s">
        <v>39</v>
      </c>
      <c r="I7098" t="s">
        <v>40</v>
      </c>
      <c r="J7098" s="2" t="s">
        <v>41</v>
      </c>
      <c r="K7098" t="s">
        <v>42</v>
      </c>
      <c r="L7098" t="s">
        <v>1028</v>
      </c>
      <c r="Q7098">
        <v>25455</v>
      </c>
      <c r="R7098" t="s">
        <v>45</v>
      </c>
      <c r="S7098" t="s">
        <v>32383</v>
      </c>
      <c r="T7098">
        <v>25</v>
      </c>
      <c r="U7098" s="2" t="s">
        <v>42961</v>
      </c>
      <c r="W7098" t="s">
        <v>2680</v>
      </c>
      <c r="X7098">
        <v>814152</v>
      </c>
      <c r="Y7098" t="s">
        <v>42962</v>
      </c>
      <c r="Z7098" t="s">
        <v>2129</v>
      </c>
      <c r="AA7098" s="2" t="s">
        <v>36977</v>
      </c>
      <c r="AB7098" t="s">
        <v>3063</v>
      </c>
      <c r="AG7098" t="s">
        <v>42963</v>
      </c>
      <c r="AH7098" t="s">
        <v>42964</v>
      </c>
      <c r="AI7098" t="s">
        <v>42965</v>
      </c>
    </row>
    <row r="7099" spans="2:35" ht="150">
      <c r="B7099" s="1">
        <v>45145</v>
      </c>
      <c r="C7099" s="4">
        <v>45142.400694444441</v>
      </c>
      <c r="D7099" t="s">
        <v>6619</v>
      </c>
      <c r="E7099" t="s">
        <v>42966</v>
      </c>
      <c r="F7099" t="s">
        <v>37</v>
      </c>
      <c r="G7099" t="s">
        <v>748</v>
      </c>
      <c r="H7099" t="s">
        <v>39</v>
      </c>
      <c r="I7099" t="s">
        <v>40</v>
      </c>
      <c r="J7099" s="2" t="s">
        <v>41</v>
      </c>
      <c r="K7099" t="s">
        <v>42</v>
      </c>
      <c r="L7099" t="s">
        <v>1028</v>
      </c>
      <c r="Q7099">
        <v>25452</v>
      </c>
      <c r="R7099" t="s">
        <v>119</v>
      </c>
      <c r="S7099" t="s">
        <v>5176</v>
      </c>
      <c r="T7099">
        <v>26</v>
      </c>
      <c r="U7099" s="2" t="s">
        <v>42967</v>
      </c>
      <c r="W7099" t="s">
        <v>2680</v>
      </c>
      <c r="X7099">
        <v>838535</v>
      </c>
      <c r="Y7099" t="s">
        <v>42968</v>
      </c>
      <c r="Z7099" t="s">
        <v>2129</v>
      </c>
      <c r="AA7099" s="2" t="s">
        <v>40936</v>
      </c>
      <c r="AB7099" t="s">
        <v>30229</v>
      </c>
      <c r="AG7099" t="s">
        <v>42969</v>
      </c>
      <c r="AH7099" t="s">
        <v>5181</v>
      </c>
      <c r="AI7099" t="s">
        <v>42970</v>
      </c>
    </row>
    <row r="7100" spans="2:35" ht="210">
      <c r="B7100" s="1">
        <v>45145</v>
      </c>
      <c r="C7100" s="4">
        <v>45141.568055555559</v>
      </c>
      <c r="D7100" t="s">
        <v>3782</v>
      </c>
      <c r="E7100" t="s">
        <v>42971</v>
      </c>
      <c r="F7100" t="s">
        <v>37</v>
      </c>
      <c r="G7100" t="s">
        <v>748</v>
      </c>
      <c r="H7100" t="s">
        <v>39</v>
      </c>
      <c r="I7100" t="s">
        <v>40</v>
      </c>
      <c r="J7100" s="2" t="s">
        <v>41</v>
      </c>
      <c r="K7100" t="s">
        <v>42</v>
      </c>
      <c r="L7100" t="s">
        <v>1028</v>
      </c>
      <c r="Q7100">
        <v>25453</v>
      </c>
      <c r="R7100" t="s">
        <v>119</v>
      </c>
      <c r="S7100" t="s">
        <v>33887</v>
      </c>
      <c r="T7100">
        <v>24</v>
      </c>
      <c r="U7100" s="2" t="s">
        <v>42972</v>
      </c>
      <c r="V7100" s="1">
        <v>45132</v>
      </c>
      <c r="W7100" t="s">
        <v>2680</v>
      </c>
      <c r="X7100">
        <v>821340</v>
      </c>
      <c r="Y7100" s="2" t="s">
        <v>42973</v>
      </c>
      <c r="Z7100" t="s">
        <v>2129</v>
      </c>
      <c r="AA7100" s="2" t="s">
        <v>36977</v>
      </c>
      <c r="AB7100" t="s">
        <v>42974</v>
      </c>
      <c r="AD7100" t="s">
        <v>40789</v>
      </c>
      <c r="AE7100" t="s">
        <v>42975</v>
      </c>
      <c r="AG7100" t="s">
        <v>42976</v>
      </c>
      <c r="AH7100" t="s">
        <v>42977</v>
      </c>
      <c r="AI7100" t="s">
        <v>42978</v>
      </c>
    </row>
    <row r="7101" spans="2:35" ht="210">
      <c r="B7101" s="1">
        <v>45145</v>
      </c>
      <c r="C7101" s="4">
        <v>45141.554166666669</v>
      </c>
      <c r="D7101" t="s">
        <v>3782</v>
      </c>
      <c r="E7101" t="s">
        <v>42979</v>
      </c>
      <c r="F7101" t="s">
        <v>37</v>
      </c>
      <c r="G7101" t="s">
        <v>748</v>
      </c>
      <c r="H7101" t="s">
        <v>39</v>
      </c>
      <c r="I7101" t="s">
        <v>40</v>
      </c>
      <c r="J7101" s="2" t="s">
        <v>62</v>
      </c>
      <c r="K7101" t="s">
        <v>42</v>
      </c>
      <c r="L7101" t="s">
        <v>1028</v>
      </c>
      <c r="Q7101">
        <v>25454</v>
      </c>
      <c r="R7101" t="s">
        <v>45</v>
      </c>
      <c r="S7101" t="s">
        <v>33887</v>
      </c>
      <c r="T7101">
        <v>26</v>
      </c>
      <c r="U7101" s="2" t="s">
        <v>42980</v>
      </c>
      <c r="W7101" t="s">
        <v>2680</v>
      </c>
      <c r="X7101">
        <v>804691</v>
      </c>
      <c r="Y7101" t="s">
        <v>18140</v>
      </c>
      <c r="Z7101" t="s">
        <v>21244</v>
      </c>
      <c r="AA7101" s="2" t="s">
        <v>31300</v>
      </c>
      <c r="AB7101" t="s">
        <v>42981</v>
      </c>
      <c r="AG7101" t="s">
        <v>42982</v>
      </c>
      <c r="AH7101" t="s">
        <v>42983</v>
      </c>
      <c r="AI7101" t="s">
        <v>42984</v>
      </c>
    </row>
    <row r="7102" spans="2:35" ht="165">
      <c r="B7102" s="1">
        <v>45145</v>
      </c>
      <c r="C7102" s="4">
        <v>45141.481249999997</v>
      </c>
      <c r="D7102" t="s">
        <v>2257</v>
      </c>
      <c r="E7102" t="s">
        <v>42985</v>
      </c>
      <c r="F7102" t="s">
        <v>37</v>
      </c>
      <c r="G7102" t="s">
        <v>748</v>
      </c>
      <c r="H7102" t="s">
        <v>39</v>
      </c>
      <c r="I7102" t="s">
        <v>40</v>
      </c>
      <c r="J7102" s="2" t="s">
        <v>41</v>
      </c>
      <c r="K7102" t="s">
        <v>42</v>
      </c>
      <c r="L7102" t="s">
        <v>1028</v>
      </c>
      <c r="Q7102">
        <v>25454</v>
      </c>
      <c r="R7102" t="s">
        <v>119</v>
      </c>
      <c r="S7102" t="s">
        <v>42986</v>
      </c>
      <c r="T7102">
        <v>25</v>
      </c>
      <c r="U7102" s="2" t="s">
        <v>31254</v>
      </c>
      <c r="V7102" s="1">
        <v>45132</v>
      </c>
      <c r="W7102" t="s">
        <v>2680</v>
      </c>
      <c r="X7102">
        <v>838537</v>
      </c>
      <c r="Y7102" t="s">
        <v>40911</v>
      </c>
      <c r="Z7102" t="s">
        <v>2129</v>
      </c>
      <c r="AA7102" s="2" t="s">
        <v>42987</v>
      </c>
      <c r="AB7102" t="s">
        <v>30229</v>
      </c>
      <c r="AD7102" t="s">
        <v>40789</v>
      </c>
      <c r="AE7102" t="s">
        <v>42988</v>
      </c>
      <c r="AG7102" t="s">
        <v>42989</v>
      </c>
      <c r="AH7102" t="s">
        <v>42990</v>
      </c>
      <c r="AI7102" t="s">
        <v>42991</v>
      </c>
    </row>
    <row r="7103" spans="2:35" ht="120">
      <c r="B7103" s="1">
        <v>45145</v>
      </c>
      <c r="C7103" s="4">
        <v>45140.477777777778</v>
      </c>
      <c r="D7103" t="s">
        <v>26808</v>
      </c>
      <c r="E7103" t="s">
        <v>42992</v>
      </c>
      <c r="F7103" t="s">
        <v>37</v>
      </c>
      <c r="G7103" t="s">
        <v>748</v>
      </c>
      <c r="H7103" t="s">
        <v>39</v>
      </c>
      <c r="I7103" t="s">
        <v>40</v>
      </c>
      <c r="J7103" s="2" t="s">
        <v>41</v>
      </c>
      <c r="K7103" t="s">
        <v>42</v>
      </c>
      <c r="L7103" t="s">
        <v>1028</v>
      </c>
      <c r="Q7103">
        <v>25451</v>
      </c>
      <c r="R7103" t="s">
        <v>119</v>
      </c>
      <c r="S7103" t="s">
        <v>42993</v>
      </c>
      <c r="T7103">
        <v>25</v>
      </c>
      <c r="U7103" s="2" t="s">
        <v>42994</v>
      </c>
      <c r="V7103" s="1">
        <v>45132</v>
      </c>
      <c r="W7103" t="s">
        <v>2680</v>
      </c>
      <c r="X7103">
        <v>820705</v>
      </c>
      <c r="Y7103" t="s">
        <v>36109</v>
      </c>
      <c r="Z7103" t="s">
        <v>2129</v>
      </c>
      <c r="AA7103" s="2" t="s">
        <v>42995</v>
      </c>
      <c r="AB7103" t="s">
        <v>3063</v>
      </c>
      <c r="AD7103" t="s">
        <v>40789</v>
      </c>
      <c r="AE7103" t="s">
        <v>42996</v>
      </c>
      <c r="AG7103" t="s">
        <v>42997</v>
      </c>
      <c r="AH7103" t="s">
        <v>42998</v>
      </c>
      <c r="AI7103" t="s">
        <v>42999</v>
      </c>
    </row>
    <row r="7104" spans="2:35" ht="105">
      <c r="B7104" s="1">
        <v>45145</v>
      </c>
      <c r="C7104" s="4">
        <v>45145.558333333334</v>
      </c>
      <c r="D7104" t="s">
        <v>3970</v>
      </c>
      <c r="E7104" t="s">
        <v>3971</v>
      </c>
      <c r="F7104">
        <v>9</v>
      </c>
      <c r="G7104" t="s">
        <v>2197</v>
      </c>
      <c r="H7104" t="s">
        <v>39</v>
      </c>
      <c r="I7104" t="s">
        <v>40</v>
      </c>
      <c r="J7104" s="2" t="s">
        <v>31863</v>
      </c>
      <c r="K7104" t="s">
        <v>42</v>
      </c>
      <c r="L7104" t="s">
        <v>1257</v>
      </c>
      <c r="Q7104">
        <v>25450</v>
      </c>
      <c r="R7104" t="s">
        <v>119</v>
      </c>
      <c r="S7104" t="s">
        <v>3972</v>
      </c>
      <c r="T7104">
        <v>22</v>
      </c>
      <c r="U7104" s="2" t="s">
        <v>43000</v>
      </c>
      <c r="V7104" s="1">
        <v>45128</v>
      </c>
      <c r="W7104" t="s">
        <v>2384</v>
      </c>
      <c r="X7104">
        <v>838233</v>
      </c>
      <c r="Y7104" t="s">
        <v>43001</v>
      </c>
      <c r="Z7104" t="s">
        <v>43002</v>
      </c>
      <c r="AA7104" t="s">
        <v>43003</v>
      </c>
      <c r="AB7104" t="s">
        <v>43004</v>
      </c>
      <c r="AC7104" t="s">
        <v>301</v>
      </c>
      <c r="AD7104" t="s">
        <v>43005</v>
      </c>
      <c r="AE7104" t="s">
        <v>43006</v>
      </c>
      <c r="AG7104" t="s">
        <v>43007</v>
      </c>
      <c r="AH7104" t="s">
        <v>3979</v>
      </c>
      <c r="AI7104" t="s">
        <v>43008</v>
      </c>
    </row>
    <row r="7105" spans="2:35" ht="75">
      <c r="B7105" s="1">
        <v>45145</v>
      </c>
      <c r="C7105" s="4">
        <v>45145.552083333336</v>
      </c>
      <c r="D7105" t="s">
        <v>4286</v>
      </c>
      <c r="E7105" t="s">
        <v>40785</v>
      </c>
      <c r="F7105">
        <v>9</v>
      </c>
      <c r="G7105" t="s">
        <v>2197</v>
      </c>
      <c r="H7105" t="s">
        <v>39</v>
      </c>
      <c r="I7105" t="s">
        <v>40</v>
      </c>
      <c r="J7105" s="2" t="s">
        <v>17375</v>
      </c>
      <c r="K7105" t="s">
        <v>42</v>
      </c>
      <c r="L7105" t="s">
        <v>1257</v>
      </c>
      <c r="Q7105">
        <v>25449</v>
      </c>
      <c r="R7105" t="s">
        <v>119</v>
      </c>
      <c r="S7105" t="s">
        <v>2958</v>
      </c>
      <c r="T7105">
        <v>23</v>
      </c>
      <c r="V7105" s="1">
        <v>45128</v>
      </c>
      <c r="W7105" t="s">
        <v>2384</v>
      </c>
      <c r="X7105">
        <v>821214</v>
      </c>
      <c r="Y7105" t="s">
        <v>26149</v>
      </c>
      <c r="Z7105" t="s">
        <v>43009</v>
      </c>
      <c r="AA7105" t="s">
        <v>22443</v>
      </c>
      <c r="AB7105" t="s">
        <v>43010</v>
      </c>
      <c r="AC7105" t="s">
        <v>43011</v>
      </c>
      <c r="AD7105" t="s">
        <v>43012</v>
      </c>
      <c r="AE7105">
        <v>10226</v>
      </c>
      <c r="AG7105" t="s">
        <v>43013</v>
      </c>
      <c r="AH7105" t="s">
        <v>43014</v>
      </c>
      <c r="AI7105" t="s">
        <v>43015</v>
      </c>
    </row>
    <row r="7106" spans="2:35" ht="105">
      <c r="B7106" s="1">
        <v>45145</v>
      </c>
      <c r="C7106" s="4">
        <v>45145.490972222222</v>
      </c>
      <c r="D7106" t="s">
        <v>12460</v>
      </c>
      <c r="E7106" t="s">
        <v>15489</v>
      </c>
      <c r="F7106">
        <v>6</v>
      </c>
      <c r="G7106" t="s">
        <v>1234</v>
      </c>
      <c r="H7106" t="s">
        <v>1047</v>
      </c>
      <c r="I7106" t="s">
        <v>94</v>
      </c>
      <c r="J7106" t="s">
        <v>996</v>
      </c>
      <c r="K7106" t="s">
        <v>42</v>
      </c>
      <c r="L7106" t="s">
        <v>23958</v>
      </c>
      <c r="Q7106">
        <v>25448</v>
      </c>
      <c r="R7106" t="s">
        <v>119</v>
      </c>
      <c r="S7106" t="s">
        <v>15490</v>
      </c>
      <c r="T7106">
        <v>4</v>
      </c>
      <c r="U7106" s="2" t="s">
        <v>35462</v>
      </c>
      <c r="W7106" t="s">
        <v>360</v>
      </c>
      <c r="X7106">
        <v>838491</v>
      </c>
      <c r="Y7106" t="s">
        <v>301</v>
      </c>
      <c r="Z7106" t="s">
        <v>43016</v>
      </c>
      <c r="AA7106" t="s">
        <v>43017</v>
      </c>
      <c r="AB7106" t="s">
        <v>43018</v>
      </c>
      <c r="AG7106" t="s">
        <v>43019</v>
      </c>
      <c r="AH7106" t="s">
        <v>43020</v>
      </c>
      <c r="AI7106" t="s">
        <v>43021</v>
      </c>
    </row>
    <row r="7107" spans="2:35" ht="210">
      <c r="B7107" s="1">
        <v>45145</v>
      </c>
      <c r="C7107" s="4">
        <v>45140.445138888892</v>
      </c>
      <c r="D7107" t="s">
        <v>9772</v>
      </c>
      <c r="E7107" t="s">
        <v>43022</v>
      </c>
      <c r="F7107">
        <v>6</v>
      </c>
      <c r="G7107" t="s">
        <v>1234</v>
      </c>
      <c r="H7107" t="s">
        <v>43023</v>
      </c>
      <c r="I7107" t="s">
        <v>94</v>
      </c>
      <c r="J7107" t="s">
        <v>996</v>
      </c>
      <c r="K7107" t="s">
        <v>42</v>
      </c>
      <c r="L7107" t="s">
        <v>23958</v>
      </c>
      <c r="Q7107">
        <v>25447</v>
      </c>
      <c r="R7107" t="s">
        <v>119</v>
      </c>
      <c r="S7107" t="s">
        <v>28787</v>
      </c>
      <c r="T7107">
        <v>4</v>
      </c>
      <c r="U7107" s="2" t="s">
        <v>43024</v>
      </c>
      <c r="W7107" t="s">
        <v>360</v>
      </c>
      <c r="X7107">
        <v>821219</v>
      </c>
      <c r="Y7107" t="s">
        <v>43025</v>
      </c>
      <c r="Z7107" t="s">
        <v>43026</v>
      </c>
      <c r="AA7107" t="s">
        <v>43027</v>
      </c>
      <c r="AB7107" t="s">
        <v>43028</v>
      </c>
      <c r="AG7107" t="s">
        <v>43029</v>
      </c>
      <c r="AH7107" t="s">
        <v>28793</v>
      </c>
      <c r="AI7107" t="s">
        <v>43030</v>
      </c>
    </row>
    <row r="7108" spans="2:35" ht="210">
      <c r="B7108" s="1">
        <v>45145</v>
      </c>
      <c r="C7108" s="4">
        <v>45140.445138888892</v>
      </c>
      <c r="D7108" t="s">
        <v>9772</v>
      </c>
      <c r="E7108" t="s">
        <v>43022</v>
      </c>
      <c r="F7108">
        <v>6</v>
      </c>
      <c r="G7108" t="s">
        <v>1234</v>
      </c>
      <c r="H7108" t="s">
        <v>43023</v>
      </c>
      <c r="I7108" t="s">
        <v>94</v>
      </c>
      <c r="J7108" t="s">
        <v>996</v>
      </c>
      <c r="K7108" t="s">
        <v>42</v>
      </c>
      <c r="L7108" t="s">
        <v>23958</v>
      </c>
      <c r="Q7108">
        <v>25446</v>
      </c>
      <c r="R7108" t="s">
        <v>119</v>
      </c>
      <c r="S7108" t="s">
        <v>28787</v>
      </c>
      <c r="T7108">
        <v>4</v>
      </c>
      <c r="U7108" s="2" t="s">
        <v>43024</v>
      </c>
      <c r="W7108" t="s">
        <v>360</v>
      </c>
      <c r="X7108">
        <v>821219</v>
      </c>
      <c r="Y7108" t="s">
        <v>43025</v>
      </c>
      <c r="Z7108" t="s">
        <v>43026</v>
      </c>
      <c r="AA7108" t="s">
        <v>43027</v>
      </c>
      <c r="AB7108" t="s">
        <v>43028</v>
      </c>
      <c r="AG7108" t="s">
        <v>43031</v>
      </c>
      <c r="AH7108" t="s">
        <v>28793</v>
      </c>
      <c r="AI7108" t="s">
        <v>43032</v>
      </c>
    </row>
    <row r="7109" spans="2:35" ht="330">
      <c r="B7109" s="1">
        <v>45144</v>
      </c>
      <c r="C7109" s="4">
        <v>45142.646527777775</v>
      </c>
      <c r="D7109" t="s">
        <v>35746</v>
      </c>
      <c r="E7109" t="s">
        <v>35747</v>
      </c>
      <c r="F7109">
        <v>1</v>
      </c>
      <c r="G7109" t="s">
        <v>1909</v>
      </c>
      <c r="H7109" t="s">
        <v>39</v>
      </c>
      <c r="I7109" t="s">
        <v>40</v>
      </c>
      <c r="J7109" s="2" t="s">
        <v>41</v>
      </c>
      <c r="K7109" t="s">
        <v>42</v>
      </c>
      <c r="L7109" t="s">
        <v>1048</v>
      </c>
      <c r="Q7109">
        <v>25445</v>
      </c>
      <c r="R7109" t="s">
        <v>45</v>
      </c>
      <c r="S7109" t="s">
        <v>41950</v>
      </c>
      <c r="T7109">
        <v>30</v>
      </c>
      <c r="U7109" s="2" t="s">
        <v>33448</v>
      </c>
      <c r="V7109" s="1">
        <v>45142</v>
      </c>
      <c r="W7109" t="s">
        <v>360</v>
      </c>
      <c r="X7109">
        <v>707400</v>
      </c>
      <c r="Y7109" t="s">
        <v>35729</v>
      </c>
      <c r="Z7109" s="2" t="s">
        <v>43033</v>
      </c>
      <c r="AA7109" t="s">
        <v>43034</v>
      </c>
      <c r="AB7109" t="s">
        <v>181</v>
      </c>
      <c r="AD7109" t="s">
        <v>43035</v>
      </c>
      <c r="AE7109" t="s">
        <v>103</v>
      </c>
      <c r="AG7109" t="s">
        <v>43036</v>
      </c>
      <c r="AH7109" t="s">
        <v>41954</v>
      </c>
      <c r="AI7109" t="s">
        <v>43037</v>
      </c>
    </row>
    <row r="7110" spans="2:35" ht="105">
      <c r="B7110" s="1">
        <v>45144</v>
      </c>
      <c r="C7110" s="4">
        <v>45142.504861111112</v>
      </c>
      <c r="D7110" t="s">
        <v>7593</v>
      </c>
      <c r="E7110" t="s">
        <v>7594</v>
      </c>
      <c r="F7110">
        <v>1</v>
      </c>
      <c r="G7110" t="s">
        <v>1909</v>
      </c>
      <c r="H7110" t="s">
        <v>39</v>
      </c>
      <c r="I7110" t="s">
        <v>40</v>
      </c>
      <c r="J7110" s="2" t="s">
        <v>62</v>
      </c>
      <c r="K7110" t="s">
        <v>42</v>
      </c>
      <c r="L7110" t="s">
        <v>1048</v>
      </c>
      <c r="Q7110">
        <v>25444</v>
      </c>
      <c r="R7110" t="s">
        <v>119</v>
      </c>
      <c r="S7110" t="s">
        <v>7595</v>
      </c>
      <c r="T7110">
        <v>24</v>
      </c>
      <c r="U7110" s="2" t="s">
        <v>5330</v>
      </c>
      <c r="V7110" s="1">
        <v>45090</v>
      </c>
      <c r="W7110" t="s">
        <v>360</v>
      </c>
      <c r="X7110">
        <v>838426</v>
      </c>
      <c r="Y7110" t="s">
        <v>67</v>
      </c>
      <c r="Z7110" t="e">
        <f ca="1">- cleaned cartridge Bays, plunger Rods _xludf.and I-CORE
- performed XpertCheck
- generated reports</f>
        <v>#NAME?</v>
      </c>
      <c r="AA7110" t="s">
        <v>999</v>
      </c>
      <c r="AB7110" t="s">
        <v>70</v>
      </c>
      <c r="AC7110" t="s">
        <v>8019</v>
      </c>
      <c r="AD7110" t="s">
        <v>1958</v>
      </c>
      <c r="AE7110" t="s">
        <v>43038</v>
      </c>
      <c r="AG7110" t="s">
        <v>43039</v>
      </c>
      <c r="AH7110" t="s">
        <v>10444</v>
      </c>
      <c r="AI7110" t="s">
        <v>43040</v>
      </c>
    </row>
    <row r="7111" spans="2:35" ht="409.5">
      <c r="B7111" s="1">
        <v>45144</v>
      </c>
      <c r="C7111" s="4">
        <v>45144.347222222219</v>
      </c>
      <c r="D7111" t="s">
        <v>1533</v>
      </c>
      <c r="E7111" t="s">
        <v>43041</v>
      </c>
      <c r="F7111">
        <v>8</v>
      </c>
      <c r="G7111" t="s">
        <v>630</v>
      </c>
      <c r="H7111" t="s">
        <v>43042</v>
      </c>
      <c r="I7111" t="s">
        <v>40</v>
      </c>
      <c r="J7111" s="2" t="s">
        <v>190</v>
      </c>
      <c r="K7111" t="s">
        <v>42</v>
      </c>
      <c r="L7111" t="s">
        <v>259</v>
      </c>
      <c r="Q7111">
        <v>25443</v>
      </c>
      <c r="R7111" t="s">
        <v>45</v>
      </c>
      <c r="S7111" t="s">
        <v>1535</v>
      </c>
      <c r="T7111">
        <v>33</v>
      </c>
      <c r="U7111" s="2" t="s">
        <v>43043</v>
      </c>
      <c r="V7111" s="1">
        <v>45141</v>
      </c>
      <c r="W7111" t="s">
        <v>84</v>
      </c>
      <c r="X7111">
        <v>804256</v>
      </c>
      <c r="Y7111" t="s">
        <v>43044</v>
      </c>
      <c r="Z7111" t="e">
        <f ca="1">- Troubleshooting
- Preventive Maintenance</f>
        <v>#NAME?</v>
      </c>
      <c r="AA7111" s="2" t="s">
        <v>43045</v>
      </c>
      <c r="AB7111" t="s">
        <v>70</v>
      </c>
      <c r="AG7111" t="s">
        <v>43046</v>
      </c>
      <c r="AH7111" t="s">
        <v>43047</v>
      </c>
      <c r="AI7111" t="s">
        <v>43048</v>
      </c>
    </row>
    <row r="7112" spans="2:35" ht="409.5">
      <c r="B7112" s="1">
        <v>45142</v>
      </c>
      <c r="C7112" s="4">
        <v>45142.668749999997</v>
      </c>
      <c r="D7112" t="s">
        <v>41509</v>
      </c>
      <c r="E7112" t="s">
        <v>43049</v>
      </c>
      <c r="F7112" t="s">
        <v>148</v>
      </c>
      <c r="G7112" t="s">
        <v>2007</v>
      </c>
      <c r="H7112" t="s">
        <v>662</v>
      </c>
      <c r="I7112" t="s">
        <v>40</v>
      </c>
      <c r="J7112" t="s">
        <v>109</v>
      </c>
      <c r="K7112" t="s">
        <v>42</v>
      </c>
      <c r="L7112" t="s">
        <v>448</v>
      </c>
      <c r="Q7112">
        <v>25442</v>
      </c>
      <c r="R7112" t="s">
        <v>95</v>
      </c>
      <c r="S7112" t="s">
        <v>43050</v>
      </c>
      <c r="T7112">
        <v>28</v>
      </c>
      <c r="U7112" s="2" t="s">
        <v>43051</v>
      </c>
      <c r="W7112" t="s">
        <v>27867</v>
      </c>
      <c r="X7112">
        <v>110001647</v>
      </c>
      <c r="Y7112" t="s">
        <v>43052</v>
      </c>
      <c r="Z7112" s="2" t="s">
        <v>43053</v>
      </c>
      <c r="AA7112" t="s">
        <v>6997</v>
      </c>
      <c r="AB7112" t="s">
        <v>43054</v>
      </c>
      <c r="AG7112" t="s">
        <v>43055</v>
      </c>
      <c r="AH7112" t="s">
        <v>10537</v>
      </c>
      <c r="AI7112" t="s">
        <v>43056</v>
      </c>
    </row>
    <row r="7113" spans="2:35" ht="165">
      <c r="B7113" s="1">
        <v>45142</v>
      </c>
      <c r="C7113" s="4">
        <v>45142.644444444442</v>
      </c>
      <c r="D7113" t="s">
        <v>3569</v>
      </c>
      <c r="E7113" t="s">
        <v>3570</v>
      </c>
      <c r="F7113">
        <v>3</v>
      </c>
      <c r="G7113" t="s">
        <v>174</v>
      </c>
      <c r="H7113" t="s">
        <v>39</v>
      </c>
      <c r="I7113" t="s">
        <v>40</v>
      </c>
      <c r="J7113" s="2" t="s">
        <v>62</v>
      </c>
      <c r="K7113" t="s">
        <v>42</v>
      </c>
      <c r="L7113" t="s">
        <v>175</v>
      </c>
      <c r="Q7113">
        <v>25441</v>
      </c>
      <c r="R7113" t="s">
        <v>45</v>
      </c>
      <c r="S7113" t="s">
        <v>22667</v>
      </c>
      <c r="T7113">
        <v>25</v>
      </c>
      <c r="U7113" s="2" t="s">
        <v>43057</v>
      </c>
      <c r="V7113" s="1">
        <v>45142</v>
      </c>
      <c r="W7113" t="s">
        <v>84</v>
      </c>
      <c r="X7113">
        <v>807624</v>
      </c>
      <c r="Y7113" t="s">
        <v>6766</v>
      </c>
      <c r="Z7113" t="e">
        <f ca="1">- checked _xludf.and cleaned cartridge bay, plunger rod, _xludf.filter
- performed XpertCheck
- generated reports</f>
        <v>#NAME?</v>
      </c>
      <c r="AA7113" t="s">
        <v>999</v>
      </c>
      <c r="AB7113" s="2" t="s">
        <v>43058</v>
      </c>
      <c r="AD7113" t="s">
        <v>7189</v>
      </c>
      <c r="AE7113" t="s">
        <v>103</v>
      </c>
      <c r="AG7113" t="s">
        <v>43059</v>
      </c>
      <c r="AH7113" t="s">
        <v>22671</v>
      </c>
      <c r="AI7113" t="s">
        <v>43060</v>
      </c>
    </row>
    <row r="7114" spans="2:35" ht="240">
      <c r="B7114" s="1">
        <v>45142</v>
      </c>
      <c r="C7114" s="4">
        <v>45142.646527777775</v>
      </c>
      <c r="D7114" t="s">
        <v>34945</v>
      </c>
      <c r="E7114" t="s">
        <v>43061</v>
      </c>
      <c r="F7114">
        <v>5</v>
      </c>
      <c r="G7114" t="s">
        <v>814</v>
      </c>
      <c r="H7114" t="s">
        <v>39</v>
      </c>
      <c r="I7114" t="s">
        <v>40</v>
      </c>
      <c r="J7114" s="2" t="s">
        <v>41</v>
      </c>
      <c r="K7114" t="s">
        <v>42</v>
      </c>
      <c r="L7114" t="s">
        <v>761</v>
      </c>
      <c r="Q7114">
        <v>25440</v>
      </c>
      <c r="R7114" t="s">
        <v>45</v>
      </c>
      <c r="S7114" t="s">
        <v>43062</v>
      </c>
      <c r="T7114">
        <v>28</v>
      </c>
      <c r="U7114" s="2" t="s">
        <v>8917</v>
      </c>
      <c r="W7114" t="s">
        <v>360</v>
      </c>
      <c r="X7114">
        <v>814370</v>
      </c>
      <c r="Y7114" t="s">
        <v>37268</v>
      </c>
      <c r="Z7114" s="2" t="s">
        <v>43063</v>
      </c>
      <c r="AA7114" s="2" t="s">
        <v>43064</v>
      </c>
      <c r="AB7114" t="s">
        <v>181</v>
      </c>
      <c r="AG7114" t="s">
        <v>43065</v>
      </c>
      <c r="AH7114" t="s">
        <v>43066</v>
      </c>
      <c r="AI7114" t="s">
        <v>43067</v>
      </c>
    </row>
    <row r="7115" spans="2:35" ht="409.5">
      <c r="B7115" s="1">
        <v>45142</v>
      </c>
      <c r="C7115" s="4">
        <v>45142.626388888886</v>
      </c>
      <c r="D7115" t="s">
        <v>12261</v>
      </c>
      <c r="E7115" t="s">
        <v>773</v>
      </c>
      <c r="F7115" t="s">
        <v>148</v>
      </c>
      <c r="G7115" t="s">
        <v>774</v>
      </c>
      <c r="H7115" t="s">
        <v>61</v>
      </c>
      <c r="I7115" t="s">
        <v>40</v>
      </c>
      <c r="J7115" t="s">
        <v>43068</v>
      </c>
      <c r="K7115" t="s">
        <v>42</v>
      </c>
      <c r="L7115" t="s">
        <v>15532</v>
      </c>
      <c r="Q7115">
        <v>25439</v>
      </c>
      <c r="R7115" t="s">
        <v>95</v>
      </c>
      <c r="S7115" t="s">
        <v>1030</v>
      </c>
      <c r="T7115">
        <v>22</v>
      </c>
      <c r="U7115" s="2" t="s">
        <v>43069</v>
      </c>
      <c r="W7115" t="s">
        <v>597</v>
      </c>
      <c r="X7115">
        <v>803868</v>
      </c>
      <c r="Y7115" t="s">
        <v>43070</v>
      </c>
      <c r="Z7115" s="2" t="s">
        <v>43071</v>
      </c>
      <c r="AA7115" t="s">
        <v>43072</v>
      </c>
      <c r="AB7115" t="s">
        <v>43073</v>
      </c>
      <c r="AG7115" t="s">
        <v>43074</v>
      </c>
      <c r="AH7115" t="s">
        <v>1038</v>
      </c>
      <c r="AI7115" t="s">
        <v>43075</v>
      </c>
    </row>
    <row r="7116" spans="2:35" ht="409.5">
      <c r="B7116" s="1">
        <v>45142</v>
      </c>
      <c r="C7116" s="4">
        <v>45142.59097222222</v>
      </c>
      <c r="D7116" t="s">
        <v>33508</v>
      </c>
      <c r="E7116" t="s">
        <v>43076</v>
      </c>
      <c r="F7116">
        <v>3</v>
      </c>
      <c r="G7116" t="s">
        <v>1640</v>
      </c>
      <c r="H7116" t="s">
        <v>39</v>
      </c>
      <c r="I7116" t="s">
        <v>40</v>
      </c>
      <c r="J7116" s="2" t="s">
        <v>1157</v>
      </c>
      <c r="K7116" t="s">
        <v>42</v>
      </c>
      <c r="L7116" t="s">
        <v>135</v>
      </c>
      <c r="Q7116">
        <v>25438</v>
      </c>
      <c r="R7116" t="s">
        <v>119</v>
      </c>
      <c r="S7116" t="s">
        <v>1642</v>
      </c>
      <c r="T7116">
        <v>23</v>
      </c>
      <c r="U7116" s="2" t="s">
        <v>43077</v>
      </c>
      <c r="W7116" t="s">
        <v>2680</v>
      </c>
      <c r="X7116">
        <v>831844</v>
      </c>
      <c r="Y7116" t="s">
        <v>43078</v>
      </c>
      <c r="Z7116" s="2" t="s">
        <v>43079</v>
      </c>
      <c r="AA7116" s="2" t="s">
        <v>31375</v>
      </c>
      <c r="AB7116" t="s">
        <v>43080</v>
      </c>
      <c r="AC7116" t="s">
        <v>43081</v>
      </c>
      <c r="AG7116" t="s">
        <v>43082</v>
      </c>
      <c r="AH7116" t="s">
        <v>43083</v>
      </c>
      <c r="AI7116" t="s">
        <v>43084</v>
      </c>
    </row>
    <row r="7117" spans="2:35" ht="285">
      <c r="B7117" s="1">
        <v>45142</v>
      </c>
      <c r="C7117" s="4">
        <v>45142.602083333331</v>
      </c>
      <c r="D7117" t="s">
        <v>43085</v>
      </c>
      <c r="E7117" t="s">
        <v>43086</v>
      </c>
      <c r="F7117" t="s">
        <v>148</v>
      </c>
      <c r="G7117" t="s">
        <v>406</v>
      </c>
      <c r="H7117" t="s">
        <v>39</v>
      </c>
      <c r="I7117" t="s">
        <v>40</v>
      </c>
      <c r="J7117" s="2" t="s">
        <v>41</v>
      </c>
      <c r="K7117" t="s">
        <v>42</v>
      </c>
      <c r="L7117" t="s">
        <v>448</v>
      </c>
      <c r="Q7117">
        <v>25437</v>
      </c>
      <c r="R7117" t="s">
        <v>45</v>
      </c>
      <c r="S7117" t="s">
        <v>32878</v>
      </c>
      <c r="T7117">
        <v>26</v>
      </c>
      <c r="U7117" s="2" t="s">
        <v>43087</v>
      </c>
      <c r="V7117" s="1">
        <v>45138</v>
      </c>
      <c r="W7117" t="s">
        <v>360</v>
      </c>
      <c r="X7117">
        <v>807452</v>
      </c>
      <c r="Y7117" t="s">
        <v>43088</v>
      </c>
      <c r="Z7117" s="2" t="s">
        <v>43089</v>
      </c>
      <c r="AA7117" t="s">
        <v>20643</v>
      </c>
      <c r="AB7117" t="s">
        <v>43090</v>
      </c>
      <c r="AD7117" t="s">
        <v>19700</v>
      </c>
      <c r="AE7117" t="s">
        <v>43091</v>
      </c>
      <c r="AG7117" t="s">
        <v>43092</v>
      </c>
      <c r="AH7117" t="s">
        <v>38651</v>
      </c>
      <c r="AI7117" t="s">
        <v>43093</v>
      </c>
    </row>
    <row r="7118" spans="2:35" ht="120">
      <c r="B7118" s="1">
        <v>45142</v>
      </c>
      <c r="C7118" s="4">
        <v>45142.573611111111</v>
      </c>
      <c r="D7118" t="s">
        <v>2816</v>
      </c>
      <c r="E7118" t="s">
        <v>28082</v>
      </c>
      <c r="F7118" t="s">
        <v>148</v>
      </c>
      <c r="G7118" t="s">
        <v>371</v>
      </c>
      <c r="H7118" t="s">
        <v>39</v>
      </c>
      <c r="I7118" t="s">
        <v>40</v>
      </c>
      <c r="J7118" s="2" t="s">
        <v>41</v>
      </c>
      <c r="K7118" t="s">
        <v>42</v>
      </c>
      <c r="L7118" t="s">
        <v>175</v>
      </c>
      <c r="Q7118">
        <v>25436</v>
      </c>
      <c r="R7118" t="s">
        <v>119</v>
      </c>
      <c r="S7118" t="s">
        <v>2818</v>
      </c>
      <c r="T7118">
        <v>26</v>
      </c>
      <c r="U7118" s="2" t="s">
        <v>43094</v>
      </c>
      <c r="V7118" s="1">
        <v>45133</v>
      </c>
      <c r="W7118" t="s">
        <v>84</v>
      </c>
      <c r="X7118">
        <v>831907</v>
      </c>
      <c r="Y7118" t="s">
        <v>43095</v>
      </c>
      <c r="Z7118" t="e">
        <f ca="1">- replaced monitor
- checked cartridge bay, plunger rod,  _xludf.filter
- generated reports</f>
        <v>#NAME?</v>
      </c>
      <c r="AA7118" t="s">
        <v>9899</v>
      </c>
      <c r="AB7118" t="s">
        <v>88</v>
      </c>
      <c r="AD7118" s="2" t="s">
        <v>43096</v>
      </c>
      <c r="AE7118">
        <v>10292</v>
      </c>
      <c r="AG7118" t="s">
        <v>43097</v>
      </c>
      <c r="AH7118" t="s">
        <v>24413</v>
      </c>
      <c r="AI7118" t="s">
        <v>43098</v>
      </c>
    </row>
    <row r="7119" spans="2:35" ht="180">
      <c r="B7119" s="1">
        <v>45142</v>
      </c>
      <c r="C7119" s="4">
        <v>45142.50277777778</v>
      </c>
      <c r="D7119" t="s">
        <v>6133</v>
      </c>
      <c r="E7119" t="s">
        <v>43099</v>
      </c>
      <c r="F7119" t="s">
        <v>1255</v>
      </c>
      <c r="G7119" t="s">
        <v>4685</v>
      </c>
      <c r="H7119" t="s">
        <v>1047</v>
      </c>
      <c r="I7119" t="s">
        <v>40</v>
      </c>
      <c r="J7119" s="2" t="s">
        <v>1808</v>
      </c>
      <c r="K7119" t="s">
        <v>42</v>
      </c>
      <c r="L7119" t="s">
        <v>43100</v>
      </c>
      <c r="Q7119">
        <v>25435</v>
      </c>
      <c r="R7119" t="s">
        <v>119</v>
      </c>
      <c r="S7119" t="s">
        <v>43101</v>
      </c>
      <c r="T7119">
        <v>26</v>
      </c>
      <c r="U7119" s="2" t="s">
        <v>19051</v>
      </c>
      <c r="W7119" t="s">
        <v>43102</v>
      </c>
      <c r="X7119">
        <v>838298</v>
      </c>
      <c r="Y7119" t="s">
        <v>301</v>
      </c>
      <c r="Z7119" t="s">
        <v>301</v>
      </c>
      <c r="AA7119" s="2" t="s">
        <v>43103</v>
      </c>
      <c r="AB7119" t="s">
        <v>486</v>
      </c>
      <c r="AG7119" t="s">
        <v>43104</v>
      </c>
      <c r="AH7119" t="s">
        <v>43105</v>
      </c>
      <c r="AI7119" t="s">
        <v>43106</v>
      </c>
    </row>
    <row r="7120" spans="2:35" ht="180">
      <c r="B7120" s="1">
        <v>45142</v>
      </c>
      <c r="C7120" s="4">
        <v>45142.547222222223</v>
      </c>
      <c r="D7120" t="s">
        <v>10703</v>
      </c>
      <c r="E7120" t="s">
        <v>43107</v>
      </c>
      <c r="F7120">
        <v>10</v>
      </c>
      <c r="G7120" t="s">
        <v>2392</v>
      </c>
      <c r="H7120" t="s">
        <v>1047</v>
      </c>
      <c r="I7120" t="s">
        <v>40</v>
      </c>
      <c r="J7120" s="2" t="s">
        <v>1808</v>
      </c>
      <c r="K7120" t="s">
        <v>42</v>
      </c>
      <c r="L7120" t="s">
        <v>43100</v>
      </c>
      <c r="Q7120">
        <v>25434</v>
      </c>
      <c r="R7120" t="s">
        <v>119</v>
      </c>
      <c r="S7120" t="s">
        <v>10705</v>
      </c>
      <c r="T7120">
        <v>28</v>
      </c>
      <c r="U7120" s="2" t="s">
        <v>1500</v>
      </c>
      <c r="W7120" t="s">
        <v>43102</v>
      </c>
      <c r="X7120">
        <v>838294</v>
      </c>
      <c r="Y7120" t="s">
        <v>301</v>
      </c>
      <c r="Z7120" t="s">
        <v>301</v>
      </c>
      <c r="AA7120" s="2" t="s">
        <v>43108</v>
      </c>
      <c r="AB7120" t="s">
        <v>486</v>
      </c>
      <c r="AG7120" t="s">
        <v>43109</v>
      </c>
      <c r="AH7120" t="s">
        <v>43110</v>
      </c>
      <c r="AI7120" t="s">
        <v>43111</v>
      </c>
    </row>
    <row r="7121" spans="2:35" ht="270">
      <c r="B7121" s="1">
        <v>45142</v>
      </c>
      <c r="C7121" s="4">
        <v>45142.478472222225</v>
      </c>
      <c r="D7121" t="s">
        <v>43112</v>
      </c>
      <c r="E7121" t="s">
        <v>43113</v>
      </c>
      <c r="F7121">
        <v>5</v>
      </c>
      <c r="G7121" t="s">
        <v>814</v>
      </c>
      <c r="H7121" t="s">
        <v>43114</v>
      </c>
      <c r="I7121" t="s">
        <v>40</v>
      </c>
      <c r="J7121" s="2" t="s">
        <v>1309</v>
      </c>
      <c r="K7121" t="s">
        <v>42</v>
      </c>
      <c r="L7121" t="s">
        <v>761</v>
      </c>
      <c r="Q7121">
        <v>25433</v>
      </c>
      <c r="R7121" t="s">
        <v>45</v>
      </c>
      <c r="S7121" t="s">
        <v>43115</v>
      </c>
      <c r="T7121">
        <v>27</v>
      </c>
      <c r="U7121" s="2" t="s">
        <v>33133</v>
      </c>
      <c r="W7121" t="s">
        <v>31079</v>
      </c>
      <c r="X7121">
        <v>707452</v>
      </c>
      <c r="Y7121" t="s">
        <v>43116</v>
      </c>
      <c r="Z7121" s="2" t="s">
        <v>43117</v>
      </c>
      <c r="AA7121" s="2" t="s">
        <v>43118</v>
      </c>
      <c r="AB7121" s="2" t="s">
        <v>43119</v>
      </c>
      <c r="AG7121" t="s">
        <v>43120</v>
      </c>
      <c r="AH7121" t="s">
        <v>43121</v>
      </c>
      <c r="AI7121" t="s">
        <v>43122</v>
      </c>
    </row>
    <row r="7122" spans="2:35" ht="300">
      <c r="B7122" s="1">
        <v>45142</v>
      </c>
      <c r="C7122" s="4">
        <v>45141.545138888891</v>
      </c>
      <c r="D7122" t="s">
        <v>41555</v>
      </c>
      <c r="E7122" t="s">
        <v>31516</v>
      </c>
      <c r="F7122">
        <v>5</v>
      </c>
      <c r="G7122" t="s">
        <v>839</v>
      </c>
      <c r="H7122" t="s">
        <v>39</v>
      </c>
      <c r="I7122" t="s">
        <v>40</v>
      </c>
      <c r="J7122" s="2" t="s">
        <v>1309</v>
      </c>
      <c r="K7122" t="s">
        <v>42</v>
      </c>
      <c r="L7122" t="s">
        <v>761</v>
      </c>
      <c r="Q7122">
        <v>25432</v>
      </c>
      <c r="R7122" t="s">
        <v>45</v>
      </c>
      <c r="S7122" t="s">
        <v>22523</v>
      </c>
      <c r="T7122">
        <v>29</v>
      </c>
      <c r="U7122" s="2" t="s">
        <v>43123</v>
      </c>
      <c r="W7122" t="s">
        <v>360</v>
      </c>
      <c r="X7122">
        <v>807601</v>
      </c>
      <c r="Y7122" t="s">
        <v>43124</v>
      </c>
      <c r="Z7122" s="2" t="s">
        <v>43125</v>
      </c>
      <c r="AA7122" s="2" t="s">
        <v>43126</v>
      </c>
      <c r="AB7122" s="2" t="s">
        <v>43127</v>
      </c>
      <c r="AG7122" t="s">
        <v>43128</v>
      </c>
      <c r="AH7122" t="s">
        <v>43129</v>
      </c>
      <c r="AI7122" t="s">
        <v>43130</v>
      </c>
    </row>
    <row r="7123" spans="2:35" ht="105">
      <c r="B7123" s="1">
        <v>45142</v>
      </c>
      <c r="C7123" s="4">
        <v>45142.474999999999</v>
      </c>
      <c r="D7123" t="s">
        <v>3877</v>
      </c>
      <c r="E7123" t="s">
        <v>43131</v>
      </c>
      <c r="F7123" t="s">
        <v>1181</v>
      </c>
      <c r="G7123" t="s">
        <v>1182</v>
      </c>
      <c r="H7123" t="s">
        <v>39</v>
      </c>
      <c r="I7123" t="s">
        <v>40</v>
      </c>
      <c r="J7123" s="2" t="s">
        <v>41</v>
      </c>
      <c r="K7123" t="s">
        <v>42</v>
      </c>
      <c r="L7123" t="s">
        <v>80</v>
      </c>
      <c r="Q7123">
        <v>25431</v>
      </c>
      <c r="R7123" t="s">
        <v>45</v>
      </c>
      <c r="S7123" t="s">
        <v>3879</v>
      </c>
      <c r="T7123">
        <v>30</v>
      </c>
      <c r="U7123" s="2" t="s">
        <v>14214</v>
      </c>
      <c r="V7123" s="1">
        <v>45142</v>
      </c>
      <c r="W7123" t="s">
        <v>502</v>
      </c>
      <c r="X7123">
        <v>807454</v>
      </c>
      <c r="Y7123" t="s">
        <v>6590</v>
      </c>
      <c r="Z7123" t="s">
        <v>43132</v>
      </c>
      <c r="AA7123" s="2" t="s">
        <v>43133</v>
      </c>
      <c r="AB7123" t="s">
        <v>32359</v>
      </c>
      <c r="AD7123" t="s">
        <v>43134</v>
      </c>
      <c r="AE7123" t="s">
        <v>45</v>
      </c>
      <c r="AG7123" t="s">
        <v>43135</v>
      </c>
      <c r="AH7123" t="s">
        <v>43136</v>
      </c>
      <c r="AI7123" t="s">
        <v>43137</v>
      </c>
    </row>
    <row r="7124" spans="2:35" ht="75">
      <c r="B7124" s="1">
        <v>45142</v>
      </c>
      <c r="C7124" s="4">
        <v>45141.569444444445</v>
      </c>
      <c r="D7124" t="s">
        <v>32844</v>
      </c>
      <c r="E7124" t="s">
        <v>35975</v>
      </c>
      <c r="F7124">
        <v>6</v>
      </c>
      <c r="G7124" t="s">
        <v>9400</v>
      </c>
      <c r="H7124" t="s">
        <v>11433</v>
      </c>
      <c r="I7124" t="s">
        <v>94</v>
      </c>
      <c r="J7124" s="2" t="s">
        <v>1848</v>
      </c>
      <c r="K7124" t="s">
        <v>42</v>
      </c>
      <c r="L7124" t="s">
        <v>343</v>
      </c>
      <c r="Q7124">
        <v>25430</v>
      </c>
      <c r="R7124" t="s">
        <v>45</v>
      </c>
      <c r="S7124" t="s">
        <v>43138</v>
      </c>
      <c r="T7124">
        <v>25</v>
      </c>
      <c r="V7124" s="1">
        <v>45141</v>
      </c>
      <c r="W7124" t="s">
        <v>6105</v>
      </c>
      <c r="X7124">
        <v>815427</v>
      </c>
      <c r="Y7124" t="s">
        <v>43139</v>
      </c>
      <c r="Z7124" t="e">
        <f ca="1">-Install new CPU with SN: CPH0622F37227</f>
        <v>#NAME?</v>
      </c>
      <c r="AA7124" t="e">
        <f ca="1">-CPU Installation _xludf.and Setup
-Setup _xludf.and Install printer
-run Dummy test _xludf.For module B1 _xludf.and B4</f>
        <v>#NAME?</v>
      </c>
      <c r="AB7124" t="s">
        <v>9638</v>
      </c>
      <c r="AD7124" t="s">
        <v>43140</v>
      </c>
      <c r="AE7124" t="s">
        <v>45</v>
      </c>
      <c r="AG7124" t="s">
        <v>43141</v>
      </c>
      <c r="AH7124" t="s">
        <v>43142</v>
      </c>
      <c r="AI7124" t="s">
        <v>43143</v>
      </c>
    </row>
    <row r="7125" spans="2:35" ht="315">
      <c r="B7125" s="1">
        <v>45141</v>
      </c>
      <c r="C7125" s="4">
        <v>45141.538888888892</v>
      </c>
      <c r="D7125" t="s">
        <v>1203</v>
      </c>
      <c r="E7125" t="s">
        <v>43144</v>
      </c>
      <c r="F7125">
        <v>11</v>
      </c>
      <c r="G7125" t="s">
        <v>1205</v>
      </c>
      <c r="H7125" t="s">
        <v>1317</v>
      </c>
      <c r="I7125" t="s">
        <v>40</v>
      </c>
      <c r="J7125" s="2" t="s">
        <v>62</v>
      </c>
      <c r="K7125" t="s">
        <v>42</v>
      </c>
      <c r="L7125" t="s">
        <v>204</v>
      </c>
      <c r="Q7125">
        <v>25429</v>
      </c>
      <c r="R7125" t="s">
        <v>45</v>
      </c>
      <c r="S7125" t="s">
        <v>1206</v>
      </c>
      <c r="T7125">
        <v>24.7</v>
      </c>
      <c r="U7125" s="2" t="s">
        <v>43145</v>
      </c>
      <c r="W7125" t="s">
        <v>23237</v>
      </c>
      <c r="X7125">
        <v>808298</v>
      </c>
      <c r="Y7125" t="s">
        <v>10042</v>
      </c>
      <c r="Z7125" s="2" t="s">
        <v>43146</v>
      </c>
      <c r="AA7125" t="s">
        <v>1620</v>
      </c>
      <c r="AB7125" t="s">
        <v>15776</v>
      </c>
      <c r="AG7125" t="s">
        <v>43147</v>
      </c>
      <c r="AH7125" t="s">
        <v>43148</v>
      </c>
      <c r="AI7125" t="s">
        <v>43149</v>
      </c>
    </row>
    <row r="7126" spans="2:35" ht="105">
      <c r="B7126" s="1">
        <v>45141</v>
      </c>
      <c r="C7126" s="4">
        <v>45141.625</v>
      </c>
      <c r="D7126" t="s">
        <v>4694</v>
      </c>
      <c r="E7126" t="s">
        <v>13697</v>
      </c>
      <c r="F7126">
        <v>12</v>
      </c>
      <c r="G7126" t="s">
        <v>2137</v>
      </c>
      <c r="H7126" t="s">
        <v>39</v>
      </c>
      <c r="I7126" t="s">
        <v>40</v>
      </c>
      <c r="J7126" s="2" t="s">
        <v>41</v>
      </c>
      <c r="K7126" t="s">
        <v>42</v>
      </c>
      <c r="L7126" t="s">
        <v>296</v>
      </c>
      <c r="Q7126">
        <v>25428</v>
      </c>
      <c r="R7126" t="s">
        <v>119</v>
      </c>
      <c r="S7126" t="s">
        <v>43150</v>
      </c>
      <c r="T7126">
        <v>28</v>
      </c>
      <c r="U7126" s="2" t="s">
        <v>43151</v>
      </c>
      <c r="V7126" s="1">
        <v>45141</v>
      </c>
      <c r="W7126" t="s">
        <v>23049</v>
      </c>
      <c r="X7126">
        <v>838545</v>
      </c>
      <c r="Y7126" t="s">
        <v>30720</v>
      </c>
      <c r="Z7126" t="s">
        <v>43152</v>
      </c>
      <c r="AA7126" t="s">
        <v>9161</v>
      </c>
      <c r="AB7126" t="s">
        <v>972</v>
      </c>
      <c r="AD7126" t="s">
        <v>43153</v>
      </c>
      <c r="AE7126" t="s">
        <v>43154</v>
      </c>
      <c r="AG7126" t="s">
        <v>43155</v>
      </c>
      <c r="AH7126" t="s">
        <v>19975</v>
      </c>
      <c r="AI7126" t="s">
        <v>43156</v>
      </c>
    </row>
    <row r="7127" spans="2:35" ht="210">
      <c r="B7127" s="1">
        <v>45141</v>
      </c>
      <c r="C7127" s="4">
        <v>45141.665972222225</v>
      </c>
      <c r="D7127" t="s">
        <v>985</v>
      </c>
      <c r="E7127" t="s">
        <v>43157</v>
      </c>
      <c r="F7127" t="s">
        <v>148</v>
      </c>
      <c r="G7127" t="s">
        <v>785</v>
      </c>
      <c r="H7127" t="s">
        <v>39</v>
      </c>
      <c r="I7127" t="s">
        <v>40</v>
      </c>
      <c r="J7127" s="2" t="s">
        <v>41</v>
      </c>
      <c r="K7127" t="s">
        <v>42</v>
      </c>
      <c r="L7127" t="s">
        <v>15532</v>
      </c>
      <c r="Q7127">
        <v>25427</v>
      </c>
      <c r="R7127" t="s">
        <v>45</v>
      </c>
      <c r="S7127" t="s">
        <v>986</v>
      </c>
      <c r="T7127">
        <v>25</v>
      </c>
      <c r="U7127" s="2" t="s">
        <v>43158</v>
      </c>
      <c r="V7127" s="1">
        <v>45141</v>
      </c>
      <c r="W7127" t="s">
        <v>597</v>
      </c>
      <c r="X7127">
        <v>805010</v>
      </c>
      <c r="Y7127" t="s">
        <v>43159</v>
      </c>
      <c r="Z7127" s="2" t="s">
        <v>43160</v>
      </c>
      <c r="AA7127" t="s">
        <v>43161</v>
      </c>
      <c r="AB7127" t="s">
        <v>181</v>
      </c>
      <c r="AD7127" t="s">
        <v>43162</v>
      </c>
      <c r="AE7127" t="s">
        <v>43163</v>
      </c>
      <c r="AG7127" t="s">
        <v>43164</v>
      </c>
      <c r="AH7127" t="s">
        <v>43165</v>
      </c>
      <c r="AI7127" t="s">
        <v>43166</v>
      </c>
    </row>
    <row r="7128" spans="2:35" ht="105">
      <c r="B7128" s="1">
        <v>45141</v>
      </c>
      <c r="C7128" s="4">
        <v>45141.599305555559</v>
      </c>
      <c r="D7128" t="s">
        <v>1216</v>
      </c>
      <c r="E7128" t="s">
        <v>26986</v>
      </c>
      <c r="F7128">
        <v>3</v>
      </c>
      <c r="G7128" t="s">
        <v>174</v>
      </c>
      <c r="H7128" t="s">
        <v>39</v>
      </c>
      <c r="I7128" t="s">
        <v>40</v>
      </c>
      <c r="J7128" s="2" t="s">
        <v>41</v>
      </c>
      <c r="K7128" t="s">
        <v>42</v>
      </c>
      <c r="L7128" t="s">
        <v>175</v>
      </c>
      <c r="Q7128">
        <v>25426</v>
      </c>
      <c r="R7128" t="s">
        <v>119</v>
      </c>
      <c r="S7128" t="s">
        <v>1218</v>
      </c>
      <c r="T7128">
        <v>26</v>
      </c>
      <c r="U7128" s="2" t="s">
        <v>43167</v>
      </c>
      <c r="V7128" s="1">
        <v>45131</v>
      </c>
      <c r="W7128" t="s">
        <v>84</v>
      </c>
      <c r="X7128">
        <v>831874</v>
      </c>
      <c r="Y7128" t="s">
        <v>2034</v>
      </c>
      <c r="Z7128" t="e">
        <f ca="1">- replaced B2
- checked _xludf.and cleaned cartridge bay, plunger rod, _xludf.filter
- generated reports</f>
        <v>#NAME?</v>
      </c>
      <c r="AA7128" t="s">
        <v>32340</v>
      </c>
      <c r="AB7128" t="s">
        <v>88</v>
      </c>
      <c r="AD7128" s="2" t="s">
        <v>43168</v>
      </c>
      <c r="AE7128">
        <v>10264</v>
      </c>
      <c r="AG7128" t="s">
        <v>43169</v>
      </c>
      <c r="AH7128" t="s">
        <v>43170</v>
      </c>
      <c r="AI7128" t="s">
        <v>43171</v>
      </c>
    </row>
    <row r="7129" spans="2:35" ht="105">
      <c r="B7129" s="1">
        <v>45141</v>
      </c>
      <c r="C7129" s="4">
        <v>45141.492361111108</v>
      </c>
      <c r="D7129" t="s">
        <v>1769</v>
      </c>
      <c r="E7129" t="s">
        <v>33049</v>
      </c>
      <c r="F7129">
        <v>3</v>
      </c>
      <c r="G7129" t="s">
        <v>174</v>
      </c>
      <c r="H7129" t="s">
        <v>39</v>
      </c>
      <c r="I7129" t="s">
        <v>40</v>
      </c>
      <c r="J7129" s="2" t="s">
        <v>41</v>
      </c>
      <c r="K7129" t="s">
        <v>42</v>
      </c>
      <c r="L7129" t="s">
        <v>175</v>
      </c>
      <c r="Q7129">
        <v>25425</v>
      </c>
      <c r="R7129" t="s">
        <v>45</v>
      </c>
      <c r="S7129" t="s">
        <v>1771</v>
      </c>
      <c r="T7129">
        <v>23</v>
      </c>
      <c r="U7129" s="2" t="s">
        <v>43172</v>
      </c>
      <c r="V7129" s="1">
        <v>45131</v>
      </c>
      <c r="W7129" t="s">
        <v>84</v>
      </c>
      <c r="X7129">
        <v>838167</v>
      </c>
      <c r="Y7129" t="s">
        <v>2165</v>
      </c>
      <c r="Z7129" t="e">
        <f ca="1">- replaced B4
- checked _xludf.and cleaned cartridge bay, plunger rod, _xludf.filter
- generated reports</f>
        <v>#NAME?</v>
      </c>
      <c r="AA7129" t="s">
        <v>43173</v>
      </c>
      <c r="AB7129" t="s">
        <v>88</v>
      </c>
      <c r="AD7129" s="2" t="s">
        <v>43174</v>
      </c>
      <c r="AE7129" t="s">
        <v>43175</v>
      </c>
      <c r="AG7129" t="s">
        <v>43176</v>
      </c>
      <c r="AH7129" t="s">
        <v>1773</v>
      </c>
      <c r="AI7129" t="s">
        <v>43177</v>
      </c>
    </row>
    <row r="7130" spans="2:35" ht="180">
      <c r="B7130" s="1">
        <v>45141</v>
      </c>
      <c r="C7130" s="4">
        <v>45141.498611111114</v>
      </c>
      <c r="D7130" t="s">
        <v>32961</v>
      </c>
      <c r="E7130" t="s">
        <v>43178</v>
      </c>
      <c r="F7130" t="s">
        <v>37</v>
      </c>
      <c r="G7130" t="s">
        <v>189</v>
      </c>
      <c r="H7130" t="s">
        <v>39</v>
      </c>
      <c r="I7130" t="s">
        <v>40</v>
      </c>
      <c r="J7130" s="2" t="s">
        <v>41</v>
      </c>
      <c r="K7130" t="s">
        <v>42</v>
      </c>
      <c r="L7130" t="s">
        <v>1943</v>
      </c>
      <c r="Q7130">
        <v>25424</v>
      </c>
      <c r="R7130" t="s">
        <v>119</v>
      </c>
      <c r="S7130" t="s">
        <v>41233</v>
      </c>
      <c r="T7130">
        <v>25</v>
      </c>
      <c r="U7130" s="2" t="s">
        <v>29245</v>
      </c>
      <c r="V7130" s="1">
        <v>45131</v>
      </c>
      <c r="W7130" t="s">
        <v>84</v>
      </c>
      <c r="X7130">
        <v>821299</v>
      </c>
      <c r="Y7130" s="2" t="s">
        <v>43179</v>
      </c>
      <c r="Z7130" s="2" t="s">
        <v>43180</v>
      </c>
      <c r="AA7130" t="s">
        <v>22330</v>
      </c>
      <c r="AB7130" t="s">
        <v>88</v>
      </c>
      <c r="AD7130" t="s">
        <v>43181</v>
      </c>
      <c r="AE7130" t="s">
        <v>43182</v>
      </c>
      <c r="AG7130" t="s">
        <v>43183</v>
      </c>
      <c r="AH7130" t="s">
        <v>43184</v>
      </c>
      <c r="AI7130" t="s">
        <v>43185</v>
      </c>
    </row>
    <row r="7131" spans="2:35" ht="105">
      <c r="B7131" s="1">
        <v>45141</v>
      </c>
      <c r="C7131" s="4">
        <v>45141.466666666667</v>
      </c>
      <c r="D7131" t="s">
        <v>14403</v>
      </c>
      <c r="E7131" t="s">
        <v>43186</v>
      </c>
      <c r="F7131">
        <v>7</v>
      </c>
      <c r="G7131" t="s">
        <v>432</v>
      </c>
      <c r="H7131" t="s">
        <v>2290</v>
      </c>
      <c r="I7131" t="s">
        <v>94</v>
      </c>
      <c r="J7131" t="s">
        <v>79</v>
      </c>
      <c r="K7131" t="s">
        <v>42</v>
      </c>
      <c r="L7131" t="s">
        <v>610</v>
      </c>
      <c r="Q7131">
        <v>25423</v>
      </c>
      <c r="R7131" t="s">
        <v>45</v>
      </c>
      <c r="S7131" t="s">
        <v>16307</v>
      </c>
      <c r="T7131">
        <v>24</v>
      </c>
      <c r="U7131" s="2" t="s">
        <v>43187</v>
      </c>
      <c r="W7131" t="s">
        <v>502</v>
      </c>
      <c r="X7131">
        <v>808637</v>
      </c>
      <c r="Y7131" t="s">
        <v>43188</v>
      </c>
      <c r="Z7131" t="s">
        <v>43189</v>
      </c>
      <c r="AA7131" t="s">
        <v>43190</v>
      </c>
      <c r="AB7131" t="s">
        <v>43191</v>
      </c>
      <c r="AG7131" t="s">
        <v>43192</v>
      </c>
      <c r="AH7131" t="s">
        <v>14408</v>
      </c>
      <c r="AI7131" t="s">
        <v>43193</v>
      </c>
    </row>
    <row r="7132" spans="2:35" ht="409.5">
      <c r="B7132" s="1">
        <v>45141</v>
      </c>
      <c r="C7132" s="4">
        <v>45141.462500000001</v>
      </c>
      <c r="D7132" t="s">
        <v>43194</v>
      </c>
      <c r="E7132" t="s">
        <v>43195</v>
      </c>
      <c r="F7132">
        <v>3</v>
      </c>
      <c r="G7132" t="s">
        <v>134</v>
      </c>
      <c r="H7132" t="s">
        <v>39</v>
      </c>
      <c r="I7132" t="s">
        <v>40</v>
      </c>
      <c r="J7132" s="2" t="s">
        <v>62</v>
      </c>
      <c r="K7132" t="s">
        <v>42</v>
      </c>
      <c r="L7132" t="s">
        <v>135</v>
      </c>
      <c r="Q7132">
        <v>25422</v>
      </c>
      <c r="R7132" t="s">
        <v>45</v>
      </c>
      <c r="S7132" t="s">
        <v>43196</v>
      </c>
      <c r="T7132">
        <v>26</v>
      </c>
      <c r="U7132" s="2" t="s">
        <v>43197</v>
      </c>
      <c r="V7132" s="1">
        <v>45113</v>
      </c>
      <c r="W7132" t="s">
        <v>2680</v>
      </c>
      <c r="X7132">
        <v>838870</v>
      </c>
      <c r="Y7132" t="s">
        <v>1751</v>
      </c>
      <c r="Z7132" s="2" t="s">
        <v>29789</v>
      </c>
      <c r="AA7132" s="2" t="s">
        <v>31375</v>
      </c>
      <c r="AB7132" t="s">
        <v>181</v>
      </c>
      <c r="AC7132" t="s">
        <v>34421</v>
      </c>
      <c r="AD7132" t="s">
        <v>43198</v>
      </c>
      <c r="AE7132">
        <v>41814</v>
      </c>
      <c r="AG7132" t="s">
        <v>43199</v>
      </c>
      <c r="AH7132" t="s">
        <v>43200</v>
      </c>
      <c r="AI7132" t="s">
        <v>43201</v>
      </c>
    </row>
    <row r="7133" spans="2:35" ht="135">
      <c r="B7133" s="1">
        <v>45141</v>
      </c>
      <c r="C7133" s="4">
        <v>45141.431250000001</v>
      </c>
      <c r="D7133" t="s">
        <v>33845</v>
      </c>
      <c r="E7133" t="s">
        <v>43202</v>
      </c>
      <c r="F7133" t="s">
        <v>148</v>
      </c>
      <c r="G7133" t="s">
        <v>447</v>
      </c>
      <c r="H7133" t="s">
        <v>39</v>
      </c>
      <c r="I7133" t="s">
        <v>40</v>
      </c>
      <c r="J7133" s="2" t="s">
        <v>62</v>
      </c>
      <c r="K7133" t="s">
        <v>42</v>
      </c>
      <c r="L7133" t="s">
        <v>15532</v>
      </c>
      <c r="Q7133">
        <v>25421</v>
      </c>
      <c r="R7133" t="s">
        <v>45</v>
      </c>
      <c r="S7133" t="s">
        <v>43203</v>
      </c>
      <c r="T7133">
        <v>22</v>
      </c>
      <c r="U7133" s="2" t="s">
        <v>43204</v>
      </c>
      <c r="V7133" s="1">
        <v>45114</v>
      </c>
      <c r="W7133" t="s">
        <v>597</v>
      </c>
      <c r="X7133">
        <v>707527</v>
      </c>
      <c r="Y7133" t="s">
        <v>6766</v>
      </c>
      <c r="Z7133" s="2" t="s">
        <v>43205</v>
      </c>
      <c r="AA7133" t="s">
        <v>999</v>
      </c>
      <c r="AB7133" s="2" t="s">
        <v>43206</v>
      </c>
      <c r="AD7133" t="s">
        <v>7189</v>
      </c>
      <c r="AE7133" t="s">
        <v>43207</v>
      </c>
      <c r="AG7133" t="s">
        <v>43208</v>
      </c>
      <c r="AH7133" t="s">
        <v>39296</v>
      </c>
      <c r="AI7133" t="s">
        <v>43209</v>
      </c>
    </row>
    <row r="7134" spans="2:35" ht="120">
      <c r="B7134" s="1">
        <v>45141</v>
      </c>
      <c r="C7134" s="4">
        <v>45141.400694444441</v>
      </c>
      <c r="D7134" t="s">
        <v>26682</v>
      </c>
      <c r="E7134" t="s">
        <v>43210</v>
      </c>
      <c r="F7134">
        <v>7</v>
      </c>
      <c r="G7134" t="s">
        <v>432</v>
      </c>
      <c r="H7134" t="s">
        <v>39</v>
      </c>
      <c r="I7134" t="s">
        <v>40</v>
      </c>
      <c r="J7134" s="2" t="s">
        <v>4208</v>
      </c>
      <c r="K7134" t="s">
        <v>42</v>
      </c>
      <c r="L7134" t="s">
        <v>433</v>
      </c>
      <c r="Q7134">
        <v>25420</v>
      </c>
      <c r="R7134" t="s">
        <v>45</v>
      </c>
      <c r="S7134" t="s">
        <v>3872</v>
      </c>
      <c r="T7134">
        <v>28.7</v>
      </c>
      <c r="W7134" t="s">
        <v>1008</v>
      </c>
      <c r="X7134">
        <v>805270</v>
      </c>
      <c r="Y7134" t="s">
        <v>43211</v>
      </c>
      <c r="Z7134" t="s">
        <v>43212</v>
      </c>
      <c r="AA7134" t="s">
        <v>43212</v>
      </c>
      <c r="AB7134" t="s">
        <v>43213</v>
      </c>
      <c r="AG7134" t="s">
        <v>43214</v>
      </c>
      <c r="AH7134" t="s">
        <v>26687</v>
      </c>
      <c r="AI7134" t="s">
        <v>43215</v>
      </c>
    </row>
    <row r="7135" spans="2:35" ht="180">
      <c r="B7135" s="1">
        <v>45141</v>
      </c>
      <c r="C7135" s="4">
        <v>45141.394444444442</v>
      </c>
      <c r="D7135" t="s">
        <v>43216</v>
      </c>
      <c r="E7135" t="s">
        <v>43217</v>
      </c>
      <c r="F7135" t="s">
        <v>37</v>
      </c>
      <c r="G7135" t="s">
        <v>189</v>
      </c>
      <c r="H7135" t="s">
        <v>39</v>
      </c>
      <c r="I7135" t="s">
        <v>40</v>
      </c>
      <c r="J7135" s="2" t="s">
        <v>41</v>
      </c>
      <c r="K7135" t="s">
        <v>42</v>
      </c>
      <c r="L7135" t="s">
        <v>1943</v>
      </c>
      <c r="Q7135">
        <v>25419</v>
      </c>
      <c r="R7135" t="s">
        <v>119</v>
      </c>
      <c r="S7135" t="s">
        <v>43218</v>
      </c>
      <c r="T7135">
        <v>25</v>
      </c>
      <c r="U7135" s="2" t="s">
        <v>6936</v>
      </c>
      <c r="V7135" s="1">
        <v>45131</v>
      </c>
      <c r="W7135" t="s">
        <v>84</v>
      </c>
      <c r="X7135">
        <v>820204</v>
      </c>
      <c r="Y7135" s="2" t="s">
        <v>43179</v>
      </c>
      <c r="Z7135" s="2" t="s">
        <v>43180</v>
      </c>
      <c r="AA7135" t="s">
        <v>22330</v>
      </c>
      <c r="AB7135" t="s">
        <v>88</v>
      </c>
      <c r="AD7135" t="s">
        <v>43219</v>
      </c>
      <c r="AE7135" t="s">
        <v>43220</v>
      </c>
      <c r="AG7135" t="s">
        <v>43221</v>
      </c>
      <c r="AH7135" t="s">
        <v>43222</v>
      </c>
      <c r="AI7135" t="s">
        <v>43223</v>
      </c>
    </row>
    <row r="7136" spans="2:35" ht="300">
      <c r="B7136" s="1">
        <v>45140</v>
      </c>
      <c r="C7136" s="4">
        <v>45140.517361111109</v>
      </c>
      <c r="D7136" t="s">
        <v>5060</v>
      </c>
      <c r="E7136" t="s">
        <v>15186</v>
      </c>
      <c r="F7136">
        <v>3</v>
      </c>
      <c r="G7136" t="s">
        <v>284</v>
      </c>
      <c r="H7136" t="s">
        <v>8015</v>
      </c>
      <c r="I7136" t="s">
        <v>40</v>
      </c>
      <c r="J7136" s="2" t="s">
        <v>41</v>
      </c>
      <c r="K7136" t="s">
        <v>42</v>
      </c>
      <c r="L7136" t="s">
        <v>135</v>
      </c>
      <c r="Q7136">
        <v>25418</v>
      </c>
      <c r="R7136" t="s">
        <v>45</v>
      </c>
      <c r="S7136" t="s">
        <v>11281</v>
      </c>
      <c r="T7136">
        <v>26</v>
      </c>
      <c r="U7136" s="2" t="s">
        <v>43224</v>
      </c>
      <c r="W7136" t="s">
        <v>2680</v>
      </c>
      <c r="X7136">
        <v>834433</v>
      </c>
      <c r="Y7136" t="s">
        <v>43225</v>
      </c>
      <c r="Z7136" t="s">
        <v>5712</v>
      </c>
      <c r="AA7136" s="2" t="s">
        <v>42527</v>
      </c>
      <c r="AB7136" t="s">
        <v>181</v>
      </c>
      <c r="AG7136" t="s">
        <v>43226</v>
      </c>
      <c r="AH7136" t="s">
        <v>15193</v>
      </c>
      <c r="AI7136" t="s">
        <v>43227</v>
      </c>
    </row>
    <row r="7137" spans="2:35" ht="270">
      <c r="B7137" s="1">
        <v>45140</v>
      </c>
      <c r="C7137" s="4">
        <v>45140.693055555559</v>
      </c>
      <c r="D7137" t="s">
        <v>43228</v>
      </c>
      <c r="E7137" t="s">
        <v>43229</v>
      </c>
      <c r="F7137">
        <v>5</v>
      </c>
      <c r="G7137" t="s">
        <v>839</v>
      </c>
      <c r="H7137" t="s">
        <v>39</v>
      </c>
      <c r="I7137" t="s">
        <v>40</v>
      </c>
      <c r="J7137" s="2" t="s">
        <v>1309</v>
      </c>
      <c r="K7137" t="s">
        <v>42</v>
      </c>
      <c r="L7137" t="s">
        <v>761</v>
      </c>
      <c r="Q7137">
        <v>25417</v>
      </c>
      <c r="R7137" t="s">
        <v>45</v>
      </c>
      <c r="S7137" t="s">
        <v>36930</v>
      </c>
      <c r="T7137">
        <v>26</v>
      </c>
      <c r="W7137" t="s">
        <v>360</v>
      </c>
      <c r="X7137">
        <v>812774</v>
      </c>
      <c r="Y7137" t="s">
        <v>19339</v>
      </c>
      <c r="Z7137" s="2" t="s">
        <v>43230</v>
      </c>
      <c r="AA7137" s="2" t="s">
        <v>43231</v>
      </c>
      <c r="AB7137" s="2" t="s">
        <v>43232</v>
      </c>
      <c r="AG7137" t="s">
        <v>43233</v>
      </c>
      <c r="AH7137" t="s">
        <v>43234</v>
      </c>
      <c r="AI7137" t="s">
        <v>43235</v>
      </c>
    </row>
    <row r="7138" spans="2:35" ht="300">
      <c r="B7138" s="1">
        <v>45140</v>
      </c>
      <c r="C7138" s="4">
        <v>45140.649305555555</v>
      </c>
      <c r="D7138" t="s">
        <v>1222</v>
      </c>
      <c r="E7138" t="s">
        <v>43236</v>
      </c>
      <c r="F7138">
        <v>3</v>
      </c>
      <c r="G7138" t="s">
        <v>284</v>
      </c>
      <c r="H7138" t="s">
        <v>39</v>
      </c>
      <c r="I7138" t="s">
        <v>40</v>
      </c>
      <c r="J7138" s="2" t="s">
        <v>41</v>
      </c>
      <c r="K7138" t="s">
        <v>42</v>
      </c>
      <c r="L7138" t="s">
        <v>135</v>
      </c>
      <c r="Q7138">
        <v>25416</v>
      </c>
      <c r="R7138" t="s">
        <v>119</v>
      </c>
      <c r="S7138" t="s">
        <v>29068</v>
      </c>
      <c r="T7138">
        <v>26</v>
      </c>
      <c r="U7138" s="2" t="s">
        <v>43237</v>
      </c>
      <c r="V7138" s="1">
        <v>45124</v>
      </c>
      <c r="W7138" t="s">
        <v>2680</v>
      </c>
      <c r="X7138">
        <v>831607</v>
      </c>
      <c r="Y7138" t="s">
        <v>43238</v>
      </c>
      <c r="Z7138" t="s">
        <v>5712</v>
      </c>
      <c r="AA7138" s="2" t="s">
        <v>42527</v>
      </c>
      <c r="AB7138" t="s">
        <v>9590</v>
      </c>
      <c r="AD7138" t="s">
        <v>22730</v>
      </c>
      <c r="AE7138">
        <v>10139</v>
      </c>
      <c r="AG7138" t="s">
        <v>43239</v>
      </c>
      <c r="AH7138" t="s">
        <v>29073</v>
      </c>
      <c r="AI7138" t="s">
        <v>43240</v>
      </c>
    </row>
    <row r="7139" spans="2:35" ht="285">
      <c r="B7139" s="1">
        <v>45140</v>
      </c>
      <c r="C7139" s="4">
        <v>45140.621527777781</v>
      </c>
      <c r="D7139" t="s">
        <v>1155</v>
      </c>
      <c r="E7139" t="s">
        <v>8331</v>
      </c>
      <c r="F7139" t="s">
        <v>148</v>
      </c>
      <c r="G7139" t="s">
        <v>230</v>
      </c>
      <c r="H7139" t="s">
        <v>39</v>
      </c>
      <c r="I7139" t="s">
        <v>40</v>
      </c>
      <c r="J7139" s="2" t="s">
        <v>62</v>
      </c>
      <c r="K7139" t="s">
        <v>42</v>
      </c>
      <c r="L7139" t="s">
        <v>175</v>
      </c>
      <c r="Q7139">
        <v>25415</v>
      </c>
      <c r="R7139" t="s">
        <v>119</v>
      </c>
      <c r="S7139" t="s">
        <v>1159</v>
      </c>
      <c r="T7139">
        <v>26</v>
      </c>
      <c r="U7139" s="2" t="s">
        <v>43241</v>
      </c>
      <c r="V7139" s="1">
        <v>45140</v>
      </c>
      <c r="W7139" t="s">
        <v>84</v>
      </c>
      <c r="X7139">
        <v>808649</v>
      </c>
      <c r="Y7139" t="s">
        <v>6766</v>
      </c>
      <c r="Z7139" t="e">
        <f ca="1">- checked _xludf.and cleaned cartridge bay, plunger rod, _xludf.filter
- performed XpertCheck
- generated reports</f>
        <v>#NAME?</v>
      </c>
      <c r="AA7139" t="s">
        <v>999</v>
      </c>
      <c r="AB7139" s="2" t="s">
        <v>43242</v>
      </c>
      <c r="AD7139" t="s">
        <v>7189</v>
      </c>
      <c r="AE7139" t="s">
        <v>103</v>
      </c>
      <c r="AG7139" t="s">
        <v>43243</v>
      </c>
      <c r="AH7139" t="s">
        <v>16488</v>
      </c>
      <c r="AI7139" t="s">
        <v>43244</v>
      </c>
    </row>
    <row r="7140" spans="2:35" ht="45">
      <c r="B7140" s="1">
        <v>45140</v>
      </c>
      <c r="C7140" s="4">
        <v>45140.588194444441</v>
      </c>
      <c r="D7140" t="s">
        <v>5546</v>
      </c>
      <c r="E7140" t="s">
        <v>1555</v>
      </c>
      <c r="F7140">
        <v>7</v>
      </c>
      <c r="G7140" t="s">
        <v>432</v>
      </c>
      <c r="H7140" t="s">
        <v>39</v>
      </c>
      <c r="I7140" t="s">
        <v>40</v>
      </c>
      <c r="J7140" s="2" t="s">
        <v>1370</v>
      </c>
      <c r="K7140" t="s">
        <v>42</v>
      </c>
      <c r="L7140" t="s">
        <v>433</v>
      </c>
      <c r="Q7140">
        <v>25414</v>
      </c>
      <c r="R7140" t="s">
        <v>45</v>
      </c>
      <c r="S7140" t="s">
        <v>5548</v>
      </c>
      <c r="T7140">
        <v>28</v>
      </c>
      <c r="W7140" t="s">
        <v>1008</v>
      </c>
      <c r="X7140">
        <v>804840</v>
      </c>
      <c r="Y7140" t="s">
        <v>43245</v>
      </c>
      <c r="Z7140" t="s">
        <v>43246</v>
      </c>
      <c r="AA7140" t="s">
        <v>43247</v>
      </c>
      <c r="AB7140" t="s">
        <v>1011</v>
      </c>
      <c r="AG7140" t="s">
        <v>43248</v>
      </c>
      <c r="AH7140" t="s">
        <v>7130</v>
      </c>
      <c r="AI7140" t="s">
        <v>43249</v>
      </c>
    </row>
    <row r="7141" spans="2:35" ht="345">
      <c r="B7141" s="1">
        <v>45140</v>
      </c>
      <c r="C7141" s="4">
        <v>45140.603472222225</v>
      </c>
      <c r="D7141" t="s">
        <v>2106</v>
      </c>
      <c r="E7141" t="s">
        <v>9399</v>
      </c>
      <c r="F7141">
        <v>6</v>
      </c>
      <c r="G7141" t="s">
        <v>9400</v>
      </c>
      <c r="H7141" t="s">
        <v>11433</v>
      </c>
      <c r="I7141" t="s">
        <v>94</v>
      </c>
      <c r="J7141" t="s">
        <v>79</v>
      </c>
      <c r="K7141" t="s">
        <v>42</v>
      </c>
      <c r="L7141" t="s">
        <v>343</v>
      </c>
      <c r="Q7141">
        <v>25413</v>
      </c>
      <c r="R7141" t="s">
        <v>45</v>
      </c>
      <c r="S7141" t="s">
        <v>9401</v>
      </c>
      <c r="T7141">
        <v>28</v>
      </c>
      <c r="U7141" s="2" t="s">
        <v>43250</v>
      </c>
      <c r="V7141" s="1">
        <v>45140</v>
      </c>
      <c r="W7141" t="s">
        <v>6105</v>
      </c>
      <c r="X7141">
        <v>804714</v>
      </c>
      <c r="Y7141" t="s">
        <v>43251</v>
      </c>
      <c r="Z7141" s="2" t="s">
        <v>43252</v>
      </c>
      <c r="AA7141" t="e">
        <f ca="1">-module Replacement
-Gateway board Replacement</f>
        <v>#NAME?</v>
      </c>
      <c r="AB7141" t="s">
        <v>9638</v>
      </c>
      <c r="AD7141" s="2" t="s">
        <v>43253</v>
      </c>
      <c r="AE7141" t="s">
        <v>45</v>
      </c>
      <c r="AG7141" t="s">
        <v>43254</v>
      </c>
      <c r="AH7141" t="s">
        <v>9404</v>
      </c>
      <c r="AI7141" t="s">
        <v>43255</v>
      </c>
    </row>
    <row r="7142" spans="2:35" ht="345">
      <c r="B7142" s="1">
        <v>45140</v>
      </c>
      <c r="C7142" s="4">
        <v>45140.603472222225</v>
      </c>
      <c r="D7142" t="s">
        <v>2106</v>
      </c>
      <c r="E7142" t="s">
        <v>9399</v>
      </c>
      <c r="F7142">
        <v>6</v>
      </c>
      <c r="G7142" t="s">
        <v>9400</v>
      </c>
      <c r="H7142" t="s">
        <v>11433</v>
      </c>
      <c r="I7142" t="s">
        <v>94</v>
      </c>
      <c r="J7142" t="s">
        <v>79</v>
      </c>
      <c r="K7142" t="s">
        <v>42</v>
      </c>
      <c r="L7142" t="s">
        <v>343</v>
      </c>
      <c r="Q7142">
        <v>25412</v>
      </c>
      <c r="R7142" t="s">
        <v>45</v>
      </c>
      <c r="S7142" t="s">
        <v>9401</v>
      </c>
      <c r="T7142">
        <v>28</v>
      </c>
      <c r="U7142" s="2" t="s">
        <v>43250</v>
      </c>
      <c r="V7142" s="1">
        <v>45140</v>
      </c>
      <c r="W7142" t="s">
        <v>6105</v>
      </c>
      <c r="X7142">
        <v>804714</v>
      </c>
      <c r="Y7142" t="s">
        <v>43251</v>
      </c>
      <c r="Z7142" s="2" t="s">
        <v>43252</v>
      </c>
      <c r="AA7142" t="e">
        <f ca="1">-module Replacement
-Gateway board Replacement</f>
        <v>#NAME?</v>
      </c>
      <c r="AB7142" t="s">
        <v>9638</v>
      </c>
      <c r="AD7142" s="2" t="s">
        <v>43253</v>
      </c>
      <c r="AE7142" t="s">
        <v>45</v>
      </c>
      <c r="AG7142" t="s">
        <v>43256</v>
      </c>
      <c r="AH7142" t="s">
        <v>9404</v>
      </c>
      <c r="AI7142" t="s">
        <v>43257</v>
      </c>
    </row>
    <row r="7143" spans="2:35" ht="330">
      <c r="B7143" s="1">
        <v>45140</v>
      </c>
      <c r="C7143" s="4">
        <v>45140.556250000001</v>
      </c>
      <c r="D7143" t="s">
        <v>39715</v>
      </c>
      <c r="E7143" t="s">
        <v>24952</v>
      </c>
      <c r="F7143" t="s">
        <v>148</v>
      </c>
      <c r="G7143" t="s">
        <v>20126</v>
      </c>
      <c r="H7143" t="s">
        <v>39</v>
      </c>
      <c r="I7143" t="s">
        <v>40</v>
      </c>
      <c r="J7143" s="2" t="s">
        <v>1592</v>
      </c>
      <c r="K7143" t="s">
        <v>42</v>
      </c>
      <c r="L7143" t="s">
        <v>15532</v>
      </c>
      <c r="Q7143">
        <v>25410</v>
      </c>
      <c r="R7143" t="s">
        <v>45</v>
      </c>
      <c r="S7143" t="s">
        <v>22337</v>
      </c>
      <c r="T7143">
        <v>28</v>
      </c>
      <c r="U7143" s="2" t="s">
        <v>35087</v>
      </c>
      <c r="V7143" s="1">
        <v>45138</v>
      </c>
      <c r="W7143" t="s">
        <v>597</v>
      </c>
      <c r="X7143">
        <v>805106</v>
      </c>
      <c r="Y7143" s="2" t="s">
        <v>43258</v>
      </c>
      <c r="Z7143" s="2" t="s">
        <v>43259</v>
      </c>
      <c r="AA7143" s="2" t="s">
        <v>43260</v>
      </c>
      <c r="AB7143" s="2" t="s">
        <v>43261</v>
      </c>
      <c r="AD7143" t="s">
        <v>27573</v>
      </c>
      <c r="AE7143" t="s">
        <v>43262</v>
      </c>
      <c r="AG7143" t="s">
        <v>43263</v>
      </c>
      <c r="AH7143" t="s">
        <v>22342</v>
      </c>
      <c r="AI7143" t="s">
        <v>43264</v>
      </c>
    </row>
    <row r="7144" spans="2:35" ht="300">
      <c r="B7144" s="1">
        <v>45140</v>
      </c>
      <c r="C7144" s="4">
        <v>45140.513194444444</v>
      </c>
      <c r="D7144" t="s">
        <v>5932</v>
      </c>
      <c r="E7144" t="s">
        <v>15042</v>
      </c>
      <c r="F7144">
        <v>11</v>
      </c>
      <c r="G7144" t="s">
        <v>2836</v>
      </c>
      <c r="H7144" t="s">
        <v>202</v>
      </c>
      <c r="I7144" t="s">
        <v>40</v>
      </c>
      <c r="J7144" s="2" t="s">
        <v>190</v>
      </c>
      <c r="K7144" t="s">
        <v>42</v>
      </c>
      <c r="L7144" t="s">
        <v>204</v>
      </c>
      <c r="Q7144">
        <v>25409</v>
      </c>
      <c r="R7144" t="s">
        <v>119</v>
      </c>
      <c r="S7144" t="s">
        <v>7643</v>
      </c>
      <c r="T7144">
        <v>26.8</v>
      </c>
      <c r="U7144" s="2" t="s">
        <v>43265</v>
      </c>
      <c r="W7144" t="s">
        <v>23237</v>
      </c>
      <c r="X7144">
        <v>838553</v>
      </c>
      <c r="Y7144" t="s">
        <v>2851</v>
      </c>
      <c r="Z7144" s="2" t="s">
        <v>43266</v>
      </c>
      <c r="AA7144" t="s">
        <v>2551</v>
      </c>
      <c r="AB7144" t="s">
        <v>1211</v>
      </c>
      <c r="AC7144" t="s">
        <v>43267</v>
      </c>
      <c r="AG7144" t="s">
        <v>43268</v>
      </c>
      <c r="AH7144" t="s">
        <v>43269</v>
      </c>
      <c r="AI7144" t="s">
        <v>43270</v>
      </c>
    </row>
    <row r="7145" spans="2:35" ht="390">
      <c r="B7145" s="1">
        <v>45140</v>
      </c>
      <c r="C7145" s="4">
        <v>45140.540277777778</v>
      </c>
      <c r="D7145" t="s">
        <v>1941</v>
      </c>
      <c r="E7145" t="s">
        <v>43271</v>
      </c>
      <c r="F7145" t="s">
        <v>148</v>
      </c>
      <c r="G7145" t="s">
        <v>310</v>
      </c>
      <c r="H7145" t="s">
        <v>39</v>
      </c>
      <c r="I7145" t="s">
        <v>40</v>
      </c>
      <c r="J7145" s="2" t="s">
        <v>355</v>
      </c>
      <c r="K7145" t="s">
        <v>42</v>
      </c>
      <c r="L7145" t="s">
        <v>1943</v>
      </c>
      <c r="Q7145">
        <v>25408</v>
      </c>
      <c r="R7145" t="s">
        <v>45</v>
      </c>
      <c r="S7145" t="s">
        <v>23643</v>
      </c>
      <c r="T7145">
        <v>25</v>
      </c>
      <c r="U7145" s="2" t="s">
        <v>34196</v>
      </c>
      <c r="W7145" t="s">
        <v>84</v>
      </c>
      <c r="X7145">
        <v>805060</v>
      </c>
      <c r="Y7145" t="s">
        <v>43272</v>
      </c>
      <c r="Z7145" s="2" t="s">
        <v>43273</v>
      </c>
      <c r="AA7145" t="s">
        <v>4487</v>
      </c>
      <c r="AB7145" t="s">
        <v>43274</v>
      </c>
      <c r="AG7145" t="s">
        <v>43275</v>
      </c>
      <c r="AH7145" t="s">
        <v>43276</v>
      </c>
      <c r="AI7145" t="s">
        <v>43277</v>
      </c>
    </row>
    <row r="7146" spans="2:35" ht="195">
      <c r="B7146" s="1">
        <v>45140</v>
      </c>
      <c r="C7146" s="4">
        <v>45140.525000000001</v>
      </c>
      <c r="D7146" t="s">
        <v>13856</v>
      </c>
      <c r="E7146" t="s">
        <v>17759</v>
      </c>
      <c r="F7146" t="s">
        <v>1255</v>
      </c>
      <c r="G7146" t="s">
        <v>1887</v>
      </c>
      <c r="H7146" t="s">
        <v>43278</v>
      </c>
      <c r="I7146" t="s">
        <v>94</v>
      </c>
      <c r="J7146" s="2" t="s">
        <v>41</v>
      </c>
      <c r="K7146" t="s">
        <v>42</v>
      </c>
      <c r="L7146" t="s">
        <v>296</v>
      </c>
      <c r="Q7146">
        <v>25407</v>
      </c>
      <c r="R7146" t="s">
        <v>119</v>
      </c>
      <c r="S7146" t="s">
        <v>13858</v>
      </c>
      <c r="T7146">
        <v>32</v>
      </c>
      <c r="U7146" s="2" t="s">
        <v>31355</v>
      </c>
      <c r="V7146" s="1">
        <v>45140</v>
      </c>
      <c r="W7146" t="s">
        <v>23049</v>
      </c>
      <c r="X7146">
        <v>838205</v>
      </c>
      <c r="Y7146" s="2" t="s">
        <v>43279</v>
      </c>
      <c r="Z7146" t="s">
        <v>43280</v>
      </c>
      <c r="AA7146" t="s">
        <v>9161</v>
      </c>
      <c r="AB7146" t="s">
        <v>1480</v>
      </c>
      <c r="AD7146" t="s">
        <v>43281</v>
      </c>
      <c r="AE7146" t="s">
        <v>43282</v>
      </c>
      <c r="AG7146" t="s">
        <v>43283</v>
      </c>
      <c r="AH7146" t="s">
        <v>43284</v>
      </c>
      <c r="AI7146" t="s">
        <v>43285</v>
      </c>
    </row>
    <row r="7147" spans="2:35" ht="409.5">
      <c r="B7147" s="1">
        <v>45140</v>
      </c>
      <c r="C7147" s="4">
        <v>45140.510416666664</v>
      </c>
      <c r="D7147" t="s">
        <v>43286</v>
      </c>
      <c r="E7147" t="s">
        <v>3140</v>
      </c>
      <c r="F7147">
        <v>3</v>
      </c>
      <c r="G7147" t="s">
        <v>174</v>
      </c>
      <c r="H7147" t="s">
        <v>61</v>
      </c>
      <c r="I7147" t="s">
        <v>40</v>
      </c>
      <c r="J7147" t="s">
        <v>109</v>
      </c>
      <c r="K7147" t="s">
        <v>42</v>
      </c>
      <c r="L7147" t="s">
        <v>175</v>
      </c>
      <c r="Q7147">
        <v>25406</v>
      </c>
      <c r="R7147" t="s">
        <v>95</v>
      </c>
      <c r="S7147" t="s">
        <v>3898</v>
      </c>
      <c r="T7147">
        <v>19</v>
      </c>
      <c r="U7147" s="2" t="s">
        <v>43287</v>
      </c>
      <c r="W7147" t="s">
        <v>84</v>
      </c>
      <c r="X7147">
        <v>110008530</v>
      </c>
      <c r="Y7147" t="s">
        <v>374</v>
      </c>
      <c r="Z7147" s="2" t="s">
        <v>43288</v>
      </c>
      <c r="AA7147" t="s">
        <v>122</v>
      </c>
      <c r="AB7147" t="s">
        <v>88</v>
      </c>
      <c r="AG7147" t="s">
        <v>43289</v>
      </c>
      <c r="AH7147" t="s">
        <v>8887</v>
      </c>
      <c r="AI7147" t="s">
        <v>43290</v>
      </c>
    </row>
    <row r="7148" spans="2:35" ht="409.5">
      <c r="B7148" s="1">
        <v>45140</v>
      </c>
      <c r="C7148" s="1">
        <v>45140</v>
      </c>
      <c r="D7148" t="s">
        <v>5060</v>
      </c>
      <c r="E7148" t="s">
        <v>15186</v>
      </c>
      <c r="F7148">
        <v>3</v>
      </c>
      <c r="G7148" t="s">
        <v>284</v>
      </c>
      <c r="H7148" t="s">
        <v>39</v>
      </c>
      <c r="I7148" t="s">
        <v>40</v>
      </c>
      <c r="J7148" s="2" t="s">
        <v>41</v>
      </c>
      <c r="K7148" t="s">
        <v>42</v>
      </c>
      <c r="L7148" t="s">
        <v>135</v>
      </c>
      <c r="N7148" t="s">
        <v>136</v>
      </c>
      <c r="Q7148">
        <v>25405</v>
      </c>
      <c r="R7148" t="s">
        <v>45</v>
      </c>
      <c r="S7148" t="s">
        <v>11281</v>
      </c>
      <c r="T7148">
        <v>38</v>
      </c>
      <c r="U7148" s="2" t="s">
        <v>43291</v>
      </c>
      <c r="W7148" t="s">
        <v>2680</v>
      </c>
      <c r="X7148">
        <v>805124</v>
      </c>
      <c r="Y7148" s="2" t="s">
        <v>43292</v>
      </c>
      <c r="Z7148" s="2" t="s">
        <v>43293</v>
      </c>
      <c r="AA7148" s="2" t="s">
        <v>41730</v>
      </c>
      <c r="AB7148" s="2" t="s">
        <v>43294</v>
      </c>
      <c r="AC7148" t="s">
        <v>15866</v>
      </c>
      <c r="AG7148" t="s">
        <v>43295</v>
      </c>
      <c r="AH7148" t="s">
        <v>15193</v>
      </c>
      <c r="AI7148" t="s">
        <v>43296</v>
      </c>
    </row>
    <row r="7149" spans="2:35" ht="405">
      <c r="B7149" s="1">
        <v>45140</v>
      </c>
      <c r="C7149" s="4">
        <v>45140.468055555553</v>
      </c>
      <c r="D7149" t="s">
        <v>1590</v>
      </c>
      <c r="E7149" t="s">
        <v>1591</v>
      </c>
      <c r="F7149">
        <v>8</v>
      </c>
      <c r="G7149" t="s">
        <v>630</v>
      </c>
      <c r="H7149" t="s">
        <v>28951</v>
      </c>
      <c r="I7149" t="s">
        <v>40</v>
      </c>
      <c r="J7149" s="2" t="s">
        <v>62</v>
      </c>
      <c r="K7149" t="s">
        <v>42</v>
      </c>
      <c r="L7149" t="s">
        <v>259</v>
      </c>
      <c r="Q7149">
        <v>25404</v>
      </c>
      <c r="R7149" t="s">
        <v>45</v>
      </c>
      <c r="S7149" t="s">
        <v>1593</v>
      </c>
      <c r="T7149">
        <v>25</v>
      </c>
      <c r="U7149" s="2" t="s">
        <v>43297</v>
      </c>
      <c r="V7149" s="1">
        <v>45140</v>
      </c>
      <c r="W7149" t="s">
        <v>35955</v>
      </c>
      <c r="X7149">
        <v>835100</v>
      </c>
      <c r="Y7149" t="e">
        <f ca="1">- module B1 _xludf.For module Replacement
- Unit _xludf.For CALIBRATION</f>
        <v>#NAME?</v>
      </c>
      <c r="Z7149" t="e">
        <f ca="1">- module Replacement
- performed XpertCheck</f>
        <v>#NAME?</v>
      </c>
      <c r="AA7149" s="2" t="s">
        <v>43298</v>
      </c>
      <c r="AB7149" t="s">
        <v>70</v>
      </c>
      <c r="AD7149" s="2" t="s">
        <v>43299</v>
      </c>
      <c r="AE7149" t="s">
        <v>45</v>
      </c>
      <c r="AG7149" t="s">
        <v>43300</v>
      </c>
      <c r="AH7149" t="s">
        <v>1599</v>
      </c>
      <c r="AI7149" t="s">
        <v>43301</v>
      </c>
    </row>
    <row r="7150" spans="2:35" ht="300">
      <c r="B7150" s="1">
        <v>45140</v>
      </c>
      <c r="C7150" s="4">
        <v>45140.441666666666</v>
      </c>
      <c r="D7150" t="s">
        <v>1351</v>
      </c>
      <c r="E7150" t="s">
        <v>43302</v>
      </c>
      <c r="F7150">
        <v>3</v>
      </c>
      <c r="G7150" t="s">
        <v>284</v>
      </c>
      <c r="H7150" t="s">
        <v>39</v>
      </c>
      <c r="I7150" t="s">
        <v>40</v>
      </c>
      <c r="J7150" s="2" t="s">
        <v>1309</v>
      </c>
      <c r="K7150" t="s">
        <v>42</v>
      </c>
      <c r="L7150" t="s">
        <v>135</v>
      </c>
      <c r="Q7150">
        <v>25403</v>
      </c>
      <c r="R7150" t="s">
        <v>119</v>
      </c>
      <c r="S7150" t="s">
        <v>285</v>
      </c>
      <c r="T7150">
        <v>25</v>
      </c>
      <c r="U7150" s="2" t="s">
        <v>43303</v>
      </c>
      <c r="V7150" s="1">
        <v>45124</v>
      </c>
      <c r="W7150" t="s">
        <v>2680</v>
      </c>
      <c r="X7150">
        <v>831878</v>
      </c>
      <c r="Y7150" t="s">
        <v>41480</v>
      </c>
      <c r="Z7150" t="s">
        <v>5712</v>
      </c>
      <c r="AA7150" s="2" t="s">
        <v>42527</v>
      </c>
      <c r="AB7150" t="s">
        <v>181</v>
      </c>
      <c r="AD7150" t="s">
        <v>43304</v>
      </c>
      <c r="AE7150" t="s">
        <v>43305</v>
      </c>
      <c r="AG7150" t="s">
        <v>43306</v>
      </c>
      <c r="AH7150" t="s">
        <v>290</v>
      </c>
      <c r="AI7150" t="s">
        <v>43307</v>
      </c>
    </row>
    <row r="7151" spans="2:35" ht="409.5">
      <c r="B7151" s="1">
        <v>45140</v>
      </c>
      <c r="C7151" s="4">
        <v>45140.413888888892</v>
      </c>
      <c r="D7151" t="s">
        <v>2272</v>
      </c>
      <c r="E7151" t="s">
        <v>43308</v>
      </c>
      <c r="F7151" t="s">
        <v>148</v>
      </c>
      <c r="G7151" t="s">
        <v>310</v>
      </c>
      <c r="H7151" t="s">
        <v>39</v>
      </c>
      <c r="I7151" t="s">
        <v>40</v>
      </c>
      <c r="J7151" s="2" t="s">
        <v>190</v>
      </c>
      <c r="K7151" t="s">
        <v>42</v>
      </c>
      <c r="L7151" t="s">
        <v>1943</v>
      </c>
      <c r="Q7151">
        <v>25402</v>
      </c>
      <c r="R7151" t="s">
        <v>703</v>
      </c>
      <c r="S7151" t="s">
        <v>6830</v>
      </c>
      <c r="T7151">
        <v>25</v>
      </c>
      <c r="U7151" s="2" t="s">
        <v>43309</v>
      </c>
      <c r="W7151" t="s">
        <v>84</v>
      </c>
      <c r="X7151">
        <v>835604</v>
      </c>
      <c r="Y7151" s="2" t="s">
        <v>43310</v>
      </c>
      <c r="Z7151" s="2" t="s">
        <v>43311</v>
      </c>
      <c r="AA7151" t="s">
        <v>4402</v>
      </c>
      <c r="AB7151" t="s">
        <v>43312</v>
      </c>
      <c r="AG7151" t="s">
        <v>43313</v>
      </c>
      <c r="AH7151" t="s">
        <v>12529</v>
      </c>
      <c r="AI7151" t="s">
        <v>43314</v>
      </c>
    </row>
    <row r="7152" spans="2:35" ht="180">
      <c r="B7152" s="1">
        <v>45140</v>
      </c>
      <c r="C7152" s="4">
        <v>45140.366666666669</v>
      </c>
      <c r="D7152" t="s">
        <v>26323</v>
      </c>
      <c r="E7152" t="s">
        <v>43315</v>
      </c>
      <c r="F7152" t="s">
        <v>148</v>
      </c>
      <c r="G7152" t="s">
        <v>447</v>
      </c>
      <c r="H7152" t="s">
        <v>39</v>
      </c>
      <c r="I7152" t="s">
        <v>40</v>
      </c>
      <c r="J7152" s="2" t="s">
        <v>41</v>
      </c>
      <c r="K7152" t="s">
        <v>42</v>
      </c>
      <c r="L7152" t="s">
        <v>15532</v>
      </c>
      <c r="Q7152">
        <v>25401</v>
      </c>
      <c r="R7152" t="s">
        <v>119</v>
      </c>
      <c r="S7152" t="s">
        <v>40191</v>
      </c>
      <c r="T7152">
        <v>27</v>
      </c>
      <c r="U7152" s="2" t="s">
        <v>43316</v>
      </c>
      <c r="V7152" s="1">
        <v>45134</v>
      </c>
      <c r="W7152" t="s">
        <v>597</v>
      </c>
      <c r="X7152">
        <v>831597</v>
      </c>
      <c r="Y7152" t="s">
        <v>43317</v>
      </c>
      <c r="Z7152" s="2" t="s">
        <v>43318</v>
      </c>
      <c r="AA7152" s="2" t="s">
        <v>43319</v>
      </c>
      <c r="AB7152" t="s">
        <v>43320</v>
      </c>
      <c r="AD7152" t="s">
        <v>43321</v>
      </c>
      <c r="AE7152" t="s">
        <v>43322</v>
      </c>
      <c r="AG7152" t="s">
        <v>43323</v>
      </c>
      <c r="AH7152" t="s">
        <v>40200</v>
      </c>
      <c r="AI7152" t="s">
        <v>43324</v>
      </c>
    </row>
    <row r="7153" spans="2:35" ht="105">
      <c r="B7153" s="1">
        <v>45139</v>
      </c>
      <c r="C7153" s="4">
        <v>45139.67291666667</v>
      </c>
      <c r="D7153" t="s">
        <v>27150</v>
      </c>
      <c r="E7153" t="s">
        <v>27151</v>
      </c>
      <c r="F7153">
        <v>3</v>
      </c>
      <c r="G7153" t="s">
        <v>174</v>
      </c>
      <c r="H7153" t="s">
        <v>39</v>
      </c>
      <c r="I7153" t="s">
        <v>40</v>
      </c>
      <c r="J7153" s="2" t="s">
        <v>41</v>
      </c>
      <c r="K7153" t="s">
        <v>42</v>
      </c>
      <c r="L7153" t="s">
        <v>175</v>
      </c>
      <c r="Q7153">
        <v>25400</v>
      </c>
      <c r="R7153" t="s">
        <v>119</v>
      </c>
      <c r="S7153" t="s">
        <v>27152</v>
      </c>
      <c r="T7153">
        <v>26</v>
      </c>
      <c r="U7153" s="2" t="s">
        <v>3340</v>
      </c>
      <c r="V7153" s="1">
        <v>45131</v>
      </c>
      <c r="W7153" t="s">
        <v>84</v>
      </c>
      <c r="X7153">
        <v>831915</v>
      </c>
      <c r="Y7153" t="s">
        <v>570</v>
      </c>
      <c r="Z7153" t="e">
        <f ca="1">- replaced A2
- checked cartridge bay, plunger rod, _xludf.filter
- generated reports</f>
        <v>#NAME?</v>
      </c>
      <c r="AA7153" t="s">
        <v>39929</v>
      </c>
      <c r="AB7153" t="s">
        <v>88</v>
      </c>
      <c r="AD7153" s="2" t="s">
        <v>43325</v>
      </c>
      <c r="AE7153">
        <v>10265</v>
      </c>
      <c r="AG7153" t="s">
        <v>43326</v>
      </c>
      <c r="AH7153" t="s">
        <v>43327</v>
      </c>
      <c r="AI7153" t="s">
        <v>43328</v>
      </c>
    </row>
    <row r="7154" spans="2:35" ht="345">
      <c r="B7154" s="1">
        <v>45139</v>
      </c>
      <c r="C7154" s="4">
        <v>45139.657638888886</v>
      </c>
      <c r="D7154" t="s">
        <v>1065</v>
      </c>
      <c r="E7154" t="s">
        <v>1066</v>
      </c>
      <c r="F7154">
        <v>1</v>
      </c>
      <c r="G7154" t="s">
        <v>1046</v>
      </c>
      <c r="H7154" t="s">
        <v>1047</v>
      </c>
      <c r="I7154" t="s">
        <v>40</v>
      </c>
      <c r="J7154" s="2" t="s">
        <v>41</v>
      </c>
      <c r="K7154" t="s">
        <v>42</v>
      </c>
      <c r="L7154" t="s">
        <v>1048</v>
      </c>
      <c r="Q7154">
        <v>25399</v>
      </c>
      <c r="R7154" t="s">
        <v>119</v>
      </c>
      <c r="S7154" t="s">
        <v>43329</v>
      </c>
      <c r="T7154">
        <v>288</v>
      </c>
      <c r="U7154" s="2" t="s">
        <v>43330</v>
      </c>
      <c r="V7154" s="1">
        <v>45126</v>
      </c>
      <c r="W7154" t="s">
        <v>360</v>
      </c>
      <c r="X7154">
        <v>838284</v>
      </c>
      <c r="Y7154" t="s">
        <v>35729</v>
      </c>
      <c r="Z7154" s="2" t="s">
        <v>43331</v>
      </c>
      <c r="AA7154" t="s">
        <v>1926</v>
      </c>
      <c r="AB7154" t="s">
        <v>181</v>
      </c>
      <c r="AD7154" t="s">
        <v>43332</v>
      </c>
      <c r="AE7154" t="s">
        <v>43333</v>
      </c>
      <c r="AG7154" t="s">
        <v>43334</v>
      </c>
      <c r="AH7154" t="s">
        <v>43335</v>
      </c>
      <c r="AI7154" t="s">
        <v>43336</v>
      </c>
    </row>
    <row r="7155" spans="2:35" ht="240">
      <c r="B7155" s="1">
        <v>45139</v>
      </c>
      <c r="C7155" s="4">
        <v>45139.628472222219</v>
      </c>
      <c r="D7155" t="s">
        <v>26581</v>
      </c>
      <c r="E7155" t="s">
        <v>26575</v>
      </c>
      <c r="F7155" t="s">
        <v>148</v>
      </c>
      <c r="G7155" t="s">
        <v>310</v>
      </c>
      <c r="H7155" t="s">
        <v>39</v>
      </c>
      <c r="I7155" t="s">
        <v>40</v>
      </c>
      <c r="J7155" s="2" t="s">
        <v>1309</v>
      </c>
      <c r="K7155" t="s">
        <v>42</v>
      </c>
      <c r="L7155" t="s">
        <v>1943</v>
      </c>
      <c r="Q7155">
        <v>25398</v>
      </c>
      <c r="R7155" t="s">
        <v>45</v>
      </c>
      <c r="S7155" t="s">
        <v>29418</v>
      </c>
      <c r="T7155">
        <v>25</v>
      </c>
      <c r="U7155" s="2" t="s">
        <v>22617</v>
      </c>
      <c r="V7155" s="1">
        <v>45138</v>
      </c>
      <c r="W7155" t="s">
        <v>84</v>
      </c>
      <c r="X7155">
        <v>805111</v>
      </c>
      <c r="Y7155" s="2" t="s">
        <v>43337</v>
      </c>
      <c r="Z7155" s="2" t="s">
        <v>43338</v>
      </c>
      <c r="AA7155" t="s">
        <v>28978</v>
      </c>
      <c r="AB7155" t="s">
        <v>43339</v>
      </c>
      <c r="AC7155" t="s">
        <v>43340</v>
      </c>
      <c r="AD7155" t="s">
        <v>43341</v>
      </c>
      <c r="AE7155" t="s">
        <v>43342</v>
      </c>
      <c r="AG7155" t="s">
        <v>43343</v>
      </c>
      <c r="AH7155" t="s">
        <v>29421</v>
      </c>
      <c r="AI7155" t="s">
        <v>43344</v>
      </c>
    </row>
    <row r="7156" spans="2:35" ht="255">
      <c r="B7156" s="1">
        <v>45139</v>
      </c>
      <c r="C7156" s="4">
        <v>45139.59097222222</v>
      </c>
      <c r="D7156" t="s">
        <v>37291</v>
      </c>
      <c r="E7156" t="s">
        <v>37292</v>
      </c>
      <c r="F7156">
        <v>3</v>
      </c>
      <c r="G7156" t="s">
        <v>1722</v>
      </c>
      <c r="H7156" t="s">
        <v>39</v>
      </c>
      <c r="I7156" t="s">
        <v>40</v>
      </c>
      <c r="J7156" s="2" t="s">
        <v>1309</v>
      </c>
      <c r="K7156" t="s">
        <v>42</v>
      </c>
      <c r="L7156" t="s">
        <v>63</v>
      </c>
      <c r="Q7156">
        <v>25397</v>
      </c>
      <c r="R7156" t="s">
        <v>45</v>
      </c>
      <c r="S7156" t="s">
        <v>37293</v>
      </c>
      <c r="T7156">
        <v>29</v>
      </c>
      <c r="V7156" s="1">
        <v>45132</v>
      </c>
      <c r="W7156" t="s">
        <v>26915</v>
      </c>
      <c r="X7156">
        <v>812832</v>
      </c>
      <c r="Y7156" t="s">
        <v>1716</v>
      </c>
      <c r="Z7156" t="s">
        <v>1716</v>
      </c>
      <c r="AA7156" s="2" t="s">
        <v>43345</v>
      </c>
      <c r="AB7156" t="s">
        <v>70</v>
      </c>
      <c r="AC7156" t="s">
        <v>43346</v>
      </c>
      <c r="AD7156" t="s">
        <v>43347</v>
      </c>
      <c r="AE7156" t="s">
        <v>43348</v>
      </c>
      <c r="AG7156" t="s">
        <v>43349</v>
      </c>
      <c r="AH7156" t="s">
        <v>38063</v>
      </c>
      <c r="AI7156" t="s">
        <v>43350</v>
      </c>
    </row>
    <row r="7157" spans="2:35" ht="285">
      <c r="B7157" s="1">
        <v>45139</v>
      </c>
      <c r="C7157" s="4">
        <v>45139.586805555555</v>
      </c>
      <c r="D7157" t="s">
        <v>2417</v>
      </c>
      <c r="E7157" t="s">
        <v>43351</v>
      </c>
      <c r="F7157" t="s">
        <v>148</v>
      </c>
      <c r="G7157" t="s">
        <v>774</v>
      </c>
      <c r="H7157" t="s">
        <v>39</v>
      </c>
      <c r="I7157" t="s">
        <v>40</v>
      </c>
      <c r="J7157" s="2" t="s">
        <v>41</v>
      </c>
      <c r="K7157" t="s">
        <v>42</v>
      </c>
      <c r="L7157" t="s">
        <v>15532</v>
      </c>
      <c r="Q7157">
        <v>25396</v>
      </c>
      <c r="R7157" t="s">
        <v>45</v>
      </c>
      <c r="S7157" t="s">
        <v>22040</v>
      </c>
      <c r="T7157">
        <v>26</v>
      </c>
      <c r="U7157" s="2" t="s">
        <v>43352</v>
      </c>
      <c r="V7157" s="1">
        <v>45131</v>
      </c>
      <c r="W7157" t="s">
        <v>597</v>
      </c>
      <c r="X7157">
        <v>807613</v>
      </c>
      <c r="Y7157" t="s">
        <v>424</v>
      </c>
      <c r="Z7157" s="2" t="s">
        <v>43353</v>
      </c>
      <c r="AA7157" s="2" t="s">
        <v>43354</v>
      </c>
      <c r="AB7157" t="s">
        <v>34796</v>
      </c>
      <c r="AD7157" t="s">
        <v>15847</v>
      </c>
      <c r="AE7157" t="s">
        <v>43355</v>
      </c>
      <c r="AG7157" t="s">
        <v>43356</v>
      </c>
      <c r="AH7157" t="s">
        <v>43357</v>
      </c>
      <c r="AI7157" t="s">
        <v>43358</v>
      </c>
    </row>
    <row r="7158" spans="2:35" ht="225">
      <c r="B7158" s="1">
        <v>45139</v>
      </c>
      <c r="C7158" s="4">
        <v>45139.571527777778</v>
      </c>
      <c r="D7158" t="s">
        <v>25980</v>
      </c>
      <c r="E7158" t="s">
        <v>3234</v>
      </c>
      <c r="F7158">
        <v>3</v>
      </c>
      <c r="G7158" t="s">
        <v>174</v>
      </c>
      <c r="H7158" t="s">
        <v>39</v>
      </c>
      <c r="I7158" t="s">
        <v>40</v>
      </c>
      <c r="J7158" s="2" t="s">
        <v>41</v>
      </c>
      <c r="K7158" t="s">
        <v>42</v>
      </c>
      <c r="L7158" t="s">
        <v>175</v>
      </c>
      <c r="Q7158">
        <v>25395</v>
      </c>
      <c r="R7158" t="s">
        <v>119</v>
      </c>
      <c r="S7158" t="s">
        <v>3235</v>
      </c>
      <c r="T7158">
        <v>25</v>
      </c>
      <c r="U7158" s="2" t="s">
        <v>43359</v>
      </c>
      <c r="V7158" s="1">
        <v>45131</v>
      </c>
      <c r="W7158" t="s">
        <v>84</v>
      </c>
      <c r="X7158">
        <v>831904</v>
      </c>
      <c r="Y7158" t="e">
        <f ca="1">- modules A1, A4 _xludf.For Replacement
- monitor _xludf.For Replacement</f>
        <v>#NAME?</v>
      </c>
      <c r="Z7158" t="e">
        <f ca="1">- replaced modules A1, A4
- replaced monitor
- checked _xludf.and cleaned cartridge bay, plunger rod, _xludf.filter
- generated reports</f>
        <v>#NAME?</v>
      </c>
      <c r="AA7158" t="s">
        <v>43360</v>
      </c>
      <c r="AB7158" t="s">
        <v>88</v>
      </c>
      <c r="AD7158" s="2" t="s">
        <v>43361</v>
      </c>
      <c r="AE7158" t="s">
        <v>43362</v>
      </c>
      <c r="AG7158" t="s">
        <v>43363</v>
      </c>
      <c r="AH7158" t="s">
        <v>3239</v>
      </c>
      <c r="AI7158" t="s">
        <v>43364</v>
      </c>
    </row>
    <row r="7159" spans="2:35" ht="255">
      <c r="B7159" s="1">
        <v>45139</v>
      </c>
      <c r="C7159" s="4">
        <v>45139.552777777775</v>
      </c>
      <c r="D7159" t="s">
        <v>42136</v>
      </c>
      <c r="E7159" t="s">
        <v>34617</v>
      </c>
      <c r="F7159">
        <v>11</v>
      </c>
      <c r="G7159" t="s">
        <v>1205</v>
      </c>
      <c r="H7159" t="s">
        <v>40548</v>
      </c>
      <c r="I7159" t="s">
        <v>40</v>
      </c>
      <c r="J7159" t="s">
        <v>109</v>
      </c>
      <c r="K7159" t="s">
        <v>42</v>
      </c>
      <c r="L7159" t="s">
        <v>204</v>
      </c>
      <c r="Q7159">
        <v>25394</v>
      </c>
      <c r="R7159" t="s">
        <v>322</v>
      </c>
      <c r="S7159" t="s">
        <v>1318</v>
      </c>
      <c r="T7159">
        <v>25.6</v>
      </c>
      <c r="U7159" s="2" t="s">
        <v>43365</v>
      </c>
      <c r="W7159" t="s">
        <v>24154</v>
      </c>
      <c r="X7159">
        <v>839236</v>
      </c>
      <c r="Y7159" t="s">
        <v>2851</v>
      </c>
      <c r="Z7159" s="2" t="s">
        <v>1892</v>
      </c>
      <c r="AA7159" t="s">
        <v>28265</v>
      </c>
      <c r="AB7159" t="s">
        <v>43366</v>
      </c>
      <c r="AC7159" t="s">
        <v>43367</v>
      </c>
      <c r="AG7159" t="s">
        <v>43368</v>
      </c>
      <c r="AH7159" t="s">
        <v>43369</v>
      </c>
      <c r="AI7159" t="s">
        <v>43370</v>
      </c>
    </row>
    <row r="7160" spans="2:35" ht="255">
      <c r="B7160" s="1">
        <v>45139</v>
      </c>
      <c r="C7160" s="4">
        <v>45139.555555555555</v>
      </c>
      <c r="D7160" t="s">
        <v>42136</v>
      </c>
      <c r="E7160" t="s">
        <v>43371</v>
      </c>
      <c r="F7160">
        <v>11</v>
      </c>
      <c r="G7160" t="s">
        <v>1205</v>
      </c>
      <c r="H7160" t="s">
        <v>40548</v>
      </c>
      <c r="I7160" t="s">
        <v>40</v>
      </c>
      <c r="J7160" t="s">
        <v>109</v>
      </c>
      <c r="K7160" t="s">
        <v>42</v>
      </c>
      <c r="L7160" t="s">
        <v>204</v>
      </c>
      <c r="Q7160">
        <v>25393</v>
      </c>
      <c r="R7160" t="s">
        <v>119</v>
      </c>
      <c r="S7160" t="s">
        <v>1318</v>
      </c>
      <c r="T7160">
        <v>24.5</v>
      </c>
      <c r="U7160" s="2" t="s">
        <v>43372</v>
      </c>
      <c r="W7160" t="s">
        <v>23237</v>
      </c>
      <c r="X7160">
        <v>838262</v>
      </c>
      <c r="Y7160" t="s">
        <v>2851</v>
      </c>
      <c r="Z7160" s="2" t="s">
        <v>1892</v>
      </c>
      <c r="AA7160" t="s">
        <v>2551</v>
      </c>
      <c r="AB7160" t="s">
        <v>1211</v>
      </c>
      <c r="AG7160" t="s">
        <v>43373</v>
      </c>
      <c r="AH7160" t="s">
        <v>43369</v>
      </c>
      <c r="AI7160" t="s">
        <v>43374</v>
      </c>
    </row>
    <row r="7161" spans="2:35" ht="315">
      <c r="B7161" s="1">
        <v>45139</v>
      </c>
      <c r="C7161" s="4">
        <v>45132.486111111109</v>
      </c>
      <c r="D7161" t="s">
        <v>1044</v>
      </c>
      <c r="E7161" t="s">
        <v>43375</v>
      </c>
      <c r="F7161">
        <v>1</v>
      </c>
      <c r="G7161" t="s">
        <v>1046</v>
      </c>
      <c r="H7161" t="s">
        <v>1047</v>
      </c>
      <c r="I7161" t="s">
        <v>40</v>
      </c>
      <c r="J7161" s="2" t="s">
        <v>41</v>
      </c>
      <c r="K7161" t="s">
        <v>42</v>
      </c>
      <c r="L7161" t="s">
        <v>1048</v>
      </c>
      <c r="Q7161">
        <v>25392</v>
      </c>
      <c r="R7161" t="s">
        <v>45</v>
      </c>
      <c r="S7161" t="s">
        <v>1050</v>
      </c>
      <c r="T7161">
        <v>28</v>
      </c>
      <c r="U7161" s="2" t="s">
        <v>43376</v>
      </c>
      <c r="V7161" s="1">
        <v>45132</v>
      </c>
      <c r="W7161" t="s">
        <v>360</v>
      </c>
      <c r="X7161">
        <v>812830</v>
      </c>
      <c r="Y7161" t="s">
        <v>1924</v>
      </c>
      <c r="Z7161" s="2" t="s">
        <v>43377</v>
      </c>
      <c r="AA7161" t="s">
        <v>1926</v>
      </c>
      <c r="AB7161" t="s">
        <v>181</v>
      </c>
      <c r="AD7161" t="s">
        <v>43378</v>
      </c>
      <c r="AE7161" t="s">
        <v>103</v>
      </c>
      <c r="AG7161" t="s">
        <v>43379</v>
      </c>
      <c r="AH7161" t="s">
        <v>1055</v>
      </c>
      <c r="AI7161" t="s">
        <v>43380</v>
      </c>
    </row>
    <row r="7162" spans="2:35" ht="315">
      <c r="B7162" s="1">
        <v>45139</v>
      </c>
      <c r="C7162" s="4">
        <v>45132.486111111109</v>
      </c>
      <c r="D7162" t="s">
        <v>1044</v>
      </c>
      <c r="E7162" t="s">
        <v>43375</v>
      </c>
      <c r="F7162">
        <v>1</v>
      </c>
      <c r="G7162" t="s">
        <v>1046</v>
      </c>
      <c r="H7162" t="s">
        <v>1047</v>
      </c>
      <c r="I7162" t="s">
        <v>40</v>
      </c>
      <c r="J7162" s="2" t="s">
        <v>41</v>
      </c>
      <c r="K7162" t="s">
        <v>42</v>
      </c>
      <c r="L7162" t="s">
        <v>1048</v>
      </c>
      <c r="Q7162">
        <v>25391</v>
      </c>
      <c r="R7162" t="s">
        <v>45</v>
      </c>
      <c r="S7162" t="s">
        <v>1050</v>
      </c>
      <c r="T7162">
        <v>28</v>
      </c>
      <c r="U7162" s="2" t="s">
        <v>43376</v>
      </c>
      <c r="V7162" s="1">
        <v>45132</v>
      </c>
      <c r="W7162" t="s">
        <v>360</v>
      </c>
      <c r="X7162">
        <v>812830</v>
      </c>
      <c r="Y7162" t="s">
        <v>1924</v>
      </c>
      <c r="Z7162" s="2" t="s">
        <v>43377</v>
      </c>
      <c r="AA7162" t="s">
        <v>1926</v>
      </c>
      <c r="AB7162" t="s">
        <v>181</v>
      </c>
      <c r="AD7162" t="s">
        <v>43378</v>
      </c>
      <c r="AE7162" t="s">
        <v>103</v>
      </c>
      <c r="AG7162" t="s">
        <v>43381</v>
      </c>
      <c r="AH7162" t="s">
        <v>1055</v>
      </c>
      <c r="AI7162" t="s">
        <v>43382</v>
      </c>
    </row>
    <row r="7163" spans="2:35" ht="270">
      <c r="B7163" s="1">
        <v>45139</v>
      </c>
      <c r="C7163" s="4">
        <v>45133.267361111109</v>
      </c>
      <c r="D7163" t="s">
        <v>4523</v>
      </c>
      <c r="E7163" t="s">
        <v>14119</v>
      </c>
      <c r="F7163">
        <v>1</v>
      </c>
      <c r="G7163" t="s">
        <v>1046</v>
      </c>
      <c r="H7163" t="s">
        <v>1047</v>
      </c>
      <c r="I7163" t="s">
        <v>40</v>
      </c>
      <c r="J7163" s="2" t="s">
        <v>41</v>
      </c>
      <c r="K7163" t="s">
        <v>42</v>
      </c>
      <c r="L7163" t="s">
        <v>1048</v>
      </c>
      <c r="Q7163">
        <v>25390</v>
      </c>
      <c r="R7163" t="s">
        <v>119</v>
      </c>
      <c r="S7163" t="s">
        <v>7964</v>
      </c>
      <c r="T7163">
        <v>28</v>
      </c>
      <c r="U7163" s="2" t="s">
        <v>27783</v>
      </c>
      <c r="V7163" s="1">
        <v>45126</v>
      </c>
      <c r="W7163" t="s">
        <v>360</v>
      </c>
      <c r="X7163">
        <v>838286</v>
      </c>
      <c r="Y7163" t="s">
        <v>1924</v>
      </c>
      <c r="Z7163" s="2" t="s">
        <v>43383</v>
      </c>
      <c r="AA7163" t="s">
        <v>1926</v>
      </c>
      <c r="AB7163" t="s">
        <v>181</v>
      </c>
      <c r="AD7163" t="s">
        <v>43384</v>
      </c>
      <c r="AE7163" t="s">
        <v>43385</v>
      </c>
      <c r="AG7163" t="s">
        <v>43386</v>
      </c>
      <c r="AH7163" t="s">
        <v>43387</v>
      </c>
      <c r="AI7163" t="s">
        <v>43388</v>
      </c>
    </row>
    <row r="7164" spans="2:35" ht="330">
      <c r="B7164" s="1">
        <v>45139</v>
      </c>
      <c r="C7164" s="4">
        <v>45132.447916666664</v>
      </c>
      <c r="D7164" t="s">
        <v>4528</v>
      </c>
      <c r="E7164" t="s">
        <v>8795</v>
      </c>
      <c r="F7164">
        <v>1</v>
      </c>
      <c r="G7164" t="s">
        <v>1046</v>
      </c>
      <c r="H7164" t="s">
        <v>1047</v>
      </c>
      <c r="I7164" t="s">
        <v>40</v>
      </c>
      <c r="J7164" s="2" t="s">
        <v>41</v>
      </c>
      <c r="K7164" t="s">
        <v>42</v>
      </c>
      <c r="L7164" t="s">
        <v>1048</v>
      </c>
      <c r="Q7164">
        <v>25389</v>
      </c>
      <c r="R7164" t="s">
        <v>119</v>
      </c>
      <c r="S7164" t="s">
        <v>4530</v>
      </c>
      <c r="T7164">
        <v>29</v>
      </c>
      <c r="U7164" s="2" t="s">
        <v>43389</v>
      </c>
      <c r="V7164" s="1">
        <v>45126</v>
      </c>
      <c r="W7164" t="s">
        <v>2384</v>
      </c>
      <c r="X7164">
        <v>838472</v>
      </c>
      <c r="Y7164" t="s">
        <v>43390</v>
      </c>
      <c r="Z7164" s="2" t="s">
        <v>43391</v>
      </c>
      <c r="AA7164" t="s">
        <v>1926</v>
      </c>
      <c r="AB7164" t="s">
        <v>70</v>
      </c>
      <c r="AD7164" t="s">
        <v>43392</v>
      </c>
      <c r="AE7164" t="s">
        <v>43393</v>
      </c>
      <c r="AG7164" t="s">
        <v>43394</v>
      </c>
      <c r="AH7164" t="s">
        <v>43395</v>
      </c>
      <c r="AI7164" t="s">
        <v>43396</v>
      </c>
    </row>
    <row r="7165" spans="2:35" ht="330">
      <c r="B7165" s="1">
        <v>45139</v>
      </c>
      <c r="C7165" s="4">
        <v>45132.447916666664</v>
      </c>
      <c r="D7165" t="s">
        <v>4528</v>
      </c>
      <c r="E7165" t="s">
        <v>8795</v>
      </c>
      <c r="F7165">
        <v>1</v>
      </c>
      <c r="G7165" t="s">
        <v>1046</v>
      </c>
      <c r="H7165" t="s">
        <v>1047</v>
      </c>
      <c r="I7165" t="s">
        <v>40</v>
      </c>
      <c r="J7165" s="2" t="s">
        <v>41</v>
      </c>
      <c r="K7165" t="s">
        <v>42</v>
      </c>
      <c r="L7165" t="s">
        <v>1048</v>
      </c>
      <c r="Q7165">
        <v>25388</v>
      </c>
      <c r="R7165" t="s">
        <v>119</v>
      </c>
      <c r="S7165" t="s">
        <v>4530</v>
      </c>
      <c r="T7165">
        <v>29</v>
      </c>
      <c r="U7165" s="2" t="s">
        <v>43389</v>
      </c>
      <c r="V7165" s="1">
        <v>45126</v>
      </c>
      <c r="W7165" t="s">
        <v>2384</v>
      </c>
      <c r="X7165">
        <v>838472</v>
      </c>
      <c r="Y7165" t="s">
        <v>43390</v>
      </c>
      <c r="Z7165" s="2" t="s">
        <v>43391</v>
      </c>
      <c r="AA7165" t="s">
        <v>1926</v>
      </c>
      <c r="AB7165" t="s">
        <v>70</v>
      </c>
      <c r="AD7165" t="s">
        <v>43392</v>
      </c>
      <c r="AE7165" t="s">
        <v>43393</v>
      </c>
      <c r="AG7165" t="s">
        <v>43397</v>
      </c>
      <c r="AH7165" t="s">
        <v>43395</v>
      </c>
      <c r="AI7165" t="s">
        <v>43398</v>
      </c>
    </row>
    <row r="7166" spans="2:35" ht="330">
      <c r="B7166" s="1">
        <v>45139</v>
      </c>
      <c r="C7166" s="4">
        <v>45132.447916666664</v>
      </c>
      <c r="D7166" t="s">
        <v>4528</v>
      </c>
      <c r="E7166" t="s">
        <v>8795</v>
      </c>
      <c r="F7166">
        <v>1</v>
      </c>
      <c r="G7166" t="s">
        <v>1046</v>
      </c>
      <c r="H7166" t="s">
        <v>1047</v>
      </c>
      <c r="I7166" t="s">
        <v>40</v>
      </c>
      <c r="J7166" s="2" t="s">
        <v>41</v>
      </c>
      <c r="K7166" t="s">
        <v>42</v>
      </c>
      <c r="L7166" t="s">
        <v>1048</v>
      </c>
      <c r="Q7166">
        <v>25387</v>
      </c>
      <c r="R7166" t="s">
        <v>119</v>
      </c>
      <c r="S7166" t="s">
        <v>4530</v>
      </c>
      <c r="T7166">
        <v>29</v>
      </c>
      <c r="U7166" s="2" t="s">
        <v>43389</v>
      </c>
      <c r="V7166" s="1">
        <v>45126</v>
      </c>
      <c r="W7166" t="s">
        <v>2384</v>
      </c>
      <c r="X7166">
        <v>838472</v>
      </c>
      <c r="Y7166" t="s">
        <v>43390</v>
      </c>
      <c r="Z7166" s="2" t="s">
        <v>43391</v>
      </c>
      <c r="AA7166" t="s">
        <v>1926</v>
      </c>
      <c r="AB7166" t="s">
        <v>70</v>
      </c>
      <c r="AD7166" t="s">
        <v>43392</v>
      </c>
      <c r="AE7166" t="s">
        <v>43393</v>
      </c>
      <c r="AG7166" t="s">
        <v>43399</v>
      </c>
      <c r="AH7166" t="s">
        <v>43395</v>
      </c>
      <c r="AI7166" t="s">
        <v>43400</v>
      </c>
    </row>
    <row r="7167" spans="2:35" ht="315">
      <c r="B7167" s="1">
        <v>45139</v>
      </c>
      <c r="C7167" s="4">
        <v>45132.486111111109</v>
      </c>
      <c r="D7167" t="s">
        <v>1044</v>
      </c>
      <c r="E7167" t="s">
        <v>43375</v>
      </c>
      <c r="F7167">
        <v>1</v>
      </c>
      <c r="G7167" t="s">
        <v>1046</v>
      </c>
      <c r="H7167" t="s">
        <v>1047</v>
      </c>
      <c r="I7167" t="s">
        <v>40</v>
      </c>
      <c r="J7167" s="2" t="s">
        <v>41</v>
      </c>
      <c r="K7167" t="s">
        <v>42</v>
      </c>
      <c r="L7167" t="s">
        <v>1048</v>
      </c>
      <c r="Q7167">
        <v>25386</v>
      </c>
      <c r="R7167" t="s">
        <v>45</v>
      </c>
      <c r="S7167" t="s">
        <v>1050</v>
      </c>
      <c r="T7167">
        <v>28</v>
      </c>
      <c r="U7167" s="2" t="s">
        <v>43376</v>
      </c>
      <c r="V7167" s="1">
        <v>45132</v>
      </c>
      <c r="W7167" t="s">
        <v>360</v>
      </c>
      <c r="X7167">
        <v>812830</v>
      </c>
      <c r="Y7167" t="s">
        <v>1924</v>
      </c>
      <c r="Z7167" s="2" t="s">
        <v>43377</v>
      </c>
      <c r="AA7167" t="s">
        <v>1926</v>
      </c>
      <c r="AB7167" t="s">
        <v>181</v>
      </c>
      <c r="AD7167" t="s">
        <v>43378</v>
      </c>
      <c r="AE7167" t="s">
        <v>103</v>
      </c>
      <c r="AG7167" t="s">
        <v>43401</v>
      </c>
      <c r="AH7167" t="s">
        <v>1055</v>
      </c>
      <c r="AI7167" t="s">
        <v>43402</v>
      </c>
    </row>
    <row r="7168" spans="2:35" ht="375">
      <c r="B7168" s="1">
        <v>45139</v>
      </c>
      <c r="C7168" s="4">
        <v>45132.60833333333</v>
      </c>
      <c r="D7168" t="s">
        <v>4953</v>
      </c>
      <c r="E7168" t="s">
        <v>4954</v>
      </c>
      <c r="F7168">
        <v>1</v>
      </c>
      <c r="G7168" t="s">
        <v>1046</v>
      </c>
      <c r="H7168" t="s">
        <v>1047</v>
      </c>
      <c r="I7168" t="s">
        <v>40</v>
      </c>
      <c r="J7168" s="2" t="s">
        <v>41</v>
      </c>
      <c r="K7168" t="s">
        <v>42</v>
      </c>
      <c r="L7168" t="s">
        <v>1048</v>
      </c>
      <c r="Q7168">
        <v>25385</v>
      </c>
      <c r="R7168" t="s">
        <v>119</v>
      </c>
      <c r="S7168" t="s">
        <v>43403</v>
      </c>
      <c r="T7168">
        <v>28</v>
      </c>
      <c r="U7168" s="2" t="s">
        <v>43404</v>
      </c>
      <c r="V7168" s="1">
        <v>45126</v>
      </c>
      <c r="W7168" t="s">
        <v>360</v>
      </c>
      <c r="X7168">
        <v>838437</v>
      </c>
      <c r="Y7168" t="s">
        <v>1924</v>
      </c>
      <c r="Z7168" s="2" t="s">
        <v>43405</v>
      </c>
      <c r="AA7168" t="s">
        <v>1926</v>
      </c>
      <c r="AB7168" t="s">
        <v>181</v>
      </c>
      <c r="AD7168" t="s">
        <v>43406</v>
      </c>
      <c r="AE7168" t="s">
        <v>43407</v>
      </c>
      <c r="AG7168" t="s">
        <v>43408</v>
      </c>
      <c r="AH7168" t="s">
        <v>4958</v>
      </c>
      <c r="AI7168" t="s">
        <v>43409</v>
      </c>
    </row>
    <row r="7169" spans="2:35" ht="375">
      <c r="B7169" s="1">
        <v>45139</v>
      </c>
      <c r="C7169" s="4">
        <v>45132.60833333333</v>
      </c>
      <c r="D7169" t="s">
        <v>4953</v>
      </c>
      <c r="E7169" t="s">
        <v>4954</v>
      </c>
      <c r="F7169">
        <v>1</v>
      </c>
      <c r="G7169" t="s">
        <v>1046</v>
      </c>
      <c r="H7169" t="s">
        <v>1047</v>
      </c>
      <c r="I7169" t="s">
        <v>40</v>
      </c>
      <c r="J7169" s="2" t="s">
        <v>41</v>
      </c>
      <c r="K7169" t="s">
        <v>42</v>
      </c>
      <c r="L7169" t="s">
        <v>1048</v>
      </c>
      <c r="Q7169">
        <v>25384</v>
      </c>
      <c r="R7169" t="s">
        <v>119</v>
      </c>
      <c r="S7169" t="s">
        <v>43403</v>
      </c>
      <c r="T7169">
        <v>28</v>
      </c>
      <c r="U7169" s="2" t="s">
        <v>43404</v>
      </c>
      <c r="V7169" s="1">
        <v>45126</v>
      </c>
      <c r="W7169" t="s">
        <v>360</v>
      </c>
      <c r="X7169">
        <v>838437</v>
      </c>
      <c r="Y7169" t="s">
        <v>1924</v>
      </c>
      <c r="Z7169" s="2" t="s">
        <v>43405</v>
      </c>
      <c r="AA7169" t="s">
        <v>1926</v>
      </c>
      <c r="AB7169" t="s">
        <v>181</v>
      </c>
      <c r="AD7169" t="s">
        <v>43406</v>
      </c>
      <c r="AE7169" t="s">
        <v>43407</v>
      </c>
      <c r="AG7169" t="s">
        <v>43410</v>
      </c>
      <c r="AH7169" t="s">
        <v>4958</v>
      </c>
      <c r="AI7169" t="s">
        <v>43411</v>
      </c>
    </row>
    <row r="7170" spans="2:35" ht="180">
      <c r="B7170" s="1">
        <v>45139</v>
      </c>
      <c r="C7170" s="4">
        <v>45133.459027777775</v>
      </c>
      <c r="D7170" t="s">
        <v>43412</v>
      </c>
      <c r="E7170" t="s">
        <v>43413</v>
      </c>
      <c r="F7170">
        <v>1</v>
      </c>
      <c r="G7170" t="s">
        <v>1046</v>
      </c>
      <c r="H7170" t="s">
        <v>1047</v>
      </c>
      <c r="I7170" t="s">
        <v>40</v>
      </c>
      <c r="J7170" s="2" t="s">
        <v>62</v>
      </c>
      <c r="K7170" t="s">
        <v>42</v>
      </c>
      <c r="L7170" t="s">
        <v>1048</v>
      </c>
      <c r="Q7170">
        <v>25383</v>
      </c>
      <c r="R7170" t="s">
        <v>45</v>
      </c>
      <c r="S7170" t="s">
        <v>43414</v>
      </c>
      <c r="T7170">
        <v>29</v>
      </c>
      <c r="U7170" s="2" t="s">
        <v>43415</v>
      </c>
      <c r="W7170" t="s">
        <v>360</v>
      </c>
      <c r="X7170">
        <v>838860</v>
      </c>
      <c r="Y7170" t="s">
        <v>67</v>
      </c>
      <c r="Z7170" t="e">
        <f ca="1">-cleaned cartridge Bays, plunger Rods, _xludf.and I-CORE
-performed XpertCheck
-generated reports</f>
        <v>#NAME?</v>
      </c>
      <c r="AA7170" t="s">
        <v>999</v>
      </c>
      <c r="AB7170" t="s">
        <v>181</v>
      </c>
      <c r="AC7170" t="s">
        <v>8019</v>
      </c>
      <c r="AG7170" t="s">
        <v>43416</v>
      </c>
      <c r="AH7170" t="s">
        <v>43417</v>
      </c>
      <c r="AI7170" t="s">
        <v>43418</v>
      </c>
    </row>
    <row r="7171" spans="2:35" ht="180">
      <c r="B7171" s="1">
        <v>45139</v>
      </c>
      <c r="C7171" s="4">
        <v>45133.459027777775</v>
      </c>
      <c r="D7171" t="s">
        <v>43412</v>
      </c>
      <c r="E7171" t="s">
        <v>43413</v>
      </c>
      <c r="F7171">
        <v>1</v>
      </c>
      <c r="G7171" t="s">
        <v>1046</v>
      </c>
      <c r="H7171" t="s">
        <v>1047</v>
      </c>
      <c r="I7171" t="s">
        <v>40</v>
      </c>
      <c r="J7171" s="2" t="s">
        <v>62</v>
      </c>
      <c r="K7171" t="s">
        <v>42</v>
      </c>
      <c r="L7171" t="s">
        <v>1048</v>
      </c>
      <c r="Q7171">
        <v>25382</v>
      </c>
      <c r="R7171" t="s">
        <v>45</v>
      </c>
      <c r="S7171" t="s">
        <v>43414</v>
      </c>
      <c r="T7171">
        <v>29</v>
      </c>
      <c r="U7171" s="2" t="s">
        <v>43415</v>
      </c>
      <c r="W7171" t="s">
        <v>360</v>
      </c>
      <c r="X7171">
        <v>838860</v>
      </c>
      <c r="Y7171" t="s">
        <v>67</v>
      </c>
      <c r="Z7171" t="e">
        <f ca="1">-cleaned cartridge Bays, plunger Rods, _xludf.and I-CORE
-performed XpertCheck
-generated reports</f>
        <v>#NAME?</v>
      </c>
      <c r="AA7171" t="s">
        <v>999</v>
      </c>
      <c r="AB7171" t="s">
        <v>181</v>
      </c>
      <c r="AC7171" t="s">
        <v>8019</v>
      </c>
      <c r="AG7171" t="s">
        <v>43419</v>
      </c>
      <c r="AH7171" t="s">
        <v>43417</v>
      </c>
      <c r="AI7171" t="s">
        <v>43420</v>
      </c>
    </row>
    <row r="7172" spans="2:35" ht="180">
      <c r="B7172" s="1">
        <v>45139</v>
      </c>
      <c r="C7172" s="4">
        <v>45135.361111111109</v>
      </c>
      <c r="D7172" t="s">
        <v>40995</v>
      </c>
      <c r="E7172" t="s">
        <v>40996</v>
      </c>
      <c r="F7172">
        <v>1</v>
      </c>
      <c r="G7172" t="s">
        <v>1046</v>
      </c>
      <c r="H7172" t="s">
        <v>1047</v>
      </c>
      <c r="I7172" t="s">
        <v>40</v>
      </c>
      <c r="J7172" s="2" t="s">
        <v>62</v>
      </c>
      <c r="K7172" t="s">
        <v>42</v>
      </c>
      <c r="L7172" t="s">
        <v>1048</v>
      </c>
      <c r="Q7172">
        <v>25381</v>
      </c>
      <c r="R7172" t="s">
        <v>45</v>
      </c>
      <c r="S7172" t="s">
        <v>40997</v>
      </c>
      <c r="T7172">
        <v>29</v>
      </c>
      <c r="U7172" s="2" t="s">
        <v>43421</v>
      </c>
      <c r="W7172" t="s">
        <v>360</v>
      </c>
      <c r="X7172">
        <v>834664</v>
      </c>
      <c r="Y7172" t="s">
        <v>67</v>
      </c>
      <c r="Z7172" t="e">
        <f ca="1">- cleaned cartridge Bays,plunger Rods _xludf.and I-CORE
- performed XpertCheck
- generated reports</f>
        <v>#NAME?</v>
      </c>
      <c r="AA7172" t="s">
        <v>999</v>
      </c>
      <c r="AB7172" t="s">
        <v>181</v>
      </c>
      <c r="AC7172" t="s">
        <v>43422</v>
      </c>
      <c r="AG7172" t="s">
        <v>43423</v>
      </c>
      <c r="AH7172" t="s">
        <v>41000</v>
      </c>
      <c r="AI7172" t="s">
        <v>43424</v>
      </c>
    </row>
    <row r="7173" spans="2:35" ht="180">
      <c r="B7173" s="1">
        <v>45139</v>
      </c>
      <c r="C7173" s="4">
        <v>45135.361111111109</v>
      </c>
      <c r="D7173" t="s">
        <v>40995</v>
      </c>
      <c r="E7173" t="s">
        <v>40996</v>
      </c>
      <c r="F7173">
        <v>1</v>
      </c>
      <c r="G7173" t="s">
        <v>1046</v>
      </c>
      <c r="H7173" t="s">
        <v>1047</v>
      </c>
      <c r="I7173" t="s">
        <v>40</v>
      </c>
      <c r="J7173" s="2" t="s">
        <v>62</v>
      </c>
      <c r="K7173" t="s">
        <v>42</v>
      </c>
      <c r="L7173" t="s">
        <v>1048</v>
      </c>
      <c r="Q7173">
        <v>25380</v>
      </c>
      <c r="R7173" t="s">
        <v>45</v>
      </c>
      <c r="S7173" t="s">
        <v>40997</v>
      </c>
      <c r="T7173">
        <v>29</v>
      </c>
      <c r="U7173" s="2" t="s">
        <v>43421</v>
      </c>
      <c r="W7173" t="s">
        <v>360</v>
      </c>
      <c r="X7173">
        <v>834664</v>
      </c>
      <c r="Y7173" t="s">
        <v>67</v>
      </c>
      <c r="Z7173" t="e">
        <f ca="1">- cleaned cartridge Bays,plunger Rods _xludf.and I-CORE
- performed XpertCheck
- generated reports</f>
        <v>#NAME?</v>
      </c>
      <c r="AA7173" t="s">
        <v>999</v>
      </c>
      <c r="AB7173" t="s">
        <v>181</v>
      </c>
      <c r="AC7173" t="s">
        <v>43422</v>
      </c>
      <c r="AG7173" t="s">
        <v>43425</v>
      </c>
      <c r="AH7173" t="s">
        <v>41000</v>
      </c>
      <c r="AI7173" t="s">
        <v>43426</v>
      </c>
    </row>
    <row r="7174" spans="2:35" ht="270">
      <c r="B7174" s="1">
        <v>45139</v>
      </c>
      <c r="C7174" s="4">
        <v>45139.53402777778</v>
      </c>
      <c r="D7174" t="s">
        <v>4995</v>
      </c>
      <c r="E7174" t="s">
        <v>43427</v>
      </c>
      <c r="F7174">
        <v>5</v>
      </c>
      <c r="G7174" t="s">
        <v>759</v>
      </c>
      <c r="H7174" t="s">
        <v>39</v>
      </c>
      <c r="I7174" t="s">
        <v>40</v>
      </c>
      <c r="J7174" s="2" t="s">
        <v>41</v>
      </c>
      <c r="K7174" t="s">
        <v>42</v>
      </c>
      <c r="L7174" t="s">
        <v>761</v>
      </c>
      <c r="Q7174">
        <v>25379</v>
      </c>
      <c r="R7174" t="s">
        <v>719</v>
      </c>
      <c r="S7174" t="s">
        <v>23483</v>
      </c>
      <c r="T7174">
        <v>28</v>
      </c>
      <c r="U7174" s="2" t="s">
        <v>43428</v>
      </c>
      <c r="W7174" t="s">
        <v>360</v>
      </c>
      <c r="X7174">
        <v>846354</v>
      </c>
      <c r="Y7174" t="s">
        <v>43429</v>
      </c>
      <c r="Z7174" s="2" t="s">
        <v>43430</v>
      </c>
      <c r="AA7174" t="s">
        <v>43431</v>
      </c>
      <c r="AB7174" t="s">
        <v>181</v>
      </c>
      <c r="AG7174" t="s">
        <v>43432</v>
      </c>
      <c r="AH7174" t="s">
        <v>23486</v>
      </c>
      <c r="AI7174" t="s">
        <v>43433</v>
      </c>
    </row>
    <row r="7175" spans="2:35" ht="225">
      <c r="B7175" s="1">
        <v>45139</v>
      </c>
      <c r="C7175" s="4">
        <v>45139.47152777778</v>
      </c>
      <c r="D7175" t="s">
        <v>5645</v>
      </c>
      <c r="E7175" t="s">
        <v>2136</v>
      </c>
      <c r="F7175">
        <v>12</v>
      </c>
      <c r="G7175" t="s">
        <v>1887</v>
      </c>
      <c r="H7175" t="s">
        <v>39</v>
      </c>
      <c r="I7175" t="s">
        <v>40</v>
      </c>
      <c r="J7175" s="2" t="s">
        <v>190</v>
      </c>
      <c r="K7175" t="s">
        <v>42</v>
      </c>
      <c r="L7175" t="s">
        <v>296</v>
      </c>
      <c r="Q7175">
        <v>25378</v>
      </c>
      <c r="R7175" t="s">
        <v>119</v>
      </c>
      <c r="S7175" t="s">
        <v>11535</v>
      </c>
      <c r="T7175">
        <v>27.3</v>
      </c>
      <c r="U7175" s="2" t="s">
        <v>43434</v>
      </c>
      <c r="W7175" t="s">
        <v>23049</v>
      </c>
      <c r="X7175">
        <v>838528</v>
      </c>
      <c r="Y7175" t="s">
        <v>19365</v>
      </c>
      <c r="Z7175" t="s">
        <v>43435</v>
      </c>
      <c r="AA7175" s="2" t="s">
        <v>43436</v>
      </c>
      <c r="AB7175" t="s">
        <v>16070</v>
      </c>
      <c r="AG7175" t="s">
        <v>43437</v>
      </c>
      <c r="AH7175" t="s">
        <v>43438</v>
      </c>
      <c r="AI7175" t="s">
        <v>43439</v>
      </c>
    </row>
    <row r="7176" spans="2:35" ht="409.5">
      <c r="B7176" s="1">
        <v>45139</v>
      </c>
      <c r="C7176" s="4">
        <v>45139.486111111109</v>
      </c>
      <c r="D7176" t="s">
        <v>7751</v>
      </c>
      <c r="E7176" t="s">
        <v>7752</v>
      </c>
      <c r="F7176">
        <v>13</v>
      </c>
      <c r="G7176" t="s">
        <v>4484</v>
      </c>
      <c r="H7176" t="s">
        <v>2125</v>
      </c>
      <c r="I7176" t="s">
        <v>40</v>
      </c>
      <c r="J7176" s="2" t="s">
        <v>41</v>
      </c>
      <c r="K7176" t="s">
        <v>42</v>
      </c>
      <c r="L7176" t="s">
        <v>933</v>
      </c>
      <c r="Q7176">
        <v>25377</v>
      </c>
      <c r="R7176" t="s">
        <v>119</v>
      </c>
      <c r="S7176" t="s">
        <v>11316</v>
      </c>
      <c r="T7176">
        <v>26.35</v>
      </c>
      <c r="U7176" s="2" t="s">
        <v>43440</v>
      </c>
      <c r="V7176" s="1">
        <v>45128</v>
      </c>
      <c r="W7176" t="s">
        <v>3662</v>
      </c>
      <c r="X7176">
        <v>838403</v>
      </c>
      <c r="Y7176" t="s">
        <v>301</v>
      </c>
      <c r="Z7176" t="s">
        <v>301</v>
      </c>
      <c r="AA7176" s="2" t="s">
        <v>43441</v>
      </c>
      <c r="AB7176" t="s">
        <v>43442</v>
      </c>
      <c r="AD7176" t="s">
        <v>35865</v>
      </c>
      <c r="AE7176" t="s">
        <v>40789</v>
      </c>
      <c r="AG7176" t="s">
        <v>43443</v>
      </c>
      <c r="AH7176" t="s">
        <v>11318</v>
      </c>
      <c r="AI7176" t="s">
        <v>43444</v>
      </c>
    </row>
    <row r="7177" spans="2:35" ht="180">
      <c r="B7177" s="1">
        <v>45139</v>
      </c>
      <c r="C7177" s="4">
        <v>45139.474999999999</v>
      </c>
      <c r="D7177" t="s">
        <v>737</v>
      </c>
      <c r="E7177" t="s">
        <v>738</v>
      </c>
      <c r="F7177">
        <v>8</v>
      </c>
      <c r="G7177" t="s">
        <v>630</v>
      </c>
      <c r="H7177" t="s">
        <v>43445</v>
      </c>
      <c r="I7177" t="s">
        <v>40</v>
      </c>
      <c r="J7177" s="2" t="s">
        <v>62</v>
      </c>
      <c r="K7177" t="s">
        <v>42</v>
      </c>
      <c r="L7177" t="s">
        <v>259</v>
      </c>
      <c r="Q7177">
        <v>25376</v>
      </c>
      <c r="R7177" t="s">
        <v>45</v>
      </c>
      <c r="S7177" t="s">
        <v>24658</v>
      </c>
      <c r="T7177">
        <v>28</v>
      </c>
      <c r="U7177" s="2" t="s">
        <v>43446</v>
      </c>
      <c r="V7177" s="1">
        <v>45139</v>
      </c>
      <c r="W7177" t="s">
        <v>84</v>
      </c>
      <c r="X7177">
        <v>835060</v>
      </c>
      <c r="Y7177" t="s">
        <v>21236</v>
      </c>
      <c r="Z7177" t="e">
        <f ca="1">- run XpertCheck
- performed Preventive Maintenance</f>
        <v>#NAME?</v>
      </c>
      <c r="AA7177" t="e">
        <f ca="1">- Preventive Maintenance
- XpertCheck CALIBRATION</f>
        <v>#NAME?</v>
      </c>
      <c r="AB7177" s="2" t="s">
        <v>43447</v>
      </c>
      <c r="AD7177" t="s">
        <v>948</v>
      </c>
      <c r="AE7177" t="s">
        <v>45</v>
      </c>
      <c r="AG7177" t="s">
        <v>43448</v>
      </c>
      <c r="AH7177" t="s">
        <v>31921</v>
      </c>
      <c r="AI7177" t="s">
        <v>43449</v>
      </c>
    </row>
    <row r="7178" spans="2:35" ht="180">
      <c r="B7178" s="1">
        <v>45139</v>
      </c>
      <c r="C7178" s="4">
        <v>45139.451388888891</v>
      </c>
      <c r="D7178" t="s">
        <v>43450</v>
      </c>
      <c r="E7178" t="s">
        <v>41249</v>
      </c>
      <c r="F7178">
        <v>6</v>
      </c>
      <c r="G7178" t="s">
        <v>1286</v>
      </c>
      <c r="H7178" t="s">
        <v>1047</v>
      </c>
      <c r="I7178" t="s">
        <v>94</v>
      </c>
      <c r="J7178" t="s">
        <v>996</v>
      </c>
      <c r="K7178" t="s">
        <v>42</v>
      </c>
      <c r="L7178" t="s">
        <v>23958</v>
      </c>
      <c r="Q7178">
        <v>25375</v>
      </c>
      <c r="R7178" t="s">
        <v>45</v>
      </c>
      <c r="S7178" t="s">
        <v>41250</v>
      </c>
      <c r="T7178">
        <v>26</v>
      </c>
      <c r="U7178" s="2" t="s">
        <v>43451</v>
      </c>
      <c r="W7178" t="s">
        <v>360</v>
      </c>
      <c r="X7178">
        <v>838200</v>
      </c>
      <c r="Y7178" t="s">
        <v>43452</v>
      </c>
      <c r="Z7178" t="s">
        <v>43453</v>
      </c>
      <c r="AA7178" t="s">
        <v>43454</v>
      </c>
      <c r="AB7178" t="s">
        <v>43455</v>
      </c>
      <c r="AG7178" t="s">
        <v>43456</v>
      </c>
      <c r="AH7178" t="s">
        <v>43457</v>
      </c>
      <c r="AI7178" t="s">
        <v>43458</v>
      </c>
    </row>
    <row r="7179" spans="2:35" ht="135">
      <c r="B7179" s="1">
        <v>45139</v>
      </c>
      <c r="C7179" s="4">
        <v>45139.436111111114</v>
      </c>
      <c r="D7179" t="s">
        <v>4982</v>
      </c>
      <c r="E7179" t="s">
        <v>43459</v>
      </c>
      <c r="F7179">
        <v>5</v>
      </c>
      <c r="G7179" t="s">
        <v>759</v>
      </c>
      <c r="H7179" t="s">
        <v>39</v>
      </c>
      <c r="I7179" t="s">
        <v>40</v>
      </c>
      <c r="J7179" t="s">
        <v>109</v>
      </c>
      <c r="K7179" t="s">
        <v>42</v>
      </c>
      <c r="L7179" t="s">
        <v>761</v>
      </c>
      <c r="Q7179">
        <v>25374</v>
      </c>
      <c r="R7179" t="s">
        <v>45</v>
      </c>
      <c r="S7179" t="s">
        <v>4983</v>
      </c>
      <c r="T7179">
        <v>28</v>
      </c>
      <c r="W7179" t="s">
        <v>360</v>
      </c>
      <c r="X7179">
        <v>808636</v>
      </c>
      <c r="Y7179" t="s">
        <v>43460</v>
      </c>
      <c r="Z7179" s="2" t="s">
        <v>43461</v>
      </c>
      <c r="AA7179" t="s">
        <v>820</v>
      </c>
      <c r="AB7179" t="s">
        <v>181</v>
      </c>
      <c r="AG7179" t="s">
        <v>43462</v>
      </c>
      <c r="AH7179" t="s">
        <v>4986</v>
      </c>
      <c r="AI7179" t="s">
        <v>43463</v>
      </c>
    </row>
    <row r="7180" spans="2:35" ht="285">
      <c r="B7180" s="1">
        <v>45139</v>
      </c>
      <c r="C7180" s="4">
        <v>45139.430555555555</v>
      </c>
      <c r="D7180" t="s">
        <v>4982</v>
      </c>
      <c r="E7180" t="s">
        <v>43459</v>
      </c>
      <c r="F7180">
        <v>5</v>
      </c>
      <c r="G7180" t="s">
        <v>759</v>
      </c>
      <c r="H7180" t="s">
        <v>39</v>
      </c>
      <c r="I7180" t="s">
        <v>40</v>
      </c>
      <c r="J7180" s="2" t="s">
        <v>41</v>
      </c>
      <c r="K7180" t="s">
        <v>42</v>
      </c>
      <c r="L7180" t="s">
        <v>761</v>
      </c>
      <c r="Q7180">
        <v>25373</v>
      </c>
      <c r="R7180" t="s">
        <v>45</v>
      </c>
      <c r="S7180" t="s">
        <v>4983</v>
      </c>
      <c r="T7180">
        <v>26</v>
      </c>
      <c r="W7180" t="s">
        <v>360</v>
      </c>
      <c r="X7180">
        <v>807579</v>
      </c>
      <c r="Y7180" t="s">
        <v>43464</v>
      </c>
      <c r="Z7180" s="2" t="s">
        <v>43465</v>
      </c>
      <c r="AA7180" s="2" t="s">
        <v>43466</v>
      </c>
      <c r="AB7180" t="s">
        <v>181</v>
      </c>
      <c r="AG7180" t="s">
        <v>43467</v>
      </c>
      <c r="AH7180" t="s">
        <v>4986</v>
      </c>
      <c r="AI7180" t="s">
        <v>43468</v>
      </c>
    </row>
    <row r="7181" spans="2:35" ht="90">
      <c r="B7181" s="1">
        <v>45139</v>
      </c>
      <c r="C7181" s="4">
        <v>45139.440972222219</v>
      </c>
      <c r="D7181" t="s">
        <v>4982</v>
      </c>
      <c r="E7181" t="s">
        <v>43459</v>
      </c>
      <c r="F7181">
        <v>5</v>
      </c>
      <c r="G7181" t="s">
        <v>759</v>
      </c>
      <c r="H7181" t="s">
        <v>39</v>
      </c>
      <c r="I7181" t="s">
        <v>40</v>
      </c>
      <c r="J7181" t="s">
        <v>109</v>
      </c>
      <c r="K7181" t="s">
        <v>42</v>
      </c>
      <c r="L7181" t="s">
        <v>761</v>
      </c>
      <c r="Q7181">
        <v>25372</v>
      </c>
      <c r="R7181" t="s">
        <v>45</v>
      </c>
      <c r="S7181" t="s">
        <v>4983</v>
      </c>
      <c r="T7181">
        <v>24</v>
      </c>
      <c r="U7181" s="2" t="s">
        <v>43469</v>
      </c>
      <c r="W7181" t="s">
        <v>2591</v>
      </c>
      <c r="X7181">
        <v>110016954</v>
      </c>
      <c r="Y7181" t="s">
        <v>43470</v>
      </c>
      <c r="Z7181" t="s">
        <v>8702</v>
      </c>
      <c r="AA7181" t="s">
        <v>820</v>
      </c>
      <c r="AB7181" t="s">
        <v>181</v>
      </c>
      <c r="AG7181" t="s">
        <v>43471</v>
      </c>
      <c r="AH7181" t="s">
        <v>4986</v>
      </c>
      <c r="AI7181" t="s">
        <v>43472</v>
      </c>
    </row>
    <row r="7182" spans="2:35" ht="105">
      <c r="B7182" s="1">
        <v>45139</v>
      </c>
      <c r="C7182" s="4">
        <v>45139.379166666666</v>
      </c>
      <c r="D7182" t="s">
        <v>1885</v>
      </c>
      <c r="E7182" t="s">
        <v>2136</v>
      </c>
      <c r="F7182" t="s">
        <v>1255</v>
      </c>
      <c r="G7182" t="s">
        <v>1887</v>
      </c>
      <c r="H7182" t="s">
        <v>295</v>
      </c>
      <c r="I7182" t="s">
        <v>94</v>
      </c>
      <c r="J7182" s="2" t="s">
        <v>62</v>
      </c>
      <c r="K7182" t="s">
        <v>42</v>
      </c>
      <c r="L7182" t="s">
        <v>296</v>
      </c>
      <c r="Q7182">
        <v>25371</v>
      </c>
      <c r="R7182" t="s">
        <v>45</v>
      </c>
      <c r="S7182" t="s">
        <v>1888</v>
      </c>
      <c r="T7182">
        <v>22.6</v>
      </c>
      <c r="U7182" s="2" t="s">
        <v>43473</v>
      </c>
      <c r="V7182" s="1">
        <v>45139</v>
      </c>
      <c r="W7182" t="s">
        <v>23049</v>
      </c>
      <c r="X7182">
        <v>834442</v>
      </c>
      <c r="Y7182" t="s">
        <v>54</v>
      </c>
      <c r="Z7182" t="s">
        <v>41331</v>
      </c>
      <c r="AA7182" t="s">
        <v>9161</v>
      </c>
      <c r="AB7182" t="s">
        <v>972</v>
      </c>
      <c r="AC7182" t="s">
        <v>25110</v>
      </c>
      <c r="AD7182" t="s">
        <v>18451</v>
      </c>
      <c r="AE7182" t="s">
        <v>29829</v>
      </c>
      <c r="AG7182" t="s">
        <v>43474</v>
      </c>
      <c r="AH7182" t="s">
        <v>43475</v>
      </c>
      <c r="AI7182" t="s">
        <v>43476</v>
      </c>
    </row>
    <row r="7183" spans="2:35" ht="105">
      <c r="B7183" s="1">
        <v>45139</v>
      </c>
      <c r="C7183" s="4">
        <v>45139.375694444447</v>
      </c>
      <c r="D7183" t="s">
        <v>1885</v>
      </c>
      <c r="E7183" t="s">
        <v>2136</v>
      </c>
      <c r="F7183" t="s">
        <v>1255</v>
      </c>
      <c r="G7183" t="s">
        <v>1887</v>
      </c>
      <c r="H7183" t="s">
        <v>295</v>
      </c>
      <c r="I7183" t="s">
        <v>94</v>
      </c>
      <c r="J7183" s="2" t="s">
        <v>62</v>
      </c>
      <c r="K7183" t="s">
        <v>42</v>
      </c>
      <c r="L7183" t="s">
        <v>296</v>
      </c>
      <c r="Q7183">
        <v>25370</v>
      </c>
      <c r="R7183" t="s">
        <v>45</v>
      </c>
      <c r="S7183" t="s">
        <v>1888</v>
      </c>
      <c r="T7183">
        <v>23.4</v>
      </c>
      <c r="U7183" s="2" t="s">
        <v>43473</v>
      </c>
      <c r="V7183" s="1">
        <v>45139</v>
      </c>
      <c r="W7183" t="s">
        <v>23049</v>
      </c>
      <c r="X7183">
        <v>834441</v>
      </c>
      <c r="Y7183" t="s">
        <v>43477</v>
      </c>
      <c r="Z7183" t="s">
        <v>41331</v>
      </c>
      <c r="AA7183" t="s">
        <v>9161</v>
      </c>
      <c r="AB7183" t="s">
        <v>972</v>
      </c>
      <c r="AD7183" t="s">
        <v>18451</v>
      </c>
      <c r="AE7183" t="s">
        <v>29829</v>
      </c>
      <c r="AG7183" t="s">
        <v>43478</v>
      </c>
      <c r="AH7183" t="s">
        <v>43475</v>
      </c>
      <c r="AI7183" t="s">
        <v>43479</v>
      </c>
    </row>
    <row r="7184" spans="2:35" ht="330">
      <c r="B7184" s="1">
        <v>45139</v>
      </c>
      <c r="C7184" s="4">
        <v>45139.417361111111</v>
      </c>
      <c r="D7184" t="s">
        <v>27323</v>
      </c>
      <c r="E7184" t="s">
        <v>27324</v>
      </c>
      <c r="F7184">
        <v>3</v>
      </c>
      <c r="G7184" t="s">
        <v>730</v>
      </c>
      <c r="H7184" t="s">
        <v>39</v>
      </c>
      <c r="I7184" t="s">
        <v>40</v>
      </c>
      <c r="J7184" s="2" t="s">
        <v>190</v>
      </c>
      <c r="K7184" t="s">
        <v>42</v>
      </c>
      <c r="L7184" t="s">
        <v>135</v>
      </c>
      <c r="Q7184">
        <v>25369</v>
      </c>
      <c r="R7184" t="s">
        <v>119</v>
      </c>
      <c r="S7184" t="s">
        <v>24877</v>
      </c>
      <c r="T7184">
        <v>27</v>
      </c>
      <c r="U7184" s="2" t="s">
        <v>43480</v>
      </c>
      <c r="W7184" t="s">
        <v>2680</v>
      </c>
      <c r="X7184">
        <v>831909</v>
      </c>
      <c r="Y7184" t="s">
        <v>43481</v>
      </c>
      <c r="Z7184" t="s">
        <v>4487</v>
      </c>
      <c r="AA7184" s="2" t="s">
        <v>43482</v>
      </c>
      <c r="AB7184" t="s">
        <v>181</v>
      </c>
      <c r="AC7184" t="s">
        <v>43483</v>
      </c>
      <c r="AG7184" t="s">
        <v>43484</v>
      </c>
      <c r="AH7184" t="s">
        <v>27327</v>
      </c>
      <c r="AI7184" t="s">
        <v>43485</v>
      </c>
    </row>
    <row r="7185" spans="2:35" ht="285">
      <c r="B7185" s="1">
        <v>45138</v>
      </c>
      <c r="C7185" s="4">
        <v>45138.7</v>
      </c>
      <c r="D7185" t="s">
        <v>1885</v>
      </c>
      <c r="E7185" t="s">
        <v>2136</v>
      </c>
      <c r="F7185" t="s">
        <v>1255</v>
      </c>
      <c r="G7185" t="s">
        <v>1887</v>
      </c>
      <c r="H7185" t="s">
        <v>5391</v>
      </c>
      <c r="I7185" t="s">
        <v>94</v>
      </c>
      <c r="J7185" s="2" t="s">
        <v>62</v>
      </c>
      <c r="K7185" t="s">
        <v>42</v>
      </c>
      <c r="L7185" t="s">
        <v>296</v>
      </c>
      <c r="Q7185">
        <v>25368</v>
      </c>
      <c r="R7185" t="s">
        <v>45</v>
      </c>
      <c r="S7185" t="s">
        <v>23208</v>
      </c>
      <c r="T7185">
        <v>22.1</v>
      </c>
      <c r="U7185" s="2" t="s">
        <v>43486</v>
      </c>
      <c r="V7185" s="1">
        <v>45138</v>
      </c>
      <c r="W7185" t="s">
        <v>23049</v>
      </c>
      <c r="X7185">
        <v>807463</v>
      </c>
      <c r="Y7185" t="s">
        <v>2376</v>
      </c>
      <c r="Z7185" t="s">
        <v>41331</v>
      </c>
      <c r="AA7185" t="s">
        <v>9161</v>
      </c>
      <c r="AB7185" t="s">
        <v>972</v>
      </c>
      <c r="AD7185" t="s">
        <v>18451</v>
      </c>
      <c r="AE7185" t="s">
        <v>29618</v>
      </c>
      <c r="AG7185" t="s">
        <v>43487</v>
      </c>
      <c r="AH7185" t="s">
        <v>23213</v>
      </c>
      <c r="AI7185" t="s">
        <v>43488</v>
      </c>
    </row>
    <row r="7186" spans="2:35" ht="285">
      <c r="B7186" s="1">
        <v>45138</v>
      </c>
      <c r="C7186" s="4">
        <v>45138.702777777777</v>
      </c>
      <c r="D7186" t="s">
        <v>1885</v>
      </c>
      <c r="E7186" t="s">
        <v>2136</v>
      </c>
      <c r="F7186" t="s">
        <v>1255</v>
      </c>
      <c r="G7186" t="s">
        <v>1887</v>
      </c>
      <c r="H7186" t="s">
        <v>1473</v>
      </c>
      <c r="I7186" t="s">
        <v>94</v>
      </c>
      <c r="J7186" s="2" t="s">
        <v>62</v>
      </c>
      <c r="K7186" t="s">
        <v>42</v>
      </c>
      <c r="L7186" t="s">
        <v>296</v>
      </c>
      <c r="Q7186">
        <v>25367</v>
      </c>
      <c r="R7186" t="s">
        <v>45</v>
      </c>
      <c r="S7186" t="s">
        <v>23208</v>
      </c>
      <c r="T7186">
        <v>22.3</v>
      </c>
      <c r="U7186" s="2" t="s">
        <v>43489</v>
      </c>
      <c r="V7186" s="1">
        <v>45138</v>
      </c>
      <c r="W7186" t="s">
        <v>23049</v>
      </c>
      <c r="X7186">
        <v>807607</v>
      </c>
      <c r="Y7186" t="s">
        <v>2376</v>
      </c>
      <c r="Z7186" t="s">
        <v>41331</v>
      </c>
      <c r="AA7186" t="s">
        <v>9161</v>
      </c>
      <c r="AB7186" t="s">
        <v>972</v>
      </c>
      <c r="AD7186" t="s">
        <v>18451</v>
      </c>
      <c r="AE7186" t="s">
        <v>29618</v>
      </c>
      <c r="AG7186" t="s">
        <v>43490</v>
      </c>
      <c r="AH7186" t="s">
        <v>23213</v>
      </c>
      <c r="AI7186" t="s">
        <v>43491</v>
      </c>
    </row>
    <row r="7187" spans="2:35" ht="285">
      <c r="B7187" s="1">
        <v>45138</v>
      </c>
      <c r="C7187" s="4">
        <v>45138.695138888892</v>
      </c>
      <c r="D7187" t="s">
        <v>1885</v>
      </c>
      <c r="E7187" t="s">
        <v>2136</v>
      </c>
      <c r="F7187" t="s">
        <v>1255</v>
      </c>
      <c r="G7187" t="s">
        <v>1887</v>
      </c>
      <c r="H7187" t="s">
        <v>1473</v>
      </c>
      <c r="I7187" t="s">
        <v>94</v>
      </c>
      <c r="J7187" s="2" t="s">
        <v>190</v>
      </c>
      <c r="K7187" t="s">
        <v>42</v>
      </c>
      <c r="L7187" t="s">
        <v>296</v>
      </c>
      <c r="Q7187">
        <v>25366</v>
      </c>
      <c r="R7187" t="s">
        <v>45</v>
      </c>
      <c r="S7187" t="s">
        <v>23208</v>
      </c>
      <c r="T7187">
        <v>24.3</v>
      </c>
      <c r="U7187" s="2" t="s">
        <v>43492</v>
      </c>
      <c r="W7187" t="s">
        <v>43493</v>
      </c>
      <c r="X7187">
        <v>839307</v>
      </c>
      <c r="Y7187" t="s">
        <v>28227</v>
      </c>
      <c r="Z7187" t="s">
        <v>43494</v>
      </c>
      <c r="AA7187" t="s">
        <v>9161</v>
      </c>
      <c r="AB7187" t="s">
        <v>43495</v>
      </c>
      <c r="AG7187" t="s">
        <v>43496</v>
      </c>
      <c r="AH7187" t="s">
        <v>23213</v>
      </c>
      <c r="AI7187" t="s">
        <v>43497</v>
      </c>
    </row>
    <row r="7188" spans="2:35" ht="105">
      <c r="B7188" s="1">
        <v>45138</v>
      </c>
      <c r="C7188" s="4">
        <v>45138.578472222223</v>
      </c>
      <c r="D7188" t="s">
        <v>1885</v>
      </c>
      <c r="E7188" t="s">
        <v>2136</v>
      </c>
      <c r="F7188" t="s">
        <v>1255</v>
      </c>
      <c r="G7188" t="s">
        <v>1887</v>
      </c>
      <c r="H7188" t="s">
        <v>295</v>
      </c>
      <c r="I7188" t="s">
        <v>94</v>
      </c>
      <c r="J7188" t="s">
        <v>109</v>
      </c>
      <c r="K7188" t="s">
        <v>42</v>
      </c>
      <c r="L7188" t="s">
        <v>296</v>
      </c>
      <c r="Q7188">
        <v>25365</v>
      </c>
      <c r="R7188" t="s">
        <v>45</v>
      </c>
      <c r="S7188" t="s">
        <v>1888</v>
      </c>
      <c r="T7188">
        <v>26.2</v>
      </c>
      <c r="U7188" s="2" t="s">
        <v>43473</v>
      </c>
      <c r="W7188" t="s">
        <v>23049</v>
      </c>
      <c r="X7188">
        <v>834441</v>
      </c>
      <c r="Y7188" t="s">
        <v>43498</v>
      </c>
      <c r="Z7188" t="s">
        <v>43499</v>
      </c>
      <c r="AA7188" t="s">
        <v>9161</v>
      </c>
      <c r="AB7188" t="s">
        <v>1480</v>
      </c>
      <c r="AG7188" t="s">
        <v>43500</v>
      </c>
      <c r="AH7188" t="s">
        <v>43501</v>
      </c>
      <c r="AI7188" t="s">
        <v>43502</v>
      </c>
    </row>
    <row r="7189" spans="2:35" ht="300">
      <c r="B7189" s="1">
        <v>45138</v>
      </c>
      <c r="C7189" s="4">
        <v>45135.513888888891</v>
      </c>
      <c r="D7189" t="s">
        <v>4379</v>
      </c>
      <c r="E7189" t="s">
        <v>28731</v>
      </c>
      <c r="F7189" t="s">
        <v>148</v>
      </c>
      <c r="G7189" t="s">
        <v>785</v>
      </c>
      <c r="H7189" t="s">
        <v>39</v>
      </c>
      <c r="I7189" t="s">
        <v>40</v>
      </c>
      <c r="J7189" s="2" t="s">
        <v>62</v>
      </c>
      <c r="K7189" t="s">
        <v>42</v>
      </c>
      <c r="L7189" t="s">
        <v>43</v>
      </c>
      <c r="Q7189">
        <v>25362</v>
      </c>
      <c r="R7189" t="s">
        <v>45</v>
      </c>
      <c r="S7189" t="s">
        <v>4382</v>
      </c>
      <c r="T7189">
        <v>26</v>
      </c>
      <c r="U7189" s="2" t="s">
        <v>43503</v>
      </c>
      <c r="W7189" t="s">
        <v>9792</v>
      </c>
      <c r="X7189">
        <v>814374</v>
      </c>
      <c r="Y7189" t="s">
        <v>1111</v>
      </c>
      <c r="Z7189" t="s">
        <v>1519</v>
      </c>
      <c r="AA7189" s="2" t="s">
        <v>38266</v>
      </c>
      <c r="AB7189" t="s">
        <v>43504</v>
      </c>
      <c r="AG7189" t="s">
        <v>43505</v>
      </c>
      <c r="AH7189" t="s">
        <v>43506</v>
      </c>
      <c r="AI7189" t="s">
        <v>43507</v>
      </c>
    </row>
    <row r="7190" spans="2:35" ht="255">
      <c r="B7190" s="1">
        <v>45138</v>
      </c>
      <c r="C7190" s="4">
        <v>45135.658333333333</v>
      </c>
      <c r="D7190" t="s">
        <v>4190</v>
      </c>
      <c r="E7190" t="s">
        <v>34606</v>
      </c>
      <c r="F7190" t="s">
        <v>37</v>
      </c>
      <c r="G7190" t="s">
        <v>38</v>
      </c>
      <c r="H7190" t="s">
        <v>39</v>
      </c>
      <c r="I7190" t="s">
        <v>40</v>
      </c>
      <c r="J7190" s="2" t="s">
        <v>41</v>
      </c>
      <c r="K7190" t="s">
        <v>42</v>
      </c>
      <c r="L7190" t="s">
        <v>43</v>
      </c>
      <c r="Q7190">
        <v>25364</v>
      </c>
      <c r="R7190" t="s">
        <v>119</v>
      </c>
      <c r="S7190" t="s">
        <v>4192</v>
      </c>
      <c r="T7190">
        <v>24</v>
      </c>
      <c r="U7190" s="2" t="s">
        <v>9485</v>
      </c>
      <c r="V7190" s="1">
        <v>45132</v>
      </c>
      <c r="W7190" t="s">
        <v>9792</v>
      </c>
      <c r="X7190">
        <v>821293</v>
      </c>
      <c r="Y7190" t="s">
        <v>43508</v>
      </c>
      <c r="Z7190" t="s">
        <v>43509</v>
      </c>
      <c r="AA7190" s="2" t="s">
        <v>43510</v>
      </c>
      <c r="AB7190" t="s">
        <v>43511</v>
      </c>
      <c r="AD7190" s="2" t="s">
        <v>43512</v>
      </c>
      <c r="AE7190" t="s">
        <v>43513</v>
      </c>
      <c r="AG7190" t="s">
        <v>43514</v>
      </c>
      <c r="AH7190" t="s">
        <v>43515</v>
      </c>
      <c r="AI7190" t="s">
        <v>43516</v>
      </c>
    </row>
    <row r="7191" spans="2:35" ht="330">
      <c r="B7191" s="1">
        <v>45138</v>
      </c>
      <c r="C7191" s="4">
        <v>45135.520833333336</v>
      </c>
      <c r="D7191" t="s">
        <v>4379</v>
      </c>
      <c r="E7191" t="s">
        <v>18288</v>
      </c>
      <c r="F7191" t="s">
        <v>148</v>
      </c>
      <c r="G7191" t="s">
        <v>785</v>
      </c>
      <c r="H7191" t="s">
        <v>39</v>
      </c>
      <c r="I7191" t="s">
        <v>40</v>
      </c>
      <c r="J7191" s="2" t="s">
        <v>190</v>
      </c>
      <c r="K7191" t="s">
        <v>42</v>
      </c>
      <c r="L7191" t="s">
        <v>43</v>
      </c>
      <c r="Q7191">
        <v>25363</v>
      </c>
      <c r="R7191" t="s">
        <v>322</v>
      </c>
      <c r="S7191" t="s">
        <v>4382</v>
      </c>
      <c r="T7191">
        <v>26</v>
      </c>
      <c r="U7191" s="2" t="s">
        <v>43517</v>
      </c>
      <c r="W7191" t="s">
        <v>9792</v>
      </c>
      <c r="X7191">
        <v>838627</v>
      </c>
      <c r="Y7191" t="s">
        <v>43518</v>
      </c>
      <c r="Z7191" t="s">
        <v>43519</v>
      </c>
      <c r="AA7191" s="2" t="s">
        <v>43520</v>
      </c>
      <c r="AB7191" t="s">
        <v>43521</v>
      </c>
      <c r="AG7191" t="s">
        <v>43522</v>
      </c>
      <c r="AH7191" t="s">
        <v>43506</v>
      </c>
      <c r="AI7191" t="s">
        <v>43523</v>
      </c>
    </row>
    <row r="7192" spans="2:35" ht="180">
      <c r="B7192" s="1">
        <v>45138</v>
      </c>
      <c r="C7192" s="4">
        <v>45134.566666666666</v>
      </c>
      <c r="D7192" t="s">
        <v>22535</v>
      </c>
      <c r="E7192" t="s">
        <v>43524</v>
      </c>
      <c r="F7192" t="s">
        <v>37</v>
      </c>
      <c r="G7192" t="s">
        <v>38</v>
      </c>
      <c r="H7192" t="s">
        <v>39</v>
      </c>
      <c r="I7192" t="s">
        <v>40</v>
      </c>
      <c r="J7192" s="2" t="s">
        <v>41</v>
      </c>
      <c r="K7192" t="s">
        <v>42</v>
      </c>
      <c r="L7192" t="s">
        <v>43</v>
      </c>
      <c r="Q7192">
        <v>25361</v>
      </c>
      <c r="R7192" t="s">
        <v>719</v>
      </c>
      <c r="S7192" t="s">
        <v>43525</v>
      </c>
      <c r="T7192">
        <v>25</v>
      </c>
      <c r="U7192" s="2" t="s">
        <v>27168</v>
      </c>
      <c r="V7192" s="1">
        <v>45134</v>
      </c>
      <c r="W7192" t="s">
        <v>9792</v>
      </c>
      <c r="X7192">
        <v>846045</v>
      </c>
      <c r="Y7192" t="s">
        <v>43526</v>
      </c>
      <c r="Z7192" t="s">
        <v>2166</v>
      </c>
      <c r="AA7192" s="2" t="s">
        <v>43527</v>
      </c>
      <c r="AB7192" t="s">
        <v>16412</v>
      </c>
      <c r="AD7192" s="2" t="s">
        <v>43528</v>
      </c>
      <c r="AE7192" t="s">
        <v>43529</v>
      </c>
      <c r="AG7192" t="s">
        <v>43530</v>
      </c>
      <c r="AH7192" t="s">
        <v>43531</v>
      </c>
      <c r="AI7192" t="s">
        <v>43532</v>
      </c>
    </row>
    <row r="7193" spans="2:35" ht="225">
      <c r="B7193" s="1">
        <v>45138</v>
      </c>
      <c r="C7193" s="4">
        <v>45133.464583333334</v>
      </c>
      <c r="D7193" t="s">
        <v>38660</v>
      </c>
      <c r="E7193" t="s">
        <v>43533</v>
      </c>
      <c r="F7193" t="s">
        <v>148</v>
      </c>
      <c r="G7193" t="s">
        <v>2007</v>
      </c>
      <c r="H7193" t="s">
        <v>39</v>
      </c>
      <c r="I7193" t="s">
        <v>40</v>
      </c>
      <c r="J7193" s="2" t="s">
        <v>1592</v>
      </c>
      <c r="K7193" t="s">
        <v>42</v>
      </c>
      <c r="L7193" t="s">
        <v>43</v>
      </c>
      <c r="Q7193">
        <v>25358</v>
      </c>
      <c r="R7193" t="s">
        <v>119</v>
      </c>
      <c r="S7193" t="s">
        <v>43534</v>
      </c>
      <c r="T7193">
        <v>24</v>
      </c>
      <c r="U7193" s="2" t="s">
        <v>43535</v>
      </c>
      <c r="V7193" s="1">
        <v>45131</v>
      </c>
      <c r="W7193" t="s">
        <v>9792</v>
      </c>
      <c r="X7193">
        <v>831712</v>
      </c>
      <c r="Y7193" t="s">
        <v>43536</v>
      </c>
      <c r="Z7193" s="2" t="s">
        <v>43537</v>
      </c>
      <c r="AA7193" s="2" t="s">
        <v>43538</v>
      </c>
      <c r="AB7193" t="s">
        <v>43539</v>
      </c>
      <c r="AD7193" s="2" t="s">
        <v>43540</v>
      </c>
      <c r="AE7193" t="s">
        <v>43541</v>
      </c>
      <c r="AG7193" t="s">
        <v>43542</v>
      </c>
      <c r="AH7193" t="s">
        <v>43543</v>
      </c>
      <c r="AI7193" t="s">
        <v>43544</v>
      </c>
    </row>
    <row r="7194" spans="2:35" ht="210">
      <c r="B7194" s="1">
        <v>45138</v>
      </c>
      <c r="C7194" s="4">
        <v>45134.48541666667</v>
      </c>
      <c r="D7194" t="s">
        <v>43545</v>
      </c>
      <c r="E7194" t="s">
        <v>43546</v>
      </c>
      <c r="F7194" t="s">
        <v>37</v>
      </c>
      <c r="G7194" t="s">
        <v>38</v>
      </c>
      <c r="H7194" t="s">
        <v>39</v>
      </c>
      <c r="I7194" t="s">
        <v>40</v>
      </c>
      <c r="J7194" t="s">
        <v>109</v>
      </c>
      <c r="K7194" t="s">
        <v>42</v>
      </c>
      <c r="L7194" t="s">
        <v>43</v>
      </c>
      <c r="Q7194">
        <v>25359</v>
      </c>
      <c r="R7194" t="s">
        <v>45</v>
      </c>
      <c r="S7194" t="s">
        <v>43547</v>
      </c>
      <c r="T7194">
        <v>25</v>
      </c>
      <c r="U7194" s="2" t="s">
        <v>38293</v>
      </c>
      <c r="W7194" t="s">
        <v>9792</v>
      </c>
      <c r="X7194">
        <v>838199</v>
      </c>
      <c r="Y7194" t="s">
        <v>121</v>
      </c>
      <c r="Z7194" t="s">
        <v>122</v>
      </c>
      <c r="AA7194" s="2" t="s">
        <v>43548</v>
      </c>
      <c r="AB7194" t="s">
        <v>88</v>
      </c>
      <c r="AC7194" t="s">
        <v>43549</v>
      </c>
      <c r="AG7194" t="s">
        <v>43550</v>
      </c>
      <c r="AH7194" t="s">
        <v>43551</v>
      </c>
      <c r="AI7194" t="s">
        <v>43552</v>
      </c>
    </row>
    <row r="7195" spans="2:35" ht="150">
      <c r="B7195" s="1">
        <v>45138</v>
      </c>
      <c r="C7195" s="4">
        <v>45133.460416666669</v>
      </c>
      <c r="D7195" t="s">
        <v>38660</v>
      </c>
      <c r="E7195" t="s">
        <v>43533</v>
      </c>
      <c r="F7195" t="s">
        <v>148</v>
      </c>
      <c r="G7195" t="s">
        <v>2007</v>
      </c>
      <c r="H7195" t="s">
        <v>39</v>
      </c>
      <c r="I7195" t="s">
        <v>40</v>
      </c>
      <c r="J7195" s="2" t="s">
        <v>62</v>
      </c>
      <c r="K7195" t="s">
        <v>42</v>
      </c>
      <c r="L7195" t="s">
        <v>43</v>
      </c>
      <c r="Q7195">
        <v>25357</v>
      </c>
      <c r="R7195" t="s">
        <v>45</v>
      </c>
      <c r="S7195" t="s">
        <v>43534</v>
      </c>
      <c r="T7195">
        <v>24</v>
      </c>
      <c r="U7195" s="2" t="s">
        <v>43535</v>
      </c>
      <c r="W7195" t="s">
        <v>9792</v>
      </c>
      <c r="X7195">
        <v>838875</v>
      </c>
      <c r="Y7195" t="s">
        <v>1111</v>
      </c>
      <c r="Z7195" t="s">
        <v>1519</v>
      </c>
      <c r="AA7195" s="2" t="s">
        <v>43553</v>
      </c>
      <c r="AB7195" t="s">
        <v>1521</v>
      </c>
      <c r="AG7195" t="s">
        <v>43554</v>
      </c>
      <c r="AH7195" t="s">
        <v>43543</v>
      </c>
      <c r="AI7195" t="s">
        <v>43555</v>
      </c>
    </row>
    <row r="7196" spans="2:35" ht="225">
      <c r="B7196" s="1">
        <v>45138</v>
      </c>
      <c r="C7196" s="4">
        <v>45134.487500000003</v>
      </c>
      <c r="D7196" t="s">
        <v>43545</v>
      </c>
      <c r="E7196" t="s">
        <v>43546</v>
      </c>
      <c r="F7196" t="s">
        <v>37</v>
      </c>
      <c r="G7196" t="s">
        <v>38</v>
      </c>
      <c r="H7196" t="s">
        <v>39</v>
      </c>
      <c r="I7196" t="s">
        <v>40</v>
      </c>
      <c r="J7196" t="s">
        <v>109</v>
      </c>
      <c r="K7196" t="s">
        <v>42</v>
      </c>
      <c r="L7196" t="s">
        <v>43</v>
      </c>
      <c r="Q7196">
        <v>25360</v>
      </c>
      <c r="R7196" t="s">
        <v>45</v>
      </c>
      <c r="S7196" t="s">
        <v>43547</v>
      </c>
      <c r="T7196">
        <v>25</v>
      </c>
      <c r="W7196" t="s">
        <v>9792</v>
      </c>
      <c r="X7196">
        <v>807605</v>
      </c>
      <c r="Y7196" t="s">
        <v>121</v>
      </c>
      <c r="Z7196" t="s">
        <v>122</v>
      </c>
      <c r="AA7196" s="2" t="s">
        <v>31987</v>
      </c>
      <c r="AB7196" t="s">
        <v>88</v>
      </c>
      <c r="AG7196" t="s">
        <v>43556</v>
      </c>
      <c r="AH7196" t="s">
        <v>43551</v>
      </c>
      <c r="AI7196" t="s">
        <v>43557</v>
      </c>
    </row>
    <row r="7197" spans="2:35" ht="105">
      <c r="B7197" s="1">
        <v>45138</v>
      </c>
      <c r="C7197" s="4">
        <v>45138.579861111109</v>
      </c>
      <c r="D7197" t="s">
        <v>1885</v>
      </c>
      <c r="E7197" t="s">
        <v>2136</v>
      </c>
      <c r="F7197" t="s">
        <v>1255</v>
      </c>
      <c r="G7197" t="s">
        <v>1887</v>
      </c>
      <c r="H7197" t="s">
        <v>295</v>
      </c>
      <c r="I7197" t="s">
        <v>94</v>
      </c>
      <c r="J7197" t="s">
        <v>109</v>
      </c>
      <c r="K7197" t="s">
        <v>42</v>
      </c>
      <c r="L7197" t="s">
        <v>296</v>
      </c>
      <c r="Q7197">
        <v>25356</v>
      </c>
      <c r="R7197" t="s">
        <v>45</v>
      </c>
      <c r="S7197" t="s">
        <v>1888</v>
      </c>
      <c r="T7197">
        <v>25.8</v>
      </c>
      <c r="U7197" s="2" t="s">
        <v>43473</v>
      </c>
      <c r="W7197" t="s">
        <v>23049</v>
      </c>
      <c r="X7197">
        <v>834442</v>
      </c>
      <c r="Y7197" t="s">
        <v>54</v>
      </c>
      <c r="Z7197" t="s">
        <v>9161</v>
      </c>
      <c r="AA7197" t="s">
        <v>9161</v>
      </c>
      <c r="AB7197" t="s">
        <v>972</v>
      </c>
      <c r="AG7197" t="s">
        <v>43558</v>
      </c>
      <c r="AH7197" t="s">
        <v>43501</v>
      </c>
      <c r="AI7197" t="s">
        <v>43559</v>
      </c>
    </row>
    <row r="7198" spans="2:35" ht="270">
      <c r="B7198" s="1">
        <v>45138</v>
      </c>
      <c r="C7198" s="4">
        <v>45138.573611111111</v>
      </c>
      <c r="D7198" t="s">
        <v>1885</v>
      </c>
      <c r="E7198" t="s">
        <v>2136</v>
      </c>
      <c r="F7198" t="s">
        <v>1255</v>
      </c>
      <c r="G7198" t="s">
        <v>1887</v>
      </c>
      <c r="H7198" t="s">
        <v>295</v>
      </c>
      <c r="I7198" t="s">
        <v>94</v>
      </c>
      <c r="J7198" s="2" t="s">
        <v>41</v>
      </c>
      <c r="K7198" t="s">
        <v>42</v>
      </c>
      <c r="L7198" t="s">
        <v>296</v>
      </c>
      <c r="Q7198">
        <v>25355</v>
      </c>
      <c r="R7198" t="s">
        <v>119</v>
      </c>
      <c r="S7198" t="s">
        <v>1888</v>
      </c>
      <c r="T7198">
        <v>21.3</v>
      </c>
      <c r="U7198" s="2" t="s">
        <v>43473</v>
      </c>
      <c r="V7198" s="1">
        <v>45138</v>
      </c>
      <c r="W7198" t="s">
        <v>23049</v>
      </c>
      <c r="X7198">
        <v>837662</v>
      </c>
      <c r="Y7198" t="s">
        <v>43560</v>
      </c>
      <c r="Z7198" s="2" t="s">
        <v>43561</v>
      </c>
      <c r="AA7198" t="s">
        <v>303</v>
      </c>
      <c r="AB7198" t="s">
        <v>972</v>
      </c>
      <c r="AD7198" t="s">
        <v>37959</v>
      </c>
      <c r="AE7198" t="s">
        <v>43562</v>
      </c>
      <c r="AG7198" t="s">
        <v>43563</v>
      </c>
      <c r="AH7198" t="s">
        <v>43564</v>
      </c>
      <c r="AI7198" t="s">
        <v>43565</v>
      </c>
    </row>
    <row r="7199" spans="2:35" ht="90">
      <c r="B7199" s="1">
        <v>45138</v>
      </c>
      <c r="C7199" s="4">
        <v>45134.481944444444</v>
      </c>
      <c r="D7199" t="s">
        <v>43566</v>
      </c>
      <c r="E7199" t="s">
        <v>36994</v>
      </c>
      <c r="F7199">
        <v>7</v>
      </c>
      <c r="G7199" t="s">
        <v>432</v>
      </c>
      <c r="H7199" t="s">
        <v>39</v>
      </c>
      <c r="I7199" t="s">
        <v>40</v>
      </c>
      <c r="J7199" s="2" t="s">
        <v>43567</v>
      </c>
      <c r="K7199" t="s">
        <v>42</v>
      </c>
      <c r="L7199" t="s">
        <v>433</v>
      </c>
      <c r="Q7199">
        <v>25354</v>
      </c>
      <c r="R7199" t="s">
        <v>45</v>
      </c>
      <c r="S7199" t="s">
        <v>36996</v>
      </c>
      <c r="T7199">
        <v>28</v>
      </c>
      <c r="W7199" t="s">
        <v>1008</v>
      </c>
      <c r="X7199">
        <v>835057</v>
      </c>
      <c r="Y7199" t="s">
        <v>43568</v>
      </c>
      <c r="Z7199" t="s">
        <v>43568</v>
      </c>
      <c r="AA7199" t="s">
        <v>43568</v>
      </c>
      <c r="AB7199" t="s">
        <v>1011</v>
      </c>
      <c r="AG7199" t="s">
        <v>43569</v>
      </c>
      <c r="AH7199" t="s">
        <v>43570</v>
      </c>
      <c r="AI7199" t="s">
        <v>43571</v>
      </c>
    </row>
    <row r="7200" spans="2:35" ht="285">
      <c r="B7200" s="1">
        <v>45138</v>
      </c>
      <c r="C7200" s="4">
        <v>45138.615277777775</v>
      </c>
      <c r="D7200" t="s">
        <v>10457</v>
      </c>
      <c r="E7200" t="s">
        <v>6691</v>
      </c>
      <c r="F7200">
        <v>7</v>
      </c>
      <c r="G7200" t="s">
        <v>269</v>
      </c>
      <c r="H7200" t="s">
        <v>258</v>
      </c>
      <c r="I7200" t="s">
        <v>40</v>
      </c>
      <c r="J7200" s="2" t="s">
        <v>1309</v>
      </c>
      <c r="K7200" t="s">
        <v>42</v>
      </c>
      <c r="L7200" t="s">
        <v>270</v>
      </c>
      <c r="Q7200">
        <v>25353</v>
      </c>
      <c r="R7200" t="s">
        <v>119</v>
      </c>
      <c r="S7200" t="s">
        <v>10458</v>
      </c>
      <c r="T7200">
        <v>22</v>
      </c>
      <c r="U7200" s="2" t="s">
        <v>43572</v>
      </c>
      <c r="W7200" t="s">
        <v>3662</v>
      </c>
      <c r="X7200">
        <v>838525</v>
      </c>
      <c r="Y7200" t="s">
        <v>43573</v>
      </c>
      <c r="Z7200" s="2" t="s">
        <v>43574</v>
      </c>
      <c r="AA7200" t="s">
        <v>43575</v>
      </c>
      <c r="AB7200" t="s">
        <v>43576</v>
      </c>
      <c r="AG7200" t="s">
        <v>43577</v>
      </c>
      <c r="AH7200" t="s">
        <v>16536</v>
      </c>
      <c r="AI7200" t="s">
        <v>43578</v>
      </c>
    </row>
    <row r="7201" spans="2:35" ht="409.5">
      <c r="B7201" s="1">
        <v>45138</v>
      </c>
      <c r="C7201" s="4">
        <v>45138.570138888892</v>
      </c>
      <c r="D7201" t="s">
        <v>43579</v>
      </c>
      <c r="E7201" t="s">
        <v>4456</v>
      </c>
      <c r="F7201">
        <v>6</v>
      </c>
      <c r="G7201" t="s">
        <v>4457</v>
      </c>
      <c r="H7201" t="s">
        <v>34104</v>
      </c>
      <c r="I7201" t="s">
        <v>94</v>
      </c>
      <c r="J7201" t="s">
        <v>79</v>
      </c>
      <c r="K7201" t="s">
        <v>42</v>
      </c>
      <c r="L7201" t="s">
        <v>23958</v>
      </c>
      <c r="Q7201">
        <v>25352</v>
      </c>
      <c r="R7201" t="s">
        <v>119</v>
      </c>
      <c r="S7201" t="s">
        <v>4458</v>
      </c>
      <c r="T7201">
        <v>4</v>
      </c>
      <c r="U7201" s="2" t="s">
        <v>43580</v>
      </c>
      <c r="W7201" t="s">
        <v>360</v>
      </c>
      <c r="X7201">
        <v>838540</v>
      </c>
      <c r="Y7201" t="s">
        <v>43581</v>
      </c>
      <c r="Z7201" t="s">
        <v>34107</v>
      </c>
      <c r="AA7201" s="2" t="s">
        <v>43582</v>
      </c>
      <c r="AB7201" t="s">
        <v>13650</v>
      </c>
      <c r="AG7201" t="s">
        <v>43583</v>
      </c>
      <c r="AH7201" t="s">
        <v>20102</v>
      </c>
      <c r="AI7201" t="s">
        <v>43584</v>
      </c>
    </row>
    <row r="7202" spans="2:35" ht="165">
      <c r="B7202" s="1">
        <v>45138</v>
      </c>
      <c r="C7202" s="4">
        <v>45135.563888888886</v>
      </c>
      <c r="D7202" t="s">
        <v>40458</v>
      </c>
      <c r="E7202" t="s">
        <v>43585</v>
      </c>
      <c r="F7202">
        <v>5</v>
      </c>
      <c r="G7202" t="s">
        <v>839</v>
      </c>
      <c r="H7202" t="s">
        <v>39</v>
      </c>
      <c r="I7202" t="s">
        <v>40</v>
      </c>
      <c r="J7202" s="2" t="s">
        <v>62</v>
      </c>
      <c r="K7202" t="s">
        <v>42</v>
      </c>
      <c r="L7202" t="s">
        <v>761</v>
      </c>
      <c r="Q7202">
        <v>25351</v>
      </c>
      <c r="R7202" t="s">
        <v>45</v>
      </c>
      <c r="S7202" t="s">
        <v>43586</v>
      </c>
      <c r="T7202">
        <v>28</v>
      </c>
      <c r="U7202" s="2" t="s">
        <v>9444</v>
      </c>
      <c r="W7202" t="s">
        <v>360</v>
      </c>
      <c r="X7202">
        <v>808285</v>
      </c>
      <c r="Y7202" t="s">
        <v>1111</v>
      </c>
      <c r="Z7202" s="2" t="s">
        <v>43587</v>
      </c>
      <c r="AA7202" t="s">
        <v>43588</v>
      </c>
      <c r="AB7202" s="2" t="s">
        <v>43589</v>
      </c>
      <c r="AG7202" t="s">
        <v>43590</v>
      </c>
      <c r="AH7202" t="s">
        <v>43591</v>
      </c>
      <c r="AI7202" t="s">
        <v>43592</v>
      </c>
    </row>
    <row r="7203" spans="2:35" ht="150">
      <c r="B7203" s="1">
        <v>45138</v>
      </c>
      <c r="C7203" s="4">
        <v>45132.59097222222</v>
      </c>
      <c r="D7203" t="s">
        <v>25805</v>
      </c>
      <c r="E7203" t="s">
        <v>43593</v>
      </c>
      <c r="F7203" t="s">
        <v>148</v>
      </c>
      <c r="G7203" t="s">
        <v>774</v>
      </c>
      <c r="H7203" t="s">
        <v>39</v>
      </c>
      <c r="I7203" t="s">
        <v>40</v>
      </c>
      <c r="J7203" s="2" t="s">
        <v>41</v>
      </c>
      <c r="K7203" t="s">
        <v>42</v>
      </c>
      <c r="L7203" t="s">
        <v>1028</v>
      </c>
      <c r="Q7203">
        <v>25350</v>
      </c>
      <c r="R7203" t="s">
        <v>45</v>
      </c>
      <c r="S7203" t="s">
        <v>35661</v>
      </c>
      <c r="T7203">
        <v>28</v>
      </c>
      <c r="U7203" s="2" t="s">
        <v>43594</v>
      </c>
      <c r="V7203" s="1">
        <v>45131</v>
      </c>
      <c r="W7203" t="s">
        <v>2680</v>
      </c>
      <c r="X7203">
        <v>707512</v>
      </c>
      <c r="Y7203" t="s">
        <v>43595</v>
      </c>
      <c r="Z7203" t="s">
        <v>2129</v>
      </c>
      <c r="AA7203" s="2" t="s">
        <v>43596</v>
      </c>
      <c r="AB7203" t="s">
        <v>3063</v>
      </c>
      <c r="AD7203" t="s">
        <v>18642</v>
      </c>
      <c r="AE7203" t="s">
        <v>43597</v>
      </c>
      <c r="AG7203" t="s">
        <v>43598</v>
      </c>
      <c r="AH7203" t="s">
        <v>35665</v>
      </c>
      <c r="AI7203" t="s">
        <v>43599</v>
      </c>
    </row>
    <row r="7204" spans="2:35" ht="165">
      <c r="B7204" s="1">
        <v>45138</v>
      </c>
      <c r="C7204" s="4">
        <v>45132.627083333333</v>
      </c>
      <c r="D7204" t="s">
        <v>1026</v>
      </c>
      <c r="E7204" t="s">
        <v>43600</v>
      </c>
      <c r="F7204" t="s">
        <v>148</v>
      </c>
      <c r="G7204" t="s">
        <v>774</v>
      </c>
      <c r="H7204" t="s">
        <v>662</v>
      </c>
      <c r="I7204" t="s">
        <v>94</v>
      </c>
      <c r="J7204" t="s">
        <v>321</v>
      </c>
      <c r="K7204" t="s">
        <v>42</v>
      </c>
      <c r="L7204" t="s">
        <v>1028</v>
      </c>
      <c r="Q7204">
        <v>25349</v>
      </c>
      <c r="R7204" t="s">
        <v>95</v>
      </c>
      <c r="S7204" t="s">
        <v>4609</v>
      </c>
      <c r="T7204">
        <v>24</v>
      </c>
      <c r="V7204" s="1">
        <v>45131</v>
      </c>
      <c r="W7204" t="s">
        <v>43601</v>
      </c>
      <c r="X7204">
        <v>110014996</v>
      </c>
      <c r="Y7204" t="s">
        <v>29377</v>
      </c>
      <c r="Z7204" t="s">
        <v>13110</v>
      </c>
      <c r="AA7204" s="2" t="s">
        <v>43602</v>
      </c>
      <c r="AB7204" t="s">
        <v>43603</v>
      </c>
      <c r="AE7204" t="s">
        <v>43604</v>
      </c>
      <c r="AG7204" t="s">
        <v>43605</v>
      </c>
      <c r="AH7204" t="s">
        <v>6608</v>
      </c>
      <c r="AI7204" t="s">
        <v>43606</v>
      </c>
    </row>
    <row r="7205" spans="2:35" ht="180">
      <c r="B7205" s="1">
        <v>45138</v>
      </c>
      <c r="C7205" s="4">
        <v>45128.522222222222</v>
      </c>
      <c r="D7205" t="s">
        <v>25923</v>
      </c>
      <c r="E7205" t="s">
        <v>43607</v>
      </c>
      <c r="F7205" t="s">
        <v>37</v>
      </c>
      <c r="G7205" t="s">
        <v>748</v>
      </c>
      <c r="H7205" t="s">
        <v>39</v>
      </c>
      <c r="I7205" t="s">
        <v>40</v>
      </c>
      <c r="J7205" s="2" t="s">
        <v>41</v>
      </c>
      <c r="K7205" t="s">
        <v>42</v>
      </c>
      <c r="L7205" t="s">
        <v>1028</v>
      </c>
      <c r="Q7205">
        <v>25347</v>
      </c>
      <c r="R7205" t="s">
        <v>119</v>
      </c>
      <c r="S7205" t="s">
        <v>25925</v>
      </c>
      <c r="T7205">
        <v>24</v>
      </c>
      <c r="U7205" s="2" t="s">
        <v>17774</v>
      </c>
      <c r="V7205" s="1">
        <v>45126</v>
      </c>
      <c r="W7205" t="s">
        <v>2680</v>
      </c>
      <c r="X7205">
        <v>821284</v>
      </c>
      <c r="Y7205" s="2" t="s">
        <v>43608</v>
      </c>
      <c r="Z7205" s="2" t="s">
        <v>43609</v>
      </c>
      <c r="AA7205" s="2" t="s">
        <v>43610</v>
      </c>
      <c r="AB7205" t="s">
        <v>30229</v>
      </c>
      <c r="AD7205" t="s">
        <v>40913</v>
      </c>
      <c r="AE7205" t="s">
        <v>43611</v>
      </c>
      <c r="AG7205" t="s">
        <v>43612</v>
      </c>
      <c r="AH7205" t="s">
        <v>25928</v>
      </c>
      <c r="AI7205" t="s">
        <v>43613</v>
      </c>
    </row>
    <row r="7206" spans="2:35" ht="165">
      <c r="B7206" s="1">
        <v>45138</v>
      </c>
      <c r="C7206" s="4">
        <v>45126.505555555559</v>
      </c>
      <c r="D7206" t="s">
        <v>43614</v>
      </c>
      <c r="E7206" t="s">
        <v>43615</v>
      </c>
      <c r="F7206" t="s">
        <v>37</v>
      </c>
      <c r="G7206" t="s">
        <v>748</v>
      </c>
      <c r="H7206" t="s">
        <v>39</v>
      </c>
      <c r="I7206" t="s">
        <v>40</v>
      </c>
      <c r="J7206" s="2" t="s">
        <v>62</v>
      </c>
      <c r="K7206" t="s">
        <v>42</v>
      </c>
      <c r="L7206" t="s">
        <v>1028</v>
      </c>
      <c r="Q7206">
        <v>25346</v>
      </c>
      <c r="R7206" t="s">
        <v>45</v>
      </c>
      <c r="S7206" t="s">
        <v>43616</v>
      </c>
      <c r="T7206">
        <v>23</v>
      </c>
      <c r="U7206" s="2" t="s">
        <v>11439</v>
      </c>
      <c r="W7206" t="s">
        <v>43617</v>
      </c>
      <c r="X7206">
        <v>835186</v>
      </c>
      <c r="Y7206" t="s">
        <v>43618</v>
      </c>
      <c r="Z7206" t="s">
        <v>21244</v>
      </c>
      <c r="AA7206" s="2" t="s">
        <v>31300</v>
      </c>
      <c r="AB7206" t="s">
        <v>3063</v>
      </c>
      <c r="AG7206" t="s">
        <v>43619</v>
      </c>
      <c r="AH7206" t="s">
        <v>43620</v>
      </c>
      <c r="AI7206" t="s">
        <v>43621</v>
      </c>
    </row>
    <row r="7207" spans="2:35" ht="210">
      <c r="B7207" s="1">
        <v>45138</v>
      </c>
      <c r="C7207" s="4">
        <v>45126.44027777778</v>
      </c>
      <c r="D7207" t="s">
        <v>24738</v>
      </c>
      <c r="E7207" t="s">
        <v>43622</v>
      </c>
      <c r="F7207" t="s">
        <v>37</v>
      </c>
      <c r="G7207" t="s">
        <v>748</v>
      </c>
      <c r="H7207" t="s">
        <v>39</v>
      </c>
      <c r="I7207" t="s">
        <v>40</v>
      </c>
      <c r="J7207" s="2" t="s">
        <v>1309</v>
      </c>
      <c r="K7207" t="s">
        <v>42</v>
      </c>
      <c r="L7207" t="s">
        <v>1028</v>
      </c>
      <c r="Q7207">
        <v>25345</v>
      </c>
      <c r="R7207" t="s">
        <v>119</v>
      </c>
      <c r="S7207" t="s">
        <v>24740</v>
      </c>
      <c r="T7207">
        <v>27</v>
      </c>
      <c r="U7207" s="2" t="s">
        <v>43623</v>
      </c>
      <c r="V7207" s="1">
        <v>45124</v>
      </c>
      <c r="W7207" t="s">
        <v>2680</v>
      </c>
      <c r="X7207">
        <v>821227</v>
      </c>
      <c r="Y7207" s="2" t="s">
        <v>43624</v>
      </c>
      <c r="Z7207" s="2" t="s">
        <v>31928</v>
      </c>
      <c r="AA7207" s="2" t="s">
        <v>43625</v>
      </c>
      <c r="AB7207" t="s">
        <v>3063</v>
      </c>
      <c r="AC7207" t="s">
        <v>43626</v>
      </c>
      <c r="AD7207" t="s">
        <v>40913</v>
      </c>
      <c r="AE7207" t="s">
        <v>43627</v>
      </c>
      <c r="AG7207" t="s">
        <v>43628</v>
      </c>
      <c r="AH7207" t="s">
        <v>27998</v>
      </c>
      <c r="AI7207" t="s">
        <v>43629</v>
      </c>
    </row>
    <row r="7208" spans="2:35" ht="165">
      <c r="B7208" s="1">
        <v>45138</v>
      </c>
      <c r="C7208" s="4">
        <v>45125.595833333333</v>
      </c>
      <c r="D7208" t="s">
        <v>40434</v>
      </c>
      <c r="E7208" t="s">
        <v>40435</v>
      </c>
      <c r="F7208" t="s">
        <v>148</v>
      </c>
      <c r="G7208" t="s">
        <v>310</v>
      </c>
      <c r="H7208" t="s">
        <v>39</v>
      </c>
      <c r="I7208" t="s">
        <v>40</v>
      </c>
      <c r="J7208" s="2" t="s">
        <v>41</v>
      </c>
      <c r="K7208" t="s">
        <v>42</v>
      </c>
      <c r="L7208" t="s">
        <v>1028</v>
      </c>
      <c r="Q7208">
        <v>25348</v>
      </c>
      <c r="R7208" t="s">
        <v>119</v>
      </c>
      <c r="S7208" t="s">
        <v>27813</v>
      </c>
      <c r="T7208">
        <v>24</v>
      </c>
      <c r="U7208" s="2" t="s">
        <v>32642</v>
      </c>
      <c r="V7208" s="1">
        <v>45124</v>
      </c>
      <c r="W7208" t="s">
        <v>2680</v>
      </c>
      <c r="X7208">
        <v>831694</v>
      </c>
      <c r="Y7208" t="s">
        <v>43630</v>
      </c>
      <c r="Z7208" t="s">
        <v>2129</v>
      </c>
      <c r="AA7208" s="2" t="s">
        <v>43631</v>
      </c>
      <c r="AB7208" t="s">
        <v>28920</v>
      </c>
      <c r="AD7208" t="s">
        <v>18642</v>
      </c>
      <c r="AE7208" t="s">
        <v>43632</v>
      </c>
      <c r="AG7208" t="s">
        <v>43633</v>
      </c>
      <c r="AH7208" t="s">
        <v>27819</v>
      </c>
      <c r="AI7208" t="s">
        <v>43634</v>
      </c>
    </row>
    <row r="7209" spans="2:35" ht="360">
      <c r="B7209" s="1">
        <v>45137</v>
      </c>
      <c r="C7209" s="4">
        <v>45135.490277777775</v>
      </c>
      <c r="D7209" t="s">
        <v>2272</v>
      </c>
      <c r="E7209" t="s">
        <v>43635</v>
      </c>
      <c r="F7209" t="s">
        <v>148</v>
      </c>
      <c r="G7209" t="s">
        <v>310</v>
      </c>
      <c r="H7209" t="s">
        <v>386</v>
      </c>
      <c r="I7209" t="s">
        <v>40</v>
      </c>
      <c r="J7209" t="s">
        <v>525</v>
      </c>
      <c r="K7209" t="s">
        <v>387</v>
      </c>
      <c r="L7209" t="s">
        <v>448</v>
      </c>
      <c r="Q7209">
        <v>25344</v>
      </c>
      <c r="R7209" t="s">
        <v>95</v>
      </c>
      <c r="S7209" t="s">
        <v>43636</v>
      </c>
      <c r="T7209">
        <v>28</v>
      </c>
      <c r="W7209" t="s">
        <v>476</v>
      </c>
      <c r="X7209" t="s">
        <v>2277</v>
      </c>
      <c r="Y7209" t="s">
        <v>43637</v>
      </c>
      <c r="Z7209" s="2" t="s">
        <v>43638</v>
      </c>
      <c r="AA7209" t="s">
        <v>4487</v>
      </c>
      <c r="AB7209" t="s">
        <v>43639</v>
      </c>
      <c r="AG7209" t="s">
        <v>43640</v>
      </c>
      <c r="AH7209" t="s">
        <v>18780</v>
      </c>
      <c r="AI7209" t="s">
        <v>43641</v>
      </c>
    </row>
    <row r="7210" spans="2:35" ht="409.5">
      <c r="B7210" s="1">
        <v>45137</v>
      </c>
      <c r="C7210" s="4">
        <v>45134.661805555559</v>
      </c>
      <c r="D7210" t="s">
        <v>38717</v>
      </c>
      <c r="E7210" t="s">
        <v>2177</v>
      </c>
      <c r="F7210" t="s">
        <v>148</v>
      </c>
      <c r="G7210" t="s">
        <v>447</v>
      </c>
      <c r="H7210" t="s">
        <v>662</v>
      </c>
      <c r="I7210" t="s">
        <v>40</v>
      </c>
      <c r="J7210" s="2" t="s">
        <v>41</v>
      </c>
      <c r="K7210" t="s">
        <v>42</v>
      </c>
      <c r="L7210" t="s">
        <v>448</v>
      </c>
      <c r="Q7210">
        <v>25343</v>
      </c>
      <c r="R7210" t="s">
        <v>322</v>
      </c>
      <c r="S7210" t="s">
        <v>5604</v>
      </c>
      <c r="T7210">
        <v>25</v>
      </c>
      <c r="U7210" s="2" t="s">
        <v>43642</v>
      </c>
      <c r="V7210" s="1">
        <v>45131</v>
      </c>
      <c r="W7210" t="s">
        <v>325</v>
      </c>
      <c r="X7210">
        <v>110005587</v>
      </c>
      <c r="Y7210" t="s">
        <v>43643</v>
      </c>
      <c r="Z7210" t="s">
        <v>41282</v>
      </c>
      <c r="AA7210" t="s">
        <v>20643</v>
      </c>
      <c r="AB7210" t="s">
        <v>43644</v>
      </c>
      <c r="AD7210" t="s">
        <v>10253</v>
      </c>
      <c r="AE7210">
        <v>10273</v>
      </c>
      <c r="AG7210" t="s">
        <v>43645</v>
      </c>
      <c r="AH7210" t="s">
        <v>5609</v>
      </c>
      <c r="AI7210" t="s">
        <v>43646</v>
      </c>
    </row>
    <row r="7211" spans="2:35" ht="105">
      <c r="B7211" s="1">
        <v>45137</v>
      </c>
      <c r="C7211" s="4">
        <v>45134.469444444447</v>
      </c>
      <c r="D7211" t="s">
        <v>3076</v>
      </c>
      <c r="E7211" t="s">
        <v>43647</v>
      </c>
      <c r="F7211" t="s">
        <v>148</v>
      </c>
      <c r="G7211" t="s">
        <v>447</v>
      </c>
      <c r="H7211" t="s">
        <v>39</v>
      </c>
      <c r="I7211" t="s">
        <v>40</v>
      </c>
      <c r="J7211" s="2" t="s">
        <v>41</v>
      </c>
      <c r="K7211" t="s">
        <v>42</v>
      </c>
      <c r="L7211" t="s">
        <v>448</v>
      </c>
      <c r="Q7211">
        <v>25342</v>
      </c>
      <c r="R7211" t="s">
        <v>119</v>
      </c>
      <c r="S7211" t="s">
        <v>3078</v>
      </c>
      <c r="T7211">
        <v>31</v>
      </c>
      <c r="U7211" s="2" t="s">
        <v>24807</v>
      </c>
      <c r="V7211" s="1">
        <v>45131</v>
      </c>
      <c r="W7211" t="s">
        <v>360</v>
      </c>
      <c r="X7211">
        <v>831899</v>
      </c>
      <c r="Y7211" t="s">
        <v>43648</v>
      </c>
      <c r="Z7211" t="s">
        <v>42457</v>
      </c>
      <c r="AA7211" t="s">
        <v>20643</v>
      </c>
      <c r="AB7211" t="s">
        <v>43649</v>
      </c>
      <c r="AD7211" t="s">
        <v>43650</v>
      </c>
      <c r="AE7211">
        <v>10255</v>
      </c>
      <c r="AG7211" t="s">
        <v>43651</v>
      </c>
      <c r="AH7211" t="s">
        <v>43652</v>
      </c>
      <c r="AI7211" t="s">
        <v>43653</v>
      </c>
    </row>
    <row r="7212" spans="2:35" ht="345">
      <c r="B7212" s="1">
        <v>45137</v>
      </c>
      <c r="C7212" s="4">
        <v>45135.605555555558</v>
      </c>
      <c r="D7212" t="s">
        <v>42092</v>
      </c>
      <c r="E7212" t="s">
        <v>10433</v>
      </c>
      <c r="F7212" t="s">
        <v>148</v>
      </c>
      <c r="G7212" t="s">
        <v>447</v>
      </c>
      <c r="H7212" t="s">
        <v>662</v>
      </c>
      <c r="I7212" t="s">
        <v>40</v>
      </c>
      <c r="J7212" s="2" t="s">
        <v>41</v>
      </c>
      <c r="K7212" t="s">
        <v>42</v>
      </c>
      <c r="L7212" t="s">
        <v>448</v>
      </c>
      <c r="Q7212">
        <v>25341</v>
      </c>
      <c r="R7212" t="s">
        <v>322</v>
      </c>
      <c r="S7212" t="s">
        <v>3987</v>
      </c>
      <c r="T7212">
        <v>26</v>
      </c>
      <c r="U7212" s="2" t="s">
        <v>43654</v>
      </c>
      <c r="V7212" s="1">
        <v>45133</v>
      </c>
      <c r="W7212" t="s">
        <v>325</v>
      </c>
      <c r="X7212">
        <v>110014171</v>
      </c>
      <c r="Y7212" t="s">
        <v>43655</v>
      </c>
      <c r="Z7212" t="s">
        <v>43656</v>
      </c>
      <c r="AA7212" t="s">
        <v>20643</v>
      </c>
      <c r="AB7212" t="s">
        <v>486</v>
      </c>
      <c r="AD7212" t="s">
        <v>43657</v>
      </c>
      <c r="AE7212">
        <v>10296</v>
      </c>
      <c r="AG7212" t="s">
        <v>43658</v>
      </c>
      <c r="AH7212" t="s">
        <v>12852</v>
      </c>
      <c r="AI7212" t="s">
        <v>43659</v>
      </c>
    </row>
    <row r="7213" spans="2:35" ht="255">
      <c r="B7213" s="1">
        <v>45135</v>
      </c>
      <c r="C7213" s="4">
        <v>45135.617361111108</v>
      </c>
      <c r="D7213" t="s">
        <v>30177</v>
      </c>
      <c r="E7213" t="s">
        <v>37280</v>
      </c>
      <c r="F7213">
        <v>7</v>
      </c>
      <c r="G7213" t="s">
        <v>432</v>
      </c>
      <c r="H7213" t="s">
        <v>2290</v>
      </c>
      <c r="I7213" t="s">
        <v>94</v>
      </c>
      <c r="J7213" t="s">
        <v>525</v>
      </c>
      <c r="K7213" t="s">
        <v>42</v>
      </c>
      <c r="L7213" t="s">
        <v>610</v>
      </c>
      <c r="Q7213">
        <v>25340</v>
      </c>
      <c r="R7213" t="s">
        <v>45</v>
      </c>
      <c r="S7213" t="s">
        <v>37281</v>
      </c>
      <c r="T7213">
        <v>24</v>
      </c>
      <c r="U7213" s="2" t="s">
        <v>3796</v>
      </c>
      <c r="W7213" t="s">
        <v>502</v>
      </c>
      <c r="X7213">
        <v>838892</v>
      </c>
      <c r="Y7213" t="s">
        <v>14313</v>
      </c>
      <c r="Z7213" s="2" t="s">
        <v>43660</v>
      </c>
      <c r="AA7213" s="2" t="s">
        <v>43661</v>
      </c>
      <c r="AB7213" t="s">
        <v>43662</v>
      </c>
      <c r="AG7213" t="s">
        <v>43663</v>
      </c>
      <c r="AH7213" t="s">
        <v>43664</v>
      </c>
      <c r="AI7213" t="s">
        <v>43665</v>
      </c>
    </row>
    <row r="7214" spans="2:35" ht="105">
      <c r="B7214" s="1">
        <v>45135</v>
      </c>
      <c r="C7214" s="4">
        <v>45135.625</v>
      </c>
      <c r="D7214" t="s">
        <v>43666</v>
      </c>
      <c r="E7214" t="s">
        <v>27151</v>
      </c>
      <c r="F7214">
        <v>3</v>
      </c>
      <c r="G7214" t="s">
        <v>174</v>
      </c>
      <c r="H7214" t="s">
        <v>39</v>
      </c>
      <c r="I7214" t="s">
        <v>40</v>
      </c>
      <c r="J7214" s="2" t="s">
        <v>41</v>
      </c>
      <c r="K7214" t="s">
        <v>42</v>
      </c>
      <c r="L7214" t="s">
        <v>175</v>
      </c>
      <c r="Q7214">
        <v>25339</v>
      </c>
      <c r="R7214" t="s">
        <v>119</v>
      </c>
      <c r="S7214" t="s">
        <v>27152</v>
      </c>
      <c r="T7214">
        <v>27</v>
      </c>
      <c r="U7214" s="2" t="s">
        <v>5861</v>
      </c>
      <c r="V7214" s="1">
        <v>45133</v>
      </c>
      <c r="W7214" t="s">
        <v>84</v>
      </c>
      <c r="X7214">
        <v>831915</v>
      </c>
      <c r="Y7214" t="s">
        <v>9897</v>
      </c>
      <c r="Z7214" t="e">
        <f ca="1">- replaced monitor
- checked _xludf.and cleaned cartridge bay, plunger rod, _xludf.filter
- generated reports</f>
        <v>#NAME?</v>
      </c>
      <c r="AA7214" t="s">
        <v>9899</v>
      </c>
      <c r="AB7214" t="s">
        <v>88</v>
      </c>
      <c r="AD7214" s="2" t="s">
        <v>43667</v>
      </c>
      <c r="AE7214">
        <v>10293</v>
      </c>
      <c r="AG7214" t="s">
        <v>43668</v>
      </c>
      <c r="AH7214" t="s">
        <v>43327</v>
      </c>
      <c r="AI7214" t="s">
        <v>43669</v>
      </c>
    </row>
    <row r="7215" spans="2:35" ht="180">
      <c r="B7215" s="1">
        <v>45135</v>
      </c>
      <c r="C7215" s="4">
        <v>45135.595833333333</v>
      </c>
      <c r="D7215" t="s">
        <v>43670</v>
      </c>
      <c r="E7215" t="s">
        <v>43671</v>
      </c>
      <c r="F7215">
        <v>11</v>
      </c>
      <c r="G7215" t="s">
        <v>1205</v>
      </c>
      <c r="H7215" t="s">
        <v>202</v>
      </c>
      <c r="I7215" t="s">
        <v>40</v>
      </c>
      <c r="J7215" s="2" t="s">
        <v>41</v>
      </c>
      <c r="K7215" t="s">
        <v>42</v>
      </c>
      <c r="L7215" t="s">
        <v>204</v>
      </c>
      <c r="Q7215">
        <v>25338</v>
      </c>
      <c r="R7215" t="s">
        <v>119</v>
      </c>
      <c r="S7215" t="s">
        <v>7478</v>
      </c>
      <c r="T7215">
        <v>24.5</v>
      </c>
      <c r="U7215" s="2" t="s">
        <v>43672</v>
      </c>
      <c r="V7215" s="1">
        <v>45128</v>
      </c>
      <c r="W7215" t="s">
        <v>23237</v>
      </c>
      <c r="X7215">
        <v>838507</v>
      </c>
      <c r="Y7215" s="2" t="s">
        <v>43673</v>
      </c>
      <c r="Z7215" t="s">
        <v>43674</v>
      </c>
      <c r="AA7215" t="s">
        <v>2560</v>
      </c>
      <c r="AB7215" t="s">
        <v>1211</v>
      </c>
      <c r="AD7215" t="s">
        <v>10253</v>
      </c>
      <c r="AE7215" t="s">
        <v>43675</v>
      </c>
      <c r="AG7215" t="s">
        <v>43676</v>
      </c>
      <c r="AH7215" t="s">
        <v>43677</v>
      </c>
      <c r="AI7215" t="s">
        <v>43678</v>
      </c>
    </row>
    <row r="7216" spans="2:35" ht="180">
      <c r="B7216" s="1">
        <v>45135</v>
      </c>
      <c r="C7216" s="4">
        <v>45135.595833333333</v>
      </c>
      <c r="D7216" t="s">
        <v>43670</v>
      </c>
      <c r="E7216" t="s">
        <v>43671</v>
      </c>
      <c r="F7216">
        <v>11</v>
      </c>
      <c r="G7216" t="s">
        <v>1205</v>
      </c>
      <c r="H7216" t="s">
        <v>202</v>
      </c>
      <c r="I7216" t="s">
        <v>40</v>
      </c>
      <c r="J7216" s="2" t="s">
        <v>41</v>
      </c>
      <c r="K7216" t="s">
        <v>42</v>
      </c>
      <c r="L7216" t="s">
        <v>204</v>
      </c>
      <c r="Q7216">
        <v>25337</v>
      </c>
      <c r="R7216" t="s">
        <v>119</v>
      </c>
      <c r="S7216" t="s">
        <v>7478</v>
      </c>
      <c r="T7216">
        <v>24.5</v>
      </c>
      <c r="U7216" s="2" t="s">
        <v>43672</v>
      </c>
      <c r="V7216" s="1">
        <v>45128</v>
      </c>
      <c r="W7216" t="s">
        <v>23237</v>
      </c>
      <c r="X7216">
        <v>838507</v>
      </c>
      <c r="Y7216" s="2" t="s">
        <v>43673</v>
      </c>
      <c r="Z7216" t="s">
        <v>43674</v>
      </c>
      <c r="AA7216" t="s">
        <v>2560</v>
      </c>
      <c r="AB7216" t="s">
        <v>1211</v>
      </c>
      <c r="AD7216" t="s">
        <v>10253</v>
      </c>
      <c r="AE7216" t="s">
        <v>43675</v>
      </c>
      <c r="AG7216" t="s">
        <v>43679</v>
      </c>
      <c r="AH7216" t="s">
        <v>43677</v>
      </c>
      <c r="AI7216" t="s">
        <v>43680</v>
      </c>
    </row>
    <row r="7217" spans="2:35" ht="300">
      <c r="B7217" s="1">
        <v>45135</v>
      </c>
      <c r="C7217" s="4">
        <v>45135.573611111111</v>
      </c>
      <c r="D7217" t="s">
        <v>27323</v>
      </c>
      <c r="E7217" t="s">
        <v>43681</v>
      </c>
      <c r="F7217">
        <v>3</v>
      </c>
      <c r="G7217" t="s">
        <v>730</v>
      </c>
      <c r="H7217" t="s">
        <v>39</v>
      </c>
      <c r="I7217" t="s">
        <v>40</v>
      </c>
      <c r="J7217" s="2" t="s">
        <v>41</v>
      </c>
      <c r="K7217" t="s">
        <v>42</v>
      </c>
      <c r="L7217" t="s">
        <v>135</v>
      </c>
      <c r="Q7217">
        <v>25336</v>
      </c>
      <c r="R7217" t="s">
        <v>119</v>
      </c>
      <c r="S7217" t="s">
        <v>24877</v>
      </c>
      <c r="T7217">
        <v>28</v>
      </c>
      <c r="U7217" s="2" t="s">
        <v>43682</v>
      </c>
      <c r="V7217" s="1">
        <v>45131</v>
      </c>
      <c r="W7217" t="s">
        <v>2680</v>
      </c>
      <c r="X7217">
        <v>831909</v>
      </c>
      <c r="Y7217" t="s">
        <v>43683</v>
      </c>
      <c r="Z7217" t="s">
        <v>5712</v>
      </c>
      <c r="AA7217" s="2" t="s">
        <v>42527</v>
      </c>
      <c r="AB7217" t="s">
        <v>181</v>
      </c>
      <c r="AC7217" t="s">
        <v>43684</v>
      </c>
      <c r="AD7217" t="s">
        <v>22730</v>
      </c>
      <c r="AE7217">
        <v>10268</v>
      </c>
      <c r="AG7217" t="s">
        <v>43685</v>
      </c>
      <c r="AH7217" t="s">
        <v>27327</v>
      </c>
      <c r="AI7217" t="s">
        <v>43686</v>
      </c>
    </row>
    <row r="7218" spans="2:35" ht="240">
      <c r="B7218" s="1">
        <v>45135</v>
      </c>
      <c r="C7218" s="4">
        <v>45135.543749999997</v>
      </c>
      <c r="D7218" t="s">
        <v>9805</v>
      </c>
      <c r="E7218" t="s">
        <v>43687</v>
      </c>
      <c r="F7218" t="s">
        <v>511</v>
      </c>
      <c r="G7218" t="s">
        <v>512</v>
      </c>
      <c r="H7218" t="s">
        <v>39</v>
      </c>
      <c r="I7218" t="s">
        <v>40</v>
      </c>
      <c r="J7218" s="2" t="s">
        <v>41</v>
      </c>
      <c r="K7218" t="s">
        <v>42</v>
      </c>
      <c r="L7218" t="s">
        <v>63</v>
      </c>
      <c r="Q7218">
        <v>25335</v>
      </c>
      <c r="R7218" t="s">
        <v>45</v>
      </c>
      <c r="S7218" t="s">
        <v>29628</v>
      </c>
      <c r="T7218">
        <v>22</v>
      </c>
      <c r="U7218" s="2" t="s">
        <v>43688</v>
      </c>
      <c r="V7218" s="1">
        <v>45135</v>
      </c>
      <c r="W7218" t="s">
        <v>26915</v>
      </c>
      <c r="X7218">
        <v>834685</v>
      </c>
      <c r="Y7218" t="s">
        <v>1716</v>
      </c>
      <c r="Z7218" t="s">
        <v>1716</v>
      </c>
      <c r="AA7218" s="2" t="s">
        <v>39935</v>
      </c>
      <c r="AB7218" t="s">
        <v>70</v>
      </c>
      <c r="AC7218" t="s">
        <v>43689</v>
      </c>
      <c r="AD7218" t="s">
        <v>43690</v>
      </c>
      <c r="AE7218" t="s">
        <v>1716</v>
      </c>
      <c r="AG7218" t="s">
        <v>43691</v>
      </c>
      <c r="AH7218" t="s">
        <v>43692</v>
      </c>
      <c r="AI7218" t="s">
        <v>43693</v>
      </c>
    </row>
    <row r="7219" spans="2:35" ht="240">
      <c r="B7219" s="1">
        <v>45135</v>
      </c>
      <c r="C7219" s="4">
        <v>45135.53402777778</v>
      </c>
      <c r="D7219" t="s">
        <v>41830</v>
      </c>
      <c r="E7219" t="s">
        <v>42552</v>
      </c>
      <c r="F7219" t="s">
        <v>511</v>
      </c>
      <c r="G7219" t="s">
        <v>512</v>
      </c>
      <c r="H7219" t="s">
        <v>258</v>
      </c>
      <c r="I7219" t="s">
        <v>40</v>
      </c>
      <c r="J7219" t="s">
        <v>109</v>
      </c>
      <c r="K7219" t="s">
        <v>42</v>
      </c>
      <c r="L7219" t="s">
        <v>63</v>
      </c>
      <c r="Q7219">
        <v>25334</v>
      </c>
      <c r="R7219" t="s">
        <v>45</v>
      </c>
      <c r="S7219" t="s">
        <v>29628</v>
      </c>
      <c r="T7219">
        <v>22</v>
      </c>
      <c r="U7219" s="2" t="s">
        <v>43694</v>
      </c>
      <c r="V7219" s="1">
        <v>45135</v>
      </c>
      <c r="W7219" t="s">
        <v>26915</v>
      </c>
      <c r="X7219">
        <v>120000171</v>
      </c>
      <c r="Y7219" t="s">
        <v>1716</v>
      </c>
      <c r="Z7219" t="s">
        <v>1716</v>
      </c>
      <c r="AA7219" s="2" t="s">
        <v>1727</v>
      </c>
      <c r="AB7219" t="s">
        <v>70</v>
      </c>
      <c r="AC7219" t="s">
        <v>1716</v>
      </c>
      <c r="AD7219" t="s">
        <v>1716</v>
      </c>
      <c r="AE7219" t="s">
        <v>1716</v>
      </c>
      <c r="AG7219" t="s">
        <v>43695</v>
      </c>
      <c r="AH7219" t="s">
        <v>43692</v>
      </c>
      <c r="AI7219" t="s">
        <v>43696</v>
      </c>
    </row>
    <row r="7220" spans="2:35" ht="180">
      <c r="B7220" s="1">
        <v>45135</v>
      </c>
      <c r="C7220" s="4">
        <v>45135.515972222223</v>
      </c>
      <c r="D7220" t="s">
        <v>43697</v>
      </c>
      <c r="E7220" t="s">
        <v>43698</v>
      </c>
      <c r="F7220">
        <v>6</v>
      </c>
      <c r="G7220" t="s">
        <v>1234</v>
      </c>
      <c r="H7220" t="s">
        <v>1047</v>
      </c>
      <c r="I7220" t="s">
        <v>94</v>
      </c>
      <c r="J7220" t="s">
        <v>996</v>
      </c>
      <c r="K7220" t="s">
        <v>42</v>
      </c>
      <c r="L7220" t="s">
        <v>23958</v>
      </c>
      <c r="Q7220">
        <v>25333</v>
      </c>
      <c r="R7220" t="s">
        <v>119</v>
      </c>
      <c r="S7220" t="s">
        <v>11476</v>
      </c>
      <c r="T7220">
        <v>4</v>
      </c>
      <c r="U7220" s="2" t="s">
        <v>43699</v>
      </c>
      <c r="W7220" t="s">
        <v>360</v>
      </c>
      <c r="X7220">
        <v>838483</v>
      </c>
      <c r="Y7220" t="s">
        <v>43700</v>
      </c>
      <c r="Z7220" t="s">
        <v>43026</v>
      </c>
      <c r="AA7220" t="s">
        <v>43027</v>
      </c>
      <c r="AB7220" t="s">
        <v>43701</v>
      </c>
      <c r="AG7220" t="s">
        <v>43702</v>
      </c>
      <c r="AH7220" t="s">
        <v>11482</v>
      </c>
      <c r="AI7220" t="s">
        <v>43703</v>
      </c>
    </row>
    <row r="7221" spans="2:35" ht="330">
      <c r="B7221" s="1">
        <v>45135</v>
      </c>
      <c r="C7221" s="4">
        <v>45135.486111111109</v>
      </c>
      <c r="D7221" t="s">
        <v>20529</v>
      </c>
      <c r="E7221" t="s">
        <v>34013</v>
      </c>
      <c r="F7221" t="s">
        <v>148</v>
      </c>
      <c r="G7221" t="s">
        <v>371</v>
      </c>
      <c r="H7221" t="s">
        <v>39</v>
      </c>
      <c r="I7221" t="s">
        <v>40</v>
      </c>
      <c r="J7221" s="2" t="s">
        <v>41</v>
      </c>
      <c r="K7221" t="s">
        <v>42</v>
      </c>
      <c r="L7221" t="s">
        <v>175</v>
      </c>
      <c r="Q7221">
        <v>25332</v>
      </c>
      <c r="R7221" t="s">
        <v>119</v>
      </c>
      <c r="S7221" t="s">
        <v>20530</v>
      </c>
      <c r="T7221">
        <v>27</v>
      </c>
      <c r="U7221" s="2" t="s">
        <v>10741</v>
      </c>
      <c r="V7221" s="1">
        <v>45131</v>
      </c>
      <c r="W7221" t="s">
        <v>84</v>
      </c>
      <c r="X7221">
        <v>831906</v>
      </c>
      <c r="Y7221" s="2" t="s">
        <v>43704</v>
      </c>
      <c r="Z7221" s="2" t="s">
        <v>43705</v>
      </c>
      <c r="AA7221" t="s">
        <v>22458</v>
      </c>
      <c r="AB7221" s="2" t="s">
        <v>43706</v>
      </c>
      <c r="AD7221" s="2" t="s">
        <v>43707</v>
      </c>
      <c r="AE7221">
        <v>10260</v>
      </c>
      <c r="AG7221" t="s">
        <v>43708</v>
      </c>
      <c r="AH7221" t="s">
        <v>28277</v>
      </c>
      <c r="AI7221" t="s">
        <v>43709</v>
      </c>
    </row>
    <row r="7222" spans="2:35" ht="180">
      <c r="B7222" s="1">
        <v>45135</v>
      </c>
      <c r="C7222" s="4">
        <v>45135.48333333333</v>
      </c>
      <c r="D7222" t="s">
        <v>43697</v>
      </c>
      <c r="E7222" t="s">
        <v>43698</v>
      </c>
      <c r="F7222">
        <v>6</v>
      </c>
      <c r="G7222" t="s">
        <v>1234</v>
      </c>
      <c r="H7222" t="s">
        <v>1047</v>
      </c>
      <c r="I7222" t="s">
        <v>94</v>
      </c>
      <c r="J7222" t="s">
        <v>996</v>
      </c>
      <c r="K7222" t="s">
        <v>42</v>
      </c>
      <c r="L7222" t="s">
        <v>23958</v>
      </c>
      <c r="Q7222">
        <v>25331</v>
      </c>
      <c r="R7222" t="s">
        <v>119</v>
      </c>
      <c r="S7222" t="s">
        <v>11476</v>
      </c>
      <c r="T7222">
        <v>4</v>
      </c>
      <c r="U7222" s="2" t="s">
        <v>43699</v>
      </c>
      <c r="W7222" t="s">
        <v>360</v>
      </c>
      <c r="X7222">
        <v>838483</v>
      </c>
      <c r="Y7222" t="s">
        <v>43710</v>
      </c>
      <c r="Z7222" t="s">
        <v>43026</v>
      </c>
      <c r="AA7222" t="s">
        <v>43027</v>
      </c>
      <c r="AB7222" t="s">
        <v>43711</v>
      </c>
      <c r="AG7222" t="s">
        <v>43712</v>
      </c>
      <c r="AH7222" t="s">
        <v>11482</v>
      </c>
      <c r="AI7222" t="s">
        <v>43713</v>
      </c>
    </row>
    <row r="7223" spans="2:35" ht="225">
      <c r="B7223" s="1">
        <v>45135</v>
      </c>
      <c r="C7223" s="4">
        <v>45135.470833333333</v>
      </c>
      <c r="D7223" t="s">
        <v>6555</v>
      </c>
      <c r="E7223" t="s">
        <v>43714</v>
      </c>
      <c r="F7223">
        <v>5</v>
      </c>
      <c r="G7223" t="s">
        <v>839</v>
      </c>
      <c r="H7223" t="s">
        <v>39</v>
      </c>
      <c r="I7223" t="s">
        <v>40</v>
      </c>
      <c r="J7223" s="2" t="s">
        <v>62</v>
      </c>
      <c r="K7223" t="s">
        <v>42</v>
      </c>
      <c r="L7223" t="s">
        <v>761</v>
      </c>
      <c r="Q7223">
        <v>25330</v>
      </c>
      <c r="R7223" t="s">
        <v>119</v>
      </c>
      <c r="S7223" t="s">
        <v>6557</v>
      </c>
      <c r="T7223">
        <v>24</v>
      </c>
      <c r="U7223" s="2" t="s">
        <v>43715</v>
      </c>
      <c r="W7223" t="s">
        <v>360</v>
      </c>
      <c r="X7223">
        <v>838398</v>
      </c>
      <c r="Y7223" t="s">
        <v>43716</v>
      </c>
      <c r="Z7223" s="2" t="s">
        <v>43717</v>
      </c>
      <c r="AA7223" t="s">
        <v>999</v>
      </c>
      <c r="AB7223" s="2" t="s">
        <v>43718</v>
      </c>
      <c r="AG7223" t="s">
        <v>43719</v>
      </c>
      <c r="AH7223" t="s">
        <v>6562</v>
      </c>
      <c r="AI7223" t="s">
        <v>43720</v>
      </c>
    </row>
    <row r="7224" spans="2:35" ht="60">
      <c r="B7224" s="1">
        <v>45135</v>
      </c>
      <c r="C7224" s="4">
        <v>45135.45208333333</v>
      </c>
      <c r="D7224" t="s">
        <v>2763</v>
      </c>
      <c r="E7224" t="s">
        <v>43721</v>
      </c>
      <c r="F7224">
        <v>6</v>
      </c>
      <c r="G7224" t="s">
        <v>1286</v>
      </c>
      <c r="H7224" t="s">
        <v>39</v>
      </c>
      <c r="I7224" t="s">
        <v>94</v>
      </c>
      <c r="J7224" s="2" t="s">
        <v>1808</v>
      </c>
      <c r="K7224" t="s">
        <v>42</v>
      </c>
      <c r="L7224" t="s">
        <v>594</v>
      </c>
      <c r="Q7224">
        <v>25329</v>
      </c>
      <c r="R7224" t="s">
        <v>45</v>
      </c>
      <c r="S7224" t="s">
        <v>2765</v>
      </c>
      <c r="T7224">
        <v>23</v>
      </c>
      <c r="V7224" s="1">
        <v>45135</v>
      </c>
      <c r="W7224" t="s">
        <v>360</v>
      </c>
      <c r="X7224">
        <v>804701</v>
      </c>
      <c r="Y7224" t="s">
        <v>43722</v>
      </c>
      <c r="Z7224" t="s">
        <v>43723</v>
      </c>
      <c r="AA7224" t="s">
        <v>43724</v>
      </c>
      <c r="AB7224" t="s">
        <v>26228</v>
      </c>
      <c r="AG7224" t="s">
        <v>43725</v>
      </c>
      <c r="AH7224" t="s">
        <v>35916</v>
      </c>
      <c r="AI7224" t="s">
        <v>43726</v>
      </c>
    </row>
    <row r="7225" spans="2:35" ht="60">
      <c r="B7225" s="1">
        <v>45135</v>
      </c>
      <c r="C7225" s="4">
        <v>45135.445138888892</v>
      </c>
      <c r="D7225" t="s">
        <v>2763</v>
      </c>
      <c r="E7225" t="s">
        <v>43727</v>
      </c>
      <c r="F7225">
        <v>6</v>
      </c>
      <c r="G7225" t="s">
        <v>1286</v>
      </c>
      <c r="H7225" t="s">
        <v>39</v>
      </c>
      <c r="I7225" t="s">
        <v>94</v>
      </c>
      <c r="J7225" s="2" t="s">
        <v>1808</v>
      </c>
      <c r="K7225" t="s">
        <v>42</v>
      </c>
      <c r="L7225" t="s">
        <v>594</v>
      </c>
      <c r="Q7225">
        <v>25328</v>
      </c>
      <c r="R7225" t="s">
        <v>45</v>
      </c>
      <c r="S7225" t="s">
        <v>2765</v>
      </c>
      <c r="T7225">
        <v>23</v>
      </c>
      <c r="V7225" s="1">
        <v>45135</v>
      </c>
      <c r="W7225" t="s">
        <v>360</v>
      </c>
      <c r="X7225">
        <v>807610</v>
      </c>
      <c r="Y7225" t="s">
        <v>43728</v>
      </c>
      <c r="Z7225" t="s">
        <v>43729</v>
      </c>
      <c r="AA7225" t="s">
        <v>43730</v>
      </c>
      <c r="AB7225" t="s">
        <v>43731</v>
      </c>
      <c r="AG7225" t="s">
        <v>43732</v>
      </c>
      <c r="AH7225" t="s">
        <v>35916</v>
      </c>
      <c r="AI7225" t="s">
        <v>43733</v>
      </c>
    </row>
    <row r="7226" spans="2:35" ht="285">
      <c r="B7226" s="1">
        <v>45135</v>
      </c>
      <c r="C7226" s="4">
        <v>45135.418055555558</v>
      </c>
      <c r="D7226" t="s">
        <v>43734</v>
      </c>
      <c r="E7226" t="s">
        <v>43735</v>
      </c>
      <c r="F7226">
        <v>7</v>
      </c>
      <c r="G7226" t="s">
        <v>6529</v>
      </c>
      <c r="H7226" t="s">
        <v>13481</v>
      </c>
      <c r="I7226" t="s">
        <v>40</v>
      </c>
      <c r="J7226" s="2" t="s">
        <v>41</v>
      </c>
      <c r="K7226" t="s">
        <v>42</v>
      </c>
      <c r="L7226" t="s">
        <v>1288</v>
      </c>
      <c r="Q7226">
        <v>25327</v>
      </c>
      <c r="R7226" t="s">
        <v>119</v>
      </c>
      <c r="S7226" t="s">
        <v>30507</v>
      </c>
      <c r="T7226">
        <v>27</v>
      </c>
      <c r="U7226" s="2" t="s">
        <v>43736</v>
      </c>
      <c r="V7226" s="1">
        <v>45124</v>
      </c>
      <c r="W7226" t="s">
        <v>1292</v>
      </c>
      <c r="X7226">
        <v>820228</v>
      </c>
      <c r="Y7226" t="s">
        <v>43737</v>
      </c>
      <c r="Z7226" t="s">
        <v>43738</v>
      </c>
      <c r="AA7226" s="2" t="s">
        <v>43739</v>
      </c>
      <c r="AB7226" t="s">
        <v>17671</v>
      </c>
      <c r="AD7226" t="s">
        <v>43740</v>
      </c>
      <c r="AE7226" s="3">
        <v>1011710132</v>
      </c>
      <c r="AG7226" t="s">
        <v>43741</v>
      </c>
      <c r="AH7226" t="s">
        <v>36402</v>
      </c>
      <c r="AI7226" t="s">
        <v>43742</v>
      </c>
    </row>
    <row r="7227" spans="2:35" ht="300">
      <c r="B7227" s="1">
        <v>45135</v>
      </c>
      <c r="C7227" s="4">
        <v>45135.428472222222</v>
      </c>
      <c r="D7227" t="s">
        <v>24888</v>
      </c>
      <c r="E7227" t="s">
        <v>35126</v>
      </c>
      <c r="F7227">
        <v>3</v>
      </c>
      <c r="G7227" t="s">
        <v>730</v>
      </c>
      <c r="H7227" t="s">
        <v>39</v>
      </c>
      <c r="I7227" t="s">
        <v>40</v>
      </c>
      <c r="J7227" s="2" t="s">
        <v>41</v>
      </c>
      <c r="K7227" t="s">
        <v>42</v>
      </c>
      <c r="L7227" t="s">
        <v>135</v>
      </c>
      <c r="Q7227">
        <v>25326</v>
      </c>
      <c r="R7227" t="s">
        <v>119</v>
      </c>
      <c r="S7227" t="s">
        <v>24890</v>
      </c>
      <c r="T7227">
        <v>25</v>
      </c>
      <c r="U7227" s="2" t="s">
        <v>43743</v>
      </c>
      <c r="V7227" s="1">
        <v>45131</v>
      </c>
      <c r="W7227" t="s">
        <v>2680</v>
      </c>
      <c r="X7227">
        <v>831669</v>
      </c>
      <c r="Y7227" t="s">
        <v>33433</v>
      </c>
      <c r="Z7227" t="s">
        <v>5712</v>
      </c>
      <c r="AA7227" s="2" t="s">
        <v>42527</v>
      </c>
      <c r="AB7227" t="s">
        <v>181</v>
      </c>
      <c r="AD7227" t="s">
        <v>22730</v>
      </c>
      <c r="AE7227">
        <v>10269</v>
      </c>
      <c r="AG7227" t="s">
        <v>43744</v>
      </c>
      <c r="AH7227" t="s">
        <v>43745</v>
      </c>
      <c r="AI7227" t="s">
        <v>43746</v>
      </c>
    </row>
    <row r="7228" spans="2:35" ht="240">
      <c r="B7228" s="1">
        <v>45135</v>
      </c>
      <c r="C7228" s="4">
        <v>45135.4</v>
      </c>
      <c r="D7228" t="s">
        <v>4561</v>
      </c>
      <c r="E7228" t="s">
        <v>43747</v>
      </c>
      <c r="F7228" t="s">
        <v>148</v>
      </c>
      <c r="G7228" t="s">
        <v>447</v>
      </c>
      <c r="H7228" t="s">
        <v>39</v>
      </c>
      <c r="I7228" t="s">
        <v>40</v>
      </c>
      <c r="J7228" s="2" t="s">
        <v>190</v>
      </c>
      <c r="K7228" t="s">
        <v>42</v>
      </c>
      <c r="L7228" t="s">
        <v>15532</v>
      </c>
      <c r="Q7228">
        <v>25325</v>
      </c>
      <c r="R7228" t="s">
        <v>45</v>
      </c>
      <c r="S7228" t="s">
        <v>31224</v>
      </c>
      <c r="T7228">
        <v>25</v>
      </c>
      <c r="U7228" s="2" t="s">
        <v>43748</v>
      </c>
      <c r="W7228" t="s">
        <v>597</v>
      </c>
      <c r="X7228">
        <v>804688</v>
      </c>
      <c r="Y7228" t="s">
        <v>12248</v>
      </c>
      <c r="Z7228" s="2" t="s">
        <v>43749</v>
      </c>
      <c r="AA7228" t="s">
        <v>11377</v>
      </c>
      <c r="AB7228" t="s">
        <v>43750</v>
      </c>
      <c r="AC7228" t="s">
        <v>43751</v>
      </c>
      <c r="AG7228" t="s">
        <v>43752</v>
      </c>
      <c r="AH7228" t="s">
        <v>43753</v>
      </c>
      <c r="AI7228" t="s">
        <v>43754</v>
      </c>
    </row>
    <row r="7229" spans="2:35">
      <c r="B7229" s="1">
        <v>45134</v>
      </c>
      <c r="C7229" s="4">
        <v>45134.648611111108</v>
      </c>
      <c r="D7229" t="s">
        <v>43755</v>
      </c>
      <c r="E7229" t="s">
        <v>43756</v>
      </c>
      <c r="F7229">
        <v>5</v>
      </c>
      <c r="G7229" t="s">
        <v>839</v>
      </c>
      <c r="H7229" t="s">
        <v>39</v>
      </c>
      <c r="I7229" t="s">
        <v>40</v>
      </c>
      <c r="J7229" t="s">
        <v>525</v>
      </c>
      <c r="K7229" t="s">
        <v>42</v>
      </c>
      <c r="L7229" t="s">
        <v>761</v>
      </c>
      <c r="Q7229">
        <v>25324</v>
      </c>
      <c r="R7229" t="s">
        <v>45</v>
      </c>
      <c r="S7229" t="s">
        <v>35827</v>
      </c>
      <c r="T7229">
        <v>25</v>
      </c>
      <c r="W7229" t="s">
        <v>360</v>
      </c>
      <c r="X7229">
        <v>808639</v>
      </c>
      <c r="Y7229" t="s">
        <v>22451</v>
      </c>
      <c r="Z7229" t="s">
        <v>43757</v>
      </c>
      <c r="AA7229" t="s">
        <v>43758</v>
      </c>
      <c r="AB7229" t="s">
        <v>43759</v>
      </c>
      <c r="AG7229" t="s">
        <v>43760</v>
      </c>
      <c r="AH7229" t="s">
        <v>43761</v>
      </c>
      <c r="AI7229" t="s">
        <v>43762</v>
      </c>
    </row>
    <row r="7230" spans="2:35" ht="285">
      <c r="B7230" s="1">
        <v>45134</v>
      </c>
      <c r="C7230" s="4">
        <v>45134.6</v>
      </c>
      <c r="D7230" t="s">
        <v>7529</v>
      </c>
      <c r="E7230" t="s">
        <v>43763</v>
      </c>
      <c r="F7230">
        <v>5</v>
      </c>
      <c r="G7230" t="s">
        <v>759</v>
      </c>
      <c r="H7230" t="s">
        <v>39</v>
      </c>
      <c r="I7230" t="s">
        <v>40</v>
      </c>
      <c r="J7230" s="2" t="s">
        <v>41</v>
      </c>
      <c r="K7230" t="s">
        <v>42</v>
      </c>
      <c r="L7230" t="s">
        <v>761</v>
      </c>
      <c r="Q7230">
        <v>25323</v>
      </c>
      <c r="R7230" t="s">
        <v>119</v>
      </c>
      <c r="S7230" t="s">
        <v>15864</v>
      </c>
      <c r="T7230">
        <v>29</v>
      </c>
      <c r="V7230" s="1">
        <v>45128</v>
      </c>
      <c r="W7230" t="s">
        <v>360</v>
      </c>
      <c r="X7230">
        <v>838397</v>
      </c>
      <c r="Y7230" t="s">
        <v>43764</v>
      </c>
      <c r="Z7230" s="2" t="s">
        <v>43765</v>
      </c>
      <c r="AA7230" t="s">
        <v>43766</v>
      </c>
      <c r="AB7230" t="s">
        <v>181</v>
      </c>
      <c r="AE7230" t="s">
        <v>43767</v>
      </c>
      <c r="AG7230" t="s">
        <v>43768</v>
      </c>
      <c r="AH7230" t="s">
        <v>43769</v>
      </c>
      <c r="AI7230" t="s">
        <v>43770</v>
      </c>
    </row>
    <row r="7231" spans="2:35" ht="225">
      <c r="B7231" s="1">
        <v>45134</v>
      </c>
      <c r="C7231" s="4">
        <v>45134.585416666669</v>
      </c>
      <c r="D7231" t="s">
        <v>7743</v>
      </c>
      <c r="E7231" t="s">
        <v>41619</v>
      </c>
      <c r="F7231">
        <v>11</v>
      </c>
      <c r="G7231" t="s">
        <v>1205</v>
      </c>
      <c r="H7231" t="s">
        <v>202</v>
      </c>
      <c r="I7231" t="s">
        <v>40</v>
      </c>
      <c r="J7231" t="s">
        <v>79</v>
      </c>
      <c r="K7231" t="s">
        <v>42</v>
      </c>
      <c r="L7231" t="s">
        <v>204</v>
      </c>
      <c r="Q7231">
        <v>25322</v>
      </c>
      <c r="R7231" t="s">
        <v>119</v>
      </c>
      <c r="S7231" t="s">
        <v>7745</v>
      </c>
      <c r="T7231">
        <v>25.6</v>
      </c>
      <c r="U7231" s="2" t="s">
        <v>43771</v>
      </c>
      <c r="V7231" s="1">
        <v>45128</v>
      </c>
      <c r="W7231" t="s">
        <v>23237</v>
      </c>
      <c r="X7231">
        <v>838492</v>
      </c>
      <c r="Y7231" t="s">
        <v>17438</v>
      </c>
      <c r="Z7231" s="2" t="s">
        <v>43772</v>
      </c>
      <c r="AA7231" t="s">
        <v>12182</v>
      </c>
      <c r="AB7231" t="s">
        <v>1211</v>
      </c>
      <c r="AD7231" t="s">
        <v>43650</v>
      </c>
      <c r="AE7231" t="s">
        <v>43773</v>
      </c>
      <c r="AG7231" t="s">
        <v>43774</v>
      </c>
      <c r="AH7231" t="s">
        <v>22188</v>
      </c>
      <c r="AI7231" t="s">
        <v>43775</v>
      </c>
    </row>
    <row r="7232" spans="2:35" ht="225">
      <c r="B7232" s="1">
        <v>45134</v>
      </c>
      <c r="C7232" s="4">
        <v>45134.585416666669</v>
      </c>
      <c r="D7232" t="s">
        <v>7743</v>
      </c>
      <c r="E7232" t="s">
        <v>41619</v>
      </c>
      <c r="F7232">
        <v>11</v>
      </c>
      <c r="G7232" t="s">
        <v>1205</v>
      </c>
      <c r="H7232" t="s">
        <v>202</v>
      </c>
      <c r="I7232" t="s">
        <v>40</v>
      </c>
      <c r="J7232" t="s">
        <v>79</v>
      </c>
      <c r="K7232" t="s">
        <v>42</v>
      </c>
      <c r="L7232" t="s">
        <v>204</v>
      </c>
      <c r="Q7232">
        <v>25321</v>
      </c>
      <c r="R7232" t="s">
        <v>119</v>
      </c>
      <c r="S7232" t="s">
        <v>7745</v>
      </c>
      <c r="T7232">
        <v>25.6</v>
      </c>
      <c r="U7232" s="2" t="s">
        <v>43771</v>
      </c>
      <c r="V7232" s="1">
        <v>45128</v>
      </c>
      <c r="W7232" t="s">
        <v>23237</v>
      </c>
      <c r="X7232">
        <v>838492</v>
      </c>
      <c r="Y7232" t="s">
        <v>17438</v>
      </c>
      <c r="Z7232" s="2" t="s">
        <v>43772</v>
      </c>
      <c r="AA7232" t="s">
        <v>12182</v>
      </c>
      <c r="AB7232" t="s">
        <v>1211</v>
      </c>
      <c r="AD7232" t="s">
        <v>43650</v>
      </c>
      <c r="AE7232" t="s">
        <v>43773</v>
      </c>
      <c r="AG7232" t="s">
        <v>43776</v>
      </c>
      <c r="AH7232" t="s">
        <v>22188</v>
      </c>
      <c r="AI7232" t="s">
        <v>43777</v>
      </c>
    </row>
    <row r="7233" spans="2:35" ht="150">
      <c r="B7233" s="1">
        <v>45134</v>
      </c>
      <c r="C7233" s="4">
        <v>45134.581250000003</v>
      </c>
      <c r="D7233" t="s">
        <v>3241</v>
      </c>
      <c r="E7233" t="s">
        <v>43778</v>
      </c>
      <c r="F7233">
        <v>7</v>
      </c>
      <c r="G7233" t="s">
        <v>432</v>
      </c>
      <c r="H7233" t="s">
        <v>2290</v>
      </c>
      <c r="I7233" t="s">
        <v>94</v>
      </c>
      <c r="J7233" s="2" t="s">
        <v>190</v>
      </c>
      <c r="K7233" t="s">
        <v>42</v>
      </c>
      <c r="L7233" t="s">
        <v>610</v>
      </c>
      <c r="Q7233">
        <v>25320</v>
      </c>
      <c r="R7233" t="s">
        <v>45</v>
      </c>
      <c r="S7233" t="s">
        <v>23380</v>
      </c>
      <c r="T7233">
        <v>24</v>
      </c>
      <c r="U7233" s="2" t="s">
        <v>19748</v>
      </c>
      <c r="W7233" t="s">
        <v>502</v>
      </c>
      <c r="X7233">
        <v>808640</v>
      </c>
      <c r="Y7233" t="s">
        <v>43779</v>
      </c>
      <c r="Z7233" t="s">
        <v>43780</v>
      </c>
      <c r="AA7233" s="2" t="s">
        <v>43781</v>
      </c>
      <c r="AB7233" t="s">
        <v>43782</v>
      </c>
      <c r="AG7233" t="s">
        <v>43783</v>
      </c>
      <c r="AH7233" t="s">
        <v>23386</v>
      </c>
      <c r="AI7233" t="s">
        <v>43784</v>
      </c>
    </row>
    <row r="7234" spans="2:35" ht="105">
      <c r="B7234" s="1">
        <v>45134</v>
      </c>
      <c r="C7234" s="4">
        <v>45134.576388888891</v>
      </c>
      <c r="D7234" t="s">
        <v>27228</v>
      </c>
      <c r="E7234" t="s">
        <v>26059</v>
      </c>
      <c r="F7234" t="s">
        <v>148</v>
      </c>
      <c r="G7234" t="s">
        <v>371</v>
      </c>
      <c r="H7234" t="s">
        <v>39</v>
      </c>
      <c r="I7234" t="s">
        <v>40</v>
      </c>
      <c r="J7234" s="2" t="s">
        <v>41</v>
      </c>
      <c r="K7234" t="s">
        <v>42</v>
      </c>
      <c r="L7234" t="s">
        <v>175</v>
      </c>
      <c r="Q7234">
        <v>25319</v>
      </c>
      <c r="R7234" t="s">
        <v>119</v>
      </c>
      <c r="S7234" t="s">
        <v>27229</v>
      </c>
      <c r="T7234">
        <v>25</v>
      </c>
      <c r="U7234" s="2" t="s">
        <v>14127</v>
      </c>
      <c r="V7234" s="1">
        <v>45126</v>
      </c>
      <c r="W7234" t="s">
        <v>84</v>
      </c>
      <c r="X7234">
        <v>831677</v>
      </c>
      <c r="Y7234" t="s">
        <v>49</v>
      </c>
      <c r="Z7234" t="e">
        <f ca="1">- replaced module A4
- checked _xludf.and cleaned cartridge bay, plunger rod, _xludf.filter
- generated reports</f>
        <v>#NAME?</v>
      </c>
      <c r="AA7234" t="s">
        <v>22458</v>
      </c>
      <c r="AB7234" t="s">
        <v>88</v>
      </c>
      <c r="AD7234" s="2" t="s">
        <v>43785</v>
      </c>
      <c r="AE7234">
        <v>10176</v>
      </c>
      <c r="AG7234" t="s">
        <v>43786</v>
      </c>
      <c r="AH7234" t="s">
        <v>27231</v>
      </c>
      <c r="AI7234" t="s">
        <v>43787</v>
      </c>
    </row>
    <row r="7235" spans="2:35" ht="165">
      <c r="B7235" s="1">
        <v>45134</v>
      </c>
      <c r="C7235" s="4">
        <v>45134.540277777778</v>
      </c>
      <c r="D7235" t="s">
        <v>6682</v>
      </c>
      <c r="E7235" t="s">
        <v>43788</v>
      </c>
      <c r="F7235" t="s">
        <v>37</v>
      </c>
      <c r="G7235" t="s">
        <v>78</v>
      </c>
      <c r="H7235" t="s">
        <v>39</v>
      </c>
      <c r="I7235" t="s">
        <v>40</v>
      </c>
      <c r="J7235" s="2" t="s">
        <v>41</v>
      </c>
      <c r="K7235" t="s">
        <v>42</v>
      </c>
      <c r="L7235" t="s">
        <v>1943</v>
      </c>
      <c r="Q7235">
        <v>25318</v>
      </c>
      <c r="R7235" t="s">
        <v>119</v>
      </c>
      <c r="S7235" t="s">
        <v>43789</v>
      </c>
      <c r="T7235">
        <v>25</v>
      </c>
      <c r="U7235" s="2" t="s">
        <v>34304</v>
      </c>
      <c r="V7235" s="1">
        <v>45131</v>
      </c>
      <c r="W7235" t="s">
        <v>84</v>
      </c>
      <c r="X7235">
        <v>838225</v>
      </c>
      <c r="Y7235" s="2" t="s">
        <v>37579</v>
      </c>
      <c r="Z7235" s="2" t="s">
        <v>43790</v>
      </c>
      <c r="AA7235" t="s">
        <v>22330</v>
      </c>
      <c r="AB7235" t="s">
        <v>88</v>
      </c>
      <c r="AD7235" t="s">
        <v>43791</v>
      </c>
      <c r="AE7235" t="s">
        <v>43792</v>
      </c>
      <c r="AG7235" t="s">
        <v>43793</v>
      </c>
      <c r="AH7235" t="s">
        <v>43794</v>
      </c>
      <c r="AI7235" t="s">
        <v>43795</v>
      </c>
    </row>
    <row r="7236" spans="2:35" ht="210">
      <c r="B7236" s="1">
        <v>45134</v>
      </c>
      <c r="C7236" s="4">
        <v>45134.527083333334</v>
      </c>
      <c r="D7236" t="s">
        <v>26467</v>
      </c>
      <c r="E7236" t="s">
        <v>43796</v>
      </c>
      <c r="F7236">
        <v>3</v>
      </c>
      <c r="G7236" t="s">
        <v>174</v>
      </c>
      <c r="H7236" t="s">
        <v>39</v>
      </c>
      <c r="I7236" t="s">
        <v>40</v>
      </c>
      <c r="J7236" s="2" t="s">
        <v>41</v>
      </c>
      <c r="K7236" t="s">
        <v>42</v>
      </c>
      <c r="L7236" t="s">
        <v>175</v>
      </c>
      <c r="Q7236">
        <v>25317</v>
      </c>
      <c r="R7236" t="s">
        <v>45</v>
      </c>
      <c r="S7236" t="s">
        <v>26460</v>
      </c>
      <c r="T7236">
        <v>26</v>
      </c>
      <c r="U7236" s="2" t="s">
        <v>43797</v>
      </c>
      <c r="V7236" s="1">
        <v>45131</v>
      </c>
      <c r="W7236" t="s">
        <v>84</v>
      </c>
      <c r="X7236">
        <v>807620</v>
      </c>
      <c r="Y7236" t="s">
        <v>27551</v>
      </c>
      <c r="Z7236" t="e">
        <f ca="1">- replaced C3
- checked _xludf.and cleaned cartridge bay, plunger rod, _xludf.filter
- generated reports</f>
        <v>#NAME?</v>
      </c>
      <c r="AA7236" t="s">
        <v>43798</v>
      </c>
      <c r="AB7236" t="s">
        <v>88</v>
      </c>
      <c r="AD7236" s="2" t="s">
        <v>43799</v>
      </c>
      <c r="AE7236" t="s">
        <v>43800</v>
      </c>
      <c r="AG7236" t="s">
        <v>43801</v>
      </c>
      <c r="AH7236" t="s">
        <v>540</v>
      </c>
      <c r="AI7236" t="s">
        <v>43802</v>
      </c>
    </row>
    <row r="7237" spans="2:35" ht="300">
      <c r="B7237" s="1">
        <v>45134</v>
      </c>
      <c r="C7237" s="4">
        <v>45134.5</v>
      </c>
      <c r="D7237" t="s">
        <v>27198</v>
      </c>
      <c r="E7237" t="s">
        <v>43803</v>
      </c>
      <c r="F7237">
        <v>3</v>
      </c>
      <c r="G7237" t="s">
        <v>284</v>
      </c>
      <c r="H7237" t="s">
        <v>39</v>
      </c>
      <c r="I7237" t="s">
        <v>40</v>
      </c>
      <c r="J7237" s="2" t="s">
        <v>41</v>
      </c>
      <c r="K7237" t="s">
        <v>42</v>
      </c>
      <c r="L7237" t="s">
        <v>135</v>
      </c>
      <c r="Q7237">
        <v>25316</v>
      </c>
      <c r="R7237" t="s">
        <v>119</v>
      </c>
      <c r="S7237" t="s">
        <v>1801</v>
      </c>
      <c r="T7237">
        <v>25</v>
      </c>
      <c r="U7237" s="2" t="s">
        <v>43804</v>
      </c>
      <c r="V7237" s="1">
        <v>45124</v>
      </c>
      <c r="W7237" t="s">
        <v>2680</v>
      </c>
      <c r="X7237">
        <v>831645</v>
      </c>
      <c r="Y7237" t="s">
        <v>43805</v>
      </c>
      <c r="Z7237" s="2" t="s">
        <v>29539</v>
      </c>
      <c r="AA7237" s="2" t="s">
        <v>42527</v>
      </c>
      <c r="AB7237" t="s">
        <v>181</v>
      </c>
      <c r="AD7237" t="s">
        <v>43806</v>
      </c>
      <c r="AE7237">
        <v>10137</v>
      </c>
      <c r="AG7237" t="s">
        <v>43807</v>
      </c>
      <c r="AH7237" t="s">
        <v>43808</v>
      </c>
      <c r="AI7237" t="s">
        <v>43809</v>
      </c>
    </row>
    <row r="7238" spans="2:35" ht="180">
      <c r="B7238" s="1">
        <v>45134</v>
      </c>
      <c r="C7238" s="4">
        <v>45134.466666666667</v>
      </c>
      <c r="D7238" t="s">
        <v>19746</v>
      </c>
      <c r="E7238" t="s">
        <v>19747</v>
      </c>
      <c r="F7238">
        <v>7</v>
      </c>
      <c r="G7238" t="s">
        <v>6529</v>
      </c>
      <c r="H7238" t="s">
        <v>1047</v>
      </c>
      <c r="I7238" t="s">
        <v>40</v>
      </c>
      <c r="J7238" t="s">
        <v>79</v>
      </c>
      <c r="K7238" t="s">
        <v>42</v>
      </c>
      <c r="L7238" t="s">
        <v>1288</v>
      </c>
      <c r="Q7238">
        <v>25315</v>
      </c>
      <c r="R7238" t="s">
        <v>119</v>
      </c>
      <c r="S7238" t="s">
        <v>27956</v>
      </c>
      <c r="T7238">
        <v>24</v>
      </c>
      <c r="U7238" s="2" t="s">
        <v>43810</v>
      </c>
      <c r="V7238" s="1">
        <v>45124</v>
      </c>
      <c r="W7238" t="s">
        <v>1292</v>
      </c>
      <c r="X7238">
        <v>838394</v>
      </c>
      <c r="Y7238" t="s">
        <v>43811</v>
      </c>
      <c r="Z7238" t="s">
        <v>9107</v>
      </c>
      <c r="AA7238" t="s">
        <v>43812</v>
      </c>
      <c r="AB7238" t="s">
        <v>1293</v>
      </c>
      <c r="AD7238" t="s">
        <v>43740</v>
      </c>
      <c r="AE7238">
        <v>10118</v>
      </c>
      <c r="AG7238" t="s">
        <v>43813</v>
      </c>
      <c r="AH7238" t="s">
        <v>19750</v>
      </c>
      <c r="AI7238" t="s">
        <v>43814</v>
      </c>
    </row>
    <row r="7239" spans="2:35" ht="105">
      <c r="B7239" s="1">
        <v>45134</v>
      </c>
      <c r="C7239" s="4">
        <v>45134.473611111112</v>
      </c>
      <c r="D7239" t="s">
        <v>43815</v>
      </c>
      <c r="E7239" t="s">
        <v>8927</v>
      </c>
      <c r="F7239">
        <v>12</v>
      </c>
      <c r="G7239" t="s">
        <v>294</v>
      </c>
      <c r="H7239" t="s">
        <v>39</v>
      </c>
      <c r="I7239" t="s">
        <v>40</v>
      </c>
      <c r="J7239" t="s">
        <v>109</v>
      </c>
      <c r="K7239" t="s">
        <v>42</v>
      </c>
      <c r="L7239" t="s">
        <v>296</v>
      </c>
      <c r="Q7239">
        <v>25314</v>
      </c>
      <c r="R7239" t="s">
        <v>119</v>
      </c>
      <c r="S7239" t="s">
        <v>6846</v>
      </c>
      <c r="T7239">
        <v>28.2</v>
      </c>
      <c r="U7239" s="2" t="s">
        <v>2151</v>
      </c>
      <c r="W7239" t="s">
        <v>23049</v>
      </c>
      <c r="X7239">
        <v>838261</v>
      </c>
      <c r="Y7239" t="s">
        <v>54</v>
      </c>
      <c r="Z7239" t="s">
        <v>9161</v>
      </c>
      <c r="AA7239" t="s">
        <v>9161</v>
      </c>
      <c r="AB7239" t="s">
        <v>972</v>
      </c>
      <c r="AG7239" t="s">
        <v>43816</v>
      </c>
      <c r="AH7239" t="s">
        <v>43817</v>
      </c>
      <c r="AI7239" t="s">
        <v>43818</v>
      </c>
    </row>
    <row r="7240" spans="2:35" ht="165">
      <c r="B7240" s="1">
        <v>45134</v>
      </c>
      <c r="C7240" s="4">
        <v>45134.460416666669</v>
      </c>
      <c r="D7240" t="s">
        <v>26802</v>
      </c>
      <c r="E7240" t="s">
        <v>43819</v>
      </c>
      <c r="F7240" t="s">
        <v>37</v>
      </c>
      <c r="G7240" t="s">
        <v>189</v>
      </c>
      <c r="H7240" t="s">
        <v>39</v>
      </c>
      <c r="I7240" t="s">
        <v>40</v>
      </c>
      <c r="J7240" s="2" t="s">
        <v>41</v>
      </c>
      <c r="K7240" t="s">
        <v>42</v>
      </c>
      <c r="L7240" t="s">
        <v>1943</v>
      </c>
      <c r="Q7240">
        <v>25313</v>
      </c>
      <c r="R7240" t="s">
        <v>119</v>
      </c>
      <c r="S7240" t="s">
        <v>26804</v>
      </c>
      <c r="T7240">
        <v>25</v>
      </c>
      <c r="U7240" s="2" t="s">
        <v>28652</v>
      </c>
      <c r="V7240" s="1">
        <v>45132</v>
      </c>
      <c r="W7240" t="s">
        <v>84</v>
      </c>
      <c r="X7240">
        <v>821297</v>
      </c>
      <c r="Y7240" s="2" t="s">
        <v>25566</v>
      </c>
      <c r="Z7240" s="2" t="s">
        <v>43820</v>
      </c>
      <c r="AA7240" t="s">
        <v>22330</v>
      </c>
      <c r="AB7240" t="s">
        <v>88</v>
      </c>
      <c r="AE7240" t="s">
        <v>43821</v>
      </c>
      <c r="AG7240" t="s">
        <v>43822</v>
      </c>
      <c r="AH7240" t="s">
        <v>26806</v>
      </c>
      <c r="AI7240" t="s">
        <v>43823</v>
      </c>
    </row>
    <row r="7241" spans="2:35" ht="105">
      <c r="B7241" s="1">
        <v>45134</v>
      </c>
      <c r="C7241" s="4">
        <v>45134.448611111111</v>
      </c>
      <c r="D7241" t="s">
        <v>43824</v>
      </c>
      <c r="E7241" t="s">
        <v>43825</v>
      </c>
      <c r="F7241">
        <v>9</v>
      </c>
      <c r="G7241" t="s">
        <v>2197</v>
      </c>
      <c r="H7241" t="s">
        <v>39</v>
      </c>
      <c r="I7241" t="s">
        <v>40</v>
      </c>
      <c r="J7241" s="2" t="s">
        <v>17375</v>
      </c>
      <c r="K7241" t="s">
        <v>42</v>
      </c>
      <c r="L7241" t="s">
        <v>1257</v>
      </c>
      <c r="Q7241">
        <v>25312</v>
      </c>
      <c r="R7241" t="s">
        <v>45</v>
      </c>
      <c r="S7241" t="s">
        <v>43826</v>
      </c>
      <c r="T7241">
        <v>23</v>
      </c>
      <c r="U7241" s="2" t="s">
        <v>26280</v>
      </c>
      <c r="V7241" s="1">
        <v>45134</v>
      </c>
      <c r="W7241" t="s">
        <v>4904</v>
      </c>
      <c r="X7241">
        <v>834829</v>
      </c>
      <c r="Y7241" t="s">
        <v>301</v>
      </c>
      <c r="Z7241" t="s">
        <v>43827</v>
      </c>
      <c r="AA7241" t="s">
        <v>43828</v>
      </c>
      <c r="AB7241" t="s">
        <v>7411</v>
      </c>
      <c r="AC7241" t="s">
        <v>301</v>
      </c>
      <c r="AD7241" t="s">
        <v>54</v>
      </c>
      <c r="AE7241" t="s">
        <v>54</v>
      </c>
      <c r="AG7241" t="s">
        <v>43829</v>
      </c>
      <c r="AH7241" t="s">
        <v>43830</v>
      </c>
      <c r="AI7241" t="s">
        <v>43831</v>
      </c>
    </row>
    <row r="7242" spans="2:35" ht="180">
      <c r="B7242" s="1">
        <v>45134</v>
      </c>
      <c r="C7242" s="4">
        <v>45134.427083333336</v>
      </c>
      <c r="D7242" t="s">
        <v>7465</v>
      </c>
      <c r="E7242" t="s">
        <v>14619</v>
      </c>
      <c r="F7242">
        <v>8</v>
      </c>
      <c r="G7242" t="s">
        <v>342</v>
      </c>
      <c r="H7242" t="s">
        <v>36499</v>
      </c>
      <c r="I7242" t="s">
        <v>40</v>
      </c>
      <c r="J7242" t="s">
        <v>109</v>
      </c>
      <c r="K7242" t="s">
        <v>42</v>
      </c>
      <c r="L7242" t="s">
        <v>259</v>
      </c>
      <c r="Q7242">
        <v>25311</v>
      </c>
      <c r="R7242" t="s">
        <v>119</v>
      </c>
      <c r="S7242" t="s">
        <v>16053</v>
      </c>
      <c r="T7242">
        <v>28</v>
      </c>
      <c r="U7242" s="2" t="s">
        <v>43832</v>
      </c>
      <c r="V7242" s="1">
        <v>45134</v>
      </c>
      <c r="W7242" t="s">
        <v>84</v>
      </c>
      <c r="X7242">
        <v>838551</v>
      </c>
      <c r="Y7242" t="s">
        <v>3001</v>
      </c>
      <c r="Z7242" t="s">
        <v>54</v>
      </c>
      <c r="AA7242" t="e">
        <f ca="1">- Preventive Maintenance</f>
        <v>#NAME?</v>
      </c>
      <c r="AB7242" t="s">
        <v>70</v>
      </c>
      <c r="AG7242" t="s">
        <v>43833</v>
      </c>
      <c r="AH7242" t="s">
        <v>21981</v>
      </c>
      <c r="AI7242" t="s">
        <v>43834</v>
      </c>
    </row>
    <row r="7243" spans="2:35" ht="105">
      <c r="B7243" s="1">
        <v>45134</v>
      </c>
      <c r="C7243" s="4">
        <v>45134.37222222222</v>
      </c>
      <c r="D7243" t="s">
        <v>1004</v>
      </c>
      <c r="E7243" t="s">
        <v>42387</v>
      </c>
      <c r="F7243">
        <v>7</v>
      </c>
      <c r="G7243" t="s">
        <v>432</v>
      </c>
      <c r="H7243" t="s">
        <v>39</v>
      </c>
      <c r="I7243" t="s">
        <v>94</v>
      </c>
      <c r="J7243" s="2" t="s">
        <v>62</v>
      </c>
      <c r="K7243" t="s">
        <v>42</v>
      </c>
      <c r="L7243" t="s">
        <v>594</v>
      </c>
      <c r="Q7243">
        <v>25310</v>
      </c>
      <c r="R7243" t="s">
        <v>45</v>
      </c>
      <c r="S7243" t="s">
        <v>1007</v>
      </c>
      <c r="T7243">
        <v>23</v>
      </c>
      <c r="U7243" s="2" t="s">
        <v>43835</v>
      </c>
      <c r="V7243" s="1">
        <v>45133</v>
      </c>
      <c r="W7243" t="s">
        <v>360</v>
      </c>
      <c r="X7243">
        <v>808630</v>
      </c>
      <c r="Y7243" t="s">
        <v>7168</v>
      </c>
      <c r="Z7243" t="s">
        <v>43836</v>
      </c>
      <c r="AA7243" t="s">
        <v>43837</v>
      </c>
      <c r="AB7243" t="s">
        <v>43838</v>
      </c>
      <c r="AC7243" t="s">
        <v>43839</v>
      </c>
      <c r="AG7243" t="s">
        <v>43840</v>
      </c>
      <c r="AH7243" t="s">
        <v>43841</v>
      </c>
      <c r="AI7243" t="s">
        <v>43842</v>
      </c>
    </row>
    <row r="7244" spans="2:35" ht="180">
      <c r="B7244" s="1">
        <v>45133</v>
      </c>
      <c r="C7244" s="4">
        <v>45133.479861111111</v>
      </c>
      <c r="D7244" t="s">
        <v>976</v>
      </c>
      <c r="E7244" t="s">
        <v>18350</v>
      </c>
      <c r="F7244">
        <v>12</v>
      </c>
      <c r="G7244" t="s">
        <v>978</v>
      </c>
      <c r="H7244" t="s">
        <v>39</v>
      </c>
      <c r="I7244" t="s">
        <v>40</v>
      </c>
      <c r="J7244" t="s">
        <v>109</v>
      </c>
      <c r="K7244" t="s">
        <v>42</v>
      </c>
      <c r="L7244" t="s">
        <v>296</v>
      </c>
      <c r="Q7244">
        <v>25309</v>
      </c>
      <c r="R7244" t="s">
        <v>119</v>
      </c>
      <c r="S7244" t="s">
        <v>26910</v>
      </c>
      <c r="T7244">
        <v>25.3</v>
      </c>
      <c r="U7244" s="2" t="s">
        <v>43843</v>
      </c>
      <c r="W7244" t="s">
        <v>23049</v>
      </c>
      <c r="X7244">
        <v>838543</v>
      </c>
      <c r="Y7244" t="s">
        <v>54</v>
      </c>
      <c r="Z7244" t="s">
        <v>9161</v>
      </c>
      <c r="AA7244" t="s">
        <v>9161</v>
      </c>
      <c r="AB7244" t="s">
        <v>972</v>
      </c>
      <c r="AG7244" t="s">
        <v>43844</v>
      </c>
      <c r="AH7244" t="s">
        <v>14529</v>
      </c>
      <c r="AI7244" t="s">
        <v>43845</v>
      </c>
    </row>
    <row r="7245" spans="2:35" ht="90">
      <c r="B7245" s="1">
        <v>45133</v>
      </c>
      <c r="C7245" s="4">
        <v>45133.649305555555</v>
      </c>
      <c r="D7245" t="s">
        <v>43846</v>
      </c>
      <c r="E7245" t="s">
        <v>26951</v>
      </c>
      <c r="F7245">
        <v>5</v>
      </c>
      <c r="G7245" t="s">
        <v>839</v>
      </c>
      <c r="H7245" t="s">
        <v>39</v>
      </c>
      <c r="I7245" t="s">
        <v>40</v>
      </c>
      <c r="J7245" t="s">
        <v>525</v>
      </c>
      <c r="K7245" t="s">
        <v>42</v>
      </c>
      <c r="L7245" t="s">
        <v>761</v>
      </c>
      <c r="Q7245">
        <v>25308</v>
      </c>
      <c r="R7245" t="s">
        <v>119</v>
      </c>
      <c r="S7245" t="s">
        <v>43847</v>
      </c>
      <c r="T7245">
        <v>28</v>
      </c>
      <c r="W7245" t="s">
        <v>360</v>
      </c>
      <c r="X7245">
        <v>838391</v>
      </c>
      <c r="Y7245" t="s">
        <v>43848</v>
      </c>
      <c r="Z7245" s="2" t="s">
        <v>43849</v>
      </c>
      <c r="AA7245" t="s">
        <v>32257</v>
      </c>
      <c r="AB7245" s="2" t="s">
        <v>43850</v>
      </c>
      <c r="AG7245" t="s">
        <v>43851</v>
      </c>
      <c r="AH7245" t="s">
        <v>43852</v>
      </c>
      <c r="AI7245" t="s">
        <v>43853</v>
      </c>
    </row>
    <row r="7246" spans="2:35">
      <c r="B7246" s="1">
        <v>45133</v>
      </c>
      <c r="C7246" s="4">
        <v>45133.640277777777</v>
      </c>
      <c r="D7246" t="s">
        <v>26776</v>
      </c>
      <c r="E7246" t="s">
        <v>43854</v>
      </c>
      <c r="F7246" t="s">
        <v>148</v>
      </c>
      <c r="G7246" t="s">
        <v>447</v>
      </c>
      <c r="H7246" t="s">
        <v>39</v>
      </c>
      <c r="I7246" t="s">
        <v>40</v>
      </c>
      <c r="J7246" t="s">
        <v>525</v>
      </c>
      <c r="K7246" t="s">
        <v>26778</v>
      </c>
      <c r="L7246" t="s">
        <v>857</v>
      </c>
      <c r="Q7246">
        <v>25307</v>
      </c>
      <c r="R7246" t="s">
        <v>95</v>
      </c>
      <c r="S7246" t="s">
        <v>35147</v>
      </c>
      <c r="T7246">
        <v>25</v>
      </c>
      <c r="W7246" t="s">
        <v>35148</v>
      </c>
      <c r="X7246">
        <v>6220.4121999999998</v>
      </c>
      <c r="Y7246" t="s">
        <v>43855</v>
      </c>
      <c r="Z7246" t="e">
        <f ca="1">- isolated issue to _xludf.Power SUPPLY module</f>
        <v>#NAME?</v>
      </c>
      <c r="AA7246" t="e">
        <f ca="1">- performed basic Troubleshooting
- checked _xludf.input voltage
- checked Fuse values
- checked _xludf.Power SUPPLY voltages</f>
        <v>#NAME?</v>
      </c>
      <c r="AB7246" t="s">
        <v>43856</v>
      </c>
      <c r="AC7246" t="s">
        <v>43857</v>
      </c>
      <c r="AG7246" t="s">
        <v>43858</v>
      </c>
      <c r="AH7246" t="s">
        <v>35155</v>
      </c>
      <c r="AI7246" t="s">
        <v>43859</v>
      </c>
    </row>
    <row r="7247" spans="2:35" ht="75">
      <c r="B7247" s="1">
        <v>45133</v>
      </c>
      <c r="C7247" s="4">
        <v>45133.648611111108</v>
      </c>
      <c r="D7247" t="s">
        <v>8464</v>
      </c>
      <c r="E7247" t="s">
        <v>43860</v>
      </c>
      <c r="F7247">
        <v>7</v>
      </c>
      <c r="G7247" t="s">
        <v>432</v>
      </c>
      <c r="H7247" t="s">
        <v>43861</v>
      </c>
      <c r="I7247" t="s">
        <v>94</v>
      </c>
      <c r="J7247" s="2" t="s">
        <v>220</v>
      </c>
      <c r="K7247" t="s">
        <v>42</v>
      </c>
      <c r="L7247" t="s">
        <v>433</v>
      </c>
      <c r="Q7247">
        <v>25306</v>
      </c>
      <c r="R7247" t="s">
        <v>119</v>
      </c>
      <c r="S7247" t="s">
        <v>13201</v>
      </c>
      <c r="T7247">
        <v>26</v>
      </c>
      <c r="W7247" t="s">
        <v>1008</v>
      </c>
      <c r="X7247">
        <v>838509</v>
      </c>
      <c r="Y7247" t="s">
        <v>43862</v>
      </c>
      <c r="Z7247" t="s">
        <v>43863</v>
      </c>
      <c r="AA7247" t="s">
        <v>43864</v>
      </c>
      <c r="AB7247" t="s">
        <v>1011</v>
      </c>
      <c r="AG7247" t="s">
        <v>43865</v>
      </c>
      <c r="AH7247" t="s">
        <v>43866</v>
      </c>
      <c r="AI7247" t="s">
        <v>43867</v>
      </c>
    </row>
    <row r="7248" spans="2:35" ht="270">
      <c r="B7248" s="1">
        <v>45133</v>
      </c>
      <c r="C7248" s="4">
        <v>45133.65</v>
      </c>
      <c r="D7248" t="s">
        <v>36408</v>
      </c>
      <c r="E7248" t="s">
        <v>26588</v>
      </c>
      <c r="F7248">
        <v>3</v>
      </c>
      <c r="G7248" t="s">
        <v>134</v>
      </c>
      <c r="H7248" t="s">
        <v>39</v>
      </c>
      <c r="I7248" t="s">
        <v>40</v>
      </c>
      <c r="J7248" s="2" t="s">
        <v>1592</v>
      </c>
      <c r="K7248" t="s">
        <v>42</v>
      </c>
      <c r="L7248" t="s">
        <v>63</v>
      </c>
      <c r="Q7248">
        <v>25305</v>
      </c>
      <c r="R7248" t="s">
        <v>119</v>
      </c>
      <c r="S7248" t="s">
        <v>26589</v>
      </c>
      <c r="T7248">
        <v>28</v>
      </c>
      <c r="U7248" s="2" t="s">
        <v>43868</v>
      </c>
      <c r="V7248" s="1">
        <v>45127</v>
      </c>
      <c r="W7248" t="s">
        <v>26915</v>
      </c>
      <c r="X7248">
        <v>831877</v>
      </c>
      <c r="Y7248" t="s">
        <v>43869</v>
      </c>
      <c r="Z7248" t="s">
        <v>43870</v>
      </c>
      <c r="AA7248" s="2" t="s">
        <v>43871</v>
      </c>
      <c r="AB7248" t="s">
        <v>70</v>
      </c>
      <c r="AC7248" t="s">
        <v>43872</v>
      </c>
      <c r="AD7248" t="s">
        <v>43873</v>
      </c>
      <c r="AE7248">
        <v>10207</v>
      </c>
      <c r="AG7248" t="s">
        <v>43874</v>
      </c>
      <c r="AH7248" t="s">
        <v>43875</v>
      </c>
      <c r="AI7248" t="s">
        <v>43876</v>
      </c>
    </row>
    <row r="7249" spans="2:35" ht="285">
      <c r="B7249" s="1">
        <v>45133</v>
      </c>
      <c r="C7249" s="4">
        <v>45133.621527777781</v>
      </c>
      <c r="D7249" t="s">
        <v>4553</v>
      </c>
      <c r="E7249" t="s">
        <v>43877</v>
      </c>
      <c r="F7249" t="s">
        <v>148</v>
      </c>
      <c r="G7249" t="s">
        <v>149</v>
      </c>
      <c r="H7249" t="s">
        <v>39</v>
      </c>
      <c r="I7249" t="s">
        <v>40</v>
      </c>
      <c r="J7249" s="2" t="s">
        <v>41</v>
      </c>
      <c r="K7249" t="s">
        <v>42</v>
      </c>
      <c r="L7249" t="s">
        <v>1943</v>
      </c>
      <c r="Q7249">
        <v>25304</v>
      </c>
      <c r="R7249" t="s">
        <v>119</v>
      </c>
      <c r="S7249" t="s">
        <v>4555</v>
      </c>
      <c r="T7249">
        <v>25</v>
      </c>
      <c r="U7249" s="2" t="s">
        <v>43878</v>
      </c>
      <c r="V7249" s="1">
        <v>45132</v>
      </c>
      <c r="W7249" t="s">
        <v>84</v>
      </c>
      <c r="X7249">
        <v>831598</v>
      </c>
      <c r="Y7249" s="2" t="s">
        <v>22329</v>
      </c>
      <c r="Z7249" s="2" t="s">
        <v>43879</v>
      </c>
      <c r="AA7249" t="s">
        <v>22330</v>
      </c>
      <c r="AB7249" t="s">
        <v>88</v>
      </c>
      <c r="AD7249" t="s">
        <v>43880</v>
      </c>
      <c r="AE7249" t="s">
        <v>43881</v>
      </c>
      <c r="AG7249" t="s">
        <v>43882</v>
      </c>
      <c r="AH7249" t="s">
        <v>27358</v>
      </c>
      <c r="AI7249" t="s">
        <v>43883</v>
      </c>
    </row>
    <row r="7250" spans="2:35" ht="195">
      <c r="B7250" s="1">
        <v>45133</v>
      </c>
      <c r="C7250" s="4">
        <v>45133.577777777777</v>
      </c>
      <c r="D7250" t="s">
        <v>5807</v>
      </c>
      <c r="E7250" t="s">
        <v>43884</v>
      </c>
      <c r="F7250">
        <v>5</v>
      </c>
      <c r="G7250" t="s">
        <v>839</v>
      </c>
      <c r="H7250" t="s">
        <v>39</v>
      </c>
      <c r="I7250" t="s">
        <v>40</v>
      </c>
      <c r="J7250" s="2" t="s">
        <v>41</v>
      </c>
      <c r="K7250" t="s">
        <v>42</v>
      </c>
      <c r="L7250" t="s">
        <v>761</v>
      </c>
      <c r="Q7250">
        <v>25303</v>
      </c>
      <c r="R7250" t="s">
        <v>119</v>
      </c>
      <c r="S7250" t="s">
        <v>7099</v>
      </c>
      <c r="T7250">
        <v>27</v>
      </c>
      <c r="U7250" s="2" t="s">
        <v>43885</v>
      </c>
      <c r="W7250" t="s">
        <v>360</v>
      </c>
      <c r="X7250">
        <v>838408</v>
      </c>
      <c r="Y7250" t="s">
        <v>43886</v>
      </c>
      <c r="Z7250" s="2" t="s">
        <v>43887</v>
      </c>
      <c r="AA7250" t="s">
        <v>43888</v>
      </c>
      <c r="AB7250" t="s">
        <v>181</v>
      </c>
      <c r="AG7250" t="s">
        <v>43889</v>
      </c>
      <c r="AH7250" t="s">
        <v>7107</v>
      </c>
      <c r="AI7250" t="s">
        <v>43890</v>
      </c>
    </row>
    <row r="7251" spans="2:35" ht="105">
      <c r="B7251" s="1">
        <v>45133</v>
      </c>
      <c r="C7251" s="4">
        <v>45133.554861111108</v>
      </c>
      <c r="D7251" t="s">
        <v>22763</v>
      </c>
      <c r="E7251" t="s">
        <v>22764</v>
      </c>
      <c r="F7251" t="s">
        <v>148</v>
      </c>
      <c r="G7251" t="s">
        <v>22765</v>
      </c>
      <c r="H7251" t="s">
        <v>39</v>
      </c>
      <c r="I7251" t="s">
        <v>40</v>
      </c>
      <c r="J7251" s="2" t="s">
        <v>41</v>
      </c>
      <c r="K7251" t="s">
        <v>42</v>
      </c>
      <c r="L7251" t="s">
        <v>175</v>
      </c>
      <c r="Q7251">
        <v>25302</v>
      </c>
      <c r="R7251" t="s">
        <v>119</v>
      </c>
      <c r="S7251" t="s">
        <v>22766</v>
      </c>
      <c r="T7251">
        <v>26</v>
      </c>
      <c r="U7251" s="2" t="s">
        <v>43891</v>
      </c>
      <c r="V7251" s="1">
        <v>45131</v>
      </c>
      <c r="W7251" t="s">
        <v>84</v>
      </c>
      <c r="X7251">
        <v>804715</v>
      </c>
      <c r="Y7251" t="s">
        <v>8731</v>
      </c>
      <c r="Z7251" t="e">
        <f ca="1">- replaced B1
- checked _xludf.and cleaned cartridge bay, plunger rod, _xludf.filter
- generated reports</f>
        <v>#NAME?</v>
      </c>
      <c r="AA7251" t="s">
        <v>179</v>
      </c>
      <c r="AB7251" t="s">
        <v>88</v>
      </c>
      <c r="AD7251" s="2" t="s">
        <v>43892</v>
      </c>
      <c r="AE7251" t="s">
        <v>43893</v>
      </c>
      <c r="AG7251" t="s">
        <v>43894</v>
      </c>
      <c r="AH7251" t="s">
        <v>22771</v>
      </c>
      <c r="AI7251" t="s">
        <v>43895</v>
      </c>
    </row>
    <row r="7252" spans="2:35" ht="120">
      <c r="B7252" s="1">
        <v>45133</v>
      </c>
      <c r="C7252" s="4">
        <v>45133.555555555555</v>
      </c>
      <c r="D7252" t="s">
        <v>34534</v>
      </c>
      <c r="E7252" t="s">
        <v>43896</v>
      </c>
      <c r="F7252" t="s">
        <v>148</v>
      </c>
      <c r="G7252" t="s">
        <v>310</v>
      </c>
      <c r="H7252" t="s">
        <v>39</v>
      </c>
      <c r="I7252" t="s">
        <v>40</v>
      </c>
      <c r="J7252" s="2" t="s">
        <v>41</v>
      </c>
      <c r="K7252" t="s">
        <v>42</v>
      </c>
      <c r="L7252" t="s">
        <v>15532</v>
      </c>
      <c r="Q7252">
        <v>25301</v>
      </c>
      <c r="R7252" t="s">
        <v>119</v>
      </c>
      <c r="S7252" t="s">
        <v>34536</v>
      </c>
      <c r="T7252">
        <v>24</v>
      </c>
      <c r="U7252" s="2" t="s">
        <v>36351</v>
      </c>
      <c r="V7252" s="1">
        <v>45131</v>
      </c>
      <c r="W7252" t="s">
        <v>597</v>
      </c>
      <c r="X7252">
        <v>831527</v>
      </c>
      <c r="Y7252" t="s">
        <v>2514</v>
      </c>
      <c r="Z7252" s="2" t="s">
        <v>33148</v>
      </c>
      <c r="AA7252" s="2" t="s">
        <v>43897</v>
      </c>
      <c r="AB7252" t="s">
        <v>34796</v>
      </c>
      <c r="AD7252" t="s">
        <v>43898</v>
      </c>
      <c r="AE7252" t="s">
        <v>43899</v>
      </c>
      <c r="AG7252" t="s">
        <v>43900</v>
      </c>
      <c r="AH7252" t="s">
        <v>36092</v>
      </c>
      <c r="AI7252" t="s">
        <v>43901</v>
      </c>
    </row>
    <row r="7253" spans="2:35" ht="225">
      <c r="B7253" s="1">
        <v>45133</v>
      </c>
      <c r="C7253" s="4">
        <v>45133.54583333333</v>
      </c>
      <c r="D7253" t="s">
        <v>19752</v>
      </c>
      <c r="E7253" t="s">
        <v>43902</v>
      </c>
      <c r="F7253">
        <v>7</v>
      </c>
      <c r="G7253" t="s">
        <v>6529</v>
      </c>
      <c r="H7253" t="s">
        <v>1047</v>
      </c>
      <c r="I7253" t="s">
        <v>40</v>
      </c>
      <c r="J7253" t="s">
        <v>79</v>
      </c>
      <c r="K7253" t="s">
        <v>42</v>
      </c>
      <c r="L7253" t="s">
        <v>1288</v>
      </c>
      <c r="Q7253">
        <v>25300</v>
      </c>
      <c r="R7253" t="s">
        <v>119</v>
      </c>
      <c r="S7253" t="s">
        <v>10370</v>
      </c>
      <c r="T7253">
        <v>26</v>
      </c>
      <c r="U7253" s="2" t="s">
        <v>43903</v>
      </c>
      <c r="V7253" s="1">
        <v>45124</v>
      </c>
      <c r="W7253" t="s">
        <v>1292</v>
      </c>
      <c r="X7253">
        <v>838203</v>
      </c>
      <c r="Y7253" t="s">
        <v>43904</v>
      </c>
      <c r="Z7253" t="s">
        <v>43905</v>
      </c>
      <c r="AA7253" s="2" t="s">
        <v>43906</v>
      </c>
      <c r="AB7253" t="s">
        <v>1293</v>
      </c>
      <c r="AD7253" t="s">
        <v>43740</v>
      </c>
      <c r="AE7253" s="3">
        <v>1012410125</v>
      </c>
      <c r="AG7253" t="s">
        <v>43907</v>
      </c>
      <c r="AH7253" t="s">
        <v>19756</v>
      </c>
      <c r="AI7253" t="s">
        <v>43908</v>
      </c>
    </row>
    <row r="7254" spans="2:35" ht="210">
      <c r="B7254" s="1">
        <v>45133</v>
      </c>
      <c r="C7254" s="4">
        <v>45128.654861111114</v>
      </c>
      <c r="D7254" t="s">
        <v>228</v>
      </c>
      <c r="E7254" t="s">
        <v>43909</v>
      </c>
      <c r="F7254" t="s">
        <v>148</v>
      </c>
      <c r="G7254" t="s">
        <v>230</v>
      </c>
      <c r="H7254" t="s">
        <v>39</v>
      </c>
      <c r="I7254" t="s">
        <v>40</v>
      </c>
      <c r="J7254" s="2" t="s">
        <v>41</v>
      </c>
      <c r="K7254" t="s">
        <v>42</v>
      </c>
      <c r="L7254" t="s">
        <v>175</v>
      </c>
      <c r="Q7254">
        <v>25299</v>
      </c>
      <c r="R7254" t="s">
        <v>119</v>
      </c>
      <c r="S7254" t="s">
        <v>23986</v>
      </c>
      <c r="T7254">
        <v>29</v>
      </c>
      <c r="U7254" s="2" t="s">
        <v>43910</v>
      </c>
      <c r="V7254" s="1">
        <v>45126</v>
      </c>
      <c r="W7254" t="s">
        <v>84</v>
      </c>
      <c r="X7254">
        <v>831596</v>
      </c>
      <c r="Y7254" t="s">
        <v>43911</v>
      </c>
      <c r="Z7254" t="e">
        <f ca="1">- replaced C1, C2, C4
- checked _xludf.and cleaned cartridge bay, plunger rod, _xludf.filter
- generated reports</f>
        <v>#NAME?</v>
      </c>
      <c r="AA7254" t="s">
        <v>43912</v>
      </c>
      <c r="AB7254" t="s">
        <v>88</v>
      </c>
      <c r="AD7254" s="2" t="s">
        <v>43913</v>
      </c>
      <c r="AE7254">
        <v>10178</v>
      </c>
      <c r="AG7254" t="s">
        <v>43914</v>
      </c>
      <c r="AH7254" t="s">
        <v>43915</v>
      </c>
      <c r="AI7254" t="s">
        <v>43916</v>
      </c>
    </row>
    <row r="7255" spans="2:35" ht="210">
      <c r="B7255" s="1">
        <v>45133</v>
      </c>
      <c r="C7255" s="4">
        <v>45128.654861111114</v>
      </c>
      <c r="D7255" t="s">
        <v>228</v>
      </c>
      <c r="E7255" t="s">
        <v>43909</v>
      </c>
      <c r="F7255" t="s">
        <v>148</v>
      </c>
      <c r="G7255" t="s">
        <v>230</v>
      </c>
      <c r="H7255" t="s">
        <v>39</v>
      </c>
      <c r="I7255" t="s">
        <v>40</v>
      </c>
      <c r="J7255" s="2" t="s">
        <v>41</v>
      </c>
      <c r="K7255" t="s">
        <v>42</v>
      </c>
      <c r="L7255" t="s">
        <v>175</v>
      </c>
      <c r="Q7255">
        <v>25298</v>
      </c>
      <c r="R7255" t="s">
        <v>119</v>
      </c>
      <c r="S7255" t="s">
        <v>23986</v>
      </c>
      <c r="T7255">
        <v>29</v>
      </c>
      <c r="U7255" s="2" t="s">
        <v>43910</v>
      </c>
      <c r="V7255" s="1">
        <v>45126</v>
      </c>
      <c r="W7255" t="s">
        <v>84</v>
      </c>
      <c r="X7255">
        <v>831596</v>
      </c>
      <c r="Y7255" t="s">
        <v>43911</v>
      </c>
      <c r="Z7255" t="e">
        <f ca="1">- replaced C1, C2, C4
- checked _xludf.and cleaned cartridge bay, plunger rod, _xludf.filter
- generated reports</f>
        <v>#NAME?</v>
      </c>
      <c r="AA7255" t="s">
        <v>43912</v>
      </c>
      <c r="AB7255" t="s">
        <v>88</v>
      </c>
      <c r="AD7255" s="2" t="s">
        <v>43913</v>
      </c>
      <c r="AE7255">
        <v>10178</v>
      </c>
      <c r="AG7255" t="s">
        <v>43917</v>
      </c>
      <c r="AH7255" t="s">
        <v>43915</v>
      </c>
      <c r="AI7255" t="s">
        <v>43918</v>
      </c>
    </row>
    <row r="7256" spans="2:35" ht="105">
      <c r="B7256" s="1">
        <v>45133</v>
      </c>
      <c r="C7256" s="4">
        <v>45128.535416666666</v>
      </c>
      <c r="D7256" t="s">
        <v>34184</v>
      </c>
      <c r="E7256" t="s">
        <v>34185</v>
      </c>
      <c r="F7256" t="s">
        <v>148</v>
      </c>
      <c r="G7256" t="s">
        <v>421</v>
      </c>
      <c r="H7256" t="s">
        <v>39</v>
      </c>
      <c r="I7256" t="s">
        <v>40</v>
      </c>
      <c r="J7256" s="2" t="s">
        <v>41</v>
      </c>
      <c r="K7256" t="s">
        <v>42</v>
      </c>
      <c r="L7256" t="s">
        <v>175</v>
      </c>
      <c r="Q7256">
        <v>25297</v>
      </c>
      <c r="R7256" t="s">
        <v>119</v>
      </c>
      <c r="S7256" t="s">
        <v>27782</v>
      </c>
      <c r="T7256">
        <v>29</v>
      </c>
      <c r="U7256" s="2" t="s">
        <v>43919</v>
      </c>
      <c r="V7256" s="1">
        <v>45126</v>
      </c>
      <c r="W7256" t="s">
        <v>84</v>
      </c>
      <c r="X7256">
        <v>831914</v>
      </c>
      <c r="Y7256" t="s">
        <v>43920</v>
      </c>
      <c r="Z7256" t="e">
        <f ca="1">- replaced B1, B4
- checked _xludf.and cleaned cartridge bay, plunger rod, _xludf.filter
- generated reports</f>
        <v>#NAME?</v>
      </c>
      <c r="AA7256" t="s">
        <v>22168</v>
      </c>
      <c r="AB7256" t="s">
        <v>88</v>
      </c>
      <c r="AD7256" s="2" t="s">
        <v>43921</v>
      </c>
      <c r="AE7256">
        <v>10181</v>
      </c>
      <c r="AG7256" t="s">
        <v>43922</v>
      </c>
      <c r="AH7256" t="s">
        <v>43923</v>
      </c>
      <c r="AI7256" t="s">
        <v>43924</v>
      </c>
    </row>
    <row r="7257" spans="2:35" ht="105">
      <c r="B7257" s="1">
        <v>45133</v>
      </c>
      <c r="C7257" s="4">
        <v>45128.535416666666</v>
      </c>
      <c r="D7257" t="s">
        <v>34184</v>
      </c>
      <c r="E7257" t="s">
        <v>34185</v>
      </c>
      <c r="F7257" t="s">
        <v>148</v>
      </c>
      <c r="G7257" t="s">
        <v>421</v>
      </c>
      <c r="H7257" t="s">
        <v>39</v>
      </c>
      <c r="I7257" t="s">
        <v>40</v>
      </c>
      <c r="J7257" s="2" t="s">
        <v>41</v>
      </c>
      <c r="K7257" t="s">
        <v>42</v>
      </c>
      <c r="L7257" t="s">
        <v>175</v>
      </c>
      <c r="Q7257">
        <v>25296</v>
      </c>
      <c r="R7257" t="s">
        <v>119</v>
      </c>
      <c r="S7257" t="s">
        <v>27782</v>
      </c>
      <c r="T7257">
        <v>29</v>
      </c>
      <c r="U7257" s="2" t="s">
        <v>43919</v>
      </c>
      <c r="V7257" s="1">
        <v>45126</v>
      </c>
      <c r="W7257" t="s">
        <v>84</v>
      </c>
      <c r="X7257">
        <v>831894</v>
      </c>
      <c r="Y7257" t="s">
        <v>43920</v>
      </c>
      <c r="Z7257" t="e">
        <f ca="1">- replaced B1, B4
- checked _xludf.and cleaned cartridge bay, plunger rod, _xludf.filter
- generated reports</f>
        <v>#NAME?</v>
      </c>
      <c r="AA7257" t="s">
        <v>22168</v>
      </c>
      <c r="AB7257" t="s">
        <v>88</v>
      </c>
      <c r="AD7257" s="2" t="s">
        <v>43921</v>
      </c>
      <c r="AE7257">
        <v>10181</v>
      </c>
      <c r="AG7257" t="s">
        <v>43925</v>
      </c>
      <c r="AH7257" t="s">
        <v>43923</v>
      </c>
      <c r="AI7257" t="s">
        <v>43926</v>
      </c>
    </row>
    <row r="7258" spans="2:35" ht="360">
      <c r="B7258" s="1">
        <v>45133</v>
      </c>
      <c r="C7258" s="4">
        <v>45133.493055555555</v>
      </c>
      <c r="D7258" t="s">
        <v>43927</v>
      </c>
      <c r="E7258" t="s">
        <v>3706</v>
      </c>
      <c r="F7258">
        <v>3</v>
      </c>
      <c r="G7258" t="s">
        <v>174</v>
      </c>
      <c r="H7258" t="s">
        <v>39</v>
      </c>
      <c r="I7258" t="s">
        <v>40</v>
      </c>
      <c r="J7258" t="s">
        <v>525</v>
      </c>
      <c r="K7258" t="s">
        <v>42</v>
      </c>
      <c r="L7258" t="s">
        <v>175</v>
      </c>
      <c r="Q7258">
        <v>25295</v>
      </c>
      <c r="R7258" t="s">
        <v>45</v>
      </c>
      <c r="S7258" t="s">
        <v>3707</v>
      </c>
      <c r="T7258">
        <v>26</v>
      </c>
      <c r="U7258" s="2" t="s">
        <v>43928</v>
      </c>
      <c r="W7258" t="s">
        <v>84</v>
      </c>
      <c r="X7258">
        <v>807466</v>
      </c>
      <c r="Y7258" t="s">
        <v>20192</v>
      </c>
      <c r="Z7258" t="e">
        <f ca="1">- checked UPS Back up _xludf.mode (_xludf.not working)
- checked _xludf.and cleaned cartridge bay, plunger rod, _xludf.filter
- generated reports</f>
        <v>#NAME?</v>
      </c>
      <c r="AA7258" t="s">
        <v>22858</v>
      </c>
      <c r="AB7258" s="2" t="s">
        <v>43929</v>
      </c>
      <c r="AG7258" t="s">
        <v>43930</v>
      </c>
      <c r="AH7258" t="s">
        <v>43931</v>
      </c>
      <c r="AI7258" t="s">
        <v>43932</v>
      </c>
    </row>
    <row r="7259" spans="2:35" ht="210">
      <c r="B7259" s="1">
        <v>45133</v>
      </c>
      <c r="C7259" s="4">
        <v>45133.48541666667</v>
      </c>
      <c r="D7259" t="s">
        <v>43933</v>
      </c>
      <c r="E7259" t="s">
        <v>3706</v>
      </c>
      <c r="F7259">
        <v>3</v>
      </c>
      <c r="G7259" t="s">
        <v>174</v>
      </c>
      <c r="H7259" t="s">
        <v>39</v>
      </c>
      <c r="I7259" t="s">
        <v>40</v>
      </c>
      <c r="J7259" s="2" t="s">
        <v>41</v>
      </c>
      <c r="K7259" t="s">
        <v>42</v>
      </c>
      <c r="L7259" t="s">
        <v>175</v>
      </c>
      <c r="Q7259">
        <v>25294</v>
      </c>
      <c r="R7259" t="s">
        <v>119</v>
      </c>
      <c r="S7259" t="s">
        <v>3707</v>
      </c>
      <c r="T7259">
        <v>26</v>
      </c>
      <c r="U7259" s="2" t="s">
        <v>43934</v>
      </c>
      <c r="V7259" s="1">
        <v>45133</v>
      </c>
      <c r="W7259" t="s">
        <v>84</v>
      </c>
      <c r="X7259">
        <v>831897</v>
      </c>
      <c r="Y7259" t="s">
        <v>43935</v>
      </c>
      <c r="Z7259" t="e">
        <f ca="1">- replaced A1, A2
- checked _xludf.and cleaned cartridge bay, plunger rod, _xludf.filter
- generated reports</f>
        <v>#NAME?</v>
      </c>
      <c r="AA7259" t="s">
        <v>43936</v>
      </c>
      <c r="AB7259" t="s">
        <v>88</v>
      </c>
      <c r="AD7259" s="2" t="s">
        <v>43937</v>
      </c>
      <c r="AE7259" t="s">
        <v>43938</v>
      </c>
      <c r="AG7259" t="s">
        <v>43939</v>
      </c>
      <c r="AH7259" t="s">
        <v>43931</v>
      </c>
      <c r="AI7259" t="s">
        <v>43940</v>
      </c>
    </row>
    <row r="7260" spans="2:35" ht="135">
      <c r="B7260" s="1">
        <v>45133</v>
      </c>
      <c r="C7260" s="4">
        <v>45133.486805555556</v>
      </c>
      <c r="D7260" t="s">
        <v>43941</v>
      </c>
      <c r="E7260" t="s">
        <v>18685</v>
      </c>
      <c r="F7260" t="s">
        <v>148</v>
      </c>
      <c r="G7260" t="s">
        <v>447</v>
      </c>
      <c r="H7260" t="s">
        <v>39</v>
      </c>
      <c r="I7260" t="s">
        <v>40</v>
      </c>
      <c r="J7260" s="2" t="s">
        <v>41</v>
      </c>
      <c r="K7260" t="s">
        <v>42</v>
      </c>
      <c r="L7260" t="s">
        <v>15532</v>
      </c>
      <c r="Q7260">
        <v>25293</v>
      </c>
      <c r="R7260" t="s">
        <v>119</v>
      </c>
      <c r="S7260" t="s">
        <v>43942</v>
      </c>
      <c r="T7260">
        <v>30</v>
      </c>
      <c r="U7260" s="2" t="s">
        <v>6936</v>
      </c>
      <c r="V7260" s="1">
        <v>45131</v>
      </c>
      <c r="W7260" t="s">
        <v>43943</v>
      </c>
      <c r="X7260">
        <v>831891</v>
      </c>
      <c r="Y7260" t="s">
        <v>34878</v>
      </c>
      <c r="Z7260" s="2" t="s">
        <v>43944</v>
      </c>
      <c r="AA7260" s="2" t="s">
        <v>43945</v>
      </c>
      <c r="AB7260" t="s">
        <v>34796</v>
      </c>
      <c r="AD7260" t="s">
        <v>43946</v>
      </c>
      <c r="AE7260" t="s">
        <v>43947</v>
      </c>
      <c r="AG7260" t="s">
        <v>43948</v>
      </c>
      <c r="AH7260" t="s">
        <v>43949</v>
      </c>
      <c r="AI7260" t="s">
        <v>43950</v>
      </c>
    </row>
    <row r="7261" spans="2:35" ht="180">
      <c r="B7261" s="1">
        <v>45133</v>
      </c>
      <c r="C7261" s="4">
        <v>45133.465277777781</v>
      </c>
      <c r="D7261" t="s">
        <v>340</v>
      </c>
      <c r="E7261" t="s">
        <v>43951</v>
      </c>
      <c r="F7261">
        <v>8</v>
      </c>
      <c r="G7261" t="s">
        <v>342</v>
      </c>
      <c r="H7261" t="s">
        <v>36499</v>
      </c>
      <c r="I7261" t="s">
        <v>40</v>
      </c>
      <c r="J7261" s="2" t="s">
        <v>62</v>
      </c>
      <c r="K7261" t="s">
        <v>42</v>
      </c>
      <c r="L7261" t="s">
        <v>259</v>
      </c>
      <c r="Q7261">
        <v>25292</v>
      </c>
      <c r="R7261" t="s">
        <v>119</v>
      </c>
      <c r="S7261" t="s">
        <v>345</v>
      </c>
      <c r="T7261">
        <v>27</v>
      </c>
      <c r="U7261" s="2" t="s">
        <v>43952</v>
      </c>
      <c r="V7261" s="1">
        <v>45133</v>
      </c>
      <c r="W7261" t="s">
        <v>84</v>
      </c>
      <c r="X7261">
        <v>838555</v>
      </c>
      <c r="Y7261" t="s">
        <v>43953</v>
      </c>
      <c r="Z7261" t="e">
        <f ca="1">- Preventive Maintenance
- run XpertCheck</f>
        <v>#NAME?</v>
      </c>
      <c r="AA7261" t="e">
        <f ca="1">- performed Preventive Maintenance
- performed XpertCheck CALIBRATION on module A3
- performed functionality test
- Generate reports</f>
        <v>#NAME?</v>
      </c>
      <c r="AB7261" s="2" t="s">
        <v>43954</v>
      </c>
      <c r="AD7261" t="s">
        <v>43955</v>
      </c>
      <c r="AE7261" t="s">
        <v>119</v>
      </c>
      <c r="AG7261" t="s">
        <v>43956</v>
      </c>
      <c r="AH7261" t="s">
        <v>43957</v>
      </c>
      <c r="AI7261" t="s">
        <v>43958</v>
      </c>
    </row>
    <row r="7262" spans="2:35" ht="180">
      <c r="B7262" s="1">
        <v>45133</v>
      </c>
      <c r="C7262" s="4">
        <v>45133.431944444441</v>
      </c>
      <c r="D7262" t="s">
        <v>10158</v>
      </c>
      <c r="E7262" t="s">
        <v>4655</v>
      </c>
      <c r="F7262">
        <v>10</v>
      </c>
      <c r="G7262" t="s">
        <v>1395</v>
      </c>
      <c r="H7262" t="s">
        <v>1047</v>
      </c>
      <c r="I7262" t="s">
        <v>40</v>
      </c>
      <c r="J7262" s="2" t="s">
        <v>1808</v>
      </c>
      <c r="K7262" t="s">
        <v>42</v>
      </c>
      <c r="L7262" t="s">
        <v>43100</v>
      </c>
      <c r="Q7262">
        <v>25291</v>
      </c>
      <c r="R7262" t="s">
        <v>119</v>
      </c>
      <c r="S7262" t="s">
        <v>10835</v>
      </c>
      <c r="T7262">
        <v>26</v>
      </c>
      <c r="U7262" s="2" t="s">
        <v>43959</v>
      </c>
      <c r="W7262" t="s">
        <v>43102</v>
      </c>
      <c r="X7262">
        <v>838441</v>
      </c>
      <c r="Y7262" t="s">
        <v>43960</v>
      </c>
      <c r="Z7262" t="s">
        <v>54</v>
      </c>
      <c r="AA7262" s="2" t="s">
        <v>43961</v>
      </c>
      <c r="AB7262" t="s">
        <v>486</v>
      </c>
      <c r="AG7262" t="s">
        <v>43962</v>
      </c>
      <c r="AH7262" t="s">
        <v>43963</v>
      </c>
      <c r="AI7262" t="s">
        <v>43964</v>
      </c>
    </row>
    <row r="7263" spans="2:35" ht="180">
      <c r="B7263" s="1">
        <v>45133</v>
      </c>
      <c r="C7263" s="4">
        <v>45133.433333333334</v>
      </c>
      <c r="D7263" t="s">
        <v>10158</v>
      </c>
      <c r="E7263" t="s">
        <v>4655</v>
      </c>
      <c r="F7263">
        <v>10</v>
      </c>
      <c r="G7263" t="s">
        <v>1395</v>
      </c>
      <c r="H7263" t="s">
        <v>1047</v>
      </c>
      <c r="I7263" t="s">
        <v>40</v>
      </c>
      <c r="J7263" s="2" t="s">
        <v>1808</v>
      </c>
      <c r="K7263" t="s">
        <v>42</v>
      </c>
      <c r="L7263" t="s">
        <v>43100</v>
      </c>
      <c r="Q7263">
        <v>25290</v>
      </c>
      <c r="R7263" t="s">
        <v>119</v>
      </c>
      <c r="S7263" t="s">
        <v>10835</v>
      </c>
      <c r="T7263">
        <v>26</v>
      </c>
      <c r="U7263" s="2" t="s">
        <v>43959</v>
      </c>
      <c r="W7263" t="s">
        <v>43102</v>
      </c>
      <c r="X7263">
        <v>838435</v>
      </c>
      <c r="Y7263" t="s">
        <v>43965</v>
      </c>
      <c r="Z7263" t="s">
        <v>54</v>
      </c>
      <c r="AA7263" s="2" t="s">
        <v>43966</v>
      </c>
      <c r="AB7263" t="s">
        <v>486</v>
      </c>
      <c r="AG7263" t="s">
        <v>43967</v>
      </c>
      <c r="AH7263" t="s">
        <v>43968</v>
      </c>
      <c r="AI7263" t="s">
        <v>43969</v>
      </c>
    </row>
    <row r="7264" spans="2:35" ht="300">
      <c r="B7264" s="1">
        <v>45133</v>
      </c>
      <c r="C7264" s="4">
        <v>45132.531944444447</v>
      </c>
      <c r="D7264" t="s">
        <v>1145</v>
      </c>
      <c r="E7264" t="s">
        <v>43970</v>
      </c>
      <c r="F7264" t="s">
        <v>148</v>
      </c>
      <c r="G7264" t="s">
        <v>447</v>
      </c>
      <c r="H7264" t="s">
        <v>150</v>
      </c>
      <c r="I7264" t="s">
        <v>40</v>
      </c>
      <c r="J7264" t="s">
        <v>109</v>
      </c>
      <c r="K7264" t="s">
        <v>42</v>
      </c>
      <c r="L7264" t="s">
        <v>448</v>
      </c>
      <c r="Q7264">
        <v>25289</v>
      </c>
      <c r="R7264" t="s">
        <v>322</v>
      </c>
      <c r="S7264" t="s">
        <v>1147</v>
      </c>
      <c r="T7264">
        <v>25</v>
      </c>
      <c r="U7264" s="2" t="s">
        <v>43971</v>
      </c>
      <c r="W7264" t="s">
        <v>360</v>
      </c>
      <c r="X7264">
        <v>804205</v>
      </c>
      <c r="Y7264" t="s">
        <v>43972</v>
      </c>
      <c r="Z7264" s="2" t="s">
        <v>43973</v>
      </c>
      <c r="AA7264" t="s">
        <v>6997</v>
      </c>
      <c r="AB7264" t="s">
        <v>43974</v>
      </c>
      <c r="AG7264" t="s">
        <v>43975</v>
      </c>
      <c r="AH7264" t="s">
        <v>1153</v>
      </c>
      <c r="AI7264" t="s">
        <v>43976</v>
      </c>
    </row>
    <row r="7265" spans="2:35" ht="409.5">
      <c r="B7265" s="1">
        <v>45133</v>
      </c>
      <c r="C7265" s="4">
        <v>45132.536805555559</v>
      </c>
      <c r="D7265" t="s">
        <v>1145</v>
      </c>
      <c r="E7265" t="s">
        <v>4267</v>
      </c>
      <c r="F7265" t="s">
        <v>148</v>
      </c>
      <c r="G7265" t="s">
        <v>447</v>
      </c>
      <c r="H7265" t="s">
        <v>150</v>
      </c>
      <c r="I7265" t="s">
        <v>40</v>
      </c>
      <c r="J7265" s="2" t="s">
        <v>62</v>
      </c>
      <c r="K7265" t="s">
        <v>42</v>
      </c>
      <c r="L7265" t="s">
        <v>448</v>
      </c>
      <c r="Q7265">
        <v>25288</v>
      </c>
      <c r="R7265" t="s">
        <v>322</v>
      </c>
      <c r="S7265" t="s">
        <v>1147</v>
      </c>
      <c r="T7265">
        <v>26</v>
      </c>
      <c r="U7265" s="2" t="s">
        <v>43977</v>
      </c>
      <c r="V7265" s="1">
        <v>45132</v>
      </c>
      <c r="W7265" t="s">
        <v>360</v>
      </c>
      <c r="X7265">
        <v>838837</v>
      </c>
      <c r="Y7265" t="s">
        <v>43978</v>
      </c>
      <c r="Z7265" s="2" t="s">
        <v>43979</v>
      </c>
      <c r="AA7265" t="s">
        <v>43980</v>
      </c>
      <c r="AB7265" t="s">
        <v>43981</v>
      </c>
      <c r="AC7265" t="s">
        <v>43982</v>
      </c>
      <c r="AD7265" t="s">
        <v>11518</v>
      </c>
      <c r="AE7265">
        <v>0</v>
      </c>
      <c r="AG7265" t="s">
        <v>43983</v>
      </c>
      <c r="AH7265" t="s">
        <v>1153</v>
      </c>
      <c r="AI7265" t="s">
        <v>43984</v>
      </c>
    </row>
    <row r="7266" spans="2:35" ht="315">
      <c r="B7266" s="1">
        <v>45133</v>
      </c>
      <c r="C7266" s="4">
        <v>45132.507638888892</v>
      </c>
      <c r="D7266" t="s">
        <v>1145</v>
      </c>
      <c r="E7266" t="s">
        <v>43985</v>
      </c>
      <c r="F7266" t="s">
        <v>148</v>
      </c>
      <c r="G7266" t="s">
        <v>447</v>
      </c>
      <c r="H7266" t="s">
        <v>150</v>
      </c>
      <c r="I7266" t="s">
        <v>40</v>
      </c>
      <c r="J7266" t="s">
        <v>79</v>
      </c>
      <c r="K7266" t="s">
        <v>42</v>
      </c>
      <c r="L7266" t="s">
        <v>448</v>
      </c>
      <c r="Q7266">
        <v>25287</v>
      </c>
      <c r="R7266" t="s">
        <v>45</v>
      </c>
      <c r="S7266" t="s">
        <v>1147</v>
      </c>
      <c r="T7266">
        <v>28</v>
      </c>
      <c r="U7266" s="2" t="s">
        <v>43986</v>
      </c>
      <c r="V7266" s="1">
        <v>45131</v>
      </c>
      <c r="W7266" t="s">
        <v>325</v>
      </c>
      <c r="X7266">
        <v>801080</v>
      </c>
      <c r="Y7266" t="s">
        <v>43987</v>
      </c>
      <c r="Z7266" s="2" t="s">
        <v>43988</v>
      </c>
      <c r="AA7266" t="s">
        <v>20643</v>
      </c>
      <c r="AB7266" t="s">
        <v>43989</v>
      </c>
      <c r="AD7266" t="s">
        <v>19700</v>
      </c>
      <c r="AE7266" t="s">
        <v>43990</v>
      </c>
      <c r="AG7266" t="s">
        <v>43991</v>
      </c>
      <c r="AH7266" t="s">
        <v>1153</v>
      </c>
      <c r="AI7266" t="s">
        <v>43992</v>
      </c>
    </row>
    <row r="7267" spans="2:35" ht="180">
      <c r="B7267" s="1">
        <v>45132</v>
      </c>
      <c r="C7267" s="4">
        <v>45126.615972222222</v>
      </c>
      <c r="D7267" t="s">
        <v>38401</v>
      </c>
      <c r="E7267" t="s">
        <v>43993</v>
      </c>
      <c r="F7267" t="s">
        <v>148</v>
      </c>
      <c r="G7267" t="s">
        <v>447</v>
      </c>
      <c r="H7267" t="s">
        <v>39</v>
      </c>
      <c r="I7267" t="s">
        <v>40</v>
      </c>
      <c r="J7267" s="2" t="s">
        <v>41</v>
      </c>
      <c r="K7267" t="s">
        <v>42</v>
      </c>
      <c r="L7267" t="s">
        <v>448</v>
      </c>
      <c r="Q7267">
        <v>25286</v>
      </c>
      <c r="R7267" t="s">
        <v>322</v>
      </c>
      <c r="S7267" t="s">
        <v>33107</v>
      </c>
      <c r="T7267">
        <v>25</v>
      </c>
      <c r="U7267" s="2" t="s">
        <v>43994</v>
      </c>
      <c r="V7267" s="1">
        <v>45124</v>
      </c>
      <c r="W7267" t="s">
        <v>360</v>
      </c>
      <c r="X7267">
        <v>831610</v>
      </c>
      <c r="Y7267" t="s">
        <v>43995</v>
      </c>
      <c r="Z7267" t="s">
        <v>43996</v>
      </c>
      <c r="AA7267" t="s">
        <v>20643</v>
      </c>
      <c r="AB7267" t="s">
        <v>486</v>
      </c>
      <c r="AD7267" t="s">
        <v>10253</v>
      </c>
      <c r="AE7267" s="3">
        <v>10011016210161</v>
      </c>
      <c r="AG7267" t="s">
        <v>43997</v>
      </c>
      <c r="AH7267" t="s">
        <v>43998</v>
      </c>
      <c r="AI7267" t="s">
        <v>43999</v>
      </c>
    </row>
    <row r="7268" spans="2:35" ht="255">
      <c r="B7268" s="1">
        <v>45132</v>
      </c>
      <c r="C7268" s="4">
        <v>45125.511805555558</v>
      </c>
      <c r="D7268" t="s">
        <v>2176</v>
      </c>
      <c r="E7268" t="s">
        <v>41822</v>
      </c>
      <c r="F7268" t="s">
        <v>148</v>
      </c>
      <c r="G7268" t="s">
        <v>447</v>
      </c>
      <c r="H7268" t="s">
        <v>2581</v>
      </c>
      <c r="I7268" t="s">
        <v>40</v>
      </c>
      <c r="J7268" t="s">
        <v>109</v>
      </c>
      <c r="K7268" t="s">
        <v>42</v>
      </c>
      <c r="L7268" t="s">
        <v>448</v>
      </c>
      <c r="Q7268">
        <v>25285</v>
      </c>
      <c r="R7268" t="s">
        <v>45</v>
      </c>
      <c r="S7268" t="s">
        <v>2582</v>
      </c>
      <c r="T7268">
        <v>31</v>
      </c>
      <c r="U7268" s="2" t="s">
        <v>44000</v>
      </c>
      <c r="W7268" t="s">
        <v>360</v>
      </c>
      <c r="X7268">
        <v>803087</v>
      </c>
      <c r="Y7268" t="s">
        <v>44001</v>
      </c>
      <c r="Z7268" t="s">
        <v>40978</v>
      </c>
      <c r="AA7268" t="s">
        <v>6997</v>
      </c>
      <c r="AB7268" t="s">
        <v>44002</v>
      </c>
      <c r="AG7268" t="s">
        <v>44003</v>
      </c>
      <c r="AH7268" t="s">
        <v>15742</v>
      </c>
      <c r="AI7268" t="s">
        <v>44004</v>
      </c>
    </row>
    <row r="7269" spans="2:35" ht="315">
      <c r="B7269" s="1">
        <v>45132</v>
      </c>
      <c r="C7269" s="4">
        <v>45125.429166666669</v>
      </c>
      <c r="D7269" t="s">
        <v>2176</v>
      </c>
      <c r="E7269" t="s">
        <v>41822</v>
      </c>
      <c r="F7269" t="s">
        <v>148</v>
      </c>
      <c r="G7269" t="s">
        <v>447</v>
      </c>
      <c r="H7269" t="s">
        <v>662</v>
      </c>
      <c r="I7269" t="s">
        <v>40</v>
      </c>
      <c r="J7269" t="s">
        <v>109</v>
      </c>
      <c r="K7269" t="s">
        <v>42</v>
      </c>
      <c r="L7269" t="s">
        <v>448</v>
      </c>
      <c r="Q7269">
        <v>25284</v>
      </c>
      <c r="R7269" t="s">
        <v>322</v>
      </c>
      <c r="S7269" t="s">
        <v>3086</v>
      </c>
      <c r="T7269">
        <v>24</v>
      </c>
      <c r="U7269" s="2" t="s">
        <v>44005</v>
      </c>
      <c r="W7269" t="s">
        <v>19433</v>
      </c>
      <c r="X7269">
        <v>110014085</v>
      </c>
      <c r="Y7269" t="s">
        <v>44006</v>
      </c>
      <c r="Z7269" t="s">
        <v>40978</v>
      </c>
      <c r="AA7269" t="s">
        <v>19984</v>
      </c>
      <c r="AB7269" t="s">
        <v>44007</v>
      </c>
      <c r="AG7269" t="s">
        <v>44008</v>
      </c>
      <c r="AH7269" t="s">
        <v>44009</v>
      </c>
      <c r="AI7269" t="s">
        <v>44010</v>
      </c>
    </row>
    <row r="7270" spans="2:35">
      <c r="B7270" s="1">
        <v>45132</v>
      </c>
      <c r="C7270" s="4">
        <v>45125.416666666664</v>
      </c>
      <c r="D7270" t="s">
        <v>44011</v>
      </c>
      <c r="E7270" t="s">
        <v>41822</v>
      </c>
      <c r="F7270" t="s">
        <v>148</v>
      </c>
      <c r="G7270" t="s">
        <v>447</v>
      </c>
      <c r="H7270" t="s">
        <v>662</v>
      </c>
      <c r="I7270" t="s">
        <v>40</v>
      </c>
      <c r="J7270" t="s">
        <v>321</v>
      </c>
      <c r="K7270" t="s">
        <v>42</v>
      </c>
      <c r="L7270" t="s">
        <v>448</v>
      </c>
      <c r="Q7270">
        <v>25283</v>
      </c>
      <c r="R7270" t="s">
        <v>95</v>
      </c>
      <c r="S7270" t="s">
        <v>3086</v>
      </c>
      <c r="T7270">
        <v>26</v>
      </c>
      <c r="W7270" t="s">
        <v>44012</v>
      </c>
      <c r="X7270">
        <v>110016781</v>
      </c>
      <c r="Y7270" t="s">
        <v>750</v>
      </c>
      <c r="Z7270" t="s">
        <v>2593</v>
      </c>
      <c r="AA7270" t="s">
        <v>44013</v>
      </c>
      <c r="AB7270" t="s">
        <v>486</v>
      </c>
      <c r="AG7270" t="s">
        <v>44014</v>
      </c>
      <c r="AH7270" t="s">
        <v>38352</v>
      </c>
      <c r="AI7270" t="s">
        <v>44015</v>
      </c>
    </row>
    <row r="7271" spans="2:35" ht="120">
      <c r="B7271" s="1">
        <v>45132</v>
      </c>
      <c r="C7271" s="4">
        <v>45132.611111111109</v>
      </c>
      <c r="D7271" t="s">
        <v>461</v>
      </c>
      <c r="E7271" t="s">
        <v>44016</v>
      </c>
      <c r="F7271" t="s">
        <v>148</v>
      </c>
      <c r="G7271" t="s">
        <v>447</v>
      </c>
      <c r="H7271" t="s">
        <v>39</v>
      </c>
      <c r="I7271" t="s">
        <v>40</v>
      </c>
      <c r="J7271" s="2" t="s">
        <v>41</v>
      </c>
      <c r="K7271" t="s">
        <v>42</v>
      </c>
      <c r="L7271" t="s">
        <v>15532</v>
      </c>
      <c r="Q7271">
        <v>25282</v>
      </c>
      <c r="R7271" t="s">
        <v>45</v>
      </c>
      <c r="S7271" t="s">
        <v>464</v>
      </c>
      <c r="T7271">
        <v>26</v>
      </c>
      <c r="U7271" s="2" t="s">
        <v>40935</v>
      </c>
      <c r="V7271" s="1">
        <v>45131</v>
      </c>
      <c r="W7271" t="s">
        <v>597</v>
      </c>
      <c r="X7271">
        <v>814160</v>
      </c>
      <c r="Y7271" t="s">
        <v>2034</v>
      </c>
      <c r="Z7271" s="2" t="s">
        <v>44017</v>
      </c>
      <c r="AA7271" s="2" t="s">
        <v>44018</v>
      </c>
      <c r="AB7271" t="s">
        <v>35207</v>
      </c>
      <c r="AD7271" t="s">
        <v>44019</v>
      </c>
      <c r="AE7271" t="s">
        <v>44020</v>
      </c>
      <c r="AG7271" t="s">
        <v>44021</v>
      </c>
      <c r="AH7271" t="s">
        <v>470</v>
      </c>
      <c r="AI7271" t="s">
        <v>44022</v>
      </c>
    </row>
    <row r="7272" spans="2:35" ht="300">
      <c r="B7272" s="1">
        <v>45132</v>
      </c>
      <c r="C7272" s="4">
        <v>45132.62777777778</v>
      </c>
      <c r="D7272" t="s">
        <v>132</v>
      </c>
      <c r="E7272" t="s">
        <v>27259</v>
      </c>
      <c r="F7272">
        <v>3</v>
      </c>
      <c r="G7272" t="s">
        <v>134</v>
      </c>
      <c r="H7272" t="s">
        <v>39</v>
      </c>
      <c r="I7272" t="s">
        <v>40</v>
      </c>
      <c r="J7272" s="2" t="s">
        <v>41</v>
      </c>
      <c r="K7272" t="s">
        <v>42</v>
      </c>
      <c r="L7272" t="s">
        <v>135</v>
      </c>
      <c r="Q7272">
        <v>25281</v>
      </c>
      <c r="R7272" t="s">
        <v>119</v>
      </c>
      <c r="S7272" t="s">
        <v>137</v>
      </c>
      <c r="T7272">
        <v>30</v>
      </c>
      <c r="U7272" s="2" t="s">
        <v>44023</v>
      </c>
      <c r="V7272" s="1">
        <v>45126</v>
      </c>
      <c r="W7272" t="s">
        <v>2680</v>
      </c>
      <c r="X7272">
        <v>831999</v>
      </c>
      <c r="Y7272" t="s">
        <v>43238</v>
      </c>
      <c r="Z7272" s="2" t="s">
        <v>29539</v>
      </c>
      <c r="AA7272" s="2" t="s">
        <v>44024</v>
      </c>
      <c r="AB7272" t="s">
        <v>181</v>
      </c>
      <c r="AD7272" t="s">
        <v>22730</v>
      </c>
      <c r="AE7272">
        <v>10192</v>
      </c>
      <c r="AG7272" t="s">
        <v>44025</v>
      </c>
      <c r="AH7272" t="s">
        <v>44026</v>
      </c>
      <c r="AI7272" t="s">
        <v>44027</v>
      </c>
    </row>
    <row r="7273" spans="2:35" ht="255">
      <c r="B7273" s="1">
        <v>45132</v>
      </c>
      <c r="C7273" s="4">
        <v>45132.614583333336</v>
      </c>
      <c r="D7273" t="s">
        <v>34625</v>
      </c>
      <c r="E7273" t="s">
        <v>44028</v>
      </c>
      <c r="F7273" t="s">
        <v>148</v>
      </c>
      <c r="G7273" t="s">
        <v>447</v>
      </c>
      <c r="H7273" t="s">
        <v>44029</v>
      </c>
      <c r="I7273" t="s">
        <v>40</v>
      </c>
      <c r="J7273" s="2" t="s">
        <v>62</v>
      </c>
      <c r="K7273" t="s">
        <v>649</v>
      </c>
      <c r="L7273" t="s">
        <v>409</v>
      </c>
      <c r="Q7273">
        <v>25280</v>
      </c>
      <c r="R7273" t="s">
        <v>95</v>
      </c>
      <c r="S7273" t="s">
        <v>16934</v>
      </c>
      <c r="T7273">
        <v>22</v>
      </c>
      <c r="V7273" s="1">
        <v>45132</v>
      </c>
      <c r="W7273" t="s">
        <v>35993</v>
      </c>
      <c r="X7273" t="s">
        <v>17027</v>
      </c>
      <c r="Y7273" t="s">
        <v>24864</v>
      </c>
      <c r="Z7273" t="s">
        <v>24864</v>
      </c>
      <c r="AA7273" s="2" t="s">
        <v>35994</v>
      </c>
      <c r="AB7273" t="s">
        <v>35995</v>
      </c>
      <c r="AC7273" t="s">
        <v>24864</v>
      </c>
      <c r="AD7273" t="s">
        <v>24864</v>
      </c>
      <c r="AE7273" t="s">
        <v>24864</v>
      </c>
      <c r="AG7273" t="s">
        <v>44030</v>
      </c>
      <c r="AH7273" t="s">
        <v>35642</v>
      </c>
      <c r="AI7273" t="s">
        <v>44031</v>
      </c>
    </row>
    <row r="7274" spans="2:35" ht="255">
      <c r="B7274" s="1">
        <v>45132</v>
      </c>
      <c r="C7274" s="4">
        <v>45132.605555555558</v>
      </c>
      <c r="D7274" t="s">
        <v>34625</v>
      </c>
      <c r="E7274" t="s">
        <v>44028</v>
      </c>
      <c r="F7274" t="s">
        <v>148</v>
      </c>
      <c r="G7274" t="s">
        <v>447</v>
      </c>
      <c r="H7274" t="s">
        <v>44029</v>
      </c>
      <c r="I7274" t="s">
        <v>40</v>
      </c>
      <c r="J7274" s="2" t="s">
        <v>62</v>
      </c>
      <c r="K7274" t="s">
        <v>649</v>
      </c>
      <c r="L7274" t="s">
        <v>409</v>
      </c>
      <c r="Q7274">
        <v>25279</v>
      </c>
      <c r="R7274" t="s">
        <v>95</v>
      </c>
      <c r="S7274" t="s">
        <v>16934</v>
      </c>
      <c r="T7274">
        <v>22</v>
      </c>
      <c r="V7274" s="1">
        <v>45132</v>
      </c>
      <c r="W7274" t="s">
        <v>35993</v>
      </c>
      <c r="X7274" t="s">
        <v>17019</v>
      </c>
      <c r="Y7274" t="s">
        <v>24864</v>
      </c>
      <c r="Z7274" t="s">
        <v>24864</v>
      </c>
      <c r="AA7274" s="2" t="s">
        <v>35994</v>
      </c>
      <c r="AB7274" t="s">
        <v>35995</v>
      </c>
      <c r="AC7274" t="s">
        <v>24864</v>
      </c>
      <c r="AD7274" t="s">
        <v>24864</v>
      </c>
      <c r="AE7274" t="s">
        <v>24864</v>
      </c>
      <c r="AG7274" t="s">
        <v>44032</v>
      </c>
      <c r="AH7274" t="s">
        <v>35642</v>
      </c>
      <c r="AI7274" t="s">
        <v>44033</v>
      </c>
    </row>
    <row r="7275" spans="2:35" ht="285">
      <c r="B7275" s="1">
        <v>45132</v>
      </c>
      <c r="C7275" s="4">
        <v>45132.604166666664</v>
      </c>
      <c r="D7275" t="s">
        <v>26865</v>
      </c>
      <c r="E7275" t="s">
        <v>35851</v>
      </c>
      <c r="F7275">
        <v>3</v>
      </c>
      <c r="G7275" t="s">
        <v>1722</v>
      </c>
      <c r="H7275" t="s">
        <v>39</v>
      </c>
      <c r="I7275" t="s">
        <v>40</v>
      </c>
      <c r="J7275" s="2" t="s">
        <v>41</v>
      </c>
      <c r="K7275" t="s">
        <v>42</v>
      </c>
      <c r="L7275" t="s">
        <v>63</v>
      </c>
      <c r="Q7275">
        <v>25278</v>
      </c>
      <c r="R7275" t="s">
        <v>119</v>
      </c>
      <c r="S7275" t="s">
        <v>26867</v>
      </c>
      <c r="T7275">
        <v>27</v>
      </c>
      <c r="U7275" s="2" t="s">
        <v>44034</v>
      </c>
      <c r="V7275" s="1">
        <v>45127</v>
      </c>
      <c r="W7275" t="s">
        <v>26915</v>
      </c>
      <c r="X7275">
        <v>831562</v>
      </c>
      <c r="Y7275" t="s">
        <v>1716</v>
      </c>
      <c r="Z7275" t="s">
        <v>1716</v>
      </c>
      <c r="AA7275" s="2" t="s">
        <v>44035</v>
      </c>
      <c r="AB7275" t="s">
        <v>70</v>
      </c>
      <c r="AC7275" t="s">
        <v>44036</v>
      </c>
      <c r="AD7275" t="s">
        <v>44037</v>
      </c>
      <c r="AE7275">
        <v>10208</v>
      </c>
      <c r="AG7275" t="s">
        <v>44038</v>
      </c>
      <c r="AH7275" t="s">
        <v>44039</v>
      </c>
      <c r="AI7275" t="s">
        <v>44040</v>
      </c>
    </row>
    <row r="7276" spans="2:35" ht="255">
      <c r="B7276" s="1">
        <v>45132</v>
      </c>
      <c r="C7276" s="4">
        <v>45132.603472222225</v>
      </c>
      <c r="D7276" t="s">
        <v>34625</v>
      </c>
      <c r="E7276" t="s">
        <v>44028</v>
      </c>
      <c r="F7276" t="s">
        <v>148</v>
      </c>
      <c r="G7276" t="s">
        <v>447</v>
      </c>
      <c r="H7276" t="s">
        <v>44041</v>
      </c>
      <c r="I7276" t="s">
        <v>40</v>
      </c>
      <c r="J7276" s="2" t="s">
        <v>62</v>
      </c>
      <c r="K7276" t="s">
        <v>408</v>
      </c>
      <c r="L7276" t="s">
        <v>409</v>
      </c>
      <c r="P7276" t="s">
        <v>36002</v>
      </c>
      <c r="Q7276">
        <v>25277</v>
      </c>
      <c r="R7276" t="s">
        <v>95</v>
      </c>
      <c r="S7276" t="s">
        <v>16934</v>
      </c>
      <c r="T7276">
        <v>22</v>
      </c>
      <c r="V7276" s="1">
        <v>45132</v>
      </c>
      <c r="W7276" t="s">
        <v>36003</v>
      </c>
      <c r="X7276" t="s">
        <v>17014</v>
      </c>
      <c r="Y7276" t="s">
        <v>24864</v>
      </c>
      <c r="Z7276" t="s">
        <v>24864</v>
      </c>
      <c r="AA7276" s="2" t="s">
        <v>36004</v>
      </c>
      <c r="AB7276" t="s">
        <v>35995</v>
      </c>
      <c r="AC7276" t="s">
        <v>24864</v>
      </c>
      <c r="AD7276" t="s">
        <v>24864</v>
      </c>
      <c r="AE7276" t="s">
        <v>24864</v>
      </c>
      <c r="AG7276" t="s">
        <v>44042</v>
      </c>
      <c r="AH7276" t="s">
        <v>35642</v>
      </c>
      <c r="AI7276" t="s">
        <v>44043</v>
      </c>
    </row>
    <row r="7277" spans="2:35" ht="255">
      <c r="B7277" s="1">
        <v>45132</v>
      </c>
      <c r="C7277" s="4">
        <v>45132.6</v>
      </c>
      <c r="D7277" t="s">
        <v>34625</v>
      </c>
      <c r="E7277" t="s">
        <v>44028</v>
      </c>
      <c r="F7277" t="s">
        <v>148</v>
      </c>
      <c r="G7277" t="s">
        <v>447</v>
      </c>
      <c r="H7277" t="s">
        <v>44029</v>
      </c>
      <c r="I7277" t="s">
        <v>40</v>
      </c>
      <c r="J7277" s="2" t="s">
        <v>62</v>
      </c>
      <c r="K7277" t="s">
        <v>649</v>
      </c>
      <c r="L7277" t="s">
        <v>409</v>
      </c>
      <c r="Q7277">
        <v>25276</v>
      </c>
      <c r="R7277" t="s">
        <v>95</v>
      </c>
      <c r="S7277" t="s">
        <v>16934</v>
      </c>
      <c r="T7277">
        <v>22</v>
      </c>
      <c r="V7277" s="1">
        <v>45132</v>
      </c>
      <c r="W7277" t="s">
        <v>35993</v>
      </c>
      <c r="X7277" t="s">
        <v>17030</v>
      </c>
      <c r="Y7277" t="s">
        <v>24864</v>
      </c>
      <c r="Z7277" t="s">
        <v>24864</v>
      </c>
      <c r="AA7277" s="2" t="s">
        <v>44044</v>
      </c>
      <c r="AB7277" t="s">
        <v>35995</v>
      </c>
      <c r="AC7277" t="s">
        <v>24864</v>
      </c>
      <c r="AD7277" t="s">
        <v>24864</v>
      </c>
      <c r="AE7277" t="s">
        <v>24864</v>
      </c>
      <c r="AG7277" t="s">
        <v>44045</v>
      </c>
      <c r="AH7277" t="s">
        <v>35642</v>
      </c>
      <c r="AI7277" t="s">
        <v>44046</v>
      </c>
    </row>
    <row r="7278" spans="2:35" ht="255">
      <c r="B7278" s="1">
        <v>45132</v>
      </c>
      <c r="C7278" s="4">
        <v>45132.597222222219</v>
      </c>
      <c r="D7278" t="s">
        <v>34625</v>
      </c>
      <c r="E7278" t="s">
        <v>44028</v>
      </c>
      <c r="F7278" t="s">
        <v>148</v>
      </c>
      <c r="G7278" t="s">
        <v>447</v>
      </c>
      <c r="H7278" t="s">
        <v>44029</v>
      </c>
      <c r="I7278" t="s">
        <v>40</v>
      </c>
      <c r="J7278" s="2" t="s">
        <v>62</v>
      </c>
      <c r="K7278" t="s">
        <v>649</v>
      </c>
      <c r="L7278" t="s">
        <v>409</v>
      </c>
      <c r="Q7278">
        <v>25275</v>
      </c>
      <c r="R7278" t="s">
        <v>95</v>
      </c>
      <c r="S7278" t="s">
        <v>16934</v>
      </c>
      <c r="T7278">
        <v>22</v>
      </c>
      <c r="V7278" s="1">
        <v>45132</v>
      </c>
      <c r="W7278" t="s">
        <v>36021</v>
      </c>
      <c r="X7278">
        <v>42358139</v>
      </c>
      <c r="Y7278" t="s">
        <v>24864</v>
      </c>
      <c r="Z7278" t="s">
        <v>24864</v>
      </c>
      <c r="AA7278" s="2" t="s">
        <v>44047</v>
      </c>
      <c r="AB7278" t="s">
        <v>35995</v>
      </c>
      <c r="AC7278" t="s">
        <v>24864</v>
      </c>
      <c r="AD7278" t="s">
        <v>24864</v>
      </c>
      <c r="AE7278" t="s">
        <v>24864</v>
      </c>
      <c r="AG7278" t="s">
        <v>44048</v>
      </c>
      <c r="AH7278" t="s">
        <v>35642</v>
      </c>
      <c r="AI7278" t="s">
        <v>44049</v>
      </c>
    </row>
    <row r="7279" spans="2:35" ht="105">
      <c r="B7279" s="1">
        <v>45132</v>
      </c>
      <c r="C7279" s="4">
        <v>45132.595833333333</v>
      </c>
      <c r="D7279" t="s">
        <v>25967</v>
      </c>
      <c r="E7279" t="s">
        <v>25968</v>
      </c>
      <c r="F7279">
        <v>3</v>
      </c>
      <c r="G7279" t="s">
        <v>174</v>
      </c>
      <c r="H7279" t="s">
        <v>39</v>
      </c>
      <c r="I7279" t="s">
        <v>40</v>
      </c>
      <c r="J7279" s="2" t="s">
        <v>41</v>
      </c>
      <c r="K7279" t="s">
        <v>42</v>
      </c>
      <c r="L7279" t="s">
        <v>175</v>
      </c>
      <c r="Q7279">
        <v>25274</v>
      </c>
      <c r="R7279" t="s">
        <v>119</v>
      </c>
      <c r="S7279" t="s">
        <v>25969</v>
      </c>
      <c r="T7279">
        <v>28</v>
      </c>
      <c r="U7279" s="2" t="s">
        <v>44050</v>
      </c>
      <c r="V7279" s="1">
        <v>45131</v>
      </c>
      <c r="W7279" t="s">
        <v>84</v>
      </c>
      <c r="X7279">
        <v>831691</v>
      </c>
      <c r="Y7279" t="s">
        <v>2165</v>
      </c>
      <c r="Z7279" t="e">
        <f ca="1">- replaced B4
- checked _xludf.and cleaned cartridge bay, plunger rod, _xludf.filter
- generated reports</f>
        <v>#NAME?</v>
      </c>
      <c r="AA7279" t="s">
        <v>25294</v>
      </c>
      <c r="AB7279" t="s">
        <v>88</v>
      </c>
      <c r="AD7279" s="2" t="s">
        <v>44051</v>
      </c>
      <c r="AE7279">
        <v>10263</v>
      </c>
      <c r="AG7279" t="s">
        <v>44052</v>
      </c>
      <c r="AH7279" t="s">
        <v>25971</v>
      </c>
      <c r="AI7279" t="s">
        <v>44053</v>
      </c>
    </row>
    <row r="7280" spans="2:35" ht="255">
      <c r="B7280" s="1">
        <v>45132</v>
      </c>
      <c r="C7280" s="4">
        <v>45132.59375</v>
      </c>
      <c r="D7280" t="s">
        <v>34625</v>
      </c>
      <c r="E7280" t="s">
        <v>44028</v>
      </c>
      <c r="F7280" t="s">
        <v>148</v>
      </c>
      <c r="G7280" t="s">
        <v>447</v>
      </c>
      <c r="H7280" t="s">
        <v>44029</v>
      </c>
      <c r="I7280" t="s">
        <v>40</v>
      </c>
      <c r="J7280" s="2" t="s">
        <v>62</v>
      </c>
      <c r="K7280" t="s">
        <v>408</v>
      </c>
      <c r="L7280" t="s">
        <v>409</v>
      </c>
      <c r="P7280" t="s">
        <v>36025</v>
      </c>
      <c r="Q7280">
        <v>25273</v>
      </c>
      <c r="R7280" t="s">
        <v>95</v>
      </c>
      <c r="S7280" t="s">
        <v>16934</v>
      </c>
      <c r="T7280">
        <v>22</v>
      </c>
      <c r="V7280" s="1">
        <v>45132</v>
      </c>
      <c r="W7280" t="s">
        <v>36026</v>
      </c>
      <c r="X7280">
        <v>1101273</v>
      </c>
      <c r="Y7280" t="s">
        <v>24864</v>
      </c>
      <c r="Z7280" t="s">
        <v>24864</v>
      </c>
      <c r="AA7280" s="2" t="s">
        <v>36022</v>
      </c>
      <c r="AB7280" t="s">
        <v>35995</v>
      </c>
      <c r="AC7280" t="s">
        <v>24864</v>
      </c>
      <c r="AD7280" t="s">
        <v>24864</v>
      </c>
      <c r="AE7280" t="s">
        <v>24864</v>
      </c>
      <c r="AG7280" t="s">
        <v>44054</v>
      </c>
      <c r="AH7280" t="s">
        <v>35642</v>
      </c>
      <c r="AI7280" t="s">
        <v>44055</v>
      </c>
    </row>
    <row r="7281" spans="2:35" ht="270">
      <c r="B7281" s="1">
        <v>45132</v>
      </c>
      <c r="C7281" s="4">
        <v>45132.590277777781</v>
      </c>
      <c r="D7281" t="s">
        <v>34625</v>
      </c>
      <c r="E7281" t="s">
        <v>44028</v>
      </c>
      <c r="F7281" t="s">
        <v>148</v>
      </c>
      <c r="G7281" t="s">
        <v>447</v>
      </c>
      <c r="H7281" t="s">
        <v>44029</v>
      </c>
      <c r="I7281" t="s">
        <v>40</v>
      </c>
      <c r="J7281" s="2" t="s">
        <v>62</v>
      </c>
      <c r="K7281" t="s">
        <v>649</v>
      </c>
      <c r="L7281" t="s">
        <v>409</v>
      </c>
      <c r="Q7281">
        <v>25272</v>
      </c>
      <c r="R7281" t="s">
        <v>95</v>
      </c>
      <c r="S7281" t="s">
        <v>16934</v>
      </c>
      <c r="T7281">
        <v>22</v>
      </c>
      <c r="V7281" s="1">
        <v>45132</v>
      </c>
      <c r="W7281" t="s">
        <v>36011</v>
      </c>
      <c r="X7281" t="s">
        <v>16999</v>
      </c>
      <c r="Y7281" t="s">
        <v>24864</v>
      </c>
      <c r="Z7281" t="s">
        <v>24864</v>
      </c>
      <c r="AA7281" s="2" t="s">
        <v>44056</v>
      </c>
      <c r="AB7281" t="s">
        <v>35995</v>
      </c>
      <c r="AC7281" t="s">
        <v>24864</v>
      </c>
      <c r="AD7281" t="s">
        <v>24864</v>
      </c>
      <c r="AE7281" t="s">
        <v>24864</v>
      </c>
      <c r="AG7281" t="s">
        <v>44057</v>
      </c>
      <c r="AH7281" t="s">
        <v>35642</v>
      </c>
      <c r="AI7281" t="s">
        <v>44058</v>
      </c>
    </row>
    <row r="7282" spans="2:35" ht="409.5">
      <c r="B7282" s="1">
        <v>45132</v>
      </c>
      <c r="C7282" s="4">
        <v>45132.584027777775</v>
      </c>
      <c r="D7282" t="s">
        <v>4206</v>
      </c>
      <c r="E7282" t="s">
        <v>14660</v>
      </c>
      <c r="F7282">
        <v>11</v>
      </c>
      <c r="G7282" t="s">
        <v>2836</v>
      </c>
      <c r="H7282" t="s">
        <v>202</v>
      </c>
      <c r="I7282" t="s">
        <v>40</v>
      </c>
      <c r="J7282" s="2" t="s">
        <v>41</v>
      </c>
      <c r="K7282" t="s">
        <v>42</v>
      </c>
      <c r="L7282" t="s">
        <v>204</v>
      </c>
      <c r="Q7282">
        <v>25271</v>
      </c>
      <c r="R7282" t="s">
        <v>119</v>
      </c>
      <c r="S7282" t="s">
        <v>4209</v>
      </c>
      <c r="T7282">
        <v>24.5</v>
      </c>
      <c r="U7282" s="2" t="s">
        <v>44059</v>
      </c>
      <c r="W7282" t="s">
        <v>23237</v>
      </c>
      <c r="X7282">
        <v>838295</v>
      </c>
      <c r="Y7282" s="2" t="s">
        <v>44060</v>
      </c>
      <c r="Z7282" s="2" t="s">
        <v>44061</v>
      </c>
      <c r="AA7282" t="s">
        <v>44062</v>
      </c>
      <c r="AB7282" t="s">
        <v>44063</v>
      </c>
      <c r="AG7282" t="s">
        <v>44064</v>
      </c>
      <c r="AH7282" t="s">
        <v>35448</v>
      </c>
      <c r="AI7282" t="s">
        <v>44065</v>
      </c>
    </row>
    <row r="7283" spans="2:35" ht="195">
      <c r="B7283" s="1">
        <v>45132</v>
      </c>
      <c r="C7283" s="4">
        <v>45132.587500000001</v>
      </c>
      <c r="D7283" t="s">
        <v>34625</v>
      </c>
      <c r="E7283" t="s">
        <v>44028</v>
      </c>
      <c r="F7283" t="s">
        <v>148</v>
      </c>
      <c r="G7283" t="s">
        <v>447</v>
      </c>
      <c r="H7283" t="s">
        <v>44029</v>
      </c>
      <c r="I7283" t="s">
        <v>40</v>
      </c>
      <c r="J7283" s="2" t="s">
        <v>62</v>
      </c>
      <c r="K7283" t="s">
        <v>649</v>
      </c>
      <c r="L7283" t="s">
        <v>409</v>
      </c>
      <c r="Q7283">
        <v>25270</v>
      </c>
      <c r="R7283" t="s">
        <v>95</v>
      </c>
      <c r="S7283" t="s">
        <v>16934</v>
      </c>
      <c r="T7283">
        <v>22</v>
      </c>
      <c r="V7283" s="1">
        <v>45132</v>
      </c>
      <c r="W7283" t="s">
        <v>36011</v>
      </c>
      <c r="X7283" t="s">
        <v>17003</v>
      </c>
      <c r="Y7283" t="s">
        <v>24864</v>
      </c>
      <c r="Z7283" t="s">
        <v>24864</v>
      </c>
      <c r="AA7283" s="2" t="s">
        <v>44066</v>
      </c>
      <c r="AB7283" t="s">
        <v>35995</v>
      </c>
      <c r="AC7283" t="s">
        <v>24864</v>
      </c>
      <c r="AD7283" t="s">
        <v>24864</v>
      </c>
      <c r="AE7283" t="s">
        <v>24864</v>
      </c>
      <c r="AG7283" t="s">
        <v>44067</v>
      </c>
      <c r="AH7283" t="s">
        <v>35642</v>
      </c>
      <c r="AI7283" t="s">
        <v>44068</v>
      </c>
    </row>
    <row r="7284" spans="2:35" ht="270">
      <c r="B7284" s="1">
        <v>45132</v>
      </c>
      <c r="C7284" s="4">
        <v>45132.585416666669</v>
      </c>
      <c r="D7284" t="s">
        <v>34625</v>
      </c>
      <c r="E7284" t="s">
        <v>44028</v>
      </c>
      <c r="F7284" t="s">
        <v>148</v>
      </c>
      <c r="G7284" t="s">
        <v>447</v>
      </c>
      <c r="H7284" t="s">
        <v>44029</v>
      </c>
      <c r="I7284" t="s">
        <v>40</v>
      </c>
      <c r="J7284" s="2" t="s">
        <v>62</v>
      </c>
      <c r="K7284" t="s">
        <v>649</v>
      </c>
      <c r="L7284" t="s">
        <v>409</v>
      </c>
      <c r="Q7284">
        <v>25269</v>
      </c>
      <c r="R7284" t="s">
        <v>95</v>
      </c>
      <c r="S7284" t="s">
        <v>16934</v>
      </c>
      <c r="T7284">
        <v>22</v>
      </c>
      <c r="V7284" s="1">
        <v>45132</v>
      </c>
      <c r="W7284" t="s">
        <v>36011</v>
      </c>
      <c r="X7284" t="s">
        <v>17006</v>
      </c>
      <c r="Y7284" t="s">
        <v>24864</v>
      </c>
      <c r="Z7284" t="s">
        <v>24864</v>
      </c>
      <c r="AA7284" s="2" t="s">
        <v>36012</v>
      </c>
      <c r="AB7284" t="s">
        <v>35995</v>
      </c>
      <c r="AC7284" t="s">
        <v>24864</v>
      </c>
      <c r="AD7284" t="s">
        <v>24864</v>
      </c>
      <c r="AE7284" t="s">
        <v>24864</v>
      </c>
      <c r="AG7284" t="s">
        <v>44069</v>
      </c>
      <c r="AH7284" t="s">
        <v>35642</v>
      </c>
      <c r="AI7284" t="s">
        <v>44070</v>
      </c>
    </row>
    <row r="7285" spans="2:35" ht="330">
      <c r="B7285" s="1">
        <v>45132</v>
      </c>
      <c r="C7285" s="4">
        <v>45132.582638888889</v>
      </c>
      <c r="D7285" t="s">
        <v>34625</v>
      </c>
      <c r="E7285" t="s">
        <v>44028</v>
      </c>
      <c r="F7285" t="s">
        <v>148</v>
      </c>
      <c r="G7285" t="s">
        <v>447</v>
      </c>
      <c r="H7285" t="s">
        <v>44029</v>
      </c>
      <c r="I7285" t="s">
        <v>40</v>
      </c>
      <c r="J7285" s="2" t="s">
        <v>62</v>
      </c>
      <c r="K7285" t="s">
        <v>649</v>
      </c>
      <c r="L7285" t="s">
        <v>409</v>
      </c>
      <c r="Q7285">
        <v>25268</v>
      </c>
      <c r="R7285" t="s">
        <v>95</v>
      </c>
      <c r="S7285" t="s">
        <v>16934</v>
      </c>
      <c r="T7285">
        <v>22</v>
      </c>
      <c r="V7285" s="1">
        <v>45132</v>
      </c>
      <c r="W7285" t="s">
        <v>36007</v>
      </c>
      <c r="X7285">
        <v>1014319110746</v>
      </c>
      <c r="Y7285" t="s">
        <v>24864</v>
      </c>
      <c r="Z7285" t="s">
        <v>24864</v>
      </c>
      <c r="AA7285" s="2" t="s">
        <v>44071</v>
      </c>
      <c r="AB7285" t="s">
        <v>35995</v>
      </c>
      <c r="AC7285" t="s">
        <v>24864</v>
      </c>
      <c r="AD7285" t="s">
        <v>24864</v>
      </c>
      <c r="AE7285" t="s">
        <v>24864</v>
      </c>
      <c r="AG7285" t="s">
        <v>44072</v>
      </c>
      <c r="AH7285" t="s">
        <v>35642</v>
      </c>
      <c r="AI7285" t="s">
        <v>44073</v>
      </c>
    </row>
    <row r="7286" spans="2:35" ht="240">
      <c r="B7286" s="1">
        <v>45132</v>
      </c>
      <c r="C7286" s="4">
        <v>45132.579861111109</v>
      </c>
      <c r="D7286" t="s">
        <v>34625</v>
      </c>
      <c r="E7286" t="s">
        <v>44028</v>
      </c>
      <c r="F7286" t="s">
        <v>148</v>
      </c>
      <c r="G7286" t="s">
        <v>447</v>
      </c>
      <c r="H7286" t="s">
        <v>44029</v>
      </c>
      <c r="I7286" t="s">
        <v>40</v>
      </c>
      <c r="J7286" s="2" t="s">
        <v>62</v>
      </c>
      <c r="K7286" t="s">
        <v>16933</v>
      </c>
      <c r="L7286" t="s">
        <v>409</v>
      </c>
      <c r="Q7286">
        <v>25267</v>
      </c>
      <c r="R7286" t="s">
        <v>95</v>
      </c>
      <c r="S7286" t="s">
        <v>16934</v>
      </c>
      <c r="T7286">
        <v>22</v>
      </c>
      <c r="V7286" s="1">
        <v>45132</v>
      </c>
      <c r="W7286" t="s">
        <v>36067</v>
      </c>
      <c r="X7286" t="s">
        <v>16936</v>
      </c>
      <c r="Y7286" t="s">
        <v>24864</v>
      </c>
      <c r="Z7286" t="s">
        <v>24864</v>
      </c>
      <c r="AA7286" s="2" t="s">
        <v>44074</v>
      </c>
      <c r="AB7286" t="s">
        <v>35995</v>
      </c>
      <c r="AC7286" t="s">
        <v>24864</v>
      </c>
      <c r="AD7286" t="s">
        <v>24864</v>
      </c>
      <c r="AE7286" t="s">
        <v>24864</v>
      </c>
      <c r="AG7286" t="s">
        <v>44075</v>
      </c>
      <c r="AH7286" t="s">
        <v>35642</v>
      </c>
      <c r="AI7286" t="s">
        <v>44076</v>
      </c>
    </row>
    <row r="7287" spans="2:35" ht="240">
      <c r="B7287" s="1">
        <v>45132</v>
      </c>
      <c r="C7287" s="4">
        <v>45132.577777777777</v>
      </c>
      <c r="D7287" t="s">
        <v>34625</v>
      </c>
      <c r="E7287" t="s">
        <v>44028</v>
      </c>
      <c r="F7287" t="s">
        <v>148</v>
      </c>
      <c r="G7287" t="s">
        <v>447</v>
      </c>
      <c r="H7287" t="s">
        <v>44029</v>
      </c>
      <c r="I7287" t="s">
        <v>40</v>
      </c>
      <c r="J7287" s="2" t="s">
        <v>62</v>
      </c>
      <c r="K7287" t="s">
        <v>16933</v>
      </c>
      <c r="L7287" t="s">
        <v>409</v>
      </c>
      <c r="Q7287">
        <v>25266</v>
      </c>
      <c r="R7287" t="s">
        <v>95</v>
      </c>
      <c r="S7287" t="s">
        <v>16934</v>
      </c>
      <c r="T7287">
        <v>22</v>
      </c>
      <c r="V7287" s="1">
        <v>45132</v>
      </c>
      <c r="W7287" t="s">
        <v>36067</v>
      </c>
      <c r="X7287" t="s">
        <v>16951</v>
      </c>
      <c r="Y7287" t="s">
        <v>24864</v>
      </c>
      <c r="Z7287" t="s">
        <v>24864</v>
      </c>
      <c r="AA7287" s="2" t="s">
        <v>44077</v>
      </c>
      <c r="AB7287" t="s">
        <v>44078</v>
      </c>
      <c r="AC7287" t="s">
        <v>24864</v>
      </c>
      <c r="AD7287" t="s">
        <v>24864</v>
      </c>
      <c r="AE7287" t="s">
        <v>24864</v>
      </c>
      <c r="AG7287" t="s">
        <v>44079</v>
      </c>
      <c r="AH7287" t="s">
        <v>35642</v>
      </c>
      <c r="AI7287" t="s">
        <v>44080</v>
      </c>
    </row>
    <row r="7288" spans="2:35" ht="240">
      <c r="B7288" s="1">
        <v>45132</v>
      </c>
      <c r="C7288" s="4">
        <v>45132.574999999997</v>
      </c>
      <c r="D7288" t="s">
        <v>34625</v>
      </c>
      <c r="E7288" t="s">
        <v>44028</v>
      </c>
      <c r="F7288" t="s">
        <v>148</v>
      </c>
      <c r="G7288" t="s">
        <v>447</v>
      </c>
      <c r="H7288" t="s">
        <v>44029</v>
      </c>
      <c r="I7288" t="s">
        <v>40</v>
      </c>
      <c r="J7288" s="2" t="s">
        <v>62</v>
      </c>
      <c r="K7288" t="s">
        <v>649</v>
      </c>
      <c r="L7288" t="s">
        <v>409</v>
      </c>
      <c r="Q7288">
        <v>25265</v>
      </c>
      <c r="R7288" t="s">
        <v>95</v>
      </c>
      <c r="S7288" t="s">
        <v>16934</v>
      </c>
      <c r="T7288">
        <v>22</v>
      </c>
      <c r="V7288" s="1">
        <v>45132</v>
      </c>
      <c r="W7288" t="s">
        <v>16963</v>
      </c>
      <c r="X7288">
        <v>1161322301200520</v>
      </c>
      <c r="Y7288" t="s">
        <v>24864</v>
      </c>
      <c r="Z7288" t="s">
        <v>24864</v>
      </c>
      <c r="AA7288" s="2" t="s">
        <v>44081</v>
      </c>
      <c r="AB7288" t="s">
        <v>35995</v>
      </c>
      <c r="AC7288" t="s">
        <v>24864</v>
      </c>
      <c r="AD7288" t="s">
        <v>24864</v>
      </c>
      <c r="AE7288" t="s">
        <v>24864</v>
      </c>
      <c r="AG7288" t="s">
        <v>44082</v>
      </c>
      <c r="AH7288" t="s">
        <v>35642</v>
      </c>
      <c r="AI7288" t="s">
        <v>44083</v>
      </c>
    </row>
    <row r="7289" spans="2:35" ht="180">
      <c r="B7289" s="1">
        <v>45132</v>
      </c>
      <c r="C7289" s="4">
        <v>45132.571527777778</v>
      </c>
      <c r="D7289" t="s">
        <v>3719</v>
      </c>
      <c r="E7289" t="s">
        <v>44084</v>
      </c>
      <c r="F7289" t="s">
        <v>148</v>
      </c>
      <c r="G7289" t="s">
        <v>310</v>
      </c>
      <c r="H7289" t="s">
        <v>39</v>
      </c>
      <c r="I7289" t="s">
        <v>40</v>
      </c>
      <c r="J7289" t="s">
        <v>321</v>
      </c>
      <c r="K7289" t="s">
        <v>42</v>
      </c>
      <c r="L7289" t="s">
        <v>1943</v>
      </c>
      <c r="Q7289">
        <v>25264</v>
      </c>
      <c r="R7289" t="s">
        <v>119</v>
      </c>
      <c r="S7289" t="s">
        <v>3721</v>
      </c>
      <c r="T7289">
        <v>25</v>
      </c>
      <c r="U7289" s="2" t="s">
        <v>32014</v>
      </c>
      <c r="V7289" s="1">
        <v>45126</v>
      </c>
      <c r="W7289" t="s">
        <v>84</v>
      </c>
      <c r="X7289">
        <v>831644</v>
      </c>
      <c r="Y7289" t="s">
        <v>44085</v>
      </c>
      <c r="Z7289" s="2" t="s">
        <v>44086</v>
      </c>
      <c r="AA7289" t="s">
        <v>3764</v>
      </c>
      <c r="AB7289" t="s">
        <v>88</v>
      </c>
      <c r="AD7289" t="s">
        <v>44087</v>
      </c>
      <c r="AE7289" t="s">
        <v>44088</v>
      </c>
      <c r="AG7289" t="s">
        <v>44089</v>
      </c>
      <c r="AH7289" t="s">
        <v>44090</v>
      </c>
      <c r="AI7289" t="s">
        <v>44091</v>
      </c>
    </row>
    <row r="7290" spans="2:35" ht="195">
      <c r="B7290" s="1">
        <v>45132</v>
      </c>
      <c r="C7290" s="4">
        <v>45132.550694444442</v>
      </c>
      <c r="D7290" t="s">
        <v>21170</v>
      </c>
      <c r="E7290" t="s">
        <v>2797</v>
      </c>
      <c r="F7290">
        <v>12</v>
      </c>
      <c r="G7290" t="s">
        <v>978</v>
      </c>
      <c r="H7290" t="s">
        <v>39</v>
      </c>
      <c r="I7290" t="s">
        <v>40</v>
      </c>
      <c r="J7290" t="s">
        <v>109</v>
      </c>
      <c r="K7290" t="s">
        <v>42</v>
      </c>
      <c r="L7290" t="s">
        <v>296</v>
      </c>
      <c r="Q7290">
        <v>25263</v>
      </c>
      <c r="R7290" t="s">
        <v>95</v>
      </c>
      <c r="S7290" t="s">
        <v>38300</v>
      </c>
      <c r="T7290">
        <v>20.5</v>
      </c>
      <c r="U7290" s="2" t="s">
        <v>44092</v>
      </c>
      <c r="W7290" t="s">
        <v>22426</v>
      </c>
      <c r="X7290">
        <v>110003713</v>
      </c>
      <c r="Y7290" t="s">
        <v>44093</v>
      </c>
      <c r="Z7290" t="s">
        <v>9161</v>
      </c>
      <c r="AA7290" t="s">
        <v>9161</v>
      </c>
      <c r="AB7290" t="s">
        <v>44094</v>
      </c>
      <c r="AG7290" t="s">
        <v>44095</v>
      </c>
      <c r="AH7290" t="s">
        <v>44096</v>
      </c>
      <c r="AI7290" t="s">
        <v>44097</v>
      </c>
    </row>
    <row r="7291" spans="2:35" ht="300">
      <c r="B7291" s="1">
        <v>45132</v>
      </c>
      <c r="C7291" s="4">
        <v>45132.572916666664</v>
      </c>
      <c r="D7291" t="s">
        <v>34625</v>
      </c>
      <c r="E7291" t="s">
        <v>44028</v>
      </c>
      <c r="F7291" t="s">
        <v>148</v>
      </c>
      <c r="G7291" t="s">
        <v>447</v>
      </c>
      <c r="H7291" t="s">
        <v>44029</v>
      </c>
      <c r="I7291" t="s">
        <v>40</v>
      </c>
      <c r="J7291" s="2" t="s">
        <v>62</v>
      </c>
      <c r="K7291" t="s">
        <v>649</v>
      </c>
      <c r="L7291" t="s">
        <v>409</v>
      </c>
      <c r="Q7291">
        <v>25262</v>
      </c>
      <c r="R7291" t="s">
        <v>95</v>
      </c>
      <c r="S7291" t="s">
        <v>16934</v>
      </c>
      <c r="T7291">
        <v>22</v>
      </c>
      <c r="V7291" s="1">
        <v>45132</v>
      </c>
      <c r="W7291" t="s">
        <v>652</v>
      </c>
      <c r="X7291">
        <v>160414501161220</v>
      </c>
      <c r="Y7291" t="s">
        <v>24864</v>
      </c>
      <c r="Z7291" t="s">
        <v>24864</v>
      </c>
      <c r="AA7291" s="2" t="s">
        <v>44098</v>
      </c>
      <c r="AB7291" t="s">
        <v>35995</v>
      </c>
      <c r="AC7291" t="s">
        <v>24864</v>
      </c>
      <c r="AD7291" t="s">
        <v>24864</v>
      </c>
      <c r="AE7291" t="s">
        <v>24864</v>
      </c>
      <c r="AG7291" t="s">
        <v>44099</v>
      </c>
      <c r="AH7291" t="s">
        <v>35642</v>
      </c>
      <c r="AI7291" t="s">
        <v>44100</v>
      </c>
    </row>
    <row r="7292" spans="2:35" ht="195">
      <c r="B7292" s="1">
        <v>45132</v>
      </c>
      <c r="C7292" s="4">
        <v>45132.567361111112</v>
      </c>
      <c r="D7292" t="s">
        <v>21170</v>
      </c>
      <c r="E7292" t="s">
        <v>2797</v>
      </c>
      <c r="F7292">
        <v>12</v>
      </c>
      <c r="G7292" t="s">
        <v>978</v>
      </c>
      <c r="H7292" t="s">
        <v>39</v>
      </c>
      <c r="I7292" t="s">
        <v>40</v>
      </c>
      <c r="J7292" t="s">
        <v>109</v>
      </c>
      <c r="K7292" t="s">
        <v>42</v>
      </c>
      <c r="L7292" t="s">
        <v>296</v>
      </c>
      <c r="Q7292">
        <v>25260</v>
      </c>
      <c r="R7292" t="s">
        <v>95</v>
      </c>
      <c r="S7292" t="s">
        <v>38300</v>
      </c>
      <c r="T7292">
        <v>24.8</v>
      </c>
      <c r="U7292" s="2" t="s">
        <v>44101</v>
      </c>
      <c r="W7292" t="s">
        <v>23049</v>
      </c>
      <c r="X7292">
        <v>831313</v>
      </c>
      <c r="Y7292" t="s">
        <v>28696</v>
      </c>
      <c r="Z7292" t="s">
        <v>44102</v>
      </c>
      <c r="AA7292" t="s">
        <v>9161</v>
      </c>
      <c r="AB7292" t="s">
        <v>1480</v>
      </c>
      <c r="AG7292" t="s">
        <v>44103</v>
      </c>
      <c r="AH7292" t="s">
        <v>44104</v>
      </c>
      <c r="AI7292" t="s">
        <v>44105</v>
      </c>
    </row>
    <row r="7293" spans="2:35" ht="270">
      <c r="B7293" s="1">
        <v>45132</v>
      </c>
      <c r="C7293" s="4">
        <v>45128.4375</v>
      </c>
      <c r="D7293" t="s">
        <v>44106</v>
      </c>
      <c r="E7293" t="s">
        <v>44107</v>
      </c>
      <c r="F7293">
        <v>12</v>
      </c>
      <c r="G7293" t="s">
        <v>978</v>
      </c>
      <c r="H7293" t="s">
        <v>39</v>
      </c>
      <c r="I7293" t="s">
        <v>94</v>
      </c>
      <c r="J7293" t="s">
        <v>321</v>
      </c>
      <c r="K7293" t="s">
        <v>42</v>
      </c>
      <c r="L7293" t="s">
        <v>296</v>
      </c>
      <c r="Q7293">
        <v>25261</v>
      </c>
      <c r="R7293" t="s">
        <v>45</v>
      </c>
      <c r="S7293" t="s">
        <v>26999</v>
      </c>
      <c r="T7293">
        <v>28</v>
      </c>
      <c r="U7293" s="2" t="s">
        <v>44108</v>
      </c>
      <c r="W7293" t="s">
        <v>23049</v>
      </c>
      <c r="X7293">
        <v>120000147</v>
      </c>
      <c r="Y7293" t="s">
        <v>54</v>
      </c>
      <c r="Z7293" s="2" t="s">
        <v>44109</v>
      </c>
      <c r="AA7293" t="s">
        <v>9387</v>
      </c>
      <c r="AB7293" t="s">
        <v>972</v>
      </c>
      <c r="AG7293" t="s">
        <v>44110</v>
      </c>
      <c r="AH7293" t="s">
        <v>27004</v>
      </c>
      <c r="AI7293" t="s">
        <v>44111</v>
      </c>
    </row>
    <row r="7294" spans="2:35" ht="285">
      <c r="B7294" s="1">
        <v>45132</v>
      </c>
      <c r="C7294" s="4">
        <v>45132.570138888892</v>
      </c>
      <c r="D7294" t="s">
        <v>34625</v>
      </c>
      <c r="E7294" t="s">
        <v>44028</v>
      </c>
      <c r="F7294" t="s">
        <v>148</v>
      </c>
      <c r="G7294" t="s">
        <v>447</v>
      </c>
      <c r="H7294" t="s">
        <v>44029</v>
      </c>
      <c r="I7294" t="s">
        <v>40</v>
      </c>
      <c r="J7294" s="2" t="s">
        <v>62</v>
      </c>
      <c r="K7294" t="s">
        <v>16946</v>
      </c>
      <c r="L7294" t="s">
        <v>409</v>
      </c>
      <c r="Q7294">
        <v>25259</v>
      </c>
      <c r="R7294" t="s">
        <v>95</v>
      </c>
      <c r="S7294" t="s">
        <v>16934</v>
      </c>
      <c r="T7294">
        <v>22</v>
      </c>
      <c r="V7294" s="1">
        <v>45132</v>
      </c>
      <c r="W7294" t="s">
        <v>36061</v>
      </c>
      <c r="X7294" t="s">
        <v>16948</v>
      </c>
      <c r="Y7294" t="s">
        <v>24864</v>
      </c>
      <c r="Z7294" t="s">
        <v>24864</v>
      </c>
      <c r="AA7294" s="2" t="s">
        <v>44112</v>
      </c>
      <c r="AB7294" t="s">
        <v>35995</v>
      </c>
      <c r="AC7294" t="s">
        <v>24864</v>
      </c>
      <c r="AD7294" t="s">
        <v>24864</v>
      </c>
      <c r="AE7294" t="s">
        <v>24864</v>
      </c>
      <c r="AG7294" t="s">
        <v>44113</v>
      </c>
      <c r="AH7294" t="s">
        <v>35642</v>
      </c>
      <c r="AI7294" t="s">
        <v>44114</v>
      </c>
    </row>
    <row r="7295" spans="2:35" ht="285">
      <c r="B7295" s="1">
        <v>45132</v>
      </c>
      <c r="C7295" s="4">
        <v>45132.567361111112</v>
      </c>
      <c r="D7295" t="s">
        <v>34625</v>
      </c>
      <c r="E7295" t="s">
        <v>44028</v>
      </c>
      <c r="F7295" t="s">
        <v>148</v>
      </c>
      <c r="G7295" t="s">
        <v>447</v>
      </c>
      <c r="H7295" t="s">
        <v>44029</v>
      </c>
      <c r="I7295" t="s">
        <v>40</v>
      </c>
      <c r="J7295" s="2" t="s">
        <v>62</v>
      </c>
      <c r="K7295" t="s">
        <v>408</v>
      </c>
      <c r="L7295" t="s">
        <v>409</v>
      </c>
      <c r="P7295" t="s">
        <v>36035</v>
      </c>
      <c r="Q7295">
        <v>25258</v>
      </c>
      <c r="R7295" t="s">
        <v>95</v>
      </c>
      <c r="S7295" t="s">
        <v>16934</v>
      </c>
      <c r="T7295">
        <v>22</v>
      </c>
      <c r="V7295" s="1">
        <v>45132</v>
      </c>
      <c r="W7295" t="s">
        <v>36036</v>
      </c>
      <c r="X7295">
        <v>18956716056</v>
      </c>
      <c r="Y7295" t="s">
        <v>24864</v>
      </c>
      <c r="Z7295" t="s">
        <v>24864</v>
      </c>
      <c r="AA7295" s="2" t="s">
        <v>44115</v>
      </c>
      <c r="AB7295" t="s">
        <v>35995</v>
      </c>
      <c r="AC7295" t="s">
        <v>24864</v>
      </c>
      <c r="AD7295" t="s">
        <v>24864</v>
      </c>
      <c r="AE7295" t="s">
        <v>24864</v>
      </c>
      <c r="AG7295" t="s">
        <v>44116</v>
      </c>
      <c r="AH7295" t="s">
        <v>35642</v>
      </c>
      <c r="AI7295" t="s">
        <v>44117</v>
      </c>
    </row>
    <row r="7296" spans="2:35" ht="255">
      <c r="B7296" s="1">
        <v>45132</v>
      </c>
      <c r="C7296" s="4">
        <v>45132.564583333333</v>
      </c>
      <c r="D7296" t="s">
        <v>34625</v>
      </c>
      <c r="E7296" t="s">
        <v>44028</v>
      </c>
      <c r="F7296" t="s">
        <v>148</v>
      </c>
      <c r="G7296" t="s">
        <v>447</v>
      </c>
      <c r="H7296" t="s">
        <v>44029</v>
      </c>
      <c r="I7296" t="s">
        <v>40</v>
      </c>
      <c r="J7296" s="2" t="s">
        <v>62</v>
      </c>
      <c r="K7296" t="s">
        <v>408</v>
      </c>
      <c r="L7296" t="s">
        <v>409</v>
      </c>
      <c r="P7296" t="s">
        <v>36035</v>
      </c>
      <c r="Q7296">
        <v>25257</v>
      </c>
      <c r="R7296" t="s">
        <v>95</v>
      </c>
      <c r="S7296" t="s">
        <v>16934</v>
      </c>
      <c r="T7296">
        <v>22</v>
      </c>
      <c r="V7296" s="1">
        <v>45132</v>
      </c>
      <c r="W7296" t="s">
        <v>16986</v>
      </c>
      <c r="X7296" t="s">
        <v>16991</v>
      </c>
      <c r="Y7296" t="s">
        <v>24864</v>
      </c>
      <c r="Z7296" t="s">
        <v>24864</v>
      </c>
      <c r="AA7296" s="2" t="s">
        <v>44118</v>
      </c>
      <c r="AB7296" t="s">
        <v>35995</v>
      </c>
      <c r="AC7296" t="s">
        <v>24864</v>
      </c>
      <c r="AD7296" t="s">
        <v>24864</v>
      </c>
      <c r="AE7296" t="s">
        <v>24864</v>
      </c>
      <c r="AG7296" t="s">
        <v>44119</v>
      </c>
      <c r="AH7296" t="s">
        <v>35642</v>
      </c>
      <c r="AI7296" t="s">
        <v>44120</v>
      </c>
    </row>
    <row r="7297" spans="2:35" ht="255">
      <c r="B7297" s="1">
        <v>45132</v>
      </c>
      <c r="C7297" s="4">
        <v>45132.561805555553</v>
      </c>
      <c r="D7297" t="s">
        <v>44121</v>
      </c>
      <c r="E7297" t="s">
        <v>44028</v>
      </c>
      <c r="F7297" t="s">
        <v>148</v>
      </c>
      <c r="G7297" t="s">
        <v>447</v>
      </c>
      <c r="H7297" t="s">
        <v>44029</v>
      </c>
      <c r="I7297" t="s">
        <v>40</v>
      </c>
      <c r="J7297" s="2" t="s">
        <v>62</v>
      </c>
      <c r="K7297" t="s">
        <v>408</v>
      </c>
      <c r="L7297" t="s">
        <v>409</v>
      </c>
      <c r="P7297" t="s">
        <v>36035</v>
      </c>
      <c r="Q7297">
        <v>25256</v>
      </c>
      <c r="R7297" t="s">
        <v>95</v>
      </c>
      <c r="S7297" t="s">
        <v>16934</v>
      </c>
      <c r="T7297">
        <v>22</v>
      </c>
      <c r="V7297" s="1">
        <v>45132</v>
      </c>
      <c r="W7297" t="s">
        <v>16986</v>
      </c>
      <c r="X7297" t="s">
        <v>16987</v>
      </c>
      <c r="Y7297" t="s">
        <v>24864</v>
      </c>
      <c r="Z7297" t="s">
        <v>24864</v>
      </c>
      <c r="AA7297" s="2" t="s">
        <v>44118</v>
      </c>
      <c r="AB7297" t="s">
        <v>35995</v>
      </c>
      <c r="AC7297" t="s">
        <v>24864</v>
      </c>
      <c r="AD7297" t="s">
        <v>24864</v>
      </c>
      <c r="AE7297" t="s">
        <v>24864</v>
      </c>
      <c r="AG7297" t="s">
        <v>44122</v>
      </c>
      <c r="AH7297" t="s">
        <v>35642</v>
      </c>
      <c r="AI7297" t="s">
        <v>44123</v>
      </c>
    </row>
    <row r="7298" spans="2:35" ht="300">
      <c r="B7298" s="1">
        <v>45132</v>
      </c>
      <c r="C7298" s="4">
        <v>45132.561805555553</v>
      </c>
      <c r="D7298" t="s">
        <v>27250</v>
      </c>
      <c r="E7298" t="s">
        <v>27250</v>
      </c>
      <c r="F7298">
        <v>3</v>
      </c>
      <c r="G7298" t="s">
        <v>134</v>
      </c>
      <c r="H7298" t="s">
        <v>39</v>
      </c>
      <c r="I7298" t="s">
        <v>40</v>
      </c>
      <c r="J7298" s="2" t="s">
        <v>41</v>
      </c>
      <c r="K7298" t="s">
        <v>42</v>
      </c>
      <c r="L7298" t="s">
        <v>135</v>
      </c>
      <c r="Q7298">
        <v>25255</v>
      </c>
      <c r="R7298" t="s">
        <v>119</v>
      </c>
      <c r="S7298" t="s">
        <v>44124</v>
      </c>
      <c r="T7298">
        <v>26</v>
      </c>
      <c r="U7298" s="2" t="s">
        <v>8366</v>
      </c>
      <c r="W7298" t="s">
        <v>2680</v>
      </c>
      <c r="X7298">
        <v>831893</v>
      </c>
      <c r="Y7298" t="s">
        <v>44125</v>
      </c>
      <c r="Z7298" s="2" t="s">
        <v>29539</v>
      </c>
      <c r="AA7298" s="2" t="s">
        <v>44126</v>
      </c>
      <c r="AB7298" t="s">
        <v>181</v>
      </c>
      <c r="AG7298" t="s">
        <v>44127</v>
      </c>
      <c r="AH7298" t="s">
        <v>27257</v>
      </c>
      <c r="AI7298" t="s">
        <v>44128</v>
      </c>
    </row>
    <row r="7299" spans="2:35" ht="165">
      <c r="B7299" s="1">
        <v>45132</v>
      </c>
      <c r="C7299" s="4">
        <v>45132.526388888888</v>
      </c>
      <c r="D7299" t="s">
        <v>27803</v>
      </c>
      <c r="E7299" t="s">
        <v>44129</v>
      </c>
      <c r="F7299" t="s">
        <v>148</v>
      </c>
      <c r="G7299" t="s">
        <v>310</v>
      </c>
      <c r="H7299" t="s">
        <v>39</v>
      </c>
      <c r="I7299" t="s">
        <v>40</v>
      </c>
      <c r="J7299" s="2" t="s">
        <v>41</v>
      </c>
      <c r="K7299" t="s">
        <v>42</v>
      </c>
      <c r="L7299" t="s">
        <v>1943</v>
      </c>
      <c r="Q7299">
        <v>25254</v>
      </c>
      <c r="R7299" t="s">
        <v>119</v>
      </c>
      <c r="S7299" t="s">
        <v>27805</v>
      </c>
      <c r="T7299">
        <v>25</v>
      </c>
      <c r="U7299" s="2" t="s">
        <v>44130</v>
      </c>
      <c r="V7299" s="1">
        <v>45126</v>
      </c>
      <c r="W7299" t="s">
        <v>84</v>
      </c>
      <c r="X7299">
        <v>831618</v>
      </c>
      <c r="Y7299" s="2" t="s">
        <v>25792</v>
      </c>
      <c r="Z7299" s="2" t="s">
        <v>44131</v>
      </c>
      <c r="AA7299" t="s">
        <v>22330</v>
      </c>
      <c r="AB7299" t="s">
        <v>88</v>
      </c>
      <c r="AD7299" t="s">
        <v>44132</v>
      </c>
      <c r="AE7299" t="s">
        <v>44133</v>
      </c>
      <c r="AG7299" t="s">
        <v>44134</v>
      </c>
      <c r="AH7299" t="s">
        <v>36539</v>
      </c>
      <c r="AI7299" t="s">
        <v>44135</v>
      </c>
    </row>
    <row r="7300" spans="2:35" ht="120">
      <c r="B7300" s="1">
        <v>45132</v>
      </c>
      <c r="C7300" s="4">
        <v>45132.515277777777</v>
      </c>
      <c r="D7300" t="s">
        <v>22836</v>
      </c>
      <c r="E7300" t="s">
        <v>44136</v>
      </c>
      <c r="F7300" t="s">
        <v>148</v>
      </c>
      <c r="G7300" t="s">
        <v>447</v>
      </c>
      <c r="H7300" t="s">
        <v>39</v>
      </c>
      <c r="I7300" t="s">
        <v>40</v>
      </c>
      <c r="J7300" s="2" t="s">
        <v>41</v>
      </c>
      <c r="K7300" t="s">
        <v>42</v>
      </c>
      <c r="L7300" t="s">
        <v>15532</v>
      </c>
      <c r="Q7300">
        <v>25253</v>
      </c>
      <c r="R7300" t="s">
        <v>45</v>
      </c>
      <c r="S7300" t="s">
        <v>22838</v>
      </c>
      <c r="T7300">
        <v>22</v>
      </c>
      <c r="U7300" s="2" t="s">
        <v>44137</v>
      </c>
      <c r="V7300" s="1">
        <v>45131</v>
      </c>
      <c r="W7300" t="s">
        <v>597</v>
      </c>
      <c r="X7300">
        <v>803088</v>
      </c>
      <c r="Y7300" t="s">
        <v>2034</v>
      </c>
      <c r="Z7300" s="2" t="s">
        <v>44017</v>
      </c>
      <c r="AA7300" s="2" t="s">
        <v>44138</v>
      </c>
      <c r="AB7300" t="s">
        <v>34796</v>
      </c>
      <c r="AD7300" t="s">
        <v>44139</v>
      </c>
      <c r="AE7300" t="s">
        <v>44140</v>
      </c>
      <c r="AG7300" t="s">
        <v>44141</v>
      </c>
      <c r="AH7300" t="s">
        <v>44142</v>
      </c>
      <c r="AI7300" t="s">
        <v>44143</v>
      </c>
    </row>
    <row r="7301" spans="2:35" ht="270">
      <c r="B7301" s="1">
        <v>45132</v>
      </c>
      <c r="C7301" s="4">
        <v>45132.51666666667</v>
      </c>
      <c r="D7301" t="s">
        <v>34625</v>
      </c>
      <c r="E7301" t="s">
        <v>44028</v>
      </c>
      <c r="F7301" t="s">
        <v>148</v>
      </c>
      <c r="G7301" t="s">
        <v>447</v>
      </c>
      <c r="H7301" t="s">
        <v>44029</v>
      </c>
      <c r="I7301" t="s">
        <v>40</v>
      </c>
      <c r="J7301" s="2" t="s">
        <v>62</v>
      </c>
      <c r="K7301" t="s">
        <v>408</v>
      </c>
      <c r="L7301" t="s">
        <v>409</v>
      </c>
      <c r="P7301" t="s">
        <v>36029</v>
      </c>
      <c r="Q7301">
        <v>25252</v>
      </c>
      <c r="R7301" t="s">
        <v>95</v>
      </c>
      <c r="S7301" t="s">
        <v>16934</v>
      </c>
      <c r="T7301">
        <v>22</v>
      </c>
      <c r="V7301" s="1">
        <v>45132</v>
      </c>
      <c r="W7301" t="s">
        <v>16978</v>
      </c>
      <c r="X7301" t="s">
        <v>16979</v>
      </c>
      <c r="Y7301" t="s">
        <v>24864</v>
      </c>
      <c r="Z7301" t="s">
        <v>24864</v>
      </c>
      <c r="AA7301" s="2" t="s">
        <v>44144</v>
      </c>
      <c r="AB7301" t="s">
        <v>35995</v>
      </c>
      <c r="AC7301" t="s">
        <v>24864</v>
      </c>
      <c r="AD7301" t="s">
        <v>24864</v>
      </c>
      <c r="AE7301" t="s">
        <v>24864</v>
      </c>
      <c r="AG7301" t="s">
        <v>44145</v>
      </c>
      <c r="AH7301" t="s">
        <v>35642</v>
      </c>
      <c r="AI7301" t="s">
        <v>44146</v>
      </c>
    </row>
    <row r="7302" spans="2:35" ht="240">
      <c r="B7302" s="1">
        <v>45132</v>
      </c>
      <c r="C7302" s="4">
        <v>45132.51458333333</v>
      </c>
      <c r="D7302" t="s">
        <v>34625</v>
      </c>
      <c r="E7302" t="s">
        <v>44028</v>
      </c>
      <c r="F7302" t="s">
        <v>148</v>
      </c>
      <c r="G7302" t="s">
        <v>447</v>
      </c>
      <c r="H7302" t="s">
        <v>44029</v>
      </c>
      <c r="I7302" t="s">
        <v>40</v>
      </c>
      <c r="J7302" s="2" t="s">
        <v>62</v>
      </c>
      <c r="K7302" t="s">
        <v>408</v>
      </c>
      <c r="L7302" t="s">
        <v>409</v>
      </c>
      <c r="P7302" t="s">
        <v>36053</v>
      </c>
      <c r="Q7302">
        <v>25251</v>
      </c>
      <c r="R7302" t="s">
        <v>95</v>
      </c>
      <c r="S7302" t="s">
        <v>16934</v>
      </c>
      <c r="T7302">
        <v>22</v>
      </c>
      <c r="V7302" s="1">
        <v>45132</v>
      </c>
      <c r="W7302" t="s">
        <v>16958</v>
      </c>
      <c r="X7302" t="s">
        <v>16959</v>
      </c>
      <c r="Y7302" t="s">
        <v>24864</v>
      </c>
      <c r="Z7302" t="s">
        <v>24864</v>
      </c>
      <c r="AA7302" s="2" t="s">
        <v>44147</v>
      </c>
      <c r="AB7302" t="s">
        <v>35995</v>
      </c>
      <c r="AC7302" t="s">
        <v>24864</v>
      </c>
      <c r="AD7302" t="s">
        <v>24864</v>
      </c>
      <c r="AE7302" t="s">
        <v>44148</v>
      </c>
      <c r="AG7302" t="s">
        <v>44149</v>
      </c>
      <c r="AH7302" t="s">
        <v>35642</v>
      </c>
      <c r="AI7302" t="s">
        <v>44150</v>
      </c>
    </row>
    <row r="7303" spans="2:35" ht="240">
      <c r="B7303" s="1">
        <v>45132</v>
      </c>
      <c r="C7303" s="4">
        <v>45132.507638888892</v>
      </c>
      <c r="D7303" t="s">
        <v>41922</v>
      </c>
      <c r="E7303" t="s">
        <v>44151</v>
      </c>
      <c r="F7303">
        <v>8</v>
      </c>
      <c r="G7303" t="s">
        <v>342</v>
      </c>
      <c r="H7303" t="s">
        <v>36499</v>
      </c>
      <c r="I7303" t="s">
        <v>40</v>
      </c>
      <c r="J7303" s="2" t="s">
        <v>62</v>
      </c>
      <c r="K7303" t="s">
        <v>42</v>
      </c>
      <c r="L7303" t="s">
        <v>259</v>
      </c>
      <c r="Q7303">
        <v>25250</v>
      </c>
      <c r="R7303" t="s">
        <v>119</v>
      </c>
      <c r="S7303" t="s">
        <v>37909</v>
      </c>
      <c r="T7303">
        <v>29</v>
      </c>
      <c r="U7303" s="2" t="s">
        <v>44152</v>
      </c>
      <c r="V7303" s="1">
        <v>45132</v>
      </c>
      <c r="W7303" t="s">
        <v>84</v>
      </c>
      <c r="X7303">
        <v>838421</v>
      </c>
      <c r="Y7303" t="s">
        <v>44153</v>
      </c>
      <c r="Z7303" t="e">
        <f ca="1">- Preventive Maintenance
- performed functionality test
- CALIBRATION</f>
        <v>#NAME?</v>
      </c>
      <c r="AA7303" t="e">
        <f ca="1">- Preventive Maintenance
- run XpertCheck on B1
- Generate reports</f>
        <v>#NAME?</v>
      </c>
      <c r="AB7303" s="2" t="s">
        <v>44154</v>
      </c>
      <c r="AG7303" t="s">
        <v>44155</v>
      </c>
      <c r="AH7303" t="s">
        <v>44156</v>
      </c>
      <c r="AI7303" t="s">
        <v>44157</v>
      </c>
    </row>
    <row r="7304" spans="2:35" ht="270">
      <c r="B7304" s="1">
        <v>45132</v>
      </c>
      <c r="C7304" s="4">
        <v>45132.510416666664</v>
      </c>
      <c r="D7304" t="s">
        <v>34625</v>
      </c>
      <c r="E7304" t="s">
        <v>44158</v>
      </c>
      <c r="F7304" t="s">
        <v>148</v>
      </c>
      <c r="G7304" t="s">
        <v>447</v>
      </c>
      <c r="H7304" t="s">
        <v>44029</v>
      </c>
      <c r="I7304" t="s">
        <v>40</v>
      </c>
      <c r="J7304" s="2" t="s">
        <v>62</v>
      </c>
      <c r="K7304" t="s">
        <v>408</v>
      </c>
      <c r="L7304" t="s">
        <v>409</v>
      </c>
      <c r="P7304" t="s">
        <v>36029</v>
      </c>
      <c r="Q7304">
        <v>25249</v>
      </c>
      <c r="R7304" t="s">
        <v>95</v>
      </c>
      <c r="S7304" t="s">
        <v>16934</v>
      </c>
      <c r="T7304">
        <v>22</v>
      </c>
      <c r="V7304" s="1">
        <v>45132</v>
      </c>
      <c r="W7304" t="s">
        <v>16978</v>
      </c>
      <c r="X7304" t="s">
        <v>16983</v>
      </c>
      <c r="Y7304" t="s">
        <v>24864</v>
      </c>
      <c r="Z7304" t="s">
        <v>24864</v>
      </c>
      <c r="AA7304" s="2" t="s">
        <v>36030</v>
      </c>
      <c r="AB7304" t="s">
        <v>35995</v>
      </c>
      <c r="AC7304" t="s">
        <v>24864</v>
      </c>
      <c r="AD7304" t="s">
        <v>24864</v>
      </c>
      <c r="AE7304" t="s">
        <v>44148</v>
      </c>
      <c r="AG7304" t="s">
        <v>44159</v>
      </c>
      <c r="AH7304" t="s">
        <v>35642</v>
      </c>
      <c r="AI7304" t="s">
        <v>44160</v>
      </c>
    </row>
    <row r="7305" spans="2:35" ht="255">
      <c r="B7305" s="1">
        <v>45132</v>
      </c>
      <c r="C7305" s="4">
        <v>45132.50277777778</v>
      </c>
      <c r="D7305" t="s">
        <v>25952</v>
      </c>
      <c r="E7305" t="s">
        <v>25953</v>
      </c>
      <c r="F7305" t="s">
        <v>148</v>
      </c>
      <c r="G7305" t="s">
        <v>447</v>
      </c>
      <c r="H7305" t="s">
        <v>39</v>
      </c>
      <c r="I7305" t="s">
        <v>40</v>
      </c>
      <c r="J7305" s="2" t="s">
        <v>41</v>
      </c>
      <c r="K7305" t="s">
        <v>42</v>
      </c>
      <c r="L7305" t="s">
        <v>175</v>
      </c>
      <c r="Q7305">
        <v>25248</v>
      </c>
      <c r="R7305" t="s">
        <v>119</v>
      </c>
      <c r="S7305" t="s">
        <v>25954</v>
      </c>
      <c r="T7305">
        <v>28</v>
      </c>
      <c r="U7305" s="2" t="s">
        <v>44161</v>
      </c>
      <c r="V7305" s="1">
        <v>45126</v>
      </c>
      <c r="W7305" t="s">
        <v>84</v>
      </c>
      <c r="X7305">
        <v>831612</v>
      </c>
      <c r="Y7305" t="s">
        <v>34015</v>
      </c>
      <c r="Z7305" t="e">
        <f ca="1">- replaced A1, A3
- checked _xludf.and cleaned cartridge bay, plunger rod, _xludf.filter
- generated reports</f>
        <v>#NAME?</v>
      </c>
      <c r="AA7305" t="e">
        <f ca="1">- replaced A1, A3
- performed Maintenance</f>
        <v>#NAME?</v>
      </c>
      <c r="AB7305" t="s">
        <v>88</v>
      </c>
      <c r="AD7305" s="2" t="s">
        <v>44162</v>
      </c>
      <c r="AE7305" t="s">
        <v>44163</v>
      </c>
      <c r="AG7305" t="s">
        <v>44164</v>
      </c>
      <c r="AH7305" t="s">
        <v>39272</v>
      </c>
      <c r="AI7305" t="s">
        <v>44165</v>
      </c>
    </row>
    <row r="7306" spans="2:35" ht="240">
      <c r="B7306" s="1">
        <v>45132</v>
      </c>
      <c r="C7306" s="4">
        <v>45132.5</v>
      </c>
      <c r="D7306" t="s">
        <v>44166</v>
      </c>
      <c r="E7306" t="s">
        <v>44158</v>
      </c>
      <c r="F7306" t="s">
        <v>148</v>
      </c>
      <c r="G7306" t="s">
        <v>447</v>
      </c>
      <c r="H7306" t="s">
        <v>44029</v>
      </c>
      <c r="I7306" t="s">
        <v>40</v>
      </c>
      <c r="J7306" s="2" t="s">
        <v>62</v>
      </c>
      <c r="K7306" t="s">
        <v>408</v>
      </c>
      <c r="L7306" t="s">
        <v>409</v>
      </c>
      <c r="P7306" t="s">
        <v>36047</v>
      </c>
      <c r="Q7306">
        <v>25247</v>
      </c>
      <c r="R7306" t="s">
        <v>95</v>
      </c>
      <c r="S7306" t="s">
        <v>16934</v>
      </c>
      <c r="T7306">
        <v>22</v>
      </c>
      <c r="V7306" s="1">
        <v>45132</v>
      </c>
      <c r="W7306" t="s">
        <v>16968</v>
      </c>
      <c r="X7306" t="s">
        <v>16969</v>
      </c>
      <c r="Y7306" t="s">
        <v>301</v>
      </c>
      <c r="Z7306" t="s">
        <v>24864</v>
      </c>
      <c r="AA7306" s="2" t="s">
        <v>44167</v>
      </c>
      <c r="AB7306" t="s">
        <v>35995</v>
      </c>
      <c r="AC7306" t="s">
        <v>24864</v>
      </c>
      <c r="AD7306" t="s">
        <v>24864</v>
      </c>
      <c r="AE7306" t="s">
        <v>24864</v>
      </c>
      <c r="AG7306" t="s">
        <v>44168</v>
      </c>
      <c r="AH7306" t="s">
        <v>35642</v>
      </c>
      <c r="AI7306" t="s">
        <v>44169</v>
      </c>
    </row>
    <row r="7307" spans="2:35" ht="360">
      <c r="B7307" s="1">
        <v>45132</v>
      </c>
      <c r="C7307" s="4">
        <v>45132.498611111114</v>
      </c>
      <c r="D7307" t="s">
        <v>25607</v>
      </c>
      <c r="E7307" t="s">
        <v>30628</v>
      </c>
      <c r="F7307">
        <v>3</v>
      </c>
      <c r="G7307" t="s">
        <v>134</v>
      </c>
      <c r="H7307" t="s">
        <v>39</v>
      </c>
      <c r="I7307" t="s">
        <v>40</v>
      </c>
      <c r="J7307" s="2" t="s">
        <v>190</v>
      </c>
      <c r="K7307" t="s">
        <v>42</v>
      </c>
      <c r="L7307" t="s">
        <v>135</v>
      </c>
      <c r="Q7307">
        <v>25246</v>
      </c>
      <c r="R7307" t="s">
        <v>45</v>
      </c>
      <c r="S7307" t="s">
        <v>25609</v>
      </c>
      <c r="T7307">
        <v>30</v>
      </c>
      <c r="U7307" s="2" t="s">
        <v>20717</v>
      </c>
      <c r="W7307" t="s">
        <v>2680</v>
      </c>
      <c r="X7307">
        <v>834688</v>
      </c>
      <c r="Y7307" t="s">
        <v>44170</v>
      </c>
      <c r="Z7307" t="s">
        <v>4487</v>
      </c>
      <c r="AA7307" s="2" t="s">
        <v>44171</v>
      </c>
      <c r="AB7307" t="s">
        <v>181</v>
      </c>
      <c r="AC7307" t="s">
        <v>44172</v>
      </c>
      <c r="AG7307" t="s">
        <v>44173</v>
      </c>
      <c r="AH7307" t="s">
        <v>30635</v>
      </c>
      <c r="AI7307" t="s">
        <v>44174</v>
      </c>
    </row>
    <row r="7308" spans="2:35" ht="409.5">
      <c r="B7308" s="1">
        <v>45132</v>
      </c>
      <c r="C7308" s="4">
        <v>45132.450694444444</v>
      </c>
      <c r="D7308" t="s">
        <v>3357</v>
      </c>
      <c r="E7308" t="s">
        <v>27224</v>
      </c>
      <c r="F7308">
        <v>3</v>
      </c>
      <c r="G7308" t="s">
        <v>134</v>
      </c>
      <c r="H7308" t="s">
        <v>39</v>
      </c>
      <c r="I7308" t="s">
        <v>40</v>
      </c>
      <c r="J7308" s="2" t="s">
        <v>1309</v>
      </c>
      <c r="K7308" t="s">
        <v>42</v>
      </c>
      <c r="L7308" t="s">
        <v>135</v>
      </c>
      <c r="Q7308">
        <v>25245</v>
      </c>
      <c r="R7308" t="s">
        <v>119</v>
      </c>
      <c r="S7308" t="s">
        <v>3359</v>
      </c>
      <c r="T7308">
        <v>24</v>
      </c>
      <c r="U7308" s="2" t="s">
        <v>17985</v>
      </c>
      <c r="V7308" s="1">
        <v>45126</v>
      </c>
      <c r="W7308" t="s">
        <v>2680</v>
      </c>
      <c r="X7308">
        <v>831912</v>
      </c>
      <c r="Y7308" s="2" t="s">
        <v>44175</v>
      </c>
      <c r="Z7308" s="2" t="s">
        <v>41585</v>
      </c>
      <c r="AA7308" s="2" t="s">
        <v>44176</v>
      </c>
      <c r="AB7308" t="s">
        <v>181</v>
      </c>
      <c r="AC7308" t="s">
        <v>44177</v>
      </c>
      <c r="AD7308" s="2" t="s">
        <v>44178</v>
      </c>
      <c r="AE7308">
        <v>10193</v>
      </c>
      <c r="AG7308" t="s">
        <v>44179</v>
      </c>
      <c r="AH7308" t="s">
        <v>44180</v>
      </c>
      <c r="AI7308" t="s">
        <v>44181</v>
      </c>
    </row>
    <row r="7309" spans="2:35" ht="330">
      <c r="B7309" s="1">
        <v>45132</v>
      </c>
      <c r="C7309" s="4">
        <v>45132.431944444441</v>
      </c>
      <c r="D7309" t="s">
        <v>44182</v>
      </c>
      <c r="E7309" t="s">
        <v>44183</v>
      </c>
      <c r="F7309" t="s">
        <v>148</v>
      </c>
      <c r="G7309" t="s">
        <v>447</v>
      </c>
      <c r="H7309" t="s">
        <v>39</v>
      </c>
      <c r="I7309" t="s">
        <v>40</v>
      </c>
      <c r="J7309" s="2" t="s">
        <v>62</v>
      </c>
      <c r="K7309" t="s">
        <v>42</v>
      </c>
      <c r="L7309" t="s">
        <v>15532</v>
      </c>
      <c r="Q7309">
        <v>25244</v>
      </c>
      <c r="R7309" t="s">
        <v>119</v>
      </c>
      <c r="S7309" t="s">
        <v>24896</v>
      </c>
      <c r="T7309">
        <v>28</v>
      </c>
      <c r="U7309" s="2" t="s">
        <v>44184</v>
      </c>
      <c r="W7309" t="s">
        <v>3244</v>
      </c>
      <c r="X7309">
        <v>831876</v>
      </c>
      <c r="Y7309" t="s">
        <v>44185</v>
      </c>
      <c r="Z7309" s="2" t="s">
        <v>44186</v>
      </c>
      <c r="AA7309" t="s">
        <v>44187</v>
      </c>
      <c r="AB7309" t="s">
        <v>44188</v>
      </c>
      <c r="AG7309" t="s">
        <v>44189</v>
      </c>
      <c r="AH7309" t="s">
        <v>35029</v>
      </c>
      <c r="AI7309" t="s">
        <v>44190</v>
      </c>
    </row>
    <row r="7310" spans="2:35" ht="180">
      <c r="B7310" s="1">
        <v>45131</v>
      </c>
      <c r="C7310" s="4">
        <v>45131.669444444444</v>
      </c>
      <c r="D7310" t="s">
        <v>3912</v>
      </c>
      <c r="E7310" t="s">
        <v>44191</v>
      </c>
      <c r="F7310">
        <v>6</v>
      </c>
      <c r="G7310" t="s">
        <v>1234</v>
      </c>
      <c r="H7310" t="s">
        <v>1047</v>
      </c>
      <c r="I7310" t="s">
        <v>40</v>
      </c>
      <c r="J7310" t="s">
        <v>79</v>
      </c>
      <c r="K7310" t="s">
        <v>42</v>
      </c>
      <c r="L7310" t="s">
        <v>23958</v>
      </c>
      <c r="Q7310">
        <v>25243</v>
      </c>
      <c r="R7310" t="s">
        <v>119</v>
      </c>
      <c r="S7310" t="s">
        <v>3914</v>
      </c>
      <c r="T7310">
        <v>24</v>
      </c>
      <c r="U7310" s="2" t="s">
        <v>44192</v>
      </c>
      <c r="W7310" t="s">
        <v>360</v>
      </c>
      <c r="X7310">
        <v>838499</v>
      </c>
      <c r="Y7310" t="s">
        <v>44193</v>
      </c>
      <c r="Z7310" t="s">
        <v>25481</v>
      </c>
      <c r="AA7310" t="s">
        <v>44194</v>
      </c>
      <c r="AB7310" t="s">
        <v>41321</v>
      </c>
      <c r="AG7310" t="s">
        <v>44195</v>
      </c>
      <c r="AH7310" t="s">
        <v>44196</v>
      </c>
      <c r="AI7310" t="s">
        <v>44197</v>
      </c>
    </row>
    <row r="7311" spans="2:35" ht="240">
      <c r="B7311" s="1">
        <v>45131</v>
      </c>
      <c r="C7311" s="4">
        <v>45125.523611111108</v>
      </c>
      <c r="D7311" t="s">
        <v>35459</v>
      </c>
      <c r="E7311" t="s">
        <v>44198</v>
      </c>
      <c r="F7311">
        <v>3</v>
      </c>
      <c r="G7311" t="s">
        <v>1722</v>
      </c>
      <c r="H7311" t="s">
        <v>39</v>
      </c>
      <c r="I7311" t="s">
        <v>40</v>
      </c>
      <c r="J7311" s="2" t="s">
        <v>41</v>
      </c>
      <c r="K7311" t="s">
        <v>42</v>
      </c>
      <c r="L7311" t="s">
        <v>63</v>
      </c>
      <c r="Q7311">
        <v>25242</v>
      </c>
      <c r="R7311" t="s">
        <v>119</v>
      </c>
      <c r="S7311" t="s">
        <v>35461</v>
      </c>
      <c r="T7311">
        <v>22</v>
      </c>
      <c r="U7311" s="2" t="s">
        <v>44199</v>
      </c>
      <c r="V7311" s="1">
        <v>45124</v>
      </c>
      <c r="W7311" t="s">
        <v>26915</v>
      </c>
      <c r="X7311">
        <v>831673</v>
      </c>
      <c r="Y7311" t="s">
        <v>26853</v>
      </c>
      <c r="Z7311" t="s">
        <v>44200</v>
      </c>
      <c r="AA7311" s="2" t="s">
        <v>39935</v>
      </c>
      <c r="AB7311" t="s">
        <v>70</v>
      </c>
      <c r="AC7311" t="s">
        <v>44201</v>
      </c>
      <c r="AD7311" t="s">
        <v>44202</v>
      </c>
      <c r="AE7311" t="s">
        <v>44203</v>
      </c>
      <c r="AG7311" t="s">
        <v>44204</v>
      </c>
      <c r="AH7311" t="s">
        <v>35466</v>
      </c>
      <c r="AI7311" t="s">
        <v>44205</v>
      </c>
    </row>
    <row r="7312" spans="2:35" ht="240">
      <c r="B7312" s="1">
        <v>45131</v>
      </c>
      <c r="C7312" s="4">
        <v>45125.523611111108</v>
      </c>
      <c r="D7312" t="s">
        <v>35459</v>
      </c>
      <c r="E7312" t="s">
        <v>44198</v>
      </c>
      <c r="F7312">
        <v>3</v>
      </c>
      <c r="G7312" t="s">
        <v>1722</v>
      </c>
      <c r="H7312" t="s">
        <v>39</v>
      </c>
      <c r="I7312" t="s">
        <v>40</v>
      </c>
      <c r="J7312" s="2" t="s">
        <v>41</v>
      </c>
      <c r="K7312" t="s">
        <v>42</v>
      </c>
      <c r="L7312" t="s">
        <v>63</v>
      </c>
      <c r="Q7312">
        <v>25241</v>
      </c>
      <c r="R7312" t="s">
        <v>119</v>
      </c>
      <c r="S7312" t="s">
        <v>35461</v>
      </c>
      <c r="T7312">
        <v>22</v>
      </c>
      <c r="U7312" s="2" t="s">
        <v>44199</v>
      </c>
      <c r="V7312" s="1">
        <v>45124</v>
      </c>
      <c r="W7312" t="s">
        <v>26915</v>
      </c>
      <c r="X7312">
        <v>831673</v>
      </c>
      <c r="Y7312" t="s">
        <v>26853</v>
      </c>
      <c r="Z7312" t="s">
        <v>44200</v>
      </c>
      <c r="AA7312" s="2" t="s">
        <v>39935</v>
      </c>
      <c r="AB7312" t="s">
        <v>70</v>
      </c>
      <c r="AC7312" t="s">
        <v>44201</v>
      </c>
      <c r="AD7312" t="s">
        <v>44202</v>
      </c>
      <c r="AE7312" t="s">
        <v>44203</v>
      </c>
      <c r="AG7312" t="s">
        <v>44206</v>
      </c>
      <c r="AH7312" t="s">
        <v>35466</v>
      </c>
      <c r="AI7312" t="s">
        <v>44207</v>
      </c>
    </row>
    <row r="7313" spans="2:35" ht="225">
      <c r="B7313" s="1">
        <v>45131</v>
      </c>
      <c r="C7313" s="4">
        <v>45128.71597222222</v>
      </c>
      <c r="D7313" t="s">
        <v>24517</v>
      </c>
      <c r="E7313" t="s">
        <v>24518</v>
      </c>
      <c r="F7313">
        <v>3</v>
      </c>
      <c r="G7313" t="s">
        <v>1722</v>
      </c>
      <c r="H7313" t="s">
        <v>61</v>
      </c>
      <c r="I7313" t="s">
        <v>40</v>
      </c>
      <c r="J7313" s="2" t="s">
        <v>41</v>
      </c>
      <c r="K7313" t="s">
        <v>42</v>
      </c>
      <c r="L7313" t="s">
        <v>63</v>
      </c>
      <c r="Q7313">
        <v>25240</v>
      </c>
      <c r="R7313" t="s">
        <v>45</v>
      </c>
      <c r="S7313" t="s">
        <v>11499</v>
      </c>
      <c r="T7313">
        <v>24</v>
      </c>
      <c r="U7313" s="2" t="s">
        <v>44208</v>
      </c>
      <c r="V7313" s="1">
        <v>45127</v>
      </c>
      <c r="W7313" t="s">
        <v>26915</v>
      </c>
      <c r="X7313">
        <v>834445</v>
      </c>
      <c r="Y7313" t="s">
        <v>1716</v>
      </c>
      <c r="Z7313" t="s">
        <v>1716</v>
      </c>
      <c r="AA7313" s="2" t="s">
        <v>44209</v>
      </c>
      <c r="AB7313" t="s">
        <v>70</v>
      </c>
      <c r="AC7313" t="s">
        <v>1716</v>
      </c>
      <c r="AD7313" t="s">
        <v>44210</v>
      </c>
      <c r="AE7313" t="s">
        <v>44211</v>
      </c>
      <c r="AG7313" t="s">
        <v>44212</v>
      </c>
      <c r="AH7313" t="s">
        <v>44213</v>
      </c>
      <c r="AI7313" t="s">
        <v>44214</v>
      </c>
    </row>
    <row r="7314" spans="2:35" ht="270">
      <c r="B7314" s="1">
        <v>45131</v>
      </c>
      <c r="C7314" s="4">
        <v>45128.802083333336</v>
      </c>
      <c r="D7314" t="s">
        <v>24517</v>
      </c>
      <c r="E7314" t="s">
        <v>24518</v>
      </c>
      <c r="F7314">
        <v>3</v>
      </c>
      <c r="G7314" t="s">
        <v>134</v>
      </c>
      <c r="H7314" t="s">
        <v>44215</v>
      </c>
      <c r="I7314" t="s">
        <v>40</v>
      </c>
      <c r="J7314" s="2" t="s">
        <v>41</v>
      </c>
      <c r="K7314" t="s">
        <v>42</v>
      </c>
      <c r="L7314" t="s">
        <v>63</v>
      </c>
      <c r="Q7314">
        <v>25240</v>
      </c>
      <c r="R7314" t="s">
        <v>322</v>
      </c>
      <c r="S7314" t="s">
        <v>9328</v>
      </c>
      <c r="T7314">
        <v>24</v>
      </c>
      <c r="U7314" s="2" t="s">
        <v>44216</v>
      </c>
      <c r="V7314" s="1">
        <v>45127</v>
      </c>
      <c r="W7314" t="s">
        <v>26915</v>
      </c>
      <c r="X7314">
        <v>812571</v>
      </c>
      <c r="Y7314" t="s">
        <v>1716</v>
      </c>
      <c r="Z7314" t="s">
        <v>1716</v>
      </c>
      <c r="AA7314" s="2" t="s">
        <v>39935</v>
      </c>
      <c r="AB7314" t="s">
        <v>70</v>
      </c>
      <c r="AC7314" t="s">
        <v>44217</v>
      </c>
      <c r="AD7314" t="s">
        <v>44218</v>
      </c>
      <c r="AE7314" t="s">
        <v>44219</v>
      </c>
      <c r="AG7314" t="s">
        <v>44220</v>
      </c>
      <c r="AH7314" t="s">
        <v>44221</v>
      </c>
      <c r="AI7314" t="s">
        <v>44222</v>
      </c>
    </row>
    <row r="7315" spans="2:35">
      <c r="B7315" s="1">
        <v>45131</v>
      </c>
      <c r="C7315" s="4">
        <v>45131.547222222223</v>
      </c>
      <c r="D7315" t="s">
        <v>2233</v>
      </c>
      <c r="E7315" t="s">
        <v>42705</v>
      </c>
      <c r="F7315">
        <v>7</v>
      </c>
      <c r="G7315" t="s">
        <v>432</v>
      </c>
      <c r="H7315" t="s">
        <v>39</v>
      </c>
      <c r="I7315" t="s">
        <v>94</v>
      </c>
      <c r="J7315" t="s">
        <v>321</v>
      </c>
      <c r="K7315" t="s">
        <v>42</v>
      </c>
      <c r="L7315" t="s">
        <v>594</v>
      </c>
      <c r="Q7315">
        <v>25239</v>
      </c>
      <c r="R7315" t="s">
        <v>119</v>
      </c>
      <c r="S7315" t="s">
        <v>2235</v>
      </c>
      <c r="T7315">
        <v>22</v>
      </c>
      <c r="V7315" s="1">
        <v>45128</v>
      </c>
      <c r="W7315" t="s">
        <v>502</v>
      </c>
      <c r="X7315">
        <v>838231</v>
      </c>
      <c r="Y7315" t="s">
        <v>44223</v>
      </c>
      <c r="Z7315" t="s">
        <v>44224</v>
      </c>
      <c r="AA7315" t="s">
        <v>44225</v>
      </c>
      <c r="AB7315" t="s">
        <v>21018</v>
      </c>
      <c r="AG7315" t="s">
        <v>44226</v>
      </c>
      <c r="AH7315" t="s">
        <v>2241</v>
      </c>
      <c r="AI7315" t="s">
        <v>44227</v>
      </c>
    </row>
    <row r="7316" spans="2:35" ht="105">
      <c r="B7316" s="1">
        <v>45131</v>
      </c>
      <c r="C7316" s="4">
        <v>45131.515972222223</v>
      </c>
      <c r="D7316" t="s">
        <v>12460</v>
      </c>
      <c r="E7316" t="s">
        <v>15489</v>
      </c>
      <c r="F7316">
        <v>6</v>
      </c>
      <c r="G7316" t="s">
        <v>1234</v>
      </c>
      <c r="H7316" t="s">
        <v>34104</v>
      </c>
      <c r="I7316" t="s">
        <v>94</v>
      </c>
      <c r="J7316" t="s">
        <v>79</v>
      </c>
      <c r="K7316" t="s">
        <v>42</v>
      </c>
      <c r="L7316" t="s">
        <v>23958</v>
      </c>
      <c r="Q7316">
        <v>25238</v>
      </c>
      <c r="R7316" t="s">
        <v>119</v>
      </c>
      <c r="S7316" t="s">
        <v>15490</v>
      </c>
      <c r="T7316">
        <v>4</v>
      </c>
      <c r="U7316" s="2" t="s">
        <v>44228</v>
      </c>
      <c r="W7316" t="s">
        <v>360</v>
      </c>
      <c r="X7316">
        <v>838491</v>
      </c>
      <c r="Y7316" t="s">
        <v>301</v>
      </c>
      <c r="Z7316" t="s">
        <v>44229</v>
      </c>
      <c r="AA7316" t="s">
        <v>44230</v>
      </c>
      <c r="AB7316" t="s">
        <v>44231</v>
      </c>
      <c r="AG7316" t="s">
        <v>44232</v>
      </c>
      <c r="AH7316" t="s">
        <v>43020</v>
      </c>
      <c r="AI7316" t="s">
        <v>44233</v>
      </c>
    </row>
    <row r="7317" spans="2:35" ht="255">
      <c r="B7317" s="1">
        <v>45131</v>
      </c>
      <c r="C7317" s="4">
        <v>45131.508333333331</v>
      </c>
      <c r="D7317" t="s">
        <v>7881</v>
      </c>
      <c r="E7317" t="s">
        <v>44234</v>
      </c>
      <c r="F7317">
        <v>7</v>
      </c>
      <c r="G7317" t="s">
        <v>432</v>
      </c>
      <c r="H7317" t="s">
        <v>2290</v>
      </c>
      <c r="I7317" t="s">
        <v>94</v>
      </c>
      <c r="J7317" t="s">
        <v>79</v>
      </c>
      <c r="K7317" t="s">
        <v>42</v>
      </c>
      <c r="L7317" t="s">
        <v>610</v>
      </c>
      <c r="Q7317">
        <v>25237</v>
      </c>
      <c r="R7317" t="s">
        <v>119</v>
      </c>
      <c r="S7317" t="s">
        <v>13419</v>
      </c>
      <c r="T7317">
        <v>24</v>
      </c>
      <c r="U7317" s="2" t="s">
        <v>44235</v>
      </c>
      <c r="W7317" t="s">
        <v>502</v>
      </c>
      <c r="X7317">
        <v>838512</v>
      </c>
      <c r="Y7317" t="s">
        <v>44236</v>
      </c>
      <c r="Z7317" t="s">
        <v>44237</v>
      </c>
      <c r="AA7317" t="s">
        <v>44238</v>
      </c>
      <c r="AB7317" t="s">
        <v>1263</v>
      </c>
      <c r="AG7317" t="s">
        <v>44239</v>
      </c>
      <c r="AH7317" t="s">
        <v>13425</v>
      </c>
      <c r="AI7317" t="s">
        <v>44240</v>
      </c>
    </row>
    <row r="7318" spans="2:35" ht="105">
      <c r="B7318" s="1">
        <v>45131</v>
      </c>
      <c r="C7318" s="4">
        <v>44985.581250000003</v>
      </c>
      <c r="D7318" t="s">
        <v>44241</v>
      </c>
      <c r="E7318" t="s">
        <v>44242</v>
      </c>
      <c r="F7318">
        <v>7</v>
      </c>
      <c r="G7318" t="s">
        <v>432</v>
      </c>
      <c r="H7318" t="s">
        <v>39</v>
      </c>
      <c r="I7318" t="s">
        <v>94</v>
      </c>
      <c r="J7318" t="s">
        <v>321</v>
      </c>
      <c r="K7318" t="s">
        <v>42</v>
      </c>
      <c r="L7318" t="s">
        <v>594</v>
      </c>
      <c r="Q7318">
        <v>25236</v>
      </c>
      <c r="R7318" t="s">
        <v>95</v>
      </c>
      <c r="S7318" t="s">
        <v>44243</v>
      </c>
      <c r="T7318">
        <v>21</v>
      </c>
      <c r="U7318" s="2" t="s">
        <v>44244</v>
      </c>
      <c r="V7318" s="1">
        <v>44985</v>
      </c>
      <c r="W7318" t="s">
        <v>360</v>
      </c>
      <c r="X7318">
        <v>821471</v>
      </c>
      <c r="Y7318" t="s">
        <v>44245</v>
      </c>
      <c r="Z7318" t="s">
        <v>44246</v>
      </c>
      <c r="AA7318" t="s">
        <v>44247</v>
      </c>
      <c r="AB7318" t="s">
        <v>44248</v>
      </c>
      <c r="AG7318" t="s">
        <v>44249</v>
      </c>
      <c r="AH7318" t="s">
        <v>44250</v>
      </c>
      <c r="AI7318" t="s">
        <v>44251</v>
      </c>
    </row>
    <row r="7319" spans="2:35" ht="120">
      <c r="B7319" s="1">
        <v>45131</v>
      </c>
      <c r="C7319" s="4">
        <v>45128.412499999999</v>
      </c>
      <c r="D7319" t="s">
        <v>35771</v>
      </c>
      <c r="E7319" t="s">
        <v>44252</v>
      </c>
      <c r="F7319" t="s">
        <v>1255</v>
      </c>
      <c r="G7319" t="s">
        <v>4685</v>
      </c>
      <c r="H7319" t="s">
        <v>1047</v>
      </c>
      <c r="I7319" t="s">
        <v>94</v>
      </c>
      <c r="J7319" t="s">
        <v>321</v>
      </c>
      <c r="K7319" t="s">
        <v>42</v>
      </c>
      <c r="L7319" t="s">
        <v>43100</v>
      </c>
      <c r="Q7319">
        <v>25235</v>
      </c>
      <c r="R7319" t="s">
        <v>45</v>
      </c>
      <c r="S7319" t="s">
        <v>23403</v>
      </c>
      <c r="T7319">
        <v>28</v>
      </c>
      <c r="W7319" t="s">
        <v>43102</v>
      </c>
      <c r="X7319">
        <v>807457</v>
      </c>
      <c r="Y7319" t="s">
        <v>44253</v>
      </c>
      <c r="Z7319" t="s">
        <v>54</v>
      </c>
      <c r="AA7319" s="2" t="s">
        <v>44254</v>
      </c>
      <c r="AB7319" t="s">
        <v>486</v>
      </c>
      <c r="AG7319" t="s">
        <v>44255</v>
      </c>
      <c r="AH7319" t="s">
        <v>44256</v>
      </c>
      <c r="AI7319" t="s">
        <v>44257</v>
      </c>
    </row>
    <row r="7320" spans="2:35" ht="255">
      <c r="B7320" s="1">
        <v>45131</v>
      </c>
      <c r="C7320" s="4">
        <v>45128.612500000003</v>
      </c>
      <c r="D7320" t="s">
        <v>32537</v>
      </c>
      <c r="E7320" t="s">
        <v>41650</v>
      </c>
      <c r="F7320">
        <v>11</v>
      </c>
      <c r="G7320" t="s">
        <v>1205</v>
      </c>
      <c r="H7320" t="s">
        <v>202</v>
      </c>
      <c r="I7320" t="s">
        <v>40</v>
      </c>
      <c r="J7320" s="2" t="s">
        <v>4208</v>
      </c>
      <c r="K7320" t="s">
        <v>42</v>
      </c>
      <c r="L7320" t="s">
        <v>204</v>
      </c>
      <c r="Q7320">
        <v>25234</v>
      </c>
      <c r="R7320" t="s">
        <v>45</v>
      </c>
      <c r="S7320" t="s">
        <v>32539</v>
      </c>
      <c r="T7320">
        <v>22.5</v>
      </c>
      <c r="U7320" s="2" t="s">
        <v>44258</v>
      </c>
      <c r="W7320" t="s">
        <v>24154</v>
      </c>
      <c r="X7320">
        <v>815385</v>
      </c>
      <c r="Y7320" t="s">
        <v>44259</v>
      </c>
      <c r="Z7320" s="2" t="s">
        <v>44260</v>
      </c>
      <c r="AA7320" t="s">
        <v>4213</v>
      </c>
      <c r="AB7320" t="s">
        <v>44261</v>
      </c>
      <c r="AC7320" t="s">
        <v>44262</v>
      </c>
      <c r="AG7320" t="s">
        <v>44263</v>
      </c>
      <c r="AH7320" t="s">
        <v>44264</v>
      </c>
      <c r="AI7320" t="s">
        <v>44265</v>
      </c>
    </row>
    <row r="7321" spans="2:35" ht="135">
      <c r="B7321" s="1">
        <v>45128</v>
      </c>
      <c r="C7321" s="4">
        <v>45128.663888888892</v>
      </c>
      <c r="D7321" t="s">
        <v>44266</v>
      </c>
      <c r="E7321" t="s">
        <v>44267</v>
      </c>
      <c r="F7321" t="s">
        <v>148</v>
      </c>
      <c r="G7321" t="s">
        <v>20126</v>
      </c>
      <c r="H7321" t="s">
        <v>39</v>
      </c>
      <c r="I7321" t="s">
        <v>40</v>
      </c>
      <c r="J7321" t="s">
        <v>321</v>
      </c>
      <c r="K7321" t="s">
        <v>42</v>
      </c>
      <c r="L7321" t="s">
        <v>15532</v>
      </c>
      <c r="Q7321">
        <v>25233</v>
      </c>
      <c r="R7321" t="s">
        <v>322</v>
      </c>
      <c r="S7321" t="s">
        <v>44268</v>
      </c>
      <c r="T7321">
        <v>26</v>
      </c>
      <c r="W7321" t="s">
        <v>84</v>
      </c>
      <c r="X7321">
        <v>120000141</v>
      </c>
      <c r="Y7321" t="s">
        <v>750</v>
      </c>
      <c r="Z7321" s="2" t="s">
        <v>44269</v>
      </c>
      <c r="AA7321" t="s">
        <v>36780</v>
      </c>
      <c r="AB7321" t="s">
        <v>88</v>
      </c>
      <c r="AG7321" t="s">
        <v>44270</v>
      </c>
      <c r="AH7321" t="s">
        <v>44271</v>
      </c>
      <c r="AI7321" t="s">
        <v>44272</v>
      </c>
    </row>
    <row r="7322" spans="2:35" ht="270">
      <c r="B7322" s="1">
        <v>45128</v>
      </c>
      <c r="C7322" s="4">
        <v>45128.679166666669</v>
      </c>
      <c r="D7322" t="s">
        <v>25068</v>
      </c>
      <c r="E7322" t="s">
        <v>27146</v>
      </c>
      <c r="F7322">
        <v>3</v>
      </c>
      <c r="G7322" t="s">
        <v>730</v>
      </c>
      <c r="H7322" t="s">
        <v>39</v>
      </c>
      <c r="I7322" t="s">
        <v>40</v>
      </c>
      <c r="J7322" s="2" t="s">
        <v>41</v>
      </c>
      <c r="K7322" t="s">
        <v>42</v>
      </c>
      <c r="L7322" t="s">
        <v>135</v>
      </c>
      <c r="Q7322">
        <v>25232</v>
      </c>
      <c r="R7322" t="s">
        <v>119</v>
      </c>
      <c r="S7322" t="s">
        <v>25070</v>
      </c>
      <c r="T7322">
        <v>30</v>
      </c>
      <c r="U7322" s="2" t="s">
        <v>17066</v>
      </c>
      <c r="V7322" s="1">
        <v>45128</v>
      </c>
      <c r="W7322" t="s">
        <v>2680</v>
      </c>
      <c r="X7322">
        <v>831591</v>
      </c>
      <c r="Y7322" t="s">
        <v>44273</v>
      </c>
      <c r="Z7322" s="2" t="s">
        <v>29539</v>
      </c>
      <c r="AA7322" s="2" t="s">
        <v>44274</v>
      </c>
      <c r="AB7322" t="s">
        <v>181</v>
      </c>
      <c r="AD7322" t="s">
        <v>44275</v>
      </c>
      <c r="AE7322" t="s">
        <v>44276</v>
      </c>
      <c r="AG7322" t="s">
        <v>44277</v>
      </c>
      <c r="AH7322" t="s">
        <v>44278</v>
      </c>
      <c r="AI7322" t="s">
        <v>44279</v>
      </c>
    </row>
    <row r="7323" spans="2:35" ht="180">
      <c r="B7323" s="1">
        <v>45128</v>
      </c>
      <c r="C7323" s="4">
        <v>45128.638888888891</v>
      </c>
      <c r="D7323" t="s">
        <v>27463</v>
      </c>
      <c r="E7323" t="s">
        <v>44280</v>
      </c>
      <c r="F7323" t="s">
        <v>148</v>
      </c>
      <c r="G7323" t="s">
        <v>310</v>
      </c>
      <c r="H7323" t="s">
        <v>39</v>
      </c>
      <c r="I7323" t="s">
        <v>40</v>
      </c>
      <c r="J7323" s="2" t="s">
        <v>41</v>
      </c>
      <c r="K7323" t="s">
        <v>42</v>
      </c>
      <c r="L7323" t="s">
        <v>15532</v>
      </c>
      <c r="Q7323">
        <v>25231</v>
      </c>
      <c r="R7323" t="s">
        <v>119</v>
      </c>
      <c r="S7323" t="s">
        <v>44281</v>
      </c>
      <c r="T7323">
        <v>24</v>
      </c>
      <c r="U7323" s="2" t="s">
        <v>44282</v>
      </c>
      <c r="V7323" s="1">
        <v>45126</v>
      </c>
      <c r="W7323" t="s">
        <v>44283</v>
      </c>
      <c r="X7323">
        <v>831843</v>
      </c>
      <c r="Y7323" t="s">
        <v>44284</v>
      </c>
      <c r="Z7323" s="2" t="s">
        <v>44285</v>
      </c>
      <c r="AA7323" s="2" t="s">
        <v>44286</v>
      </c>
      <c r="AB7323" t="s">
        <v>34796</v>
      </c>
      <c r="AD7323" t="s">
        <v>44287</v>
      </c>
      <c r="AE7323" t="s">
        <v>44288</v>
      </c>
      <c r="AG7323" t="s">
        <v>44289</v>
      </c>
      <c r="AH7323" t="s">
        <v>44290</v>
      </c>
      <c r="AI7323" t="s">
        <v>44291</v>
      </c>
    </row>
    <row r="7324" spans="2:35" ht="360">
      <c r="B7324" s="1">
        <v>45128</v>
      </c>
      <c r="C7324" s="4">
        <v>45128.628472222219</v>
      </c>
      <c r="D7324" t="s">
        <v>1071</v>
      </c>
      <c r="E7324" t="s">
        <v>1555</v>
      </c>
      <c r="F7324">
        <v>7</v>
      </c>
      <c r="G7324" t="s">
        <v>432</v>
      </c>
      <c r="H7324" t="s">
        <v>150</v>
      </c>
      <c r="I7324" t="s">
        <v>40</v>
      </c>
      <c r="J7324" s="2" t="s">
        <v>41</v>
      </c>
      <c r="K7324" t="s">
        <v>42</v>
      </c>
      <c r="L7324" t="s">
        <v>343</v>
      </c>
      <c r="Q7324">
        <v>25230</v>
      </c>
      <c r="R7324" t="s">
        <v>119</v>
      </c>
      <c r="S7324" t="s">
        <v>8679</v>
      </c>
      <c r="T7324">
        <v>28</v>
      </c>
      <c r="U7324" s="2" t="s">
        <v>44292</v>
      </c>
      <c r="V7324" s="1">
        <v>45124</v>
      </c>
      <c r="W7324" t="s">
        <v>6105</v>
      </c>
      <c r="X7324">
        <v>838285</v>
      </c>
      <c r="Y7324" t="s">
        <v>44293</v>
      </c>
      <c r="Z7324" t="s">
        <v>44294</v>
      </c>
      <c r="AA7324" t="e">
        <f ca="1">-module Replacement
-Preventive Maintenance</f>
        <v>#NAME?</v>
      </c>
      <c r="AB7324" t="s">
        <v>9638</v>
      </c>
      <c r="AD7324" t="s">
        <v>44295</v>
      </c>
      <c r="AE7324" t="s">
        <v>44296</v>
      </c>
      <c r="AG7324" t="s">
        <v>44297</v>
      </c>
      <c r="AH7324" t="s">
        <v>44298</v>
      </c>
      <c r="AI7324" t="s">
        <v>44299</v>
      </c>
    </row>
    <row r="7325" spans="2:35" ht="360">
      <c r="B7325" s="1">
        <v>45128</v>
      </c>
      <c r="C7325" s="4">
        <v>45128.625694444447</v>
      </c>
      <c r="D7325" t="s">
        <v>1071</v>
      </c>
      <c r="E7325" t="s">
        <v>1555</v>
      </c>
      <c r="F7325">
        <v>7</v>
      </c>
      <c r="G7325" t="s">
        <v>432</v>
      </c>
      <c r="H7325" t="s">
        <v>150</v>
      </c>
      <c r="I7325" t="s">
        <v>40</v>
      </c>
      <c r="J7325" t="s">
        <v>109</v>
      </c>
      <c r="K7325" t="s">
        <v>42</v>
      </c>
      <c r="L7325" t="s">
        <v>343</v>
      </c>
      <c r="Q7325">
        <v>25229</v>
      </c>
      <c r="R7325" t="s">
        <v>119</v>
      </c>
      <c r="S7325" t="s">
        <v>8679</v>
      </c>
      <c r="T7325">
        <v>26</v>
      </c>
      <c r="U7325" s="2" t="s">
        <v>44300</v>
      </c>
      <c r="W7325" t="s">
        <v>6105</v>
      </c>
      <c r="X7325">
        <v>820206</v>
      </c>
      <c r="Y7325" t="s">
        <v>301</v>
      </c>
      <c r="Z7325" t="s">
        <v>301</v>
      </c>
      <c r="AA7325" t="e">
        <f ca="1">-Preventive Maintenance</f>
        <v>#NAME?</v>
      </c>
      <c r="AB7325" t="s">
        <v>9638</v>
      </c>
      <c r="AG7325" t="s">
        <v>44301</v>
      </c>
      <c r="AH7325" t="s">
        <v>44298</v>
      </c>
      <c r="AI7325" t="s">
        <v>44302</v>
      </c>
    </row>
    <row r="7326" spans="2:35" ht="255">
      <c r="B7326" s="1">
        <v>45128</v>
      </c>
      <c r="C7326" s="4">
        <v>45128.617361111108</v>
      </c>
      <c r="D7326" t="s">
        <v>44303</v>
      </c>
      <c r="E7326" t="s">
        <v>44304</v>
      </c>
      <c r="F7326">
        <v>7</v>
      </c>
      <c r="G7326" t="s">
        <v>432</v>
      </c>
      <c r="H7326" t="s">
        <v>10969</v>
      </c>
      <c r="I7326" t="s">
        <v>40</v>
      </c>
      <c r="J7326" t="s">
        <v>79</v>
      </c>
      <c r="K7326" t="s">
        <v>42</v>
      </c>
      <c r="L7326" t="s">
        <v>1288</v>
      </c>
      <c r="Q7326">
        <v>25228</v>
      </c>
      <c r="R7326" t="s">
        <v>119</v>
      </c>
      <c r="S7326" t="s">
        <v>16307</v>
      </c>
      <c r="T7326">
        <v>21</v>
      </c>
      <c r="U7326" s="2" t="s">
        <v>44305</v>
      </c>
      <c r="V7326" s="1">
        <v>45124</v>
      </c>
      <c r="W7326" t="s">
        <v>1292</v>
      </c>
      <c r="X7326">
        <v>837661</v>
      </c>
      <c r="Y7326" t="s">
        <v>44306</v>
      </c>
      <c r="Z7326" t="s">
        <v>9107</v>
      </c>
      <c r="AA7326" s="2" t="s">
        <v>44307</v>
      </c>
      <c r="AB7326" t="s">
        <v>1293</v>
      </c>
      <c r="AD7326" t="s">
        <v>43740</v>
      </c>
      <c r="AE7326" s="3">
        <v>101331014510146</v>
      </c>
      <c r="AG7326" t="s">
        <v>44308</v>
      </c>
      <c r="AH7326" t="s">
        <v>14408</v>
      </c>
      <c r="AI7326" t="s">
        <v>44309</v>
      </c>
    </row>
    <row r="7327" spans="2:35" ht="330">
      <c r="B7327" s="1">
        <v>45128</v>
      </c>
      <c r="C7327" s="4">
        <v>45128.5625</v>
      </c>
      <c r="D7327" t="s">
        <v>18001</v>
      </c>
      <c r="E7327" t="s">
        <v>44310</v>
      </c>
      <c r="F7327">
        <v>7</v>
      </c>
      <c r="G7327" t="s">
        <v>432</v>
      </c>
      <c r="H7327" t="s">
        <v>10969</v>
      </c>
      <c r="I7327" t="s">
        <v>40</v>
      </c>
      <c r="J7327" t="s">
        <v>79</v>
      </c>
      <c r="K7327" t="s">
        <v>42</v>
      </c>
      <c r="L7327" t="s">
        <v>1288</v>
      </c>
      <c r="Q7327">
        <v>25227</v>
      </c>
      <c r="R7327" t="s">
        <v>119</v>
      </c>
      <c r="S7327" t="s">
        <v>16307</v>
      </c>
      <c r="T7327">
        <v>21</v>
      </c>
      <c r="U7327" s="2" t="s">
        <v>44305</v>
      </c>
      <c r="V7327" s="1">
        <v>45124</v>
      </c>
      <c r="W7327" t="s">
        <v>1292</v>
      </c>
      <c r="X7327">
        <v>837661</v>
      </c>
      <c r="Y7327" t="s">
        <v>44306</v>
      </c>
      <c r="Z7327" t="s">
        <v>43905</v>
      </c>
      <c r="AA7327" s="2" t="s">
        <v>44311</v>
      </c>
      <c r="AB7327" t="s">
        <v>1293</v>
      </c>
      <c r="AD7327" t="s">
        <v>44312</v>
      </c>
      <c r="AE7327" s="3">
        <v>101331014510146</v>
      </c>
      <c r="AG7327" t="s">
        <v>44313</v>
      </c>
      <c r="AH7327" t="s">
        <v>14408</v>
      </c>
      <c r="AI7327" t="s">
        <v>44314</v>
      </c>
    </row>
    <row r="7328" spans="2:35" ht="105">
      <c r="B7328" s="1">
        <v>45128</v>
      </c>
      <c r="C7328" s="4">
        <v>45128.588194444441</v>
      </c>
      <c r="D7328" t="s">
        <v>44315</v>
      </c>
      <c r="E7328" t="s">
        <v>44316</v>
      </c>
      <c r="F7328">
        <v>6</v>
      </c>
      <c r="G7328" t="s">
        <v>1234</v>
      </c>
      <c r="H7328" t="s">
        <v>34104</v>
      </c>
      <c r="I7328" t="s">
        <v>94</v>
      </c>
      <c r="J7328" t="s">
        <v>996</v>
      </c>
      <c r="K7328" t="s">
        <v>42</v>
      </c>
      <c r="L7328" t="s">
        <v>23958</v>
      </c>
      <c r="Q7328">
        <v>25226</v>
      </c>
      <c r="R7328" t="s">
        <v>45</v>
      </c>
      <c r="S7328" t="s">
        <v>44317</v>
      </c>
      <c r="T7328">
        <v>28</v>
      </c>
      <c r="U7328" s="2" t="s">
        <v>32642</v>
      </c>
      <c r="W7328" t="s">
        <v>37384</v>
      </c>
      <c r="X7328">
        <v>835055</v>
      </c>
      <c r="Y7328" t="s">
        <v>301</v>
      </c>
      <c r="Z7328" t="s">
        <v>44318</v>
      </c>
      <c r="AA7328" t="s">
        <v>44319</v>
      </c>
      <c r="AB7328" t="s">
        <v>44320</v>
      </c>
      <c r="AG7328" t="s">
        <v>44321</v>
      </c>
      <c r="AH7328" t="s">
        <v>44322</v>
      </c>
      <c r="AI7328" t="s">
        <v>44323</v>
      </c>
    </row>
    <row r="7329" spans="2:35" ht="135">
      <c r="B7329" s="1">
        <v>45128</v>
      </c>
      <c r="C7329" s="4">
        <v>45128.558333333334</v>
      </c>
      <c r="D7329" t="s">
        <v>22463</v>
      </c>
      <c r="E7329" t="s">
        <v>39642</v>
      </c>
      <c r="F7329" t="s">
        <v>148</v>
      </c>
      <c r="G7329" t="s">
        <v>310</v>
      </c>
      <c r="H7329" t="s">
        <v>39</v>
      </c>
      <c r="I7329" t="s">
        <v>40</v>
      </c>
      <c r="J7329" s="2" t="s">
        <v>62</v>
      </c>
      <c r="K7329" t="s">
        <v>42</v>
      </c>
      <c r="L7329" t="s">
        <v>1943</v>
      </c>
      <c r="Q7329">
        <v>25225</v>
      </c>
      <c r="R7329" t="s">
        <v>45</v>
      </c>
      <c r="S7329" t="s">
        <v>32486</v>
      </c>
      <c r="T7329">
        <v>25</v>
      </c>
      <c r="U7329" s="2" t="s">
        <v>44324</v>
      </c>
      <c r="W7329" t="s">
        <v>84</v>
      </c>
      <c r="X7329">
        <v>814376</v>
      </c>
      <c r="Y7329" s="2" t="s">
        <v>23659</v>
      </c>
      <c r="Z7329" s="2" t="s">
        <v>32801</v>
      </c>
      <c r="AA7329" t="s">
        <v>23660</v>
      </c>
      <c r="AB7329" t="s">
        <v>1521</v>
      </c>
      <c r="AC7329" t="s">
        <v>44325</v>
      </c>
      <c r="AG7329" t="s">
        <v>44326</v>
      </c>
      <c r="AH7329" t="s">
        <v>32491</v>
      </c>
      <c r="AI7329" t="s">
        <v>44327</v>
      </c>
    </row>
    <row r="7330" spans="2:35" ht="135">
      <c r="B7330" s="1">
        <v>45128</v>
      </c>
      <c r="C7330" s="4">
        <v>45128.556250000001</v>
      </c>
      <c r="D7330" t="s">
        <v>22463</v>
      </c>
      <c r="E7330" t="s">
        <v>39642</v>
      </c>
      <c r="F7330" t="s">
        <v>148</v>
      </c>
      <c r="G7330" t="s">
        <v>310</v>
      </c>
      <c r="H7330" t="s">
        <v>39</v>
      </c>
      <c r="I7330" t="s">
        <v>40</v>
      </c>
      <c r="J7330" s="2" t="s">
        <v>62</v>
      </c>
      <c r="K7330" t="s">
        <v>42</v>
      </c>
      <c r="L7330" t="s">
        <v>1943</v>
      </c>
      <c r="Q7330">
        <v>25224</v>
      </c>
      <c r="R7330" t="s">
        <v>45</v>
      </c>
      <c r="S7330" t="s">
        <v>32486</v>
      </c>
      <c r="T7330">
        <v>25</v>
      </c>
      <c r="U7330" s="2" t="s">
        <v>44324</v>
      </c>
      <c r="W7330" t="s">
        <v>84</v>
      </c>
      <c r="X7330">
        <v>808619</v>
      </c>
      <c r="Y7330" s="2" t="s">
        <v>23659</v>
      </c>
      <c r="Z7330" s="2" t="s">
        <v>32801</v>
      </c>
      <c r="AA7330" t="s">
        <v>23660</v>
      </c>
      <c r="AB7330" t="s">
        <v>44328</v>
      </c>
      <c r="AC7330" t="s">
        <v>44325</v>
      </c>
      <c r="AG7330" t="s">
        <v>44329</v>
      </c>
      <c r="AH7330" t="s">
        <v>44330</v>
      </c>
      <c r="AI7330" t="s">
        <v>44331</v>
      </c>
    </row>
    <row r="7331" spans="2:35" ht="270">
      <c r="B7331" s="1">
        <v>45128</v>
      </c>
      <c r="C7331" s="4">
        <v>45128.567361111112</v>
      </c>
      <c r="D7331" t="s">
        <v>25068</v>
      </c>
      <c r="E7331" t="s">
        <v>44332</v>
      </c>
      <c r="F7331">
        <v>3</v>
      </c>
      <c r="G7331" t="s">
        <v>730</v>
      </c>
      <c r="H7331" t="s">
        <v>39</v>
      </c>
      <c r="I7331" t="s">
        <v>40</v>
      </c>
      <c r="J7331" s="2" t="s">
        <v>41</v>
      </c>
      <c r="K7331" t="s">
        <v>42</v>
      </c>
      <c r="L7331" t="s">
        <v>135</v>
      </c>
      <c r="Q7331">
        <v>25223</v>
      </c>
      <c r="R7331" t="s">
        <v>119</v>
      </c>
      <c r="S7331" t="s">
        <v>25070</v>
      </c>
      <c r="T7331">
        <v>30</v>
      </c>
      <c r="U7331" s="2" t="s">
        <v>44333</v>
      </c>
      <c r="V7331" s="1">
        <v>45126</v>
      </c>
      <c r="W7331" t="s">
        <v>2680</v>
      </c>
      <c r="X7331">
        <v>831591</v>
      </c>
      <c r="Y7331" t="s">
        <v>44334</v>
      </c>
      <c r="Z7331" s="2" t="s">
        <v>35236</v>
      </c>
      <c r="AA7331" s="2" t="s">
        <v>44335</v>
      </c>
      <c r="AB7331" t="s">
        <v>181</v>
      </c>
      <c r="AD7331" t="s">
        <v>44336</v>
      </c>
      <c r="AE7331" t="s">
        <v>44337</v>
      </c>
      <c r="AG7331" t="s">
        <v>44338</v>
      </c>
      <c r="AH7331" t="s">
        <v>44278</v>
      </c>
      <c r="AI7331" t="s">
        <v>44339</v>
      </c>
    </row>
    <row r="7332" spans="2:35" ht="105">
      <c r="B7332" s="1">
        <v>45128</v>
      </c>
      <c r="C7332" s="4">
        <v>45128.531944444447</v>
      </c>
      <c r="D7332" t="s">
        <v>1670</v>
      </c>
      <c r="E7332" t="s">
        <v>44340</v>
      </c>
      <c r="F7332" t="s">
        <v>148</v>
      </c>
      <c r="G7332" t="s">
        <v>310</v>
      </c>
      <c r="H7332" t="s">
        <v>39</v>
      </c>
      <c r="I7332" t="s">
        <v>40</v>
      </c>
      <c r="J7332" s="2" t="s">
        <v>41</v>
      </c>
      <c r="K7332" t="s">
        <v>42</v>
      </c>
      <c r="L7332" t="s">
        <v>15532</v>
      </c>
      <c r="Q7332">
        <v>25222</v>
      </c>
      <c r="R7332" t="s">
        <v>45</v>
      </c>
      <c r="S7332" t="s">
        <v>40103</v>
      </c>
      <c r="T7332">
        <v>25</v>
      </c>
      <c r="U7332" s="2" t="s">
        <v>44341</v>
      </c>
      <c r="V7332" s="1">
        <v>45127</v>
      </c>
      <c r="W7332" t="s">
        <v>3244</v>
      </c>
      <c r="X7332">
        <v>812829</v>
      </c>
      <c r="Y7332" t="s">
        <v>2034</v>
      </c>
      <c r="Z7332" s="2" t="s">
        <v>44342</v>
      </c>
      <c r="AA7332" s="2" t="s">
        <v>44343</v>
      </c>
      <c r="AB7332" t="s">
        <v>181</v>
      </c>
      <c r="AD7332" t="s">
        <v>44344</v>
      </c>
      <c r="AE7332" t="s">
        <v>44345</v>
      </c>
      <c r="AG7332" t="s">
        <v>44346</v>
      </c>
      <c r="AH7332" t="s">
        <v>25423</v>
      </c>
      <c r="AI7332" t="s">
        <v>44347</v>
      </c>
    </row>
    <row r="7333" spans="2:35" ht="360">
      <c r="B7333" s="1">
        <v>45128</v>
      </c>
      <c r="C7333" s="4">
        <v>45128.515277777777</v>
      </c>
      <c r="D7333" t="s">
        <v>25418</v>
      </c>
      <c r="E7333" t="s">
        <v>44348</v>
      </c>
      <c r="F7333" t="s">
        <v>148</v>
      </c>
      <c r="G7333" t="s">
        <v>310</v>
      </c>
      <c r="H7333" t="s">
        <v>39</v>
      </c>
      <c r="I7333" t="s">
        <v>40</v>
      </c>
      <c r="J7333" s="2" t="s">
        <v>1592</v>
      </c>
      <c r="K7333" t="s">
        <v>42</v>
      </c>
      <c r="L7333" t="s">
        <v>15532</v>
      </c>
      <c r="Q7333">
        <v>25221</v>
      </c>
      <c r="R7333" t="s">
        <v>119</v>
      </c>
      <c r="S7333" t="s">
        <v>40103</v>
      </c>
      <c r="T7333">
        <v>25</v>
      </c>
      <c r="U7333" s="2" t="s">
        <v>30382</v>
      </c>
      <c r="V7333" s="1">
        <v>45126</v>
      </c>
      <c r="W7333" t="s">
        <v>597</v>
      </c>
      <c r="X7333">
        <v>831684</v>
      </c>
      <c r="Y7333" s="2" t="s">
        <v>44349</v>
      </c>
      <c r="Z7333" s="2" t="s">
        <v>44350</v>
      </c>
      <c r="AA7333" s="2" t="s">
        <v>44351</v>
      </c>
      <c r="AB7333" s="2" t="s">
        <v>44352</v>
      </c>
      <c r="AD7333" t="s">
        <v>44353</v>
      </c>
      <c r="AE7333" t="s">
        <v>44354</v>
      </c>
      <c r="AG7333" t="s">
        <v>44355</v>
      </c>
      <c r="AH7333" t="s">
        <v>25423</v>
      </c>
      <c r="AI7333" t="s">
        <v>44356</v>
      </c>
    </row>
    <row r="7334" spans="2:35" ht="180">
      <c r="B7334" s="1">
        <v>45128</v>
      </c>
      <c r="C7334" s="4">
        <v>45128.418749999997</v>
      </c>
      <c r="D7334" t="s">
        <v>16538</v>
      </c>
      <c r="E7334" t="s">
        <v>44357</v>
      </c>
      <c r="F7334">
        <v>7</v>
      </c>
      <c r="G7334" t="s">
        <v>432</v>
      </c>
      <c r="H7334" t="s">
        <v>2290</v>
      </c>
      <c r="I7334" t="s">
        <v>94</v>
      </c>
      <c r="J7334" t="s">
        <v>79</v>
      </c>
      <c r="K7334" t="s">
        <v>42</v>
      </c>
      <c r="L7334" t="s">
        <v>610</v>
      </c>
      <c r="Q7334">
        <v>25220</v>
      </c>
      <c r="R7334" t="s">
        <v>119</v>
      </c>
      <c r="S7334" t="s">
        <v>16540</v>
      </c>
      <c r="T7334">
        <v>24</v>
      </c>
      <c r="U7334" s="2" t="s">
        <v>44358</v>
      </c>
      <c r="W7334" t="s">
        <v>44359</v>
      </c>
      <c r="X7334">
        <v>838283</v>
      </c>
      <c r="Y7334" t="s">
        <v>44360</v>
      </c>
      <c r="Z7334" s="2" t="s">
        <v>44361</v>
      </c>
      <c r="AA7334" t="s">
        <v>44362</v>
      </c>
      <c r="AB7334" t="s">
        <v>1263</v>
      </c>
      <c r="AG7334" t="s">
        <v>44363</v>
      </c>
      <c r="AH7334" t="s">
        <v>37613</v>
      </c>
      <c r="AI7334" t="s">
        <v>44364</v>
      </c>
    </row>
    <row r="7335" spans="2:35" ht="120">
      <c r="B7335" s="1">
        <v>45128</v>
      </c>
      <c r="C7335" s="4">
        <v>45128.412499999999</v>
      </c>
      <c r="D7335" t="s">
        <v>35771</v>
      </c>
      <c r="E7335" t="s">
        <v>44252</v>
      </c>
      <c r="F7335" t="s">
        <v>1255</v>
      </c>
      <c r="G7335" t="s">
        <v>4685</v>
      </c>
      <c r="H7335" t="s">
        <v>1047</v>
      </c>
      <c r="I7335" t="s">
        <v>94</v>
      </c>
      <c r="J7335" t="s">
        <v>321</v>
      </c>
      <c r="K7335" t="s">
        <v>42</v>
      </c>
      <c r="L7335" t="s">
        <v>43100</v>
      </c>
      <c r="Q7335">
        <v>25219</v>
      </c>
      <c r="R7335" t="s">
        <v>45</v>
      </c>
      <c r="S7335" t="s">
        <v>23403</v>
      </c>
      <c r="T7335">
        <v>28</v>
      </c>
      <c r="W7335" t="s">
        <v>43102</v>
      </c>
      <c r="X7335">
        <v>807457</v>
      </c>
      <c r="Y7335" t="s">
        <v>44253</v>
      </c>
      <c r="Z7335" t="s">
        <v>54</v>
      </c>
      <c r="AA7335" s="2" t="s">
        <v>44254</v>
      </c>
      <c r="AB7335" t="s">
        <v>486</v>
      </c>
      <c r="AG7335" t="s">
        <v>44365</v>
      </c>
      <c r="AH7335" t="s">
        <v>44256</v>
      </c>
      <c r="AI7335" t="s">
        <v>44366</v>
      </c>
    </row>
    <row r="7336" spans="2:35" ht="180">
      <c r="B7336" s="1">
        <v>45128</v>
      </c>
      <c r="C7336" s="4">
        <v>45128.384027777778</v>
      </c>
      <c r="D7336" t="s">
        <v>35771</v>
      </c>
      <c r="E7336" t="s">
        <v>44367</v>
      </c>
      <c r="F7336" t="s">
        <v>1255</v>
      </c>
      <c r="G7336" t="s">
        <v>4685</v>
      </c>
      <c r="H7336" t="s">
        <v>39</v>
      </c>
      <c r="I7336" t="s">
        <v>94</v>
      </c>
      <c r="J7336" s="2" t="s">
        <v>1808</v>
      </c>
      <c r="K7336" t="s">
        <v>42</v>
      </c>
      <c r="L7336" t="s">
        <v>43100</v>
      </c>
      <c r="Q7336">
        <v>25218</v>
      </c>
      <c r="R7336" t="s">
        <v>45</v>
      </c>
      <c r="S7336" t="s">
        <v>37038</v>
      </c>
      <c r="T7336">
        <v>24</v>
      </c>
      <c r="U7336" s="2" t="s">
        <v>44368</v>
      </c>
      <c r="W7336" t="s">
        <v>43102</v>
      </c>
      <c r="X7336">
        <v>834444</v>
      </c>
      <c r="Y7336" t="s">
        <v>44369</v>
      </c>
      <c r="Z7336" t="s">
        <v>54</v>
      </c>
      <c r="AA7336" s="2" t="s">
        <v>44370</v>
      </c>
      <c r="AB7336" t="s">
        <v>486</v>
      </c>
      <c r="AG7336" t="s">
        <v>44371</v>
      </c>
      <c r="AH7336" t="s">
        <v>37042</v>
      </c>
      <c r="AI7336" t="s">
        <v>44372</v>
      </c>
    </row>
    <row r="7337" spans="2:35" ht="180">
      <c r="B7337" s="1">
        <v>45128</v>
      </c>
      <c r="C7337" s="4">
        <v>45128.460416666669</v>
      </c>
      <c r="D7337" t="s">
        <v>23619</v>
      </c>
      <c r="E7337" t="s">
        <v>27310</v>
      </c>
      <c r="F7337" t="s">
        <v>148</v>
      </c>
      <c r="G7337" t="s">
        <v>23621</v>
      </c>
      <c r="H7337" t="s">
        <v>39</v>
      </c>
      <c r="I7337" t="s">
        <v>40</v>
      </c>
      <c r="J7337" s="2" t="s">
        <v>41</v>
      </c>
      <c r="K7337" t="s">
        <v>42</v>
      </c>
      <c r="L7337" t="s">
        <v>1943</v>
      </c>
      <c r="Q7337">
        <v>25217</v>
      </c>
      <c r="R7337" t="s">
        <v>119</v>
      </c>
      <c r="S7337" t="s">
        <v>23622</v>
      </c>
      <c r="T7337">
        <v>25</v>
      </c>
      <c r="U7337" s="2" t="s">
        <v>44373</v>
      </c>
      <c r="V7337" s="1">
        <v>45125</v>
      </c>
      <c r="W7337" t="s">
        <v>84</v>
      </c>
      <c r="X7337">
        <v>831626</v>
      </c>
      <c r="Y7337" s="2" t="s">
        <v>44374</v>
      </c>
      <c r="Z7337" s="2" t="s">
        <v>44375</v>
      </c>
      <c r="AA7337" t="s">
        <v>22330</v>
      </c>
      <c r="AB7337" t="s">
        <v>44376</v>
      </c>
      <c r="AD7337" t="s">
        <v>44377</v>
      </c>
      <c r="AE7337" t="s">
        <v>44378</v>
      </c>
      <c r="AG7337" t="s">
        <v>44379</v>
      </c>
      <c r="AH7337" t="s">
        <v>40383</v>
      </c>
      <c r="AI7337" t="s">
        <v>44380</v>
      </c>
    </row>
    <row r="7338" spans="2:35" ht="270">
      <c r="B7338" s="1">
        <v>45128</v>
      </c>
      <c r="C7338" s="4">
        <v>45128.4375</v>
      </c>
      <c r="D7338" t="s">
        <v>44106</v>
      </c>
      <c r="E7338" t="s">
        <v>44107</v>
      </c>
      <c r="F7338">
        <v>12</v>
      </c>
      <c r="G7338" t="s">
        <v>978</v>
      </c>
      <c r="H7338" t="s">
        <v>39</v>
      </c>
      <c r="I7338" t="s">
        <v>94</v>
      </c>
      <c r="J7338" t="s">
        <v>321</v>
      </c>
      <c r="K7338" t="s">
        <v>42</v>
      </c>
      <c r="L7338" t="s">
        <v>296</v>
      </c>
      <c r="Q7338">
        <v>25216</v>
      </c>
      <c r="R7338" t="s">
        <v>45</v>
      </c>
      <c r="S7338" t="s">
        <v>26999</v>
      </c>
      <c r="T7338">
        <v>28</v>
      </c>
      <c r="U7338" s="2" t="s">
        <v>44108</v>
      </c>
      <c r="W7338" t="s">
        <v>23049</v>
      </c>
      <c r="X7338">
        <v>120000147</v>
      </c>
      <c r="Y7338" t="s">
        <v>54</v>
      </c>
      <c r="Z7338" s="2" t="s">
        <v>44109</v>
      </c>
      <c r="AA7338" t="s">
        <v>9387</v>
      </c>
      <c r="AB7338" t="s">
        <v>972</v>
      </c>
      <c r="AG7338" t="s">
        <v>44381</v>
      </c>
      <c r="AH7338" t="s">
        <v>27004</v>
      </c>
      <c r="AI7338" t="s">
        <v>44382</v>
      </c>
    </row>
    <row r="7339" spans="2:35" ht="45">
      <c r="B7339" s="1">
        <v>45128</v>
      </c>
      <c r="C7339" s="4">
        <v>45128.368055555555</v>
      </c>
      <c r="D7339" t="s">
        <v>3869</v>
      </c>
      <c r="E7339" t="s">
        <v>499</v>
      </c>
      <c r="F7339">
        <v>7</v>
      </c>
      <c r="G7339" t="s">
        <v>432</v>
      </c>
      <c r="H7339" t="s">
        <v>39</v>
      </c>
      <c r="I7339" t="s">
        <v>40</v>
      </c>
      <c r="J7339" s="2" t="s">
        <v>1370</v>
      </c>
      <c r="K7339" t="s">
        <v>42</v>
      </c>
      <c r="L7339" t="s">
        <v>433</v>
      </c>
      <c r="Q7339">
        <v>25215</v>
      </c>
      <c r="R7339" t="s">
        <v>45</v>
      </c>
      <c r="S7339" t="s">
        <v>3872</v>
      </c>
      <c r="T7339">
        <v>29</v>
      </c>
      <c r="W7339" t="s">
        <v>1008</v>
      </c>
      <c r="X7339">
        <v>805270</v>
      </c>
      <c r="Y7339" t="s">
        <v>44383</v>
      </c>
      <c r="Z7339" t="s">
        <v>44384</v>
      </c>
      <c r="AA7339" t="s">
        <v>44385</v>
      </c>
      <c r="AB7339" t="s">
        <v>1011</v>
      </c>
      <c r="AG7339" t="s">
        <v>44386</v>
      </c>
      <c r="AH7339" t="s">
        <v>37489</v>
      </c>
      <c r="AI7339" t="s">
        <v>44387</v>
      </c>
    </row>
    <row r="7340" spans="2:35" ht="45">
      <c r="B7340" s="1">
        <v>45128</v>
      </c>
      <c r="C7340" s="4">
        <v>45125.373611111114</v>
      </c>
      <c r="D7340" t="s">
        <v>11901</v>
      </c>
      <c r="E7340" t="s">
        <v>7772</v>
      </c>
      <c r="F7340">
        <v>6</v>
      </c>
      <c r="G7340" t="s">
        <v>1234</v>
      </c>
      <c r="H7340" t="s">
        <v>39</v>
      </c>
      <c r="I7340" t="s">
        <v>40</v>
      </c>
      <c r="J7340" s="2" t="s">
        <v>1370</v>
      </c>
      <c r="K7340" t="s">
        <v>42</v>
      </c>
      <c r="L7340" t="s">
        <v>433</v>
      </c>
      <c r="Q7340">
        <v>25214</v>
      </c>
      <c r="R7340" t="s">
        <v>45</v>
      </c>
      <c r="S7340" t="s">
        <v>34236</v>
      </c>
      <c r="T7340">
        <v>28</v>
      </c>
      <c r="W7340" t="s">
        <v>1008</v>
      </c>
      <c r="X7340">
        <v>804838</v>
      </c>
      <c r="Y7340" t="s">
        <v>44388</v>
      </c>
      <c r="Z7340" t="s">
        <v>44389</v>
      </c>
      <c r="AA7340" t="s">
        <v>44390</v>
      </c>
      <c r="AB7340" t="s">
        <v>1011</v>
      </c>
      <c r="AG7340" t="s">
        <v>44391</v>
      </c>
      <c r="AH7340" t="s">
        <v>44392</v>
      </c>
      <c r="AI7340" t="s">
        <v>44393</v>
      </c>
    </row>
    <row r="7341" spans="2:35" ht="180">
      <c r="B7341" s="1">
        <v>45128</v>
      </c>
      <c r="C7341" s="4">
        <v>45128.397916666669</v>
      </c>
      <c r="D7341" t="s">
        <v>16716</v>
      </c>
      <c r="E7341" t="s">
        <v>44394</v>
      </c>
      <c r="F7341">
        <v>8</v>
      </c>
      <c r="G7341" t="s">
        <v>342</v>
      </c>
      <c r="H7341" t="s">
        <v>36499</v>
      </c>
      <c r="I7341" t="s">
        <v>40</v>
      </c>
      <c r="J7341" s="2" t="s">
        <v>62</v>
      </c>
      <c r="K7341" t="s">
        <v>42</v>
      </c>
      <c r="L7341" t="s">
        <v>259</v>
      </c>
      <c r="Q7341">
        <v>25213</v>
      </c>
      <c r="R7341" t="s">
        <v>119</v>
      </c>
      <c r="S7341" t="s">
        <v>23172</v>
      </c>
      <c r="T7341">
        <v>28</v>
      </c>
      <c r="U7341" s="2" t="s">
        <v>44395</v>
      </c>
      <c r="V7341" s="1">
        <v>45128</v>
      </c>
      <c r="W7341" t="s">
        <v>84</v>
      </c>
      <c r="X7341">
        <v>838421</v>
      </c>
      <c r="Y7341" t="s">
        <v>44396</v>
      </c>
      <c r="Z7341" t="e">
        <f ca="1">- run XPC on module B4
- Change FAN _xludf.filter</f>
        <v>#NAME?</v>
      </c>
      <c r="AA7341" t="e">
        <f ca="1">- performed Preventive Maintenance
- performed XPC on module B4
- performed functionality test</f>
        <v>#NAME?</v>
      </c>
      <c r="AB7341" t="s">
        <v>44397</v>
      </c>
      <c r="AD7341" t="s">
        <v>12790</v>
      </c>
      <c r="AE7341" t="s">
        <v>119</v>
      </c>
      <c r="AG7341" t="s">
        <v>44398</v>
      </c>
      <c r="AH7341" t="s">
        <v>44156</v>
      </c>
      <c r="AI7341" t="s">
        <v>44399</v>
      </c>
    </row>
    <row r="7342" spans="2:35" ht="375">
      <c r="B7342" s="1">
        <v>45128</v>
      </c>
      <c r="C7342" s="4">
        <v>45128.365972222222</v>
      </c>
      <c r="D7342" t="s">
        <v>23134</v>
      </c>
      <c r="E7342" t="s">
        <v>44400</v>
      </c>
      <c r="F7342" t="s">
        <v>148</v>
      </c>
      <c r="G7342" t="s">
        <v>310</v>
      </c>
      <c r="H7342" t="s">
        <v>41397</v>
      </c>
      <c r="I7342" t="s">
        <v>40</v>
      </c>
      <c r="J7342" s="2" t="s">
        <v>41</v>
      </c>
      <c r="K7342" t="s">
        <v>42</v>
      </c>
      <c r="L7342" t="s">
        <v>1943</v>
      </c>
      <c r="Q7342">
        <v>25212</v>
      </c>
      <c r="R7342" t="s">
        <v>119</v>
      </c>
      <c r="S7342" t="s">
        <v>23136</v>
      </c>
      <c r="T7342">
        <v>25</v>
      </c>
      <c r="U7342" s="2" t="s">
        <v>44401</v>
      </c>
      <c r="V7342" s="1">
        <v>45125</v>
      </c>
      <c r="W7342" t="s">
        <v>84</v>
      </c>
      <c r="X7342">
        <v>831872</v>
      </c>
      <c r="Y7342" s="2" t="s">
        <v>44402</v>
      </c>
      <c r="Z7342" s="2" t="s">
        <v>44403</v>
      </c>
      <c r="AA7342" t="s">
        <v>22330</v>
      </c>
      <c r="AB7342" t="s">
        <v>88</v>
      </c>
      <c r="AD7342" t="s">
        <v>44404</v>
      </c>
      <c r="AE7342" t="s">
        <v>44405</v>
      </c>
      <c r="AG7342" t="s">
        <v>44406</v>
      </c>
      <c r="AH7342" t="s">
        <v>23141</v>
      </c>
      <c r="AI7342" t="s">
        <v>44407</v>
      </c>
    </row>
    <row r="7343" spans="2:35" ht="180">
      <c r="B7343" s="1">
        <v>45127</v>
      </c>
      <c r="C7343" s="4">
        <v>45127.458333333336</v>
      </c>
      <c r="D7343" t="s">
        <v>44408</v>
      </c>
      <c r="E7343" t="s">
        <v>4345</v>
      </c>
      <c r="F7343">
        <v>8</v>
      </c>
      <c r="G7343" t="s">
        <v>342</v>
      </c>
      <c r="H7343" t="s">
        <v>22505</v>
      </c>
      <c r="I7343" t="s">
        <v>40</v>
      </c>
      <c r="J7343" t="s">
        <v>109</v>
      </c>
      <c r="K7343" t="s">
        <v>42</v>
      </c>
      <c r="L7343" t="s">
        <v>259</v>
      </c>
      <c r="Q7343">
        <v>25211</v>
      </c>
      <c r="R7343" t="s">
        <v>45</v>
      </c>
      <c r="S7343" t="s">
        <v>44409</v>
      </c>
      <c r="T7343">
        <v>25</v>
      </c>
      <c r="U7343" s="2" t="s">
        <v>44410</v>
      </c>
      <c r="V7343" s="1">
        <v>45127</v>
      </c>
      <c r="W7343" t="s">
        <v>35955</v>
      </c>
      <c r="X7343">
        <v>834817</v>
      </c>
      <c r="Y7343" t="s">
        <v>1716</v>
      </c>
      <c r="Z7343" t="e">
        <f ca="1">- Preventive Maintenance</f>
        <v>#NAME?</v>
      </c>
      <c r="AA7343" t="e">
        <f ca="1">- Preventive Maintenance
- performed functionality test
- Generate reports</f>
        <v>#NAME?</v>
      </c>
      <c r="AB7343" t="s">
        <v>70</v>
      </c>
      <c r="AG7343" t="s">
        <v>44411</v>
      </c>
      <c r="AH7343" t="s">
        <v>44412</v>
      </c>
      <c r="AI7343" t="s">
        <v>44413</v>
      </c>
    </row>
    <row r="7344" spans="2:35" ht="180">
      <c r="B7344" s="1">
        <v>45127</v>
      </c>
      <c r="C7344" s="4">
        <v>45127.563888888886</v>
      </c>
      <c r="D7344" t="s">
        <v>4295</v>
      </c>
      <c r="E7344" t="s">
        <v>4296</v>
      </c>
      <c r="F7344">
        <v>11</v>
      </c>
      <c r="G7344" t="s">
        <v>4297</v>
      </c>
      <c r="H7344" t="s">
        <v>202</v>
      </c>
      <c r="I7344" t="s">
        <v>40</v>
      </c>
      <c r="J7344" t="s">
        <v>996</v>
      </c>
      <c r="K7344" t="s">
        <v>42</v>
      </c>
      <c r="L7344" t="s">
        <v>204</v>
      </c>
      <c r="Q7344">
        <v>25210</v>
      </c>
      <c r="R7344" t="s">
        <v>45</v>
      </c>
      <c r="S7344" t="s">
        <v>24018</v>
      </c>
      <c r="T7344">
        <v>27.6</v>
      </c>
      <c r="U7344" s="2" t="s">
        <v>44414</v>
      </c>
      <c r="W7344" t="s">
        <v>23237</v>
      </c>
      <c r="X7344">
        <v>805258</v>
      </c>
      <c r="Y7344" t="s">
        <v>44415</v>
      </c>
      <c r="Z7344" t="s">
        <v>39671</v>
      </c>
      <c r="AA7344" t="s">
        <v>39672</v>
      </c>
      <c r="AB7344" t="s">
        <v>15776</v>
      </c>
      <c r="AG7344" t="s">
        <v>44416</v>
      </c>
      <c r="AH7344" t="s">
        <v>38048</v>
      </c>
      <c r="AI7344" t="s">
        <v>44417</v>
      </c>
    </row>
    <row r="7345" spans="2:35" ht="180">
      <c r="B7345" s="1">
        <v>45127</v>
      </c>
      <c r="C7345" s="4">
        <v>45127.588194444441</v>
      </c>
      <c r="D7345" t="s">
        <v>26013</v>
      </c>
      <c r="E7345" t="s">
        <v>8124</v>
      </c>
      <c r="F7345">
        <v>13</v>
      </c>
      <c r="G7345" t="s">
        <v>4484</v>
      </c>
      <c r="H7345" t="s">
        <v>2125</v>
      </c>
      <c r="I7345" t="s">
        <v>40</v>
      </c>
      <c r="J7345" s="2" t="s">
        <v>62</v>
      </c>
      <c r="K7345" t="s">
        <v>42</v>
      </c>
      <c r="L7345" t="s">
        <v>933</v>
      </c>
      <c r="Q7345">
        <v>25209</v>
      </c>
      <c r="R7345" t="s">
        <v>45</v>
      </c>
      <c r="S7345" t="s">
        <v>26014</v>
      </c>
      <c r="T7345">
        <v>27.3</v>
      </c>
      <c r="U7345" s="2" t="s">
        <v>44418</v>
      </c>
      <c r="W7345" t="s">
        <v>3662</v>
      </c>
      <c r="X7345">
        <v>807461</v>
      </c>
      <c r="Y7345" t="s">
        <v>44419</v>
      </c>
      <c r="Z7345" t="s">
        <v>301</v>
      </c>
      <c r="AA7345" s="2" t="s">
        <v>38487</v>
      </c>
      <c r="AB7345" t="s">
        <v>43442</v>
      </c>
      <c r="AG7345" t="s">
        <v>44420</v>
      </c>
      <c r="AH7345" t="s">
        <v>26017</v>
      </c>
      <c r="AI7345" t="s">
        <v>44421</v>
      </c>
    </row>
    <row r="7346" spans="2:35" ht="105">
      <c r="B7346" s="1">
        <v>45127</v>
      </c>
      <c r="C7346" s="4">
        <v>45127.558333333334</v>
      </c>
      <c r="D7346" t="s">
        <v>9886</v>
      </c>
      <c r="E7346" t="s">
        <v>44422</v>
      </c>
      <c r="F7346">
        <v>12</v>
      </c>
      <c r="G7346" t="s">
        <v>5785</v>
      </c>
      <c r="H7346" t="s">
        <v>5391</v>
      </c>
      <c r="I7346" t="s">
        <v>94</v>
      </c>
      <c r="J7346" s="2" t="s">
        <v>41</v>
      </c>
      <c r="K7346" t="s">
        <v>42</v>
      </c>
      <c r="L7346" t="s">
        <v>296</v>
      </c>
      <c r="Q7346">
        <v>25208</v>
      </c>
      <c r="R7346" t="s">
        <v>119</v>
      </c>
      <c r="S7346" t="s">
        <v>44423</v>
      </c>
      <c r="T7346">
        <v>26.4</v>
      </c>
      <c r="U7346" s="2" t="s">
        <v>20472</v>
      </c>
      <c r="W7346" t="s">
        <v>23049</v>
      </c>
      <c r="X7346">
        <v>838419</v>
      </c>
      <c r="Y7346" t="s">
        <v>20629</v>
      </c>
      <c r="Z7346" t="s">
        <v>44424</v>
      </c>
      <c r="AA7346" t="s">
        <v>9161</v>
      </c>
      <c r="AB7346" t="s">
        <v>972</v>
      </c>
      <c r="AG7346" t="s">
        <v>44425</v>
      </c>
      <c r="AH7346" t="s">
        <v>44426</v>
      </c>
      <c r="AI7346" t="s">
        <v>44427</v>
      </c>
    </row>
    <row r="7347" spans="2:35" ht="120">
      <c r="B7347" s="1">
        <v>45127</v>
      </c>
      <c r="C7347" s="4">
        <v>45127.509722222225</v>
      </c>
      <c r="D7347" t="s">
        <v>31623</v>
      </c>
      <c r="E7347" t="s">
        <v>44428</v>
      </c>
      <c r="F7347">
        <v>5</v>
      </c>
      <c r="G7347" t="s">
        <v>5795</v>
      </c>
      <c r="H7347" t="s">
        <v>44429</v>
      </c>
      <c r="I7347" t="s">
        <v>40</v>
      </c>
      <c r="J7347" t="s">
        <v>109</v>
      </c>
      <c r="K7347" t="s">
        <v>42</v>
      </c>
      <c r="L7347" t="s">
        <v>761</v>
      </c>
      <c r="Q7347">
        <v>25207</v>
      </c>
      <c r="R7347" t="s">
        <v>45</v>
      </c>
      <c r="S7347" t="s">
        <v>37546</v>
      </c>
      <c r="T7347">
        <v>30</v>
      </c>
      <c r="U7347" s="2" t="s">
        <v>33960</v>
      </c>
      <c r="W7347" t="s">
        <v>360</v>
      </c>
      <c r="X7347">
        <v>807600</v>
      </c>
      <c r="Y7347" t="s">
        <v>1052</v>
      </c>
      <c r="Z7347" s="2" t="s">
        <v>44430</v>
      </c>
      <c r="AA7347" t="s">
        <v>820</v>
      </c>
      <c r="AB7347" t="s">
        <v>181</v>
      </c>
      <c r="AG7347" t="s">
        <v>44431</v>
      </c>
      <c r="AH7347" t="s">
        <v>37551</v>
      </c>
      <c r="AI7347" t="s">
        <v>44432</v>
      </c>
    </row>
    <row r="7348" spans="2:35" ht="180">
      <c r="B7348" s="1">
        <v>45127</v>
      </c>
      <c r="C7348" s="4">
        <v>45127.370833333334</v>
      </c>
      <c r="D7348" t="s">
        <v>44433</v>
      </c>
      <c r="E7348" t="s">
        <v>42870</v>
      </c>
      <c r="F7348">
        <v>7</v>
      </c>
      <c r="G7348" t="s">
        <v>432</v>
      </c>
      <c r="H7348" t="s">
        <v>2290</v>
      </c>
      <c r="I7348" t="s">
        <v>94</v>
      </c>
      <c r="J7348" s="2" t="s">
        <v>190</v>
      </c>
      <c r="K7348" t="s">
        <v>42</v>
      </c>
      <c r="L7348" t="s">
        <v>610</v>
      </c>
      <c r="Q7348">
        <v>25206</v>
      </c>
      <c r="R7348" t="s">
        <v>119</v>
      </c>
      <c r="S7348" t="s">
        <v>16540</v>
      </c>
      <c r="T7348">
        <v>22</v>
      </c>
      <c r="U7348" s="2" t="s">
        <v>44434</v>
      </c>
      <c r="W7348" t="s">
        <v>502</v>
      </c>
      <c r="X7348">
        <v>838283</v>
      </c>
      <c r="Y7348" s="2" t="s">
        <v>44435</v>
      </c>
      <c r="Z7348" s="2" t="s">
        <v>44436</v>
      </c>
      <c r="AA7348" t="s">
        <v>44437</v>
      </c>
      <c r="AB7348" t="s">
        <v>44438</v>
      </c>
      <c r="AG7348" t="s">
        <v>44439</v>
      </c>
      <c r="AH7348" t="s">
        <v>44440</v>
      </c>
      <c r="AI7348" t="s">
        <v>44441</v>
      </c>
    </row>
    <row r="7349" spans="2:35" ht="225">
      <c r="B7349" s="1">
        <v>45127</v>
      </c>
      <c r="C7349" s="4">
        <v>45127.402083333334</v>
      </c>
      <c r="D7349" t="s">
        <v>6943</v>
      </c>
      <c r="E7349" t="s">
        <v>44442</v>
      </c>
      <c r="F7349">
        <v>5</v>
      </c>
      <c r="G7349" t="s">
        <v>5795</v>
      </c>
      <c r="H7349" t="s">
        <v>44429</v>
      </c>
      <c r="I7349" t="s">
        <v>40</v>
      </c>
      <c r="J7349" s="2" t="s">
        <v>190</v>
      </c>
      <c r="K7349" t="s">
        <v>42</v>
      </c>
      <c r="L7349" t="s">
        <v>761</v>
      </c>
      <c r="Q7349">
        <v>25205</v>
      </c>
      <c r="R7349" t="s">
        <v>119</v>
      </c>
      <c r="S7349" t="s">
        <v>5796</v>
      </c>
      <c r="T7349">
        <v>26</v>
      </c>
      <c r="U7349" s="2" t="s">
        <v>20063</v>
      </c>
      <c r="W7349" t="s">
        <v>360</v>
      </c>
      <c r="X7349">
        <v>838576</v>
      </c>
      <c r="Y7349" t="s">
        <v>44443</v>
      </c>
      <c r="Z7349" s="2" t="s">
        <v>44444</v>
      </c>
      <c r="AA7349" t="s">
        <v>44445</v>
      </c>
      <c r="AB7349" s="2" t="s">
        <v>44446</v>
      </c>
      <c r="AG7349" t="s">
        <v>44447</v>
      </c>
      <c r="AH7349" t="s">
        <v>44448</v>
      </c>
      <c r="AI7349" t="s">
        <v>44449</v>
      </c>
    </row>
    <row r="7350" spans="2:35" ht="285">
      <c r="B7350" s="1">
        <v>45126</v>
      </c>
      <c r="C7350" s="4">
        <v>45126.643055555556</v>
      </c>
      <c r="D7350" t="s">
        <v>28608</v>
      </c>
      <c r="E7350" t="s">
        <v>44450</v>
      </c>
      <c r="F7350">
        <v>7</v>
      </c>
      <c r="G7350" t="s">
        <v>432</v>
      </c>
      <c r="H7350" t="s">
        <v>10969</v>
      </c>
      <c r="I7350" t="s">
        <v>40</v>
      </c>
      <c r="J7350" t="s">
        <v>79</v>
      </c>
      <c r="K7350" t="s">
        <v>42</v>
      </c>
      <c r="L7350" t="s">
        <v>1288</v>
      </c>
      <c r="Q7350">
        <v>25204</v>
      </c>
      <c r="R7350" t="s">
        <v>45</v>
      </c>
      <c r="S7350" t="s">
        <v>44451</v>
      </c>
      <c r="T7350">
        <v>22</v>
      </c>
      <c r="U7350" s="2" t="s">
        <v>44452</v>
      </c>
      <c r="W7350" t="s">
        <v>1292</v>
      </c>
      <c r="X7350">
        <v>838882</v>
      </c>
      <c r="Y7350" t="s">
        <v>25383</v>
      </c>
      <c r="Z7350" t="s">
        <v>44453</v>
      </c>
      <c r="AA7350" t="s">
        <v>44454</v>
      </c>
      <c r="AB7350" t="s">
        <v>1293</v>
      </c>
      <c r="AG7350" t="s">
        <v>44455</v>
      </c>
      <c r="AH7350" t="s">
        <v>44456</v>
      </c>
      <c r="AI7350" t="s">
        <v>44457</v>
      </c>
    </row>
    <row r="7351" spans="2:35" ht="105">
      <c r="B7351" s="1">
        <v>45126</v>
      </c>
      <c r="C7351" s="4">
        <v>45126.635416666664</v>
      </c>
      <c r="D7351" t="s">
        <v>1607</v>
      </c>
      <c r="E7351" t="s">
        <v>44458</v>
      </c>
      <c r="F7351" t="s">
        <v>148</v>
      </c>
      <c r="G7351" t="s">
        <v>371</v>
      </c>
      <c r="H7351" t="s">
        <v>39</v>
      </c>
      <c r="I7351" t="s">
        <v>40</v>
      </c>
      <c r="J7351" s="2" t="s">
        <v>41</v>
      </c>
      <c r="K7351" t="s">
        <v>42</v>
      </c>
      <c r="L7351" t="s">
        <v>175</v>
      </c>
      <c r="Q7351">
        <v>25203</v>
      </c>
      <c r="R7351" t="s">
        <v>45</v>
      </c>
      <c r="S7351" t="s">
        <v>1609</v>
      </c>
      <c r="T7351">
        <v>26</v>
      </c>
      <c r="U7351" s="2" t="s">
        <v>40371</v>
      </c>
      <c r="V7351" s="1">
        <v>45126</v>
      </c>
      <c r="W7351" t="s">
        <v>84</v>
      </c>
      <c r="X7351">
        <v>815395</v>
      </c>
      <c r="Y7351" t="s">
        <v>424</v>
      </c>
      <c r="Z7351" t="e">
        <f ca="1">- replaced B3
- checked _xludf.and cleaned cartridge bay, plunger rod, _xludf.filter
- generated reports</f>
        <v>#NAME?</v>
      </c>
      <c r="AA7351" t="s">
        <v>425</v>
      </c>
      <c r="AB7351" t="s">
        <v>88</v>
      </c>
      <c r="AD7351" s="2" t="s">
        <v>44459</v>
      </c>
      <c r="AE7351" t="s">
        <v>103</v>
      </c>
      <c r="AG7351" t="s">
        <v>44460</v>
      </c>
      <c r="AH7351" t="s">
        <v>1612</v>
      </c>
      <c r="AI7351" t="s">
        <v>44461</v>
      </c>
    </row>
    <row r="7352" spans="2:35" ht="195">
      <c r="B7352" s="1">
        <v>45126</v>
      </c>
      <c r="C7352" s="4">
        <v>45126.614583333336</v>
      </c>
      <c r="D7352" t="s">
        <v>31657</v>
      </c>
      <c r="E7352" t="s">
        <v>44462</v>
      </c>
      <c r="F7352">
        <v>5</v>
      </c>
      <c r="G7352" t="s">
        <v>5795</v>
      </c>
      <c r="H7352" t="s">
        <v>39</v>
      </c>
      <c r="I7352" t="s">
        <v>40</v>
      </c>
      <c r="J7352" t="s">
        <v>109</v>
      </c>
      <c r="K7352" t="s">
        <v>42</v>
      </c>
      <c r="L7352" t="s">
        <v>761</v>
      </c>
      <c r="Q7352">
        <v>25202</v>
      </c>
      <c r="R7352" t="s">
        <v>45</v>
      </c>
      <c r="S7352" t="s">
        <v>31659</v>
      </c>
      <c r="T7352">
        <v>25</v>
      </c>
      <c r="U7352" s="2" t="s">
        <v>21270</v>
      </c>
      <c r="W7352" t="s">
        <v>360</v>
      </c>
      <c r="X7352">
        <v>835188</v>
      </c>
      <c r="Y7352" t="s">
        <v>1111</v>
      </c>
      <c r="Z7352" s="2" t="s">
        <v>44463</v>
      </c>
      <c r="AA7352" t="s">
        <v>44464</v>
      </c>
      <c r="AB7352" s="2" t="s">
        <v>44465</v>
      </c>
      <c r="AG7352" t="s">
        <v>44466</v>
      </c>
      <c r="AH7352" t="s">
        <v>44467</v>
      </c>
      <c r="AI7352" t="s">
        <v>44468</v>
      </c>
    </row>
    <row r="7353" spans="2:35" ht="195">
      <c r="B7353" s="1">
        <v>45126</v>
      </c>
      <c r="C7353" s="4">
        <v>45126.624305555553</v>
      </c>
      <c r="D7353" t="s">
        <v>22594</v>
      </c>
      <c r="E7353" t="s">
        <v>22595</v>
      </c>
      <c r="F7353" t="s">
        <v>148</v>
      </c>
      <c r="G7353" t="s">
        <v>447</v>
      </c>
      <c r="H7353" t="s">
        <v>39</v>
      </c>
      <c r="I7353" t="s">
        <v>40</v>
      </c>
      <c r="J7353" s="2" t="s">
        <v>41</v>
      </c>
      <c r="K7353" t="s">
        <v>42</v>
      </c>
      <c r="L7353" t="s">
        <v>15532</v>
      </c>
      <c r="Q7353">
        <v>25201</v>
      </c>
      <c r="R7353" t="s">
        <v>119</v>
      </c>
      <c r="S7353" t="s">
        <v>22596</v>
      </c>
      <c r="T7353">
        <v>24</v>
      </c>
      <c r="U7353" s="2" t="s">
        <v>41760</v>
      </c>
      <c r="V7353" s="1">
        <v>45125</v>
      </c>
      <c r="W7353" t="s">
        <v>597</v>
      </c>
      <c r="X7353">
        <v>831901</v>
      </c>
      <c r="Y7353" t="s">
        <v>37158</v>
      </c>
      <c r="Z7353" s="2" t="s">
        <v>44469</v>
      </c>
      <c r="AA7353" s="2" t="s">
        <v>44470</v>
      </c>
      <c r="AB7353" t="s">
        <v>44471</v>
      </c>
      <c r="AD7353" t="s">
        <v>27573</v>
      </c>
      <c r="AE7353" t="s">
        <v>44472</v>
      </c>
      <c r="AG7353" t="s">
        <v>44473</v>
      </c>
      <c r="AH7353" t="s">
        <v>44474</v>
      </c>
      <c r="AI7353" t="s">
        <v>44475</v>
      </c>
    </row>
    <row r="7354" spans="2:35" ht="180">
      <c r="B7354" s="1">
        <v>45126</v>
      </c>
      <c r="C7354" s="4">
        <v>45126.599305555559</v>
      </c>
      <c r="D7354" t="s">
        <v>20595</v>
      </c>
      <c r="E7354" t="s">
        <v>44476</v>
      </c>
      <c r="F7354">
        <v>3</v>
      </c>
      <c r="G7354" t="s">
        <v>134</v>
      </c>
      <c r="H7354" t="s">
        <v>513</v>
      </c>
      <c r="I7354" t="s">
        <v>94</v>
      </c>
      <c r="J7354" s="2" t="s">
        <v>62</v>
      </c>
      <c r="K7354" t="s">
        <v>387</v>
      </c>
      <c r="L7354" t="s">
        <v>80</v>
      </c>
      <c r="Q7354">
        <v>25200</v>
      </c>
      <c r="R7354" t="s">
        <v>95</v>
      </c>
      <c r="S7354" t="s">
        <v>12629</v>
      </c>
      <c r="T7354">
        <v>25</v>
      </c>
      <c r="V7354" s="1">
        <v>45119</v>
      </c>
      <c r="W7354" t="s">
        <v>390</v>
      </c>
      <c r="X7354" t="s">
        <v>7574</v>
      </c>
      <c r="Y7354" t="s">
        <v>44477</v>
      </c>
      <c r="Z7354" s="2" t="s">
        <v>44478</v>
      </c>
      <c r="AA7354" t="s">
        <v>44479</v>
      </c>
      <c r="AB7354" t="s">
        <v>88</v>
      </c>
      <c r="AC7354" t="s">
        <v>301</v>
      </c>
      <c r="AD7354" t="s">
        <v>44480</v>
      </c>
      <c r="AE7354" t="s">
        <v>44481</v>
      </c>
      <c r="AG7354" t="s">
        <v>44482</v>
      </c>
      <c r="AH7354" t="s">
        <v>44483</v>
      </c>
      <c r="AI7354" t="s">
        <v>44484</v>
      </c>
    </row>
    <row r="7355" spans="2:35" ht="225">
      <c r="B7355" s="1">
        <v>45126</v>
      </c>
      <c r="C7355" s="4">
        <v>45126.574999999997</v>
      </c>
      <c r="D7355" t="s">
        <v>37250</v>
      </c>
      <c r="E7355" t="s">
        <v>37251</v>
      </c>
      <c r="F7355">
        <v>7</v>
      </c>
      <c r="G7355" t="s">
        <v>432</v>
      </c>
      <c r="H7355" t="s">
        <v>2290</v>
      </c>
      <c r="I7355" t="s">
        <v>94</v>
      </c>
      <c r="J7355" s="2" t="s">
        <v>1592</v>
      </c>
      <c r="K7355" t="s">
        <v>42</v>
      </c>
      <c r="L7355" t="s">
        <v>610</v>
      </c>
      <c r="Q7355">
        <v>25199</v>
      </c>
      <c r="R7355" t="s">
        <v>45</v>
      </c>
      <c r="S7355" t="s">
        <v>25240</v>
      </c>
      <c r="T7355">
        <v>24</v>
      </c>
      <c r="U7355" s="2" t="s">
        <v>33698</v>
      </c>
      <c r="W7355" t="s">
        <v>502</v>
      </c>
      <c r="X7355">
        <v>815464</v>
      </c>
      <c r="Y7355" t="s">
        <v>44485</v>
      </c>
      <c r="Z7355" s="2" t="s">
        <v>44486</v>
      </c>
      <c r="AA7355" t="s">
        <v>44487</v>
      </c>
      <c r="AB7355" t="s">
        <v>1263</v>
      </c>
      <c r="AG7355" t="s">
        <v>44488</v>
      </c>
      <c r="AH7355" t="s">
        <v>44489</v>
      </c>
      <c r="AI7355" t="s">
        <v>44490</v>
      </c>
    </row>
    <row r="7356" spans="2:35" ht="165">
      <c r="B7356" s="1">
        <v>45126</v>
      </c>
      <c r="C7356" s="4">
        <v>45126.549305555556</v>
      </c>
      <c r="D7356" t="s">
        <v>44491</v>
      </c>
      <c r="E7356" t="s">
        <v>44492</v>
      </c>
      <c r="F7356">
        <v>5</v>
      </c>
      <c r="G7356" t="s">
        <v>5795</v>
      </c>
      <c r="H7356" t="s">
        <v>39</v>
      </c>
      <c r="I7356" t="s">
        <v>40</v>
      </c>
      <c r="J7356" s="2" t="s">
        <v>190</v>
      </c>
      <c r="K7356" t="s">
        <v>42</v>
      </c>
      <c r="L7356" t="s">
        <v>761</v>
      </c>
      <c r="Q7356">
        <v>25198</v>
      </c>
      <c r="R7356" t="s">
        <v>45</v>
      </c>
      <c r="S7356" t="s">
        <v>41815</v>
      </c>
      <c r="T7356">
        <v>28</v>
      </c>
      <c r="U7356" s="2" t="s">
        <v>44493</v>
      </c>
      <c r="W7356" t="s">
        <v>360</v>
      </c>
      <c r="X7356">
        <v>808641</v>
      </c>
      <c r="Y7356" t="s">
        <v>1052</v>
      </c>
      <c r="Z7356" s="2" t="s">
        <v>44494</v>
      </c>
      <c r="AA7356" t="s">
        <v>820</v>
      </c>
      <c r="AB7356" t="s">
        <v>181</v>
      </c>
      <c r="AC7356" t="s">
        <v>44495</v>
      </c>
      <c r="AG7356" t="s">
        <v>44496</v>
      </c>
      <c r="AH7356" t="s">
        <v>44497</v>
      </c>
      <c r="AI7356" t="s">
        <v>44498</v>
      </c>
    </row>
    <row r="7357" spans="2:35" ht="135">
      <c r="B7357" s="1">
        <v>45126</v>
      </c>
      <c r="C7357" s="4">
        <v>45126.540972222225</v>
      </c>
      <c r="D7357" t="s">
        <v>23635</v>
      </c>
      <c r="E7357" t="s">
        <v>44499</v>
      </c>
      <c r="F7357" t="s">
        <v>148</v>
      </c>
      <c r="G7357" t="s">
        <v>310</v>
      </c>
      <c r="H7357" t="s">
        <v>39</v>
      </c>
      <c r="I7357" t="s">
        <v>40</v>
      </c>
      <c r="J7357" s="2" t="s">
        <v>41</v>
      </c>
      <c r="K7357" t="s">
        <v>42</v>
      </c>
      <c r="L7357" t="s">
        <v>1943</v>
      </c>
      <c r="Q7357">
        <v>25197</v>
      </c>
      <c r="R7357" t="s">
        <v>119</v>
      </c>
      <c r="S7357" t="s">
        <v>44500</v>
      </c>
      <c r="T7357">
        <v>25</v>
      </c>
      <c r="U7357" s="2" t="s">
        <v>2501</v>
      </c>
      <c r="V7357" s="1">
        <v>45125</v>
      </c>
      <c r="W7357" t="s">
        <v>84</v>
      </c>
      <c r="X7357">
        <v>831620</v>
      </c>
      <c r="Y7357" s="2" t="s">
        <v>22471</v>
      </c>
      <c r="Z7357" s="2" t="s">
        <v>44501</v>
      </c>
      <c r="AA7357" t="s">
        <v>28687</v>
      </c>
      <c r="AB7357" t="s">
        <v>88</v>
      </c>
      <c r="AD7357" t="s">
        <v>44502</v>
      </c>
      <c r="AE7357" t="s">
        <v>44503</v>
      </c>
      <c r="AG7357" t="s">
        <v>44504</v>
      </c>
      <c r="AH7357" t="s">
        <v>44505</v>
      </c>
      <c r="AI7357" t="s">
        <v>44506</v>
      </c>
    </row>
    <row r="7358" spans="2:35" ht="105">
      <c r="B7358" s="1">
        <v>45126</v>
      </c>
      <c r="C7358" s="4">
        <v>45126.531944444447</v>
      </c>
      <c r="D7358" t="s">
        <v>22763</v>
      </c>
      <c r="E7358" t="s">
        <v>22764</v>
      </c>
      <c r="F7358" t="s">
        <v>148</v>
      </c>
      <c r="G7358" t="s">
        <v>22765</v>
      </c>
      <c r="H7358" t="s">
        <v>39</v>
      </c>
      <c r="I7358" t="s">
        <v>40</v>
      </c>
      <c r="J7358" s="2" t="s">
        <v>41</v>
      </c>
      <c r="K7358" t="s">
        <v>42</v>
      </c>
      <c r="L7358" t="s">
        <v>175</v>
      </c>
      <c r="Q7358">
        <v>25196</v>
      </c>
      <c r="R7358" t="s">
        <v>45</v>
      </c>
      <c r="S7358" t="s">
        <v>22766</v>
      </c>
      <c r="T7358">
        <v>26</v>
      </c>
      <c r="U7358" s="2" t="s">
        <v>4708</v>
      </c>
      <c r="V7358" s="1">
        <v>45126</v>
      </c>
      <c r="W7358" t="s">
        <v>84</v>
      </c>
      <c r="X7358">
        <v>804715</v>
      </c>
      <c r="Y7358" t="s">
        <v>2165</v>
      </c>
      <c r="Z7358" t="e">
        <f ca="1">- replaced module B4
- checked cartridge bay, plunger rod, _xludf.filter
- generated reports</f>
        <v>#NAME?</v>
      </c>
      <c r="AA7358" t="s">
        <v>2166</v>
      </c>
      <c r="AB7358" t="s">
        <v>88</v>
      </c>
      <c r="AD7358" s="2" t="s">
        <v>44507</v>
      </c>
      <c r="AE7358" t="s">
        <v>103</v>
      </c>
      <c r="AG7358" t="s">
        <v>44508</v>
      </c>
      <c r="AH7358" t="s">
        <v>22771</v>
      </c>
      <c r="AI7358" t="s">
        <v>44509</v>
      </c>
    </row>
    <row r="7359" spans="2:35" ht="240">
      <c r="B7359" s="1">
        <v>45126</v>
      </c>
      <c r="C7359" s="4">
        <v>45126.512499999997</v>
      </c>
      <c r="D7359" t="s">
        <v>37250</v>
      </c>
      <c r="E7359" t="s">
        <v>44510</v>
      </c>
      <c r="F7359">
        <v>7</v>
      </c>
      <c r="G7359" t="s">
        <v>432</v>
      </c>
      <c r="H7359" t="s">
        <v>2290</v>
      </c>
      <c r="I7359" t="s">
        <v>94</v>
      </c>
      <c r="J7359" s="2" t="s">
        <v>1592</v>
      </c>
      <c r="K7359" t="s">
        <v>42</v>
      </c>
      <c r="L7359" t="s">
        <v>610</v>
      </c>
      <c r="Q7359">
        <v>25195</v>
      </c>
      <c r="R7359" t="s">
        <v>45</v>
      </c>
      <c r="S7359" t="s">
        <v>25240</v>
      </c>
      <c r="T7359">
        <v>24</v>
      </c>
      <c r="U7359" s="2" t="s">
        <v>33698</v>
      </c>
      <c r="W7359" t="s">
        <v>502</v>
      </c>
      <c r="X7359">
        <v>815464</v>
      </c>
      <c r="Y7359" t="s">
        <v>44511</v>
      </c>
      <c r="Z7359" s="2" t="s">
        <v>44512</v>
      </c>
      <c r="AA7359" s="2" t="s">
        <v>44513</v>
      </c>
      <c r="AB7359" t="s">
        <v>1263</v>
      </c>
      <c r="AG7359" t="s">
        <v>44514</v>
      </c>
      <c r="AH7359" t="s">
        <v>44489</v>
      </c>
      <c r="AI7359" t="s">
        <v>44515</v>
      </c>
    </row>
    <row r="7360" spans="2:35" ht="135">
      <c r="B7360" s="1">
        <v>45126</v>
      </c>
      <c r="C7360" s="4">
        <v>45126.498611111114</v>
      </c>
      <c r="D7360" t="s">
        <v>26333</v>
      </c>
      <c r="E7360" t="s">
        <v>41374</v>
      </c>
      <c r="F7360" t="s">
        <v>148</v>
      </c>
      <c r="G7360" t="s">
        <v>310</v>
      </c>
      <c r="H7360" t="s">
        <v>39</v>
      </c>
      <c r="I7360" t="s">
        <v>40</v>
      </c>
      <c r="J7360" s="2" t="s">
        <v>41</v>
      </c>
      <c r="K7360" t="s">
        <v>42</v>
      </c>
      <c r="L7360" t="s">
        <v>1943</v>
      </c>
      <c r="Q7360">
        <v>25194</v>
      </c>
      <c r="R7360" t="s">
        <v>119</v>
      </c>
      <c r="S7360" t="s">
        <v>34255</v>
      </c>
      <c r="T7360">
        <v>25</v>
      </c>
      <c r="U7360" s="2" t="s">
        <v>44516</v>
      </c>
      <c r="V7360" s="1">
        <v>45125</v>
      </c>
      <c r="W7360" t="s">
        <v>84</v>
      </c>
      <c r="X7360">
        <v>831871</v>
      </c>
      <c r="Y7360" s="2" t="s">
        <v>44517</v>
      </c>
      <c r="Z7360" s="2" t="s">
        <v>44518</v>
      </c>
      <c r="AA7360" t="s">
        <v>22330</v>
      </c>
      <c r="AB7360" t="s">
        <v>88</v>
      </c>
      <c r="AD7360" t="s">
        <v>44519</v>
      </c>
      <c r="AE7360" t="s">
        <v>44520</v>
      </c>
      <c r="AG7360" t="s">
        <v>44521</v>
      </c>
      <c r="AH7360" t="s">
        <v>34262</v>
      </c>
      <c r="AI7360" t="s">
        <v>44522</v>
      </c>
    </row>
    <row r="7361" spans="2:35" ht="165">
      <c r="B7361" s="1">
        <v>45126</v>
      </c>
      <c r="C7361" s="4">
        <v>45126.474305555559</v>
      </c>
      <c r="D7361" t="s">
        <v>1462</v>
      </c>
      <c r="E7361" t="s">
        <v>31739</v>
      </c>
      <c r="F7361">
        <v>3</v>
      </c>
      <c r="G7361" t="s">
        <v>1722</v>
      </c>
      <c r="H7361" t="s">
        <v>39</v>
      </c>
      <c r="I7361" t="s">
        <v>40</v>
      </c>
      <c r="J7361" s="2" t="s">
        <v>4208</v>
      </c>
      <c r="K7361" t="s">
        <v>42</v>
      </c>
      <c r="L7361" t="s">
        <v>63</v>
      </c>
      <c r="Q7361">
        <v>25193</v>
      </c>
      <c r="R7361" t="s">
        <v>45</v>
      </c>
      <c r="S7361" t="s">
        <v>31740</v>
      </c>
      <c r="T7361">
        <v>25</v>
      </c>
      <c r="U7361" s="2" t="s">
        <v>12916</v>
      </c>
      <c r="V7361" s="1">
        <v>45126</v>
      </c>
      <c r="W7361" t="s">
        <v>26915</v>
      </c>
      <c r="X7361">
        <v>805107</v>
      </c>
      <c r="Y7361" t="s">
        <v>25875</v>
      </c>
      <c r="Z7361" t="s">
        <v>44523</v>
      </c>
      <c r="AA7361" s="2" t="s">
        <v>1727</v>
      </c>
      <c r="AB7361" t="s">
        <v>70</v>
      </c>
      <c r="AC7361" t="s">
        <v>1937</v>
      </c>
      <c r="AD7361" t="s">
        <v>1716</v>
      </c>
      <c r="AE7361" t="s">
        <v>1716</v>
      </c>
      <c r="AG7361" t="s">
        <v>44524</v>
      </c>
      <c r="AH7361" t="s">
        <v>31744</v>
      </c>
      <c r="AI7361" t="s">
        <v>44525</v>
      </c>
    </row>
    <row r="7362" spans="2:35" ht="360">
      <c r="B7362" s="1">
        <v>45126</v>
      </c>
      <c r="C7362" s="4">
        <v>45126.429166666669</v>
      </c>
      <c r="D7362" t="s">
        <v>44526</v>
      </c>
      <c r="E7362" t="s">
        <v>44527</v>
      </c>
      <c r="F7362" t="s">
        <v>148</v>
      </c>
      <c r="G7362" t="s">
        <v>447</v>
      </c>
      <c r="H7362" t="s">
        <v>39</v>
      </c>
      <c r="I7362" t="s">
        <v>40</v>
      </c>
      <c r="J7362" s="2" t="s">
        <v>190</v>
      </c>
      <c r="K7362" t="s">
        <v>42</v>
      </c>
      <c r="L7362" t="s">
        <v>15532</v>
      </c>
      <c r="Q7362">
        <v>25192</v>
      </c>
      <c r="R7362" t="s">
        <v>45</v>
      </c>
      <c r="S7362" t="s">
        <v>44528</v>
      </c>
      <c r="T7362">
        <v>25</v>
      </c>
      <c r="U7362" s="2" t="s">
        <v>44529</v>
      </c>
      <c r="W7362" t="s">
        <v>3244</v>
      </c>
      <c r="X7362">
        <v>814162</v>
      </c>
      <c r="Y7362" t="s">
        <v>44530</v>
      </c>
      <c r="Z7362" s="2" t="s">
        <v>44531</v>
      </c>
      <c r="AA7362" t="s">
        <v>44532</v>
      </c>
      <c r="AB7362" t="s">
        <v>44533</v>
      </c>
      <c r="AG7362" t="s">
        <v>44534</v>
      </c>
      <c r="AH7362" t="s">
        <v>44535</v>
      </c>
      <c r="AI7362" t="s">
        <v>44536</v>
      </c>
    </row>
    <row r="7363" spans="2:35" ht="180">
      <c r="B7363" s="1">
        <v>45126</v>
      </c>
      <c r="C7363" s="4">
        <v>45126.410416666666</v>
      </c>
      <c r="D7363" t="s">
        <v>7939</v>
      </c>
      <c r="E7363" t="s">
        <v>44537</v>
      </c>
      <c r="F7363">
        <v>5</v>
      </c>
      <c r="G7363" t="s">
        <v>839</v>
      </c>
      <c r="H7363" t="s">
        <v>39</v>
      </c>
      <c r="I7363" t="s">
        <v>40</v>
      </c>
      <c r="J7363" s="2" t="s">
        <v>62</v>
      </c>
      <c r="K7363" t="s">
        <v>42</v>
      </c>
      <c r="L7363" t="s">
        <v>761</v>
      </c>
      <c r="Q7363">
        <v>25191</v>
      </c>
      <c r="R7363" t="s">
        <v>119</v>
      </c>
      <c r="S7363" t="s">
        <v>44538</v>
      </c>
      <c r="T7363">
        <v>27</v>
      </c>
      <c r="U7363" s="2" t="s">
        <v>22967</v>
      </c>
      <c r="W7363" t="s">
        <v>360</v>
      </c>
      <c r="X7363">
        <v>838207</v>
      </c>
      <c r="Y7363" t="s">
        <v>44539</v>
      </c>
      <c r="Z7363" s="2" t="s">
        <v>44540</v>
      </c>
      <c r="AA7363" t="s">
        <v>44445</v>
      </c>
      <c r="AB7363" s="2" t="s">
        <v>44541</v>
      </c>
      <c r="AG7363" t="s">
        <v>44542</v>
      </c>
      <c r="AH7363" t="s">
        <v>7944</v>
      </c>
      <c r="AI7363" t="s">
        <v>44543</v>
      </c>
    </row>
    <row r="7364" spans="2:35" ht="105">
      <c r="B7364" s="1">
        <v>45126</v>
      </c>
      <c r="C7364" s="4">
        <v>45126.365277777775</v>
      </c>
      <c r="D7364" t="s">
        <v>1404</v>
      </c>
      <c r="E7364" t="s">
        <v>44544</v>
      </c>
      <c r="F7364">
        <v>8</v>
      </c>
      <c r="G7364" t="s">
        <v>342</v>
      </c>
      <c r="H7364" t="s">
        <v>36499</v>
      </c>
      <c r="I7364" t="s">
        <v>40</v>
      </c>
      <c r="J7364" t="s">
        <v>109</v>
      </c>
      <c r="K7364" t="s">
        <v>42</v>
      </c>
      <c r="L7364" t="s">
        <v>259</v>
      </c>
      <c r="Q7364">
        <v>25190</v>
      </c>
      <c r="R7364" t="s">
        <v>45</v>
      </c>
      <c r="S7364" t="s">
        <v>44545</v>
      </c>
      <c r="T7364">
        <v>29</v>
      </c>
      <c r="U7364" s="2" t="s">
        <v>44546</v>
      </c>
      <c r="V7364" s="1">
        <v>45126</v>
      </c>
      <c r="W7364" t="s">
        <v>84</v>
      </c>
      <c r="X7364">
        <v>834819</v>
      </c>
      <c r="Y7364" t="s">
        <v>1716</v>
      </c>
      <c r="Z7364" t="s">
        <v>1716</v>
      </c>
      <c r="AA7364" t="e">
        <f ca="1">- Preventive Maintenance
- performed functionality test
- Generate reports</f>
        <v>#NAME?</v>
      </c>
      <c r="AB7364" t="s">
        <v>70</v>
      </c>
      <c r="AG7364" t="s">
        <v>44547</v>
      </c>
      <c r="AH7364" t="s">
        <v>44548</v>
      </c>
      <c r="AI7364" t="s">
        <v>44549</v>
      </c>
    </row>
    <row r="7365" spans="2:35" ht="105">
      <c r="B7365" s="1">
        <v>45125</v>
      </c>
      <c r="C7365" s="4">
        <v>45119.627083333333</v>
      </c>
      <c r="D7365" t="s">
        <v>1135</v>
      </c>
      <c r="E7365" t="s">
        <v>44550</v>
      </c>
      <c r="F7365" t="s">
        <v>37</v>
      </c>
      <c r="G7365" t="s">
        <v>38</v>
      </c>
      <c r="H7365" t="s">
        <v>39</v>
      </c>
      <c r="I7365" t="s">
        <v>40</v>
      </c>
      <c r="J7365" s="2" t="s">
        <v>62</v>
      </c>
      <c r="K7365" t="s">
        <v>42</v>
      </c>
      <c r="L7365" t="s">
        <v>448</v>
      </c>
      <c r="Q7365">
        <v>25189</v>
      </c>
      <c r="R7365" t="s">
        <v>45</v>
      </c>
      <c r="S7365" t="s">
        <v>23555</v>
      </c>
      <c r="T7365">
        <v>30</v>
      </c>
      <c r="U7365" s="2" t="s">
        <v>12909</v>
      </c>
      <c r="V7365" s="1">
        <v>45117</v>
      </c>
      <c r="W7365" t="s">
        <v>360</v>
      </c>
      <c r="X7365">
        <v>808616</v>
      </c>
      <c r="Y7365" t="s">
        <v>44551</v>
      </c>
      <c r="Z7365" t="s">
        <v>44552</v>
      </c>
      <c r="AA7365" t="s">
        <v>24030</v>
      </c>
      <c r="AB7365" t="s">
        <v>486</v>
      </c>
      <c r="AD7365" t="s">
        <v>11518</v>
      </c>
      <c r="AE7365">
        <v>41893</v>
      </c>
      <c r="AG7365" t="s">
        <v>44553</v>
      </c>
      <c r="AH7365" t="s">
        <v>33376</v>
      </c>
      <c r="AI7365" t="s">
        <v>44554</v>
      </c>
    </row>
    <row r="7366" spans="2:35" ht="240">
      <c r="B7366" s="1">
        <v>45125</v>
      </c>
      <c r="C7366" s="4">
        <v>45125.680555555555</v>
      </c>
      <c r="D7366" t="s">
        <v>23083</v>
      </c>
      <c r="E7366" t="s">
        <v>44555</v>
      </c>
      <c r="F7366" t="s">
        <v>148</v>
      </c>
      <c r="G7366" t="s">
        <v>447</v>
      </c>
      <c r="H7366" t="s">
        <v>39</v>
      </c>
      <c r="I7366" t="s">
        <v>40</v>
      </c>
      <c r="J7366" s="2" t="s">
        <v>41</v>
      </c>
      <c r="K7366" t="s">
        <v>42</v>
      </c>
      <c r="L7366" t="s">
        <v>15532</v>
      </c>
      <c r="Q7366">
        <v>25188</v>
      </c>
      <c r="R7366" t="s">
        <v>119</v>
      </c>
      <c r="S7366" t="s">
        <v>18441</v>
      </c>
      <c r="T7366">
        <v>31</v>
      </c>
      <c r="U7366" s="2" t="s">
        <v>44556</v>
      </c>
      <c r="V7366" s="1">
        <v>45125</v>
      </c>
      <c r="W7366" t="s">
        <v>597</v>
      </c>
      <c r="X7366">
        <v>831848</v>
      </c>
      <c r="Y7366" t="s">
        <v>34878</v>
      </c>
      <c r="Z7366" s="2" t="s">
        <v>44557</v>
      </c>
      <c r="AA7366" s="2" t="s">
        <v>44558</v>
      </c>
      <c r="AB7366" t="s">
        <v>34796</v>
      </c>
      <c r="AD7366" t="s">
        <v>44559</v>
      </c>
      <c r="AE7366" t="s">
        <v>44560</v>
      </c>
      <c r="AG7366" t="s">
        <v>44561</v>
      </c>
      <c r="AH7366" t="s">
        <v>44562</v>
      </c>
      <c r="AI7366" t="s">
        <v>44563</v>
      </c>
    </row>
    <row r="7367" spans="2:35" ht="135">
      <c r="B7367" s="1">
        <v>45125</v>
      </c>
      <c r="C7367" s="4">
        <v>45125.666666666664</v>
      </c>
      <c r="D7367" t="s">
        <v>2816</v>
      </c>
      <c r="E7367" t="s">
        <v>24408</v>
      </c>
      <c r="F7367" t="s">
        <v>148</v>
      </c>
      <c r="G7367" t="s">
        <v>371</v>
      </c>
      <c r="H7367" t="s">
        <v>39</v>
      </c>
      <c r="I7367" t="s">
        <v>40</v>
      </c>
      <c r="J7367" s="2" t="s">
        <v>41</v>
      </c>
      <c r="K7367" t="s">
        <v>42</v>
      </c>
      <c r="L7367" t="s">
        <v>175</v>
      </c>
      <c r="Q7367">
        <v>25187</v>
      </c>
      <c r="R7367" t="s">
        <v>119</v>
      </c>
      <c r="S7367" t="s">
        <v>2818</v>
      </c>
      <c r="T7367">
        <v>25</v>
      </c>
      <c r="U7367" s="2" t="s">
        <v>44564</v>
      </c>
      <c r="V7367" s="1">
        <v>45125</v>
      </c>
      <c r="W7367" t="s">
        <v>84</v>
      </c>
      <c r="X7367">
        <v>831907</v>
      </c>
      <c r="Y7367" t="s">
        <v>44565</v>
      </c>
      <c r="Z7367" t="e">
        <f ca="1">- replaced A2
- checked _xludf.and cleaned cartridge bay, plunger rod, _xludf.filter
- generated reports</f>
        <v>#NAME?</v>
      </c>
      <c r="AA7367" t="s">
        <v>39929</v>
      </c>
      <c r="AB7367" s="2" t="s">
        <v>44566</v>
      </c>
      <c r="AD7367" s="2" t="s">
        <v>44567</v>
      </c>
      <c r="AE7367">
        <v>10163</v>
      </c>
      <c r="AG7367" t="s">
        <v>44568</v>
      </c>
      <c r="AH7367" t="s">
        <v>44569</v>
      </c>
      <c r="AI7367" t="s">
        <v>44570</v>
      </c>
    </row>
    <row r="7368" spans="2:35" ht="135">
      <c r="B7368" s="1">
        <v>45125</v>
      </c>
      <c r="C7368" s="4">
        <v>45125.666666666664</v>
      </c>
      <c r="D7368" t="s">
        <v>2816</v>
      </c>
      <c r="E7368" t="s">
        <v>24408</v>
      </c>
      <c r="F7368" t="s">
        <v>148</v>
      </c>
      <c r="G7368" t="s">
        <v>371</v>
      </c>
      <c r="H7368" t="s">
        <v>39</v>
      </c>
      <c r="I7368" t="s">
        <v>40</v>
      </c>
      <c r="J7368" s="2" t="s">
        <v>41</v>
      </c>
      <c r="K7368" t="s">
        <v>42</v>
      </c>
      <c r="L7368" t="s">
        <v>175</v>
      </c>
      <c r="Q7368">
        <v>25186</v>
      </c>
      <c r="R7368" t="s">
        <v>119</v>
      </c>
      <c r="S7368" t="s">
        <v>2818</v>
      </c>
      <c r="T7368">
        <v>25</v>
      </c>
      <c r="U7368" s="2" t="s">
        <v>44564</v>
      </c>
      <c r="V7368" s="1">
        <v>45125</v>
      </c>
      <c r="W7368" t="s">
        <v>84</v>
      </c>
      <c r="X7368">
        <v>831907</v>
      </c>
      <c r="Y7368" t="s">
        <v>44565</v>
      </c>
      <c r="Z7368" t="e">
        <f ca="1">- replaced A2
- checked _xludf.and cleaned cartridge bay, plunger rod, _xludf.filter
- generated reports</f>
        <v>#NAME?</v>
      </c>
      <c r="AA7368" t="s">
        <v>39929</v>
      </c>
      <c r="AB7368" s="2" t="s">
        <v>44566</v>
      </c>
      <c r="AD7368" s="2" t="s">
        <v>44567</v>
      </c>
      <c r="AE7368">
        <v>10163</v>
      </c>
      <c r="AG7368" t="s">
        <v>44571</v>
      </c>
      <c r="AH7368" t="s">
        <v>44569</v>
      </c>
      <c r="AI7368" t="s">
        <v>44572</v>
      </c>
    </row>
    <row r="7369" spans="2:35" ht="225">
      <c r="B7369" s="1">
        <v>45125</v>
      </c>
      <c r="C7369" s="4">
        <v>45125.592361111114</v>
      </c>
      <c r="D7369" t="s">
        <v>44573</v>
      </c>
      <c r="E7369" t="s">
        <v>44574</v>
      </c>
      <c r="F7369">
        <v>7</v>
      </c>
      <c r="G7369" t="s">
        <v>432</v>
      </c>
      <c r="H7369" t="s">
        <v>2290</v>
      </c>
      <c r="I7369" t="s">
        <v>94</v>
      </c>
      <c r="J7369" t="s">
        <v>109</v>
      </c>
      <c r="K7369" t="s">
        <v>42</v>
      </c>
      <c r="L7369" t="s">
        <v>610</v>
      </c>
      <c r="Q7369">
        <v>25185</v>
      </c>
      <c r="R7369" t="s">
        <v>119</v>
      </c>
      <c r="S7369" t="s">
        <v>6211</v>
      </c>
      <c r="T7369">
        <v>24</v>
      </c>
      <c r="U7369" s="2" t="s">
        <v>17739</v>
      </c>
      <c r="W7369" t="s">
        <v>502</v>
      </c>
      <c r="X7369">
        <v>838534</v>
      </c>
      <c r="Y7369" t="s">
        <v>2692</v>
      </c>
      <c r="Z7369" t="s">
        <v>122</v>
      </c>
      <c r="AA7369" s="2" t="s">
        <v>44575</v>
      </c>
      <c r="AB7369" t="s">
        <v>1263</v>
      </c>
      <c r="AG7369" t="s">
        <v>44576</v>
      </c>
      <c r="AH7369" t="s">
        <v>44577</v>
      </c>
      <c r="AI7369" t="s">
        <v>44578</v>
      </c>
    </row>
    <row r="7370" spans="2:35" ht="210">
      <c r="B7370" s="1">
        <v>45125</v>
      </c>
      <c r="C7370" s="4">
        <v>45125.627083333333</v>
      </c>
      <c r="D7370" t="s">
        <v>44579</v>
      </c>
      <c r="E7370" t="s">
        <v>44580</v>
      </c>
      <c r="F7370">
        <v>10</v>
      </c>
      <c r="G7370" t="s">
        <v>8359</v>
      </c>
      <c r="H7370" t="s">
        <v>44581</v>
      </c>
      <c r="I7370" t="s">
        <v>94</v>
      </c>
      <c r="J7370" s="2" t="s">
        <v>1808</v>
      </c>
      <c r="K7370" t="s">
        <v>42</v>
      </c>
      <c r="L7370" t="s">
        <v>43100</v>
      </c>
      <c r="Q7370">
        <v>25184</v>
      </c>
      <c r="R7370" t="s">
        <v>45</v>
      </c>
      <c r="S7370" t="s">
        <v>44582</v>
      </c>
      <c r="T7370">
        <v>27</v>
      </c>
      <c r="U7370" s="2" t="s">
        <v>44583</v>
      </c>
      <c r="W7370" t="s">
        <v>43102</v>
      </c>
      <c r="X7370">
        <v>804708</v>
      </c>
      <c r="Y7370" t="s">
        <v>54</v>
      </c>
      <c r="Z7370" t="s">
        <v>54</v>
      </c>
      <c r="AA7370" s="2" t="s">
        <v>44584</v>
      </c>
      <c r="AB7370" t="s">
        <v>486</v>
      </c>
      <c r="AG7370" t="s">
        <v>44585</v>
      </c>
      <c r="AH7370" t="s">
        <v>44586</v>
      </c>
      <c r="AI7370" t="s">
        <v>44587</v>
      </c>
    </row>
    <row r="7371" spans="2:35" ht="135">
      <c r="B7371" s="1">
        <v>45125</v>
      </c>
      <c r="C7371" s="4">
        <v>45125.618750000001</v>
      </c>
      <c r="D7371" t="s">
        <v>308</v>
      </c>
      <c r="E7371" t="s">
        <v>41354</v>
      </c>
      <c r="F7371" t="s">
        <v>148</v>
      </c>
      <c r="G7371" t="s">
        <v>310</v>
      </c>
      <c r="H7371" t="s">
        <v>39</v>
      </c>
      <c r="I7371" t="s">
        <v>40</v>
      </c>
      <c r="J7371" s="2" t="s">
        <v>62</v>
      </c>
      <c r="K7371" t="s">
        <v>42</v>
      </c>
      <c r="L7371" t="s">
        <v>1943</v>
      </c>
      <c r="Q7371">
        <v>25183</v>
      </c>
      <c r="R7371" t="s">
        <v>45</v>
      </c>
      <c r="S7371" t="s">
        <v>311</v>
      </c>
      <c r="T7371">
        <v>25</v>
      </c>
      <c r="U7371" s="2" t="s">
        <v>43919</v>
      </c>
      <c r="W7371" t="s">
        <v>84</v>
      </c>
      <c r="X7371">
        <v>812561</v>
      </c>
      <c r="Y7371" s="2" t="s">
        <v>23659</v>
      </c>
      <c r="Z7371" s="2" t="s">
        <v>32801</v>
      </c>
      <c r="AA7371" t="s">
        <v>32281</v>
      </c>
      <c r="AB7371" t="s">
        <v>44588</v>
      </c>
      <c r="AG7371" t="s">
        <v>44589</v>
      </c>
      <c r="AH7371" t="s">
        <v>44590</v>
      </c>
      <c r="AI7371" t="s">
        <v>44591</v>
      </c>
    </row>
    <row r="7372" spans="2:35" ht="180">
      <c r="B7372" s="1">
        <v>45125</v>
      </c>
      <c r="C7372" s="4">
        <v>45125.615277777775</v>
      </c>
      <c r="D7372" t="s">
        <v>308</v>
      </c>
      <c r="E7372" t="s">
        <v>41354</v>
      </c>
      <c r="F7372" t="s">
        <v>148</v>
      </c>
      <c r="G7372" t="s">
        <v>310</v>
      </c>
      <c r="H7372" t="s">
        <v>39</v>
      </c>
      <c r="I7372" t="s">
        <v>40</v>
      </c>
      <c r="J7372" s="2" t="s">
        <v>41</v>
      </c>
      <c r="K7372" t="s">
        <v>42</v>
      </c>
      <c r="L7372" t="s">
        <v>1943</v>
      </c>
      <c r="Q7372">
        <v>25182</v>
      </c>
      <c r="R7372" t="s">
        <v>119</v>
      </c>
      <c r="S7372" t="s">
        <v>311</v>
      </c>
      <c r="T7372">
        <v>25</v>
      </c>
      <c r="U7372" s="2" t="s">
        <v>43919</v>
      </c>
      <c r="V7372" s="1">
        <v>45124</v>
      </c>
      <c r="W7372" t="s">
        <v>84</v>
      </c>
      <c r="X7372">
        <v>831534</v>
      </c>
      <c r="Y7372" s="2" t="s">
        <v>30687</v>
      </c>
      <c r="Z7372" s="2" t="s">
        <v>44592</v>
      </c>
      <c r="AA7372" t="s">
        <v>22330</v>
      </c>
      <c r="AB7372" t="s">
        <v>88</v>
      </c>
      <c r="AD7372" t="s">
        <v>44593</v>
      </c>
      <c r="AE7372" t="s">
        <v>44594</v>
      </c>
      <c r="AG7372" t="s">
        <v>44595</v>
      </c>
      <c r="AH7372" t="s">
        <v>44590</v>
      </c>
      <c r="AI7372" t="s">
        <v>44596</v>
      </c>
    </row>
    <row r="7373" spans="2:35" ht="195">
      <c r="B7373" s="1">
        <v>45125</v>
      </c>
      <c r="C7373" s="4">
        <v>45125.574999999997</v>
      </c>
      <c r="D7373" t="s">
        <v>3719</v>
      </c>
      <c r="E7373" t="s">
        <v>44597</v>
      </c>
      <c r="F7373" t="s">
        <v>148</v>
      </c>
      <c r="G7373" t="s">
        <v>310</v>
      </c>
      <c r="H7373" t="s">
        <v>39</v>
      </c>
      <c r="I7373" t="s">
        <v>40</v>
      </c>
      <c r="J7373" s="2" t="s">
        <v>41</v>
      </c>
      <c r="K7373" t="s">
        <v>42</v>
      </c>
      <c r="L7373" t="s">
        <v>1943</v>
      </c>
      <c r="Q7373">
        <v>25181</v>
      </c>
      <c r="R7373" t="s">
        <v>119</v>
      </c>
      <c r="S7373" t="s">
        <v>3721</v>
      </c>
      <c r="T7373">
        <v>25</v>
      </c>
      <c r="U7373" s="2" t="s">
        <v>44598</v>
      </c>
      <c r="V7373" s="1">
        <v>45124</v>
      </c>
      <c r="W7373" t="s">
        <v>84</v>
      </c>
      <c r="X7373">
        <v>831644</v>
      </c>
      <c r="Y7373" s="2" t="s">
        <v>35886</v>
      </c>
      <c r="Z7373" s="2" t="s">
        <v>44599</v>
      </c>
      <c r="AA7373" t="s">
        <v>22330</v>
      </c>
      <c r="AB7373" t="s">
        <v>88</v>
      </c>
      <c r="AD7373" t="s">
        <v>44600</v>
      </c>
      <c r="AE7373" t="s">
        <v>44601</v>
      </c>
      <c r="AG7373" t="s">
        <v>44602</v>
      </c>
      <c r="AH7373" t="s">
        <v>44603</v>
      </c>
      <c r="AI7373" t="s">
        <v>44604</v>
      </c>
    </row>
    <row r="7374" spans="2:35" ht="225">
      <c r="B7374" s="1">
        <v>45125</v>
      </c>
      <c r="C7374" s="4">
        <v>45125.567361111112</v>
      </c>
      <c r="D7374" t="s">
        <v>44605</v>
      </c>
      <c r="E7374" t="s">
        <v>27938</v>
      </c>
      <c r="F7374">
        <v>5</v>
      </c>
      <c r="G7374" t="s">
        <v>839</v>
      </c>
      <c r="H7374" t="s">
        <v>39</v>
      </c>
      <c r="I7374" t="s">
        <v>40</v>
      </c>
      <c r="J7374" s="2" t="s">
        <v>62</v>
      </c>
      <c r="K7374" t="s">
        <v>42</v>
      </c>
      <c r="L7374" t="s">
        <v>761</v>
      </c>
      <c r="Q7374">
        <v>25180</v>
      </c>
      <c r="R7374" t="s">
        <v>119</v>
      </c>
      <c r="S7374" t="s">
        <v>7158</v>
      </c>
      <c r="T7374">
        <v>25</v>
      </c>
      <c r="U7374" s="2" t="s">
        <v>32745</v>
      </c>
      <c r="W7374" t="s">
        <v>360</v>
      </c>
      <c r="X7374">
        <v>838496</v>
      </c>
      <c r="Y7374" t="s">
        <v>8090</v>
      </c>
      <c r="Z7374" s="2" t="s">
        <v>44606</v>
      </c>
      <c r="AA7374" t="s">
        <v>44464</v>
      </c>
      <c r="AB7374" s="2" t="s">
        <v>44607</v>
      </c>
      <c r="AG7374" t="s">
        <v>44608</v>
      </c>
      <c r="AH7374" t="s">
        <v>7162</v>
      </c>
      <c r="AI7374" t="s">
        <v>44609</v>
      </c>
    </row>
    <row r="7375" spans="2:35" ht="135">
      <c r="B7375" s="1">
        <v>45125</v>
      </c>
      <c r="C7375" s="4">
        <v>45125.553472222222</v>
      </c>
      <c r="D7375" t="s">
        <v>14403</v>
      </c>
      <c r="E7375" t="s">
        <v>43186</v>
      </c>
      <c r="F7375">
        <v>7</v>
      </c>
      <c r="G7375" t="s">
        <v>432</v>
      </c>
      <c r="H7375" t="s">
        <v>2290</v>
      </c>
      <c r="I7375" t="s">
        <v>94</v>
      </c>
      <c r="J7375" s="2" t="s">
        <v>62</v>
      </c>
      <c r="K7375" t="s">
        <v>42</v>
      </c>
      <c r="L7375" t="s">
        <v>610</v>
      </c>
      <c r="Q7375">
        <v>25179</v>
      </c>
      <c r="R7375" t="s">
        <v>119</v>
      </c>
      <c r="S7375" t="s">
        <v>16307</v>
      </c>
      <c r="T7375">
        <v>21.5</v>
      </c>
      <c r="U7375" s="2" t="s">
        <v>12638</v>
      </c>
      <c r="W7375" t="s">
        <v>502</v>
      </c>
      <c r="X7375">
        <v>837661</v>
      </c>
      <c r="Y7375" t="s">
        <v>44610</v>
      </c>
      <c r="Z7375" t="s">
        <v>44611</v>
      </c>
      <c r="AA7375" s="2" t="s">
        <v>44612</v>
      </c>
      <c r="AB7375" t="s">
        <v>44613</v>
      </c>
      <c r="AG7375" t="s">
        <v>44614</v>
      </c>
      <c r="AH7375" t="s">
        <v>44615</v>
      </c>
      <c r="AI7375" t="s">
        <v>44616</v>
      </c>
    </row>
    <row r="7376" spans="2:35" ht="210">
      <c r="B7376" s="1">
        <v>45125</v>
      </c>
      <c r="C7376" s="4">
        <v>45125.50277777778</v>
      </c>
      <c r="D7376" t="s">
        <v>2763</v>
      </c>
      <c r="E7376" t="s">
        <v>44617</v>
      </c>
      <c r="F7376">
        <v>6</v>
      </c>
      <c r="G7376" t="s">
        <v>1286</v>
      </c>
      <c r="H7376" t="s">
        <v>1498</v>
      </c>
      <c r="I7376" t="s">
        <v>94</v>
      </c>
      <c r="J7376" s="2" t="s">
        <v>41</v>
      </c>
      <c r="K7376" t="s">
        <v>42</v>
      </c>
      <c r="L7376" t="s">
        <v>343</v>
      </c>
      <c r="Q7376">
        <v>25178</v>
      </c>
      <c r="R7376" t="s">
        <v>45</v>
      </c>
      <c r="S7376" t="s">
        <v>44618</v>
      </c>
      <c r="T7376">
        <v>27</v>
      </c>
      <c r="U7376" s="2" t="s">
        <v>44619</v>
      </c>
      <c r="V7376" s="1">
        <v>45125</v>
      </c>
      <c r="W7376" t="s">
        <v>6105</v>
      </c>
      <c r="X7376">
        <v>807610</v>
      </c>
      <c r="Y7376" t="s">
        <v>44293</v>
      </c>
      <c r="Z7376" t="s">
        <v>44620</v>
      </c>
      <c r="AA7376" t="e">
        <f ca="1">-module Replacement
-Preventive Maintenance</f>
        <v>#NAME?</v>
      </c>
      <c r="AB7376" t="s">
        <v>44621</v>
      </c>
      <c r="AC7376" t="s">
        <v>44622</v>
      </c>
      <c r="AD7376" t="s">
        <v>31932</v>
      </c>
      <c r="AE7376" t="s">
        <v>45</v>
      </c>
      <c r="AG7376" t="s">
        <v>44623</v>
      </c>
      <c r="AH7376" t="s">
        <v>2771</v>
      </c>
      <c r="AI7376" t="s">
        <v>44624</v>
      </c>
    </row>
    <row r="7377" spans="2:35" ht="409.5">
      <c r="B7377" s="1">
        <v>45125</v>
      </c>
      <c r="C7377" s="4">
        <v>45125.469444444447</v>
      </c>
      <c r="D7377" t="s">
        <v>44625</v>
      </c>
      <c r="E7377" t="s">
        <v>44626</v>
      </c>
      <c r="F7377" t="s">
        <v>148</v>
      </c>
      <c r="G7377" t="s">
        <v>447</v>
      </c>
      <c r="H7377" t="s">
        <v>39</v>
      </c>
      <c r="I7377" t="s">
        <v>40</v>
      </c>
      <c r="J7377" s="2" t="s">
        <v>41</v>
      </c>
      <c r="K7377" t="s">
        <v>42</v>
      </c>
      <c r="L7377" t="s">
        <v>15532</v>
      </c>
      <c r="Q7377">
        <v>25177</v>
      </c>
      <c r="R7377" t="s">
        <v>322</v>
      </c>
      <c r="S7377" t="s">
        <v>15652</v>
      </c>
      <c r="T7377">
        <v>23</v>
      </c>
      <c r="U7377" s="2" t="s">
        <v>44627</v>
      </c>
      <c r="V7377" s="1">
        <v>45124</v>
      </c>
      <c r="W7377" t="s">
        <v>423</v>
      </c>
      <c r="X7377">
        <v>845462</v>
      </c>
      <c r="Y7377" t="s">
        <v>424</v>
      </c>
      <c r="Z7377" s="2" t="s">
        <v>44628</v>
      </c>
      <c r="AA7377" s="2" t="s">
        <v>44629</v>
      </c>
      <c r="AB7377" t="s">
        <v>7445</v>
      </c>
      <c r="AD7377" t="s">
        <v>34000</v>
      </c>
      <c r="AE7377" t="s">
        <v>44630</v>
      </c>
      <c r="AG7377" t="s">
        <v>44631</v>
      </c>
      <c r="AH7377" t="s">
        <v>44632</v>
      </c>
      <c r="AI7377" t="s">
        <v>44633</v>
      </c>
    </row>
    <row r="7378" spans="2:35" ht="105">
      <c r="B7378" s="1">
        <v>45125</v>
      </c>
      <c r="C7378" s="4">
        <v>45125.470833333333</v>
      </c>
      <c r="D7378" t="s">
        <v>44634</v>
      </c>
      <c r="E7378" t="s">
        <v>2956</v>
      </c>
      <c r="F7378">
        <v>9</v>
      </c>
      <c r="G7378" t="s">
        <v>2197</v>
      </c>
      <c r="H7378" t="s">
        <v>39</v>
      </c>
      <c r="I7378" t="s">
        <v>40</v>
      </c>
      <c r="J7378" t="s">
        <v>525</v>
      </c>
      <c r="K7378" t="s">
        <v>42</v>
      </c>
      <c r="L7378" t="s">
        <v>1257</v>
      </c>
      <c r="Q7378">
        <v>25176</v>
      </c>
      <c r="R7378" t="s">
        <v>119</v>
      </c>
      <c r="S7378" t="s">
        <v>2958</v>
      </c>
      <c r="T7378">
        <v>19</v>
      </c>
      <c r="U7378" s="2" t="s">
        <v>44635</v>
      </c>
      <c r="V7378" s="1">
        <v>45125</v>
      </c>
      <c r="W7378" t="s">
        <v>2384</v>
      </c>
      <c r="X7378">
        <v>821214</v>
      </c>
      <c r="Y7378" t="s">
        <v>44636</v>
      </c>
      <c r="Z7378" t="s">
        <v>44637</v>
      </c>
      <c r="AA7378" t="s">
        <v>44637</v>
      </c>
      <c r="AB7378" t="s">
        <v>44638</v>
      </c>
      <c r="AC7378" t="s">
        <v>44639</v>
      </c>
      <c r="AD7378" t="s">
        <v>54</v>
      </c>
      <c r="AE7378" t="s">
        <v>54</v>
      </c>
      <c r="AG7378" t="s">
        <v>44640</v>
      </c>
      <c r="AH7378" t="s">
        <v>2968</v>
      </c>
      <c r="AI7378" t="s">
        <v>44641</v>
      </c>
    </row>
    <row r="7379" spans="2:35" ht="105">
      <c r="B7379" s="1">
        <v>45125</v>
      </c>
      <c r="C7379" s="4">
        <v>45125.450694444444</v>
      </c>
      <c r="D7379" t="s">
        <v>44642</v>
      </c>
      <c r="E7379" t="s">
        <v>2956</v>
      </c>
      <c r="F7379">
        <v>9</v>
      </c>
      <c r="G7379" t="s">
        <v>2197</v>
      </c>
      <c r="H7379" t="s">
        <v>39</v>
      </c>
      <c r="I7379" t="s">
        <v>40</v>
      </c>
      <c r="J7379" t="s">
        <v>525</v>
      </c>
      <c r="K7379" t="s">
        <v>42</v>
      </c>
      <c r="L7379" t="s">
        <v>1257</v>
      </c>
      <c r="Q7379">
        <v>25175</v>
      </c>
      <c r="R7379" t="s">
        <v>119</v>
      </c>
      <c r="S7379" t="s">
        <v>2958</v>
      </c>
      <c r="T7379">
        <v>19</v>
      </c>
      <c r="U7379" s="2" t="s">
        <v>17275</v>
      </c>
      <c r="V7379" s="1">
        <v>45125</v>
      </c>
      <c r="W7379" t="s">
        <v>2384</v>
      </c>
      <c r="X7379">
        <v>821214</v>
      </c>
      <c r="Y7379" t="s">
        <v>44643</v>
      </c>
      <c r="Z7379" t="s">
        <v>44644</v>
      </c>
      <c r="AA7379" t="s">
        <v>44644</v>
      </c>
      <c r="AB7379" t="s">
        <v>44645</v>
      </c>
      <c r="AC7379" t="s">
        <v>301</v>
      </c>
      <c r="AD7379" t="s">
        <v>54</v>
      </c>
      <c r="AE7379" t="s">
        <v>54</v>
      </c>
      <c r="AG7379" t="s">
        <v>44646</v>
      </c>
      <c r="AH7379" t="s">
        <v>2968</v>
      </c>
      <c r="AI7379" t="s">
        <v>44647</v>
      </c>
    </row>
    <row r="7380" spans="2:35" ht="409.5">
      <c r="B7380" s="1">
        <v>45125</v>
      </c>
      <c r="C7380" s="4">
        <v>45125.439583333333</v>
      </c>
      <c r="D7380" t="s">
        <v>13723</v>
      </c>
      <c r="E7380" t="s">
        <v>12017</v>
      </c>
      <c r="F7380">
        <v>7</v>
      </c>
      <c r="G7380" t="s">
        <v>432</v>
      </c>
      <c r="H7380" t="s">
        <v>1047</v>
      </c>
      <c r="I7380" t="s">
        <v>40</v>
      </c>
      <c r="J7380" t="s">
        <v>44648</v>
      </c>
      <c r="K7380" t="s">
        <v>42</v>
      </c>
      <c r="L7380" t="s">
        <v>1288</v>
      </c>
      <c r="Q7380">
        <v>25174</v>
      </c>
      <c r="R7380" t="s">
        <v>95</v>
      </c>
      <c r="S7380" t="s">
        <v>4886</v>
      </c>
      <c r="T7380">
        <v>23</v>
      </c>
      <c r="U7380" s="2" t="s">
        <v>44649</v>
      </c>
      <c r="W7380" t="s">
        <v>1292</v>
      </c>
      <c r="X7380">
        <v>110008524</v>
      </c>
      <c r="Y7380" t="s">
        <v>44650</v>
      </c>
      <c r="Z7380" t="s">
        <v>9107</v>
      </c>
      <c r="AA7380" t="s">
        <v>44651</v>
      </c>
      <c r="AB7380" t="s">
        <v>1293</v>
      </c>
      <c r="AG7380" t="s">
        <v>44652</v>
      </c>
      <c r="AH7380" t="s">
        <v>44653</v>
      </c>
      <c r="AI7380" t="s">
        <v>44654</v>
      </c>
    </row>
    <row r="7381" spans="2:35" ht="330">
      <c r="B7381" s="1">
        <v>45125</v>
      </c>
      <c r="C7381" s="4">
        <v>45125.420138888891</v>
      </c>
      <c r="D7381" t="s">
        <v>21926</v>
      </c>
      <c r="E7381" t="s">
        <v>21927</v>
      </c>
      <c r="F7381" t="s">
        <v>148</v>
      </c>
      <c r="G7381" t="s">
        <v>447</v>
      </c>
      <c r="H7381" t="s">
        <v>39</v>
      </c>
      <c r="I7381" t="s">
        <v>40</v>
      </c>
      <c r="J7381" s="2" t="s">
        <v>41</v>
      </c>
      <c r="K7381" t="s">
        <v>42</v>
      </c>
      <c r="L7381" t="s">
        <v>15532</v>
      </c>
      <c r="Q7381">
        <v>25173</v>
      </c>
      <c r="R7381" t="s">
        <v>119</v>
      </c>
      <c r="S7381" t="s">
        <v>40191</v>
      </c>
      <c r="T7381">
        <v>27</v>
      </c>
      <c r="U7381" s="2" t="s">
        <v>44655</v>
      </c>
      <c r="W7381" t="s">
        <v>597</v>
      </c>
      <c r="X7381">
        <v>831597</v>
      </c>
      <c r="Y7381" t="s">
        <v>44656</v>
      </c>
      <c r="Z7381" s="2" t="s">
        <v>44657</v>
      </c>
      <c r="AA7381" t="s">
        <v>2322</v>
      </c>
      <c r="AB7381" t="s">
        <v>44658</v>
      </c>
      <c r="AG7381" t="s">
        <v>44659</v>
      </c>
      <c r="AH7381" t="s">
        <v>40200</v>
      </c>
      <c r="AI7381" t="s">
        <v>44660</v>
      </c>
    </row>
    <row r="7382" spans="2:35" ht="225">
      <c r="B7382" s="1">
        <v>45125</v>
      </c>
      <c r="C7382" s="4">
        <v>45125.412499999999</v>
      </c>
      <c r="D7382" t="s">
        <v>44661</v>
      </c>
      <c r="E7382" t="s">
        <v>3616</v>
      </c>
      <c r="F7382">
        <v>3</v>
      </c>
      <c r="G7382" t="s">
        <v>174</v>
      </c>
      <c r="H7382" t="s">
        <v>39</v>
      </c>
      <c r="I7382" t="s">
        <v>40</v>
      </c>
      <c r="J7382" s="2" t="s">
        <v>62</v>
      </c>
      <c r="K7382" t="s">
        <v>42</v>
      </c>
      <c r="L7382" t="s">
        <v>175</v>
      </c>
      <c r="Q7382">
        <v>25172</v>
      </c>
      <c r="R7382" t="s">
        <v>119</v>
      </c>
      <c r="S7382" t="s">
        <v>23152</v>
      </c>
      <c r="T7382">
        <v>26</v>
      </c>
      <c r="U7382" s="2" t="s">
        <v>44662</v>
      </c>
      <c r="V7382" s="1">
        <v>45110</v>
      </c>
      <c r="W7382" t="s">
        <v>84</v>
      </c>
      <c r="X7382">
        <v>831641</v>
      </c>
      <c r="Y7382" t="e">
        <f ca="1">- monitor _xludf.For Replacement
- A2, A3 _xludf.For re XpertCheck</f>
        <v>#NAME?</v>
      </c>
      <c r="Z7382" t="e">
        <f ca="1">- replaced monitor
- checked _xludf.and cleaned cartridge bay, plunger rod, _xludf.filter
- performed re XpertCheck on A2, A3
- generated reports
- performed functionality test</f>
        <v>#NAME?</v>
      </c>
      <c r="AA7382" t="e">
        <f ca="1">- replaced monitor
- performed XpertCheck on A2, A3</f>
        <v>#NAME?</v>
      </c>
      <c r="AB7382" s="2" t="s">
        <v>44663</v>
      </c>
      <c r="AD7382" s="2" t="s">
        <v>44664</v>
      </c>
      <c r="AE7382">
        <v>10073</v>
      </c>
      <c r="AG7382" t="s">
        <v>44665</v>
      </c>
      <c r="AH7382" t="s">
        <v>23156</v>
      </c>
      <c r="AI7382" t="s">
        <v>44666</v>
      </c>
    </row>
    <row r="7383" spans="2:35">
      <c r="B7383" s="1">
        <v>45125</v>
      </c>
      <c r="C7383" s="4">
        <v>45121.394444444442</v>
      </c>
      <c r="D7383" t="s">
        <v>4132</v>
      </c>
      <c r="E7383" t="s">
        <v>44667</v>
      </c>
      <c r="F7383" t="s">
        <v>148</v>
      </c>
      <c r="G7383" t="s">
        <v>447</v>
      </c>
      <c r="H7383" t="s">
        <v>386</v>
      </c>
      <c r="I7383" t="s">
        <v>40</v>
      </c>
      <c r="J7383" t="s">
        <v>79</v>
      </c>
      <c r="K7383" t="s">
        <v>387</v>
      </c>
      <c r="L7383" t="s">
        <v>448</v>
      </c>
      <c r="Q7383">
        <v>25171</v>
      </c>
      <c r="R7383" t="s">
        <v>322</v>
      </c>
      <c r="S7383" t="s">
        <v>44668</v>
      </c>
      <c r="T7383">
        <v>28</v>
      </c>
      <c r="V7383" s="1">
        <v>45120</v>
      </c>
      <c r="W7383" t="s">
        <v>44669</v>
      </c>
      <c r="X7383" t="s">
        <v>4135</v>
      </c>
      <c r="Y7383" t="s">
        <v>44670</v>
      </c>
      <c r="Z7383" t="s">
        <v>44671</v>
      </c>
      <c r="AA7383" t="s">
        <v>44672</v>
      </c>
      <c r="AB7383" t="s">
        <v>486</v>
      </c>
      <c r="AD7383" t="s">
        <v>44673</v>
      </c>
      <c r="AE7383">
        <v>10107</v>
      </c>
      <c r="AG7383" t="s">
        <v>44674</v>
      </c>
      <c r="AH7383" t="s">
        <v>44675</v>
      </c>
      <c r="AI7383" t="s">
        <v>44676</v>
      </c>
    </row>
    <row r="7384" spans="2:35" ht="105">
      <c r="B7384" s="1">
        <v>45125</v>
      </c>
      <c r="C7384" s="4">
        <v>45121.587500000001</v>
      </c>
      <c r="D7384" t="s">
        <v>3076</v>
      </c>
      <c r="E7384" t="s">
        <v>44677</v>
      </c>
      <c r="F7384" t="s">
        <v>148</v>
      </c>
      <c r="G7384" t="s">
        <v>447</v>
      </c>
      <c r="H7384" t="s">
        <v>39</v>
      </c>
      <c r="I7384" t="s">
        <v>40</v>
      </c>
      <c r="J7384" t="s">
        <v>996</v>
      </c>
      <c r="K7384" t="s">
        <v>42</v>
      </c>
      <c r="L7384" t="s">
        <v>448</v>
      </c>
      <c r="Q7384">
        <v>25170</v>
      </c>
      <c r="R7384" t="s">
        <v>119</v>
      </c>
      <c r="S7384" t="s">
        <v>3078</v>
      </c>
      <c r="T7384">
        <v>29</v>
      </c>
      <c r="U7384" s="2" t="s">
        <v>44678</v>
      </c>
      <c r="V7384" s="1">
        <v>45121</v>
      </c>
      <c r="W7384" t="s">
        <v>360</v>
      </c>
      <c r="X7384">
        <v>831899</v>
      </c>
      <c r="Y7384" t="s">
        <v>44679</v>
      </c>
      <c r="Z7384" t="s">
        <v>44680</v>
      </c>
      <c r="AA7384" t="s">
        <v>44681</v>
      </c>
      <c r="AB7384" t="s">
        <v>44682</v>
      </c>
      <c r="AD7384" t="s">
        <v>3628</v>
      </c>
      <c r="AE7384">
        <v>0</v>
      </c>
      <c r="AG7384" t="s">
        <v>44683</v>
      </c>
      <c r="AH7384" t="s">
        <v>44684</v>
      </c>
      <c r="AI7384" t="s">
        <v>44685</v>
      </c>
    </row>
    <row r="7385" spans="2:35" ht="330">
      <c r="B7385" s="1">
        <v>45124</v>
      </c>
      <c r="C7385" s="4">
        <v>45124.698611111111</v>
      </c>
      <c r="D7385" t="s">
        <v>24248</v>
      </c>
      <c r="E7385" t="s">
        <v>44686</v>
      </c>
      <c r="F7385">
        <v>5</v>
      </c>
      <c r="G7385" t="s">
        <v>759</v>
      </c>
      <c r="H7385" t="s">
        <v>39</v>
      </c>
      <c r="I7385" t="s">
        <v>40</v>
      </c>
      <c r="J7385" s="2" t="s">
        <v>41</v>
      </c>
      <c r="K7385" t="s">
        <v>42</v>
      </c>
      <c r="L7385" t="s">
        <v>761</v>
      </c>
      <c r="Q7385">
        <v>25169</v>
      </c>
      <c r="R7385" t="s">
        <v>45</v>
      </c>
      <c r="S7385" t="s">
        <v>26598</v>
      </c>
      <c r="T7385">
        <v>24</v>
      </c>
      <c r="U7385" s="2" t="s">
        <v>44687</v>
      </c>
      <c r="V7385" s="1">
        <v>45119</v>
      </c>
      <c r="W7385" t="s">
        <v>360</v>
      </c>
      <c r="X7385">
        <v>814371</v>
      </c>
      <c r="Y7385" t="s">
        <v>2129</v>
      </c>
      <c r="Z7385" s="2" t="s">
        <v>44688</v>
      </c>
      <c r="AA7385" t="s">
        <v>44689</v>
      </c>
      <c r="AB7385" t="s">
        <v>181</v>
      </c>
      <c r="AE7385" t="s">
        <v>44690</v>
      </c>
      <c r="AG7385" t="s">
        <v>44691</v>
      </c>
      <c r="AH7385" t="s">
        <v>44692</v>
      </c>
      <c r="AI7385" t="s">
        <v>44693</v>
      </c>
    </row>
    <row r="7386" spans="2:35" ht="285">
      <c r="B7386" s="1">
        <v>45124</v>
      </c>
      <c r="C7386" s="4">
        <v>45121.599305555559</v>
      </c>
      <c r="D7386" t="s">
        <v>3604</v>
      </c>
      <c r="E7386" t="s">
        <v>38547</v>
      </c>
      <c r="F7386" t="s">
        <v>148</v>
      </c>
      <c r="G7386" t="s">
        <v>2007</v>
      </c>
      <c r="H7386" t="s">
        <v>39</v>
      </c>
      <c r="I7386" t="s">
        <v>40</v>
      </c>
      <c r="J7386" s="2" t="s">
        <v>1157</v>
      </c>
      <c r="K7386" t="s">
        <v>42</v>
      </c>
      <c r="L7386" t="s">
        <v>43</v>
      </c>
      <c r="Q7386">
        <v>25168</v>
      </c>
      <c r="R7386" t="s">
        <v>119</v>
      </c>
      <c r="S7386" t="s">
        <v>2312</v>
      </c>
      <c r="T7386">
        <v>24</v>
      </c>
      <c r="U7386" s="2" t="s">
        <v>1761</v>
      </c>
      <c r="V7386" s="1">
        <v>45110</v>
      </c>
      <c r="W7386" t="s">
        <v>9792</v>
      </c>
      <c r="X7386">
        <v>831875</v>
      </c>
      <c r="Y7386" t="s">
        <v>44694</v>
      </c>
      <c r="Z7386" t="s">
        <v>1519</v>
      </c>
      <c r="AA7386" s="2" t="s">
        <v>44695</v>
      </c>
      <c r="AB7386" t="s">
        <v>24813</v>
      </c>
      <c r="AD7386" t="s">
        <v>39229</v>
      </c>
      <c r="AE7386" t="s">
        <v>44696</v>
      </c>
      <c r="AG7386" t="s">
        <v>44697</v>
      </c>
      <c r="AH7386" t="s">
        <v>44698</v>
      </c>
      <c r="AI7386" t="s">
        <v>44699</v>
      </c>
    </row>
    <row r="7387" spans="2:35" ht="240">
      <c r="B7387" s="1">
        <v>45124</v>
      </c>
      <c r="C7387" s="4">
        <v>45121.468055555553</v>
      </c>
      <c r="D7387" t="s">
        <v>795</v>
      </c>
      <c r="E7387" t="s">
        <v>38647</v>
      </c>
      <c r="F7387" t="s">
        <v>148</v>
      </c>
      <c r="G7387" t="s">
        <v>406</v>
      </c>
      <c r="H7387" t="s">
        <v>39</v>
      </c>
      <c r="I7387" t="s">
        <v>40</v>
      </c>
      <c r="J7387" s="2" t="s">
        <v>1157</v>
      </c>
      <c r="K7387" t="s">
        <v>42</v>
      </c>
      <c r="L7387" t="s">
        <v>43</v>
      </c>
      <c r="Q7387">
        <v>25167</v>
      </c>
      <c r="R7387" t="s">
        <v>45</v>
      </c>
      <c r="S7387" t="s">
        <v>32878</v>
      </c>
      <c r="T7387">
        <v>26</v>
      </c>
      <c r="U7387" s="2" t="s">
        <v>44700</v>
      </c>
      <c r="W7387" t="s">
        <v>9792</v>
      </c>
      <c r="X7387">
        <v>807452</v>
      </c>
      <c r="Y7387" t="s">
        <v>1111</v>
      </c>
      <c r="Z7387" s="2" t="s">
        <v>44701</v>
      </c>
      <c r="AA7387" s="2" t="s">
        <v>44702</v>
      </c>
      <c r="AB7387" t="s">
        <v>44703</v>
      </c>
      <c r="AC7387" t="s">
        <v>44704</v>
      </c>
      <c r="AG7387" t="s">
        <v>44705</v>
      </c>
      <c r="AH7387" t="s">
        <v>38651</v>
      </c>
      <c r="AI7387" t="s">
        <v>44706</v>
      </c>
    </row>
    <row r="7388" spans="2:35" ht="240">
      <c r="B7388" s="1">
        <v>45124</v>
      </c>
      <c r="C7388" s="4">
        <v>45120.637499999997</v>
      </c>
      <c r="D7388" t="s">
        <v>107</v>
      </c>
      <c r="E7388" t="s">
        <v>29029</v>
      </c>
      <c r="F7388" t="s">
        <v>37</v>
      </c>
      <c r="G7388" t="s">
        <v>38</v>
      </c>
      <c r="H7388" t="s">
        <v>39</v>
      </c>
      <c r="I7388" t="s">
        <v>40</v>
      </c>
      <c r="J7388" t="s">
        <v>109</v>
      </c>
      <c r="K7388" t="s">
        <v>42</v>
      </c>
      <c r="L7388" t="s">
        <v>43</v>
      </c>
      <c r="Q7388">
        <v>25165</v>
      </c>
      <c r="R7388" t="s">
        <v>45</v>
      </c>
      <c r="S7388" t="s">
        <v>44707</v>
      </c>
      <c r="T7388">
        <v>24</v>
      </c>
      <c r="U7388" s="2" t="s">
        <v>44708</v>
      </c>
      <c r="W7388" t="s">
        <v>9792</v>
      </c>
      <c r="X7388">
        <v>838182</v>
      </c>
      <c r="Y7388" s="2" t="s">
        <v>44709</v>
      </c>
      <c r="Z7388" s="2" t="s">
        <v>44710</v>
      </c>
      <c r="AA7388" s="2" t="s">
        <v>44711</v>
      </c>
      <c r="AB7388" t="s">
        <v>44712</v>
      </c>
      <c r="AG7388" t="s">
        <v>44713</v>
      </c>
      <c r="AH7388" t="s">
        <v>44714</v>
      </c>
      <c r="AI7388" t="s">
        <v>44715</v>
      </c>
    </row>
    <row r="7389" spans="2:35" ht="255">
      <c r="B7389" s="1">
        <v>45124</v>
      </c>
      <c r="C7389" s="4">
        <v>45120.643750000003</v>
      </c>
      <c r="D7389" t="s">
        <v>107</v>
      </c>
      <c r="E7389" t="s">
        <v>29029</v>
      </c>
      <c r="F7389" t="s">
        <v>37</v>
      </c>
      <c r="G7389" t="s">
        <v>38</v>
      </c>
      <c r="H7389" t="s">
        <v>39</v>
      </c>
      <c r="I7389" t="s">
        <v>40</v>
      </c>
      <c r="J7389" s="2" t="s">
        <v>62</v>
      </c>
      <c r="K7389" t="s">
        <v>42</v>
      </c>
      <c r="L7389" t="s">
        <v>43</v>
      </c>
      <c r="Q7389">
        <v>25165</v>
      </c>
      <c r="R7389" t="s">
        <v>45</v>
      </c>
      <c r="S7389" t="s">
        <v>44707</v>
      </c>
      <c r="T7389">
        <v>24</v>
      </c>
      <c r="U7389" s="2" t="s">
        <v>14266</v>
      </c>
      <c r="W7389" t="s">
        <v>9792</v>
      </c>
      <c r="X7389">
        <v>804687</v>
      </c>
      <c r="Y7389" t="s">
        <v>1111</v>
      </c>
      <c r="Z7389" t="s">
        <v>1519</v>
      </c>
      <c r="AA7389" s="2" t="s">
        <v>44716</v>
      </c>
      <c r="AB7389" t="s">
        <v>44717</v>
      </c>
      <c r="AG7389" t="s">
        <v>44718</v>
      </c>
      <c r="AH7389" t="s">
        <v>44714</v>
      </c>
      <c r="AI7389" t="s">
        <v>44719</v>
      </c>
    </row>
    <row r="7390" spans="2:35" ht="409.5">
      <c r="B7390" s="1">
        <v>45124</v>
      </c>
      <c r="C7390" s="4">
        <v>45119.620833333334</v>
      </c>
      <c r="D7390" t="s">
        <v>1081</v>
      </c>
      <c r="E7390" t="s">
        <v>25743</v>
      </c>
      <c r="F7390" t="s">
        <v>148</v>
      </c>
      <c r="G7390" t="s">
        <v>785</v>
      </c>
      <c r="H7390" t="s">
        <v>39</v>
      </c>
      <c r="I7390" t="s">
        <v>40</v>
      </c>
      <c r="J7390" t="s">
        <v>109</v>
      </c>
      <c r="K7390" t="s">
        <v>42</v>
      </c>
      <c r="L7390" t="s">
        <v>43</v>
      </c>
      <c r="Q7390">
        <v>25165</v>
      </c>
      <c r="R7390" t="s">
        <v>95</v>
      </c>
      <c r="S7390" t="s">
        <v>2016</v>
      </c>
      <c r="T7390">
        <v>29</v>
      </c>
      <c r="U7390" s="2" t="s">
        <v>44720</v>
      </c>
      <c r="W7390" t="s">
        <v>41381</v>
      </c>
      <c r="X7390">
        <v>802630</v>
      </c>
      <c r="Y7390" t="s">
        <v>44721</v>
      </c>
      <c r="Z7390" t="s">
        <v>122</v>
      </c>
      <c r="AA7390" s="2" t="s">
        <v>44722</v>
      </c>
      <c r="AB7390" t="s">
        <v>44723</v>
      </c>
      <c r="AG7390" t="s">
        <v>44724</v>
      </c>
      <c r="AH7390" t="s">
        <v>13391</v>
      </c>
      <c r="AI7390" t="s">
        <v>44725</v>
      </c>
    </row>
    <row r="7391" spans="2:35" ht="210">
      <c r="B7391" s="1">
        <v>45124</v>
      </c>
      <c r="C7391" s="4">
        <v>45120.634027777778</v>
      </c>
      <c r="D7391" t="s">
        <v>107</v>
      </c>
      <c r="E7391" t="s">
        <v>33157</v>
      </c>
      <c r="F7391" t="s">
        <v>37</v>
      </c>
      <c r="G7391" t="s">
        <v>38</v>
      </c>
      <c r="H7391" t="s">
        <v>39</v>
      </c>
      <c r="I7391" t="s">
        <v>40</v>
      </c>
      <c r="J7391" t="s">
        <v>109</v>
      </c>
      <c r="K7391" t="s">
        <v>42</v>
      </c>
      <c r="L7391" t="s">
        <v>43</v>
      </c>
      <c r="Q7391">
        <v>25165</v>
      </c>
      <c r="R7391" t="s">
        <v>119</v>
      </c>
      <c r="S7391" t="s">
        <v>44707</v>
      </c>
      <c r="T7391">
        <v>24</v>
      </c>
      <c r="U7391" s="2" t="s">
        <v>44726</v>
      </c>
      <c r="W7391" t="s">
        <v>9792</v>
      </c>
      <c r="X7391">
        <v>831623</v>
      </c>
      <c r="Y7391" t="s">
        <v>121</v>
      </c>
      <c r="Z7391" t="s">
        <v>122</v>
      </c>
      <c r="AA7391" s="2" t="s">
        <v>44727</v>
      </c>
      <c r="AB7391" t="s">
        <v>16412</v>
      </c>
      <c r="AG7391" t="s">
        <v>44728</v>
      </c>
      <c r="AH7391" t="s">
        <v>44714</v>
      </c>
      <c r="AI7391" t="s">
        <v>44729</v>
      </c>
    </row>
    <row r="7392" spans="2:35" ht="409.5">
      <c r="B7392" s="1">
        <v>45124</v>
      </c>
      <c r="C7392" s="4">
        <v>45119.635416666664</v>
      </c>
      <c r="D7392" t="s">
        <v>1081</v>
      </c>
      <c r="E7392" t="s">
        <v>25774</v>
      </c>
      <c r="F7392" t="s">
        <v>148</v>
      </c>
      <c r="G7392" t="s">
        <v>785</v>
      </c>
      <c r="H7392" t="s">
        <v>39</v>
      </c>
      <c r="I7392" t="s">
        <v>40</v>
      </c>
      <c r="J7392" t="s">
        <v>109</v>
      </c>
      <c r="K7392" t="s">
        <v>42</v>
      </c>
      <c r="L7392" t="s">
        <v>43</v>
      </c>
      <c r="Q7392">
        <v>25166</v>
      </c>
      <c r="R7392" t="s">
        <v>95</v>
      </c>
      <c r="S7392" t="s">
        <v>2016</v>
      </c>
      <c r="T7392">
        <v>25</v>
      </c>
      <c r="U7392" s="2" t="s">
        <v>44730</v>
      </c>
      <c r="W7392" t="s">
        <v>2018</v>
      </c>
      <c r="X7392">
        <v>110015767</v>
      </c>
      <c r="Y7392" t="s">
        <v>121</v>
      </c>
      <c r="Z7392" t="s">
        <v>122</v>
      </c>
      <c r="AA7392" s="2" t="s">
        <v>44731</v>
      </c>
      <c r="AB7392" t="s">
        <v>16412</v>
      </c>
      <c r="AG7392" t="s">
        <v>44732</v>
      </c>
      <c r="AH7392" t="s">
        <v>13391</v>
      </c>
      <c r="AI7392" t="s">
        <v>44733</v>
      </c>
    </row>
    <row r="7393" spans="2:35" ht="210">
      <c r="B7393" s="1">
        <v>45124</v>
      </c>
      <c r="C7393" s="4">
        <v>45118.381944444445</v>
      </c>
      <c r="D7393" t="s">
        <v>7219</v>
      </c>
      <c r="E7393" t="s">
        <v>16273</v>
      </c>
      <c r="F7393" t="s">
        <v>148</v>
      </c>
      <c r="G7393" t="s">
        <v>310</v>
      </c>
      <c r="H7393" t="s">
        <v>39</v>
      </c>
      <c r="I7393" t="s">
        <v>40</v>
      </c>
      <c r="J7393" s="2" t="s">
        <v>41</v>
      </c>
      <c r="K7393" t="s">
        <v>42</v>
      </c>
      <c r="L7393" t="s">
        <v>1028</v>
      </c>
      <c r="Q7393">
        <v>25164</v>
      </c>
      <c r="R7393" t="s">
        <v>45</v>
      </c>
      <c r="S7393" t="s">
        <v>35366</v>
      </c>
      <c r="T7393">
        <v>20</v>
      </c>
      <c r="U7393" s="2" t="s">
        <v>44734</v>
      </c>
      <c r="V7393" s="1">
        <v>45117</v>
      </c>
      <c r="W7393" t="s">
        <v>2680</v>
      </c>
      <c r="X7393">
        <v>804763</v>
      </c>
      <c r="Y7393" t="s">
        <v>35646</v>
      </c>
      <c r="Z7393" t="s">
        <v>2129</v>
      </c>
      <c r="AA7393" s="2" t="s">
        <v>44735</v>
      </c>
      <c r="AB7393" t="s">
        <v>3063</v>
      </c>
      <c r="AC7393" t="s">
        <v>44736</v>
      </c>
      <c r="AD7393" t="s">
        <v>19700</v>
      </c>
      <c r="AE7393" t="s">
        <v>44737</v>
      </c>
      <c r="AG7393" t="s">
        <v>44738</v>
      </c>
      <c r="AH7393" t="s">
        <v>35371</v>
      </c>
      <c r="AI7393" t="s">
        <v>44739</v>
      </c>
    </row>
    <row r="7394" spans="2:35" ht="210">
      <c r="B7394" s="1">
        <v>45124</v>
      </c>
      <c r="C7394" s="4">
        <v>45118.381944444445</v>
      </c>
      <c r="D7394" t="s">
        <v>7219</v>
      </c>
      <c r="E7394" t="s">
        <v>16273</v>
      </c>
      <c r="F7394" t="s">
        <v>148</v>
      </c>
      <c r="G7394" t="s">
        <v>310</v>
      </c>
      <c r="H7394" t="s">
        <v>39</v>
      </c>
      <c r="I7394" t="s">
        <v>40</v>
      </c>
      <c r="J7394" s="2" t="s">
        <v>41</v>
      </c>
      <c r="K7394" t="s">
        <v>42</v>
      </c>
      <c r="L7394" t="s">
        <v>1028</v>
      </c>
      <c r="Q7394">
        <v>25163</v>
      </c>
      <c r="R7394" t="s">
        <v>45</v>
      </c>
      <c r="S7394" t="s">
        <v>35366</v>
      </c>
      <c r="T7394">
        <v>20</v>
      </c>
      <c r="U7394" s="2" t="s">
        <v>44734</v>
      </c>
      <c r="V7394" s="1">
        <v>45117</v>
      </c>
      <c r="W7394" t="s">
        <v>2680</v>
      </c>
      <c r="X7394">
        <v>804763</v>
      </c>
      <c r="Y7394" t="s">
        <v>35646</v>
      </c>
      <c r="Z7394" t="s">
        <v>2129</v>
      </c>
      <c r="AA7394" s="2" t="s">
        <v>44735</v>
      </c>
      <c r="AB7394" t="s">
        <v>3063</v>
      </c>
      <c r="AC7394" t="s">
        <v>44736</v>
      </c>
      <c r="AD7394" t="s">
        <v>19700</v>
      </c>
      <c r="AE7394" t="s">
        <v>44737</v>
      </c>
      <c r="AG7394" t="s">
        <v>44740</v>
      </c>
      <c r="AH7394" t="s">
        <v>35371</v>
      </c>
      <c r="AI7394" t="s">
        <v>44741</v>
      </c>
    </row>
    <row r="7395" spans="2:35" ht="210">
      <c r="B7395" s="1">
        <v>45124</v>
      </c>
      <c r="C7395" s="4">
        <v>45119.40625</v>
      </c>
      <c r="D7395" t="s">
        <v>44742</v>
      </c>
      <c r="E7395" t="s">
        <v>6028</v>
      </c>
      <c r="F7395" t="s">
        <v>148</v>
      </c>
      <c r="G7395" t="s">
        <v>310</v>
      </c>
      <c r="H7395" t="s">
        <v>39</v>
      </c>
      <c r="I7395" t="s">
        <v>94</v>
      </c>
      <c r="J7395" s="2" t="s">
        <v>62</v>
      </c>
      <c r="K7395" t="s">
        <v>42</v>
      </c>
      <c r="L7395" t="s">
        <v>1028</v>
      </c>
      <c r="Q7395">
        <v>25162</v>
      </c>
      <c r="R7395" t="s">
        <v>322</v>
      </c>
      <c r="S7395" t="s">
        <v>18136</v>
      </c>
      <c r="T7395">
        <v>26</v>
      </c>
      <c r="U7395" s="2" t="s">
        <v>44743</v>
      </c>
      <c r="V7395" s="1">
        <v>45119</v>
      </c>
      <c r="W7395" t="s">
        <v>2680</v>
      </c>
      <c r="X7395">
        <v>838836</v>
      </c>
      <c r="Y7395" t="s">
        <v>18140</v>
      </c>
      <c r="Z7395" t="s">
        <v>21244</v>
      </c>
      <c r="AA7395" s="2" t="s">
        <v>39033</v>
      </c>
      <c r="AB7395" t="s">
        <v>3063</v>
      </c>
      <c r="AD7395" t="s">
        <v>7189</v>
      </c>
      <c r="AE7395" t="s">
        <v>44744</v>
      </c>
      <c r="AG7395" t="s">
        <v>44745</v>
      </c>
      <c r="AH7395" t="s">
        <v>44746</v>
      </c>
      <c r="AI7395" t="s">
        <v>44747</v>
      </c>
    </row>
    <row r="7396" spans="2:35" ht="210">
      <c r="B7396" s="1">
        <v>45124</v>
      </c>
      <c r="C7396" s="4">
        <v>45119.40625</v>
      </c>
      <c r="D7396" t="s">
        <v>44742</v>
      </c>
      <c r="E7396" t="s">
        <v>6028</v>
      </c>
      <c r="F7396" t="s">
        <v>148</v>
      </c>
      <c r="G7396" t="s">
        <v>310</v>
      </c>
      <c r="H7396" t="s">
        <v>39</v>
      </c>
      <c r="I7396" t="s">
        <v>94</v>
      </c>
      <c r="J7396" s="2" t="s">
        <v>62</v>
      </c>
      <c r="K7396" t="s">
        <v>42</v>
      </c>
      <c r="L7396" t="s">
        <v>1028</v>
      </c>
      <c r="Q7396">
        <v>25161</v>
      </c>
      <c r="R7396" t="s">
        <v>322</v>
      </c>
      <c r="S7396" t="s">
        <v>18136</v>
      </c>
      <c r="T7396">
        <v>26</v>
      </c>
      <c r="U7396" s="2" t="s">
        <v>44743</v>
      </c>
      <c r="V7396" s="1">
        <v>45119</v>
      </c>
      <c r="W7396" t="s">
        <v>2680</v>
      </c>
      <c r="X7396">
        <v>838836</v>
      </c>
      <c r="Y7396" t="s">
        <v>18140</v>
      </c>
      <c r="Z7396" t="s">
        <v>21244</v>
      </c>
      <c r="AA7396" s="2" t="s">
        <v>39033</v>
      </c>
      <c r="AB7396" t="s">
        <v>3063</v>
      </c>
      <c r="AD7396" t="s">
        <v>7189</v>
      </c>
      <c r="AE7396" t="s">
        <v>44744</v>
      </c>
      <c r="AG7396" t="s">
        <v>44748</v>
      </c>
      <c r="AH7396" t="s">
        <v>44746</v>
      </c>
      <c r="AI7396" t="s">
        <v>44749</v>
      </c>
    </row>
    <row r="7397" spans="2:35" ht="210">
      <c r="B7397" s="1">
        <v>45124</v>
      </c>
      <c r="C7397" s="4">
        <v>45119.414583333331</v>
      </c>
      <c r="D7397" t="s">
        <v>44742</v>
      </c>
      <c r="E7397" t="s">
        <v>6028</v>
      </c>
      <c r="F7397" t="s">
        <v>148</v>
      </c>
      <c r="G7397" t="s">
        <v>310</v>
      </c>
      <c r="H7397" t="s">
        <v>39</v>
      </c>
      <c r="I7397" t="s">
        <v>94</v>
      </c>
      <c r="J7397" s="2" t="s">
        <v>62</v>
      </c>
      <c r="K7397" t="s">
        <v>42</v>
      </c>
      <c r="L7397" t="s">
        <v>1028</v>
      </c>
      <c r="Q7397">
        <v>25160</v>
      </c>
      <c r="R7397" t="s">
        <v>322</v>
      </c>
      <c r="S7397" t="s">
        <v>18136</v>
      </c>
      <c r="T7397">
        <v>26</v>
      </c>
      <c r="U7397" s="2" t="s">
        <v>44750</v>
      </c>
      <c r="V7397" s="1">
        <v>45119</v>
      </c>
      <c r="W7397" t="s">
        <v>36557</v>
      </c>
      <c r="X7397">
        <v>838777</v>
      </c>
      <c r="Y7397" t="s">
        <v>18140</v>
      </c>
      <c r="Z7397" t="s">
        <v>21244</v>
      </c>
      <c r="AA7397" s="2" t="s">
        <v>44751</v>
      </c>
      <c r="AB7397" t="s">
        <v>44752</v>
      </c>
      <c r="AC7397" t="s">
        <v>44753</v>
      </c>
      <c r="AD7397" t="s">
        <v>1958</v>
      </c>
      <c r="AE7397" t="s">
        <v>44744</v>
      </c>
      <c r="AG7397" t="s">
        <v>44754</v>
      </c>
      <c r="AH7397" t="s">
        <v>44746</v>
      </c>
      <c r="AI7397" t="s">
        <v>44755</v>
      </c>
    </row>
    <row r="7398" spans="2:35" ht="210">
      <c r="B7398" s="1">
        <v>45124</v>
      </c>
      <c r="C7398" s="4">
        <v>45119.414583333331</v>
      </c>
      <c r="D7398" t="s">
        <v>44742</v>
      </c>
      <c r="E7398" t="s">
        <v>6028</v>
      </c>
      <c r="F7398" t="s">
        <v>148</v>
      </c>
      <c r="G7398" t="s">
        <v>310</v>
      </c>
      <c r="H7398" t="s">
        <v>39</v>
      </c>
      <c r="I7398" t="s">
        <v>94</v>
      </c>
      <c r="J7398" s="2" t="s">
        <v>62</v>
      </c>
      <c r="K7398" t="s">
        <v>42</v>
      </c>
      <c r="L7398" t="s">
        <v>1028</v>
      </c>
      <c r="Q7398">
        <v>25159</v>
      </c>
      <c r="R7398" t="s">
        <v>322</v>
      </c>
      <c r="S7398" t="s">
        <v>18136</v>
      </c>
      <c r="T7398">
        <v>26</v>
      </c>
      <c r="U7398" s="2" t="s">
        <v>44750</v>
      </c>
      <c r="V7398" s="1">
        <v>45119</v>
      </c>
      <c r="W7398" t="s">
        <v>36557</v>
      </c>
      <c r="X7398">
        <v>838777</v>
      </c>
      <c r="Y7398" t="s">
        <v>18140</v>
      </c>
      <c r="Z7398" t="s">
        <v>21244</v>
      </c>
      <c r="AA7398" s="2" t="s">
        <v>44751</v>
      </c>
      <c r="AB7398" t="s">
        <v>44752</v>
      </c>
      <c r="AC7398" t="s">
        <v>44753</v>
      </c>
      <c r="AD7398" t="s">
        <v>1958</v>
      </c>
      <c r="AE7398" t="s">
        <v>44744</v>
      </c>
      <c r="AG7398" t="s">
        <v>44756</v>
      </c>
      <c r="AH7398" t="s">
        <v>44746</v>
      </c>
      <c r="AI7398" t="s">
        <v>44757</v>
      </c>
    </row>
    <row r="7399" spans="2:35" ht="105">
      <c r="B7399" s="1">
        <v>45124</v>
      </c>
      <c r="C7399" s="4">
        <v>45124.456250000003</v>
      </c>
      <c r="D7399" t="s">
        <v>44758</v>
      </c>
      <c r="E7399" t="s">
        <v>44759</v>
      </c>
      <c r="F7399">
        <v>6</v>
      </c>
      <c r="G7399" t="s">
        <v>1286</v>
      </c>
      <c r="H7399" t="s">
        <v>39</v>
      </c>
      <c r="I7399" t="s">
        <v>94</v>
      </c>
      <c r="J7399" t="s">
        <v>79</v>
      </c>
      <c r="K7399" t="s">
        <v>42</v>
      </c>
      <c r="L7399" t="s">
        <v>343</v>
      </c>
      <c r="Q7399">
        <v>25158</v>
      </c>
      <c r="R7399" t="s">
        <v>45</v>
      </c>
      <c r="S7399" t="s">
        <v>44760</v>
      </c>
      <c r="T7399">
        <v>28</v>
      </c>
      <c r="U7399" s="2" t="s">
        <v>26358</v>
      </c>
      <c r="V7399" s="1">
        <v>45124</v>
      </c>
      <c r="W7399" t="s">
        <v>6105</v>
      </c>
      <c r="X7399">
        <v>807555</v>
      </c>
      <c r="Y7399" t="s">
        <v>44761</v>
      </c>
      <c r="Z7399" t="s">
        <v>44762</v>
      </c>
      <c r="AA7399" t="e">
        <f ca="1">-module Replacement</f>
        <v>#NAME?</v>
      </c>
      <c r="AB7399" t="s">
        <v>9638</v>
      </c>
      <c r="AD7399" t="s">
        <v>39266</v>
      </c>
      <c r="AE7399" t="s">
        <v>45</v>
      </c>
      <c r="AG7399" t="s">
        <v>44763</v>
      </c>
      <c r="AH7399" t="s">
        <v>44764</v>
      </c>
      <c r="AI7399" t="s">
        <v>44765</v>
      </c>
    </row>
    <row r="7400" spans="2:35" ht="150">
      <c r="B7400" s="1">
        <v>45124</v>
      </c>
      <c r="C7400" s="4">
        <v>45119.551388888889</v>
      </c>
      <c r="D7400" t="s">
        <v>44766</v>
      </c>
      <c r="E7400" t="s">
        <v>44767</v>
      </c>
      <c r="F7400" t="s">
        <v>148</v>
      </c>
      <c r="G7400" t="s">
        <v>774</v>
      </c>
      <c r="H7400" t="s">
        <v>39</v>
      </c>
      <c r="I7400" t="s">
        <v>40</v>
      </c>
      <c r="J7400" s="2" t="s">
        <v>190</v>
      </c>
      <c r="K7400" t="s">
        <v>42</v>
      </c>
      <c r="L7400" t="s">
        <v>1028</v>
      </c>
      <c r="Q7400">
        <v>25157</v>
      </c>
      <c r="R7400" t="s">
        <v>45</v>
      </c>
      <c r="S7400" t="s">
        <v>44768</v>
      </c>
      <c r="T7400">
        <v>30</v>
      </c>
      <c r="U7400" s="2" t="s">
        <v>24190</v>
      </c>
      <c r="W7400" t="s">
        <v>2680</v>
      </c>
      <c r="X7400">
        <v>707512</v>
      </c>
      <c r="Y7400" t="s">
        <v>44769</v>
      </c>
      <c r="Z7400" t="s">
        <v>44770</v>
      </c>
      <c r="AA7400" s="2" t="s">
        <v>44771</v>
      </c>
      <c r="AB7400" t="s">
        <v>44772</v>
      </c>
      <c r="AG7400" t="s">
        <v>44773</v>
      </c>
      <c r="AH7400" t="s">
        <v>44774</v>
      </c>
      <c r="AI7400" t="s">
        <v>44775</v>
      </c>
    </row>
    <row r="7401" spans="2:35" ht="270">
      <c r="B7401" s="1">
        <v>45124</v>
      </c>
      <c r="C7401" s="4">
        <v>45120.401388888888</v>
      </c>
      <c r="D7401" t="s">
        <v>25923</v>
      </c>
      <c r="E7401" t="s">
        <v>43607</v>
      </c>
      <c r="F7401" t="s">
        <v>37</v>
      </c>
      <c r="G7401" t="s">
        <v>748</v>
      </c>
      <c r="H7401" t="s">
        <v>39</v>
      </c>
      <c r="I7401" t="s">
        <v>40</v>
      </c>
      <c r="J7401" t="s">
        <v>525</v>
      </c>
      <c r="K7401" t="s">
        <v>42</v>
      </c>
      <c r="L7401" t="s">
        <v>1028</v>
      </c>
      <c r="Q7401">
        <v>25156</v>
      </c>
      <c r="R7401" t="s">
        <v>119</v>
      </c>
      <c r="S7401" t="s">
        <v>25925</v>
      </c>
      <c r="T7401">
        <v>26</v>
      </c>
      <c r="U7401" s="2" t="s">
        <v>15281</v>
      </c>
      <c r="W7401" t="s">
        <v>2680</v>
      </c>
      <c r="X7401">
        <v>821284</v>
      </c>
      <c r="Y7401" t="s">
        <v>32385</v>
      </c>
      <c r="Z7401" t="s">
        <v>10920</v>
      </c>
      <c r="AA7401" s="2" t="s">
        <v>44776</v>
      </c>
      <c r="AB7401" t="s">
        <v>44777</v>
      </c>
      <c r="AG7401" t="s">
        <v>44778</v>
      </c>
      <c r="AH7401" t="s">
        <v>25928</v>
      </c>
      <c r="AI7401" t="s">
        <v>44779</v>
      </c>
    </row>
    <row r="7402" spans="2:35" ht="60">
      <c r="B7402" s="1">
        <v>45124</v>
      </c>
      <c r="C7402" s="4">
        <v>45124.378472222219</v>
      </c>
      <c r="D7402" t="s">
        <v>4149</v>
      </c>
      <c r="E7402" t="s">
        <v>4150</v>
      </c>
      <c r="F7402">
        <v>7</v>
      </c>
      <c r="G7402" t="s">
        <v>432</v>
      </c>
      <c r="H7402" t="s">
        <v>39</v>
      </c>
      <c r="I7402" t="s">
        <v>40</v>
      </c>
      <c r="J7402" s="2" t="s">
        <v>62</v>
      </c>
      <c r="K7402" t="s">
        <v>42</v>
      </c>
      <c r="L7402" t="s">
        <v>433</v>
      </c>
      <c r="Q7402">
        <v>25155</v>
      </c>
      <c r="R7402" t="s">
        <v>45</v>
      </c>
      <c r="S7402" t="s">
        <v>4152</v>
      </c>
      <c r="T7402">
        <v>23</v>
      </c>
      <c r="W7402" t="s">
        <v>1008</v>
      </c>
      <c r="X7402">
        <v>808286</v>
      </c>
      <c r="Y7402" t="s">
        <v>44780</v>
      </c>
      <c r="Z7402" t="s">
        <v>44781</v>
      </c>
      <c r="AA7402" t="s">
        <v>44781</v>
      </c>
      <c r="AB7402" t="s">
        <v>1011</v>
      </c>
      <c r="AG7402" t="s">
        <v>44782</v>
      </c>
      <c r="AH7402" t="s">
        <v>44783</v>
      </c>
      <c r="AI7402" t="s">
        <v>44784</v>
      </c>
    </row>
    <row r="7403" spans="2:35" ht="105">
      <c r="B7403" s="1">
        <v>45123</v>
      </c>
      <c r="C7403" s="4">
        <v>45118.482638888891</v>
      </c>
      <c r="D7403" t="s">
        <v>7200</v>
      </c>
      <c r="E7403" t="s">
        <v>44785</v>
      </c>
      <c r="F7403">
        <v>12</v>
      </c>
      <c r="G7403" t="s">
        <v>978</v>
      </c>
      <c r="H7403" t="s">
        <v>39</v>
      </c>
      <c r="I7403" t="s">
        <v>94</v>
      </c>
      <c r="J7403" s="2" t="s">
        <v>1157</v>
      </c>
      <c r="K7403" t="s">
        <v>42</v>
      </c>
      <c r="L7403" t="s">
        <v>296</v>
      </c>
      <c r="Q7403">
        <v>25154</v>
      </c>
      <c r="R7403" t="s">
        <v>119</v>
      </c>
      <c r="S7403" t="s">
        <v>7202</v>
      </c>
      <c r="T7403">
        <v>27.2</v>
      </c>
      <c r="U7403" s="2" t="s">
        <v>44786</v>
      </c>
      <c r="W7403" t="s">
        <v>23049</v>
      </c>
      <c r="X7403">
        <v>838504</v>
      </c>
      <c r="Y7403" t="s">
        <v>44787</v>
      </c>
      <c r="Z7403" t="s">
        <v>44788</v>
      </c>
      <c r="AA7403" t="s">
        <v>9161</v>
      </c>
      <c r="AB7403" t="s">
        <v>7708</v>
      </c>
      <c r="AC7403" t="s">
        <v>44789</v>
      </c>
      <c r="AG7403" t="s">
        <v>44790</v>
      </c>
      <c r="AH7403" t="s">
        <v>20724</v>
      </c>
      <c r="AI7403" t="s">
        <v>44791</v>
      </c>
    </row>
    <row r="7404" spans="2:35" ht="330">
      <c r="B7404" s="1">
        <v>45123</v>
      </c>
      <c r="C7404" s="4">
        <v>45121.431250000001</v>
      </c>
      <c r="D7404" t="s">
        <v>44792</v>
      </c>
      <c r="E7404" t="s">
        <v>44793</v>
      </c>
      <c r="F7404">
        <v>11</v>
      </c>
      <c r="G7404" t="s">
        <v>201</v>
      </c>
      <c r="H7404" t="s">
        <v>39</v>
      </c>
      <c r="I7404" t="s">
        <v>40</v>
      </c>
      <c r="J7404" s="2" t="s">
        <v>62</v>
      </c>
      <c r="K7404" t="s">
        <v>42</v>
      </c>
      <c r="L7404" t="s">
        <v>204</v>
      </c>
      <c r="Q7404">
        <v>25153</v>
      </c>
      <c r="R7404" t="s">
        <v>45</v>
      </c>
      <c r="S7404" t="s">
        <v>44794</v>
      </c>
      <c r="T7404">
        <v>25.6</v>
      </c>
      <c r="U7404" s="2" t="s">
        <v>44795</v>
      </c>
      <c r="W7404" t="s">
        <v>24154</v>
      </c>
      <c r="X7404">
        <v>807432</v>
      </c>
      <c r="Y7404" t="s">
        <v>15347</v>
      </c>
      <c r="Z7404" s="2" t="s">
        <v>41172</v>
      </c>
      <c r="AA7404" t="s">
        <v>1620</v>
      </c>
      <c r="AB7404" s="2" t="s">
        <v>44796</v>
      </c>
      <c r="AC7404" t="s">
        <v>31495</v>
      </c>
      <c r="AG7404" t="s">
        <v>44797</v>
      </c>
      <c r="AH7404" t="s">
        <v>44798</v>
      </c>
      <c r="AI7404" t="s">
        <v>44799</v>
      </c>
    </row>
    <row r="7405" spans="2:35" ht="210">
      <c r="B7405" s="1">
        <v>45121</v>
      </c>
      <c r="C7405" s="4">
        <v>45121.582638888889</v>
      </c>
      <c r="D7405" t="s">
        <v>26581</v>
      </c>
      <c r="E7405" t="s">
        <v>44800</v>
      </c>
      <c r="F7405" t="s">
        <v>148</v>
      </c>
      <c r="G7405" t="s">
        <v>310</v>
      </c>
      <c r="H7405" t="s">
        <v>39</v>
      </c>
      <c r="I7405" t="s">
        <v>40</v>
      </c>
      <c r="J7405" s="2" t="s">
        <v>1309</v>
      </c>
      <c r="K7405" t="s">
        <v>42</v>
      </c>
      <c r="L7405" t="s">
        <v>15532</v>
      </c>
      <c r="Q7405">
        <v>25152</v>
      </c>
      <c r="R7405" t="s">
        <v>45</v>
      </c>
      <c r="S7405" t="s">
        <v>26576</v>
      </c>
      <c r="T7405">
        <v>22</v>
      </c>
      <c r="U7405" s="2" t="s">
        <v>31383</v>
      </c>
      <c r="V7405" s="1">
        <v>45118</v>
      </c>
      <c r="W7405" t="s">
        <v>597</v>
      </c>
      <c r="X7405">
        <v>805111</v>
      </c>
      <c r="Y7405" s="2" t="s">
        <v>44801</v>
      </c>
      <c r="Z7405" s="2" t="s">
        <v>44802</v>
      </c>
      <c r="AA7405" s="2" t="s">
        <v>44803</v>
      </c>
      <c r="AB7405" s="2" t="s">
        <v>44804</v>
      </c>
      <c r="AD7405" t="s">
        <v>44805</v>
      </c>
      <c r="AE7405" t="s">
        <v>24365</v>
      </c>
      <c r="AG7405" t="s">
        <v>44806</v>
      </c>
      <c r="AH7405" t="s">
        <v>44807</v>
      </c>
      <c r="AI7405" t="s">
        <v>44808</v>
      </c>
    </row>
    <row r="7406" spans="2:35" ht="330">
      <c r="B7406" s="1">
        <v>45121</v>
      </c>
      <c r="C7406" s="4">
        <v>45121.520138888889</v>
      </c>
      <c r="D7406" t="s">
        <v>44809</v>
      </c>
      <c r="E7406" t="s">
        <v>44810</v>
      </c>
      <c r="F7406">
        <v>7</v>
      </c>
      <c r="G7406" t="s">
        <v>432</v>
      </c>
      <c r="H7406" t="s">
        <v>258</v>
      </c>
      <c r="I7406" t="s">
        <v>94</v>
      </c>
      <c r="J7406" t="s">
        <v>79</v>
      </c>
      <c r="K7406" t="s">
        <v>42</v>
      </c>
      <c r="L7406" t="s">
        <v>610</v>
      </c>
      <c r="Q7406">
        <v>25151</v>
      </c>
      <c r="R7406" t="s">
        <v>45</v>
      </c>
      <c r="S7406" t="s">
        <v>3433</v>
      </c>
      <c r="T7406">
        <v>32</v>
      </c>
      <c r="U7406" s="2" t="s">
        <v>44811</v>
      </c>
      <c r="W7406" t="s">
        <v>502</v>
      </c>
      <c r="X7406">
        <v>807588</v>
      </c>
      <c r="Y7406" t="s">
        <v>44812</v>
      </c>
      <c r="Z7406" s="2" t="s">
        <v>44813</v>
      </c>
      <c r="AA7406" t="s">
        <v>44814</v>
      </c>
      <c r="AB7406" t="s">
        <v>44815</v>
      </c>
      <c r="AG7406" t="s">
        <v>44816</v>
      </c>
      <c r="AH7406" t="s">
        <v>24129</v>
      </c>
      <c r="AI7406" t="s">
        <v>44817</v>
      </c>
    </row>
    <row r="7407" spans="2:35" ht="135">
      <c r="B7407" s="1">
        <v>45121</v>
      </c>
      <c r="C7407" s="4">
        <v>45121.511111111111</v>
      </c>
      <c r="D7407" t="s">
        <v>31795</v>
      </c>
      <c r="E7407" t="s">
        <v>40467</v>
      </c>
      <c r="F7407">
        <v>5</v>
      </c>
      <c r="G7407" t="s">
        <v>839</v>
      </c>
      <c r="H7407" t="s">
        <v>39</v>
      </c>
      <c r="I7407" t="s">
        <v>40</v>
      </c>
      <c r="J7407" t="s">
        <v>109</v>
      </c>
      <c r="K7407" t="s">
        <v>42</v>
      </c>
      <c r="L7407" t="s">
        <v>761</v>
      </c>
      <c r="Q7407">
        <v>25150</v>
      </c>
      <c r="R7407" t="s">
        <v>719</v>
      </c>
      <c r="S7407" t="s">
        <v>40468</v>
      </c>
      <c r="T7407">
        <v>27</v>
      </c>
      <c r="U7407" s="2" t="s">
        <v>33708</v>
      </c>
      <c r="W7407" t="s">
        <v>360</v>
      </c>
      <c r="X7407">
        <v>846355</v>
      </c>
      <c r="Y7407" t="s">
        <v>1052</v>
      </c>
      <c r="Z7407" s="2" t="s">
        <v>44818</v>
      </c>
      <c r="AA7407" t="s">
        <v>820</v>
      </c>
      <c r="AB7407" t="s">
        <v>181</v>
      </c>
      <c r="AG7407" t="s">
        <v>44819</v>
      </c>
      <c r="AH7407" t="s">
        <v>40472</v>
      </c>
      <c r="AI7407" t="s">
        <v>44820</v>
      </c>
    </row>
    <row r="7408" spans="2:35" ht="180">
      <c r="B7408" s="1">
        <v>45121</v>
      </c>
      <c r="C7408" s="4">
        <v>45121.51666666667</v>
      </c>
      <c r="D7408" t="s">
        <v>8914</v>
      </c>
      <c r="E7408" t="s">
        <v>9038</v>
      </c>
      <c r="F7408">
        <v>5</v>
      </c>
      <c r="G7408" t="s">
        <v>839</v>
      </c>
      <c r="H7408" t="s">
        <v>39</v>
      </c>
      <c r="I7408" t="s">
        <v>40</v>
      </c>
      <c r="J7408" s="2" t="s">
        <v>62</v>
      </c>
      <c r="K7408" t="s">
        <v>42</v>
      </c>
      <c r="L7408" t="s">
        <v>761</v>
      </c>
      <c r="Q7408">
        <v>25149</v>
      </c>
      <c r="R7408" t="s">
        <v>119</v>
      </c>
      <c r="S7408" t="s">
        <v>44821</v>
      </c>
      <c r="T7408">
        <v>29</v>
      </c>
      <c r="U7408" s="2" t="s">
        <v>44822</v>
      </c>
      <c r="W7408" t="s">
        <v>360</v>
      </c>
      <c r="X7408">
        <v>838558</v>
      </c>
      <c r="Y7408" t="s">
        <v>8090</v>
      </c>
      <c r="Z7408" s="2" t="s">
        <v>44823</v>
      </c>
      <c r="AA7408" t="s">
        <v>44464</v>
      </c>
      <c r="AB7408" s="2" t="s">
        <v>44824</v>
      </c>
      <c r="AG7408" t="s">
        <v>44825</v>
      </c>
      <c r="AH7408" t="s">
        <v>21280</v>
      </c>
      <c r="AI7408" t="s">
        <v>44826</v>
      </c>
    </row>
    <row r="7409" spans="2:35" ht="240">
      <c r="B7409" s="1">
        <v>45121</v>
      </c>
      <c r="C7409" s="4">
        <v>45121.511111111111</v>
      </c>
      <c r="D7409" t="s">
        <v>44827</v>
      </c>
      <c r="E7409" t="s">
        <v>44828</v>
      </c>
      <c r="F7409">
        <v>3</v>
      </c>
      <c r="G7409" t="s">
        <v>1722</v>
      </c>
      <c r="H7409" t="s">
        <v>39</v>
      </c>
      <c r="I7409" t="s">
        <v>40</v>
      </c>
      <c r="J7409" s="2" t="s">
        <v>1592</v>
      </c>
      <c r="K7409" t="s">
        <v>42</v>
      </c>
      <c r="L7409" t="s">
        <v>63</v>
      </c>
      <c r="Q7409">
        <v>25148</v>
      </c>
      <c r="R7409" t="s">
        <v>45</v>
      </c>
      <c r="S7409" t="s">
        <v>44829</v>
      </c>
      <c r="T7409">
        <v>28</v>
      </c>
      <c r="U7409" s="2" t="s">
        <v>13904</v>
      </c>
      <c r="V7409" s="1">
        <v>45121</v>
      </c>
      <c r="W7409" t="s">
        <v>26915</v>
      </c>
      <c r="X7409">
        <v>812831</v>
      </c>
      <c r="Y7409" t="s">
        <v>44830</v>
      </c>
      <c r="Z7409" t="s">
        <v>11377</v>
      </c>
      <c r="AA7409" s="2" t="s">
        <v>39935</v>
      </c>
      <c r="AB7409" t="s">
        <v>70</v>
      </c>
      <c r="AC7409" t="s">
        <v>44831</v>
      </c>
      <c r="AD7409" t="s">
        <v>44832</v>
      </c>
      <c r="AE7409" t="s">
        <v>1716</v>
      </c>
      <c r="AG7409" t="s">
        <v>44833</v>
      </c>
      <c r="AH7409" t="s">
        <v>44834</v>
      </c>
      <c r="AI7409" t="s">
        <v>44835</v>
      </c>
    </row>
    <row r="7410" spans="2:35" ht="195">
      <c r="B7410" s="1">
        <v>45121</v>
      </c>
      <c r="C7410" s="4">
        <v>45121.366666666669</v>
      </c>
      <c r="D7410" t="s">
        <v>3010</v>
      </c>
      <c r="E7410" t="s">
        <v>14119</v>
      </c>
      <c r="F7410">
        <v>1</v>
      </c>
      <c r="G7410" t="s">
        <v>1046</v>
      </c>
      <c r="H7410" t="s">
        <v>61</v>
      </c>
      <c r="I7410" t="s">
        <v>40</v>
      </c>
      <c r="J7410" t="s">
        <v>525</v>
      </c>
      <c r="K7410" t="s">
        <v>42</v>
      </c>
      <c r="L7410" t="s">
        <v>1048</v>
      </c>
      <c r="Q7410">
        <v>25147</v>
      </c>
      <c r="R7410" t="s">
        <v>45</v>
      </c>
      <c r="S7410" t="s">
        <v>44836</v>
      </c>
      <c r="T7410">
        <v>30</v>
      </c>
      <c r="U7410" s="2" t="s">
        <v>44837</v>
      </c>
      <c r="W7410" t="s">
        <v>31945</v>
      </c>
      <c r="X7410">
        <v>842230</v>
      </c>
      <c r="Y7410" s="2" t="s">
        <v>44838</v>
      </c>
      <c r="Z7410" s="2" t="s">
        <v>44839</v>
      </c>
      <c r="AA7410" t="s">
        <v>1935</v>
      </c>
      <c r="AB7410" t="s">
        <v>181</v>
      </c>
      <c r="AC7410" t="s">
        <v>44840</v>
      </c>
      <c r="AG7410" t="s">
        <v>44841</v>
      </c>
      <c r="AH7410" t="s">
        <v>32579</v>
      </c>
      <c r="AI7410" t="s">
        <v>44842</v>
      </c>
    </row>
    <row r="7411" spans="2:35" ht="180">
      <c r="B7411" s="1">
        <v>45121</v>
      </c>
      <c r="C7411" s="4">
        <v>45121.475694444445</v>
      </c>
      <c r="D7411" t="s">
        <v>2677</v>
      </c>
      <c r="E7411" t="s">
        <v>2678</v>
      </c>
      <c r="F7411">
        <v>3</v>
      </c>
      <c r="G7411" t="s">
        <v>134</v>
      </c>
      <c r="H7411" t="s">
        <v>39</v>
      </c>
      <c r="I7411" t="s">
        <v>40</v>
      </c>
      <c r="J7411" t="s">
        <v>525</v>
      </c>
      <c r="K7411" t="s">
        <v>42</v>
      </c>
      <c r="L7411" t="s">
        <v>135</v>
      </c>
      <c r="Q7411">
        <v>25146</v>
      </c>
      <c r="R7411" t="s">
        <v>45</v>
      </c>
      <c r="S7411" t="s">
        <v>2679</v>
      </c>
      <c r="T7411">
        <v>28</v>
      </c>
      <c r="U7411" s="2" t="s">
        <v>44843</v>
      </c>
      <c r="W7411" t="s">
        <v>2680</v>
      </c>
      <c r="X7411">
        <v>812834</v>
      </c>
      <c r="Y7411" t="s">
        <v>12248</v>
      </c>
      <c r="Z7411" t="s">
        <v>4487</v>
      </c>
      <c r="AA7411" s="2" t="s">
        <v>44844</v>
      </c>
      <c r="AB7411" t="s">
        <v>44845</v>
      </c>
      <c r="AC7411" t="s">
        <v>44846</v>
      </c>
      <c r="AG7411" t="s">
        <v>44847</v>
      </c>
      <c r="AH7411" t="s">
        <v>2686</v>
      </c>
      <c r="AI7411" t="s">
        <v>44848</v>
      </c>
    </row>
    <row r="7412" spans="2:35" ht="409.5">
      <c r="B7412" s="1">
        <v>45121</v>
      </c>
      <c r="C7412" s="4">
        <v>45121.386805555558</v>
      </c>
      <c r="D7412" t="s">
        <v>3415</v>
      </c>
      <c r="E7412" t="s">
        <v>44849</v>
      </c>
      <c r="F7412">
        <v>3</v>
      </c>
      <c r="G7412" t="s">
        <v>284</v>
      </c>
      <c r="H7412" t="s">
        <v>39</v>
      </c>
      <c r="I7412" t="s">
        <v>40</v>
      </c>
      <c r="J7412" s="2" t="s">
        <v>62</v>
      </c>
      <c r="K7412" t="s">
        <v>42</v>
      </c>
      <c r="L7412" t="s">
        <v>135</v>
      </c>
      <c r="Q7412">
        <v>25145</v>
      </c>
      <c r="R7412" t="s">
        <v>45</v>
      </c>
      <c r="S7412" t="s">
        <v>3417</v>
      </c>
      <c r="T7412">
        <v>30</v>
      </c>
      <c r="U7412" s="2" t="s">
        <v>44850</v>
      </c>
      <c r="V7412" s="1">
        <v>45113</v>
      </c>
      <c r="W7412" t="s">
        <v>3418</v>
      </c>
      <c r="X7412">
        <v>835173</v>
      </c>
      <c r="Y7412" t="s">
        <v>1751</v>
      </c>
      <c r="Z7412" s="2" t="s">
        <v>29789</v>
      </c>
      <c r="AA7412" s="2" t="s">
        <v>31375</v>
      </c>
      <c r="AB7412" t="s">
        <v>181</v>
      </c>
      <c r="AC7412" t="s">
        <v>35076</v>
      </c>
      <c r="AD7412" t="s">
        <v>34422</v>
      </c>
      <c r="AE7412">
        <v>41818</v>
      </c>
      <c r="AG7412" t="s">
        <v>44851</v>
      </c>
      <c r="AH7412" t="s">
        <v>3421</v>
      </c>
      <c r="AI7412" t="s">
        <v>44852</v>
      </c>
    </row>
    <row r="7413" spans="2:35" ht="210">
      <c r="B7413" s="1">
        <v>45121</v>
      </c>
      <c r="C7413" s="4">
        <v>45121.291666666664</v>
      </c>
      <c r="D7413" t="s">
        <v>14426</v>
      </c>
      <c r="E7413" t="s">
        <v>14162</v>
      </c>
      <c r="F7413">
        <v>5</v>
      </c>
      <c r="G7413" t="s">
        <v>839</v>
      </c>
      <c r="H7413" t="s">
        <v>39</v>
      </c>
      <c r="I7413" t="s">
        <v>40</v>
      </c>
      <c r="J7413" s="2" t="s">
        <v>62</v>
      </c>
      <c r="K7413" t="s">
        <v>42</v>
      </c>
      <c r="L7413" t="s">
        <v>761</v>
      </c>
      <c r="Q7413">
        <v>25144</v>
      </c>
      <c r="R7413" t="s">
        <v>119</v>
      </c>
      <c r="S7413" t="s">
        <v>8909</v>
      </c>
      <c r="T7413">
        <v>29</v>
      </c>
      <c r="U7413" s="2" t="s">
        <v>44853</v>
      </c>
      <c r="W7413" t="s">
        <v>360</v>
      </c>
      <c r="X7413">
        <v>838389</v>
      </c>
      <c r="Y7413" t="s">
        <v>8090</v>
      </c>
      <c r="Z7413" s="2" t="s">
        <v>44854</v>
      </c>
      <c r="AA7413" t="s">
        <v>44464</v>
      </c>
      <c r="AB7413" s="2" t="s">
        <v>44855</v>
      </c>
      <c r="AG7413" t="s">
        <v>44856</v>
      </c>
      <c r="AH7413" t="s">
        <v>10753</v>
      </c>
      <c r="AI7413" t="s">
        <v>44857</v>
      </c>
    </row>
    <row r="7414" spans="2:35" ht="105">
      <c r="B7414" s="1">
        <v>45120</v>
      </c>
      <c r="C7414" s="4">
        <v>45120.6875</v>
      </c>
      <c r="D7414" t="s">
        <v>3139</v>
      </c>
      <c r="E7414" t="s">
        <v>3140</v>
      </c>
      <c r="F7414">
        <v>3</v>
      </c>
      <c r="G7414" t="s">
        <v>174</v>
      </c>
      <c r="H7414" t="s">
        <v>39</v>
      </c>
      <c r="I7414" t="s">
        <v>40</v>
      </c>
      <c r="J7414" s="2" t="s">
        <v>41</v>
      </c>
      <c r="K7414" t="s">
        <v>42</v>
      </c>
      <c r="L7414" t="s">
        <v>175</v>
      </c>
      <c r="Q7414">
        <v>25143</v>
      </c>
      <c r="R7414" t="s">
        <v>45</v>
      </c>
      <c r="S7414" t="s">
        <v>18595</v>
      </c>
      <c r="T7414">
        <v>27</v>
      </c>
      <c r="U7414" s="2" t="s">
        <v>44858</v>
      </c>
      <c r="V7414" s="1">
        <v>45120</v>
      </c>
      <c r="W7414" t="s">
        <v>84</v>
      </c>
      <c r="X7414">
        <v>834623</v>
      </c>
      <c r="Y7414" t="s">
        <v>44859</v>
      </c>
      <c r="Z7414" t="e">
        <f ca="1">- checked _xludf.and cleaned cartridge bay, plunger rod, _xludf.filter
- replaced C2
- swapped C1 _xludf.and C3 DUE to comm loss
- generated reports</f>
        <v>#NAME?</v>
      </c>
      <c r="AA7414" t="s">
        <v>44860</v>
      </c>
      <c r="AB7414" t="s">
        <v>88</v>
      </c>
      <c r="AD7414" s="2" t="s">
        <v>44861</v>
      </c>
      <c r="AE7414" t="s">
        <v>103</v>
      </c>
      <c r="AG7414" t="s">
        <v>44862</v>
      </c>
      <c r="AH7414" t="s">
        <v>18598</v>
      </c>
      <c r="AI7414" t="s">
        <v>44863</v>
      </c>
    </row>
    <row r="7415" spans="2:35" ht="105">
      <c r="B7415" s="1">
        <v>45120</v>
      </c>
      <c r="C7415" s="4">
        <v>45120.605555555558</v>
      </c>
      <c r="D7415" t="s">
        <v>44864</v>
      </c>
      <c r="E7415" t="s">
        <v>37273</v>
      </c>
      <c r="F7415">
        <v>9</v>
      </c>
      <c r="G7415" t="s">
        <v>2197</v>
      </c>
      <c r="H7415" t="s">
        <v>39</v>
      </c>
      <c r="I7415" t="s">
        <v>40</v>
      </c>
      <c r="J7415" s="2" t="s">
        <v>62</v>
      </c>
      <c r="K7415" t="s">
        <v>42</v>
      </c>
      <c r="L7415" t="s">
        <v>1257</v>
      </c>
      <c r="Q7415">
        <v>25142</v>
      </c>
      <c r="R7415" t="s">
        <v>45</v>
      </c>
      <c r="S7415" t="s">
        <v>44865</v>
      </c>
      <c r="T7415">
        <v>25</v>
      </c>
      <c r="U7415" s="2" t="s">
        <v>31788</v>
      </c>
      <c r="V7415" s="1">
        <v>45120</v>
      </c>
      <c r="W7415" t="s">
        <v>2384</v>
      </c>
      <c r="X7415">
        <v>815269</v>
      </c>
      <c r="Y7415" t="s">
        <v>301</v>
      </c>
      <c r="Z7415" t="s">
        <v>44866</v>
      </c>
      <c r="AA7415" t="s">
        <v>44866</v>
      </c>
      <c r="AB7415" t="s">
        <v>44867</v>
      </c>
      <c r="AC7415" t="s">
        <v>301</v>
      </c>
      <c r="AD7415" t="s">
        <v>54</v>
      </c>
      <c r="AE7415" t="s">
        <v>54</v>
      </c>
      <c r="AG7415" t="s">
        <v>44868</v>
      </c>
      <c r="AH7415" t="s">
        <v>44869</v>
      </c>
      <c r="AI7415" t="s">
        <v>44870</v>
      </c>
    </row>
    <row r="7416" spans="2:35" ht="409.5">
      <c r="B7416" s="1">
        <v>45120</v>
      </c>
      <c r="C7416" s="4">
        <v>45120.620138888888</v>
      </c>
      <c r="D7416" t="s">
        <v>25418</v>
      </c>
      <c r="E7416" t="s">
        <v>44348</v>
      </c>
      <c r="F7416" t="s">
        <v>148</v>
      </c>
      <c r="G7416" t="s">
        <v>310</v>
      </c>
      <c r="H7416" t="s">
        <v>39</v>
      </c>
      <c r="I7416" t="s">
        <v>40</v>
      </c>
      <c r="J7416" s="2" t="s">
        <v>190</v>
      </c>
      <c r="K7416" t="s">
        <v>42</v>
      </c>
      <c r="L7416" t="s">
        <v>15532</v>
      </c>
      <c r="Q7416">
        <v>25141</v>
      </c>
      <c r="R7416" t="s">
        <v>119</v>
      </c>
      <c r="S7416" t="s">
        <v>40103</v>
      </c>
      <c r="T7416">
        <v>24</v>
      </c>
      <c r="U7416" s="2" t="s">
        <v>15402</v>
      </c>
      <c r="W7416" t="s">
        <v>597</v>
      </c>
      <c r="X7416">
        <v>831684</v>
      </c>
      <c r="Y7416" s="2" t="s">
        <v>44871</v>
      </c>
      <c r="Z7416" s="2" t="s">
        <v>44872</v>
      </c>
      <c r="AA7416" s="2" t="s">
        <v>44873</v>
      </c>
      <c r="AB7416" t="s">
        <v>181</v>
      </c>
      <c r="AG7416" t="s">
        <v>44874</v>
      </c>
      <c r="AH7416" t="s">
        <v>39536</v>
      </c>
      <c r="AI7416" t="s">
        <v>44875</v>
      </c>
    </row>
    <row r="7417" spans="2:35" ht="165">
      <c r="B7417" s="1">
        <v>45120</v>
      </c>
      <c r="C7417" s="4">
        <v>45120.594444444447</v>
      </c>
      <c r="D7417" t="s">
        <v>7634</v>
      </c>
      <c r="E7417" t="s">
        <v>12141</v>
      </c>
      <c r="F7417">
        <v>13</v>
      </c>
      <c r="G7417" t="s">
        <v>4484</v>
      </c>
      <c r="H7417" t="s">
        <v>2125</v>
      </c>
      <c r="I7417" t="s">
        <v>40</v>
      </c>
      <c r="J7417" s="2" t="s">
        <v>1157</v>
      </c>
      <c r="K7417" t="s">
        <v>42</v>
      </c>
      <c r="L7417" t="s">
        <v>933</v>
      </c>
      <c r="Q7417">
        <v>25140</v>
      </c>
      <c r="R7417" t="s">
        <v>119</v>
      </c>
      <c r="S7417" t="s">
        <v>12142</v>
      </c>
      <c r="T7417">
        <v>25.63</v>
      </c>
      <c r="U7417" s="2" t="s">
        <v>44876</v>
      </c>
      <c r="W7417" t="s">
        <v>3662</v>
      </c>
      <c r="X7417">
        <v>837611</v>
      </c>
      <c r="Y7417" t="s">
        <v>17783</v>
      </c>
      <c r="Z7417" t="s">
        <v>301</v>
      </c>
      <c r="AA7417" s="2" t="s">
        <v>44877</v>
      </c>
      <c r="AB7417" s="2" t="s">
        <v>44878</v>
      </c>
      <c r="AG7417" t="s">
        <v>44879</v>
      </c>
      <c r="AH7417" t="s">
        <v>19421</v>
      </c>
      <c r="AI7417" t="s">
        <v>44880</v>
      </c>
    </row>
    <row r="7418" spans="2:35" ht="105">
      <c r="B7418" s="1">
        <v>45120</v>
      </c>
      <c r="C7418" s="4">
        <v>45120.580555555556</v>
      </c>
      <c r="D7418" t="s">
        <v>44881</v>
      </c>
      <c r="E7418" t="s">
        <v>37251</v>
      </c>
      <c r="F7418">
        <v>7</v>
      </c>
      <c r="G7418" t="s">
        <v>432</v>
      </c>
      <c r="H7418" t="s">
        <v>44882</v>
      </c>
      <c r="I7418" t="s">
        <v>94</v>
      </c>
      <c r="J7418" t="s">
        <v>79</v>
      </c>
      <c r="K7418" t="s">
        <v>42</v>
      </c>
      <c r="L7418" t="s">
        <v>610</v>
      </c>
      <c r="Q7418">
        <v>25139</v>
      </c>
      <c r="R7418" t="s">
        <v>45</v>
      </c>
      <c r="S7418" t="s">
        <v>25240</v>
      </c>
      <c r="T7418">
        <v>24</v>
      </c>
      <c r="U7418" s="2" t="s">
        <v>44883</v>
      </c>
      <c r="W7418" t="s">
        <v>502</v>
      </c>
      <c r="X7418">
        <v>815464</v>
      </c>
      <c r="Y7418" t="s">
        <v>44884</v>
      </c>
      <c r="Z7418" t="s">
        <v>44237</v>
      </c>
      <c r="AA7418" t="s">
        <v>44885</v>
      </c>
      <c r="AB7418" t="s">
        <v>44886</v>
      </c>
      <c r="AG7418" t="s">
        <v>44887</v>
      </c>
      <c r="AH7418" t="s">
        <v>44888</v>
      </c>
      <c r="AI7418" t="s">
        <v>44889</v>
      </c>
    </row>
    <row r="7419" spans="2:35" ht="135">
      <c r="B7419" s="1">
        <v>45120</v>
      </c>
      <c r="C7419" s="4">
        <v>45113.406944444447</v>
      </c>
      <c r="D7419" t="s">
        <v>30972</v>
      </c>
      <c r="E7419" t="s">
        <v>44890</v>
      </c>
      <c r="F7419">
        <v>1</v>
      </c>
      <c r="G7419" t="s">
        <v>1046</v>
      </c>
      <c r="H7419" t="s">
        <v>1047</v>
      </c>
      <c r="I7419" t="s">
        <v>40</v>
      </c>
      <c r="J7419" s="2" t="s">
        <v>62</v>
      </c>
      <c r="K7419" t="s">
        <v>42</v>
      </c>
      <c r="L7419" t="s">
        <v>1048</v>
      </c>
      <c r="Q7419">
        <v>25138</v>
      </c>
      <c r="R7419" t="s">
        <v>45</v>
      </c>
      <c r="S7419" t="s">
        <v>30973</v>
      </c>
      <c r="T7419">
        <v>30</v>
      </c>
      <c r="U7419" s="2" t="s">
        <v>44891</v>
      </c>
      <c r="W7419" t="s">
        <v>2384</v>
      </c>
      <c r="X7419">
        <v>805109</v>
      </c>
      <c r="Y7419" t="s">
        <v>6929</v>
      </c>
      <c r="Z7419" t="e">
        <f ca="1">-cleaned cartridge Bays, plunger Rods _xludf.and I-CORE
-performed XpertCheck
-generated reports</f>
        <v>#NAME?</v>
      </c>
      <c r="AA7419" t="s">
        <v>6930</v>
      </c>
      <c r="AB7419" t="s">
        <v>181</v>
      </c>
      <c r="AC7419" t="s">
        <v>44892</v>
      </c>
      <c r="AG7419" t="s">
        <v>44893</v>
      </c>
      <c r="AH7419" t="s">
        <v>30976</v>
      </c>
      <c r="AI7419" t="s">
        <v>44894</v>
      </c>
    </row>
    <row r="7420" spans="2:35" ht="105">
      <c r="B7420" s="1">
        <v>45120</v>
      </c>
      <c r="C7420" s="4">
        <v>45113.474305555559</v>
      </c>
      <c r="D7420" t="s">
        <v>1057</v>
      </c>
      <c r="E7420" t="s">
        <v>16764</v>
      </c>
      <c r="F7420">
        <v>1</v>
      </c>
      <c r="G7420" t="s">
        <v>1046</v>
      </c>
      <c r="H7420" t="s">
        <v>39</v>
      </c>
      <c r="I7420" t="s">
        <v>40</v>
      </c>
      <c r="J7420" t="s">
        <v>109</v>
      </c>
      <c r="K7420" t="s">
        <v>42</v>
      </c>
      <c r="L7420" t="s">
        <v>1048</v>
      </c>
      <c r="Q7420">
        <v>25137</v>
      </c>
      <c r="R7420" t="s">
        <v>95</v>
      </c>
      <c r="S7420" t="s">
        <v>1059</v>
      </c>
      <c r="T7420">
        <v>29</v>
      </c>
      <c r="U7420" s="2" t="s">
        <v>44895</v>
      </c>
      <c r="W7420" t="s">
        <v>4904</v>
      </c>
      <c r="X7420">
        <v>820303</v>
      </c>
      <c r="Y7420" t="s">
        <v>1052</v>
      </c>
      <c r="Z7420" t="e">
        <f ca="1">-cleaned cartridge Bays, plunger Rods _xludf.and I-CORE
-generated reports</f>
        <v>#NAME?</v>
      </c>
      <c r="AA7420" t="s">
        <v>16055</v>
      </c>
      <c r="AB7420" t="s">
        <v>181</v>
      </c>
      <c r="AG7420" t="s">
        <v>44896</v>
      </c>
      <c r="AH7420" t="s">
        <v>44897</v>
      </c>
      <c r="AI7420" t="s">
        <v>44898</v>
      </c>
    </row>
    <row r="7421" spans="2:35" ht="180">
      <c r="B7421" s="1">
        <v>45120</v>
      </c>
      <c r="C7421" s="4">
        <v>45114.338888888888</v>
      </c>
      <c r="D7421" t="s">
        <v>44899</v>
      </c>
      <c r="E7421" t="s">
        <v>43413</v>
      </c>
      <c r="F7421">
        <v>1</v>
      </c>
      <c r="G7421" t="s">
        <v>1046</v>
      </c>
      <c r="H7421" t="s">
        <v>1047</v>
      </c>
      <c r="I7421" t="s">
        <v>40</v>
      </c>
      <c r="J7421" t="s">
        <v>109</v>
      </c>
      <c r="K7421" t="s">
        <v>42</v>
      </c>
      <c r="L7421" t="s">
        <v>1048</v>
      </c>
      <c r="Q7421">
        <v>25136</v>
      </c>
      <c r="R7421" t="s">
        <v>45</v>
      </c>
      <c r="S7421" t="s">
        <v>43414</v>
      </c>
      <c r="T7421">
        <v>28</v>
      </c>
      <c r="U7421" s="2" t="s">
        <v>44900</v>
      </c>
      <c r="W7421" t="s">
        <v>2384</v>
      </c>
      <c r="X7421">
        <v>838860</v>
      </c>
      <c r="Y7421" t="s">
        <v>19210</v>
      </c>
      <c r="Z7421" t="e">
        <f ca="1">-cleaned cartridge Bays, plunger Rods _xludf.and I-CORE
-generated reports</f>
        <v>#NAME?</v>
      </c>
      <c r="AA7421" t="s">
        <v>820</v>
      </c>
      <c r="AB7421" t="s">
        <v>181</v>
      </c>
      <c r="AG7421" t="s">
        <v>44901</v>
      </c>
      <c r="AH7421" t="s">
        <v>44902</v>
      </c>
      <c r="AI7421" t="s">
        <v>44903</v>
      </c>
    </row>
    <row r="7422" spans="2:35" ht="180">
      <c r="B7422" s="1">
        <v>45120</v>
      </c>
      <c r="C7422" s="4">
        <v>45119.411111111112</v>
      </c>
      <c r="D7422" t="s">
        <v>5707</v>
      </c>
      <c r="E7422" t="s">
        <v>11096</v>
      </c>
      <c r="F7422">
        <v>1</v>
      </c>
      <c r="G7422" t="s">
        <v>1922</v>
      </c>
      <c r="H7422" t="s">
        <v>1047</v>
      </c>
      <c r="I7422" t="s">
        <v>40</v>
      </c>
      <c r="J7422" s="2" t="s">
        <v>62</v>
      </c>
      <c r="K7422" t="s">
        <v>42</v>
      </c>
      <c r="L7422" t="s">
        <v>1048</v>
      </c>
      <c r="Q7422">
        <v>25134</v>
      </c>
      <c r="R7422" t="s">
        <v>119</v>
      </c>
      <c r="S7422" t="s">
        <v>5709</v>
      </c>
      <c r="T7422">
        <v>29</v>
      </c>
      <c r="U7422" s="2" t="s">
        <v>44904</v>
      </c>
      <c r="V7422" s="1">
        <v>45090</v>
      </c>
      <c r="W7422" t="s">
        <v>360</v>
      </c>
      <c r="X7422">
        <v>838273</v>
      </c>
      <c r="Y7422" t="s">
        <v>67</v>
      </c>
      <c r="Z7422" t="e">
        <f ca="1">- cleaned cartridge Bays, plunger Rods _xludf.and I-CORE
- performed XpertCheck
- generated reports</f>
        <v>#NAME?</v>
      </c>
      <c r="AA7422" t="s">
        <v>6930</v>
      </c>
      <c r="AB7422" t="s">
        <v>181</v>
      </c>
      <c r="AC7422" t="s">
        <v>44905</v>
      </c>
      <c r="AD7422" t="s">
        <v>1958</v>
      </c>
      <c r="AE7422" t="s">
        <v>44906</v>
      </c>
      <c r="AG7422" t="s">
        <v>44907</v>
      </c>
      <c r="AH7422" t="s">
        <v>5716</v>
      </c>
      <c r="AI7422" t="s">
        <v>44908</v>
      </c>
    </row>
    <row r="7423" spans="2:35" ht="105">
      <c r="B7423" s="1">
        <v>45120</v>
      </c>
      <c r="C7423" s="4">
        <v>45119.490972222222</v>
      </c>
      <c r="D7423" t="s">
        <v>7264</v>
      </c>
      <c r="E7423" t="s">
        <v>7265</v>
      </c>
      <c r="F7423">
        <v>1</v>
      </c>
      <c r="G7423" t="s">
        <v>1909</v>
      </c>
      <c r="H7423" t="s">
        <v>1047</v>
      </c>
      <c r="I7423" t="s">
        <v>40</v>
      </c>
      <c r="J7423" s="2" t="s">
        <v>62</v>
      </c>
      <c r="K7423" t="s">
        <v>42</v>
      </c>
      <c r="L7423" t="s">
        <v>1048</v>
      </c>
      <c r="Q7423">
        <v>25135</v>
      </c>
      <c r="R7423" t="s">
        <v>119</v>
      </c>
      <c r="S7423" t="s">
        <v>7266</v>
      </c>
      <c r="T7423">
        <v>29</v>
      </c>
      <c r="U7423" s="2" t="s">
        <v>10357</v>
      </c>
      <c r="V7423" s="1">
        <v>45090</v>
      </c>
      <c r="W7423" t="s">
        <v>360</v>
      </c>
      <c r="X7423">
        <v>838270</v>
      </c>
      <c r="Y7423" t="s">
        <v>67</v>
      </c>
      <c r="Z7423" t="e">
        <f ca="1">- cleaned cartridge Bays, plunger Rods _xludf.and I-CORE
- performed XpertCheck
- generated reports</f>
        <v>#NAME?</v>
      </c>
      <c r="AA7423" t="s">
        <v>6930</v>
      </c>
      <c r="AB7423" t="s">
        <v>70</v>
      </c>
      <c r="AC7423" t="s">
        <v>44909</v>
      </c>
      <c r="AD7423" t="s">
        <v>1958</v>
      </c>
      <c r="AE7423" t="s">
        <v>44910</v>
      </c>
      <c r="AG7423" t="s">
        <v>44911</v>
      </c>
      <c r="AH7423" t="s">
        <v>7268</v>
      </c>
      <c r="AI7423" t="s">
        <v>44912</v>
      </c>
    </row>
    <row r="7424" spans="2:35" ht="105">
      <c r="B7424" s="1">
        <v>45120</v>
      </c>
      <c r="C7424" s="4">
        <v>45118.354861111111</v>
      </c>
      <c r="D7424" t="s">
        <v>44913</v>
      </c>
      <c r="E7424" t="s">
        <v>2615</v>
      </c>
      <c r="F7424">
        <v>1</v>
      </c>
      <c r="G7424" t="s">
        <v>2599</v>
      </c>
      <c r="H7424" t="s">
        <v>1047</v>
      </c>
      <c r="I7424" t="s">
        <v>40</v>
      </c>
      <c r="J7424" s="2" t="s">
        <v>62</v>
      </c>
      <c r="K7424" t="s">
        <v>42</v>
      </c>
      <c r="L7424" t="s">
        <v>1048</v>
      </c>
      <c r="Q7424">
        <v>25129</v>
      </c>
      <c r="R7424" t="s">
        <v>45</v>
      </c>
      <c r="S7424" t="s">
        <v>2616</v>
      </c>
      <c r="T7424">
        <v>30</v>
      </c>
      <c r="U7424" s="2" t="s">
        <v>44914</v>
      </c>
      <c r="W7424" t="s">
        <v>2384</v>
      </c>
      <c r="X7424">
        <v>807430</v>
      </c>
      <c r="Y7424" t="s">
        <v>67</v>
      </c>
      <c r="Z7424" t="e">
        <f ca="1">-cleaned cartridge Bays, plunger Rods, I-CORE
-performed XpertCheck
-generated reports</f>
        <v>#NAME?</v>
      </c>
      <c r="AA7424" t="s">
        <v>6930</v>
      </c>
      <c r="AB7424" t="s">
        <v>181</v>
      </c>
      <c r="AC7424" t="s">
        <v>43422</v>
      </c>
      <c r="AG7424" t="s">
        <v>44915</v>
      </c>
      <c r="AH7424" t="s">
        <v>2618</v>
      </c>
      <c r="AI7424" t="s">
        <v>44916</v>
      </c>
    </row>
    <row r="7425" spans="2:35" ht="375">
      <c r="B7425" s="1">
        <v>45120</v>
      </c>
      <c r="C7425" s="4">
        <v>45118.498611111114</v>
      </c>
      <c r="D7425" t="s">
        <v>2608</v>
      </c>
      <c r="E7425" t="s">
        <v>2598</v>
      </c>
      <c r="F7425">
        <v>1</v>
      </c>
      <c r="G7425" t="s">
        <v>2599</v>
      </c>
      <c r="H7425" t="s">
        <v>39</v>
      </c>
      <c r="I7425" t="s">
        <v>40</v>
      </c>
      <c r="J7425" s="2" t="s">
        <v>62</v>
      </c>
      <c r="K7425" t="s">
        <v>42</v>
      </c>
      <c r="L7425" t="s">
        <v>1048</v>
      </c>
      <c r="Q7425">
        <v>25130</v>
      </c>
      <c r="R7425" t="s">
        <v>119</v>
      </c>
      <c r="S7425" t="s">
        <v>6402</v>
      </c>
      <c r="T7425">
        <v>26</v>
      </c>
      <c r="U7425" s="2" t="s">
        <v>44917</v>
      </c>
      <c r="V7425" s="1">
        <v>45090</v>
      </c>
      <c r="W7425" t="s">
        <v>2384</v>
      </c>
      <c r="X7425">
        <v>831908</v>
      </c>
      <c r="Y7425" t="s">
        <v>67</v>
      </c>
      <c r="Z7425" t="e">
        <f ca="1">- cleaned cartridge Bays, plunger Rods _xludf.and I-CORE
- performed XpertCheck
- generated reports</f>
        <v>#NAME?</v>
      </c>
      <c r="AA7425" t="s">
        <v>6930</v>
      </c>
      <c r="AB7425" t="s">
        <v>181</v>
      </c>
      <c r="AC7425" t="s">
        <v>44918</v>
      </c>
      <c r="AD7425" t="s">
        <v>1958</v>
      </c>
      <c r="AE7425" t="s">
        <v>44919</v>
      </c>
      <c r="AG7425" t="s">
        <v>44920</v>
      </c>
      <c r="AH7425" t="s">
        <v>2612</v>
      </c>
      <c r="AI7425" t="s">
        <v>44921</v>
      </c>
    </row>
    <row r="7426" spans="2:35" ht="270">
      <c r="B7426" s="1">
        <v>45120</v>
      </c>
      <c r="C7426" s="4">
        <v>45118.556944444441</v>
      </c>
      <c r="D7426" t="s">
        <v>2608</v>
      </c>
      <c r="E7426" t="s">
        <v>2598</v>
      </c>
      <c r="F7426">
        <v>1</v>
      </c>
      <c r="G7426" t="s">
        <v>2599</v>
      </c>
      <c r="H7426" t="s">
        <v>39</v>
      </c>
      <c r="I7426" t="s">
        <v>40</v>
      </c>
      <c r="J7426" s="2" t="s">
        <v>190</v>
      </c>
      <c r="K7426" t="s">
        <v>42</v>
      </c>
      <c r="L7426" t="s">
        <v>1048</v>
      </c>
      <c r="Q7426">
        <v>25131</v>
      </c>
      <c r="R7426" t="s">
        <v>45</v>
      </c>
      <c r="S7426" t="s">
        <v>6402</v>
      </c>
      <c r="T7426">
        <v>26</v>
      </c>
      <c r="U7426" s="2" t="s">
        <v>44922</v>
      </c>
      <c r="W7426" t="s">
        <v>360</v>
      </c>
      <c r="X7426">
        <v>838168</v>
      </c>
      <c r="Y7426" s="2" t="s">
        <v>44923</v>
      </c>
      <c r="Z7426" t="e">
        <f ca="1">-Reset Gateway board _xludf.and ALL cables
- Cleaner cartridge Bays, plunger Rods _xludf.and I-CORE
- generated reports</f>
        <v>#NAME?</v>
      </c>
      <c r="AA7426" t="s">
        <v>12083</v>
      </c>
      <c r="AB7426" t="s">
        <v>181</v>
      </c>
      <c r="AG7426" t="s">
        <v>44924</v>
      </c>
      <c r="AH7426" t="s">
        <v>44925</v>
      </c>
      <c r="AI7426" t="s">
        <v>44926</v>
      </c>
    </row>
    <row r="7427" spans="2:35" ht="105">
      <c r="B7427" s="1">
        <v>45120</v>
      </c>
      <c r="C7427" s="4">
        <v>45119.265972222223</v>
      </c>
      <c r="D7427" t="s">
        <v>7248</v>
      </c>
      <c r="E7427" t="s">
        <v>11082</v>
      </c>
      <c r="F7427">
        <v>1</v>
      </c>
      <c r="G7427" t="s">
        <v>1922</v>
      </c>
      <c r="H7427" t="s">
        <v>1047</v>
      </c>
      <c r="I7427" t="s">
        <v>40</v>
      </c>
      <c r="J7427" s="2" t="s">
        <v>62</v>
      </c>
      <c r="K7427" t="s">
        <v>42</v>
      </c>
      <c r="L7427" t="s">
        <v>1048</v>
      </c>
      <c r="Q7427">
        <v>25132</v>
      </c>
      <c r="R7427" t="s">
        <v>119</v>
      </c>
      <c r="S7427" t="s">
        <v>7250</v>
      </c>
      <c r="T7427">
        <v>30</v>
      </c>
      <c r="U7427" s="2" t="s">
        <v>44927</v>
      </c>
      <c r="V7427" s="1">
        <v>45090</v>
      </c>
      <c r="W7427" t="s">
        <v>360</v>
      </c>
      <c r="X7427">
        <v>838277</v>
      </c>
      <c r="Y7427" t="s">
        <v>67</v>
      </c>
      <c r="Z7427" t="e">
        <f ca="1">- cleaned cartridge Bays, plunger Rods _xludf.and I-CORE
- performed XpertCheck
- generated reports</f>
        <v>#NAME?</v>
      </c>
      <c r="AA7427" t="s">
        <v>6930</v>
      </c>
      <c r="AB7427" t="s">
        <v>181</v>
      </c>
      <c r="AD7427" t="s">
        <v>1958</v>
      </c>
      <c r="AE7427" t="s">
        <v>44928</v>
      </c>
      <c r="AG7427" t="s">
        <v>44929</v>
      </c>
      <c r="AH7427" t="s">
        <v>44930</v>
      </c>
      <c r="AI7427" t="s">
        <v>44931</v>
      </c>
    </row>
    <row r="7428" spans="2:35" ht="90">
      <c r="B7428" s="1">
        <v>45120</v>
      </c>
      <c r="C7428" s="4">
        <v>45118.42083333333</v>
      </c>
      <c r="D7428" t="s">
        <v>7254</v>
      </c>
      <c r="E7428" t="s">
        <v>33959</v>
      </c>
      <c r="F7428">
        <v>1</v>
      </c>
      <c r="G7428" t="s">
        <v>2599</v>
      </c>
      <c r="H7428" t="s">
        <v>39</v>
      </c>
      <c r="I7428" t="s">
        <v>40</v>
      </c>
      <c r="J7428" s="2" t="s">
        <v>62</v>
      </c>
      <c r="K7428" t="s">
        <v>42</v>
      </c>
      <c r="L7428" t="s">
        <v>1048</v>
      </c>
      <c r="Q7428">
        <v>25133</v>
      </c>
      <c r="R7428" t="s">
        <v>119</v>
      </c>
      <c r="S7428" t="s">
        <v>7256</v>
      </c>
      <c r="T7428">
        <v>28</v>
      </c>
      <c r="U7428" s="2" t="s">
        <v>44932</v>
      </c>
      <c r="V7428" s="1">
        <v>45090</v>
      </c>
      <c r="W7428" t="s">
        <v>360</v>
      </c>
      <c r="X7428">
        <v>838416</v>
      </c>
      <c r="Y7428" t="s">
        <v>67</v>
      </c>
      <c r="Z7428" t="e">
        <f ca="1">-cleaned cartridge Bays, plunger Rods _xludf.and I-CORE
-performed XpertCheck
-generated reports</f>
        <v>#NAME?</v>
      </c>
      <c r="AA7428" t="s">
        <v>6930</v>
      </c>
      <c r="AB7428" t="s">
        <v>181</v>
      </c>
      <c r="AD7428" t="s">
        <v>1958</v>
      </c>
      <c r="AE7428" t="s">
        <v>44933</v>
      </c>
      <c r="AG7428" t="s">
        <v>44934</v>
      </c>
      <c r="AH7428" t="s">
        <v>11075</v>
      </c>
      <c r="AI7428" t="s">
        <v>44935</v>
      </c>
    </row>
    <row r="7429" spans="2:35" ht="225">
      <c r="B7429" s="1">
        <v>45120</v>
      </c>
      <c r="C7429" s="4">
        <v>45120.539583333331</v>
      </c>
      <c r="D7429" t="s">
        <v>5807</v>
      </c>
      <c r="E7429" t="s">
        <v>44936</v>
      </c>
      <c r="F7429">
        <v>5</v>
      </c>
      <c r="G7429" t="s">
        <v>839</v>
      </c>
      <c r="H7429" t="s">
        <v>39</v>
      </c>
      <c r="I7429" t="s">
        <v>40</v>
      </c>
      <c r="J7429" s="2" t="s">
        <v>62</v>
      </c>
      <c r="K7429" t="s">
        <v>42</v>
      </c>
      <c r="L7429" t="s">
        <v>761</v>
      </c>
      <c r="Q7429">
        <v>25128</v>
      </c>
      <c r="R7429" t="s">
        <v>119</v>
      </c>
      <c r="S7429" t="s">
        <v>7099</v>
      </c>
      <c r="T7429">
        <v>24</v>
      </c>
      <c r="U7429" s="2" t="s">
        <v>33239</v>
      </c>
      <c r="W7429" t="s">
        <v>360</v>
      </c>
      <c r="X7429">
        <v>838408</v>
      </c>
      <c r="Y7429" t="s">
        <v>8090</v>
      </c>
      <c r="Z7429" s="2" t="s">
        <v>44937</v>
      </c>
      <c r="AA7429" t="s">
        <v>44464</v>
      </c>
      <c r="AB7429" s="2" t="s">
        <v>44938</v>
      </c>
      <c r="AG7429" t="s">
        <v>44939</v>
      </c>
      <c r="AH7429" t="s">
        <v>7107</v>
      </c>
      <c r="AI7429" t="s">
        <v>44940</v>
      </c>
    </row>
    <row r="7430" spans="2:35" ht="255">
      <c r="B7430" s="1">
        <v>45120</v>
      </c>
      <c r="C7430" s="4">
        <v>45120.486805555556</v>
      </c>
      <c r="D7430" t="s">
        <v>44941</v>
      </c>
      <c r="E7430" t="s">
        <v>44942</v>
      </c>
      <c r="F7430" t="s">
        <v>148</v>
      </c>
      <c r="G7430" t="s">
        <v>20126</v>
      </c>
      <c r="H7430" t="s">
        <v>39</v>
      </c>
      <c r="I7430" t="s">
        <v>40</v>
      </c>
      <c r="J7430" s="2" t="s">
        <v>62</v>
      </c>
      <c r="K7430" t="s">
        <v>42</v>
      </c>
      <c r="L7430" t="s">
        <v>15532</v>
      </c>
      <c r="Q7430">
        <v>25127</v>
      </c>
      <c r="R7430" t="s">
        <v>45</v>
      </c>
      <c r="S7430" t="s">
        <v>22337</v>
      </c>
      <c r="T7430">
        <v>30</v>
      </c>
      <c r="U7430" s="2" t="s">
        <v>35087</v>
      </c>
      <c r="V7430" s="1">
        <v>45113</v>
      </c>
      <c r="W7430" t="s">
        <v>3244</v>
      </c>
      <c r="X7430">
        <v>805106</v>
      </c>
      <c r="Y7430" s="2" t="s">
        <v>44943</v>
      </c>
      <c r="Z7430" s="2" t="s">
        <v>44944</v>
      </c>
      <c r="AA7430" t="s">
        <v>44945</v>
      </c>
      <c r="AB7430" t="s">
        <v>44946</v>
      </c>
      <c r="AD7430" t="s">
        <v>20036</v>
      </c>
      <c r="AE7430" t="s">
        <v>44947</v>
      </c>
      <c r="AG7430" t="s">
        <v>44948</v>
      </c>
      <c r="AH7430" t="s">
        <v>22342</v>
      </c>
      <c r="AI7430" t="s">
        <v>44949</v>
      </c>
    </row>
    <row r="7431" spans="2:35" ht="210">
      <c r="B7431" s="1">
        <v>45120</v>
      </c>
      <c r="C7431" s="4">
        <v>45120.424305555556</v>
      </c>
      <c r="D7431" t="s">
        <v>44950</v>
      </c>
      <c r="E7431" t="s">
        <v>44951</v>
      </c>
      <c r="F7431">
        <v>6</v>
      </c>
      <c r="G7431" t="s">
        <v>1286</v>
      </c>
      <c r="H7431" t="s">
        <v>10969</v>
      </c>
      <c r="I7431" t="s">
        <v>40</v>
      </c>
      <c r="J7431" s="2" t="s">
        <v>14104</v>
      </c>
      <c r="K7431" t="s">
        <v>42</v>
      </c>
      <c r="L7431" t="s">
        <v>1288</v>
      </c>
      <c r="Q7431">
        <v>25126</v>
      </c>
      <c r="R7431" t="s">
        <v>45</v>
      </c>
      <c r="S7431" t="s">
        <v>44952</v>
      </c>
      <c r="T7431">
        <v>25</v>
      </c>
      <c r="W7431" t="s">
        <v>1292</v>
      </c>
      <c r="X7431">
        <v>120000143</v>
      </c>
      <c r="Y7431" t="s">
        <v>18838</v>
      </c>
      <c r="Z7431" t="s">
        <v>22879</v>
      </c>
      <c r="AA7431" s="2" t="s">
        <v>44953</v>
      </c>
      <c r="AB7431" t="s">
        <v>1293</v>
      </c>
      <c r="AG7431" t="s">
        <v>44954</v>
      </c>
      <c r="AH7431" t="s">
        <v>44955</v>
      </c>
      <c r="AI7431" t="s">
        <v>44956</v>
      </c>
    </row>
    <row r="7432" spans="2:35" ht="180">
      <c r="B7432" s="1">
        <v>45120</v>
      </c>
      <c r="C7432" s="4">
        <v>45120.402083333334</v>
      </c>
      <c r="D7432" t="s">
        <v>737</v>
      </c>
      <c r="E7432" t="s">
        <v>44957</v>
      </c>
      <c r="F7432">
        <v>8</v>
      </c>
      <c r="G7432" t="s">
        <v>630</v>
      </c>
      <c r="H7432" t="s">
        <v>12698</v>
      </c>
      <c r="I7432" t="s">
        <v>40</v>
      </c>
      <c r="J7432" t="s">
        <v>109</v>
      </c>
      <c r="K7432" t="s">
        <v>42</v>
      </c>
      <c r="L7432" t="s">
        <v>259</v>
      </c>
      <c r="Q7432">
        <v>25125</v>
      </c>
      <c r="R7432" t="s">
        <v>45</v>
      </c>
      <c r="S7432" t="s">
        <v>24658</v>
      </c>
      <c r="T7432">
        <v>28</v>
      </c>
      <c r="U7432" s="2" t="s">
        <v>44958</v>
      </c>
      <c r="V7432" s="1">
        <v>45120</v>
      </c>
      <c r="W7432" t="s">
        <v>23118</v>
      </c>
      <c r="X7432">
        <v>835060</v>
      </c>
      <c r="Y7432" t="s">
        <v>1716</v>
      </c>
      <c r="Z7432" t="s">
        <v>1716</v>
      </c>
      <c r="AA7432" t="e">
        <f ca="1">- Preventive Maintenance
- performed functionality test
- Generate reports</f>
        <v>#NAME?</v>
      </c>
      <c r="AB7432" t="s">
        <v>70</v>
      </c>
      <c r="AG7432" t="s">
        <v>44959</v>
      </c>
      <c r="AH7432" t="s">
        <v>24665</v>
      </c>
      <c r="AI7432" t="s">
        <v>44960</v>
      </c>
    </row>
    <row r="7433" spans="2:35" ht="165">
      <c r="B7433" s="1">
        <v>45120</v>
      </c>
      <c r="C7433" s="4">
        <v>45120.385416666664</v>
      </c>
      <c r="D7433" t="s">
        <v>31846</v>
      </c>
      <c r="E7433" t="s">
        <v>44961</v>
      </c>
      <c r="F7433" t="s">
        <v>1181</v>
      </c>
      <c r="G7433" t="s">
        <v>7148</v>
      </c>
      <c r="H7433" t="s">
        <v>39</v>
      </c>
      <c r="I7433" t="s">
        <v>40</v>
      </c>
      <c r="J7433" s="2" t="s">
        <v>41</v>
      </c>
      <c r="K7433" t="s">
        <v>42</v>
      </c>
      <c r="L7433" t="s">
        <v>1943</v>
      </c>
      <c r="Q7433">
        <v>25124</v>
      </c>
      <c r="R7433" t="s">
        <v>45</v>
      </c>
      <c r="S7433" t="s">
        <v>44962</v>
      </c>
      <c r="T7433">
        <v>25</v>
      </c>
      <c r="U7433" s="2" t="s">
        <v>44963</v>
      </c>
      <c r="V7433" s="1">
        <v>45117</v>
      </c>
      <c r="W7433" t="s">
        <v>84</v>
      </c>
      <c r="X7433">
        <v>838197</v>
      </c>
      <c r="Y7433" s="2" t="s">
        <v>37579</v>
      </c>
      <c r="Z7433" s="2" t="s">
        <v>43790</v>
      </c>
      <c r="AA7433" t="s">
        <v>22330</v>
      </c>
      <c r="AB7433" t="s">
        <v>181</v>
      </c>
      <c r="AD7433" t="s">
        <v>44964</v>
      </c>
      <c r="AE7433" t="s">
        <v>8904</v>
      </c>
      <c r="AG7433" t="s">
        <v>44965</v>
      </c>
      <c r="AH7433" t="s">
        <v>44966</v>
      </c>
      <c r="AI7433" t="s">
        <v>44967</v>
      </c>
    </row>
    <row r="7434" spans="2:35" ht="409.5">
      <c r="B7434" s="1">
        <v>45119</v>
      </c>
      <c r="C7434" s="4">
        <v>45119.630555555559</v>
      </c>
      <c r="D7434" t="s">
        <v>15507</v>
      </c>
      <c r="E7434" t="s">
        <v>44968</v>
      </c>
      <c r="F7434">
        <v>9</v>
      </c>
      <c r="G7434" t="s">
        <v>2197</v>
      </c>
      <c r="H7434" t="s">
        <v>39</v>
      </c>
      <c r="I7434" t="s">
        <v>40</v>
      </c>
      <c r="J7434" s="2" t="s">
        <v>17375</v>
      </c>
      <c r="K7434" t="s">
        <v>42</v>
      </c>
      <c r="L7434" t="s">
        <v>1257</v>
      </c>
      <c r="Q7434">
        <v>25123</v>
      </c>
      <c r="R7434" t="s">
        <v>45</v>
      </c>
      <c r="S7434" t="s">
        <v>31943</v>
      </c>
      <c r="T7434">
        <v>27</v>
      </c>
      <c r="U7434" s="2" t="s">
        <v>44969</v>
      </c>
      <c r="V7434" s="1">
        <v>45119</v>
      </c>
      <c r="W7434" t="s">
        <v>2384</v>
      </c>
      <c r="X7434">
        <v>839309</v>
      </c>
      <c r="Y7434" t="s">
        <v>301</v>
      </c>
      <c r="Z7434" t="s">
        <v>44970</v>
      </c>
      <c r="AA7434" t="s">
        <v>44970</v>
      </c>
      <c r="AB7434" t="s">
        <v>44971</v>
      </c>
      <c r="AC7434" t="s">
        <v>301</v>
      </c>
      <c r="AD7434" t="s">
        <v>54</v>
      </c>
      <c r="AE7434" t="s">
        <v>54</v>
      </c>
      <c r="AG7434" t="s">
        <v>44972</v>
      </c>
      <c r="AH7434" t="s">
        <v>44973</v>
      </c>
      <c r="AI7434" t="s">
        <v>44974</v>
      </c>
    </row>
    <row r="7435" spans="2:35" ht="285">
      <c r="B7435" s="1">
        <v>45119</v>
      </c>
      <c r="C7435" s="4">
        <v>45119.632638888892</v>
      </c>
      <c r="D7435" t="s">
        <v>5546</v>
      </c>
      <c r="E7435" t="s">
        <v>1555</v>
      </c>
      <c r="F7435">
        <v>7</v>
      </c>
      <c r="G7435" t="s">
        <v>432</v>
      </c>
      <c r="H7435" t="s">
        <v>39</v>
      </c>
      <c r="I7435" t="s">
        <v>40</v>
      </c>
      <c r="J7435" s="2" t="s">
        <v>220</v>
      </c>
      <c r="K7435" t="s">
        <v>42</v>
      </c>
      <c r="L7435" t="s">
        <v>433</v>
      </c>
      <c r="Q7435">
        <v>25122</v>
      </c>
      <c r="R7435" t="s">
        <v>45</v>
      </c>
      <c r="S7435" t="s">
        <v>5548</v>
      </c>
      <c r="T7435">
        <v>26</v>
      </c>
      <c r="U7435" s="2" t="s">
        <v>44975</v>
      </c>
      <c r="W7435" t="s">
        <v>1008</v>
      </c>
      <c r="X7435">
        <v>838882</v>
      </c>
      <c r="Y7435" t="s">
        <v>44976</v>
      </c>
      <c r="Z7435" t="s">
        <v>43863</v>
      </c>
      <c r="AA7435" t="s">
        <v>44977</v>
      </c>
      <c r="AB7435" t="s">
        <v>1011</v>
      </c>
      <c r="AG7435" t="s">
        <v>44978</v>
      </c>
      <c r="AH7435" t="s">
        <v>44979</v>
      </c>
      <c r="AI7435" t="s">
        <v>44980</v>
      </c>
    </row>
    <row r="7436" spans="2:35" ht="255">
      <c r="B7436" s="1">
        <v>45119</v>
      </c>
      <c r="C7436" s="4">
        <v>45119.65347222222</v>
      </c>
      <c r="D7436" t="s">
        <v>855</v>
      </c>
      <c r="E7436" t="s">
        <v>12037</v>
      </c>
      <c r="F7436" t="s">
        <v>148</v>
      </c>
      <c r="G7436" t="s">
        <v>310</v>
      </c>
      <c r="H7436" t="s">
        <v>39</v>
      </c>
      <c r="I7436" t="s">
        <v>40</v>
      </c>
      <c r="J7436" t="s">
        <v>525</v>
      </c>
      <c r="K7436" t="s">
        <v>42</v>
      </c>
      <c r="L7436" t="s">
        <v>857</v>
      </c>
      <c r="Q7436">
        <v>25121</v>
      </c>
      <c r="R7436" t="s">
        <v>322</v>
      </c>
      <c r="S7436" t="s">
        <v>859</v>
      </c>
      <c r="T7436">
        <v>25</v>
      </c>
      <c r="U7436" s="2" t="s">
        <v>44981</v>
      </c>
      <c r="W7436" t="s">
        <v>860</v>
      </c>
      <c r="X7436">
        <v>809643</v>
      </c>
      <c r="Y7436" t="s">
        <v>44982</v>
      </c>
      <c r="Z7436" t="e">
        <f ca="1">- Realigned Damaged waste door latch
- performed functionality test</f>
        <v>#NAME?</v>
      </c>
      <c r="AA7436" t="s">
        <v>863</v>
      </c>
      <c r="AB7436" t="s">
        <v>181</v>
      </c>
      <c r="AG7436" t="s">
        <v>44983</v>
      </c>
      <c r="AH7436" t="s">
        <v>6908</v>
      </c>
      <c r="AI7436" t="s">
        <v>44984</v>
      </c>
    </row>
    <row r="7437" spans="2:35" ht="270">
      <c r="B7437" s="1">
        <v>45119</v>
      </c>
      <c r="C7437" s="4">
        <v>45119.643750000003</v>
      </c>
      <c r="D7437" t="s">
        <v>44985</v>
      </c>
      <c r="E7437" t="s">
        <v>44986</v>
      </c>
      <c r="F7437">
        <v>7</v>
      </c>
      <c r="G7437" t="s">
        <v>432</v>
      </c>
      <c r="H7437" t="s">
        <v>2290</v>
      </c>
      <c r="I7437" t="s">
        <v>94</v>
      </c>
      <c r="J7437" s="2" t="s">
        <v>190</v>
      </c>
      <c r="K7437" t="s">
        <v>42</v>
      </c>
      <c r="L7437" t="s">
        <v>610</v>
      </c>
      <c r="Q7437">
        <v>25120</v>
      </c>
      <c r="R7437" t="s">
        <v>119</v>
      </c>
      <c r="S7437" t="s">
        <v>16540</v>
      </c>
      <c r="T7437">
        <v>24</v>
      </c>
      <c r="U7437" s="2" t="s">
        <v>17431</v>
      </c>
      <c r="W7437" t="s">
        <v>502</v>
      </c>
      <c r="X7437">
        <v>838283</v>
      </c>
      <c r="Y7437" t="s">
        <v>44987</v>
      </c>
      <c r="Z7437" s="2" t="s">
        <v>44988</v>
      </c>
      <c r="AA7437" s="2" t="s">
        <v>44989</v>
      </c>
      <c r="AB7437" t="s">
        <v>44990</v>
      </c>
      <c r="AG7437" t="s">
        <v>44991</v>
      </c>
      <c r="AH7437" t="s">
        <v>37613</v>
      </c>
      <c r="AI7437" t="s">
        <v>44992</v>
      </c>
    </row>
    <row r="7438" spans="2:35" ht="210">
      <c r="B7438" s="1">
        <v>45119</v>
      </c>
      <c r="C7438" s="4">
        <v>45119.472916666666</v>
      </c>
      <c r="D7438" t="s">
        <v>1678</v>
      </c>
      <c r="E7438" t="s">
        <v>44993</v>
      </c>
      <c r="F7438" t="s">
        <v>148</v>
      </c>
      <c r="G7438" t="s">
        <v>785</v>
      </c>
      <c r="H7438" t="s">
        <v>39</v>
      </c>
      <c r="I7438" t="s">
        <v>40</v>
      </c>
      <c r="J7438" s="2" t="s">
        <v>609</v>
      </c>
      <c r="K7438" t="s">
        <v>42</v>
      </c>
      <c r="L7438" t="s">
        <v>15532</v>
      </c>
      <c r="Q7438">
        <v>25119</v>
      </c>
      <c r="R7438" t="s">
        <v>719</v>
      </c>
      <c r="S7438" t="s">
        <v>18437</v>
      </c>
      <c r="T7438">
        <v>25</v>
      </c>
      <c r="U7438" s="2" t="s">
        <v>44994</v>
      </c>
      <c r="W7438" t="s">
        <v>597</v>
      </c>
      <c r="X7438">
        <v>843924</v>
      </c>
      <c r="Y7438" t="s">
        <v>44995</v>
      </c>
      <c r="Z7438" s="2" t="s">
        <v>44996</v>
      </c>
      <c r="AA7438" t="s">
        <v>44997</v>
      </c>
      <c r="AB7438" t="s">
        <v>181</v>
      </c>
      <c r="AG7438" t="s">
        <v>44998</v>
      </c>
      <c r="AH7438" t="s">
        <v>14357</v>
      </c>
      <c r="AI7438" t="s">
        <v>44999</v>
      </c>
    </row>
    <row r="7439" spans="2:35" ht="210">
      <c r="B7439" s="1">
        <v>45119</v>
      </c>
      <c r="C7439" s="4">
        <v>45119.552777777775</v>
      </c>
      <c r="D7439" t="s">
        <v>4218</v>
      </c>
      <c r="E7439" t="s">
        <v>40816</v>
      </c>
      <c r="F7439">
        <v>3</v>
      </c>
      <c r="G7439" t="s">
        <v>1722</v>
      </c>
      <c r="H7439" t="s">
        <v>39</v>
      </c>
      <c r="I7439" t="s">
        <v>40</v>
      </c>
      <c r="J7439" t="s">
        <v>109</v>
      </c>
      <c r="K7439" t="s">
        <v>42</v>
      </c>
      <c r="L7439" t="s">
        <v>63</v>
      </c>
      <c r="Q7439">
        <v>25118</v>
      </c>
      <c r="R7439" t="s">
        <v>119</v>
      </c>
      <c r="S7439" t="s">
        <v>4220</v>
      </c>
      <c r="T7439">
        <v>28</v>
      </c>
      <c r="U7439" s="2" t="s">
        <v>45000</v>
      </c>
      <c r="V7439" s="1">
        <v>45119</v>
      </c>
      <c r="W7439" t="s">
        <v>26915</v>
      </c>
      <c r="X7439">
        <v>831637</v>
      </c>
      <c r="Y7439" t="s">
        <v>1716</v>
      </c>
      <c r="Z7439" t="s">
        <v>1716</v>
      </c>
      <c r="AA7439" s="2" t="s">
        <v>45001</v>
      </c>
      <c r="AB7439" t="s">
        <v>70</v>
      </c>
      <c r="AC7439" t="s">
        <v>1716</v>
      </c>
      <c r="AD7439" t="s">
        <v>1716</v>
      </c>
      <c r="AE7439" t="s">
        <v>1716</v>
      </c>
      <c r="AG7439" t="s">
        <v>45002</v>
      </c>
      <c r="AH7439" t="s">
        <v>26856</v>
      </c>
      <c r="AI7439" t="s">
        <v>45003</v>
      </c>
    </row>
    <row r="7440" spans="2:35" ht="180">
      <c r="B7440" s="1">
        <v>45119</v>
      </c>
      <c r="C7440" s="4">
        <v>45119.55972222222</v>
      </c>
      <c r="D7440" t="s">
        <v>5563</v>
      </c>
      <c r="E7440" t="s">
        <v>1555</v>
      </c>
      <c r="F7440">
        <v>7</v>
      </c>
      <c r="G7440" t="s">
        <v>432</v>
      </c>
      <c r="H7440" t="s">
        <v>150</v>
      </c>
      <c r="I7440" t="s">
        <v>40</v>
      </c>
      <c r="J7440" s="2" t="s">
        <v>190</v>
      </c>
      <c r="K7440" t="s">
        <v>42</v>
      </c>
      <c r="L7440" t="s">
        <v>343</v>
      </c>
      <c r="Q7440">
        <v>25117</v>
      </c>
      <c r="R7440" t="s">
        <v>119</v>
      </c>
      <c r="S7440" t="s">
        <v>5564</v>
      </c>
      <c r="T7440">
        <v>28</v>
      </c>
      <c r="U7440" s="2" t="s">
        <v>45004</v>
      </c>
      <c r="W7440" t="s">
        <v>6105</v>
      </c>
      <c r="X7440">
        <v>838561</v>
      </c>
      <c r="Y7440" t="s">
        <v>45005</v>
      </c>
      <c r="Z7440" t="s">
        <v>301</v>
      </c>
      <c r="AA7440" t="e">
        <f ca="1">-Preventive Maintenance
-Troubleshoot module A2</f>
        <v>#NAME?</v>
      </c>
      <c r="AB7440" t="s">
        <v>45006</v>
      </c>
      <c r="AC7440" t="s">
        <v>45007</v>
      </c>
      <c r="AG7440" t="s">
        <v>45008</v>
      </c>
      <c r="AH7440" t="s">
        <v>14800</v>
      </c>
      <c r="AI7440" t="s">
        <v>45009</v>
      </c>
    </row>
    <row r="7441" spans="2:35" ht="270">
      <c r="B7441" s="1">
        <v>45119</v>
      </c>
      <c r="C7441" s="4">
        <v>45119.53402777778</v>
      </c>
      <c r="D7441" t="s">
        <v>3719</v>
      </c>
      <c r="E7441" t="s">
        <v>44597</v>
      </c>
      <c r="F7441" t="s">
        <v>148</v>
      </c>
      <c r="G7441" t="s">
        <v>310</v>
      </c>
      <c r="H7441" t="s">
        <v>39</v>
      </c>
      <c r="I7441" t="s">
        <v>40</v>
      </c>
      <c r="J7441" s="2" t="s">
        <v>4208</v>
      </c>
      <c r="K7441" t="s">
        <v>42</v>
      </c>
      <c r="L7441" t="s">
        <v>1943</v>
      </c>
      <c r="Q7441">
        <v>25116</v>
      </c>
      <c r="R7441" t="s">
        <v>119</v>
      </c>
      <c r="S7441" t="s">
        <v>3721</v>
      </c>
      <c r="T7441">
        <v>25</v>
      </c>
      <c r="U7441" s="2" t="s">
        <v>32014</v>
      </c>
      <c r="W7441" t="s">
        <v>84</v>
      </c>
      <c r="X7441">
        <v>831644</v>
      </c>
      <c r="Y7441" s="2" t="s">
        <v>45010</v>
      </c>
      <c r="Z7441" s="2" t="s">
        <v>45011</v>
      </c>
      <c r="AA7441" t="s">
        <v>4402</v>
      </c>
      <c r="AB7441" t="s">
        <v>45012</v>
      </c>
      <c r="AG7441" t="s">
        <v>45013</v>
      </c>
      <c r="AH7441" t="s">
        <v>45014</v>
      </c>
      <c r="AI7441" t="s">
        <v>45015</v>
      </c>
    </row>
    <row r="7442" spans="2:35" ht="195">
      <c r="B7442" s="1">
        <v>45119</v>
      </c>
      <c r="C7442" s="4">
        <v>45119.529166666667</v>
      </c>
      <c r="D7442" t="s">
        <v>7743</v>
      </c>
      <c r="E7442" t="s">
        <v>45016</v>
      </c>
      <c r="F7442">
        <v>11</v>
      </c>
      <c r="G7442" t="s">
        <v>1205</v>
      </c>
      <c r="H7442" t="s">
        <v>202</v>
      </c>
      <c r="I7442" t="s">
        <v>40</v>
      </c>
      <c r="J7442" s="2" t="s">
        <v>4208</v>
      </c>
      <c r="K7442" t="s">
        <v>42</v>
      </c>
      <c r="L7442" t="s">
        <v>204</v>
      </c>
      <c r="Q7442">
        <v>25115</v>
      </c>
      <c r="R7442" t="s">
        <v>119</v>
      </c>
      <c r="S7442" t="s">
        <v>7745</v>
      </c>
      <c r="T7442">
        <v>25.5</v>
      </c>
      <c r="U7442" s="2" t="s">
        <v>45017</v>
      </c>
      <c r="W7442" t="s">
        <v>24154</v>
      </c>
      <c r="X7442">
        <v>838492</v>
      </c>
      <c r="Y7442" t="s">
        <v>45018</v>
      </c>
      <c r="Z7442" t="s">
        <v>45019</v>
      </c>
      <c r="AA7442" t="s">
        <v>45020</v>
      </c>
      <c r="AB7442" t="s">
        <v>45021</v>
      </c>
      <c r="AC7442" t="s">
        <v>45022</v>
      </c>
      <c r="AG7442" t="s">
        <v>45023</v>
      </c>
      <c r="AH7442" t="s">
        <v>31879</v>
      </c>
      <c r="AI7442" t="s">
        <v>45024</v>
      </c>
    </row>
    <row r="7443" spans="2:35" ht="135">
      <c r="B7443" s="1">
        <v>45119</v>
      </c>
      <c r="C7443" s="4">
        <v>45119.518055555556</v>
      </c>
      <c r="D7443" t="s">
        <v>45025</v>
      </c>
      <c r="E7443" t="s">
        <v>43186</v>
      </c>
      <c r="F7443">
        <v>7</v>
      </c>
      <c r="G7443" t="s">
        <v>432</v>
      </c>
      <c r="H7443" t="s">
        <v>2290</v>
      </c>
      <c r="I7443" t="s">
        <v>94</v>
      </c>
      <c r="J7443" s="2" t="s">
        <v>1592</v>
      </c>
      <c r="K7443" t="s">
        <v>42</v>
      </c>
      <c r="L7443" t="s">
        <v>610</v>
      </c>
      <c r="Q7443">
        <v>25114</v>
      </c>
      <c r="R7443" t="s">
        <v>119</v>
      </c>
      <c r="S7443" t="s">
        <v>16307</v>
      </c>
      <c r="T7443">
        <v>25</v>
      </c>
      <c r="U7443" s="2" t="s">
        <v>24976</v>
      </c>
      <c r="W7443" t="s">
        <v>502</v>
      </c>
      <c r="X7443">
        <v>837661</v>
      </c>
      <c r="Y7443" t="s">
        <v>45026</v>
      </c>
      <c r="Z7443" t="s">
        <v>45027</v>
      </c>
      <c r="AA7443" s="2" t="s">
        <v>45028</v>
      </c>
      <c r="AB7443" t="s">
        <v>45029</v>
      </c>
      <c r="AG7443" t="s">
        <v>45030</v>
      </c>
      <c r="AH7443" t="s">
        <v>14408</v>
      </c>
      <c r="AI7443" t="s">
        <v>45031</v>
      </c>
    </row>
    <row r="7444" spans="2:35" ht="105">
      <c r="B7444" s="1">
        <v>45119</v>
      </c>
      <c r="C7444" s="4">
        <v>45119.416666666664</v>
      </c>
      <c r="D7444" t="s">
        <v>45032</v>
      </c>
      <c r="E7444" t="s">
        <v>45033</v>
      </c>
      <c r="F7444">
        <v>7</v>
      </c>
      <c r="G7444" t="s">
        <v>432</v>
      </c>
      <c r="H7444" t="s">
        <v>44882</v>
      </c>
      <c r="I7444" t="s">
        <v>94</v>
      </c>
      <c r="J7444" t="s">
        <v>109</v>
      </c>
      <c r="K7444" t="s">
        <v>42</v>
      </c>
      <c r="L7444" t="s">
        <v>610</v>
      </c>
      <c r="Q7444">
        <v>25113</v>
      </c>
      <c r="R7444" t="s">
        <v>45</v>
      </c>
      <c r="S7444" t="s">
        <v>24643</v>
      </c>
      <c r="T7444">
        <v>24</v>
      </c>
      <c r="U7444" s="2" t="s">
        <v>17985</v>
      </c>
      <c r="W7444" t="s">
        <v>502</v>
      </c>
      <c r="X7444">
        <v>815384</v>
      </c>
      <c r="Y7444" t="s">
        <v>45034</v>
      </c>
      <c r="Z7444" t="s">
        <v>45035</v>
      </c>
      <c r="AA7444" t="s">
        <v>45036</v>
      </c>
      <c r="AB7444" t="s">
        <v>45037</v>
      </c>
      <c r="AG7444" t="s">
        <v>45038</v>
      </c>
      <c r="AH7444" t="s">
        <v>24649</v>
      </c>
      <c r="AI7444" t="s">
        <v>45039</v>
      </c>
    </row>
    <row r="7445" spans="2:35" ht="165">
      <c r="B7445" s="1">
        <v>45119</v>
      </c>
      <c r="C7445" s="4">
        <v>44944.622916666667</v>
      </c>
      <c r="D7445" t="s">
        <v>2773</v>
      </c>
      <c r="E7445" t="s">
        <v>8394</v>
      </c>
      <c r="F7445">
        <v>3</v>
      </c>
      <c r="G7445" t="s">
        <v>2723</v>
      </c>
      <c r="H7445" t="s">
        <v>513</v>
      </c>
      <c r="I7445" t="s">
        <v>40</v>
      </c>
      <c r="J7445" s="2" t="s">
        <v>190</v>
      </c>
      <c r="K7445" t="s">
        <v>387</v>
      </c>
      <c r="L7445" t="s">
        <v>63</v>
      </c>
      <c r="Q7445">
        <v>25112</v>
      </c>
      <c r="R7445" t="s">
        <v>119</v>
      </c>
      <c r="S7445" t="s">
        <v>45040</v>
      </c>
      <c r="T7445">
        <v>28</v>
      </c>
      <c r="V7445" s="1">
        <v>44944</v>
      </c>
      <c r="W7445" t="s">
        <v>390</v>
      </c>
      <c r="X7445" t="s">
        <v>45041</v>
      </c>
      <c r="Y7445" t="s">
        <v>1716</v>
      </c>
      <c r="Z7445" s="2" t="s">
        <v>45042</v>
      </c>
      <c r="AA7445" t="s">
        <v>10275</v>
      </c>
      <c r="AB7445" t="s">
        <v>70</v>
      </c>
      <c r="AC7445" t="s">
        <v>45043</v>
      </c>
      <c r="AD7445" t="s">
        <v>45044</v>
      </c>
      <c r="AE7445" t="s">
        <v>1716</v>
      </c>
      <c r="AF7445" t="s">
        <v>63</v>
      </c>
      <c r="AG7445" t="s">
        <v>45045</v>
      </c>
      <c r="AH7445" t="s">
        <v>45046</v>
      </c>
      <c r="AI7445" t="s">
        <v>45047</v>
      </c>
    </row>
    <row r="7446" spans="2:35" ht="120">
      <c r="B7446" s="1">
        <v>45119</v>
      </c>
      <c r="C7446" s="4">
        <v>45119.40347222222</v>
      </c>
      <c r="D7446" t="s">
        <v>45048</v>
      </c>
      <c r="E7446" t="s">
        <v>45049</v>
      </c>
      <c r="F7446">
        <v>6</v>
      </c>
      <c r="G7446" t="s">
        <v>1286</v>
      </c>
      <c r="H7446" t="s">
        <v>10969</v>
      </c>
      <c r="I7446" t="s">
        <v>40</v>
      </c>
      <c r="J7446" t="s">
        <v>79</v>
      </c>
      <c r="K7446" t="s">
        <v>42</v>
      </c>
      <c r="L7446" t="s">
        <v>1288</v>
      </c>
      <c r="Q7446">
        <v>25111</v>
      </c>
      <c r="R7446" t="s">
        <v>45</v>
      </c>
      <c r="S7446" t="s">
        <v>44760</v>
      </c>
      <c r="T7446">
        <v>30</v>
      </c>
      <c r="U7446" s="2" t="s">
        <v>3404</v>
      </c>
      <c r="W7446" t="s">
        <v>1292</v>
      </c>
      <c r="X7446">
        <v>807555</v>
      </c>
      <c r="Y7446" t="s">
        <v>31126</v>
      </c>
      <c r="Z7446" t="s">
        <v>45050</v>
      </c>
      <c r="AA7446" t="e">
        <f ca="1">-PERFORM self-test _xludf.and PULL module door OPEN
-PERFORM PM</f>
        <v>#NAME?</v>
      </c>
      <c r="AB7446" s="2" t="s">
        <v>45051</v>
      </c>
      <c r="AG7446" t="s">
        <v>45052</v>
      </c>
      <c r="AH7446" t="s">
        <v>44764</v>
      </c>
      <c r="AI7446" t="s">
        <v>45053</v>
      </c>
    </row>
    <row r="7447" spans="2:35" ht="180">
      <c r="B7447" s="1">
        <v>45119</v>
      </c>
      <c r="C7447" s="4">
        <v>45119.365277777775</v>
      </c>
      <c r="D7447" t="s">
        <v>25591</v>
      </c>
      <c r="E7447" t="s">
        <v>45054</v>
      </c>
      <c r="F7447">
        <v>8</v>
      </c>
      <c r="G7447" t="s">
        <v>630</v>
      </c>
      <c r="H7447" t="s">
        <v>2581</v>
      </c>
      <c r="I7447" t="s">
        <v>40</v>
      </c>
      <c r="J7447" t="s">
        <v>109</v>
      </c>
      <c r="K7447" t="s">
        <v>42</v>
      </c>
      <c r="L7447" t="s">
        <v>259</v>
      </c>
      <c r="Q7447">
        <v>25110</v>
      </c>
      <c r="R7447" t="s">
        <v>45</v>
      </c>
      <c r="S7447" t="s">
        <v>25594</v>
      </c>
      <c r="T7447">
        <v>26</v>
      </c>
      <c r="U7447" s="2" t="s">
        <v>45055</v>
      </c>
      <c r="V7447" s="1">
        <v>45119</v>
      </c>
      <c r="W7447" t="s">
        <v>23118</v>
      </c>
      <c r="X7447">
        <v>835061</v>
      </c>
      <c r="Y7447" t="s">
        <v>1716</v>
      </c>
      <c r="Z7447" t="s">
        <v>1716</v>
      </c>
      <c r="AA7447" t="e">
        <f ca="1">- Preventive Maintenance
- performed functionality test
- Generate reports</f>
        <v>#NAME?</v>
      </c>
      <c r="AB7447" t="s">
        <v>70</v>
      </c>
      <c r="AG7447" t="s">
        <v>45056</v>
      </c>
      <c r="AH7447" t="s">
        <v>45057</v>
      </c>
      <c r="AI7447" t="s">
        <v>45058</v>
      </c>
    </row>
    <row r="7448" spans="2:35" ht="105">
      <c r="B7448" s="1">
        <v>45119</v>
      </c>
      <c r="C7448" s="4">
        <v>45118.574305555558</v>
      </c>
      <c r="D7448" t="s">
        <v>45059</v>
      </c>
      <c r="E7448" t="s">
        <v>45060</v>
      </c>
      <c r="F7448">
        <v>9</v>
      </c>
      <c r="G7448" t="s">
        <v>2197</v>
      </c>
      <c r="H7448" t="s">
        <v>26325</v>
      </c>
      <c r="I7448" t="s">
        <v>40</v>
      </c>
      <c r="J7448" s="2" t="s">
        <v>62</v>
      </c>
      <c r="K7448" t="s">
        <v>42</v>
      </c>
      <c r="L7448" t="s">
        <v>1257</v>
      </c>
      <c r="Q7448">
        <v>25109</v>
      </c>
      <c r="R7448" t="s">
        <v>45</v>
      </c>
      <c r="S7448" t="s">
        <v>30595</v>
      </c>
      <c r="T7448">
        <v>28</v>
      </c>
      <c r="U7448" s="2" t="s">
        <v>15013</v>
      </c>
      <c r="V7448" s="1">
        <v>45118</v>
      </c>
      <c r="W7448" t="s">
        <v>2384</v>
      </c>
      <c r="X7448">
        <v>838140</v>
      </c>
      <c r="Y7448" t="s">
        <v>301</v>
      </c>
      <c r="Z7448" t="s">
        <v>45061</v>
      </c>
      <c r="AA7448" t="s">
        <v>45061</v>
      </c>
      <c r="AB7448" t="s">
        <v>45062</v>
      </c>
      <c r="AC7448" t="s">
        <v>301</v>
      </c>
      <c r="AD7448" t="s">
        <v>54</v>
      </c>
      <c r="AE7448" t="s">
        <v>54</v>
      </c>
      <c r="AG7448" t="s">
        <v>45063</v>
      </c>
      <c r="AH7448" t="s">
        <v>30601</v>
      </c>
      <c r="AI7448" t="s">
        <v>45064</v>
      </c>
    </row>
    <row r="7449" spans="2:35" ht="105">
      <c r="B7449" s="1">
        <v>45119</v>
      </c>
      <c r="C7449" s="4">
        <v>45118.574305555558</v>
      </c>
      <c r="D7449" t="s">
        <v>45059</v>
      </c>
      <c r="E7449" t="s">
        <v>45060</v>
      </c>
      <c r="F7449">
        <v>9</v>
      </c>
      <c r="G7449" t="s">
        <v>2197</v>
      </c>
      <c r="H7449" t="s">
        <v>26325</v>
      </c>
      <c r="I7449" t="s">
        <v>40</v>
      </c>
      <c r="J7449" s="2" t="s">
        <v>62</v>
      </c>
      <c r="K7449" t="s">
        <v>42</v>
      </c>
      <c r="L7449" t="s">
        <v>1257</v>
      </c>
      <c r="Q7449">
        <v>25108</v>
      </c>
      <c r="R7449" t="s">
        <v>45</v>
      </c>
      <c r="S7449" t="s">
        <v>30595</v>
      </c>
      <c r="T7449">
        <v>28</v>
      </c>
      <c r="U7449" s="2" t="s">
        <v>15013</v>
      </c>
      <c r="V7449" s="1">
        <v>45118</v>
      </c>
      <c r="W7449" t="s">
        <v>2384</v>
      </c>
      <c r="X7449">
        <v>838140</v>
      </c>
      <c r="Y7449" t="s">
        <v>301</v>
      </c>
      <c r="Z7449" t="s">
        <v>45061</v>
      </c>
      <c r="AA7449" t="s">
        <v>45061</v>
      </c>
      <c r="AB7449" t="s">
        <v>45062</v>
      </c>
      <c r="AC7449" t="s">
        <v>301</v>
      </c>
      <c r="AD7449" t="s">
        <v>54</v>
      </c>
      <c r="AE7449" t="s">
        <v>54</v>
      </c>
      <c r="AG7449" t="s">
        <v>45065</v>
      </c>
      <c r="AH7449" t="s">
        <v>30601</v>
      </c>
      <c r="AI7449" t="s">
        <v>45066</v>
      </c>
    </row>
    <row r="7450" spans="2:35" ht="360">
      <c r="B7450" s="1">
        <v>45118</v>
      </c>
      <c r="C7450" s="4">
        <v>45118.588888888888</v>
      </c>
      <c r="D7450" t="s">
        <v>45067</v>
      </c>
      <c r="E7450" t="s">
        <v>45068</v>
      </c>
      <c r="F7450" t="s">
        <v>148</v>
      </c>
      <c r="G7450" t="s">
        <v>447</v>
      </c>
      <c r="H7450" t="s">
        <v>39</v>
      </c>
      <c r="I7450" t="s">
        <v>40</v>
      </c>
      <c r="J7450" s="2" t="s">
        <v>62</v>
      </c>
      <c r="K7450" t="s">
        <v>42</v>
      </c>
      <c r="L7450" t="s">
        <v>15532</v>
      </c>
      <c r="Q7450">
        <v>25107</v>
      </c>
      <c r="R7450" t="s">
        <v>45</v>
      </c>
      <c r="S7450" t="s">
        <v>44528</v>
      </c>
      <c r="T7450">
        <v>25</v>
      </c>
      <c r="U7450" s="2" t="s">
        <v>45069</v>
      </c>
      <c r="V7450" s="1">
        <v>45114</v>
      </c>
      <c r="W7450" t="s">
        <v>597</v>
      </c>
      <c r="X7450">
        <v>814162</v>
      </c>
      <c r="Y7450" t="s">
        <v>6766</v>
      </c>
      <c r="Z7450" t="e">
        <f ca="1">-performed PM
-performed XpertCheck
-generated report</f>
        <v>#NAME?</v>
      </c>
      <c r="AA7450" t="s">
        <v>999</v>
      </c>
      <c r="AB7450" t="s">
        <v>1521</v>
      </c>
      <c r="AD7450" t="s">
        <v>7189</v>
      </c>
      <c r="AE7450" t="s">
        <v>45070</v>
      </c>
      <c r="AG7450" t="s">
        <v>45071</v>
      </c>
      <c r="AH7450" t="s">
        <v>45072</v>
      </c>
      <c r="AI7450" t="s">
        <v>45073</v>
      </c>
    </row>
    <row r="7451" spans="2:35" ht="300">
      <c r="B7451" s="1">
        <v>45118</v>
      </c>
      <c r="C7451" s="4">
        <v>45118.611111111109</v>
      </c>
      <c r="D7451" t="s">
        <v>45074</v>
      </c>
      <c r="E7451" t="s">
        <v>42373</v>
      </c>
      <c r="F7451">
        <v>7</v>
      </c>
      <c r="G7451" t="s">
        <v>432</v>
      </c>
      <c r="H7451" t="s">
        <v>2290</v>
      </c>
      <c r="I7451" t="s">
        <v>94</v>
      </c>
      <c r="J7451" t="s">
        <v>109</v>
      </c>
      <c r="K7451" t="s">
        <v>42</v>
      </c>
      <c r="L7451" t="s">
        <v>610</v>
      </c>
      <c r="Q7451">
        <v>25106</v>
      </c>
      <c r="R7451" t="s">
        <v>45</v>
      </c>
      <c r="S7451" t="s">
        <v>23380</v>
      </c>
      <c r="T7451">
        <v>24</v>
      </c>
      <c r="U7451" s="2" t="s">
        <v>13529</v>
      </c>
      <c r="W7451" t="s">
        <v>502</v>
      </c>
      <c r="X7451">
        <v>808640</v>
      </c>
      <c r="Y7451" t="s">
        <v>45075</v>
      </c>
      <c r="Z7451" t="s">
        <v>122</v>
      </c>
      <c r="AA7451" s="2" t="s">
        <v>45076</v>
      </c>
      <c r="AB7451" t="s">
        <v>1263</v>
      </c>
      <c r="AG7451" t="s">
        <v>45077</v>
      </c>
      <c r="AH7451" t="s">
        <v>45078</v>
      </c>
      <c r="AI7451" t="s">
        <v>45079</v>
      </c>
    </row>
    <row r="7452" spans="2:35" ht="180">
      <c r="B7452" s="1">
        <v>45118</v>
      </c>
      <c r="C7452" s="4">
        <v>45118.605555555558</v>
      </c>
      <c r="D7452" t="s">
        <v>26865</v>
      </c>
      <c r="E7452" t="s">
        <v>35851</v>
      </c>
      <c r="F7452">
        <v>3</v>
      </c>
      <c r="G7452" t="s">
        <v>1722</v>
      </c>
      <c r="H7452" t="s">
        <v>39</v>
      </c>
      <c r="I7452" t="s">
        <v>40</v>
      </c>
      <c r="J7452" s="2" t="s">
        <v>190</v>
      </c>
      <c r="K7452" t="s">
        <v>42</v>
      </c>
      <c r="L7452" t="s">
        <v>63</v>
      </c>
      <c r="Q7452">
        <v>25105</v>
      </c>
      <c r="R7452" t="s">
        <v>119</v>
      </c>
      <c r="S7452" t="s">
        <v>26867</v>
      </c>
      <c r="T7452">
        <v>20</v>
      </c>
      <c r="U7452" s="2" t="s">
        <v>45080</v>
      </c>
      <c r="V7452" s="1">
        <v>45118</v>
      </c>
      <c r="W7452" t="s">
        <v>26915</v>
      </c>
      <c r="X7452">
        <v>831562</v>
      </c>
      <c r="Y7452" t="s">
        <v>37890</v>
      </c>
      <c r="Z7452" t="s">
        <v>1935</v>
      </c>
      <c r="AA7452" s="2" t="s">
        <v>1727</v>
      </c>
      <c r="AB7452" t="s">
        <v>70</v>
      </c>
      <c r="AC7452" t="s">
        <v>39540</v>
      </c>
      <c r="AD7452" t="s">
        <v>1716</v>
      </c>
      <c r="AE7452" t="s">
        <v>1716</v>
      </c>
      <c r="AG7452" t="s">
        <v>45081</v>
      </c>
      <c r="AH7452" t="s">
        <v>36367</v>
      </c>
      <c r="AI7452" t="s">
        <v>45082</v>
      </c>
    </row>
    <row r="7453" spans="2:35" ht="255">
      <c r="B7453" s="1">
        <v>45118</v>
      </c>
      <c r="C7453" s="4">
        <v>45118.563888888886</v>
      </c>
      <c r="D7453" t="s">
        <v>1941</v>
      </c>
      <c r="E7453" t="s">
        <v>45083</v>
      </c>
      <c r="F7453" t="s">
        <v>148</v>
      </c>
      <c r="G7453" t="s">
        <v>310</v>
      </c>
      <c r="H7453" t="s">
        <v>39</v>
      </c>
      <c r="I7453" t="s">
        <v>40</v>
      </c>
      <c r="J7453" s="2" t="s">
        <v>355</v>
      </c>
      <c r="K7453" t="s">
        <v>42</v>
      </c>
      <c r="L7453" t="s">
        <v>1943</v>
      </c>
      <c r="Q7453">
        <v>25104</v>
      </c>
      <c r="R7453" t="s">
        <v>45</v>
      </c>
      <c r="S7453" t="s">
        <v>23643</v>
      </c>
      <c r="T7453">
        <v>25</v>
      </c>
      <c r="U7453" s="2" t="s">
        <v>45084</v>
      </c>
      <c r="W7453" t="s">
        <v>84</v>
      </c>
      <c r="X7453">
        <v>805060</v>
      </c>
      <c r="Y7453" t="s">
        <v>45085</v>
      </c>
      <c r="Z7453" s="2" t="s">
        <v>45086</v>
      </c>
      <c r="AA7453" t="s">
        <v>4487</v>
      </c>
      <c r="AB7453" t="s">
        <v>45087</v>
      </c>
      <c r="AC7453" t="s">
        <v>45088</v>
      </c>
      <c r="AG7453" t="s">
        <v>45089</v>
      </c>
      <c r="AH7453" t="s">
        <v>1951</v>
      </c>
      <c r="AI7453" t="s">
        <v>45090</v>
      </c>
    </row>
    <row r="7454" spans="2:35" ht="255">
      <c r="B7454" s="1">
        <v>45118</v>
      </c>
      <c r="C7454" s="4">
        <v>45118.557638888888</v>
      </c>
      <c r="D7454" t="s">
        <v>6518</v>
      </c>
      <c r="E7454" t="s">
        <v>45091</v>
      </c>
      <c r="F7454">
        <v>11</v>
      </c>
      <c r="G7454" t="s">
        <v>1205</v>
      </c>
      <c r="H7454" t="s">
        <v>202</v>
      </c>
      <c r="I7454" t="s">
        <v>40</v>
      </c>
      <c r="J7454" t="s">
        <v>109</v>
      </c>
      <c r="K7454" t="s">
        <v>42</v>
      </c>
      <c r="L7454" t="s">
        <v>204</v>
      </c>
      <c r="Q7454">
        <v>25103</v>
      </c>
      <c r="R7454" t="s">
        <v>119</v>
      </c>
      <c r="S7454" t="s">
        <v>6520</v>
      </c>
      <c r="T7454">
        <v>25.6</v>
      </c>
      <c r="W7454" t="s">
        <v>23237</v>
      </c>
      <c r="X7454">
        <v>838505</v>
      </c>
      <c r="Y7454" t="s">
        <v>1052</v>
      </c>
      <c r="Z7454" s="2" t="s">
        <v>1892</v>
      </c>
      <c r="AA7454" t="s">
        <v>2551</v>
      </c>
      <c r="AB7454" t="s">
        <v>1211</v>
      </c>
      <c r="AG7454" t="s">
        <v>45092</v>
      </c>
      <c r="AH7454" t="s">
        <v>18501</v>
      </c>
      <c r="AI7454" t="s">
        <v>45093</v>
      </c>
    </row>
    <row r="7455" spans="2:35" ht="180">
      <c r="B7455" s="1">
        <v>45118</v>
      </c>
      <c r="C7455" s="4">
        <v>45118.554166666669</v>
      </c>
      <c r="D7455" t="s">
        <v>45094</v>
      </c>
      <c r="E7455" t="s">
        <v>45095</v>
      </c>
      <c r="F7455">
        <v>8</v>
      </c>
      <c r="G7455" t="s">
        <v>630</v>
      </c>
      <c r="H7455" t="s">
        <v>39</v>
      </c>
      <c r="I7455" t="s">
        <v>40</v>
      </c>
      <c r="J7455" s="2" t="s">
        <v>41</v>
      </c>
      <c r="K7455" t="s">
        <v>42</v>
      </c>
      <c r="L7455" t="s">
        <v>259</v>
      </c>
      <c r="Q7455">
        <v>25102</v>
      </c>
      <c r="R7455" t="s">
        <v>45</v>
      </c>
      <c r="S7455" t="s">
        <v>1593</v>
      </c>
      <c r="T7455">
        <v>25</v>
      </c>
      <c r="U7455" s="2" t="s">
        <v>45096</v>
      </c>
      <c r="V7455" s="1">
        <v>45118</v>
      </c>
      <c r="W7455" t="s">
        <v>84</v>
      </c>
      <c r="X7455">
        <v>835100</v>
      </c>
      <c r="Y7455" s="2" t="s">
        <v>45097</v>
      </c>
      <c r="Z7455" t="e">
        <f ca="1">- removed stuck cartridge
- Preventive Maintenance</f>
        <v>#NAME?</v>
      </c>
      <c r="AA7455" t="e">
        <f ca="1">- removed stuck cartridge on module B2
- performed Preventive Maintenance
- performed functionality test
- Generate reports</f>
        <v>#NAME?</v>
      </c>
      <c r="AB7455" t="s">
        <v>45098</v>
      </c>
      <c r="AG7455" t="s">
        <v>45099</v>
      </c>
      <c r="AH7455" t="s">
        <v>1599</v>
      </c>
      <c r="AI7455" t="s">
        <v>45100</v>
      </c>
    </row>
    <row r="7456" spans="2:35" ht="330">
      <c r="B7456" s="1">
        <v>45118</v>
      </c>
      <c r="C7456" s="4">
        <v>45118.431250000001</v>
      </c>
      <c r="D7456" t="s">
        <v>3696</v>
      </c>
      <c r="E7456" t="s">
        <v>36078</v>
      </c>
      <c r="F7456" t="s">
        <v>148</v>
      </c>
      <c r="G7456" t="s">
        <v>447</v>
      </c>
      <c r="H7456" t="s">
        <v>39</v>
      </c>
      <c r="I7456" t="s">
        <v>40</v>
      </c>
      <c r="J7456" s="2" t="s">
        <v>41</v>
      </c>
      <c r="K7456" t="s">
        <v>42</v>
      </c>
      <c r="L7456" t="s">
        <v>15532</v>
      </c>
      <c r="Q7456">
        <v>25101</v>
      </c>
      <c r="R7456" t="s">
        <v>703</v>
      </c>
      <c r="S7456" t="s">
        <v>3698</v>
      </c>
      <c r="T7456">
        <v>23</v>
      </c>
      <c r="U7456" s="2" t="s">
        <v>45101</v>
      </c>
      <c r="W7456" t="s">
        <v>45102</v>
      </c>
      <c r="X7456">
        <v>835602</v>
      </c>
      <c r="Y7456" s="2" t="s">
        <v>45103</v>
      </c>
      <c r="Z7456" t="e">
        <f ca="1">-performed PM
-replaced modules A1 _xludf.and A3
-generated report</f>
        <v>#NAME?</v>
      </c>
      <c r="AA7456" s="2" t="s">
        <v>45104</v>
      </c>
      <c r="AB7456" t="s">
        <v>34796</v>
      </c>
      <c r="AG7456" t="s">
        <v>45105</v>
      </c>
      <c r="AH7456" t="s">
        <v>7452</v>
      </c>
      <c r="AI7456" t="s">
        <v>45106</v>
      </c>
    </row>
    <row r="7457" spans="2:35" ht="409.5">
      <c r="B7457" s="1">
        <v>45118</v>
      </c>
      <c r="C7457" s="4">
        <v>45113.690972222219</v>
      </c>
      <c r="D7457" t="s">
        <v>45107</v>
      </c>
      <c r="E7457" t="s">
        <v>3051</v>
      </c>
      <c r="F7457" t="s">
        <v>148</v>
      </c>
      <c r="G7457" t="s">
        <v>371</v>
      </c>
      <c r="H7457" t="s">
        <v>39</v>
      </c>
      <c r="I7457" t="s">
        <v>40</v>
      </c>
      <c r="J7457" s="2" t="s">
        <v>190</v>
      </c>
      <c r="K7457" t="s">
        <v>42</v>
      </c>
      <c r="L7457" t="s">
        <v>15532</v>
      </c>
      <c r="Q7457">
        <v>25100</v>
      </c>
      <c r="R7457" t="s">
        <v>45</v>
      </c>
      <c r="S7457" t="s">
        <v>3052</v>
      </c>
      <c r="T7457">
        <v>29</v>
      </c>
      <c r="U7457" s="2" t="s">
        <v>39589</v>
      </c>
      <c r="W7457" t="s">
        <v>597</v>
      </c>
      <c r="X7457" t="s">
        <v>25461</v>
      </c>
      <c r="Y7457" t="s">
        <v>45108</v>
      </c>
      <c r="Z7457" s="2" t="s">
        <v>45109</v>
      </c>
      <c r="AA7457" t="s">
        <v>45110</v>
      </c>
      <c r="AB7457" t="s">
        <v>181</v>
      </c>
      <c r="AG7457" t="s">
        <v>45111</v>
      </c>
      <c r="AH7457" t="s">
        <v>45112</v>
      </c>
      <c r="AI7457" t="s">
        <v>45113</v>
      </c>
    </row>
    <row r="7458" spans="2:35" ht="180">
      <c r="B7458" s="1">
        <v>45117</v>
      </c>
      <c r="C7458" s="4">
        <v>45117.685416666667</v>
      </c>
      <c r="D7458" t="s">
        <v>45114</v>
      </c>
      <c r="E7458" t="s">
        <v>45115</v>
      </c>
      <c r="F7458">
        <v>5</v>
      </c>
      <c r="G7458" t="s">
        <v>759</v>
      </c>
      <c r="H7458" t="s">
        <v>39</v>
      </c>
      <c r="I7458" t="s">
        <v>40</v>
      </c>
      <c r="J7458" s="2" t="s">
        <v>41</v>
      </c>
      <c r="K7458" t="s">
        <v>42</v>
      </c>
      <c r="L7458" t="s">
        <v>761</v>
      </c>
      <c r="Q7458">
        <v>25099</v>
      </c>
      <c r="R7458" t="s">
        <v>45</v>
      </c>
      <c r="S7458" t="s">
        <v>37461</v>
      </c>
      <c r="T7458">
        <v>28</v>
      </c>
      <c r="V7458" s="1">
        <v>45114</v>
      </c>
      <c r="W7458" t="s">
        <v>360</v>
      </c>
      <c r="X7458">
        <v>804257</v>
      </c>
      <c r="Y7458" t="s">
        <v>45116</v>
      </c>
      <c r="Z7458" s="2" t="s">
        <v>45117</v>
      </c>
      <c r="AA7458" t="s">
        <v>45118</v>
      </c>
      <c r="AB7458" t="s">
        <v>181</v>
      </c>
      <c r="AD7458" t="s">
        <v>45119</v>
      </c>
      <c r="AE7458" t="s">
        <v>45120</v>
      </c>
      <c r="AG7458" t="s">
        <v>45121</v>
      </c>
      <c r="AH7458" t="s">
        <v>37467</v>
      </c>
      <c r="AI7458" t="s">
        <v>45122</v>
      </c>
    </row>
    <row r="7459" spans="2:35" ht="375">
      <c r="B7459" s="1">
        <v>45117</v>
      </c>
      <c r="C7459" s="4">
        <v>45117.572916666664</v>
      </c>
      <c r="D7459" t="s">
        <v>8684</v>
      </c>
      <c r="E7459" t="s">
        <v>27512</v>
      </c>
      <c r="F7459">
        <v>3</v>
      </c>
      <c r="G7459" t="s">
        <v>284</v>
      </c>
      <c r="H7459" t="s">
        <v>39</v>
      </c>
      <c r="I7459" t="s">
        <v>40</v>
      </c>
      <c r="J7459" s="2" t="s">
        <v>62</v>
      </c>
      <c r="K7459" t="s">
        <v>42</v>
      </c>
      <c r="L7459" t="s">
        <v>135</v>
      </c>
      <c r="Q7459">
        <v>25098</v>
      </c>
      <c r="R7459" t="s">
        <v>119</v>
      </c>
      <c r="S7459" t="s">
        <v>27513</v>
      </c>
      <c r="T7459">
        <v>27</v>
      </c>
      <c r="U7459" s="2" t="s">
        <v>45123</v>
      </c>
      <c r="W7459" t="s">
        <v>2680</v>
      </c>
      <c r="X7459">
        <v>831613</v>
      </c>
      <c r="Y7459" t="s">
        <v>45124</v>
      </c>
      <c r="Z7459" s="2" t="s">
        <v>29789</v>
      </c>
      <c r="AA7459" s="2" t="s">
        <v>45125</v>
      </c>
      <c r="AB7459" t="s">
        <v>45126</v>
      </c>
      <c r="AC7459" t="s">
        <v>45127</v>
      </c>
      <c r="AG7459" t="s">
        <v>45128</v>
      </c>
      <c r="AH7459" t="s">
        <v>33660</v>
      </c>
      <c r="AI7459" t="s">
        <v>45129</v>
      </c>
    </row>
    <row r="7460" spans="2:35" ht="210">
      <c r="B7460" s="1">
        <v>45117</v>
      </c>
      <c r="C7460" s="4">
        <v>45111.425000000003</v>
      </c>
      <c r="D7460" t="s">
        <v>6619</v>
      </c>
      <c r="E7460" t="s">
        <v>42966</v>
      </c>
      <c r="F7460" t="s">
        <v>37</v>
      </c>
      <c r="G7460" t="s">
        <v>748</v>
      </c>
      <c r="H7460" t="s">
        <v>39</v>
      </c>
      <c r="I7460" t="s">
        <v>40</v>
      </c>
      <c r="J7460" s="2" t="s">
        <v>190</v>
      </c>
      <c r="K7460" t="s">
        <v>42</v>
      </c>
      <c r="L7460" t="s">
        <v>1028</v>
      </c>
      <c r="Q7460">
        <v>25096</v>
      </c>
      <c r="R7460" t="s">
        <v>119</v>
      </c>
      <c r="S7460" t="s">
        <v>45130</v>
      </c>
      <c r="T7460">
        <v>29</v>
      </c>
      <c r="U7460" s="2" t="s">
        <v>45131</v>
      </c>
      <c r="W7460" t="s">
        <v>2680</v>
      </c>
      <c r="X7460">
        <v>838535</v>
      </c>
      <c r="Y7460" t="s">
        <v>45132</v>
      </c>
      <c r="Z7460" t="s">
        <v>45133</v>
      </c>
      <c r="AA7460" s="2" t="s">
        <v>45134</v>
      </c>
      <c r="AB7460" t="s">
        <v>45135</v>
      </c>
      <c r="AG7460" t="s">
        <v>45136</v>
      </c>
      <c r="AH7460" t="s">
        <v>15407</v>
      </c>
      <c r="AI7460" t="s">
        <v>45137</v>
      </c>
    </row>
    <row r="7461" spans="2:35" ht="210">
      <c r="B7461" s="1">
        <v>45117</v>
      </c>
      <c r="C7461" s="4">
        <v>45114.40902777778</v>
      </c>
      <c r="D7461" t="s">
        <v>45138</v>
      </c>
      <c r="E7461" t="s">
        <v>45139</v>
      </c>
      <c r="F7461" t="s">
        <v>37</v>
      </c>
      <c r="G7461" t="s">
        <v>748</v>
      </c>
      <c r="H7461" t="s">
        <v>39</v>
      </c>
      <c r="I7461" t="s">
        <v>40</v>
      </c>
      <c r="J7461" s="2" t="s">
        <v>62</v>
      </c>
      <c r="K7461" t="s">
        <v>42</v>
      </c>
      <c r="L7461" t="s">
        <v>1028</v>
      </c>
      <c r="Q7461">
        <v>25096</v>
      </c>
      <c r="R7461" t="s">
        <v>45</v>
      </c>
      <c r="S7461" t="s">
        <v>45140</v>
      </c>
      <c r="T7461">
        <v>28</v>
      </c>
      <c r="U7461" s="2" t="s">
        <v>45141</v>
      </c>
      <c r="W7461" t="s">
        <v>2680</v>
      </c>
      <c r="X7461">
        <v>838198</v>
      </c>
      <c r="Y7461" t="s">
        <v>18140</v>
      </c>
      <c r="Z7461" t="s">
        <v>21244</v>
      </c>
      <c r="AA7461" s="2" t="s">
        <v>31300</v>
      </c>
      <c r="AB7461" t="s">
        <v>45142</v>
      </c>
      <c r="AG7461" t="s">
        <v>45143</v>
      </c>
      <c r="AH7461" t="s">
        <v>45144</v>
      </c>
      <c r="AI7461" t="s">
        <v>45145</v>
      </c>
    </row>
    <row r="7462" spans="2:35" ht="195">
      <c r="B7462" s="1">
        <v>45117</v>
      </c>
      <c r="C7462" s="4">
        <v>45112.634027777778</v>
      </c>
      <c r="D7462" t="s">
        <v>45146</v>
      </c>
      <c r="E7462" t="s">
        <v>45147</v>
      </c>
      <c r="F7462" t="s">
        <v>37</v>
      </c>
      <c r="G7462" t="s">
        <v>748</v>
      </c>
      <c r="H7462" t="s">
        <v>39</v>
      </c>
      <c r="I7462" t="s">
        <v>40</v>
      </c>
      <c r="J7462" s="2" t="s">
        <v>62</v>
      </c>
      <c r="K7462" t="s">
        <v>42</v>
      </c>
      <c r="L7462" t="s">
        <v>1028</v>
      </c>
      <c r="Q7462">
        <v>25097</v>
      </c>
      <c r="R7462" t="s">
        <v>45</v>
      </c>
      <c r="S7462" t="s">
        <v>23801</v>
      </c>
      <c r="T7462">
        <v>29</v>
      </c>
      <c r="U7462" s="2" t="s">
        <v>45148</v>
      </c>
      <c r="W7462" t="s">
        <v>2680</v>
      </c>
      <c r="X7462">
        <v>808268</v>
      </c>
      <c r="Y7462" t="s">
        <v>18140</v>
      </c>
      <c r="Z7462" t="s">
        <v>21244</v>
      </c>
      <c r="AA7462" s="2" t="s">
        <v>31300</v>
      </c>
      <c r="AB7462" t="s">
        <v>45142</v>
      </c>
      <c r="AG7462" t="s">
        <v>45149</v>
      </c>
      <c r="AH7462" t="s">
        <v>45150</v>
      </c>
      <c r="AI7462" t="s">
        <v>45151</v>
      </c>
    </row>
    <row r="7463" spans="2:35" ht="375">
      <c r="B7463" s="1">
        <v>45117</v>
      </c>
      <c r="C7463" s="4">
        <v>45117.481944444444</v>
      </c>
      <c r="D7463" t="s">
        <v>45152</v>
      </c>
      <c r="E7463" t="s">
        <v>15186</v>
      </c>
      <c r="F7463">
        <v>3</v>
      </c>
      <c r="G7463" t="s">
        <v>284</v>
      </c>
      <c r="H7463" t="s">
        <v>2548</v>
      </c>
      <c r="I7463" t="s">
        <v>40</v>
      </c>
      <c r="J7463" t="s">
        <v>45153</v>
      </c>
      <c r="K7463" t="s">
        <v>42</v>
      </c>
      <c r="L7463" t="s">
        <v>135</v>
      </c>
      <c r="Q7463">
        <v>25095</v>
      </c>
      <c r="R7463" t="s">
        <v>322</v>
      </c>
      <c r="S7463" t="s">
        <v>11281</v>
      </c>
      <c r="T7463">
        <v>25</v>
      </c>
      <c r="U7463" s="2" t="s">
        <v>45154</v>
      </c>
      <c r="W7463" t="s">
        <v>2680</v>
      </c>
      <c r="X7463">
        <v>110017894</v>
      </c>
      <c r="Y7463" t="s">
        <v>28623</v>
      </c>
      <c r="Z7463" s="2" t="s">
        <v>45155</v>
      </c>
      <c r="AA7463" s="2" t="s">
        <v>45156</v>
      </c>
      <c r="AB7463" t="s">
        <v>181</v>
      </c>
      <c r="AG7463" t="s">
        <v>45157</v>
      </c>
      <c r="AH7463" t="s">
        <v>15193</v>
      </c>
      <c r="AI7463" t="s">
        <v>45158</v>
      </c>
    </row>
    <row r="7464" spans="2:35" ht="345">
      <c r="B7464" s="1">
        <v>45117</v>
      </c>
      <c r="C7464" s="4">
        <v>45117.469444444447</v>
      </c>
      <c r="D7464" t="s">
        <v>606</v>
      </c>
      <c r="E7464" t="s">
        <v>42481</v>
      </c>
      <c r="F7464">
        <v>7</v>
      </c>
      <c r="G7464" t="s">
        <v>432</v>
      </c>
      <c r="H7464" t="s">
        <v>2290</v>
      </c>
      <c r="I7464" t="s">
        <v>94</v>
      </c>
      <c r="J7464" t="s">
        <v>109</v>
      </c>
      <c r="K7464" t="s">
        <v>42</v>
      </c>
      <c r="L7464" t="s">
        <v>610</v>
      </c>
      <c r="Q7464">
        <v>25094</v>
      </c>
      <c r="R7464" t="s">
        <v>119</v>
      </c>
      <c r="S7464" t="s">
        <v>45159</v>
      </c>
      <c r="T7464">
        <v>24</v>
      </c>
      <c r="U7464" s="2" t="s">
        <v>42483</v>
      </c>
      <c r="W7464" t="s">
        <v>502</v>
      </c>
      <c r="X7464">
        <v>838559</v>
      </c>
      <c r="Y7464" t="s">
        <v>45160</v>
      </c>
      <c r="Z7464" t="s">
        <v>45161</v>
      </c>
      <c r="AA7464" s="2" t="s">
        <v>45162</v>
      </c>
      <c r="AB7464" t="s">
        <v>1263</v>
      </c>
      <c r="AG7464" t="s">
        <v>45163</v>
      </c>
      <c r="AH7464" t="s">
        <v>45164</v>
      </c>
      <c r="AI7464" t="s">
        <v>45165</v>
      </c>
    </row>
    <row r="7465" spans="2:35" ht="210">
      <c r="B7465" s="1">
        <v>45117</v>
      </c>
      <c r="C7465" s="4">
        <v>45113.458333333336</v>
      </c>
      <c r="D7465" t="s">
        <v>24205</v>
      </c>
      <c r="E7465" t="s">
        <v>5041</v>
      </c>
      <c r="F7465">
        <v>12</v>
      </c>
      <c r="G7465" t="s">
        <v>978</v>
      </c>
      <c r="H7465" t="s">
        <v>1473</v>
      </c>
      <c r="I7465" t="s">
        <v>94</v>
      </c>
      <c r="J7465" s="2" t="s">
        <v>41</v>
      </c>
      <c r="K7465" t="s">
        <v>42</v>
      </c>
      <c r="L7465" t="s">
        <v>296</v>
      </c>
      <c r="Q7465">
        <v>25093</v>
      </c>
      <c r="R7465" t="s">
        <v>45</v>
      </c>
      <c r="S7465" t="s">
        <v>31147</v>
      </c>
      <c r="T7465">
        <v>29.3</v>
      </c>
      <c r="U7465" s="2" t="s">
        <v>45166</v>
      </c>
      <c r="V7465" s="1">
        <v>45113</v>
      </c>
      <c r="W7465" t="s">
        <v>23049</v>
      </c>
      <c r="X7465">
        <v>838130</v>
      </c>
      <c r="Y7465" t="s">
        <v>3865</v>
      </c>
      <c r="Z7465" t="s">
        <v>45167</v>
      </c>
      <c r="AA7465" t="s">
        <v>9161</v>
      </c>
      <c r="AB7465" t="s">
        <v>972</v>
      </c>
      <c r="AD7465" t="s">
        <v>45168</v>
      </c>
      <c r="AE7465" t="s">
        <v>19700</v>
      </c>
      <c r="AG7465" t="s">
        <v>45169</v>
      </c>
      <c r="AH7465" t="s">
        <v>31152</v>
      </c>
      <c r="AI7465" t="s">
        <v>45170</v>
      </c>
    </row>
    <row r="7466" spans="2:35" ht="360">
      <c r="B7466" s="1">
        <v>45117</v>
      </c>
      <c r="C7466" s="4">
        <v>45117.34375</v>
      </c>
      <c r="D7466" t="s">
        <v>1071</v>
      </c>
      <c r="E7466" t="s">
        <v>12328</v>
      </c>
      <c r="F7466">
        <v>7</v>
      </c>
      <c r="G7466" t="s">
        <v>432</v>
      </c>
      <c r="H7466" t="s">
        <v>150</v>
      </c>
      <c r="I7466" t="s">
        <v>40</v>
      </c>
      <c r="J7466" t="s">
        <v>583</v>
      </c>
      <c r="K7466" t="s">
        <v>42</v>
      </c>
      <c r="L7466" t="s">
        <v>343</v>
      </c>
      <c r="Q7466">
        <v>25092</v>
      </c>
      <c r="R7466" t="s">
        <v>119</v>
      </c>
      <c r="S7466" t="s">
        <v>8679</v>
      </c>
      <c r="T7466">
        <v>29</v>
      </c>
      <c r="U7466" s="2" t="s">
        <v>45171</v>
      </c>
      <c r="W7466" t="s">
        <v>6105</v>
      </c>
      <c r="X7466">
        <v>838285</v>
      </c>
      <c r="Y7466" t="s">
        <v>45172</v>
      </c>
      <c r="Z7466" t="e">
        <f ca="1">-Change DNS _xludf.address Manually of IPV4 Protocol of GeneXpert connection</f>
        <v>#NAME?</v>
      </c>
      <c r="AA7466" t="s">
        <v>301</v>
      </c>
      <c r="AB7466" t="s">
        <v>7886</v>
      </c>
      <c r="AG7466" t="s">
        <v>45173</v>
      </c>
      <c r="AH7466" t="s">
        <v>4411</v>
      </c>
      <c r="AI7466" t="s">
        <v>45174</v>
      </c>
    </row>
    <row r="7467" spans="2:35" ht="180">
      <c r="B7467" s="1">
        <v>45115</v>
      </c>
      <c r="C7467" s="4">
        <v>45111.459027777775</v>
      </c>
      <c r="D7467" t="s">
        <v>22604</v>
      </c>
      <c r="E7467" t="s">
        <v>45175</v>
      </c>
      <c r="F7467" t="s">
        <v>148</v>
      </c>
      <c r="G7467" t="s">
        <v>447</v>
      </c>
      <c r="H7467" t="s">
        <v>39</v>
      </c>
      <c r="I7467" t="s">
        <v>40</v>
      </c>
      <c r="J7467" t="s">
        <v>321</v>
      </c>
      <c r="K7467" t="s">
        <v>42</v>
      </c>
      <c r="L7467" t="s">
        <v>448</v>
      </c>
      <c r="Q7467">
        <v>25091</v>
      </c>
      <c r="R7467" t="s">
        <v>119</v>
      </c>
      <c r="S7467" t="s">
        <v>22606</v>
      </c>
      <c r="T7467">
        <v>29</v>
      </c>
      <c r="U7467" s="2" t="s">
        <v>45176</v>
      </c>
      <c r="W7467" t="s">
        <v>360</v>
      </c>
      <c r="X7467">
        <v>831586</v>
      </c>
      <c r="Y7467" t="s">
        <v>45177</v>
      </c>
      <c r="Z7467" t="s">
        <v>45178</v>
      </c>
      <c r="AA7467" t="s">
        <v>45179</v>
      </c>
      <c r="AB7467" t="s">
        <v>486</v>
      </c>
      <c r="AC7467" t="s">
        <v>45180</v>
      </c>
      <c r="AG7467" t="s">
        <v>45181</v>
      </c>
      <c r="AH7467" t="s">
        <v>37864</v>
      </c>
      <c r="AI7467" t="s">
        <v>45182</v>
      </c>
    </row>
    <row r="7468" spans="2:35" ht="105">
      <c r="B7468" s="1">
        <v>45115</v>
      </c>
      <c r="C7468" s="4">
        <v>45111.606944444444</v>
      </c>
      <c r="D7468" t="s">
        <v>3076</v>
      </c>
      <c r="E7468" t="s">
        <v>45183</v>
      </c>
      <c r="F7468" t="s">
        <v>148</v>
      </c>
      <c r="G7468" t="s">
        <v>447</v>
      </c>
      <c r="H7468" t="s">
        <v>39</v>
      </c>
      <c r="I7468" t="s">
        <v>40</v>
      </c>
      <c r="J7468" t="s">
        <v>525</v>
      </c>
      <c r="K7468" t="s">
        <v>42</v>
      </c>
      <c r="L7468" t="s">
        <v>448</v>
      </c>
      <c r="Q7468">
        <v>25090</v>
      </c>
      <c r="R7468" t="s">
        <v>119</v>
      </c>
      <c r="S7468" t="s">
        <v>3078</v>
      </c>
      <c r="T7468">
        <v>36</v>
      </c>
      <c r="U7468" s="2" t="s">
        <v>33247</v>
      </c>
      <c r="W7468" t="s">
        <v>360</v>
      </c>
      <c r="X7468">
        <v>831899</v>
      </c>
      <c r="Y7468" t="s">
        <v>45184</v>
      </c>
      <c r="Z7468" t="s">
        <v>45185</v>
      </c>
      <c r="AA7468" t="s">
        <v>19984</v>
      </c>
      <c r="AB7468" t="s">
        <v>45186</v>
      </c>
      <c r="AC7468" t="s">
        <v>45187</v>
      </c>
      <c r="AG7468" t="s">
        <v>45188</v>
      </c>
      <c r="AH7468" t="s">
        <v>3084</v>
      </c>
      <c r="AI7468" t="s">
        <v>45189</v>
      </c>
    </row>
    <row r="7469" spans="2:35" ht="409.5">
      <c r="B7469" s="1">
        <v>45115</v>
      </c>
      <c r="C7469" s="4">
        <v>45112.67291666667</v>
      </c>
      <c r="D7469" t="s">
        <v>38717</v>
      </c>
      <c r="E7469" t="s">
        <v>41822</v>
      </c>
      <c r="F7469" t="s">
        <v>148</v>
      </c>
      <c r="G7469" t="s">
        <v>447</v>
      </c>
      <c r="H7469" t="s">
        <v>662</v>
      </c>
      <c r="I7469" t="s">
        <v>40</v>
      </c>
      <c r="J7469" t="s">
        <v>79</v>
      </c>
      <c r="K7469" t="s">
        <v>42</v>
      </c>
      <c r="L7469" t="s">
        <v>448</v>
      </c>
      <c r="Q7469">
        <v>25089</v>
      </c>
      <c r="R7469" t="s">
        <v>322</v>
      </c>
      <c r="S7469" t="s">
        <v>5604</v>
      </c>
      <c r="T7469">
        <v>28</v>
      </c>
      <c r="U7469" s="2" t="s">
        <v>45190</v>
      </c>
      <c r="V7469" s="1">
        <v>45103</v>
      </c>
      <c r="W7469" t="s">
        <v>325</v>
      </c>
      <c r="X7469">
        <v>110005587</v>
      </c>
      <c r="Y7469" t="s">
        <v>45191</v>
      </c>
      <c r="Z7469" t="s">
        <v>41282</v>
      </c>
      <c r="AA7469" t="s">
        <v>20643</v>
      </c>
      <c r="AB7469" t="s">
        <v>45192</v>
      </c>
      <c r="AC7469" t="s">
        <v>45193</v>
      </c>
      <c r="AD7469" t="s">
        <v>10253</v>
      </c>
      <c r="AE7469">
        <v>10047</v>
      </c>
      <c r="AG7469" t="s">
        <v>45194</v>
      </c>
      <c r="AH7469" t="s">
        <v>5609</v>
      </c>
      <c r="AI7469" t="s">
        <v>45195</v>
      </c>
    </row>
    <row r="7470" spans="2:35" ht="195">
      <c r="B7470" s="1">
        <v>45115</v>
      </c>
      <c r="C7470" s="4">
        <v>45114.493055555555</v>
      </c>
      <c r="D7470" t="s">
        <v>1145</v>
      </c>
      <c r="E7470" t="s">
        <v>45196</v>
      </c>
      <c r="F7470" t="s">
        <v>148</v>
      </c>
      <c r="G7470" t="s">
        <v>447</v>
      </c>
      <c r="H7470" t="s">
        <v>150</v>
      </c>
      <c r="I7470" t="s">
        <v>40</v>
      </c>
      <c r="J7470" s="2" t="s">
        <v>41</v>
      </c>
      <c r="K7470" t="s">
        <v>42</v>
      </c>
      <c r="L7470" t="s">
        <v>448</v>
      </c>
      <c r="Q7470">
        <v>25088</v>
      </c>
      <c r="R7470" t="s">
        <v>45</v>
      </c>
      <c r="S7470" t="s">
        <v>1147</v>
      </c>
      <c r="T7470">
        <v>26</v>
      </c>
      <c r="U7470" s="2" t="s">
        <v>45197</v>
      </c>
      <c r="V7470" s="1">
        <v>45114</v>
      </c>
      <c r="W7470" t="s">
        <v>325</v>
      </c>
      <c r="X7470">
        <v>801080</v>
      </c>
      <c r="Y7470" t="s">
        <v>45198</v>
      </c>
      <c r="Z7470" t="s">
        <v>45199</v>
      </c>
      <c r="AA7470" t="s">
        <v>20643</v>
      </c>
      <c r="AB7470" t="s">
        <v>17073</v>
      </c>
      <c r="AC7470" t="s">
        <v>45200</v>
      </c>
      <c r="AD7470" t="s">
        <v>19700</v>
      </c>
      <c r="AE7470" t="s">
        <v>45201</v>
      </c>
      <c r="AG7470" t="s">
        <v>45202</v>
      </c>
      <c r="AH7470" t="s">
        <v>1153</v>
      </c>
      <c r="AI7470" t="s">
        <v>45203</v>
      </c>
    </row>
    <row r="7471" spans="2:35" ht="409.5">
      <c r="B7471" s="1">
        <v>45114</v>
      </c>
      <c r="C7471" s="4">
        <v>45114.522222222222</v>
      </c>
      <c r="D7471" t="s">
        <v>45204</v>
      </c>
      <c r="E7471" t="s">
        <v>45205</v>
      </c>
      <c r="F7471">
        <v>11</v>
      </c>
      <c r="G7471" t="s">
        <v>2836</v>
      </c>
      <c r="H7471" t="s">
        <v>39</v>
      </c>
      <c r="I7471" t="s">
        <v>40</v>
      </c>
      <c r="J7471" t="s">
        <v>79</v>
      </c>
      <c r="K7471" t="s">
        <v>42</v>
      </c>
      <c r="L7471" t="s">
        <v>204</v>
      </c>
      <c r="Q7471">
        <v>25087</v>
      </c>
      <c r="R7471" t="s">
        <v>45</v>
      </c>
      <c r="S7471" t="s">
        <v>25308</v>
      </c>
      <c r="T7471">
        <v>25.7</v>
      </c>
      <c r="U7471" s="2" t="s">
        <v>45206</v>
      </c>
      <c r="W7471" t="s">
        <v>23237</v>
      </c>
      <c r="X7471">
        <v>815270</v>
      </c>
      <c r="Y7471" t="s">
        <v>45207</v>
      </c>
      <c r="Z7471" s="2" t="s">
        <v>45208</v>
      </c>
      <c r="AA7471" t="s">
        <v>2129</v>
      </c>
      <c r="AB7471" t="s">
        <v>1211</v>
      </c>
      <c r="AG7471" t="s">
        <v>45209</v>
      </c>
      <c r="AH7471" t="s">
        <v>45210</v>
      </c>
      <c r="AI7471" t="s">
        <v>45211</v>
      </c>
    </row>
    <row r="7472" spans="2:35">
      <c r="B7472" s="1">
        <v>45114</v>
      </c>
      <c r="C7472" s="4">
        <v>45112.615972222222</v>
      </c>
      <c r="D7472" t="s">
        <v>2834</v>
      </c>
      <c r="E7472" t="s">
        <v>2835</v>
      </c>
      <c r="F7472">
        <v>11</v>
      </c>
      <c r="G7472" t="s">
        <v>2836</v>
      </c>
      <c r="H7472" t="s">
        <v>61</v>
      </c>
      <c r="I7472" t="s">
        <v>40</v>
      </c>
      <c r="J7472" t="s">
        <v>79</v>
      </c>
      <c r="K7472" t="s">
        <v>42</v>
      </c>
      <c r="L7472" t="s">
        <v>204</v>
      </c>
      <c r="Q7472">
        <v>25086</v>
      </c>
      <c r="R7472" t="s">
        <v>45</v>
      </c>
      <c r="S7472" t="s">
        <v>2837</v>
      </c>
      <c r="T7472">
        <v>22.5</v>
      </c>
      <c r="W7472" t="s">
        <v>24154</v>
      </c>
      <c r="X7472">
        <v>834440</v>
      </c>
      <c r="Y7472" t="s">
        <v>45212</v>
      </c>
      <c r="Z7472" t="s">
        <v>45213</v>
      </c>
      <c r="AA7472" t="s">
        <v>2129</v>
      </c>
      <c r="AB7472" t="s">
        <v>1211</v>
      </c>
      <c r="AG7472" t="s">
        <v>45214</v>
      </c>
      <c r="AH7472" t="s">
        <v>2844</v>
      </c>
      <c r="AI7472" t="s">
        <v>45215</v>
      </c>
    </row>
    <row r="7473" spans="2:35">
      <c r="B7473" s="1">
        <v>45114</v>
      </c>
      <c r="C7473" s="4">
        <v>45112.613888888889</v>
      </c>
      <c r="D7473" t="s">
        <v>2834</v>
      </c>
      <c r="E7473" t="s">
        <v>2835</v>
      </c>
      <c r="F7473">
        <v>11</v>
      </c>
      <c r="G7473" t="s">
        <v>2836</v>
      </c>
      <c r="H7473" t="s">
        <v>61</v>
      </c>
      <c r="I7473" t="s">
        <v>40</v>
      </c>
      <c r="J7473" t="s">
        <v>79</v>
      </c>
      <c r="K7473" t="s">
        <v>42</v>
      </c>
      <c r="L7473" t="s">
        <v>204</v>
      </c>
      <c r="Q7473">
        <v>25085</v>
      </c>
      <c r="R7473" t="s">
        <v>45</v>
      </c>
      <c r="S7473" t="s">
        <v>2837</v>
      </c>
      <c r="T7473">
        <v>22.5</v>
      </c>
      <c r="W7473" t="s">
        <v>24154</v>
      </c>
      <c r="X7473">
        <v>834626</v>
      </c>
      <c r="Y7473" t="s">
        <v>45216</v>
      </c>
      <c r="Z7473" t="s">
        <v>45217</v>
      </c>
      <c r="AA7473" t="s">
        <v>12182</v>
      </c>
      <c r="AB7473" t="s">
        <v>45218</v>
      </c>
      <c r="AG7473" t="s">
        <v>45219</v>
      </c>
      <c r="AH7473" t="s">
        <v>2844</v>
      </c>
      <c r="AI7473" t="s">
        <v>45220</v>
      </c>
    </row>
    <row r="7474" spans="2:35" ht="180">
      <c r="B7474" s="1">
        <v>45114</v>
      </c>
      <c r="C7474" s="4">
        <v>45114.679861111108</v>
      </c>
      <c r="D7474" t="s">
        <v>45221</v>
      </c>
      <c r="E7474" t="s">
        <v>45222</v>
      </c>
      <c r="F7474">
        <v>7</v>
      </c>
      <c r="G7474" t="s">
        <v>432</v>
      </c>
      <c r="H7474" t="s">
        <v>2290</v>
      </c>
      <c r="I7474" t="s">
        <v>94</v>
      </c>
      <c r="J7474" s="2" t="s">
        <v>190</v>
      </c>
      <c r="K7474" t="s">
        <v>42</v>
      </c>
      <c r="L7474" t="s">
        <v>610</v>
      </c>
      <c r="Q7474">
        <v>25084</v>
      </c>
      <c r="R7474" t="s">
        <v>119</v>
      </c>
      <c r="S7474" t="s">
        <v>13419</v>
      </c>
      <c r="T7474">
        <v>24</v>
      </c>
      <c r="U7474" s="2" t="s">
        <v>45223</v>
      </c>
      <c r="W7474" t="s">
        <v>502</v>
      </c>
      <c r="X7474">
        <v>838512</v>
      </c>
      <c r="Y7474" t="s">
        <v>45224</v>
      </c>
      <c r="Z7474" t="s">
        <v>45225</v>
      </c>
      <c r="AA7474" t="s">
        <v>45226</v>
      </c>
      <c r="AB7474" t="s">
        <v>45227</v>
      </c>
      <c r="AG7474" t="s">
        <v>45228</v>
      </c>
      <c r="AH7474" t="s">
        <v>13425</v>
      </c>
      <c r="AI7474" t="s">
        <v>45229</v>
      </c>
    </row>
    <row r="7475" spans="2:35" ht="180">
      <c r="B7475" s="1">
        <v>45114</v>
      </c>
      <c r="C7475" s="4">
        <v>45114.630555555559</v>
      </c>
      <c r="D7475" t="s">
        <v>27635</v>
      </c>
      <c r="E7475" t="s">
        <v>32696</v>
      </c>
      <c r="F7475" t="s">
        <v>148</v>
      </c>
      <c r="G7475" t="s">
        <v>447</v>
      </c>
      <c r="H7475" t="s">
        <v>39</v>
      </c>
      <c r="I7475" t="s">
        <v>40</v>
      </c>
      <c r="J7475" s="2" t="s">
        <v>41</v>
      </c>
      <c r="K7475" t="s">
        <v>42</v>
      </c>
      <c r="L7475" t="s">
        <v>15532</v>
      </c>
      <c r="Q7475">
        <v>25083</v>
      </c>
      <c r="R7475" t="s">
        <v>119</v>
      </c>
      <c r="S7475" t="s">
        <v>45230</v>
      </c>
      <c r="T7475">
        <v>31</v>
      </c>
      <c r="U7475" s="2" t="s">
        <v>45231</v>
      </c>
      <c r="V7475" s="1">
        <v>45104</v>
      </c>
      <c r="W7475" t="s">
        <v>597</v>
      </c>
      <c r="X7475">
        <v>831615</v>
      </c>
      <c r="Y7475" t="s">
        <v>9897</v>
      </c>
      <c r="Z7475" t="e">
        <f ca="1">-pulled Out old monitor
-Setup new monitor
-performed PM
-generated report</f>
        <v>#NAME?</v>
      </c>
      <c r="AA7475" t="s">
        <v>9899</v>
      </c>
      <c r="AB7475" t="s">
        <v>88</v>
      </c>
      <c r="AD7475" t="s">
        <v>9432</v>
      </c>
      <c r="AE7475" t="s">
        <v>45232</v>
      </c>
      <c r="AG7475" t="s">
        <v>45233</v>
      </c>
      <c r="AH7475" t="s">
        <v>45234</v>
      </c>
      <c r="AI7475" t="s">
        <v>45235</v>
      </c>
    </row>
    <row r="7476" spans="2:35" ht="270">
      <c r="B7476" s="1">
        <v>45114</v>
      </c>
      <c r="C7476" s="4">
        <v>45114.561805555553</v>
      </c>
      <c r="D7476" t="s">
        <v>22431</v>
      </c>
      <c r="E7476" t="s">
        <v>22432</v>
      </c>
      <c r="F7476">
        <v>3</v>
      </c>
      <c r="G7476" t="s">
        <v>730</v>
      </c>
      <c r="H7476" t="s">
        <v>463</v>
      </c>
      <c r="I7476" t="s">
        <v>40</v>
      </c>
      <c r="J7476" t="s">
        <v>525</v>
      </c>
      <c r="K7476" t="s">
        <v>42</v>
      </c>
      <c r="L7476" t="s">
        <v>135</v>
      </c>
      <c r="Q7476">
        <v>25082</v>
      </c>
      <c r="R7476" t="s">
        <v>119</v>
      </c>
      <c r="S7476" t="s">
        <v>22433</v>
      </c>
      <c r="T7476">
        <v>27</v>
      </c>
      <c r="U7476" s="2" t="s">
        <v>13799</v>
      </c>
      <c r="W7476" t="s">
        <v>2680</v>
      </c>
      <c r="X7476">
        <v>831917</v>
      </c>
      <c r="Y7476" s="2" t="s">
        <v>45236</v>
      </c>
      <c r="Z7476" t="s">
        <v>4487</v>
      </c>
      <c r="AA7476" s="2" t="s">
        <v>45237</v>
      </c>
      <c r="AB7476" t="s">
        <v>45238</v>
      </c>
      <c r="AC7476" t="s">
        <v>4800</v>
      </c>
      <c r="AG7476" t="s">
        <v>45239</v>
      </c>
      <c r="AH7476" t="s">
        <v>22437</v>
      </c>
      <c r="AI7476" t="s">
        <v>45240</v>
      </c>
    </row>
    <row r="7477" spans="2:35" ht="150">
      <c r="B7477" s="1">
        <v>45114</v>
      </c>
      <c r="C7477" s="4">
        <v>45114.568055555559</v>
      </c>
      <c r="D7477" t="s">
        <v>29863</v>
      </c>
      <c r="E7477" t="s">
        <v>45241</v>
      </c>
      <c r="F7477">
        <v>5</v>
      </c>
      <c r="G7477" t="s">
        <v>8314</v>
      </c>
      <c r="H7477" t="s">
        <v>39</v>
      </c>
      <c r="I7477" t="s">
        <v>40</v>
      </c>
      <c r="J7477" s="2" t="s">
        <v>62</v>
      </c>
      <c r="K7477" t="s">
        <v>42</v>
      </c>
      <c r="L7477" t="s">
        <v>761</v>
      </c>
      <c r="Q7477">
        <v>25081</v>
      </c>
      <c r="R7477" t="s">
        <v>45</v>
      </c>
      <c r="S7477" t="s">
        <v>29865</v>
      </c>
      <c r="T7477">
        <v>28</v>
      </c>
      <c r="U7477" s="2" t="s">
        <v>1617</v>
      </c>
      <c r="V7477" s="1">
        <v>44998</v>
      </c>
      <c r="W7477" t="s">
        <v>360</v>
      </c>
      <c r="X7477">
        <v>838863</v>
      </c>
      <c r="Y7477" t="s">
        <v>1111</v>
      </c>
      <c r="Z7477" s="2" t="s">
        <v>45242</v>
      </c>
      <c r="AA7477" t="s">
        <v>44464</v>
      </c>
      <c r="AB7477" s="2" t="s">
        <v>3143</v>
      </c>
      <c r="AD7477" t="s">
        <v>948</v>
      </c>
      <c r="AE7477" t="s">
        <v>45243</v>
      </c>
      <c r="AG7477" t="s">
        <v>45244</v>
      </c>
      <c r="AH7477" t="s">
        <v>45245</v>
      </c>
      <c r="AI7477" t="s">
        <v>45246</v>
      </c>
    </row>
    <row r="7478" spans="2:35" ht="165">
      <c r="B7478" s="1">
        <v>45114</v>
      </c>
      <c r="C7478" s="4">
        <v>45114.572222222225</v>
      </c>
      <c r="D7478" t="s">
        <v>6682</v>
      </c>
      <c r="E7478" t="s">
        <v>45247</v>
      </c>
      <c r="F7478" t="s">
        <v>37</v>
      </c>
      <c r="G7478" t="s">
        <v>78</v>
      </c>
      <c r="H7478" t="s">
        <v>39</v>
      </c>
      <c r="I7478" t="s">
        <v>40</v>
      </c>
      <c r="J7478" s="2" t="s">
        <v>41</v>
      </c>
      <c r="K7478" t="s">
        <v>42</v>
      </c>
      <c r="L7478" t="s">
        <v>1943</v>
      </c>
      <c r="Q7478">
        <v>25080</v>
      </c>
      <c r="R7478" t="s">
        <v>45</v>
      </c>
      <c r="S7478" t="s">
        <v>43789</v>
      </c>
      <c r="T7478">
        <v>25</v>
      </c>
      <c r="U7478" s="2" t="s">
        <v>23229</v>
      </c>
      <c r="V7478" s="1">
        <v>45110</v>
      </c>
      <c r="W7478" t="s">
        <v>84</v>
      </c>
      <c r="X7478">
        <v>807570</v>
      </c>
      <c r="Y7478" s="2" t="s">
        <v>31294</v>
      </c>
      <c r="Z7478" s="2" t="s">
        <v>45248</v>
      </c>
      <c r="AA7478" t="s">
        <v>28687</v>
      </c>
      <c r="AB7478" t="s">
        <v>88</v>
      </c>
      <c r="AD7478" t="s">
        <v>45249</v>
      </c>
      <c r="AE7478" t="s">
        <v>8904</v>
      </c>
      <c r="AG7478" t="s">
        <v>45250</v>
      </c>
      <c r="AH7478" t="s">
        <v>43794</v>
      </c>
      <c r="AI7478" t="s">
        <v>45251</v>
      </c>
    </row>
    <row r="7479" spans="2:35" ht="135">
      <c r="B7479" s="1">
        <v>45114</v>
      </c>
      <c r="C7479" s="4">
        <v>45114.497916666667</v>
      </c>
      <c r="D7479" t="s">
        <v>22319</v>
      </c>
      <c r="E7479" t="s">
        <v>45252</v>
      </c>
      <c r="F7479" t="s">
        <v>37</v>
      </c>
      <c r="G7479" t="s">
        <v>78</v>
      </c>
      <c r="H7479" t="s">
        <v>39</v>
      </c>
      <c r="I7479" t="s">
        <v>40</v>
      </c>
      <c r="J7479" s="2" t="s">
        <v>190</v>
      </c>
      <c r="K7479" t="s">
        <v>42</v>
      </c>
      <c r="L7479" t="s">
        <v>1943</v>
      </c>
      <c r="Q7479">
        <v>25079</v>
      </c>
      <c r="R7479" t="s">
        <v>45</v>
      </c>
      <c r="S7479" t="s">
        <v>5107</v>
      </c>
      <c r="T7479">
        <v>25</v>
      </c>
      <c r="U7479" s="2" t="s">
        <v>34919</v>
      </c>
      <c r="W7479" t="s">
        <v>84</v>
      </c>
      <c r="X7479">
        <v>804839</v>
      </c>
      <c r="Y7479" t="s">
        <v>2099</v>
      </c>
      <c r="Z7479" s="2" t="s">
        <v>42296</v>
      </c>
      <c r="AA7479" t="s">
        <v>2100</v>
      </c>
      <c r="AB7479" t="s">
        <v>88</v>
      </c>
      <c r="AG7479" t="s">
        <v>45253</v>
      </c>
      <c r="AH7479" t="s">
        <v>12335</v>
      </c>
      <c r="AI7479" t="s">
        <v>45254</v>
      </c>
    </row>
    <row r="7480" spans="2:35" ht="165">
      <c r="B7480" s="1">
        <v>45114</v>
      </c>
      <c r="C7480" s="4">
        <v>45114.493750000001</v>
      </c>
      <c r="D7480" t="s">
        <v>22319</v>
      </c>
      <c r="E7480" t="s">
        <v>45252</v>
      </c>
      <c r="F7480" t="s">
        <v>37</v>
      </c>
      <c r="G7480" t="s">
        <v>78</v>
      </c>
      <c r="H7480" t="s">
        <v>39</v>
      </c>
      <c r="I7480" t="s">
        <v>40</v>
      </c>
      <c r="J7480" s="2" t="s">
        <v>190</v>
      </c>
      <c r="K7480" t="s">
        <v>42</v>
      </c>
      <c r="L7480" t="s">
        <v>1943</v>
      </c>
      <c r="Q7480">
        <v>25078</v>
      </c>
      <c r="R7480" t="s">
        <v>322</v>
      </c>
      <c r="S7480" t="s">
        <v>5107</v>
      </c>
      <c r="T7480">
        <v>25</v>
      </c>
      <c r="U7480" s="2" t="s">
        <v>43197</v>
      </c>
      <c r="W7480" t="s">
        <v>84</v>
      </c>
      <c r="X7480">
        <v>838519</v>
      </c>
      <c r="Y7480" s="2" t="s">
        <v>45255</v>
      </c>
      <c r="Z7480" t="s">
        <v>16055</v>
      </c>
      <c r="AA7480" t="s">
        <v>4402</v>
      </c>
      <c r="AB7480" t="s">
        <v>45256</v>
      </c>
      <c r="AG7480" t="s">
        <v>45257</v>
      </c>
      <c r="AH7480" t="s">
        <v>22323</v>
      </c>
      <c r="AI7480" t="s">
        <v>45258</v>
      </c>
    </row>
    <row r="7481" spans="2:35" ht="285">
      <c r="B7481" s="1">
        <v>45114</v>
      </c>
      <c r="C7481" s="4">
        <v>45114.492361111108</v>
      </c>
      <c r="D7481" t="s">
        <v>11265</v>
      </c>
      <c r="E7481" t="s">
        <v>11266</v>
      </c>
      <c r="F7481">
        <v>3</v>
      </c>
      <c r="G7481" t="s">
        <v>1722</v>
      </c>
      <c r="H7481" t="s">
        <v>39</v>
      </c>
      <c r="I7481" t="s">
        <v>40</v>
      </c>
      <c r="J7481" s="2" t="s">
        <v>1157</v>
      </c>
      <c r="K7481" t="s">
        <v>42</v>
      </c>
      <c r="L7481" t="s">
        <v>63</v>
      </c>
      <c r="N7481" t="s">
        <v>64</v>
      </c>
      <c r="Q7481">
        <v>25077</v>
      </c>
      <c r="R7481" t="s">
        <v>322</v>
      </c>
      <c r="S7481" t="s">
        <v>11267</v>
      </c>
      <c r="T7481">
        <v>23</v>
      </c>
      <c r="U7481" s="2" t="s">
        <v>45259</v>
      </c>
      <c r="V7481" s="1">
        <v>45114</v>
      </c>
      <c r="W7481" t="s">
        <v>26915</v>
      </c>
      <c r="X7481">
        <v>110013773</v>
      </c>
      <c r="Y7481" t="s">
        <v>34941</v>
      </c>
      <c r="Z7481" t="s">
        <v>34204</v>
      </c>
      <c r="AA7481" s="2" t="s">
        <v>38119</v>
      </c>
      <c r="AB7481" t="s">
        <v>70</v>
      </c>
      <c r="AC7481" t="s">
        <v>38901</v>
      </c>
      <c r="AD7481" t="s">
        <v>31742</v>
      </c>
      <c r="AE7481" t="s">
        <v>1716</v>
      </c>
      <c r="AG7481" t="s">
        <v>45260</v>
      </c>
      <c r="AH7481" t="s">
        <v>45261</v>
      </c>
      <c r="AI7481" t="s">
        <v>45262</v>
      </c>
    </row>
    <row r="7482" spans="2:35" ht="375">
      <c r="B7482" s="1">
        <v>45114</v>
      </c>
      <c r="C7482" s="4">
        <v>45114.472916666666</v>
      </c>
      <c r="D7482" t="s">
        <v>32158</v>
      </c>
      <c r="E7482" t="s">
        <v>45263</v>
      </c>
      <c r="F7482" t="s">
        <v>37</v>
      </c>
      <c r="G7482" t="s">
        <v>78</v>
      </c>
      <c r="H7482" t="s">
        <v>61</v>
      </c>
      <c r="I7482" t="s">
        <v>40</v>
      </c>
      <c r="J7482" s="2" t="s">
        <v>190</v>
      </c>
      <c r="K7482" t="s">
        <v>42</v>
      </c>
      <c r="L7482" t="s">
        <v>1943</v>
      </c>
      <c r="Q7482">
        <v>25076</v>
      </c>
      <c r="R7482" t="s">
        <v>322</v>
      </c>
      <c r="S7482" t="s">
        <v>45264</v>
      </c>
      <c r="T7482">
        <v>25</v>
      </c>
      <c r="U7482" s="2" t="s">
        <v>45265</v>
      </c>
      <c r="W7482" t="s">
        <v>84</v>
      </c>
      <c r="X7482">
        <v>838522</v>
      </c>
      <c r="Y7482" s="2" t="s">
        <v>45255</v>
      </c>
      <c r="Z7482" s="2" t="s">
        <v>45266</v>
      </c>
      <c r="AA7482" t="s">
        <v>4402</v>
      </c>
      <c r="AB7482" t="s">
        <v>45267</v>
      </c>
      <c r="AG7482" t="s">
        <v>45268</v>
      </c>
      <c r="AH7482" t="s">
        <v>32161</v>
      </c>
      <c r="AI7482" t="s">
        <v>45269</v>
      </c>
    </row>
    <row r="7483" spans="2:35" ht="300">
      <c r="B7483" s="1">
        <v>45114</v>
      </c>
      <c r="C7483" s="4">
        <v>45114.476388888892</v>
      </c>
      <c r="D7483" t="s">
        <v>22319</v>
      </c>
      <c r="E7483" t="s">
        <v>45252</v>
      </c>
      <c r="F7483" t="s">
        <v>37</v>
      </c>
      <c r="G7483" t="s">
        <v>78</v>
      </c>
      <c r="H7483" t="s">
        <v>295</v>
      </c>
      <c r="I7483" t="s">
        <v>40</v>
      </c>
      <c r="J7483" s="2" t="s">
        <v>190</v>
      </c>
      <c r="K7483" t="s">
        <v>42</v>
      </c>
      <c r="L7483" t="s">
        <v>1943</v>
      </c>
      <c r="Q7483">
        <v>25075</v>
      </c>
      <c r="R7483" t="s">
        <v>322</v>
      </c>
      <c r="S7483" t="s">
        <v>45264</v>
      </c>
      <c r="T7483">
        <v>25</v>
      </c>
      <c r="U7483" s="2" t="s">
        <v>45270</v>
      </c>
      <c r="W7483" t="s">
        <v>895</v>
      </c>
      <c r="X7483">
        <v>844981</v>
      </c>
      <c r="Y7483" s="2" t="s">
        <v>45255</v>
      </c>
      <c r="Z7483" s="2" t="s">
        <v>45271</v>
      </c>
      <c r="AA7483" t="s">
        <v>4402</v>
      </c>
      <c r="AB7483" t="s">
        <v>45272</v>
      </c>
      <c r="AG7483" t="s">
        <v>45273</v>
      </c>
      <c r="AH7483" t="s">
        <v>32161</v>
      </c>
      <c r="AI7483" t="s">
        <v>45274</v>
      </c>
    </row>
    <row r="7484" spans="2:35" ht="120">
      <c r="B7484" s="1">
        <v>45114</v>
      </c>
      <c r="C7484" s="4">
        <v>45114.467361111114</v>
      </c>
      <c r="D7484" t="s">
        <v>27228</v>
      </c>
      <c r="E7484" t="s">
        <v>45275</v>
      </c>
      <c r="F7484" t="s">
        <v>148</v>
      </c>
      <c r="G7484" t="s">
        <v>371</v>
      </c>
      <c r="H7484" t="s">
        <v>39</v>
      </c>
      <c r="I7484" t="s">
        <v>40</v>
      </c>
      <c r="J7484" s="2" t="s">
        <v>41</v>
      </c>
      <c r="K7484" t="s">
        <v>42</v>
      </c>
      <c r="L7484" t="s">
        <v>175</v>
      </c>
      <c r="Q7484">
        <v>25074</v>
      </c>
      <c r="R7484" t="s">
        <v>119</v>
      </c>
      <c r="S7484" t="s">
        <v>27229</v>
      </c>
      <c r="T7484">
        <v>29</v>
      </c>
      <c r="U7484" s="2" t="s">
        <v>45276</v>
      </c>
      <c r="V7484" s="1">
        <v>45110</v>
      </c>
      <c r="W7484" t="s">
        <v>84</v>
      </c>
      <c r="X7484">
        <v>831677</v>
      </c>
      <c r="Y7484" t="s">
        <v>9897</v>
      </c>
      <c r="Z7484" t="e">
        <f ca="1">- replaced GX monitor
- generated reports
- performed functionality test
- pulled Out defective monitor</f>
        <v>#NAME?</v>
      </c>
      <c r="AA7484" t="s">
        <v>9899</v>
      </c>
      <c r="AB7484" t="s">
        <v>88</v>
      </c>
      <c r="AD7484" s="2" t="s">
        <v>45277</v>
      </c>
      <c r="AE7484">
        <v>10074</v>
      </c>
      <c r="AG7484" t="s">
        <v>45278</v>
      </c>
      <c r="AH7484" t="s">
        <v>27231</v>
      </c>
      <c r="AI7484" t="s">
        <v>45279</v>
      </c>
    </row>
    <row r="7485" spans="2:35" ht="180">
      <c r="B7485" s="1">
        <v>45113</v>
      </c>
      <c r="C7485" s="4">
        <v>45113.640972222223</v>
      </c>
      <c r="D7485" t="s">
        <v>45280</v>
      </c>
      <c r="E7485" t="s">
        <v>45281</v>
      </c>
      <c r="F7485">
        <v>5</v>
      </c>
      <c r="G7485" t="s">
        <v>8314</v>
      </c>
      <c r="H7485" t="s">
        <v>39</v>
      </c>
      <c r="I7485" t="s">
        <v>40</v>
      </c>
      <c r="J7485" t="s">
        <v>109</v>
      </c>
      <c r="K7485" t="s">
        <v>42</v>
      </c>
      <c r="L7485" t="s">
        <v>761</v>
      </c>
      <c r="Q7485">
        <v>25073</v>
      </c>
      <c r="R7485" t="s">
        <v>45</v>
      </c>
      <c r="S7485" t="s">
        <v>45282</v>
      </c>
      <c r="T7485">
        <v>27</v>
      </c>
      <c r="U7485" s="2" t="s">
        <v>45283</v>
      </c>
      <c r="W7485" t="s">
        <v>360</v>
      </c>
      <c r="X7485">
        <v>835215</v>
      </c>
      <c r="Y7485" t="s">
        <v>1052</v>
      </c>
      <c r="Z7485" s="2" t="s">
        <v>45284</v>
      </c>
      <c r="AA7485" t="s">
        <v>820</v>
      </c>
      <c r="AB7485" t="s">
        <v>181</v>
      </c>
      <c r="AG7485" t="s">
        <v>45285</v>
      </c>
      <c r="AH7485" t="s">
        <v>45286</v>
      </c>
      <c r="AI7485" t="s">
        <v>45287</v>
      </c>
    </row>
    <row r="7486" spans="2:35" ht="240">
      <c r="B7486" s="1">
        <v>45113</v>
      </c>
      <c r="C7486" s="4">
        <v>45113.525694444441</v>
      </c>
      <c r="D7486" t="s">
        <v>10656</v>
      </c>
      <c r="E7486" t="s">
        <v>21576</v>
      </c>
      <c r="F7486">
        <v>5</v>
      </c>
      <c r="G7486" t="s">
        <v>8314</v>
      </c>
      <c r="H7486" t="s">
        <v>39</v>
      </c>
      <c r="I7486" t="s">
        <v>40</v>
      </c>
      <c r="J7486" s="2" t="s">
        <v>62</v>
      </c>
      <c r="K7486" t="s">
        <v>42</v>
      </c>
      <c r="L7486" t="s">
        <v>761</v>
      </c>
      <c r="Q7486">
        <v>25072</v>
      </c>
      <c r="R7486" t="s">
        <v>119</v>
      </c>
      <c r="S7486" t="s">
        <v>10657</v>
      </c>
      <c r="T7486">
        <v>24</v>
      </c>
      <c r="U7486" s="2" t="s">
        <v>45288</v>
      </c>
      <c r="W7486" t="s">
        <v>360</v>
      </c>
      <c r="X7486">
        <v>838563</v>
      </c>
      <c r="Y7486" t="s">
        <v>8090</v>
      </c>
      <c r="Z7486" s="2" t="s">
        <v>45289</v>
      </c>
      <c r="AA7486" t="s">
        <v>44464</v>
      </c>
      <c r="AB7486" s="2" t="s">
        <v>45290</v>
      </c>
      <c r="AC7486" t="s">
        <v>45291</v>
      </c>
      <c r="AG7486" t="s">
        <v>45292</v>
      </c>
      <c r="AH7486" t="s">
        <v>21581</v>
      </c>
      <c r="AI7486" t="s">
        <v>45293</v>
      </c>
    </row>
    <row r="7487" spans="2:35" ht="300">
      <c r="B7487" s="1">
        <v>45113</v>
      </c>
      <c r="C7487" s="4">
        <v>45113.54791666667</v>
      </c>
      <c r="D7487" t="s">
        <v>45294</v>
      </c>
      <c r="E7487" t="s">
        <v>45295</v>
      </c>
      <c r="F7487">
        <v>7</v>
      </c>
      <c r="G7487" t="s">
        <v>432</v>
      </c>
      <c r="H7487" t="s">
        <v>2290</v>
      </c>
      <c r="I7487" t="s">
        <v>94</v>
      </c>
      <c r="J7487" s="2" t="s">
        <v>190</v>
      </c>
      <c r="K7487" t="s">
        <v>42</v>
      </c>
      <c r="L7487" t="s">
        <v>610</v>
      </c>
      <c r="Q7487">
        <v>25071</v>
      </c>
      <c r="R7487" t="s">
        <v>119</v>
      </c>
      <c r="S7487" t="s">
        <v>16540</v>
      </c>
      <c r="T7487">
        <v>24</v>
      </c>
      <c r="U7487" s="2" t="s">
        <v>45296</v>
      </c>
      <c r="W7487" t="s">
        <v>502</v>
      </c>
      <c r="X7487">
        <v>838283</v>
      </c>
      <c r="Y7487" t="s">
        <v>45297</v>
      </c>
      <c r="Z7487" t="s">
        <v>45298</v>
      </c>
      <c r="AA7487" s="2" t="s">
        <v>45299</v>
      </c>
      <c r="AB7487" t="s">
        <v>45300</v>
      </c>
      <c r="AG7487" t="s">
        <v>45301</v>
      </c>
      <c r="AH7487" t="s">
        <v>37613</v>
      </c>
      <c r="AI7487" t="s">
        <v>45302</v>
      </c>
    </row>
    <row r="7488" spans="2:35" ht="225">
      <c r="B7488" s="1">
        <v>45113</v>
      </c>
      <c r="C7488" s="4">
        <v>45113.503472222219</v>
      </c>
      <c r="D7488" t="s">
        <v>3712</v>
      </c>
      <c r="E7488" t="s">
        <v>6028</v>
      </c>
      <c r="F7488" t="s">
        <v>148</v>
      </c>
      <c r="G7488" t="s">
        <v>310</v>
      </c>
      <c r="H7488" t="s">
        <v>2274</v>
      </c>
      <c r="I7488" t="s">
        <v>40</v>
      </c>
      <c r="J7488" t="s">
        <v>109</v>
      </c>
      <c r="K7488" t="s">
        <v>387</v>
      </c>
      <c r="L7488" t="s">
        <v>1943</v>
      </c>
      <c r="Q7488">
        <v>25070</v>
      </c>
      <c r="R7488" t="s">
        <v>95</v>
      </c>
      <c r="S7488" t="s">
        <v>3824</v>
      </c>
      <c r="T7488">
        <v>25</v>
      </c>
      <c r="W7488" t="s">
        <v>390</v>
      </c>
      <c r="X7488" t="s">
        <v>4180</v>
      </c>
      <c r="Y7488" t="s">
        <v>2099</v>
      </c>
      <c r="Z7488" t="s">
        <v>2100</v>
      </c>
      <c r="AA7488" s="2" t="s">
        <v>45303</v>
      </c>
      <c r="AB7488" t="s">
        <v>88</v>
      </c>
      <c r="AG7488" t="s">
        <v>45304</v>
      </c>
      <c r="AH7488" t="s">
        <v>3717</v>
      </c>
      <c r="AI7488" t="s">
        <v>45305</v>
      </c>
    </row>
    <row r="7489" spans="2:35" ht="225">
      <c r="B7489" s="1">
        <v>45113</v>
      </c>
      <c r="C7489" s="4">
        <v>45113.504861111112</v>
      </c>
      <c r="D7489" t="s">
        <v>3712</v>
      </c>
      <c r="E7489" t="s">
        <v>6028</v>
      </c>
      <c r="F7489" t="s">
        <v>148</v>
      </c>
      <c r="G7489" t="s">
        <v>310</v>
      </c>
      <c r="H7489" t="s">
        <v>2274</v>
      </c>
      <c r="I7489" t="s">
        <v>40</v>
      </c>
      <c r="J7489" t="s">
        <v>109</v>
      </c>
      <c r="K7489" t="s">
        <v>387</v>
      </c>
      <c r="L7489" t="s">
        <v>1943</v>
      </c>
      <c r="Q7489">
        <v>25069</v>
      </c>
      <c r="R7489" t="s">
        <v>95</v>
      </c>
      <c r="S7489" t="s">
        <v>3824</v>
      </c>
      <c r="T7489">
        <v>25</v>
      </c>
      <c r="W7489" t="s">
        <v>390</v>
      </c>
      <c r="X7489" t="s">
        <v>20133</v>
      </c>
      <c r="Y7489" t="s">
        <v>2099</v>
      </c>
      <c r="Z7489" s="2" t="s">
        <v>45303</v>
      </c>
      <c r="AA7489" t="s">
        <v>2100</v>
      </c>
      <c r="AB7489" t="s">
        <v>88</v>
      </c>
      <c r="AG7489" t="s">
        <v>45306</v>
      </c>
      <c r="AH7489" t="s">
        <v>3717</v>
      </c>
      <c r="AI7489" t="s">
        <v>45307</v>
      </c>
    </row>
    <row r="7490" spans="2:35" ht="345">
      <c r="B7490" s="1">
        <v>45113</v>
      </c>
      <c r="C7490" s="4">
        <v>45113.496527777781</v>
      </c>
      <c r="D7490" t="s">
        <v>45308</v>
      </c>
      <c r="E7490" t="s">
        <v>34337</v>
      </c>
      <c r="F7490">
        <v>6</v>
      </c>
      <c r="G7490" t="s">
        <v>1234</v>
      </c>
      <c r="H7490" t="s">
        <v>45309</v>
      </c>
      <c r="I7490" t="s">
        <v>94</v>
      </c>
      <c r="J7490" s="2" t="s">
        <v>10552</v>
      </c>
      <c r="K7490" t="s">
        <v>42</v>
      </c>
      <c r="L7490" t="s">
        <v>270</v>
      </c>
      <c r="Q7490">
        <v>25068</v>
      </c>
      <c r="R7490" t="s">
        <v>45</v>
      </c>
      <c r="S7490" t="s">
        <v>34338</v>
      </c>
      <c r="T7490">
        <v>23</v>
      </c>
      <c r="U7490" s="2" t="s">
        <v>45310</v>
      </c>
      <c r="W7490" t="s">
        <v>1292</v>
      </c>
      <c r="X7490">
        <v>815283</v>
      </c>
      <c r="Y7490" t="s">
        <v>45311</v>
      </c>
      <c r="Z7490" t="e">
        <f ca="1">- module bay Cleaning, plunger Maintenance, _xludf.filter cleaning. optic slots cleaning.
- ARCHIVE tests</f>
        <v>#NAME?</v>
      </c>
      <c r="AA7490" t="e">
        <f ca="1">- Preventive Maintenance
- Reorient GX Medtech on GeneXpert software, Maintenance, Jotform Reporting</f>
        <v>#NAME?</v>
      </c>
      <c r="AB7490" s="2" t="s">
        <v>45312</v>
      </c>
      <c r="AC7490" t="s">
        <v>45313</v>
      </c>
      <c r="AG7490" t="s">
        <v>45314</v>
      </c>
      <c r="AH7490" t="s">
        <v>45315</v>
      </c>
      <c r="AI7490" t="s">
        <v>45316</v>
      </c>
    </row>
    <row r="7491" spans="2:35" ht="345">
      <c r="B7491" s="1">
        <v>45113</v>
      </c>
      <c r="C7491" s="4">
        <v>45113.414583333331</v>
      </c>
      <c r="D7491" t="s">
        <v>23828</v>
      </c>
      <c r="E7491" t="s">
        <v>45317</v>
      </c>
      <c r="F7491">
        <v>3</v>
      </c>
      <c r="G7491" t="s">
        <v>730</v>
      </c>
      <c r="H7491" t="s">
        <v>39</v>
      </c>
      <c r="I7491" t="s">
        <v>40</v>
      </c>
      <c r="J7491" t="s">
        <v>109</v>
      </c>
      <c r="K7491" t="s">
        <v>42</v>
      </c>
      <c r="L7491" t="s">
        <v>135</v>
      </c>
      <c r="Q7491">
        <v>25067</v>
      </c>
      <c r="R7491" t="s">
        <v>119</v>
      </c>
      <c r="S7491" t="s">
        <v>23830</v>
      </c>
      <c r="T7491">
        <v>30</v>
      </c>
      <c r="U7491" s="2" t="s">
        <v>45318</v>
      </c>
      <c r="W7491" t="s">
        <v>45319</v>
      </c>
      <c r="X7491">
        <v>831697</v>
      </c>
      <c r="Y7491" t="s">
        <v>485</v>
      </c>
      <c r="Z7491" t="s">
        <v>4315</v>
      </c>
      <c r="AA7491" s="2" t="s">
        <v>30072</v>
      </c>
      <c r="AB7491" t="s">
        <v>9590</v>
      </c>
      <c r="AG7491" t="s">
        <v>45320</v>
      </c>
      <c r="AH7491" t="s">
        <v>45321</v>
      </c>
      <c r="AI7491" t="s">
        <v>45322</v>
      </c>
    </row>
    <row r="7492" spans="2:35" ht="345">
      <c r="B7492" s="1">
        <v>45113</v>
      </c>
      <c r="C7492" s="4">
        <v>45113.414583333331</v>
      </c>
      <c r="D7492" t="s">
        <v>23828</v>
      </c>
      <c r="E7492" t="s">
        <v>45317</v>
      </c>
      <c r="F7492">
        <v>3</v>
      </c>
      <c r="G7492" t="s">
        <v>730</v>
      </c>
      <c r="H7492" t="s">
        <v>39</v>
      </c>
      <c r="I7492" t="s">
        <v>40</v>
      </c>
      <c r="J7492" t="s">
        <v>109</v>
      </c>
      <c r="K7492" t="s">
        <v>42</v>
      </c>
      <c r="L7492" t="s">
        <v>135</v>
      </c>
      <c r="Q7492">
        <v>25066</v>
      </c>
      <c r="R7492" t="s">
        <v>119</v>
      </c>
      <c r="S7492" t="s">
        <v>23830</v>
      </c>
      <c r="T7492">
        <v>30</v>
      </c>
      <c r="U7492" s="2" t="s">
        <v>45318</v>
      </c>
      <c r="W7492" t="s">
        <v>45319</v>
      </c>
      <c r="X7492">
        <v>831697</v>
      </c>
      <c r="Y7492" t="s">
        <v>485</v>
      </c>
      <c r="Z7492" t="s">
        <v>4315</v>
      </c>
      <c r="AA7492" s="2" t="s">
        <v>30072</v>
      </c>
      <c r="AB7492" t="s">
        <v>9590</v>
      </c>
      <c r="AG7492" t="s">
        <v>45323</v>
      </c>
      <c r="AH7492" t="s">
        <v>45321</v>
      </c>
      <c r="AI7492" t="s">
        <v>45324</v>
      </c>
    </row>
    <row r="7493" spans="2:35" ht="135">
      <c r="B7493" s="1">
        <v>45113</v>
      </c>
      <c r="C7493" s="4">
        <v>45113.466666666667</v>
      </c>
      <c r="D7493" t="s">
        <v>14718</v>
      </c>
      <c r="E7493" t="s">
        <v>3713</v>
      </c>
      <c r="F7493" t="s">
        <v>148</v>
      </c>
      <c r="G7493" t="s">
        <v>310</v>
      </c>
      <c r="H7493" t="s">
        <v>61</v>
      </c>
      <c r="I7493" t="s">
        <v>40</v>
      </c>
      <c r="J7493" t="s">
        <v>109</v>
      </c>
      <c r="K7493" t="s">
        <v>42</v>
      </c>
      <c r="L7493" t="s">
        <v>1943</v>
      </c>
      <c r="Q7493">
        <v>25065</v>
      </c>
      <c r="R7493" t="s">
        <v>95</v>
      </c>
      <c r="S7493" t="s">
        <v>14719</v>
      </c>
      <c r="T7493">
        <v>25</v>
      </c>
      <c r="U7493" s="2" t="s">
        <v>45325</v>
      </c>
      <c r="W7493" t="s">
        <v>895</v>
      </c>
      <c r="X7493">
        <v>844418</v>
      </c>
      <c r="Y7493" t="s">
        <v>2099</v>
      </c>
      <c r="Z7493" s="2" t="s">
        <v>42296</v>
      </c>
      <c r="AA7493" t="s">
        <v>2100</v>
      </c>
      <c r="AB7493" t="s">
        <v>88</v>
      </c>
      <c r="AG7493" t="s">
        <v>45326</v>
      </c>
      <c r="AH7493" t="s">
        <v>45327</v>
      </c>
      <c r="AI7493" t="s">
        <v>45328</v>
      </c>
    </row>
    <row r="7494" spans="2:35" ht="180">
      <c r="B7494" s="1">
        <v>45113</v>
      </c>
      <c r="C7494" s="4">
        <v>45112.688194444447</v>
      </c>
      <c r="D7494" t="s">
        <v>35144</v>
      </c>
      <c r="E7494" t="s">
        <v>45329</v>
      </c>
      <c r="F7494" t="s">
        <v>148</v>
      </c>
      <c r="G7494" t="s">
        <v>447</v>
      </c>
      <c r="H7494" t="s">
        <v>39</v>
      </c>
      <c r="I7494" t="s">
        <v>94</v>
      </c>
      <c r="J7494" s="2" t="s">
        <v>2170</v>
      </c>
      <c r="K7494" t="s">
        <v>26778</v>
      </c>
      <c r="L7494" t="s">
        <v>15532</v>
      </c>
      <c r="Q7494">
        <v>25063</v>
      </c>
      <c r="R7494" t="s">
        <v>95</v>
      </c>
      <c r="S7494" t="s">
        <v>35147</v>
      </c>
      <c r="T7494">
        <v>25</v>
      </c>
      <c r="V7494" s="1">
        <v>45112</v>
      </c>
      <c r="W7494" t="s">
        <v>45330</v>
      </c>
      <c r="X7494">
        <v>5131.3195999999998</v>
      </c>
      <c r="Y7494" t="s">
        <v>45331</v>
      </c>
      <c r="Z7494" s="2" t="s">
        <v>45332</v>
      </c>
      <c r="AA7494" s="2" t="s">
        <v>45333</v>
      </c>
      <c r="AB7494" t="s">
        <v>181</v>
      </c>
      <c r="AE7494">
        <v>95867</v>
      </c>
      <c r="AG7494" t="s">
        <v>45334</v>
      </c>
      <c r="AH7494" t="s">
        <v>35155</v>
      </c>
      <c r="AI7494" t="s">
        <v>45335</v>
      </c>
    </row>
    <row r="7495" spans="2:35" ht="360">
      <c r="B7495" s="1">
        <v>45113</v>
      </c>
      <c r="C7495" s="4">
        <v>45113.453472222223</v>
      </c>
      <c r="D7495" t="s">
        <v>45336</v>
      </c>
      <c r="E7495" t="s">
        <v>45337</v>
      </c>
      <c r="F7495" t="s">
        <v>148</v>
      </c>
      <c r="G7495" t="s">
        <v>20126</v>
      </c>
      <c r="H7495" t="s">
        <v>39</v>
      </c>
      <c r="I7495" t="s">
        <v>40</v>
      </c>
      <c r="J7495" s="2" t="s">
        <v>62</v>
      </c>
      <c r="K7495" t="s">
        <v>42</v>
      </c>
      <c r="L7495" t="s">
        <v>15532</v>
      </c>
      <c r="Q7495">
        <v>25064</v>
      </c>
      <c r="R7495" t="s">
        <v>45</v>
      </c>
      <c r="S7495" t="s">
        <v>22337</v>
      </c>
      <c r="T7495">
        <v>35</v>
      </c>
      <c r="U7495" s="2" t="s">
        <v>45338</v>
      </c>
      <c r="V7495" s="1">
        <v>45001</v>
      </c>
      <c r="W7495" t="s">
        <v>3244</v>
      </c>
      <c r="X7495">
        <v>805106</v>
      </c>
      <c r="Y7495" t="s">
        <v>6766</v>
      </c>
      <c r="Z7495" s="2" t="s">
        <v>45339</v>
      </c>
      <c r="AA7495" s="2" t="s">
        <v>45340</v>
      </c>
      <c r="AB7495" t="s">
        <v>88</v>
      </c>
      <c r="AD7495" t="s">
        <v>20036</v>
      </c>
      <c r="AE7495">
        <v>1000410191</v>
      </c>
      <c r="AG7495" t="s">
        <v>45341</v>
      </c>
      <c r="AH7495" t="s">
        <v>22342</v>
      </c>
      <c r="AI7495" t="s">
        <v>45342</v>
      </c>
    </row>
    <row r="7496" spans="2:35" ht="180">
      <c r="B7496" s="1">
        <v>45113</v>
      </c>
      <c r="C7496" s="4">
        <v>45113.448611111111</v>
      </c>
      <c r="D7496" t="s">
        <v>8067</v>
      </c>
      <c r="E7496" t="s">
        <v>8068</v>
      </c>
      <c r="F7496">
        <v>8</v>
      </c>
      <c r="G7496" t="s">
        <v>257</v>
      </c>
      <c r="H7496" t="s">
        <v>2581</v>
      </c>
      <c r="I7496" t="s">
        <v>40</v>
      </c>
      <c r="J7496" t="s">
        <v>109</v>
      </c>
      <c r="K7496" t="s">
        <v>42</v>
      </c>
      <c r="L7496" t="s">
        <v>259</v>
      </c>
      <c r="Q7496">
        <v>25062</v>
      </c>
      <c r="R7496" t="s">
        <v>119</v>
      </c>
      <c r="S7496" t="s">
        <v>8069</v>
      </c>
      <c r="T7496">
        <v>27</v>
      </c>
      <c r="U7496" s="2" t="s">
        <v>45343</v>
      </c>
      <c r="V7496" s="1">
        <v>45113</v>
      </c>
      <c r="W7496" t="s">
        <v>84</v>
      </c>
      <c r="X7496">
        <v>838406</v>
      </c>
      <c r="Y7496" t="s">
        <v>1716</v>
      </c>
      <c r="Z7496" t="s">
        <v>1716</v>
      </c>
      <c r="AA7496" s="2" t="s">
        <v>45344</v>
      </c>
      <c r="AB7496" t="s">
        <v>45345</v>
      </c>
      <c r="AG7496" t="s">
        <v>45346</v>
      </c>
      <c r="AH7496" t="s">
        <v>27179</v>
      </c>
      <c r="AI7496" t="s">
        <v>45347</v>
      </c>
    </row>
    <row r="7497" spans="2:35" ht="180">
      <c r="B7497" s="1">
        <v>45113</v>
      </c>
      <c r="C7497" s="4">
        <v>45112.57708333333</v>
      </c>
      <c r="D7497" t="s">
        <v>5028</v>
      </c>
      <c r="E7497" t="s">
        <v>3863</v>
      </c>
      <c r="F7497">
        <v>12</v>
      </c>
      <c r="G7497" t="s">
        <v>978</v>
      </c>
      <c r="H7497" t="s">
        <v>39</v>
      </c>
      <c r="I7497" t="s">
        <v>94</v>
      </c>
      <c r="J7497" t="s">
        <v>109</v>
      </c>
      <c r="K7497" t="s">
        <v>42</v>
      </c>
      <c r="L7497" t="s">
        <v>296</v>
      </c>
      <c r="Q7497">
        <v>25061</v>
      </c>
      <c r="R7497" t="s">
        <v>45</v>
      </c>
      <c r="S7497" t="s">
        <v>5030</v>
      </c>
      <c r="T7497">
        <v>22.8</v>
      </c>
      <c r="U7497" s="2" t="s">
        <v>45348</v>
      </c>
      <c r="W7497" t="s">
        <v>23049</v>
      </c>
      <c r="X7497">
        <v>815380</v>
      </c>
      <c r="Y7497" t="s">
        <v>54</v>
      </c>
      <c r="Z7497" t="s">
        <v>9161</v>
      </c>
      <c r="AA7497" t="s">
        <v>9161</v>
      </c>
      <c r="AB7497" t="s">
        <v>972</v>
      </c>
      <c r="AG7497" t="s">
        <v>45349</v>
      </c>
      <c r="AH7497" t="s">
        <v>29445</v>
      </c>
      <c r="AI7497" t="s">
        <v>45350</v>
      </c>
    </row>
    <row r="7498" spans="2:35" ht="105">
      <c r="B7498" s="1">
        <v>45113</v>
      </c>
      <c r="C7498" s="4">
        <v>45110.419444444444</v>
      </c>
      <c r="D7498" t="s">
        <v>3165</v>
      </c>
      <c r="E7498" t="s">
        <v>966</v>
      </c>
      <c r="F7498">
        <v>12</v>
      </c>
      <c r="G7498" t="s">
        <v>294</v>
      </c>
      <c r="H7498" t="s">
        <v>45351</v>
      </c>
      <c r="I7498" t="s">
        <v>94</v>
      </c>
      <c r="J7498" s="2" t="s">
        <v>41</v>
      </c>
      <c r="K7498" t="s">
        <v>42</v>
      </c>
      <c r="L7498" t="s">
        <v>296</v>
      </c>
      <c r="Q7498">
        <v>25061</v>
      </c>
      <c r="R7498" t="s">
        <v>45</v>
      </c>
      <c r="S7498" t="s">
        <v>45352</v>
      </c>
      <c r="T7498">
        <v>24.6</v>
      </c>
      <c r="U7498" s="2" t="s">
        <v>45353</v>
      </c>
      <c r="W7498" t="s">
        <v>23049</v>
      </c>
      <c r="X7498">
        <v>807405</v>
      </c>
      <c r="Y7498" t="s">
        <v>20629</v>
      </c>
      <c r="Z7498" t="s">
        <v>45354</v>
      </c>
      <c r="AA7498" t="s">
        <v>9161</v>
      </c>
      <c r="AB7498" t="s">
        <v>972</v>
      </c>
      <c r="AG7498" t="s">
        <v>45355</v>
      </c>
      <c r="AH7498" t="s">
        <v>45356</v>
      </c>
      <c r="AI7498" t="s">
        <v>45357</v>
      </c>
    </row>
    <row r="7499" spans="2:35" ht="150">
      <c r="B7499" s="1">
        <v>45112</v>
      </c>
      <c r="C7499" s="4">
        <v>45112.68472222222</v>
      </c>
      <c r="D7499" t="s">
        <v>45358</v>
      </c>
      <c r="E7499" t="s">
        <v>45359</v>
      </c>
      <c r="F7499" t="s">
        <v>148</v>
      </c>
      <c r="G7499" t="s">
        <v>447</v>
      </c>
      <c r="H7499" t="s">
        <v>39</v>
      </c>
      <c r="I7499" t="s">
        <v>40</v>
      </c>
      <c r="J7499" t="s">
        <v>109</v>
      </c>
      <c r="K7499" t="s">
        <v>26778</v>
      </c>
      <c r="L7499" t="s">
        <v>857</v>
      </c>
      <c r="Q7499">
        <v>25060</v>
      </c>
      <c r="R7499" t="s">
        <v>95</v>
      </c>
      <c r="S7499" t="s">
        <v>35147</v>
      </c>
      <c r="T7499">
        <v>25</v>
      </c>
      <c r="W7499" t="s">
        <v>35148</v>
      </c>
      <c r="X7499">
        <v>6220.4121999999998</v>
      </c>
      <c r="Y7499" t="s">
        <v>45360</v>
      </c>
      <c r="Z7499" s="2" t="s">
        <v>45361</v>
      </c>
      <c r="AA7499" t="s">
        <v>820</v>
      </c>
      <c r="AB7499" t="s">
        <v>181</v>
      </c>
      <c r="AG7499" t="s">
        <v>45362</v>
      </c>
      <c r="AH7499" t="s">
        <v>35155</v>
      </c>
      <c r="AI7499" t="s">
        <v>45363</v>
      </c>
    </row>
    <row r="7500" spans="2:35" ht="180">
      <c r="B7500" s="1">
        <v>45112</v>
      </c>
      <c r="C7500" s="4">
        <v>45112.654861111114</v>
      </c>
      <c r="D7500" t="s">
        <v>38377</v>
      </c>
      <c r="E7500" t="s">
        <v>38378</v>
      </c>
      <c r="F7500">
        <v>7</v>
      </c>
      <c r="G7500" t="s">
        <v>432</v>
      </c>
      <c r="H7500" t="s">
        <v>39</v>
      </c>
      <c r="I7500" t="s">
        <v>40</v>
      </c>
      <c r="J7500" s="2" t="s">
        <v>609</v>
      </c>
      <c r="K7500" t="s">
        <v>42</v>
      </c>
      <c r="L7500" t="s">
        <v>433</v>
      </c>
      <c r="Q7500">
        <v>25059</v>
      </c>
      <c r="R7500" t="s">
        <v>45</v>
      </c>
      <c r="S7500" t="s">
        <v>45364</v>
      </c>
      <c r="T7500">
        <v>29</v>
      </c>
      <c r="U7500" s="2" t="s">
        <v>45365</v>
      </c>
      <c r="W7500" t="s">
        <v>1008</v>
      </c>
      <c r="X7500">
        <v>835189</v>
      </c>
      <c r="Y7500" t="s">
        <v>4315</v>
      </c>
      <c r="Z7500" t="s">
        <v>45366</v>
      </c>
      <c r="AA7500" t="s">
        <v>43863</v>
      </c>
      <c r="AB7500" t="s">
        <v>1011</v>
      </c>
      <c r="AG7500" t="s">
        <v>45367</v>
      </c>
      <c r="AH7500" t="s">
        <v>45368</v>
      </c>
      <c r="AI7500" t="s">
        <v>45369</v>
      </c>
    </row>
    <row r="7501" spans="2:35" ht="315">
      <c r="B7501" s="1">
        <v>45112</v>
      </c>
      <c r="C7501" s="4">
        <v>45112.600694444445</v>
      </c>
      <c r="D7501" t="s">
        <v>45370</v>
      </c>
      <c r="E7501" t="s">
        <v>45371</v>
      </c>
      <c r="F7501">
        <v>7</v>
      </c>
      <c r="G7501" t="s">
        <v>432</v>
      </c>
      <c r="H7501" t="s">
        <v>2290</v>
      </c>
      <c r="I7501" t="s">
        <v>94</v>
      </c>
      <c r="J7501" s="2" t="s">
        <v>41</v>
      </c>
      <c r="K7501" t="s">
        <v>42</v>
      </c>
      <c r="L7501" t="s">
        <v>610</v>
      </c>
      <c r="Q7501">
        <v>25058</v>
      </c>
      <c r="R7501" t="s">
        <v>45</v>
      </c>
      <c r="S7501" t="s">
        <v>25240</v>
      </c>
      <c r="T7501">
        <v>25</v>
      </c>
      <c r="U7501" s="2" t="s">
        <v>30357</v>
      </c>
      <c r="W7501" t="s">
        <v>502</v>
      </c>
      <c r="X7501">
        <v>815464</v>
      </c>
      <c r="Y7501" t="s">
        <v>45372</v>
      </c>
      <c r="Z7501" t="s">
        <v>45373</v>
      </c>
      <c r="AA7501" s="2" t="s">
        <v>45374</v>
      </c>
      <c r="AB7501" t="s">
        <v>45375</v>
      </c>
      <c r="AG7501" t="s">
        <v>45376</v>
      </c>
      <c r="AH7501" t="s">
        <v>45377</v>
      </c>
      <c r="AI7501" t="s">
        <v>45378</v>
      </c>
    </row>
    <row r="7502" spans="2:35" ht="105">
      <c r="B7502" s="1">
        <v>45112</v>
      </c>
      <c r="C7502" s="4">
        <v>45112.550694444442</v>
      </c>
      <c r="D7502" t="s">
        <v>45379</v>
      </c>
      <c r="E7502" t="s">
        <v>45380</v>
      </c>
      <c r="F7502">
        <v>6</v>
      </c>
      <c r="G7502" t="s">
        <v>1234</v>
      </c>
      <c r="H7502" t="s">
        <v>258</v>
      </c>
      <c r="I7502" t="s">
        <v>94</v>
      </c>
      <c r="J7502" s="2" t="s">
        <v>41</v>
      </c>
      <c r="K7502" t="s">
        <v>42</v>
      </c>
      <c r="L7502" t="s">
        <v>270</v>
      </c>
      <c r="Q7502">
        <v>25057</v>
      </c>
      <c r="R7502" t="s">
        <v>45</v>
      </c>
      <c r="S7502" t="s">
        <v>30742</v>
      </c>
      <c r="T7502">
        <v>20</v>
      </c>
      <c r="U7502" s="2" t="s">
        <v>45381</v>
      </c>
      <c r="W7502" t="s">
        <v>1292</v>
      </c>
      <c r="X7502">
        <v>807455</v>
      </c>
      <c r="Y7502" t="s">
        <v>45382</v>
      </c>
      <c r="Z7502" t="e">
        <f ca="1">- module bay Cleaning, _xludf.filter Cleaning, plunger rod Maintenance, optic slots cleaning.
- ARCHIVE tests</f>
        <v>#NAME?</v>
      </c>
      <c r="AA7502" t="s">
        <v>45383</v>
      </c>
      <c r="AB7502" t="s">
        <v>1188</v>
      </c>
      <c r="AG7502" t="s">
        <v>45384</v>
      </c>
      <c r="AH7502" t="s">
        <v>45385</v>
      </c>
      <c r="AI7502" t="s">
        <v>45386</v>
      </c>
    </row>
    <row r="7503" spans="2:35" ht="105">
      <c r="B7503" s="1">
        <v>45112</v>
      </c>
      <c r="C7503" s="4">
        <v>45112.572222222225</v>
      </c>
      <c r="D7503" t="s">
        <v>32844</v>
      </c>
      <c r="E7503" t="s">
        <v>35975</v>
      </c>
      <c r="F7503">
        <v>6</v>
      </c>
      <c r="G7503" t="s">
        <v>9400</v>
      </c>
      <c r="H7503" t="s">
        <v>11433</v>
      </c>
      <c r="I7503" t="s">
        <v>94</v>
      </c>
      <c r="J7503" s="2" t="s">
        <v>1592</v>
      </c>
      <c r="K7503" t="s">
        <v>42</v>
      </c>
      <c r="L7503" t="s">
        <v>343</v>
      </c>
      <c r="Q7503">
        <v>25056</v>
      </c>
      <c r="R7503" t="s">
        <v>45</v>
      </c>
      <c r="S7503" t="s">
        <v>32846</v>
      </c>
      <c r="T7503">
        <v>27.8</v>
      </c>
      <c r="U7503" s="2" t="s">
        <v>25843</v>
      </c>
      <c r="W7503" t="s">
        <v>6105</v>
      </c>
      <c r="X7503">
        <v>815427</v>
      </c>
      <c r="Y7503" t="e">
        <f ca="1">-CPU _xludf.not booting correctly
-module B4 ultrasonic horn _xludf.error</f>
        <v>#NAME?</v>
      </c>
      <c r="Z7503" t="e">
        <f ca="1">-_xludf.Replace CMOS battery of CPU</f>
        <v>#NAME?</v>
      </c>
      <c r="AA7503" t="e">
        <f ca="1">-Repair CPU
-Troubleshoot module B4 (swap module location with B3 _xludf.and LAN cables)
-Preventive Maintenance</f>
        <v>#NAME?</v>
      </c>
      <c r="AB7503" t="s">
        <v>45387</v>
      </c>
      <c r="AG7503" t="s">
        <v>45388</v>
      </c>
      <c r="AH7503" t="s">
        <v>32850</v>
      </c>
      <c r="AI7503" t="s">
        <v>45389</v>
      </c>
    </row>
    <row r="7504" spans="2:35" ht="165">
      <c r="B7504" s="1">
        <v>45112</v>
      </c>
      <c r="C7504" s="4">
        <v>45112.556944444441</v>
      </c>
      <c r="D7504" t="s">
        <v>37291</v>
      </c>
      <c r="E7504" t="s">
        <v>37292</v>
      </c>
      <c r="F7504">
        <v>3</v>
      </c>
      <c r="G7504" t="s">
        <v>1722</v>
      </c>
      <c r="H7504" t="s">
        <v>39</v>
      </c>
      <c r="I7504" t="s">
        <v>40</v>
      </c>
      <c r="J7504" s="2" t="s">
        <v>190</v>
      </c>
      <c r="K7504" t="s">
        <v>42</v>
      </c>
      <c r="L7504" t="s">
        <v>63</v>
      </c>
      <c r="Q7504">
        <v>25055</v>
      </c>
      <c r="R7504" t="s">
        <v>45</v>
      </c>
      <c r="S7504" t="s">
        <v>37293</v>
      </c>
      <c r="T7504">
        <v>29</v>
      </c>
      <c r="V7504" s="1">
        <v>45112</v>
      </c>
      <c r="W7504" t="s">
        <v>26915</v>
      </c>
      <c r="X7504">
        <v>812832</v>
      </c>
      <c r="Y7504" t="s">
        <v>9430</v>
      </c>
      <c r="Z7504" t="s">
        <v>1935</v>
      </c>
      <c r="AA7504" s="2" t="s">
        <v>1727</v>
      </c>
      <c r="AB7504" t="s">
        <v>45390</v>
      </c>
      <c r="AC7504" t="s">
        <v>34935</v>
      </c>
      <c r="AD7504" t="s">
        <v>1716</v>
      </c>
      <c r="AE7504" t="s">
        <v>1716</v>
      </c>
      <c r="AG7504" t="s">
        <v>45391</v>
      </c>
      <c r="AH7504" t="s">
        <v>38063</v>
      </c>
      <c r="AI7504" t="s">
        <v>45392</v>
      </c>
    </row>
    <row r="7505" spans="2:35" ht="165">
      <c r="B7505" s="1">
        <v>45112</v>
      </c>
      <c r="C7505" s="4">
        <v>45112.556944444441</v>
      </c>
      <c r="D7505" t="s">
        <v>37291</v>
      </c>
      <c r="E7505" t="s">
        <v>37292</v>
      </c>
      <c r="F7505">
        <v>3</v>
      </c>
      <c r="G7505" t="s">
        <v>1722</v>
      </c>
      <c r="H7505" t="s">
        <v>39</v>
      </c>
      <c r="I7505" t="s">
        <v>40</v>
      </c>
      <c r="J7505" s="2" t="s">
        <v>190</v>
      </c>
      <c r="K7505" t="s">
        <v>42</v>
      </c>
      <c r="L7505" t="s">
        <v>63</v>
      </c>
      <c r="Q7505">
        <v>25054</v>
      </c>
      <c r="R7505" t="s">
        <v>45</v>
      </c>
      <c r="S7505" t="s">
        <v>37293</v>
      </c>
      <c r="T7505">
        <v>29</v>
      </c>
      <c r="V7505" s="1">
        <v>45112</v>
      </c>
      <c r="W7505" t="s">
        <v>26915</v>
      </c>
      <c r="X7505">
        <v>812832</v>
      </c>
      <c r="Y7505" t="s">
        <v>9430</v>
      </c>
      <c r="Z7505" t="s">
        <v>1935</v>
      </c>
      <c r="AA7505" s="2" t="s">
        <v>1727</v>
      </c>
      <c r="AB7505" t="s">
        <v>45390</v>
      </c>
      <c r="AC7505" t="s">
        <v>34935</v>
      </c>
      <c r="AD7505" t="s">
        <v>1716</v>
      </c>
      <c r="AE7505" t="s">
        <v>1716</v>
      </c>
      <c r="AG7505" t="s">
        <v>45393</v>
      </c>
      <c r="AH7505" t="s">
        <v>38063</v>
      </c>
      <c r="AI7505" t="s">
        <v>45394</v>
      </c>
    </row>
    <row r="7506" spans="2:35" ht="180">
      <c r="B7506" s="1">
        <v>45112</v>
      </c>
      <c r="C7506" s="4">
        <v>45112.556250000001</v>
      </c>
      <c r="D7506" t="s">
        <v>8654</v>
      </c>
      <c r="E7506" t="s">
        <v>8655</v>
      </c>
      <c r="F7506">
        <v>8</v>
      </c>
      <c r="G7506" t="s">
        <v>257</v>
      </c>
      <c r="H7506" t="s">
        <v>202</v>
      </c>
      <c r="I7506" t="s">
        <v>40</v>
      </c>
      <c r="J7506" t="s">
        <v>109</v>
      </c>
      <c r="K7506" t="s">
        <v>42</v>
      </c>
      <c r="L7506" t="s">
        <v>259</v>
      </c>
      <c r="Q7506">
        <v>25053</v>
      </c>
      <c r="R7506" t="s">
        <v>119</v>
      </c>
      <c r="S7506" t="s">
        <v>45395</v>
      </c>
      <c r="T7506">
        <v>26</v>
      </c>
      <c r="U7506" s="2" t="s">
        <v>45396</v>
      </c>
      <c r="V7506" s="1">
        <v>45112</v>
      </c>
      <c r="W7506" t="s">
        <v>84</v>
      </c>
      <c r="X7506">
        <v>838409</v>
      </c>
      <c r="Y7506" t="s">
        <v>1716</v>
      </c>
      <c r="Z7506" t="s">
        <v>1716</v>
      </c>
      <c r="AA7506" t="e">
        <f ca="1">-Preventive Maintenance
- performed functionality test
- Generate reports</f>
        <v>#NAME?</v>
      </c>
      <c r="AB7506" t="s">
        <v>70</v>
      </c>
      <c r="AG7506" t="s">
        <v>45397</v>
      </c>
      <c r="AH7506" t="s">
        <v>45398</v>
      </c>
      <c r="AI7506" t="s">
        <v>45399</v>
      </c>
    </row>
    <row r="7507" spans="2:35" ht="180">
      <c r="B7507" s="1">
        <v>45112</v>
      </c>
      <c r="C7507" s="4">
        <v>45112.542361111111</v>
      </c>
      <c r="D7507" t="s">
        <v>41345</v>
      </c>
      <c r="E7507" t="s">
        <v>45400</v>
      </c>
      <c r="F7507">
        <v>13</v>
      </c>
      <c r="G7507" t="s">
        <v>8524</v>
      </c>
      <c r="H7507" t="s">
        <v>2125</v>
      </c>
      <c r="I7507" t="s">
        <v>40</v>
      </c>
      <c r="J7507" t="s">
        <v>79</v>
      </c>
      <c r="K7507" t="s">
        <v>42</v>
      </c>
      <c r="L7507" t="s">
        <v>933</v>
      </c>
      <c r="Q7507">
        <v>25052</v>
      </c>
      <c r="R7507" t="s">
        <v>45</v>
      </c>
      <c r="S7507" t="s">
        <v>41347</v>
      </c>
      <c r="T7507">
        <v>24.18</v>
      </c>
      <c r="U7507" s="2" t="s">
        <v>45401</v>
      </c>
      <c r="W7507" t="s">
        <v>3662</v>
      </c>
      <c r="X7507">
        <v>838877</v>
      </c>
      <c r="Y7507" t="s">
        <v>301</v>
      </c>
      <c r="Z7507" t="s">
        <v>301</v>
      </c>
      <c r="AA7507" t="s">
        <v>45402</v>
      </c>
      <c r="AB7507" t="s">
        <v>45403</v>
      </c>
      <c r="AG7507" t="s">
        <v>45404</v>
      </c>
      <c r="AH7507" t="s">
        <v>41352</v>
      </c>
      <c r="AI7507" t="s">
        <v>45405</v>
      </c>
    </row>
    <row r="7508" spans="2:35" ht="409.5">
      <c r="B7508" s="1">
        <v>45112</v>
      </c>
      <c r="C7508" s="4">
        <v>45112.507638888892</v>
      </c>
      <c r="D7508" t="s">
        <v>2272</v>
      </c>
      <c r="E7508" t="s">
        <v>45406</v>
      </c>
      <c r="F7508" t="s">
        <v>148</v>
      </c>
      <c r="G7508" t="s">
        <v>310</v>
      </c>
      <c r="H7508" t="s">
        <v>39</v>
      </c>
      <c r="I7508" t="s">
        <v>40</v>
      </c>
      <c r="J7508" s="2" t="s">
        <v>41</v>
      </c>
      <c r="K7508" t="s">
        <v>42</v>
      </c>
      <c r="L7508" t="s">
        <v>1943</v>
      </c>
      <c r="Q7508">
        <v>25051</v>
      </c>
      <c r="R7508" t="s">
        <v>703</v>
      </c>
      <c r="S7508" t="s">
        <v>6830</v>
      </c>
      <c r="T7508">
        <v>25</v>
      </c>
      <c r="U7508" s="2" t="s">
        <v>45407</v>
      </c>
      <c r="V7508" s="1">
        <v>45110</v>
      </c>
      <c r="W7508" t="s">
        <v>84</v>
      </c>
      <c r="X7508">
        <v>835604</v>
      </c>
      <c r="Y7508" s="2" t="s">
        <v>45408</v>
      </c>
      <c r="Z7508" s="2" t="s">
        <v>43790</v>
      </c>
      <c r="AA7508" t="s">
        <v>22330</v>
      </c>
      <c r="AB7508" t="s">
        <v>181</v>
      </c>
      <c r="AD7508" t="s">
        <v>45409</v>
      </c>
      <c r="AE7508" t="s">
        <v>45410</v>
      </c>
      <c r="AG7508" t="s">
        <v>45411</v>
      </c>
      <c r="AH7508" t="s">
        <v>14095</v>
      </c>
      <c r="AI7508" t="s">
        <v>45412</v>
      </c>
    </row>
    <row r="7509" spans="2:35" ht="150">
      <c r="B7509" s="1">
        <v>45112</v>
      </c>
      <c r="C7509" s="4">
        <v>45106.44027777778</v>
      </c>
      <c r="D7509" t="s">
        <v>9805</v>
      </c>
      <c r="E7509" t="s">
        <v>510</v>
      </c>
      <c r="F7509" t="s">
        <v>511</v>
      </c>
      <c r="G7509" t="s">
        <v>512</v>
      </c>
      <c r="H7509" t="s">
        <v>61</v>
      </c>
      <c r="I7509" t="s">
        <v>40</v>
      </c>
      <c r="J7509" t="s">
        <v>109</v>
      </c>
      <c r="K7509" t="s">
        <v>42</v>
      </c>
      <c r="L7509" t="s">
        <v>1048</v>
      </c>
      <c r="Q7509">
        <v>25050</v>
      </c>
      <c r="R7509" t="s">
        <v>322</v>
      </c>
      <c r="S7509" t="s">
        <v>18668</v>
      </c>
      <c r="T7509">
        <v>25</v>
      </c>
      <c r="U7509" s="2" t="s">
        <v>45413</v>
      </c>
      <c r="W7509" t="s">
        <v>2384</v>
      </c>
      <c r="X7509">
        <v>821632</v>
      </c>
      <c r="Y7509" t="s">
        <v>1052</v>
      </c>
      <c r="Z7509" s="2" t="s">
        <v>45414</v>
      </c>
      <c r="AA7509" t="s">
        <v>45415</v>
      </c>
      <c r="AB7509" t="s">
        <v>181</v>
      </c>
      <c r="AG7509" t="s">
        <v>45416</v>
      </c>
      <c r="AH7509" t="s">
        <v>45417</v>
      </c>
      <c r="AI7509" t="s">
        <v>45418</v>
      </c>
    </row>
    <row r="7510" spans="2:35" ht="210">
      <c r="B7510" s="1">
        <v>45112</v>
      </c>
      <c r="C7510" s="4">
        <v>45106.50277777778</v>
      </c>
      <c r="D7510" t="s">
        <v>9805</v>
      </c>
      <c r="E7510" t="s">
        <v>510</v>
      </c>
      <c r="F7510" t="s">
        <v>511</v>
      </c>
      <c r="G7510" t="s">
        <v>512</v>
      </c>
      <c r="H7510" t="s">
        <v>258</v>
      </c>
      <c r="I7510" t="s">
        <v>40</v>
      </c>
      <c r="J7510" s="2" t="s">
        <v>190</v>
      </c>
      <c r="K7510" t="s">
        <v>42</v>
      </c>
      <c r="L7510" t="s">
        <v>1048</v>
      </c>
      <c r="Q7510">
        <v>25049</v>
      </c>
      <c r="R7510" t="s">
        <v>45</v>
      </c>
      <c r="S7510" t="s">
        <v>29628</v>
      </c>
      <c r="T7510">
        <v>28</v>
      </c>
      <c r="U7510" s="2" t="s">
        <v>45419</v>
      </c>
      <c r="W7510" t="s">
        <v>45420</v>
      </c>
      <c r="X7510">
        <v>834685</v>
      </c>
      <c r="Y7510" t="s">
        <v>45421</v>
      </c>
      <c r="Z7510" s="2" t="s">
        <v>45422</v>
      </c>
      <c r="AA7510" t="s">
        <v>37622</v>
      </c>
      <c r="AB7510" t="s">
        <v>181</v>
      </c>
      <c r="AC7510" t="s">
        <v>45423</v>
      </c>
      <c r="AG7510" t="s">
        <v>45424</v>
      </c>
      <c r="AH7510" t="s">
        <v>29632</v>
      </c>
      <c r="AI7510" t="s">
        <v>45425</v>
      </c>
    </row>
    <row r="7511" spans="2:35" ht="150">
      <c r="B7511" s="1">
        <v>45112</v>
      </c>
      <c r="C7511" s="4">
        <v>45106.418055555558</v>
      </c>
      <c r="D7511" t="s">
        <v>9805</v>
      </c>
      <c r="E7511" t="s">
        <v>510</v>
      </c>
      <c r="F7511" t="s">
        <v>511</v>
      </c>
      <c r="G7511" t="s">
        <v>512</v>
      </c>
      <c r="H7511" t="s">
        <v>61</v>
      </c>
      <c r="I7511" t="s">
        <v>40</v>
      </c>
      <c r="J7511" t="s">
        <v>525</v>
      </c>
      <c r="K7511" t="s">
        <v>42</v>
      </c>
      <c r="L7511" t="s">
        <v>1048</v>
      </c>
      <c r="Q7511">
        <v>25048</v>
      </c>
      <c r="R7511" t="s">
        <v>322</v>
      </c>
      <c r="S7511" t="s">
        <v>9806</v>
      </c>
      <c r="T7511">
        <v>22</v>
      </c>
      <c r="V7511" s="1">
        <v>45106</v>
      </c>
      <c r="W7511" t="s">
        <v>677</v>
      </c>
      <c r="X7511">
        <v>110016112</v>
      </c>
      <c r="Y7511" t="s">
        <v>1052</v>
      </c>
      <c r="Z7511" s="2" t="s">
        <v>45426</v>
      </c>
      <c r="AA7511" t="s">
        <v>16055</v>
      </c>
      <c r="AB7511" t="s">
        <v>181</v>
      </c>
      <c r="AG7511" t="s">
        <v>45427</v>
      </c>
      <c r="AH7511" t="s">
        <v>45428</v>
      </c>
      <c r="AI7511" t="s">
        <v>45429</v>
      </c>
    </row>
    <row r="7512" spans="2:35" ht="210">
      <c r="B7512" s="1">
        <v>45112</v>
      </c>
      <c r="C7512" s="4">
        <v>45106.50277777778</v>
      </c>
      <c r="D7512" t="s">
        <v>9805</v>
      </c>
      <c r="E7512" t="s">
        <v>510</v>
      </c>
      <c r="F7512" t="s">
        <v>511</v>
      </c>
      <c r="G7512" t="s">
        <v>512</v>
      </c>
      <c r="H7512" t="s">
        <v>258</v>
      </c>
      <c r="I7512" t="s">
        <v>40</v>
      </c>
      <c r="J7512" t="s">
        <v>525</v>
      </c>
      <c r="K7512" t="s">
        <v>42</v>
      </c>
      <c r="L7512" t="s">
        <v>1048</v>
      </c>
      <c r="Q7512">
        <v>25047</v>
      </c>
      <c r="R7512" t="s">
        <v>45</v>
      </c>
      <c r="S7512" t="s">
        <v>29628</v>
      </c>
      <c r="T7512">
        <v>28</v>
      </c>
      <c r="U7512" s="2" t="s">
        <v>45419</v>
      </c>
      <c r="W7512" t="s">
        <v>45420</v>
      </c>
      <c r="X7512">
        <v>834685</v>
      </c>
      <c r="Y7512" t="s">
        <v>45421</v>
      </c>
      <c r="Z7512" s="2" t="s">
        <v>45422</v>
      </c>
      <c r="AA7512" t="s">
        <v>37622</v>
      </c>
      <c r="AB7512" t="s">
        <v>181</v>
      </c>
      <c r="AC7512" t="s">
        <v>45423</v>
      </c>
      <c r="AG7512" t="s">
        <v>45430</v>
      </c>
      <c r="AH7512" t="s">
        <v>29632</v>
      </c>
      <c r="AI7512" t="s">
        <v>45431</v>
      </c>
    </row>
    <row r="7513" spans="2:35" ht="285">
      <c r="B7513" s="1">
        <v>45112</v>
      </c>
      <c r="C7513" s="4">
        <v>45106.374305555553</v>
      </c>
      <c r="D7513" t="s">
        <v>9805</v>
      </c>
      <c r="E7513" t="s">
        <v>510</v>
      </c>
      <c r="F7513" t="s">
        <v>511</v>
      </c>
      <c r="G7513" t="s">
        <v>512</v>
      </c>
      <c r="H7513" t="s">
        <v>258</v>
      </c>
      <c r="I7513" t="s">
        <v>40</v>
      </c>
      <c r="J7513" s="2" t="s">
        <v>41</v>
      </c>
      <c r="K7513" t="s">
        <v>42</v>
      </c>
      <c r="L7513" t="s">
        <v>1048</v>
      </c>
      <c r="Q7513">
        <v>25046</v>
      </c>
      <c r="R7513" t="s">
        <v>45</v>
      </c>
      <c r="S7513" t="s">
        <v>29628</v>
      </c>
      <c r="T7513">
        <v>26</v>
      </c>
      <c r="U7513" s="2" t="s">
        <v>45432</v>
      </c>
      <c r="V7513" s="1">
        <v>45106</v>
      </c>
      <c r="W7513" t="s">
        <v>45420</v>
      </c>
      <c r="X7513">
        <v>805212</v>
      </c>
      <c r="Y7513" t="s">
        <v>35729</v>
      </c>
      <c r="Z7513" s="2" t="s">
        <v>45433</v>
      </c>
      <c r="AA7513" t="s">
        <v>19347</v>
      </c>
      <c r="AB7513" t="s">
        <v>181</v>
      </c>
      <c r="AD7513" t="s">
        <v>45434</v>
      </c>
      <c r="AE7513">
        <v>0</v>
      </c>
      <c r="AG7513" t="s">
        <v>45435</v>
      </c>
      <c r="AH7513" t="s">
        <v>29632</v>
      </c>
      <c r="AI7513" t="s">
        <v>45436</v>
      </c>
    </row>
    <row r="7514" spans="2:35" ht="180">
      <c r="B7514" s="1">
        <v>45112</v>
      </c>
      <c r="C7514" s="4">
        <v>45106.56527777778</v>
      </c>
      <c r="D7514" t="s">
        <v>6919</v>
      </c>
      <c r="E7514" t="s">
        <v>27853</v>
      </c>
      <c r="F7514" t="s">
        <v>511</v>
      </c>
      <c r="G7514" t="s">
        <v>512</v>
      </c>
      <c r="H7514" t="s">
        <v>39</v>
      </c>
      <c r="I7514" t="s">
        <v>40</v>
      </c>
      <c r="J7514" t="s">
        <v>996</v>
      </c>
      <c r="K7514" t="s">
        <v>42</v>
      </c>
      <c r="L7514" t="s">
        <v>1048</v>
      </c>
      <c r="Q7514">
        <v>25045</v>
      </c>
      <c r="R7514" t="s">
        <v>119</v>
      </c>
      <c r="S7514" t="s">
        <v>6920</v>
      </c>
      <c r="T7514">
        <v>22</v>
      </c>
      <c r="U7514" s="2" t="s">
        <v>45437</v>
      </c>
      <c r="V7514" s="1">
        <v>45090</v>
      </c>
      <c r="W7514" t="s">
        <v>2384</v>
      </c>
      <c r="X7514">
        <v>838281</v>
      </c>
      <c r="Y7514" t="s">
        <v>6929</v>
      </c>
      <c r="Z7514" s="2" t="s">
        <v>45426</v>
      </c>
      <c r="AA7514" t="s">
        <v>45438</v>
      </c>
      <c r="AB7514" t="s">
        <v>181</v>
      </c>
      <c r="AC7514" t="s">
        <v>45439</v>
      </c>
      <c r="AD7514" t="s">
        <v>1958</v>
      </c>
      <c r="AE7514" t="s">
        <v>45440</v>
      </c>
      <c r="AG7514" t="s">
        <v>45441</v>
      </c>
      <c r="AH7514" t="s">
        <v>45442</v>
      </c>
      <c r="AI7514" t="s">
        <v>45443</v>
      </c>
    </row>
    <row r="7515" spans="2:35" ht="195">
      <c r="B7515" s="1">
        <v>45112</v>
      </c>
      <c r="C7515" s="4">
        <v>45107.591666666667</v>
      </c>
      <c r="D7515" t="s">
        <v>3010</v>
      </c>
      <c r="E7515" t="s">
        <v>3011</v>
      </c>
      <c r="F7515">
        <v>1</v>
      </c>
      <c r="G7515" t="s">
        <v>1046</v>
      </c>
      <c r="H7515" t="s">
        <v>61</v>
      </c>
      <c r="I7515" t="s">
        <v>40</v>
      </c>
      <c r="J7515" t="s">
        <v>525</v>
      </c>
      <c r="K7515" t="s">
        <v>42</v>
      </c>
      <c r="Q7515">
        <v>25044</v>
      </c>
      <c r="R7515" t="s">
        <v>45</v>
      </c>
      <c r="S7515" t="s">
        <v>3012</v>
      </c>
      <c r="T7515">
        <v>30</v>
      </c>
      <c r="U7515" s="2" t="s">
        <v>45444</v>
      </c>
      <c r="W7515" t="s">
        <v>31945</v>
      </c>
      <c r="X7515">
        <v>842230</v>
      </c>
      <c r="Y7515" t="s">
        <v>45445</v>
      </c>
      <c r="Z7515" s="2" t="s">
        <v>45446</v>
      </c>
      <c r="AA7515" t="s">
        <v>40281</v>
      </c>
      <c r="AB7515" t="s">
        <v>181</v>
      </c>
      <c r="AC7515" t="s">
        <v>39314</v>
      </c>
      <c r="AG7515" t="s">
        <v>45447</v>
      </c>
      <c r="AH7515" t="s">
        <v>45448</v>
      </c>
      <c r="AI7515" t="s">
        <v>45449</v>
      </c>
    </row>
    <row r="7516" spans="2:35" ht="285">
      <c r="B7516" s="1">
        <v>45111</v>
      </c>
      <c r="C7516" s="4">
        <v>45111.697916666664</v>
      </c>
      <c r="D7516" t="s">
        <v>2106</v>
      </c>
      <c r="E7516" t="s">
        <v>45450</v>
      </c>
      <c r="F7516">
        <v>6</v>
      </c>
      <c r="G7516" t="s">
        <v>9400</v>
      </c>
      <c r="H7516" t="s">
        <v>11433</v>
      </c>
      <c r="I7516" t="s">
        <v>94</v>
      </c>
      <c r="J7516" s="2" t="s">
        <v>2170</v>
      </c>
      <c r="K7516" t="s">
        <v>42</v>
      </c>
      <c r="L7516" t="s">
        <v>343</v>
      </c>
      <c r="Q7516">
        <v>25043</v>
      </c>
      <c r="R7516" t="s">
        <v>45</v>
      </c>
      <c r="S7516" t="s">
        <v>9401</v>
      </c>
      <c r="T7516">
        <v>30</v>
      </c>
      <c r="U7516" s="2" t="s">
        <v>45451</v>
      </c>
      <c r="V7516" s="1">
        <v>45111</v>
      </c>
      <c r="W7516" t="s">
        <v>6105</v>
      </c>
      <c r="X7516">
        <v>804714</v>
      </c>
      <c r="Y7516" s="2" t="s">
        <v>45452</v>
      </c>
      <c r="Z7516" t="s">
        <v>45453</v>
      </c>
      <c r="AA7516" t="e">
        <f ca="1">-PERFORM XpertCheck CALIBRATION on module C2
-module Replacement</f>
        <v>#NAME?</v>
      </c>
      <c r="AB7516" t="s">
        <v>45454</v>
      </c>
      <c r="AD7516" t="s">
        <v>45455</v>
      </c>
      <c r="AE7516" t="s">
        <v>45</v>
      </c>
      <c r="AG7516" t="s">
        <v>45456</v>
      </c>
      <c r="AH7516" t="s">
        <v>45457</v>
      </c>
      <c r="AI7516" t="s">
        <v>45458</v>
      </c>
    </row>
    <row r="7517" spans="2:35" ht="285">
      <c r="B7517" s="1">
        <v>45111</v>
      </c>
      <c r="C7517" s="4">
        <v>45111.689583333333</v>
      </c>
      <c r="D7517" t="s">
        <v>2106</v>
      </c>
      <c r="E7517" t="s">
        <v>45450</v>
      </c>
      <c r="F7517">
        <v>6</v>
      </c>
      <c r="G7517" t="s">
        <v>9400</v>
      </c>
      <c r="H7517" t="s">
        <v>1498</v>
      </c>
      <c r="I7517" t="s">
        <v>40</v>
      </c>
      <c r="J7517" s="2" t="s">
        <v>62</v>
      </c>
      <c r="K7517" t="s">
        <v>42</v>
      </c>
      <c r="L7517" t="s">
        <v>343</v>
      </c>
      <c r="Q7517">
        <v>25042</v>
      </c>
      <c r="R7517" t="s">
        <v>119</v>
      </c>
      <c r="S7517" t="s">
        <v>9401</v>
      </c>
      <c r="T7517">
        <v>30</v>
      </c>
      <c r="U7517" s="2" t="s">
        <v>45459</v>
      </c>
      <c r="W7517" t="s">
        <v>6105</v>
      </c>
      <c r="X7517">
        <v>838412</v>
      </c>
      <c r="Y7517" t="s">
        <v>45460</v>
      </c>
      <c r="Z7517" t="s">
        <v>301</v>
      </c>
      <c r="AA7517" t="e">
        <f ca="1">-run XpertCheck CALIBRATION on module B2 _xludf.and B4
-Preventive Maintenance</f>
        <v>#NAME?</v>
      </c>
      <c r="AB7517" t="s">
        <v>45461</v>
      </c>
      <c r="AC7517" t="s">
        <v>45462</v>
      </c>
      <c r="AG7517" t="s">
        <v>45463</v>
      </c>
      <c r="AH7517" t="s">
        <v>45457</v>
      </c>
      <c r="AI7517" t="s">
        <v>45464</v>
      </c>
    </row>
    <row r="7518" spans="2:35" ht="180">
      <c r="B7518" s="1">
        <v>45111</v>
      </c>
      <c r="C7518" s="4">
        <v>45111.704861111109</v>
      </c>
      <c r="D7518" t="s">
        <v>4814</v>
      </c>
      <c r="E7518" t="s">
        <v>45465</v>
      </c>
      <c r="F7518" t="s">
        <v>148</v>
      </c>
      <c r="G7518" t="s">
        <v>785</v>
      </c>
      <c r="H7518" t="s">
        <v>39</v>
      </c>
      <c r="I7518" t="s">
        <v>40</v>
      </c>
      <c r="J7518" t="s">
        <v>583</v>
      </c>
      <c r="K7518" t="s">
        <v>42</v>
      </c>
      <c r="L7518" t="s">
        <v>15532</v>
      </c>
      <c r="Q7518">
        <v>25041</v>
      </c>
      <c r="R7518" t="s">
        <v>45</v>
      </c>
      <c r="S7518" t="s">
        <v>45466</v>
      </c>
      <c r="T7518">
        <v>29</v>
      </c>
      <c r="U7518" s="2" t="s">
        <v>45467</v>
      </c>
      <c r="W7518" t="s">
        <v>597</v>
      </c>
      <c r="X7518">
        <v>814163</v>
      </c>
      <c r="Y7518" t="s">
        <v>45468</v>
      </c>
      <c r="Z7518" t="e">
        <f ca="1">-perfomed PM
-checked Hard drive
-Insert Hard drive as external drive
-Hard drive works fine but the _xludf.info is _xludf.not located
-will try to RETRIEVE report in Office
-will UPDATE end user tomorrow morning
-generated report</f>
        <v>#NAME?</v>
      </c>
      <c r="AA7518" t="s">
        <v>45469</v>
      </c>
      <c r="AB7518" t="s">
        <v>181</v>
      </c>
      <c r="AG7518" t="s">
        <v>45470</v>
      </c>
      <c r="AH7518" t="s">
        <v>45471</v>
      </c>
      <c r="AI7518" t="s">
        <v>45472</v>
      </c>
    </row>
    <row r="7519" spans="2:35" ht="165">
      <c r="B7519" s="1">
        <v>45111</v>
      </c>
      <c r="C7519" s="4">
        <v>45111.645138888889</v>
      </c>
      <c r="D7519" t="s">
        <v>855</v>
      </c>
      <c r="E7519" t="s">
        <v>45473</v>
      </c>
      <c r="F7519" t="s">
        <v>148</v>
      </c>
      <c r="G7519" t="s">
        <v>310</v>
      </c>
      <c r="H7519" t="s">
        <v>258</v>
      </c>
      <c r="I7519" t="s">
        <v>94</v>
      </c>
      <c r="J7519" t="s">
        <v>321</v>
      </c>
      <c r="K7519" t="s">
        <v>42</v>
      </c>
      <c r="L7519" t="s">
        <v>857</v>
      </c>
      <c r="Q7519">
        <v>25040</v>
      </c>
      <c r="R7519" t="s">
        <v>322</v>
      </c>
      <c r="S7519" t="s">
        <v>859</v>
      </c>
      <c r="T7519">
        <v>30</v>
      </c>
      <c r="U7519" s="2" t="s">
        <v>34665</v>
      </c>
      <c r="W7519" t="s">
        <v>9206</v>
      </c>
      <c r="X7519">
        <v>110016786</v>
      </c>
      <c r="Y7519" t="s">
        <v>301</v>
      </c>
      <c r="Z7519" s="2" t="s">
        <v>45474</v>
      </c>
      <c r="AA7519" t="s">
        <v>45475</v>
      </c>
      <c r="AB7519" t="s">
        <v>181</v>
      </c>
      <c r="AC7519" t="s">
        <v>45476</v>
      </c>
      <c r="AG7519" t="s">
        <v>45477</v>
      </c>
      <c r="AH7519" t="s">
        <v>20310</v>
      </c>
      <c r="AI7519" t="s">
        <v>45478</v>
      </c>
    </row>
    <row r="7520" spans="2:35" ht="285">
      <c r="B7520" s="1">
        <v>45111</v>
      </c>
      <c r="C7520" s="4">
        <v>45111.56527777778</v>
      </c>
      <c r="D7520" t="s">
        <v>39742</v>
      </c>
      <c r="E7520" t="s">
        <v>23296</v>
      </c>
      <c r="F7520">
        <v>3</v>
      </c>
      <c r="G7520" t="s">
        <v>174</v>
      </c>
      <c r="H7520" t="s">
        <v>39</v>
      </c>
      <c r="I7520" t="s">
        <v>40</v>
      </c>
      <c r="J7520" s="2" t="s">
        <v>41</v>
      </c>
      <c r="K7520" t="s">
        <v>42</v>
      </c>
      <c r="L7520" t="s">
        <v>175</v>
      </c>
      <c r="Q7520">
        <v>25039</v>
      </c>
      <c r="R7520" t="s">
        <v>45</v>
      </c>
      <c r="S7520" t="s">
        <v>23297</v>
      </c>
      <c r="T7520">
        <v>27</v>
      </c>
      <c r="U7520" s="2" t="s">
        <v>45479</v>
      </c>
      <c r="V7520" s="1">
        <v>45111</v>
      </c>
      <c r="W7520" t="s">
        <v>84</v>
      </c>
      <c r="X7520">
        <v>814165</v>
      </c>
      <c r="Y7520" t="s">
        <v>45480</v>
      </c>
      <c r="Z7520" t="e">
        <f ca="1">- replaced B4
- checked _xludf.and cleaned cartridge bay, plunger rod, _xludf.filter
- generated reports</f>
        <v>#NAME?</v>
      </c>
      <c r="AA7520" t="s">
        <v>25294</v>
      </c>
      <c r="AB7520" t="s">
        <v>88</v>
      </c>
      <c r="AD7520" s="2" t="s">
        <v>45481</v>
      </c>
      <c r="AE7520" t="s">
        <v>103</v>
      </c>
      <c r="AG7520" t="s">
        <v>45482</v>
      </c>
      <c r="AH7520" t="s">
        <v>23303</v>
      </c>
      <c r="AI7520" t="s">
        <v>45483</v>
      </c>
    </row>
    <row r="7521" spans="2:35" ht="195">
      <c r="B7521" s="1">
        <v>45111</v>
      </c>
      <c r="C7521" s="4">
        <v>45111.51666666667</v>
      </c>
      <c r="D7521" t="s">
        <v>8684</v>
      </c>
      <c r="E7521" t="s">
        <v>45484</v>
      </c>
      <c r="F7521">
        <v>5</v>
      </c>
      <c r="G7521" t="s">
        <v>814</v>
      </c>
      <c r="H7521" t="s">
        <v>39</v>
      </c>
      <c r="I7521" t="s">
        <v>40</v>
      </c>
      <c r="J7521" s="2" t="s">
        <v>62</v>
      </c>
      <c r="K7521" t="s">
        <v>42</v>
      </c>
      <c r="L7521" t="s">
        <v>761</v>
      </c>
      <c r="Q7521">
        <v>25038</v>
      </c>
      <c r="R7521" t="s">
        <v>119</v>
      </c>
      <c r="S7521" t="s">
        <v>45485</v>
      </c>
      <c r="T7521">
        <v>28</v>
      </c>
      <c r="U7521" s="2" t="s">
        <v>45486</v>
      </c>
      <c r="W7521" t="s">
        <v>360</v>
      </c>
      <c r="X7521">
        <v>838266</v>
      </c>
      <c r="Y7521" t="s">
        <v>1111</v>
      </c>
      <c r="Z7521" s="2" t="s">
        <v>45487</v>
      </c>
      <c r="AA7521" s="2" t="s">
        <v>4477</v>
      </c>
      <c r="AB7521" t="s">
        <v>181</v>
      </c>
      <c r="AG7521" t="s">
        <v>45488</v>
      </c>
      <c r="AH7521" t="s">
        <v>45489</v>
      </c>
      <c r="AI7521" t="s">
        <v>45490</v>
      </c>
    </row>
    <row r="7522" spans="2:35" ht="409.5">
      <c r="B7522" s="1">
        <v>45111</v>
      </c>
      <c r="C7522" s="4">
        <v>45111.493055555555</v>
      </c>
      <c r="D7522" t="s">
        <v>24882</v>
      </c>
      <c r="E7522" t="s">
        <v>41582</v>
      </c>
      <c r="F7522">
        <v>3</v>
      </c>
      <c r="G7522" t="s">
        <v>730</v>
      </c>
      <c r="H7522" t="s">
        <v>39</v>
      </c>
      <c r="I7522" t="s">
        <v>40</v>
      </c>
      <c r="J7522" s="2" t="s">
        <v>62</v>
      </c>
      <c r="K7522" t="s">
        <v>42</v>
      </c>
      <c r="L7522" t="s">
        <v>135</v>
      </c>
      <c r="Q7522">
        <v>25037</v>
      </c>
      <c r="R7522" t="s">
        <v>119</v>
      </c>
      <c r="S7522" t="s">
        <v>24884</v>
      </c>
      <c r="T7522">
        <v>28</v>
      </c>
      <c r="U7522" s="2" t="s">
        <v>45491</v>
      </c>
      <c r="W7522" t="s">
        <v>2680</v>
      </c>
      <c r="X7522">
        <v>831693</v>
      </c>
      <c r="Y7522" t="s">
        <v>45492</v>
      </c>
      <c r="Z7522" s="2" t="s">
        <v>29789</v>
      </c>
      <c r="AA7522" s="2" t="s">
        <v>31375</v>
      </c>
      <c r="AB7522" t="s">
        <v>45493</v>
      </c>
      <c r="AC7522" t="s">
        <v>45494</v>
      </c>
      <c r="AG7522" t="s">
        <v>45495</v>
      </c>
      <c r="AH7522" t="s">
        <v>45496</v>
      </c>
      <c r="AI7522" t="s">
        <v>45497</v>
      </c>
    </row>
    <row r="7523" spans="2:35" ht="105">
      <c r="B7523" s="1">
        <v>45111</v>
      </c>
      <c r="C7523" s="4">
        <v>45111.479861111111</v>
      </c>
      <c r="D7523" t="s">
        <v>45498</v>
      </c>
      <c r="E7523" t="s">
        <v>499</v>
      </c>
      <c r="F7523">
        <v>7</v>
      </c>
      <c r="G7523" t="s">
        <v>432</v>
      </c>
      <c r="H7523" t="s">
        <v>2290</v>
      </c>
      <c r="I7523" t="s">
        <v>94</v>
      </c>
      <c r="J7523" s="2" t="s">
        <v>190</v>
      </c>
      <c r="K7523" t="s">
        <v>42</v>
      </c>
      <c r="L7523" t="s">
        <v>610</v>
      </c>
      <c r="Q7523">
        <v>25036</v>
      </c>
      <c r="R7523" t="s">
        <v>119</v>
      </c>
      <c r="S7523" t="s">
        <v>33292</v>
      </c>
      <c r="T7523">
        <v>29</v>
      </c>
      <c r="U7523" s="2" t="s">
        <v>45499</v>
      </c>
      <c r="W7523" t="s">
        <v>502</v>
      </c>
      <c r="X7523">
        <v>838510</v>
      </c>
      <c r="Y7523" t="s">
        <v>45500</v>
      </c>
      <c r="Z7523" t="s">
        <v>45501</v>
      </c>
      <c r="AA7523" t="s">
        <v>45502</v>
      </c>
      <c r="AB7523" t="s">
        <v>45503</v>
      </c>
      <c r="AG7523" t="s">
        <v>45504</v>
      </c>
      <c r="AH7523" t="s">
        <v>45505</v>
      </c>
      <c r="AI7523" t="s">
        <v>45506</v>
      </c>
    </row>
    <row r="7524" spans="2:35" ht="375">
      <c r="B7524" s="1">
        <v>45111</v>
      </c>
      <c r="C7524" s="4">
        <v>45111.449305555558</v>
      </c>
      <c r="D7524" t="s">
        <v>728</v>
      </c>
      <c r="E7524" t="s">
        <v>729</v>
      </c>
      <c r="F7524">
        <v>3</v>
      </c>
      <c r="G7524" t="s">
        <v>730</v>
      </c>
      <c r="H7524" t="s">
        <v>39</v>
      </c>
      <c r="I7524" t="s">
        <v>40</v>
      </c>
      <c r="J7524" s="2" t="s">
        <v>190</v>
      </c>
      <c r="K7524" t="s">
        <v>42</v>
      </c>
      <c r="L7524" t="s">
        <v>135</v>
      </c>
      <c r="Q7524">
        <v>25035</v>
      </c>
      <c r="R7524" t="s">
        <v>119</v>
      </c>
      <c r="S7524" t="s">
        <v>731</v>
      </c>
      <c r="T7524">
        <v>29</v>
      </c>
      <c r="U7524" s="2" t="s">
        <v>45507</v>
      </c>
      <c r="W7524" t="s">
        <v>2680</v>
      </c>
      <c r="X7524">
        <v>831721</v>
      </c>
      <c r="Y7524" t="s">
        <v>45508</v>
      </c>
      <c r="Z7524" s="2" t="s">
        <v>45509</v>
      </c>
      <c r="AA7524" s="2" t="s">
        <v>45510</v>
      </c>
      <c r="AB7524" t="s">
        <v>45511</v>
      </c>
      <c r="AC7524" t="s">
        <v>45512</v>
      </c>
      <c r="AG7524" t="s">
        <v>45513</v>
      </c>
      <c r="AH7524" t="s">
        <v>735</v>
      </c>
      <c r="AI7524" t="s">
        <v>45514</v>
      </c>
    </row>
    <row r="7525" spans="2:35" ht="135">
      <c r="B7525" s="1">
        <v>45111</v>
      </c>
      <c r="C7525" s="4">
        <v>45111.443749999999</v>
      </c>
      <c r="D7525" t="s">
        <v>10158</v>
      </c>
      <c r="E7525" t="s">
        <v>45515</v>
      </c>
      <c r="F7525">
        <v>10</v>
      </c>
      <c r="G7525" t="s">
        <v>1395</v>
      </c>
      <c r="H7525" t="s">
        <v>1047</v>
      </c>
      <c r="I7525" t="s">
        <v>40</v>
      </c>
      <c r="J7525" t="s">
        <v>109</v>
      </c>
      <c r="K7525" t="s">
        <v>42</v>
      </c>
      <c r="L7525" t="s">
        <v>43100</v>
      </c>
      <c r="Q7525">
        <v>25034</v>
      </c>
      <c r="R7525" t="s">
        <v>119</v>
      </c>
      <c r="S7525" t="s">
        <v>45516</v>
      </c>
      <c r="T7525">
        <v>29</v>
      </c>
      <c r="U7525" s="2" t="s">
        <v>45517</v>
      </c>
      <c r="W7525" t="s">
        <v>43102</v>
      </c>
      <c r="X7525">
        <v>838441</v>
      </c>
      <c r="Y7525" t="s">
        <v>301</v>
      </c>
      <c r="Z7525" t="s">
        <v>301</v>
      </c>
      <c r="AA7525" s="2" t="s">
        <v>45518</v>
      </c>
      <c r="AB7525" t="s">
        <v>45519</v>
      </c>
      <c r="AG7525" t="s">
        <v>45520</v>
      </c>
      <c r="AH7525" t="s">
        <v>43963</v>
      </c>
      <c r="AI7525" t="s">
        <v>45521</v>
      </c>
    </row>
    <row r="7526" spans="2:35" ht="165">
      <c r="B7526" s="1">
        <v>45110</v>
      </c>
      <c r="C7526" s="4">
        <v>45107.582638888889</v>
      </c>
      <c r="D7526" t="s">
        <v>8341</v>
      </c>
      <c r="E7526" t="s">
        <v>12743</v>
      </c>
      <c r="F7526">
        <v>2</v>
      </c>
      <c r="G7526" t="s">
        <v>60</v>
      </c>
      <c r="H7526" t="s">
        <v>39</v>
      </c>
      <c r="I7526" t="s">
        <v>40</v>
      </c>
      <c r="J7526" t="s">
        <v>109</v>
      </c>
      <c r="K7526" t="s">
        <v>42</v>
      </c>
      <c r="L7526" t="s">
        <v>63</v>
      </c>
      <c r="Q7526">
        <v>25033</v>
      </c>
      <c r="R7526" t="s">
        <v>119</v>
      </c>
      <c r="S7526" t="s">
        <v>8343</v>
      </c>
      <c r="T7526">
        <v>28</v>
      </c>
      <c r="U7526" s="2" t="s">
        <v>3524</v>
      </c>
      <c r="V7526" s="1">
        <v>45107</v>
      </c>
      <c r="W7526" t="s">
        <v>26915</v>
      </c>
      <c r="X7526">
        <v>838201</v>
      </c>
      <c r="Y7526" t="s">
        <v>1716</v>
      </c>
      <c r="Z7526" t="s">
        <v>1716</v>
      </c>
      <c r="AA7526" s="2" t="s">
        <v>1727</v>
      </c>
      <c r="AB7526" t="s">
        <v>70</v>
      </c>
      <c r="AC7526" t="s">
        <v>1716</v>
      </c>
      <c r="AD7526" t="s">
        <v>1716</v>
      </c>
      <c r="AE7526" t="s">
        <v>1716</v>
      </c>
      <c r="AG7526" t="s">
        <v>45522</v>
      </c>
      <c r="AH7526" t="s">
        <v>11356</v>
      </c>
      <c r="AI7526" t="s">
        <v>45523</v>
      </c>
    </row>
    <row r="7527" spans="2:35" ht="165">
      <c r="B7527" s="1">
        <v>45110</v>
      </c>
      <c r="C7527" s="4">
        <v>45107.582638888889</v>
      </c>
      <c r="D7527" t="s">
        <v>8341</v>
      </c>
      <c r="E7527" t="s">
        <v>12743</v>
      </c>
      <c r="F7527">
        <v>2</v>
      </c>
      <c r="G7527" t="s">
        <v>60</v>
      </c>
      <c r="H7527" t="s">
        <v>39</v>
      </c>
      <c r="I7527" t="s">
        <v>40</v>
      </c>
      <c r="J7527" t="s">
        <v>109</v>
      </c>
      <c r="K7527" t="s">
        <v>42</v>
      </c>
      <c r="L7527" t="s">
        <v>63</v>
      </c>
      <c r="Q7527">
        <v>25032</v>
      </c>
      <c r="R7527" t="s">
        <v>119</v>
      </c>
      <c r="S7527" t="s">
        <v>8343</v>
      </c>
      <c r="T7527">
        <v>28</v>
      </c>
      <c r="U7527" s="2" t="s">
        <v>3524</v>
      </c>
      <c r="V7527" s="1">
        <v>45107</v>
      </c>
      <c r="W7527" t="s">
        <v>26915</v>
      </c>
      <c r="X7527">
        <v>838201</v>
      </c>
      <c r="Y7527" t="s">
        <v>1716</v>
      </c>
      <c r="Z7527" t="s">
        <v>1716</v>
      </c>
      <c r="AA7527" s="2" t="s">
        <v>1727</v>
      </c>
      <c r="AB7527" t="s">
        <v>70</v>
      </c>
      <c r="AC7527" t="s">
        <v>1716</v>
      </c>
      <c r="AD7527" t="s">
        <v>1716</v>
      </c>
      <c r="AE7527" t="s">
        <v>1716</v>
      </c>
      <c r="AG7527" t="s">
        <v>45524</v>
      </c>
      <c r="AH7527" t="s">
        <v>11356</v>
      </c>
      <c r="AI7527" t="s">
        <v>45525</v>
      </c>
    </row>
    <row r="7528" spans="2:35" ht="105">
      <c r="B7528" s="1">
        <v>45110</v>
      </c>
      <c r="C7528" s="4">
        <v>45110.545138888891</v>
      </c>
      <c r="D7528" t="s">
        <v>38129</v>
      </c>
      <c r="E7528" t="s">
        <v>45526</v>
      </c>
      <c r="F7528">
        <v>6</v>
      </c>
      <c r="G7528" t="s">
        <v>1234</v>
      </c>
      <c r="H7528" t="s">
        <v>39</v>
      </c>
      <c r="I7528" t="s">
        <v>94</v>
      </c>
      <c r="J7528" t="s">
        <v>321</v>
      </c>
      <c r="K7528" t="s">
        <v>42</v>
      </c>
      <c r="L7528" t="s">
        <v>594</v>
      </c>
      <c r="Q7528">
        <v>25031</v>
      </c>
      <c r="R7528" t="s">
        <v>45</v>
      </c>
      <c r="S7528" t="s">
        <v>38131</v>
      </c>
      <c r="T7528">
        <v>22</v>
      </c>
      <c r="U7528" s="2" t="s">
        <v>45527</v>
      </c>
      <c r="V7528" s="1">
        <v>45107</v>
      </c>
      <c r="W7528" t="s">
        <v>360</v>
      </c>
      <c r="X7528">
        <v>838144</v>
      </c>
      <c r="Y7528" t="s">
        <v>45528</v>
      </c>
      <c r="Z7528" t="s">
        <v>45529</v>
      </c>
      <c r="AA7528" t="s">
        <v>45530</v>
      </c>
      <c r="AB7528" t="s">
        <v>4253</v>
      </c>
      <c r="AG7528" t="s">
        <v>45531</v>
      </c>
      <c r="AH7528" t="s">
        <v>45532</v>
      </c>
      <c r="AI7528" t="s">
        <v>45533</v>
      </c>
    </row>
    <row r="7529" spans="2:35" ht="180">
      <c r="B7529" s="1">
        <v>45110</v>
      </c>
      <c r="C7529" s="4">
        <v>45104.663888888892</v>
      </c>
      <c r="D7529" t="s">
        <v>38422</v>
      </c>
      <c r="E7529" t="s">
        <v>45534</v>
      </c>
      <c r="F7529" t="s">
        <v>148</v>
      </c>
      <c r="G7529" t="s">
        <v>447</v>
      </c>
      <c r="H7529" t="s">
        <v>386</v>
      </c>
      <c r="I7529" t="s">
        <v>40</v>
      </c>
      <c r="J7529" t="s">
        <v>321</v>
      </c>
      <c r="K7529" t="s">
        <v>387</v>
      </c>
      <c r="L7529" t="s">
        <v>448</v>
      </c>
      <c r="Q7529">
        <v>25030</v>
      </c>
      <c r="R7529" t="s">
        <v>95</v>
      </c>
      <c r="S7529" t="s">
        <v>37391</v>
      </c>
      <c r="T7529">
        <v>28</v>
      </c>
      <c r="W7529" t="s">
        <v>476</v>
      </c>
      <c r="X7529" t="s">
        <v>3690</v>
      </c>
      <c r="Y7529" t="s">
        <v>45535</v>
      </c>
      <c r="Z7529" s="2" t="s">
        <v>45536</v>
      </c>
      <c r="AA7529" t="s">
        <v>13110</v>
      </c>
      <c r="AB7529" t="s">
        <v>486</v>
      </c>
      <c r="AG7529" t="s">
        <v>45537</v>
      </c>
      <c r="AH7529" t="s">
        <v>45538</v>
      </c>
      <c r="AI7529" t="s">
        <v>45539</v>
      </c>
    </row>
    <row r="7530" spans="2:35" ht="300">
      <c r="B7530" s="1">
        <v>45110</v>
      </c>
      <c r="C7530" s="4">
        <v>45106.706944444442</v>
      </c>
      <c r="D7530" t="s">
        <v>3752</v>
      </c>
      <c r="E7530" t="s">
        <v>45540</v>
      </c>
      <c r="F7530" t="s">
        <v>1181</v>
      </c>
      <c r="G7530" t="s">
        <v>3753</v>
      </c>
      <c r="H7530" t="s">
        <v>662</v>
      </c>
      <c r="I7530" t="s">
        <v>40</v>
      </c>
      <c r="J7530" s="2" t="s">
        <v>1592</v>
      </c>
      <c r="K7530" t="s">
        <v>42</v>
      </c>
      <c r="L7530" t="s">
        <v>1028</v>
      </c>
      <c r="Q7530">
        <v>25029</v>
      </c>
      <c r="R7530" t="s">
        <v>45</v>
      </c>
      <c r="S7530" t="s">
        <v>3754</v>
      </c>
      <c r="T7530">
        <v>20</v>
      </c>
      <c r="U7530" s="2" t="s">
        <v>45541</v>
      </c>
      <c r="W7530" t="s">
        <v>36557</v>
      </c>
      <c r="X7530">
        <v>842229</v>
      </c>
      <c r="Y7530" s="2" t="s">
        <v>45542</v>
      </c>
      <c r="Z7530" s="2" t="s">
        <v>45543</v>
      </c>
      <c r="AA7530" s="2" t="s">
        <v>45544</v>
      </c>
      <c r="AB7530" t="s">
        <v>3063</v>
      </c>
      <c r="AC7530" t="s">
        <v>45545</v>
      </c>
      <c r="AG7530" t="s">
        <v>45546</v>
      </c>
      <c r="AH7530" t="s">
        <v>45547</v>
      </c>
      <c r="AI7530" t="s">
        <v>45548</v>
      </c>
    </row>
    <row r="7531" spans="2:35" ht="210">
      <c r="B7531" s="1">
        <v>45110</v>
      </c>
      <c r="C7531" s="4">
        <v>45104.54791666667</v>
      </c>
      <c r="D7531" t="s">
        <v>32381</v>
      </c>
      <c r="E7531" t="s">
        <v>45549</v>
      </c>
      <c r="F7531" t="s">
        <v>37</v>
      </c>
      <c r="G7531" t="s">
        <v>748</v>
      </c>
      <c r="H7531" t="s">
        <v>39</v>
      </c>
      <c r="I7531" t="s">
        <v>40</v>
      </c>
      <c r="J7531" s="2" t="s">
        <v>41</v>
      </c>
      <c r="K7531" t="s">
        <v>42</v>
      </c>
      <c r="L7531" t="s">
        <v>1028</v>
      </c>
      <c r="Q7531">
        <v>25028</v>
      </c>
      <c r="R7531" t="s">
        <v>45</v>
      </c>
      <c r="S7531" t="s">
        <v>32383</v>
      </c>
      <c r="T7531">
        <v>22</v>
      </c>
      <c r="U7531" s="2" t="s">
        <v>31897</v>
      </c>
      <c r="V7531" s="1">
        <v>45104</v>
      </c>
      <c r="W7531" t="s">
        <v>45550</v>
      </c>
      <c r="X7531">
        <v>814152</v>
      </c>
      <c r="Y7531" t="s">
        <v>45551</v>
      </c>
      <c r="Z7531" t="s">
        <v>2129</v>
      </c>
      <c r="AA7531" s="2" t="s">
        <v>45552</v>
      </c>
      <c r="AB7531" t="s">
        <v>36111</v>
      </c>
      <c r="AD7531" t="s">
        <v>19700</v>
      </c>
      <c r="AE7531" t="s">
        <v>45553</v>
      </c>
      <c r="AG7531" t="s">
        <v>45554</v>
      </c>
      <c r="AH7531" t="s">
        <v>42964</v>
      </c>
      <c r="AI7531" t="s">
        <v>45555</v>
      </c>
    </row>
    <row r="7532" spans="2:35" ht="105">
      <c r="B7532" s="1">
        <v>45110</v>
      </c>
      <c r="C7532" s="4">
        <v>45110.553472222222</v>
      </c>
      <c r="D7532" t="s">
        <v>45556</v>
      </c>
      <c r="E7532" t="s">
        <v>44759</v>
      </c>
      <c r="F7532">
        <v>6</v>
      </c>
      <c r="G7532" t="s">
        <v>1286</v>
      </c>
      <c r="H7532" t="s">
        <v>39</v>
      </c>
      <c r="I7532" t="s">
        <v>94</v>
      </c>
      <c r="J7532" s="2" t="s">
        <v>28840</v>
      </c>
      <c r="K7532" t="s">
        <v>42</v>
      </c>
      <c r="L7532" t="s">
        <v>343</v>
      </c>
      <c r="Q7532">
        <v>25027</v>
      </c>
      <c r="R7532" t="s">
        <v>45</v>
      </c>
      <c r="S7532" t="s">
        <v>44760</v>
      </c>
      <c r="T7532">
        <v>27.6</v>
      </c>
      <c r="U7532" s="2" t="s">
        <v>9743</v>
      </c>
      <c r="W7532" t="s">
        <v>6105</v>
      </c>
      <c r="X7532">
        <v>807555</v>
      </c>
      <c r="Y7532" t="s">
        <v>45557</v>
      </c>
      <c r="Z7532" t="e">
        <f ca="1">-Remove stuck cartridge FROM module B1</f>
        <v>#NAME?</v>
      </c>
      <c r="AA7532" t="e">
        <f ca="1">-stuck cartridge Removal</f>
        <v>#NAME?</v>
      </c>
      <c r="AB7532" t="s">
        <v>45558</v>
      </c>
      <c r="AG7532" t="s">
        <v>45559</v>
      </c>
      <c r="AH7532" t="s">
        <v>44764</v>
      </c>
      <c r="AI7532" t="s">
        <v>45560</v>
      </c>
    </row>
    <row r="7533" spans="2:35" ht="210">
      <c r="B7533" s="1">
        <v>45110</v>
      </c>
      <c r="C7533" s="4">
        <v>45107.54791666667</v>
      </c>
      <c r="D7533" t="s">
        <v>32626</v>
      </c>
      <c r="E7533" t="s">
        <v>45561</v>
      </c>
      <c r="F7533">
        <v>5</v>
      </c>
      <c r="G7533" t="s">
        <v>839</v>
      </c>
      <c r="H7533" t="s">
        <v>39</v>
      </c>
      <c r="I7533" t="s">
        <v>40</v>
      </c>
      <c r="J7533" s="2" t="s">
        <v>41</v>
      </c>
      <c r="K7533" t="s">
        <v>42</v>
      </c>
      <c r="L7533" t="s">
        <v>761</v>
      </c>
      <c r="Q7533">
        <v>25026</v>
      </c>
      <c r="R7533" t="s">
        <v>45</v>
      </c>
      <c r="S7533" t="s">
        <v>23498</v>
      </c>
      <c r="T7533">
        <v>26</v>
      </c>
      <c r="V7533" s="1">
        <v>45103</v>
      </c>
      <c r="W7533" t="s">
        <v>360</v>
      </c>
      <c r="X7533">
        <v>805260</v>
      </c>
      <c r="Y7533" t="s">
        <v>11545</v>
      </c>
      <c r="Z7533" s="2" t="s">
        <v>45562</v>
      </c>
      <c r="AA7533" t="s">
        <v>45563</v>
      </c>
      <c r="AB7533" t="s">
        <v>181</v>
      </c>
      <c r="AD7533" t="s">
        <v>45564</v>
      </c>
      <c r="AE7533" t="s">
        <v>45565</v>
      </c>
      <c r="AG7533" t="s">
        <v>45566</v>
      </c>
      <c r="AH7533" t="s">
        <v>23501</v>
      </c>
      <c r="AI7533" t="s">
        <v>45567</v>
      </c>
    </row>
    <row r="7534" spans="2:35" ht="409.5">
      <c r="B7534" s="1">
        <v>45110</v>
      </c>
      <c r="C7534" s="4">
        <v>45110.46597222222</v>
      </c>
      <c r="D7534" t="s">
        <v>45568</v>
      </c>
      <c r="E7534" t="s">
        <v>45569</v>
      </c>
      <c r="F7534">
        <v>7</v>
      </c>
      <c r="G7534" t="s">
        <v>432</v>
      </c>
      <c r="H7534" t="s">
        <v>2290</v>
      </c>
      <c r="I7534" t="s">
        <v>94</v>
      </c>
      <c r="J7534" s="2" t="s">
        <v>190</v>
      </c>
      <c r="K7534" t="s">
        <v>42</v>
      </c>
      <c r="L7534" t="s">
        <v>610</v>
      </c>
      <c r="Q7534">
        <v>25025</v>
      </c>
      <c r="R7534" t="s">
        <v>45</v>
      </c>
      <c r="S7534" t="s">
        <v>23063</v>
      </c>
      <c r="T7534">
        <v>24</v>
      </c>
      <c r="U7534" s="2" t="s">
        <v>13161</v>
      </c>
      <c r="W7534" t="s">
        <v>45570</v>
      </c>
      <c r="X7534">
        <v>835058</v>
      </c>
      <c r="Y7534" t="s">
        <v>45571</v>
      </c>
      <c r="Z7534" t="s">
        <v>16055</v>
      </c>
      <c r="AA7534" s="2" t="s">
        <v>45572</v>
      </c>
      <c r="AB7534" t="s">
        <v>45573</v>
      </c>
      <c r="AG7534" t="s">
        <v>45574</v>
      </c>
      <c r="AH7534" t="s">
        <v>45575</v>
      </c>
      <c r="AI7534" t="s">
        <v>45576</v>
      </c>
    </row>
    <row r="7535" spans="2:35" ht="409.5">
      <c r="B7535" s="1">
        <v>45110</v>
      </c>
      <c r="C7535" s="4">
        <v>45110.46597222222</v>
      </c>
      <c r="D7535" t="s">
        <v>45568</v>
      </c>
      <c r="E7535" t="s">
        <v>45569</v>
      </c>
      <c r="F7535">
        <v>7</v>
      </c>
      <c r="G7535" t="s">
        <v>432</v>
      </c>
      <c r="H7535" t="s">
        <v>2290</v>
      </c>
      <c r="I7535" t="s">
        <v>94</v>
      </c>
      <c r="J7535" s="2" t="s">
        <v>190</v>
      </c>
      <c r="K7535" t="s">
        <v>42</v>
      </c>
      <c r="L7535" t="s">
        <v>610</v>
      </c>
      <c r="Q7535">
        <v>25024</v>
      </c>
      <c r="R7535" t="s">
        <v>45</v>
      </c>
      <c r="S7535" t="s">
        <v>23063</v>
      </c>
      <c r="T7535">
        <v>24</v>
      </c>
      <c r="U7535" s="2" t="s">
        <v>13161</v>
      </c>
      <c r="W7535" t="s">
        <v>45570</v>
      </c>
      <c r="X7535">
        <v>835058</v>
      </c>
      <c r="Y7535" t="s">
        <v>45571</v>
      </c>
      <c r="Z7535" t="s">
        <v>16055</v>
      </c>
      <c r="AA7535" s="2" t="s">
        <v>45572</v>
      </c>
      <c r="AB7535" t="s">
        <v>45573</v>
      </c>
      <c r="AG7535" t="s">
        <v>45577</v>
      </c>
      <c r="AH7535" t="s">
        <v>45575</v>
      </c>
      <c r="AI7535" t="s">
        <v>45578</v>
      </c>
    </row>
    <row r="7536" spans="2:35" ht="409.5">
      <c r="B7536" s="1">
        <v>45110</v>
      </c>
      <c r="C7536" s="4">
        <v>45110.46597222222</v>
      </c>
      <c r="D7536" t="s">
        <v>45568</v>
      </c>
      <c r="E7536" t="s">
        <v>45569</v>
      </c>
      <c r="F7536">
        <v>7</v>
      </c>
      <c r="G7536" t="s">
        <v>432</v>
      </c>
      <c r="H7536" t="s">
        <v>2290</v>
      </c>
      <c r="I7536" t="s">
        <v>94</v>
      </c>
      <c r="J7536" s="2" t="s">
        <v>190</v>
      </c>
      <c r="K7536" t="s">
        <v>42</v>
      </c>
      <c r="L7536" t="s">
        <v>610</v>
      </c>
      <c r="Q7536">
        <v>25023</v>
      </c>
      <c r="R7536" t="s">
        <v>45</v>
      </c>
      <c r="S7536" t="s">
        <v>23063</v>
      </c>
      <c r="T7536">
        <v>24</v>
      </c>
      <c r="U7536" s="2" t="s">
        <v>45579</v>
      </c>
      <c r="W7536" t="s">
        <v>45570</v>
      </c>
      <c r="X7536">
        <v>835058</v>
      </c>
      <c r="Y7536" t="s">
        <v>45571</v>
      </c>
      <c r="Z7536" t="s">
        <v>16055</v>
      </c>
      <c r="AA7536" s="2" t="s">
        <v>45572</v>
      </c>
      <c r="AB7536" t="s">
        <v>45573</v>
      </c>
      <c r="AG7536" t="s">
        <v>45580</v>
      </c>
      <c r="AH7536" t="s">
        <v>45575</v>
      </c>
      <c r="AI7536" t="s">
        <v>45581</v>
      </c>
    </row>
    <row r="7537" spans="2:35" ht="195">
      <c r="B7537" s="1">
        <v>45108</v>
      </c>
      <c r="C7537" s="4">
        <v>45106.577777777777</v>
      </c>
      <c r="D7537" t="s">
        <v>5783</v>
      </c>
      <c r="E7537" t="s">
        <v>45582</v>
      </c>
      <c r="F7537">
        <v>12</v>
      </c>
      <c r="G7537" t="s">
        <v>5785</v>
      </c>
      <c r="H7537" t="s">
        <v>1473</v>
      </c>
      <c r="I7537" t="s">
        <v>94</v>
      </c>
      <c r="J7537" s="2" t="s">
        <v>1157</v>
      </c>
      <c r="K7537" t="s">
        <v>42</v>
      </c>
      <c r="L7537" t="s">
        <v>296</v>
      </c>
      <c r="Q7537">
        <v>25022</v>
      </c>
      <c r="R7537" t="s">
        <v>119</v>
      </c>
      <c r="S7537" t="s">
        <v>5787</v>
      </c>
      <c r="T7537">
        <v>25.3</v>
      </c>
      <c r="U7537" s="2" t="s">
        <v>45583</v>
      </c>
      <c r="W7537" t="s">
        <v>23049</v>
      </c>
      <c r="X7537">
        <v>838546</v>
      </c>
      <c r="Y7537" s="2" t="s">
        <v>45584</v>
      </c>
      <c r="Z7537" t="s">
        <v>45585</v>
      </c>
      <c r="AA7537" t="s">
        <v>9161</v>
      </c>
      <c r="AB7537" t="s">
        <v>1480</v>
      </c>
      <c r="AC7537" t="s">
        <v>45586</v>
      </c>
      <c r="AG7537" t="s">
        <v>45587</v>
      </c>
      <c r="AH7537" t="s">
        <v>5791</v>
      </c>
      <c r="AI7537" t="s">
        <v>45588</v>
      </c>
    </row>
    <row r="7538" spans="2:35" ht="180">
      <c r="B7538" s="1">
        <v>45108</v>
      </c>
      <c r="C7538" s="4">
        <v>45107.438888888886</v>
      </c>
      <c r="D7538" t="s">
        <v>7325</v>
      </c>
      <c r="E7538" t="s">
        <v>12097</v>
      </c>
      <c r="F7538">
        <v>12</v>
      </c>
      <c r="G7538" t="s">
        <v>978</v>
      </c>
      <c r="H7538" t="s">
        <v>39</v>
      </c>
      <c r="I7538" t="s">
        <v>94</v>
      </c>
      <c r="J7538" t="s">
        <v>109</v>
      </c>
      <c r="K7538" t="s">
        <v>42</v>
      </c>
      <c r="L7538" t="s">
        <v>296</v>
      </c>
      <c r="Q7538">
        <v>25021</v>
      </c>
      <c r="R7538" t="s">
        <v>119</v>
      </c>
      <c r="S7538" t="s">
        <v>41878</v>
      </c>
      <c r="T7538">
        <v>27</v>
      </c>
      <c r="U7538" s="2" t="s">
        <v>45589</v>
      </c>
      <c r="W7538" t="s">
        <v>23049</v>
      </c>
      <c r="X7538">
        <v>838265</v>
      </c>
      <c r="Y7538" t="s">
        <v>54</v>
      </c>
      <c r="Z7538" t="s">
        <v>9161</v>
      </c>
      <c r="AA7538" t="s">
        <v>9161</v>
      </c>
      <c r="AB7538" t="s">
        <v>972</v>
      </c>
      <c r="AG7538" t="s">
        <v>45590</v>
      </c>
      <c r="AH7538" t="s">
        <v>41882</v>
      </c>
      <c r="AI7538" t="s">
        <v>45591</v>
      </c>
    </row>
    <row r="7539" spans="2:35">
      <c r="B7539" s="1">
        <v>45108</v>
      </c>
      <c r="C7539" s="4">
        <v>45107.518055555556</v>
      </c>
      <c r="D7539" t="s">
        <v>45592</v>
      </c>
      <c r="E7539" t="s">
        <v>45593</v>
      </c>
      <c r="F7539" t="s">
        <v>148</v>
      </c>
      <c r="G7539" t="s">
        <v>310</v>
      </c>
      <c r="H7539" t="s">
        <v>386</v>
      </c>
      <c r="I7539" t="s">
        <v>40</v>
      </c>
      <c r="J7539" t="s">
        <v>525</v>
      </c>
      <c r="K7539" t="s">
        <v>387</v>
      </c>
      <c r="L7539" t="s">
        <v>448</v>
      </c>
      <c r="Q7539">
        <v>25020</v>
      </c>
      <c r="R7539" t="s">
        <v>95</v>
      </c>
      <c r="S7539" t="s">
        <v>16290</v>
      </c>
      <c r="T7539">
        <v>28</v>
      </c>
      <c r="W7539" t="s">
        <v>476</v>
      </c>
      <c r="X7539" t="s">
        <v>922</v>
      </c>
      <c r="Y7539" t="s">
        <v>45594</v>
      </c>
      <c r="Z7539" t="s">
        <v>45595</v>
      </c>
      <c r="AA7539" t="s">
        <v>4487</v>
      </c>
      <c r="AB7539" t="s">
        <v>486</v>
      </c>
      <c r="AG7539" t="s">
        <v>45596</v>
      </c>
      <c r="AH7539" t="s">
        <v>45597</v>
      </c>
      <c r="AI7539" t="s">
        <v>45598</v>
      </c>
    </row>
    <row r="7540" spans="2:35" ht="409.5">
      <c r="B7540" s="1">
        <v>45107</v>
      </c>
      <c r="C7540" s="4">
        <v>45106.675000000003</v>
      </c>
      <c r="D7540" t="s">
        <v>25356</v>
      </c>
      <c r="E7540" t="s">
        <v>25357</v>
      </c>
      <c r="F7540">
        <v>11</v>
      </c>
      <c r="G7540" t="s">
        <v>201</v>
      </c>
      <c r="H7540" t="s">
        <v>150</v>
      </c>
      <c r="I7540" t="s">
        <v>40</v>
      </c>
      <c r="J7540" s="2" t="s">
        <v>1157</v>
      </c>
      <c r="K7540" t="s">
        <v>42</v>
      </c>
      <c r="L7540" t="s">
        <v>204</v>
      </c>
      <c r="Q7540">
        <v>25019</v>
      </c>
      <c r="R7540" t="s">
        <v>45</v>
      </c>
      <c r="S7540" t="s">
        <v>25358</v>
      </c>
      <c r="T7540">
        <v>28.5</v>
      </c>
      <c r="W7540" t="s">
        <v>23237</v>
      </c>
      <c r="X7540">
        <v>804693</v>
      </c>
      <c r="Y7540" t="s">
        <v>45599</v>
      </c>
      <c r="Z7540" s="2" t="s">
        <v>45600</v>
      </c>
      <c r="AA7540" t="s">
        <v>45601</v>
      </c>
      <c r="AB7540" t="s">
        <v>45602</v>
      </c>
      <c r="AC7540" t="s">
        <v>45603</v>
      </c>
      <c r="AG7540" t="s">
        <v>45604</v>
      </c>
      <c r="AH7540" t="s">
        <v>45605</v>
      </c>
      <c r="AI7540" t="s">
        <v>45606</v>
      </c>
    </row>
    <row r="7541" spans="2:35" ht="120">
      <c r="B7541" s="1">
        <v>45107</v>
      </c>
      <c r="C7541" s="4">
        <v>45107.669444444444</v>
      </c>
      <c r="D7541" t="s">
        <v>22455</v>
      </c>
      <c r="E7541" t="s">
        <v>22456</v>
      </c>
      <c r="F7541">
        <v>3</v>
      </c>
      <c r="G7541" t="s">
        <v>174</v>
      </c>
      <c r="H7541" t="s">
        <v>39</v>
      </c>
      <c r="I7541" t="s">
        <v>40</v>
      </c>
      <c r="J7541" s="2" t="s">
        <v>41</v>
      </c>
      <c r="K7541" t="s">
        <v>42</v>
      </c>
      <c r="L7541" t="s">
        <v>175</v>
      </c>
      <c r="Q7541">
        <v>25018</v>
      </c>
      <c r="R7541" t="s">
        <v>45</v>
      </c>
      <c r="S7541" t="s">
        <v>22457</v>
      </c>
      <c r="T7541">
        <v>28</v>
      </c>
      <c r="U7541" s="2" t="s">
        <v>45607</v>
      </c>
      <c r="V7541" s="1">
        <v>45107</v>
      </c>
      <c r="W7541" t="s">
        <v>84</v>
      </c>
      <c r="X7541">
        <v>807604</v>
      </c>
      <c r="Y7541" t="s">
        <v>45608</v>
      </c>
      <c r="Z7541" t="e">
        <f ca="1">- replaced A2, A3
- checked _xludf.and cleaned cartridge bay, plunger rod, _xludf.filter
- generated reports</f>
        <v>#NAME?</v>
      </c>
      <c r="AA7541" t="s">
        <v>34583</v>
      </c>
      <c r="AB7541" t="s">
        <v>88</v>
      </c>
      <c r="AD7541" s="2" t="s">
        <v>45609</v>
      </c>
      <c r="AE7541" t="s">
        <v>103</v>
      </c>
      <c r="AG7541" t="s">
        <v>45610</v>
      </c>
      <c r="AH7541" t="s">
        <v>22461</v>
      </c>
      <c r="AI7541" t="s">
        <v>45611</v>
      </c>
    </row>
    <row r="7542" spans="2:35" ht="135">
      <c r="B7542" s="1">
        <v>45107</v>
      </c>
      <c r="C7542" s="4">
        <v>45107.614583333336</v>
      </c>
      <c r="D7542" t="s">
        <v>1670</v>
      </c>
      <c r="E7542" t="s">
        <v>45612</v>
      </c>
      <c r="F7542" t="s">
        <v>148</v>
      </c>
      <c r="G7542" t="s">
        <v>310</v>
      </c>
      <c r="H7542" t="s">
        <v>39</v>
      </c>
      <c r="I7542" t="s">
        <v>40</v>
      </c>
      <c r="J7542" s="2" t="s">
        <v>62</v>
      </c>
      <c r="K7542" t="s">
        <v>42</v>
      </c>
      <c r="L7542" t="s">
        <v>15532</v>
      </c>
      <c r="Q7542">
        <v>25017</v>
      </c>
      <c r="R7542" t="s">
        <v>45</v>
      </c>
      <c r="S7542" t="s">
        <v>1672</v>
      </c>
      <c r="T7542">
        <v>29</v>
      </c>
      <c r="U7542" s="2" t="s">
        <v>45613</v>
      </c>
      <c r="W7542" t="s">
        <v>597</v>
      </c>
      <c r="X7542">
        <v>812829</v>
      </c>
      <c r="Y7542" t="s">
        <v>1111</v>
      </c>
      <c r="Z7542" t="e">
        <f ca="1">-performed PM
-performed XpertCheck on B2 _xludf.and B4
-generated report</f>
        <v>#NAME?</v>
      </c>
      <c r="AA7542" t="s">
        <v>999</v>
      </c>
      <c r="AB7542" s="2" t="s">
        <v>45614</v>
      </c>
      <c r="AG7542" t="s">
        <v>45615</v>
      </c>
      <c r="AH7542" t="s">
        <v>45616</v>
      </c>
      <c r="AI7542" t="s">
        <v>45617</v>
      </c>
    </row>
    <row r="7543" spans="2:35" ht="180">
      <c r="B7543" s="1">
        <v>45107</v>
      </c>
      <c r="C7543" s="4">
        <v>45107.616666666669</v>
      </c>
      <c r="D7543" t="s">
        <v>7155</v>
      </c>
      <c r="E7543" t="s">
        <v>21264</v>
      </c>
      <c r="F7543">
        <v>5</v>
      </c>
      <c r="G7543" t="s">
        <v>839</v>
      </c>
      <c r="H7543" t="s">
        <v>39</v>
      </c>
      <c r="I7543" t="s">
        <v>40</v>
      </c>
      <c r="J7543" s="2" t="s">
        <v>190</v>
      </c>
      <c r="K7543" t="s">
        <v>42</v>
      </c>
      <c r="L7543" t="s">
        <v>761</v>
      </c>
      <c r="Q7543">
        <v>25016</v>
      </c>
      <c r="R7543" t="s">
        <v>119</v>
      </c>
      <c r="S7543" t="s">
        <v>7158</v>
      </c>
      <c r="T7543">
        <v>26</v>
      </c>
      <c r="U7543" s="2" t="s">
        <v>45618</v>
      </c>
      <c r="W7543" t="s">
        <v>360</v>
      </c>
      <c r="X7543">
        <v>838496</v>
      </c>
      <c r="Y7543" t="s">
        <v>45619</v>
      </c>
      <c r="Z7543" s="2" t="s">
        <v>45620</v>
      </c>
      <c r="AA7543" t="s">
        <v>32257</v>
      </c>
      <c r="AB7543" t="s">
        <v>181</v>
      </c>
      <c r="AC7543" t="s">
        <v>45621</v>
      </c>
      <c r="AG7543" t="s">
        <v>45622</v>
      </c>
      <c r="AH7543" t="s">
        <v>21267</v>
      </c>
      <c r="AI7543" t="s">
        <v>45623</v>
      </c>
    </row>
    <row r="7544" spans="2:35" ht="360">
      <c r="B7544" s="1">
        <v>45107</v>
      </c>
      <c r="C7544" s="4">
        <v>45107.602083333331</v>
      </c>
      <c r="D7544" t="s">
        <v>1071</v>
      </c>
      <c r="E7544" t="s">
        <v>1555</v>
      </c>
      <c r="F7544">
        <v>7</v>
      </c>
      <c r="G7544" t="s">
        <v>432</v>
      </c>
      <c r="H7544" t="s">
        <v>150</v>
      </c>
      <c r="I7544" t="s">
        <v>40</v>
      </c>
      <c r="J7544" t="s">
        <v>109</v>
      </c>
      <c r="K7544" t="s">
        <v>42</v>
      </c>
      <c r="L7544" t="s">
        <v>343</v>
      </c>
      <c r="Q7544">
        <v>25015</v>
      </c>
      <c r="R7544" t="s">
        <v>119</v>
      </c>
      <c r="S7544" t="s">
        <v>8679</v>
      </c>
      <c r="T7544">
        <v>26</v>
      </c>
      <c r="U7544" s="2" t="s">
        <v>45624</v>
      </c>
      <c r="W7544" t="s">
        <v>6105</v>
      </c>
      <c r="X7544">
        <v>820206</v>
      </c>
      <c r="Y7544" t="s">
        <v>301</v>
      </c>
      <c r="Z7544" t="s">
        <v>301</v>
      </c>
      <c r="AA7544" t="e">
        <f ca="1">-Preventive Maintenance</f>
        <v>#NAME?</v>
      </c>
      <c r="AB7544" t="s">
        <v>45625</v>
      </c>
      <c r="AG7544" t="s">
        <v>45626</v>
      </c>
      <c r="AH7544" t="s">
        <v>45627</v>
      </c>
      <c r="AI7544" t="s">
        <v>45628</v>
      </c>
    </row>
    <row r="7545" spans="2:35" ht="409.5">
      <c r="B7545" s="1">
        <v>45107</v>
      </c>
      <c r="C7545" s="4">
        <v>45107.602777777778</v>
      </c>
      <c r="D7545" t="s">
        <v>45629</v>
      </c>
      <c r="E7545" t="s">
        <v>45630</v>
      </c>
      <c r="F7545">
        <v>7</v>
      </c>
      <c r="G7545" t="s">
        <v>432</v>
      </c>
      <c r="H7545" t="s">
        <v>2125</v>
      </c>
      <c r="I7545" t="s">
        <v>40</v>
      </c>
      <c r="J7545" t="s">
        <v>79</v>
      </c>
      <c r="K7545" t="s">
        <v>42</v>
      </c>
      <c r="L7545" t="s">
        <v>1288</v>
      </c>
      <c r="Q7545">
        <v>25014</v>
      </c>
      <c r="R7545" t="s">
        <v>45</v>
      </c>
      <c r="S7545" t="s">
        <v>24643</v>
      </c>
      <c r="T7545">
        <v>23</v>
      </c>
      <c r="U7545" s="2" t="s">
        <v>45631</v>
      </c>
      <c r="W7545" t="s">
        <v>1292</v>
      </c>
      <c r="X7545">
        <v>815384</v>
      </c>
      <c r="Y7545" t="s">
        <v>45632</v>
      </c>
      <c r="Z7545" t="e">
        <f ca="1">-COLLECT IQR, system _xludf.Log, _xludf.and ARCHIVE</f>
        <v>#NAME?</v>
      </c>
      <c r="AA7545" s="2" t="s">
        <v>45633</v>
      </c>
      <c r="AB7545" t="s">
        <v>1293</v>
      </c>
      <c r="AC7545" t="s">
        <v>45634</v>
      </c>
      <c r="AG7545" t="s">
        <v>45635</v>
      </c>
      <c r="AH7545" t="s">
        <v>45636</v>
      </c>
      <c r="AI7545" t="s">
        <v>45637</v>
      </c>
    </row>
    <row r="7546" spans="2:35" ht="360">
      <c r="B7546" s="1">
        <v>45107</v>
      </c>
      <c r="C7546" s="4">
        <v>45107.598611111112</v>
      </c>
      <c r="D7546" t="s">
        <v>1071</v>
      </c>
      <c r="E7546" t="s">
        <v>1555</v>
      </c>
      <c r="F7546">
        <v>7</v>
      </c>
      <c r="G7546" t="s">
        <v>432</v>
      </c>
      <c r="H7546" t="s">
        <v>150</v>
      </c>
      <c r="I7546" t="s">
        <v>40</v>
      </c>
      <c r="J7546" s="2" t="s">
        <v>609</v>
      </c>
      <c r="K7546" t="s">
        <v>42</v>
      </c>
      <c r="L7546" t="s">
        <v>343</v>
      </c>
      <c r="Q7546">
        <v>25013</v>
      </c>
      <c r="R7546" t="s">
        <v>119</v>
      </c>
      <c r="S7546" t="s">
        <v>8679</v>
      </c>
      <c r="T7546">
        <v>26</v>
      </c>
      <c r="U7546" s="2" t="s">
        <v>45638</v>
      </c>
      <c r="W7546" t="s">
        <v>6105</v>
      </c>
      <c r="X7546">
        <v>838285</v>
      </c>
      <c r="Y7546" t="s">
        <v>301</v>
      </c>
      <c r="Z7546" t="s">
        <v>301</v>
      </c>
      <c r="AA7546" t="e">
        <f ca="1">-Preventive Maintenance
-REINSTALL printer</f>
        <v>#NAME?</v>
      </c>
      <c r="AB7546" t="s">
        <v>45639</v>
      </c>
      <c r="AC7546" t="s">
        <v>45640</v>
      </c>
      <c r="AG7546" t="s">
        <v>45641</v>
      </c>
      <c r="AH7546" t="s">
        <v>45642</v>
      </c>
      <c r="AI7546" t="s">
        <v>45643</v>
      </c>
    </row>
    <row r="7547" spans="2:35" ht="409.5">
      <c r="B7547" s="1">
        <v>45107</v>
      </c>
      <c r="C7547" s="4">
        <v>45107.512499999997</v>
      </c>
      <c r="D7547" t="s">
        <v>15507</v>
      </c>
      <c r="E7547" t="s">
        <v>44968</v>
      </c>
      <c r="F7547">
        <v>9</v>
      </c>
      <c r="G7547" t="s">
        <v>2197</v>
      </c>
      <c r="H7547" t="s">
        <v>39</v>
      </c>
      <c r="I7547" t="s">
        <v>40</v>
      </c>
      <c r="J7547" s="2" t="s">
        <v>62</v>
      </c>
      <c r="K7547" t="s">
        <v>42</v>
      </c>
      <c r="L7547" t="s">
        <v>1257</v>
      </c>
      <c r="Q7547">
        <v>25012</v>
      </c>
      <c r="R7547" t="s">
        <v>719</v>
      </c>
      <c r="S7547" t="s">
        <v>42491</v>
      </c>
      <c r="T7547">
        <v>28</v>
      </c>
      <c r="U7547" s="2" t="s">
        <v>45644</v>
      </c>
      <c r="V7547" s="1">
        <v>45107</v>
      </c>
      <c r="W7547" t="s">
        <v>2384</v>
      </c>
      <c r="X7547">
        <v>848250</v>
      </c>
      <c r="Y7547" t="s">
        <v>301</v>
      </c>
      <c r="Z7547" t="s">
        <v>45645</v>
      </c>
      <c r="AA7547" t="s">
        <v>42058</v>
      </c>
      <c r="AB7547" t="s">
        <v>45646</v>
      </c>
      <c r="AC7547" t="s">
        <v>301</v>
      </c>
      <c r="AD7547" t="s">
        <v>54</v>
      </c>
      <c r="AE7547" t="s">
        <v>54</v>
      </c>
      <c r="AG7547" t="s">
        <v>45647</v>
      </c>
      <c r="AH7547" t="s">
        <v>42496</v>
      </c>
      <c r="AI7547" t="s">
        <v>45648</v>
      </c>
    </row>
    <row r="7548" spans="2:35" ht="409.5">
      <c r="B7548" s="1">
        <v>45107</v>
      </c>
      <c r="C7548" s="4">
        <v>45107.508333333331</v>
      </c>
      <c r="D7548" t="s">
        <v>15507</v>
      </c>
      <c r="E7548" t="s">
        <v>45649</v>
      </c>
      <c r="F7548">
        <v>9</v>
      </c>
      <c r="G7548" t="s">
        <v>2197</v>
      </c>
      <c r="H7548" t="s">
        <v>39</v>
      </c>
      <c r="I7548" t="s">
        <v>40</v>
      </c>
      <c r="J7548" s="2" t="s">
        <v>62</v>
      </c>
      <c r="K7548" t="s">
        <v>42</v>
      </c>
      <c r="L7548" t="s">
        <v>1257</v>
      </c>
      <c r="Q7548">
        <v>25011</v>
      </c>
      <c r="R7548" t="s">
        <v>45</v>
      </c>
      <c r="S7548" t="s">
        <v>42491</v>
      </c>
      <c r="T7548">
        <v>25</v>
      </c>
      <c r="U7548" s="2" t="s">
        <v>45650</v>
      </c>
      <c r="V7548" s="1">
        <v>45107</v>
      </c>
      <c r="W7548" t="s">
        <v>31945</v>
      </c>
      <c r="X7548">
        <v>839309</v>
      </c>
      <c r="Y7548" t="s">
        <v>45651</v>
      </c>
      <c r="Z7548" t="s">
        <v>45652</v>
      </c>
      <c r="AA7548" t="s">
        <v>45652</v>
      </c>
      <c r="AB7548" t="s">
        <v>45651</v>
      </c>
      <c r="AC7548" t="s">
        <v>301</v>
      </c>
      <c r="AD7548" t="s">
        <v>54</v>
      </c>
      <c r="AE7548" t="s">
        <v>54</v>
      </c>
      <c r="AG7548" t="s">
        <v>45653</v>
      </c>
      <c r="AH7548" t="s">
        <v>42496</v>
      </c>
      <c r="AI7548" t="s">
        <v>45654</v>
      </c>
    </row>
    <row r="7549" spans="2:35" ht="285">
      <c r="B7549" s="1">
        <v>45107</v>
      </c>
      <c r="C7549" s="4">
        <v>45107.472222222219</v>
      </c>
      <c r="D7549" t="s">
        <v>27463</v>
      </c>
      <c r="E7549" t="s">
        <v>45655</v>
      </c>
      <c r="F7549" t="s">
        <v>148</v>
      </c>
      <c r="G7549" t="s">
        <v>310</v>
      </c>
      <c r="H7549" t="s">
        <v>39</v>
      </c>
      <c r="I7549" t="s">
        <v>40</v>
      </c>
      <c r="J7549" t="s">
        <v>109</v>
      </c>
      <c r="K7549" t="s">
        <v>42</v>
      </c>
      <c r="L7549" t="s">
        <v>15532</v>
      </c>
      <c r="Q7549">
        <v>25010</v>
      </c>
      <c r="R7549" t="s">
        <v>119</v>
      </c>
      <c r="S7549" t="s">
        <v>44281</v>
      </c>
      <c r="T7549">
        <v>28</v>
      </c>
      <c r="U7549" s="2" t="s">
        <v>23690</v>
      </c>
      <c r="W7549" t="s">
        <v>597</v>
      </c>
      <c r="X7549">
        <v>831843</v>
      </c>
      <c r="Y7549" t="s">
        <v>37351</v>
      </c>
      <c r="Z7549" s="2" t="s">
        <v>45656</v>
      </c>
      <c r="AA7549" s="2" t="s">
        <v>45657</v>
      </c>
      <c r="AB7549" t="s">
        <v>45658</v>
      </c>
      <c r="AG7549" t="s">
        <v>45659</v>
      </c>
      <c r="AH7549" t="s">
        <v>44290</v>
      </c>
      <c r="AI7549" t="s">
        <v>45660</v>
      </c>
    </row>
    <row r="7550" spans="2:35" ht="180">
      <c r="B7550" s="1">
        <v>45107</v>
      </c>
      <c r="C7550" s="4">
        <v>45107.386111111111</v>
      </c>
      <c r="D7550" t="s">
        <v>24455</v>
      </c>
      <c r="E7550" t="s">
        <v>45661</v>
      </c>
      <c r="F7550">
        <v>10</v>
      </c>
      <c r="G7550" t="s">
        <v>5571</v>
      </c>
      <c r="H7550" t="s">
        <v>45662</v>
      </c>
      <c r="I7550" t="s">
        <v>94</v>
      </c>
      <c r="J7550" s="2" t="s">
        <v>1808</v>
      </c>
      <c r="K7550" t="s">
        <v>42</v>
      </c>
      <c r="L7550" t="s">
        <v>43100</v>
      </c>
      <c r="Q7550">
        <v>25009</v>
      </c>
      <c r="R7550" t="s">
        <v>45</v>
      </c>
      <c r="S7550" t="s">
        <v>24456</v>
      </c>
      <c r="T7550">
        <v>29</v>
      </c>
      <c r="U7550" s="2" t="s">
        <v>45663</v>
      </c>
      <c r="W7550" t="s">
        <v>43102</v>
      </c>
      <c r="X7550">
        <v>807618</v>
      </c>
      <c r="Y7550" t="s">
        <v>45664</v>
      </c>
      <c r="Z7550" t="s">
        <v>45665</v>
      </c>
      <c r="AA7550" s="2" t="s">
        <v>45666</v>
      </c>
      <c r="AB7550" t="s">
        <v>486</v>
      </c>
      <c r="AG7550" t="s">
        <v>45667</v>
      </c>
      <c r="AH7550" t="s">
        <v>45668</v>
      </c>
      <c r="AI7550" t="s">
        <v>45669</v>
      </c>
    </row>
    <row r="7551" spans="2:35" ht="180">
      <c r="B7551" s="1">
        <v>45107</v>
      </c>
      <c r="C7551" s="4">
        <v>45107.386111111111</v>
      </c>
      <c r="D7551" t="s">
        <v>24455</v>
      </c>
      <c r="E7551" t="s">
        <v>45661</v>
      </c>
      <c r="F7551">
        <v>10</v>
      </c>
      <c r="G7551" t="s">
        <v>5571</v>
      </c>
      <c r="H7551" t="s">
        <v>45662</v>
      </c>
      <c r="I7551" t="s">
        <v>94</v>
      </c>
      <c r="J7551" s="2" t="s">
        <v>1808</v>
      </c>
      <c r="K7551" t="s">
        <v>42</v>
      </c>
      <c r="L7551" t="s">
        <v>43100</v>
      </c>
      <c r="Q7551">
        <v>25008</v>
      </c>
      <c r="R7551" t="s">
        <v>45</v>
      </c>
      <c r="S7551" t="s">
        <v>24456</v>
      </c>
      <c r="T7551">
        <v>29</v>
      </c>
      <c r="U7551" s="2" t="s">
        <v>45663</v>
      </c>
      <c r="W7551" t="s">
        <v>43102</v>
      </c>
      <c r="X7551">
        <v>807618</v>
      </c>
      <c r="Y7551" t="s">
        <v>45664</v>
      </c>
      <c r="Z7551" t="s">
        <v>45665</v>
      </c>
      <c r="AA7551" s="2" t="s">
        <v>45666</v>
      </c>
      <c r="AB7551" t="s">
        <v>486</v>
      </c>
      <c r="AG7551" t="s">
        <v>45670</v>
      </c>
      <c r="AH7551" t="s">
        <v>45668</v>
      </c>
      <c r="AI7551" t="s">
        <v>45671</v>
      </c>
    </row>
    <row r="7552" spans="2:35" ht="240">
      <c r="B7552" s="1">
        <v>45107</v>
      </c>
      <c r="C7552" s="4">
        <v>45107.404166666667</v>
      </c>
      <c r="D7552" t="s">
        <v>45672</v>
      </c>
      <c r="E7552" t="s">
        <v>29676</v>
      </c>
      <c r="F7552" t="s">
        <v>148</v>
      </c>
      <c r="G7552" t="s">
        <v>544</v>
      </c>
      <c r="H7552" t="s">
        <v>39</v>
      </c>
      <c r="I7552" t="s">
        <v>40</v>
      </c>
      <c r="J7552" t="s">
        <v>109</v>
      </c>
      <c r="K7552" t="s">
        <v>42</v>
      </c>
      <c r="L7552" t="s">
        <v>43</v>
      </c>
      <c r="Q7552">
        <v>25007</v>
      </c>
      <c r="R7552" t="s">
        <v>703</v>
      </c>
      <c r="S7552" t="s">
        <v>35787</v>
      </c>
      <c r="T7552">
        <v>26</v>
      </c>
      <c r="U7552" s="2" t="s">
        <v>45673</v>
      </c>
      <c r="W7552" t="s">
        <v>1292</v>
      </c>
      <c r="X7552">
        <v>110008418</v>
      </c>
      <c r="Y7552" t="s">
        <v>45674</v>
      </c>
      <c r="Z7552" t="s">
        <v>122</v>
      </c>
      <c r="AA7552" s="2" t="s">
        <v>45675</v>
      </c>
      <c r="AB7552" t="s">
        <v>45676</v>
      </c>
      <c r="AG7552" t="s">
        <v>45677</v>
      </c>
      <c r="AH7552" t="s">
        <v>45678</v>
      </c>
      <c r="AI7552" t="s">
        <v>45679</v>
      </c>
    </row>
    <row r="7553" spans="2:35" ht="270">
      <c r="B7553" s="1">
        <v>45107</v>
      </c>
      <c r="C7553" s="4">
        <v>45107.327777777777</v>
      </c>
      <c r="D7553" t="s">
        <v>34462</v>
      </c>
      <c r="E7553" t="s">
        <v>45680</v>
      </c>
      <c r="F7553">
        <v>7</v>
      </c>
      <c r="G7553" t="s">
        <v>432</v>
      </c>
      <c r="H7553" t="s">
        <v>2290</v>
      </c>
      <c r="I7553" t="s">
        <v>94</v>
      </c>
      <c r="J7553" s="2" t="s">
        <v>609</v>
      </c>
      <c r="K7553" t="s">
        <v>42</v>
      </c>
      <c r="L7553" t="s">
        <v>610</v>
      </c>
      <c r="Q7553">
        <v>25006</v>
      </c>
      <c r="R7553" t="s">
        <v>45</v>
      </c>
      <c r="S7553" t="s">
        <v>45681</v>
      </c>
      <c r="T7553">
        <v>24</v>
      </c>
      <c r="U7553" s="2" t="s">
        <v>4347</v>
      </c>
      <c r="W7553" t="s">
        <v>45570</v>
      </c>
      <c r="X7553">
        <v>834813</v>
      </c>
      <c r="Y7553" t="s">
        <v>2851</v>
      </c>
      <c r="Z7553" t="s">
        <v>45682</v>
      </c>
      <c r="AA7553" s="2" t="s">
        <v>45683</v>
      </c>
      <c r="AB7553" t="s">
        <v>1263</v>
      </c>
      <c r="AG7553" t="s">
        <v>45684</v>
      </c>
      <c r="AH7553" t="s">
        <v>45685</v>
      </c>
      <c r="AI7553" t="s">
        <v>45686</v>
      </c>
    </row>
    <row r="7554" spans="2:35" ht="210">
      <c r="B7554" s="1">
        <v>45107</v>
      </c>
      <c r="C7554" s="4">
        <v>45107.38958333333</v>
      </c>
      <c r="D7554" t="s">
        <v>3656</v>
      </c>
      <c r="E7554" t="s">
        <v>45687</v>
      </c>
      <c r="F7554" t="s">
        <v>148</v>
      </c>
      <c r="G7554" t="s">
        <v>447</v>
      </c>
      <c r="H7554" t="s">
        <v>45688</v>
      </c>
      <c r="I7554" t="s">
        <v>40</v>
      </c>
      <c r="J7554" t="s">
        <v>38542</v>
      </c>
      <c r="K7554" t="s">
        <v>42</v>
      </c>
      <c r="L7554" t="s">
        <v>409</v>
      </c>
      <c r="Q7554">
        <v>25005</v>
      </c>
      <c r="R7554" t="s">
        <v>322</v>
      </c>
      <c r="S7554" t="s">
        <v>410</v>
      </c>
      <c r="T7554">
        <v>22</v>
      </c>
      <c r="U7554" s="2" t="s">
        <v>45689</v>
      </c>
      <c r="W7554" t="s">
        <v>138</v>
      </c>
      <c r="X7554">
        <v>839150</v>
      </c>
      <c r="Y7554" t="s">
        <v>45690</v>
      </c>
      <c r="Z7554" t="s">
        <v>45691</v>
      </c>
      <c r="AA7554" s="2" t="s">
        <v>45692</v>
      </c>
      <c r="AB7554" t="s">
        <v>181</v>
      </c>
      <c r="AC7554" t="s">
        <v>45693</v>
      </c>
      <c r="AG7554" t="s">
        <v>45694</v>
      </c>
      <c r="AH7554" t="s">
        <v>3656</v>
      </c>
      <c r="AI7554" t="s">
        <v>45695</v>
      </c>
    </row>
    <row r="7555" spans="2:35" ht="345">
      <c r="B7555" s="1">
        <v>45106</v>
      </c>
      <c r="C7555" s="4">
        <v>45106.613888888889</v>
      </c>
      <c r="D7555" t="s">
        <v>42092</v>
      </c>
      <c r="E7555" t="s">
        <v>10433</v>
      </c>
      <c r="F7555" t="s">
        <v>148</v>
      </c>
      <c r="G7555" t="s">
        <v>447</v>
      </c>
      <c r="H7555" t="s">
        <v>662</v>
      </c>
      <c r="I7555" t="s">
        <v>40</v>
      </c>
      <c r="J7555" t="s">
        <v>79</v>
      </c>
      <c r="K7555" t="s">
        <v>42</v>
      </c>
      <c r="L7555" t="s">
        <v>448</v>
      </c>
      <c r="Q7555">
        <v>25004</v>
      </c>
      <c r="R7555" t="s">
        <v>322</v>
      </c>
      <c r="S7555" t="s">
        <v>3987</v>
      </c>
      <c r="T7555">
        <v>25</v>
      </c>
      <c r="U7555" s="2" t="s">
        <v>45696</v>
      </c>
      <c r="V7555" s="1">
        <v>45103</v>
      </c>
      <c r="W7555" t="s">
        <v>45697</v>
      </c>
      <c r="X7555">
        <v>110014171</v>
      </c>
      <c r="Y7555" t="s">
        <v>45698</v>
      </c>
      <c r="Z7555" t="s">
        <v>45699</v>
      </c>
      <c r="AA7555" t="s">
        <v>5712</v>
      </c>
      <c r="AB7555" t="s">
        <v>486</v>
      </c>
      <c r="AD7555" t="s">
        <v>10535</v>
      </c>
      <c r="AE7555">
        <v>10046</v>
      </c>
      <c r="AG7555" t="s">
        <v>45700</v>
      </c>
      <c r="AH7555" t="s">
        <v>16795</v>
      </c>
      <c r="AI7555" t="s">
        <v>45701</v>
      </c>
    </row>
    <row r="7556" spans="2:35" ht="409.5">
      <c r="B7556" s="1">
        <v>45106</v>
      </c>
      <c r="C7556" s="4">
        <v>45106.724305555559</v>
      </c>
      <c r="D7556" t="s">
        <v>58</v>
      </c>
      <c r="E7556" t="s">
        <v>24529</v>
      </c>
      <c r="F7556">
        <v>2</v>
      </c>
      <c r="G7556" t="s">
        <v>60</v>
      </c>
      <c r="H7556" t="s">
        <v>39</v>
      </c>
      <c r="I7556" t="s">
        <v>40</v>
      </c>
      <c r="J7556" s="2" t="s">
        <v>38497</v>
      </c>
      <c r="K7556" t="s">
        <v>42</v>
      </c>
      <c r="L7556" t="s">
        <v>63</v>
      </c>
      <c r="Q7556">
        <v>25003</v>
      </c>
      <c r="R7556" t="s">
        <v>45</v>
      </c>
      <c r="S7556" t="s">
        <v>24531</v>
      </c>
      <c r="T7556">
        <v>29</v>
      </c>
      <c r="U7556" s="2" t="s">
        <v>45702</v>
      </c>
      <c r="V7556" s="1">
        <v>45106</v>
      </c>
      <c r="W7556" t="s">
        <v>26915</v>
      </c>
      <c r="X7556">
        <v>807458</v>
      </c>
      <c r="Y7556" t="s">
        <v>45703</v>
      </c>
      <c r="Z7556" t="s">
        <v>45704</v>
      </c>
      <c r="AA7556" s="2" t="s">
        <v>45705</v>
      </c>
      <c r="AB7556" t="s">
        <v>70</v>
      </c>
      <c r="AC7556" t="s">
        <v>45706</v>
      </c>
      <c r="AD7556" t="s">
        <v>34999</v>
      </c>
      <c r="AE7556" t="s">
        <v>1716</v>
      </c>
      <c r="AG7556" t="s">
        <v>45707</v>
      </c>
      <c r="AH7556" t="s">
        <v>45708</v>
      </c>
      <c r="AI7556" t="s">
        <v>45709</v>
      </c>
    </row>
    <row r="7557" spans="2:35" ht="375">
      <c r="B7557" s="1">
        <v>45106</v>
      </c>
      <c r="C7557" s="4">
        <v>45106.7</v>
      </c>
      <c r="D7557" t="s">
        <v>837</v>
      </c>
      <c r="E7557" t="s">
        <v>45710</v>
      </c>
      <c r="F7557">
        <v>5</v>
      </c>
      <c r="G7557" t="s">
        <v>839</v>
      </c>
      <c r="H7557" t="s">
        <v>39</v>
      </c>
      <c r="I7557" t="s">
        <v>40</v>
      </c>
      <c r="J7557" s="2" t="s">
        <v>41</v>
      </c>
      <c r="K7557" t="s">
        <v>42</v>
      </c>
      <c r="L7557" t="s">
        <v>761</v>
      </c>
      <c r="Q7557">
        <v>25002</v>
      </c>
      <c r="R7557" t="s">
        <v>45</v>
      </c>
      <c r="S7557" t="s">
        <v>21302</v>
      </c>
      <c r="T7557">
        <v>24</v>
      </c>
      <c r="U7557" s="2" t="s">
        <v>45711</v>
      </c>
      <c r="V7557" s="1">
        <v>45104</v>
      </c>
      <c r="W7557" t="s">
        <v>34485</v>
      </c>
      <c r="X7557">
        <v>842225</v>
      </c>
      <c r="Y7557" t="s">
        <v>45712</v>
      </c>
      <c r="Z7557" s="2" t="s">
        <v>45713</v>
      </c>
      <c r="AA7557" t="s">
        <v>45714</v>
      </c>
      <c r="AB7557" s="2" t="s">
        <v>45715</v>
      </c>
      <c r="AD7557" t="s">
        <v>45716</v>
      </c>
      <c r="AE7557" t="s">
        <v>45717</v>
      </c>
      <c r="AG7557" t="s">
        <v>45718</v>
      </c>
      <c r="AH7557" t="s">
        <v>45719</v>
      </c>
      <c r="AI7557" t="s">
        <v>45720</v>
      </c>
    </row>
    <row r="7558" spans="2:35" ht="330">
      <c r="B7558" s="1">
        <v>45106</v>
      </c>
      <c r="C7558" s="4">
        <v>45106.722222222219</v>
      </c>
      <c r="D7558" t="s">
        <v>4561</v>
      </c>
      <c r="E7558" t="s">
        <v>45721</v>
      </c>
      <c r="F7558" t="s">
        <v>148</v>
      </c>
      <c r="G7558" t="s">
        <v>447</v>
      </c>
      <c r="H7558" t="s">
        <v>39</v>
      </c>
      <c r="I7558" t="s">
        <v>40</v>
      </c>
      <c r="J7558" s="2" t="s">
        <v>190</v>
      </c>
      <c r="K7558" t="s">
        <v>42</v>
      </c>
      <c r="L7558" t="s">
        <v>15532</v>
      </c>
      <c r="Q7558">
        <v>25001</v>
      </c>
      <c r="R7558" t="s">
        <v>45</v>
      </c>
      <c r="S7558" t="s">
        <v>31224</v>
      </c>
      <c r="T7558">
        <v>28</v>
      </c>
      <c r="U7558" s="2" t="s">
        <v>45722</v>
      </c>
      <c r="W7558" t="s">
        <v>597</v>
      </c>
      <c r="X7558">
        <v>804688</v>
      </c>
      <c r="Y7558" t="s">
        <v>45723</v>
      </c>
      <c r="Z7558" s="2" t="s">
        <v>45724</v>
      </c>
      <c r="AA7558" t="s">
        <v>45725</v>
      </c>
      <c r="AB7558" t="s">
        <v>181</v>
      </c>
      <c r="AG7558" t="s">
        <v>45726</v>
      </c>
      <c r="AH7558" t="s">
        <v>45727</v>
      </c>
      <c r="AI7558" t="s">
        <v>45728</v>
      </c>
    </row>
    <row r="7559" spans="2:35" ht="270">
      <c r="B7559" s="1">
        <v>45106</v>
      </c>
      <c r="C7559" s="4">
        <v>45106.6875</v>
      </c>
      <c r="D7559" t="s">
        <v>837</v>
      </c>
      <c r="E7559" t="s">
        <v>22287</v>
      </c>
      <c r="F7559">
        <v>5</v>
      </c>
      <c r="G7559" t="s">
        <v>839</v>
      </c>
      <c r="H7559" t="s">
        <v>39</v>
      </c>
      <c r="I7559" t="s">
        <v>40</v>
      </c>
      <c r="J7559" s="2" t="s">
        <v>190</v>
      </c>
      <c r="K7559" t="s">
        <v>42</v>
      </c>
      <c r="L7559" t="s">
        <v>761</v>
      </c>
      <c r="Q7559">
        <v>25000</v>
      </c>
      <c r="R7559" t="s">
        <v>322</v>
      </c>
      <c r="S7559" t="s">
        <v>21302</v>
      </c>
      <c r="T7559">
        <v>24</v>
      </c>
      <c r="U7559" s="2" t="s">
        <v>45729</v>
      </c>
      <c r="W7559" t="s">
        <v>3662</v>
      </c>
      <c r="X7559">
        <v>110008458</v>
      </c>
      <c r="Y7559" t="s">
        <v>45730</v>
      </c>
      <c r="Z7559" s="2" t="s">
        <v>45731</v>
      </c>
      <c r="AA7559" t="s">
        <v>45732</v>
      </c>
      <c r="AB7559" s="2" t="s">
        <v>45733</v>
      </c>
      <c r="AC7559" t="s">
        <v>45734</v>
      </c>
      <c r="AG7559" t="s">
        <v>45735</v>
      </c>
      <c r="AH7559" t="s">
        <v>45736</v>
      </c>
      <c r="AI7559" t="s">
        <v>45737</v>
      </c>
    </row>
    <row r="7560" spans="2:35" ht="345">
      <c r="B7560" s="1">
        <v>45106</v>
      </c>
      <c r="C7560" s="4">
        <v>45106.611805555556</v>
      </c>
      <c r="D7560" t="s">
        <v>3696</v>
      </c>
      <c r="E7560" t="s">
        <v>45738</v>
      </c>
      <c r="F7560" t="s">
        <v>148</v>
      </c>
      <c r="G7560" t="s">
        <v>447</v>
      </c>
      <c r="H7560" t="s">
        <v>39</v>
      </c>
      <c r="I7560" t="s">
        <v>40</v>
      </c>
      <c r="J7560" s="2" t="s">
        <v>62</v>
      </c>
      <c r="K7560" t="s">
        <v>42</v>
      </c>
      <c r="L7560" t="s">
        <v>15532</v>
      </c>
      <c r="Q7560">
        <v>24999</v>
      </c>
      <c r="R7560" t="s">
        <v>703</v>
      </c>
      <c r="S7560" t="s">
        <v>3698</v>
      </c>
      <c r="T7560">
        <v>26</v>
      </c>
      <c r="U7560" s="2" t="s">
        <v>45739</v>
      </c>
      <c r="V7560" s="1">
        <v>44998</v>
      </c>
      <c r="W7560" t="s">
        <v>3244</v>
      </c>
      <c r="X7560">
        <v>835602</v>
      </c>
      <c r="Y7560" t="s">
        <v>1111</v>
      </c>
      <c r="Z7560" t="e">
        <f ca="1">-performed PM
-perfomed XpertCheck on module A1 _xludf.and A4
-generated report</f>
        <v>#NAME?</v>
      </c>
      <c r="AA7560" t="s">
        <v>999</v>
      </c>
      <c r="AB7560" s="2" t="s">
        <v>45740</v>
      </c>
      <c r="AD7560" t="s">
        <v>20036</v>
      </c>
      <c r="AE7560" t="s">
        <v>45741</v>
      </c>
      <c r="AG7560" t="s">
        <v>45742</v>
      </c>
      <c r="AH7560" t="s">
        <v>21504</v>
      </c>
      <c r="AI7560" t="s">
        <v>45743</v>
      </c>
    </row>
    <row r="7561" spans="2:35" ht="315">
      <c r="B7561" s="1">
        <v>45106</v>
      </c>
      <c r="C7561" s="4">
        <v>45106.592361111114</v>
      </c>
      <c r="D7561" t="s">
        <v>9958</v>
      </c>
      <c r="E7561" t="s">
        <v>45744</v>
      </c>
      <c r="F7561" t="s">
        <v>148</v>
      </c>
      <c r="G7561" t="s">
        <v>310</v>
      </c>
      <c r="H7561" t="s">
        <v>18031</v>
      </c>
      <c r="I7561" t="s">
        <v>94</v>
      </c>
      <c r="J7561" s="2" t="s">
        <v>1808</v>
      </c>
      <c r="K7561" t="s">
        <v>2629</v>
      </c>
      <c r="L7561" t="s">
        <v>409</v>
      </c>
      <c r="Q7561">
        <v>24998</v>
      </c>
      <c r="R7561" t="s">
        <v>95</v>
      </c>
      <c r="S7561" t="s">
        <v>45745</v>
      </c>
      <c r="T7561">
        <v>25</v>
      </c>
      <c r="V7561" s="1">
        <v>45103</v>
      </c>
      <c r="W7561" t="s">
        <v>9964</v>
      </c>
      <c r="X7561">
        <v>3943010040</v>
      </c>
      <c r="Y7561" t="s">
        <v>301</v>
      </c>
      <c r="Z7561" t="s">
        <v>301</v>
      </c>
      <c r="AA7561" s="2" t="s">
        <v>45746</v>
      </c>
      <c r="AB7561" t="s">
        <v>181</v>
      </c>
      <c r="AC7561" t="s">
        <v>45747</v>
      </c>
      <c r="AD7561" t="s">
        <v>45748</v>
      </c>
      <c r="AE7561" t="s">
        <v>45749</v>
      </c>
      <c r="AG7561" t="s">
        <v>45750</v>
      </c>
      <c r="AH7561" t="s">
        <v>45751</v>
      </c>
      <c r="AI7561" t="s">
        <v>45752</v>
      </c>
    </row>
    <row r="7562" spans="2:35" ht="409.5">
      <c r="B7562" s="1">
        <v>45106</v>
      </c>
      <c r="C7562" s="4">
        <v>45106.569444444445</v>
      </c>
      <c r="D7562" t="s">
        <v>9958</v>
      </c>
      <c r="E7562" t="s">
        <v>45744</v>
      </c>
      <c r="F7562" t="s">
        <v>148</v>
      </c>
      <c r="G7562" t="s">
        <v>310</v>
      </c>
      <c r="H7562" t="s">
        <v>18031</v>
      </c>
      <c r="I7562" t="s">
        <v>94</v>
      </c>
      <c r="J7562" s="2" t="s">
        <v>1808</v>
      </c>
      <c r="K7562" t="s">
        <v>2629</v>
      </c>
      <c r="L7562" t="s">
        <v>409</v>
      </c>
      <c r="Q7562">
        <v>24997</v>
      </c>
      <c r="R7562" t="s">
        <v>95</v>
      </c>
      <c r="S7562" t="s">
        <v>45745</v>
      </c>
      <c r="T7562">
        <v>25</v>
      </c>
      <c r="V7562" s="1">
        <v>45103</v>
      </c>
      <c r="W7562" t="s">
        <v>18040</v>
      </c>
      <c r="X7562">
        <v>3116003729</v>
      </c>
      <c r="Y7562" t="s">
        <v>301</v>
      </c>
      <c r="Z7562" t="s">
        <v>45753</v>
      </c>
      <c r="AA7562" s="2" t="s">
        <v>45754</v>
      </c>
      <c r="AB7562" t="s">
        <v>70</v>
      </c>
      <c r="AC7562" t="s">
        <v>45755</v>
      </c>
      <c r="AD7562" s="2" t="s">
        <v>45756</v>
      </c>
      <c r="AE7562" t="s">
        <v>45749</v>
      </c>
      <c r="AG7562" t="s">
        <v>45757</v>
      </c>
      <c r="AH7562" t="s">
        <v>45751</v>
      </c>
      <c r="AI7562" t="s">
        <v>45758</v>
      </c>
    </row>
    <row r="7563" spans="2:35" ht="255">
      <c r="B7563" s="1">
        <v>45106</v>
      </c>
      <c r="C7563" s="4">
        <v>45106.53402777778</v>
      </c>
      <c r="D7563" t="s">
        <v>22658</v>
      </c>
      <c r="E7563" t="s">
        <v>45759</v>
      </c>
      <c r="F7563">
        <v>2</v>
      </c>
      <c r="G7563" t="s">
        <v>60</v>
      </c>
      <c r="H7563" t="s">
        <v>39</v>
      </c>
      <c r="I7563" t="s">
        <v>40</v>
      </c>
      <c r="J7563" s="2" t="s">
        <v>62</v>
      </c>
      <c r="K7563" t="s">
        <v>42</v>
      </c>
      <c r="L7563" t="s">
        <v>63</v>
      </c>
      <c r="Q7563">
        <v>24996</v>
      </c>
      <c r="R7563" t="s">
        <v>45</v>
      </c>
      <c r="S7563" t="s">
        <v>22660</v>
      </c>
      <c r="T7563">
        <v>28</v>
      </c>
      <c r="U7563" s="2" t="s">
        <v>16941</v>
      </c>
      <c r="V7563" s="1">
        <v>45106</v>
      </c>
      <c r="W7563" t="s">
        <v>29259</v>
      </c>
      <c r="X7563">
        <v>834802</v>
      </c>
      <c r="Y7563" t="s">
        <v>1716</v>
      </c>
      <c r="Z7563" t="s">
        <v>1716</v>
      </c>
      <c r="AA7563" s="2" t="s">
        <v>45760</v>
      </c>
      <c r="AB7563" t="s">
        <v>70</v>
      </c>
      <c r="AC7563" t="s">
        <v>38901</v>
      </c>
      <c r="AD7563" t="s">
        <v>34999</v>
      </c>
      <c r="AE7563" t="s">
        <v>1716</v>
      </c>
      <c r="AG7563" t="s">
        <v>45761</v>
      </c>
      <c r="AH7563" t="s">
        <v>45762</v>
      </c>
      <c r="AI7563" t="s">
        <v>45763</v>
      </c>
    </row>
    <row r="7564" spans="2:35" ht="409.5">
      <c r="B7564" s="1">
        <v>45106</v>
      </c>
      <c r="C7564" s="4">
        <v>45106.515972222223</v>
      </c>
      <c r="D7564" t="s">
        <v>22836</v>
      </c>
      <c r="E7564" t="s">
        <v>45764</v>
      </c>
      <c r="F7564" t="s">
        <v>148</v>
      </c>
      <c r="G7564" t="s">
        <v>447</v>
      </c>
      <c r="H7564" t="s">
        <v>39</v>
      </c>
      <c r="I7564" t="s">
        <v>40</v>
      </c>
      <c r="J7564" s="2" t="s">
        <v>1309</v>
      </c>
      <c r="K7564" t="s">
        <v>42</v>
      </c>
      <c r="L7564" t="s">
        <v>15532</v>
      </c>
      <c r="Q7564">
        <v>24995</v>
      </c>
      <c r="R7564" t="s">
        <v>45</v>
      </c>
      <c r="S7564" t="s">
        <v>22838</v>
      </c>
      <c r="T7564">
        <v>25</v>
      </c>
      <c r="U7564" s="2" t="s">
        <v>45765</v>
      </c>
      <c r="V7564" s="1">
        <v>45106</v>
      </c>
      <c r="W7564" t="s">
        <v>28952</v>
      </c>
      <c r="X7564">
        <v>803088</v>
      </c>
      <c r="Y7564" s="2" t="s">
        <v>45766</v>
      </c>
      <c r="Z7564" s="2" t="s">
        <v>45767</v>
      </c>
      <c r="AA7564" s="2" t="s">
        <v>45768</v>
      </c>
      <c r="AB7564" s="2" t="s">
        <v>45769</v>
      </c>
      <c r="AD7564" t="s">
        <v>19400</v>
      </c>
      <c r="AE7564" t="s">
        <v>45770</v>
      </c>
      <c r="AG7564" t="s">
        <v>45771</v>
      </c>
      <c r="AH7564" t="s">
        <v>45772</v>
      </c>
      <c r="AI7564" t="s">
        <v>45773</v>
      </c>
    </row>
    <row r="7565" spans="2:35" ht="409.5">
      <c r="B7565" s="1">
        <v>45106</v>
      </c>
      <c r="C7565" s="4">
        <v>45106.5</v>
      </c>
      <c r="D7565" t="s">
        <v>45774</v>
      </c>
      <c r="E7565" t="s">
        <v>45775</v>
      </c>
      <c r="F7565">
        <v>7</v>
      </c>
      <c r="G7565" t="s">
        <v>432</v>
      </c>
      <c r="H7565" t="s">
        <v>2290</v>
      </c>
      <c r="I7565" t="s">
        <v>94</v>
      </c>
      <c r="J7565" s="2" t="s">
        <v>190</v>
      </c>
      <c r="K7565" t="s">
        <v>42</v>
      </c>
      <c r="L7565" t="s">
        <v>610</v>
      </c>
      <c r="Q7565">
        <v>24994</v>
      </c>
      <c r="R7565" t="s">
        <v>119</v>
      </c>
      <c r="S7565" t="s">
        <v>8531</v>
      </c>
      <c r="T7565">
        <v>24</v>
      </c>
      <c r="U7565" s="2" t="s">
        <v>23973</v>
      </c>
      <c r="W7565" t="s">
        <v>502</v>
      </c>
      <c r="X7565">
        <v>838279</v>
      </c>
      <c r="Y7565" s="2" t="s">
        <v>45776</v>
      </c>
      <c r="Z7565" s="2" t="s">
        <v>45777</v>
      </c>
      <c r="AA7565" s="2" t="s">
        <v>45778</v>
      </c>
      <c r="AB7565" t="s">
        <v>45779</v>
      </c>
      <c r="AG7565" t="s">
        <v>45780</v>
      </c>
      <c r="AH7565" t="s">
        <v>9836</v>
      </c>
      <c r="AI7565" t="s">
        <v>45781</v>
      </c>
    </row>
    <row r="7566" spans="2:35" ht="165">
      <c r="B7566" s="1">
        <v>45106</v>
      </c>
      <c r="C7566" s="4">
        <v>45106.48333333333</v>
      </c>
      <c r="D7566" t="s">
        <v>31886</v>
      </c>
      <c r="E7566" t="s">
        <v>45782</v>
      </c>
      <c r="F7566" t="s">
        <v>1181</v>
      </c>
      <c r="G7566" t="s">
        <v>7148</v>
      </c>
      <c r="H7566" t="s">
        <v>39</v>
      </c>
      <c r="I7566" t="s">
        <v>40</v>
      </c>
      <c r="J7566" s="2" t="s">
        <v>41</v>
      </c>
      <c r="K7566" t="s">
        <v>42</v>
      </c>
      <c r="L7566" t="s">
        <v>1943</v>
      </c>
      <c r="Q7566">
        <v>24993</v>
      </c>
      <c r="R7566" t="s">
        <v>45</v>
      </c>
      <c r="S7566" t="s">
        <v>45783</v>
      </c>
      <c r="T7566">
        <v>25</v>
      </c>
      <c r="U7566" s="2" t="s">
        <v>13761</v>
      </c>
      <c r="V7566" s="1">
        <v>45106</v>
      </c>
      <c r="W7566" t="s">
        <v>84</v>
      </c>
      <c r="X7566">
        <v>812791</v>
      </c>
      <c r="Y7566" s="2" t="s">
        <v>33800</v>
      </c>
      <c r="Z7566" s="2" t="s">
        <v>45784</v>
      </c>
      <c r="AA7566" t="s">
        <v>22330</v>
      </c>
      <c r="AB7566" t="s">
        <v>88</v>
      </c>
      <c r="AD7566" t="s">
        <v>45785</v>
      </c>
      <c r="AE7566" t="s">
        <v>8904</v>
      </c>
      <c r="AG7566" t="s">
        <v>45786</v>
      </c>
      <c r="AH7566" t="s">
        <v>45787</v>
      </c>
      <c r="AI7566" t="s">
        <v>45788</v>
      </c>
    </row>
    <row r="7567" spans="2:35" ht="105">
      <c r="B7567" s="1">
        <v>45106</v>
      </c>
      <c r="C7567" s="4">
        <v>45106.484027777777</v>
      </c>
      <c r="D7567" t="s">
        <v>2250</v>
      </c>
      <c r="E7567" t="s">
        <v>41272</v>
      </c>
      <c r="F7567" t="s">
        <v>37</v>
      </c>
      <c r="G7567" t="s">
        <v>189</v>
      </c>
      <c r="H7567" t="s">
        <v>39</v>
      </c>
      <c r="I7567" t="s">
        <v>40</v>
      </c>
      <c r="J7567" s="2" t="s">
        <v>190</v>
      </c>
      <c r="K7567" t="s">
        <v>42</v>
      </c>
      <c r="L7567" t="s">
        <v>175</v>
      </c>
      <c r="Q7567">
        <v>24992</v>
      </c>
      <c r="R7567" t="s">
        <v>119</v>
      </c>
      <c r="S7567" t="s">
        <v>45789</v>
      </c>
      <c r="T7567">
        <v>25</v>
      </c>
      <c r="U7567" s="2" t="s">
        <v>45790</v>
      </c>
      <c r="W7567" t="s">
        <v>84</v>
      </c>
      <c r="X7567">
        <v>820201</v>
      </c>
      <c r="Y7567" t="s">
        <v>45791</v>
      </c>
      <c r="Z7567" t="e">
        <f ca="1">- checked _xludf.and cleaned cartridge bay, plunger rod, _xludf.filter
- performed XpertCheck on A4
- generated reports</f>
        <v>#NAME?</v>
      </c>
      <c r="AA7567" t="e">
        <f ca="1">- performed re XpertCheck on A4</f>
        <v>#NAME?</v>
      </c>
      <c r="AB7567" s="2" t="s">
        <v>45792</v>
      </c>
      <c r="AG7567" t="s">
        <v>45793</v>
      </c>
      <c r="AH7567" t="s">
        <v>45794</v>
      </c>
      <c r="AI7567" t="s">
        <v>45795</v>
      </c>
    </row>
    <row r="7568" spans="2:35" ht="375">
      <c r="B7568" s="1">
        <v>45106</v>
      </c>
      <c r="C7568" s="4">
        <v>45106.444444444445</v>
      </c>
      <c r="D7568" t="s">
        <v>45796</v>
      </c>
      <c r="E7568" t="s">
        <v>45797</v>
      </c>
      <c r="F7568">
        <v>3</v>
      </c>
      <c r="G7568" t="s">
        <v>730</v>
      </c>
      <c r="H7568" t="s">
        <v>39</v>
      </c>
      <c r="I7568" t="s">
        <v>40</v>
      </c>
      <c r="J7568" s="2" t="s">
        <v>62</v>
      </c>
      <c r="K7568" t="s">
        <v>42</v>
      </c>
      <c r="L7568" t="s">
        <v>135</v>
      </c>
      <c r="Q7568">
        <v>24991</v>
      </c>
      <c r="R7568" t="s">
        <v>119</v>
      </c>
      <c r="S7568" t="s">
        <v>24877</v>
      </c>
      <c r="T7568">
        <v>29</v>
      </c>
      <c r="U7568" s="2" t="s">
        <v>45798</v>
      </c>
      <c r="W7568" t="s">
        <v>2680</v>
      </c>
      <c r="X7568">
        <v>831909</v>
      </c>
      <c r="Y7568" t="s">
        <v>45799</v>
      </c>
      <c r="Z7568" s="2" t="s">
        <v>35128</v>
      </c>
      <c r="AA7568" s="2" t="s">
        <v>45125</v>
      </c>
      <c r="AB7568" t="s">
        <v>45800</v>
      </c>
      <c r="AC7568" t="s">
        <v>45801</v>
      </c>
      <c r="AG7568" t="s">
        <v>45802</v>
      </c>
      <c r="AH7568" t="s">
        <v>27327</v>
      </c>
      <c r="AI7568" t="s">
        <v>45803</v>
      </c>
    </row>
    <row r="7569" spans="2:35" ht="180">
      <c r="B7569" s="1">
        <v>45106</v>
      </c>
      <c r="C7569" s="4">
        <v>45106.445833333331</v>
      </c>
      <c r="D7569" t="s">
        <v>24087</v>
      </c>
      <c r="E7569" t="s">
        <v>24088</v>
      </c>
      <c r="F7569">
        <v>8</v>
      </c>
      <c r="G7569" t="s">
        <v>342</v>
      </c>
      <c r="H7569" t="s">
        <v>36499</v>
      </c>
      <c r="I7569" t="s">
        <v>40</v>
      </c>
      <c r="J7569" s="2" t="s">
        <v>62</v>
      </c>
      <c r="K7569" t="s">
        <v>42</v>
      </c>
      <c r="L7569" t="s">
        <v>259</v>
      </c>
      <c r="Q7569">
        <v>24990</v>
      </c>
      <c r="R7569" t="s">
        <v>45</v>
      </c>
      <c r="S7569" t="s">
        <v>45804</v>
      </c>
      <c r="T7569">
        <v>29</v>
      </c>
      <c r="U7569" s="2" t="s">
        <v>45805</v>
      </c>
      <c r="V7569" s="1">
        <v>45106</v>
      </c>
      <c r="W7569" t="s">
        <v>84</v>
      </c>
      <c r="X7569">
        <v>815274</v>
      </c>
      <c r="Y7569" t="s">
        <v>45806</v>
      </c>
      <c r="Z7569" t="e">
        <f ca="1">- run XpertCheck
- performed Preventive Maintenance</f>
        <v>#NAME?</v>
      </c>
      <c r="AA7569" t="e">
        <f ca="1">- CALIBRATION
- Preventive Maintenance
- Generate reports</f>
        <v>#NAME?</v>
      </c>
      <c r="AB7569" t="s">
        <v>70</v>
      </c>
      <c r="AD7569" t="s">
        <v>948</v>
      </c>
      <c r="AE7569" t="s">
        <v>45</v>
      </c>
      <c r="AG7569" t="s">
        <v>45807</v>
      </c>
      <c r="AH7569" t="s">
        <v>45808</v>
      </c>
      <c r="AI7569" t="s">
        <v>45809</v>
      </c>
    </row>
    <row r="7570" spans="2:35">
      <c r="B7570" s="1">
        <v>45106</v>
      </c>
      <c r="C7570" s="4">
        <v>45106.423611111109</v>
      </c>
      <c r="D7570" t="s">
        <v>7050</v>
      </c>
      <c r="E7570" t="s">
        <v>45810</v>
      </c>
      <c r="F7570">
        <v>9</v>
      </c>
      <c r="G7570" t="s">
        <v>2197</v>
      </c>
      <c r="H7570" t="s">
        <v>39</v>
      </c>
      <c r="I7570" t="s">
        <v>40</v>
      </c>
      <c r="J7570" t="s">
        <v>45811</v>
      </c>
      <c r="K7570" t="s">
        <v>387</v>
      </c>
      <c r="L7570" t="s">
        <v>1257</v>
      </c>
      <c r="Q7570">
        <v>24989</v>
      </c>
      <c r="R7570" t="s">
        <v>95</v>
      </c>
      <c r="S7570" t="s">
        <v>7052</v>
      </c>
      <c r="T7570">
        <v>0</v>
      </c>
      <c r="V7570" s="1">
        <v>45106</v>
      </c>
      <c r="W7570" t="s">
        <v>476</v>
      </c>
      <c r="X7570" t="s">
        <v>7053</v>
      </c>
      <c r="Y7570" t="s">
        <v>45812</v>
      </c>
      <c r="Z7570" t="s">
        <v>45813</v>
      </c>
      <c r="AA7570" t="s">
        <v>45813</v>
      </c>
      <c r="AB7570" t="s">
        <v>45814</v>
      </c>
      <c r="AC7570" t="s">
        <v>45815</v>
      </c>
      <c r="AD7570" t="s">
        <v>54</v>
      </c>
      <c r="AE7570" t="s">
        <v>54</v>
      </c>
      <c r="AG7570" t="s">
        <v>45816</v>
      </c>
      <c r="AH7570" t="s">
        <v>26611</v>
      </c>
      <c r="AI7570" t="s">
        <v>45817</v>
      </c>
    </row>
    <row r="7571" spans="2:35" ht="180">
      <c r="B7571" s="1">
        <v>45106</v>
      </c>
      <c r="C7571" s="4">
        <v>45106.400694444441</v>
      </c>
      <c r="D7571" t="s">
        <v>45818</v>
      </c>
      <c r="E7571" t="s">
        <v>37484</v>
      </c>
      <c r="F7571">
        <v>7</v>
      </c>
      <c r="G7571" t="s">
        <v>432</v>
      </c>
      <c r="H7571" t="s">
        <v>39</v>
      </c>
      <c r="I7571" t="s">
        <v>40</v>
      </c>
      <c r="J7571" s="2" t="s">
        <v>355</v>
      </c>
      <c r="K7571" t="s">
        <v>42</v>
      </c>
      <c r="L7571" t="s">
        <v>433</v>
      </c>
      <c r="Q7571">
        <v>24988</v>
      </c>
      <c r="R7571" t="s">
        <v>45</v>
      </c>
      <c r="S7571" t="s">
        <v>3872</v>
      </c>
      <c r="T7571">
        <v>30</v>
      </c>
      <c r="U7571" s="2" t="s">
        <v>45819</v>
      </c>
      <c r="W7571" t="s">
        <v>1008</v>
      </c>
      <c r="X7571">
        <v>805270</v>
      </c>
      <c r="Y7571" t="s">
        <v>45820</v>
      </c>
      <c r="Z7571" t="s">
        <v>43863</v>
      </c>
      <c r="AA7571" t="s">
        <v>45821</v>
      </c>
      <c r="AB7571" t="s">
        <v>45822</v>
      </c>
      <c r="AG7571" t="s">
        <v>45823</v>
      </c>
      <c r="AH7571" t="s">
        <v>45824</v>
      </c>
      <c r="AI7571" t="s">
        <v>45825</v>
      </c>
    </row>
    <row r="7572" spans="2:35" ht="285">
      <c r="B7572" s="1">
        <v>45106</v>
      </c>
      <c r="C7572" s="4">
        <v>45106.396527777775</v>
      </c>
      <c r="D7572" t="s">
        <v>45826</v>
      </c>
      <c r="E7572" t="s">
        <v>35838</v>
      </c>
      <c r="F7572">
        <v>5</v>
      </c>
      <c r="G7572" t="s">
        <v>759</v>
      </c>
      <c r="H7572" t="s">
        <v>39</v>
      </c>
      <c r="I7572" t="s">
        <v>40</v>
      </c>
      <c r="J7572" s="2" t="s">
        <v>1808</v>
      </c>
      <c r="K7572" t="s">
        <v>42</v>
      </c>
      <c r="L7572" t="s">
        <v>761</v>
      </c>
      <c r="Q7572">
        <v>24987</v>
      </c>
      <c r="R7572" t="s">
        <v>45</v>
      </c>
      <c r="S7572" t="s">
        <v>4983</v>
      </c>
      <c r="T7572">
        <v>26</v>
      </c>
      <c r="U7572" s="2" t="s">
        <v>45827</v>
      </c>
      <c r="V7572" s="1">
        <v>45090</v>
      </c>
      <c r="W7572" t="s">
        <v>360</v>
      </c>
      <c r="X7572">
        <v>807579</v>
      </c>
      <c r="Y7572" t="s">
        <v>45828</v>
      </c>
      <c r="Z7572" s="2" t="s">
        <v>45829</v>
      </c>
      <c r="AA7572" t="s">
        <v>45830</v>
      </c>
      <c r="AB7572" t="s">
        <v>181</v>
      </c>
      <c r="AD7572" t="s">
        <v>45831</v>
      </c>
      <c r="AE7572" t="s">
        <v>45832</v>
      </c>
      <c r="AG7572" t="s">
        <v>45833</v>
      </c>
      <c r="AH7572" t="s">
        <v>41876</v>
      </c>
      <c r="AI7572" t="s">
        <v>45834</v>
      </c>
    </row>
    <row r="7573" spans="2:35" ht="180">
      <c r="B7573" s="1">
        <v>45106</v>
      </c>
      <c r="C7573" s="4">
        <v>45106.397222222222</v>
      </c>
      <c r="D7573" t="s">
        <v>9805</v>
      </c>
      <c r="E7573" t="s">
        <v>510</v>
      </c>
      <c r="F7573" t="s">
        <v>511</v>
      </c>
      <c r="G7573" t="s">
        <v>512</v>
      </c>
      <c r="H7573" t="s">
        <v>258</v>
      </c>
      <c r="I7573" t="s">
        <v>40</v>
      </c>
      <c r="J7573" t="s">
        <v>109</v>
      </c>
      <c r="K7573" t="s">
        <v>42</v>
      </c>
      <c r="L7573" t="s">
        <v>1048</v>
      </c>
      <c r="Q7573">
        <v>24986</v>
      </c>
      <c r="R7573" t="s">
        <v>45</v>
      </c>
      <c r="S7573" t="s">
        <v>29628</v>
      </c>
      <c r="T7573">
        <v>28</v>
      </c>
      <c r="U7573" s="2" t="s">
        <v>45835</v>
      </c>
      <c r="V7573" s="1">
        <v>45106</v>
      </c>
      <c r="W7573" t="s">
        <v>666</v>
      </c>
      <c r="X7573">
        <v>834685</v>
      </c>
      <c r="Y7573" t="s">
        <v>2851</v>
      </c>
      <c r="Z7573" s="2" t="s">
        <v>45426</v>
      </c>
      <c r="AA7573" t="s">
        <v>16055</v>
      </c>
      <c r="AB7573" t="s">
        <v>181</v>
      </c>
      <c r="AG7573" t="s">
        <v>45836</v>
      </c>
      <c r="AH7573" t="s">
        <v>29632</v>
      </c>
      <c r="AI7573" t="s">
        <v>45837</v>
      </c>
    </row>
    <row r="7574" spans="2:35" ht="165">
      <c r="B7574" s="1">
        <v>45105</v>
      </c>
      <c r="C7574" s="4">
        <v>45105.540972222225</v>
      </c>
      <c r="D7574" t="s">
        <v>15729</v>
      </c>
      <c r="E7574" t="s">
        <v>40124</v>
      </c>
      <c r="F7574" t="s">
        <v>511</v>
      </c>
      <c r="G7574" t="s">
        <v>15731</v>
      </c>
      <c r="H7574" t="s">
        <v>39</v>
      </c>
      <c r="I7574" t="s">
        <v>40</v>
      </c>
      <c r="J7574" s="2" t="s">
        <v>38497</v>
      </c>
      <c r="K7574" t="s">
        <v>42</v>
      </c>
      <c r="L7574" t="s">
        <v>63</v>
      </c>
      <c r="Q7574">
        <v>24985</v>
      </c>
      <c r="R7574" t="s">
        <v>119</v>
      </c>
      <c r="S7574" t="s">
        <v>15732</v>
      </c>
      <c r="T7574">
        <v>27</v>
      </c>
      <c r="U7574" s="2" t="s">
        <v>25300</v>
      </c>
      <c r="V7574" s="1">
        <v>45105</v>
      </c>
      <c r="W7574" t="s">
        <v>26915</v>
      </c>
      <c r="X7574">
        <v>838466</v>
      </c>
      <c r="Y7574" t="s">
        <v>45838</v>
      </c>
      <c r="Z7574" t="s">
        <v>45839</v>
      </c>
      <c r="AA7574" s="2" t="s">
        <v>1727</v>
      </c>
      <c r="AB7574" t="s">
        <v>70</v>
      </c>
      <c r="AC7574" t="s">
        <v>45840</v>
      </c>
      <c r="AD7574" t="s">
        <v>29263</v>
      </c>
      <c r="AE7574" t="s">
        <v>1716</v>
      </c>
      <c r="AG7574" t="s">
        <v>45841</v>
      </c>
      <c r="AH7574" t="s">
        <v>16549</v>
      </c>
      <c r="AI7574" t="s">
        <v>45842</v>
      </c>
    </row>
    <row r="7575" spans="2:35" ht="225">
      <c r="B7575" s="1">
        <v>45104</v>
      </c>
      <c r="C7575" s="4">
        <v>45103.594444444447</v>
      </c>
      <c r="D7575" t="s">
        <v>26257</v>
      </c>
      <c r="E7575" t="s">
        <v>29611</v>
      </c>
      <c r="F7575">
        <v>12</v>
      </c>
      <c r="G7575" t="s">
        <v>2137</v>
      </c>
      <c r="H7575" t="s">
        <v>1473</v>
      </c>
      <c r="I7575" t="s">
        <v>94</v>
      </c>
      <c r="J7575" s="2" t="s">
        <v>41</v>
      </c>
      <c r="K7575" t="s">
        <v>42</v>
      </c>
      <c r="L7575" t="s">
        <v>296</v>
      </c>
      <c r="Q7575">
        <v>24984</v>
      </c>
      <c r="R7575" t="s">
        <v>45</v>
      </c>
      <c r="S7575" t="s">
        <v>26260</v>
      </c>
      <c r="T7575">
        <v>24.3</v>
      </c>
      <c r="U7575" s="2" t="s">
        <v>17735</v>
      </c>
      <c r="W7575" t="s">
        <v>38007</v>
      </c>
      <c r="X7575">
        <v>835182</v>
      </c>
      <c r="Y7575" t="s">
        <v>45843</v>
      </c>
      <c r="Z7575" s="2" t="s">
        <v>45844</v>
      </c>
      <c r="AA7575" t="s">
        <v>9161</v>
      </c>
      <c r="AB7575" t="s">
        <v>16070</v>
      </c>
      <c r="AG7575" t="s">
        <v>45845</v>
      </c>
      <c r="AH7575" t="s">
        <v>45846</v>
      </c>
      <c r="AI7575" t="s">
        <v>45847</v>
      </c>
    </row>
    <row r="7576" spans="2:35" ht="225">
      <c r="B7576" s="1">
        <v>45104</v>
      </c>
      <c r="C7576" s="4">
        <v>45103.594444444447</v>
      </c>
      <c r="D7576" t="s">
        <v>26257</v>
      </c>
      <c r="E7576" t="s">
        <v>29611</v>
      </c>
      <c r="F7576">
        <v>12</v>
      </c>
      <c r="G7576" t="s">
        <v>2137</v>
      </c>
      <c r="H7576" t="s">
        <v>1473</v>
      </c>
      <c r="I7576" t="s">
        <v>94</v>
      </c>
      <c r="J7576" s="2" t="s">
        <v>41</v>
      </c>
      <c r="K7576" t="s">
        <v>42</v>
      </c>
      <c r="L7576" t="s">
        <v>296</v>
      </c>
      <c r="Q7576">
        <v>24983</v>
      </c>
      <c r="R7576" t="s">
        <v>45</v>
      </c>
      <c r="S7576" t="s">
        <v>26260</v>
      </c>
      <c r="T7576">
        <v>24.3</v>
      </c>
      <c r="U7576" s="2" t="s">
        <v>17735</v>
      </c>
      <c r="W7576" t="s">
        <v>38007</v>
      </c>
      <c r="X7576">
        <v>835182</v>
      </c>
      <c r="Y7576" t="s">
        <v>45843</v>
      </c>
      <c r="Z7576" s="2" t="s">
        <v>45844</v>
      </c>
      <c r="AA7576" t="s">
        <v>9161</v>
      </c>
      <c r="AB7576" t="s">
        <v>16070</v>
      </c>
      <c r="AG7576" t="s">
        <v>45848</v>
      </c>
      <c r="AH7576" t="s">
        <v>45846</v>
      </c>
      <c r="AI7576" t="s">
        <v>45849</v>
      </c>
    </row>
    <row r="7577" spans="2:35" ht="225">
      <c r="B7577" s="1">
        <v>45104</v>
      </c>
      <c r="C7577" s="4">
        <v>45103.594444444447</v>
      </c>
      <c r="D7577" t="s">
        <v>26257</v>
      </c>
      <c r="E7577" t="s">
        <v>29611</v>
      </c>
      <c r="F7577">
        <v>12</v>
      </c>
      <c r="G7577" t="s">
        <v>2137</v>
      </c>
      <c r="H7577" t="s">
        <v>1473</v>
      </c>
      <c r="I7577" t="s">
        <v>94</v>
      </c>
      <c r="J7577" s="2" t="s">
        <v>41</v>
      </c>
      <c r="K7577" t="s">
        <v>42</v>
      </c>
      <c r="L7577" t="s">
        <v>296</v>
      </c>
      <c r="Q7577">
        <v>24982</v>
      </c>
      <c r="R7577" t="s">
        <v>45</v>
      </c>
      <c r="S7577" t="s">
        <v>26260</v>
      </c>
      <c r="T7577">
        <v>24.3</v>
      </c>
      <c r="U7577" s="2" t="s">
        <v>17735</v>
      </c>
      <c r="W7577" t="s">
        <v>38007</v>
      </c>
      <c r="X7577">
        <v>835182</v>
      </c>
      <c r="Y7577" t="s">
        <v>45843</v>
      </c>
      <c r="Z7577" s="2" t="s">
        <v>45844</v>
      </c>
      <c r="AA7577" t="s">
        <v>9161</v>
      </c>
      <c r="AB7577" t="s">
        <v>16070</v>
      </c>
      <c r="AG7577" t="s">
        <v>45850</v>
      </c>
      <c r="AH7577" t="s">
        <v>45846</v>
      </c>
      <c r="AI7577" t="s">
        <v>45851</v>
      </c>
    </row>
    <row r="7578" spans="2:35" ht="300">
      <c r="B7578" s="1">
        <v>45104</v>
      </c>
      <c r="C7578" s="4">
        <v>45104.648611111108</v>
      </c>
      <c r="D7578" t="s">
        <v>45852</v>
      </c>
      <c r="E7578" t="s">
        <v>38881</v>
      </c>
      <c r="F7578">
        <v>7</v>
      </c>
      <c r="G7578" t="s">
        <v>432</v>
      </c>
      <c r="H7578" t="s">
        <v>2290</v>
      </c>
      <c r="I7578" t="s">
        <v>94</v>
      </c>
      <c r="J7578" t="s">
        <v>996</v>
      </c>
      <c r="K7578" t="s">
        <v>42</v>
      </c>
      <c r="L7578" t="s">
        <v>610</v>
      </c>
      <c r="Q7578">
        <v>24981</v>
      </c>
      <c r="R7578" t="s">
        <v>119</v>
      </c>
      <c r="S7578" t="s">
        <v>19514</v>
      </c>
      <c r="T7578">
        <v>28</v>
      </c>
      <c r="U7578" s="2" t="s">
        <v>16122</v>
      </c>
      <c r="W7578" t="s">
        <v>502</v>
      </c>
      <c r="X7578">
        <v>838506</v>
      </c>
      <c r="Y7578" t="s">
        <v>45853</v>
      </c>
      <c r="Z7578" s="2" t="s">
        <v>45854</v>
      </c>
      <c r="AA7578" s="2" t="s">
        <v>45855</v>
      </c>
      <c r="AB7578" t="s">
        <v>45856</v>
      </c>
      <c r="AG7578" t="s">
        <v>45857</v>
      </c>
      <c r="AH7578" t="s">
        <v>45858</v>
      </c>
      <c r="AI7578" t="s">
        <v>45859</v>
      </c>
    </row>
    <row r="7579" spans="2:35" ht="409.5">
      <c r="B7579" s="1">
        <v>45104</v>
      </c>
      <c r="C7579" s="4">
        <v>45104.630555555559</v>
      </c>
      <c r="D7579" t="s">
        <v>620</v>
      </c>
      <c r="E7579" t="s">
        <v>41548</v>
      </c>
      <c r="F7579" t="s">
        <v>148</v>
      </c>
      <c r="G7579" t="s">
        <v>447</v>
      </c>
      <c r="H7579" t="s">
        <v>39</v>
      </c>
      <c r="I7579" t="s">
        <v>40</v>
      </c>
      <c r="J7579" t="s">
        <v>109</v>
      </c>
      <c r="K7579" t="s">
        <v>42</v>
      </c>
      <c r="L7579" t="s">
        <v>15532</v>
      </c>
      <c r="Q7579">
        <v>24980</v>
      </c>
      <c r="R7579" t="s">
        <v>119</v>
      </c>
      <c r="S7579" t="s">
        <v>24896</v>
      </c>
      <c r="T7579">
        <v>29</v>
      </c>
      <c r="W7579" t="s">
        <v>597</v>
      </c>
      <c r="X7579">
        <v>831876</v>
      </c>
      <c r="Y7579" t="s">
        <v>45860</v>
      </c>
      <c r="Z7579" s="2" t="s">
        <v>45861</v>
      </c>
      <c r="AA7579" t="s">
        <v>45862</v>
      </c>
      <c r="AB7579" t="s">
        <v>181</v>
      </c>
      <c r="AG7579" t="s">
        <v>45863</v>
      </c>
      <c r="AH7579" t="s">
        <v>31514</v>
      </c>
      <c r="AI7579" t="s">
        <v>45864</v>
      </c>
    </row>
    <row r="7580" spans="2:35" ht="60">
      <c r="B7580" s="1">
        <v>45104</v>
      </c>
      <c r="C7580" s="4">
        <v>45104.650694444441</v>
      </c>
      <c r="D7580" t="s">
        <v>11722</v>
      </c>
      <c r="E7580" t="s">
        <v>6250</v>
      </c>
      <c r="F7580">
        <v>7</v>
      </c>
      <c r="G7580" t="s">
        <v>432</v>
      </c>
      <c r="H7580" t="s">
        <v>39</v>
      </c>
      <c r="I7580" t="s">
        <v>40</v>
      </c>
      <c r="J7580" s="2" t="s">
        <v>62</v>
      </c>
      <c r="K7580" t="s">
        <v>42</v>
      </c>
      <c r="L7580" t="s">
        <v>433</v>
      </c>
      <c r="Q7580">
        <v>24979</v>
      </c>
      <c r="R7580" t="s">
        <v>95</v>
      </c>
      <c r="S7580" t="s">
        <v>28609</v>
      </c>
      <c r="T7580">
        <v>29</v>
      </c>
      <c r="W7580" t="s">
        <v>1008</v>
      </c>
      <c r="X7580">
        <v>829419</v>
      </c>
      <c r="Y7580" t="s">
        <v>45865</v>
      </c>
      <c r="Z7580" t="s">
        <v>45865</v>
      </c>
      <c r="AA7580" t="s">
        <v>45865</v>
      </c>
      <c r="AB7580" t="s">
        <v>35231</v>
      </c>
      <c r="AG7580" t="s">
        <v>45866</v>
      </c>
      <c r="AH7580" t="s">
        <v>36738</v>
      </c>
      <c r="AI7580" t="s">
        <v>45867</v>
      </c>
    </row>
    <row r="7581" spans="2:35" ht="90">
      <c r="B7581" s="1">
        <v>45104</v>
      </c>
      <c r="C7581" s="4">
        <v>45104.633333333331</v>
      </c>
      <c r="D7581" t="s">
        <v>5546</v>
      </c>
      <c r="E7581" t="s">
        <v>6250</v>
      </c>
      <c r="F7581">
        <v>7</v>
      </c>
      <c r="G7581" t="s">
        <v>432</v>
      </c>
      <c r="H7581" t="s">
        <v>39</v>
      </c>
      <c r="I7581" t="s">
        <v>40</v>
      </c>
      <c r="J7581" s="2" t="s">
        <v>1592</v>
      </c>
      <c r="K7581" t="s">
        <v>42</v>
      </c>
      <c r="L7581" t="s">
        <v>433</v>
      </c>
      <c r="Q7581">
        <v>24978</v>
      </c>
      <c r="R7581" t="s">
        <v>45</v>
      </c>
      <c r="S7581" t="s">
        <v>5548</v>
      </c>
      <c r="T7581">
        <v>28</v>
      </c>
      <c r="W7581" t="s">
        <v>1008</v>
      </c>
      <c r="X7581">
        <v>838882</v>
      </c>
      <c r="Y7581" t="s">
        <v>45868</v>
      </c>
      <c r="Z7581" t="s">
        <v>45869</v>
      </c>
      <c r="AA7581" t="s">
        <v>45870</v>
      </c>
      <c r="AB7581" t="s">
        <v>1011</v>
      </c>
      <c r="AG7581" t="s">
        <v>45871</v>
      </c>
      <c r="AH7581" t="s">
        <v>7130</v>
      </c>
      <c r="AI7581" t="s">
        <v>45872</v>
      </c>
    </row>
    <row r="7582" spans="2:35" ht="345">
      <c r="B7582" s="1">
        <v>45104</v>
      </c>
      <c r="C7582" s="4">
        <v>45104.559027777781</v>
      </c>
      <c r="D7582" t="s">
        <v>2176</v>
      </c>
      <c r="E7582" t="s">
        <v>31074</v>
      </c>
      <c r="F7582" t="s">
        <v>148</v>
      </c>
      <c r="G7582" t="s">
        <v>447</v>
      </c>
      <c r="H7582" t="s">
        <v>386</v>
      </c>
      <c r="I7582" t="s">
        <v>94</v>
      </c>
      <c r="J7582" s="2" t="s">
        <v>2170</v>
      </c>
      <c r="K7582" t="s">
        <v>387</v>
      </c>
      <c r="L7582" t="s">
        <v>448</v>
      </c>
      <c r="Q7582">
        <v>24977</v>
      </c>
      <c r="R7582" t="s">
        <v>95</v>
      </c>
      <c r="S7582" t="s">
        <v>9569</v>
      </c>
      <c r="T7582">
        <v>29</v>
      </c>
      <c r="V7582" s="1">
        <v>45092</v>
      </c>
      <c r="W7582" t="s">
        <v>476</v>
      </c>
      <c r="X7582" t="s">
        <v>2180</v>
      </c>
      <c r="Y7582" t="s">
        <v>45873</v>
      </c>
      <c r="Z7582" s="2" t="s">
        <v>45874</v>
      </c>
      <c r="AA7582" t="s">
        <v>14834</v>
      </c>
      <c r="AB7582" t="s">
        <v>486</v>
      </c>
      <c r="AD7582" t="s">
        <v>28469</v>
      </c>
      <c r="AE7582">
        <v>95730</v>
      </c>
      <c r="AG7582" t="s">
        <v>45875</v>
      </c>
      <c r="AH7582" t="s">
        <v>23819</v>
      </c>
      <c r="AI7582" t="s">
        <v>45876</v>
      </c>
    </row>
    <row r="7583" spans="2:35" ht="375">
      <c r="B7583" s="1">
        <v>45104</v>
      </c>
      <c r="C7583" s="4">
        <v>45104.593055555553</v>
      </c>
      <c r="D7583" t="s">
        <v>1351</v>
      </c>
      <c r="E7583" t="s">
        <v>27934</v>
      </c>
      <c r="F7583">
        <v>3</v>
      </c>
      <c r="G7583" t="s">
        <v>284</v>
      </c>
      <c r="H7583" t="s">
        <v>39</v>
      </c>
      <c r="I7583" t="s">
        <v>40</v>
      </c>
      <c r="J7583" s="2" t="s">
        <v>62</v>
      </c>
      <c r="K7583" t="s">
        <v>42</v>
      </c>
      <c r="L7583" t="s">
        <v>135</v>
      </c>
      <c r="Q7583">
        <v>24976</v>
      </c>
      <c r="R7583" t="s">
        <v>119</v>
      </c>
      <c r="S7583" t="s">
        <v>285</v>
      </c>
      <c r="T7583">
        <v>30</v>
      </c>
      <c r="U7583" s="2" t="s">
        <v>45877</v>
      </c>
      <c r="W7583" t="s">
        <v>2680</v>
      </c>
      <c r="X7583">
        <v>831878</v>
      </c>
      <c r="Y7583" t="s">
        <v>45878</v>
      </c>
      <c r="Z7583" s="2" t="s">
        <v>35128</v>
      </c>
      <c r="AA7583" s="2" t="s">
        <v>45125</v>
      </c>
      <c r="AB7583" t="s">
        <v>45879</v>
      </c>
      <c r="AC7583" t="s">
        <v>45880</v>
      </c>
      <c r="AG7583" t="s">
        <v>45881</v>
      </c>
      <c r="AH7583" t="s">
        <v>45882</v>
      </c>
      <c r="AI7583" t="s">
        <v>45883</v>
      </c>
    </row>
    <row r="7584" spans="2:35" ht="409.5">
      <c r="B7584" s="1">
        <v>45104</v>
      </c>
      <c r="C7584" s="4">
        <v>45104.581250000003</v>
      </c>
      <c r="D7584" t="s">
        <v>26323</v>
      </c>
      <c r="E7584" t="s">
        <v>21927</v>
      </c>
      <c r="F7584" t="s">
        <v>148</v>
      </c>
      <c r="G7584" t="s">
        <v>447</v>
      </c>
      <c r="H7584" t="s">
        <v>39</v>
      </c>
      <c r="I7584" t="s">
        <v>40</v>
      </c>
      <c r="J7584" s="2" t="s">
        <v>190</v>
      </c>
      <c r="K7584" t="s">
        <v>42</v>
      </c>
      <c r="L7584" t="s">
        <v>15532</v>
      </c>
      <c r="Q7584">
        <v>24975</v>
      </c>
      <c r="R7584" t="s">
        <v>119</v>
      </c>
      <c r="S7584" t="s">
        <v>40191</v>
      </c>
      <c r="T7584">
        <v>26</v>
      </c>
      <c r="U7584" s="2" t="s">
        <v>45884</v>
      </c>
      <c r="W7584" t="s">
        <v>597</v>
      </c>
      <c r="X7584">
        <v>831597</v>
      </c>
      <c r="Y7584" t="s">
        <v>28274</v>
      </c>
      <c r="Z7584" s="2" t="s">
        <v>45885</v>
      </c>
      <c r="AA7584" t="s">
        <v>2322</v>
      </c>
      <c r="AB7584" t="s">
        <v>88</v>
      </c>
      <c r="AG7584" t="s">
        <v>45886</v>
      </c>
      <c r="AH7584" t="s">
        <v>45887</v>
      </c>
      <c r="AI7584" t="s">
        <v>45888</v>
      </c>
    </row>
    <row r="7585" spans="2:35" ht="409.5">
      <c r="B7585" s="1">
        <v>45104</v>
      </c>
      <c r="C7585" s="4">
        <v>45104.588194444441</v>
      </c>
      <c r="D7585" t="s">
        <v>21926</v>
      </c>
      <c r="E7585" t="s">
        <v>21927</v>
      </c>
      <c r="F7585" t="s">
        <v>148</v>
      </c>
      <c r="G7585" t="s">
        <v>447</v>
      </c>
      <c r="H7585" t="s">
        <v>39</v>
      </c>
      <c r="I7585" t="s">
        <v>40</v>
      </c>
      <c r="J7585" s="2" t="s">
        <v>190</v>
      </c>
      <c r="K7585" t="s">
        <v>42</v>
      </c>
      <c r="L7585" t="s">
        <v>15532</v>
      </c>
      <c r="Q7585">
        <v>24974</v>
      </c>
      <c r="R7585" t="s">
        <v>119</v>
      </c>
      <c r="S7585" t="s">
        <v>40191</v>
      </c>
      <c r="T7585">
        <v>26</v>
      </c>
      <c r="U7585" s="2" t="s">
        <v>45884</v>
      </c>
      <c r="W7585" t="s">
        <v>597</v>
      </c>
      <c r="X7585">
        <v>831597</v>
      </c>
      <c r="Y7585" t="s">
        <v>45889</v>
      </c>
      <c r="Z7585" s="2" t="s">
        <v>45890</v>
      </c>
      <c r="AA7585" t="s">
        <v>45891</v>
      </c>
      <c r="AB7585" t="s">
        <v>45892</v>
      </c>
      <c r="AG7585" t="s">
        <v>45893</v>
      </c>
      <c r="AH7585" t="s">
        <v>45887</v>
      </c>
      <c r="AI7585" t="s">
        <v>45894</v>
      </c>
    </row>
    <row r="7586" spans="2:35" ht="210">
      <c r="B7586" s="1">
        <v>45104</v>
      </c>
      <c r="C7586" s="4">
        <v>45104.59097222222</v>
      </c>
      <c r="D7586" t="s">
        <v>228</v>
      </c>
      <c r="E7586" t="s">
        <v>43909</v>
      </c>
      <c r="F7586" t="s">
        <v>148</v>
      </c>
      <c r="G7586" t="s">
        <v>230</v>
      </c>
      <c r="H7586" t="s">
        <v>39</v>
      </c>
      <c r="I7586" t="s">
        <v>40</v>
      </c>
      <c r="J7586" t="s">
        <v>109</v>
      </c>
      <c r="K7586" t="s">
        <v>42</v>
      </c>
      <c r="L7586" t="s">
        <v>175</v>
      </c>
      <c r="Q7586">
        <v>24973</v>
      </c>
      <c r="R7586" t="s">
        <v>119</v>
      </c>
      <c r="S7586" t="s">
        <v>23986</v>
      </c>
      <c r="T7586">
        <v>29</v>
      </c>
      <c r="U7586" s="2" t="s">
        <v>45895</v>
      </c>
      <c r="W7586" t="s">
        <v>84</v>
      </c>
      <c r="X7586">
        <v>831596</v>
      </c>
      <c r="Y7586" t="s">
        <v>374</v>
      </c>
      <c r="Z7586" t="e">
        <f ca="1">- checked _xludf.and cleaned cartridge bay, plunger rod, _xludf.filter
- generated reports
- performed functionality test</f>
        <v>#NAME?</v>
      </c>
      <c r="AA7586" t="s">
        <v>122</v>
      </c>
      <c r="AB7586" t="s">
        <v>88</v>
      </c>
      <c r="AG7586" t="s">
        <v>45896</v>
      </c>
      <c r="AH7586" t="s">
        <v>12014</v>
      </c>
      <c r="AI7586" t="s">
        <v>45897</v>
      </c>
    </row>
    <row r="7587" spans="2:35" ht="270">
      <c r="B7587" s="1">
        <v>45104</v>
      </c>
      <c r="C7587" s="4">
        <v>45104.585416666669</v>
      </c>
      <c r="D7587" t="s">
        <v>228</v>
      </c>
      <c r="E7587" t="s">
        <v>43909</v>
      </c>
      <c r="F7587" t="s">
        <v>148</v>
      </c>
      <c r="G7587" t="s">
        <v>230</v>
      </c>
      <c r="H7587" t="s">
        <v>39</v>
      </c>
      <c r="I7587" t="s">
        <v>40</v>
      </c>
      <c r="J7587" s="2" t="s">
        <v>1592</v>
      </c>
      <c r="K7587" t="s">
        <v>42</v>
      </c>
      <c r="L7587" t="s">
        <v>175</v>
      </c>
      <c r="Q7587">
        <v>24972</v>
      </c>
      <c r="R7587" t="s">
        <v>45</v>
      </c>
      <c r="S7587" t="s">
        <v>23986</v>
      </c>
      <c r="T7587">
        <v>29</v>
      </c>
      <c r="U7587" s="2" t="s">
        <v>45898</v>
      </c>
      <c r="W7587" t="s">
        <v>84</v>
      </c>
      <c r="X7587">
        <v>805062</v>
      </c>
      <c r="Y7587" t="s">
        <v>45899</v>
      </c>
      <c r="Z7587" t="e">
        <f ca="1">- performed self test on A3 (Unable)
*module stuck on booting
- restarted GX system
- removed stuck cartridge during booting
- Reset Gateway board
- generated reports
- checked _xludf.and cleaned cartridge bay, plunger rod, _xludf.filter</f>
        <v>#NAME?</v>
      </c>
      <c r="AA7587" t="s">
        <v>768</v>
      </c>
      <c r="AB7587" s="2" t="s">
        <v>45900</v>
      </c>
      <c r="AG7587" t="s">
        <v>45901</v>
      </c>
      <c r="AH7587" t="s">
        <v>12014</v>
      </c>
      <c r="AI7587" t="s">
        <v>45902</v>
      </c>
    </row>
    <row r="7588" spans="2:35" ht="315">
      <c r="B7588" s="1">
        <v>45104</v>
      </c>
      <c r="C7588" s="4">
        <v>45104.511111111111</v>
      </c>
      <c r="D7588" t="s">
        <v>45903</v>
      </c>
      <c r="E7588" t="s">
        <v>15186</v>
      </c>
      <c r="F7588">
        <v>3</v>
      </c>
      <c r="G7588" t="s">
        <v>284</v>
      </c>
      <c r="H7588" t="s">
        <v>61</v>
      </c>
      <c r="I7588" t="s">
        <v>40</v>
      </c>
      <c r="J7588" s="2" t="s">
        <v>190</v>
      </c>
      <c r="K7588" t="s">
        <v>42</v>
      </c>
      <c r="L7588" t="s">
        <v>135</v>
      </c>
      <c r="Q7588">
        <v>24971</v>
      </c>
      <c r="R7588" t="s">
        <v>45</v>
      </c>
      <c r="S7588" t="s">
        <v>11281</v>
      </c>
      <c r="T7588">
        <v>28</v>
      </c>
      <c r="U7588" s="2" t="s">
        <v>45904</v>
      </c>
      <c r="W7588" t="s">
        <v>2680</v>
      </c>
      <c r="X7588" t="s">
        <v>45905</v>
      </c>
      <c r="Y7588" s="2" t="s">
        <v>45906</v>
      </c>
      <c r="Z7588" s="2" t="s">
        <v>29848</v>
      </c>
      <c r="AA7588" s="2" t="s">
        <v>45907</v>
      </c>
      <c r="AB7588" t="s">
        <v>45908</v>
      </c>
      <c r="AC7588" t="s">
        <v>4800</v>
      </c>
      <c r="AG7588" t="s">
        <v>45909</v>
      </c>
      <c r="AH7588" t="s">
        <v>45910</v>
      </c>
      <c r="AI7588" t="s">
        <v>45911</v>
      </c>
    </row>
    <row r="7589" spans="2:35" ht="180">
      <c r="B7589" s="1">
        <v>45104</v>
      </c>
      <c r="C7589" s="4">
        <v>45104.556250000001</v>
      </c>
      <c r="D7589" t="s">
        <v>16716</v>
      </c>
      <c r="E7589" t="s">
        <v>1128</v>
      </c>
      <c r="F7589">
        <v>8</v>
      </c>
      <c r="G7589" t="s">
        <v>342</v>
      </c>
      <c r="H7589" t="s">
        <v>2581</v>
      </c>
      <c r="I7589" t="s">
        <v>40</v>
      </c>
      <c r="J7589" s="2" t="s">
        <v>220</v>
      </c>
      <c r="K7589" t="s">
        <v>42</v>
      </c>
      <c r="L7589" t="s">
        <v>259</v>
      </c>
      <c r="Q7589">
        <v>24970</v>
      </c>
      <c r="R7589" t="s">
        <v>119</v>
      </c>
      <c r="S7589" t="s">
        <v>17749</v>
      </c>
      <c r="T7589">
        <v>28</v>
      </c>
      <c r="U7589" s="2" t="s">
        <v>45912</v>
      </c>
      <c r="V7589" s="1">
        <v>45104</v>
      </c>
      <c r="W7589" t="s">
        <v>84</v>
      </c>
      <c r="X7589">
        <v>838421</v>
      </c>
      <c r="Y7589" t="s">
        <v>45913</v>
      </c>
      <c r="Z7589" t="e">
        <f ca="1">-LCD Replacement
- Generate reports</f>
        <v>#NAME?</v>
      </c>
      <c r="AA7589" t="e">
        <f ca="1">- Install new LCD monitor (SN: ROXNB1A004636)
 - Preventive Maintenance</f>
        <v>#NAME?</v>
      </c>
      <c r="AB7589" t="s">
        <v>70</v>
      </c>
      <c r="AD7589" t="s">
        <v>45914</v>
      </c>
      <c r="AE7589" t="s">
        <v>119</v>
      </c>
      <c r="AG7589" t="s">
        <v>45915</v>
      </c>
      <c r="AH7589" t="s">
        <v>45916</v>
      </c>
      <c r="AI7589" t="s">
        <v>45917</v>
      </c>
    </row>
    <row r="7590" spans="2:35" ht="409.5">
      <c r="B7590" s="1">
        <v>45104</v>
      </c>
      <c r="C7590" s="4">
        <v>45104.45208333333</v>
      </c>
      <c r="D7590" t="s">
        <v>461</v>
      </c>
      <c r="E7590" t="s">
        <v>44016</v>
      </c>
      <c r="F7590" t="s">
        <v>148</v>
      </c>
      <c r="G7590" t="s">
        <v>447</v>
      </c>
      <c r="H7590" t="s">
        <v>39</v>
      </c>
      <c r="I7590" t="s">
        <v>40</v>
      </c>
      <c r="J7590" s="2" t="s">
        <v>41</v>
      </c>
      <c r="K7590" t="s">
        <v>42</v>
      </c>
      <c r="L7590" t="s">
        <v>15532</v>
      </c>
      <c r="Q7590">
        <v>24969</v>
      </c>
      <c r="R7590" t="s">
        <v>45</v>
      </c>
      <c r="S7590" t="s">
        <v>464</v>
      </c>
      <c r="T7590">
        <v>28</v>
      </c>
      <c r="U7590" s="2" t="s">
        <v>13516</v>
      </c>
      <c r="V7590" s="1">
        <v>45104</v>
      </c>
      <c r="W7590" t="s">
        <v>597</v>
      </c>
      <c r="X7590">
        <v>814160</v>
      </c>
      <c r="Y7590" t="s">
        <v>30755</v>
      </c>
      <c r="Z7590" s="2" t="s">
        <v>45918</v>
      </c>
      <c r="AA7590" s="2" t="s">
        <v>45919</v>
      </c>
      <c r="AB7590" t="s">
        <v>181</v>
      </c>
      <c r="AD7590" t="s">
        <v>31477</v>
      </c>
      <c r="AE7590" t="s">
        <v>45920</v>
      </c>
      <c r="AG7590" t="s">
        <v>45921</v>
      </c>
      <c r="AH7590" t="s">
        <v>41766</v>
      </c>
      <c r="AI7590" t="s">
        <v>45922</v>
      </c>
    </row>
    <row r="7591" spans="2:35" ht="390">
      <c r="B7591" s="1">
        <v>45104</v>
      </c>
      <c r="C7591" s="4">
        <v>45104.461111111108</v>
      </c>
      <c r="D7591" t="s">
        <v>45923</v>
      </c>
      <c r="E7591" t="s">
        <v>45924</v>
      </c>
      <c r="F7591">
        <v>11</v>
      </c>
      <c r="G7591" t="s">
        <v>2836</v>
      </c>
      <c r="H7591" t="s">
        <v>39</v>
      </c>
      <c r="I7591" t="s">
        <v>40</v>
      </c>
      <c r="J7591" s="2" t="s">
        <v>62</v>
      </c>
      <c r="K7591" t="s">
        <v>42</v>
      </c>
      <c r="L7591" t="s">
        <v>204</v>
      </c>
      <c r="Q7591">
        <v>24968</v>
      </c>
      <c r="R7591" t="s">
        <v>45</v>
      </c>
      <c r="S7591" t="s">
        <v>45925</v>
      </c>
      <c r="T7591">
        <v>26.5</v>
      </c>
      <c r="U7591" s="2" t="s">
        <v>22856</v>
      </c>
      <c r="W7591" t="s">
        <v>23237</v>
      </c>
      <c r="X7591">
        <v>815383</v>
      </c>
      <c r="Y7591" t="s">
        <v>2839</v>
      </c>
      <c r="Z7591" s="2" t="s">
        <v>25674</v>
      </c>
      <c r="AA7591" t="s">
        <v>1620</v>
      </c>
      <c r="AB7591" t="s">
        <v>1211</v>
      </c>
      <c r="AG7591" t="s">
        <v>45926</v>
      </c>
      <c r="AH7591" t="s">
        <v>45927</v>
      </c>
      <c r="AI7591" t="s">
        <v>45928</v>
      </c>
    </row>
    <row r="7592" spans="2:35" ht="180">
      <c r="B7592" s="1">
        <v>45104</v>
      </c>
      <c r="C7592" s="4">
        <v>45104.477083333331</v>
      </c>
      <c r="D7592" t="s">
        <v>23143</v>
      </c>
      <c r="E7592" t="s">
        <v>45929</v>
      </c>
      <c r="F7592">
        <v>13</v>
      </c>
      <c r="G7592" t="s">
        <v>8524</v>
      </c>
      <c r="H7592" t="s">
        <v>2125</v>
      </c>
      <c r="I7592" t="s">
        <v>40</v>
      </c>
      <c r="J7592" t="s">
        <v>79</v>
      </c>
      <c r="K7592" t="s">
        <v>42</v>
      </c>
      <c r="L7592" t="s">
        <v>933</v>
      </c>
      <c r="Q7592">
        <v>24967</v>
      </c>
      <c r="R7592" t="s">
        <v>45</v>
      </c>
      <c r="S7592" t="s">
        <v>23145</v>
      </c>
      <c r="T7592">
        <v>28.15</v>
      </c>
      <c r="U7592" s="2" t="s">
        <v>45930</v>
      </c>
      <c r="W7592" t="s">
        <v>3662</v>
      </c>
      <c r="X7592">
        <v>835174</v>
      </c>
      <c r="Y7592" t="s">
        <v>301</v>
      </c>
      <c r="Z7592" t="s">
        <v>301</v>
      </c>
      <c r="AA7592" t="s">
        <v>45931</v>
      </c>
      <c r="AB7592" t="s">
        <v>43442</v>
      </c>
      <c r="AG7592" t="s">
        <v>45932</v>
      </c>
      <c r="AH7592" t="s">
        <v>23150</v>
      </c>
      <c r="AI7592" t="s">
        <v>45933</v>
      </c>
    </row>
    <row r="7593" spans="2:35" ht="225">
      <c r="B7593" s="1">
        <v>45104</v>
      </c>
      <c r="C7593" s="4">
        <v>45104.477777777778</v>
      </c>
      <c r="D7593" t="s">
        <v>9427</v>
      </c>
      <c r="E7593" t="s">
        <v>45934</v>
      </c>
      <c r="F7593">
        <v>2</v>
      </c>
      <c r="G7593" t="s">
        <v>2723</v>
      </c>
      <c r="H7593" t="s">
        <v>39</v>
      </c>
      <c r="I7593" t="s">
        <v>40</v>
      </c>
      <c r="J7593" s="2" t="s">
        <v>62</v>
      </c>
      <c r="K7593" t="s">
        <v>42</v>
      </c>
      <c r="L7593" t="s">
        <v>63</v>
      </c>
      <c r="Q7593">
        <v>24966</v>
      </c>
      <c r="R7593" t="s">
        <v>119</v>
      </c>
      <c r="S7593" t="s">
        <v>9429</v>
      </c>
      <c r="T7593">
        <v>28</v>
      </c>
      <c r="U7593" s="2" t="s">
        <v>45935</v>
      </c>
      <c r="V7593" s="1">
        <v>44971</v>
      </c>
      <c r="W7593" t="s">
        <v>26915</v>
      </c>
      <c r="X7593">
        <v>838530</v>
      </c>
      <c r="Y7593" t="s">
        <v>45936</v>
      </c>
      <c r="Z7593" t="s">
        <v>34204</v>
      </c>
      <c r="AA7593" s="2" t="s">
        <v>38119</v>
      </c>
      <c r="AB7593" t="s">
        <v>70</v>
      </c>
      <c r="AC7593" t="s">
        <v>45937</v>
      </c>
      <c r="AD7593" t="s">
        <v>31742</v>
      </c>
      <c r="AE7593">
        <v>9624</v>
      </c>
      <c r="AG7593" t="s">
        <v>45938</v>
      </c>
      <c r="AH7593" t="s">
        <v>11443</v>
      </c>
      <c r="AI7593" t="s">
        <v>45939</v>
      </c>
    </row>
    <row r="7594" spans="2:35" ht="165">
      <c r="B7594" s="1">
        <v>45104</v>
      </c>
      <c r="C7594" s="4">
        <v>45104.47152777778</v>
      </c>
      <c r="D7594" t="s">
        <v>22763</v>
      </c>
      <c r="E7594" t="s">
        <v>45940</v>
      </c>
      <c r="F7594" t="s">
        <v>148</v>
      </c>
      <c r="G7594" t="s">
        <v>371</v>
      </c>
      <c r="H7594" t="s">
        <v>39</v>
      </c>
      <c r="I7594" t="s">
        <v>40</v>
      </c>
      <c r="J7594" s="2" t="s">
        <v>41</v>
      </c>
      <c r="K7594" t="s">
        <v>42</v>
      </c>
      <c r="L7594" t="s">
        <v>1943</v>
      </c>
      <c r="Q7594">
        <v>24965</v>
      </c>
      <c r="R7594" t="s">
        <v>45</v>
      </c>
      <c r="S7594" t="s">
        <v>22766</v>
      </c>
      <c r="T7594">
        <v>25</v>
      </c>
      <c r="U7594" s="2" t="s">
        <v>45941</v>
      </c>
      <c r="V7594" s="1">
        <v>45104</v>
      </c>
      <c r="W7594" t="s">
        <v>84</v>
      </c>
      <c r="X7594">
        <v>804715</v>
      </c>
      <c r="Y7594" s="2" t="s">
        <v>45942</v>
      </c>
      <c r="Z7594" s="2" t="s">
        <v>45943</v>
      </c>
      <c r="AA7594" t="s">
        <v>45944</v>
      </c>
      <c r="AB7594" t="s">
        <v>45945</v>
      </c>
      <c r="AD7594" t="s">
        <v>45946</v>
      </c>
      <c r="AE7594" t="s">
        <v>45947</v>
      </c>
      <c r="AG7594" t="s">
        <v>45948</v>
      </c>
      <c r="AH7594" t="s">
        <v>45949</v>
      </c>
      <c r="AI7594" t="s">
        <v>45950</v>
      </c>
    </row>
    <row r="7595" spans="2:35" ht="360">
      <c r="B7595" s="1">
        <v>45104</v>
      </c>
      <c r="C7595" s="4">
        <v>45104.456250000003</v>
      </c>
      <c r="D7595" t="s">
        <v>2677</v>
      </c>
      <c r="E7595" t="s">
        <v>2678</v>
      </c>
      <c r="F7595">
        <v>3</v>
      </c>
      <c r="G7595" t="s">
        <v>134</v>
      </c>
      <c r="H7595" t="s">
        <v>39</v>
      </c>
      <c r="I7595" t="s">
        <v>40</v>
      </c>
      <c r="J7595" s="2" t="s">
        <v>1592</v>
      </c>
      <c r="K7595" t="s">
        <v>42</v>
      </c>
      <c r="L7595" t="s">
        <v>135</v>
      </c>
      <c r="Q7595">
        <v>24964</v>
      </c>
      <c r="R7595" t="s">
        <v>45</v>
      </c>
      <c r="S7595" t="s">
        <v>2679</v>
      </c>
      <c r="T7595">
        <v>31</v>
      </c>
      <c r="U7595" s="2" t="s">
        <v>45951</v>
      </c>
      <c r="W7595" t="s">
        <v>2680</v>
      </c>
      <c r="X7595">
        <v>812834</v>
      </c>
      <c r="Y7595" t="s">
        <v>45952</v>
      </c>
      <c r="Z7595" s="2" t="s">
        <v>45953</v>
      </c>
      <c r="AA7595" s="2" t="s">
        <v>45954</v>
      </c>
      <c r="AB7595" t="s">
        <v>181</v>
      </c>
      <c r="AG7595" t="s">
        <v>45955</v>
      </c>
      <c r="AH7595" t="s">
        <v>2686</v>
      </c>
      <c r="AI7595" t="s">
        <v>45956</v>
      </c>
    </row>
    <row r="7596" spans="2:35" ht="195">
      <c r="B7596" s="1">
        <v>45103</v>
      </c>
      <c r="C7596" s="4">
        <v>45103.740972222222</v>
      </c>
      <c r="D7596" t="s">
        <v>38533</v>
      </c>
      <c r="E7596" t="s">
        <v>2722</v>
      </c>
      <c r="F7596">
        <v>2</v>
      </c>
      <c r="G7596" t="s">
        <v>2723</v>
      </c>
      <c r="H7596" t="s">
        <v>39</v>
      </c>
      <c r="I7596" t="s">
        <v>40</v>
      </c>
      <c r="J7596" t="s">
        <v>109</v>
      </c>
      <c r="K7596" t="s">
        <v>42</v>
      </c>
      <c r="L7596" t="s">
        <v>63</v>
      </c>
      <c r="Q7596">
        <v>24963</v>
      </c>
      <c r="R7596" t="s">
        <v>45</v>
      </c>
      <c r="S7596" t="s">
        <v>2724</v>
      </c>
      <c r="T7596">
        <v>27</v>
      </c>
      <c r="U7596" s="2" t="s">
        <v>45957</v>
      </c>
      <c r="V7596" s="1">
        <v>45103</v>
      </c>
      <c r="W7596" t="s">
        <v>26915</v>
      </c>
      <c r="X7596">
        <v>834434</v>
      </c>
      <c r="Y7596" t="s">
        <v>1716</v>
      </c>
      <c r="Z7596" t="s">
        <v>1716</v>
      </c>
      <c r="AA7596" s="2" t="s">
        <v>1727</v>
      </c>
      <c r="AB7596" t="s">
        <v>70</v>
      </c>
      <c r="AC7596" t="s">
        <v>1716</v>
      </c>
      <c r="AD7596" t="s">
        <v>1716</v>
      </c>
      <c r="AE7596" t="s">
        <v>1716</v>
      </c>
      <c r="AG7596" t="s">
        <v>45958</v>
      </c>
      <c r="AH7596" t="s">
        <v>45959</v>
      </c>
      <c r="AI7596" t="s">
        <v>45960</v>
      </c>
    </row>
    <row r="7597" spans="2:35" ht="345">
      <c r="B7597" s="1">
        <v>45103</v>
      </c>
      <c r="C7597" s="4">
        <v>45103.737500000003</v>
      </c>
      <c r="D7597" t="s">
        <v>38533</v>
      </c>
      <c r="E7597" t="s">
        <v>2722</v>
      </c>
      <c r="F7597">
        <v>2</v>
      </c>
      <c r="G7597" t="s">
        <v>2723</v>
      </c>
      <c r="H7597" t="s">
        <v>39</v>
      </c>
      <c r="I7597" t="s">
        <v>40</v>
      </c>
      <c r="J7597" s="2" t="s">
        <v>1808</v>
      </c>
      <c r="K7597" t="s">
        <v>42</v>
      </c>
      <c r="L7597" t="s">
        <v>63</v>
      </c>
      <c r="Q7597">
        <v>24962</v>
      </c>
      <c r="R7597" t="s">
        <v>45</v>
      </c>
      <c r="S7597" t="s">
        <v>2724</v>
      </c>
      <c r="T7597">
        <v>25</v>
      </c>
      <c r="V7597" s="1">
        <v>45103</v>
      </c>
      <c r="W7597" t="s">
        <v>45961</v>
      </c>
      <c r="X7597">
        <v>120000178</v>
      </c>
      <c r="Y7597" t="s">
        <v>1716</v>
      </c>
      <c r="Z7597" t="s">
        <v>1716</v>
      </c>
      <c r="AA7597" s="2" t="s">
        <v>45962</v>
      </c>
      <c r="AB7597" t="s">
        <v>70</v>
      </c>
      <c r="AC7597" t="s">
        <v>1716</v>
      </c>
      <c r="AD7597" t="s">
        <v>1716</v>
      </c>
      <c r="AE7597" t="s">
        <v>1716</v>
      </c>
      <c r="AG7597" t="s">
        <v>45963</v>
      </c>
      <c r="AH7597" t="s">
        <v>45959</v>
      </c>
      <c r="AI7597" t="s">
        <v>45964</v>
      </c>
    </row>
    <row r="7598" spans="2:35" ht="240">
      <c r="B7598" s="1">
        <v>45103</v>
      </c>
      <c r="C7598" s="4">
        <v>45103.730555555558</v>
      </c>
      <c r="D7598" t="s">
        <v>38533</v>
      </c>
      <c r="E7598" t="s">
        <v>45965</v>
      </c>
      <c r="F7598">
        <v>2</v>
      </c>
      <c r="G7598" t="s">
        <v>2723</v>
      </c>
      <c r="H7598" t="s">
        <v>39</v>
      </c>
      <c r="I7598" t="s">
        <v>40</v>
      </c>
      <c r="J7598" s="2" t="s">
        <v>41</v>
      </c>
      <c r="K7598" t="s">
        <v>42</v>
      </c>
      <c r="L7598" t="s">
        <v>63</v>
      </c>
      <c r="Q7598">
        <v>24961</v>
      </c>
      <c r="R7598" t="s">
        <v>45</v>
      </c>
      <c r="S7598" t="s">
        <v>2724</v>
      </c>
      <c r="T7598">
        <v>27</v>
      </c>
      <c r="U7598" s="2" t="s">
        <v>45957</v>
      </c>
      <c r="V7598" s="1">
        <v>45103</v>
      </c>
      <c r="W7598" t="s">
        <v>26915</v>
      </c>
      <c r="X7598">
        <v>808628</v>
      </c>
      <c r="Y7598" t="s">
        <v>1716</v>
      </c>
      <c r="Z7598" t="s">
        <v>1716</v>
      </c>
      <c r="AA7598" s="2" t="s">
        <v>39935</v>
      </c>
      <c r="AB7598" t="s">
        <v>70</v>
      </c>
      <c r="AC7598" t="s">
        <v>45966</v>
      </c>
      <c r="AD7598" t="s">
        <v>45967</v>
      </c>
      <c r="AE7598" t="s">
        <v>1716</v>
      </c>
      <c r="AG7598" t="s">
        <v>45968</v>
      </c>
      <c r="AH7598" t="s">
        <v>45959</v>
      </c>
      <c r="AI7598" t="s">
        <v>45969</v>
      </c>
    </row>
    <row r="7599" spans="2:35" ht="240">
      <c r="B7599" s="1">
        <v>45103</v>
      </c>
      <c r="C7599" s="4">
        <v>45103.727083333331</v>
      </c>
      <c r="D7599" t="s">
        <v>45970</v>
      </c>
      <c r="E7599" t="s">
        <v>2722</v>
      </c>
      <c r="F7599">
        <v>2</v>
      </c>
      <c r="G7599" t="s">
        <v>2723</v>
      </c>
      <c r="H7599" t="s">
        <v>39</v>
      </c>
      <c r="I7599" t="s">
        <v>40</v>
      </c>
      <c r="J7599" s="2" t="s">
        <v>45971</v>
      </c>
      <c r="K7599" t="s">
        <v>42</v>
      </c>
      <c r="L7599" t="s">
        <v>63</v>
      </c>
      <c r="Q7599">
        <v>24960</v>
      </c>
      <c r="R7599" t="s">
        <v>45</v>
      </c>
      <c r="S7599" t="s">
        <v>2724</v>
      </c>
      <c r="T7599">
        <v>27</v>
      </c>
      <c r="U7599" s="2" t="s">
        <v>45972</v>
      </c>
      <c r="V7599" s="1">
        <v>45103</v>
      </c>
      <c r="W7599" t="s">
        <v>29795</v>
      </c>
      <c r="X7599">
        <v>842894</v>
      </c>
      <c r="Y7599" t="s">
        <v>45973</v>
      </c>
      <c r="Z7599" t="s">
        <v>45974</v>
      </c>
      <c r="AA7599" s="2" t="s">
        <v>39935</v>
      </c>
      <c r="AB7599" t="s">
        <v>70</v>
      </c>
      <c r="AC7599" t="s">
        <v>45975</v>
      </c>
      <c r="AD7599" t="s">
        <v>45976</v>
      </c>
      <c r="AE7599" t="s">
        <v>1716</v>
      </c>
      <c r="AG7599" t="s">
        <v>45977</v>
      </c>
      <c r="AH7599" t="s">
        <v>45978</v>
      </c>
      <c r="AI7599" t="s">
        <v>45979</v>
      </c>
    </row>
    <row r="7600" spans="2:35" ht="240">
      <c r="B7600" s="1">
        <v>45103</v>
      </c>
      <c r="C7600" s="4">
        <v>45103.698611111111</v>
      </c>
      <c r="D7600" t="s">
        <v>45980</v>
      </c>
      <c r="E7600" t="s">
        <v>45981</v>
      </c>
      <c r="F7600">
        <v>5</v>
      </c>
      <c r="G7600" t="s">
        <v>839</v>
      </c>
      <c r="H7600" t="s">
        <v>39</v>
      </c>
      <c r="I7600" t="s">
        <v>40</v>
      </c>
      <c r="J7600" s="2" t="s">
        <v>190</v>
      </c>
      <c r="K7600" t="s">
        <v>42</v>
      </c>
      <c r="L7600" t="s">
        <v>761</v>
      </c>
      <c r="Q7600">
        <v>24959</v>
      </c>
      <c r="R7600" t="s">
        <v>45</v>
      </c>
      <c r="S7600" t="s">
        <v>33770</v>
      </c>
      <c r="T7600">
        <v>28</v>
      </c>
      <c r="U7600" s="2" t="s">
        <v>45982</v>
      </c>
      <c r="W7600" t="s">
        <v>360</v>
      </c>
      <c r="X7600">
        <v>834620</v>
      </c>
      <c r="Y7600" t="s">
        <v>45983</v>
      </c>
      <c r="Z7600" s="2" t="s">
        <v>45984</v>
      </c>
      <c r="AA7600" t="s">
        <v>45985</v>
      </c>
      <c r="AB7600" t="s">
        <v>181</v>
      </c>
      <c r="AC7600" t="s">
        <v>45986</v>
      </c>
      <c r="AG7600" t="s">
        <v>45987</v>
      </c>
      <c r="AH7600" t="s">
        <v>33775</v>
      </c>
      <c r="AI7600" t="s">
        <v>45988</v>
      </c>
    </row>
    <row r="7601" spans="2:35">
      <c r="B7601" s="1">
        <v>45103</v>
      </c>
      <c r="C7601" s="4">
        <v>45103.615277777775</v>
      </c>
      <c r="D7601" t="s">
        <v>45989</v>
      </c>
      <c r="E7601" t="s">
        <v>45990</v>
      </c>
      <c r="F7601">
        <v>10</v>
      </c>
      <c r="G7601" t="s">
        <v>1395</v>
      </c>
      <c r="H7601" t="s">
        <v>39</v>
      </c>
      <c r="I7601" t="s">
        <v>40</v>
      </c>
      <c r="J7601" t="s">
        <v>321</v>
      </c>
      <c r="K7601" t="s">
        <v>42</v>
      </c>
      <c r="L7601" t="s">
        <v>43100</v>
      </c>
      <c r="Q7601">
        <v>24958</v>
      </c>
      <c r="R7601" t="s">
        <v>119</v>
      </c>
      <c r="S7601" t="s">
        <v>45991</v>
      </c>
      <c r="T7601">
        <v>26</v>
      </c>
      <c r="V7601" s="1">
        <v>45086</v>
      </c>
      <c r="W7601" t="s">
        <v>43102</v>
      </c>
      <c r="X7601">
        <v>120000170</v>
      </c>
      <c r="Y7601" t="s">
        <v>54</v>
      </c>
      <c r="Z7601" t="s">
        <v>54</v>
      </c>
      <c r="AA7601" t="s">
        <v>45992</v>
      </c>
      <c r="AB7601" t="s">
        <v>486</v>
      </c>
      <c r="AG7601" t="s">
        <v>45993</v>
      </c>
      <c r="AH7601" t="s">
        <v>45994</v>
      </c>
      <c r="AI7601" t="s">
        <v>45995</v>
      </c>
    </row>
    <row r="7602" spans="2:35" ht="225">
      <c r="B7602" s="1">
        <v>45103</v>
      </c>
      <c r="C7602" s="4">
        <v>45103.563194444447</v>
      </c>
      <c r="D7602" t="s">
        <v>40229</v>
      </c>
      <c r="E7602" t="s">
        <v>45996</v>
      </c>
      <c r="F7602">
        <v>2</v>
      </c>
      <c r="G7602" t="s">
        <v>2723</v>
      </c>
      <c r="H7602" t="s">
        <v>39</v>
      </c>
      <c r="I7602" t="s">
        <v>40</v>
      </c>
      <c r="J7602" s="2" t="s">
        <v>1157</v>
      </c>
      <c r="K7602" t="s">
        <v>42</v>
      </c>
      <c r="L7602" t="s">
        <v>63</v>
      </c>
      <c r="Q7602">
        <v>24957</v>
      </c>
      <c r="R7602" t="s">
        <v>119</v>
      </c>
      <c r="S7602" t="s">
        <v>40231</v>
      </c>
      <c r="T7602">
        <v>25</v>
      </c>
      <c r="U7602" s="2" t="s">
        <v>35981</v>
      </c>
      <c r="V7602" s="1">
        <v>44971</v>
      </c>
      <c r="W7602" t="s">
        <v>26915</v>
      </c>
      <c r="X7602">
        <v>838531</v>
      </c>
      <c r="Y7602" t="s">
        <v>35847</v>
      </c>
      <c r="Z7602" t="s">
        <v>34204</v>
      </c>
      <c r="AA7602" s="2" t="s">
        <v>38119</v>
      </c>
      <c r="AB7602" t="s">
        <v>70</v>
      </c>
      <c r="AC7602" t="s">
        <v>45997</v>
      </c>
      <c r="AD7602" t="s">
        <v>31742</v>
      </c>
      <c r="AE7602">
        <v>9628</v>
      </c>
      <c r="AG7602" t="s">
        <v>45998</v>
      </c>
      <c r="AH7602" t="s">
        <v>40235</v>
      </c>
      <c r="AI7602" t="s">
        <v>45999</v>
      </c>
    </row>
    <row r="7603" spans="2:35" ht="270">
      <c r="B7603" s="1">
        <v>45103</v>
      </c>
      <c r="C7603" s="4">
        <v>45100.53402777778</v>
      </c>
      <c r="D7603" t="s">
        <v>6619</v>
      </c>
      <c r="E7603" t="s">
        <v>42966</v>
      </c>
      <c r="F7603" t="s">
        <v>37</v>
      </c>
      <c r="G7603" t="s">
        <v>748</v>
      </c>
      <c r="H7603" t="s">
        <v>39</v>
      </c>
      <c r="I7603" t="s">
        <v>40</v>
      </c>
      <c r="J7603" s="2" t="s">
        <v>190</v>
      </c>
      <c r="K7603" t="s">
        <v>42</v>
      </c>
      <c r="L7603" t="s">
        <v>1028</v>
      </c>
      <c r="Q7603">
        <v>24956</v>
      </c>
      <c r="R7603" t="s">
        <v>119</v>
      </c>
      <c r="S7603" t="s">
        <v>5176</v>
      </c>
      <c r="T7603">
        <v>28</v>
      </c>
      <c r="U7603" s="2" t="s">
        <v>46000</v>
      </c>
      <c r="W7603" t="s">
        <v>2680</v>
      </c>
      <c r="X7603">
        <v>838535</v>
      </c>
      <c r="Y7603" t="s">
        <v>46001</v>
      </c>
      <c r="Z7603" t="s">
        <v>21244</v>
      </c>
      <c r="AA7603" s="2" t="s">
        <v>46002</v>
      </c>
      <c r="AB7603" t="s">
        <v>46003</v>
      </c>
      <c r="AG7603" t="s">
        <v>46004</v>
      </c>
      <c r="AH7603" t="s">
        <v>5181</v>
      </c>
      <c r="AI7603" t="s">
        <v>46005</v>
      </c>
    </row>
    <row r="7604" spans="2:35" ht="180">
      <c r="B7604" s="1">
        <v>45103</v>
      </c>
      <c r="C7604" s="4">
        <v>45098.418749999997</v>
      </c>
      <c r="D7604" t="s">
        <v>40434</v>
      </c>
      <c r="E7604" t="s">
        <v>46006</v>
      </c>
      <c r="F7604" t="s">
        <v>148</v>
      </c>
      <c r="G7604" t="s">
        <v>310</v>
      </c>
      <c r="H7604" t="s">
        <v>39</v>
      </c>
      <c r="I7604" t="s">
        <v>40</v>
      </c>
      <c r="J7604" s="2" t="s">
        <v>190</v>
      </c>
      <c r="K7604" t="s">
        <v>42</v>
      </c>
      <c r="L7604" t="s">
        <v>1028</v>
      </c>
      <c r="Q7604">
        <v>24954</v>
      </c>
      <c r="R7604" t="s">
        <v>119</v>
      </c>
      <c r="S7604" t="s">
        <v>27813</v>
      </c>
      <c r="T7604">
        <v>27</v>
      </c>
      <c r="U7604" s="2" t="s">
        <v>11188</v>
      </c>
      <c r="W7604" t="s">
        <v>2680</v>
      </c>
      <c r="X7604">
        <v>831694</v>
      </c>
      <c r="Y7604" t="s">
        <v>35646</v>
      </c>
      <c r="Z7604" t="s">
        <v>21244</v>
      </c>
      <c r="AA7604" s="2" t="s">
        <v>46007</v>
      </c>
      <c r="AB7604" t="s">
        <v>36514</v>
      </c>
      <c r="AG7604" t="s">
        <v>46008</v>
      </c>
      <c r="AH7604" t="s">
        <v>46009</v>
      </c>
      <c r="AI7604" t="s">
        <v>46010</v>
      </c>
    </row>
    <row r="7605" spans="2:35" ht="270">
      <c r="B7605" s="1">
        <v>45103</v>
      </c>
      <c r="C7605" s="4">
        <v>45098.32916666667</v>
      </c>
      <c r="D7605" t="s">
        <v>10933</v>
      </c>
      <c r="E7605" t="s">
        <v>10934</v>
      </c>
      <c r="F7605" t="s">
        <v>148</v>
      </c>
      <c r="G7605" t="s">
        <v>310</v>
      </c>
      <c r="H7605" t="s">
        <v>662</v>
      </c>
      <c r="I7605" t="s">
        <v>40</v>
      </c>
      <c r="J7605" s="2" t="s">
        <v>41</v>
      </c>
      <c r="K7605" t="s">
        <v>42</v>
      </c>
      <c r="L7605" t="s">
        <v>1028</v>
      </c>
      <c r="Q7605">
        <v>24952</v>
      </c>
      <c r="R7605" t="s">
        <v>322</v>
      </c>
      <c r="S7605" t="s">
        <v>14776</v>
      </c>
      <c r="T7605">
        <v>25</v>
      </c>
      <c r="U7605" s="2" t="s">
        <v>46011</v>
      </c>
      <c r="V7605" s="1">
        <v>45097</v>
      </c>
      <c r="W7605" t="s">
        <v>1032</v>
      </c>
      <c r="X7605">
        <v>110015482</v>
      </c>
      <c r="Y7605" t="s">
        <v>46012</v>
      </c>
      <c r="Z7605" t="s">
        <v>2129</v>
      </c>
      <c r="AA7605" s="2" t="s">
        <v>46013</v>
      </c>
      <c r="AB7605" t="s">
        <v>3063</v>
      </c>
      <c r="AC7605" t="s">
        <v>46014</v>
      </c>
      <c r="AD7605" t="s">
        <v>46015</v>
      </c>
      <c r="AE7605" t="s">
        <v>46016</v>
      </c>
      <c r="AG7605" t="s">
        <v>46017</v>
      </c>
      <c r="AH7605" t="s">
        <v>40432</v>
      </c>
      <c r="AI7605" t="s">
        <v>46018</v>
      </c>
    </row>
    <row r="7606" spans="2:35" ht="255">
      <c r="B7606" s="1">
        <v>45103</v>
      </c>
      <c r="C7606" s="4">
        <v>45100.447916666664</v>
      </c>
      <c r="D7606" t="s">
        <v>25923</v>
      </c>
      <c r="E7606" t="s">
        <v>46019</v>
      </c>
      <c r="F7606" t="s">
        <v>37</v>
      </c>
      <c r="G7606" t="s">
        <v>748</v>
      </c>
      <c r="H7606" t="s">
        <v>39</v>
      </c>
      <c r="I7606" t="s">
        <v>40</v>
      </c>
      <c r="J7606" s="2" t="s">
        <v>190</v>
      </c>
      <c r="K7606" t="s">
        <v>42</v>
      </c>
      <c r="L7606" t="s">
        <v>1028</v>
      </c>
      <c r="Q7606">
        <v>24951</v>
      </c>
      <c r="R7606" t="s">
        <v>119</v>
      </c>
      <c r="S7606" t="s">
        <v>25925</v>
      </c>
      <c r="T7606">
        <v>25</v>
      </c>
      <c r="U7606" s="2" t="s">
        <v>46020</v>
      </c>
      <c r="W7606" t="s">
        <v>2680</v>
      </c>
      <c r="X7606">
        <v>821284</v>
      </c>
      <c r="Y7606" t="s">
        <v>46021</v>
      </c>
      <c r="Z7606" t="s">
        <v>21244</v>
      </c>
      <c r="AA7606" s="2" t="s">
        <v>46022</v>
      </c>
      <c r="AB7606" t="s">
        <v>46023</v>
      </c>
      <c r="AC7606" t="s">
        <v>31464</v>
      </c>
      <c r="AG7606" t="s">
        <v>46024</v>
      </c>
      <c r="AH7606" t="s">
        <v>46025</v>
      </c>
      <c r="AI7606" t="s">
        <v>46026</v>
      </c>
    </row>
    <row r="7607" spans="2:35" ht="210">
      <c r="B7607" s="1">
        <v>45103</v>
      </c>
      <c r="C7607" s="4">
        <v>45099.535416666666</v>
      </c>
      <c r="D7607" t="s">
        <v>25155</v>
      </c>
      <c r="E7607" t="s">
        <v>46027</v>
      </c>
      <c r="F7607" t="s">
        <v>37</v>
      </c>
      <c r="G7607" t="s">
        <v>748</v>
      </c>
      <c r="H7607" t="s">
        <v>39</v>
      </c>
      <c r="I7607" t="s">
        <v>40</v>
      </c>
      <c r="J7607" s="2" t="s">
        <v>41</v>
      </c>
      <c r="K7607" t="s">
        <v>42</v>
      </c>
      <c r="L7607" t="s">
        <v>1028</v>
      </c>
      <c r="Q7607">
        <v>24953</v>
      </c>
      <c r="R7607" t="s">
        <v>119</v>
      </c>
      <c r="S7607" t="s">
        <v>25157</v>
      </c>
      <c r="T7607">
        <v>24</v>
      </c>
      <c r="U7607" s="2" t="s">
        <v>46028</v>
      </c>
      <c r="W7607" t="s">
        <v>2680</v>
      </c>
      <c r="X7607">
        <v>821221</v>
      </c>
      <c r="Y7607" t="s">
        <v>46029</v>
      </c>
      <c r="Z7607" t="s">
        <v>46030</v>
      </c>
      <c r="AA7607" s="2" t="s">
        <v>46031</v>
      </c>
      <c r="AB7607" t="s">
        <v>30229</v>
      </c>
      <c r="AG7607" t="s">
        <v>46032</v>
      </c>
      <c r="AH7607" t="s">
        <v>25162</v>
      </c>
      <c r="AI7607" t="s">
        <v>46033</v>
      </c>
    </row>
    <row r="7608" spans="2:35" ht="315">
      <c r="B7608" s="1">
        <v>45103</v>
      </c>
      <c r="C7608" s="4">
        <v>45098.344444444447</v>
      </c>
      <c r="D7608" t="s">
        <v>10933</v>
      </c>
      <c r="E7608" t="s">
        <v>10934</v>
      </c>
      <c r="F7608" t="s">
        <v>148</v>
      </c>
      <c r="G7608" t="s">
        <v>310</v>
      </c>
      <c r="H7608" t="s">
        <v>662</v>
      </c>
      <c r="I7608" t="s">
        <v>40</v>
      </c>
      <c r="J7608" s="2" t="s">
        <v>190</v>
      </c>
      <c r="K7608" t="s">
        <v>42</v>
      </c>
      <c r="L7608" t="s">
        <v>1028</v>
      </c>
      <c r="Q7608">
        <v>24955</v>
      </c>
      <c r="R7608" t="s">
        <v>322</v>
      </c>
      <c r="S7608" t="s">
        <v>14776</v>
      </c>
      <c r="T7608">
        <v>27</v>
      </c>
      <c r="U7608" s="2" t="s">
        <v>46034</v>
      </c>
      <c r="W7608" t="s">
        <v>36116</v>
      </c>
      <c r="X7608">
        <v>834953</v>
      </c>
      <c r="Y7608" t="s">
        <v>35646</v>
      </c>
      <c r="Z7608" s="2" t="s">
        <v>46035</v>
      </c>
      <c r="AA7608" s="2" t="s">
        <v>46036</v>
      </c>
      <c r="AB7608" t="s">
        <v>28920</v>
      </c>
      <c r="AC7608" t="s">
        <v>46037</v>
      </c>
      <c r="AG7608" t="s">
        <v>46038</v>
      </c>
      <c r="AH7608" t="s">
        <v>29438</v>
      </c>
      <c r="AI7608" t="s">
        <v>46039</v>
      </c>
    </row>
    <row r="7609" spans="2:35" ht="195">
      <c r="B7609" s="1">
        <v>45103</v>
      </c>
      <c r="C7609" s="4">
        <v>45103.552777777775</v>
      </c>
      <c r="D7609" t="s">
        <v>24960</v>
      </c>
      <c r="E7609" t="s">
        <v>46040</v>
      </c>
      <c r="F7609">
        <v>5</v>
      </c>
      <c r="G7609" t="s">
        <v>839</v>
      </c>
      <c r="H7609" t="s">
        <v>39</v>
      </c>
      <c r="I7609" t="s">
        <v>40</v>
      </c>
      <c r="J7609" s="2" t="s">
        <v>62</v>
      </c>
      <c r="K7609" t="s">
        <v>42</v>
      </c>
      <c r="L7609" t="s">
        <v>761</v>
      </c>
      <c r="Q7609">
        <v>24950</v>
      </c>
      <c r="R7609" t="s">
        <v>45</v>
      </c>
      <c r="S7609" t="s">
        <v>46041</v>
      </c>
      <c r="T7609">
        <v>25</v>
      </c>
      <c r="U7609" s="2" t="s">
        <v>46042</v>
      </c>
      <c r="V7609" s="1">
        <v>45000</v>
      </c>
      <c r="W7609" t="s">
        <v>360</v>
      </c>
      <c r="X7609">
        <v>808639</v>
      </c>
      <c r="Y7609" t="s">
        <v>1111</v>
      </c>
      <c r="Z7609" s="2" t="s">
        <v>46043</v>
      </c>
      <c r="AA7609" t="s">
        <v>46044</v>
      </c>
      <c r="AB7609" t="s">
        <v>70</v>
      </c>
      <c r="AC7609" t="s">
        <v>46045</v>
      </c>
      <c r="AD7609" t="s">
        <v>948</v>
      </c>
      <c r="AE7609" t="s">
        <v>46046</v>
      </c>
      <c r="AG7609" t="s">
        <v>46047</v>
      </c>
      <c r="AH7609" t="s">
        <v>46048</v>
      </c>
      <c r="AI7609" t="s">
        <v>46049</v>
      </c>
    </row>
    <row r="7610" spans="2:35" ht="105">
      <c r="B7610" s="1">
        <v>45103</v>
      </c>
      <c r="C7610" s="4">
        <v>45036.386805555558</v>
      </c>
      <c r="D7610" t="s">
        <v>22913</v>
      </c>
      <c r="E7610" t="s">
        <v>46050</v>
      </c>
      <c r="F7610">
        <v>9</v>
      </c>
      <c r="G7610" t="s">
        <v>2903</v>
      </c>
      <c r="H7610" t="s">
        <v>39</v>
      </c>
      <c r="I7610" t="s">
        <v>40</v>
      </c>
      <c r="J7610" s="2" t="s">
        <v>1808</v>
      </c>
      <c r="K7610" t="s">
        <v>42</v>
      </c>
      <c r="L7610" t="s">
        <v>1257</v>
      </c>
      <c r="Q7610">
        <v>24949</v>
      </c>
      <c r="R7610" t="s">
        <v>45</v>
      </c>
      <c r="S7610" t="s">
        <v>37743</v>
      </c>
      <c r="T7610">
        <v>25</v>
      </c>
      <c r="U7610" s="2" t="s">
        <v>12333</v>
      </c>
      <c r="V7610" s="1">
        <v>45036</v>
      </c>
      <c r="W7610" t="s">
        <v>2384</v>
      </c>
      <c r="X7610">
        <v>834827</v>
      </c>
      <c r="Y7610" t="s">
        <v>33518</v>
      </c>
      <c r="Z7610" t="s">
        <v>46051</v>
      </c>
      <c r="AA7610" t="s">
        <v>22443</v>
      </c>
      <c r="AB7610" t="s">
        <v>29359</v>
      </c>
      <c r="AC7610" t="s">
        <v>301</v>
      </c>
      <c r="AD7610" t="s">
        <v>54</v>
      </c>
      <c r="AE7610" t="s">
        <v>54</v>
      </c>
      <c r="AG7610" t="s">
        <v>46052</v>
      </c>
      <c r="AH7610" t="s">
        <v>37749</v>
      </c>
      <c r="AI7610" t="s">
        <v>46053</v>
      </c>
    </row>
    <row r="7611" spans="2:35" ht="195">
      <c r="B7611" s="1">
        <v>45103</v>
      </c>
      <c r="C7611" s="4">
        <v>45103.491666666669</v>
      </c>
      <c r="D7611" t="s">
        <v>16538</v>
      </c>
      <c r="E7611" t="s">
        <v>46054</v>
      </c>
      <c r="F7611">
        <v>7</v>
      </c>
      <c r="G7611" t="s">
        <v>432</v>
      </c>
      <c r="H7611" t="s">
        <v>2290</v>
      </c>
      <c r="I7611" t="s">
        <v>94</v>
      </c>
      <c r="J7611" s="2" t="s">
        <v>190</v>
      </c>
      <c r="K7611" t="s">
        <v>42</v>
      </c>
      <c r="L7611" t="s">
        <v>610</v>
      </c>
      <c r="Q7611">
        <v>24948</v>
      </c>
      <c r="R7611" t="s">
        <v>119</v>
      </c>
      <c r="S7611" t="s">
        <v>16540</v>
      </c>
      <c r="T7611">
        <v>30</v>
      </c>
      <c r="U7611" s="2" t="s">
        <v>46055</v>
      </c>
      <c r="W7611" t="s">
        <v>502</v>
      </c>
      <c r="X7611">
        <v>838283</v>
      </c>
      <c r="Y7611" t="s">
        <v>46056</v>
      </c>
      <c r="Z7611" s="2" t="s">
        <v>46057</v>
      </c>
      <c r="AA7611" t="s">
        <v>46058</v>
      </c>
      <c r="AB7611" t="s">
        <v>46059</v>
      </c>
      <c r="AG7611" t="s">
        <v>46060</v>
      </c>
      <c r="AH7611" t="s">
        <v>37613</v>
      </c>
      <c r="AI7611" t="s">
        <v>46061</v>
      </c>
    </row>
    <row r="7612" spans="2:35" ht="180">
      <c r="B7612" s="1">
        <v>45102</v>
      </c>
      <c r="C7612" s="4">
        <v>45099.415277777778</v>
      </c>
      <c r="D7612" t="s">
        <v>3732</v>
      </c>
      <c r="E7612" t="s">
        <v>46062</v>
      </c>
      <c r="F7612">
        <v>1</v>
      </c>
      <c r="G7612" t="s">
        <v>1046</v>
      </c>
      <c r="H7612" t="s">
        <v>1047</v>
      </c>
      <c r="I7612" t="s">
        <v>40</v>
      </c>
      <c r="J7612" s="2" t="s">
        <v>760</v>
      </c>
      <c r="K7612" t="s">
        <v>42</v>
      </c>
      <c r="L7612" t="s">
        <v>1048</v>
      </c>
      <c r="Q7612">
        <v>24947</v>
      </c>
      <c r="R7612" t="s">
        <v>119</v>
      </c>
      <c r="S7612" t="s">
        <v>19601</v>
      </c>
      <c r="T7612">
        <v>24</v>
      </c>
      <c r="U7612" s="2" t="s">
        <v>46063</v>
      </c>
      <c r="W7612" t="s">
        <v>2384</v>
      </c>
      <c r="X7612">
        <v>838473</v>
      </c>
      <c r="Y7612" t="s">
        <v>46064</v>
      </c>
      <c r="Z7612" t="e">
        <f ca="1">-cleaned cartridge Bays, plunger Rods _xludf.and I-CORE
-performed ReXpertCheck
-generated reports</f>
        <v>#NAME?</v>
      </c>
      <c r="AA7612" t="s">
        <v>46065</v>
      </c>
      <c r="AB7612" t="s">
        <v>181</v>
      </c>
      <c r="AC7612" t="s">
        <v>46066</v>
      </c>
      <c r="AG7612" t="s">
        <v>46067</v>
      </c>
      <c r="AH7612" t="s">
        <v>19605</v>
      </c>
      <c r="AI7612" t="s">
        <v>46068</v>
      </c>
    </row>
    <row r="7613" spans="2:35" ht="180">
      <c r="B7613" s="1">
        <v>45102</v>
      </c>
      <c r="C7613" s="4">
        <v>45099.415277777778</v>
      </c>
      <c r="D7613" t="s">
        <v>3732</v>
      </c>
      <c r="E7613" t="s">
        <v>46062</v>
      </c>
      <c r="F7613">
        <v>1</v>
      </c>
      <c r="G7613" t="s">
        <v>1046</v>
      </c>
      <c r="H7613" t="s">
        <v>1047</v>
      </c>
      <c r="I7613" t="s">
        <v>40</v>
      </c>
      <c r="J7613" s="2" t="s">
        <v>760</v>
      </c>
      <c r="K7613" t="s">
        <v>42</v>
      </c>
      <c r="L7613" t="s">
        <v>1048</v>
      </c>
      <c r="Q7613">
        <v>24946</v>
      </c>
      <c r="R7613" t="s">
        <v>119</v>
      </c>
      <c r="S7613" t="s">
        <v>19601</v>
      </c>
      <c r="T7613">
        <v>24</v>
      </c>
      <c r="U7613" s="2" t="s">
        <v>46063</v>
      </c>
      <c r="W7613" t="s">
        <v>2384</v>
      </c>
      <c r="X7613">
        <v>838473</v>
      </c>
      <c r="Y7613" t="s">
        <v>46064</v>
      </c>
      <c r="Z7613" t="e">
        <f ca="1">-cleaned cartridge Bays, plunger Rods _xludf.and I-CORE
-performed ReXpertCheck
-generated reports</f>
        <v>#NAME?</v>
      </c>
      <c r="AA7613" t="s">
        <v>46065</v>
      </c>
      <c r="AB7613" t="s">
        <v>181</v>
      </c>
      <c r="AC7613" t="s">
        <v>46066</v>
      </c>
      <c r="AG7613" t="s">
        <v>46069</v>
      </c>
      <c r="AH7613" t="s">
        <v>19605</v>
      </c>
      <c r="AI7613" t="s">
        <v>46070</v>
      </c>
    </row>
    <row r="7614" spans="2:35" ht="180">
      <c r="B7614" s="1">
        <v>45102</v>
      </c>
      <c r="C7614" s="4">
        <v>45099.552083333336</v>
      </c>
      <c r="D7614" t="s">
        <v>46071</v>
      </c>
      <c r="E7614" t="s">
        <v>46072</v>
      </c>
      <c r="F7614">
        <v>1</v>
      </c>
      <c r="G7614" t="s">
        <v>1046</v>
      </c>
      <c r="H7614" t="s">
        <v>1047</v>
      </c>
      <c r="I7614" t="s">
        <v>40</v>
      </c>
      <c r="J7614" s="2" t="s">
        <v>760</v>
      </c>
      <c r="K7614" t="s">
        <v>42</v>
      </c>
      <c r="L7614" t="s">
        <v>1048</v>
      </c>
      <c r="Q7614">
        <v>24945</v>
      </c>
      <c r="R7614" t="s">
        <v>119</v>
      </c>
      <c r="S7614" t="s">
        <v>4530</v>
      </c>
      <c r="T7614">
        <v>28</v>
      </c>
      <c r="U7614" s="2" t="s">
        <v>46073</v>
      </c>
      <c r="W7614" t="s">
        <v>360</v>
      </c>
      <c r="X7614">
        <v>838472</v>
      </c>
      <c r="Y7614" t="s">
        <v>46074</v>
      </c>
      <c r="Z7614" t="e">
        <f ca="1">-cleaned cartridge Bays, plunger Rods, I-CORE
-performed XpertCheck
-generated reports</f>
        <v>#NAME?</v>
      </c>
      <c r="AA7614" t="s">
        <v>46075</v>
      </c>
      <c r="AB7614" t="s">
        <v>181</v>
      </c>
      <c r="AC7614" t="s">
        <v>46076</v>
      </c>
      <c r="AG7614" t="s">
        <v>46077</v>
      </c>
      <c r="AH7614" t="s">
        <v>46078</v>
      </c>
      <c r="AI7614" t="s">
        <v>46079</v>
      </c>
    </row>
    <row r="7615" spans="2:35" ht="180">
      <c r="B7615" s="1">
        <v>45102</v>
      </c>
      <c r="C7615" s="4">
        <v>45099.552083333336</v>
      </c>
      <c r="D7615" t="s">
        <v>46071</v>
      </c>
      <c r="E7615" t="s">
        <v>46072</v>
      </c>
      <c r="F7615">
        <v>1</v>
      </c>
      <c r="G7615" t="s">
        <v>1046</v>
      </c>
      <c r="H7615" t="s">
        <v>1047</v>
      </c>
      <c r="I7615" t="s">
        <v>40</v>
      </c>
      <c r="J7615" s="2" t="s">
        <v>760</v>
      </c>
      <c r="K7615" t="s">
        <v>42</v>
      </c>
      <c r="L7615" t="s">
        <v>1048</v>
      </c>
      <c r="Q7615">
        <v>24944</v>
      </c>
      <c r="R7615" t="s">
        <v>119</v>
      </c>
      <c r="S7615" t="s">
        <v>4530</v>
      </c>
      <c r="T7615">
        <v>28</v>
      </c>
      <c r="U7615" s="2" t="s">
        <v>46073</v>
      </c>
      <c r="W7615" t="s">
        <v>360</v>
      </c>
      <c r="X7615">
        <v>838472</v>
      </c>
      <c r="Y7615" t="s">
        <v>46074</v>
      </c>
      <c r="Z7615" t="e">
        <f ca="1">-cleaned cartridge Bays, plunger Rods, I-CORE
-performed XpertCheck
-generated reports</f>
        <v>#NAME?</v>
      </c>
      <c r="AA7615" t="s">
        <v>46075</v>
      </c>
      <c r="AB7615" t="s">
        <v>181</v>
      </c>
      <c r="AC7615" t="s">
        <v>46076</v>
      </c>
      <c r="AG7615" t="s">
        <v>46080</v>
      </c>
      <c r="AH7615" t="s">
        <v>46078</v>
      </c>
      <c r="AI7615" t="s">
        <v>46081</v>
      </c>
    </row>
    <row r="7616" spans="2:35" ht="195">
      <c r="B7616" s="1">
        <v>45102</v>
      </c>
      <c r="C7616" s="4">
        <v>45100.394444444442</v>
      </c>
      <c r="D7616" t="s">
        <v>3010</v>
      </c>
      <c r="E7616" t="s">
        <v>3011</v>
      </c>
      <c r="F7616">
        <v>1</v>
      </c>
      <c r="G7616" t="s">
        <v>1046</v>
      </c>
      <c r="H7616" t="s">
        <v>61</v>
      </c>
      <c r="I7616" t="s">
        <v>40</v>
      </c>
      <c r="J7616" t="s">
        <v>525</v>
      </c>
      <c r="K7616" t="s">
        <v>42</v>
      </c>
      <c r="L7616" t="s">
        <v>1048</v>
      </c>
      <c r="Q7616">
        <v>24943</v>
      </c>
      <c r="R7616" t="s">
        <v>45</v>
      </c>
      <c r="S7616" t="s">
        <v>34834</v>
      </c>
      <c r="T7616">
        <v>30</v>
      </c>
      <c r="U7616" s="2" t="s">
        <v>46082</v>
      </c>
      <c r="W7616" t="s">
        <v>31945</v>
      </c>
      <c r="X7616">
        <v>842230</v>
      </c>
      <c r="Y7616" t="s">
        <v>46083</v>
      </c>
      <c r="Z7616" t="s">
        <v>46084</v>
      </c>
      <c r="AA7616" t="s">
        <v>40281</v>
      </c>
      <c r="AB7616" t="s">
        <v>181</v>
      </c>
      <c r="AG7616" t="s">
        <v>46085</v>
      </c>
      <c r="AH7616" t="s">
        <v>30970</v>
      </c>
      <c r="AI7616" t="s">
        <v>46086</v>
      </c>
    </row>
    <row r="7617" spans="2:35" ht="409.5">
      <c r="B7617" s="1">
        <v>45101</v>
      </c>
      <c r="C7617" s="4">
        <v>45101.408333333333</v>
      </c>
      <c r="D7617" t="s">
        <v>46087</v>
      </c>
      <c r="E7617" t="s">
        <v>10433</v>
      </c>
      <c r="F7617" t="s">
        <v>148</v>
      </c>
      <c r="G7617" t="s">
        <v>447</v>
      </c>
      <c r="H7617" t="s">
        <v>150</v>
      </c>
      <c r="I7617" t="s">
        <v>40</v>
      </c>
      <c r="J7617" t="s">
        <v>525</v>
      </c>
      <c r="K7617" t="s">
        <v>42</v>
      </c>
      <c r="L7617" t="s">
        <v>448</v>
      </c>
      <c r="Q7617">
        <v>24942</v>
      </c>
      <c r="R7617" t="s">
        <v>95</v>
      </c>
      <c r="S7617" t="s">
        <v>2808</v>
      </c>
      <c r="T7617">
        <v>25</v>
      </c>
      <c r="U7617" s="2" t="s">
        <v>46088</v>
      </c>
      <c r="W7617" t="s">
        <v>6121</v>
      </c>
      <c r="X7617">
        <v>807155</v>
      </c>
      <c r="Y7617" t="s">
        <v>46089</v>
      </c>
      <c r="Z7617" s="2" t="s">
        <v>46090</v>
      </c>
      <c r="AA7617" t="s">
        <v>46091</v>
      </c>
      <c r="AB7617" t="s">
        <v>656</v>
      </c>
      <c r="AC7617" t="s">
        <v>46092</v>
      </c>
      <c r="AG7617" t="s">
        <v>46093</v>
      </c>
      <c r="AH7617" t="s">
        <v>6006</v>
      </c>
      <c r="AI7617" t="s">
        <v>46094</v>
      </c>
    </row>
    <row r="7618" spans="2:35" ht="180">
      <c r="B7618" s="1">
        <v>45100</v>
      </c>
      <c r="C7618" s="4">
        <v>45100.655555555553</v>
      </c>
      <c r="D7618" t="s">
        <v>4814</v>
      </c>
      <c r="E7618" t="s">
        <v>784</v>
      </c>
      <c r="F7618" t="s">
        <v>148</v>
      </c>
      <c r="G7618" t="s">
        <v>785</v>
      </c>
      <c r="H7618" t="s">
        <v>39</v>
      </c>
      <c r="I7618" t="s">
        <v>40</v>
      </c>
      <c r="J7618" s="2" t="s">
        <v>190</v>
      </c>
      <c r="K7618" t="s">
        <v>42</v>
      </c>
      <c r="L7618" t="s">
        <v>15532</v>
      </c>
      <c r="Q7618">
        <v>24941</v>
      </c>
      <c r="R7618" t="s">
        <v>45</v>
      </c>
      <c r="S7618" t="s">
        <v>26449</v>
      </c>
      <c r="T7618">
        <v>27</v>
      </c>
      <c r="U7618" s="2" t="s">
        <v>46095</v>
      </c>
      <c r="V7618" s="1">
        <v>45100</v>
      </c>
      <c r="W7618" t="s">
        <v>3244</v>
      </c>
      <c r="X7618">
        <v>814163</v>
      </c>
      <c r="Y7618" t="s">
        <v>28274</v>
      </c>
      <c r="Z7618" t="e">
        <f ca="1">-Setup temporary Laptop
-checked _xludf.and cleaned cartridge Bays, plunger rod, icore slot _xludf.and _xludf.filter
-printer prints faded
-cartridge have lines
-replaced new cartridge
-printer working
-generated report</f>
        <v>#NAME?</v>
      </c>
      <c r="AA7618" s="2" t="s">
        <v>46096</v>
      </c>
      <c r="AB7618" t="s">
        <v>88</v>
      </c>
      <c r="AD7618" t="s">
        <v>46097</v>
      </c>
      <c r="AE7618" t="s">
        <v>46098</v>
      </c>
      <c r="AG7618" t="s">
        <v>46099</v>
      </c>
      <c r="AH7618" t="s">
        <v>46100</v>
      </c>
      <c r="AI7618" t="s">
        <v>46101</v>
      </c>
    </row>
    <row r="7619" spans="2:35" ht="315">
      <c r="B7619" s="1">
        <v>45100</v>
      </c>
      <c r="C7619" s="4">
        <v>45097.579861111109</v>
      </c>
      <c r="D7619" t="s">
        <v>44827</v>
      </c>
      <c r="E7619" t="s">
        <v>44828</v>
      </c>
      <c r="F7619">
        <v>3</v>
      </c>
      <c r="G7619" t="s">
        <v>1722</v>
      </c>
      <c r="H7619" t="s">
        <v>39</v>
      </c>
      <c r="I7619" t="s">
        <v>40</v>
      </c>
      <c r="J7619" s="2" t="s">
        <v>1157</v>
      </c>
      <c r="K7619" t="s">
        <v>42</v>
      </c>
      <c r="L7619" t="s">
        <v>63</v>
      </c>
      <c r="Q7619">
        <v>24940</v>
      </c>
      <c r="R7619" t="s">
        <v>45</v>
      </c>
      <c r="S7619" t="s">
        <v>44829</v>
      </c>
      <c r="T7619">
        <v>25</v>
      </c>
      <c r="U7619" s="2" t="s">
        <v>39275</v>
      </c>
      <c r="V7619" s="1">
        <v>45097</v>
      </c>
      <c r="W7619" t="s">
        <v>26915</v>
      </c>
      <c r="X7619">
        <v>812831</v>
      </c>
      <c r="Y7619" s="2" t="s">
        <v>46102</v>
      </c>
      <c r="Z7619" t="s">
        <v>11377</v>
      </c>
      <c r="AA7619" s="2" t="s">
        <v>46103</v>
      </c>
      <c r="AB7619" t="s">
        <v>70</v>
      </c>
      <c r="AC7619" t="s">
        <v>11378</v>
      </c>
      <c r="AD7619" t="s">
        <v>31742</v>
      </c>
      <c r="AE7619" t="s">
        <v>1716</v>
      </c>
      <c r="AG7619" t="s">
        <v>46104</v>
      </c>
      <c r="AH7619" t="s">
        <v>44834</v>
      </c>
      <c r="AI7619" t="s">
        <v>46105</v>
      </c>
    </row>
    <row r="7620" spans="2:35" ht="180">
      <c r="B7620" s="1">
        <v>45100</v>
      </c>
      <c r="C7620" s="4">
        <v>45093.632638888892</v>
      </c>
      <c r="D7620" t="s">
        <v>23687</v>
      </c>
      <c r="E7620" t="s">
        <v>27966</v>
      </c>
      <c r="F7620">
        <v>3</v>
      </c>
      <c r="G7620" t="s">
        <v>1722</v>
      </c>
      <c r="H7620" t="s">
        <v>39</v>
      </c>
      <c r="I7620" t="s">
        <v>40</v>
      </c>
      <c r="J7620" t="s">
        <v>109</v>
      </c>
      <c r="K7620" t="s">
        <v>42</v>
      </c>
      <c r="L7620" t="s">
        <v>63</v>
      </c>
      <c r="Q7620">
        <v>24938</v>
      </c>
      <c r="R7620" t="s">
        <v>119</v>
      </c>
      <c r="S7620" t="s">
        <v>23689</v>
      </c>
      <c r="T7620">
        <v>29</v>
      </c>
      <c r="U7620" s="2" t="s">
        <v>46106</v>
      </c>
      <c r="V7620" s="1">
        <v>45093</v>
      </c>
      <c r="W7620" t="s">
        <v>26915</v>
      </c>
      <c r="X7620">
        <v>831592</v>
      </c>
      <c r="Y7620" t="s">
        <v>1716</v>
      </c>
      <c r="Z7620" t="s">
        <v>1716</v>
      </c>
      <c r="AA7620" s="2" t="s">
        <v>1727</v>
      </c>
      <c r="AB7620" t="s">
        <v>70</v>
      </c>
      <c r="AC7620" t="s">
        <v>1716</v>
      </c>
      <c r="AD7620" t="s">
        <v>1716</v>
      </c>
      <c r="AE7620" t="s">
        <v>1716</v>
      </c>
      <c r="AG7620" t="s">
        <v>46107</v>
      </c>
      <c r="AH7620" t="s">
        <v>46108</v>
      </c>
      <c r="AI7620" t="s">
        <v>46109</v>
      </c>
    </row>
    <row r="7621" spans="2:35" ht="225">
      <c r="B7621" s="1">
        <v>45100</v>
      </c>
      <c r="C7621" s="4">
        <v>45100.565972222219</v>
      </c>
      <c r="D7621" t="s">
        <v>46110</v>
      </c>
      <c r="E7621" t="s">
        <v>46111</v>
      </c>
      <c r="F7621">
        <v>3</v>
      </c>
      <c r="G7621" t="s">
        <v>134</v>
      </c>
      <c r="H7621" t="s">
        <v>39</v>
      </c>
      <c r="I7621" t="s">
        <v>40</v>
      </c>
      <c r="J7621" s="2" t="s">
        <v>62</v>
      </c>
      <c r="K7621" t="s">
        <v>42</v>
      </c>
      <c r="L7621" t="s">
        <v>63</v>
      </c>
      <c r="Q7621">
        <v>24939</v>
      </c>
      <c r="R7621" t="s">
        <v>45</v>
      </c>
      <c r="S7621" t="s">
        <v>46112</v>
      </c>
      <c r="T7621">
        <v>28</v>
      </c>
      <c r="U7621" s="2" t="s">
        <v>16054</v>
      </c>
      <c r="V7621" s="1">
        <v>45100</v>
      </c>
      <c r="W7621" t="s">
        <v>26915</v>
      </c>
      <c r="X7621">
        <v>812790</v>
      </c>
      <c r="Y7621" t="s">
        <v>1716</v>
      </c>
      <c r="Z7621" t="s">
        <v>1716</v>
      </c>
      <c r="AA7621" s="2" t="s">
        <v>38119</v>
      </c>
      <c r="AB7621" t="s">
        <v>70</v>
      </c>
      <c r="AC7621" t="s">
        <v>38901</v>
      </c>
      <c r="AD7621" t="s">
        <v>46113</v>
      </c>
      <c r="AE7621" t="s">
        <v>1716</v>
      </c>
      <c r="AG7621" t="s">
        <v>46114</v>
      </c>
      <c r="AH7621" t="s">
        <v>46115</v>
      </c>
      <c r="AI7621" t="s">
        <v>46116</v>
      </c>
    </row>
    <row r="7622" spans="2:35" ht="345">
      <c r="B7622" s="1">
        <v>45100</v>
      </c>
      <c r="C7622" s="4">
        <v>45100.595138888886</v>
      </c>
      <c r="D7622" t="s">
        <v>9147</v>
      </c>
      <c r="E7622" t="s">
        <v>46117</v>
      </c>
      <c r="F7622">
        <v>6</v>
      </c>
      <c r="G7622" t="s">
        <v>1234</v>
      </c>
      <c r="H7622" t="s">
        <v>2290</v>
      </c>
      <c r="I7622" t="s">
        <v>94</v>
      </c>
      <c r="J7622" t="s">
        <v>109</v>
      </c>
      <c r="K7622" t="s">
        <v>42</v>
      </c>
      <c r="L7622" t="s">
        <v>610</v>
      </c>
      <c r="Q7622">
        <v>24937</v>
      </c>
      <c r="R7622" t="s">
        <v>119</v>
      </c>
      <c r="S7622" t="s">
        <v>19064</v>
      </c>
      <c r="T7622">
        <v>33</v>
      </c>
      <c r="U7622" s="2" t="s">
        <v>15865</v>
      </c>
      <c r="W7622" t="s">
        <v>502</v>
      </c>
      <c r="X7622">
        <v>838523</v>
      </c>
      <c r="Y7622" s="2" t="s">
        <v>46118</v>
      </c>
      <c r="Z7622" s="2" t="s">
        <v>46119</v>
      </c>
      <c r="AA7622" s="2" t="s">
        <v>46120</v>
      </c>
      <c r="AB7622" s="2" t="s">
        <v>46121</v>
      </c>
      <c r="AG7622" t="s">
        <v>46122</v>
      </c>
      <c r="AH7622" t="s">
        <v>21020</v>
      </c>
      <c r="AI7622" t="s">
        <v>46123</v>
      </c>
    </row>
    <row r="7623" spans="2:35" ht="409.5">
      <c r="B7623" s="1">
        <v>45100</v>
      </c>
      <c r="C7623" s="4">
        <v>45098.576388888891</v>
      </c>
      <c r="D7623" t="s">
        <v>4206</v>
      </c>
      <c r="E7623" t="s">
        <v>14660</v>
      </c>
      <c r="F7623">
        <v>11</v>
      </c>
      <c r="G7623" t="s">
        <v>2836</v>
      </c>
      <c r="H7623" t="s">
        <v>202</v>
      </c>
      <c r="I7623" t="s">
        <v>40</v>
      </c>
      <c r="J7623" s="2" t="s">
        <v>190</v>
      </c>
      <c r="K7623" t="s">
        <v>42</v>
      </c>
      <c r="L7623" t="s">
        <v>204</v>
      </c>
      <c r="Q7623">
        <v>24936</v>
      </c>
      <c r="R7623" t="s">
        <v>119</v>
      </c>
      <c r="S7623" t="s">
        <v>4209</v>
      </c>
      <c r="T7623">
        <v>26</v>
      </c>
      <c r="U7623" s="2" t="s">
        <v>46124</v>
      </c>
      <c r="W7623" t="s">
        <v>23237</v>
      </c>
      <c r="X7623">
        <v>838295</v>
      </c>
      <c r="Y7623" s="2" t="s">
        <v>46125</v>
      </c>
      <c r="Z7623" s="2" t="s">
        <v>46126</v>
      </c>
      <c r="AA7623" s="2" t="s">
        <v>46127</v>
      </c>
      <c r="AB7623" s="2" t="s">
        <v>46128</v>
      </c>
      <c r="AG7623" t="s">
        <v>46129</v>
      </c>
      <c r="AH7623" t="s">
        <v>46130</v>
      </c>
      <c r="AI7623" t="s">
        <v>46131</v>
      </c>
    </row>
    <row r="7624" spans="2:35" ht="390">
      <c r="B7624" s="1">
        <v>45100</v>
      </c>
      <c r="C7624" s="4">
        <v>45100.543055555558</v>
      </c>
      <c r="D7624" t="s">
        <v>23894</v>
      </c>
      <c r="E7624" t="s">
        <v>22410</v>
      </c>
      <c r="F7624">
        <v>11</v>
      </c>
      <c r="G7624" t="s">
        <v>1205</v>
      </c>
      <c r="H7624" t="s">
        <v>1047</v>
      </c>
      <c r="I7624" t="s">
        <v>40</v>
      </c>
      <c r="J7624" s="2" t="s">
        <v>62</v>
      </c>
      <c r="K7624" t="s">
        <v>42</v>
      </c>
      <c r="L7624" t="s">
        <v>204</v>
      </c>
      <c r="Q7624">
        <v>24935</v>
      </c>
      <c r="R7624" t="s">
        <v>45</v>
      </c>
      <c r="S7624" t="s">
        <v>22411</v>
      </c>
      <c r="T7624">
        <v>22.5</v>
      </c>
      <c r="U7624" s="2" t="s">
        <v>46132</v>
      </c>
      <c r="W7624" t="s">
        <v>23237</v>
      </c>
      <c r="X7624">
        <v>804835</v>
      </c>
      <c r="Y7624" t="s">
        <v>46133</v>
      </c>
      <c r="Z7624" s="2" t="s">
        <v>30713</v>
      </c>
      <c r="AA7624" t="s">
        <v>1620</v>
      </c>
      <c r="AB7624" s="2" t="s">
        <v>46134</v>
      </c>
      <c r="AC7624" t="s">
        <v>46135</v>
      </c>
      <c r="AG7624" t="s">
        <v>46136</v>
      </c>
      <c r="AH7624" t="s">
        <v>46137</v>
      </c>
      <c r="AI7624" t="s">
        <v>46138</v>
      </c>
    </row>
    <row r="7625" spans="2:35" ht="135">
      <c r="B7625" s="1">
        <v>45100</v>
      </c>
      <c r="C7625" s="4">
        <v>45100.552083333336</v>
      </c>
      <c r="D7625" t="s">
        <v>2390</v>
      </c>
      <c r="E7625" t="s">
        <v>46139</v>
      </c>
      <c r="F7625">
        <v>10</v>
      </c>
      <c r="G7625" t="s">
        <v>2392</v>
      </c>
      <c r="H7625" t="s">
        <v>39</v>
      </c>
      <c r="I7625" t="s">
        <v>94</v>
      </c>
      <c r="J7625" s="2" t="s">
        <v>760</v>
      </c>
      <c r="K7625" t="s">
        <v>42</v>
      </c>
      <c r="L7625" t="s">
        <v>43100</v>
      </c>
      <c r="Q7625">
        <v>24934</v>
      </c>
      <c r="R7625" t="s">
        <v>45</v>
      </c>
      <c r="S7625" t="s">
        <v>2393</v>
      </c>
      <c r="T7625">
        <v>26</v>
      </c>
      <c r="U7625" s="2" t="s">
        <v>16690</v>
      </c>
      <c r="W7625" t="s">
        <v>43102</v>
      </c>
      <c r="X7625">
        <v>815272</v>
      </c>
      <c r="Y7625" t="s">
        <v>46140</v>
      </c>
      <c r="Z7625" s="2" t="s">
        <v>46141</v>
      </c>
      <c r="AA7625" s="2" t="s">
        <v>45518</v>
      </c>
      <c r="AB7625" t="s">
        <v>46142</v>
      </c>
      <c r="AG7625" t="s">
        <v>46143</v>
      </c>
      <c r="AH7625" t="s">
        <v>2400</v>
      </c>
      <c r="AI7625" t="s">
        <v>46144</v>
      </c>
    </row>
    <row r="7626" spans="2:35" ht="240">
      <c r="B7626" s="1">
        <v>45100</v>
      </c>
      <c r="C7626" s="4">
        <v>45100.529861111114</v>
      </c>
      <c r="D7626" t="s">
        <v>46145</v>
      </c>
      <c r="E7626" t="s">
        <v>46146</v>
      </c>
      <c r="F7626">
        <v>6</v>
      </c>
      <c r="G7626" t="s">
        <v>1234</v>
      </c>
      <c r="H7626" t="s">
        <v>258</v>
      </c>
      <c r="I7626" t="s">
        <v>94</v>
      </c>
      <c r="J7626" s="2" t="s">
        <v>41</v>
      </c>
      <c r="K7626" t="s">
        <v>42</v>
      </c>
      <c r="L7626" t="s">
        <v>270</v>
      </c>
      <c r="Q7626">
        <v>24933</v>
      </c>
      <c r="R7626" t="s">
        <v>45</v>
      </c>
      <c r="S7626" t="s">
        <v>46147</v>
      </c>
      <c r="T7626">
        <v>22</v>
      </c>
      <c r="U7626" s="2" t="s">
        <v>46148</v>
      </c>
      <c r="W7626" t="s">
        <v>3662</v>
      </c>
      <c r="X7626">
        <v>808282</v>
      </c>
      <c r="Y7626" t="s">
        <v>46149</v>
      </c>
      <c r="Z7626" t="e">
        <f ca="1">- PERFORM module bay Cleaning, _xludf.filter Cleaning, optic slots Cleaning
- ARCHIVE tests</f>
        <v>#NAME?</v>
      </c>
      <c r="AA7626" s="2" t="s">
        <v>46150</v>
      </c>
      <c r="AB7626" t="s">
        <v>1188</v>
      </c>
      <c r="AG7626" t="s">
        <v>46151</v>
      </c>
      <c r="AH7626" t="s">
        <v>46152</v>
      </c>
      <c r="AI7626" t="s">
        <v>46153</v>
      </c>
    </row>
    <row r="7627" spans="2:35" ht="315">
      <c r="B7627" s="1">
        <v>45100</v>
      </c>
      <c r="C7627" s="4">
        <v>45100.508333333331</v>
      </c>
      <c r="D7627" t="s">
        <v>46154</v>
      </c>
      <c r="E7627" t="s">
        <v>33877</v>
      </c>
      <c r="F7627">
        <v>3</v>
      </c>
      <c r="G7627" t="s">
        <v>730</v>
      </c>
      <c r="H7627" t="s">
        <v>39</v>
      </c>
      <c r="I7627" t="s">
        <v>40</v>
      </c>
      <c r="J7627" t="s">
        <v>109</v>
      </c>
      <c r="K7627" t="s">
        <v>42</v>
      </c>
      <c r="L7627" t="s">
        <v>135</v>
      </c>
      <c r="Q7627">
        <v>24931</v>
      </c>
      <c r="R7627" t="s">
        <v>95</v>
      </c>
      <c r="S7627" t="s">
        <v>18459</v>
      </c>
      <c r="T7627">
        <v>23</v>
      </c>
      <c r="U7627" s="2" t="s">
        <v>46155</v>
      </c>
      <c r="W7627" t="s">
        <v>2680</v>
      </c>
      <c r="X7627">
        <v>839232</v>
      </c>
      <c r="Y7627" t="s">
        <v>485</v>
      </c>
      <c r="Z7627" t="s">
        <v>4315</v>
      </c>
      <c r="AA7627" s="2" t="s">
        <v>45907</v>
      </c>
      <c r="AB7627" t="s">
        <v>181</v>
      </c>
      <c r="AC7627" t="s">
        <v>46156</v>
      </c>
      <c r="AG7627" t="s">
        <v>46157</v>
      </c>
      <c r="AH7627" t="s">
        <v>18462</v>
      </c>
      <c r="AI7627" t="s">
        <v>46158</v>
      </c>
    </row>
    <row r="7628" spans="2:35" ht="315">
      <c r="B7628" s="1">
        <v>45100</v>
      </c>
      <c r="C7628" s="4">
        <v>45100.511111111111</v>
      </c>
      <c r="D7628" t="s">
        <v>46154</v>
      </c>
      <c r="E7628" t="s">
        <v>33877</v>
      </c>
      <c r="F7628">
        <v>3</v>
      </c>
      <c r="G7628" t="s">
        <v>730</v>
      </c>
      <c r="H7628" t="s">
        <v>39</v>
      </c>
      <c r="I7628" t="s">
        <v>40</v>
      </c>
      <c r="J7628" t="s">
        <v>109</v>
      </c>
      <c r="K7628" t="s">
        <v>42</v>
      </c>
      <c r="L7628" t="s">
        <v>135</v>
      </c>
      <c r="Q7628">
        <v>24932</v>
      </c>
      <c r="R7628" t="s">
        <v>95</v>
      </c>
      <c r="S7628" t="s">
        <v>18459</v>
      </c>
      <c r="T7628">
        <v>23</v>
      </c>
      <c r="U7628" s="2" t="s">
        <v>46159</v>
      </c>
      <c r="W7628" t="s">
        <v>3418</v>
      </c>
      <c r="X7628">
        <v>830841</v>
      </c>
      <c r="Y7628" t="s">
        <v>485</v>
      </c>
      <c r="Z7628" t="s">
        <v>4315</v>
      </c>
      <c r="AA7628" s="2" t="s">
        <v>45907</v>
      </c>
      <c r="AB7628" t="s">
        <v>181</v>
      </c>
      <c r="AG7628" t="s">
        <v>46160</v>
      </c>
      <c r="AH7628" t="s">
        <v>18462</v>
      </c>
      <c r="AI7628" t="s">
        <v>46161</v>
      </c>
    </row>
    <row r="7629" spans="2:35" ht="240">
      <c r="B7629" s="1">
        <v>45100</v>
      </c>
      <c r="C7629" s="4">
        <v>45100.445833333331</v>
      </c>
      <c r="D7629" t="s">
        <v>46162</v>
      </c>
      <c r="E7629" t="s">
        <v>27329</v>
      </c>
      <c r="F7629">
        <v>3</v>
      </c>
      <c r="G7629" t="s">
        <v>730</v>
      </c>
      <c r="H7629" t="s">
        <v>39</v>
      </c>
      <c r="I7629" t="s">
        <v>40</v>
      </c>
      <c r="J7629" t="s">
        <v>525</v>
      </c>
      <c r="K7629" t="s">
        <v>42</v>
      </c>
      <c r="L7629" t="s">
        <v>135</v>
      </c>
      <c r="Q7629">
        <v>24930</v>
      </c>
      <c r="R7629" t="s">
        <v>119</v>
      </c>
      <c r="S7629" t="s">
        <v>24884</v>
      </c>
      <c r="T7629">
        <v>30</v>
      </c>
      <c r="U7629" s="2" t="s">
        <v>46163</v>
      </c>
      <c r="W7629" t="s">
        <v>2680</v>
      </c>
      <c r="X7629">
        <v>831693</v>
      </c>
      <c r="Y7629" t="s">
        <v>46164</v>
      </c>
      <c r="Z7629" t="s">
        <v>4487</v>
      </c>
      <c r="AA7629" s="2" t="s">
        <v>46165</v>
      </c>
      <c r="AB7629" t="s">
        <v>46166</v>
      </c>
      <c r="AC7629" t="s">
        <v>4800</v>
      </c>
      <c r="AG7629" t="s">
        <v>46167</v>
      </c>
      <c r="AH7629" t="s">
        <v>24886</v>
      </c>
      <c r="AI7629" t="s">
        <v>46168</v>
      </c>
    </row>
    <row r="7630" spans="2:35" ht="409.5">
      <c r="B7630" s="1">
        <v>45100</v>
      </c>
      <c r="C7630" s="4">
        <v>45100.46597222222</v>
      </c>
      <c r="D7630" t="s">
        <v>3119</v>
      </c>
      <c r="E7630" t="s">
        <v>21000</v>
      </c>
      <c r="F7630" t="s">
        <v>148</v>
      </c>
      <c r="G7630" t="s">
        <v>310</v>
      </c>
      <c r="H7630" t="s">
        <v>39</v>
      </c>
      <c r="I7630" t="s">
        <v>40</v>
      </c>
      <c r="J7630" s="2" t="s">
        <v>62</v>
      </c>
      <c r="K7630" t="s">
        <v>42</v>
      </c>
      <c r="L7630" t="s">
        <v>15532</v>
      </c>
      <c r="Q7630">
        <v>24929</v>
      </c>
      <c r="R7630" t="s">
        <v>95</v>
      </c>
      <c r="S7630" t="s">
        <v>22500</v>
      </c>
      <c r="T7630">
        <v>24</v>
      </c>
      <c r="U7630" s="2" t="s">
        <v>46169</v>
      </c>
      <c r="V7630" s="1">
        <v>45097</v>
      </c>
      <c r="W7630" t="s">
        <v>2766</v>
      </c>
      <c r="X7630">
        <v>110001648</v>
      </c>
      <c r="Y7630" t="s">
        <v>1111</v>
      </c>
      <c r="Z7630" t="e">
        <f ca="1">-checked cartridge Bays, plunger rod, icore slot _xludf.and _xludf.filter
-performed XpertCheck (ALL passed)
-generated report</f>
        <v>#NAME?</v>
      </c>
      <c r="AA7630" t="s">
        <v>999</v>
      </c>
      <c r="AB7630" t="s">
        <v>181</v>
      </c>
      <c r="AC7630" t="s">
        <v>46170</v>
      </c>
      <c r="AD7630" t="s">
        <v>948</v>
      </c>
      <c r="AE7630">
        <v>1000397715</v>
      </c>
      <c r="AG7630" t="s">
        <v>46171</v>
      </c>
      <c r="AH7630" t="s">
        <v>46172</v>
      </c>
      <c r="AI7630" t="s">
        <v>46173</v>
      </c>
    </row>
    <row r="7631" spans="2:35" ht="165">
      <c r="B7631" s="1">
        <v>45100</v>
      </c>
      <c r="C7631" s="4">
        <v>45100.439583333333</v>
      </c>
      <c r="D7631" t="s">
        <v>3139</v>
      </c>
      <c r="E7631" t="s">
        <v>46174</v>
      </c>
      <c r="F7631">
        <v>3</v>
      </c>
      <c r="G7631" t="s">
        <v>174</v>
      </c>
      <c r="H7631" t="s">
        <v>61</v>
      </c>
      <c r="I7631" t="s">
        <v>40</v>
      </c>
      <c r="J7631" s="2" t="s">
        <v>41</v>
      </c>
      <c r="K7631" t="s">
        <v>42</v>
      </c>
      <c r="L7631" t="s">
        <v>1943</v>
      </c>
      <c r="Q7631">
        <v>24928</v>
      </c>
      <c r="R7631" t="s">
        <v>45</v>
      </c>
      <c r="S7631" t="s">
        <v>46175</v>
      </c>
      <c r="T7631">
        <v>25</v>
      </c>
      <c r="U7631" s="2" t="s">
        <v>46176</v>
      </c>
      <c r="V7631" s="1">
        <v>45099</v>
      </c>
      <c r="W7631" t="s">
        <v>84</v>
      </c>
      <c r="X7631">
        <v>884623</v>
      </c>
      <c r="Y7631" s="2" t="s">
        <v>46177</v>
      </c>
      <c r="Z7631" s="2" t="s">
        <v>46178</v>
      </c>
      <c r="AA7631" t="s">
        <v>22330</v>
      </c>
      <c r="AB7631" t="s">
        <v>88</v>
      </c>
      <c r="AD7631" t="s">
        <v>46179</v>
      </c>
      <c r="AE7631" t="s">
        <v>8904</v>
      </c>
      <c r="AG7631" t="s">
        <v>46180</v>
      </c>
      <c r="AH7631" t="s">
        <v>46181</v>
      </c>
      <c r="AI7631" t="s">
        <v>46182</v>
      </c>
    </row>
    <row r="7632" spans="2:35" ht="270">
      <c r="B7632" s="1">
        <v>45100</v>
      </c>
      <c r="C7632" s="4">
        <v>45100.431250000001</v>
      </c>
      <c r="D7632" t="s">
        <v>38129</v>
      </c>
      <c r="E7632" t="s">
        <v>46183</v>
      </c>
      <c r="F7632">
        <v>6</v>
      </c>
      <c r="G7632" t="s">
        <v>1234</v>
      </c>
      <c r="H7632" t="s">
        <v>608</v>
      </c>
      <c r="I7632" t="s">
        <v>94</v>
      </c>
      <c r="J7632" t="s">
        <v>79</v>
      </c>
      <c r="K7632" t="s">
        <v>42</v>
      </c>
      <c r="L7632" t="s">
        <v>610</v>
      </c>
      <c r="Q7632">
        <v>24927</v>
      </c>
      <c r="R7632" t="s">
        <v>45</v>
      </c>
      <c r="S7632" t="s">
        <v>38131</v>
      </c>
      <c r="T7632">
        <v>20</v>
      </c>
      <c r="U7632" s="2" t="s">
        <v>21060</v>
      </c>
      <c r="W7632" t="s">
        <v>502</v>
      </c>
      <c r="X7632">
        <v>838144</v>
      </c>
      <c r="Y7632" t="s">
        <v>46184</v>
      </c>
      <c r="Z7632" s="2" t="s">
        <v>46185</v>
      </c>
      <c r="AA7632" t="s">
        <v>46186</v>
      </c>
      <c r="AB7632" t="s">
        <v>46187</v>
      </c>
      <c r="AG7632" t="s">
        <v>46188</v>
      </c>
      <c r="AH7632" t="s">
        <v>46189</v>
      </c>
      <c r="AI7632" t="s">
        <v>46190</v>
      </c>
    </row>
    <row r="7633" spans="2:35" ht="135">
      <c r="B7633" s="1">
        <v>45100</v>
      </c>
      <c r="C7633" s="4">
        <v>45100.40902777778</v>
      </c>
      <c r="D7633" t="s">
        <v>1807</v>
      </c>
      <c r="E7633" t="s">
        <v>46191</v>
      </c>
      <c r="F7633">
        <v>6</v>
      </c>
      <c r="G7633" t="s">
        <v>1234</v>
      </c>
      <c r="H7633" t="s">
        <v>11433</v>
      </c>
      <c r="I7633" t="s">
        <v>94</v>
      </c>
      <c r="J7633" s="2" t="s">
        <v>760</v>
      </c>
      <c r="K7633" t="s">
        <v>42</v>
      </c>
      <c r="L7633" t="s">
        <v>610</v>
      </c>
      <c r="Q7633">
        <v>24926</v>
      </c>
      <c r="R7633" t="s">
        <v>45</v>
      </c>
      <c r="S7633" t="s">
        <v>1809</v>
      </c>
      <c r="T7633">
        <v>24</v>
      </c>
      <c r="U7633" s="2" t="s">
        <v>1509</v>
      </c>
      <c r="W7633" t="s">
        <v>502</v>
      </c>
      <c r="X7633">
        <v>847222</v>
      </c>
      <c r="Y7633" t="s">
        <v>46192</v>
      </c>
      <c r="Z7633" t="s">
        <v>46193</v>
      </c>
      <c r="AA7633" t="s">
        <v>46194</v>
      </c>
      <c r="AB7633" s="2" t="s">
        <v>46195</v>
      </c>
      <c r="AG7633" t="s">
        <v>46196</v>
      </c>
      <c r="AH7633" t="s">
        <v>1815</v>
      </c>
      <c r="AI7633" t="s">
        <v>46197</v>
      </c>
    </row>
    <row r="7634" spans="2:35" ht="195">
      <c r="B7634" s="1">
        <v>45100</v>
      </c>
      <c r="C7634" s="4">
        <v>45100.029166666667</v>
      </c>
      <c r="D7634" t="s">
        <v>3679</v>
      </c>
      <c r="E7634" t="s">
        <v>46198</v>
      </c>
      <c r="F7634" t="s">
        <v>148</v>
      </c>
      <c r="G7634" t="s">
        <v>447</v>
      </c>
      <c r="H7634" t="s">
        <v>513</v>
      </c>
      <c r="I7634" t="s">
        <v>40</v>
      </c>
      <c r="J7634" t="s">
        <v>79</v>
      </c>
      <c r="K7634" t="s">
        <v>387</v>
      </c>
      <c r="L7634" t="s">
        <v>80</v>
      </c>
      <c r="Q7634">
        <v>24925</v>
      </c>
      <c r="R7634" t="s">
        <v>95</v>
      </c>
      <c r="S7634" t="s">
        <v>3689</v>
      </c>
      <c r="T7634">
        <v>25</v>
      </c>
      <c r="V7634" s="1">
        <v>45100</v>
      </c>
      <c r="W7634" t="s">
        <v>390</v>
      </c>
      <c r="X7634" t="s">
        <v>17815</v>
      </c>
      <c r="Y7634" t="s">
        <v>46199</v>
      </c>
      <c r="Z7634" t="s">
        <v>46200</v>
      </c>
      <c r="AA7634" s="2" t="s">
        <v>46201</v>
      </c>
      <c r="AB7634" t="s">
        <v>15470</v>
      </c>
      <c r="AD7634" t="s">
        <v>301</v>
      </c>
      <c r="AE7634" t="s">
        <v>54</v>
      </c>
      <c r="AG7634" t="s">
        <v>46202</v>
      </c>
      <c r="AH7634" t="s">
        <v>10314</v>
      </c>
      <c r="AI7634" t="s">
        <v>46203</v>
      </c>
    </row>
    <row r="7635" spans="2:35" ht="210">
      <c r="B7635" s="1">
        <v>45099</v>
      </c>
      <c r="C7635" s="4">
        <v>45098.381944444445</v>
      </c>
      <c r="D7635" t="s">
        <v>46204</v>
      </c>
      <c r="E7635" t="s">
        <v>46205</v>
      </c>
      <c r="F7635" t="s">
        <v>37</v>
      </c>
      <c r="G7635" t="s">
        <v>38</v>
      </c>
      <c r="H7635" t="s">
        <v>2581</v>
      </c>
      <c r="I7635" t="s">
        <v>40</v>
      </c>
      <c r="J7635" t="s">
        <v>32947</v>
      </c>
      <c r="K7635" t="s">
        <v>42</v>
      </c>
      <c r="L7635" t="s">
        <v>448</v>
      </c>
      <c r="Q7635">
        <v>24922</v>
      </c>
      <c r="R7635" t="s">
        <v>45</v>
      </c>
      <c r="S7635" t="s">
        <v>29171</v>
      </c>
      <c r="T7635">
        <v>29</v>
      </c>
      <c r="U7635" s="2" t="s">
        <v>46206</v>
      </c>
      <c r="W7635" t="s">
        <v>360</v>
      </c>
      <c r="X7635">
        <v>838894</v>
      </c>
      <c r="Y7635" t="s">
        <v>46207</v>
      </c>
      <c r="Z7635" t="s">
        <v>40978</v>
      </c>
      <c r="AA7635" t="s">
        <v>40974</v>
      </c>
      <c r="AB7635" t="s">
        <v>46208</v>
      </c>
      <c r="AG7635" t="s">
        <v>46209</v>
      </c>
      <c r="AH7635" t="s">
        <v>29177</v>
      </c>
      <c r="AI7635" t="s">
        <v>46210</v>
      </c>
    </row>
    <row r="7636" spans="2:35" ht="345">
      <c r="B7636" s="1">
        <v>45099</v>
      </c>
      <c r="C7636" s="4">
        <v>45099.64166666667</v>
      </c>
      <c r="D7636" t="s">
        <v>42092</v>
      </c>
      <c r="E7636" t="s">
        <v>10433</v>
      </c>
      <c r="F7636" t="s">
        <v>148</v>
      </c>
      <c r="G7636" t="s">
        <v>447</v>
      </c>
      <c r="H7636" t="s">
        <v>662</v>
      </c>
      <c r="I7636" t="s">
        <v>40</v>
      </c>
      <c r="J7636" s="2" t="s">
        <v>41</v>
      </c>
      <c r="K7636" t="s">
        <v>42</v>
      </c>
      <c r="L7636" t="s">
        <v>448</v>
      </c>
      <c r="Q7636">
        <v>24924</v>
      </c>
      <c r="R7636" t="s">
        <v>322</v>
      </c>
      <c r="S7636" t="s">
        <v>3987</v>
      </c>
      <c r="T7636">
        <v>25</v>
      </c>
      <c r="U7636" s="2" t="s">
        <v>46211</v>
      </c>
      <c r="V7636" s="1">
        <v>45097</v>
      </c>
      <c r="W7636" t="s">
        <v>46212</v>
      </c>
      <c r="X7636">
        <v>110014171</v>
      </c>
      <c r="Y7636" t="s">
        <v>46213</v>
      </c>
      <c r="Z7636" t="s">
        <v>41282</v>
      </c>
      <c r="AA7636" t="s">
        <v>27527</v>
      </c>
      <c r="AB7636" t="s">
        <v>46214</v>
      </c>
      <c r="AD7636" t="s">
        <v>10535</v>
      </c>
      <c r="AE7636">
        <v>10029</v>
      </c>
      <c r="AG7636" t="s">
        <v>46215</v>
      </c>
      <c r="AH7636" t="s">
        <v>42092</v>
      </c>
      <c r="AI7636" t="s">
        <v>46216</v>
      </c>
    </row>
    <row r="7637" spans="2:35" ht="210">
      <c r="B7637" s="1">
        <v>45099</v>
      </c>
      <c r="C7637" s="4">
        <v>45098.396527777775</v>
      </c>
      <c r="D7637" t="s">
        <v>46204</v>
      </c>
      <c r="E7637" t="s">
        <v>46217</v>
      </c>
      <c r="F7637" t="s">
        <v>37</v>
      </c>
      <c r="G7637" t="s">
        <v>38</v>
      </c>
      <c r="H7637" t="s">
        <v>2581</v>
      </c>
      <c r="I7637" t="s">
        <v>40</v>
      </c>
      <c r="J7637" t="s">
        <v>32947</v>
      </c>
      <c r="K7637" t="s">
        <v>42</v>
      </c>
      <c r="L7637" t="s">
        <v>448</v>
      </c>
      <c r="Q7637">
        <v>24923</v>
      </c>
      <c r="R7637" t="s">
        <v>45</v>
      </c>
      <c r="S7637" t="s">
        <v>29171</v>
      </c>
      <c r="T7637">
        <v>35</v>
      </c>
      <c r="U7637" s="2" t="s">
        <v>46218</v>
      </c>
      <c r="W7637" t="s">
        <v>360</v>
      </c>
      <c r="X7637">
        <v>807580</v>
      </c>
      <c r="Y7637" t="s">
        <v>46219</v>
      </c>
      <c r="Z7637" t="s">
        <v>46220</v>
      </c>
      <c r="AA7637" t="s">
        <v>3589</v>
      </c>
      <c r="AB7637" t="s">
        <v>46221</v>
      </c>
      <c r="AC7637" t="s">
        <v>15866</v>
      </c>
      <c r="AG7637" t="s">
        <v>46222</v>
      </c>
      <c r="AH7637" t="s">
        <v>29177</v>
      </c>
      <c r="AI7637" t="s">
        <v>46223</v>
      </c>
    </row>
    <row r="7638" spans="2:35" ht="225">
      <c r="B7638" s="1">
        <v>45099</v>
      </c>
      <c r="C7638" s="4">
        <v>45099.606944444444</v>
      </c>
      <c r="D7638" t="s">
        <v>46224</v>
      </c>
      <c r="E7638" t="s">
        <v>46225</v>
      </c>
      <c r="F7638">
        <v>5</v>
      </c>
      <c r="G7638" t="s">
        <v>759</v>
      </c>
      <c r="H7638" t="s">
        <v>39</v>
      </c>
      <c r="I7638" t="s">
        <v>40</v>
      </c>
      <c r="J7638" s="2" t="s">
        <v>62</v>
      </c>
      <c r="K7638" t="s">
        <v>42</v>
      </c>
      <c r="L7638" t="s">
        <v>761</v>
      </c>
      <c r="Q7638">
        <v>24921</v>
      </c>
      <c r="R7638" t="s">
        <v>45</v>
      </c>
      <c r="S7638" t="s">
        <v>46226</v>
      </c>
      <c r="T7638">
        <v>27</v>
      </c>
      <c r="W7638" t="s">
        <v>360</v>
      </c>
      <c r="X7638">
        <v>814371</v>
      </c>
      <c r="Y7638" t="s">
        <v>17579</v>
      </c>
      <c r="Z7638" s="2" t="s">
        <v>46227</v>
      </c>
      <c r="AA7638" t="s">
        <v>46228</v>
      </c>
      <c r="AB7638" s="2" t="s">
        <v>46229</v>
      </c>
      <c r="AC7638" t="s">
        <v>46230</v>
      </c>
      <c r="AG7638" t="s">
        <v>46231</v>
      </c>
      <c r="AH7638" t="s">
        <v>46232</v>
      </c>
      <c r="AI7638" t="s">
        <v>46233</v>
      </c>
    </row>
    <row r="7639" spans="2:35" ht="409.5">
      <c r="B7639" s="1">
        <v>45099</v>
      </c>
      <c r="C7639" s="4">
        <v>45099.651388888888</v>
      </c>
      <c r="D7639" t="s">
        <v>25418</v>
      </c>
      <c r="E7639" t="s">
        <v>46234</v>
      </c>
      <c r="F7639" t="s">
        <v>148</v>
      </c>
      <c r="G7639" t="s">
        <v>310</v>
      </c>
      <c r="H7639" t="s">
        <v>39</v>
      </c>
      <c r="I7639" t="s">
        <v>40</v>
      </c>
      <c r="J7639" s="2" t="s">
        <v>1592</v>
      </c>
      <c r="K7639" t="s">
        <v>42</v>
      </c>
      <c r="L7639" t="s">
        <v>15532</v>
      </c>
      <c r="Q7639">
        <v>24920</v>
      </c>
      <c r="R7639" t="s">
        <v>119</v>
      </c>
      <c r="S7639" t="s">
        <v>1672</v>
      </c>
      <c r="T7639">
        <v>24</v>
      </c>
      <c r="U7639" s="2" t="s">
        <v>46235</v>
      </c>
      <c r="W7639" t="s">
        <v>597</v>
      </c>
      <c r="X7639">
        <v>831684</v>
      </c>
      <c r="Y7639" t="s">
        <v>28274</v>
      </c>
      <c r="Z7639" s="2" t="s">
        <v>46236</v>
      </c>
      <c r="AA7639" t="s">
        <v>2322</v>
      </c>
      <c r="AB7639" t="s">
        <v>181</v>
      </c>
      <c r="AG7639" t="s">
        <v>46237</v>
      </c>
      <c r="AH7639" t="s">
        <v>46238</v>
      </c>
      <c r="AI7639" t="s">
        <v>46239</v>
      </c>
    </row>
    <row r="7640" spans="2:35" ht="180">
      <c r="B7640" s="1">
        <v>45099</v>
      </c>
      <c r="C7640" s="4">
        <v>45099.592361111114</v>
      </c>
      <c r="D7640" t="s">
        <v>15154</v>
      </c>
      <c r="E7640" t="s">
        <v>46240</v>
      </c>
      <c r="F7640">
        <v>5</v>
      </c>
      <c r="G7640" t="s">
        <v>827</v>
      </c>
      <c r="H7640" t="s">
        <v>39</v>
      </c>
      <c r="I7640" t="s">
        <v>40</v>
      </c>
      <c r="J7640" s="2" t="s">
        <v>1309</v>
      </c>
      <c r="K7640" t="s">
        <v>42</v>
      </c>
      <c r="L7640" t="s">
        <v>175</v>
      </c>
      <c r="Q7640">
        <v>24919</v>
      </c>
      <c r="R7640" t="s">
        <v>119</v>
      </c>
      <c r="S7640" t="s">
        <v>46241</v>
      </c>
      <c r="T7640">
        <v>27</v>
      </c>
      <c r="U7640" s="2" t="s">
        <v>46242</v>
      </c>
      <c r="V7640" s="1">
        <v>45096</v>
      </c>
      <c r="W7640" t="s">
        <v>84</v>
      </c>
      <c r="X7640">
        <v>838267</v>
      </c>
      <c r="Y7640" s="2" t="s">
        <v>46243</v>
      </c>
      <c r="Z7640" t="e">
        <f ca="1">- checked _xludf.and cleaned cartridge bay, plunger rod, _xludf.filter, icore slot
- replaced C3
- performed XpertCheck
- generated reports</f>
        <v>#NAME?</v>
      </c>
      <c r="AA7640" t="e">
        <f ca="1">- replaced C3
- performed XpertCheck</f>
        <v>#NAME?</v>
      </c>
      <c r="AB7640" s="2" t="s">
        <v>46244</v>
      </c>
      <c r="AD7640" s="2" t="s">
        <v>46245</v>
      </c>
      <c r="AE7640">
        <v>10024</v>
      </c>
      <c r="AG7640" t="s">
        <v>46246</v>
      </c>
      <c r="AH7640" t="s">
        <v>46247</v>
      </c>
      <c r="AI7640" t="s">
        <v>46248</v>
      </c>
    </row>
    <row r="7641" spans="2:35" ht="105">
      <c r="B7641" s="1">
        <v>45099</v>
      </c>
      <c r="C7641" s="4">
        <v>45099.504861111112</v>
      </c>
      <c r="D7641" t="s">
        <v>46249</v>
      </c>
      <c r="E7641" t="s">
        <v>46250</v>
      </c>
      <c r="F7641">
        <v>6</v>
      </c>
      <c r="G7641" t="s">
        <v>1286</v>
      </c>
      <c r="H7641" t="s">
        <v>39</v>
      </c>
      <c r="I7641" t="s">
        <v>94</v>
      </c>
      <c r="J7641" s="2" t="s">
        <v>41</v>
      </c>
      <c r="K7641" t="s">
        <v>42</v>
      </c>
      <c r="L7641" t="s">
        <v>343</v>
      </c>
      <c r="Q7641">
        <v>24918</v>
      </c>
      <c r="R7641" t="s">
        <v>45</v>
      </c>
      <c r="S7641" t="s">
        <v>46251</v>
      </c>
      <c r="T7641">
        <v>24</v>
      </c>
      <c r="U7641" s="2" t="s">
        <v>35538</v>
      </c>
      <c r="W7641" t="s">
        <v>6105</v>
      </c>
      <c r="X7641">
        <v>815279</v>
      </c>
      <c r="Y7641" t="s">
        <v>46252</v>
      </c>
      <c r="Z7641" t="e">
        <f ca="1">-Remove stuck cartridge in module B2
-_xludf.Replace broken module door B2 with new module door.</f>
        <v>#NAME?</v>
      </c>
      <c r="AA7641" t="e">
        <f ca="1">-Repair
-Preventive Maintenance
-stuck cartridge Removal</f>
        <v>#NAME?</v>
      </c>
      <c r="AB7641" t="s">
        <v>9638</v>
      </c>
      <c r="AG7641" t="s">
        <v>46253</v>
      </c>
      <c r="AH7641" t="s">
        <v>46254</v>
      </c>
      <c r="AI7641" t="s">
        <v>46255</v>
      </c>
    </row>
    <row r="7642" spans="2:35">
      <c r="B7642" s="1">
        <v>45099</v>
      </c>
      <c r="C7642" s="4">
        <v>45099.490972222222</v>
      </c>
      <c r="D7642" t="s">
        <v>32945</v>
      </c>
      <c r="E7642" t="s">
        <v>46256</v>
      </c>
      <c r="F7642">
        <v>9</v>
      </c>
      <c r="G7642" t="s">
        <v>2197</v>
      </c>
      <c r="H7642" t="s">
        <v>39</v>
      </c>
      <c r="I7642" t="s">
        <v>40</v>
      </c>
      <c r="J7642" t="s">
        <v>79</v>
      </c>
      <c r="K7642" t="s">
        <v>387</v>
      </c>
      <c r="L7642" t="s">
        <v>1257</v>
      </c>
      <c r="Q7642">
        <v>24917</v>
      </c>
      <c r="R7642" t="s">
        <v>95</v>
      </c>
      <c r="S7642" t="s">
        <v>7052</v>
      </c>
      <c r="T7642">
        <v>0</v>
      </c>
      <c r="V7642" s="1">
        <v>45099</v>
      </c>
      <c r="W7642" t="s">
        <v>476</v>
      </c>
      <c r="X7642" t="s">
        <v>7053</v>
      </c>
      <c r="Y7642" t="s">
        <v>46257</v>
      </c>
      <c r="Z7642" t="s">
        <v>46258</v>
      </c>
      <c r="AA7642" t="s">
        <v>46258</v>
      </c>
      <c r="AB7642" t="s">
        <v>46259</v>
      </c>
      <c r="AC7642" t="s">
        <v>54</v>
      </c>
      <c r="AD7642" t="s">
        <v>54</v>
      </c>
      <c r="AE7642" t="s">
        <v>54</v>
      </c>
      <c r="AG7642" t="s">
        <v>46260</v>
      </c>
      <c r="AH7642" t="s">
        <v>32945</v>
      </c>
      <c r="AI7642" t="s">
        <v>46261</v>
      </c>
    </row>
    <row r="7643" spans="2:35" ht="409.5">
      <c r="B7643" s="1">
        <v>45099</v>
      </c>
      <c r="C7643" s="4">
        <v>45099.488888888889</v>
      </c>
      <c r="D7643" t="s">
        <v>29913</v>
      </c>
      <c r="E7643" t="s">
        <v>46262</v>
      </c>
      <c r="F7643">
        <v>8</v>
      </c>
      <c r="G7643" t="s">
        <v>342</v>
      </c>
      <c r="H7643" t="s">
        <v>2581</v>
      </c>
      <c r="I7643" t="s">
        <v>40</v>
      </c>
      <c r="J7643" s="2" t="s">
        <v>41</v>
      </c>
      <c r="K7643" t="s">
        <v>42</v>
      </c>
      <c r="L7643" t="s">
        <v>259</v>
      </c>
      <c r="Q7643">
        <v>24916</v>
      </c>
      <c r="R7643" t="s">
        <v>45</v>
      </c>
      <c r="S7643" t="s">
        <v>46263</v>
      </c>
      <c r="T7643">
        <v>25</v>
      </c>
      <c r="U7643" s="2" t="s">
        <v>46264</v>
      </c>
      <c r="V7643" s="1">
        <v>45099</v>
      </c>
      <c r="W7643" t="s">
        <v>84</v>
      </c>
      <c r="X7643">
        <v>707521</v>
      </c>
      <c r="Y7643" t="s">
        <v>46265</v>
      </c>
      <c r="Z7643" t="e">
        <f ca="1">-module Replacement
- Preventive Maintenance</f>
        <v>#NAME?</v>
      </c>
      <c r="AA7643" s="2" t="s">
        <v>46266</v>
      </c>
      <c r="AB7643" t="s">
        <v>70</v>
      </c>
      <c r="AD7643" t="s">
        <v>41798</v>
      </c>
      <c r="AE7643" t="s">
        <v>45</v>
      </c>
      <c r="AG7643" t="s">
        <v>46267</v>
      </c>
      <c r="AH7643" t="s">
        <v>46268</v>
      </c>
      <c r="AI7643" t="s">
        <v>46269</v>
      </c>
    </row>
    <row r="7644" spans="2:35" ht="255">
      <c r="B7644" s="1">
        <v>45099</v>
      </c>
      <c r="C7644" s="4">
        <v>45099.450694444444</v>
      </c>
      <c r="D7644" t="s">
        <v>36230</v>
      </c>
      <c r="E7644" t="s">
        <v>11902</v>
      </c>
      <c r="F7644">
        <v>6</v>
      </c>
      <c r="G7644" t="s">
        <v>1234</v>
      </c>
      <c r="H7644" t="s">
        <v>258</v>
      </c>
      <c r="I7644" t="s">
        <v>94</v>
      </c>
      <c r="J7644" s="2" t="s">
        <v>41</v>
      </c>
      <c r="K7644" t="s">
        <v>42</v>
      </c>
      <c r="L7644" t="s">
        <v>270</v>
      </c>
      <c r="Q7644">
        <v>24915</v>
      </c>
      <c r="R7644" t="s">
        <v>45</v>
      </c>
      <c r="S7644" t="s">
        <v>34236</v>
      </c>
      <c r="T7644">
        <v>23</v>
      </c>
      <c r="U7644" s="2" t="s">
        <v>46270</v>
      </c>
      <c r="W7644" t="s">
        <v>3662</v>
      </c>
      <c r="X7644">
        <v>804267</v>
      </c>
      <c r="Y7644" t="s">
        <v>46271</v>
      </c>
      <c r="Z7644" t="e">
        <f ca="1">- PERFORM module bay Cleaning, _xludf.filter Cleaning, optic slots cleaning.
- ARCHIVE tests.</f>
        <v>#NAME?</v>
      </c>
      <c r="AA7644" s="2" t="s">
        <v>46272</v>
      </c>
      <c r="AB7644" s="2" t="s">
        <v>46273</v>
      </c>
      <c r="AG7644" t="s">
        <v>46274</v>
      </c>
      <c r="AH7644" t="s">
        <v>39838</v>
      </c>
      <c r="AI7644" t="s">
        <v>46275</v>
      </c>
    </row>
    <row r="7645" spans="2:35" ht="150">
      <c r="B7645" s="1">
        <v>45099</v>
      </c>
      <c r="C7645" s="4">
        <v>45099.455555555556</v>
      </c>
      <c r="D7645" t="s">
        <v>30463</v>
      </c>
      <c r="E7645" t="s">
        <v>46276</v>
      </c>
      <c r="F7645">
        <v>5</v>
      </c>
      <c r="G7645" t="s">
        <v>827</v>
      </c>
      <c r="H7645" t="s">
        <v>39</v>
      </c>
      <c r="I7645" t="s">
        <v>40</v>
      </c>
      <c r="J7645" s="2" t="s">
        <v>1309</v>
      </c>
      <c r="K7645" t="s">
        <v>42</v>
      </c>
      <c r="L7645" t="s">
        <v>175</v>
      </c>
      <c r="Q7645">
        <v>24914</v>
      </c>
      <c r="R7645" t="s">
        <v>45</v>
      </c>
      <c r="S7645" t="s">
        <v>30465</v>
      </c>
      <c r="T7645">
        <v>30</v>
      </c>
      <c r="U7645" s="2" t="s">
        <v>15070</v>
      </c>
      <c r="V7645" s="1">
        <v>45099</v>
      </c>
      <c r="W7645" t="s">
        <v>84</v>
      </c>
      <c r="X7645">
        <v>812787</v>
      </c>
      <c r="Y7645" s="2" t="s">
        <v>46277</v>
      </c>
      <c r="Z7645" t="e">
        <f ca="1">- checked _xludf.and cleaned cartridge bay, plunger rod, _xludf.filter
- replaced B3, B4
- performed XpertCheck on B1, B2
- generated reports</f>
        <v>#NAME?</v>
      </c>
      <c r="AA7645" t="e">
        <f ca="1">- replaced B3, B4
- performed XpertCheck</f>
        <v>#NAME?</v>
      </c>
      <c r="AB7645" s="2" t="s">
        <v>46278</v>
      </c>
      <c r="AD7645" s="2" t="s">
        <v>46279</v>
      </c>
      <c r="AE7645" t="s">
        <v>103</v>
      </c>
      <c r="AG7645" t="s">
        <v>46280</v>
      </c>
      <c r="AH7645" t="s">
        <v>30468</v>
      </c>
      <c r="AI7645" t="s">
        <v>46281</v>
      </c>
    </row>
    <row r="7646" spans="2:35" ht="135">
      <c r="B7646" s="1">
        <v>45099</v>
      </c>
      <c r="C7646" s="4">
        <v>45099.458333333336</v>
      </c>
      <c r="D7646" t="s">
        <v>4982</v>
      </c>
      <c r="E7646" t="s">
        <v>35838</v>
      </c>
      <c r="F7646">
        <v>5</v>
      </c>
      <c r="G7646" t="s">
        <v>759</v>
      </c>
      <c r="H7646" t="s">
        <v>39</v>
      </c>
      <c r="I7646" t="s">
        <v>40</v>
      </c>
      <c r="J7646" t="s">
        <v>109</v>
      </c>
      <c r="K7646" t="s">
        <v>42</v>
      </c>
      <c r="L7646" t="s">
        <v>761</v>
      </c>
      <c r="Q7646">
        <v>24913</v>
      </c>
      <c r="R7646" t="s">
        <v>45</v>
      </c>
      <c r="S7646" t="s">
        <v>46282</v>
      </c>
      <c r="T7646">
        <v>20</v>
      </c>
      <c r="U7646" s="2" t="s">
        <v>46283</v>
      </c>
      <c r="W7646" t="s">
        <v>360</v>
      </c>
      <c r="X7646">
        <v>110016954</v>
      </c>
      <c r="Y7646" t="s">
        <v>46284</v>
      </c>
      <c r="Z7646" s="2" t="s">
        <v>46285</v>
      </c>
      <c r="AA7646" t="s">
        <v>820</v>
      </c>
      <c r="AB7646" t="s">
        <v>181</v>
      </c>
      <c r="AG7646" t="s">
        <v>46286</v>
      </c>
      <c r="AH7646" t="s">
        <v>46287</v>
      </c>
      <c r="AI7646" t="s">
        <v>46288</v>
      </c>
    </row>
    <row r="7647" spans="2:35" ht="345">
      <c r="B7647" s="1">
        <v>45099</v>
      </c>
      <c r="C7647" s="4">
        <v>45099.439583333333</v>
      </c>
      <c r="D7647" t="s">
        <v>46289</v>
      </c>
      <c r="E7647" t="s">
        <v>41870</v>
      </c>
      <c r="F7647">
        <v>5</v>
      </c>
      <c r="G7647" t="s">
        <v>759</v>
      </c>
      <c r="H7647" t="s">
        <v>39</v>
      </c>
      <c r="I7647" t="s">
        <v>40</v>
      </c>
      <c r="J7647" t="s">
        <v>109</v>
      </c>
      <c r="K7647" t="s">
        <v>42</v>
      </c>
      <c r="L7647" t="s">
        <v>761</v>
      </c>
      <c r="Q7647">
        <v>24912</v>
      </c>
      <c r="R7647" t="s">
        <v>45</v>
      </c>
      <c r="S7647" t="s">
        <v>46282</v>
      </c>
      <c r="T7647">
        <v>25</v>
      </c>
      <c r="U7647" s="2" t="s">
        <v>46290</v>
      </c>
      <c r="W7647" t="s">
        <v>360</v>
      </c>
      <c r="X7647">
        <v>808636</v>
      </c>
      <c r="Y7647" t="s">
        <v>46284</v>
      </c>
      <c r="Z7647" s="2" t="s">
        <v>46291</v>
      </c>
      <c r="AA7647" t="s">
        <v>820</v>
      </c>
      <c r="AB7647" t="s">
        <v>181</v>
      </c>
      <c r="AG7647" t="s">
        <v>46292</v>
      </c>
      <c r="AH7647" t="s">
        <v>46287</v>
      </c>
      <c r="AI7647" t="s">
        <v>46293</v>
      </c>
    </row>
    <row r="7648" spans="2:35" ht="285">
      <c r="B7648" s="1">
        <v>45099</v>
      </c>
      <c r="C7648" s="4">
        <v>45099.445138888892</v>
      </c>
      <c r="D7648" t="s">
        <v>46294</v>
      </c>
      <c r="E7648" t="s">
        <v>41870</v>
      </c>
      <c r="F7648">
        <v>5</v>
      </c>
      <c r="G7648" t="s">
        <v>759</v>
      </c>
      <c r="H7648" t="s">
        <v>39</v>
      </c>
      <c r="I7648" t="s">
        <v>40</v>
      </c>
      <c r="J7648" s="2" t="s">
        <v>190</v>
      </c>
      <c r="K7648" t="s">
        <v>42</v>
      </c>
      <c r="L7648" t="s">
        <v>761</v>
      </c>
      <c r="Q7648">
        <v>24911</v>
      </c>
      <c r="R7648" t="s">
        <v>45</v>
      </c>
      <c r="S7648" t="s">
        <v>46295</v>
      </c>
      <c r="T7648">
        <v>25</v>
      </c>
      <c r="U7648" s="2" t="s">
        <v>46296</v>
      </c>
      <c r="W7648" t="s">
        <v>360</v>
      </c>
      <c r="X7648">
        <v>807579</v>
      </c>
      <c r="Y7648" t="s">
        <v>37766</v>
      </c>
      <c r="Z7648" s="2" t="s">
        <v>46297</v>
      </c>
      <c r="AA7648" t="s">
        <v>820</v>
      </c>
      <c r="AB7648" t="s">
        <v>181</v>
      </c>
      <c r="AC7648" t="s">
        <v>46298</v>
      </c>
      <c r="AG7648" t="s">
        <v>46299</v>
      </c>
      <c r="AH7648" t="s">
        <v>46287</v>
      </c>
      <c r="AI7648" t="s">
        <v>46300</v>
      </c>
    </row>
    <row r="7649" spans="2:35" ht="180">
      <c r="B7649" s="1">
        <v>45099</v>
      </c>
      <c r="C7649" s="4">
        <v>45099.420138888891</v>
      </c>
      <c r="D7649" t="s">
        <v>27635</v>
      </c>
      <c r="E7649" t="s">
        <v>46301</v>
      </c>
      <c r="F7649" t="s">
        <v>148</v>
      </c>
      <c r="G7649" t="s">
        <v>447</v>
      </c>
      <c r="H7649" t="s">
        <v>39</v>
      </c>
      <c r="I7649" t="s">
        <v>40</v>
      </c>
      <c r="J7649" s="2" t="s">
        <v>62</v>
      </c>
      <c r="K7649" t="s">
        <v>42</v>
      </c>
      <c r="L7649" t="s">
        <v>15532</v>
      </c>
      <c r="Q7649">
        <v>24910</v>
      </c>
      <c r="R7649" t="s">
        <v>119</v>
      </c>
      <c r="S7649" t="s">
        <v>24625</v>
      </c>
      <c r="T7649">
        <v>29</v>
      </c>
      <c r="U7649" s="2" t="s">
        <v>46302</v>
      </c>
      <c r="W7649" t="s">
        <v>28952</v>
      </c>
      <c r="X7649">
        <v>831615</v>
      </c>
      <c r="Y7649" s="2" t="s">
        <v>46303</v>
      </c>
      <c r="Z7649" t="e">
        <f ca="1">-checked _xludf.and cleaned cartridge Bays, plung rod, I-CORE slot _xludf.and _xludf.filter
-re-XpertCheck A3 _xludf.and A4
-Both Failed XpertCheck
-checked monitor cables _xludf.and buttons
-monitor control buttons press by itself
-generated report</f>
        <v>#NAME?</v>
      </c>
      <c r="AA7649" s="2" t="s">
        <v>46304</v>
      </c>
      <c r="AB7649" t="s">
        <v>46305</v>
      </c>
      <c r="AG7649" t="s">
        <v>46306</v>
      </c>
      <c r="AH7649" t="s">
        <v>46307</v>
      </c>
      <c r="AI7649" t="s">
        <v>46308</v>
      </c>
    </row>
    <row r="7650" spans="2:35" ht="390">
      <c r="B7650" s="1">
        <v>45099</v>
      </c>
      <c r="C7650" s="4">
        <v>45099.395138888889</v>
      </c>
      <c r="D7650" t="s">
        <v>2697</v>
      </c>
      <c r="E7650" t="s">
        <v>46309</v>
      </c>
      <c r="F7650">
        <v>3</v>
      </c>
      <c r="G7650" t="s">
        <v>284</v>
      </c>
      <c r="H7650" t="s">
        <v>39</v>
      </c>
      <c r="I7650" t="s">
        <v>40</v>
      </c>
      <c r="J7650" s="2" t="s">
        <v>41</v>
      </c>
      <c r="K7650" t="s">
        <v>42</v>
      </c>
      <c r="L7650" t="s">
        <v>135</v>
      </c>
      <c r="Q7650">
        <v>24909</v>
      </c>
      <c r="R7650" t="s">
        <v>45</v>
      </c>
      <c r="S7650" t="s">
        <v>46310</v>
      </c>
      <c r="T7650">
        <v>28</v>
      </c>
      <c r="U7650" s="2" t="s">
        <v>46311</v>
      </c>
      <c r="V7650" s="1">
        <v>45096</v>
      </c>
      <c r="W7650" t="s">
        <v>2680</v>
      </c>
      <c r="X7650">
        <v>807561</v>
      </c>
      <c r="Y7650" t="s">
        <v>46312</v>
      </c>
      <c r="Z7650" t="s">
        <v>5712</v>
      </c>
      <c r="AA7650" s="2" t="s">
        <v>46313</v>
      </c>
      <c r="AB7650" t="s">
        <v>181</v>
      </c>
      <c r="AD7650" t="s">
        <v>43304</v>
      </c>
      <c r="AE7650">
        <v>41579</v>
      </c>
      <c r="AG7650" t="s">
        <v>46314</v>
      </c>
      <c r="AH7650" t="s">
        <v>46315</v>
      </c>
      <c r="AI7650" t="s">
        <v>46316</v>
      </c>
    </row>
    <row r="7651" spans="2:35" ht="105">
      <c r="B7651" s="1">
        <v>45098</v>
      </c>
      <c r="C7651" s="4">
        <v>45098.599305555559</v>
      </c>
      <c r="D7651" t="s">
        <v>26257</v>
      </c>
      <c r="E7651" t="s">
        <v>29611</v>
      </c>
      <c r="F7651">
        <v>12</v>
      </c>
      <c r="G7651" t="s">
        <v>2137</v>
      </c>
      <c r="H7651" t="s">
        <v>43278</v>
      </c>
      <c r="I7651" t="s">
        <v>94</v>
      </c>
      <c r="J7651" s="2" t="s">
        <v>41</v>
      </c>
      <c r="K7651" t="s">
        <v>42</v>
      </c>
      <c r="L7651" t="s">
        <v>296</v>
      </c>
      <c r="Q7651">
        <v>24908</v>
      </c>
      <c r="R7651" t="s">
        <v>45</v>
      </c>
      <c r="S7651" t="s">
        <v>26260</v>
      </c>
      <c r="T7651">
        <v>27.5</v>
      </c>
      <c r="U7651" s="2" t="s">
        <v>46317</v>
      </c>
      <c r="W7651" t="s">
        <v>46318</v>
      </c>
      <c r="X7651">
        <v>835182</v>
      </c>
      <c r="Y7651" t="s">
        <v>46319</v>
      </c>
      <c r="Z7651" t="s">
        <v>46320</v>
      </c>
      <c r="AA7651" t="s">
        <v>303</v>
      </c>
      <c r="AB7651" t="s">
        <v>46321</v>
      </c>
      <c r="AC7651" t="s">
        <v>46322</v>
      </c>
      <c r="AG7651" t="s">
        <v>46323</v>
      </c>
      <c r="AH7651" t="s">
        <v>45846</v>
      </c>
      <c r="AI7651" t="s">
        <v>46324</v>
      </c>
    </row>
    <row r="7652" spans="2:35" ht="225">
      <c r="B7652" s="1">
        <v>45098</v>
      </c>
      <c r="C7652" s="4">
        <v>45098.771527777775</v>
      </c>
      <c r="D7652" t="s">
        <v>33508</v>
      </c>
      <c r="E7652" t="s">
        <v>39</v>
      </c>
      <c r="F7652">
        <v>3</v>
      </c>
      <c r="G7652" t="s">
        <v>1640</v>
      </c>
      <c r="H7652" t="s">
        <v>39</v>
      </c>
      <c r="I7652" t="s">
        <v>40</v>
      </c>
      <c r="J7652" s="2" t="s">
        <v>62</v>
      </c>
      <c r="K7652" t="s">
        <v>42</v>
      </c>
      <c r="L7652" t="s">
        <v>63</v>
      </c>
      <c r="Q7652">
        <v>24907</v>
      </c>
      <c r="R7652" t="s">
        <v>119</v>
      </c>
      <c r="S7652" t="s">
        <v>1642</v>
      </c>
      <c r="T7652">
        <v>23</v>
      </c>
      <c r="U7652" s="2" t="s">
        <v>46325</v>
      </c>
      <c r="V7652" s="1">
        <v>44971</v>
      </c>
      <c r="W7652" t="s">
        <v>26915</v>
      </c>
      <c r="X7652">
        <v>831844</v>
      </c>
      <c r="Y7652" t="s">
        <v>26157</v>
      </c>
      <c r="Z7652" t="s">
        <v>46326</v>
      </c>
      <c r="AA7652" s="2" t="s">
        <v>38119</v>
      </c>
      <c r="AB7652" t="s">
        <v>70</v>
      </c>
      <c r="AC7652" t="s">
        <v>38901</v>
      </c>
      <c r="AD7652" t="s">
        <v>46113</v>
      </c>
      <c r="AE7652">
        <v>9631</v>
      </c>
      <c r="AG7652" t="s">
        <v>46327</v>
      </c>
      <c r="AH7652" t="s">
        <v>46328</v>
      </c>
      <c r="AI7652" t="s">
        <v>46329</v>
      </c>
    </row>
    <row r="7653" spans="2:35" ht="409.5">
      <c r="B7653" s="1">
        <v>45098</v>
      </c>
      <c r="C7653" s="4">
        <v>45098.624305555553</v>
      </c>
      <c r="D7653" t="s">
        <v>1686</v>
      </c>
      <c r="E7653" t="s">
        <v>46330</v>
      </c>
      <c r="F7653" t="s">
        <v>148</v>
      </c>
      <c r="G7653" t="s">
        <v>785</v>
      </c>
      <c r="H7653" t="s">
        <v>39</v>
      </c>
      <c r="I7653" t="s">
        <v>40</v>
      </c>
      <c r="J7653" s="2" t="s">
        <v>190</v>
      </c>
      <c r="K7653" t="s">
        <v>42</v>
      </c>
      <c r="L7653" t="s">
        <v>15532</v>
      </c>
      <c r="Q7653">
        <v>24906</v>
      </c>
      <c r="R7653" t="s">
        <v>45</v>
      </c>
      <c r="S7653" t="s">
        <v>1688</v>
      </c>
      <c r="T7653">
        <v>22</v>
      </c>
      <c r="U7653" s="2" t="s">
        <v>46331</v>
      </c>
      <c r="W7653" t="s">
        <v>597</v>
      </c>
      <c r="X7653">
        <v>838898</v>
      </c>
      <c r="Y7653" t="s">
        <v>46332</v>
      </c>
      <c r="Z7653" s="2" t="s">
        <v>46333</v>
      </c>
      <c r="AA7653" t="s">
        <v>46334</v>
      </c>
      <c r="AB7653" t="s">
        <v>46335</v>
      </c>
      <c r="AG7653" t="s">
        <v>46336</v>
      </c>
      <c r="AH7653" t="s">
        <v>8273</v>
      </c>
      <c r="AI7653" t="s">
        <v>46337</v>
      </c>
    </row>
    <row r="7654" spans="2:35" ht="180">
      <c r="B7654" s="1">
        <v>45098</v>
      </c>
      <c r="C7654" s="4">
        <v>45098.629861111112</v>
      </c>
      <c r="D7654" t="s">
        <v>46338</v>
      </c>
      <c r="E7654" t="s">
        <v>46339</v>
      </c>
      <c r="F7654">
        <v>7</v>
      </c>
      <c r="G7654" t="s">
        <v>6529</v>
      </c>
      <c r="H7654" t="s">
        <v>10969</v>
      </c>
      <c r="I7654" t="s">
        <v>40</v>
      </c>
      <c r="J7654" t="s">
        <v>996</v>
      </c>
      <c r="K7654" t="s">
        <v>42</v>
      </c>
      <c r="L7654" t="s">
        <v>1288</v>
      </c>
      <c r="Q7654">
        <v>24905</v>
      </c>
      <c r="R7654" t="s">
        <v>45</v>
      </c>
      <c r="S7654" t="s">
        <v>12992</v>
      </c>
      <c r="T7654">
        <v>27</v>
      </c>
      <c r="U7654" s="2" t="s">
        <v>46340</v>
      </c>
      <c r="W7654" t="s">
        <v>1292</v>
      </c>
      <c r="X7654">
        <v>815431</v>
      </c>
      <c r="Y7654" t="s">
        <v>46341</v>
      </c>
      <c r="Z7654" t="s">
        <v>9107</v>
      </c>
      <c r="AA7654" t="s">
        <v>46342</v>
      </c>
      <c r="AB7654" t="s">
        <v>1293</v>
      </c>
      <c r="AG7654" t="s">
        <v>46343</v>
      </c>
      <c r="AH7654" t="s">
        <v>46344</v>
      </c>
      <c r="AI7654" t="s">
        <v>46345</v>
      </c>
    </row>
    <row r="7655" spans="2:35" ht="225">
      <c r="B7655" s="1">
        <v>45098</v>
      </c>
      <c r="C7655" s="4">
        <v>45098.555555555555</v>
      </c>
      <c r="D7655" t="s">
        <v>37250</v>
      </c>
      <c r="E7655" t="s">
        <v>37251</v>
      </c>
      <c r="F7655">
        <v>7</v>
      </c>
      <c r="G7655" t="s">
        <v>432</v>
      </c>
      <c r="H7655" t="s">
        <v>2290</v>
      </c>
      <c r="I7655" t="s">
        <v>94</v>
      </c>
      <c r="J7655" t="s">
        <v>996</v>
      </c>
      <c r="K7655" t="s">
        <v>42</v>
      </c>
      <c r="L7655" t="s">
        <v>610</v>
      </c>
      <c r="Q7655">
        <v>24904</v>
      </c>
      <c r="R7655" t="s">
        <v>45</v>
      </c>
      <c r="S7655" t="s">
        <v>25240</v>
      </c>
      <c r="T7655">
        <v>24</v>
      </c>
      <c r="U7655" s="2" t="s">
        <v>46346</v>
      </c>
      <c r="W7655" t="s">
        <v>502</v>
      </c>
      <c r="X7655">
        <v>815464</v>
      </c>
      <c r="Y7655" t="s">
        <v>46347</v>
      </c>
      <c r="Z7655" s="2" t="s">
        <v>46348</v>
      </c>
      <c r="AA7655" t="s">
        <v>46349</v>
      </c>
      <c r="AB7655" t="s">
        <v>46350</v>
      </c>
      <c r="AG7655" t="s">
        <v>46351</v>
      </c>
      <c r="AH7655" t="s">
        <v>46352</v>
      </c>
      <c r="AI7655" t="s">
        <v>46353</v>
      </c>
    </row>
    <row r="7656" spans="2:35" ht="345">
      <c r="B7656" s="1">
        <v>45098</v>
      </c>
      <c r="C7656" s="4">
        <v>45098.53125</v>
      </c>
      <c r="D7656" t="s">
        <v>7859</v>
      </c>
      <c r="E7656" t="s">
        <v>46354</v>
      </c>
      <c r="F7656">
        <v>6</v>
      </c>
      <c r="G7656" t="s">
        <v>1286</v>
      </c>
      <c r="H7656" t="s">
        <v>11433</v>
      </c>
      <c r="I7656" t="s">
        <v>94</v>
      </c>
      <c r="J7656" s="2" t="s">
        <v>41</v>
      </c>
      <c r="K7656" t="s">
        <v>42</v>
      </c>
      <c r="L7656" t="s">
        <v>343</v>
      </c>
      <c r="Q7656">
        <v>24902</v>
      </c>
      <c r="R7656" t="s">
        <v>45</v>
      </c>
      <c r="S7656" t="s">
        <v>22494</v>
      </c>
      <c r="T7656">
        <v>22</v>
      </c>
      <c r="U7656" s="2" t="s">
        <v>5149</v>
      </c>
      <c r="V7656" s="1">
        <v>45098</v>
      </c>
      <c r="W7656" t="s">
        <v>6105</v>
      </c>
      <c r="X7656">
        <v>804699</v>
      </c>
      <c r="Y7656" t="s">
        <v>46355</v>
      </c>
      <c r="Z7656" s="2" t="s">
        <v>46356</v>
      </c>
      <c r="AA7656" t="e">
        <f ca="1">-module Replacement
-Preventive Maintenance</f>
        <v>#NAME?</v>
      </c>
      <c r="AB7656" t="s">
        <v>9638</v>
      </c>
      <c r="AD7656" t="s">
        <v>46357</v>
      </c>
      <c r="AE7656" t="s">
        <v>45</v>
      </c>
      <c r="AG7656" t="s">
        <v>46358</v>
      </c>
      <c r="AH7656" t="s">
        <v>33534</v>
      </c>
      <c r="AI7656" t="s">
        <v>46359</v>
      </c>
    </row>
    <row r="7657" spans="2:35" ht="150">
      <c r="B7657" s="1">
        <v>45098</v>
      </c>
      <c r="C7657" s="4">
        <v>45098.506944444445</v>
      </c>
      <c r="D7657" t="s">
        <v>4814</v>
      </c>
      <c r="E7657" t="s">
        <v>784</v>
      </c>
      <c r="F7657" t="s">
        <v>148</v>
      </c>
      <c r="G7657" t="s">
        <v>785</v>
      </c>
      <c r="H7657" t="s">
        <v>39</v>
      </c>
      <c r="I7657" t="s">
        <v>40</v>
      </c>
      <c r="J7657" s="2" t="s">
        <v>190</v>
      </c>
      <c r="K7657" t="s">
        <v>42</v>
      </c>
      <c r="L7657" t="s">
        <v>15532</v>
      </c>
      <c r="Q7657">
        <v>24901</v>
      </c>
      <c r="R7657" t="s">
        <v>45</v>
      </c>
      <c r="S7657" t="s">
        <v>26449</v>
      </c>
      <c r="T7657">
        <v>31</v>
      </c>
      <c r="U7657" s="2" t="s">
        <v>28376</v>
      </c>
      <c r="W7657" t="s">
        <v>3244</v>
      </c>
      <c r="X7657">
        <v>814163</v>
      </c>
      <c r="Y7657" t="s">
        <v>31881</v>
      </c>
      <c r="Z7657" t="e">
        <f ca="1">-did Preventive Maintenance
-Continued Troubleshooting by replacing HDD with a new one
-still the problem persists
-Tested Original HDD, still working fine
-used old CPU instead
-removed old CPU HDD _xludf.and used the Original HDD
-Setup the GX
-generated report</f>
        <v>#NAME?</v>
      </c>
      <c r="AA7657" t="s">
        <v>46360</v>
      </c>
      <c r="AB7657" s="2" t="s">
        <v>46361</v>
      </c>
      <c r="AG7657" t="s">
        <v>46362</v>
      </c>
      <c r="AH7657" t="s">
        <v>46363</v>
      </c>
      <c r="AI7657" t="s">
        <v>46364</v>
      </c>
    </row>
    <row r="7658" spans="2:35" ht="180">
      <c r="B7658" s="1">
        <v>45098</v>
      </c>
      <c r="C7658" s="4">
        <v>45098.422222222223</v>
      </c>
      <c r="D7658" t="s">
        <v>46365</v>
      </c>
      <c r="E7658" t="s">
        <v>46366</v>
      </c>
      <c r="F7658">
        <v>7</v>
      </c>
      <c r="G7658" t="s">
        <v>6529</v>
      </c>
      <c r="H7658" t="s">
        <v>10969</v>
      </c>
      <c r="I7658" t="s">
        <v>40</v>
      </c>
      <c r="J7658" t="s">
        <v>109</v>
      </c>
      <c r="K7658" t="s">
        <v>42</v>
      </c>
      <c r="L7658" t="s">
        <v>1288</v>
      </c>
      <c r="Q7658">
        <v>24900</v>
      </c>
      <c r="R7658" t="s">
        <v>45</v>
      </c>
      <c r="S7658" t="s">
        <v>46367</v>
      </c>
      <c r="T7658">
        <v>25</v>
      </c>
      <c r="U7658" s="2" t="s">
        <v>46368</v>
      </c>
      <c r="W7658" t="s">
        <v>1292</v>
      </c>
      <c r="X7658">
        <v>807603</v>
      </c>
      <c r="Y7658" t="s">
        <v>1529</v>
      </c>
      <c r="Z7658" t="e">
        <f ca="1">-COLLECT XpertCheck Data
-COLLECT IQR,system _xludf.Log,_xludf.and ARCHIVE</f>
        <v>#NAME?</v>
      </c>
      <c r="AA7658" t="e">
        <f ca="1">-PERFORM Preventive Maintenance</f>
        <v>#NAME?</v>
      </c>
      <c r="AB7658" t="s">
        <v>1293</v>
      </c>
      <c r="AG7658" t="s">
        <v>46369</v>
      </c>
      <c r="AH7658" t="s">
        <v>46370</v>
      </c>
      <c r="AI7658" t="s">
        <v>46371</v>
      </c>
    </row>
    <row r="7659" spans="2:35" ht="409.5">
      <c r="B7659" s="1">
        <v>45098</v>
      </c>
      <c r="C7659" s="4">
        <v>45098.42291666667</v>
      </c>
      <c r="D7659" t="s">
        <v>45379</v>
      </c>
      <c r="E7659" t="s">
        <v>45380</v>
      </c>
      <c r="F7659">
        <v>6</v>
      </c>
      <c r="G7659" t="s">
        <v>1234</v>
      </c>
      <c r="H7659" t="s">
        <v>258</v>
      </c>
      <c r="I7659" t="s">
        <v>94</v>
      </c>
      <c r="J7659" s="2" t="s">
        <v>4208</v>
      </c>
      <c r="K7659" t="s">
        <v>42</v>
      </c>
      <c r="L7659" t="s">
        <v>270</v>
      </c>
      <c r="Q7659">
        <v>24899</v>
      </c>
      <c r="R7659" t="s">
        <v>45</v>
      </c>
      <c r="S7659" t="s">
        <v>30742</v>
      </c>
      <c r="T7659">
        <v>20</v>
      </c>
      <c r="U7659" s="2" t="s">
        <v>46372</v>
      </c>
      <c r="W7659" t="s">
        <v>3662</v>
      </c>
      <c r="X7659">
        <v>807455</v>
      </c>
      <c r="Y7659" t="s">
        <v>46373</v>
      </c>
      <c r="Z7659" s="2" t="s">
        <v>46374</v>
      </c>
      <c r="AA7659" s="2" t="s">
        <v>46375</v>
      </c>
      <c r="AB7659" s="2" t="s">
        <v>46376</v>
      </c>
      <c r="AC7659" t="s">
        <v>46377</v>
      </c>
      <c r="AG7659" t="s">
        <v>46378</v>
      </c>
      <c r="AH7659" t="s">
        <v>45385</v>
      </c>
      <c r="AI7659" t="s">
        <v>46379</v>
      </c>
    </row>
    <row r="7660" spans="2:35" ht="180">
      <c r="B7660" s="1">
        <v>45098</v>
      </c>
      <c r="C7660" s="4">
        <v>45098.420138888891</v>
      </c>
      <c r="D7660" t="s">
        <v>9762</v>
      </c>
      <c r="E7660" t="s">
        <v>46380</v>
      </c>
      <c r="F7660">
        <v>8</v>
      </c>
      <c r="G7660" t="s">
        <v>2945</v>
      </c>
      <c r="H7660" t="s">
        <v>39</v>
      </c>
      <c r="I7660" t="s">
        <v>40</v>
      </c>
      <c r="J7660" t="s">
        <v>109</v>
      </c>
      <c r="K7660" t="s">
        <v>42</v>
      </c>
      <c r="L7660" t="s">
        <v>259</v>
      </c>
      <c r="Q7660">
        <v>24898</v>
      </c>
      <c r="R7660" t="s">
        <v>119</v>
      </c>
      <c r="S7660" t="s">
        <v>9764</v>
      </c>
      <c r="T7660">
        <v>27</v>
      </c>
      <c r="U7660" s="2" t="s">
        <v>46381</v>
      </c>
      <c r="V7660" s="1">
        <v>45098</v>
      </c>
      <c r="W7660" t="s">
        <v>84</v>
      </c>
      <c r="X7660">
        <v>838548</v>
      </c>
      <c r="Y7660" t="s">
        <v>1716</v>
      </c>
      <c r="Z7660" t="s">
        <v>1716</v>
      </c>
      <c r="AA7660" t="e">
        <f ca="1">-Preventive Maintenance
- performed functionality test
- Generate reports</f>
        <v>#NAME?</v>
      </c>
      <c r="AB7660" t="s">
        <v>70</v>
      </c>
      <c r="AG7660" t="s">
        <v>46382</v>
      </c>
      <c r="AH7660" t="s">
        <v>17872</v>
      </c>
      <c r="AI7660" t="s">
        <v>46383</v>
      </c>
    </row>
    <row r="7661" spans="2:35" ht="180">
      <c r="B7661" s="1">
        <v>45098</v>
      </c>
      <c r="C7661" s="4">
        <v>45098.398611111108</v>
      </c>
      <c r="D7661" t="s">
        <v>22568</v>
      </c>
      <c r="E7661" t="s">
        <v>22569</v>
      </c>
      <c r="F7661">
        <v>5</v>
      </c>
      <c r="G7661" t="s">
        <v>827</v>
      </c>
      <c r="H7661" t="s">
        <v>39</v>
      </c>
      <c r="I7661" t="s">
        <v>40</v>
      </c>
      <c r="J7661" s="2" t="s">
        <v>1309</v>
      </c>
      <c r="K7661" t="s">
        <v>42</v>
      </c>
      <c r="L7661" t="s">
        <v>175</v>
      </c>
      <c r="Q7661">
        <v>24897</v>
      </c>
      <c r="R7661" t="s">
        <v>119</v>
      </c>
      <c r="S7661" t="s">
        <v>22570</v>
      </c>
      <c r="T7661">
        <v>25</v>
      </c>
      <c r="U7661" s="2" t="s">
        <v>46384</v>
      </c>
      <c r="V7661" s="1">
        <v>45096</v>
      </c>
      <c r="W7661" t="s">
        <v>84</v>
      </c>
      <c r="X7661">
        <v>838268</v>
      </c>
      <c r="Y7661" t="e">
        <f ca="1">- module B4(807568) _xludf.For Replacement
- Unit _xludf.For CALIBRATION</f>
        <v>#NAME?</v>
      </c>
      <c r="Z7661" t="e">
        <f ca="1">- checked _xludf.and cleaned cartridge bay, plunger rod, _xludf.filter, icore slot
- replaced B4
- performed XpertCheck except of B4
- generated reports</f>
        <v>#NAME?</v>
      </c>
      <c r="AA7661" t="e">
        <f ca="1">- replaced B4
- performed XpertCheck</f>
        <v>#NAME?</v>
      </c>
      <c r="AB7661" s="2" t="s">
        <v>46385</v>
      </c>
      <c r="AD7661" s="2" t="s">
        <v>46386</v>
      </c>
      <c r="AE7661" t="s">
        <v>46387</v>
      </c>
      <c r="AG7661" t="s">
        <v>46388</v>
      </c>
      <c r="AH7661" t="s">
        <v>46389</v>
      </c>
      <c r="AI7661" t="s">
        <v>46390</v>
      </c>
    </row>
    <row r="7662" spans="2:35" ht="285">
      <c r="B7662" s="1">
        <v>45097</v>
      </c>
      <c r="C7662" s="4">
        <v>45097.703472222223</v>
      </c>
      <c r="D7662" t="s">
        <v>19752</v>
      </c>
      <c r="E7662" t="s">
        <v>43902</v>
      </c>
      <c r="F7662">
        <v>7</v>
      </c>
      <c r="G7662" t="s">
        <v>6529</v>
      </c>
      <c r="H7662" t="s">
        <v>10969</v>
      </c>
      <c r="I7662" t="s">
        <v>40</v>
      </c>
      <c r="J7662" s="2" t="s">
        <v>62</v>
      </c>
      <c r="K7662" t="s">
        <v>42</v>
      </c>
      <c r="L7662" t="s">
        <v>1288</v>
      </c>
      <c r="Q7662">
        <v>24896</v>
      </c>
      <c r="R7662" t="s">
        <v>119</v>
      </c>
      <c r="S7662" t="s">
        <v>10370</v>
      </c>
      <c r="T7662">
        <v>25</v>
      </c>
      <c r="U7662" s="2" t="s">
        <v>46391</v>
      </c>
      <c r="W7662" t="s">
        <v>1292</v>
      </c>
      <c r="X7662">
        <v>838203</v>
      </c>
      <c r="Y7662" t="s">
        <v>46392</v>
      </c>
      <c r="Z7662" t="s">
        <v>42350</v>
      </c>
      <c r="AA7662" s="2" t="s">
        <v>46393</v>
      </c>
      <c r="AB7662" t="s">
        <v>46394</v>
      </c>
      <c r="AG7662" t="s">
        <v>46395</v>
      </c>
      <c r="AH7662" t="s">
        <v>46396</v>
      </c>
      <c r="AI7662" t="s">
        <v>46397</v>
      </c>
    </row>
    <row r="7663" spans="2:35" ht="409.5">
      <c r="B7663" s="1">
        <v>45097</v>
      </c>
      <c r="C7663" s="4">
        <v>45097.631249999999</v>
      </c>
      <c r="D7663" t="s">
        <v>4814</v>
      </c>
      <c r="E7663" t="s">
        <v>45465</v>
      </c>
      <c r="F7663" t="s">
        <v>148</v>
      </c>
      <c r="G7663" t="s">
        <v>785</v>
      </c>
      <c r="H7663" t="s">
        <v>39</v>
      </c>
      <c r="I7663" t="s">
        <v>40</v>
      </c>
      <c r="J7663" s="2" t="s">
        <v>190</v>
      </c>
      <c r="K7663" t="s">
        <v>42</v>
      </c>
      <c r="L7663" t="s">
        <v>15532</v>
      </c>
      <c r="Q7663">
        <v>24895</v>
      </c>
      <c r="R7663" t="s">
        <v>45</v>
      </c>
      <c r="S7663" t="s">
        <v>26449</v>
      </c>
      <c r="T7663">
        <v>25</v>
      </c>
      <c r="W7663" t="s">
        <v>3244</v>
      </c>
      <c r="X7663">
        <v>814163</v>
      </c>
      <c r="Y7663" t="s">
        <v>31881</v>
      </c>
      <c r="Z7663" s="2" t="s">
        <v>46398</v>
      </c>
      <c r="AA7663" t="e">
        <f ca="1">-replaced CMOS battery
-Updated _xludf.Date &amp; _xludf.time
-Troubleshoot in BIOS</f>
        <v>#NAME?</v>
      </c>
      <c r="AB7663" t="s">
        <v>46399</v>
      </c>
      <c r="AG7663" t="s">
        <v>46400</v>
      </c>
      <c r="AH7663" t="s">
        <v>46401</v>
      </c>
      <c r="AI7663" t="s">
        <v>46402</v>
      </c>
    </row>
    <row r="7664" spans="2:35" ht="180">
      <c r="B7664" s="1">
        <v>45097</v>
      </c>
      <c r="C7664" s="4">
        <v>45097.668749999997</v>
      </c>
      <c r="D7664" t="s">
        <v>46403</v>
      </c>
      <c r="E7664" t="s">
        <v>46404</v>
      </c>
      <c r="F7664">
        <v>7</v>
      </c>
      <c r="G7664" t="s">
        <v>432</v>
      </c>
      <c r="H7664" t="s">
        <v>2290</v>
      </c>
      <c r="I7664" t="s">
        <v>94</v>
      </c>
      <c r="J7664" s="2" t="s">
        <v>190</v>
      </c>
      <c r="K7664" t="s">
        <v>42</v>
      </c>
      <c r="L7664" t="s">
        <v>610</v>
      </c>
      <c r="Q7664">
        <v>24894</v>
      </c>
      <c r="R7664" t="s">
        <v>45</v>
      </c>
      <c r="S7664" t="s">
        <v>46405</v>
      </c>
      <c r="T7664">
        <v>29</v>
      </c>
      <c r="U7664" s="2" t="s">
        <v>41519</v>
      </c>
      <c r="W7664" t="s">
        <v>502</v>
      </c>
      <c r="X7664">
        <v>838892</v>
      </c>
      <c r="Y7664" t="s">
        <v>15451</v>
      </c>
      <c r="Z7664" s="2" t="s">
        <v>46406</v>
      </c>
      <c r="AA7664" s="2" t="s">
        <v>46407</v>
      </c>
      <c r="AB7664" t="s">
        <v>46408</v>
      </c>
      <c r="AG7664" t="s">
        <v>46409</v>
      </c>
      <c r="AH7664" t="s">
        <v>46410</v>
      </c>
      <c r="AI7664" t="s">
        <v>46411</v>
      </c>
    </row>
    <row r="7665" spans="2:35" ht="409.5">
      <c r="B7665" s="1">
        <v>45097</v>
      </c>
      <c r="C7665" s="4">
        <v>45097.604166666664</v>
      </c>
      <c r="D7665" t="s">
        <v>44809</v>
      </c>
      <c r="E7665" t="s">
        <v>3432</v>
      </c>
      <c r="F7665">
        <v>7</v>
      </c>
      <c r="G7665" t="s">
        <v>432</v>
      </c>
      <c r="H7665" t="s">
        <v>2290</v>
      </c>
      <c r="I7665" t="s">
        <v>94</v>
      </c>
      <c r="J7665" s="2" t="s">
        <v>62</v>
      </c>
      <c r="K7665" t="s">
        <v>42</v>
      </c>
      <c r="L7665" t="s">
        <v>610</v>
      </c>
      <c r="Q7665">
        <v>24893</v>
      </c>
      <c r="R7665" t="s">
        <v>45</v>
      </c>
      <c r="S7665" t="s">
        <v>3433</v>
      </c>
      <c r="T7665">
        <v>30</v>
      </c>
      <c r="U7665" s="2" t="s">
        <v>46412</v>
      </c>
      <c r="W7665" t="s">
        <v>502</v>
      </c>
      <c r="X7665">
        <v>807588</v>
      </c>
      <c r="Y7665" t="s">
        <v>46413</v>
      </c>
      <c r="Z7665" s="2" t="s">
        <v>46414</v>
      </c>
      <c r="AA7665" s="2" t="s">
        <v>46415</v>
      </c>
      <c r="AB7665" t="s">
        <v>46416</v>
      </c>
      <c r="AG7665" t="s">
        <v>46417</v>
      </c>
      <c r="AH7665" t="s">
        <v>46418</v>
      </c>
      <c r="AI7665" t="s">
        <v>46419</v>
      </c>
    </row>
    <row r="7666" spans="2:35" ht="409.5">
      <c r="B7666" s="1">
        <v>45097</v>
      </c>
      <c r="C7666" s="4">
        <v>45097.591666666667</v>
      </c>
      <c r="D7666" t="s">
        <v>46420</v>
      </c>
      <c r="E7666" t="s">
        <v>1233</v>
      </c>
      <c r="F7666">
        <v>6</v>
      </c>
      <c r="G7666" t="s">
        <v>1234</v>
      </c>
      <c r="H7666" t="s">
        <v>258</v>
      </c>
      <c r="I7666" t="s">
        <v>94</v>
      </c>
      <c r="J7666" s="2" t="s">
        <v>1899</v>
      </c>
      <c r="K7666" t="s">
        <v>42</v>
      </c>
      <c r="L7666" t="s">
        <v>270</v>
      </c>
      <c r="Q7666">
        <v>24892</v>
      </c>
      <c r="R7666" t="s">
        <v>719</v>
      </c>
      <c r="S7666" t="s">
        <v>3795</v>
      </c>
      <c r="T7666">
        <v>20</v>
      </c>
      <c r="U7666" s="2" t="s">
        <v>46421</v>
      </c>
      <c r="W7666" t="s">
        <v>1292</v>
      </c>
      <c r="X7666">
        <v>847255</v>
      </c>
      <c r="Y7666" t="s">
        <v>46422</v>
      </c>
      <c r="Z7666" t="e">
        <f ca="1">- checked UPS boards _xludf.and components _xludf.For burns.
- checked UPS Configuration/settings.</f>
        <v>#NAME?</v>
      </c>
      <c r="AA7666" s="2" t="s">
        <v>46423</v>
      </c>
      <c r="AB7666" t="s">
        <v>46424</v>
      </c>
      <c r="AC7666" t="s">
        <v>46425</v>
      </c>
      <c r="AG7666" t="s">
        <v>46426</v>
      </c>
      <c r="AH7666" t="s">
        <v>46427</v>
      </c>
      <c r="AI7666" t="s">
        <v>46428</v>
      </c>
    </row>
    <row r="7667" spans="2:35" ht="75">
      <c r="B7667" s="1">
        <v>45097</v>
      </c>
      <c r="C7667" s="4">
        <v>45097.588194444441</v>
      </c>
      <c r="D7667" t="s">
        <v>2233</v>
      </c>
      <c r="E7667" t="s">
        <v>34113</v>
      </c>
      <c r="F7667">
        <v>7</v>
      </c>
      <c r="G7667" t="s">
        <v>432</v>
      </c>
      <c r="H7667" t="s">
        <v>39</v>
      </c>
      <c r="I7667" t="s">
        <v>94</v>
      </c>
      <c r="J7667" t="s">
        <v>321</v>
      </c>
      <c r="K7667" t="s">
        <v>42</v>
      </c>
      <c r="L7667" t="s">
        <v>594</v>
      </c>
      <c r="Q7667">
        <v>24891</v>
      </c>
      <c r="R7667" t="s">
        <v>119</v>
      </c>
      <c r="S7667" t="s">
        <v>2235</v>
      </c>
      <c r="T7667">
        <v>23</v>
      </c>
      <c r="U7667" s="2" t="s">
        <v>2367</v>
      </c>
      <c r="V7667" s="1">
        <v>45096</v>
      </c>
      <c r="W7667" t="s">
        <v>502</v>
      </c>
      <c r="X7667">
        <v>838564</v>
      </c>
      <c r="Y7667" t="s">
        <v>46429</v>
      </c>
      <c r="Z7667" t="s">
        <v>46430</v>
      </c>
      <c r="AA7667" t="s">
        <v>46430</v>
      </c>
      <c r="AB7667" t="s">
        <v>46431</v>
      </c>
      <c r="AG7667" t="s">
        <v>46432</v>
      </c>
      <c r="AH7667" t="s">
        <v>2241</v>
      </c>
      <c r="AI7667" t="s">
        <v>46433</v>
      </c>
    </row>
    <row r="7668" spans="2:35" ht="409.5">
      <c r="B7668" s="1">
        <v>45097</v>
      </c>
      <c r="C7668" s="4">
        <v>45097.581944444442</v>
      </c>
      <c r="D7668" t="s">
        <v>26071</v>
      </c>
      <c r="E7668" t="s">
        <v>26072</v>
      </c>
      <c r="F7668" t="s">
        <v>148</v>
      </c>
      <c r="G7668" t="s">
        <v>421</v>
      </c>
      <c r="H7668" t="s">
        <v>39</v>
      </c>
      <c r="I7668" t="s">
        <v>40</v>
      </c>
      <c r="J7668" t="s">
        <v>525</v>
      </c>
      <c r="K7668" t="s">
        <v>42</v>
      </c>
      <c r="L7668" t="s">
        <v>175</v>
      </c>
      <c r="Q7668">
        <v>24890</v>
      </c>
      <c r="R7668" t="s">
        <v>45</v>
      </c>
      <c r="S7668" t="s">
        <v>422</v>
      </c>
      <c r="T7668">
        <v>35</v>
      </c>
      <c r="U7668" s="2" t="s">
        <v>24107</v>
      </c>
      <c r="W7668" t="s">
        <v>84</v>
      </c>
      <c r="X7668">
        <v>815381</v>
      </c>
      <c r="Y7668" t="s">
        <v>46434</v>
      </c>
      <c r="Z7668" t="e">
        <f ca="1">- checked system _xludf.if working (_xludf.not working)
- performed Troubleshooting _xludf.and gathered various Data required by Cepheid _xludf.For Reporting</f>
        <v>#NAME?</v>
      </c>
      <c r="AA7668" t="s">
        <v>46435</v>
      </c>
      <c r="AB7668" s="2" t="s">
        <v>46436</v>
      </c>
      <c r="AG7668" t="s">
        <v>46437</v>
      </c>
      <c r="AH7668" t="s">
        <v>428</v>
      </c>
      <c r="AI7668" t="s">
        <v>46438</v>
      </c>
    </row>
    <row r="7669" spans="2:35" ht="315">
      <c r="B7669" s="1">
        <v>45097</v>
      </c>
      <c r="C7669" s="4">
        <v>45097.530555555553</v>
      </c>
      <c r="D7669" t="s">
        <v>7743</v>
      </c>
      <c r="E7669" t="s">
        <v>46439</v>
      </c>
      <c r="F7669">
        <v>11</v>
      </c>
      <c r="G7669" t="s">
        <v>1205</v>
      </c>
      <c r="H7669" t="s">
        <v>202</v>
      </c>
      <c r="I7669" t="s">
        <v>40</v>
      </c>
      <c r="J7669" t="s">
        <v>109</v>
      </c>
      <c r="K7669" t="s">
        <v>42</v>
      </c>
      <c r="L7669" t="s">
        <v>204</v>
      </c>
      <c r="Q7669">
        <v>24889</v>
      </c>
      <c r="R7669" t="s">
        <v>119</v>
      </c>
      <c r="S7669" t="s">
        <v>7745</v>
      </c>
      <c r="T7669">
        <v>25.6</v>
      </c>
      <c r="U7669" s="2" t="s">
        <v>46440</v>
      </c>
      <c r="W7669" t="s">
        <v>23237</v>
      </c>
      <c r="X7669">
        <v>838492</v>
      </c>
      <c r="Y7669" t="s">
        <v>1052</v>
      </c>
      <c r="Z7669" s="2" t="s">
        <v>1321</v>
      </c>
      <c r="AA7669" t="s">
        <v>2551</v>
      </c>
      <c r="AB7669" t="s">
        <v>46441</v>
      </c>
      <c r="AG7669" t="s">
        <v>46442</v>
      </c>
      <c r="AH7669" t="s">
        <v>46443</v>
      </c>
      <c r="AI7669" t="s">
        <v>46444</v>
      </c>
    </row>
    <row r="7670" spans="2:35" ht="165">
      <c r="B7670" s="1">
        <v>45097</v>
      </c>
      <c r="C7670" s="4">
        <v>45097.484722222223</v>
      </c>
      <c r="D7670" t="s">
        <v>524</v>
      </c>
      <c r="E7670" t="s">
        <v>25790</v>
      </c>
      <c r="F7670" t="s">
        <v>148</v>
      </c>
      <c r="G7670" t="s">
        <v>371</v>
      </c>
      <c r="H7670" t="s">
        <v>39</v>
      </c>
      <c r="I7670" t="s">
        <v>40</v>
      </c>
      <c r="J7670" s="2" t="s">
        <v>62</v>
      </c>
      <c r="K7670" t="s">
        <v>42</v>
      </c>
      <c r="L7670" t="s">
        <v>1943</v>
      </c>
      <c r="Q7670">
        <v>24888</v>
      </c>
      <c r="R7670" t="s">
        <v>119</v>
      </c>
      <c r="S7670" t="s">
        <v>526</v>
      </c>
      <c r="T7670">
        <v>25</v>
      </c>
      <c r="U7670" s="2" t="s">
        <v>7665</v>
      </c>
      <c r="W7670" t="s">
        <v>84</v>
      </c>
      <c r="X7670">
        <v>831892</v>
      </c>
      <c r="Y7670" s="2" t="s">
        <v>46445</v>
      </c>
      <c r="Z7670" s="2" t="s">
        <v>40380</v>
      </c>
      <c r="AA7670" t="s">
        <v>23660</v>
      </c>
      <c r="AB7670" t="s">
        <v>46446</v>
      </c>
      <c r="AC7670" t="s">
        <v>46447</v>
      </c>
      <c r="AG7670" t="s">
        <v>46448</v>
      </c>
      <c r="AH7670" t="s">
        <v>4061</v>
      </c>
      <c r="AI7670" t="s">
        <v>46449</v>
      </c>
    </row>
    <row r="7671" spans="2:35" ht="225">
      <c r="B7671" s="1">
        <v>45097</v>
      </c>
      <c r="C7671" s="4">
        <v>45097.491666666669</v>
      </c>
      <c r="D7671" t="s">
        <v>985</v>
      </c>
      <c r="E7671" t="s">
        <v>46450</v>
      </c>
      <c r="F7671" t="s">
        <v>148</v>
      </c>
      <c r="G7671" t="s">
        <v>785</v>
      </c>
      <c r="H7671" t="s">
        <v>39</v>
      </c>
      <c r="I7671" t="s">
        <v>40</v>
      </c>
      <c r="J7671" s="2" t="s">
        <v>41</v>
      </c>
      <c r="K7671" t="s">
        <v>42</v>
      </c>
      <c r="L7671" t="s">
        <v>15532</v>
      </c>
      <c r="Q7671">
        <v>24887</v>
      </c>
      <c r="R7671" t="s">
        <v>45</v>
      </c>
      <c r="S7671" t="s">
        <v>46451</v>
      </c>
      <c r="T7671">
        <v>27</v>
      </c>
      <c r="U7671" s="2" t="s">
        <v>31366</v>
      </c>
      <c r="W7671" t="s">
        <v>28952</v>
      </c>
      <c r="X7671">
        <v>805010</v>
      </c>
      <c r="Y7671" t="s">
        <v>26622</v>
      </c>
      <c r="Z7671" t="e">
        <f ca="1">-checked _xludf.and cleaned cartridge Bays, icore slot, plunger rod _xludf.and _xludf.filter
-replaced defective modules B1 _xludf.and B4
-performed self-test
-generated report</f>
        <v>#NAME?</v>
      </c>
      <c r="AA7671" s="2" t="s">
        <v>46452</v>
      </c>
      <c r="AB7671" t="s">
        <v>181</v>
      </c>
      <c r="AG7671" t="s">
        <v>46453</v>
      </c>
      <c r="AH7671" t="s">
        <v>46454</v>
      </c>
      <c r="AI7671" t="s">
        <v>46455</v>
      </c>
    </row>
    <row r="7672" spans="2:35" ht="105">
      <c r="B7672" s="1">
        <v>45097</v>
      </c>
      <c r="C7672" s="4">
        <v>45097.470138888886</v>
      </c>
      <c r="D7672" t="s">
        <v>1471</v>
      </c>
      <c r="E7672" t="s">
        <v>3863</v>
      </c>
      <c r="F7672">
        <v>12</v>
      </c>
      <c r="G7672" t="s">
        <v>978</v>
      </c>
      <c r="H7672" t="s">
        <v>39</v>
      </c>
      <c r="I7672" t="s">
        <v>94</v>
      </c>
      <c r="J7672" s="2" t="s">
        <v>62</v>
      </c>
      <c r="K7672" t="s">
        <v>42</v>
      </c>
      <c r="L7672" t="s">
        <v>296</v>
      </c>
      <c r="Q7672">
        <v>24886</v>
      </c>
      <c r="R7672" t="s">
        <v>45</v>
      </c>
      <c r="S7672" t="s">
        <v>1475</v>
      </c>
      <c r="T7672">
        <v>24.2</v>
      </c>
      <c r="U7672" s="2" t="s">
        <v>46456</v>
      </c>
      <c r="V7672" s="1">
        <v>45097</v>
      </c>
      <c r="W7672" t="s">
        <v>23049</v>
      </c>
      <c r="X7672">
        <v>707529</v>
      </c>
      <c r="Y7672" t="s">
        <v>54</v>
      </c>
      <c r="Z7672" t="s">
        <v>41331</v>
      </c>
      <c r="AA7672" t="s">
        <v>9161</v>
      </c>
      <c r="AB7672" t="s">
        <v>46457</v>
      </c>
      <c r="AC7672" t="s">
        <v>24274</v>
      </c>
      <c r="AD7672" t="s">
        <v>46458</v>
      </c>
      <c r="AE7672" t="s">
        <v>46459</v>
      </c>
      <c r="AG7672" t="s">
        <v>46460</v>
      </c>
      <c r="AH7672" t="s">
        <v>1482</v>
      </c>
      <c r="AI7672" t="s">
        <v>46461</v>
      </c>
    </row>
    <row r="7673" spans="2:35" ht="90">
      <c r="B7673" s="1">
        <v>45097</v>
      </c>
      <c r="C7673" s="4">
        <v>45092.613194444442</v>
      </c>
      <c r="D7673" t="s">
        <v>8225</v>
      </c>
      <c r="E7673" t="s">
        <v>46462</v>
      </c>
      <c r="F7673" t="s">
        <v>37</v>
      </c>
      <c r="G7673" t="s">
        <v>748</v>
      </c>
      <c r="H7673" t="s">
        <v>46463</v>
      </c>
      <c r="I7673" t="s">
        <v>40</v>
      </c>
      <c r="J7673" t="s">
        <v>321</v>
      </c>
      <c r="K7673" t="s">
        <v>42</v>
      </c>
      <c r="L7673" t="s">
        <v>1028</v>
      </c>
      <c r="Q7673">
        <v>24885</v>
      </c>
      <c r="R7673" t="s">
        <v>322</v>
      </c>
      <c r="S7673" t="s">
        <v>46464</v>
      </c>
      <c r="T7673">
        <v>28</v>
      </c>
      <c r="U7673" s="2" t="s">
        <v>788</v>
      </c>
      <c r="W7673" t="s">
        <v>46465</v>
      </c>
      <c r="X7673">
        <v>110016785</v>
      </c>
      <c r="Y7673" t="s">
        <v>29377</v>
      </c>
      <c r="Z7673" t="s">
        <v>13110</v>
      </c>
      <c r="AA7673" s="2" t="s">
        <v>46466</v>
      </c>
      <c r="AB7673" t="s">
        <v>3063</v>
      </c>
      <c r="AG7673" t="s">
        <v>46467</v>
      </c>
      <c r="AH7673" t="s">
        <v>46468</v>
      </c>
      <c r="AI7673" t="s">
        <v>46469</v>
      </c>
    </row>
    <row r="7674" spans="2:35" ht="75">
      <c r="B7674" s="1">
        <v>45097</v>
      </c>
      <c r="C7674" s="4">
        <v>45097.359722222223</v>
      </c>
      <c r="D7674" t="s">
        <v>46470</v>
      </c>
      <c r="E7674" t="s">
        <v>46471</v>
      </c>
      <c r="F7674">
        <v>7</v>
      </c>
      <c r="G7674" t="s">
        <v>6529</v>
      </c>
      <c r="H7674" t="s">
        <v>39</v>
      </c>
      <c r="I7674" t="s">
        <v>40</v>
      </c>
      <c r="J7674" s="2" t="s">
        <v>220</v>
      </c>
      <c r="K7674" t="s">
        <v>42</v>
      </c>
      <c r="L7674" t="s">
        <v>433</v>
      </c>
      <c r="Q7674">
        <v>24884</v>
      </c>
      <c r="R7674" t="s">
        <v>45</v>
      </c>
      <c r="S7674" t="s">
        <v>46472</v>
      </c>
      <c r="T7674">
        <v>28</v>
      </c>
      <c r="W7674" t="s">
        <v>1008</v>
      </c>
      <c r="X7674">
        <v>804286</v>
      </c>
      <c r="Y7674" t="s">
        <v>46473</v>
      </c>
      <c r="Z7674" t="s">
        <v>46474</v>
      </c>
      <c r="AA7674" t="s">
        <v>46475</v>
      </c>
      <c r="AB7674" t="s">
        <v>1011</v>
      </c>
      <c r="AG7674" t="s">
        <v>46476</v>
      </c>
      <c r="AH7674" t="s">
        <v>46477</v>
      </c>
      <c r="AI7674" t="s">
        <v>46478</v>
      </c>
    </row>
    <row r="7675" spans="2:35" ht="330">
      <c r="B7675" s="1">
        <v>45096</v>
      </c>
      <c r="C7675" s="4">
        <v>45096.491666666669</v>
      </c>
      <c r="D7675" t="s">
        <v>44881</v>
      </c>
      <c r="E7675" t="s">
        <v>37251</v>
      </c>
      <c r="F7675">
        <v>7</v>
      </c>
      <c r="G7675" t="s">
        <v>432</v>
      </c>
      <c r="H7675" t="s">
        <v>258</v>
      </c>
      <c r="I7675" t="s">
        <v>94</v>
      </c>
      <c r="J7675" s="2" t="s">
        <v>2170</v>
      </c>
      <c r="K7675" t="s">
        <v>42</v>
      </c>
      <c r="L7675" t="s">
        <v>610</v>
      </c>
      <c r="Q7675">
        <v>24883</v>
      </c>
      <c r="R7675" t="s">
        <v>45</v>
      </c>
      <c r="S7675" t="s">
        <v>25240</v>
      </c>
      <c r="T7675">
        <v>23</v>
      </c>
      <c r="U7675" s="2" t="s">
        <v>10662</v>
      </c>
      <c r="W7675" t="s">
        <v>502</v>
      </c>
      <c r="X7675">
        <v>815464</v>
      </c>
      <c r="Y7675" t="s">
        <v>46479</v>
      </c>
      <c r="Z7675" s="2" t="s">
        <v>46480</v>
      </c>
      <c r="AA7675" t="s">
        <v>46481</v>
      </c>
      <c r="AB7675" s="2" t="s">
        <v>46482</v>
      </c>
      <c r="AG7675" t="s">
        <v>46483</v>
      </c>
      <c r="AH7675" t="s">
        <v>46484</v>
      </c>
      <c r="AI7675" t="s">
        <v>46485</v>
      </c>
    </row>
    <row r="7676" spans="2:35" ht="180">
      <c r="B7676" s="1">
        <v>45096</v>
      </c>
      <c r="C7676" s="4">
        <v>45093.632638888892</v>
      </c>
      <c r="D7676" t="s">
        <v>23687</v>
      </c>
      <c r="E7676" t="s">
        <v>27966</v>
      </c>
      <c r="F7676">
        <v>3</v>
      </c>
      <c r="G7676" t="s">
        <v>1722</v>
      </c>
      <c r="H7676" t="s">
        <v>39</v>
      </c>
      <c r="I7676" t="s">
        <v>40</v>
      </c>
      <c r="J7676" t="s">
        <v>109</v>
      </c>
      <c r="K7676" t="s">
        <v>42</v>
      </c>
      <c r="L7676" t="s">
        <v>63</v>
      </c>
      <c r="Q7676">
        <v>24882</v>
      </c>
      <c r="R7676" t="s">
        <v>119</v>
      </c>
      <c r="S7676" t="s">
        <v>23689</v>
      </c>
      <c r="T7676">
        <v>29</v>
      </c>
      <c r="U7676" s="2" t="s">
        <v>46106</v>
      </c>
      <c r="V7676" s="1">
        <v>45093</v>
      </c>
      <c r="W7676" t="s">
        <v>26915</v>
      </c>
      <c r="X7676">
        <v>831592</v>
      </c>
      <c r="Y7676" t="s">
        <v>1716</v>
      </c>
      <c r="Z7676" t="s">
        <v>1716</v>
      </c>
      <c r="AA7676" s="2" t="s">
        <v>1727</v>
      </c>
      <c r="AB7676" t="s">
        <v>70</v>
      </c>
      <c r="AC7676" t="s">
        <v>1716</v>
      </c>
      <c r="AD7676" t="s">
        <v>1716</v>
      </c>
      <c r="AE7676" t="s">
        <v>1716</v>
      </c>
      <c r="AG7676" t="s">
        <v>46486</v>
      </c>
      <c r="AH7676" t="s">
        <v>46108</v>
      </c>
      <c r="AI7676" t="s">
        <v>46487</v>
      </c>
    </row>
    <row r="7677" spans="2:35">
      <c r="B7677" s="1">
        <v>45096</v>
      </c>
      <c r="C7677" s="4">
        <v>45092.379166666666</v>
      </c>
      <c r="D7677" t="s">
        <v>38422</v>
      </c>
      <c r="E7677" t="s">
        <v>41822</v>
      </c>
      <c r="F7677" t="s">
        <v>148</v>
      </c>
      <c r="G7677" t="s">
        <v>447</v>
      </c>
      <c r="H7677" t="s">
        <v>386</v>
      </c>
      <c r="I7677" t="s">
        <v>40</v>
      </c>
      <c r="J7677" t="s">
        <v>109</v>
      </c>
      <c r="K7677" t="s">
        <v>387</v>
      </c>
      <c r="L7677" t="s">
        <v>448</v>
      </c>
      <c r="Q7677">
        <v>24881</v>
      </c>
      <c r="R7677" t="s">
        <v>95</v>
      </c>
      <c r="S7677" t="s">
        <v>37391</v>
      </c>
      <c r="T7677">
        <v>28</v>
      </c>
      <c r="V7677" s="1">
        <v>45035</v>
      </c>
      <c r="W7677" t="s">
        <v>476</v>
      </c>
      <c r="X7677" t="s">
        <v>46488</v>
      </c>
      <c r="Y7677" t="s">
        <v>2692</v>
      </c>
      <c r="Z7677" t="s">
        <v>46489</v>
      </c>
      <c r="AA7677" t="s">
        <v>6997</v>
      </c>
      <c r="AB7677" t="s">
        <v>486</v>
      </c>
      <c r="AD7677" t="s">
        <v>5492</v>
      </c>
      <c r="AE7677">
        <v>9910</v>
      </c>
      <c r="AG7677" t="s">
        <v>46490</v>
      </c>
      <c r="AH7677" t="s">
        <v>25726</v>
      </c>
      <c r="AI7677" t="s">
        <v>46491</v>
      </c>
    </row>
    <row r="7678" spans="2:35">
      <c r="B7678" s="1">
        <v>45096</v>
      </c>
      <c r="C7678" s="4">
        <v>45092.427083333336</v>
      </c>
      <c r="D7678" t="s">
        <v>38422</v>
      </c>
      <c r="E7678" t="s">
        <v>41822</v>
      </c>
      <c r="F7678" t="s">
        <v>148</v>
      </c>
      <c r="G7678" t="s">
        <v>447</v>
      </c>
      <c r="H7678" t="s">
        <v>386</v>
      </c>
      <c r="I7678" t="s">
        <v>40</v>
      </c>
      <c r="J7678" t="s">
        <v>109</v>
      </c>
      <c r="K7678" t="s">
        <v>387</v>
      </c>
      <c r="L7678" t="s">
        <v>448</v>
      </c>
      <c r="Q7678">
        <v>24880</v>
      </c>
      <c r="R7678" t="s">
        <v>95</v>
      </c>
      <c r="S7678" t="s">
        <v>37391</v>
      </c>
      <c r="T7678">
        <v>28</v>
      </c>
      <c r="V7678" s="1">
        <v>45035</v>
      </c>
      <c r="W7678" t="s">
        <v>476</v>
      </c>
      <c r="X7678" t="s">
        <v>46492</v>
      </c>
      <c r="Y7678" t="s">
        <v>485</v>
      </c>
      <c r="Z7678" t="s">
        <v>46489</v>
      </c>
      <c r="AA7678" t="s">
        <v>6997</v>
      </c>
      <c r="AB7678" t="s">
        <v>486</v>
      </c>
      <c r="AD7678" t="s">
        <v>5492</v>
      </c>
      <c r="AE7678">
        <v>9910</v>
      </c>
      <c r="AG7678" t="s">
        <v>46493</v>
      </c>
      <c r="AH7678" t="s">
        <v>46494</v>
      </c>
      <c r="AI7678" t="s">
        <v>46495</v>
      </c>
    </row>
    <row r="7679" spans="2:35">
      <c r="B7679" s="1">
        <v>45096</v>
      </c>
      <c r="C7679" s="4">
        <v>45092.601388888892</v>
      </c>
      <c r="D7679" t="s">
        <v>46496</v>
      </c>
      <c r="E7679" t="s">
        <v>46497</v>
      </c>
      <c r="F7679" t="s">
        <v>148</v>
      </c>
      <c r="G7679" t="s">
        <v>447</v>
      </c>
      <c r="H7679" t="s">
        <v>386</v>
      </c>
      <c r="I7679" t="s">
        <v>40</v>
      </c>
      <c r="J7679" t="s">
        <v>109</v>
      </c>
      <c r="K7679" t="s">
        <v>387</v>
      </c>
      <c r="L7679" t="s">
        <v>448</v>
      </c>
      <c r="Q7679">
        <v>24879</v>
      </c>
      <c r="R7679" t="s">
        <v>95</v>
      </c>
      <c r="S7679" t="s">
        <v>4134</v>
      </c>
      <c r="T7679">
        <v>28</v>
      </c>
      <c r="W7679" t="s">
        <v>476</v>
      </c>
      <c r="X7679" t="s">
        <v>4135</v>
      </c>
      <c r="Y7679" t="s">
        <v>46498</v>
      </c>
      <c r="Z7679" t="s">
        <v>46489</v>
      </c>
      <c r="AA7679" t="s">
        <v>6997</v>
      </c>
      <c r="AB7679" t="s">
        <v>46499</v>
      </c>
      <c r="AC7679" t="s">
        <v>25016</v>
      </c>
      <c r="AG7679" t="s">
        <v>46500</v>
      </c>
      <c r="AH7679" t="s">
        <v>44675</v>
      </c>
      <c r="AI7679" t="s">
        <v>46501</v>
      </c>
    </row>
    <row r="7680" spans="2:35" ht="330">
      <c r="B7680" s="1">
        <v>45096</v>
      </c>
      <c r="C7680" s="4">
        <v>45095.458333333336</v>
      </c>
      <c r="D7680" t="s">
        <v>38422</v>
      </c>
      <c r="E7680" t="s">
        <v>41822</v>
      </c>
      <c r="F7680" t="s">
        <v>148</v>
      </c>
      <c r="G7680" t="s">
        <v>447</v>
      </c>
      <c r="H7680" t="s">
        <v>386</v>
      </c>
      <c r="I7680" t="s">
        <v>40</v>
      </c>
      <c r="J7680" t="s">
        <v>525</v>
      </c>
      <c r="K7680" t="s">
        <v>387</v>
      </c>
      <c r="L7680" t="s">
        <v>448</v>
      </c>
      <c r="Q7680">
        <v>24878</v>
      </c>
      <c r="R7680" t="s">
        <v>95</v>
      </c>
      <c r="S7680" t="s">
        <v>37391</v>
      </c>
      <c r="T7680">
        <v>27</v>
      </c>
      <c r="W7680" t="s">
        <v>476</v>
      </c>
      <c r="X7680">
        <v>20168</v>
      </c>
      <c r="Y7680" t="s">
        <v>46502</v>
      </c>
      <c r="Z7680" s="2" t="s">
        <v>46503</v>
      </c>
      <c r="AA7680" t="s">
        <v>4487</v>
      </c>
      <c r="AB7680" t="s">
        <v>46504</v>
      </c>
      <c r="AC7680" t="s">
        <v>46505</v>
      </c>
      <c r="AG7680" t="s">
        <v>46506</v>
      </c>
      <c r="AH7680" t="s">
        <v>25726</v>
      </c>
      <c r="AI7680" t="s">
        <v>46507</v>
      </c>
    </row>
    <row r="7681" spans="2:35" ht="285">
      <c r="B7681" s="1">
        <v>45095</v>
      </c>
      <c r="C7681" s="4">
        <v>45092.535416666666</v>
      </c>
      <c r="D7681" t="s">
        <v>24205</v>
      </c>
      <c r="E7681" t="s">
        <v>2797</v>
      </c>
      <c r="F7681">
        <v>12</v>
      </c>
      <c r="G7681" t="s">
        <v>978</v>
      </c>
      <c r="H7681" t="s">
        <v>39</v>
      </c>
      <c r="I7681" t="s">
        <v>94</v>
      </c>
      <c r="J7681" s="2" t="s">
        <v>62</v>
      </c>
      <c r="K7681" t="s">
        <v>42</v>
      </c>
      <c r="L7681" t="s">
        <v>296</v>
      </c>
      <c r="Q7681">
        <v>24877</v>
      </c>
      <c r="R7681" t="s">
        <v>45</v>
      </c>
      <c r="S7681" t="s">
        <v>31147</v>
      </c>
      <c r="T7681">
        <v>29</v>
      </c>
      <c r="U7681" s="2" t="s">
        <v>46508</v>
      </c>
      <c r="V7681" s="1">
        <v>45092</v>
      </c>
      <c r="W7681" t="s">
        <v>23049</v>
      </c>
      <c r="X7681">
        <v>838130</v>
      </c>
      <c r="Y7681" t="s">
        <v>3865</v>
      </c>
      <c r="Z7681" s="2" t="s">
        <v>46509</v>
      </c>
      <c r="AA7681" s="2" t="s">
        <v>46509</v>
      </c>
      <c r="AB7681" t="s">
        <v>1480</v>
      </c>
      <c r="AC7681" t="s">
        <v>46510</v>
      </c>
      <c r="AD7681" t="s">
        <v>46511</v>
      </c>
      <c r="AE7681" t="s">
        <v>32095</v>
      </c>
      <c r="AG7681" t="s">
        <v>46512</v>
      </c>
      <c r="AH7681" t="s">
        <v>31152</v>
      </c>
      <c r="AI7681" t="s">
        <v>46513</v>
      </c>
    </row>
    <row r="7682" spans="2:35" ht="270">
      <c r="B7682" s="1">
        <v>45093</v>
      </c>
      <c r="C7682" s="4">
        <v>45093.333333333336</v>
      </c>
      <c r="D7682" t="s">
        <v>3010</v>
      </c>
      <c r="E7682" t="s">
        <v>3011</v>
      </c>
      <c r="F7682">
        <v>1</v>
      </c>
      <c r="G7682" t="s">
        <v>1046</v>
      </c>
      <c r="H7682" t="s">
        <v>61</v>
      </c>
      <c r="I7682" t="s">
        <v>40</v>
      </c>
      <c r="J7682" t="s">
        <v>525</v>
      </c>
      <c r="K7682" t="s">
        <v>42</v>
      </c>
      <c r="L7682" t="s">
        <v>1048</v>
      </c>
      <c r="Q7682">
        <v>24876</v>
      </c>
      <c r="R7682" t="s">
        <v>45</v>
      </c>
      <c r="S7682" t="s">
        <v>34834</v>
      </c>
      <c r="T7682">
        <v>30</v>
      </c>
      <c r="U7682" s="2" t="s">
        <v>46514</v>
      </c>
      <c r="W7682" t="s">
        <v>46515</v>
      </c>
      <c r="X7682">
        <v>842230</v>
      </c>
      <c r="Y7682" t="s">
        <v>46516</v>
      </c>
      <c r="Z7682" t="e">
        <f ca="1">-COLLECT system _xludf.Log _xludf.For Reporting
-generated reports</f>
        <v>#NAME?</v>
      </c>
      <c r="AA7682" t="s">
        <v>46517</v>
      </c>
      <c r="AB7682" t="s">
        <v>181</v>
      </c>
      <c r="AC7682" t="s">
        <v>46518</v>
      </c>
      <c r="AG7682" t="s">
        <v>46519</v>
      </c>
      <c r="AH7682" t="s">
        <v>46520</v>
      </c>
      <c r="AI7682" t="s">
        <v>46521</v>
      </c>
    </row>
    <row r="7683" spans="2:35" ht="270">
      <c r="B7683" s="1">
        <v>45093</v>
      </c>
      <c r="C7683" s="4">
        <v>45093.333333333336</v>
      </c>
      <c r="D7683" t="s">
        <v>3010</v>
      </c>
      <c r="E7683" t="s">
        <v>3011</v>
      </c>
      <c r="F7683">
        <v>1</v>
      </c>
      <c r="G7683" t="s">
        <v>1046</v>
      </c>
      <c r="H7683" t="s">
        <v>61</v>
      </c>
      <c r="I7683" t="s">
        <v>40</v>
      </c>
      <c r="J7683" t="s">
        <v>525</v>
      </c>
      <c r="K7683" t="s">
        <v>42</v>
      </c>
      <c r="L7683" t="s">
        <v>1048</v>
      </c>
      <c r="Q7683">
        <v>24875</v>
      </c>
      <c r="R7683" t="s">
        <v>45</v>
      </c>
      <c r="S7683" t="s">
        <v>34834</v>
      </c>
      <c r="T7683">
        <v>30</v>
      </c>
      <c r="U7683" s="2" t="s">
        <v>46514</v>
      </c>
      <c r="W7683" t="s">
        <v>46515</v>
      </c>
      <c r="X7683">
        <v>842230</v>
      </c>
      <c r="Y7683" t="s">
        <v>46516</v>
      </c>
      <c r="Z7683" t="e">
        <f ca="1">-COLLECT system _xludf.Log _xludf.For Reporting
-generated reports</f>
        <v>#NAME?</v>
      </c>
      <c r="AA7683" t="s">
        <v>46517</v>
      </c>
      <c r="AB7683" t="s">
        <v>181</v>
      </c>
      <c r="AC7683" t="s">
        <v>46518</v>
      </c>
      <c r="AG7683" t="s">
        <v>46522</v>
      </c>
      <c r="AH7683" t="s">
        <v>46520</v>
      </c>
      <c r="AI7683" t="s">
        <v>46523</v>
      </c>
    </row>
    <row r="7684" spans="2:35" ht="409.5">
      <c r="B7684" s="1">
        <v>45093</v>
      </c>
      <c r="C7684" s="4">
        <v>45093.631249999999</v>
      </c>
      <c r="D7684" t="s">
        <v>10486</v>
      </c>
      <c r="E7684" t="s">
        <v>46524</v>
      </c>
      <c r="F7684" t="s">
        <v>148</v>
      </c>
      <c r="G7684" t="s">
        <v>447</v>
      </c>
      <c r="H7684" t="s">
        <v>39</v>
      </c>
      <c r="I7684" t="s">
        <v>94</v>
      </c>
      <c r="J7684" t="s">
        <v>109</v>
      </c>
      <c r="K7684" t="s">
        <v>2629</v>
      </c>
      <c r="L7684" t="s">
        <v>409</v>
      </c>
      <c r="Q7684">
        <v>24874</v>
      </c>
      <c r="R7684" t="s">
        <v>95</v>
      </c>
      <c r="S7684" t="s">
        <v>46525</v>
      </c>
      <c r="T7684">
        <v>25</v>
      </c>
      <c r="W7684" t="s">
        <v>10496</v>
      </c>
      <c r="X7684">
        <v>3942010146</v>
      </c>
      <c r="Y7684" t="s">
        <v>301</v>
      </c>
      <c r="Z7684" t="s">
        <v>301</v>
      </c>
      <c r="AA7684" s="2" t="s">
        <v>46526</v>
      </c>
      <c r="AB7684" t="s">
        <v>46527</v>
      </c>
      <c r="AC7684" t="s">
        <v>46528</v>
      </c>
      <c r="AG7684" t="s">
        <v>46529</v>
      </c>
      <c r="AH7684" t="s">
        <v>46530</v>
      </c>
      <c r="AI7684" t="s">
        <v>46531</v>
      </c>
    </row>
    <row r="7685" spans="2:35" ht="180">
      <c r="B7685" s="1">
        <v>45093</v>
      </c>
      <c r="C7685" s="4">
        <v>45093.613194444442</v>
      </c>
      <c r="D7685" t="s">
        <v>2990</v>
      </c>
      <c r="E7685" t="s">
        <v>45115</v>
      </c>
      <c r="F7685">
        <v>5</v>
      </c>
      <c r="G7685" t="s">
        <v>759</v>
      </c>
      <c r="H7685" t="s">
        <v>39</v>
      </c>
      <c r="I7685" t="s">
        <v>40</v>
      </c>
      <c r="J7685" s="2" t="s">
        <v>62</v>
      </c>
      <c r="K7685" t="s">
        <v>42</v>
      </c>
      <c r="L7685" t="s">
        <v>761</v>
      </c>
      <c r="Q7685">
        <v>24873</v>
      </c>
      <c r="R7685" t="s">
        <v>45</v>
      </c>
      <c r="S7685" t="s">
        <v>37461</v>
      </c>
      <c r="T7685">
        <v>33</v>
      </c>
      <c r="U7685" s="2" t="s">
        <v>46532</v>
      </c>
      <c r="V7685" s="1">
        <v>45093</v>
      </c>
      <c r="W7685" t="s">
        <v>360</v>
      </c>
      <c r="X7685">
        <v>804257</v>
      </c>
      <c r="Y7685" t="s">
        <v>1111</v>
      </c>
      <c r="Z7685" s="2" t="s">
        <v>46533</v>
      </c>
      <c r="AA7685" t="s">
        <v>43588</v>
      </c>
      <c r="AB7685" s="2" t="s">
        <v>46534</v>
      </c>
      <c r="AD7685" t="s">
        <v>20036</v>
      </c>
      <c r="AE7685" t="s">
        <v>54</v>
      </c>
      <c r="AG7685" t="s">
        <v>46535</v>
      </c>
      <c r="AH7685" t="s">
        <v>37467</v>
      </c>
      <c r="AI7685" t="s">
        <v>46536</v>
      </c>
    </row>
    <row r="7686" spans="2:35" ht="409.5">
      <c r="B7686" s="1">
        <v>45093</v>
      </c>
      <c r="C7686" s="4">
        <v>45093.583333333336</v>
      </c>
      <c r="D7686" t="s">
        <v>3639</v>
      </c>
      <c r="E7686" t="s">
        <v>24319</v>
      </c>
      <c r="F7686" t="s">
        <v>148</v>
      </c>
      <c r="G7686" t="s">
        <v>310</v>
      </c>
      <c r="H7686" t="s">
        <v>39</v>
      </c>
      <c r="I7686" t="s">
        <v>40</v>
      </c>
      <c r="J7686" s="2" t="s">
        <v>62</v>
      </c>
      <c r="K7686" t="s">
        <v>42</v>
      </c>
      <c r="L7686" t="s">
        <v>175</v>
      </c>
      <c r="Q7686">
        <v>24872</v>
      </c>
      <c r="R7686" t="s">
        <v>45</v>
      </c>
      <c r="S7686" t="s">
        <v>46537</v>
      </c>
      <c r="T7686">
        <v>25</v>
      </c>
      <c r="U7686" s="2" t="s">
        <v>46538</v>
      </c>
      <c r="W7686" t="s">
        <v>84</v>
      </c>
      <c r="X7686">
        <v>847726</v>
      </c>
      <c r="Y7686" t="s">
        <v>46539</v>
      </c>
      <c r="Z7686" t="e">
        <f ca="1">- checked _xludf.and cleaned cartridge bay, plunger rod, _xludf.filter, icore slot
- performed XpertCheck
- generated reports</f>
        <v>#NAME?</v>
      </c>
      <c r="AA7686" t="s">
        <v>6279</v>
      </c>
      <c r="AB7686" t="s">
        <v>88</v>
      </c>
      <c r="AG7686" t="s">
        <v>46540</v>
      </c>
      <c r="AH7686" t="s">
        <v>46541</v>
      </c>
      <c r="AI7686" t="s">
        <v>46542</v>
      </c>
    </row>
    <row r="7687" spans="2:35" ht="375">
      <c r="B7687" s="1">
        <v>45093</v>
      </c>
      <c r="C7687" s="4">
        <v>45093.56527777778</v>
      </c>
      <c r="D7687" t="s">
        <v>1203</v>
      </c>
      <c r="E7687" t="s">
        <v>2547</v>
      </c>
      <c r="F7687">
        <v>11</v>
      </c>
      <c r="G7687" t="s">
        <v>1205</v>
      </c>
      <c r="H7687" t="s">
        <v>1317</v>
      </c>
      <c r="I7687" t="s">
        <v>40</v>
      </c>
      <c r="J7687" s="2" t="s">
        <v>41</v>
      </c>
      <c r="K7687" t="s">
        <v>42</v>
      </c>
      <c r="L7687" t="s">
        <v>204</v>
      </c>
      <c r="Q7687">
        <v>24871</v>
      </c>
      <c r="R7687" t="s">
        <v>45</v>
      </c>
      <c r="S7687" t="s">
        <v>1206</v>
      </c>
      <c r="T7687">
        <v>24.5</v>
      </c>
      <c r="U7687" s="2" t="s">
        <v>46543</v>
      </c>
      <c r="W7687" t="s">
        <v>23237</v>
      </c>
      <c r="X7687">
        <v>808298</v>
      </c>
      <c r="Y7687" t="s">
        <v>8731</v>
      </c>
      <c r="Z7687" s="2" t="s">
        <v>46544</v>
      </c>
      <c r="AA7687" t="s">
        <v>12182</v>
      </c>
      <c r="AB7687" t="s">
        <v>46545</v>
      </c>
      <c r="AG7687" t="s">
        <v>46546</v>
      </c>
      <c r="AH7687" t="s">
        <v>46547</v>
      </c>
      <c r="AI7687" t="s">
        <v>46548</v>
      </c>
    </row>
    <row r="7688" spans="2:35" ht="105">
      <c r="B7688" s="1">
        <v>45093</v>
      </c>
      <c r="C7688" s="4">
        <v>45093.559027777781</v>
      </c>
      <c r="D7688" t="s">
        <v>23789</v>
      </c>
      <c r="E7688" t="s">
        <v>46549</v>
      </c>
      <c r="F7688">
        <v>7</v>
      </c>
      <c r="G7688" t="s">
        <v>432</v>
      </c>
      <c r="H7688" t="s">
        <v>2290</v>
      </c>
      <c r="I7688" t="s">
        <v>94</v>
      </c>
      <c r="J7688" t="s">
        <v>79</v>
      </c>
      <c r="K7688" t="s">
        <v>42</v>
      </c>
      <c r="L7688" t="s">
        <v>610</v>
      </c>
      <c r="Q7688">
        <v>24870</v>
      </c>
      <c r="R7688" t="s">
        <v>45</v>
      </c>
      <c r="S7688" t="s">
        <v>46550</v>
      </c>
      <c r="T7688">
        <v>23</v>
      </c>
      <c r="U7688" s="2" t="s">
        <v>3340</v>
      </c>
      <c r="W7688" t="s">
        <v>502</v>
      </c>
      <c r="X7688">
        <v>834693</v>
      </c>
      <c r="Y7688" t="s">
        <v>46551</v>
      </c>
      <c r="Z7688" t="s">
        <v>46552</v>
      </c>
      <c r="AA7688" t="s">
        <v>46553</v>
      </c>
      <c r="AB7688" t="s">
        <v>46554</v>
      </c>
      <c r="AG7688" t="s">
        <v>46555</v>
      </c>
      <c r="AH7688" t="s">
        <v>46556</v>
      </c>
      <c r="AI7688" t="s">
        <v>46557</v>
      </c>
    </row>
    <row r="7689" spans="2:35" ht="180">
      <c r="B7689" s="1">
        <v>45093</v>
      </c>
      <c r="C7689" s="4">
        <v>45093.556250000001</v>
      </c>
      <c r="D7689" t="s">
        <v>22325</v>
      </c>
      <c r="E7689" t="s">
        <v>46558</v>
      </c>
      <c r="F7689" t="s">
        <v>37</v>
      </c>
      <c r="G7689" t="s">
        <v>78</v>
      </c>
      <c r="H7689" t="s">
        <v>39</v>
      </c>
      <c r="I7689" t="s">
        <v>40</v>
      </c>
      <c r="J7689" s="2" t="s">
        <v>62</v>
      </c>
      <c r="K7689" t="s">
        <v>42</v>
      </c>
      <c r="L7689" t="s">
        <v>1943</v>
      </c>
      <c r="Q7689">
        <v>24869</v>
      </c>
      <c r="R7689" t="s">
        <v>119</v>
      </c>
      <c r="S7689" t="s">
        <v>28021</v>
      </c>
      <c r="T7689">
        <v>25</v>
      </c>
      <c r="U7689" s="2" t="s">
        <v>46559</v>
      </c>
      <c r="W7689" t="s">
        <v>84</v>
      </c>
      <c r="X7689">
        <v>821224</v>
      </c>
      <c r="Y7689" s="2" t="s">
        <v>38443</v>
      </c>
      <c r="Z7689" s="2" t="s">
        <v>46560</v>
      </c>
      <c r="AA7689" t="s">
        <v>23660</v>
      </c>
      <c r="AB7689" t="s">
        <v>38444</v>
      </c>
      <c r="AC7689" t="s">
        <v>46447</v>
      </c>
      <c r="AG7689" t="s">
        <v>46561</v>
      </c>
      <c r="AH7689" t="s">
        <v>22333</v>
      </c>
      <c r="AI7689" t="s">
        <v>46562</v>
      </c>
    </row>
    <row r="7690" spans="2:35" ht="409.5">
      <c r="B7690" s="1">
        <v>45093</v>
      </c>
      <c r="C7690" s="4">
        <v>45093.456944444442</v>
      </c>
      <c r="D7690" t="s">
        <v>3119</v>
      </c>
      <c r="E7690" t="s">
        <v>11858</v>
      </c>
      <c r="F7690" t="s">
        <v>148</v>
      </c>
      <c r="G7690" t="s">
        <v>310</v>
      </c>
      <c r="H7690" t="s">
        <v>932</v>
      </c>
      <c r="I7690" t="s">
        <v>40</v>
      </c>
      <c r="J7690" t="s">
        <v>109</v>
      </c>
      <c r="K7690" t="s">
        <v>42</v>
      </c>
      <c r="L7690" t="s">
        <v>15532</v>
      </c>
      <c r="Q7690">
        <v>24868</v>
      </c>
      <c r="R7690" t="s">
        <v>95</v>
      </c>
      <c r="S7690" t="s">
        <v>3124</v>
      </c>
      <c r="T7690">
        <v>19</v>
      </c>
      <c r="U7690" s="2" t="s">
        <v>46563</v>
      </c>
      <c r="W7690" t="s">
        <v>423</v>
      </c>
      <c r="X7690">
        <v>110001648</v>
      </c>
      <c r="Y7690" t="s">
        <v>46564</v>
      </c>
      <c r="Z7690" s="2" t="s">
        <v>46565</v>
      </c>
      <c r="AA7690" t="s">
        <v>46566</v>
      </c>
      <c r="AB7690" t="s">
        <v>181</v>
      </c>
      <c r="AG7690" t="s">
        <v>46567</v>
      </c>
      <c r="AH7690" t="s">
        <v>46568</v>
      </c>
      <c r="AI7690" t="s">
        <v>46569</v>
      </c>
    </row>
    <row r="7691" spans="2:35" ht="165">
      <c r="B7691" s="1">
        <v>45093</v>
      </c>
      <c r="C7691" s="4">
        <v>45093.486111111109</v>
      </c>
      <c r="D7691" t="s">
        <v>46570</v>
      </c>
      <c r="E7691" t="s">
        <v>46571</v>
      </c>
      <c r="F7691" t="s">
        <v>37</v>
      </c>
      <c r="G7691" t="s">
        <v>78</v>
      </c>
      <c r="H7691" t="s">
        <v>39</v>
      </c>
      <c r="I7691" t="s">
        <v>40</v>
      </c>
      <c r="J7691" s="2" t="s">
        <v>62</v>
      </c>
      <c r="K7691" t="s">
        <v>42</v>
      </c>
      <c r="L7691" t="s">
        <v>1943</v>
      </c>
      <c r="Q7691">
        <v>24867</v>
      </c>
      <c r="R7691" t="s">
        <v>119</v>
      </c>
      <c r="S7691" t="s">
        <v>2245</v>
      </c>
      <c r="T7691">
        <v>25</v>
      </c>
      <c r="U7691" s="2" t="s">
        <v>2367</v>
      </c>
      <c r="W7691" t="s">
        <v>84</v>
      </c>
      <c r="X7691">
        <v>821156</v>
      </c>
      <c r="Y7691" s="2" t="s">
        <v>38443</v>
      </c>
      <c r="Z7691" s="2" t="s">
        <v>46572</v>
      </c>
      <c r="AA7691" t="s">
        <v>23660</v>
      </c>
      <c r="AB7691" t="s">
        <v>38444</v>
      </c>
      <c r="AC7691" t="s">
        <v>46447</v>
      </c>
      <c r="AG7691" t="s">
        <v>46573</v>
      </c>
      <c r="AH7691" t="s">
        <v>2248</v>
      </c>
      <c r="AI7691" t="s">
        <v>46574</v>
      </c>
    </row>
    <row r="7692" spans="2:35" ht="270">
      <c r="B7692" s="1">
        <v>45093</v>
      </c>
      <c r="C7692" s="4">
        <v>45092.681944444441</v>
      </c>
      <c r="D7692" t="s">
        <v>46575</v>
      </c>
      <c r="E7692" t="s">
        <v>43778</v>
      </c>
      <c r="F7692">
        <v>7</v>
      </c>
      <c r="G7692" t="s">
        <v>432</v>
      </c>
      <c r="H7692" t="s">
        <v>2290</v>
      </c>
      <c r="I7692" t="s">
        <v>94</v>
      </c>
      <c r="J7692" t="s">
        <v>109</v>
      </c>
      <c r="K7692" t="s">
        <v>42</v>
      </c>
      <c r="L7692" t="s">
        <v>610</v>
      </c>
      <c r="Q7692">
        <v>24866</v>
      </c>
      <c r="R7692" t="s">
        <v>45</v>
      </c>
      <c r="S7692" t="s">
        <v>23380</v>
      </c>
      <c r="T7692">
        <v>23</v>
      </c>
      <c r="U7692" s="2" t="s">
        <v>19646</v>
      </c>
      <c r="W7692" t="s">
        <v>502</v>
      </c>
      <c r="X7692">
        <v>808640</v>
      </c>
      <c r="Y7692" t="s">
        <v>46576</v>
      </c>
      <c r="Z7692" t="s">
        <v>46577</v>
      </c>
      <c r="AA7692" s="2" t="s">
        <v>46578</v>
      </c>
      <c r="AB7692" t="s">
        <v>46579</v>
      </c>
      <c r="AG7692" t="s">
        <v>46580</v>
      </c>
      <c r="AH7692" t="s">
        <v>46581</v>
      </c>
      <c r="AI7692" t="s">
        <v>46582</v>
      </c>
    </row>
    <row r="7693" spans="2:35" ht="135">
      <c r="B7693" s="1">
        <v>45093</v>
      </c>
      <c r="C7693" s="4">
        <v>45093.427083333336</v>
      </c>
      <c r="D7693" t="s">
        <v>2638</v>
      </c>
      <c r="E7693" t="s">
        <v>46583</v>
      </c>
      <c r="F7693" t="s">
        <v>37</v>
      </c>
      <c r="G7693" t="s">
        <v>78</v>
      </c>
      <c r="H7693" t="s">
        <v>39</v>
      </c>
      <c r="I7693" t="s">
        <v>40</v>
      </c>
      <c r="J7693" s="2" t="s">
        <v>1899</v>
      </c>
      <c r="K7693" t="s">
        <v>42</v>
      </c>
      <c r="L7693" t="s">
        <v>1943</v>
      </c>
      <c r="Q7693">
        <v>24865</v>
      </c>
      <c r="R7693" t="s">
        <v>45</v>
      </c>
      <c r="S7693" t="s">
        <v>46584</v>
      </c>
      <c r="T7693">
        <v>25</v>
      </c>
      <c r="U7693" s="2" t="s">
        <v>43919</v>
      </c>
      <c r="W7693" t="s">
        <v>84</v>
      </c>
      <c r="X7693">
        <v>804716</v>
      </c>
      <c r="Y7693" t="s">
        <v>13355</v>
      </c>
      <c r="Z7693" s="2" t="s">
        <v>46585</v>
      </c>
      <c r="AA7693" t="s">
        <v>46586</v>
      </c>
      <c r="AB7693" t="s">
        <v>46587</v>
      </c>
      <c r="AG7693" t="s">
        <v>46588</v>
      </c>
      <c r="AH7693" t="s">
        <v>2643</v>
      </c>
      <c r="AI7693" t="s">
        <v>46589</v>
      </c>
    </row>
    <row r="7694" spans="2:35">
      <c r="B7694" s="1">
        <v>45093</v>
      </c>
      <c r="C7694" s="4">
        <v>45093.415972222225</v>
      </c>
      <c r="D7694" t="s">
        <v>18752</v>
      </c>
      <c r="E7694" t="s">
        <v>46590</v>
      </c>
      <c r="F7694">
        <v>7</v>
      </c>
      <c r="G7694" t="s">
        <v>432</v>
      </c>
      <c r="H7694" t="s">
        <v>39</v>
      </c>
      <c r="I7694" t="s">
        <v>94</v>
      </c>
      <c r="J7694" t="s">
        <v>46591</v>
      </c>
      <c r="K7694" t="s">
        <v>42</v>
      </c>
      <c r="L7694" t="s">
        <v>594</v>
      </c>
      <c r="Q7694">
        <v>24864</v>
      </c>
      <c r="R7694" t="s">
        <v>119</v>
      </c>
      <c r="S7694" t="s">
        <v>22513</v>
      </c>
      <c r="T7694">
        <v>23</v>
      </c>
      <c r="V7694" s="1">
        <v>45092</v>
      </c>
      <c r="W7694" t="s">
        <v>502</v>
      </c>
      <c r="X7694">
        <v>838564</v>
      </c>
      <c r="Y7694" t="s">
        <v>46592</v>
      </c>
      <c r="Z7694" t="s">
        <v>46593</v>
      </c>
      <c r="AA7694" t="s">
        <v>46593</v>
      </c>
      <c r="AB7694" t="s">
        <v>4890</v>
      </c>
      <c r="AG7694" t="s">
        <v>46594</v>
      </c>
      <c r="AH7694" t="s">
        <v>46595</v>
      </c>
      <c r="AI7694" t="s">
        <v>46596</v>
      </c>
    </row>
    <row r="7695" spans="2:35" ht="409.5">
      <c r="B7695" s="1">
        <v>45093</v>
      </c>
      <c r="C7695" s="4">
        <v>45093.418749999997</v>
      </c>
      <c r="D7695" t="s">
        <v>24882</v>
      </c>
      <c r="E7695" t="s">
        <v>27329</v>
      </c>
      <c r="F7695">
        <v>3</v>
      </c>
      <c r="G7695" t="s">
        <v>730</v>
      </c>
      <c r="H7695" t="s">
        <v>39</v>
      </c>
      <c r="I7695" t="s">
        <v>40</v>
      </c>
      <c r="J7695" s="2" t="s">
        <v>8419</v>
      </c>
      <c r="K7695" t="s">
        <v>42</v>
      </c>
      <c r="L7695" t="s">
        <v>135</v>
      </c>
      <c r="Q7695">
        <v>24863</v>
      </c>
      <c r="R7695" t="s">
        <v>119</v>
      </c>
      <c r="S7695" t="s">
        <v>24884</v>
      </c>
      <c r="T7695">
        <v>29</v>
      </c>
      <c r="U7695" s="2" t="s">
        <v>46597</v>
      </c>
      <c r="W7695" t="s">
        <v>2680</v>
      </c>
      <c r="X7695">
        <v>831693</v>
      </c>
      <c r="Y7695" s="2" t="s">
        <v>46598</v>
      </c>
      <c r="Z7695" s="2" t="s">
        <v>46599</v>
      </c>
      <c r="AA7695" s="2" t="s">
        <v>31375</v>
      </c>
      <c r="AB7695" t="s">
        <v>181</v>
      </c>
      <c r="AC7695" t="s">
        <v>45494</v>
      </c>
      <c r="AG7695" t="s">
        <v>46600</v>
      </c>
      <c r="AH7695" t="s">
        <v>28905</v>
      </c>
      <c r="AI7695" t="s">
        <v>46601</v>
      </c>
    </row>
    <row r="7696" spans="2:35" ht="105">
      <c r="B7696" s="1">
        <v>45093</v>
      </c>
      <c r="C7696" s="4">
        <v>45093.405555555553</v>
      </c>
      <c r="D7696" t="s">
        <v>2233</v>
      </c>
      <c r="E7696" t="s">
        <v>34113</v>
      </c>
      <c r="F7696">
        <v>7</v>
      </c>
      <c r="G7696" t="s">
        <v>432</v>
      </c>
      <c r="H7696" t="s">
        <v>39</v>
      </c>
      <c r="I7696" t="s">
        <v>94</v>
      </c>
      <c r="J7696" t="s">
        <v>996</v>
      </c>
      <c r="K7696" t="s">
        <v>42</v>
      </c>
      <c r="L7696" t="s">
        <v>594</v>
      </c>
      <c r="Q7696">
        <v>24862</v>
      </c>
      <c r="R7696" t="s">
        <v>119</v>
      </c>
      <c r="S7696" t="s">
        <v>2235</v>
      </c>
      <c r="T7696">
        <v>22</v>
      </c>
      <c r="U7696" s="2" t="s">
        <v>20731</v>
      </c>
      <c r="V7696" s="1">
        <v>45086</v>
      </c>
      <c r="W7696" t="s">
        <v>502</v>
      </c>
      <c r="X7696">
        <v>838231</v>
      </c>
      <c r="Y7696" t="s">
        <v>46602</v>
      </c>
      <c r="Z7696" t="s">
        <v>46603</v>
      </c>
      <c r="AA7696" t="s">
        <v>46604</v>
      </c>
      <c r="AB7696" t="s">
        <v>46605</v>
      </c>
      <c r="AG7696" t="s">
        <v>46606</v>
      </c>
      <c r="AH7696" t="s">
        <v>2241</v>
      </c>
      <c r="AI7696" t="s">
        <v>46607</v>
      </c>
    </row>
    <row r="7697" spans="2:35" ht="255">
      <c r="B7697" s="1">
        <v>45092</v>
      </c>
      <c r="C7697" s="4">
        <v>45092.636111111111</v>
      </c>
      <c r="D7697" t="s">
        <v>620</v>
      </c>
      <c r="E7697" t="s">
        <v>24895</v>
      </c>
      <c r="F7697" t="s">
        <v>148</v>
      </c>
      <c r="G7697" t="s">
        <v>447</v>
      </c>
      <c r="H7697" t="s">
        <v>39</v>
      </c>
      <c r="I7697" t="s">
        <v>40</v>
      </c>
      <c r="J7697" s="2" t="s">
        <v>609</v>
      </c>
      <c r="K7697" t="s">
        <v>42</v>
      </c>
      <c r="L7697" t="s">
        <v>15532</v>
      </c>
      <c r="Q7697">
        <v>24861</v>
      </c>
      <c r="R7697" t="s">
        <v>119</v>
      </c>
      <c r="S7697" t="s">
        <v>24896</v>
      </c>
      <c r="T7697">
        <v>28</v>
      </c>
      <c r="U7697" s="2" t="s">
        <v>46608</v>
      </c>
      <c r="W7697" t="s">
        <v>597</v>
      </c>
      <c r="X7697">
        <v>831876</v>
      </c>
      <c r="Y7697" t="s">
        <v>46609</v>
      </c>
      <c r="Z7697" t="e">
        <f ca="1">-packed ALL EQUIPMENT
-transferred to temporary location
-Setup machine in the new location (SB Park)
-performed Preventive Maintenance
-generated report</f>
        <v>#NAME?</v>
      </c>
      <c r="AA7697" t="s">
        <v>46610</v>
      </c>
      <c r="AB7697" t="s">
        <v>181</v>
      </c>
      <c r="AG7697" t="s">
        <v>46611</v>
      </c>
      <c r="AH7697" t="s">
        <v>35029</v>
      </c>
      <c r="AI7697" t="s">
        <v>46612</v>
      </c>
    </row>
    <row r="7698" spans="2:35" ht="300">
      <c r="B7698" s="1">
        <v>45092</v>
      </c>
      <c r="C7698" s="4">
        <v>45092.552083333336</v>
      </c>
      <c r="D7698" t="s">
        <v>45796</v>
      </c>
      <c r="E7698" t="s">
        <v>45797</v>
      </c>
      <c r="F7698">
        <v>3</v>
      </c>
      <c r="G7698" t="s">
        <v>730</v>
      </c>
      <c r="H7698" t="s">
        <v>39</v>
      </c>
      <c r="I7698" t="s">
        <v>40</v>
      </c>
      <c r="J7698" s="2" t="s">
        <v>760</v>
      </c>
      <c r="K7698" t="s">
        <v>42</v>
      </c>
      <c r="L7698" t="s">
        <v>135</v>
      </c>
      <c r="Q7698">
        <v>24860</v>
      </c>
      <c r="R7698" t="s">
        <v>119</v>
      </c>
      <c r="S7698" t="s">
        <v>24877</v>
      </c>
      <c r="T7698">
        <v>27</v>
      </c>
      <c r="U7698" s="2" t="s">
        <v>46613</v>
      </c>
      <c r="W7698" t="s">
        <v>2680</v>
      </c>
      <c r="X7698">
        <v>831909</v>
      </c>
      <c r="Y7698" t="s">
        <v>46614</v>
      </c>
      <c r="Z7698" t="s">
        <v>14151</v>
      </c>
      <c r="AA7698" s="2" t="s">
        <v>46615</v>
      </c>
      <c r="AB7698" t="s">
        <v>181</v>
      </c>
      <c r="AC7698" t="s">
        <v>36480</v>
      </c>
      <c r="AG7698" t="s">
        <v>46616</v>
      </c>
      <c r="AH7698" t="s">
        <v>27327</v>
      </c>
      <c r="AI7698" t="s">
        <v>46617</v>
      </c>
    </row>
    <row r="7699" spans="2:35" ht="210">
      <c r="B7699" s="1">
        <v>45092</v>
      </c>
      <c r="C7699" s="4">
        <v>45092.593055555553</v>
      </c>
      <c r="D7699" t="s">
        <v>23423</v>
      </c>
      <c r="E7699" t="s">
        <v>46618</v>
      </c>
      <c r="F7699">
        <v>3</v>
      </c>
      <c r="G7699" t="s">
        <v>134</v>
      </c>
      <c r="H7699" t="s">
        <v>39</v>
      </c>
      <c r="I7699" t="s">
        <v>40</v>
      </c>
      <c r="J7699" t="s">
        <v>109</v>
      </c>
      <c r="K7699" t="s">
        <v>42</v>
      </c>
      <c r="L7699" t="s">
        <v>63</v>
      </c>
      <c r="Q7699">
        <v>24859</v>
      </c>
      <c r="R7699" t="s">
        <v>119</v>
      </c>
      <c r="S7699" t="s">
        <v>27447</v>
      </c>
      <c r="T7699">
        <v>29</v>
      </c>
      <c r="U7699" s="2" t="s">
        <v>46619</v>
      </c>
      <c r="V7699" s="1">
        <v>45092</v>
      </c>
      <c r="W7699" t="s">
        <v>26915</v>
      </c>
      <c r="X7699">
        <v>831714</v>
      </c>
      <c r="Y7699" t="s">
        <v>1716</v>
      </c>
      <c r="Z7699" t="s">
        <v>1716</v>
      </c>
      <c r="AA7699" s="2" t="s">
        <v>46620</v>
      </c>
      <c r="AB7699" t="s">
        <v>70</v>
      </c>
      <c r="AC7699" t="s">
        <v>1716</v>
      </c>
      <c r="AD7699" t="s">
        <v>1716</v>
      </c>
      <c r="AE7699" t="s">
        <v>1716</v>
      </c>
      <c r="AG7699" t="s">
        <v>46621</v>
      </c>
      <c r="AH7699" t="s">
        <v>27449</v>
      </c>
      <c r="AI7699" t="s">
        <v>46622</v>
      </c>
    </row>
    <row r="7700" spans="2:35" ht="409.5">
      <c r="B7700" s="1">
        <v>45092</v>
      </c>
      <c r="C7700" s="4">
        <v>45092.561805555553</v>
      </c>
      <c r="D7700" t="s">
        <v>1686</v>
      </c>
      <c r="E7700" t="s">
        <v>1687</v>
      </c>
      <c r="F7700" t="s">
        <v>148</v>
      </c>
      <c r="G7700" t="s">
        <v>785</v>
      </c>
      <c r="H7700" t="s">
        <v>39</v>
      </c>
      <c r="I7700" t="s">
        <v>40</v>
      </c>
      <c r="J7700" s="2" t="s">
        <v>190</v>
      </c>
      <c r="K7700" t="s">
        <v>42</v>
      </c>
      <c r="L7700" t="s">
        <v>15532</v>
      </c>
      <c r="Q7700">
        <v>24858</v>
      </c>
      <c r="R7700" t="s">
        <v>45</v>
      </c>
      <c r="S7700" t="s">
        <v>1688</v>
      </c>
      <c r="T7700">
        <v>26</v>
      </c>
      <c r="U7700" s="2" t="s">
        <v>46623</v>
      </c>
      <c r="W7700" t="s">
        <v>597</v>
      </c>
      <c r="X7700">
        <v>838898</v>
      </c>
      <c r="Y7700" t="s">
        <v>46624</v>
      </c>
      <c r="Z7700" s="2" t="s">
        <v>46625</v>
      </c>
      <c r="AA7700" t="s">
        <v>8743</v>
      </c>
      <c r="AB7700" t="s">
        <v>46626</v>
      </c>
      <c r="AG7700" t="s">
        <v>46627</v>
      </c>
      <c r="AH7700" t="s">
        <v>1692</v>
      </c>
      <c r="AI7700" t="s">
        <v>46628</v>
      </c>
    </row>
    <row r="7701" spans="2:35" ht="105">
      <c r="B7701" s="1">
        <v>45092</v>
      </c>
      <c r="C7701" s="4">
        <v>45092.538194444445</v>
      </c>
      <c r="D7701" t="s">
        <v>45032</v>
      </c>
      <c r="E7701" t="s">
        <v>46629</v>
      </c>
      <c r="F7701">
        <v>7</v>
      </c>
      <c r="G7701" t="s">
        <v>432</v>
      </c>
      <c r="H7701" t="s">
        <v>2290</v>
      </c>
      <c r="I7701" t="s">
        <v>94</v>
      </c>
      <c r="J7701" s="2" t="s">
        <v>1444</v>
      </c>
      <c r="K7701" t="s">
        <v>42</v>
      </c>
      <c r="L7701" t="s">
        <v>610</v>
      </c>
      <c r="Q7701">
        <v>24857</v>
      </c>
      <c r="R7701" t="s">
        <v>45</v>
      </c>
      <c r="S7701" t="s">
        <v>24643</v>
      </c>
      <c r="T7701">
        <v>24</v>
      </c>
      <c r="U7701" s="2" t="s">
        <v>1110</v>
      </c>
      <c r="W7701" t="s">
        <v>502</v>
      </c>
      <c r="X7701">
        <v>815384</v>
      </c>
      <c r="Y7701" t="s">
        <v>46630</v>
      </c>
      <c r="Z7701" t="s">
        <v>46631</v>
      </c>
      <c r="AA7701" t="s">
        <v>46632</v>
      </c>
      <c r="AB7701" t="s">
        <v>46633</v>
      </c>
      <c r="AG7701" t="s">
        <v>46634</v>
      </c>
      <c r="AH7701" t="s">
        <v>45636</v>
      </c>
      <c r="AI7701" t="s">
        <v>46635</v>
      </c>
    </row>
    <row r="7702" spans="2:35" ht="180">
      <c r="B7702" s="1">
        <v>45092</v>
      </c>
      <c r="C7702" s="4">
        <v>45092.520833333336</v>
      </c>
      <c r="D7702" t="s">
        <v>44303</v>
      </c>
      <c r="E7702" t="s">
        <v>44310</v>
      </c>
      <c r="F7702">
        <v>7</v>
      </c>
      <c r="G7702" t="s">
        <v>432</v>
      </c>
      <c r="H7702" t="s">
        <v>10969</v>
      </c>
      <c r="I7702" t="s">
        <v>40</v>
      </c>
      <c r="J7702" t="s">
        <v>79</v>
      </c>
      <c r="K7702" t="s">
        <v>42</v>
      </c>
      <c r="L7702" t="s">
        <v>1288</v>
      </c>
      <c r="Q7702">
        <v>24856</v>
      </c>
      <c r="R7702" t="s">
        <v>45</v>
      </c>
      <c r="S7702" t="s">
        <v>16307</v>
      </c>
      <c r="T7702">
        <v>22</v>
      </c>
      <c r="U7702" s="2" t="s">
        <v>46636</v>
      </c>
      <c r="W7702" t="s">
        <v>1292</v>
      </c>
      <c r="X7702">
        <v>808637</v>
      </c>
      <c r="Y7702" t="s">
        <v>16599</v>
      </c>
      <c r="Z7702" t="e">
        <f ca="1">-COLLECT IQR, system _xludf.Log, _xludf.and ARCHIVE</f>
        <v>#NAME?</v>
      </c>
      <c r="AA7702" t="s">
        <v>46637</v>
      </c>
      <c r="AB7702" t="s">
        <v>1293</v>
      </c>
      <c r="AC7702" t="s">
        <v>46638</v>
      </c>
      <c r="AG7702" t="s">
        <v>46639</v>
      </c>
      <c r="AH7702" t="s">
        <v>14408</v>
      </c>
      <c r="AI7702" t="s">
        <v>46640</v>
      </c>
    </row>
    <row r="7703" spans="2:35" ht="105">
      <c r="B7703" s="1">
        <v>45092</v>
      </c>
      <c r="C7703" s="4">
        <v>45092.520138888889</v>
      </c>
      <c r="D7703" t="s">
        <v>33036</v>
      </c>
      <c r="E7703" t="s">
        <v>46641</v>
      </c>
      <c r="F7703">
        <v>7</v>
      </c>
      <c r="G7703" t="s">
        <v>432</v>
      </c>
      <c r="H7703" t="s">
        <v>2290</v>
      </c>
      <c r="I7703" t="s">
        <v>94</v>
      </c>
      <c r="J7703" s="2" t="s">
        <v>609</v>
      </c>
      <c r="K7703" t="s">
        <v>42</v>
      </c>
      <c r="L7703" t="s">
        <v>610</v>
      </c>
      <c r="Q7703">
        <v>24855</v>
      </c>
      <c r="R7703" t="s">
        <v>45</v>
      </c>
      <c r="S7703" t="s">
        <v>1818</v>
      </c>
      <c r="T7703">
        <v>24</v>
      </c>
      <c r="U7703" s="2" t="s">
        <v>1509</v>
      </c>
      <c r="W7703" t="s">
        <v>502</v>
      </c>
      <c r="X7703">
        <v>120000180</v>
      </c>
      <c r="Y7703" t="s">
        <v>46642</v>
      </c>
      <c r="Z7703" t="s">
        <v>46643</v>
      </c>
      <c r="AA7703" t="s">
        <v>46644</v>
      </c>
      <c r="AB7703" t="s">
        <v>46645</v>
      </c>
      <c r="AG7703" t="s">
        <v>46646</v>
      </c>
      <c r="AH7703" t="s">
        <v>46647</v>
      </c>
      <c r="AI7703" t="s">
        <v>46648</v>
      </c>
    </row>
    <row r="7704" spans="2:35">
      <c r="B7704" s="1">
        <v>45092</v>
      </c>
      <c r="C7704" s="4">
        <v>45092.404166666667</v>
      </c>
      <c r="D7704" t="s">
        <v>1533</v>
      </c>
      <c r="E7704" t="s">
        <v>1534</v>
      </c>
      <c r="F7704">
        <v>8</v>
      </c>
      <c r="G7704" t="s">
        <v>630</v>
      </c>
      <c r="H7704" t="s">
        <v>2581</v>
      </c>
      <c r="I7704" t="s">
        <v>40</v>
      </c>
      <c r="J7704" t="s">
        <v>109</v>
      </c>
      <c r="K7704" t="s">
        <v>42</v>
      </c>
      <c r="L7704" t="s">
        <v>259</v>
      </c>
      <c r="Q7704">
        <v>24854</v>
      </c>
      <c r="R7704" t="s">
        <v>45</v>
      </c>
      <c r="S7704" t="s">
        <v>46649</v>
      </c>
      <c r="T7704">
        <v>34</v>
      </c>
      <c r="V7704" s="1">
        <v>45092</v>
      </c>
      <c r="W7704" t="s">
        <v>84</v>
      </c>
      <c r="X7704">
        <v>804256</v>
      </c>
      <c r="Y7704" t="s">
        <v>1716</v>
      </c>
      <c r="Z7704" t="s">
        <v>4315</v>
      </c>
      <c r="AA7704" t="s">
        <v>4315</v>
      </c>
      <c r="AB7704" t="s">
        <v>46650</v>
      </c>
      <c r="AG7704" t="s">
        <v>46651</v>
      </c>
      <c r="AH7704" t="s">
        <v>35596</v>
      </c>
      <c r="AI7704" t="s">
        <v>46652</v>
      </c>
    </row>
    <row r="7705" spans="2:35">
      <c r="B7705" s="1">
        <v>45092</v>
      </c>
      <c r="C7705" s="4">
        <v>45092.404166666667</v>
      </c>
      <c r="D7705" t="s">
        <v>1533</v>
      </c>
      <c r="E7705" t="s">
        <v>1534</v>
      </c>
      <c r="F7705">
        <v>8</v>
      </c>
      <c r="G7705" t="s">
        <v>630</v>
      </c>
      <c r="H7705" t="s">
        <v>2581</v>
      </c>
      <c r="I7705" t="s">
        <v>40</v>
      </c>
      <c r="J7705" t="s">
        <v>109</v>
      </c>
      <c r="K7705" t="s">
        <v>42</v>
      </c>
      <c r="L7705" t="s">
        <v>259</v>
      </c>
      <c r="Q7705">
        <v>24853</v>
      </c>
      <c r="R7705" t="s">
        <v>45</v>
      </c>
      <c r="S7705" t="s">
        <v>46649</v>
      </c>
      <c r="T7705">
        <v>34</v>
      </c>
      <c r="V7705" s="1">
        <v>45092</v>
      </c>
      <c r="W7705" t="s">
        <v>84</v>
      </c>
      <c r="X7705">
        <v>804256</v>
      </c>
      <c r="Y7705" t="s">
        <v>1716</v>
      </c>
      <c r="Z7705" t="s">
        <v>4315</v>
      </c>
      <c r="AA7705" t="s">
        <v>4315</v>
      </c>
      <c r="AB7705" t="s">
        <v>46650</v>
      </c>
      <c r="AG7705" t="s">
        <v>46653</v>
      </c>
      <c r="AH7705" t="s">
        <v>35596</v>
      </c>
      <c r="AI7705" t="s">
        <v>46654</v>
      </c>
    </row>
    <row r="7706" spans="2:35" ht="240">
      <c r="B7706" s="1">
        <v>45092</v>
      </c>
      <c r="C7706" s="4">
        <v>45092.477083333331</v>
      </c>
      <c r="D7706" t="s">
        <v>46655</v>
      </c>
      <c r="E7706" t="s">
        <v>46656</v>
      </c>
      <c r="F7706">
        <v>5</v>
      </c>
      <c r="G7706" t="s">
        <v>839</v>
      </c>
      <c r="H7706" t="s">
        <v>39</v>
      </c>
      <c r="I7706" t="s">
        <v>40</v>
      </c>
      <c r="J7706" s="2" t="s">
        <v>41</v>
      </c>
      <c r="K7706" t="s">
        <v>42</v>
      </c>
      <c r="L7706" t="s">
        <v>761</v>
      </c>
      <c r="Q7706">
        <v>24852</v>
      </c>
      <c r="R7706" t="s">
        <v>45</v>
      </c>
      <c r="S7706" t="s">
        <v>46657</v>
      </c>
      <c r="T7706">
        <v>26</v>
      </c>
      <c r="U7706" s="2" t="s">
        <v>11927</v>
      </c>
      <c r="V7706" s="1">
        <v>45078</v>
      </c>
      <c r="W7706" t="s">
        <v>3662</v>
      </c>
      <c r="X7706">
        <v>834808</v>
      </c>
      <c r="Y7706" t="s">
        <v>1924</v>
      </c>
      <c r="Z7706" s="2" t="s">
        <v>46658</v>
      </c>
      <c r="AA7706" t="s">
        <v>46659</v>
      </c>
      <c r="AB7706" t="s">
        <v>70</v>
      </c>
      <c r="AD7706">
        <v>210059921</v>
      </c>
      <c r="AE7706">
        <v>40974</v>
      </c>
      <c r="AG7706" t="s">
        <v>46660</v>
      </c>
      <c r="AH7706" t="s">
        <v>46661</v>
      </c>
      <c r="AI7706" t="s">
        <v>46662</v>
      </c>
    </row>
    <row r="7707" spans="2:35" ht="165">
      <c r="B7707" s="1">
        <v>45092</v>
      </c>
      <c r="C7707" s="4">
        <v>45092.468055555553</v>
      </c>
      <c r="D7707" t="s">
        <v>26333</v>
      </c>
      <c r="E7707" t="s">
        <v>41374</v>
      </c>
      <c r="F7707" t="s">
        <v>148</v>
      </c>
      <c r="G7707" t="s">
        <v>310</v>
      </c>
      <c r="H7707" t="s">
        <v>39</v>
      </c>
      <c r="I7707" t="s">
        <v>40</v>
      </c>
      <c r="J7707" s="2" t="s">
        <v>62</v>
      </c>
      <c r="K7707" t="s">
        <v>42</v>
      </c>
      <c r="L7707" t="s">
        <v>1943</v>
      </c>
      <c r="Q7707">
        <v>24851</v>
      </c>
      <c r="R7707" t="s">
        <v>119</v>
      </c>
      <c r="S7707" t="s">
        <v>34255</v>
      </c>
      <c r="T7707">
        <v>25</v>
      </c>
      <c r="U7707" s="2" t="s">
        <v>46663</v>
      </c>
      <c r="W7707" t="s">
        <v>84</v>
      </c>
      <c r="X7707">
        <v>831871</v>
      </c>
      <c r="Y7707" s="2" t="s">
        <v>46664</v>
      </c>
      <c r="Z7707" s="2" t="s">
        <v>46665</v>
      </c>
      <c r="AA7707" t="s">
        <v>46666</v>
      </c>
      <c r="AB7707" t="s">
        <v>88</v>
      </c>
      <c r="AC7707" t="s">
        <v>46667</v>
      </c>
      <c r="AG7707" t="s">
        <v>46668</v>
      </c>
      <c r="AH7707" t="s">
        <v>34262</v>
      </c>
      <c r="AI7707" t="s">
        <v>46669</v>
      </c>
    </row>
    <row r="7708" spans="2:35" ht="285">
      <c r="B7708" s="1">
        <v>45092</v>
      </c>
      <c r="C7708" s="4">
        <v>45091.488194444442</v>
      </c>
      <c r="D7708" t="s">
        <v>2408</v>
      </c>
      <c r="E7708" t="s">
        <v>2409</v>
      </c>
      <c r="F7708">
        <v>3</v>
      </c>
      <c r="G7708" t="s">
        <v>730</v>
      </c>
      <c r="H7708" t="s">
        <v>39</v>
      </c>
      <c r="I7708" t="s">
        <v>40</v>
      </c>
      <c r="J7708" s="2" t="s">
        <v>1592</v>
      </c>
      <c r="K7708" t="s">
        <v>42</v>
      </c>
      <c r="L7708" t="s">
        <v>135</v>
      </c>
      <c r="Q7708">
        <v>24850</v>
      </c>
      <c r="R7708" t="s">
        <v>45</v>
      </c>
      <c r="S7708" t="s">
        <v>2410</v>
      </c>
      <c r="T7708">
        <v>23</v>
      </c>
      <c r="U7708" s="2" t="s">
        <v>46670</v>
      </c>
      <c r="W7708" t="s">
        <v>2680</v>
      </c>
      <c r="X7708">
        <v>807562</v>
      </c>
      <c r="Y7708" t="s">
        <v>46671</v>
      </c>
      <c r="Z7708" t="s">
        <v>14151</v>
      </c>
      <c r="AA7708" s="2" t="s">
        <v>46672</v>
      </c>
      <c r="AB7708" t="s">
        <v>181</v>
      </c>
      <c r="AG7708" t="s">
        <v>46673</v>
      </c>
      <c r="AH7708" t="s">
        <v>38459</v>
      </c>
      <c r="AI7708" t="s">
        <v>46674</v>
      </c>
    </row>
    <row r="7709" spans="2:35" ht="285">
      <c r="B7709" s="1">
        <v>45092</v>
      </c>
      <c r="C7709" s="4">
        <v>45091.488194444442</v>
      </c>
      <c r="D7709" t="s">
        <v>2408</v>
      </c>
      <c r="E7709" t="s">
        <v>2409</v>
      </c>
      <c r="F7709">
        <v>3</v>
      </c>
      <c r="G7709" t="s">
        <v>730</v>
      </c>
      <c r="H7709" t="s">
        <v>39</v>
      </c>
      <c r="I7709" t="s">
        <v>40</v>
      </c>
      <c r="J7709" s="2" t="s">
        <v>1592</v>
      </c>
      <c r="K7709" t="s">
        <v>42</v>
      </c>
      <c r="L7709" t="s">
        <v>135</v>
      </c>
      <c r="Q7709">
        <v>24849</v>
      </c>
      <c r="R7709" t="s">
        <v>45</v>
      </c>
      <c r="S7709" t="s">
        <v>2410</v>
      </c>
      <c r="T7709">
        <v>23</v>
      </c>
      <c r="U7709" s="2" t="s">
        <v>46670</v>
      </c>
      <c r="W7709" t="s">
        <v>2680</v>
      </c>
      <c r="X7709">
        <v>807562</v>
      </c>
      <c r="Y7709" t="s">
        <v>46671</v>
      </c>
      <c r="Z7709" t="s">
        <v>14151</v>
      </c>
      <c r="AA7709" s="2" t="s">
        <v>46672</v>
      </c>
      <c r="AB7709" t="s">
        <v>181</v>
      </c>
      <c r="AG7709" t="s">
        <v>46675</v>
      </c>
      <c r="AH7709" t="s">
        <v>38459</v>
      </c>
      <c r="AI7709" t="s">
        <v>46676</v>
      </c>
    </row>
    <row r="7710" spans="2:35" ht="360">
      <c r="B7710" s="1">
        <v>45091</v>
      </c>
      <c r="C7710" s="4">
        <v>45084.683333333334</v>
      </c>
      <c r="D7710" t="s">
        <v>46677</v>
      </c>
      <c r="E7710" t="s">
        <v>23497</v>
      </c>
      <c r="F7710">
        <v>5</v>
      </c>
      <c r="G7710" t="s">
        <v>839</v>
      </c>
      <c r="H7710" t="s">
        <v>39</v>
      </c>
      <c r="I7710" t="s">
        <v>40</v>
      </c>
      <c r="J7710" s="2" t="s">
        <v>62</v>
      </c>
      <c r="K7710" t="s">
        <v>42</v>
      </c>
      <c r="L7710" t="s">
        <v>761</v>
      </c>
      <c r="Q7710">
        <v>24848</v>
      </c>
      <c r="R7710" t="s">
        <v>45</v>
      </c>
      <c r="S7710" t="s">
        <v>23498</v>
      </c>
      <c r="T7710">
        <v>25</v>
      </c>
      <c r="V7710" s="1">
        <v>46139</v>
      </c>
      <c r="W7710" t="s">
        <v>360</v>
      </c>
      <c r="X7710">
        <v>805260</v>
      </c>
      <c r="Y7710" t="s">
        <v>46678</v>
      </c>
      <c r="Z7710" s="2" t="s">
        <v>46679</v>
      </c>
      <c r="AA7710" s="2" t="s">
        <v>46680</v>
      </c>
      <c r="AB7710" s="2" t="s">
        <v>46681</v>
      </c>
      <c r="AC7710" t="s">
        <v>46682</v>
      </c>
      <c r="AD7710" s="2" t="s">
        <v>46683</v>
      </c>
      <c r="AE7710" t="s">
        <v>46684</v>
      </c>
      <c r="AG7710" t="s">
        <v>46685</v>
      </c>
      <c r="AH7710" t="s">
        <v>23501</v>
      </c>
      <c r="AI7710" t="s">
        <v>46686</v>
      </c>
    </row>
    <row r="7711" spans="2:35" ht="360">
      <c r="B7711" s="1">
        <v>45091</v>
      </c>
      <c r="C7711" s="4">
        <v>45084.683333333334</v>
      </c>
      <c r="D7711" t="s">
        <v>46677</v>
      </c>
      <c r="E7711" t="s">
        <v>23497</v>
      </c>
      <c r="F7711">
        <v>5</v>
      </c>
      <c r="G7711" t="s">
        <v>839</v>
      </c>
      <c r="H7711" t="s">
        <v>39</v>
      </c>
      <c r="I7711" t="s">
        <v>40</v>
      </c>
      <c r="J7711" s="2" t="s">
        <v>62</v>
      </c>
      <c r="K7711" t="s">
        <v>42</v>
      </c>
      <c r="L7711" t="s">
        <v>761</v>
      </c>
      <c r="Q7711">
        <v>24847</v>
      </c>
      <c r="R7711" t="s">
        <v>45</v>
      </c>
      <c r="S7711" t="s">
        <v>23498</v>
      </c>
      <c r="T7711">
        <v>25</v>
      </c>
      <c r="V7711" s="1">
        <v>46139</v>
      </c>
      <c r="W7711" t="s">
        <v>360</v>
      </c>
      <c r="X7711">
        <v>805260</v>
      </c>
      <c r="Y7711" t="s">
        <v>46678</v>
      </c>
      <c r="Z7711" s="2" t="s">
        <v>46679</v>
      </c>
      <c r="AA7711" s="2" t="s">
        <v>46680</v>
      </c>
      <c r="AB7711" s="2" t="s">
        <v>46681</v>
      </c>
      <c r="AC7711" t="s">
        <v>46682</v>
      </c>
      <c r="AD7711" s="2" t="s">
        <v>46683</v>
      </c>
      <c r="AE7711" t="s">
        <v>46684</v>
      </c>
      <c r="AG7711" t="s">
        <v>46687</v>
      </c>
      <c r="AH7711" t="s">
        <v>23501</v>
      </c>
      <c r="AI7711" t="s">
        <v>46688</v>
      </c>
    </row>
    <row r="7712" spans="2:35" ht="60">
      <c r="B7712" s="1">
        <v>45091</v>
      </c>
      <c r="C7712" s="4">
        <v>45091.751388888886</v>
      </c>
      <c r="D7712" t="s">
        <v>6044</v>
      </c>
      <c r="E7712" t="s">
        <v>46689</v>
      </c>
      <c r="F7712">
        <v>7</v>
      </c>
      <c r="G7712" t="s">
        <v>432</v>
      </c>
      <c r="H7712" t="s">
        <v>386</v>
      </c>
      <c r="I7712" t="s">
        <v>94</v>
      </c>
      <c r="J7712" s="2" t="s">
        <v>62</v>
      </c>
      <c r="K7712" t="s">
        <v>387</v>
      </c>
      <c r="L7712" t="s">
        <v>610</v>
      </c>
      <c r="Q7712">
        <v>24846</v>
      </c>
      <c r="R7712" t="s">
        <v>95</v>
      </c>
      <c r="S7712" t="s">
        <v>6039</v>
      </c>
      <c r="T7712">
        <v>24</v>
      </c>
      <c r="W7712" t="s">
        <v>436</v>
      </c>
      <c r="X7712" t="s">
        <v>11975</v>
      </c>
      <c r="Y7712" t="s">
        <v>46690</v>
      </c>
      <c r="Z7712" t="s">
        <v>6279</v>
      </c>
      <c r="AA7712" t="s">
        <v>46691</v>
      </c>
      <c r="AB7712" t="s">
        <v>46692</v>
      </c>
      <c r="AG7712" t="s">
        <v>46693</v>
      </c>
      <c r="AH7712" t="s">
        <v>27066</v>
      </c>
      <c r="AI7712" t="s">
        <v>46694</v>
      </c>
    </row>
    <row r="7713" spans="2:35" ht="60">
      <c r="B7713" s="1">
        <v>45091</v>
      </c>
      <c r="C7713" s="4">
        <v>45091.74722222222</v>
      </c>
      <c r="D7713" t="s">
        <v>6044</v>
      </c>
      <c r="E7713" t="s">
        <v>46695</v>
      </c>
      <c r="F7713">
        <v>7</v>
      </c>
      <c r="G7713" t="s">
        <v>432</v>
      </c>
      <c r="H7713" t="s">
        <v>386</v>
      </c>
      <c r="I7713" t="s">
        <v>94</v>
      </c>
      <c r="J7713" s="2" t="s">
        <v>62</v>
      </c>
      <c r="K7713" t="s">
        <v>387</v>
      </c>
      <c r="L7713" t="s">
        <v>610</v>
      </c>
      <c r="Q7713">
        <v>24845</v>
      </c>
      <c r="R7713" t="s">
        <v>95</v>
      </c>
      <c r="S7713" t="s">
        <v>6039</v>
      </c>
      <c r="T7713">
        <v>24</v>
      </c>
      <c r="W7713" t="s">
        <v>436</v>
      </c>
      <c r="X7713" t="s">
        <v>6040</v>
      </c>
      <c r="Y7713" t="s">
        <v>67</v>
      </c>
      <c r="Z7713" t="s">
        <v>46696</v>
      </c>
      <c r="AA7713" t="s">
        <v>46691</v>
      </c>
      <c r="AB7713" t="s">
        <v>46697</v>
      </c>
      <c r="AG7713" t="s">
        <v>46698</v>
      </c>
      <c r="AH7713" t="s">
        <v>46699</v>
      </c>
      <c r="AI7713" t="s">
        <v>46700</v>
      </c>
    </row>
    <row r="7714" spans="2:35" ht="210">
      <c r="B7714" s="1">
        <v>45091</v>
      </c>
      <c r="C7714" s="4">
        <v>45091.709027777775</v>
      </c>
      <c r="D7714" t="s">
        <v>31187</v>
      </c>
      <c r="E7714" t="s">
        <v>46701</v>
      </c>
      <c r="F7714">
        <v>13</v>
      </c>
      <c r="G7714" t="s">
        <v>8524</v>
      </c>
      <c r="H7714" t="s">
        <v>2125</v>
      </c>
      <c r="I7714" t="s">
        <v>40</v>
      </c>
      <c r="J7714" t="s">
        <v>321</v>
      </c>
      <c r="K7714" t="s">
        <v>42</v>
      </c>
      <c r="L7714" t="s">
        <v>933</v>
      </c>
      <c r="Q7714">
        <v>24844</v>
      </c>
      <c r="R7714" t="s">
        <v>45</v>
      </c>
      <c r="S7714" t="s">
        <v>31190</v>
      </c>
      <c r="T7714">
        <v>25.22</v>
      </c>
      <c r="U7714" s="2" t="s">
        <v>46702</v>
      </c>
      <c r="W7714" t="s">
        <v>3662</v>
      </c>
      <c r="X7714">
        <v>805279</v>
      </c>
      <c r="Y7714" t="s">
        <v>46703</v>
      </c>
      <c r="Z7714" t="s">
        <v>46704</v>
      </c>
      <c r="AA7714" t="s">
        <v>46705</v>
      </c>
      <c r="AB7714" t="s">
        <v>46706</v>
      </c>
      <c r="AG7714" t="s">
        <v>46707</v>
      </c>
      <c r="AH7714" t="s">
        <v>46708</v>
      </c>
      <c r="AI7714" t="s">
        <v>46709</v>
      </c>
    </row>
    <row r="7715" spans="2:35" ht="105">
      <c r="B7715" s="1">
        <v>45091</v>
      </c>
      <c r="C7715" s="4">
        <v>45091.595138888886</v>
      </c>
      <c r="D7715" t="s">
        <v>461</v>
      </c>
      <c r="E7715" t="s">
        <v>46710</v>
      </c>
      <c r="F7715" t="s">
        <v>148</v>
      </c>
      <c r="G7715" t="s">
        <v>447</v>
      </c>
      <c r="H7715" t="s">
        <v>39</v>
      </c>
      <c r="I7715" t="s">
        <v>40</v>
      </c>
      <c r="J7715" s="2" t="s">
        <v>190</v>
      </c>
      <c r="K7715" t="s">
        <v>42</v>
      </c>
      <c r="L7715" t="s">
        <v>15532</v>
      </c>
      <c r="Q7715">
        <v>24843</v>
      </c>
      <c r="R7715" t="s">
        <v>45</v>
      </c>
      <c r="S7715" t="s">
        <v>46711</v>
      </c>
      <c r="T7715">
        <v>34</v>
      </c>
      <c r="U7715" s="2" t="s">
        <v>25843</v>
      </c>
      <c r="W7715" t="s">
        <v>597</v>
      </c>
      <c r="X7715">
        <v>814160</v>
      </c>
      <c r="Y7715" t="s">
        <v>46712</v>
      </c>
      <c r="Z7715" t="e">
        <f ca="1">-checked _xludf.and cleaned cartridge Bays, plunger rod, icoreslot _xludf.and _xludf.filter
-Troubleshoot _xludf.if the problem is with the monitor _xludf.or the cable
-tried new cable, horizontal line still shows
-generated reports</f>
        <v>#NAME?</v>
      </c>
      <c r="AA7715" t="s">
        <v>45891</v>
      </c>
      <c r="AB7715" t="s">
        <v>46713</v>
      </c>
      <c r="AG7715" t="s">
        <v>46714</v>
      </c>
      <c r="AH7715" t="s">
        <v>46715</v>
      </c>
      <c r="AI7715" t="s">
        <v>46716</v>
      </c>
    </row>
    <row r="7716" spans="2:35" ht="105">
      <c r="B7716" s="1">
        <v>45091</v>
      </c>
      <c r="C7716" s="4">
        <v>45091.629166666666</v>
      </c>
      <c r="D7716" t="s">
        <v>1807</v>
      </c>
      <c r="E7716" t="s">
        <v>46717</v>
      </c>
      <c r="F7716">
        <v>6</v>
      </c>
      <c r="G7716" t="s">
        <v>1234</v>
      </c>
      <c r="H7716" t="s">
        <v>1047</v>
      </c>
      <c r="I7716" t="s">
        <v>40</v>
      </c>
      <c r="J7716" t="s">
        <v>321</v>
      </c>
      <c r="K7716" t="s">
        <v>42</v>
      </c>
      <c r="L7716" t="s">
        <v>23958</v>
      </c>
      <c r="Q7716">
        <v>24842</v>
      </c>
      <c r="R7716" t="s">
        <v>719</v>
      </c>
      <c r="S7716" t="s">
        <v>1809</v>
      </c>
      <c r="T7716">
        <v>4</v>
      </c>
      <c r="U7716" s="2" t="s">
        <v>1509</v>
      </c>
      <c r="W7716" t="s">
        <v>360</v>
      </c>
      <c r="X7716">
        <v>847222</v>
      </c>
      <c r="Y7716" t="s">
        <v>46718</v>
      </c>
      <c r="Z7716" t="e">
        <f ca="1">-REINSTALL printer driver _xludf.and print test page.</f>
        <v>#NAME?</v>
      </c>
      <c r="AA7716" t="e">
        <f ca="1">-removed _xludf.and _xludf.Clean printer heads.
-run HP DIAGNOSTIC software.
-Remove printer FROM devices settings.
-REINSTALL printer driver _xludf.and  print test page.</f>
        <v>#NAME?</v>
      </c>
      <c r="AB7716" t="s">
        <v>46719</v>
      </c>
      <c r="AG7716" t="s">
        <v>46720</v>
      </c>
      <c r="AH7716" t="s">
        <v>1815</v>
      </c>
      <c r="AI7716" t="s">
        <v>46721</v>
      </c>
    </row>
    <row r="7717" spans="2:35" ht="180">
      <c r="B7717" s="1">
        <v>45091</v>
      </c>
      <c r="C7717" s="4">
        <v>45085.586805555555</v>
      </c>
      <c r="D7717" t="s">
        <v>23601</v>
      </c>
      <c r="E7717" t="s">
        <v>23602</v>
      </c>
      <c r="F7717">
        <v>3</v>
      </c>
      <c r="G7717" t="s">
        <v>134</v>
      </c>
      <c r="H7717" t="s">
        <v>46722</v>
      </c>
      <c r="I7717" t="s">
        <v>40</v>
      </c>
      <c r="J7717" t="s">
        <v>109</v>
      </c>
      <c r="K7717" t="s">
        <v>42</v>
      </c>
      <c r="L7717" t="s">
        <v>63</v>
      </c>
      <c r="Q7717">
        <v>24840</v>
      </c>
      <c r="R7717" t="s">
        <v>119</v>
      </c>
      <c r="S7717" t="s">
        <v>23603</v>
      </c>
      <c r="T7717">
        <v>27</v>
      </c>
      <c r="U7717" s="2" t="s">
        <v>46723</v>
      </c>
      <c r="V7717" s="1">
        <v>45085</v>
      </c>
      <c r="W7717" t="s">
        <v>26915</v>
      </c>
      <c r="X7717">
        <v>831902</v>
      </c>
      <c r="Y7717" t="s">
        <v>1716</v>
      </c>
      <c r="Z7717" t="s">
        <v>1716</v>
      </c>
      <c r="AA7717" s="2" t="s">
        <v>1727</v>
      </c>
      <c r="AB7717" t="s">
        <v>70</v>
      </c>
      <c r="AC7717" t="s">
        <v>1716</v>
      </c>
      <c r="AD7717" t="s">
        <v>1716</v>
      </c>
      <c r="AE7717" t="s">
        <v>1716</v>
      </c>
      <c r="AG7717" t="s">
        <v>46724</v>
      </c>
      <c r="AH7717" t="s">
        <v>35939</v>
      </c>
      <c r="AI7717" t="s">
        <v>46725</v>
      </c>
    </row>
    <row r="7718" spans="2:35" ht="240">
      <c r="B7718" s="1">
        <v>45091</v>
      </c>
      <c r="C7718" s="4">
        <v>45084.581944444442</v>
      </c>
      <c r="D7718" t="s">
        <v>36408</v>
      </c>
      <c r="E7718" t="s">
        <v>26588</v>
      </c>
      <c r="F7718">
        <v>3</v>
      </c>
      <c r="G7718" t="s">
        <v>134</v>
      </c>
      <c r="H7718" t="s">
        <v>39</v>
      </c>
      <c r="I7718" t="s">
        <v>40</v>
      </c>
      <c r="J7718" s="2" t="s">
        <v>38497</v>
      </c>
      <c r="K7718" t="s">
        <v>42</v>
      </c>
      <c r="L7718" t="s">
        <v>63</v>
      </c>
      <c r="Q7718">
        <v>24839</v>
      </c>
      <c r="R7718" t="s">
        <v>119</v>
      </c>
      <c r="S7718" t="s">
        <v>26589</v>
      </c>
      <c r="T7718">
        <v>29</v>
      </c>
      <c r="U7718" s="2" t="s">
        <v>46726</v>
      </c>
      <c r="V7718" s="1">
        <v>45084</v>
      </c>
      <c r="W7718" t="s">
        <v>26915</v>
      </c>
      <c r="X7718">
        <v>831877</v>
      </c>
      <c r="Y7718" t="s">
        <v>1716</v>
      </c>
      <c r="Z7718" t="s">
        <v>1716</v>
      </c>
      <c r="AA7718" s="2" t="s">
        <v>46727</v>
      </c>
      <c r="AB7718" t="s">
        <v>70</v>
      </c>
      <c r="AC7718" t="s">
        <v>42292</v>
      </c>
      <c r="AD7718" t="s">
        <v>32127</v>
      </c>
      <c r="AE7718" t="s">
        <v>1716</v>
      </c>
      <c r="AG7718" t="s">
        <v>46728</v>
      </c>
      <c r="AH7718" t="s">
        <v>26591</v>
      </c>
      <c r="AI7718" t="s">
        <v>46729</v>
      </c>
    </row>
    <row r="7719" spans="2:35" ht="165">
      <c r="B7719" s="1">
        <v>45091</v>
      </c>
      <c r="C7719" s="4">
        <v>45091.597222222219</v>
      </c>
      <c r="D7719" t="s">
        <v>27474</v>
      </c>
      <c r="E7719" t="s">
        <v>27475</v>
      </c>
      <c r="F7719">
        <v>3</v>
      </c>
      <c r="G7719" t="s">
        <v>134</v>
      </c>
      <c r="H7719" t="s">
        <v>39</v>
      </c>
      <c r="I7719" t="s">
        <v>40</v>
      </c>
      <c r="J7719" t="s">
        <v>109</v>
      </c>
      <c r="K7719" t="s">
        <v>42</v>
      </c>
      <c r="L7719" t="s">
        <v>63</v>
      </c>
      <c r="Q7719">
        <v>24841</v>
      </c>
      <c r="R7719" t="s">
        <v>119</v>
      </c>
      <c r="S7719" t="s">
        <v>27476</v>
      </c>
      <c r="T7719">
        <v>29</v>
      </c>
      <c r="U7719" s="2" t="s">
        <v>11409</v>
      </c>
      <c r="V7719" s="1">
        <v>45091</v>
      </c>
      <c r="W7719" t="s">
        <v>26915</v>
      </c>
      <c r="X7719">
        <v>831873</v>
      </c>
      <c r="Y7719" t="s">
        <v>1716</v>
      </c>
      <c r="Z7719" t="s">
        <v>1716</v>
      </c>
      <c r="AA7719" s="2" t="s">
        <v>1727</v>
      </c>
      <c r="AB7719" t="s">
        <v>70</v>
      </c>
      <c r="AC7719" t="s">
        <v>1716</v>
      </c>
      <c r="AD7719" t="s">
        <v>1716</v>
      </c>
      <c r="AE7719" t="s">
        <v>1716</v>
      </c>
      <c r="AG7719" t="s">
        <v>46730</v>
      </c>
      <c r="AH7719" t="s">
        <v>46731</v>
      </c>
      <c r="AI7719" t="s">
        <v>46732</v>
      </c>
    </row>
    <row r="7720" spans="2:35" ht="255">
      <c r="B7720" s="1">
        <v>45091</v>
      </c>
      <c r="C7720" s="4">
        <v>45091.552777777775</v>
      </c>
      <c r="D7720" t="s">
        <v>1590</v>
      </c>
      <c r="E7720" t="s">
        <v>1591</v>
      </c>
      <c r="F7720">
        <v>8</v>
      </c>
      <c r="G7720" t="s">
        <v>630</v>
      </c>
      <c r="H7720" t="s">
        <v>39</v>
      </c>
      <c r="I7720" t="s">
        <v>40</v>
      </c>
      <c r="J7720" s="2" t="s">
        <v>41</v>
      </c>
      <c r="K7720" t="s">
        <v>42</v>
      </c>
      <c r="L7720" t="s">
        <v>259</v>
      </c>
      <c r="Q7720">
        <v>24838</v>
      </c>
      <c r="R7720" t="s">
        <v>45</v>
      </c>
      <c r="S7720" t="s">
        <v>46733</v>
      </c>
      <c r="T7720">
        <v>31</v>
      </c>
      <c r="U7720" s="2" t="s">
        <v>46734</v>
      </c>
      <c r="V7720" s="1">
        <v>45091</v>
      </c>
      <c r="W7720" t="s">
        <v>46735</v>
      </c>
      <c r="X7720">
        <v>835100</v>
      </c>
      <c r="Y7720" t="s">
        <v>46736</v>
      </c>
      <c r="Z7720" t="e">
        <f ca="1">- module Replacement
- Preventive Maintenance</f>
        <v>#NAME?</v>
      </c>
      <c r="AA7720" s="2" t="s">
        <v>46737</v>
      </c>
      <c r="AB7720" t="s">
        <v>70</v>
      </c>
      <c r="AC7720" t="s">
        <v>46738</v>
      </c>
      <c r="AD7720" t="s">
        <v>46739</v>
      </c>
      <c r="AE7720" t="s">
        <v>45</v>
      </c>
      <c r="AG7720" t="s">
        <v>46740</v>
      </c>
      <c r="AH7720" t="s">
        <v>46741</v>
      </c>
      <c r="AI7720" t="s">
        <v>46742</v>
      </c>
    </row>
    <row r="7721" spans="2:35" ht="180">
      <c r="B7721" s="1">
        <v>45091</v>
      </c>
      <c r="C7721" s="4">
        <v>45091.534722222219</v>
      </c>
      <c r="D7721" t="s">
        <v>46743</v>
      </c>
      <c r="E7721" t="s">
        <v>229</v>
      </c>
      <c r="F7721" t="s">
        <v>148</v>
      </c>
      <c r="G7721" t="s">
        <v>230</v>
      </c>
      <c r="H7721" t="s">
        <v>39</v>
      </c>
      <c r="I7721" t="s">
        <v>40</v>
      </c>
      <c r="J7721" s="2" t="s">
        <v>41</v>
      </c>
      <c r="K7721" t="s">
        <v>42</v>
      </c>
      <c r="L7721" t="s">
        <v>175</v>
      </c>
      <c r="Q7721">
        <v>24837</v>
      </c>
      <c r="R7721" t="s">
        <v>703</v>
      </c>
      <c r="S7721" t="s">
        <v>46744</v>
      </c>
      <c r="T7721">
        <v>27</v>
      </c>
      <c r="U7721" s="2" t="s">
        <v>46745</v>
      </c>
      <c r="V7721" s="1">
        <v>45090</v>
      </c>
      <c r="W7721" t="s">
        <v>84</v>
      </c>
      <c r="X7721">
        <v>110008415</v>
      </c>
      <c r="Y7721" t="s">
        <v>46746</v>
      </c>
      <c r="Z7721" t="e">
        <f ca="1">- replaced B4
- generated reports
- checked cartridge bay, plunger rod, _xludf.filter</f>
        <v>#NAME?</v>
      </c>
      <c r="AA7721" t="s">
        <v>25294</v>
      </c>
      <c r="AB7721" t="s">
        <v>88</v>
      </c>
      <c r="AD7721" s="2" t="s">
        <v>46747</v>
      </c>
      <c r="AE7721">
        <v>5333</v>
      </c>
      <c r="AG7721" t="s">
        <v>46748</v>
      </c>
      <c r="AH7721" t="s">
        <v>21204</v>
      </c>
      <c r="AI7721" t="s">
        <v>46749</v>
      </c>
    </row>
    <row r="7722" spans="2:35" ht="105">
      <c r="B7722" s="1">
        <v>45091</v>
      </c>
      <c r="C7722" s="4">
        <v>45091.474999999999</v>
      </c>
      <c r="D7722" t="s">
        <v>22227</v>
      </c>
      <c r="E7722" t="s">
        <v>293</v>
      </c>
      <c r="F7722">
        <v>12</v>
      </c>
      <c r="G7722" t="s">
        <v>294</v>
      </c>
      <c r="H7722" t="s">
        <v>43278</v>
      </c>
      <c r="I7722" t="s">
        <v>94</v>
      </c>
      <c r="J7722" s="2" t="s">
        <v>41</v>
      </c>
      <c r="K7722" t="s">
        <v>42</v>
      </c>
      <c r="L7722" t="s">
        <v>296</v>
      </c>
      <c r="Q7722">
        <v>24836</v>
      </c>
      <c r="R7722" t="s">
        <v>45</v>
      </c>
      <c r="S7722" t="s">
        <v>46750</v>
      </c>
      <c r="T7722">
        <v>22.3</v>
      </c>
      <c r="U7722" s="2" t="s">
        <v>14797</v>
      </c>
      <c r="V7722" s="1">
        <v>45098</v>
      </c>
      <c r="W7722" t="s">
        <v>23049</v>
      </c>
      <c r="X7722">
        <v>815393</v>
      </c>
      <c r="Y7722" t="s">
        <v>46751</v>
      </c>
      <c r="Z7722" t="s">
        <v>46752</v>
      </c>
      <c r="AA7722" t="s">
        <v>9161</v>
      </c>
      <c r="AB7722" t="s">
        <v>972</v>
      </c>
      <c r="AD7722" t="s">
        <v>46753</v>
      </c>
      <c r="AE7722" t="s">
        <v>19700</v>
      </c>
      <c r="AG7722" t="s">
        <v>46754</v>
      </c>
      <c r="AH7722" t="s">
        <v>46755</v>
      </c>
      <c r="AI7722" t="s">
        <v>46756</v>
      </c>
    </row>
    <row r="7723" spans="2:35" ht="255">
      <c r="B7723" s="1">
        <v>45091</v>
      </c>
      <c r="C7723" s="4">
        <v>45085.426388888889</v>
      </c>
      <c r="D7723" t="s">
        <v>25155</v>
      </c>
      <c r="E7723" t="s">
        <v>33895</v>
      </c>
      <c r="F7723" t="s">
        <v>37</v>
      </c>
      <c r="G7723" t="s">
        <v>748</v>
      </c>
      <c r="H7723" t="s">
        <v>39</v>
      </c>
      <c r="I7723" t="s">
        <v>40</v>
      </c>
      <c r="J7723" s="2" t="s">
        <v>190</v>
      </c>
      <c r="K7723" t="s">
        <v>42</v>
      </c>
      <c r="L7723" t="s">
        <v>1028</v>
      </c>
      <c r="Q7723">
        <v>24835</v>
      </c>
      <c r="R7723" t="s">
        <v>119</v>
      </c>
      <c r="S7723" t="s">
        <v>25157</v>
      </c>
      <c r="T7723">
        <v>24</v>
      </c>
      <c r="U7723" s="2" t="s">
        <v>27992</v>
      </c>
      <c r="W7723" t="s">
        <v>2680</v>
      </c>
      <c r="X7723">
        <v>821221</v>
      </c>
      <c r="Y7723" s="2" t="s">
        <v>46757</v>
      </c>
      <c r="Z7723" t="s">
        <v>21244</v>
      </c>
      <c r="AA7723" s="2" t="s">
        <v>46758</v>
      </c>
      <c r="AB7723" t="s">
        <v>46759</v>
      </c>
      <c r="AC7723" t="s">
        <v>46760</v>
      </c>
      <c r="AG7723" t="s">
        <v>46761</v>
      </c>
      <c r="AH7723" t="s">
        <v>25162</v>
      </c>
      <c r="AI7723" t="s">
        <v>46762</v>
      </c>
    </row>
    <row r="7724" spans="2:35" ht="105">
      <c r="B7724" s="1">
        <v>45091</v>
      </c>
      <c r="C7724" s="4">
        <v>45086.47152777778</v>
      </c>
      <c r="D7724" t="s">
        <v>2437</v>
      </c>
      <c r="E7724" t="s">
        <v>46763</v>
      </c>
      <c r="F7724" t="s">
        <v>37</v>
      </c>
      <c r="G7724" t="s">
        <v>748</v>
      </c>
      <c r="H7724" t="s">
        <v>39</v>
      </c>
      <c r="I7724" t="s">
        <v>40</v>
      </c>
      <c r="J7724" t="s">
        <v>321</v>
      </c>
      <c r="K7724" t="s">
        <v>42</v>
      </c>
      <c r="L7724" t="s">
        <v>1028</v>
      </c>
      <c r="Q7724">
        <v>24835</v>
      </c>
      <c r="R7724" t="s">
        <v>45</v>
      </c>
      <c r="S7724" t="s">
        <v>2439</v>
      </c>
      <c r="T7724">
        <v>28</v>
      </c>
      <c r="W7724" t="s">
        <v>1032</v>
      </c>
      <c r="X7724">
        <v>120000175</v>
      </c>
      <c r="Y7724" t="s">
        <v>29377</v>
      </c>
      <c r="Z7724" t="s">
        <v>13110</v>
      </c>
      <c r="AA7724" s="2" t="s">
        <v>30246</v>
      </c>
      <c r="AB7724" t="s">
        <v>3063</v>
      </c>
      <c r="AG7724" t="s">
        <v>46764</v>
      </c>
      <c r="AH7724" t="s">
        <v>36119</v>
      </c>
      <c r="AI7724" t="s">
        <v>46765</v>
      </c>
    </row>
    <row r="7725" spans="2:35">
      <c r="B7725" s="1">
        <v>45090</v>
      </c>
      <c r="C7725" s="4">
        <v>45090.585416666669</v>
      </c>
      <c r="D7725" t="s">
        <v>7050</v>
      </c>
      <c r="E7725" t="s">
        <v>46766</v>
      </c>
      <c r="F7725">
        <v>9</v>
      </c>
      <c r="G7725" t="s">
        <v>8524</v>
      </c>
      <c r="H7725" t="s">
        <v>39</v>
      </c>
      <c r="I7725" t="s">
        <v>40</v>
      </c>
      <c r="J7725" t="s">
        <v>525</v>
      </c>
      <c r="K7725" t="s">
        <v>387</v>
      </c>
      <c r="L7725" t="s">
        <v>1257</v>
      </c>
      <c r="Q7725">
        <v>24834</v>
      </c>
      <c r="R7725" t="s">
        <v>95</v>
      </c>
      <c r="S7725" t="s">
        <v>7052</v>
      </c>
      <c r="T7725">
        <v>0</v>
      </c>
      <c r="V7725" s="1">
        <v>45090</v>
      </c>
      <c r="W7725" t="s">
        <v>390</v>
      </c>
      <c r="X7725" t="s">
        <v>7053</v>
      </c>
      <c r="Y7725" t="s">
        <v>46767</v>
      </c>
      <c r="Z7725" t="s">
        <v>46768</v>
      </c>
      <c r="AA7725" t="s">
        <v>46768</v>
      </c>
      <c r="AB7725" t="s">
        <v>46769</v>
      </c>
      <c r="AC7725" t="s">
        <v>301</v>
      </c>
      <c r="AD7725" t="s">
        <v>54</v>
      </c>
      <c r="AE7725" t="s">
        <v>54</v>
      </c>
      <c r="AG7725" t="s">
        <v>46770</v>
      </c>
      <c r="AH7725" t="s">
        <v>21343</v>
      </c>
      <c r="AI7725" t="s">
        <v>46771</v>
      </c>
    </row>
    <row r="7726" spans="2:35" ht="180">
      <c r="B7726" s="1">
        <v>45090</v>
      </c>
      <c r="C7726" s="4">
        <v>45090.37777777778</v>
      </c>
      <c r="D7726" t="s">
        <v>7200</v>
      </c>
      <c r="E7726" t="s">
        <v>12226</v>
      </c>
      <c r="F7726">
        <v>12</v>
      </c>
      <c r="G7726" t="s">
        <v>978</v>
      </c>
      <c r="H7726" t="s">
        <v>43278</v>
      </c>
      <c r="I7726" t="s">
        <v>94</v>
      </c>
      <c r="J7726" s="2" t="s">
        <v>1157</v>
      </c>
      <c r="K7726" t="s">
        <v>42</v>
      </c>
      <c r="L7726" t="s">
        <v>296</v>
      </c>
      <c r="Q7726">
        <v>24833</v>
      </c>
      <c r="R7726" t="s">
        <v>119</v>
      </c>
      <c r="S7726" t="s">
        <v>7202</v>
      </c>
      <c r="T7726">
        <v>27.3</v>
      </c>
      <c r="U7726" s="2" t="s">
        <v>46772</v>
      </c>
      <c r="V7726" s="1">
        <v>45085</v>
      </c>
      <c r="W7726" t="s">
        <v>23049</v>
      </c>
      <c r="X7726">
        <v>838504</v>
      </c>
      <c r="Y7726" t="s">
        <v>46773</v>
      </c>
      <c r="Z7726" t="s">
        <v>46774</v>
      </c>
      <c r="AA7726" t="s">
        <v>9161</v>
      </c>
      <c r="AB7726" t="s">
        <v>1480</v>
      </c>
      <c r="AC7726" t="s">
        <v>15200</v>
      </c>
      <c r="AG7726" t="s">
        <v>46775</v>
      </c>
      <c r="AH7726" t="s">
        <v>32835</v>
      </c>
      <c r="AI7726" t="s">
        <v>46776</v>
      </c>
    </row>
    <row r="7727" spans="2:35" ht="210">
      <c r="B7727" s="1">
        <v>45090</v>
      </c>
      <c r="C7727" s="4">
        <v>45090.369444444441</v>
      </c>
      <c r="D7727" t="s">
        <v>24455</v>
      </c>
      <c r="E7727" t="s">
        <v>45661</v>
      </c>
      <c r="F7727">
        <v>10</v>
      </c>
      <c r="G7727" t="s">
        <v>5571</v>
      </c>
      <c r="H7727" t="s">
        <v>39</v>
      </c>
      <c r="I7727" t="s">
        <v>94</v>
      </c>
      <c r="J7727" s="2" t="s">
        <v>17874</v>
      </c>
      <c r="K7727" t="s">
        <v>42</v>
      </c>
      <c r="L7727" t="s">
        <v>43100</v>
      </c>
      <c r="Q7727">
        <v>24832</v>
      </c>
      <c r="R7727" t="s">
        <v>45</v>
      </c>
      <c r="S7727" t="s">
        <v>24456</v>
      </c>
      <c r="T7727">
        <v>25</v>
      </c>
      <c r="U7727" s="2" t="s">
        <v>46777</v>
      </c>
      <c r="W7727" t="s">
        <v>46778</v>
      </c>
      <c r="X7727">
        <v>807618</v>
      </c>
      <c r="Y7727" t="s">
        <v>46779</v>
      </c>
      <c r="Z7727" t="s">
        <v>46780</v>
      </c>
      <c r="AA7727" s="2" t="s">
        <v>46781</v>
      </c>
      <c r="AB7727" t="s">
        <v>486</v>
      </c>
      <c r="AC7727" t="s">
        <v>46782</v>
      </c>
      <c r="AG7727" t="s">
        <v>46783</v>
      </c>
      <c r="AH7727" t="s">
        <v>45668</v>
      </c>
      <c r="AI7727" t="s">
        <v>46784</v>
      </c>
    </row>
    <row r="7728" spans="2:35" ht="225">
      <c r="B7728" s="1">
        <v>45089</v>
      </c>
      <c r="C7728" s="4">
        <v>45086.43472222222</v>
      </c>
      <c r="D7728" t="s">
        <v>5783</v>
      </c>
      <c r="E7728" t="s">
        <v>46785</v>
      </c>
      <c r="F7728">
        <v>12</v>
      </c>
      <c r="G7728" t="s">
        <v>5785</v>
      </c>
      <c r="H7728" t="s">
        <v>43278</v>
      </c>
      <c r="I7728" t="s">
        <v>94</v>
      </c>
      <c r="J7728" s="2" t="s">
        <v>1157</v>
      </c>
      <c r="K7728" t="s">
        <v>42</v>
      </c>
      <c r="L7728" t="s">
        <v>296</v>
      </c>
      <c r="Q7728">
        <v>24831</v>
      </c>
      <c r="R7728" t="s">
        <v>119</v>
      </c>
      <c r="S7728" t="s">
        <v>5787</v>
      </c>
      <c r="T7728">
        <v>28.2</v>
      </c>
      <c r="U7728" s="2" t="s">
        <v>21288</v>
      </c>
      <c r="W7728" t="s">
        <v>23049</v>
      </c>
      <c r="X7728">
        <v>838546</v>
      </c>
      <c r="Y7728" t="s">
        <v>28227</v>
      </c>
      <c r="Z7728" s="2" t="s">
        <v>46786</v>
      </c>
      <c r="AA7728" s="2" t="s">
        <v>46786</v>
      </c>
      <c r="AB7728" t="s">
        <v>1480</v>
      </c>
      <c r="AC7728" t="s">
        <v>16363</v>
      </c>
      <c r="AG7728" t="s">
        <v>46787</v>
      </c>
      <c r="AH7728" t="s">
        <v>5791</v>
      </c>
      <c r="AI7728" t="s">
        <v>46788</v>
      </c>
    </row>
    <row r="7729" spans="2:35" ht="375">
      <c r="B7729" s="1">
        <v>45089</v>
      </c>
      <c r="C7729" s="4">
        <v>45084.619444444441</v>
      </c>
      <c r="D7729" t="s">
        <v>42431</v>
      </c>
      <c r="E7729" t="s">
        <v>46789</v>
      </c>
      <c r="F7729" t="s">
        <v>148</v>
      </c>
      <c r="G7729" t="s">
        <v>447</v>
      </c>
      <c r="H7729" t="s">
        <v>150</v>
      </c>
      <c r="I7729" t="s">
        <v>40</v>
      </c>
      <c r="J7729" t="s">
        <v>109</v>
      </c>
      <c r="K7729" t="s">
        <v>42</v>
      </c>
      <c r="L7729" t="s">
        <v>448</v>
      </c>
      <c r="Q7729">
        <v>24830</v>
      </c>
      <c r="R7729" t="s">
        <v>322</v>
      </c>
      <c r="S7729" t="s">
        <v>1147</v>
      </c>
      <c r="T7729">
        <v>30</v>
      </c>
      <c r="U7729" s="2" t="s">
        <v>46790</v>
      </c>
      <c r="W7729" t="s">
        <v>360</v>
      </c>
      <c r="X7729">
        <v>804205</v>
      </c>
      <c r="Y7729" t="s">
        <v>46791</v>
      </c>
      <c r="Z7729" t="s">
        <v>40978</v>
      </c>
      <c r="AA7729" t="s">
        <v>6997</v>
      </c>
      <c r="AB7729" t="s">
        <v>46792</v>
      </c>
      <c r="AC7729" t="s">
        <v>46793</v>
      </c>
      <c r="AG7729" t="s">
        <v>46794</v>
      </c>
      <c r="AH7729" t="s">
        <v>1153</v>
      </c>
      <c r="AI7729" t="s">
        <v>46795</v>
      </c>
    </row>
    <row r="7730" spans="2:35" ht="195">
      <c r="B7730" s="1">
        <v>45089</v>
      </c>
      <c r="C7730" s="4">
        <v>45084.623611111114</v>
      </c>
      <c r="D7730" t="s">
        <v>42431</v>
      </c>
      <c r="E7730" t="s">
        <v>46789</v>
      </c>
      <c r="F7730" t="s">
        <v>148</v>
      </c>
      <c r="G7730" t="s">
        <v>447</v>
      </c>
      <c r="H7730" t="s">
        <v>150</v>
      </c>
      <c r="I7730" t="s">
        <v>40</v>
      </c>
      <c r="J7730" t="s">
        <v>109</v>
      </c>
      <c r="K7730" t="s">
        <v>42</v>
      </c>
      <c r="L7730" t="s">
        <v>448</v>
      </c>
      <c r="Q7730">
        <v>24829</v>
      </c>
      <c r="R7730" t="s">
        <v>45</v>
      </c>
      <c r="S7730" t="s">
        <v>1147</v>
      </c>
      <c r="T7730">
        <v>32</v>
      </c>
      <c r="U7730" s="2" t="s">
        <v>46796</v>
      </c>
      <c r="W7730" t="s">
        <v>325</v>
      </c>
      <c r="X7730">
        <v>801080</v>
      </c>
      <c r="Y7730" t="s">
        <v>46797</v>
      </c>
      <c r="Z7730" t="s">
        <v>40978</v>
      </c>
      <c r="AA7730" t="s">
        <v>6997</v>
      </c>
      <c r="AB7730" t="s">
        <v>46798</v>
      </c>
      <c r="AG7730" t="s">
        <v>46799</v>
      </c>
      <c r="AH7730" t="s">
        <v>1153</v>
      </c>
      <c r="AI7730" t="s">
        <v>46800</v>
      </c>
    </row>
    <row r="7731" spans="2:35" ht="195">
      <c r="B7731" s="1">
        <v>45089</v>
      </c>
      <c r="C7731" s="4">
        <v>45084.623611111114</v>
      </c>
      <c r="D7731" t="s">
        <v>42431</v>
      </c>
      <c r="E7731" t="s">
        <v>46789</v>
      </c>
      <c r="F7731" t="s">
        <v>148</v>
      </c>
      <c r="G7731" t="s">
        <v>447</v>
      </c>
      <c r="H7731" t="s">
        <v>150</v>
      </c>
      <c r="I7731" t="s">
        <v>40</v>
      </c>
      <c r="J7731" t="s">
        <v>109</v>
      </c>
      <c r="K7731" t="s">
        <v>42</v>
      </c>
      <c r="L7731" t="s">
        <v>448</v>
      </c>
      <c r="Q7731">
        <v>24828</v>
      </c>
      <c r="R7731" t="s">
        <v>45</v>
      </c>
      <c r="S7731" t="s">
        <v>1147</v>
      </c>
      <c r="T7731">
        <v>32</v>
      </c>
      <c r="U7731" s="2" t="s">
        <v>46796</v>
      </c>
      <c r="W7731" t="s">
        <v>325</v>
      </c>
      <c r="X7731">
        <v>801080</v>
      </c>
      <c r="Y7731" t="s">
        <v>46797</v>
      </c>
      <c r="Z7731" t="s">
        <v>40978</v>
      </c>
      <c r="AA7731" t="s">
        <v>6997</v>
      </c>
      <c r="AB7731" t="s">
        <v>46798</v>
      </c>
      <c r="AG7731" t="s">
        <v>46801</v>
      </c>
      <c r="AH7731" t="s">
        <v>1153</v>
      </c>
      <c r="AI7731" t="s">
        <v>46802</v>
      </c>
    </row>
    <row r="7732" spans="2:35" ht="409.5">
      <c r="B7732" s="1">
        <v>45089</v>
      </c>
      <c r="C7732" s="4">
        <v>45084.615277777775</v>
      </c>
      <c r="D7732" t="s">
        <v>42431</v>
      </c>
      <c r="E7732" t="s">
        <v>46803</v>
      </c>
      <c r="F7732" t="s">
        <v>148</v>
      </c>
      <c r="G7732" t="s">
        <v>447</v>
      </c>
      <c r="H7732" t="s">
        <v>150</v>
      </c>
      <c r="I7732" t="s">
        <v>40</v>
      </c>
      <c r="J7732" t="s">
        <v>109</v>
      </c>
      <c r="K7732" t="s">
        <v>42</v>
      </c>
      <c r="L7732" t="s">
        <v>448</v>
      </c>
      <c r="Q7732">
        <v>24827</v>
      </c>
      <c r="R7732" t="s">
        <v>322</v>
      </c>
      <c r="S7732" t="s">
        <v>1147</v>
      </c>
      <c r="T7732">
        <v>30</v>
      </c>
      <c r="U7732" s="2" t="s">
        <v>46804</v>
      </c>
      <c r="W7732" t="s">
        <v>360</v>
      </c>
      <c r="X7732">
        <v>838837</v>
      </c>
      <c r="Y7732" t="s">
        <v>46805</v>
      </c>
      <c r="Z7732" t="s">
        <v>40978</v>
      </c>
      <c r="AA7732" t="s">
        <v>6997</v>
      </c>
      <c r="AB7732" t="s">
        <v>46806</v>
      </c>
      <c r="AC7732" t="s">
        <v>46807</v>
      </c>
      <c r="AG7732" t="s">
        <v>46808</v>
      </c>
      <c r="AH7732" t="s">
        <v>1153</v>
      </c>
      <c r="AI7732" t="s">
        <v>46809</v>
      </c>
    </row>
    <row r="7733" spans="2:35" ht="409.5">
      <c r="B7733" s="1">
        <v>45089</v>
      </c>
      <c r="C7733" s="4">
        <v>45084.615277777775</v>
      </c>
      <c r="D7733" t="s">
        <v>42431</v>
      </c>
      <c r="E7733" t="s">
        <v>46803</v>
      </c>
      <c r="F7733" t="s">
        <v>148</v>
      </c>
      <c r="G7733" t="s">
        <v>447</v>
      </c>
      <c r="H7733" t="s">
        <v>150</v>
      </c>
      <c r="I7733" t="s">
        <v>40</v>
      </c>
      <c r="J7733" t="s">
        <v>109</v>
      </c>
      <c r="K7733" t="s">
        <v>42</v>
      </c>
      <c r="L7733" t="s">
        <v>448</v>
      </c>
      <c r="Q7733">
        <v>24826</v>
      </c>
      <c r="R7733" t="s">
        <v>322</v>
      </c>
      <c r="S7733" t="s">
        <v>1147</v>
      </c>
      <c r="T7733">
        <v>30</v>
      </c>
      <c r="U7733" s="2" t="s">
        <v>46804</v>
      </c>
      <c r="W7733" t="s">
        <v>360</v>
      </c>
      <c r="X7733">
        <v>838837</v>
      </c>
      <c r="Y7733" t="s">
        <v>46805</v>
      </c>
      <c r="Z7733" t="s">
        <v>40978</v>
      </c>
      <c r="AA7733" t="s">
        <v>6997</v>
      </c>
      <c r="AB7733" t="s">
        <v>46806</v>
      </c>
      <c r="AC7733" t="s">
        <v>46807</v>
      </c>
      <c r="AG7733" t="s">
        <v>46810</v>
      </c>
      <c r="AH7733" t="s">
        <v>1153</v>
      </c>
      <c r="AI7733" t="s">
        <v>46811</v>
      </c>
    </row>
    <row r="7734" spans="2:35" ht="105">
      <c r="B7734" s="1">
        <v>45089</v>
      </c>
      <c r="C7734" s="4">
        <v>45084.647916666669</v>
      </c>
      <c r="D7734" t="s">
        <v>42431</v>
      </c>
      <c r="E7734" t="s">
        <v>46789</v>
      </c>
      <c r="F7734" t="s">
        <v>148</v>
      </c>
      <c r="G7734" t="s">
        <v>447</v>
      </c>
      <c r="H7734" t="s">
        <v>46812</v>
      </c>
      <c r="I7734" t="s">
        <v>40</v>
      </c>
      <c r="J7734" t="s">
        <v>109</v>
      </c>
      <c r="K7734" t="s">
        <v>42</v>
      </c>
      <c r="L7734" t="s">
        <v>448</v>
      </c>
      <c r="Q7734">
        <v>24825</v>
      </c>
      <c r="R7734" t="s">
        <v>45</v>
      </c>
      <c r="S7734" t="s">
        <v>23333</v>
      </c>
      <c r="T7734">
        <v>20</v>
      </c>
      <c r="U7734" s="2" t="s">
        <v>31383</v>
      </c>
      <c r="W7734" t="s">
        <v>360</v>
      </c>
      <c r="X7734">
        <v>707450</v>
      </c>
      <c r="Y7734" t="s">
        <v>485</v>
      </c>
      <c r="Z7734" t="s">
        <v>40978</v>
      </c>
      <c r="AA7734" t="s">
        <v>6997</v>
      </c>
      <c r="AB7734" t="s">
        <v>486</v>
      </c>
      <c r="AG7734" t="s">
        <v>46813</v>
      </c>
      <c r="AH7734" t="s">
        <v>37433</v>
      </c>
      <c r="AI7734" t="s">
        <v>46814</v>
      </c>
    </row>
    <row r="7735" spans="2:35" ht="105">
      <c r="B7735" s="1">
        <v>45089</v>
      </c>
      <c r="C7735" s="4">
        <v>45084.647916666669</v>
      </c>
      <c r="D7735" t="s">
        <v>42431</v>
      </c>
      <c r="E7735" t="s">
        <v>46789</v>
      </c>
      <c r="F7735" t="s">
        <v>148</v>
      </c>
      <c r="G7735" t="s">
        <v>447</v>
      </c>
      <c r="H7735" t="s">
        <v>46812</v>
      </c>
      <c r="I7735" t="s">
        <v>40</v>
      </c>
      <c r="J7735" t="s">
        <v>109</v>
      </c>
      <c r="K7735" t="s">
        <v>42</v>
      </c>
      <c r="L7735" t="s">
        <v>448</v>
      </c>
      <c r="Q7735">
        <v>24824</v>
      </c>
      <c r="R7735" t="s">
        <v>45</v>
      </c>
      <c r="S7735" t="s">
        <v>23333</v>
      </c>
      <c r="T7735">
        <v>20</v>
      </c>
      <c r="U7735" s="2" t="s">
        <v>31383</v>
      </c>
      <c r="W7735" t="s">
        <v>360</v>
      </c>
      <c r="X7735">
        <v>707450</v>
      </c>
      <c r="Y7735" t="s">
        <v>485</v>
      </c>
      <c r="Z7735" t="s">
        <v>40978</v>
      </c>
      <c r="AA7735" t="s">
        <v>6997</v>
      </c>
      <c r="AB7735" t="s">
        <v>486</v>
      </c>
      <c r="AG7735" t="s">
        <v>46815</v>
      </c>
      <c r="AH7735" t="s">
        <v>37433</v>
      </c>
      <c r="AI7735" t="s">
        <v>46816</v>
      </c>
    </row>
    <row r="7736" spans="2:35" ht="105">
      <c r="B7736" s="1">
        <v>45089</v>
      </c>
      <c r="C7736" s="4">
        <v>45084.650694444441</v>
      </c>
      <c r="D7736" t="s">
        <v>42431</v>
      </c>
      <c r="E7736" t="s">
        <v>46789</v>
      </c>
      <c r="F7736" t="s">
        <v>148</v>
      </c>
      <c r="G7736" t="s">
        <v>447</v>
      </c>
      <c r="H7736" t="s">
        <v>46812</v>
      </c>
      <c r="I7736" t="s">
        <v>40</v>
      </c>
      <c r="J7736" t="s">
        <v>109</v>
      </c>
      <c r="K7736" t="s">
        <v>42</v>
      </c>
      <c r="L7736" t="s">
        <v>448</v>
      </c>
      <c r="Q7736">
        <v>24823</v>
      </c>
      <c r="R7736" t="s">
        <v>45</v>
      </c>
      <c r="S7736" t="s">
        <v>23333</v>
      </c>
      <c r="T7736">
        <v>20</v>
      </c>
      <c r="U7736" s="2" t="s">
        <v>46817</v>
      </c>
      <c r="W7736" t="s">
        <v>360</v>
      </c>
      <c r="X7736">
        <v>704584</v>
      </c>
      <c r="Y7736" t="s">
        <v>485</v>
      </c>
      <c r="Z7736" t="s">
        <v>40978</v>
      </c>
      <c r="AA7736" t="s">
        <v>6997</v>
      </c>
      <c r="AB7736" t="s">
        <v>486</v>
      </c>
      <c r="AG7736" t="s">
        <v>46818</v>
      </c>
      <c r="AH7736" t="s">
        <v>23336</v>
      </c>
      <c r="AI7736" t="s">
        <v>46819</v>
      </c>
    </row>
    <row r="7737" spans="2:35" ht="165">
      <c r="B7737" s="1">
        <v>45089</v>
      </c>
      <c r="C7737" s="4">
        <v>45086.395833333336</v>
      </c>
      <c r="D7737" t="s">
        <v>4183</v>
      </c>
      <c r="E7737" t="s">
        <v>46820</v>
      </c>
      <c r="F7737">
        <v>3</v>
      </c>
      <c r="G7737" t="s">
        <v>134</v>
      </c>
      <c r="H7737" t="s">
        <v>39</v>
      </c>
      <c r="I7737" t="s">
        <v>40</v>
      </c>
      <c r="J7737" t="s">
        <v>33785</v>
      </c>
      <c r="K7737" t="s">
        <v>42</v>
      </c>
      <c r="L7737" t="s">
        <v>448</v>
      </c>
      <c r="Q7737">
        <v>24823</v>
      </c>
      <c r="R7737" t="s">
        <v>95</v>
      </c>
      <c r="S7737" t="s">
        <v>9328</v>
      </c>
      <c r="T7737">
        <v>26</v>
      </c>
      <c r="V7737" s="1">
        <v>45085</v>
      </c>
      <c r="W7737" t="s">
        <v>360</v>
      </c>
      <c r="X7737">
        <v>812571</v>
      </c>
      <c r="Y7737" t="s">
        <v>46821</v>
      </c>
      <c r="Z7737" s="2" t="s">
        <v>46822</v>
      </c>
      <c r="AA7737" t="s">
        <v>33785</v>
      </c>
      <c r="AB7737" t="s">
        <v>486</v>
      </c>
      <c r="AD7737" t="s">
        <v>46823</v>
      </c>
      <c r="AE7737">
        <v>5327</v>
      </c>
      <c r="AG7737" t="s">
        <v>46824</v>
      </c>
      <c r="AH7737" t="s">
        <v>14739</v>
      </c>
      <c r="AI7737" t="s">
        <v>46825</v>
      </c>
    </row>
    <row r="7738" spans="2:35" ht="330">
      <c r="B7738" s="1">
        <v>45089</v>
      </c>
      <c r="C7738" s="4">
        <v>45086.599305555559</v>
      </c>
      <c r="D7738" t="s">
        <v>38422</v>
      </c>
      <c r="E7738" t="s">
        <v>41822</v>
      </c>
      <c r="F7738" t="s">
        <v>148</v>
      </c>
      <c r="G7738" t="s">
        <v>447</v>
      </c>
      <c r="H7738" t="s">
        <v>662</v>
      </c>
      <c r="I7738" t="s">
        <v>40</v>
      </c>
      <c r="J7738" t="s">
        <v>79</v>
      </c>
      <c r="K7738" t="s">
        <v>42</v>
      </c>
      <c r="L7738" t="s">
        <v>448</v>
      </c>
      <c r="Q7738">
        <v>24823</v>
      </c>
      <c r="R7738" t="s">
        <v>45</v>
      </c>
      <c r="S7738" t="s">
        <v>17810</v>
      </c>
      <c r="T7738">
        <v>25</v>
      </c>
      <c r="U7738" s="2" t="s">
        <v>46826</v>
      </c>
      <c r="V7738" s="1">
        <v>45086</v>
      </c>
      <c r="W7738" t="s">
        <v>360</v>
      </c>
      <c r="X7738">
        <v>834443</v>
      </c>
      <c r="Y7738" t="s">
        <v>46827</v>
      </c>
      <c r="Z7738" t="s">
        <v>46828</v>
      </c>
      <c r="AA7738" t="s">
        <v>5712</v>
      </c>
      <c r="AB7738" t="s">
        <v>486</v>
      </c>
      <c r="AD7738" t="s">
        <v>19700</v>
      </c>
      <c r="AE7738">
        <v>0</v>
      </c>
      <c r="AG7738" t="s">
        <v>46829</v>
      </c>
      <c r="AH7738" t="s">
        <v>28929</v>
      </c>
      <c r="AI7738" t="s">
        <v>46830</v>
      </c>
    </row>
    <row r="7739" spans="2:35" ht="105">
      <c r="B7739" s="1">
        <v>45086</v>
      </c>
      <c r="C7739" s="4">
        <v>45084.557638888888</v>
      </c>
      <c r="D7739" t="s">
        <v>9185</v>
      </c>
      <c r="E7739" t="s">
        <v>9186</v>
      </c>
      <c r="F7739">
        <v>9</v>
      </c>
      <c r="G7739" t="s">
        <v>2197</v>
      </c>
      <c r="H7739" t="s">
        <v>39</v>
      </c>
      <c r="I7739" t="s">
        <v>40</v>
      </c>
      <c r="J7739" s="2" t="s">
        <v>62</v>
      </c>
      <c r="K7739" t="s">
        <v>42</v>
      </c>
      <c r="L7739" t="s">
        <v>1257</v>
      </c>
      <c r="Q7739">
        <v>24821</v>
      </c>
      <c r="R7739" t="s">
        <v>119</v>
      </c>
      <c r="S7739" t="s">
        <v>9187</v>
      </c>
      <c r="T7739">
        <v>26</v>
      </c>
      <c r="U7739" s="2" t="s">
        <v>5242</v>
      </c>
      <c r="V7739" s="1">
        <v>45084</v>
      </c>
      <c r="W7739" t="s">
        <v>2384</v>
      </c>
      <c r="X7739">
        <v>837664</v>
      </c>
      <c r="Y7739" t="s">
        <v>46831</v>
      </c>
      <c r="Z7739" t="s">
        <v>46832</v>
      </c>
      <c r="AA7739" t="s">
        <v>46833</v>
      </c>
      <c r="AB7739" t="s">
        <v>46834</v>
      </c>
      <c r="AC7739" t="s">
        <v>301</v>
      </c>
      <c r="AD7739" t="s">
        <v>54</v>
      </c>
      <c r="AE7739" t="s">
        <v>54</v>
      </c>
      <c r="AG7739" t="s">
        <v>46835</v>
      </c>
      <c r="AH7739" t="s">
        <v>12434</v>
      </c>
      <c r="AI7739" t="s">
        <v>46836</v>
      </c>
    </row>
    <row r="7740" spans="2:35" ht="105">
      <c r="B7740" s="1">
        <v>45086</v>
      </c>
      <c r="C7740" s="4">
        <v>45086.580555555556</v>
      </c>
      <c r="D7740" t="s">
        <v>4286</v>
      </c>
      <c r="E7740" t="s">
        <v>2956</v>
      </c>
      <c r="F7740">
        <v>9</v>
      </c>
      <c r="G7740" t="s">
        <v>2197</v>
      </c>
      <c r="H7740" t="s">
        <v>39</v>
      </c>
      <c r="I7740" t="s">
        <v>40</v>
      </c>
      <c r="J7740" s="2" t="s">
        <v>62</v>
      </c>
      <c r="K7740" t="s">
        <v>42</v>
      </c>
      <c r="L7740" t="s">
        <v>1257</v>
      </c>
      <c r="Q7740">
        <v>24822</v>
      </c>
      <c r="R7740" t="s">
        <v>119</v>
      </c>
      <c r="S7740" t="s">
        <v>2958</v>
      </c>
      <c r="T7740">
        <v>23</v>
      </c>
      <c r="U7740" s="2" t="s">
        <v>46837</v>
      </c>
      <c r="V7740" s="1">
        <v>45086</v>
      </c>
      <c r="W7740" t="s">
        <v>2384</v>
      </c>
      <c r="X7740">
        <v>821214</v>
      </c>
      <c r="Y7740" t="s">
        <v>40787</v>
      </c>
      <c r="Z7740" t="s">
        <v>46838</v>
      </c>
      <c r="AA7740" t="s">
        <v>46839</v>
      </c>
      <c r="AB7740" t="s">
        <v>46840</v>
      </c>
      <c r="AC7740" t="s">
        <v>39626</v>
      </c>
      <c r="AD7740" t="s">
        <v>54</v>
      </c>
      <c r="AE7740" t="s">
        <v>54</v>
      </c>
      <c r="AG7740" t="s">
        <v>46841</v>
      </c>
      <c r="AH7740" t="s">
        <v>46842</v>
      </c>
      <c r="AI7740" t="s">
        <v>46843</v>
      </c>
    </row>
    <row r="7741" spans="2:35" ht="285">
      <c r="B7741" s="1">
        <v>45086</v>
      </c>
      <c r="C7741" s="4">
        <v>45086.601388888892</v>
      </c>
      <c r="D7741" t="s">
        <v>46844</v>
      </c>
      <c r="E7741" t="s">
        <v>46845</v>
      </c>
      <c r="F7741">
        <v>7</v>
      </c>
      <c r="G7741" t="s">
        <v>432</v>
      </c>
      <c r="H7741" t="s">
        <v>46846</v>
      </c>
      <c r="I7741" t="s">
        <v>94</v>
      </c>
      <c r="J7741" t="s">
        <v>109</v>
      </c>
      <c r="K7741" t="s">
        <v>42</v>
      </c>
      <c r="L7741" t="s">
        <v>610</v>
      </c>
      <c r="Q7741">
        <v>24820</v>
      </c>
      <c r="R7741" t="s">
        <v>119</v>
      </c>
      <c r="S7741" t="s">
        <v>16409</v>
      </c>
      <c r="T7741">
        <v>26</v>
      </c>
      <c r="U7741" s="2" t="s">
        <v>35479</v>
      </c>
      <c r="W7741" t="s">
        <v>502</v>
      </c>
      <c r="X7741">
        <v>838513</v>
      </c>
      <c r="Y7741" t="s">
        <v>46847</v>
      </c>
      <c r="Z7741" t="s">
        <v>46848</v>
      </c>
      <c r="AA7741" s="2" t="s">
        <v>46849</v>
      </c>
      <c r="AB7741" t="s">
        <v>46850</v>
      </c>
      <c r="AG7741" t="s">
        <v>46851</v>
      </c>
      <c r="AH7741" t="s">
        <v>16414</v>
      </c>
      <c r="AI7741" t="s">
        <v>46852</v>
      </c>
    </row>
    <row r="7742" spans="2:35" ht="210">
      <c r="B7742" s="1">
        <v>45086</v>
      </c>
      <c r="C7742" s="4">
        <v>45086.581944444442</v>
      </c>
      <c r="D7742" t="s">
        <v>3905</v>
      </c>
      <c r="E7742" t="s">
        <v>46853</v>
      </c>
      <c r="F7742" t="s">
        <v>148</v>
      </c>
      <c r="G7742" t="s">
        <v>406</v>
      </c>
      <c r="H7742" t="s">
        <v>39</v>
      </c>
      <c r="I7742" t="s">
        <v>40</v>
      </c>
      <c r="J7742" s="2" t="s">
        <v>41</v>
      </c>
      <c r="K7742" t="s">
        <v>42</v>
      </c>
      <c r="L7742" t="s">
        <v>175</v>
      </c>
      <c r="Q7742">
        <v>24819</v>
      </c>
      <c r="R7742" t="s">
        <v>45</v>
      </c>
      <c r="S7742" t="s">
        <v>39299</v>
      </c>
      <c r="T7742">
        <v>26</v>
      </c>
      <c r="U7742" s="2" t="s">
        <v>46854</v>
      </c>
      <c r="V7742" s="1">
        <v>45086</v>
      </c>
      <c r="W7742" t="s">
        <v>84</v>
      </c>
      <c r="X7742">
        <v>814372</v>
      </c>
      <c r="Y7742" t="s">
        <v>46855</v>
      </c>
      <c r="Z7742" t="e">
        <f ca="1">- replaced module B4
- checked _xludf.and cleaned cartridge bay, plunger rod, _xludf.filter
- generated reports</f>
        <v>#NAME?</v>
      </c>
      <c r="AA7742" t="s">
        <v>25294</v>
      </c>
      <c r="AB7742" t="s">
        <v>88</v>
      </c>
      <c r="AD7742" s="2" t="s">
        <v>46856</v>
      </c>
      <c r="AE7742" t="s">
        <v>103</v>
      </c>
      <c r="AG7742" t="s">
        <v>46857</v>
      </c>
      <c r="AH7742" t="s">
        <v>3910</v>
      </c>
      <c r="AI7742" t="s">
        <v>46858</v>
      </c>
    </row>
    <row r="7743" spans="2:35" ht="345">
      <c r="B7743" s="1">
        <v>45086</v>
      </c>
      <c r="C7743" s="4">
        <v>45086.463888888888</v>
      </c>
      <c r="D7743" t="s">
        <v>24888</v>
      </c>
      <c r="E7743" t="s">
        <v>35126</v>
      </c>
      <c r="F7743">
        <v>3</v>
      </c>
      <c r="G7743" t="s">
        <v>730</v>
      </c>
      <c r="H7743" t="s">
        <v>39</v>
      </c>
      <c r="I7743" t="s">
        <v>40</v>
      </c>
      <c r="J7743" t="s">
        <v>109</v>
      </c>
      <c r="K7743" t="s">
        <v>42</v>
      </c>
      <c r="L7743" t="s">
        <v>135</v>
      </c>
      <c r="Q7743">
        <v>24818</v>
      </c>
      <c r="R7743" t="s">
        <v>119</v>
      </c>
      <c r="S7743" t="s">
        <v>24890</v>
      </c>
      <c r="T7743">
        <v>26</v>
      </c>
      <c r="U7743" s="2" t="s">
        <v>46859</v>
      </c>
      <c r="W7743" t="s">
        <v>2680</v>
      </c>
      <c r="X7743">
        <v>831669</v>
      </c>
      <c r="Y7743" s="2" t="s">
        <v>46860</v>
      </c>
      <c r="Z7743" t="s">
        <v>4315</v>
      </c>
      <c r="AA7743" s="2" t="s">
        <v>30072</v>
      </c>
      <c r="AB7743" t="s">
        <v>46861</v>
      </c>
      <c r="AC7743" t="s">
        <v>46862</v>
      </c>
      <c r="AG7743" t="s">
        <v>46863</v>
      </c>
      <c r="AH7743" t="s">
        <v>27615</v>
      </c>
      <c r="AI7743" t="s">
        <v>46864</v>
      </c>
    </row>
    <row r="7744" spans="2:35" ht="180">
      <c r="B7744" s="1">
        <v>45086</v>
      </c>
      <c r="C7744" s="4">
        <v>45086.4375</v>
      </c>
      <c r="D7744" t="s">
        <v>2638</v>
      </c>
      <c r="E7744" t="s">
        <v>46865</v>
      </c>
      <c r="F7744" t="s">
        <v>37</v>
      </c>
      <c r="G7744" t="s">
        <v>78</v>
      </c>
      <c r="H7744" t="s">
        <v>39</v>
      </c>
      <c r="I7744" t="s">
        <v>40</v>
      </c>
      <c r="J7744" s="2" t="s">
        <v>41</v>
      </c>
      <c r="K7744" t="s">
        <v>42</v>
      </c>
      <c r="L7744" t="s">
        <v>1943</v>
      </c>
      <c r="Q7744">
        <v>24817</v>
      </c>
      <c r="R7744" t="s">
        <v>45</v>
      </c>
      <c r="S7744" t="s">
        <v>46584</v>
      </c>
      <c r="T7744">
        <v>25</v>
      </c>
      <c r="U7744" s="2" t="s">
        <v>33581</v>
      </c>
      <c r="V7744" s="1">
        <v>45082</v>
      </c>
      <c r="W7744" t="s">
        <v>84</v>
      </c>
      <c r="X7744">
        <v>804716</v>
      </c>
      <c r="Y7744" s="2" t="s">
        <v>30687</v>
      </c>
      <c r="Z7744" s="2" t="s">
        <v>46866</v>
      </c>
      <c r="AA7744" t="s">
        <v>22330</v>
      </c>
      <c r="AB7744" t="s">
        <v>88</v>
      </c>
      <c r="AD7744" t="s">
        <v>46867</v>
      </c>
      <c r="AE7744" t="s">
        <v>8904</v>
      </c>
      <c r="AG7744" t="s">
        <v>46868</v>
      </c>
      <c r="AH7744" t="s">
        <v>46869</v>
      </c>
      <c r="AI7744" t="s">
        <v>46870</v>
      </c>
    </row>
    <row r="7745" spans="2:35" ht="105">
      <c r="B7745" s="1">
        <v>45086</v>
      </c>
      <c r="C7745" s="4">
        <v>45086.410416666666</v>
      </c>
      <c r="D7745" t="s">
        <v>8727</v>
      </c>
      <c r="E7745" t="s">
        <v>46871</v>
      </c>
      <c r="F7745" t="s">
        <v>37</v>
      </c>
      <c r="G7745" t="s">
        <v>2499</v>
      </c>
      <c r="H7745" t="s">
        <v>39</v>
      </c>
      <c r="I7745" t="s">
        <v>40</v>
      </c>
      <c r="J7745" s="2" t="s">
        <v>62</v>
      </c>
      <c r="K7745" t="s">
        <v>42</v>
      </c>
      <c r="L7745" t="s">
        <v>15532</v>
      </c>
      <c r="Q7745">
        <v>24816</v>
      </c>
      <c r="R7745" t="s">
        <v>119</v>
      </c>
      <c r="S7745" t="s">
        <v>8729</v>
      </c>
      <c r="T7745">
        <v>28</v>
      </c>
      <c r="U7745" s="2" t="s">
        <v>46872</v>
      </c>
      <c r="V7745" s="1">
        <v>45041</v>
      </c>
      <c r="W7745" t="s">
        <v>28952</v>
      </c>
      <c r="X7745">
        <v>838206</v>
      </c>
      <c r="Y7745" t="s">
        <v>1111</v>
      </c>
      <c r="Z7745" t="e">
        <f ca="1">-checked amd cleaned cartridge Bays, plunger rod, icore slot _xludf.and replaced _xludf.filter
-performed XpertCheck
-generated reports</f>
        <v>#NAME?</v>
      </c>
      <c r="AA7745" t="s">
        <v>999</v>
      </c>
      <c r="AB7745" t="s">
        <v>46873</v>
      </c>
      <c r="AC7745" t="s">
        <v>28771</v>
      </c>
      <c r="AD7745" t="s">
        <v>20036</v>
      </c>
      <c r="AE7745">
        <v>9933</v>
      </c>
      <c r="AG7745" t="s">
        <v>46874</v>
      </c>
      <c r="AH7745" t="s">
        <v>46875</v>
      </c>
      <c r="AI7745" t="s">
        <v>46876</v>
      </c>
    </row>
    <row r="7746" spans="2:35" ht="375">
      <c r="B7746" s="1">
        <v>45086</v>
      </c>
      <c r="C7746" s="4">
        <v>45086.392361111109</v>
      </c>
      <c r="D7746" t="s">
        <v>22431</v>
      </c>
      <c r="E7746" t="s">
        <v>22432</v>
      </c>
      <c r="F7746">
        <v>3</v>
      </c>
      <c r="G7746" t="s">
        <v>730</v>
      </c>
      <c r="H7746" t="s">
        <v>39</v>
      </c>
      <c r="I7746" t="s">
        <v>40</v>
      </c>
      <c r="J7746" s="2" t="s">
        <v>62</v>
      </c>
      <c r="K7746" t="s">
        <v>42</v>
      </c>
      <c r="L7746" t="s">
        <v>135</v>
      </c>
      <c r="Q7746">
        <v>24815</v>
      </c>
      <c r="R7746" t="s">
        <v>119</v>
      </c>
      <c r="S7746" t="s">
        <v>22433</v>
      </c>
      <c r="T7746">
        <v>25</v>
      </c>
      <c r="U7746" s="2" t="s">
        <v>46877</v>
      </c>
      <c r="W7746" t="s">
        <v>2680</v>
      </c>
      <c r="X7746">
        <v>831917</v>
      </c>
      <c r="Y7746" t="s">
        <v>46878</v>
      </c>
      <c r="Z7746" s="2" t="s">
        <v>35128</v>
      </c>
      <c r="AA7746" s="2" t="s">
        <v>46879</v>
      </c>
      <c r="AB7746" t="s">
        <v>181</v>
      </c>
      <c r="AC7746" t="s">
        <v>41489</v>
      </c>
      <c r="AG7746" t="s">
        <v>46880</v>
      </c>
      <c r="AH7746" t="s">
        <v>22437</v>
      </c>
      <c r="AI7746" t="s">
        <v>46881</v>
      </c>
    </row>
    <row r="7747" spans="2:35" ht="105">
      <c r="B7747" s="1">
        <v>45085</v>
      </c>
      <c r="C7747" s="4">
        <v>45085.600694444445</v>
      </c>
      <c r="D7747" t="s">
        <v>44881</v>
      </c>
      <c r="E7747" t="s">
        <v>46882</v>
      </c>
      <c r="F7747">
        <v>7</v>
      </c>
      <c r="G7747" t="s">
        <v>432</v>
      </c>
      <c r="H7747" t="s">
        <v>46883</v>
      </c>
      <c r="I7747" t="s">
        <v>94</v>
      </c>
      <c r="J7747" s="2" t="s">
        <v>190</v>
      </c>
      <c r="K7747" t="s">
        <v>42</v>
      </c>
      <c r="L7747" t="s">
        <v>610</v>
      </c>
      <c r="Q7747">
        <v>24814</v>
      </c>
      <c r="R7747" t="s">
        <v>45</v>
      </c>
      <c r="S7747" t="s">
        <v>25240</v>
      </c>
      <c r="T7747">
        <v>24</v>
      </c>
      <c r="U7747" s="2" t="s">
        <v>16755</v>
      </c>
      <c r="W7747" t="s">
        <v>502</v>
      </c>
      <c r="X7747">
        <v>815464</v>
      </c>
      <c r="Y7747" t="s">
        <v>46884</v>
      </c>
      <c r="Z7747" t="s">
        <v>46885</v>
      </c>
      <c r="AA7747" t="s">
        <v>46886</v>
      </c>
      <c r="AB7747" t="s">
        <v>46887</v>
      </c>
      <c r="AG7747" t="s">
        <v>46888</v>
      </c>
      <c r="AH7747" t="s">
        <v>46889</v>
      </c>
      <c r="AI7747" t="s">
        <v>46890</v>
      </c>
    </row>
    <row r="7748" spans="2:35" ht="105">
      <c r="B7748" s="1">
        <v>45085</v>
      </c>
      <c r="C7748" s="4">
        <v>45085.638194444444</v>
      </c>
      <c r="D7748" t="s">
        <v>36959</v>
      </c>
      <c r="E7748" t="s">
        <v>46891</v>
      </c>
      <c r="F7748" t="s">
        <v>37</v>
      </c>
      <c r="G7748" t="s">
        <v>2499</v>
      </c>
      <c r="H7748" t="s">
        <v>39</v>
      </c>
      <c r="I7748" t="s">
        <v>40</v>
      </c>
      <c r="J7748" s="2" t="s">
        <v>41</v>
      </c>
      <c r="K7748" t="s">
        <v>42</v>
      </c>
      <c r="L7748" t="s">
        <v>15532</v>
      </c>
      <c r="Q7748">
        <v>24813</v>
      </c>
      <c r="R7748" t="s">
        <v>119</v>
      </c>
      <c r="S7748" t="s">
        <v>36961</v>
      </c>
      <c r="T7748">
        <v>27</v>
      </c>
      <c r="U7748" s="2" t="s">
        <v>5469</v>
      </c>
      <c r="W7748" t="s">
        <v>597</v>
      </c>
      <c r="X7748">
        <v>831614</v>
      </c>
      <c r="Y7748" t="s">
        <v>38505</v>
      </c>
      <c r="Z7748" t="e">
        <f ca="1">-checked _xludf.and cleaned CARTRDIGE Bays, icore slot,plunger rod _xludf.and _xludf.filter
-Sruck cartridge still
- generated reports
-will come Back soon to try to Troubleshoot again</f>
        <v>#NAME?</v>
      </c>
      <c r="AA7748" t="s">
        <v>46892</v>
      </c>
      <c r="AB7748" t="s">
        <v>46893</v>
      </c>
      <c r="AG7748" t="s">
        <v>46894</v>
      </c>
      <c r="AH7748" t="s">
        <v>36966</v>
      </c>
      <c r="AI7748" t="s">
        <v>46895</v>
      </c>
    </row>
    <row r="7749" spans="2:35" ht="105">
      <c r="B7749" s="1">
        <v>45085</v>
      </c>
      <c r="C7749" s="4">
        <v>45084.565972222219</v>
      </c>
      <c r="D7749" t="s">
        <v>4413</v>
      </c>
      <c r="E7749" t="s">
        <v>46896</v>
      </c>
      <c r="F7749">
        <v>12</v>
      </c>
      <c r="G7749" t="s">
        <v>978</v>
      </c>
      <c r="H7749" t="s">
        <v>39</v>
      </c>
      <c r="I7749" t="s">
        <v>94</v>
      </c>
      <c r="J7749" t="s">
        <v>109</v>
      </c>
      <c r="K7749" t="s">
        <v>42</v>
      </c>
      <c r="L7749" t="s">
        <v>296</v>
      </c>
      <c r="Q7749">
        <v>24811</v>
      </c>
      <c r="R7749" t="s">
        <v>119</v>
      </c>
      <c r="S7749" t="s">
        <v>4415</v>
      </c>
      <c r="T7749">
        <v>28</v>
      </c>
      <c r="U7749" s="2" t="s">
        <v>18559</v>
      </c>
      <c r="W7749" t="s">
        <v>23049</v>
      </c>
      <c r="X7749">
        <v>838544</v>
      </c>
      <c r="Y7749" t="s">
        <v>54</v>
      </c>
      <c r="Z7749" t="s">
        <v>9161</v>
      </c>
      <c r="AA7749" t="s">
        <v>9161</v>
      </c>
      <c r="AB7749" t="s">
        <v>972</v>
      </c>
      <c r="AG7749" t="s">
        <v>46897</v>
      </c>
      <c r="AH7749" t="s">
        <v>46898</v>
      </c>
      <c r="AI7749" t="s">
        <v>46899</v>
      </c>
    </row>
    <row r="7750" spans="2:35" ht="195">
      <c r="B7750" s="1">
        <v>45085</v>
      </c>
      <c r="C7750" s="4">
        <v>45085.59652777778</v>
      </c>
      <c r="D7750" t="s">
        <v>46900</v>
      </c>
      <c r="E7750" t="s">
        <v>2797</v>
      </c>
      <c r="F7750">
        <v>12</v>
      </c>
      <c r="G7750" t="s">
        <v>978</v>
      </c>
      <c r="H7750" t="s">
        <v>513</v>
      </c>
      <c r="I7750" t="s">
        <v>40</v>
      </c>
      <c r="J7750" s="2" t="s">
        <v>62</v>
      </c>
      <c r="K7750" t="s">
        <v>387</v>
      </c>
      <c r="L7750" t="s">
        <v>296</v>
      </c>
      <c r="Q7750">
        <v>24812</v>
      </c>
      <c r="R7750" t="s">
        <v>95</v>
      </c>
      <c r="S7750" t="s">
        <v>46901</v>
      </c>
      <c r="T7750">
        <v>23.2</v>
      </c>
      <c r="W7750" t="s">
        <v>390</v>
      </c>
      <c r="X7750" t="s">
        <v>16210</v>
      </c>
      <c r="Y7750" t="s">
        <v>54</v>
      </c>
      <c r="Z7750" s="2" t="s">
        <v>46902</v>
      </c>
      <c r="AA7750" s="2" t="s">
        <v>46902</v>
      </c>
      <c r="AB7750" t="s">
        <v>486</v>
      </c>
      <c r="AG7750" t="s">
        <v>46903</v>
      </c>
      <c r="AH7750" t="s">
        <v>46904</v>
      </c>
      <c r="AI7750" t="s">
        <v>46905</v>
      </c>
    </row>
    <row r="7751" spans="2:35" ht="375">
      <c r="B7751" s="1">
        <v>45085</v>
      </c>
      <c r="C7751" s="4">
        <v>45085.618750000001</v>
      </c>
      <c r="D7751" t="s">
        <v>31830</v>
      </c>
      <c r="E7751" t="s">
        <v>4655</v>
      </c>
      <c r="F7751">
        <v>10</v>
      </c>
      <c r="G7751" t="s">
        <v>1395</v>
      </c>
      <c r="H7751" t="s">
        <v>39</v>
      </c>
      <c r="I7751" t="s">
        <v>94</v>
      </c>
      <c r="J7751" s="2" t="s">
        <v>1808</v>
      </c>
      <c r="K7751" t="s">
        <v>42</v>
      </c>
      <c r="L7751" t="s">
        <v>43100</v>
      </c>
      <c r="Q7751">
        <v>24810</v>
      </c>
      <c r="R7751" t="s">
        <v>45</v>
      </c>
      <c r="S7751" t="s">
        <v>31832</v>
      </c>
      <c r="T7751">
        <v>28</v>
      </c>
      <c r="U7751" s="2" t="s">
        <v>46906</v>
      </c>
      <c r="W7751" t="s">
        <v>43102</v>
      </c>
      <c r="X7751">
        <v>844118</v>
      </c>
      <c r="Y7751" t="s">
        <v>46907</v>
      </c>
      <c r="Z7751" t="s">
        <v>46908</v>
      </c>
      <c r="AA7751" s="2" t="s">
        <v>46909</v>
      </c>
      <c r="AB7751" t="s">
        <v>486</v>
      </c>
      <c r="AG7751" t="s">
        <v>46910</v>
      </c>
      <c r="AH7751" t="s">
        <v>46911</v>
      </c>
      <c r="AI7751" t="s">
        <v>46912</v>
      </c>
    </row>
    <row r="7752" spans="2:35" ht="180">
      <c r="B7752" s="1">
        <v>45085</v>
      </c>
      <c r="C7752" s="4">
        <v>45085.5625</v>
      </c>
      <c r="D7752" t="s">
        <v>23635</v>
      </c>
      <c r="E7752" t="s">
        <v>46913</v>
      </c>
      <c r="F7752" t="s">
        <v>148</v>
      </c>
      <c r="G7752" t="s">
        <v>310</v>
      </c>
      <c r="H7752" t="s">
        <v>39</v>
      </c>
      <c r="I7752" t="s">
        <v>40</v>
      </c>
      <c r="J7752" s="2" t="s">
        <v>41</v>
      </c>
      <c r="K7752" t="s">
        <v>42</v>
      </c>
      <c r="L7752" t="s">
        <v>1943</v>
      </c>
      <c r="Q7752">
        <v>24809</v>
      </c>
      <c r="R7752" t="s">
        <v>119</v>
      </c>
      <c r="S7752" t="s">
        <v>44500</v>
      </c>
      <c r="T7752">
        <v>25</v>
      </c>
      <c r="U7752" s="2" t="s">
        <v>46914</v>
      </c>
      <c r="W7752" t="s">
        <v>84</v>
      </c>
      <c r="X7752">
        <v>831620</v>
      </c>
      <c r="Y7752" s="2" t="s">
        <v>46915</v>
      </c>
      <c r="Z7752" s="2" t="s">
        <v>46916</v>
      </c>
      <c r="AA7752" t="s">
        <v>33282</v>
      </c>
      <c r="AB7752" t="s">
        <v>88</v>
      </c>
      <c r="AG7752" t="s">
        <v>46917</v>
      </c>
      <c r="AH7752" t="s">
        <v>32712</v>
      </c>
      <c r="AI7752" t="s">
        <v>46918</v>
      </c>
    </row>
    <row r="7753" spans="2:35" ht="120">
      <c r="B7753" s="1">
        <v>45085</v>
      </c>
      <c r="C7753" s="4">
        <v>45085.463194444441</v>
      </c>
      <c r="D7753" t="s">
        <v>45032</v>
      </c>
      <c r="E7753" t="s">
        <v>46919</v>
      </c>
      <c r="F7753">
        <v>7</v>
      </c>
      <c r="G7753" t="s">
        <v>432</v>
      </c>
      <c r="H7753" t="s">
        <v>2290</v>
      </c>
      <c r="I7753" t="s">
        <v>94</v>
      </c>
      <c r="J7753" t="s">
        <v>109</v>
      </c>
      <c r="K7753" t="s">
        <v>42</v>
      </c>
      <c r="L7753" t="s">
        <v>610</v>
      </c>
      <c r="Q7753">
        <v>24808</v>
      </c>
      <c r="R7753" t="s">
        <v>45</v>
      </c>
      <c r="S7753" t="s">
        <v>24643</v>
      </c>
      <c r="T7753">
        <v>25</v>
      </c>
      <c r="U7753" s="2" t="s">
        <v>10172</v>
      </c>
      <c r="W7753" t="s">
        <v>502</v>
      </c>
      <c r="X7753">
        <v>815384</v>
      </c>
      <c r="Y7753" t="s">
        <v>46920</v>
      </c>
      <c r="Z7753" t="s">
        <v>46921</v>
      </c>
      <c r="AA7753" s="2" t="s">
        <v>46922</v>
      </c>
      <c r="AB7753" t="s">
        <v>46923</v>
      </c>
      <c r="AG7753" t="s">
        <v>46924</v>
      </c>
      <c r="AH7753" t="s">
        <v>45636</v>
      </c>
      <c r="AI7753" t="s">
        <v>46925</v>
      </c>
    </row>
    <row r="7754" spans="2:35" ht="409.5">
      <c r="B7754" s="1">
        <v>45085</v>
      </c>
      <c r="C7754" s="4">
        <v>45085.536111111112</v>
      </c>
      <c r="D7754" t="s">
        <v>638</v>
      </c>
      <c r="E7754" t="s">
        <v>46926</v>
      </c>
      <c r="F7754">
        <v>3</v>
      </c>
      <c r="G7754" t="s">
        <v>284</v>
      </c>
      <c r="H7754" t="s">
        <v>39</v>
      </c>
      <c r="I7754" t="s">
        <v>40</v>
      </c>
      <c r="J7754" s="2" t="s">
        <v>8419</v>
      </c>
      <c r="K7754" t="s">
        <v>42</v>
      </c>
      <c r="L7754" t="s">
        <v>135</v>
      </c>
      <c r="Q7754">
        <v>24807</v>
      </c>
      <c r="R7754" t="s">
        <v>119</v>
      </c>
      <c r="S7754" t="s">
        <v>46927</v>
      </c>
      <c r="T7754">
        <v>27</v>
      </c>
      <c r="U7754" s="2" t="s">
        <v>46928</v>
      </c>
      <c r="W7754" t="s">
        <v>2680</v>
      </c>
      <c r="X7754">
        <v>831894</v>
      </c>
      <c r="Y7754" s="2" t="s">
        <v>46929</v>
      </c>
      <c r="Z7754" t="s">
        <v>46930</v>
      </c>
      <c r="AA7754" s="2" t="s">
        <v>46931</v>
      </c>
      <c r="AB7754" t="s">
        <v>46932</v>
      </c>
      <c r="AC7754" t="s">
        <v>46933</v>
      </c>
      <c r="AG7754" t="s">
        <v>46934</v>
      </c>
      <c r="AH7754" t="s">
        <v>46935</v>
      </c>
      <c r="AI7754" t="s">
        <v>46936</v>
      </c>
    </row>
    <row r="7755" spans="2:35" ht="105">
      <c r="B7755" s="1">
        <v>45085</v>
      </c>
      <c r="C7755" s="4">
        <v>45085.510416666664</v>
      </c>
      <c r="D7755" t="s">
        <v>46937</v>
      </c>
      <c r="E7755" t="s">
        <v>15489</v>
      </c>
      <c r="F7755">
        <v>6</v>
      </c>
      <c r="G7755" t="s">
        <v>1234</v>
      </c>
      <c r="H7755" t="s">
        <v>34104</v>
      </c>
      <c r="I7755" t="s">
        <v>94</v>
      </c>
      <c r="J7755" t="s">
        <v>996</v>
      </c>
      <c r="K7755" t="s">
        <v>42</v>
      </c>
      <c r="L7755" t="s">
        <v>23958</v>
      </c>
      <c r="Q7755">
        <v>24806</v>
      </c>
      <c r="R7755" t="s">
        <v>119</v>
      </c>
      <c r="S7755" t="s">
        <v>15490</v>
      </c>
      <c r="T7755">
        <v>30</v>
      </c>
      <c r="U7755" s="2" t="s">
        <v>42738</v>
      </c>
      <c r="W7755" t="s">
        <v>360</v>
      </c>
      <c r="X7755">
        <v>838491</v>
      </c>
      <c r="Y7755" t="s">
        <v>34941</v>
      </c>
      <c r="Z7755" t="s">
        <v>46938</v>
      </c>
      <c r="AA7755" t="s">
        <v>46939</v>
      </c>
      <c r="AB7755" t="s">
        <v>46940</v>
      </c>
      <c r="AG7755" t="s">
        <v>46941</v>
      </c>
      <c r="AH7755" t="s">
        <v>43020</v>
      </c>
      <c r="AI7755" t="s">
        <v>46942</v>
      </c>
    </row>
    <row r="7756" spans="2:35" ht="270">
      <c r="B7756" s="1">
        <v>45085</v>
      </c>
      <c r="C7756" s="4">
        <v>45085.477777777778</v>
      </c>
      <c r="D7756" t="s">
        <v>36726</v>
      </c>
      <c r="E7756" t="s">
        <v>46943</v>
      </c>
      <c r="F7756">
        <v>8</v>
      </c>
      <c r="G7756" t="s">
        <v>342</v>
      </c>
      <c r="H7756" t="s">
        <v>39</v>
      </c>
      <c r="I7756" t="s">
        <v>40</v>
      </c>
      <c r="J7756" t="s">
        <v>321</v>
      </c>
      <c r="K7756" t="s">
        <v>42</v>
      </c>
      <c r="L7756" t="s">
        <v>259</v>
      </c>
      <c r="Q7756">
        <v>24805</v>
      </c>
      <c r="R7756" t="s">
        <v>45</v>
      </c>
      <c r="S7756" t="s">
        <v>23575</v>
      </c>
      <c r="T7756">
        <v>24</v>
      </c>
      <c r="V7756" s="1">
        <v>45085</v>
      </c>
      <c r="W7756" t="s">
        <v>1537</v>
      </c>
      <c r="X7756">
        <v>120000177</v>
      </c>
      <c r="Y7756" t="s">
        <v>1716</v>
      </c>
      <c r="Z7756" t="s">
        <v>1716</v>
      </c>
      <c r="AA7756" s="2" t="s">
        <v>46944</v>
      </c>
      <c r="AB7756" t="s">
        <v>70</v>
      </c>
      <c r="AD7756" t="s">
        <v>46945</v>
      </c>
      <c r="AE7756" t="s">
        <v>45</v>
      </c>
      <c r="AG7756" t="s">
        <v>46946</v>
      </c>
      <c r="AH7756" t="s">
        <v>46947</v>
      </c>
      <c r="AI7756" t="s">
        <v>46948</v>
      </c>
    </row>
    <row r="7757" spans="2:35" ht="120">
      <c r="B7757" s="1">
        <v>45085</v>
      </c>
      <c r="C7757" s="4">
        <v>45085.463194444441</v>
      </c>
      <c r="D7757" t="s">
        <v>45032</v>
      </c>
      <c r="E7757" t="s">
        <v>46919</v>
      </c>
      <c r="F7757">
        <v>7</v>
      </c>
      <c r="G7757" t="s">
        <v>432</v>
      </c>
      <c r="H7757" t="s">
        <v>2290</v>
      </c>
      <c r="I7757" t="s">
        <v>94</v>
      </c>
      <c r="J7757" t="s">
        <v>109</v>
      </c>
      <c r="K7757" t="s">
        <v>42</v>
      </c>
      <c r="L7757" t="s">
        <v>610</v>
      </c>
      <c r="Q7757">
        <v>24804</v>
      </c>
      <c r="R7757" t="s">
        <v>45</v>
      </c>
      <c r="S7757" t="s">
        <v>24643</v>
      </c>
      <c r="T7757">
        <v>25</v>
      </c>
      <c r="U7757" s="2" t="s">
        <v>10172</v>
      </c>
      <c r="W7757" t="s">
        <v>502</v>
      </c>
      <c r="X7757">
        <v>815384</v>
      </c>
      <c r="Y7757" t="s">
        <v>46920</v>
      </c>
      <c r="Z7757" t="s">
        <v>46921</v>
      </c>
      <c r="AA7757" s="2" t="s">
        <v>46922</v>
      </c>
      <c r="AB7757" t="s">
        <v>46923</v>
      </c>
      <c r="AG7757" t="s">
        <v>46924</v>
      </c>
      <c r="AH7757" t="s">
        <v>45636</v>
      </c>
      <c r="AI7757" t="s">
        <v>46925</v>
      </c>
    </row>
    <row r="7758" spans="2:35" ht="195">
      <c r="B7758" s="1">
        <v>45084</v>
      </c>
      <c r="C7758" s="4">
        <v>45084.529861111114</v>
      </c>
      <c r="D7758" t="s">
        <v>46949</v>
      </c>
      <c r="E7758" t="s">
        <v>38881</v>
      </c>
      <c r="F7758">
        <v>7</v>
      </c>
      <c r="G7758" t="s">
        <v>432</v>
      </c>
      <c r="H7758" t="s">
        <v>2290</v>
      </c>
      <c r="I7758" t="s">
        <v>94</v>
      </c>
      <c r="J7758" t="s">
        <v>109</v>
      </c>
      <c r="K7758" t="s">
        <v>42</v>
      </c>
      <c r="L7758" t="s">
        <v>610</v>
      </c>
      <c r="Q7758">
        <v>24803</v>
      </c>
      <c r="R7758" t="s">
        <v>119</v>
      </c>
      <c r="S7758" t="s">
        <v>2329</v>
      </c>
      <c r="T7758">
        <v>24</v>
      </c>
      <c r="U7758" s="2" t="s">
        <v>9127</v>
      </c>
      <c r="W7758" t="s">
        <v>502</v>
      </c>
      <c r="X7758">
        <v>838506</v>
      </c>
      <c r="Y7758" s="2" t="s">
        <v>46950</v>
      </c>
      <c r="Z7758" t="s">
        <v>46951</v>
      </c>
      <c r="AA7758" t="s">
        <v>46952</v>
      </c>
      <c r="AB7758" s="2" t="s">
        <v>46953</v>
      </c>
      <c r="AG7758" t="s">
        <v>46954</v>
      </c>
      <c r="AH7758" t="s">
        <v>46955</v>
      </c>
      <c r="AI7758" t="s">
        <v>46956</v>
      </c>
    </row>
    <row r="7759" spans="2:35" ht="360">
      <c r="B7759" s="1">
        <v>45084</v>
      </c>
      <c r="C7759" s="4">
        <v>45084.636111111111</v>
      </c>
      <c r="D7759" t="s">
        <v>2529</v>
      </c>
      <c r="E7759" t="s">
        <v>33315</v>
      </c>
      <c r="F7759" t="s">
        <v>37</v>
      </c>
      <c r="G7759" t="s">
        <v>2499</v>
      </c>
      <c r="H7759" t="s">
        <v>39</v>
      </c>
      <c r="I7759" t="s">
        <v>40</v>
      </c>
      <c r="J7759" s="2" t="s">
        <v>41</v>
      </c>
      <c r="K7759" t="s">
        <v>42</v>
      </c>
      <c r="L7759" t="s">
        <v>15532</v>
      </c>
      <c r="Q7759">
        <v>24802</v>
      </c>
      <c r="R7759" t="s">
        <v>45</v>
      </c>
      <c r="S7759" t="s">
        <v>24036</v>
      </c>
      <c r="T7759">
        <v>25</v>
      </c>
      <c r="U7759" s="2" t="s">
        <v>46957</v>
      </c>
      <c r="V7759" s="1">
        <v>45078</v>
      </c>
      <c r="W7759" t="s">
        <v>28952</v>
      </c>
      <c r="X7759">
        <v>807462</v>
      </c>
      <c r="Y7759" t="s">
        <v>46958</v>
      </c>
      <c r="Z7759" t="e">
        <f ca="1">-checked _xludf.and cleaned cartridge Bays, icore slot, plunger rod _xludf.and filters
-replaced module D4
-generated reports</f>
        <v>#NAME?</v>
      </c>
      <c r="AA7759" t="s">
        <v>46959</v>
      </c>
      <c r="AB7759" t="s">
        <v>46960</v>
      </c>
      <c r="AD7759" t="s">
        <v>15847</v>
      </c>
      <c r="AE7759" t="s">
        <v>46961</v>
      </c>
      <c r="AG7759" t="s">
        <v>46962</v>
      </c>
      <c r="AH7759" t="s">
        <v>36880</v>
      </c>
      <c r="AI7759" t="s">
        <v>46963</v>
      </c>
    </row>
    <row r="7760" spans="2:35" ht="150">
      <c r="B7760" s="1">
        <v>45084</v>
      </c>
      <c r="C7760" s="4">
        <v>45084.609722222223</v>
      </c>
      <c r="D7760" t="s">
        <v>23789</v>
      </c>
      <c r="E7760" t="s">
        <v>46964</v>
      </c>
      <c r="F7760">
        <v>7</v>
      </c>
      <c r="G7760" t="s">
        <v>432</v>
      </c>
      <c r="H7760" t="s">
        <v>39</v>
      </c>
      <c r="I7760" t="s">
        <v>94</v>
      </c>
      <c r="J7760" t="s">
        <v>109</v>
      </c>
      <c r="K7760" t="s">
        <v>42</v>
      </c>
      <c r="L7760" t="s">
        <v>594</v>
      </c>
      <c r="Q7760">
        <v>24801</v>
      </c>
      <c r="R7760" t="s">
        <v>45</v>
      </c>
      <c r="S7760" t="s">
        <v>23791</v>
      </c>
      <c r="T7760">
        <v>24</v>
      </c>
      <c r="U7760" s="2" t="s">
        <v>24599</v>
      </c>
      <c r="V7760" s="1">
        <v>45084</v>
      </c>
      <c r="W7760" t="s">
        <v>360</v>
      </c>
      <c r="X7760">
        <v>834693</v>
      </c>
      <c r="Y7760" t="s">
        <v>7287</v>
      </c>
      <c r="Z7760" t="s">
        <v>2551</v>
      </c>
      <c r="AA7760" t="s">
        <v>2551</v>
      </c>
      <c r="AB7760" s="2" t="s">
        <v>46965</v>
      </c>
      <c r="AG7760" t="s">
        <v>46966</v>
      </c>
      <c r="AH7760" t="s">
        <v>46967</v>
      </c>
      <c r="AI7760" t="s">
        <v>46968</v>
      </c>
    </row>
    <row r="7761" spans="2:35" ht="105">
      <c r="B7761" s="1">
        <v>45084</v>
      </c>
      <c r="C7761" s="4">
        <v>45084.607638888891</v>
      </c>
      <c r="D7761" t="s">
        <v>29744</v>
      </c>
      <c r="E7761" t="s">
        <v>29745</v>
      </c>
      <c r="F7761">
        <v>3</v>
      </c>
      <c r="G7761" t="s">
        <v>174</v>
      </c>
      <c r="H7761" t="s">
        <v>39</v>
      </c>
      <c r="I7761" t="s">
        <v>40</v>
      </c>
      <c r="J7761" s="2" t="s">
        <v>41</v>
      </c>
      <c r="K7761" t="s">
        <v>42</v>
      </c>
      <c r="L7761" t="s">
        <v>175</v>
      </c>
      <c r="Q7761">
        <v>24800</v>
      </c>
      <c r="R7761" t="s">
        <v>45</v>
      </c>
      <c r="S7761" t="s">
        <v>46969</v>
      </c>
      <c r="T7761">
        <v>26</v>
      </c>
      <c r="U7761" s="2" t="s">
        <v>46970</v>
      </c>
      <c r="V7761" s="1">
        <v>45084</v>
      </c>
      <c r="W7761" t="s">
        <v>84</v>
      </c>
      <c r="X7761">
        <v>805252</v>
      </c>
      <c r="Y7761" t="s">
        <v>46971</v>
      </c>
      <c r="Z7761" t="e">
        <f ca="1">- replaced A2
- checked _xludf.and cleaned cartridge bay, plunger rod, _xludf.filter
- installed HIV Assay
- generated reports</f>
        <v>#NAME?</v>
      </c>
      <c r="AA7761" t="s">
        <v>571</v>
      </c>
      <c r="AB7761" t="s">
        <v>88</v>
      </c>
      <c r="AD7761" s="2" t="s">
        <v>46972</v>
      </c>
      <c r="AE7761" t="s">
        <v>103</v>
      </c>
      <c r="AG7761" t="s">
        <v>46973</v>
      </c>
      <c r="AH7761" t="s">
        <v>46974</v>
      </c>
      <c r="AI7761" t="s">
        <v>46975</v>
      </c>
    </row>
    <row r="7762" spans="2:35">
      <c r="B7762" s="1">
        <v>45084</v>
      </c>
      <c r="C7762" s="4">
        <v>45084.587500000001</v>
      </c>
      <c r="D7762" t="s">
        <v>26665</v>
      </c>
      <c r="E7762" t="s">
        <v>46976</v>
      </c>
      <c r="F7762">
        <v>11</v>
      </c>
      <c r="G7762" t="s">
        <v>1205</v>
      </c>
      <c r="H7762" t="s">
        <v>1047</v>
      </c>
      <c r="I7762" t="s">
        <v>40</v>
      </c>
      <c r="J7762" t="s">
        <v>79</v>
      </c>
      <c r="K7762" t="s">
        <v>42</v>
      </c>
      <c r="L7762" t="s">
        <v>204</v>
      </c>
      <c r="Q7762">
        <v>24799</v>
      </c>
      <c r="R7762" t="s">
        <v>719</v>
      </c>
      <c r="S7762" t="s">
        <v>26667</v>
      </c>
      <c r="T7762">
        <v>29.5</v>
      </c>
      <c r="W7762" t="s">
        <v>46977</v>
      </c>
      <c r="X7762">
        <v>848248</v>
      </c>
      <c r="Y7762" t="s">
        <v>32126</v>
      </c>
      <c r="Z7762" t="s">
        <v>46978</v>
      </c>
      <c r="AA7762" t="s">
        <v>12182</v>
      </c>
      <c r="AB7762" t="s">
        <v>1211</v>
      </c>
      <c r="AC7762" t="s">
        <v>46979</v>
      </c>
      <c r="AG7762" t="s">
        <v>46980</v>
      </c>
      <c r="AH7762" t="s">
        <v>46981</v>
      </c>
      <c r="AI7762" t="s">
        <v>46982</v>
      </c>
    </row>
    <row r="7763" spans="2:35" ht="240">
      <c r="B7763" s="1">
        <v>45084</v>
      </c>
      <c r="C7763" s="4">
        <v>45084.581944444442</v>
      </c>
      <c r="D7763" t="s">
        <v>36408</v>
      </c>
      <c r="E7763" t="s">
        <v>26588</v>
      </c>
      <c r="F7763">
        <v>3</v>
      </c>
      <c r="G7763" t="s">
        <v>134</v>
      </c>
      <c r="H7763" t="s">
        <v>39</v>
      </c>
      <c r="I7763" t="s">
        <v>40</v>
      </c>
      <c r="J7763" s="2" t="s">
        <v>38497</v>
      </c>
      <c r="K7763" t="s">
        <v>42</v>
      </c>
      <c r="L7763" t="s">
        <v>63</v>
      </c>
      <c r="Q7763">
        <v>24798</v>
      </c>
      <c r="R7763" t="s">
        <v>119</v>
      </c>
      <c r="S7763" t="s">
        <v>26589</v>
      </c>
      <c r="T7763">
        <v>29</v>
      </c>
      <c r="U7763" s="2" t="s">
        <v>46726</v>
      </c>
      <c r="V7763" s="1">
        <v>45084</v>
      </c>
      <c r="W7763" t="s">
        <v>26915</v>
      </c>
      <c r="X7763">
        <v>831877</v>
      </c>
      <c r="Y7763" t="s">
        <v>1716</v>
      </c>
      <c r="Z7763" t="s">
        <v>1716</v>
      </c>
      <c r="AA7763" s="2" t="s">
        <v>46727</v>
      </c>
      <c r="AB7763" t="s">
        <v>70</v>
      </c>
      <c r="AC7763" t="s">
        <v>42292</v>
      </c>
      <c r="AD7763" t="s">
        <v>32127</v>
      </c>
      <c r="AE7763" t="s">
        <v>1716</v>
      </c>
      <c r="AG7763" t="s">
        <v>46983</v>
      </c>
      <c r="AH7763" t="s">
        <v>26591</v>
      </c>
      <c r="AI7763" t="s">
        <v>46984</v>
      </c>
    </row>
    <row r="7764" spans="2:35" ht="180">
      <c r="B7764" s="1">
        <v>45084</v>
      </c>
      <c r="C7764" s="4">
        <v>45084.363888888889</v>
      </c>
      <c r="D7764" t="s">
        <v>5563</v>
      </c>
      <c r="E7764" t="s">
        <v>1555</v>
      </c>
      <c r="F7764">
        <v>7</v>
      </c>
      <c r="G7764" t="s">
        <v>432</v>
      </c>
      <c r="H7764" t="s">
        <v>150</v>
      </c>
      <c r="I7764" t="s">
        <v>40</v>
      </c>
      <c r="J7764" t="s">
        <v>109</v>
      </c>
      <c r="K7764" t="s">
        <v>42</v>
      </c>
      <c r="L7764" t="s">
        <v>343</v>
      </c>
      <c r="Q7764">
        <v>24797</v>
      </c>
      <c r="R7764" t="s">
        <v>119</v>
      </c>
      <c r="S7764" t="s">
        <v>5564</v>
      </c>
      <c r="T7764">
        <v>25</v>
      </c>
      <c r="U7764" s="2" t="s">
        <v>46985</v>
      </c>
      <c r="W7764" t="s">
        <v>6105</v>
      </c>
      <c r="X7764">
        <v>838561</v>
      </c>
      <c r="Y7764" t="s">
        <v>8412</v>
      </c>
      <c r="Z7764" t="s">
        <v>301</v>
      </c>
      <c r="AA7764" t="e">
        <f ca="1">-Preventive Maintenance
-ARCHIVE test results</f>
        <v>#NAME?</v>
      </c>
      <c r="AB7764" t="s">
        <v>46986</v>
      </c>
      <c r="AG7764" t="s">
        <v>46987</v>
      </c>
      <c r="AH7764" t="s">
        <v>46988</v>
      </c>
      <c r="AI7764" t="s">
        <v>46989</v>
      </c>
    </row>
    <row r="7765" spans="2:35" ht="409.5">
      <c r="B7765" s="1">
        <v>45084</v>
      </c>
      <c r="C7765" s="4">
        <v>45084.556944444441</v>
      </c>
      <c r="D7765" t="s">
        <v>22431</v>
      </c>
      <c r="E7765" t="s">
        <v>28472</v>
      </c>
      <c r="F7765">
        <v>3</v>
      </c>
      <c r="G7765" t="s">
        <v>730</v>
      </c>
      <c r="H7765" t="s">
        <v>39</v>
      </c>
      <c r="I7765" t="s">
        <v>40</v>
      </c>
      <c r="J7765" s="2" t="s">
        <v>190</v>
      </c>
      <c r="K7765" t="s">
        <v>42</v>
      </c>
      <c r="L7765" t="s">
        <v>135</v>
      </c>
      <c r="Q7765">
        <v>24796</v>
      </c>
      <c r="R7765" t="s">
        <v>119</v>
      </c>
      <c r="S7765" t="s">
        <v>22433</v>
      </c>
      <c r="T7765">
        <v>25</v>
      </c>
      <c r="U7765" s="2" t="s">
        <v>46990</v>
      </c>
      <c r="W7765" t="s">
        <v>2680</v>
      </c>
      <c r="X7765">
        <v>831917</v>
      </c>
      <c r="Y7765" t="s">
        <v>43470</v>
      </c>
      <c r="Z7765" t="s">
        <v>4315</v>
      </c>
      <c r="AA7765" s="2" t="s">
        <v>46991</v>
      </c>
      <c r="AB7765" t="s">
        <v>181</v>
      </c>
      <c r="AG7765" t="s">
        <v>46992</v>
      </c>
      <c r="AH7765" t="s">
        <v>22437</v>
      </c>
      <c r="AI7765" t="s">
        <v>46993</v>
      </c>
    </row>
    <row r="7766" spans="2:35" ht="180">
      <c r="B7766" s="1">
        <v>45084</v>
      </c>
      <c r="C7766" s="4">
        <v>45084.383333333331</v>
      </c>
      <c r="D7766" t="s">
        <v>46994</v>
      </c>
      <c r="E7766" t="s">
        <v>46995</v>
      </c>
      <c r="F7766">
        <v>1</v>
      </c>
      <c r="G7766" t="s">
        <v>1046</v>
      </c>
      <c r="H7766" t="s">
        <v>1047</v>
      </c>
      <c r="I7766" t="s">
        <v>40</v>
      </c>
      <c r="J7766" s="2" t="s">
        <v>190</v>
      </c>
      <c r="K7766" t="s">
        <v>42</v>
      </c>
      <c r="L7766" t="s">
        <v>1048</v>
      </c>
      <c r="Q7766">
        <v>24795</v>
      </c>
      <c r="R7766" t="s">
        <v>119</v>
      </c>
      <c r="S7766" t="s">
        <v>7964</v>
      </c>
      <c r="T7766">
        <v>27</v>
      </c>
      <c r="U7766" s="2" t="s">
        <v>46996</v>
      </c>
      <c r="W7766" t="s">
        <v>2384</v>
      </c>
      <c r="X7766">
        <v>838286</v>
      </c>
      <c r="Y7766" t="s">
        <v>2851</v>
      </c>
      <c r="Z7766" t="e">
        <f ca="1">-cleaned cartridge Bays, plunger Rods _xludf.and I-CORE
-generated reports</f>
        <v>#NAME?</v>
      </c>
      <c r="AA7766" t="s">
        <v>7985</v>
      </c>
      <c r="AB7766" t="s">
        <v>181</v>
      </c>
      <c r="AG7766" t="s">
        <v>46997</v>
      </c>
      <c r="AH7766" t="s">
        <v>8788</v>
      </c>
      <c r="AI7766" t="s">
        <v>46998</v>
      </c>
    </row>
    <row r="7767" spans="2:35" ht="180">
      <c r="B7767" s="1">
        <v>45084</v>
      </c>
      <c r="C7767" s="4">
        <v>45084.383333333331</v>
      </c>
      <c r="D7767" t="s">
        <v>46994</v>
      </c>
      <c r="E7767" t="s">
        <v>46995</v>
      </c>
      <c r="F7767">
        <v>1</v>
      </c>
      <c r="G7767" t="s">
        <v>1046</v>
      </c>
      <c r="H7767" t="s">
        <v>1047</v>
      </c>
      <c r="I7767" t="s">
        <v>40</v>
      </c>
      <c r="J7767" s="2" t="s">
        <v>190</v>
      </c>
      <c r="K7767" t="s">
        <v>42</v>
      </c>
      <c r="L7767" t="s">
        <v>1048</v>
      </c>
      <c r="Q7767">
        <v>24794</v>
      </c>
      <c r="R7767" t="s">
        <v>119</v>
      </c>
      <c r="S7767" t="s">
        <v>7964</v>
      </c>
      <c r="T7767">
        <v>27</v>
      </c>
      <c r="U7767" s="2" t="s">
        <v>46996</v>
      </c>
      <c r="W7767" t="s">
        <v>2384</v>
      </c>
      <c r="X7767">
        <v>838286</v>
      </c>
      <c r="Y7767" t="s">
        <v>2851</v>
      </c>
      <c r="Z7767" t="e">
        <f ca="1">-cleaned cartridge Bays, plunger Rods _xludf.and I-CORE
-generated reports</f>
        <v>#NAME?</v>
      </c>
      <c r="AA7767" t="s">
        <v>7985</v>
      </c>
      <c r="AB7767" t="s">
        <v>181</v>
      </c>
      <c r="AG7767" t="s">
        <v>46999</v>
      </c>
      <c r="AH7767" t="s">
        <v>8788</v>
      </c>
      <c r="AI7767" t="s">
        <v>47000</v>
      </c>
    </row>
    <row r="7768" spans="2:35" ht="270">
      <c r="B7768" s="1">
        <v>45084</v>
      </c>
      <c r="C7768" s="4">
        <v>45084.336805555555</v>
      </c>
      <c r="D7768" t="s">
        <v>3010</v>
      </c>
      <c r="E7768" t="s">
        <v>3011</v>
      </c>
      <c r="F7768">
        <v>1</v>
      </c>
      <c r="G7768" t="s">
        <v>1046</v>
      </c>
      <c r="H7768" t="s">
        <v>61</v>
      </c>
      <c r="I7768" t="s">
        <v>40</v>
      </c>
      <c r="J7768" t="s">
        <v>525</v>
      </c>
      <c r="K7768" t="s">
        <v>42</v>
      </c>
      <c r="L7768" t="s">
        <v>1048</v>
      </c>
      <c r="Q7768">
        <v>24793</v>
      </c>
      <c r="R7768" t="s">
        <v>45</v>
      </c>
      <c r="S7768" t="s">
        <v>3012</v>
      </c>
      <c r="T7768">
        <v>30</v>
      </c>
      <c r="U7768" s="2" t="s">
        <v>47001</v>
      </c>
      <c r="W7768" t="s">
        <v>31945</v>
      </c>
      <c r="X7768">
        <v>842230</v>
      </c>
      <c r="Y7768" t="s">
        <v>46516</v>
      </c>
      <c r="Z7768" t="e">
        <f ca="1">-Enable module B1 _xludf.For _xludf.error logging
-generated reports</f>
        <v>#NAME?</v>
      </c>
      <c r="AA7768" t="s">
        <v>47002</v>
      </c>
      <c r="AB7768" t="s">
        <v>181</v>
      </c>
      <c r="AG7768" t="s">
        <v>47003</v>
      </c>
      <c r="AH7768" t="s">
        <v>47004</v>
      </c>
      <c r="AI7768" t="s">
        <v>47005</v>
      </c>
    </row>
    <row r="7769" spans="2:35" ht="270">
      <c r="B7769" s="1">
        <v>45084</v>
      </c>
      <c r="C7769" s="4">
        <v>45084.336805555555</v>
      </c>
      <c r="D7769" t="s">
        <v>3010</v>
      </c>
      <c r="E7769" t="s">
        <v>3011</v>
      </c>
      <c r="F7769">
        <v>1</v>
      </c>
      <c r="G7769" t="s">
        <v>1046</v>
      </c>
      <c r="H7769" t="s">
        <v>61</v>
      </c>
      <c r="I7769" t="s">
        <v>40</v>
      </c>
      <c r="J7769" t="s">
        <v>525</v>
      </c>
      <c r="K7769" t="s">
        <v>42</v>
      </c>
      <c r="L7769" t="s">
        <v>1048</v>
      </c>
      <c r="Q7769">
        <v>24792</v>
      </c>
      <c r="R7769" t="s">
        <v>45</v>
      </c>
      <c r="S7769" t="s">
        <v>3012</v>
      </c>
      <c r="T7769">
        <v>30</v>
      </c>
      <c r="U7769" s="2" t="s">
        <v>47001</v>
      </c>
      <c r="W7769" t="s">
        <v>31945</v>
      </c>
      <c r="X7769">
        <v>842230</v>
      </c>
      <c r="Y7769" t="s">
        <v>46516</v>
      </c>
      <c r="Z7769" t="e">
        <f ca="1">-Enable module B1 _xludf.For _xludf.error logging
-generated reports</f>
        <v>#NAME?</v>
      </c>
      <c r="AA7769" t="s">
        <v>47002</v>
      </c>
      <c r="AB7769" t="s">
        <v>181</v>
      </c>
      <c r="AG7769" t="s">
        <v>47006</v>
      </c>
      <c r="AH7769" t="s">
        <v>47004</v>
      </c>
      <c r="AI7769" t="s">
        <v>47007</v>
      </c>
    </row>
    <row r="7770" spans="2:35" ht="270">
      <c r="B7770" s="1">
        <v>45084</v>
      </c>
      <c r="C7770" s="4">
        <v>45084.409722222219</v>
      </c>
      <c r="D7770" t="s">
        <v>837</v>
      </c>
      <c r="E7770" t="s">
        <v>47008</v>
      </c>
      <c r="F7770">
        <v>5</v>
      </c>
      <c r="G7770" t="s">
        <v>839</v>
      </c>
      <c r="H7770" t="s">
        <v>39</v>
      </c>
      <c r="I7770" t="s">
        <v>40</v>
      </c>
      <c r="J7770" t="s">
        <v>109</v>
      </c>
      <c r="K7770" t="s">
        <v>42</v>
      </c>
      <c r="L7770" t="s">
        <v>761</v>
      </c>
      <c r="Q7770">
        <v>24791</v>
      </c>
      <c r="R7770" t="s">
        <v>45</v>
      </c>
      <c r="S7770" t="s">
        <v>21302</v>
      </c>
      <c r="T7770">
        <v>33</v>
      </c>
      <c r="U7770" s="2" t="s">
        <v>47009</v>
      </c>
      <c r="W7770" t="s">
        <v>360</v>
      </c>
      <c r="X7770">
        <v>110008458</v>
      </c>
      <c r="Y7770" t="s">
        <v>1052</v>
      </c>
      <c r="Z7770" s="2" t="s">
        <v>47010</v>
      </c>
      <c r="AA7770" t="s">
        <v>820</v>
      </c>
      <c r="AB7770" t="s">
        <v>70</v>
      </c>
      <c r="AC7770" t="s">
        <v>47011</v>
      </c>
      <c r="AG7770" t="s">
        <v>47012</v>
      </c>
      <c r="AH7770" t="s">
        <v>47013</v>
      </c>
      <c r="AI7770" t="s">
        <v>47014</v>
      </c>
    </row>
    <row r="7771" spans="2:35" ht="409.5">
      <c r="B7771" s="1">
        <v>45084</v>
      </c>
      <c r="C7771" s="4">
        <v>45084.40625</v>
      </c>
      <c r="D7771" t="s">
        <v>837</v>
      </c>
      <c r="E7771" t="s">
        <v>25127</v>
      </c>
      <c r="F7771">
        <v>5</v>
      </c>
      <c r="G7771" t="s">
        <v>839</v>
      </c>
      <c r="H7771" t="s">
        <v>39</v>
      </c>
      <c r="I7771" t="s">
        <v>40</v>
      </c>
      <c r="J7771" s="2" t="s">
        <v>62</v>
      </c>
      <c r="K7771" t="s">
        <v>42</v>
      </c>
      <c r="L7771" t="s">
        <v>761</v>
      </c>
      <c r="Q7771">
        <v>24790</v>
      </c>
      <c r="R7771" t="s">
        <v>45</v>
      </c>
      <c r="S7771" t="s">
        <v>21302</v>
      </c>
      <c r="T7771">
        <v>34</v>
      </c>
      <c r="U7771" s="2" t="s">
        <v>47015</v>
      </c>
      <c r="V7771" s="1">
        <v>45084</v>
      </c>
      <c r="W7771" t="s">
        <v>31945</v>
      </c>
      <c r="X7771">
        <v>842225</v>
      </c>
      <c r="Y7771" t="s">
        <v>1111</v>
      </c>
      <c r="Z7771" s="2" t="s">
        <v>47016</v>
      </c>
      <c r="AA7771" t="s">
        <v>46044</v>
      </c>
      <c r="AB7771" s="2" t="s">
        <v>47017</v>
      </c>
      <c r="AC7771" t="s">
        <v>47018</v>
      </c>
      <c r="AD7771" t="s">
        <v>7189</v>
      </c>
      <c r="AE7771" t="s">
        <v>47019</v>
      </c>
      <c r="AG7771" t="s">
        <v>47020</v>
      </c>
      <c r="AH7771" t="s">
        <v>47021</v>
      </c>
      <c r="AI7771" t="s">
        <v>47022</v>
      </c>
    </row>
    <row r="7772" spans="2:35" ht="105">
      <c r="B7772" s="1">
        <v>45084</v>
      </c>
      <c r="C7772" s="4">
        <v>45084.413888888892</v>
      </c>
      <c r="D7772" t="s">
        <v>952</v>
      </c>
      <c r="E7772" t="s">
        <v>47023</v>
      </c>
      <c r="F7772">
        <v>7</v>
      </c>
      <c r="G7772" t="s">
        <v>432</v>
      </c>
      <c r="H7772" t="s">
        <v>39</v>
      </c>
      <c r="I7772" t="s">
        <v>94</v>
      </c>
      <c r="J7772" s="2" t="s">
        <v>62</v>
      </c>
      <c r="K7772" t="s">
        <v>42</v>
      </c>
      <c r="L7772" t="s">
        <v>594</v>
      </c>
      <c r="Q7772">
        <v>24789</v>
      </c>
      <c r="R7772" t="s">
        <v>45</v>
      </c>
      <c r="S7772" t="s">
        <v>25991</v>
      </c>
      <c r="T7772">
        <v>23</v>
      </c>
      <c r="U7772" s="2" t="s">
        <v>5218</v>
      </c>
      <c r="V7772" s="1">
        <v>45084</v>
      </c>
      <c r="W7772" t="s">
        <v>45570</v>
      </c>
      <c r="X7772">
        <v>834812</v>
      </c>
      <c r="Y7772" t="s">
        <v>2060</v>
      </c>
      <c r="Z7772" t="s">
        <v>47024</v>
      </c>
      <c r="AA7772" t="s">
        <v>47024</v>
      </c>
      <c r="AB7772" t="s">
        <v>47025</v>
      </c>
      <c r="AG7772" t="s">
        <v>47026</v>
      </c>
      <c r="AH7772" t="s">
        <v>47027</v>
      </c>
      <c r="AI7772" t="s">
        <v>47028</v>
      </c>
    </row>
    <row r="7773" spans="2:35" ht="330">
      <c r="B7773" s="1">
        <v>45083</v>
      </c>
      <c r="C7773" s="4">
        <v>45083.469444444447</v>
      </c>
      <c r="D7773" t="s">
        <v>22725</v>
      </c>
      <c r="E7773" t="s">
        <v>47029</v>
      </c>
      <c r="F7773">
        <v>1</v>
      </c>
      <c r="G7773" t="s">
        <v>1046</v>
      </c>
      <c r="H7773" t="s">
        <v>1047</v>
      </c>
      <c r="I7773" t="s">
        <v>40</v>
      </c>
      <c r="J7773" s="2" t="s">
        <v>41</v>
      </c>
      <c r="K7773" t="s">
        <v>42</v>
      </c>
      <c r="L7773" t="s">
        <v>1048</v>
      </c>
      <c r="Q7773">
        <v>24788</v>
      </c>
      <c r="R7773" t="s">
        <v>45</v>
      </c>
      <c r="S7773" t="s">
        <v>25095</v>
      </c>
      <c r="T7773">
        <v>25</v>
      </c>
      <c r="U7773" s="2" t="s">
        <v>8601</v>
      </c>
      <c r="V7773" s="1">
        <v>45078</v>
      </c>
      <c r="W7773" t="s">
        <v>360</v>
      </c>
      <c r="X7773">
        <v>815394</v>
      </c>
      <c r="Y7773" t="s">
        <v>47030</v>
      </c>
      <c r="Z7773" s="2" t="s">
        <v>47031</v>
      </c>
      <c r="AA7773" t="s">
        <v>43034</v>
      </c>
      <c r="AB7773" t="s">
        <v>181</v>
      </c>
      <c r="AD7773" t="s">
        <v>47032</v>
      </c>
      <c r="AE7773" t="s">
        <v>47033</v>
      </c>
      <c r="AG7773" t="s">
        <v>47034</v>
      </c>
      <c r="AH7773" t="s">
        <v>47035</v>
      </c>
      <c r="AI7773" t="s">
        <v>47036</v>
      </c>
    </row>
    <row r="7774" spans="2:35" ht="180">
      <c r="B7774" s="1">
        <v>45083</v>
      </c>
      <c r="C7774" s="4">
        <v>45083.381249999999</v>
      </c>
      <c r="D7774" t="s">
        <v>4528</v>
      </c>
      <c r="E7774" t="s">
        <v>47037</v>
      </c>
      <c r="F7774">
        <v>1</v>
      </c>
      <c r="G7774" t="s">
        <v>1046</v>
      </c>
      <c r="H7774" t="s">
        <v>1047</v>
      </c>
      <c r="I7774" t="s">
        <v>40</v>
      </c>
      <c r="J7774" s="2" t="s">
        <v>190</v>
      </c>
      <c r="K7774" t="s">
        <v>42</v>
      </c>
      <c r="L7774" t="s">
        <v>1048</v>
      </c>
      <c r="Q7774">
        <v>24787</v>
      </c>
      <c r="R7774" t="s">
        <v>119</v>
      </c>
      <c r="S7774" t="s">
        <v>4530</v>
      </c>
      <c r="T7774">
        <v>30</v>
      </c>
      <c r="U7774" s="2" t="s">
        <v>47038</v>
      </c>
      <c r="W7774" t="s">
        <v>2384</v>
      </c>
      <c r="X7774">
        <v>83472</v>
      </c>
      <c r="Y7774" t="s">
        <v>47039</v>
      </c>
      <c r="Z7774" s="2" t="s">
        <v>47040</v>
      </c>
      <c r="AA7774" t="s">
        <v>12083</v>
      </c>
      <c r="AB7774" t="s">
        <v>181</v>
      </c>
      <c r="AC7774" t="s">
        <v>37623</v>
      </c>
      <c r="AG7774" t="s">
        <v>47041</v>
      </c>
      <c r="AH7774" t="s">
        <v>47042</v>
      </c>
      <c r="AI7774" t="s">
        <v>47043</v>
      </c>
    </row>
    <row r="7775" spans="2:35" ht="210">
      <c r="B7775" s="1">
        <v>45083</v>
      </c>
      <c r="C7775" s="4">
        <v>45083.695138888892</v>
      </c>
      <c r="D7775" t="s">
        <v>3050</v>
      </c>
      <c r="E7775" t="s">
        <v>47044</v>
      </c>
      <c r="F7775" t="s">
        <v>148</v>
      </c>
      <c r="G7775" t="s">
        <v>371</v>
      </c>
      <c r="H7775" t="s">
        <v>39</v>
      </c>
      <c r="I7775" t="s">
        <v>40</v>
      </c>
      <c r="J7775" s="2" t="s">
        <v>41</v>
      </c>
      <c r="K7775" t="s">
        <v>42</v>
      </c>
      <c r="L7775" t="s">
        <v>15532</v>
      </c>
      <c r="Q7775">
        <v>24786</v>
      </c>
      <c r="R7775" t="s">
        <v>45</v>
      </c>
      <c r="S7775" t="s">
        <v>39588</v>
      </c>
      <c r="T7775">
        <v>26</v>
      </c>
      <c r="U7775" s="2" t="s">
        <v>47045</v>
      </c>
      <c r="W7775" t="s">
        <v>597</v>
      </c>
      <c r="X7775">
        <v>805271</v>
      </c>
      <c r="Y7775" t="s">
        <v>49</v>
      </c>
      <c r="Z7775" t="e">
        <f ca="1">-checked _xludf.and cleaned CARTRDIGE Bays, icore slot, plunger rod _xludf.and _xludf.filter
-replaced module A4
-generated reports</f>
        <v>#NAME?</v>
      </c>
      <c r="AA7775" t="s">
        <v>47046</v>
      </c>
      <c r="AB7775" t="s">
        <v>181</v>
      </c>
      <c r="AG7775" t="s">
        <v>47047</v>
      </c>
      <c r="AH7775" t="s">
        <v>25468</v>
      </c>
      <c r="AI7775" t="s">
        <v>47048</v>
      </c>
    </row>
    <row r="7776" spans="2:35" ht="210">
      <c r="B7776" s="1">
        <v>45083</v>
      </c>
      <c r="C7776" s="4">
        <v>45083.699305555558</v>
      </c>
      <c r="D7776" t="s">
        <v>3050</v>
      </c>
      <c r="E7776" t="s">
        <v>47044</v>
      </c>
      <c r="F7776" t="s">
        <v>148</v>
      </c>
      <c r="G7776" t="s">
        <v>371</v>
      </c>
      <c r="H7776" t="s">
        <v>39</v>
      </c>
      <c r="I7776" t="s">
        <v>40</v>
      </c>
      <c r="J7776" s="2" t="s">
        <v>41</v>
      </c>
      <c r="K7776" t="s">
        <v>42</v>
      </c>
      <c r="L7776" t="s">
        <v>15532</v>
      </c>
      <c r="Q7776">
        <v>24785</v>
      </c>
      <c r="R7776" t="s">
        <v>45</v>
      </c>
      <c r="S7776" t="s">
        <v>39588</v>
      </c>
      <c r="T7776">
        <v>24</v>
      </c>
      <c r="U7776" s="2" t="s">
        <v>47045</v>
      </c>
      <c r="W7776" t="s">
        <v>3244</v>
      </c>
      <c r="X7776">
        <v>814154</v>
      </c>
      <c r="Y7776" t="s">
        <v>424</v>
      </c>
      <c r="Z7776" t="e">
        <f ca="1">-checked _xludf.and cleaned cartridge Bays, icore slot, plunger rod, _xludf.and _xludf.filter
-replaced module B3
-generated reports</f>
        <v>#NAME?</v>
      </c>
      <c r="AA7776" t="s">
        <v>47049</v>
      </c>
      <c r="AB7776" t="s">
        <v>7445</v>
      </c>
      <c r="AG7776" t="s">
        <v>47050</v>
      </c>
      <c r="AH7776" t="s">
        <v>47051</v>
      </c>
      <c r="AI7776" t="s">
        <v>47052</v>
      </c>
    </row>
    <row r="7777" spans="2:35" ht="210">
      <c r="B7777" s="1">
        <v>45083</v>
      </c>
      <c r="C7777" s="4">
        <v>45083.571527777778</v>
      </c>
      <c r="D7777" t="s">
        <v>5496</v>
      </c>
      <c r="E7777" t="s">
        <v>47053</v>
      </c>
      <c r="F7777">
        <v>5</v>
      </c>
      <c r="G7777" t="s">
        <v>839</v>
      </c>
      <c r="H7777" t="s">
        <v>39</v>
      </c>
      <c r="I7777" t="s">
        <v>40</v>
      </c>
      <c r="J7777" s="2" t="s">
        <v>62</v>
      </c>
      <c r="K7777" t="s">
        <v>42</v>
      </c>
      <c r="L7777" t="s">
        <v>761</v>
      </c>
      <c r="Q7777">
        <v>24784</v>
      </c>
      <c r="R7777" t="s">
        <v>119</v>
      </c>
      <c r="S7777" t="s">
        <v>47054</v>
      </c>
      <c r="T7777">
        <v>26</v>
      </c>
      <c r="V7777" s="1">
        <v>45083</v>
      </c>
      <c r="W7777" t="s">
        <v>360</v>
      </c>
      <c r="X7777">
        <v>838391</v>
      </c>
      <c r="Y7777" t="s">
        <v>17579</v>
      </c>
      <c r="Z7777" s="2" t="s">
        <v>47055</v>
      </c>
      <c r="AA7777" t="s">
        <v>47056</v>
      </c>
      <c r="AB7777" s="2" t="s">
        <v>47057</v>
      </c>
      <c r="AC7777" t="s">
        <v>47058</v>
      </c>
      <c r="AD7777" t="s">
        <v>20036</v>
      </c>
      <c r="AE7777">
        <v>5271</v>
      </c>
      <c r="AG7777" t="s">
        <v>47059</v>
      </c>
      <c r="AH7777" t="s">
        <v>47060</v>
      </c>
      <c r="AI7777" t="s">
        <v>47061</v>
      </c>
    </row>
    <row r="7778" spans="2:35" ht="150">
      <c r="B7778" s="1">
        <v>45083</v>
      </c>
      <c r="C7778" s="4">
        <v>45083.563888888886</v>
      </c>
      <c r="D7778" t="s">
        <v>25306</v>
      </c>
      <c r="E7778" t="s">
        <v>47062</v>
      </c>
      <c r="F7778">
        <v>11</v>
      </c>
      <c r="G7778" t="s">
        <v>2836</v>
      </c>
      <c r="H7778" t="s">
        <v>39</v>
      </c>
      <c r="I7778" t="s">
        <v>40</v>
      </c>
      <c r="J7778" t="s">
        <v>996</v>
      </c>
      <c r="K7778" t="s">
        <v>42</v>
      </c>
      <c r="L7778" t="s">
        <v>204</v>
      </c>
      <c r="Q7778">
        <v>24783</v>
      </c>
      <c r="R7778" t="s">
        <v>45</v>
      </c>
      <c r="S7778" t="s">
        <v>25308</v>
      </c>
      <c r="T7778">
        <v>27.5</v>
      </c>
      <c r="W7778" t="s">
        <v>23237</v>
      </c>
      <c r="X7778">
        <v>815270</v>
      </c>
      <c r="Y7778" t="s">
        <v>6929</v>
      </c>
      <c r="Z7778" s="2" t="s">
        <v>47063</v>
      </c>
      <c r="AA7778" t="s">
        <v>39672</v>
      </c>
      <c r="AB7778" t="s">
        <v>47064</v>
      </c>
      <c r="AG7778" t="s">
        <v>47065</v>
      </c>
      <c r="AH7778" t="s">
        <v>47066</v>
      </c>
      <c r="AI7778" t="s">
        <v>47067</v>
      </c>
    </row>
    <row r="7779" spans="2:35" ht="180">
      <c r="B7779" s="1">
        <v>45083</v>
      </c>
      <c r="C7779" s="4">
        <v>45083.581250000003</v>
      </c>
      <c r="D7779" t="s">
        <v>1731</v>
      </c>
      <c r="E7779" t="s">
        <v>38846</v>
      </c>
      <c r="F7779" t="s">
        <v>148</v>
      </c>
      <c r="G7779" t="s">
        <v>371</v>
      </c>
      <c r="H7779" t="s">
        <v>39</v>
      </c>
      <c r="I7779" t="s">
        <v>40</v>
      </c>
      <c r="J7779" s="2" t="s">
        <v>41</v>
      </c>
      <c r="K7779" t="s">
        <v>42</v>
      </c>
      <c r="L7779" t="s">
        <v>175</v>
      </c>
      <c r="Q7779">
        <v>24782</v>
      </c>
      <c r="R7779" t="s">
        <v>45</v>
      </c>
      <c r="S7779" t="s">
        <v>32469</v>
      </c>
      <c r="T7779">
        <v>21</v>
      </c>
      <c r="U7779" s="2" t="s">
        <v>47068</v>
      </c>
      <c r="V7779" s="1">
        <v>45083</v>
      </c>
      <c r="W7779" t="s">
        <v>84</v>
      </c>
      <c r="X7779">
        <v>838873</v>
      </c>
      <c r="Y7779" t="s">
        <v>47069</v>
      </c>
      <c r="Z7779" t="e">
        <f ca="1">- replaced B1
- checked _xludf.and cleaned cartridge bay, plunger rod, _xludf.filter
- generated reports</f>
        <v>#NAME?</v>
      </c>
      <c r="AA7779" t="s">
        <v>8035</v>
      </c>
      <c r="AB7779" t="s">
        <v>88</v>
      </c>
      <c r="AD7779" s="2" t="s">
        <v>47070</v>
      </c>
      <c r="AE7779" t="s">
        <v>103</v>
      </c>
      <c r="AG7779" t="s">
        <v>47071</v>
      </c>
      <c r="AH7779" t="s">
        <v>47072</v>
      </c>
      <c r="AI7779" t="s">
        <v>47073</v>
      </c>
    </row>
    <row r="7780" spans="2:35" ht="105">
      <c r="B7780" s="1">
        <v>45083</v>
      </c>
      <c r="C7780" s="4">
        <v>45083.574999999997</v>
      </c>
      <c r="D7780" t="s">
        <v>44573</v>
      </c>
      <c r="E7780" t="s">
        <v>47074</v>
      </c>
      <c r="F7780">
        <v>7</v>
      </c>
      <c r="G7780" t="s">
        <v>432</v>
      </c>
      <c r="H7780" t="s">
        <v>2290</v>
      </c>
      <c r="I7780" t="s">
        <v>94</v>
      </c>
      <c r="J7780" t="s">
        <v>109</v>
      </c>
      <c r="K7780" t="s">
        <v>42</v>
      </c>
      <c r="L7780" t="s">
        <v>610</v>
      </c>
      <c r="Q7780">
        <v>24781</v>
      </c>
      <c r="R7780" t="s">
        <v>119</v>
      </c>
      <c r="S7780" t="s">
        <v>6211</v>
      </c>
      <c r="T7780">
        <v>25</v>
      </c>
      <c r="U7780" s="2" t="s">
        <v>25116</v>
      </c>
      <c r="W7780" t="s">
        <v>502</v>
      </c>
      <c r="X7780">
        <v>838534</v>
      </c>
      <c r="Y7780" t="s">
        <v>47075</v>
      </c>
      <c r="Z7780" t="s">
        <v>47076</v>
      </c>
      <c r="AA7780" t="s">
        <v>47077</v>
      </c>
      <c r="AB7780" t="s">
        <v>1263</v>
      </c>
      <c r="AG7780" t="s">
        <v>47078</v>
      </c>
      <c r="AH7780" t="s">
        <v>47079</v>
      </c>
      <c r="AI7780" t="s">
        <v>47080</v>
      </c>
    </row>
    <row r="7781" spans="2:35" ht="180">
      <c r="B7781" s="1">
        <v>45083</v>
      </c>
      <c r="C7781" s="4">
        <v>45083.507638888892</v>
      </c>
      <c r="D7781" t="s">
        <v>30763</v>
      </c>
      <c r="E7781" t="s">
        <v>30764</v>
      </c>
      <c r="F7781">
        <v>13</v>
      </c>
      <c r="G7781" t="s">
        <v>7763</v>
      </c>
      <c r="H7781" t="s">
        <v>2125</v>
      </c>
      <c r="I7781" t="s">
        <v>40</v>
      </c>
      <c r="J7781" t="s">
        <v>79</v>
      </c>
      <c r="K7781" t="s">
        <v>42</v>
      </c>
      <c r="L7781" t="s">
        <v>933</v>
      </c>
      <c r="Q7781">
        <v>24780</v>
      </c>
      <c r="R7781" t="s">
        <v>45</v>
      </c>
      <c r="S7781" t="s">
        <v>40099</v>
      </c>
      <c r="T7781">
        <v>20.399999999999999</v>
      </c>
      <c r="U7781" s="2" t="s">
        <v>47081</v>
      </c>
      <c r="W7781" t="s">
        <v>3662</v>
      </c>
      <c r="X7781">
        <v>805335</v>
      </c>
      <c r="Y7781" t="s">
        <v>47082</v>
      </c>
      <c r="Z7781" t="s">
        <v>47083</v>
      </c>
      <c r="AA7781" t="s">
        <v>47084</v>
      </c>
      <c r="AB7781" s="2" t="s">
        <v>47085</v>
      </c>
      <c r="AG7781" t="s">
        <v>47086</v>
      </c>
      <c r="AH7781" t="s">
        <v>30769</v>
      </c>
      <c r="AI7781" t="s">
        <v>47087</v>
      </c>
    </row>
    <row r="7782" spans="2:35" ht="285">
      <c r="B7782" s="1">
        <v>45083</v>
      </c>
      <c r="C7782" s="4">
        <v>45083.490277777775</v>
      </c>
      <c r="D7782" t="s">
        <v>1686</v>
      </c>
      <c r="E7782" t="s">
        <v>47088</v>
      </c>
      <c r="F7782" t="s">
        <v>148</v>
      </c>
      <c r="G7782" t="s">
        <v>785</v>
      </c>
      <c r="H7782" t="s">
        <v>39</v>
      </c>
      <c r="I7782" t="s">
        <v>40</v>
      </c>
      <c r="J7782" s="2" t="s">
        <v>41</v>
      </c>
      <c r="K7782" t="s">
        <v>42</v>
      </c>
      <c r="L7782" t="s">
        <v>15532</v>
      </c>
      <c r="Q7782">
        <v>24779</v>
      </c>
      <c r="R7782" t="s">
        <v>45</v>
      </c>
      <c r="S7782" t="s">
        <v>1688</v>
      </c>
      <c r="T7782">
        <v>25</v>
      </c>
      <c r="U7782" s="2" t="s">
        <v>47089</v>
      </c>
      <c r="W7782" t="s">
        <v>47090</v>
      </c>
      <c r="X7782">
        <v>838898</v>
      </c>
      <c r="Y7782" t="s">
        <v>31606</v>
      </c>
      <c r="Z7782" s="2" t="s">
        <v>47091</v>
      </c>
      <c r="AA7782" t="s">
        <v>47092</v>
      </c>
      <c r="AB7782" t="s">
        <v>181</v>
      </c>
      <c r="AG7782" t="s">
        <v>47093</v>
      </c>
      <c r="AH7782" t="s">
        <v>8273</v>
      </c>
      <c r="AI7782" t="s">
        <v>47094</v>
      </c>
    </row>
    <row r="7783" spans="2:35" ht="90">
      <c r="B7783" s="1">
        <v>45083</v>
      </c>
      <c r="C7783" s="4">
        <v>45083.501388888886</v>
      </c>
      <c r="D7783" t="s">
        <v>47095</v>
      </c>
      <c r="E7783" t="s">
        <v>1555</v>
      </c>
      <c r="F7783">
        <v>7</v>
      </c>
      <c r="G7783" t="s">
        <v>432</v>
      </c>
      <c r="H7783" t="s">
        <v>39</v>
      </c>
      <c r="I7783" t="s">
        <v>40</v>
      </c>
      <c r="J7783" s="2" t="s">
        <v>47096</v>
      </c>
      <c r="K7783" t="s">
        <v>42</v>
      </c>
      <c r="L7783" t="s">
        <v>433</v>
      </c>
      <c r="Q7783">
        <v>24778</v>
      </c>
      <c r="R7783" t="s">
        <v>119</v>
      </c>
      <c r="S7783" t="s">
        <v>5548</v>
      </c>
      <c r="T7783">
        <v>25</v>
      </c>
      <c r="W7783" t="s">
        <v>1008</v>
      </c>
      <c r="X7783">
        <v>838527</v>
      </c>
      <c r="Y7783" t="s">
        <v>47097</v>
      </c>
      <c r="Z7783" t="s">
        <v>47098</v>
      </c>
      <c r="AA7783" t="s">
        <v>47099</v>
      </c>
      <c r="AB7783" t="s">
        <v>1011</v>
      </c>
      <c r="AG7783" t="s">
        <v>47100</v>
      </c>
      <c r="AH7783" t="s">
        <v>7130</v>
      </c>
      <c r="AI7783" t="s">
        <v>47101</v>
      </c>
    </row>
    <row r="7784" spans="2:35" ht="120">
      <c r="B7784" s="1">
        <v>45083</v>
      </c>
      <c r="C7784" s="4">
        <v>45083.464583333334</v>
      </c>
      <c r="D7784" t="s">
        <v>28456</v>
      </c>
      <c r="E7784" t="s">
        <v>1555</v>
      </c>
      <c r="F7784">
        <v>7</v>
      </c>
      <c r="G7784" t="s">
        <v>432</v>
      </c>
      <c r="H7784" t="s">
        <v>39</v>
      </c>
      <c r="I7784" t="s">
        <v>94</v>
      </c>
      <c r="J7784" t="s">
        <v>109</v>
      </c>
      <c r="K7784" t="s">
        <v>42</v>
      </c>
      <c r="L7784" t="s">
        <v>594</v>
      </c>
      <c r="Q7784">
        <v>24777</v>
      </c>
      <c r="R7784" t="s">
        <v>119</v>
      </c>
      <c r="S7784" t="s">
        <v>28609</v>
      </c>
      <c r="T7784">
        <v>23</v>
      </c>
      <c r="U7784" s="2" t="s">
        <v>47102</v>
      </c>
      <c r="V7784" s="1">
        <v>45083</v>
      </c>
      <c r="W7784" t="s">
        <v>360</v>
      </c>
      <c r="X7784">
        <v>829419</v>
      </c>
      <c r="Y7784" t="s">
        <v>6997</v>
      </c>
      <c r="Z7784" t="s">
        <v>21149</v>
      </c>
      <c r="AA7784" t="s">
        <v>21149</v>
      </c>
      <c r="AB7784" t="s">
        <v>13650</v>
      </c>
      <c r="AG7784" t="s">
        <v>47103</v>
      </c>
      <c r="AH7784" t="s">
        <v>36738</v>
      </c>
      <c r="AI7784" t="s">
        <v>47104</v>
      </c>
    </row>
    <row r="7785" spans="2:35">
      <c r="B7785" s="1">
        <v>45083</v>
      </c>
      <c r="C7785" s="4">
        <v>45083.435416666667</v>
      </c>
      <c r="D7785" t="s">
        <v>47105</v>
      </c>
      <c r="E7785" t="s">
        <v>47106</v>
      </c>
      <c r="F7785">
        <v>7</v>
      </c>
      <c r="G7785" t="s">
        <v>432</v>
      </c>
      <c r="H7785" t="s">
        <v>2290</v>
      </c>
      <c r="I7785" t="s">
        <v>94</v>
      </c>
      <c r="J7785" t="s">
        <v>79</v>
      </c>
      <c r="K7785" t="s">
        <v>16933</v>
      </c>
      <c r="L7785" t="s">
        <v>610</v>
      </c>
      <c r="Q7785">
        <v>24776</v>
      </c>
      <c r="R7785" t="s">
        <v>322</v>
      </c>
      <c r="S7785" t="s">
        <v>47107</v>
      </c>
      <c r="T7785">
        <v>24</v>
      </c>
      <c r="W7785" t="s">
        <v>47108</v>
      </c>
      <c r="X7785" t="s">
        <v>47109</v>
      </c>
      <c r="Y7785" t="s">
        <v>47110</v>
      </c>
      <c r="Z7785" t="s">
        <v>47111</v>
      </c>
      <c r="AA7785" t="s">
        <v>47112</v>
      </c>
      <c r="AB7785" t="s">
        <v>21113</v>
      </c>
      <c r="AG7785" t="s">
        <v>47113</v>
      </c>
      <c r="AH7785" t="s">
        <v>47114</v>
      </c>
      <c r="AI7785" t="s">
        <v>47115</v>
      </c>
    </row>
    <row r="7786" spans="2:35" ht="120">
      <c r="B7786" s="1">
        <v>45082</v>
      </c>
      <c r="C7786" s="4">
        <v>45082.466666666667</v>
      </c>
      <c r="D7786" t="s">
        <v>47116</v>
      </c>
      <c r="E7786" t="s">
        <v>47117</v>
      </c>
      <c r="F7786">
        <v>7</v>
      </c>
      <c r="G7786" t="s">
        <v>432</v>
      </c>
      <c r="H7786" t="s">
        <v>39</v>
      </c>
      <c r="I7786" t="s">
        <v>94</v>
      </c>
      <c r="J7786" t="s">
        <v>109</v>
      </c>
      <c r="K7786" t="s">
        <v>42</v>
      </c>
      <c r="L7786" t="s">
        <v>594</v>
      </c>
      <c r="Q7786">
        <v>24775</v>
      </c>
      <c r="R7786" t="s">
        <v>95</v>
      </c>
      <c r="S7786" t="s">
        <v>47118</v>
      </c>
      <c r="T7786">
        <v>23</v>
      </c>
      <c r="U7786" s="2" t="s">
        <v>47119</v>
      </c>
      <c r="V7786" s="1">
        <v>45078</v>
      </c>
      <c r="W7786" t="s">
        <v>502</v>
      </c>
      <c r="X7786">
        <v>814150</v>
      </c>
      <c r="Y7786" t="s">
        <v>2851</v>
      </c>
      <c r="Z7786" t="s">
        <v>2551</v>
      </c>
      <c r="AA7786" t="s">
        <v>2551</v>
      </c>
      <c r="AB7786" t="s">
        <v>13423</v>
      </c>
      <c r="AG7786" t="s">
        <v>47120</v>
      </c>
      <c r="AH7786" t="s">
        <v>47121</v>
      </c>
      <c r="AI7786" t="s">
        <v>47122</v>
      </c>
    </row>
    <row r="7787" spans="2:35" ht="75">
      <c r="B7787" s="1">
        <v>45082</v>
      </c>
      <c r="C7787" s="4">
        <v>45079.907638888886</v>
      </c>
      <c r="D7787" t="s">
        <v>2233</v>
      </c>
      <c r="E7787" t="s">
        <v>46590</v>
      </c>
      <c r="F7787">
        <v>7</v>
      </c>
      <c r="G7787" t="s">
        <v>432</v>
      </c>
      <c r="H7787" t="s">
        <v>39</v>
      </c>
      <c r="I7787" t="s">
        <v>94</v>
      </c>
      <c r="J7787" t="s">
        <v>996</v>
      </c>
      <c r="K7787" t="s">
        <v>42</v>
      </c>
      <c r="L7787" t="s">
        <v>594</v>
      </c>
      <c r="Q7787">
        <v>24774</v>
      </c>
      <c r="R7787" t="s">
        <v>119</v>
      </c>
      <c r="S7787" t="s">
        <v>2235</v>
      </c>
      <c r="T7787">
        <v>23</v>
      </c>
      <c r="U7787" s="2" t="s">
        <v>2367</v>
      </c>
      <c r="V7787" s="1">
        <v>45076</v>
      </c>
      <c r="W7787" t="s">
        <v>502</v>
      </c>
      <c r="X7787">
        <v>838231</v>
      </c>
      <c r="Y7787" t="s">
        <v>47123</v>
      </c>
      <c r="Z7787" t="s">
        <v>47124</v>
      </c>
      <c r="AA7787" t="s">
        <v>47124</v>
      </c>
      <c r="AB7787" t="s">
        <v>47125</v>
      </c>
      <c r="AG7787" t="s">
        <v>47126</v>
      </c>
      <c r="AH7787" t="s">
        <v>2241</v>
      </c>
      <c r="AI7787" t="s">
        <v>47127</v>
      </c>
    </row>
    <row r="7788" spans="2:35" ht="210">
      <c r="B7788" s="1">
        <v>45082</v>
      </c>
      <c r="C7788" s="4">
        <v>45078.379861111112</v>
      </c>
      <c r="D7788" t="s">
        <v>47128</v>
      </c>
      <c r="E7788" t="s">
        <v>47129</v>
      </c>
      <c r="F7788" t="s">
        <v>1181</v>
      </c>
      <c r="G7788" t="s">
        <v>6612</v>
      </c>
      <c r="H7788" t="s">
        <v>39</v>
      </c>
      <c r="I7788" t="s">
        <v>40</v>
      </c>
      <c r="J7788" s="2" t="s">
        <v>41</v>
      </c>
      <c r="K7788" t="s">
        <v>42</v>
      </c>
      <c r="L7788" t="s">
        <v>1028</v>
      </c>
      <c r="Q7788">
        <v>24773</v>
      </c>
      <c r="R7788" t="s">
        <v>45</v>
      </c>
      <c r="S7788" t="s">
        <v>47130</v>
      </c>
      <c r="T7788">
        <v>22</v>
      </c>
      <c r="U7788" s="2" t="s">
        <v>47131</v>
      </c>
      <c r="W7788" t="s">
        <v>2680</v>
      </c>
      <c r="X7788">
        <v>807459</v>
      </c>
      <c r="Y7788" t="s">
        <v>33257</v>
      </c>
      <c r="Z7788" t="s">
        <v>2129</v>
      </c>
      <c r="AA7788" s="2" t="s">
        <v>40436</v>
      </c>
      <c r="AB7788" t="s">
        <v>3063</v>
      </c>
      <c r="AC7788" t="s">
        <v>47132</v>
      </c>
      <c r="AG7788" t="s">
        <v>47133</v>
      </c>
      <c r="AH7788" t="s">
        <v>47134</v>
      </c>
      <c r="AI7788" t="s">
        <v>47135</v>
      </c>
    </row>
    <row r="7789" spans="2:35" ht="210">
      <c r="B7789" s="1">
        <v>45082</v>
      </c>
      <c r="C7789" s="4">
        <v>45078.393055555556</v>
      </c>
      <c r="D7789" t="s">
        <v>47128</v>
      </c>
      <c r="E7789" t="s">
        <v>47129</v>
      </c>
      <c r="F7789" t="s">
        <v>1181</v>
      </c>
      <c r="G7789" t="s">
        <v>6612</v>
      </c>
      <c r="H7789" t="s">
        <v>39</v>
      </c>
      <c r="I7789" t="s">
        <v>40</v>
      </c>
      <c r="J7789" s="2" t="s">
        <v>62</v>
      </c>
      <c r="K7789" t="s">
        <v>42</v>
      </c>
      <c r="L7789" t="s">
        <v>1028</v>
      </c>
      <c r="Q7789">
        <v>24773</v>
      </c>
      <c r="R7789" t="s">
        <v>45</v>
      </c>
      <c r="S7789" t="s">
        <v>47130</v>
      </c>
      <c r="T7789">
        <v>20</v>
      </c>
      <c r="U7789" s="2" t="s">
        <v>47136</v>
      </c>
      <c r="W7789" t="s">
        <v>2680</v>
      </c>
      <c r="X7789">
        <v>847304</v>
      </c>
      <c r="Y7789" t="s">
        <v>18140</v>
      </c>
      <c r="Z7789" t="s">
        <v>21244</v>
      </c>
      <c r="AA7789" s="2" t="s">
        <v>31300</v>
      </c>
      <c r="AB7789" t="s">
        <v>47137</v>
      </c>
      <c r="AG7789" t="s">
        <v>47138</v>
      </c>
      <c r="AH7789" t="s">
        <v>47139</v>
      </c>
      <c r="AI7789" t="s">
        <v>47140</v>
      </c>
    </row>
    <row r="7790" spans="2:35" ht="195">
      <c r="B7790" s="1">
        <v>45082</v>
      </c>
      <c r="C7790" s="4">
        <v>45070.543055555558</v>
      </c>
      <c r="D7790" t="s">
        <v>45146</v>
      </c>
      <c r="E7790" t="s">
        <v>45147</v>
      </c>
      <c r="F7790" t="s">
        <v>37</v>
      </c>
      <c r="G7790" t="s">
        <v>2499</v>
      </c>
      <c r="H7790" t="s">
        <v>39</v>
      </c>
      <c r="I7790" t="s">
        <v>40</v>
      </c>
      <c r="J7790" s="2" t="s">
        <v>41</v>
      </c>
      <c r="K7790" t="s">
        <v>42</v>
      </c>
      <c r="L7790" t="s">
        <v>1028</v>
      </c>
      <c r="Q7790">
        <v>24771</v>
      </c>
      <c r="R7790" t="s">
        <v>45</v>
      </c>
      <c r="S7790" t="s">
        <v>23801</v>
      </c>
      <c r="T7790">
        <v>28</v>
      </c>
      <c r="U7790" s="2" t="s">
        <v>47141</v>
      </c>
      <c r="W7790" t="s">
        <v>2680</v>
      </c>
      <c r="X7790">
        <v>834625</v>
      </c>
      <c r="Y7790" t="s">
        <v>47142</v>
      </c>
      <c r="Z7790" t="s">
        <v>2129</v>
      </c>
      <c r="AA7790" s="2" t="s">
        <v>47143</v>
      </c>
      <c r="AB7790" t="s">
        <v>3063</v>
      </c>
      <c r="AC7790" t="s">
        <v>47144</v>
      </c>
      <c r="AG7790" t="s">
        <v>47145</v>
      </c>
      <c r="AH7790" t="s">
        <v>47146</v>
      </c>
      <c r="AI7790" t="s">
        <v>47147</v>
      </c>
    </row>
    <row r="7791" spans="2:35" ht="285">
      <c r="B7791" s="1">
        <v>45082</v>
      </c>
      <c r="C7791" s="4">
        <v>45071.593055555553</v>
      </c>
      <c r="D7791" t="s">
        <v>47148</v>
      </c>
      <c r="E7791" t="s">
        <v>47149</v>
      </c>
      <c r="F7791" t="s">
        <v>37</v>
      </c>
      <c r="G7791" t="s">
        <v>748</v>
      </c>
      <c r="H7791" t="s">
        <v>39</v>
      </c>
      <c r="I7791" t="s">
        <v>40</v>
      </c>
      <c r="J7791" s="2" t="s">
        <v>41</v>
      </c>
      <c r="K7791" t="s">
        <v>42</v>
      </c>
      <c r="L7791" t="s">
        <v>1028</v>
      </c>
      <c r="Q7791">
        <v>24769</v>
      </c>
      <c r="R7791" t="s">
        <v>45</v>
      </c>
      <c r="S7791" t="s">
        <v>33227</v>
      </c>
      <c r="T7791">
        <v>28</v>
      </c>
      <c r="U7791" s="2" t="s">
        <v>47150</v>
      </c>
      <c r="V7791" s="1">
        <v>45062</v>
      </c>
      <c r="W7791" t="s">
        <v>2680</v>
      </c>
      <c r="X7791">
        <v>838139</v>
      </c>
      <c r="Y7791" t="s">
        <v>33229</v>
      </c>
      <c r="Z7791" t="s">
        <v>2129</v>
      </c>
      <c r="AA7791" s="2" t="s">
        <v>47151</v>
      </c>
      <c r="AB7791" t="s">
        <v>3063</v>
      </c>
      <c r="AC7791" t="s">
        <v>47152</v>
      </c>
      <c r="AD7791" t="s">
        <v>47153</v>
      </c>
      <c r="AE7791" t="s">
        <v>47154</v>
      </c>
      <c r="AG7791" t="s">
        <v>47155</v>
      </c>
      <c r="AH7791" t="s">
        <v>30280</v>
      </c>
      <c r="AI7791" t="s">
        <v>47156</v>
      </c>
    </row>
    <row r="7792" spans="2:35" ht="285">
      <c r="B7792" s="1">
        <v>45082</v>
      </c>
      <c r="C7792" s="4">
        <v>45069.545138888891</v>
      </c>
      <c r="D7792" t="s">
        <v>34781</v>
      </c>
      <c r="E7792" t="s">
        <v>47157</v>
      </c>
      <c r="F7792" t="s">
        <v>148</v>
      </c>
      <c r="G7792" t="s">
        <v>774</v>
      </c>
      <c r="H7792" t="s">
        <v>39</v>
      </c>
      <c r="I7792" t="s">
        <v>40</v>
      </c>
      <c r="J7792" t="s">
        <v>79</v>
      </c>
      <c r="K7792" t="s">
        <v>42</v>
      </c>
      <c r="L7792" t="s">
        <v>1028</v>
      </c>
      <c r="Q7792">
        <v>24768</v>
      </c>
      <c r="R7792" t="s">
        <v>45</v>
      </c>
      <c r="S7792" t="s">
        <v>36124</v>
      </c>
      <c r="T7792">
        <v>28</v>
      </c>
      <c r="U7792" s="2" t="s">
        <v>47158</v>
      </c>
      <c r="W7792" t="s">
        <v>2680</v>
      </c>
      <c r="X7792">
        <v>834690</v>
      </c>
      <c r="Y7792" t="s">
        <v>35646</v>
      </c>
      <c r="Z7792" t="s">
        <v>2129</v>
      </c>
      <c r="AA7792" s="2" t="s">
        <v>47159</v>
      </c>
      <c r="AB7792" t="s">
        <v>3063</v>
      </c>
      <c r="AG7792" t="s">
        <v>47160</v>
      </c>
      <c r="AH7792" t="s">
        <v>36129</v>
      </c>
      <c r="AI7792" t="s">
        <v>47161</v>
      </c>
    </row>
    <row r="7793" spans="2:35" ht="195">
      <c r="B7793" s="1">
        <v>45082</v>
      </c>
      <c r="C7793" s="4">
        <v>45070.545138888891</v>
      </c>
      <c r="D7793" t="s">
        <v>45146</v>
      </c>
      <c r="E7793" t="s">
        <v>45147</v>
      </c>
      <c r="F7793" t="s">
        <v>37</v>
      </c>
      <c r="G7793" t="s">
        <v>2499</v>
      </c>
      <c r="H7793" t="s">
        <v>39</v>
      </c>
      <c r="I7793" t="s">
        <v>40</v>
      </c>
      <c r="J7793" s="2" t="s">
        <v>41</v>
      </c>
      <c r="K7793" t="s">
        <v>42</v>
      </c>
      <c r="L7793" t="s">
        <v>1028</v>
      </c>
      <c r="Q7793">
        <v>24772</v>
      </c>
      <c r="R7793" t="s">
        <v>45</v>
      </c>
      <c r="S7793" t="s">
        <v>23801</v>
      </c>
      <c r="T7793">
        <v>28</v>
      </c>
      <c r="U7793" s="2" t="s">
        <v>47162</v>
      </c>
      <c r="W7793" t="s">
        <v>2680</v>
      </c>
      <c r="X7793">
        <v>838871</v>
      </c>
      <c r="Y7793" t="s">
        <v>47163</v>
      </c>
      <c r="Z7793" t="s">
        <v>2129</v>
      </c>
      <c r="AA7793" s="2" t="s">
        <v>47143</v>
      </c>
      <c r="AB7793" t="s">
        <v>3063</v>
      </c>
      <c r="AC7793" t="s">
        <v>47164</v>
      </c>
      <c r="AG7793" t="s">
        <v>47165</v>
      </c>
      <c r="AH7793" t="s">
        <v>23806</v>
      </c>
      <c r="AI7793" t="s">
        <v>47166</v>
      </c>
    </row>
    <row r="7794" spans="2:35" ht="210">
      <c r="B7794" s="1">
        <v>45082</v>
      </c>
      <c r="C7794" s="4">
        <v>45072.337500000001</v>
      </c>
      <c r="D7794" t="s">
        <v>3782</v>
      </c>
      <c r="E7794" t="s">
        <v>42979</v>
      </c>
      <c r="F7794" t="s">
        <v>37</v>
      </c>
      <c r="G7794" t="s">
        <v>748</v>
      </c>
      <c r="H7794" t="s">
        <v>39</v>
      </c>
      <c r="I7794" t="s">
        <v>40</v>
      </c>
      <c r="J7794" s="2" t="s">
        <v>47167</v>
      </c>
      <c r="K7794" t="s">
        <v>42</v>
      </c>
      <c r="L7794" t="s">
        <v>1028</v>
      </c>
      <c r="Q7794">
        <v>24770</v>
      </c>
      <c r="R7794" t="s">
        <v>45</v>
      </c>
      <c r="S7794" t="s">
        <v>47168</v>
      </c>
      <c r="T7794">
        <v>28</v>
      </c>
      <c r="U7794" s="2" t="s">
        <v>47169</v>
      </c>
      <c r="W7794" t="s">
        <v>2680</v>
      </c>
      <c r="X7794">
        <v>804691</v>
      </c>
      <c r="Y7794" t="s">
        <v>47170</v>
      </c>
      <c r="Z7794" t="s">
        <v>13110</v>
      </c>
      <c r="AA7794" s="2" t="s">
        <v>47171</v>
      </c>
      <c r="AB7794" t="s">
        <v>3063</v>
      </c>
      <c r="AG7794" t="s">
        <v>47172</v>
      </c>
      <c r="AH7794" t="s">
        <v>42977</v>
      </c>
      <c r="AI7794" t="s">
        <v>47173</v>
      </c>
    </row>
    <row r="7795" spans="2:35" ht="135">
      <c r="B7795" s="1">
        <v>45082</v>
      </c>
      <c r="C7795" s="4">
        <v>45076.4375</v>
      </c>
      <c r="D7795" t="s">
        <v>308</v>
      </c>
      <c r="E7795" t="s">
        <v>3829</v>
      </c>
      <c r="F7795" t="s">
        <v>148</v>
      </c>
      <c r="G7795" t="s">
        <v>310</v>
      </c>
      <c r="H7795" t="s">
        <v>39</v>
      </c>
      <c r="I7795" t="s">
        <v>40</v>
      </c>
      <c r="J7795" s="2" t="s">
        <v>62</v>
      </c>
      <c r="K7795" t="s">
        <v>42</v>
      </c>
      <c r="L7795" t="s">
        <v>1943</v>
      </c>
      <c r="Q7795">
        <v>24767</v>
      </c>
      <c r="R7795" t="s">
        <v>119</v>
      </c>
      <c r="S7795" t="s">
        <v>311</v>
      </c>
      <c r="T7795">
        <v>25</v>
      </c>
      <c r="U7795" s="2" t="s">
        <v>30978</v>
      </c>
      <c r="V7795" s="1">
        <v>45076</v>
      </c>
      <c r="W7795" t="s">
        <v>84</v>
      </c>
      <c r="X7795">
        <v>831534</v>
      </c>
      <c r="Y7795" s="2" t="s">
        <v>41693</v>
      </c>
      <c r="Z7795" s="2" t="s">
        <v>32801</v>
      </c>
      <c r="AA7795" t="s">
        <v>23660</v>
      </c>
      <c r="AB7795" t="s">
        <v>47174</v>
      </c>
      <c r="AD7795" t="s">
        <v>47175</v>
      </c>
      <c r="AE7795" t="s">
        <v>103</v>
      </c>
      <c r="AG7795" t="s">
        <v>47176</v>
      </c>
      <c r="AH7795" t="s">
        <v>317</v>
      </c>
      <c r="AI7795" t="s">
        <v>47177</v>
      </c>
    </row>
    <row r="7796" spans="2:35" ht="135">
      <c r="B7796" s="1">
        <v>45082</v>
      </c>
      <c r="C7796" s="4">
        <v>45076.4375</v>
      </c>
      <c r="D7796" t="s">
        <v>308</v>
      </c>
      <c r="E7796" t="s">
        <v>3829</v>
      </c>
      <c r="F7796" t="s">
        <v>148</v>
      </c>
      <c r="G7796" t="s">
        <v>310</v>
      </c>
      <c r="H7796" t="s">
        <v>39</v>
      </c>
      <c r="I7796" t="s">
        <v>40</v>
      </c>
      <c r="J7796" s="2" t="s">
        <v>62</v>
      </c>
      <c r="K7796" t="s">
        <v>42</v>
      </c>
      <c r="L7796" t="s">
        <v>1943</v>
      </c>
      <c r="Q7796">
        <v>24766</v>
      </c>
      <c r="R7796" t="s">
        <v>119</v>
      </c>
      <c r="S7796" t="s">
        <v>311</v>
      </c>
      <c r="T7796">
        <v>25</v>
      </c>
      <c r="U7796" s="2" t="s">
        <v>30978</v>
      </c>
      <c r="V7796" s="1">
        <v>45076</v>
      </c>
      <c r="W7796" t="s">
        <v>84</v>
      </c>
      <c r="X7796">
        <v>831534</v>
      </c>
      <c r="Y7796" s="2" t="s">
        <v>41693</v>
      </c>
      <c r="Z7796" s="2" t="s">
        <v>32801</v>
      </c>
      <c r="AA7796" t="s">
        <v>23660</v>
      </c>
      <c r="AB7796" t="s">
        <v>47174</v>
      </c>
      <c r="AD7796" t="s">
        <v>47175</v>
      </c>
      <c r="AE7796" t="s">
        <v>103</v>
      </c>
      <c r="AG7796" t="s">
        <v>47178</v>
      </c>
      <c r="AH7796" t="s">
        <v>317</v>
      </c>
      <c r="AI7796" t="s">
        <v>47179</v>
      </c>
    </row>
    <row r="7797" spans="2:35" ht="255">
      <c r="B7797" s="1">
        <v>45082</v>
      </c>
      <c r="C7797" s="4">
        <v>45079.578472222223</v>
      </c>
      <c r="D7797" t="s">
        <v>1145</v>
      </c>
      <c r="E7797" t="s">
        <v>47180</v>
      </c>
      <c r="F7797" t="s">
        <v>148</v>
      </c>
      <c r="G7797" t="s">
        <v>310</v>
      </c>
      <c r="H7797" t="s">
        <v>386</v>
      </c>
      <c r="I7797" t="s">
        <v>40</v>
      </c>
      <c r="J7797" t="s">
        <v>109</v>
      </c>
      <c r="K7797" t="s">
        <v>387</v>
      </c>
      <c r="L7797" t="s">
        <v>448</v>
      </c>
      <c r="Q7797">
        <v>24765</v>
      </c>
      <c r="R7797" t="s">
        <v>322</v>
      </c>
      <c r="S7797" t="s">
        <v>41494</v>
      </c>
      <c r="T7797">
        <v>26</v>
      </c>
      <c r="W7797" t="s">
        <v>476</v>
      </c>
      <c r="X7797" t="s">
        <v>5005</v>
      </c>
      <c r="Y7797" t="s">
        <v>485</v>
      </c>
      <c r="Z7797" s="2" t="s">
        <v>47181</v>
      </c>
      <c r="AA7797" t="s">
        <v>6997</v>
      </c>
      <c r="AB7797" t="s">
        <v>486</v>
      </c>
      <c r="AG7797" t="s">
        <v>47182</v>
      </c>
      <c r="AH7797" t="s">
        <v>47183</v>
      </c>
      <c r="AI7797" t="s">
        <v>47184</v>
      </c>
    </row>
    <row r="7798" spans="2:35" ht="255">
      <c r="B7798" s="1">
        <v>45082</v>
      </c>
      <c r="C7798" s="4">
        <v>45079.578472222223</v>
      </c>
      <c r="D7798" t="s">
        <v>1145</v>
      </c>
      <c r="E7798" t="s">
        <v>47180</v>
      </c>
      <c r="F7798" t="s">
        <v>148</v>
      </c>
      <c r="G7798" t="s">
        <v>310</v>
      </c>
      <c r="H7798" t="s">
        <v>386</v>
      </c>
      <c r="I7798" t="s">
        <v>40</v>
      </c>
      <c r="J7798" t="s">
        <v>109</v>
      </c>
      <c r="K7798" t="s">
        <v>387</v>
      </c>
      <c r="L7798" t="s">
        <v>448</v>
      </c>
      <c r="Q7798">
        <v>24764</v>
      </c>
      <c r="R7798" t="s">
        <v>322</v>
      </c>
      <c r="S7798" t="s">
        <v>41494</v>
      </c>
      <c r="T7798">
        <v>26</v>
      </c>
      <c r="W7798" t="s">
        <v>476</v>
      </c>
      <c r="X7798" t="s">
        <v>5005</v>
      </c>
      <c r="Y7798" t="s">
        <v>485</v>
      </c>
      <c r="Z7798" s="2" t="s">
        <v>47181</v>
      </c>
      <c r="AA7798" t="s">
        <v>6997</v>
      </c>
      <c r="AB7798" t="s">
        <v>486</v>
      </c>
      <c r="AG7798" t="s">
        <v>47185</v>
      </c>
      <c r="AH7798" t="s">
        <v>47183</v>
      </c>
      <c r="AI7798" t="s">
        <v>47186</v>
      </c>
    </row>
    <row r="7799" spans="2:35" ht="270">
      <c r="B7799" s="1">
        <v>45082</v>
      </c>
      <c r="C7799" s="4">
        <v>45079.622916666667</v>
      </c>
      <c r="D7799" t="s">
        <v>1145</v>
      </c>
      <c r="E7799" t="s">
        <v>47180</v>
      </c>
      <c r="F7799" t="s">
        <v>148</v>
      </c>
      <c r="G7799" t="s">
        <v>447</v>
      </c>
      <c r="H7799" t="s">
        <v>386</v>
      </c>
      <c r="I7799" t="s">
        <v>40</v>
      </c>
      <c r="J7799" t="s">
        <v>109</v>
      </c>
      <c r="K7799" t="s">
        <v>387</v>
      </c>
      <c r="L7799" t="s">
        <v>448</v>
      </c>
      <c r="Q7799">
        <v>24763</v>
      </c>
      <c r="R7799" t="s">
        <v>322</v>
      </c>
      <c r="S7799" t="s">
        <v>41494</v>
      </c>
      <c r="T7799">
        <v>26</v>
      </c>
      <c r="W7799" t="s">
        <v>476</v>
      </c>
      <c r="X7799" t="s">
        <v>7383</v>
      </c>
      <c r="Y7799" t="s">
        <v>485</v>
      </c>
      <c r="Z7799" s="2" t="s">
        <v>47187</v>
      </c>
      <c r="AA7799" t="s">
        <v>6997</v>
      </c>
      <c r="AB7799" t="s">
        <v>486</v>
      </c>
      <c r="AG7799" t="s">
        <v>47188</v>
      </c>
      <c r="AH7799" t="s">
        <v>47183</v>
      </c>
      <c r="AI7799" t="s">
        <v>47189</v>
      </c>
    </row>
    <row r="7800" spans="2:35" ht="270">
      <c r="B7800" s="1">
        <v>45082</v>
      </c>
      <c r="C7800" s="4">
        <v>45079.622916666667</v>
      </c>
      <c r="D7800" t="s">
        <v>1145</v>
      </c>
      <c r="E7800" t="s">
        <v>47180</v>
      </c>
      <c r="F7800" t="s">
        <v>148</v>
      </c>
      <c r="G7800" t="s">
        <v>447</v>
      </c>
      <c r="H7800" t="s">
        <v>386</v>
      </c>
      <c r="I7800" t="s">
        <v>40</v>
      </c>
      <c r="J7800" t="s">
        <v>109</v>
      </c>
      <c r="K7800" t="s">
        <v>387</v>
      </c>
      <c r="L7800" t="s">
        <v>448</v>
      </c>
      <c r="Q7800">
        <v>24762</v>
      </c>
      <c r="R7800" t="s">
        <v>322</v>
      </c>
      <c r="S7800" t="s">
        <v>41494</v>
      </c>
      <c r="T7800">
        <v>26</v>
      </c>
      <c r="W7800" t="s">
        <v>476</v>
      </c>
      <c r="X7800" t="s">
        <v>7383</v>
      </c>
      <c r="Y7800" t="s">
        <v>485</v>
      </c>
      <c r="Z7800" s="2" t="s">
        <v>47187</v>
      </c>
      <c r="AA7800" t="s">
        <v>6997</v>
      </c>
      <c r="AB7800" t="s">
        <v>486</v>
      </c>
      <c r="AG7800" t="s">
        <v>47190</v>
      </c>
      <c r="AH7800" t="s">
        <v>47183</v>
      </c>
      <c r="AI7800" t="s">
        <v>47191</v>
      </c>
    </row>
    <row r="7801" spans="2:35">
      <c r="B7801" s="1">
        <v>45081</v>
      </c>
      <c r="C7801" s="4">
        <v>45081.438194444447</v>
      </c>
      <c r="D7801" t="s">
        <v>7465</v>
      </c>
      <c r="E7801" t="s">
        <v>14619</v>
      </c>
      <c r="F7801">
        <v>8</v>
      </c>
      <c r="G7801" t="s">
        <v>342</v>
      </c>
      <c r="H7801" t="s">
        <v>39</v>
      </c>
      <c r="I7801" t="s">
        <v>40</v>
      </c>
      <c r="J7801" t="s">
        <v>109</v>
      </c>
      <c r="K7801" t="s">
        <v>42</v>
      </c>
      <c r="L7801" t="s">
        <v>259</v>
      </c>
      <c r="Q7801">
        <v>24761</v>
      </c>
      <c r="R7801" t="s">
        <v>119</v>
      </c>
      <c r="S7801" t="s">
        <v>16053</v>
      </c>
      <c r="T7801">
        <v>29</v>
      </c>
      <c r="V7801" s="1">
        <v>45077</v>
      </c>
      <c r="W7801" t="s">
        <v>84</v>
      </c>
      <c r="X7801">
        <v>838551</v>
      </c>
      <c r="Y7801" t="s">
        <v>1716</v>
      </c>
      <c r="Z7801" t="s">
        <v>1716</v>
      </c>
      <c r="AA7801" t="s">
        <v>3128</v>
      </c>
      <c r="AB7801" t="s">
        <v>70</v>
      </c>
      <c r="AG7801" t="s">
        <v>47192</v>
      </c>
      <c r="AH7801" t="s">
        <v>7469</v>
      </c>
      <c r="AI7801" t="s">
        <v>47193</v>
      </c>
    </row>
    <row r="7802" spans="2:35">
      <c r="B7802" s="1">
        <v>45081</v>
      </c>
      <c r="C7802" s="4">
        <v>45077.461805555555</v>
      </c>
      <c r="D7802" t="s">
        <v>7019</v>
      </c>
      <c r="E7802" t="s">
        <v>47194</v>
      </c>
      <c r="F7802" t="s">
        <v>148</v>
      </c>
      <c r="G7802" t="s">
        <v>310</v>
      </c>
      <c r="H7802" t="s">
        <v>19989</v>
      </c>
      <c r="I7802" t="s">
        <v>40</v>
      </c>
      <c r="J7802" t="s">
        <v>583</v>
      </c>
      <c r="K7802" t="s">
        <v>42</v>
      </c>
      <c r="L7802" t="s">
        <v>448</v>
      </c>
      <c r="Q7802">
        <v>24760</v>
      </c>
      <c r="R7802" t="s">
        <v>322</v>
      </c>
      <c r="S7802" t="s">
        <v>19990</v>
      </c>
      <c r="T7802">
        <v>28</v>
      </c>
      <c r="V7802" s="1">
        <v>45077</v>
      </c>
      <c r="W7802" t="s">
        <v>360</v>
      </c>
      <c r="X7802">
        <v>821257</v>
      </c>
      <c r="Y7802" t="s">
        <v>47195</v>
      </c>
      <c r="Z7802" t="s">
        <v>47196</v>
      </c>
      <c r="AA7802" t="s">
        <v>47197</v>
      </c>
      <c r="AB7802" t="s">
        <v>486</v>
      </c>
      <c r="AD7802" t="s">
        <v>46823</v>
      </c>
      <c r="AE7802" t="s">
        <v>33789</v>
      </c>
      <c r="AG7802" t="s">
        <v>47198</v>
      </c>
      <c r="AH7802" t="s">
        <v>12282</v>
      </c>
      <c r="AI7802" t="s">
        <v>47199</v>
      </c>
    </row>
    <row r="7803" spans="2:35" ht="285">
      <c r="B7803" s="1">
        <v>45079</v>
      </c>
      <c r="C7803" s="4">
        <v>45078.465277777781</v>
      </c>
      <c r="D7803" t="s">
        <v>4534</v>
      </c>
      <c r="E7803" t="s">
        <v>47200</v>
      </c>
      <c r="F7803">
        <v>1</v>
      </c>
      <c r="G7803" t="s">
        <v>1046</v>
      </c>
      <c r="H7803" t="s">
        <v>1047</v>
      </c>
      <c r="I7803" t="s">
        <v>40</v>
      </c>
      <c r="J7803" s="2" t="s">
        <v>41</v>
      </c>
      <c r="K7803" t="s">
        <v>42</v>
      </c>
      <c r="L7803" t="s">
        <v>1048</v>
      </c>
      <c r="Q7803">
        <v>24759</v>
      </c>
      <c r="R7803" t="s">
        <v>45</v>
      </c>
      <c r="S7803" t="s">
        <v>47201</v>
      </c>
      <c r="T7803">
        <v>30</v>
      </c>
      <c r="U7803" s="2" t="s">
        <v>47202</v>
      </c>
      <c r="V7803" s="1">
        <v>45077</v>
      </c>
      <c r="W7803" t="s">
        <v>2384</v>
      </c>
      <c r="X7803">
        <v>808283</v>
      </c>
      <c r="Y7803" t="s">
        <v>35729</v>
      </c>
      <c r="Z7803" s="2" t="s">
        <v>47203</v>
      </c>
      <c r="AA7803" t="s">
        <v>15287</v>
      </c>
      <c r="AB7803" t="s">
        <v>70</v>
      </c>
      <c r="AD7803" t="s">
        <v>47204</v>
      </c>
      <c r="AE7803" t="s">
        <v>47205</v>
      </c>
      <c r="AG7803" t="s">
        <v>47206</v>
      </c>
      <c r="AH7803" t="s">
        <v>22423</v>
      </c>
      <c r="AI7803" t="s">
        <v>47207</v>
      </c>
    </row>
    <row r="7804" spans="2:35" ht="285">
      <c r="B7804" s="1">
        <v>45079</v>
      </c>
      <c r="C7804" s="4">
        <v>45078.465277777781</v>
      </c>
      <c r="D7804" t="s">
        <v>4534</v>
      </c>
      <c r="E7804" t="s">
        <v>47200</v>
      </c>
      <c r="F7804">
        <v>1</v>
      </c>
      <c r="G7804" t="s">
        <v>1046</v>
      </c>
      <c r="H7804" t="s">
        <v>1047</v>
      </c>
      <c r="I7804" t="s">
        <v>40</v>
      </c>
      <c r="J7804" s="2" t="s">
        <v>41</v>
      </c>
      <c r="K7804" t="s">
        <v>42</v>
      </c>
      <c r="L7804" t="s">
        <v>1048</v>
      </c>
      <c r="Q7804">
        <v>24758</v>
      </c>
      <c r="R7804" t="s">
        <v>45</v>
      </c>
      <c r="S7804" t="s">
        <v>47201</v>
      </c>
      <c r="T7804">
        <v>30</v>
      </c>
      <c r="U7804" s="2" t="s">
        <v>47202</v>
      </c>
      <c r="V7804" s="1">
        <v>45077</v>
      </c>
      <c r="W7804" t="s">
        <v>2384</v>
      </c>
      <c r="X7804">
        <v>808283</v>
      </c>
      <c r="Y7804" t="s">
        <v>35729</v>
      </c>
      <c r="Z7804" s="2" t="s">
        <v>47203</v>
      </c>
      <c r="AA7804" t="s">
        <v>15287</v>
      </c>
      <c r="AB7804" t="s">
        <v>70</v>
      </c>
      <c r="AD7804" t="s">
        <v>47204</v>
      </c>
      <c r="AE7804" t="s">
        <v>47205</v>
      </c>
      <c r="AG7804" t="s">
        <v>47208</v>
      </c>
      <c r="AH7804" t="s">
        <v>22423</v>
      </c>
      <c r="AI7804" t="s">
        <v>47209</v>
      </c>
    </row>
    <row r="7805" spans="2:35" ht="345">
      <c r="B7805" s="1">
        <v>45079</v>
      </c>
      <c r="C7805" s="4">
        <v>45079.600694444445</v>
      </c>
      <c r="D7805" t="s">
        <v>27635</v>
      </c>
      <c r="E7805" t="s">
        <v>46301</v>
      </c>
      <c r="F7805" t="s">
        <v>148</v>
      </c>
      <c r="G7805" t="s">
        <v>447</v>
      </c>
      <c r="H7805" t="s">
        <v>39</v>
      </c>
      <c r="I7805" t="s">
        <v>40</v>
      </c>
      <c r="J7805" s="2" t="s">
        <v>190</v>
      </c>
      <c r="K7805" t="s">
        <v>42</v>
      </c>
      <c r="L7805" t="s">
        <v>15532</v>
      </c>
      <c r="Q7805">
        <v>24757</v>
      </c>
      <c r="R7805" t="s">
        <v>119</v>
      </c>
      <c r="S7805" t="s">
        <v>24625</v>
      </c>
      <c r="T7805">
        <v>31</v>
      </c>
      <c r="U7805" s="2" t="s">
        <v>47210</v>
      </c>
      <c r="W7805" t="s">
        <v>28952</v>
      </c>
      <c r="X7805">
        <v>831615</v>
      </c>
      <c r="Y7805" s="2" t="s">
        <v>47211</v>
      </c>
      <c r="Z7805" s="2" t="s">
        <v>47212</v>
      </c>
      <c r="AA7805" t="e">
        <f ca="1">-performed Preventive Maintenance
-Troubleshoot monitor</f>
        <v>#NAME?</v>
      </c>
      <c r="AB7805" s="2" t="s">
        <v>47213</v>
      </c>
      <c r="AG7805" t="s">
        <v>47214</v>
      </c>
      <c r="AH7805" t="s">
        <v>36316</v>
      </c>
      <c r="AI7805" t="s">
        <v>47215</v>
      </c>
    </row>
    <row r="7806" spans="2:35" ht="270">
      <c r="B7806" s="1">
        <v>45079</v>
      </c>
      <c r="C7806" s="4">
        <v>45079.354861111111</v>
      </c>
      <c r="D7806" t="s">
        <v>3010</v>
      </c>
      <c r="E7806" t="s">
        <v>3011</v>
      </c>
      <c r="F7806">
        <v>1</v>
      </c>
      <c r="G7806" t="s">
        <v>1046</v>
      </c>
      <c r="H7806" t="s">
        <v>61</v>
      </c>
      <c r="I7806" t="s">
        <v>40</v>
      </c>
      <c r="J7806" s="2" t="s">
        <v>190</v>
      </c>
      <c r="K7806" t="s">
        <v>42</v>
      </c>
      <c r="L7806" t="s">
        <v>1048</v>
      </c>
      <c r="Q7806">
        <v>24756</v>
      </c>
      <c r="R7806" t="s">
        <v>45</v>
      </c>
      <c r="S7806" t="s">
        <v>3012</v>
      </c>
      <c r="T7806">
        <v>29</v>
      </c>
      <c r="U7806" s="2" t="s">
        <v>47216</v>
      </c>
      <c r="W7806" t="s">
        <v>31945</v>
      </c>
      <c r="X7806">
        <v>842230</v>
      </c>
      <c r="Y7806" t="s">
        <v>2851</v>
      </c>
      <c r="Z7806" t="e">
        <f ca="1">-cleaned cartridge Bays, I-CORE _xludf.and plunger Rods
-generated reports</f>
        <v>#NAME?</v>
      </c>
      <c r="AA7806" t="s">
        <v>47217</v>
      </c>
      <c r="AB7806" t="s">
        <v>181</v>
      </c>
      <c r="AC7806" t="s">
        <v>39314</v>
      </c>
      <c r="AG7806" t="s">
        <v>47218</v>
      </c>
      <c r="AH7806" t="s">
        <v>32574</v>
      </c>
      <c r="AI7806" t="s">
        <v>47219</v>
      </c>
    </row>
    <row r="7807" spans="2:35" ht="180">
      <c r="B7807" s="1">
        <v>45079</v>
      </c>
      <c r="C7807" s="4">
        <v>45079.615277777775</v>
      </c>
      <c r="D7807" t="s">
        <v>7038</v>
      </c>
      <c r="E7807" t="s">
        <v>47220</v>
      </c>
      <c r="F7807">
        <v>1</v>
      </c>
      <c r="G7807" t="s">
        <v>1046</v>
      </c>
      <c r="H7807" t="s">
        <v>39</v>
      </c>
      <c r="I7807" t="s">
        <v>40</v>
      </c>
      <c r="J7807" s="2" t="s">
        <v>41</v>
      </c>
      <c r="K7807" t="s">
        <v>42</v>
      </c>
      <c r="L7807" t="s">
        <v>135</v>
      </c>
      <c r="Q7807">
        <v>24755</v>
      </c>
      <c r="R7807" t="s">
        <v>119</v>
      </c>
      <c r="S7807" t="s">
        <v>7040</v>
      </c>
      <c r="T7807">
        <v>26</v>
      </c>
      <c r="U7807" s="2" t="s">
        <v>47221</v>
      </c>
      <c r="W7807" t="s">
        <v>2680</v>
      </c>
      <c r="X7807">
        <v>838278</v>
      </c>
      <c r="Y7807" t="s">
        <v>962</v>
      </c>
      <c r="Z7807" t="s">
        <v>9749</v>
      </c>
      <c r="AA7807" s="2" t="s">
        <v>47222</v>
      </c>
      <c r="AB7807" t="s">
        <v>181</v>
      </c>
      <c r="AC7807" t="s">
        <v>47223</v>
      </c>
      <c r="AG7807" t="s">
        <v>47224</v>
      </c>
      <c r="AH7807" t="s">
        <v>9358</v>
      </c>
      <c r="AI7807" t="s">
        <v>47225</v>
      </c>
    </row>
    <row r="7808" spans="2:35" ht="375">
      <c r="B7808" s="1">
        <v>45079</v>
      </c>
      <c r="C7808" s="4">
        <v>45079.353472222225</v>
      </c>
      <c r="D7808" t="s">
        <v>3010</v>
      </c>
      <c r="E7808" t="s">
        <v>14119</v>
      </c>
      <c r="F7808">
        <v>1</v>
      </c>
      <c r="G7808" t="s">
        <v>1046</v>
      </c>
      <c r="H7808" t="s">
        <v>39</v>
      </c>
      <c r="I7808" t="s">
        <v>40</v>
      </c>
      <c r="J7808" t="s">
        <v>109</v>
      </c>
      <c r="K7808" t="s">
        <v>42</v>
      </c>
      <c r="L7808" t="s">
        <v>1048</v>
      </c>
      <c r="Q7808">
        <v>24754</v>
      </c>
      <c r="R7808" t="s">
        <v>45</v>
      </c>
      <c r="S7808" t="s">
        <v>3012</v>
      </c>
      <c r="T7808">
        <v>26</v>
      </c>
      <c r="U7808" s="2" t="s">
        <v>47226</v>
      </c>
      <c r="W7808" t="s">
        <v>2384</v>
      </c>
      <c r="X7808">
        <v>804726</v>
      </c>
      <c r="Y7808" t="s">
        <v>1052</v>
      </c>
      <c r="Z7808" t="e">
        <f ca="1">-cleaned cartridge Bays, plunger Rods _xludf.and I-CORE
-generated reports</f>
        <v>#NAME?</v>
      </c>
      <c r="AA7808" t="s">
        <v>17481</v>
      </c>
      <c r="AB7808" t="s">
        <v>181</v>
      </c>
      <c r="AG7808" t="s">
        <v>47227</v>
      </c>
      <c r="AH7808" t="s">
        <v>32574</v>
      </c>
      <c r="AI7808" t="s">
        <v>47228</v>
      </c>
    </row>
    <row r="7809" spans="2:35" ht="195">
      <c r="B7809" s="1">
        <v>45079</v>
      </c>
      <c r="C7809" s="4">
        <v>45079.590277777781</v>
      </c>
      <c r="D7809" t="s">
        <v>2990</v>
      </c>
      <c r="E7809" t="s">
        <v>47229</v>
      </c>
      <c r="F7809">
        <v>5</v>
      </c>
      <c r="G7809" t="s">
        <v>759</v>
      </c>
      <c r="H7809" t="s">
        <v>39</v>
      </c>
      <c r="I7809" t="s">
        <v>40</v>
      </c>
      <c r="J7809" s="2" t="s">
        <v>190</v>
      </c>
      <c r="K7809" t="s">
        <v>42</v>
      </c>
      <c r="L7809" t="s">
        <v>761</v>
      </c>
      <c r="Q7809">
        <v>24753</v>
      </c>
      <c r="R7809" t="s">
        <v>45</v>
      </c>
      <c r="S7809" t="s">
        <v>2992</v>
      </c>
      <c r="T7809">
        <v>31</v>
      </c>
      <c r="W7809" t="s">
        <v>502</v>
      </c>
      <c r="X7809">
        <v>804257</v>
      </c>
      <c r="Y7809" t="s">
        <v>47230</v>
      </c>
      <c r="Z7809" s="2" t="s">
        <v>47231</v>
      </c>
      <c r="AA7809" t="s">
        <v>47232</v>
      </c>
      <c r="AB7809" s="2" t="s">
        <v>47233</v>
      </c>
      <c r="AC7809" t="s">
        <v>47234</v>
      </c>
      <c r="AG7809" t="s">
        <v>47235</v>
      </c>
      <c r="AH7809" t="s">
        <v>31327</v>
      </c>
      <c r="AI7809" t="s">
        <v>47236</v>
      </c>
    </row>
    <row r="7810" spans="2:35" ht="180">
      <c r="B7810" s="1">
        <v>45079</v>
      </c>
      <c r="C7810" s="4">
        <v>45079.541666666664</v>
      </c>
      <c r="D7810" t="s">
        <v>4953</v>
      </c>
      <c r="E7810" t="s">
        <v>47237</v>
      </c>
      <c r="F7810">
        <v>1</v>
      </c>
      <c r="G7810" t="s">
        <v>1046</v>
      </c>
      <c r="H7810" t="s">
        <v>39</v>
      </c>
      <c r="I7810" t="s">
        <v>40</v>
      </c>
      <c r="J7810" t="s">
        <v>109</v>
      </c>
      <c r="K7810" t="s">
        <v>42</v>
      </c>
      <c r="L7810" t="s">
        <v>1048</v>
      </c>
      <c r="Q7810">
        <v>24752</v>
      </c>
      <c r="R7810" t="s">
        <v>119</v>
      </c>
      <c r="S7810" t="s">
        <v>4955</v>
      </c>
      <c r="T7810">
        <v>29</v>
      </c>
      <c r="U7810" s="2" t="s">
        <v>47238</v>
      </c>
      <c r="W7810" t="s">
        <v>2384</v>
      </c>
      <c r="X7810">
        <v>838437</v>
      </c>
      <c r="Y7810" t="s">
        <v>2851</v>
      </c>
      <c r="Z7810" t="e">
        <f ca="1">-cleaned cartridge Bays, plunger Rods, _xludf.and I-CORE
-generated reports</f>
        <v>#NAME?</v>
      </c>
      <c r="AA7810" t="s">
        <v>16055</v>
      </c>
      <c r="AB7810" t="s">
        <v>70</v>
      </c>
      <c r="AC7810" t="s">
        <v>47239</v>
      </c>
      <c r="AG7810" t="s">
        <v>47240</v>
      </c>
      <c r="AH7810" t="s">
        <v>4958</v>
      </c>
      <c r="AI7810" t="s">
        <v>47241</v>
      </c>
    </row>
    <row r="7811" spans="2:35" ht="90">
      <c r="B7811" s="1">
        <v>45079</v>
      </c>
      <c r="C7811" s="4">
        <v>45079.563194444447</v>
      </c>
      <c r="D7811" t="s">
        <v>16527</v>
      </c>
      <c r="E7811" t="s">
        <v>6691</v>
      </c>
      <c r="F7811">
        <v>6</v>
      </c>
      <c r="G7811" t="s">
        <v>269</v>
      </c>
      <c r="H7811" t="s">
        <v>2290</v>
      </c>
      <c r="I7811" t="s">
        <v>94</v>
      </c>
      <c r="J7811" t="s">
        <v>79</v>
      </c>
      <c r="K7811" t="s">
        <v>42</v>
      </c>
      <c r="L7811" t="s">
        <v>610</v>
      </c>
      <c r="Q7811">
        <v>24751</v>
      </c>
      <c r="R7811" t="s">
        <v>45</v>
      </c>
      <c r="S7811" t="s">
        <v>10458</v>
      </c>
      <c r="T7811">
        <v>24</v>
      </c>
      <c r="U7811" s="2" t="s">
        <v>47242</v>
      </c>
      <c r="W7811" t="s">
        <v>502</v>
      </c>
      <c r="X7811">
        <v>805275</v>
      </c>
      <c r="Y7811" t="s">
        <v>47243</v>
      </c>
      <c r="Z7811" t="s">
        <v>47244</v>
      </c>
      <c r="AA7811" t="s">
        <v>47245</v>
      </c>
      <c r="AB7811" t="s">
        <v>1263</v>
      </c>
      <c r="AG7811" t="s">
        <v>47246</v>
      </c>
      <c r="AH7811" t="s">
        <v>47247</v>
      </c>
      <c r="AI7811" t="s">
        <v>47248</v>
      </c>
    </row>
    <row r="7812" spans="2:35" ht="409.5">
      <c r="B7812" s="1">
        <v>45079</v>
      </c>
      <c r="C7812" s="4">
        <v>45079.497916666667</v>
      </c>
      <c r="D7812" t="s">
        <v>1484</v>
      </c>
      <c r="E7812" t="s">
        <v>47249</v>
      </c>
      <c r="F7812">
        <v>12</v>
      </c>
      <c r="G7812" t="s">
        <v>978</v>
      </c>
      <c r="H7812" t="s">
        <v>1473</v>
      </c>
      <c r="I7812" t="s">
        <v>94</v>
      </c>
      <c r="J7812" t="s">
        <v>321</v>
      </c>
      <c r="K7812" t="s">
        <v>42</v>
      </c>
      <c r="L7812" t="s">
        <v>296</v>
      </c>
      <c r="Q7812">
        <v>24750</v>
      </c>
      <c r="R7812" t="s">
        <v>45</v>
      </c>
      <c r="S7812" t="s">
        <v>1486</v>
      </c>
      <c r="T7812">
        <v>24.2</v>
      </c>
      <c r="U7812" s="2" t="s">
        <v>30743</v>
      </c>
      <c r="W7812" t="s">
        <v>47250</v>
      </c>
      <c r="X7812">
        <v>120000172</v>
      </c>
      <c r="Y7812" t="s">
        <v>54</v>
      </c>
      <c r="Z7812" s="2" t="s">
        <v>47251</v>
      </c>
      <c r="AA7812" t="s">
        <v>47252</v>
      </c>
      <c r="AB7812" t="s">
        <v>972</v>
      </c>
      <c r="AG7812" t="s">
        <v>47253</v>
      </c>
      <c r="AH7812" t="s">
        <v>47254</v>
      </c>
      <c r="AI7812" t="s">
        <v>47255</v>
      </c>
    </row>
    <row r="7813" spans="2:35" ht="210">
      <c r="B7813" s="1">
        <v>45079</v>
      </c>
      <c r="C7813" s="4">
        <v>45079.5</v>
      </c>
      <c r="D7813" t="s">
        <v>757</v>
      </c>
      <c r="E7813" t="s">
        <v>47256</v>
      </c>
      <c r="F7813">
        <v>5</v>
      </c>
      <c r="G7813" t="s">
        <v>759</v>
      </c>
      <c r="H7813" t="s">
        <v>39</v>
      </c>
      <c r="I7813" t="s">
        <v>40</v>
      </c>
      <c r="J7813" s="2" t="s">
        <v>41</v>
      </c>
      <c r="K7813" t="s">
        <v>42</v>
      </c>
      <c r="L7813" t="s">
        <v>761</v>
      </c>
      <c r="Q7813">
        <v>24749</v>
      </c>
      <c r="R7813" t="s">
        <v>45</v>
      </c>
      <c r="S7813" t="s">
        <v>4727</v>
      </c>
      <c r="T7813">
        <v>30</v>
      </c>
      <c r="U7813" s="2" t="s">
        <v>47257</v>
      </c>
      <c r="V7813" s="1">
        <v>45043</v>
      </c>
      <c r="W7813" t="s">
        <v>360</v>
      </c>
      <c r="X7813">
        <v>808280</v>
      </c>
      <c r="Y7813" t="s">
        <v>11545</v>
      </c>
      <c r="Z7813" s="2" t="s">
        <v>47258</v>
      </c>
      <c r="AA7813" t="s">
        <v>47259</v>
      </c>
      <c r="AB7813" t="s">
        <v>181</v>
      </c>
      <c r="AD7813" t="s">
        <v>47260</v>
      </c>
      <c r="AE7813">
        <v>40630</v>
      </c>
      <c r="AG7813" t="s">
        <v>47261</v>
      </c>
      <c r="AH7813" t="s">
        <v>47262</v>
      </c>
      <c r="AI7813" t="s">
        <v>47263</v>
      </c>
    </row>
    <row r="7814" spans="2:35" ht="409.5">
      <c r="B7814" s="1">
        <v>45079</v>
      </c>
      <c r="C7814" s="4">
        <v>45079.490277777775</v>
      </c>
      <c r="D7814" t="s">
        <v>47264</v>
      </c>
      <c r="E7814" t="s">
        <v>26245</v>
      </c>
      <c r="F7814">
        <v>1</v>
      </c>
      <c r="G7814" t="s">
        <v>1046</v>
      </c>
      <c r="H7814" t="s">
        <v>39</v>
      </c>
      <c r="I7814" t="s">
        <v>40</v>
      </c>
      <c r="J7814" s="2" t="s">
        <v>62</v>
      </c>
      <c r="K7814" t="s">
        <v>42</v>
      </c>
      <c r="L7814" t="s">
        <v>135</v>
      </c>
      <c r="Q7814">
        <v>24748</v>
      </c>
      <c r="R7814" t="s">
        <v>45</v>
      </c>
      <c r="S7814" t="s">
        <v>26247</v>
      </c>
      <c r="T7814">
        <v>30</v>
      </c>
      <c r="U7814" s="2" t="s">
        <v>47265</v>
      </c>
      <c r="W7814" t="s">
        <v>2680</v>
      </c>
      <c r="X7814">
        <v>807598</v>
      </c>
      <c r="Y7814" t="s">
        <v>1751</v>
      </c>
      <c r="Z7814" s="2" t="s">
        <v>29789</v>
      </c>
      <c r="AA7814" s="2" t="s">
        <v>31375</v>
      </c>
      <c r="AB7814" t="s">
        <v>46932</v>
      </c>
      <c r="AC7814" t="s">
        <v>47266</v>
      </c>
      <c r="AG7814" t="s">
        <v>47267</v>
      </c>
      <c r="AH7814" t="s">
        <v>47268</v>
      </c>
      <c r="AI7814" t="s">
        <v>47269</v>
      </c>
    </row>
    <row r="7815" spans="2:35" ht="210">
      <c r="B7815" s="1">
        <v>45079</v>
      </c>
      <c r="C7815" s="4">
        <v>45079.472916666666</v>
      </c>
      <c r="D7815" t="s">
        <v>26467</v>
      </c>
      <c r="E7815" t="s">
        <v>3570</v>
      </c>
      <c r="F7815">
        <v>3</v>
      </c>
      <c r="G7815" t="s">
        <v>174</v>
      </c>
      <c r="H7815" t="s">
        <v>39</v>
      </c>
      <c r="I7815" t="s">
        <v>40</v>
      </c>
      <c r="J7815" s="2" t="s">
        <v>14104</v>
      </c>
      <c r="K7815" t="s">
        <v>42</v>
      </c>
      <c r="L7815" t="s">
        <v>175</v>
      </c>
      <c r="Q7815">
        <v>24747</v>
      </c>
      <c r="R7815" t="s">
        <v>45</v>
      </c>
      <c r="S7815" t="s">
        <v>535</v>
      </c>
      <c r="T7815">
        <v>29</v>
      </c>
      <c r="U7815" s="2" t="s">
        <v>47270</v>
      </c>
      <c r="W7815" t="s">
        <v>84</v>
      </c>
      <c r="X7815">
        <v>807620</v>
      </c>
      <c r="Y7815" t="s">
        <v>47271</v>
      </c>
      <c r="Z7815" t="e">
        <f ca="1">- installed printer
- generated reports
- replaced _xludf.filter</f>
        <v>#NAME?</v>
      </c>
      <c r="AA7815" t="s">
        <v>47272</v>
      </c>
      <c r="AB7815" s="2" t="s">
        <v>47273</v>
      </c>
      <c r="AG7815" t="s">
        <v>47274</v>
      </c>
      <c r="AH7815" t="s">
        <v>540</v>
      </c>
      <c r="AI7815" t="s">
        <v>47275</v>
      </c>
    </row>
    <row r="7816" spans="2:35" ht="285">
      <c r="B7816" s="1">
        <v>45079</v>
      </c>
      <c r="C7816" s="4">
        <v>45079.378472222219</v>
      </c>
      <c r="D7816" t="s">
        <v>2024</v>
      </c>
      <c r="E7816" t="s">
        <v>47276</v>
      </c>
      <c r="F7816">
        <v>8</v>
      </c>
      <c r="G7816" t="s">
        <v>630</v>
      </c>
      <c r="H7816" t="s">
        <v>39</v>
      </c>
      <c r="I7816" t="s">
        <v>40</v>
      </c>
      <c r="J7816" s="2" t="s">
        <v>17874</v>
      </c>
      <c r="K7816" t="s">
        <v>42</v>
      </c>
      <c r="L7816" t="s">
        <v>259</v>
      </c>
      <c r="Q7816">
        <v>24746</v>
      </c>
      <c r="R7816" t="s">
        <v>45</v>
      </c>
      <c r="S7816" t="s">
        <v>47277</v>
      </c>
      <c r="T7816">
        <v>29</v>
      </c>
      <c r="U7816" s="2" t="s">
        <v>47278</v>
      </c>
      <c r="V7816" s="1">
        <v>45079</v>
      </c>
      <c r="W7816" t="s">
        <v>84</v>
      </c>
      <c r="X7816">
        <v>815271</v>
      </c>
      <c r="Y7816" t="e">
        <f ca="1">- Unit _xludf.For CALIBRATION
- defective UPS sn40223321704</f>
        <v>#NAME?</v>
      </c>
      <c r="Z7816" t="e">
        <f ca="1">- Install new UPS
- run XpertCheck CALIBRATION
- PULL Out defective UPS</f>
        <v>#NAME?</v>
      </c>
      <c r="AA7816" t="e">
        <f ca="1">- performed XpertCheck CALIBRATION
- Install new UPS sn40208852105
- performed Preventive Maintenance
- Generate reports</f>
        <v>#NAME?</v>
      </c>
      <c r="AB7816" t="s">
        <v>70</v>
      </c>
      <c r="AD7816" t="s">
        <v>948</v>
      </c>
      <c r="AE7816" t="s">
        <v>45</v>
      </c>
      <c r="AG7816" t="s">
        <v>47279</v>
      </c>
      <c r="AH7816" t="s">
        <v>47280</v>
      </c>
      <c r="AI7816" t="s">
        <v>47281</v>
      </c>
    </row>
    <row r="7817" spans="2:35" ht="285">
      <c r="B7817" s="1">
        <v>45078</v>
      </c>
      <c r="C7817" s="4">
        <v>45078.615972222222</v>
      </c>
      <c r="D7817" t="s">
        <v>3103</v>
      </c>
      <c r="E7817" t="s">
        <v>47282</v>
      </c>
      <c r="F7817">
        <v>6</v>
      </c>
      <c r="G7817" t="s">
        <v>1507</v>
      </c>
      <c r="H7817" t="s">
        <v>1047</v>
      </c>
      <c r="I7817" t="s">
        <v>94</v>
      </c>
      <c r="J7817" t="s">
        <v>79</v>
      </c>
      <c r="K7817" t="s">
        <v>42</v>
      </c>
      <c r="L7817" t="s">
        <v>23958</v>
      </c>
      <c r="Q7817">
        <v>24745</v>
      </c>
      <c r="R7817" t="s">
        <v>45</v>
      </c>
      <c r="S7817" t="s">
        <v>47283</v>
      </c>
      <c r="T7817">
        <v>4</v>
      </c>
      <c r="U7817" s="2" t="s">
        <v>47284</v>
      </c>
      <c r="W7817" t="s">
        <v>360</v>
      </c>
      <c r="X7817">
        <v>805333</v>
      </c>
      <c r="Y7817" t="s">
        <v>47285</v>
      </c>
      <c r="Z7817" t="s">
        <v>43026</v>
      </c>
      <c r="AA7817" t="s">
        <v>47286</v>
      </c>
      <c r="AB7817" t="s">
        <v>41321</v>
      </c>
      <c r="AG7817" t="s">
        <v>47287</v>
      </c>
      <c r="AH7817" t="s">
        <v>47288</v>
      </c>
      <c r="AI7817" t="s">
        <v>47289</v>
      </c>
    </row>
    <row r="7818" spans="2:35" ht="105">
      <c r="B7818" s="1">
        <v>45078</v>
      </c>
      <c r="C7818" s="4">
        <v>45078.59652777778</v>
      </c>
      <c r="D7818" t="s">
        <v>4286</v>
      </c>
      <c r="E7818" t="s">
        <v>2956</v>
      </c>
      <c r="F7818">
        <v>9</v>
      </c>
      <c r="G7818" t="s">
        <v>2197</v>
      </c>
      <c r="H7818" t="s">
        <v>39</v>
      </c>
      <c r="I7818" t="s">
        <v>40</v>
      </c>
      <c r="J7818" t="s">
        <v>109</v>
      </c>
      <c r="K7818" t="s">
        <v>42</v>
      </c>
      <c r="L7818" t="s">
        <v>1257</v>
      </c>
      <c r="Q7818">
        <v>24744</v>
      </c>
      <c r="R7818" t="s">
        <v>119</v>
      </c>
      <c r="S7818" t="s">
        <v>47290</v>
      </c>
      <c r="T7818">
        <v>20</v>
      </c>
      <c r="U7818" s="2" t="s">
        <v>47291</v>
      </c>
      <c r="V7818" s="1">
        <v>45078</v>
      </c>
      <c r="W7818" t="s">
        <v>2384</v>
      </c>
      <c r="X7818">
        <v>821214</v>
      </c>
      <c r="Y7818" t="s">
        <v>47292</v>
      </c>
      <c r="Z7818" t="s">
        <v>47293</v>
      </c>
      <c r="AA7818" t="s">
        <v>12559</v>
      </c>
      <c r="AB7818" t="s">
        <v>47294</v>
      </c>
      <c r="AC7818" t="s">
        <v>47295</v>
      </c>
      <c r="AD7818" t="s">
        <v>54</v>
      </c>
      <c r="AE7818" t="s">
        <v>54</v>
      </c>
      <c r="AG7818" t="s">
        <v>47296</v>
      </c>
      <c r="AH7818" t="s">
        <v>43014</v>
      </c>
      <c r="AI7818" t="s">
        <v>47297</v>
      </c>
    </row>
    <row r="7819" spans="2:35" ht="270">
      <c r="B7819" s="1">
        <v>45078</v>
      </c>
      <c r="C7819" s="4">
        <v>45078.592361111114</v>
      </c>
      <c r="D7819" t="s">
        <v>47298</v>
      </c>
      <c r="E7819" t="s">
        <v>47299</v>
      </c>
      <c r="F7819">
        <v>12</v>
      </c>
      <c r="G7819" t="s">
        <v>294</v>
      </c>
      <c r="H7819" t="s">
        <v>39</v>
      </c>
      <c r="I7819" t="s">
        <v>94</v>
      </c>
      <c r="J7819" s="2" t="s">
        <v>41</v>
      </c>
      <c r="K7819" t="s">
        <v>42</v>
      </c>
      <c r="L7819" t="s">
        <v>296</v>
      </c>
      <c r="Q7819">
        <v>24743</v>
      </c>
      <c r="R7819" t="s">
        <v>45</v>
      </c>
      <c r="S7819" t="s">
        <v>45352</v>
      </c>
      <c r="T7819">
        <v>25.3</v>
      </c>
      <c r="U7819" s="2" t="s">
        <v>47300</v>
      </c>
      <c r="V7819" s="1">
        <v>45078</v>
      </c>
      <c r="W7819" t="s">
        <v>23049</v>
      </c>
      <c r="X7819">
        <v>807405</v>
      </c>
      <c r="Y7819" t="s">
        <v>30720</v>
      </c>
      <c r="Z7819" s="2" t="s">
        <v>47301</v>
      </c>
      <c r="AA7819" s="2" t="s">
        <v>47301</v>
      </c>
      <c r="AB7819" t="s">
        <v>972</v>
      </c>
      <c r="AD7819" t="s">
        <v>47302</v>
      </c>
      <c r="AE7819" t="s">
        <v>19700</v>
      </c>
      <c r="AG7819" t="s">
        <v>47303</v>
      </c>
      <c r="AH7819" t="s">
        <v>45356</v>
      </c>
      <c r="AI7819" t="s">
        <v>47304</v>
      </c>
    </row>
    <row r="7820" spans="2:35" ht="180">
      <c r="B7820" s="1">
        <v>45078</v>
      </c>
      <c r="C7820" s="4">
        <v>45078.538194444445</v>
      </c>
      <c r="D7820" t="s">
        <v>37671</v>
      </c>
      <c r="E7820" t="s">
        <v>47305</v>
      </c>
      <c r="F7820">
        <v>3</v>
      </c>
      <c r="G7820" t="s">
        <v>1722</v>
      </c>
      <c r="H7820" t="s">
        <v>39</v>
      </c>
      <c r="I7820" t="s">
        <v>40</v>
      </c>
      <c r="J7820" s="2" t="s">
        <v>38497</v>
      </c>
      <c r="K7820" t="s">
        <v>42</v>
      </c>
      <c r="L7820" t="s">
        <v>63</v>
      </c>
      <c r="Q7820">
        <v>24742</v>
      </c>
      <c r="R7820" t="s">
        <v>119</v>
      </c>
      <c r="S7820" t="s">
        <v>29077</v>
      </c>
      <c r="T7820">
        <v>27</v>
      </c>
      <c r="U7820" s="2" t="s">
        <v>47306</v>
      </c>
      <c r="V7820" s="1">
        <v>45078</v>
      </c>
      <c r="W7820" t="s">
        <v>26915</v>
      </c>
      <c r="X7820">
        <v>831582</v>
      </c>
      <c r="Y7820" t="s">
        <v>47307</v>
      </c>
      <c r="Z7820" t="s">
        <v>47308</v>
      </c>
      <c r="AA7820" s="2" t="s">
        <v>1727</v>
      </c>
      <c r="AB7820" t="s">
        <v>47309</v>
      </c>
      <c r="AC7820" t="s">
        <v>38755</v>
      </c>
      <c r="AD7820" t="s">
        <v>32127</v>
      </c>
      <c r="AE7820" t="s">
        <v>1716</v>
      </c>
      <c r="AG7820" t="s">
        <v>47310</v>
      </c>
      <c r="AH7820" t="s">
        <v>35758</v>
      </c>
      <c r="AI7820" t="s">
        <v>47311</v>
      </c>
    </row>
    <row r="7821" spans="2:35" ht="240">
      <c r="B7821" s="1">
        <v>45078</v>
      </c>
      <c r="C7821" s="4">
        <v>45071.513194444444</v>
      </c>
      <c r="D7821" t="s">
        <v>29917</v>
      </c>
      <c r="E7821" t="s">
        <v>32314</v>
      </c>
      <c r="F7821" t="s">
        <v>511</v>
      </c>
      <c r="G7821" t="s">
        <v>20778</v>
      </c>
      <c r="H7821" t="s">
        <v>39</v>
      </c>
      <c r="I7821" t="s">
        <v>40</v>
      </c>
      <c r="J7821" s="2" t="s">
        <v>41</v>
      </c>
      <c r="K7821" t="s">
        <v>42</v>
      </c>
      <c r="L7821" t="s">
        <v>63</v>
      </c>
      <c r="Q7821">
        <v>24739</v>
      </c>
      <c r="R7821" t="s">
        <v>45</v>
      </c>
      <c r="S7821" t="s">
        <v>29919</v>
      </c>
      <c r="T7821">
        <v>24</v>
      </c>
      <c r="U7821" s="2" t="s">
        <v>47312</v>
      </c>
      <c r="V7821" s="1">
        <v>45071</v>
      </c>
      <c r="W7821" t="s">
        <v>26915</v>
      </c>
      <c r="X7821">
        <v>807609</v>
      </c>
      <c r="Y7821" t="s">
        <v>1716</v>
      </c>
      <c r="Z7821" t="s">
        <v>1716</v>
      </c>
      <c r="AA7821" s="2" t="s">
        <v>39935</v>
      </c>
      <c r="AB7821" t="s">
        <v>70</v>
      </c>
      <c r="AC7821" t="s">
        <v>47313</v>
      </c>
      <c r="AD7821" t="s">
        <v>47314</v>
      </c>
      <c r="AE7821" t="s">
        <v>1716</v>
      </c>
      <c r="AG7821" t="s">
        <v>47315</v>
      </c>
      <c r="AH7821" t="s">
        <v>29925</v>
      </c>
      <c r="AI7821" t="s">
        <v>47316</v>
      </c>
    </row>
    <row r="7822" spans="2:35" ht="165">
      <c r="B7822" s="1">
        <v>45078</v>
      </c>
      <c r="C7822" s="4">
        <v>45072.481944444444</v>
      </c>
      <c r="D7822" t="s">
        <v>15729</v>
      </c>
      <c r="E7822" t="s">
        <v>47317</v>
      </c>
      <c r="F7822" t="s">
        <v>511</v>
      </c>
      <c r="G7822" t="s">
        <v>15731</v>
      </c>
      <c r="H7822" t="s">
        <v>39</v>
      </c>
      <c r="I7822" t="s">
        <v>40</v>
      </c>
      <c r="J7822" t="s">
        <v>109</v>
      </c>
      <c r="K7822" t="s">
        <v>42</v>
      </c>
      <c r="L7822" t="s">
        <v>63</v>
      </c>
      <c r="Q7822">
        <v>24740</v>
      </c>
      <c r="R7822" t="s">
        <v>119</v>
      </c>
      <c r="S7822" t="s">
        <v>15732</v>
      </c>
      <c r="T7822">
        <v>24</v>
      </c>
      <c r="U7822" s="2" t="s">
        <v>35987</v>
      </c>
      <c r="V7822" s="1">
        <v>45072</v>
      </c>
      <c r="W7822" t="s">
        <v>26915</v>
      </c>
      <c r="X7822">
        <v>838466</v>
      </c>
      <c r="Y7822" t="s">
        <v>1716</v>
      </c>
      <c r="Z7822" t="s">
        <v>1716</v>
      </c>
      <c r="AA7822" s="2" t="s">
        <v>1727</v>
      </c>
      <c r="AB7822" t="s">
        <v>70</v>
      </c>
      <c r="AC7822" t="s">
        <v>1716</v>
      </c>
      <c r="AD7822" t="s">
        <v>1716</v>
      </c>
      <c r="AE7822" t="s">
        <v>1716</v>
      </c>
      <c r="AG7822" t="s">
        <v>47318</v>
      </c>
      <c r="AH7822" t="s">
        <v>47319</v>
      </c>
      <c r="AI7822" t="s">
        <v>47320</v>
      </c>
    </row>
    <row r="7823" spans="2:35" ht="240">
      <c r="B7823" s="1">
        <v>45078</v>
      </c>
      <c r="C7823" s="4">
        <v>45072.543055555558</v>
      </c>
      <c r="D7823" t="s">
        <v>15729</v>
      </c>
      <c r="E7823" t="s">
        <v>40124</v>
      </c>
      <c r="F7823" t="s">
        <v>511</v>
      </c>
      <c r="G7823" t="s">
        <v>15731</v>
      </c>
      <c r="H7823" t="s">
        <v>39</v>
      </c>
      <c r="I7823" t="s">
        <v>40</v>
      </c>
      <c r="J7823" s="2" t="s">
        <v>41</v>
      </c>
      <c r="K7823" t="s">
        <v>42</v>
      </c>
      <c r="L7823" t="s">
        <v>63</v>
      </c>
      <c r="Q7823">
        <v>24741</v>
      </c>
      <c r="R7823" t="s">
        <v>45</v>
      </c>
      <c r="S7823" t="s">
        <v>47321</v>
      </c>
      <c r="T7823">
        <v>21</v>
      </c>
      <c r="U7823" s="2" t="s">
        <v>8164</v>
      </c>
      <c r="V7823" s="1">
        <v>45072</v>
      </c>
      <c r="W7823" t="s">
        <v>26915</v>
      </c>
      <c r="X7823">
        <v>807622</v>
      </c>
      <c r="Y7823" t="s">
        <v>1716</v>
      </c>
      <c r="Z7823" t="s">
        <v>1716</v>
      </c>
      <c r="AA7823" s="2" t="s">
        <v>39935</v>
      </c>
      <c r="AB7823" t="s">
        <v>70</v>
      </c>
      <c r="AC7823" t="s">
        <v>47322</v>
      </c>
      <c r="AD7823" t="s">
        <v>47323</v>
      </c>
      <c r="AE7823" t="s">
        <v>1716</v>
      </c>
      <c r="AG7823" t="s">
        <v>47324</v>
      </c>
      <c r="AH7823" t="s">
        <v>47325</v>
      </c>
      <c r="AI7823" t="s">
        <v>47326</v>
      </c>
    </row>
    <row r="7824" spans="2:35" ht="75">
      <c r="B7824" s="1">
        <v>45078</v>
      </c>
      <c r="C7824" s="4">
        <v>45072.336805555555</v>
      </c>
      <c r="D7824" t="s">
        <v>2773</v>
      </c>
      <c r="E7824" t="s">
        <v>8417</v>
      </c>
      <c r="F7824">
        <v>2</v>
      </c>
      <c r="G7824" t="s">
        <v>2723</v>
      </c>
      <c r="H7824" t="s">
        <v>386</v>
      </c>
      <c r="I7824" t="s">
        <v>40</v>
      </c>
      <c r="J7824" s="2" t="s">
        <v>41</v>
      </c>
      <c r="K7824" t="s">
        <v>387</v>
      </c>
      <c r="L7824" t="s">
        <v>63</v>
      </c>
      <c r="Q7824">
        <v>24739</v>
      </c>
      <c r="R7824" t="s">
        <v>322</v>
      </c>
      <c r="S7824" t="s">
        <v>47327</v>
      </c>
      <c r="T7824">
        <v>26</v>
      </c>
      <c r="V7824" s="1">
        <v>44946</v>
      </c>
      <c r="W7824" t="s">
        <v>390</v>
      </c>
      <c r="X7824" t="s">
        <v>47328</v>
      </c>
      <c r="Y7824" t="s">
        <v>1716</v>
      </c>
      <c r="Z7824" t="s">
        <v>1716</v>
      </c>
      <c r="AA7824" s="2" t="s">
        <v>47329</v>
      </c>
      <c r="AB7824" t="s">
        <v>70</v>
      </c>
      <c r="AC7824" t="s">
        <v>1716</v>
      </c>
      <c r="AD7824" t="s">
        <v>47330</v>
      </c>
      <c r="AE7824">
        <v>9522</v>
      </c>
      <c r="AG7824" t="s">
        <v>47331</v>
      </c>
      <c r="AH7824" t="s">
        <v>47332</v>
      </c>
      <c r="AI7824" t="s">
        <v>47333</v>
      </c>
    </row>
    <row r="7825" spans="2:35" ht="300">
      <c r="B7825" s="1">
        <v>45078</v>
      </c>
      <c r="C7825" s="4">
        <v>45078.564583333333</v>
      </c>
      <c r="D7825" t="s">
        <v>461</v>
      </c>
      <c r="E7825" t="s">
        <v>46710</v>
      </c>
      <c r="F7825" t="s">
        <v>148</v>
      </c>
      <c r="G7825" t="s">
        <v>447</v>
      </c>
      <c r="H7825" t="s">
        <v>39</v>
      </c>
      <c r="I7825" t="s">
        <v>40</v>
      </c>
      <c r="J7825" t="s">
        <v>321</v>
      </c>
      <c r="K7825" t="s">
        <v>42</v>
      </c>
      <c r="L7825" t="s">
        <v>15532</v>
      </c>
      <c r="Q7825">
        <v>24738</v>
      </c>
      <c r="R7825" t="s">
        <v>45</v>
      </c>
      <c r="S7825" t="s">
        <v>464</v>
      </c>
      <c r="T7825">
        <v>26</v>
      </c>
      <c r="V7825" s="1">
        <v>45070</v>
      </c>
      <c r="W7825" t="s">
        <v>1537</v>
      </c>
      <c r="X7825">
        <v>120000173</v>
      </c>
      <c r="Y7825" t="s">
        <v>750</v>
      </c>
      <c r="Z7825" s="2" t="s">
        <v>47334</v>
      </c>
      <c r="AA7825" t="s">
        <v>13110</v>
      </c>
      <c r="AB7825" t="s">
        <v>181</v>
      </c>
      <c r="AD7825" t="s">
        <v>47335</v>
      </c>
      <c r="AE7825">
        <v>40927</v>
      </c>
      <c r="AG7825" t="s">
        <v>47336</v>
      </c>
      <c r="AH7825" t="s">
        <v>470</v>
      </c>
      <c r="AI7825" t="s">
        <v>47337</v>
      </c>
    </row>
    <row r="7826" spans="2:35" ht="180">
      <c r="B7826" s="1">
        <v>45078</v>
      </c>
      <c r="C7826" s="4">
        <v>45078.550694444442</v>
      </c>
      <c r="D7826" t="s">
        <v>2816</v>
      </c>
      <c r="E7826" t="s">
        <v>24408</v>
      </c>
      <c r="F7826" t="s">
        <v>148</v>
      </c>
      <c r="G7826" t="s">
        <v>371</v>
      </c>
      <c r="H7826" t="s">
        <v>39</v>
      </c>
      <c r="I7826" t="s">
        <v>40</v>
      </c>
      <c r="J7826" s="2" t="s">
        <v>190</v>
      </c>
      <c r="K7826" t="s">
        <v>42</v>
      </c>
      <c r="L7826" t="s">
        <v>175</v>
      </c>
      <c r="Q7826">
        <v>24737</v>
      </c>
      <c r="R7826" t="s">
        <v>119</v>
      </c>
      <c r="S7826" t="s">
        <v>2818</v>
      </c>
      <c r="T7826">
        <v>29</v>
      </c>
      <c r="U7826" s="2" t="s">
        <v>47338</v>
      </c>
      <c r="W7826" t="s">
        <v>84</v>
      </c>
      <c r="X7826">
        <v>831907</v>
      </c>
      <c r="Y7826" t="s">
        <v>35068</v>
      </c>
      <c r="Z7826" t="e">
        <f ca="1">- checked _xludf.and cleaned cartridge bay,plunger rod, _xludf.filter, icore
- performed XpertCheck on A4
- performed self test on A4
- generated reports</f>
        <v>#NAME?</v>
      </c>
      <c r="AA7826" t="s">
        <v>999</v>
      </c>
      <c r="AB7826" s="2" t="s">
        <v>47339</v>
      </c>
      <c r="AG7826" t="s">
        <v>47340</v>
      </c>
      <c r="AH7826" t="s">
        <v>44569</v>
      </c>
      <c r="AI7826" t="s">
        <v>47341</v>
      </c>
    </row>
    <row r="7827" spans="2:35" ht="105">
      <c r="B7827" s="1">
        <v>45078</v>
      </c>
      <c r="C7827" s="4">
        <v>45078.554166666669</v>
      </c>
      <c r="D7827" t="s">
        <v>461</v>
      </c>
      <c r="E7827" t="s">
        <v>46710</v>
      </c>
      <c r="F7827" t="s">
        <v>148</v>
      </c>
      <c r="G7827" t="s">
        <v>447</v>
      </c>
      <c r="H7827" t="s">
        <v>39</v>
      </c>
      <c r="I7827" t="s">
        <v>40</v>
      </c>
      <c r="J7827" s="2" t="s">
        <v>62</v>
      </c>
      <c r="K7827" t="s">
        <v>42</v>
      </c>
      <c r="L7827" t="s">
        <v>15532</v>
      </c>
      <c r="Q7827">
        <v>24736</v>
      </c>
      <c r="R7827" t="s">
        <v>45</v>
      </c>
      <c r="S7827" t="s">
        <v>464</v>
      </c>
      <c r="T7827">
        <v>33</v>
      </c>
      <c r="U7827" s="2" t="s">
        <v>47342</v>
      </c>
      <c r="V7827" s="1">
        <v>44935</v>
      </c>
      <c r="W7827" t="s">
        <v>597</v>
      </c>
      <c r="X7827">
        <v>814160</v>
      </c>
      <c r="Y7827" t="s">
        <v>21236</v>
      </c>
      <c r="Z7827" t="e">
        <f ca="1">-checked _xludf.and cleaned cartridge Bays, plunger rod, icore slot _xludf.and _xludf.filter
-performed XpertCheck
-generated reports</f>
        <v>#NAME?</v>
      </c>
      <c r="AA7827" t="s">
        <v>999</v>
      </c>
      <c r="AB7827" s="2" t="s">
        <v>47343</v>
      </c>
      <c r="AD7827" t="s">
        <v>7189</v>
      </c>
      <c r="AE7827">
        <v>37979</v>
      </c>
      <c r="AG7827" t="s">
        <v>47344</v>
      </c>
      <c r="AH7827" t="s">
        <v>41766</v>
      </c>
      <c r="AI7827" t="s">
        <v>47345</v>
      </c>
    </row>
    <row r="7828" spans="2:35" ht="240">
      <c r="B7828" s="1">
        <v>45078</v>
      </c>
      <c r="C7828" s="4">
        <v>45078.470138888886</v>
      </c>
      <c r="D7828" t="s">
        <v>7859</v>
      </c>
      <c r="E7828" t="s">
        <v>46354</v>
      </c>
      <c r="F7828">
        <v>6</v>
      </c>
      <c r="G7828" t="s">
        <v>1286</v>
      </c>
      <c r="H7828" t="s">
        <v>1498</v>
      </c>
      <c r="I7828" t="s">
        <v>94</v>
      </c>
      <c r="J7828" s="2" t="s">
        <v>1309</v>
      </c>
      <c r="K7828" t="s">
        <v>42</v>
      </c>
      <c r="L7828" t="s">
        <v>343</v>
      </c>
      <c r="Q7828">
        <v>24735</v>
      </c>
      <c r="R7828" t="s">
        <v>45</v>
      </c>
      <c r="S7828" t="s">
        <v>22494</v>
      </c>
      <c r="T7828">
        <v>21</v>
      </c>
      <c r="U7828" s="2" t="s">
        <v>9765</v>
      </c>
      <c r="V7828" s="1">
        <v>45078</v>
      </c>
      <c r="W7828" t="s">
        <v>38910</v>
      </c>
      <c r="X7828">
        <v>707531</v>
      </c>
      <c r="Y7828" t="e">
        <f ca="1">-module C1 defective</f>
        <v>#NAME?</v>
      </c>
      <c r="Z7828" t="s">
        <v>47346</v>
      </c>
      <c r="AA7828" s="2" t="s">
        <v>47347</v>
      </c>
      <c r="AB7828" t="s">
        <v>47348</v>
      </c>
      <c r="AD7828" t="s">
        <v>47349</v>
      </c>
      <c r="AE7828" t="s">
        <v>45</v>
      </c>
      <c r="AG7828" t="s">
        <v>47350</v>
      </c>
      <c r="AH7828" t="s">
        <v>33534</v>
      </c>
      <c r="AI7828" t="s">
        <v>47351</v>
      </c>
    </row>
    <row r="7829" spans="2:35" ht="105">
      <c r="B7829" s="1">
        <v>45078</v>
      </c>
      <c r="C7829" s="4">
        <v>45078.472916666666</v>
      </c>
      <c r="D7829" t="s">
        <v>7859</v>
      </c>
      <c r="E7829" t="s">
        <v>46354</v>
      </c>
      <c r="F7829">
        <v>6</v>
      </c>
      <c r="G7829" t="s">
        <v>1286</v>
      </c>
      <c r="H7829" t="s">
        <v>1498</v>
      </c>
      <c r="I7829" t="s">
        <v>94</v>
      </c>
      <c r="J7829" s="2" t="s">
        <v>1006</v>
      </c>
      <c r="K7829" t="s">
        <v>42</v>
      </c>
      <c r="L7829" t="s">
        <v>343</v>
      </c>
      <c r="Q7829">
        <v>24734</v>
      </c>
      <c r="R7829" t="s">
        <v>45</v>
      </c>
      <c r="S7829" t="s">
        <v>22494</v>
      </c>
      <c r="T7829">
        <v>22</v>
      </c>
      <c r="U7829" s="2" t="s">
        <v>24878</v>
      </c>
      <c r="W7829" t="s">
        <v>6105</v>
      </c>
      <c r="X7829">
        <v>804699</v>
      </c>
      <c r="Y7829" t="s">
        <v>301</v>
      </c>
      <c r="Z7829" t="s">
        <v>301</v>
      </c>
      <c r="AA7829" t="e">
        <f ca="1">-XpertCheck CALIBRATION on ALL modules
-Preventive Maintenance
-Pack up Unit to be borrowed by region _xludf.For training.</f>
        <v>#NAME?</v>
      </c>
      <c r="AB7829" t="s">
        <v>47352</v>
      </c>
      <c r="AG7829" t="s">
        <v>47353</v>
      </c>
      <c r="AH7829" t="s">
        <v>33534</v>
      </c>
      <c r="AI7829" t="s">
        <v>47354</v>
      </c>
    </row>
    <row r="7830" spans="2:35">
      <c r="B7830" s="1">
        <v>45078</v>
      </c>
      <c r="C7830" s="4">
        <v>45078.48541666667</v>
      </c>
      <c r="D7830" t="s">
        <v>24073</v>
      </c>
      <c r="E7830" t="s">
        <v>47355</v>
      </c>
      <c r="F7830">
        <v>7</v>
      </c>
      <c r="G7830" t="s">
        <v>432</v>
      </c>
      <c r="H7830" t="s">
        <v>39</v>
      </c>
      <c r="I7830" t="s">
        <v>40</v>
      </c>
      <c r="J7830" t="s">
        <v>321</v>
      </c>
      <c r="K7830" t="s">
        <v>42</v>
      </c>
      <c r="L7830" t="s">
        <v>433</v>
      </c>
      <c r="Q7830">
        <v>24733</v>
      </c>
      <c r="R7830" t="s">
        <v>45</v>
      </c>
      <c r="S7830" t="s">
        <v>1818</v>
      </c>
      <c r="T7830">
        <v>28</v>
      </c>
      <c r="W7830" t="s">
        <v>1008</v>
      </c>
      <c r="X7830">
        <v>120000180</v>
      </c>
      <c r="Y7830" t="s">
        <v>35796</v>
      </c>
      <c r="Z7830" t="s">
        <v>35796</v>
      </c>
      <c r="AA7830" t="s">
        <v>35796</v>
      </c>
      <c r="AB7830" t="s">
        <v>1011</v>
      </c>
      <c r="AG7830" t="s">
        <v>47356</v>
      </c>
      <c r="AH7830" t="s">
        <v>47357</v>
      </c>
      <c r="AI7830" t="s">
        <v>47358</v>
      </c>
    </row>
    <row r="7831" spans="2:35" ht="180">
      <c r="B7831" s="1">
        <v>45078</v>
      </c>
      <c r="C7831" s="4">
        <v>45078.375</v>
      </c>
      <c r="D7831" t="s">
        <v>1412</v>
      </c>
      <c r="E7831" t="s">
        <v>47359</v>
      </c>
      <c r="F7831">
        <v>5</v>
      </c>
      <c r="G7831" t="s">
        <v>814</v>
      </c>
      <c r="H7831" t="s">
        <v>2210</v>
      </c>
      <c r="I7831" t="s">
        <v>40</v>
      </c>
      <c r="J7831" t="s">
        <v>109</v>
      </c>
      <c r="K7831" t="s">
        <v>42</v>
      </c>
      <c r="L7831" t="s">
        <v>761</v>
      </c>
      <c r="Q7831">
        <v>24732</v>
      </c>
      <c r="R7831" t="s">
        <v>45</v>
      </c>
      <c r="S7831" t="s">
        <v>1414</v>
      </c>
      <c r="T7831">
        <v>24</v>
      </c>
      <c r="U7831" s="2" t="s">
        <v>47360</v>
      </c>
      <c r="W7831" t="s">
        <v>502</v>
      </c>
      <c r="X7831">
        <v>807983</v>
      </c>
      <c r="Y7831" t="s">
        <v>37766</v>
      </c>
      <c r="Z7831" s="2" t="s">
        <v>47361</v>
      </c>
      <c r="AA7831" t="s">
        <v>47362</v>
      </c>
      <c r="AB7831" t="s">
        <v>181</v>
      </c>
      <c r="AG7831" t="s">
        <v>47363</v>
      </c>
      <c r="AH7831" t="s">
        <v>24585</v>
      </c>
      <c r="AI7831" t="s">
        <v>47364</v>
      </c>
    </row>
    <row r="7832" spans="2:35" ht="135">
      <c r="B7832" s="1">
        <v>45078</v>
      </c>
      <c r="C7832" s="4">
        <v>45078.372916666667</v>
      </c>
      <c r="D7832" t="s">
        <v>9995</v>
      </c>
      <c r="E7832" t="s">
        <v>47365</v>
      </c>
      <c r="F7832">
        <v>10</v>
      </c>
      <c r="G7832" t="s">
        <v>1395</v>
      </c>
      <c r="H7832" t="s">
        <v>1047</v>
      </c>
      <c r="I7832" t="s">
        <v>40</v>
      </c>
      <c r="J7832" t="s">
        <v>109</v>
      </c>
      <c r="K7832" t="s">
        <v>42</v>
      </c>
      <c r="L7832" t="s">
        <v>43100</v>
      </c>
      <c r="Q7832">
        <v>24731</v>
      </c>
      <c r="R7832" t="s">
        <v>119</v>
      </c>
      <c r="S7832" t="s">
        <v>15285</v>
      </c>
      <c r="T7832">
        <v>27</v>
      </c>
      <c r="U7832" s="2" t="s">
        <v>13560</v>
      </c>
      <c r="W7832" t="s">
        <v>43102</v>
      </c>
      <c r="X7832">
        <v>838442</v>
      </c>
      <c r="Y7832" t="s">
        <v>54</v>
      </c>
      <c r="Z7832" s="2" t="s">
        <v>45518</v>
      </c>
      <c r="AA7832" t="s">
        <v>54</v>
      </c>
      <c r="AB7832" t="s">
        <v>486</v>
      </c>
      <c r="AG7832" t="s">
        <v>47366</v>
      </c>
      <c r="AH7832" t="s">
        <v>47367</v>
      </c>
      <c r="AI7832" t="s">
        <v>47368</v>
      </c>
    </row>
    <row r="7833" spans="2:35" ht="180">
      <c r="B7833" s="1">
        <v>45078</v>
      </c>
      <c r="C7833" s="4">
        <v>45076.4375</v>
      </c>
      <c r="D7833" t="s">
        <v>35771</v>
      </c>
      <c r="E7833" t="s">
        <v>47369</v>
      </c>
      <c r="F7833" t="s">
        <v>1255</v>
      </c>
      <c r="G7833" t="s">
        <v>4685</v>
      </c>
      <c r="H7833" t="s">
        <v>61</v>
      </c>
      <c r="I7833" t="s">
        <v>94</v>
      </c>
      <c r="J7833" s="2" t="s">
        <v>1808</v>
      </c>
      <c r="K7833" t="s">
        <v>42</v>
      </c>
      <c r="L7833" t="s">
        <v>43100</v>
      </c>
      <c r="Q7833">
        <v>24730</v>
      </c>
      <c r="R7833" t="s">
        <v>45</v>
      </c>
      <c r="S7833" t="s">
        <v>47370</v>
      </c>
      <c r="T7833">
        <v>22</v>
      </c>
      <c r="U7833" s="2" t="s">
        <v>47371</v>
      </c>
      <c r="W7833" t="s">
        <v>43102</v>
      </c>
      <c r="X7833">
        <v>834444</v>
      </c>
      <c r="Y7833" t="s">
        <v>47372</v>
      </c>
      <c r="Z7833" t="s">
        <v>47373</v>
      </c>
      <c r="AA7833" s="2" t="s">
        <v>47374</v>
      </c>
      <c r="AB7833" t="s">
        <v>486</v>
      </c>
      <c r="AG7833" t="s">
        <v>47375</v>
      </c>
      <c r="AH7833" t="s">
        <v>47376</v>
      </c>
      <c r="AI7833" t="s">
        <v>47377</v>
      </c>
    </row>
    <row r="7834" spans="2:35">
      <c r="B7834" s="1">
        <v>45077</v>
      </c>
      <c r="C7834" s="4">
        <v>45077.630555555559</v>
      </c>
      <c r="D7834" t="s">
        <v>47378</v>
      </c>
      <c r="E7834" t="s">
        <v>47379</v>
      </c>
      <c r="F7834" t="s">
        <v>148</v>
      </c>
      <c r="G7834" t="s">
        <v>447</v>
      </c>
      <c r="H7834" t="s">
        <v>39</v>
      </c>
      <c r="I7834" t="s">
        <v>94</v>
      </c>
      <c r="J7834" t="s">
        <v>109</v>
      </c>
      <c r="K7834" t="s">
        <v>2629</v>
      </c>
      <c r="L7834" t="s">
        <v>857</v>
      </c>
      <c r="Q7834">
        <v>24729</v>
      </c>
      <c r="R7834" t="s">
        <v>95</v>
      </c>
      <c r="S7834" t="s">
        <v>47380</v>
      </c>
      <c r="T7834">
        <v>26</v>
      </c>
      <c r="W7834" t="s">
        <v>17612</v>
      </c>
      <c r="X7834">
        <v>3943002734</v>
      </c>
      <c r="Y7834" t="s">
        <v>47381</v>
      </c>
      <c r="Z7834" t="e">
        <f ca="1">- performed PM services
- Set up customer Laptop _xludf.For microscope viewing</f>
        <v>#NAME?</v>
      </c>
      <c r="AA7834" t="e">
        <f ca="1">- performed PM Cleaning
- Tested optics, illumination, electrical system, microscope camera functionality</f>
        <v>#NAME?</v>
      </c>
      <c r="AB7834" t="s">
        <v>181</v>
      </c>
      <c r="AG7834" t="s">
        <v>47382</v>
      </c>
      <c r="AH7834" t="s">
        <v>47383</v>
      </c>
      <c r="AI7834" t="s">
        <v>47384</v>
      </c>
    </row>
    <row r="7835" spans="2:35">
      <c r="B7835" s="1">
        <v>45077</v>
      </c>
      <c r="C7835" s="4">
        <v>45077.636805555558</v>
      </c>
      <c r="D7835" t="s">
        <v>47378</v>
      </c>
      <c r="E7835" t="s">
        <v>47385</v>
      </c>
      <c r="F7835" t="s">
        <v>148</v>
      </c>
      <c r="G7835" t="s">
        <v>447</v>
      </c>
      <c r="H7835" t="s">
        <v>39</v>
      </c>
      <c r="I7835" t="s">
        <v>94</v>
      </c>
      <c r="J7835" t="s">
        <v>109</v>
      </c>
      <c r="K7835" t="s">
        <v>2629</v>
      </c>
      <c r="L7835" t="s">
        <v>857</v>
      </c>
      <c r="Q7835">
        <v>24728</v>
      </c>
      <c r="R7835" t="s">
        <v>95</v>
      </c>
      <c r="S7835" t="s">
        <v>47380</v>
      </c>
      <c r="T7835">
        <v>26</v>
      </c>
      <c r="W7835" t="s">
        <v>41151</v>
      </c>
      <c r="X7835">
        <v>3153001421</v>
      </c>
      <c r="Y7835" t="s">
        <v>47386</v>
      </c>
      <c r="Z7835" t="e">
        <f ca="1">- performed PM services
- Set up customer Laptop _xludf.For microscope viewing</f>
        <v>#NAME?</v>
      </c>
      <c r="AA7835" t="e">
        <f ca="1">- performed PM Cleaning
- Tested optics, illumination, electrical system, microscope camera functionality</f>
        <v>#NAME?</v>
      </c>
      <c r="AB7835" t="s">
        <v>181</v>
      </c>
      <c r="AG7835" t="s">
        <v>47387</v>
      </c>
      <c r="AH7835" t="s">
        <v>47383</v>
      </c>
      <c r="AI7835" t="s">
        <v>47388</v>
      </c>
    </row>
    <row r="7836" spans="2:35" ht="90">
      <c r="B7836" s="1">
        <v>45077</v>
      </c>
      <c r="C7836" s="4">
        <v>45077.595833333333</v>
      </c>
      <c r="D7836" t="s">
        <v>45221</v>
      </c>
      <c r="E7836" t="s">
        <v>47389</v>
      </c>
      <c r="F7836">
        <v>7</v>
      </c>
      <c r="G7836" t="s">
        <v>432</v>
      </c>
      <c r="H7836" t="s">
        <v>2290</v>
      </c>
      <c r="I7836" t="s">
        <v>94</v>
      </c>
      <c r="J7836" t="s">
        <v>109</v>
      </c>
      <c r="K7836" t="s">
        <v>42</v>
      </c>
      <c r="L7836" t="s">
        <v>610</v>
      </c>
      <c r="Q7836">
        <v>24727</v>
      </c>
      <c r="R7836" t="s">
        <v>119</v>
      </c>
      <c r="S7836" t="s">
        <v>13419</v>
      </c>
      <c r="T7836">
        <v>24</v>
      </c>
      <c r="U7836" s="2" t="s">
        <v>47390</v>
      </c>
      <c r="W7836" t="s">
        <v>502</v>
      </c>
      <c r="X7836">
        <v>838512</v>
      </c>
      <c r="Y7836" t="s">
        <v>47391</v>
      </c>
      <c r="Z7836" t="s">
        <v>122</v>
      </c>
      <c r="AA7836" t="s">
        <v>47392</v>
      </c>
      <c r="AB7836" t="s">
        <v>47393</v>
      </c>
      <c r="AG7836" t="s">
        <v>47394</v>
      </c>
      <c r="AH7836" t="s">
        <v>13425</v>
      </c>
      <c r="AI7836" t="s">
        <v>47395</v>
      </c>
    </row>
    <row r="7837" spans="2:35" ht="240">
      <c r="B7837" s="1">
        <v>45077</v>
      </c>
      <c r="C7837" s="4">
        <v>45077.583333333336</v>
      </c>
      <c r="D7837" t="s">
        <v>35509</v>
      </c>
      <c r="E7837" t="s">
        <v>47396</v>
      </c>
      <c r="F7837">
        <v>5</v>
      </c>
      <c r="G7837" t="s">
        <v>814</v>
      </c>
      <c r="H7837" t="s">
        <v>39</v>
      </c>
      <c r="I7837" t="s">
        <v>40</v>
      </c>
      <c r="J7837" s="2" t="s">
        <v>41</v>
      </c>
      <c r="K7837" t="s">
        <v>42</v>
      </c>
      <c r="L7837" t="s">
        <v>761</v>
      </c>
      <c r="Q7837">
        <v>24726</v>
      </c>
      <c r="R7837" t="s">
        <v>45</v>
      </c>
      <c r="S7837" t="s">
        <v>34469</v>
      </c>
      <c r="T7837">
        <v>26</v>
      </c>
      <c r="U7837" s="2" t="s">
        <v>47397</v>
      </c>
      <c r="V7837" s="1">
        <v>45077</v>
      </c>
      <c r="W7837" t="s">
        <v>360</v>
      </c>
      <c r="X7837">
        <v>835214</v>
      </c>
      <c r="Y7837" t="s">
        <v>1924</v>
      </c>
      <c r="Z7837" s="2" t="s">
        <v>47398</v>
      </c>
      <c r="AA7837" t="s">
        <v>47399</v>
      </c>
      <c r="AB7837" t="s">
        <v>181</v>
      </c>
      <c r="AD7837">
        <v>210091002</v>
      </c>
      <c r="AE7837">
        <v>40822</v>
      </c>
      <c r="AG7837" t="s">
        <v>47400</v>
      </c>
      <c r="AH7837" t="s">
        <v>34475</v>
      </c>
      <c r="AI7837" t="s">
        <v>47401</v>
      </c>
    </row>
    <row r="7838" spans="2:35" ht="375">
      <c r="B7838" s="1">
        <v>45077</v>
      </c>
      <c r="C7838" s="4">
        <v>45077.573611111111</v>
      </c>
      <c r="D7838" t="s">
        <v>47402</v>
      </c>
      <c r="E7838" t="s">
        <v>47403</v>
      </c>
      <c r="F7838">
        <v>11</v>
      </c>
      <c r="G7838" t="s">
        <v>1205</v>
      </c>
      <c r="H7838" t="s">
        <v>1047</v>
      </c>
      <c r="I7838" t="s">
        <v>40</v>
      </c>
      <c r="J7838" s="2" t="s">
        <v>190</v>
      </c>
      <c r="K7838" t="s">
        <v>42</v>
      </c>
      <c r="L7838" t="s">
        <v>204</v>
      </c>
      <c r="Q7838">
        <v>24725</v>
      </c>
      <c r="R7838" t="s">
        <v>45</v>
      </c>
      <c r="S7838" t="s">
        <v>47404</v>
      </c>
      <c r="T7838">
        <v>26.5</v>
      </c>
      <c r="W7838" t="s">
        <v>1292</v>
      </c>
      <c r="X7838">
        <v>838889</v>
      </c>
      <c r="Y7838" s="2" t="s">
        <v>47405</v>
      </c>
      <c r="Z7838" s="2" t="s">
        <v>47406</v>
      </c>
      <c r="AA7838" t="s">
        <v>47407</v>
      </c>
      <c r="AB7838" s="2" t="s">
        <v>47408</v>
      </c>
      <c r="AC7838" t="s">
        <v>47409</v>
      </c>
      <c r="AG7838" t="s">
        <v>47410</v>
      </c>
      <c r="AH7838" t="s">
        <v>47411</v>
      </c>
      <c r="AI7838" t="s">
        <v>47412</v>
      </c>
    </row>
    <row r="7839" spans="2:35" ht="375">
      <c r="B7839" s="1">
        <v>45077</v>
      </c>
      <c r="C7839" s="4">
        <v>45077.573611111111</v>
      </c>
      <c r="D7839" t="s">
        <v>47402</v>
      </c>
      <c r="E7839" t="s">
        <v>47403</v>
      </c>
      <c r="F7839">
        <v>11</v>
      </c>
      <c r="G7839" t="s">
        <v>1205</v>
      </c>
      <c r="H7839" t="s">
        <v>1047</v>
      </c>
      <c r="I7839" t="s">
        <v>40</v>
      </c>
      <c r="J7839" s="2" t="s">
        <v>190</v>
      </c>
      <c r="K7839" t="s">
        <v>42</v>
      </c>
      <c r="L7839" t="s">
        <v>204</v>
      </c>
      <c r="Q7839">
        <v>24724</v>
      </c>
      <c r="R7839" t="s">
        <v>45</v>
      </c>
      <c r="S7839" t="s">
        <v>47404</v>
      </c>
      <c r="T7839">
        <v>26.5</v>
      </c>
      <c r="W7839" t="s">
        <v>1292</v>
      </c>
      <c r="X7839">
        <v>838889</v>
      </c>
      <c r="Y7839" s="2" t="s">
        <v>47405</v>
      </c>
      <c r="Z7839" s="2" t="s">
        <v>47406</v>
      </c>
      <c r="AA7839" t="s">
        <v>47407</v>
      </c>
      <c r="AB7839" s="2" t="s">
        <v>47408</v>
      </c>
      <c r="AC7839" t="s">
        <v>47409</v>
      </c>
      <c r="AG7839" t="s">
        <v>47413</v>
      </c>
      <c r="AH7839" t="s">
        <v>47411</v>
      </c>
      <c r="AI7839" t="s">
        <v>47414</v>
      </c>
    </row>
    <row r="7840" spans="2:35" ht="120">
      <c r="B7840" s="1">
        <v>45077</v>
      </c>
      <c r="C7840" s="4">
        <v>45077.481944444444</v>
      </c>
      <c r="D7840" t="s">
        <v>41830</v>
      </c>
      <c r="E7840" t="s">
        <v>47415</v>
      </c>
      <c r="F7840" t="s">
        <v>511</v>
      </c>
      <c r="G7840" t="s">
        <v>512</v>
      </c>
      <c r="H7840" t="s">
        <v>18666</v>
      </c>
      <c r="I7840" t="s">
        <v>94</v>
      </c>
      <c r="J7840" s="2" t="s">
        <v>62</v>
      </c>
      <c r="K7840" t="s">
        <v>42</v>
      </c>
      <c r="L7840" t="s">
        <v>80</v>
      </c>
      <c r="Q7840">
        <v>24723</v>
      </c>
      <c r="R7840" t="s">
        <v>322</v>
      </c>
      <c r="S7840" t="s">
        <v>18668</v>
      </c>
      <c r="T7840">
        <v>23</v>
      </c>
      <c r="U7840" s="2" t="s">
        <v>47416</v>
      </c>
      <c r="V7840" s="1">
        <v>45063</v>
      </c>
      <c r="W7840" t="s">
        <v>502</v>
      </c>
      <c r="X7840">
        <v>821632</v>
      </c>
      <c r="Y7840" t="s">
        <v>47417</v>
      </c>
      <c r="Z7840" t="s">
        <v>875</v>
      </c>
      <c r="AA7840" s="2" t="s">
        <v>20867</v>
      </c>
      <c r="AB7840" t="s">
        <v>47418</v>
      </c>
      <c r="AC7840" t="s">
        <v>47419</v>
      </c>
      <c r="AD7840" t="s">
        <v>948</v>
      </c>
      <c r="AE7840" t="s">
        <v>47420</v>
      </c>
      <c r="AG7840" t="s">
        <v>47421</v>
      </c>
      <c r="AH7840" t="s">
        <v>47422</v>
      </c>
      <c r="AI7840" t="s">
        <v>47423</v>
      </c>
    </row>
    <row r="7841" spans="2:35">
      <c r="B7841" s="1">
        <v>45077</v>
      </c>
      <c r="C7841" s="4">
        <v>45077.540972222225</v>
      </c>
      <c r="D7841" t="s">
        <v>41830</v>
      </c>
      <c r="E7841" t="s">
        <v>47415</v>
      </c>
      <c r="F7841" t="s">
        <v>511</v>
      </c>
      <c r="G7841" t="s">
        <v>512</v>
      </c>
      <c r="H7841" t="s">
        <v>258</v>
      </c>
      <c r="I7841" t="s">
        <v>40</v>
      </c>
      <c r="J7841" t="s">
        <v>321</v>
      </c>
      <c r="K7841" t="s">
        <v>42</v>
      </c>
      <c r="L7841" t="s">
        <v>80</v>
      </c>
      <c r="Q7841">
        <v>24722</v>
      </c>
      <c r="R7841" t="s">
        <v>45</v>
      </c>
      <c r="S7841" t="s">
        <v>23268</v>
      </c>
      <c r="T7841">
        <v>24</v>
      </c>
      <c r="V7841" s="1">
        <v>45077</v>
      </c>
      <c r="W7841" t="s">
        <v>47424</v>
      </c>
      <c r="X7841">
        <v>120000171</v>
      </c>
      <c r="Y7841" t="s">
        <v>47425</v>
      </c>
      <c r="Z7841" t="s">
        <v>47426</v>
      </c>
      <c r="AA7841" t="s">
        <v>47426</v>
      </c>
      <c r="AB7841" t="s">
        <v>32359</v>
      </c>
      <c r="AC7841" t="s">
        <v>103</v>
      </c>
      <c r="AD7841" t="s">
        <v>103</v>
      </c>
      <c r="AE7841" t="s">
        <v>103</v>
      </c>
      <c r="AG7841" t="s">
        <v>47427</v>
      </c>
      <c r="AH7841" t="s">
        <v>36582</v>
      </c>
      <c r="AI7841" t="s">
        <v>47428</v>
      </c>
    </row>
    <row r="7842" spans="2:35" ht="390">
      <c r="B7842" s="1">
        <v>45077</v>
      </c>
      <c r="C7842" s="4">
        <v>45077.551388888889</v>
      </c>
      <c r="D7842" t="s">
        <v>24882</v>
      </c>
      <c r="E7842" t="s">
        <v>28900</v>
      </c>
      <c r="F7842">
        <v>3</v>
      </c>
      <c r="G7842" t="s">
        <v>730</v>
      </c>
      <c r="H7842" t="s">
        <v>39</v>
      </c>
      <c r="I7842" t="s">
        <v>40</v>
      </c>
      <c r="J7842" s="2" t="s">
        <v>190</v>
      </c>
      <c r="K7842" t="s">
        <v>42</v>
      </c>
      <c r="L7842" t="s">
        <v>135</v>
      </c>
      <c r="Q7842">
        <v>24721</v>
      </c>
      <c r="R7842" t="s">
        <v>119</v>
      </c>
      <c r="S7842" t="s">
        <v>24884</v>
      </c>
      <c r="T7842">
        <v>28</v>
      </c>
      <c r="U7842" s="2" t="s">
        <v>47429</v>
      </c>
      <c r="W7842" t="s">
        <v>2680</v>
      </c>
      <c r="X7842">
        <v>831693</v>
      </c>
      <c r="Y7842" t="s">
        <v>47430</v>
      </c>
      <c r="Z7842" t="s">
        <v>4487</v>
      </c>
      <c r="AA7842" s="2" t="s">
        <v>47431</v>
      </c>
      <c r="AB7842" t="s">
        <v>47432</v>
      </c>
      <c r="AC7842" t="s">
        <v>47433</v>
      </c>
      <c r="AG7842" t="s">
        <v>47434</v>
      </c>
      <c r="AH7842" t="s">
        <v>24886</v>
      </c>
      <c r="AI7842" t="s">
        <v>47435</v>
      </c>
    </row>
    <row r="7843" spans="2:35" ht="90">
      <c r="B7843" s="1">
        <v>45077</v>
      </c>
      <c r="C7843" s="4">
        <v>45077.538194444445</v>
      </c>
      <c r="D7843" t="s">
        <v>16538</v>
      </c>
      <c r="E7843" t="s">
        <v>42870</v>
      </c>
      <c r="F7843">
        <v>7</v>
      </c>
      <c r="G7843" t="s">
        <v>432</v>
      </c>
      <c r="H7843" t="s">
        <v>2290</v>
      </c>
      <c r="I7843" t="s">
        <v>94</v>
      </c>
      <c r="J7843" t="s">
        <v>109</v>
      </c>
      <c r="K7843" t="s">
        <v>42</v>
      </c>
      <c r="L7843" t="s">
        <v>610</v>
      </c>
      <c r="Q7843">
        <v>24720</v>
      </c>
      <c r="R7843" t="s">
        <v>119</v>
      </c>
      <c r="S7843" t="s">
        <v>16540</v>
      </c>
      <c r="T7843">
        <v>24</v>
      </c>
      <c r="U7843" s="2" t="s">
        <v>47436</v>
      </c>
      <c r="W7843" t="s">
        <v>502</v>
      </c>
      <c r="X7843">
        <v>838283</v>
      </c>
      <c r="Y7843" t="s">
        <v>47437</v>
      </c>
      <c r="Z7843" t="s">
        <v>47438</v>
      </c>
      <c r="AA7843" t="s">
        <v>47439</v>
      </c>
      <c r="AB7843" t="s">
        <v>47440</v>
      </c>
      <c r="AG7843" t="s">
        <v>47441</v>
      </c>
      <c r="AH7843" t="s">
        <v>47442</v>
      </c>
      <c r="AI7843" t="s">
        <v>47443</v>
      </c>
    </row>
    <row r="7844" spans="2:35" ht="165">
      <c r="B7844" s="1">
        <v>45077</v>
      </c>
      <c r="C7844" s="4">
        <v>45077.484027777777</v>
      </c>
      <c r="D7844" t="s">
        <v>35459</v>
      </c>
      <c r="E7844" t="s">
        <v>47444</v>
      </c>
      <c r="F7844">
        <v>3</v>
      </c>
      <c r="G7844" t="s">
        <v>1722</v>
      </c>
      <c r="H7844" t="s">
        <v>39</v>
      </c>
      <c r="I7844" t="s">
        <v>40</v>
      </c>
      <c r="J7844" s="2" t="s">
        <v>190</v>
      </c>
      <c r="K7844" t="s">
        <v>42</v>
      </c>
      <c r="L7844" t="s">
        <v>63</v>
      </c>
      <c r="Q7844">
        <v>24719</v>
      </c>
      <c r="R7844" t="s">
        <v>119</v>
      </c>
      <c r="S7844" t="s">
        <v>35461</v>
      </c>
      <c r="T7844">
        <v>22</v>
      </c>
      <c r="U7844" s="2" t="s">
        <v>22908</v>
      </c>
      <c r="V7844" s="1">
        <v>45077</v>
      </c>
      <c r="W7844" t="s">
        <v>26915</v>
      </c>
      <c r="X7844">
        <v>831673</v>
      </c>
      <c r="Y7844" t="s">
        <v>26853</v>
      </c>
      <c r="Z7844" t="s">
        <v>47445</v>
      </c>
      <c r="AA7844" s="2" t="s">
        <v>1727</v>
      </c>
      <c r="AB7844" t="s">
        <v>70</v>
      </c>
      <c r="AC7844" t="s">
        <v>47446</v>
      </c>
      <c r="AD7844" t="s">
        <v>1716</v>
      </c>
      <c r="AE7844" t="s">
        <v>1716</v>
      </c>
      <c r="AG7844" t="s">
        <v>47447</v>
      </c>
      <c r="AH7844" t="s">
        <v>35466</v>
      </c>
      <c r="AI7844" t="s">
        <v>47448</v>
      </c>
    </row>
    <row r="7845" spans="2:35" ht="135">
      <c r="B7845" s="1">
        <v>45077</v>
      </c>
      <c r="C7845" s="4">
        <v>45072.522222222222</v>
      </c>
      <c r="D7845" t="s">
        <v>47449</v>
      </c>
      <c r="E7845" t="s">
        <v>8908</v>
      </c>
      <c r="F7845" t="s">
        <v>37</v>
      </c>
      <c r="G7845" t="s">
        <v>189</v>
      </c>
      <c r="H7845" t="s">
        <v>39</v>
      </c>
      <c r="I7845" t="s">
        <v>40</v>
      </c>
      <c r="J7845" s="2" t="s">
        <v>62</v>
      </c>
      <c r="K7845" t="s">
        <v>42</v>
      </c>
      <c r="L7845" t="s">
        <v>1943</v>
      </c>
      <c r="Q7845">
        <v>24718</v>
      </c>
      <c r="R7845" t="s">
        <v>119</v>
      </c>
      <c r="S7845" t="s">
        <v>2108</v>
      </c>
      <c r="T7845">
        <v>25</v>
      </c>
      <c r="U7845" s="2" t="s">
        <v>25364</v>
      </c>
      <c r="V7845" s="1">
        <v>45069</v>
      </c>
      <c r="W7845" t="s">
        <v>84</v>
      </c>
      <c r="X7845">
        <v>821420</v>
      </c>
      <c r="Y7845" s="2" t="s">
        <v>23659</v>
      </c>
      <c r="Z7845" s="2" t="s">
        <v>32801</v>
      </c>
      <c r="AA7845" t="s">
        <v>32281</v>
      </c>
      <c r="AB7845" t="s">
        <v>47450</v>
      </c>
      <c r="AD7845" t="s">
        <v>5056</v>
      </c>
      <c r="AE7845" t="s">
        <v>47451</v>
      </c>
      <c r="AG7845" t="s">
        <v>47452</v>
      </c>
      <c r="AH7845" t="s">
        <v>27427</v>
      </c>
      <c r="AI7845" t="s">
        <v>47453</v>
      </c>
    </row>
    <row r="7846" spans="2:35" ht="135">
      <c r="B7846" s="1">
        <v>45077</v>
      </c>
      <c r="C7846" s="4">
        <v>45072.522222222222</v>
      </c>
      <c r="D7846" t="s">
        <v>47449</v>
      </c>
      <c r="E7846" t="s">
        <v>8908</v>
      </c>
      <c r="F7846" t="s">
        <v>37</v>
      </c>
      <c r="G7846" t="s">
        <v>189</v>
      </c>
      <c r="H7846" t="s">
        <v>39</v>
      </c>
      <c r="I7846" t="s">
        <v>40</v>
      </c>
      <c r="J7846" s="2" t="s">
        <v>62</v>
      </c>
      <c r="K7846" t="s">
        <v>42</v>
      </c>
      <c r="L7846" t="s">
        <v>1943</v>
      </c>
      <c r="Q7846">
        <v>24717</v>
      </c>
      <c r="R7846" t="s">
        <v>119</v>
      </c>
      <c r="S7846" t="s">
        <v>2108</v>
      </c>
      <c r="T7846">
        <v>25</v>
      </c>
      <c r="U7846" s="2" t="s">
        <v>25364</v>
      </c>
      <c r="V7846" s="1">
        <v>45069</v>
      </c>
      <c r="W7846" t="s">
        <v>84</v>
      </c>
      <c r="X7846">
        <v>821420</v>
      </c>
      <c r="Y7846" s="2" t="s">
        <v>23659</v>
      </c>
      <c r="Z7846" s="2" t="s">
        <v>32801</v>
      </c>
      <c r="AA7846" t="s">
        <v>32281</v>
      </c>
      <c r="AB7846" t="s">
        <v>47450</v>
      </c>
      <c r="AD7846" t="s">
        <v>5056</v>
      </c>
      <c r="AE7846" t="s">
        <v>47451</v>
      </c>
      <c r="AG7846" t="s">
        <v>47454</v>
      </c>
      <c r="AH7846" t="s">
        <v>27427</v>
      </c>
      <c r="AI7846" t="s">
        <v>47455</v>
      </c>
    </row>
    <row r="7847" spans="2:35" ht="270">
      <c r="B7847" s="1">
        <v>45077</v>
      </c>
      <c r="C7847" s="4">
        <v>45077.413194444445</v>
      </c>
      <c r="D7847" t="s">
        <v>10933</v>
      </c>
      <c r="E7847" t="s">
        <v>29435</v>
      </c>
      <c r="F7847" t="s">
        <v>148</v>
      </c>
      <c r="G7847" t="s">
        <v>310</v>
      </c>
      <c r="H7847" t="s">
        <v>61</v>
      </c>
      <c r="I7847" t="s">
        <v>40</v>
      </c>
      <c r="J7847" s="2" t="s">
        <v>62</v>
      </c>
      <c r="K7847" t="s">
        <v>42</v>
      </c>
      <c r="L7847" t="s">
        <v>1943</v>
      </c>
      <c r="Q7847">
        <v>24716</v>
      </c>
      <c r="R7847" t="s">
        <v>95</v>
      </c>
      <c r="S7847" t="s">
        <v>14776</v>
      </c>
      <c r="T7847">
        <v>25</v>
      </c>
      <c r="U7847" s="2" t="s">
        <v>47456</v>
      </c>
      <c r="V7847" s="1">
        <v>45072</v>
      </c>
      <c r="W7847" t="s">
        <v>84</v>
      </c>
      <c r="X7847">
        <v>834953</v>
      </c>
      <c r="Y7847" s="2" t="s">
        <v>3044</v>
      </c>
      <c r="Z7847" s="2" t="s">
        <v>47457</v>
      </c>
      <c r="AA7847" t="s">
        <v>3045</v>
      </c>
      <c r="AB7847" t="s">
        <v>47458</v>
      </c>
      <c r="AD7847" t="s">
        <v>11518</v>
      </c>
      <c r="AE7847" t="s">
        <v>47459</v>
      </c>
      <c r="AG7847" t="s">
        <v>47460</v>
      </c>
      <c r="AH7847" t="s">
        <v>29438</v>
      </c>
      <c r="AI7847" t="s">
        <v>47461</v>
      </c>
    </row>
    <row r="7848" spans="2:35" ht="225">
      <c r="B7848" s="1">
        <v>45077</v>
      </c>
      <c r="C7848" s="4">
        <v>45077.419444444444</v>
      </c>
      <c r="D7848" t="s">
        <v>36157</v>
      </c>
      <c r="E7848" t="s">
        <v>47462</v>
      </c>
      <c r="F7848">
        <v>5</v>
      </c>
      <c r="G7848" t="s">
        <v>814</v>
      </c>
      <c r="H7848" t="s">
        <v>39</v>
      </c>
      <c r="I7848" t="s">
        <v>40</v>
      </c>
      <c r="J7848" s="2" t="s">
        <v>41</v>
      </c>
      <c r="K7848" t="s">
        <v>42</v>
      </c>
      <c r="L7848" t="s">
        <v>761</v>
      </c>
      <c r="Q7848">
        <v>24715</v>
      </c>
      <c r="R7848" t="s">
        <v>45</v>
      </c>
      <c r="S7848" t="s">
        <v>47463</v>
      </c>
      <c r="T7848">
        <v>25</v>
      </c>
      <c r="U7848" s="2" t="s">
        <v>47464</v>
      </c>
      <c r="V7848" s="1">
        <v>45077</v>
      </c>
      <c r="W7848" t="s">
        <v>502</v>
      </c>
      <c r="X7848">
        <v>835200</v>
      </c>
      <c r="Y7848" t="s">
        <v>47465</v>
      </c>
      <c r="Z7848" s="2" t="s">
        <v>47466</v>
      </c>
      <c r="AA7848" t="s">
        <v>17539</v>
      </c>
      <c r="AB7848" t="s">
        <v>181</v>
      </c>
      <c r="AD7848">
        <v>210091134</v>
      </c>
      <c r="AE7848">
        <v>40825</v>
      </c>
      <c r="AG7848" t="s">
        <v>47467</v>
      </c>
      <c r="AH7848" t="s">
        <v>47468</v>
      </c>
      <c r="AI7848" t="s">
        <v>47469</v>
      </c>
    </row>
    <row r="7849" spans="2:35" ht="135">
      <c r="B7849" s="1">
        <v>45077</v>
      </c>
      <c r="C7849" s="4">
        <v>45077.353472222225</v>
      </c>
      <c r="D7849" t="s">
        <v>1420</v>
      </c>
      <c r="E7849" t="s">
        <v>47470</v>
      </c>
      <c r="F7849" t="s">
        <v>511</v>
      </c>
      <c r="G7849" t="s">
        <v>512</v>
      </c>
      <c r="H7849" t="s">
        <v>258</v>
      </c>
      <c r="I7849" t="s">
        <v>40</v>
      </c>
      <c r="J7849" s="2" t="s">
        <v>41</v>
      </c>
      <c r="K7849" t="s">
        <v>42</v>
      </c>
      <c r="L7849" t="s">
        <v>80</v>
      </c>
      <c r="Q7849">
        <v>24714</v>
      </c>
      <c r="R7849" t="s">
        <v>45</v>
      </c>
      <c r="S7849" t="s">
        <v>1423</v>
      </c>
      <c r="T7849">
        <v>24</v>
      </c>
      <c r="V7849" s="1">
        <v>45077</v>
      </c>
      <c r="W7849" t="s">
        <v>502</v>
      </c>
      <c r="X7849">
        <v>807621</v>
      </c>
      <c r="Y7849" t="s">
        <v>47471</v>
      </c>
      <c r="Z7849" s="2" t="s">
        <v>47472</v>
      </c>
      <c r="AA7849" t="s">
        <v>47473</v>
      </c>
      <c r="AB7849" t="s">
        <v>32359</v>
      </c>
      <c r="AC7849" t="s">
        <v>47474</v>
      </c>
      <c r="AD7849" t="s">
        <v>47475</v>
      </c>
      <c r="AE7849" t="s">
        <v>47476</v>
      </c>
      <c r="AG7849" t="s">
        <v>47477</v>
      </c>
      <c r="AH7849" t="s">
        <v>47478</v>
      </c>
      <c r="AI7849" t="s">
        <v>47479</v>
      </c>
    </row>
    <row r="7850" spans="2:35" ht="135">
      <c r="B7850" s="1">
        <v>45077</v>
      </c>
      <c r="C7850" s="4">
        <v>45077.353472222225</v>
      </c>
      <c r="D7850" t="s">
        <v>1420</v>
      </c>
      <c r="E7850" t="s">
        <v>47470</v>
      </c>
      <c r="F7850" t="s">
        <v>511</v>
      </c>
      <c r="G7850" t="s">
        <v>512</v>
      </c>
      <c r="H7850" t="s">
        <v>258</v>
      </c>
      <c r="I7850" t="s">
        <v>40</v>
      </c>
      <c r="J7850" s="2" t="s">
        <v>41</v>
      </c>
      <c r="K7850" t="s">
        <v>42</v>
      </c>
      <c r="L7850" t="s">
        <v>80</v>
      </c>
      <c r="Q7850">
        <v>24713</v>
      </c>
      <c r="R7850" t="s">
        <v>45</v>
      </c>
      <c r="S7850" t="s">
        <v>1423</v>
      </c>
      <c r="T7850">
        <v>24</v>
      </c>
      <c r="V7850" s="1">
        <v>45077</v>
      </c>
      <c r="W7850" t="s">
        <v>502</v>
      </c>
      <c r="X7850">
        <v>807621</v>
      </c>
      <c r="Y7850" t="s">
        <v>47471</v>
      </c>
      <c r="Z7850" s="2" t="s">
        <v>47472</v>
      </c>
      <c r="AA7850" t="s">
        <v>47473</v>
      </c>
      <c r="AB7850" t="s">
        <v>32359</v>
      </c>
      <c r="AC7850" t="s">
        <v>47474</v>
      </c>
      <c r="AD7850" t="s">
        <v>47475</v>
      </c>
      <c r="AE7850" t="s">
        <v>47476</v>
      </c>
      <c r="AG7850" t="s">
        <v>47480</v>
      </c>
      <c r="AH7850" t="s">
        <v>47478</v>
      </c>
      <c r="AI7850" t="s">
        <v>47481</v>
      </c>
    </row>
    <row r="7851" spans="2:35" ht="315">
      <c r="B7851" s="1">
        <v>45076</v>
      </c>
      <c r="C7851" s="4">
        <v>45076.659722222219</v>
      </c>
      <c r="D7851" t="s">
        <v>2834</v>
      </c>
      <c r="E7851" t="s">
        <v>2835</v>
      </c>
      <c r="F7851">
        <v>11</v>
      </c>
      <c r="G7851" t="s">
        <v>2836</v>
      </c>
      <c r="H7851" t="s">
        <v>662</v>
      </c>
      <c r="I7851" t="s">
        <v>40</v>
      </c>
      <c r="J7851" t="s">
        <v>109</v>
      </c>
      <c r="K7851" t="s">
        <v>42</v>
      </c>
      <c r="L7851" t="s">
        <v>204</v>
      </c>
      <c r="Q7851">
        <v>24712</v>
      </c>
      <c r="R7851" t="s">
        <v>45</v>
      </c>
      <c r="S7851" t="s">
        <v>2837</v>
      </c>
      <c r="T7851">
        <v>25.4</v>
      </c>
      <c r="W7851" t="s">
        <v>1292</v>
      </c>
      <c r="X7851">
        <v>834440</v>
      </c>
      <c r="Y7851" t="s">
        <v>1052</v>
      </c>
      <c r="Z7851" s="2" t="s">
        <v>1321</v>
      </c>
      <c r="AA7851" t="s">
        <v>2551</v>
      </c>
      <c r="AB7851" t="s">
        <v>47482</v>
      </c>
      <c r="AG7851" t="s">
        <v>47483</v>
      </c>
      <c r="AH7851" t="s">
        <v>2844</v>
      </c>
      <c r="AI7851" t="s">
        <v>47484</v>
      </c>
    </row>
    <row r="7852" spans="2:35" ht="409.5">
      <c r="B7852" s="1">
        <v>45076</v>
      </c>
      <c r="C7852" s="4">
        <v>45076.654861111114</v>
      </c>
      <c r="D7852" t="s">
        <v>2834</v>
      </c>
      <c r="E7852" t="s">
        <v>2835</v>
      </c>
      <c r="F7852">
        <v>11</v>
      </c>
      <c r="G7852" t="s">
        <v>2836</v>
      </c>
      <c r="H7852" t="s">
        <v>61</v>
      </c>
      <c r="I7852" t="s">
        <v>40</v>
      </c>
      <c r="J7852" s="2" t="s">
        <v>41</v>
      </c>
      <c r="K7852" t="s">
        <v>42</v>
      </c>
      <c r="L7852" t="s">
        <v>204</v>
      </c>
      <c r="Q7852">
        <v>24711</v>
      </c>
      <c r="R7852" t="s">
        <v>45</v>
      </c>
      <c r="S7852" t="s">
        <v>2837</v>
      </c>
      <c r="T7852">
        <v>24.6</v>
      </c>
      <c r="W7852" t="s">
        <v>895</v>
      </c>
      <c r="X7852">
        <v>838756</v>
      </c>
      <c r="Y7852" t="s">
        <v>2129</v>
      </c>
      <c r="Z7852" s="2" t="s">
        <v>47485</v>
      </c>
      <c r="AA7852" t="s">
        <v>2560</v>
      </c>
      <c r="AB7852" t="s">
        <v>9590</v>
      </c>
      <c r="AG7852" t="s">
        <v>47486</v>
      </c>
      <c r="AH7852" t="s">
        <v>2844</v>
      </c>
      <c r="AI7852" t="s">
        <v>47487</v>
      </c>
    </row>
    <row r="7853" spans="2:35">
      <c r="B7853" s="1">
        <v>45076</v>
      </c>
      <c r="C7853" s="4">
        <v>45076.46597222222</v>
      </c>
      <c r="D7853" t="s">
        <v>2834</v>
      </c>
      <c r="E7853" t="s">
        <v>2835</v>
      </c>
      <c r="F7853">
        <v>11</v>
      </c>
      <c r="G7853" t="s">
        <v>2836</v>
      </c>
      <c r="H7853" t="s">
        <v>47488</v>
      </c>
      <c r="I7853" t="s">
        <v>40</v>
      </c>
      <c r="J7853" t="s">
        <v>109</v>
      </c>
      <c r="K7853" t="s">
        <v>8838</v>
      </c>
      <c r="L7853" t="s">
        <v>204</v>
      </c>
      <c r="Q7853">
        <v>24710</v>
      </c>
      <c r="R7853" t="s">
        <v>95</v>
      </c>
      <c r="S7853" t="s">
        <v>47489</v>
      </c>
      <c r="T7853">
        <v>25.8</v>
      </c>
      <c r="W7853" t="s">
        <v>47490</v>
      </c>
      <c r="X7853">
        <v>11263</v>
      </c>
      <c r="Y7853" t="s">
        <v>1052</v>
      </c>
      <c r="Z7853" t="s">
        <v>47491</v>
      </c>
      <c r="AA7853" t="s">
        <v>47492</v>
      </c>
      <c r="AB7853" t="s">
        <v>47493</v>
      </c>
      <c r="AG7853" t="s">
        <v>47494</v>
      </c>
      <c r="AH7853" t="s">
        <v>47495</v>
      </c>
      <c r="AI7853" t="s">
        <v>47496</v>
      </c>
    </row>
    <row r="7854" spans="2:35">
      <c r="B7854" s="1">
        <v>45076</v>
      </c>
      <c r="C7854" s="4">
        <v>45076.459722222222</v>
      </c>
      <c r="D7854" t="s">
        <v>2834</v>
      </c>
      <c r="E7854" t="s">
        <v>2835</v>
      </c>
      <c r="F7854">
        <v>11</v>
      </c>
      <c r="G7854" t="s">
        <v>2836</v>
      </c>
      <c r="H7854" t="s">
        <v>47497</v>
      </c>
      <c r="I7854" t="s">
        <v>40</v>
      </c>
      <c r="J7854" t="s">
        <v>109</v>
      </c>
      <c r="K7854" t="s">
        <v>8838</v>
      </c>
      <c r="L7854" t="s">
        <v>204</v>
      </c>
      <c r="Q7854">
        <v>24709</v>
      </c>
      <c r="R7854" t="s">
        <v>95</v>
      </c>
      <c r="S7854" t="s">
        <v>47489</v>
      </c>
      <c r="T7854">
        <v>25.6</v>
      </c>
      <c r="W7854" t="s">
        <v>47498</v>
      </c>
      <c r="X7854" t="s">
        <v>47499</v>
      </c>
      <c r="Y7854" t="s">
        <v>1052</v>
      </c>
      <c r="Z7854" t="s">
        <v>47500</v>
      </c>
      <c r="AA7854" t="s">
        <v>47501</v>
      </c>
      <c r="AB7854" t="s">
        <v>47502</v>
      </c>
      <c r="AG7854" t="s">
        <v>47503</v>
      </c>
      <c r="AH7854" t="s">
        <v>47495</v>
      </c>
      <c r="AI7854" t="s">
        <v>47504</v>
      </c>
    </row>
    <row r="7855" spans="2:35" ht="285">
      <c r="B7855" s="1">
        <v>45076</v>
      </c>
      <c r="C7855" s="4">
        <v>45076.689583333333</v>
      </c>
      <c r="D7855" t="s">
        <v>4112</v>
      </c>
      <c r="E7855" t="s">
        <v>47505</v>
      </c>
      <c r="F7855">
        <v>5</v>
      </c>
      <c r="G7855" t="s">
        <v>814</v>
      </c>
      <c r="H7855" t="s">
        <v>39</v>
      </c>
      <c r="I7855" t="s">
        <v>40</v>
      </c>
      <c r="J7855" s="2" t="s">
        <v>41</v>
      </c>
      <c r="K7855" t="s">
        <v>42</v>
      </c>
      <c r="L7855" t="s">
        <v>761</v>
      </c>
      <c r="Q7855">
        <v>24708</v>
      </c>
      <c r="R7855" t="s">
        <v>45</v>
      </c>
      <c r="S7855" t="s">
        <v>31206</v>
      </c>
      <c r="T7855">
        <v>27</v>
      </c>
      <c r="V7855" s="1">
        <v>45076</v>
      </c>
      <c r="W7855" t="s">
        <v>502</v>
      </c>
      <c r="X7855">
        <v>835213</v>
      </c>
      <c r="Y7855" t="s">
        <v>47506</v>
      </c>
      <c r="Z7855" s="2" t="s">
        <v>47507</v>
      </c>
      <c r="AA7855" t="s">
        <v>47508</v>
      </c>
      <c r="AB7855" t="s">
        <v>181</v>
      </c>
      <c r="AD7855" t="s">
        <v>47509</v>
      </c>
      <c r="AE7855" t="s">
        <v>47510</v>
      </c>
      <c r="AG7855" t="s">
        <v>47511</v>
      </c>
      <c r="AH7855" t="s">
        <v>31210</v>
      </c>
      <c r="AI7855" t="s">
        <v>47512</v>
      </c>
    </row>
    <row r="7856" spans="2:35" ht="180">
      <c r="B7856" s="1">
        <v>45076</v>
      </c>
      <c r="C7856" s="4">
        <v>45076.696527777778</v>
      </c>
      <c r="D7856" t="s">
        <v>8522</v>
      </c>
      <c r="E7856" t="s">
        <v>47513</v>
      </c>
      <c r="F7856">
        <v>13</v>
      </c>
      <c r="G7856" t="s">
        <v>8524</v>
      </c>
      <c r="H7856" t="s">
        <v>2125</v>
      </c>
      <c r="I7856" t="s">
        <v>40</v>
      </c>
      <c r="J7856" s="2" t="s">
        <v>1157</v>
      </c>
      <c r="K7856" t="s">
        <v>42</v>
      </c>
      <c r="L7856" t="s">
        <v>933</v>
      </c>
      <c r="Q7856">
        <v>24707</v>
      </c>
      <c r="R7856" t="s">
        <v>119</v>
      </c>
      <c r="S7856" t="s">
        <v>8525</v>
      </c>
      <c r="T7856">
        <v>26.9</v>
      </c>
      <c r="U7856" s="2" t="s">
        <v>47514</v>
      </c>
      <c r="W7856" t="s">
        <v>3662</v>
      </c>
      <c r="X7856">
        <v>838439</v>
      </c>
      <c r="Y7856" t="s">
        <v>47515</v>
      </c>
      <c r="Z7856" t="s">
        <v>301</v>
      </c>
      <c r="AA7856" s="2" t="s">
        <v>47516</v>
      </c>
      <c r="AB7856" t="s">
        <v>47517</v>
      </c>
      <c r="AG7856" t="s">
        <v>47518</v>
      </c>
      <c r="AH7856" t="s">
        <v>20593</v>
      </c>
      <c r="AI7856" t="s">
        <v>47519</v>
      </c>
    </row>
    <row r="7857" spans="2:35" ht="300">
      <c r="B7857" s="1">
        <v>45076</v>
      </c>
      <c r="C7857" s="4">
        <v>45076.652777777781</v>
      </c>
      <c r="D7857" t="s">
        <v>2834</v>
      </c>
      <c r="E7857" t="s">
        <v>2835</v>
      </c>
      <c r="F7857">
        <v>11</v>
      </c>
      <c r="G7857" t="s">
        <v>2836</v>
      </c>
      <c r="H7857" t="s">
        <v>61</v>
      </c>
      <c r="I7857" t="s">
        <v>94</v>
      </c>
      <c r="J7857" t="s">
        <v>109</v>
      </c>
      <c r="K7857" t="s">
        <v>42</v>
      </c>
      <c r="L7857" t="s">
        <v>296</v>
      </c>
      <c r="Q7857">
        <v>24706</v>
      </c>
      <c r="R7857" t="s">
        <v>45</v>
      </c>
      <c r="S7857" t="s">
        <v>2837</v>
      </c>
      <c r="T7857">
        <v>26.1</v>
      </c>
      <c r="U7857" s="2" t="s">
        <v>47520</v>
      </c>
      <c r="W7857" t="s">
        <v>23049</v>
      </c>
      <c r="X7857">
        <v>805063</v>
      </c>
      <c r="Y7857" t="s">
        <v>54</v>
      </c>
      <c r="Z7857" t="s">
        <v>9161</v>
      </c>
      <c r="AA7857" t="s">
        <v>9161</v>
      </c>
      <c r="AB7857" t="s">
        <v>972</v>
      </c>
      <c r="AG7857" t="s">
        <v>47521</v>
      </c>
      <c r="AH7857" t="s">
        <v>2844</v>
      </c>
      <c r="AI7857" t="s">
        <v>47522</v>
      </c>
    </row>
    <row r="7858" spans="2:35" ht="300">
      <c r="B7858" s="1">
        <v>45076</v>
      </c>
      <c r="C7858" s="4">
        <v>45076.648611111108</v>
      </c>
      <c r="D7858" t="s">
        <v>2834</v>
      </c>
      <c r="E7858" t="s">
        <v>2835</v>
      </c>
      <c r="F7858">
        <v>12</v>
      </c>
      <c r="G7858" t="s">
        <v>2836</v>
      </c>
      <c r="H7858" t="s">
        <v>39</v>
      </c>
      <c r="I7858" t="s">
        <v>94</v>
      </c>
      <c r="J7858" t="s">
        <v>109</v>
      </c>
      <c r="K7858" t="s">
        <v>42</v>
      </c>
      <c r="L7858" t="s">
        <v>296</v>
      </c>
      <c r="Q7858">
        <v>24705</v>
      </c>
      <c r="R7858" t="s">
        <v>45</v>
      </c>
      <c r="S7858" t="s">
        <v>2837</v>
      </c>
      <c r="T7858">
        <v>25.3</v>
      </c>
      <c r="U7858" s="2" t="s">
        <v>47523</v>
      </c>
      <c r="W7858" t="s">
        <v>23049</v>
      </c>
      <c r="X7858">
        <v>834626</v>
      </c>
      <c r="Y7858" t="s">
        <v>47524</v>
      </c>
      <c r="Z7858" t="s">
        <v>9161</v>
      </c>
      <c r="AA7858" t="s">
        <v>9161</v>
      </c>
      <c r="AB7858" t="s">
        <v>1480</v>
      </c>
      <c r="AG7858" t="s">
        <v>47525</v>
      </c>
      <c r="AH7858" t="s">
        <v>2844</v>
      </c>
      <c r="AI7858" t="s">
        <v>47526</v>
      </c>
    </row>
    <row r="7859" spans="2:35" ht="270">
      <c r="B7859" s="1">
        <v>45076</v>
      </c>
      <c r="C7859" s="4">
        <v>45069.469444444447</v>
      </c>
      <c r="D7859" t="s">
        <v>2176</v>
      </c>
      <c r="E7859" t="s">
        <v>13608</v>
      </c>
      <c r="F7859" t="s">
        <v>148</v>
      </c>
      <c r="G7859" t="s">
        <v>447</v>
      </c>
      <c r="H7859" t="s">
        <v>61</v>
      </c>
      <c r="I7859" t="s">
        <v>40</v>
      </c>
      <c r="J7859" s="2" t="s">
        <v>62</v>
      </c>
      <c r="K7859" t="s">
        <v>42</v>
      </c>
      <c r="L7859" t="s">
        <v>1048</v>
      </c>
      <c r="Q7859">
        <v>24704</v>
      </c>
      <c r="R7859" t="s">
        <v>322</v>
      </c>
      <c r="S7859" t="s">
        <v>3086</v>
      </c>
      <c r="T7859">
        <v>27</v>
      </c>
      <c r="U7859" s="2" t="s">
        <v>47527</v>
      </c>
      <c r="V7859" s="1">
        <v>45062</v>
      </c>
      <c r="W7859" t="s">
        <v>47528</v>
      </c>
      <c r="X7859">
        <v>110014085</v>
      </c>
      <c r="Y7859" t="s">
        <v>28759</v>
      </c>
      <c r="Z7859" t="e">
        <f ca="1">-Changed _xludf.filter
-cleaned cartridge Bays, plunger Rods, I-CORE
-performed XpertCheck
-generated reports</f>
        <v>#NAME?</v>
      </c>
      <c r="AA7859" t="s">
        <v>47529</v>
      </c>
      <c r="AB7859" s="2" t="s">
        <v>47530</v>
      </c>
      <c r="AC7859" t="s">
        <v>47531</v>
      </c>
      <c r="AD7859" t="s">
        <v>1958</v>
      </c>
      <c r="AE7859" t="s">
        <v>47532</v>
      </c>
      <c r="AG7859" t="s">
        <v>47533</v>
      </c>
      <c r="AH7859" t="s">
        <v>15953</v>
      </c>
      <c r="AI7859" t="s">
        <v>47534</v>
      </c>
    </row>
    <row r="7860" spans="2:35" ht="409.5">
      <c r="B7860" s="1">
        <v>45076</v>
      </c>
      <c r="C7860" s="4">
        <v>45076.62777777778</v>
      </c>
      <c r="D7860" t="s">
        <v>22025</v>
      </c>
      <c r="E7860" t="s">
        <v>8671</v>
      </c>
      <c r="F7860" t="s">
        <v>148</v>
      </c>
      <c r="G7860" t="s">
        <v>447</v>
      </c>
      <c r="H7860" t="s">
        <v>39</v>
      </c>
      <c r="I7860" t="s">
        <v>40</v>
      </c>
      <c r="J7860" t="s">
        <v>109</v>
      </c>
      <c r="K7860" t="s">
        <v>42</v>
      </c>
      <c r="L7860" t="s">
        <v>1048</v>
      </c>
      <c r="Q7860">
        <v>24703</v>
      </c>
      <c r="R7860" t="s">
        <v>95</v>
      </c>
      <c r="S7860" t="s">
        <v>410</v>
      </c>
      <c r="T7860">
        <v>27</v>
      </c>
      <c r="U7860" s="2" t="s">
        <v>47535</v>
      </c>
      <c r="W7860" t="s">
        <v>2384</v>
      </c>
      <c r="X7860">
        <v>807128</v>
      </c>
      <c r="Y7860" t="s">
        <v>25444</v>
      </c>
      <c r="Z7860" t="e">
        <f ca="1">-cleaned cartridge Bays, plunger Rods, icore
-replaced _xludf.filter
-performed XpertCheck
-generated reports</f>
        <v>#NAME?</v>
      </c>
      <c r="AA7860" t="s">
        <v>47529</v>
      </c>
      <c r="AB7860" s="2" t="s">
        <v>47536</v>
      </c>
      <c r="AG7860" t="s">
        <v>47537</v>
      </c>
      <c r="AH7860" t="s">
        <v>29841</v>
      </c>
      <c r="AI7860" t="s">
        <v>47538</v>
      </c>
    </row>
    <row r="7861" spans="2:35" ht="180">
      <c r="B7861" s="1">
        <v>45076</v>
      </c>
      <c r="C7861" s="4">
        <v>45076.62777777778</v>
      </c>
      <c r="D7861" t="s">
        <v>27942</v>
      </c>
      <c r="E7861" t="s">
        <v>39706</v>
      </c>
      <c r="F7861">
        <v>3</v>
      </c>
      <c r="G7861" t="s">
        <v>1722</v>
      </c>
      <c r="H7861" t="s">
        <v>39</v>
      </c>
      <c r="I7861" t="s">
        <v>40</v>
      </c>
      <c r="J7861" t="s">
        <v>109</v>
      </c>
      <c r="K7861" t="s">
        <v>42</v>
      </c>
      <c r="L7861" t="s">
        <v>63</v>
      </c>
      <c r="Q7861">
        <v>24702</v>
      </c>
      <c r="R7861" t="s">
        <v>119</v>
      </c>
      <c r="S7861" t="s">
        <v>39707</v>
      </c>
      <c r="T7861">
        <v>28</v>
      </c>
      <c r="U7861" s="2" t="s">
        <v>47539</v>
      </c>
      <c r="V7861" s="1">
        <v>45076</v>
      </c>
      <c r="W7861" t="s">
        <v>26915</v>
      </c>
      <c r="X7861">
        <v>831599</v>
      </c>
      <c r="Y7861" t="s">
        <v>1716</v>
      </c>
      <c r="Z7861" t="s">
        <v>1716</v>
      </c>
      <c r="AA7861" s="2" t="s">
        <v>1727</v>
      </c>
      <c r="AB7861" t="s">
        <v>70</v>
      </c>
      <c r="AC7861" t="s">
        <v>1716</v>
      </c>
      <c r="AD7861" t="s">
        <v>1716</v>
      </c>
      <c r="AE7861" t="s">
        <v>1716</v>
      </c>
      <c r="AG7861" t="s">
        <v>47540</v>
      </c>
      <c r="AH7861" t="s">
        <v>39709</v>
      </c>
      <c r="AI7861" t="s">
        <v>47541</v>
      </c>
    </row>
    <row r="7862" spans="2:35" ht="60">
      <c r="B7862" s="1">
        <v>45076</v>
      </c>
      <c r="C7862" s="4">
        <v>45076.554861111108</v>
      </c>
      <c r="D7862" t="s">
        <v>29913</v>
      </c>
      <c r="E7862" t="s">
        <v>46262</v>
      </c>
      <c r="F7862">
        <v>8</v>
      </c>
      <c r="G7862" t="s">
        <v>342</v>
      </c>
      <c r="H7862" t="s">
        <v>39</v>
      </c>
      <c r="I7862" t="s">
        <v>40</v>
      </c>
      <c r="J7862" s="2" t="s">
        <v>62</v>
      </c>
      <c r="K7862" t="s">
        <v>42</v>
      </c>
      <c r="L7862" t="s">
        <v>259</v>
      </c>
      <c r="Q7862">
        <v>24701</v>
      </c>
      <c r="R7862" t="s">
        <v>45</v>
      </c>
      <c r="S7862" t="s">
        <v>25575</v>
      </c>
      <c r="T7862">
        <v>28</v>
      </c>
      <c r="V7862" s="1">
        <v>45076</v>
      </c>
      <c r="W7862" t="s">
        <v>84</v>
      </c>
      <c r="X7862">
        <v>707521</v>
      </c>
      <c r="Y7862" t="s">
        <v>21236</v>
      </c>
      <c r="Z7862" t="e">
        <f ca="1">- performed XpertCheck
- performed Preventive Maintenance
- performed functionality test
- Generate reports</f>
        <v>#NAME?</v>
      </c>
      <c r="AA7862" t="e">
        <f ca="1">- CALIBRATION
- Preventive Maintenance</f>
        <v>#NAME?</v>
      </c>
      <c r="AB7862" t="s">
        <v>47542</v>
      </c>
      <c r="AD7862" t="s">
        <v>948</v>
      </c>
      <c r="AE7862" t="s">
        <v>45</v>
      </c>
      <c r="AG7862" t="s">
        <v>47543</v>
      </c>
      <c r="AH7862" t="s">
        <v>29915</v>
      </c>
      <c r="AI7862" t="s">
        <v>47544</v>
      </c>
    </row>
    <row r="7863" spans="2:35" ht="210">
      <c r="B7863" s="1">
        <v>45076</v>
      </c>
      <c r="C7863" s="4">
        <v>45076.547222222223</v>
      </c>
      <c r="D7863" t="s">
        <v>27228</v>
      </c>
      <c r="E7863" t="s">
        <v>45275</v>
      </c>
      <c r="F7863" t="s">
        <v>148</v>
      </c>
      <c r="G7863" t="s">
        <v>371</v>
      </c>
      <c r="H7863" t="s">
        <v>39</v>
      </c>
      <c r="I7863" t="s">
        <v>40</v>
      </c>
      <c r="J7863" s="2" t="s">
        <v>190</v>
      </c>
      <c r="K7863" t="s">
        <v>42</v>
      </c>
      <c r="L7863" t="s">
        <v>175</v>
      </c>
      <c r="Q7863">
        <v>24700</v>
      </c>
      <c r="R7863" t="s">
        <v>119</v>
      </c>
      <c r="S7863" t="s">
        <v>27229</v>
      </c>
      <c r="T7863">
        <v>28</v>
      </c>
      <c r="U7863" s="2" t="s">
        <v>10017</v>
      </c>
      <c r="W7863" t="s">
        <v>84</v>
      </c>
      <c r="X7863">
        <v>831845</v>
      </c>
      <c r="Y7863" t="s">
        <v>47545</v>
      </c>
      <c r="Z7863" t="e">
        <f ca="1">- performed XpertCheck on A1, A2, A3
- checked _xludf.and cleaned cartridge bay, plunger rod, _xludf.filter
- generated reports</f>
        <v>#NAME?</v>
      </c>
      <c r="AA7863" t="s">
        <v>47546</v>
      </c>
      <c r="AB7863" s="2" t="s">
        <v>47547</v>
      </c>
      <c r="AG7863" t="s">
        <v>47548</v>
      </c>
      <c r="AH7863" t="s">
        <v>27231</v>
      </c>
      <c r="AI7863" t="s">
        <v>47549</v>
      </c>
    </row>
    <row r="7864" spans="2:35" ht="165">
      <c r="B7864" s="1">
        <v>45076</v>
      </c>
      <c r="C7864" s="4">
        <v>45076.540972222225</v>
      </c>
      <c r="D7864" t="s">
        <v>27228</v>
      </c>
      <c r="E7864" t="s">
        <v>45275</v>
      </c>
      <c r="F7864" t="s">
        <v>148</v>
      </c>
      <c r="G7864" t="s">
        <v>371</v>
      </c>
      <c r="H7864" t="s">
        <v>39</v>
      </c>
      <c r="I7864" t="s">
        <v>40</v>
      </c>
      <c r="J7864" s="2" t="s">
        <v>190</v>
      </c>
      <c r="K7864" t="s">
        <v>42</v>
      </c>
      <c r="L7864" t="s">
        <v>175</v>
      </c>
      <c r="Q7864">
        <v>24699</v>
      </c>
      <c r="R7864" t="s">
        <v>119</v>
      </c>
      <c r="S7864" t="s">
        <v>27229</v>
      </c>
      <c r="T7864">
        <v>25</v>
      </c>
      <c r="U7864" s="2" t="s">
        <v>47550</v>
      </c>
      <c r="W7864" t="s">
        <v>84</v>
      </c>
      <c r="X7864">
        <v>831677</v>
      </c>
      <c r="Y7864" s="2" t="s">
        <v>47551</v>
      </c>
      <c r="Z7864" t="e">
        <f ca="1">- performed XpertCheck on A1
- performed Troubleshooting on monitor
- generated reports</f>
        <v>#NAME?</v>
      </c>
      <c r="AA7864" t="s">
        <v>47552</v>
      </c>
      <c r="AB7864" s="2" t="s">
        <v>47553</v>
      </c>
      <c r="AG7864" t="s">
        <v>47554</v>
      </c>
      <c r="AH7864" t="s">
        <v>27231</v>
      </c>
      <c r="AI7864" t="s">
        <v>47555</v>
      </c>
    </row>
    <row r="7865" spans="2:35" ht="105">
      <c r="B7865" s="1">
        <v>45076</v>
      </c>
      <c r="C7865" s="4">
        <v>45076.519444444442</v>
      </c>
      <c r="D7865" t="s">
        <v>26058</v>
      </c>
      <c r="E7865" t="s">
        <v>45275</v>
      </c>
      <c r="F7865" t="s">
        <v>148</v>
      </c>
      <c r="G7865" t="s">
        <v>371</v>
      </c>
      <c r="H7865" t="s">
        <v>39</v>
      </c>
      <c r="I7865" t="s">
        <v>40</v>
      </c>
      <c r="J7865" s="2" t="s">
        <v>41</v>
      </c>
      <c r="K7865" t="s">
        <v>42</v>
      </c>
      <c r="L7865" t="s">
        <v>175</v>
      </c>
      <c r="Q7865">
        <v>24698</v>
      </c>
      <c r="R7865" t="s">
        <v>45</v>
      </c>
      <c r="S7865" t="s">
        <v>26060</v>
      </c>
      <c r="T7865">
        <v>27</v>
      </c>
      <c r="U7865" s="2" t="s">
        <v>47556</v>
      </c>
      <c r="V7865" s="1">
        <v>45076</v>
      </c>
      <c r="W7865" t="s">
        <v>84</v>
      </c>
      <c r="X7865">
        <v>838856</v>
      </c>
      <c r="Y7865" t="s">
        <v>47557</v>
      </c>
      <c r="Z7865" t="e">
        <f ca="1">- replaced B1
- checked _xludf.and cleaned cartridge bay, plunger rod, _xludf.filter
- generated reports</f>
        <v>#NAME?</v>
      </c>
      <c r="AA7865" t="s">
        <v>179</v>
      </c>
      <c r="AB7865" t="s">
        <v>88</v>
      </c>
      <c r="AD7865" s="2" t="s">
        <v>47558</v>
      </c>
      <c r="AE7865" t="s">
        <v>103</v>
      </c>
      <c r="AG7865" t="s">
        <v>47559</v>
      </c>
      <c r="AH7865" t="s">
        <v>47560</v>
      </c>
      <c r="AI7865" t="s">
        <v>47561</v>
      </c>
    </row>
    <row r="7866" spans="2:35" ht="285">
      <c r="B7866" s="1">
        <v>45076</v>
      </c>
      <c r="C7866" s="4">
        <v>45076.464583333334</v>
      </c>
      <c r="D7866" t="s">
        <v>1015</v>
      </c>
      <c r="E7866" t="s">
        <v>47562</v>
      </c>
      <c r="F7866">
        <v>3</v>
      </c>
      <c r="G7866" t="s">
        <v>730</v>
      </c>
      <c r="H7866" t="s">
        <v>39</v>
      </c>
      <c r="I7866" t="s">
        <v>40</v>
      </c>
      <c r="J7866" s="2" t="s">
        <v>1592</v>
      </c>
      <c r="K7866" t="s">
        <v>42</v>
      </c>
      <c r="L7866" t="s">
        <v>135</v>
      </c>
      <c r="Q7866">
        <v>24697</v>
      </c>
      <c r="R7866" t="s">
        <v>119</v>
      </c>
      <c r="S7866" t="s">
        <v>27303</v>
      </c>
      <c r="T7866">
        <v>25</v>
      </c>
      <c r="U7866" s="2" t="s">
        <v>47563</v>
      </c>
      <c r="W7866" t="s">
        <v>2680</v>
      </c>
      <c r="X7866">
        <v>831587</v>
      </c>
      <c r="Y7866" t="s">
        <v>28274</v>
      </c>
      <c r="Z7866" t="s">
        <v>14151</v>
      </c>
      <c r="AA7866" s="2" t="s">
        <v>47564</v>
      </c>
      <c r="AB7866" t="s">
        <v>181</v>
      </c>
      <c r="AC7866" t="s">
        <v>4108</v>
      </c>
      <c r="AG7866" t="s">
        <v>47565</v>
      </c>
      <c r="AH7866" t="s">
        <v>27308</v>
      </c>
      <c r="AI7866" t="s">
        <v>47566</v>
      </c>
    </row>
    <row r="7867" spans="2:35" ht="135">
      <c r="B7867" s="1">
        <v>45076</v>
      </c>
      <c r="C7867" s="4">
        <v>45076.4375</v>
      </c>
      <c r="D7867" t="s">
        <v>308</v>
      </c>
      <c r="E7867" t="s">
        <v>3829</v>
      </c>
      <c r="F7867" t="s">
        <v>148</v>
      </c>
      <c r="G7867" t="s">
        <v>310</v>
      </c>
      <c r="H7867" t="s">
        <v>39</v>
      </c>
      <c r="I7867" t="s">
        <v>40</v>
      </c>
      <c r="J7867" s="2" t="s">
        <v>62</v>
      </c>
      <c r="K7867" t="s">
        <v>42</v>
      </c>
      <c r="L7867" t="s">
        <v>1943</v>
      </c>
      <c r="Q7867">
        <v>24696</v>
      </c>
      <c r="R7867" t="s">
        <v>119</v>
      </c>
      <c r="S7867" t="s">
        <v>311</v>
      </c>
      <c r="T7867">
        <v>25</v>
      </c>
      <c r="U7867" s="2" t="s">
        <v>30978</v>
      </c>
      <c r="V7867" s="1">
        <v>45076</v>
      </c>
      <c r="W7867" t="s">
        <v>84</v>
      </c>
      <c r="X7867">
        <v>831534</v>
      </c>
      <c r="Y7867" s="2" t="s">
        <v>41693</v>
      </c>
      <c r="Z7867" s="2" t="s">
        <v>32801</v>
      </c>
      <c r="AA7867" t="s">
        <v>23660</v>
      </c>
      <c r="AB7867" t="s">
        <v>47174</v>
      </c>
      <c r="AD7867" t="s">
        <v>47175</v>
      </c>
      <c r="AE7867" t="s">
        <v>103</v>
      </c>
      <c r="AG7867" t="s">
        <v>47567</v>
      </c>
      <c r="AH7867" t="s">
        <v>317</v>
      </c>
      <c r="AI7867" t="s">
        <v>47568</v>
      </c>
    </row>
    <row r="7868" spans="2:35" ht="105">
      <c r="B7868" s="1">
        <v>45075</v>
      </c>
      <c r="C7868" s="4">
        <v>45071.447916666664</v>
      </c>
      <c r="D7868" t="s">
        <v>47569</v>
      </c>
      <c r="E7868" t="s">
        <v>47570</v>
      </c>
      <c r="F7868" t="s">
        <v>37</v>
      </c>
      <c r="G7868" t="s">
        <v>38</v>
      </c>
      <c r="H7868" t="s">
        <v>39</v>
      </c>
      <c r="I7868" t="s">
        <v>40</v>
      </c>
      <c r="J7868" s="2" t="s">
        <v>41</v>
      </c>
      <c r="K7868" t="s">
        <v>42</v>
      </c>
      <c r="L7868" t="s">
        <v>448</v>
      </c>
      <c r="Q7868">
        <v>24695</v>
      </c>
      <c r="R7868" t="s">
        <v>45</v>
      </c>
      <c r="S7868" t="s">
        <v>2159</v>
      </c>
      <c r="T7868">
        <v>26</v>
      </c>
      <c r="U7868" s="2" t="s">
        <v>47571</v>
      </c>
      <c r="V7868" s="1">
        <v>45071</v>
      </c>
      <c r="W7868" t="s">
        <v>360</v>
      </c>
      <c r="X7868">
        <v>815389</v>
      </c>
      <c r="Y7868" t="s">
        <v>47572</v>
      </c>
      <c r="Z7868" t="s">
        <v>43996</v>
      </c>
      <c r="AA7868" t="s">
        <v>20643</v>
      </c>
      <c r="AB7868" t="s">
        <v>486</v>
      </c>
      <c r="AD7868" t="s">
        <v>19700</v>
      </c>
      <c r="AE7868">
        <v>0</v>
      </c>
      <c r="AG7868" t="s">
        <v>47573</v>
      </c>
      <c r="AH7868" t="s">
        <v>30934</v>
      </c>
      <c r="AI7868" t="s">
        <v>47574</v>
      </c>
    </row>
    <row r="7869" spans="2:35" ht="345">
      <c r="B7869" s="1">
        <v>45075</v>
      </c>
      <c r="C7869" s="4">
        <v>45075.499305555553</v>
      </c>
      <c r="D7869" t="s">
        <v>217</v>
      </c>
      <c r="E7869" t="s">
        <v>3334</v>
      </c>
      <c r="F7869">
        <v>3</v>
      </c>
      <c r="G7869" t="s">
        <v>219</v>
      </c>
      <c r="H7869" t="s">
        <v>39</v>
      </c>
      <c r="I7869" t="s">
        <v>40</v>
      </c>
      <c r="J7869" s="2" t="s">
        <v>1592</v>
      </c>
      <c r="K7869" t="s">
        <v>42</v>
      </c>
      <c r="L7869" t="s">
        <v>135</v>
      </c>
      <c r="Q7869">
        <v>24694</v>
      </c>
      <c r="R7869" t="s">
        <v>45</v>
      </c>
      <c r="S7869" t="s">
        <v>47575</v>
      </c>
      <c r="T7869">
        <v>24</v>
      </c>
      <c r="U7869" s="2" t="s">
        <v>47576</v>
      </c>
      <c r="V7869" s="1">
        <v>45061</v>
      </c>
      <c r="W7869" t="s">
        <v>2680</v>
      </c>
      <c r="X7869">
        <v>804700</v>
      </c>
      <c r="Y7869" t="s">
        <v>47577</v>
      </c>
      <c r="Z7869" s="2" t="s">
        <v>47578</v>
      </c>
      <c r="AA7869" s="2" t="s">
        <v>47579</v>
      </c>
      <c r="AB7869" t="s">
        <v>181</v>
      </c>
      <c r="AC7869" t="s">
        <v>47580</v>
      </c>
      <c r="AD7869" t="s">
        <v>22730</v>
      </c>
      <c r="AE7869">
        <v>40827</v>
      </c>
      <c r="AG7869" t="s">
        <v>47581</v>
      </c>
      <c r="AH7869" t="s">
        <v>32312</v>
      </c>
      <c r="AI7869" t="s">
        <v>47582</v>
      </c>
    </row>
    <row r="7870" spans="2:35" ht="409.5">
      <c r="B7870" s="1">
        <v>45075</v>
      </c>
      <c r="C7870" s="4">
        <v>45075.431944444441</v>
      </c>
      <c r="D7870" t="s">
        <v>47583</v>
      </c>
      <c r="E7870" t="s">
        <v>47584</v>
      </c>
      <c r="F7870">
        <v>3</v>
      </c>
      <c r="G7870" t="s">
        <v>284</v>
      </c>
      <c r="H7870" t="s">
        <v>39</v>
      </c>
      <c r="I7870" t="s">
        <v>40</v>
      </c>
      <c r="J7870" s="2" t="s">
        <v>62</v>
      </c>
      <c r="K7870" t="s">
        <v>42</v>
      </c>
      <c r="L7870" t="s">
        <v>135</v>
      </c>
      <c r="Q7870">
        <v>24693</v>
      </c>
      <c r="R7870" t="s">
        <v>45</v>
      </c>
      <c r="S7870" t="s">
        <v>46310</v>
      </c>
      <c r="T7870">
        <v>30</v>
      </c>
      <c r="U7870" s="2" t="s">
        <v>47585</v>
      </c>
      <c r="V7870" s="1">
        <v>45043</v>
      </c>
      <c r="W7870" t="s">
        <v>2680</v>
      </c>
      <c r="X7870">
        <v>807561</v>
      </c>
      <c r="Y7870" t="s">
        <v>1751</v>
      </c>
      <c r="Z7870" s="2" t="s">
        <v>29789</v>
      </c>
      <c r="AA7870" s="2" t="s">
        <v>31375</v>
      </c>
      <c r="AB7870" t="s">
        <v>47586</v>
      </c>
      <c r="AC7870" t="s">
        <v>47587</v>
      </c>
      <c r="AD7870" t="s">
        <v>47588</v>
      </c>
      <c r="AE7870">
        <v>40654</v>
      </c>
      <c r="AG7870" t="s">
        <v>47589</v>
      </c>
      <c r="AH7870" t="s">
        <v>46315</v>
      </c>
      <c r="AI7870" t="s">
        <v>47590</v>
      </c>
    </row>
    <row r="7871" spans="2:35" ht="180">
      <c r="B7871" s="1">
        <v>45075</v>
      </c>
      <c r="C7871" s="4">
        <v>45072.611805555556</v>
      </c>
      <c r="D7871" t="s">
        <v>7264</v>
      </c>
      <c r="E7871" t="s">
        <v>7265</v>
      </c>
      <c r="F7871">
        <v>1</v>
      </c>
      <c r="G7871" t="s">
        <v>1909</v>
      </c>
      <c r="H7871" t="s">
        <v>39</v>
      </c>
      <c r="I7871" t="s">
        <v>40</v>
      </c>
      <c r="J7871" s="2" t="s">
        <v>41</v>
      </c>
      <c r="K7871" t="s">
        <v>42</v>
      </c>
      <c r="L7871" t="s">
        <v>1048</v>
      </c>
      <c r="Q7871">
        <v>24692</v>
      </c>
      <c r="R7871" t="s">
        <v>119</v>
      </c>
      <c r="S7871" t="s">
        <v>7266</v>
      </c>
      <c r="T7871">
        <v>29</v>
      </c>
      <c r="U7871" s="2" t="s">
        <v>47591</v>
      </c>
      <c r="W7871" t="s">
        <v>2384</v>
      </c>
      <c r="X7871">
        <v>838270</v>
      </c>
      <c r="Y7871" t="s">
        <v>47592</v>
      </c>
      <c r="Z7871" t="e">
        <f ca="1">-performed ReXpertCheck
-cleaned cartridge Bays, plunger Rods, _xludf.filter _xludf.and I-CORE</f>
        <v>#NAME?</v>
      </c>
      <c r="AA7871" t="s">
        <v>47593</v>
      </c>
      <c r="AB7871" t="s">
        <v>181</v>
      </c>
      <c r="AG7871" t="s">
        <v>47594</v>
      </c>
      <c r="AH7871" t="s">
        <v>7268</v>
      </c>
      <c r="AI7871" t="s">
        <v>47595</v>
      </c>
    </row>
    <row r="7872" spans="2:35" ht="315">
      <c r="B7872" s="1">
        <v>45075</v>
      </c>
      <c r="C7872" s="4">
        <v>45070.484722222223</v>
      </c>
      <c r="D7872" t="s">
        <v>30002</v>
      </c>
      <c r="E7872" t="s">
        <v>30003</v>
      </c>
      <c r="F7872">
        <v>12</v>
      </c>
      <c r="G7872" t="s">
        <v>2137</v>
      </c>
      <c r="H7872" t="s">
        <v>39</v>
      </c>
      <c r="I7872" t="s">
        <v>94</v>
      </c>
      <c r="J7872" s="2" t="s">
        <v>1309</v>
      </c>
      <c r="K7872" t="s">
        <v>42</v>
      </c>
      <c r="L7872" t="s">
        <v>296</v>
      </c>
      <c r="Q7872">
        <v>24691</v>
      </c>
      <c r="R7872" t="s">
        <v>45</v>
      </c>
      <c r="S7872" t="s">
        <v>30005</v>
      </c>
      <c r="T7872">
        <v>24</v>
      </c>
      <c r="U7872" s="2" t="s">
        <v>47596</v>
      </c>
      <c r="V7872" s="1">
        <v>45070</v>
      </c>
      <c r="W7872" t="s">
        <v>23049</v>
      </c>
      <c r="X7872">
        <v>815284</v>
      </c>
      <c r="Y7872" t="s">
        <v>20732</v>
      </c>
      <c r="Z7872" s="2" t="s">
        <v>47597</v>
      </c>
      <c r="AA7872" s="2" t="s">
        <v>47597</v>
      </c>
      <c r="AB7872" t="s">
        <v>972</v>
      </c>
      <c r="AD7872" t="s">
        <v>46511</v>
      </c>
      <c r="AE7872" t="s">
        <v>47598</v>
      </c>
      <c r="AG7872" t="s">
        <v>47599</v>
      </c>
      <c r="AH7872" t="s">
        <v>30014</v>
      </c>
      <c r="AI7872" t="s">
        <v>47600</v>
      </c>
    </row>
    <row r="7873" spans="2:35" ht="409.5">
      <c r="B7873" s="1">
        <v>45074</v>
      </c>
      <c r="C7873" s="4">
        <v>45070.586111111108</v>
      </c>
      <c r="D7873" t="s">
        <v>5060</v>
      </c>
      <c r="E7873" t="s">
        <v>15186</v>
      </c>
      <c r="F7873">
        <v>3</v>
      </c>
      <c r="G7873" t="s">
        <v>284</v>
      </c>
      <c r="H7873" t="s">
        <v>2548</v>
      </c>
      <c r="I7873" t="s">
        <v>40</v>
      </c>
      <c r="J7873" t="s">
        <v>321</v>
      </c>
      <c r="K7873" t="s">
        <v>42</v>
      </c>
      <c r="L7873" t="s">
        <v>135</v>
      </c>
      <c r="Q7873">
        <v>24690</v>
      </c>
      <c r="R7873" t="s">
        <v>322</v>
      </c>
      <c r="S7873" t="s">
        <v>15228</v>
      </c>
      <c r="T7873">
        <v>31</v>
      </c>
      <c r="U7873" s="2" t="s">
        <v>47601</v>
      </c>
      <c r="V7873" s="1">
        <v>45065</v>
      </c>
      <c r="W7873" t="s">
        <v>2680</v>
      </c>
      <c r="X7873">
        <v>110017894</v>
      </c>
      <c r="Y7873" t="s">
        <v>47602</v>
      </c>
      <c r="Z7873" t="s">
        <v>13110</v>
      </c>
      <c r="AA7873" s="2" t="s">
        <v>47603</v>
      </c>
      <c r="AB7873" t="s">
        <v>181</v>
      </c>
      <c r="AD7873" t="s">
        <v>18199</v>
      </c>
      <c r="AE7873">
        <v>5256</v>
      </c>
      <c r="AG7873" t="s">
        <v>47604</v>
      </c>
      <c r="AH7873" t="s">
        <v>15231</v>
      </c>
      <c r="AI7873" t="s">
        <v>47605</v>
      </c>
    </row>
    <row r="7874" spans="2:35" ht="409.5">
      <c r="B7874" s="1">
        <v>45074</v>
      </c>
      <c r="C7874" s="4">
        <v>45070.586111111108</v>
      </c>
      <c r="D7874" t="s">
        <v>5060</v>
      </c>
      <c r="E7874" t="s">
        <v>15186</v>
      </c>
      <c r="F7874">
        <v>3</v>
      </c>
      <c r="G7874" t="s">
        <v>284</v>
      </c>
      <c r="H7874" t="s">
        <v>2548</v>
      </c>
      <c r="I7874" t="s">
        <v>40</v>
      </c>
      <c r="J7874" t="s">
        <v>321</v>
      </c>
      <c r="K7874" t="s">
        <v>42</v>
      </c>
      <c r="L7874" t="s">
        <v>135</v>
      </c>
      <c r="Q7874">
        <v>24689</v>
      </c>
      <c r="R7874" t="s">
        <v>322</v>
      </c>
      <c r="S7874" t="s">
        <v>15228</v>
      </c>
      <c r="T7874">
        <v>31</v>
      </c>
      <c r="U7874" s="2" t="s">
        <v>47601</v>
      </c>
      <c r="V7874" s="1">
        <v>45065</v>
      </c>
      <c r="W7874" t="s">
        <v>2680</v>
      </c>
      <c r="X7874">
        <v>110017894</v>
      </c>
      <c r="Y7874" t="s">
        <v>47602</v>
      </c>
      <c r="Z7874" t="s">
        <v>13110</v>
      </c>
      <c r="AA7874" s="2" t="s">
        <v>47603</v>
      </c>
      <c r="AB7874" t="s">
        <v>181</v>
      </c>
      <c r="AD7874" t="s">
        <v>18199</v>
      </c>
      <c r="AE7874">
        <v>5256</v>
      </c>
      <c r="AG7874" t="s">
        <v>47606</v>
      </c>
      <c r="AH7874" t="s">
        <v>15231</v>
      </c>
      <c r="AI7874" t="s">
        <v>47607</v>
      </c>
    </row>
    <row r="7875" spans="2:35" ht="60">
      <c r="B7875" s="1">
        <v>45072</v>
      </c>
      <c r="C7875" s="4">
        <v>45069.645833333336</v>
      </c>
      <c r="D7875" t="s">
        <v>47608</v>
      </c>
      <c r="E7875" t="s">
        <v>47609</v>
      </c>
      <c r="F7875" t="s">
        <v>148</v>
      </c>
      <c r="G7875" t="s">
        <v>447</v>
      </c>
      <c r="H7875" t="s">
        <v>386</v>
      </c>
      <c r="I7875" t="s">
        <v>40</v>
      </c>
      <c r="J7875" s="2" t="s">
        <v>62</v>
      </c>
      <c r="K7875" t="s">
        <v>387</v>
      </c>
      <c r="L7875" t="s">
        <v>448</v>
      </c>
      <c r="Q7875">
        <v>24688</v>
      </c>
      <c r="R7875" t="s">
        <v>322</v>
      </c>
      <c r="S7875" t="s">
        <v>6331</v>
      </c>
      <c r="T7875">
        <v>28</v>
      </c>
      <c r="W7875" t="s">
        <v>476</v>
      </c>
      <c r="X7875" t="s">
        <v>477</v>
      </c>
      <c r="Y7875" t="s">
        <v>25152</v>
      </c>
      <c r="Z7875" t="s">
        <v>47610</v>
      </c>
      <c r="AA7875" t="s">
        <v>28181</v>
      </c>
      <c r="AB7875" t="s">
        <v>486</v>
      </c>
      <c r="AC7875" t="s">
        <v>47611</v>
      </c>
      <c r="AG7875" t="s">
        <v>47612</v>
      </c>
      <c r="AH7875" t="s">
        <v>26004</v>
      </c>
      <c r="AI7875" t="s">
        <v>47613</v>
      </c>
    </row>
    <row r="7876" spans="2:35" ht="60">
      <c r="B7876" s="1">
        <v>45072</v>
      </c>
      <c r="C7876" s="4">
        <v>45069.647916666669</v>
      </c>
      <c r="D7876" t="s">
        <v>47608</v>
      </c>
      <c r="E7876" t="s">
        <v>47609</v>
      </c>
      <c r="F7876" t="s">
        <v>148</v>
      </c>
      <c r="G7876" t="s">
        <v>447</v>
      </c>
      <c r="H7876" t="s">
        <v>386</v>
      </c>
      <c r="I7876" t="s">
        <v>40</v>
      </c>
      <c r="J7876" s="2" t="s">
        <v>62</v>
      </c>
      <c r="K7876" t="s">
        <v>387</v>
      </c>
      <c r="L7876" t="s">
        <v>448</v>
      </c>
      <c r="Q7876">
        <v>24687</v>
      </c>
      <c r="R7876" t="s">
        <v>322</v>
      </c>
      <c r="S7876" t="s">
        <v>6331</v>
      </c>
      <c r="T7876">
        <v>28</v>
      </c>
      <c r="W7876" t="s">
        <v>476</v>
      </c>
      <c r="X7876" t="s">
        <v>20799</v>
      </c>
      <c r="Y7876" t="s">
        <v>25152</v>
      </c>
      <c r="Z7876" t="s">
        <v>47610</v>
      </c>
      <c r="AA7876" t="s">
        <v>28181</v>
      </c>
      <c r="AB7876" t="s">
        <v>486</v>
      </c>
      <c r="AG7876" t="s">
        <v>47614</v>
      </c>
      <c r="AH7876" t="s">
        <v>26004</v>
      </c>
      <c r="AI7876" t="s">
        <v>47615</v>
      </c>
    </row>
    <row r="7877" spans="2:35" ht="60">
      <c r="B7877" s="1">
        <v>45072</v>
      </c>
      <c r="C7877" s="4">
        <v>45069.650694444441</v>
      </c>
      <c r="D7877" t="s">
        <v>47608</v>
      </c>
      <c r="E7877" t="s">
        <v>47616</v>
      </c>
      <c r="F7877" t="s">
        <v>148</v>
      </c>
      <c r="G7877" t="s">
        <v>447</v>
      </c>
      <c r="H7877" t="s">
        <v>386</v>
      </c>
      <c r="I7877" t="s">
        <v>40</v>
      </c>
      <c r="J7877" s="2" t="s">
        <v>62</v>
      </c>
      <c r="K7877" t="s">
        <v>387</v>
      </c>
      <c r="L7877" t="s">
        <v>448</v>
      </c>
      <c r="Q7877">
        <v>24686</v>
      </c>
      <c r="R7877" t="s">
        <v>322</v>
      </c>
      <c r="S7877" t="s">
        <v>6331</v>
      </c>
      <c r="T7877">
        <v>28</v>
      </c>
      <c r="W7877" t="s">
        <v>476</v>
      </c>
      <c r="X7877" t="s">
        <v>47617</v>
      </c>
      <c r="Y7877" t="s">
        <v>25152</v>
      </c>
      <c r="Z7877" t="s">
        <v>47610</v>
      </c>
      <c r="AA7877" t="s">
        <v>28181</v>
      </c>
      <c r="AB7877" t="s">
        <v>486</v>
      </c>
      <c r="AC7877" t="s">
        <v>47611</v>
      </c>
      <c r="AG7877" t="s">
        <v>47618</v>
      </c>
      <c r="AH7877" t="s">
        <v>26004</v>
      </c>
      <c r="AI7877" t="s">
        <v>47619</v>
      </c>
    </row>
    <row r="7878" spans="2:35" ht="180">
      <c r="B7878" s="1">
        <v>45072</v>
      </c>
      <c r="C7878" s="4">
        <v>45072.373611111114</v>
      </c>
      <c r="D7878" t="s">
        <v>47620</v>
      </c>
      <c r="E7878" t="s">
        <v>47621</v>
      </c>
      <c r="F7878" t="s">
        <v>37</v>
      </c>
      <c r="G7878" t="s">
        <v>2499</v>
      </c>
      <c r="H7878" t="s">
        <v>39</v>
      </c>
      <c r="I7878" t="s">
        <v>40</v>
      </c>
      <c r="J7878" s="2" t="s">
        <v>41</v>
      </c>
      <c r="K7878" t="s">
        <v>42</v>
      </c>
      <c r="L7878" t="s">
        <v>448</v>
      </c>
      <c r="Q7878">
        <v>24685</v>
      </c>
      <c r="R7878" t="s">
        <v>45</v>
      </c>
      <c r="S7878" t="s">
        <v>47622</v>
      </c>
      <c r="T7878">
        <v>31</v>
      </c>
      <c r="U7878" s="2" t="s">
        <v>47623</v>
      </c>
      <c r="V7878" s="1">
        <v>45072</v>
      </c>
      <c r="W7878" t="s">
        <v>360</v>
      </c>
      <c r="X7878">
        <v>815388</v>
      </c>
      <c r="Y7878" t="s">
        <v>41281</v>
      </c>
      <c r="Z7878" t="s">
        <v>47624</v>
      </c>
      <c r="AA7878" t="s">
        <v>20643</v>
      </c>
      <c r="AB7878" t="s">
        <v>486</v>
      </c>
      <c r="AD7878" t="s">
        <v>13296</v>
      </c>
      <c r="AE7878">
        <v>0</v>
      </c>
      <c r="AG7878" t="s">
        <v>47625</v>
      </c>
      <c r="AH7878" t="s">
        <v>47626</v>
      </c>
      <c r="AI7878" t="s">
        <v>47627</v>
      </c>
    </row>
    <row r="7879" spans="2:35" ht="180">
      <c r="B7879" s="1">
        <v>45072</v>
      </c>
      <c r="C7879" s="4">
        <v>45072.373611111114</v>
      </c>
      <c r="D7879" t="s">
        <v>47620</v>
      </c>
      <c r="E7879" t="s">
        <v>47621</v>
      </c>
      <c r="F7879" t="s">
        <v>37</v>
      </c>
      <c r="G7879" t="s">
        <v>2499</v>
      </c>
      <c r="H7879" t="s">
        <v>39</v>
      </c>
      <c r="I7879" t="s">
        <v>40</v>
      </c>
      <c r="J7879" s="2" t="s">
        <v>41</v>
      </c>
      <c r="K7879" t="s">
        <v>42</v>
      </c>
      <c r="L7879" t="s">
        <v>448</v>
      </c>
      <c r="Q7879">
        <v>24684</v>
      </c>
      <c r="R7879" t="s">
        <v>45</v>
      </c>
      <c r="S7879" t="s">
        <v>47622</v>
      </c>
      <c r="T7879">
        <v>31</v>
      </c>
      <c r="U7879" s="2" t="s">
        <v>47623</v>
      </c>
      <c r="V7879" s="1">
        <v>45072</v>
      </c>
      <c r="W7879" t="s">
        <v>360</v>
      </c>
      <c r="X7879">
        <v>815388</v>
      </c>
      <c r="Y7879" t="s">
        <v>41281</v>
      </c>
      <c r="Z7879" t="s">
        <v>47624</v>
      </c>
      <c r="AA7879" t="s">
        <v>20643</v>
      </c>
      <c r="AB7879" t="s">
        <v>486</v>
      </c>
      <c r="AD7879" t="s">
        <v>13296</v>
      </c>
      <c r="AE7879">
        <v>0</v>
      </c>
      <c r="AG7879" t="s">
        <v>47628</v>
      </c>
      <c r="AH7879" t="s">
        <v>47626</v>
      </c>
      <c r="AI7879" t="s">
        <v>47629</v>
      </c>
    </row>
    <row r="7880" spans="2:35" ht="60">
      <c r="B7880" s="1">
        <v>45072</v>
      </c>
      <c r="C7880" s="4">
        <v>45070.62777777778</v>
      </c>
      <c r="D7880" t="s">
        <v>9540</v>
      </c>
      <c r="E7880" t="s">
        <v>47630</v>
      </c>
      <c r="F7880" t="s">
        <v>148</v>
      </c>
      <c r="G7880" t="s">
        <v>4786</v>
      </c>
      <c r="H7880" t="s">
        <v>386</v>
      </c>
      <c r="I7880" t="s">
        <v>94</v>
      </c>
      <c r="J7880" s="2" t="s">
        <v>62</v>
      </c>
      <c r="K7880" t="s">
        <v>387</v>
      </c>
      <c r="L7880" t="s">
        <v>448</v>
      </c>
      <c r="Q7880">
        <v>24683</v>
      </c>
      <c r="R7880" t="s">
        <v>95</v>
      </c>
      <c r="S7880" t="s">
        <v>10335</v>
      </c>
      <c r="T7880">
        <v>29</v>
      </c>
      <c r="V7880" s="1">
        <v>45055</v>
      </c>
      <c r="W7880" t="s">
        <v>476</v>
      </c>
      <c r="X7880" t="s">
        <v>10336</v>
      </c>
      <c r="Y7880" t="s">
        <v>28759</v>
      </c>
      <c r="Z7880" t="s">
        <v>47631</v>
      </c>
      <c r="AA7880" t="s">
        <v>47632</v>
      </c>
      <c r="AB7880" t="s">
        <v>486</v>
      </c>
      <c r="AC7880" t="s">
        <v>47633</v>
      </c>
      <c r="AD7880" t="s">
        <v>5492</v>
      </c>
      <c r="AE7880">
        <v>9983</v>
      </c>
      <c r="AG7880" t="s">
        <v>47634</v>
      </c>
      <c r="AH7880" t="s">
        <v>47635</v>
      </c>
      <c r="AI7880" t="s">
        <v>47636</v>
      </c>
    </row>
    <row r="7881" spans="2:35" ht="105">
      <c r="B7881" s="1">
        <v>45072</v>
      </c>
      <c r="C7881" s="4">
        <v>45072.472222222219</v>
      </c>
      <c r="D7881" t="s">
        <v>37272</v>
      </c>
      <c r="E7881" t="s">
        <v>37273</v>
      </c>
      <c r="F7881">
        <v>9</v>
      </c>
      <c r="G7881" t="s">
        <v>2197</v>
      </c>
      <c r="H7881" t="s">
        <v>39</v>
      </c>
      <c r="I7881" t="s">
        <v>40</v>
      </c>
      <c r="J7881" t="s">
        <v>321</v>
      </c>
      <c r="K7881" t="s">
        <v>42</v>
      </c>
      <c r="L7881" t="s">
        <v>1257</v>
      </c>
      <c r="Q7881">
        <v>24682</v>
      </c>
      <c r="R7881" t="s">
        <v>45</v>
      </c>
      <c r="S7881" t="s">
        <v>44865</v>
      </c>
      <c r="T7881">
        <v>29</v>
      </c>
      <c r="U7881" s="2" t="s">
        <v>47637</v>
      </c>
      <c r="V7881" s="1">
        <v>45072</v>
      </c>
      <c r="W7881" t="s">
        <v>2384</v>
      </c>
      <c r="X7881">
        <v>815269</v>
      </c>
      <c r="Y7881" t="s">
        <v>47638</v>
      </c>
      <c r="Z7881" t="s">
        <v>47639</v>
      </c>
      <c r="AA7881" t="s">
        <v>47640</v>
      </c>
      <c r="AB7881" t="s">
        <v>7411</v>
      </c>
      <c r="AC7881" t="s">
        <v>301</v>
      </c>
      <c r="AD7881" t="s">
        <v>54</v>
      </c>
      <c r="AE7881" t="s">
        <v>54</v>
      </c>
      <c r="AG7881" t="s">
        <v>47641</v>
      </c>
      <c r="AH7881" t="s">
        <v>47642</v>
      </c>
      <c r="AI7881" t="s">
        <v>47643</v>
      </c>
    </row>
    <row r="7882" spans="2:35" ht="105">
      <c r="B7882" s="1">
        <v>45072</v>
      </c>
      <c r="C7882" s="4">
        <v>45072.472222222219</v>
      </c>
      <c r="D7882" t="s">
        <v>37272</v>
      </c>
      <c r="E7882" t="s">
        <v>37273</v>
      </c>
      <c r="F7882">
        <v>9</v>
      </c>
      <c r="G7882" t="s">
        <v>2197</v>
      </c>
      <c r="H7882" t="s">
        <v>39</v>
      </c>
      <c r="I7882" t="s">
        <v>40</v>
      </c>
      <c r="J7882" t="s">
        <v>321</v>
      </c>
      <c r="K7882" t="s">
        <v>42</v>
      </c>
      <c r="L7882" t="s">
        <v>1257</v>
      </c>
      <c r="Q7882">
        <v>24681</v>
      </c>
      <c r="R7882" t="s">
        <v>45</v>
      </c>
      <c r="S7882" t="s">
        <v>44865</v>
      </c>
      <c r="T7882">
        <v>29</v>
      </c>
      <c r="U7882" s="2" t="s">
        <v>47637</v>
      </c>
      <c r="V7882" s="1">
        <v>45072</v>
      </c>
      <c r="W7882" t="s">
        <v>2384</v>
      </c>
      <c r="X7882">
        <v>815269</v>
      </c>
      <c r="Y7882" t="s">
        <v>47638</v>
      </c>
      <c r="Z7882" t="s">
        <v>47639</v>
      </c>
      <c r="AA7882" t="s">
        <v>47640</v>
      </c>
      <c r="AB7882" t="s">
        <v>7411</v>
      </c>
      <c r="AC7882" t="s">
        <v>301</v>
      </c>
      <c r="AD7882" t="s">
        <v>54</v>
      </c>
      <c r="AE7882" t="s">
        <v>54</v>
      </c>
      <c r="AG7882" t="s">
        <v>47644</v>
      </c>
      <c r="AH7882" t="s">
        <v>47642</v>
      </c>
      <c r="AI7882" t="s">
        <v>47645</v>
      </c>
    </row>
    <row r="7883" spans="2:35" ht="390">
      <c r="B7883" s="1">
        <v>45072</v>
      </c>
      <c r="C7883" s="4">
        <v>45072.672222222223</v>
      </c>
      <c r="D7883" t="s">
        <v>1607</v>
      </c>
      <c r="E7883" t="s">
        <v>42877</v>
      </c>
      <c r="F7883" t="s">
        <v>148</v>
      </c>
      <c r="G7883" t="s">
        <v>371</v>
      </c>
      <c r="H7883" t="s">
        <v>39</v>
      </c>
      <c r="I7883" t="s">
        <v>40</v>
      </c>
      <c r="J7883" s="2" t="s">
        <v>190</v>
      </c>
      <c r="K7883" t="s">
        <v>42</v>
      </c>
      <c r="L7883" t="s">
        <v>175</v>
      </c>
      <c r="Q7883">
        <v>24680</v>
      </c>
      <c r="R7883" t="s">
        <v>45</v>
      </c>
      <c r="S7883" t="s">
        <v>47646</v>
      </c>
      <c r="T7883">
        <v>25</v>
      </c>
      <c r="U7883" s="2" t="s">
        <v>47647</v>
      </c>
      <c r="W7883" t="s">
        <v>84</v>
      </c>
      <c r="X7883">
        <v>815395</v>
      </c>
      <c r="Y7883" t="s">
        <v>47648</v>
      </c>
      <c r="Z7883" s="2" t="s">
        <v>47649</v>
      </c>
      <c r="AA7883" t="s">
        <v>47650</v>
      </c>
      <c r="AB7883" s="2" t="s">
        <v>47651</v>
      </c>
      <c r="AG7883" t="s">
        <v>47652</v>
      </c>
      <c r="AH7883" t="s">
        <v>47653</v>
      </c>
      <c r="AI7883" t="s">
        <v>47654</v>
      </c>
    </row>
    <row r="7884" spans="2:35" ht="105">
      <c r="B7884" s="1">
        <v>45072</v>
      </c>
      <c r="C7884" s="4">
        <v>45072.472222222219</v>
      </c>
      <c r="D7884" t="s">
        <v>37272</v>
      </c>
      <c r="E7884" t="s">
        <v>37273</v>
      </c>
      <c r="F7884">
        <v>9</v>
      </c>
      <c r="G7884" t="s">
        <v>2197</v>
      </c>
      <c r="H7884" t="s">
        <v>39</v>
      </c>
      <c r="I7884" t="s">
        <v>40</v>
      </c>
      <c r="J7884" t="s">
        <v>321</v>
      </c>
      <c r="K7884" t="s">
        <v>42</v>
      </c>
      <c r="L7884" t="s">
        <v>1257</v>
      </c>
      <c r="Q7884">
        <v>24679</v>
      </c>
      <c r="R7884" t="s">
        <v>45</v>
      </c>
      <c r="S7884" t="s">
        <v>44865</v>
      </c>
      <c r="T7884">
        <v>29</v>
      </c>
      <c r="U7884" s="2" t="s">
        <v>47637</v>
      </c>
      <c r="V7884" s="1">
        <v>45072</v>
      </c>
      <c r="W7884" t="s">
        <v>2384</v>
      </c>
      <c r="X7884">
        <v>815269</v>
      </c>
      <c r="Y7884" t="s">
        <v>47638</v>
      </c>
      <c r="Z7884" t="s">
        <v>47639</v>
      </c>
      <c r="AA7884" t="s">
        <v>47655</v>
      </c>
      <c r="AB7884" t="s">
        <v>7411</v>
      </c>
      <c r="AC7884" t="s">
        <v>301</v>
      </c>
      <c r="AD7884" t="s">
        <v>54</v>
      </c>
      <c r="AE7884" t="s">
        <v>54</v>
      </c>
      <c r="AG7884" t="s">
        <v>47656</v>
      </c>
      <c r="AH7884" t="s">
        <v>47642</v>
      </c>
      <c r="AI7884" t="s">
        <v>47657</v>
      </c>
    </row>
    <row r="7885" spans="2:35" ht="360">
      <c r="B7885" s="1">
        <v>45072</v>
      </c>
      <c r="C7885" s="4">
        <v>45072.544444444444</v>
      </c>
      <c r="D7885" t="s">
        <v>42136</v>
      </c>
      <c r="E7885" t="s">
        <v>34617</v>
      </c>
      <c r="F7885">
        <v>11</v>
      </c>
      <c r="G7885" t="s">
        <v>1205</v>
      </c>
      <c r="H7885" t="s">
        <v>1317</v>
      </c>
      <c r="I7885" t="s">
        <v>40</v>
      </c>
      <c r="J7885" s="2" t="s">
        <v>190</v>
      </c>
      <c r="K7885" t="s">
        <v>42</v>
      </c>
      <c r="L7885" t="s">
        <v>204</v>
      </c>
      <c r="Q7885">
        <v>24678</v>
      </c>
      <c r="R7885" t="s">
        <v>322</v>
      </c>
      <c r="S7885" t="s">
        <v>1318</v>
      </c>
      <c r="T7885">
        <v>24.5</v>
      </c>
      <c r="W7885" t="s">
        <v>23237</v>
      </c>
      <c r="X7885">
        <v>839236</v>
      </c>
      <c r="Y7885" t="s">
        <v>47658</v>
      </c>
      <c r="Z7885" s="2" t="s">
        <v>47659</v>
      </c>
      <c r="AA7885" t="s">
        <v>47660</v>
      </c>
      <c r="AB7885" t="s">
        <v>47661</v>
      </c>
      <c r="AC7885" t="s">
        <v>34619</v>
      </c>
      <c r="AG7885" t="s">
        <v>47662</v>
      </c>
      <c r="AH7885" t="s">
        <v>47663</v>
      </c>
      <c r="AI7885" t="s">
        <v>47664</v>
      </c>
    </row>
    <row r="7886" spans="2:35" ht="210">
      <c r="B7886" s="1">
        <v>45072</v>
      </c>
      <c r="C7886" s="4">
        <v>45072.521527777775</v>
      </c>
      <c r="D7886" t="s">
        <v>8986</v>
      </c>
      <c r="E7886" t="s">
        <v>43896</v>
      </c>
      <c r="F7886" t="s">
        <v>148</v>
      </c>
      <c r="G7886" t="s">
        <v>310</v>
      </c>
      <c r="H7886" t="s">
        <v>39</v>
      </c>
      <c r="I7886" t="s">
        <v>40</v>
      </c>
      <c r="J7886" s="2" t="s">
        <v>41</v>
      </c>
      <c r="K7886" t="s">
        <v>42</v>
      </c>
      <c r="L7886" t="s">
        <v>29119</v>
      </c>
      <c r="Q7886">
        <v>24677</v>
      </c>
      <c r="R7886" t="s">
        <v>703</v>
      </c>
      <c r="S7886" t="s">
        <v>47665</v>
      </c>
      <c r="T7886">
        <v>22</v>
      </c>
      <c r="U7886" s="2" t="s">
        <v>47666</v>
      </c>
      <c r="V7886" s="1">
        <v>45070</v>
      </c>
      <c r="W7886" t="s">
        <v>6776</v>
      </c>
      <c r="X7886">
        <v>110000711</v>
      </c>
      <c r="Y7886" t="s">
        <v>47667</v>
      </c>
      <c r="Z7886" s="2" t="s">
        <v>47668</v>
      </c>
      <c r="AA7886" s="2" t="s">
        <v>47669</v>
      </c>
      <c r="AB7886" t="s">
        <v>70</v>
      </c>
      <c r="AC7886" t="s">
        <v>47670</v>
      </c>
      <c r="AD7886" t="s">
        <v>47671</v>
      </c>
      <c r="AE7886">
        <v>5269</v>
      </c>
      <c r="AG7886" t="s">
        <v>47672</v>
      </c>
      <c r="AH7886" t="s">
        <v>47673</v>
      </c>
      <c r="AI7886" t="s">
        <v>47674</v>
      </c>
    </row>
    <row r="7887" spans="2:35" ht="135">
      <c r="B7887" s="1">
        <v>45072</v>
      </c>
      <c r="C7887" s="4">
        <v>45072.522222222222</v>
      </c>
      <c r="D7887" t="s">
        <v>47449</v>
      </c>
      <c r="E7887" t="s">
        <v>8908</v>
      </c>
      <c r="F7887" t="s">
        <v>37</v>
      </c>
      <c r="G7887" t="s">
        <v>189</v>
      </c>
      <c r="H7887" t="s">
        <v>39</v>
      </c>
      <c r="I7887" t="s">
        <v>40</v>
      </c>
      <c r="J7887" s="2" t="s">
        <v>62</v>
      </c>
      <c r="K7887" t="s">
        <v>42</v>
      </c>
      <c r="L7887" t="s">
        <v>1943</v>
      </c>
      <c r="Q7887">
        <v>24676</v>
      </c>
      <c r="R7887" t="s">
        <v>119</v>
      </c>
      <c r="S7887" t="s">
        <v>2108</v>
      </c>
      <c r="T7887">
        <v>25</v>
      </c>
      <c r="U7887" s="2" t="s">
        <v>25364</v>
      </c>
      <c r="V7887" s="1">
        <v>45069</v>
      </c>
      <c r="W7887" t="s">
        <v>84</v>
      </c>
      <c r="X7887">
        <v>821420</v>
      </c>
      <c r="Y7887" s="2" t="s">
        <v>23659</v>
      </c>
      <c r="Z7887" s="2" t="s">
        <v>32801</v>
      </c>
      <c r="AA7887" t="s">
        <v>32281</v>
      </c>
      <c r="AB7887" t="s">
        <v>47450</v>
      </c>
      <c r="AD7887" t="s">
        <v>5056</v>
      </c>
      <c r="AE7887" t="s">
        <v>47451</v>
      </c>
      <c r="AG7887" t="s">
        <v>47675</v>
      </c>
      <c r="AH7887" t="s">
        <v>27427</v>
      </c>
      <c r="AI7887" t="s">
        <v>47676</v>
      </c>
    </row>
    <row r="7888" spans="2:35" ht="285">
      <c r="B7888" s="1">
        <v>45072</v>
      </c>
      <c r="C7888" s="4">
        <v>45072.517361111109</v>
      </c>
      <c r="D7888" t="s">
        <v>1155</v>
      </c>
      <c r="E7888" t="s">
        <v>8331</v>
      </c>
      <c r="F7888" t="s">
        <v>148</v>
      </c>
      <c r="G7888" t="s">
        <v>230</v>
      </c>
      <c r="H7888" t="s">
        <v>39</v>
      </c>
      <c r="I7888" t="s">
        <v>40</v>
      </c>
      <c r="J7888" s="2" t="s">
        <v>190</v>
      </c>
      <c r="K7888" t="s">
        <v>42</v>
      </c>
      <c r="L7888" t="s">
        <v>175</v>
      </c>
      <c r="Q7888">
        <v>24675</v>
      </c>
      <c r="R7888" t="s">
        <v>322</v>
      </c>
      <c r="S7888" t="s">
        <v>1159</v>
      </c>
      <c r="T7888">
        <v>25</v>
      </c>
      <c r="U7888" s="2" t="s">
        <v>47677</v>
      </c>
      <c r="W7888" t="s">
        <v>84</v>
      </c>
      <c r="X7888">
        <v>807956</v>
      </c>
      <c r="Y7888" t="s">
        <v>47678</v>
      </c>
      <c r="Z7888" t="e">
        <f ca="1">- scanned system _xludf.Log _xludf.For errors
- generated reports
- checked cartridge bay, plunger rod, _xludf.filter</f>
        <v>#NAME?</v>
      </c>
      <c r="AA7888" t="s">
        <v>47679</v>
      </c>
      <c r="AB7888" s="2" t="s">
        <v>47680</v>
      </c>
      <c r="AG7888" t="s">
        <v>47681</v>
      </c>
      <c r="AH7888" t="s">
        <v>31586</v>
      </c>
      <c r="AI7888" t="s">
        <v>47682</v>
      </c>
    </row>
    <row r="7889" spans="2:35" ht="330">
      <c r="B7889" s="1">
        <v>45072</v>
      </c>
      <c r="C7889" s="4">
        <v>45072.513194444444</v>
      </c>
      <c r="D7889" t="s">
        <v>2408</v>
      </c>
      <c r="E7889" t="s">
        <v>2409</v>
      </c>
      <c r="F7889">
        <v>3</v>
      </c>
      <c r="G7889" t="s">
        <v>730</v>
      </c>
      <c r="H7889" t="s">
        <v>39</v>
      </c>
      <c r="I7889" t="s">
        <v>40</v>
      </c>
      <c r="J7889" s="2" t="s">
        <v>220</v>
      </c>
      <c r="K7889" t="s">
        <v>42</v>
      </c>
      <c r="L7889" t="s">
        <v>135</v>
      </c>
      <c r="Q7889">
        <v>24674</v>
      </c>
      <c r="R7889" t="s">
        <v>45</v>
      </c>
      <c r="S7889" t="s">
        <v>2410</v>
      </c>
      <c r="T7889">
        <v>26</v>
      </c>
      <c r="U7889" s="2" t="s">
        <v>47683</v>
      </c>
      <c r="W7889" t="s">
        <v>2680</v>
      </c>
      <c r="X7889">
        <v>807562</v>
      </c>
      <c r="Y7889" t="s">
        <v>47684</v>
      </c>
      <c r="Z7889" s="2" t="s">
        <v>22434</v>
      </c>
      <c r="AA7889" s="2" t="s">
        <v>47685</v>
      </c>
      <c r="AB7889" t="s">
        <v>181</v>
      </c>
      <c r="AG7889" t="s">
        <v>47686</v>
      </c>
      <c r="AH7889" t="s">
        <v>47687</v>
      </c>
      <c r="AI7889" t="s">
        <v>47688</v>
      </c>
    </row>
    <row r="7890" spans="2:35" ht="180">
      <c r="B7890" s="1">
        <v>45072</v>
      </c>
      <c r="C7890" s="4">
        <v>45072.504166666666</v>
      </c>
      <c r="D7890" t="s">
        <v>47689</v>
      </c>
      <c r="E7890" t="s">
        <v>47690</v>
      </c>
      <c r="F7890" t="s">
        <v>1181</v>
      </c>
      <c r="G7890" t="s">
        <v>41912</v>
      </c>
      <c r="H7890" t="s">
        <v>39</v>
      </c>
      <c r="I7890" t="s">
        <v>40</v>
      </c>
      <c r="J7890" t="s">
        <v>109</v>
      </c>
      <c r="K7890" t="s">
        <v>42</v>
      </c>
      <c r="L7890" t="s">
        <v>15532</v>
      </c>
      <c r="Q7890">
        <v>24673</v>
      </c>
      <c r="R7890" t="s">
        <v>322</v>
      </c>
      <c r="S7890" t="s">
        <v>47691</v>
      </c>
      <c r="T7890">
        <v>28</v>
      </c>
      <c r="U7890" s="2" t="s">
        <v>47692</v>
      </c>
      <c r="W7890" t="s">
        <v>3244</v>
      </c>
      <c r="X7890">
        <v>847724</v>
      </c>
      <c r="Y7890" t="s">
        <v>37766</v>
      </c>
      <c r="Z7890" t="s">
        <v>47693</v>
      </c>
      <c r="AA7890" t="s">
        <v>47694</v>
      </c>
      <c r="AB7890" t="s">
        <v>47695</v>
      </c>
      <c r="AG7890" t="s">
        <v>47696</v>
      </c>
      <c r="AH7890" t="s">
        <v>47697</v>
      </c>
      <c r="AI7890" t="s">
        <v>47698</v>
      </c>
    </row>
    <row r="7891" spans="2:35" ht="270">
      <c r="B7891" s="1">
        <v>45072</v>
      </c>
      <c r="C7891" s="4">
        <v>45072.49722222222</v>
      </c>
      <c r="D7891" t="s">
        <v>4482</v>
      </c>
      <c r="E7891" t="s">
        <v>8024</v>
      </c>
      <c r="F7891">
        <v>13</v>
      </c>
      <c r="G7891" t="s">
        <v>4484</v>
      </c>
      <c r="H7891" t="s">
        <v>61</v>
      </c>
      <c r="I7891" t="s">
        <v>40</v>
      </c>
      <c r="J7891" t="s">
        <v>79</v>
      </c>
      <c r="K7891" t="s">
        <v>42</v>
      </c>
      <c r="L7891" t="s">
        <v>933</v>
      </c>
      <c r="Q7891">
        <v>24672</v>
      </c>
      <c r="R7891" t="s">
        <v>95</v>
      </c>
      <c r="S7891" t="s">
        <v>8025</v>
      </c>
      <c r="T7891">
        <v>21.27</v>
      </c>
      <c r="U7891" s="2" t="s">
        <v>47699</v>
      </c>
      <c r="W7891" t="s">
        <v>3662</v>
      </c>
      <c r="X7891">
        <v>831292</v>
      </c>
      <c r="Y7891" t="s">
        <v>301</v>
      </c>
      <c r="Z7891" t="s">
        <v>301</v>
      </c>
      <c r="AA7891" s="2" t="s">
        <v>47700</v>
      </c>
      <c r="AB7891" t="s">
        <v>43442</v>
      </c>
      <c r="AG7891" t="s">
        <v>47701</v>
      </c>
      <c r="AH7891" t="s">
        <v>47702</v>
      </c>
      <c r="AI7891" t="s">
        <v>47703</v>
      </c>
    </row>
    <row r="7892" spans="2:35" ht="255">
      <c r="B7892" s="1">
        <v>45072</v>
      </c>
      <c r="C7892" s="4">
        <v>45016.382638888892</v>
      </c>
      <c r="D7892" t="s">
        <v>47704</v>
      </c>
      <c r="E7892" t="s">
        <v>43896</v>
      </c>
      <c r="F7892" t="s">
        <v>148</v>
      </c>
      <c r="G7892" t="s">
        <v>310</v>
      </c>
      <c r="H7892" t="s">
        <v>39</v>
      </c>
      <c r="I7892" t="s">
        <v>40</v>
      </c>
      <c r="J7892" s="2" t="s">
        <v>62</v>
      </c>
      <c r="K7892" t="s">
        <v>42</v>
      </c>
      <c r="L7892" t="s">
        <v>29119</v>
      </c>
      <c r="Q7892">
        <v>24671</v>
      </c>
      <c r="R7892" t="s">
        <v>703</v>
      </c>
      <c r="S7892" t="s">
        <v>942</v>
      </c>
      <c r="T7892">
        <v>21</v>
      </c>
      <c r="U7892" s="2" t="s">
        <v>47705</v>
      </c>
      <c r="V7892" s="1">
        <v>45005</v>
      </c>
      <c r="W7892" t="s">
        <v>84</v>
      </c>
      <c r="X7892">
        <v>110000711</v>
      </c>
      <c r="Y7892" t="s">
        <v>47706</v>
      </c>
      <c r="Z7892" t="s">
        <v>47707</v>
      </c>
      <c r="AA7892" s="2" t="s">
        <v>47708</v>
      </c>
      <c r="AB7892" s="2" t="s">
        <v>47709</v>
      </c>
      <c r="AD7892" t="s">
        <v>5255</v>
      </c>
      <c r="AE7892">
        <v>9721</v>
      </c>
      <c r="AG7892" t="s">
        <v>47710</v>
      </c>
      <c r="AH7892" t="s">
        <v>47711</v>
      </c>
      <c r="AI7892" t="s">
        <v>47712</v>
      </c>
    </row>
    <row r="7893" spans="2:35" ht="300">
      <c r="B7893" s="1">
        <v>45072</v>
      </c>
      <c r="C7893" s="4">
        <v>45036.413194444445</v>
      </c>
      <c r="D7893" t="s">
        <v>12473</v>
      </c>
      <c r="E7893" t="s">
        <v>47713</v>
      </c>
      <c r="F7893">
        <v>10</v>
      </c>
      <c r="G7893" t="s">
        <v>931</v>
      </c>
      <c r="H7893" t="s">
        <v>1047</v>
      </c>
      <c r="I7893" t="s">
        <v>40</v>
      </c>
      <c r="J7893" t="s">
        <v>79</v>
      </c>
      <c r="K7893" t="s">
        <v>42</v>
      </c>
      <c r="L7893" t="s">
        <v>29119</v>
      </c>
      <c r="Q7893">
        <v>24670</v>
      </c>
      <c r="R7893" t="s">
        <v>119</v>
      </c>
      <c r="S7893" t="s">
        <v>47714</v>
      </c>
      <c r="T7893">
        <v>28</v>
      </c>
      <c r="U7893" s="2" t="s">
        <v>47715</v>
      </c>
      <c r="V7893" s="1">
        <v>45013</v>
      </c>
      <c r="W7893" t="s">
        <v>6776</v>
      </c>
      <c r="X7893">
        <v>838444</v>
      </c>
      <c r="Y7893" t="s">
        <v>47716</v>
      </c>
      <c r="Z7893" s="2" t="s">
        <v>47717</v>
      </c>
      <c r="AA7893" t="s">
        <v>47718</v>
      </c>
      <c r="AB7893" t="s">
        <v>47719</v>
      </c>
      <c r="AC7893" t="s">
        <v>47720</v>
      </c>
      <c r="AD7893" t="s">
        <v>47671</v>
      </c>
      <c r="AE7893" t="s">
        <v>47721</v>
      </c>
      <c r="AG7893" t="s">
        <v>47722</v>
      </c>
      <c r="AH7893" t="s">
        <v>47723</v>
      </c>
      <c r="AI7893" t="s">
        <v>47724</v>
      </c>
    </row>
    <row r="7894" spans="2:35" ht="165">
      <c r="B7894" s="1">
        <v>45072</v>
      </c>
      <c r="C7894" s="4">
        <v>45072.438194444447</v>
      </c>
      <c r="D7894" t="s">
        <v>25621</v>
      </c>
      <c r="E7894" t="s">
        <v>25622</v>
      </c>
      <c r="F7894" t="s">
        <v>37</v>
      </c>
      <c r="G7894" t="s">
        <v>189</v>
      </c>
      <c r="H7894" t="s">
        <v>34954</v>
      </c>
      <c r="I7894" t="s">
        <v>40</v>
      </c>
      <c r="J7894" s="2" t="s">
        <v>1808</v>
      </c>
      <c r="K7894" t="s">
        <v>42</v>
      </c>
      <c r="L7894" t="s">
        <v>1943</v>
      </c>
      <c r="Q7894">
        <v>24669</v>
      </c>
      <c r="R7894" t="s">
        <v>45</v>
      </c>
      <c r="S7894" t="s">
        <v>47725</v>
      </c>
      <c r="T7894">
        <v>25</v>
      </c>
      <c r="V7894" s="1">
        <v>45069</v>
      </c>
      <c r="W7894" t="s">
        <v>84</v>
      </c>
      <c r="X7894">
        <v>814153</v>
      </c>
      <c r="Y7894" s="2" t="s">
        <v>25624</v>
      </c>
      <c r="Z7894" s="2" t="s">
        <v>47726</v>
      </c>
      <c r="AA7894" t="s">
        <v>47727</v>
      </c>
      <c r="AB7894" t="s">
        <v>88</v>
      </c>
      <c r="AD7894" t="s">
        <v>47728</v>
      </c>
      <c r="AE7894" t="s">
        <v>47729</v>
      </c>
      <c r="AG7894" t="s">
        <v>47730</v>
      </c>
      <c r="AH7894" t="s">
        <v>47731</v>
      </c>
      <c r="AI7894" t="s">
        <v>47732</v>
      </c>
    </row>
    <row r="7895" spans="2:35" ht="409.5">
      <c r="B7895" s="1">
        <v>45072</v>
      </c>
      <c r="C7895" s="4">
        <v>45071.534722222219</v>
      </c>
      <c r="D7895" t="s">
        <v>47733</v>
      </c>
      <c r="E7895" t="s">
        <v>7318</v>
      </c>
      <c r="F7895">
        <v>1</v>
      </c>
      <c r="G7895" t="s">
        <v>1046</v>
      </c>
      <c r="H7895" t="s">
        <v>1047</v>
      </c>
      <c r="I7895" t="s">
        <v>40</v>
      </c>
      <c r="J7895" s="2" t="s">
        <v>62</v>
      </c>
      <c r="K7895" t="s">
        <v>42</v>
      </c>
      <c r="L7895" t="s">
        <v>135</v>
      </c>
      <c r="Q7895">
        <v>24667</v>
      </c>
      <c r="R7895" t="s">
        <v>119</v>
      </c>
      <c r="S7895" t="s">
        <v>7040</v>
      </c>
      <c r="T7895">
        <v>26</v>
      </c>
      <c r="U7895" s="2" t="s">
        <v>47734</v>
      </c>
      <c r="W7895" t="s">
        <v>2680</v>
      </c>
      <c r="X7895">
        <v>838278</v>
      </c>
      <c r="Y7895" t="s">
        <v>1751</v>
      </c>
      <c r="Z7895" s="2" t="s">
        <v>29789</v>
      </c>
      <c r="AA7895" s="2" t="s">
        <v>31375</v>
      </c>
      <c r="AB7895" t="s">
        <v>181</v>
      </c>
      <c r="AC7895" t="s">
        <v>47588</v>
      </c>
      <c r="AG7895" t="s">
        <v>47735</v>
      </c>
      <c r="AH7895" t="s">
        <v>9358</v>
      </c>
      <c r="AI7895" t="s">
        <v>47736</v>
      </c>
    </row>
    <row r="7896" spans="2:35" ht="180">
      <c r="B7896" s="1">
        <v>45072</v>
      </c>
      <c r="C7896" s="4">
        <v>45072.426388888889</v>
      </c>
      <c r="D7896" t="s">
        <v>29843</v>
      </c>
      <c r="E7896" t="s">
        <v>9296</v>
      </c>
      <c r="F7896">
        <v>3</v>
      </c>
      <c r="G7896" t="s">
        <v>730</v>
      </c>
      <c r="H7896" t="s">
        <v>61</v>
      </c>
      <c r="I7896" t="s">
        <v>40</v>
      </c>
      <c r="J7896" t="s">
        <v>321</v>
      </c>
      <c r="K7896" t="s">
        <v>42</v>
      </c>
      <c r="L7896" t="s">
        <v>135</v>
      </c>
      <c r="Q7896">
        <v>24668</v>
      </c>
      <c r="R7896" t="s">
        <v>45</v>
      </c>
      <c r="S7896" t="s">
        <v>29845</v>
      </c>
      <c r="T7896">
        <v>26</v>
      </c>
      <c r="U7896" s="2" t="s">
        <v>1509</v>
      </c>
      <c r="V7896" s="1">
        <v>45070</v>
      </c>
      <c r="W7896" t="s">
        <v>3335</v>
      </c>
      <c r="X7896">
        <v>120000179</v>
      </c>
      <c r="Y7896" t="s">
        <v>47737</v>
      </c>
      <c r="Z7896" t="s">
        <v>13110</v>
      </c>
      <c r="AA7896" s="2" t="s">
        <v>47738</v>
      </c>
      <c r="AB7896" t="s">
        <v>181</v>
      </c>
      <c r="AD7896" t="s">
        <v>18199</v>
      </c>
      <c r="AE7896">
        <v>40926</v>
      </c>
      <c r="AG7896" t="s">
        <v>47739</v>
      </c>
      <c r="AH7896" t="s">
        <v>47740</v>
      </c>
      <c r="AI7896" t="s">
        <v>47741</v>
      </c>
    </row>
    <row r="7897" spans="2:35" ht="180">
      <c r="B7897" s="1">
        <v>45072</v>
      </c>
      <c r="C7897" s="4">
        <v>45072.402083333334</v>
      </c>
      <c r="D7897" t="s">
        <v>22763</v>
      </c>
      <c r="E7897" t="s">
        <v>32674</v>
      </c>
      <c r="F7897" t="s">
        <v>148</v>
      </c>
      <c r="G7897" t="s">
        <v>22765</v>
      </c>
      <c r="H7897" t="s">
        <v>39</v>
      </c>
      <c r="I7897" t="s">
        <v>40</v>
      </c>
      <c r="J7897" t="s">
        <v>525</v>
      </c>
      <c r="K7897" t="s">
        <v>42</v>
      </c>
      <c r="L7897" t="s">
        <v>175</v>
      </c>
      <c r="Q7897">
        <v>24666</v>
      </c>
      <c r="R7897" t="s">
        <v>45</v>
      </c>
      <c r="S7897" t="s">
        <v>22766</v>
      </c>
      <c r="T7897">
        <v>25</v>
      </c>
      <c r="U7897" s="2" t="s">
        <v>26824</v>
      </c>
      <c r="W7897" t="s">
        <v>84</v>
      </c>
      <c r="X7897">
        <v>804715</v>
      </c>
      <c r="Y7897" t="s">
        <v>47742</v>
      </c>
      <c r="Z7897" t="e">
        <f ca="1">- checked module door (closed properly)
- checked nearby light sources (okay)
- performed system _xludf.restart, self test on modules multiple times (okay)
- performed reliability test on B2
- generated reports</f>
        <v>#NAME?</v>
      </c>
      <c r="AA7897" t="s">
        <v>47743</v>
      </c>
      <c r="AB7897" s="2" t="s">
        <v>47744</v>
      </c>
      <c r="AG7897" t="s">
        <v>47745</v>
      </c>
      <c r="AH7897" t="s">
        <v>47746</v>
      </c>
      <c r="AI7897" t="s">
        <v>47747</v>
      </c>
    </row>
    <row r="7898" spans="2:35" ht="270">
      <c r="B7898" s="1">
        <v>45072</v>
      </c>
      <c r="C7898" s="4">
        <v>45069.37777777778</v>
      </c>
      <c r="D7898" t="s">
        <v>5158</v>
      </c>
      <c r="E7898" t="s">
        <v>30211</v>
      </c>
      <c r="F7898" t="s">
        <v>148</v>
      </c>
      <c r="G7898" t="s">
        <v>310</v>
      </c>
      <c r="H7898" t="s">
        <v>47748</v>
      </c>
      <c r="I7898" t="s">
        <v>40</v>
      </c>
      <c r="J7898" s="2" t="s">
        <v>62</v>
      </c>
      <c r="K7898" t="s">
        <v>42</v>
      </c>
      <c r="L7898" t="s">
        <v>175</v>
      </c>
      <c r="Q7898">
        <v>24665</v>
      </c>
      <c r="R7898" t="s">
        <v>322</v>
      </c>
      <c r="S7898" t="s">
        <v>14635</v>
      </c>
      <c r="T7898">
        <v>25</v>
      </c>
      <c r="U7898" s="2" t="s">
        <v>47749</v>
      </c>
      <c r="V7898" s="1">
        <v>45068</v>
      </c>
      <c r="W7898" t="s">
        <v>6776</v>
      </c>
      <c r="X7898">
        <v>110014099</v>
      </c>
      <c r="Y7898" t="s">
        <v>998</v>
      </c>
      <c r="Z7898" t="e">
        <f ca="1">- checked cartridge bay, plunger rod, icore slot, _xludf.filter
- performed XpertCheck
- generated reports</f>
        <v>#NAME?</v>
      </c>
      <c r="AA7898" t="s">
        <v>999</v>
      </c>
      <c r="AB7898" t="s">
        <v>1521</v>
      </c>
      <c r="AD7898" t="s">
        <v>7189</v>
      </c>
      <c r="AE7898" t="s">
        <v>47750</v>
      </c>
      <c r="AG7898" t="s">
        <v>47751</v>
      </c>
      <c r="AH7898" t="s">
        <v>5165</v>
      </c>
      <c r="AI7898" t="s">
        <v>47752</v>
      </c>
    </row>
    <row r="7899" spans="2:35" ht="270">
      <c r="B7899" s="1">
        <v>45072</v>
      </c>
      <c r="C7899" s="4">
        <v>45069.37777777778</v>
      </c>
      <c r="D7899" t="s">
        <v>5158</v>
      </c>
      <c r="E7899" t="s">
        <v>30211</v>
      </c>
      <c r="F7899" t="s">
        <v>148</v>
      </c>
      <c r="G7899" t="s">
        <v>310</v>
      </c>
      <c r="H7899" t="s">
        <v>47748</v>
      </c>
      <c r="I7899" t="s">
        <v>40</v>
      </c>
      <c r="J7899" s="2" t="s">
        <v>62</v>
      </c>
      <c r="K7899" t="s">
        <v>42</v>
      </c>
      <c r="L7899" t="s">
        <v>175</v>
      </c>
      <c r="Q7899">
        <v>24664</v>
      </c>
      <c r="R7899" t="s">
        <v>322</v>
      </c>
      <c r="S7899" t="s">
        <v>14635</v>
      </c>
      <c r="T7899">
        <v>25</v>
      </c>
      <c r="U7899" s="2" t="s">
        <v>47749</v>
      </c>
      <c r="V7899" s="1">
        <v>45068</v>
      </c>
      <c r="W7899" t="s">
        <v>6776</v>
      </c>
      <c r="X7899">
        <v>110014099</v>
      </c>
      <c r="Y7899" t="s">
        <v>998</v>
      </c>
      <c r="Z7899" t="e">
        <f ca="1">- checked cartridge bay, plunger rod, icore slot, _xludf.filter
- performed XpertCheck
- generated reports</f>
        <v>#NAME?</v>
      </c>
      <c r="AA7899" t="s">
        <v>999</v>
      </c>
      <c r="AB7899" t="s">
        <v>1521</v>
      </c>
      <c r="AD7899" t="s">
        <v>7189</v>
      </c>
      <c r="AE7899" t="s">
        <v>47750</v>
      </c>
      <c r="AG7899" t="s">
        <v>47753</v>
      </c>
      <c r="AH7899" t="s">
        <v>5165</v>
      </c>
      <c r="AI7899" t="s">
        <v>47754</v>
      </c>
    </row>
    <row r="7900" spans="2:35" ht="225">
      <c r="B7900" s="1">
        <v>45072</v>
      </c>
      <c r="C7900" s="4">
        <v>45071.654166666667</v>
      </c>
      <c r="D7900" t="s">
        <v>1107</v>
      </c>
      <c r="E7900" t="s">
        <v>1108</v>
      </c>
      <c r="F7900" t="s">
        <v>37</v>
      </c>
      <c r="G7900" t="s">
        <v>38</v>
      </c>
      <c r="H7900" t="s">
        <v>39</v>
      </c>
      <c r="I7900" t="s">
        <v>40</v>
      </c>
      <c r="J7900" t="s">
        <v>525</v>
      </c>
      <c r="K7900" t="s">
        <v>42</v>
      </c>
      <c r="L7900" t="s">
        <v>175</v>
      </c>
      <c r="Q7900">
        <v>24663</v>
      </c>
      <c r="R7900" t="s">
        <v>45</v>
      </c>
      <c r="S7900" t="s">
        <v>26768</v>
      </c>
      <c r="T7900">
        <v>25</v>
      </c>
      <c r="U7900" s="2" t="s">
        <v>13974</v>
      </c>
      <c r="W7900" t="s">
        <v>84</v>
      </c>
      <c r="X7900">
        <v>819864</v>
      </c>
      <c r="Y7900" t="s">
        <v>24410</v>
      </c>
      <c r="Z7900" s="2" t="s">
        <v>47755</v>
      </c>
      <c r="AA7900" t="s">
        <v>22858</v>
      </c>
      <c r="AB7900" s="2" t="s">
        <v>47756</v>
      </c>
      <c r="AG7900" t="s">
        <v>47757</v>
      </c>
      <c r="AH7900" t="s">
        <v>26770</v>
      </c>
      <c r="AI7900" t="s">
        <v>47758</v>
      </c>
    </row>
    <row r="7901" spans="2:35" ht="405">
      <c r="B7901" s="1">
        <v>45072</v>
      </c>
      <c r="C7901" s="4">
        <v>45070.524305555555</v>
      </c>
      <c r="D7901" t="s">
        <v>419</v>
      </c>
      <c r="E7901" t="s">
        <v>26072</v>
      </c>
      <c r="F7901" t="s">
        <v>148</v>
      </c>
      <c r="G7901" t="s">
        <v>421</v>
      </c>
      <c r="H7901" t="s">
        <v>39</v>
      </c>
      <c r="I7901" t="s">
        <v>40</v>
      </c>
      <c r="J7901" s="2" t="s">
        <v>190</v>
      </c>
      <c r="K7901" t="s">
        <v>42</v>
      </c>
      <c r="L7901" t="s">
        <v>175</v>
      </c>
      <c r="Q7901">
        <v>24662</v>
      </c>
      <c r="R7901" t="s">
        <v>45</v>
      </c>
      <c r="S7901" t="s">
        <v>422</v>
      </c>
      <c r="T7901">
        <v>25</v>
      </c>
      <c r="U7901" s="2" t="s">
        <v>24107</v>
      </c>
      <c r="W7901" t="s">
        <v>84</v>
      </c>
      <c r="X7901">
        <v>814151</v>
      </c>
      <c r="Y7901" t="s">
        <v>47759</v>
      </c>
      <c r="Z7901" s="2" t="s">
        <v>47760</v>
      </c>
      <c r="AA7901" t="s">
        <v>47761</v>
      </c>
      <c r="AB7901" s="2" t="s">
        <v>47762</v>
      </c>
      <c r="AG7901" t="s">
        <v>47763</v>
      </c>
      <c r="AH7901" t="s">
        <v>47764</v>
      </c>
      <c r="AI7901" t="s">
        <v>47765</v>
      </c>
    </row>
    <row r="7902" spans="2:35" ht="405">
      <c r="B7902" s="1">
        <v>45072</v>
      </c>
      <c r="C7902" s="4">
        <v>45070.524305555555</v>
      </c>
      <c r="D7902" t="s">
        <v>419</v>
      </c>
      <c r="E7902" t="s">
        <v>26072</v>
      </c>
      <c r="F7902" t="s">
        <v>148</v>
      </c>
      <c r="G7902" t="s">
        <v>421</v>
      </c>
      <c r="H7902" t="s">
        <v>39</v>
      </c>
      <c r="I7902" t="s">
        <v>40</v>
      </c>
      <c r="J7902" s="2" t="s">
        <v>190</v>
      </c>
      <c r="K7902" t="s">
        <v>42</v>
      </c>
      <c r="L7902" t="s">
        <v>175</v>
      </c>
      <c r="Q7902">
        <v>24661</v>
      </c>
      <c r="R7902" t="s">
        <v>45</v>
      </c>
      <c r="S7902" t="s">
        <v>47766</v>
      </c>
      <c r="T7902">
        <v>25</v>
      </c>
      <c r="U7902" s="2" t="s">
        <v>24107</v>
      </c>
      <c r="W7902" t="s">
        <v>84</v>
      </c>
      <c r="X7902">
        <v>814151</v>
      </c>
      <c r="Y7902" t="s">
        <v>47759</v>
      </c>
      <c r="Z7902" s="2" t="s">
        <v>47760</v>
      </c>
      <c r="AA7902" t="s">
        <v>47761</v>
      </c>
      <c r="AB7902" s="2" t="s">
        <v>47762</v>
      </c>
      <c r="AG7902" t="s">
        <v>47767</v>
      </c>
      <c r="AH7902" t="s">
        <v>47764</v>
      </c>
      <c r="AI7902" t="s">
        <v>47768</v>
      </c>
    </row>
    <row r="7903" spans="2:35" ht="150">
      <c r="B7903" s="1">
        <v>45072</v>
      </c>
      <c r="C7903" s="4">
        <v>45071.504166666666</v>
      </c>
      <c r="D7903" t="s">
        <v>22528</v>
      </c>
      <c r="E7903" t="s">
        <v>47769</v>
      </c>
      <c r="F7903" t="s">
        <v>37</v>
      </c>
      <c r="G7903" t="s">
        <v>38</v>
      </c>
      <c r="H7903" t="s">
        <v>39</v>
      </c>
      <c r="I7903" t="s">
        <v>40</v>
      </c>
      <c r="J7903" s="2" t="s">
        <v>41</v>
      </c>
      <c r="K7903" t="s">
        <v>42</v>
      </c>
      <c r="L7903" t="s">
        <v>175</v>
      </c>
      <c r="Q7903">
        <v>24660</v>
      </c>
      <c r="R7903" t="s">
        <v>45</v>
      </c>
      <c r="S7903" t="s">
        <v>43547</v>
      </c>
      <c r="T7903">
        <v>25</v>
      </c>
      <c r="U7903" s="2" t="s">
        <v>22617</v>
      </c>
      <c r="V7903" s="1">
        <v>45069</v>
      </c>
      <c r="W7903" t="s">
        <v>84</v>
      </c>
      <c r="X7903">
        <v>838199</v>
      </c>
      <c r="Y7903" t="s">
        <v>47770</v>
      </c>
      <c r="Z7903" t="e">
        <f ca="1">- replaced B1, B3, C3
- checked _xludf.and cleaned cartridge bay, plunger rod, _xludf.filter
- generated reports</f>
        <v>#NAME?</v>
      </c>
      <c r="AA7903" t="s">
        <v>47771</v>
      </c>
      <c r="AB7903" t="s">
        <v>88</v>
      </c>
      <c r="AD7903" s="2" t="s">
        <v>47772</v>
      </c>
      <c r="AE7903" t="s">
        <v>47773</v>
      </c>
      <c r="AG7903" t="s">
        <v>47774</v>
      </c>
      <c r="AH7903" t="s">
        <v>43551</v>
      </c>
      <c r="AI7903" t="s">
        <v>47775</v>
      </c>
    </row>
    <row r="7904" spans="2:35" ht="150">
      <c r="B7904" s="1">
        <v>45072</v>
      </c>
      <c r="C7904" s="4">
        <v>45071.504166666666</v>
      </c>
      <c r="D7904" t="s">
        <v>22528</v>
      </c>
      <c r="E7904" t="s">
        <v>47769</v>
      </c>
      <c r="F7904" t="s">
        <v>37</v>
      </c>
      <c r="G7904" t="s">
        <v>38</v>
      </c>
      <c r="H7904" t="s">
        <v>39</v>
      </c>
      <c r="I7904" t="s">
        <v>40</v>
      </c>
      <c r="J7904" s="2" t="s">
        <v>41</v>
      </c>
      <c r="K7904" t="s">
        <v>42</v>
      </c>
      <c r="L7904" t="s">
        <v>175</v>
      </c>
      <c r="Q7904">
        <v>24659</v>
      </c>
      <c r="R7904" t="s">
        <v>45</v>
      </c>
      <c r="S7904" t="s">
        <v>43547</v>
      </c>
      <c r="T7904">
        <v>25</v>
      </c>
      <c r="U7904" s="2" t="s">
        <v>22617</v>
      </c>
      <c r="V7904" s="1">
        <v>45069</v>
      </c>
      <c r="W7904" t="s">
        <v>84</v>
      </c>
      <c r="X7904">
        <v>838199</v>
      </c>
      <c r="Y7904" t="s">
        <v>47770</v>
      </c>
      <c r="Z7904" t="e">
        <f ca="1">- replaced B1, B3, C3
- checked _xludf.and cleaned cartridge bay, plunger rod, _xludf.filter
- generated reports</f>
        <v>#NAME?</v>
      </c>
      <c r="AA7904" t="s">
        <v>47771</v>
      </c>
      <c r="AB7904" t="s">
        <v>88</v>
      </c>
      <c r="AD7904" s="2" t="s">
        <v>47772</v>
      </c>
      <c r="AE7904" t="s">
        <v>47773</v>
      </c>
      <c r="AG7904" t="s">
        <v>47776</v>
      </c>
      <c r="AH7904" t="s">
        <v>43551</v>
      </c>
      <c r="AI7904" t="s">
        <v>47777</v>
      </c>
    </row>
    <row r="7905" spans="2:35" ht="210">
      <c r="B7905" s="1">
        <v>45072</v>
      </c>
      <c r="C7905" s="4">
        <v>45072.379861111112</v>
      </c>
      <c r="D7905" t="s">
        <v>14403</v>
      </c>
      <c r="E7905" t="s">
        <v>14403</v>
      </c>
      <c r="F7905">
        <v>7</v>
      </c>
      <c r="G7905" t="s">
        <v>432</v>
      </c>
      <c r="H7905" t="s">
        <v>2290</v>
      </c>
      <c r="I7905" t="s">
        <v>94</v>
      </c>
      <c r="J7905" t="s">
        <v>109</v>
      </c>
      <c r="K7905" t="s">
        <v>42</v>
      </c>
      <c r="L7905" t="s">
        <v>610</v>
      </c>
      <c r="Q7905">
        <v>24658</v>
      </c>
      <c r="R7905" t="s">
        <v>45</v>
      </c>
      <c r="S7905" t="s">
        <v>16307</v>
      </c>
      <c r="T7905">
        <v>20</v>
      </c>
      <c r="U7905" s="2" t="s">
        <v>47778</v>
      </c>
      <c r="W7905" t="s">
        <v>502</v>
      </c>
      <c r="X7905">
        <v>808637</v>
      </c>
      <c r="Y7905" t="s">
        <v>47779</v>
      </c>
      <c r="Z7905" s="2" t="s">
        <v>47780</v>
      </c>
      <c r="AA7905" s="2" t="s">
        <v>47781</v>
      </c>
      <c r="AB7905" t="s">
        <v>47782</v>
      </c>
      <c r="AG7905" t="s">
        <v>47783</v>
      </c>
      <c r="AH7905" t="s">
        <v>14408</v>
      </c>
      <c r="AI7905" t="s">
        <v>47784</v>
      </c>
    </row>
    <row r="7906" spans="2:35" ht="180">
      <c r="B7906" s="1">
        <v>45072</v>
      </c>
      <c r="C7906" s="4">
        <v>45072.355555555558</v>
      </c>
      <c r="D7906" t="s">
        <v>16716</v>
      </c>
      <c r="E7906" t="s">
        <v>1128</v>
      </c>
      <c r="F7906">
        <v>8</v>
      </c>
      <c r="G7906" t="s">
        <v>342</v>
      </c>
      <c r="H7906" t="s">
        <v>2581</v>
      </c>
      <c r="I7906" t="s">
        <v>40</v>
      </c>
      <c r="J7906" s="2" t="s">
        <v>190</v>
      </c>
      <c r="K7906" t="s">
        <v>42</v>
      </c>
      <c r="L7906" t="s">
        <v>259</v>
      </c>
      <c r="Q7906">
        <v>24657</v>
      </c>
      <c r="R7906" t="s">
        <v>119</v>
      </c>
      <c r="S7906" t="s">
        <v>17749</v>
      </c>
      <c r="T7906">
        <v>27</v>
      </c>
      <c r="U7906" s="2" t="s">
        <v>47785</v>
      </c>
      <c r="V7906" s="1">
        <v>45072</v>
      </c>
      <c r="W7906" t="s">
        <v>84</v>
      </c>
      <c r="X7906">
        <v>838421</v>
      </c>
      <c r="Y7906" t="s">
        <v>47786</v>
      </c>
      <c r="Z7906" t="e">
        <f ca="1">- performed Troubleshooting on PC monitor
- Connect other monitor _xludf.For temporary
- performed Preventive Maintenance</f>
        <v>#NAME?</v>
      </c>
      <c r="AA7906" t="e">
        <f ca="1">- Troubleshooting
- Preventive Maintenance</f>
        <v>#NAME?</v>
      </c>
      <c r="AB7906" t="s">
        <v>70</v>
      </c>
      <c r="AC7906" t="s">
        <v>47787</v>
      </c>
      <c r="AG7906" t="s">
        <v>47788</v>
      </c>
      <c r="AH7906" t="s">
        <v>45916</v>
      </c>
      <c r="AI7906" t="s">
        <v>47789</v>
      </c>
    </row>
    <row r="7907" spans="2:35" ht="180">
      <c r="B7907" s="1">
        <v>45072</v>
      </c>
      <c r="C7907" s="4">
        <v>45070.357638888891</v>
      </c>
      <c r="D7907" t="s">
        <v>6672</v>
      </c>
      <c r="E7907" t="s">
        <v>9442</v>
      </c>
      <c r="F7907">
        <v>8</v>
      </c>
      <c r="G7907" t="s">
        <v>1663</v>
      </c>
      <c r="H7907" t="s">
        <v>39</v>
      </c>
      <c r="I7907" t="s">
        <v>40</v>
      </c>
      <c r="J7907" t="s">
        <v>109</v>
      </c>
      <c r="K7907" t="s">
        <v>42</v>
      </c>
      <c r="L7907" t="s">
        <v>259</v>
      </c>
      <c r="Q7907">
        <v>24656</v>
      </c>
      <c r="R7907" t="s">
        <v>119</v>
      </c>
      <c r="S7907" t="s">
        <v>47790</v>
      </c>
      <c r="T7907">
        <v>28</v>
      </c>
      <c r="U7907" s="2" t="s">
        <v>47791</v>
      </c>
      <c r="V7907" s="1">
        <v>45070</v>
      </c>
      <c r="W7907" t="s">
        <v>84</v>
      </c>
      <c r="X7907">
        <v>838202</v>
      </c>
      <c r="Y7907" t="s">
        <v>47792</v>
      </c>
      <c r="Z7907" t="s">
        <v>1716</v>
      </c>
      <c r="AA7907" t="e">
        <f ca="1">-Preventive Maintenance
-ARCHIVE Data
-Generate reports</f>
        <v>#NAME?</v>
      </c>
      <c r="AB7907" t="s">
        <v>70</v>
      </c>
      <c r="AG7907" t="s">
        <v>47793</v>
      </c>
      <c r="AH7907" t="s">
        <v>47794</v>
      </c>
      <c r="AI7907" t="s">
        <v>47795</v>
      </c>
    </row>
    <row r="7908" spans="2:35" ht="180">
      <c r="B7908" s="1">
        <v>45072</v>
      </c>
      <c r="C7908" s="4">
        <v>45070.357638888891</v>
      </c>
      <c r="D7908" t="s">
        <v>6672</v>
      </c>
      <c r="E7908" t="s">
        <v>9442</v>
      </c>
      <c r="F7908">
        <v>8</v>
      </c>
      <c r="G7908" t="s">
        <v>1663</v>
      </c>
      <c r="H7908" t="s">
        <v>39</v>
      </c>
      <c r="I7908" t="s">
        <v>40</v>
      </c>
      <c r="J7908" t="s">
        <v>109</v>
      </c>
      <c r="K7908" t="s">
        <v>42</v>
      </c>
      <c r="L7908" t="s">
        <v>259</v>
      </c>
      <c r="Q7908">
        <v>24655</v>
      </c>
      <c r="R7908" t="s">
        <v>119</v>
      </c>
      <c r="S7908" t="s">
        <v>47790</v>
      </c>
      <c r="T7908">
        <v>28</v>
      </c>
      <c r="U7908" s="2" t="s">
        <v>47791</v>
      </c>
      <c r="V7908" s="1">
        <v>45070</v>
      </c>
      <c r="W7908" t="s">
        <v>84</v>
      </c>
      <c r="X7908">
        <v>838202</v>
      </c>
      <c r="Y7908" t="s">
        <v>47792</v>
      </c>
      <c r="Z7908" t="s">
        <v>1716</v>
      </c>
      <c r="AA7908" t="e">
        <f ca="1">-Preventive Maintenance
-ARCHIVE Data
-Generate reports</f>
        <v>#NAME?</v>
      </c>
      <c r="AB7908" t="s">
        <v>70</v>
      </c>
      <c r="AG7908" t="s">
        <v>47796</v>
      </c>
      <c r="AH7908" t="s">
        <v>47794</v>
      </c>
      <c r="AI7908" t="s">
        <v>47797</v>
      </c>
    </row>
    <row r="7909" spans="2:35" ht="180">
      <c r="B7909" s="1">
        <v>45072</v>
      </c>
      <c r="C7909" s="4">
        <v>45070.422222222223</v>
      </c>
      <c r="D7909" t="s">
        <v>9469</v>
      </c>
      <c r="E7909" t="s">
        <v>9470</v>
      </c>
      <c r="F7909">
        <v>8</v>
      </c>
      <c r="G7909" t="s">
        <v>1663</v>
      </c>
      <c r="H7909" t="s">
        <v>12698</v>
      </c>
      <c r="I7909" t="s">
        <v>40</v>
      </c>
      <c r="J7909" t="s">
        <v>109</v>
      </c>
      <c r="K7909" t="s">
        <v>42</v>
      </c>
      <c r="L7909" t="s">
        <v>259</v>
      </c>
      <c r="Q7909">
        <v>24654</v>
      </c>
      <c r="R7909" t="s">
        <v>119</v>
      </c>
      <c r="S7909" t="s">
        <v>47798</v>
      </c>
      <c r="T7909">
        <v>27</v>
      </c>
      <c r="U7909" s="2" t="s">
        <v>47799</v>
      </c>
      <c r="V7909" s="1">
        <v>45070</v>
      </c>
      <c r="W7909" t="s">
        <v>84</v>
      </c>
      <c r="X7909">
        <v>838498</v>
      </c>
      <c r="Y7909" t="s">
        <v>3001</v>
      </c>
      <c r="Z7909" t="s">
        <v>1716</v>
      </c>
      <c r="AA7909" t="e">
        <f ca="1">- Preventive Maintenance
- ARCHIVE Data
- Generate reports</f>
        <v>#NAME?</v>
      </c>
      <c r="AB7909" t="s">
        <v>70</v>
      </c>
      <c r="AG7909" t="s">
        <v>47800</v>
      </c>
      <c r="AH7909" t="s">
        <v>47801</v>
      </c>
      <c r="AI7909" t="s">
        <v>47802</v>
      </c>
    </row>
    <row r="7910" spans="2:35" ht="180">
      <c r="B7910" s="1">
        <v>45072</v>
      </c>
      <c r="C7910" s="4">
        <v>45070.422222222223</v>
      </c>
      <c r="D7910" t="s">
        <v>9469</v>
      </c>
      <c r="E7910" t="s">
        <v>9470</v>
      </c>
      <c r="F7910">
        <v>8</v>
      </c>
      <c r="G7910" t="s">
        <v>1663</v>
      </c>
      <c r="H7910" t="s">
        <v>12698</v>
      </c>
      <c r="I7910" t="s">
        <v>40</v>
      </c>
      <c r="J7910" t="s">
        <v>109</v>
      </c>
      <c r="K7910" t="s">
        <v>42</v>
      </c>
      <c r="L7910" t="s">
        <v>259</v>
      </c>
      <c r="Q7910">
        <v>24653</v>
      </c>
      <c r="R7910" t="s">
        <v>119</v>
      </c>
      <c r="S7910" t="s">
        <v>47798</v>
      </c>
      <c r="T7910">
        <v>27</v>
      </c>
      <c r="U7910" s="2" t="s">
        <v>47799</v>
      </c>
      <c r="V7910" s="1">
        <v>45070</v>
      </c>
      <c r="W7910" t="s">
        <v>84</v>
      </c>
      <c r="X7910">
        <v>838498</v>
      </c>
      <c r="Y7910" t="s">
        <v>3001</v>
      </c>
      <c r="Z7910" t="s">
        <v>1716</v>
      </c>
      <c r="AA7910" t="e">
        <f ca="1">- Preventive Maintenance
- ARCHIVE Data
- Generate reports</f>
        <v>#NAME?</v>
      </c>
      <c r="AB7910" t="s">
        <v>70</v>
      </c>
      <c r="AG7910" t="s">
        <v>47803</v>
      </c>
      <c r="AH7910" t="s">
        <v>47801</v>
      </c>
      <c r="AI7910" t="s">
        <v>47804</v>
      </c>
    </row>
    <row r="7911" spans="2:35" ht="180">
      <c r="B7911" s="1">
        <v>45072</v>
      </c>
      <c r="C7911" s="4">
        <v>45071.463888888888</v>
      </c>
      <c r="D7911" t="s">
        <v>24983</v>
      </c>
      <c r="E7911" t="s">
        <v>24984</v>
      </c>
      <c r="F7911">
        <v>8</v>
      </c>
      <c r="G7911" t="s">
        <v>257</v>
      </c>
      <c r="H7911" t="s">
        <v>2581</v>
      </c>
      <c r="I7911" t="s">
        <v>40</v>
      </c>
      <c r="J7911" s="2" t="s">
        <v>1808</v>
      </c>
      <c r="K7911" t="s">
        <v>42</v>
      </c>
      <c r="L7911" t="s">
        <v>259</v>
      </c>
      <c r="Q7911">
        <v>24652</v>
      </c>
      <c r="R7911" t="s">
        <v>45</v>
      </c>
      <c r="S7911" t="s">
        <v>47805</v>
      </c>
      <c r="T7911">
        <v>28</v>
      </c>
      <c r="U7911" s="2" t="s">
        <v>47806</v>
      </c>
      <c r="V7911" s="1">
        <v>45071</v>
      </c>
      <c r="W7911" t="s">
        <v>84</v>
      </c>
      <c r="X7911">
        <v>808291</v>
      </c>
      <c r="Y7911" t="s">
        <v>47807</v>
      </c>
      <c r="Z7911" t="e">
        <f ca="1">- Install new LCD monitor SN: V5GTL380
- performed Preventive Maintenance
- performed functionality test
- Generate reports</f>
        <v>#NAME?</v>
      </c>
      <c r="AA7911" t="e">
        <f ca="1">- LCD monitor Replacement
- Preventive Maintenance</f>
        <v>#NAME?</v>
      </c>
      <c r="AB7911" t="s">
        <v>70</v>
      </c>
      <c r="AD7911" t="s">
        <v>47808</v>
      </c>
      <c r="AE7911" t="s">
        <v>45</v>
      </c>
      <c r="AG7911" t="s">
        <v>47809</v>
      </c>
      <c r="AH7911" t="s">
        <v>47810</v>
      </c>
      <c r="AI7911" t="s">
        <v>47811</v>
      </c>
    </row>
    <row r="7912" spans="2:35" ht="180">
      <c r="B7912" s="1">
        <v>45072</v>
      </c>
      <c r="C7912" s="4">
        <v>45071.463888888888</v>
      </c>
      <c r="D7912" t="s">
        <v>24983</v>
      </c>
      <c r="E7912" t="s">
        <v>24984</v>
      </c>
      <c r="F7912">
        <v>8</v>
      </c>
      <c r="G7912" t="s">
        <v>257</v>
      </c>
      <c r="H7912" t="s">
        <v>2581</v>
      </c>
      <c r="I7912" t="s">
        <v>40</v>
      </c>
      <c r="J7912" s="2" t="s">
        <v>1808</v>
      </c>
      <c r="K7912" t="s">
        <v>42</v>
      </c>
      <c r="L7912" t="s">
        <v>259</v>
      </c>
      <c r="Q7912">
        <v>24651</v>
      </c>
      <c r="R7912" t="s">
        <v>45</v>
      </c>
      <c r="S7912" t="s">
        <v>47805</v>
      </c>
      <c r="T7912">
        <v>28</v>
      </c>
      <c r="U7912" s="2" t="s">
        <v>47806</v>
      </c>
      <c r="V7912" s="1">
        <v>45071</v>
      </c>
      <c r="W7912" t="s">
        <v>84</v>
      </c>
      <c r="X7912">
        <v>808291</v>
      </c>
      <c r="Y7912" t="s">
        <v>47807</v>
      </c>
      <c r="Z7912" t="e">
        <f ca="1">- Install new LCD monitor SN: V5GTL380
- performed Preventive Maintenance
- performed functionality test
- Generate reports</f>
        <v>#NAME?</v>
      </c>
      <c r="AA7912" t="e">
        <f ca="1">- LCD monitor Replacement
- Preventive Maintenance</f>
        <v>#NAME?</v>
      </c>
      <c r="AB7912" t="s">
        <v>70</v>
      </c>
      <c r="AD7912" t="s">
        <v>47808</v>
      </c>
      <c r="AE7912" t="s">
        <v>45</v>
      </c>
      <c r="AG7912" t="s">
        <v>47812</v>
      </c>
      <c r="AH7912" t="s">
        <v>47810</v>
      </c>
      <c r="AI7912" t="s">
        <v>47813</v>
      </c>
    </row>
    <row r="7913" spans="2:35" ht="375">
      <c r="B7913" s="1">
        <v>45071</v>
      </c>
      <c r="C7913" s="4">
        <v>45071.811111111114</v>
      </c>
      <c r="D7913" t="s">
        <v>41936</v>
      </c>
      <c r="E7913" t="s">
        <v>47814</v>
      </c>
      <c r="F7913" t="s">
        <v>1181</v>
      </c>
      <c r="G7913" t="s">
        <v>41912</v>
      </c>
      <c r="H7913" t="s">
        <v>39</v>
      </c>
      <c r="I7913" t="s">
        <v>40</v>
      </c>
      <c r="J7913" t="s">
        <v>109</v>
      </c>
      <c r="K7913" t="s">
        <v>42</v>
      </c>
      <c r="L7913" t="s">
        <v>15532</v>
      </c>
      <c r="Q7913">
        <v>24650</v>
      </c>
      <c r="R7913" t="s">
        <v>45</v>
      </c>
      <c r="S7913" t="s">
        <v>41938</v>
      </c>
      <c r="T7913">
        <v>28</v>
      </c>
      <c r="U7913" s="2" t="s">
        <v>47815</v>
      </c>
      <c r="W7913" t="s">
        <v>3244</v>
      </c>
      <c r="X7913">
        <v>835087</v>
      </c>
      <c r="Y7913" t="s">
        <v>37766</v>
      </c>
      <c r="Z7913" s="2" t="s">
        <v>47816</v>
      </c>
      <c r="AA7913" t="s">
        <v>47817</v>
      </c>
      <c r="AB7913" t="s">
        <v>47818</v>
      </c>
      <c r="AG7913" t="s">
        <v>47819</v>
      </c>
      <c r="AH7913" t="s">
        <v>47820</v>
      </c>
      <c r="AI7913" t="s">
        <v>47821</v>
      </c>
    </row>
    <row r="7914" spans="2:35" ht="375">
      <c r="B7914" s="1">
        <v>45071</v>
      </c>
      <c r="C7914" s="4">
        <v>45071.802777777775</v>
      </c>
      <c r="D7914" t="s">
        <v>41936</v>
      </c>
      <c r="E7914" t="s">
        <v>47814</v>
      </c>
      <c r="F7914" t="s">
        <v>1181</v>
      </c>
      <c r="G7914" t="s">
        <v>41912</v>
      </c>
      <c r="H7914" t="s">
        <v>39</v>
      </c>
      <c r="I7914" t="s">
        <v>40</v>
      </c>
      <c r="J7914" s="2" t="s">
        <v>41</v>
      </c>
      <c r="K7914" t="s">
        <v>42</v>
      </c>
      <c r="L7914" t="s">
        <v>15532</v>
      </c>
      <c r="Q7914">
        <v>24649</v>
      </c>
      <c r="R7914" t="s">
        <v>45</v>
      </c>
      <c r="S7914" t="s">
        <v>41938</v>
      </c>
      <c r="T7914">
        <v>25</v>
      </c>
      <c r="U7914" s="2" t="s">
        <v>47822</v>
      </c>
      <c r="V7914" s="1">
        <v>45071</v>
      </c>
      <c r="W7914" t="s">
        <v>3244</v>
      </c>
      <c r="X7914">
        <v>835084</v>
      </c>
      <c r="Y7914" t="s">
        <v>47823</v>
      </c>
      <c r="Z7914" s="2" t="s">
        <v>47824</v>
      </c>
      <c r="AA7914" t="s">
        <v>47825</v>
      </c>
      <c r="AB7914" t="s">
        <v>47826</v>
      </c>
      <c r="AD7914" t="s">
        <v>30758</v>
      </c>
      <c r="AE7914" t="s">
        <v>103</v>
      </c>
      <c r="AG7914" t="s">
        <v>47827</v>
      </c>
      <c r="AH7914" t="s">
        <v>47820</v>
      </c>
      <c r="AI7914" t="s">
        <v>47828</v>
      </c>
    </row>
    <row r="7915" spans="2:35" ht="330">
      <c r="B7915" s="1">
        <v>45071</v>
      </c>
      <c r="C7915" s="4">
        <v>45071.689583333333</v>
      </c>
      <c r="D7915" t="s">
        <v>985</v>
      </c>
      <c r="E7915" t="s">
        <v>47829</v>
      </c>
      <c r="F7915" t="s">
        <v>148</v>
      </c>
      <c r="G7915" t="s">
        <v>785</v>
      </c>
      <c r="H7915" t="s">
        <v>39</v>
      </c>
      <c r="I7915" t="s">
        <v>40</v>
      </c>
      <c r="J7915" s="2" t="s">
        <v>190</v>
      </c>
      <c r="K7915" t="s">
        <v>42</v>
      </c>
      <c r="L7915" t="s">
        <v>761</v>
      </c>
      <c r="Q7915">
        <v>24648</v>
      </c>
      <c r="R7915" t="s">
        <v>45</v>
      </c>
      <c r="S7915" t="s">
        <v>986</v>
      </c>
      <c r="T7915">
        <v>24</v>
      </c>
      <c r="U7915" s="2" t="s">
        <v>47830</v>
      </c>
      <c r="V7915" s="1">
        <v>45071</v>
      </c>
      <c r="W7915" t="s">
        <v>360</v>
      </c>
      <c r="X7915">
        <v>805010</v>
      </c>
      <c r="Y7915" t="s">
        <v>47831</v>
      </c>
      <c r="Z7915" s="2" t="s">
        <v>47832</v>
      </c>
      <c r="AA7915" t="s">
        <v>47833</v>
      </c>
      <c r="AB7915" s="2" t="s">
        <v>47834</v>
      </c>
      <c r="AG7915" t="s">
        <v>47835</v>
      </c>
      <c r="AH7915" t="s">
        <v>993</v>
      </c>
      <c r="AI7915" t="s">
        <v>47836</v>
      </c>
    </row>
    <row r="7916" spans="2:35" ht="285">
      <c r="B7916" s="1">
        <v>45071</v>
      </c>
      <c r="C7916" s="4">
        <v>45071.681944444441</v>
      </c>
      <c r="D7916" t="s">
        <v>47837</v>
      </c>
      <c r="E7916" t="s">
        <v>43735</v>
      </c>
      <c r="F7916">
        <v>7</v>
      </c>
      <c r="G7916" t="s">
        <v>6529</v>
      </c>
      <c r="H7916" t="s">
        <v>10969</v>
      </c>
      <c r="I7916" t="s">
        <v>40</v>
      </c>
      <c r="J7916" s="2" t="s">
        <v>62</v>
      </c>
      <c r="K7916" t="s">
        <v>42</v>
      </c>
      <c r="L7916" t="s">
        <v>1288</v>
      </c>
      <c r="Q7916">
        <v>24647</v>
      </c>
      <c r="R7916" t="s">
        <v>45</v>
      </c>
      <c r="S7916" t="s">
        <v>30507</v>
      </c>
      <c r="T7916">
        <v>25</v>
      </c>
      <c r="U7916" s="2" t="s">
        <v>47838</v>
      </c>
      <c r="W7916" t="s">
        <v>84</v>
      </c>
      <c r="X7916">
        <v>838878</v>
      </c>
      <c r="Y7916" t="s">
        <v>47839</v>
      </c>
      <c r="Z7916" t="s">
        <v>9107</v>
      </c>
      <c r="AA7916" t="s">
        <v>47840</v>
      </c>
      <c r="AB7916" t="s">
        <v>47841</v>
      </c>
      <c r="AG7916" t="s">
        <v>47842</v>
      </c>
      <c r="AH7916" t="s">
        <v>36402</v>
      </c>
      <c r="AI7916" t="s">
        <v>47843</v>
      </c>
    </row>
    <row r="7917" spans="2:35" ht="225">
      <c r="B7917" s="1">
        <v>45071</v>
      </c>
      <c r="C7917" s="4">
        <v>45071.654166666667</v>
      </c>
      <c r="D7917" t="s">
        <v>1107</v>
      </c>
      <c r="E7917" t="s">
        <v>1108</v>
      </c>
      <c r="F7917" t="s">
        <v>37</v>
      </c>
      <c r="G7917" t="s">
        <v>38</v>
      </c>
      <c r="H7917" t="s">
        <v>39</v>
      </c>
      <c r="I7917" t="s">
        <v>40</v>
      </c>
      <c r="J7917" t="s">
        <v>525</v>
      </c>
      <c r="K7917" t="s">
        <v>42</v>
      </c>
      <c r="L7917" t="s">
        <v>175</v>
      </c>
      <c r="Q7917">
        <v>24646</v>
      </c>
      <c r="R7917" t="s">
        <v>45</v>
      </c>
      <c r="S7917" t="s">
        <v>26768</v>
      </c>
      <c r="T7917">
        <v>25</v>
      </c>
      <c r="U7917" s="2" t="s">
        <v>13974</v>
      </c>
      <c r="W7917" t="s">
        <v>84</v>
      </c>
      <c r="X7917">
        <v>819864</v>
      </c>
      <c r="Y7917" t="s">
        <v>24410</v>
      </c>
      <c r="Z7917" s="2" t="s">
        <v>47755</v>
      </c>
      <c r="AA7917" t="s">
        <v>22858</v>
      </c>
      <c r="AB7917" s="2" t="s">
        <v>47756</v>
      </c>
      <c r="AG7917" t="s">
        <v>47844</v>
      </c>
      <c r="AH7917" t="s">
        <v>26770</v>
      </c>
      <c r="AI7917" t="s">
        <v>47845</v>
      </c>
    </row>
    <row r="7918" spans="2:35" ht="180">
      <c r="B7918" s="1">
        <v>45071</v>
      </c>
      <c r="C7918" s="4">
        <v>45064.684027777781</v>
      </c>
      <c r="D7918" t="s">
        <v>10074</v>
      </c>
      <c r="E7918" t="s">
        <v>38364</v>
      </c>
      <c r="F7918">
        <v>6</v>
      </c>
      <c r="G7918" t="s">
        <v>1234</v>
      </c>
      <c r="H7918" t="s">
        <v>34104</v>
      </c>
      <c r="I7918" t="s">
        <v>94</v>
      </c>
      <c r="J7918" t="s">
        <v>996</v>
      </c>
      <c r="K7918" t="s">
        <v>42</v>
      </c>
      <c r="L7918" t="s">
        <v>23958</v>
      </c>
      <c r="Q7918">
        <v>24645</v>
      </c>
      <c r="R7918" t="s">
        <v>119</v>
      </c>
      <c r="S7918" t="s">
        <v>47846</v>
      </c>
      <c r="T7918">
        <v>4</v>
      </c>
      <c r="U7918" s="2" t="s">
        <v>47847</v>
      </c>
      <c r="W7918" t="s">
        <v>360</v>
      </c>
      <c r="X7918">
        <v>83848</v>
      </c>
      <c r="Y7918" t="s">
        <v>47848</v>
      </c>
      <c r="Z7918" t="s">
        <v>47849</v>
      </c>
      <c r="AA7918" t="s">
        <v>47850</v>
      </c>
      <c r="AB7918" t="s">
        <v>47851</v>
      </c>
      <c r="AG7918" t="s">
        <v>47852</v>
      </c>
      <c r="AH7918" t="s">
        <v>47853</v>
      </c>
      <c r="AI7918" t="s">
        <v>47854</v>
      </c>
    </row>
    <row r="7919" spans="2:35" ht="225">
      <c r="B7919" s="1">
        <v>45071</v>
      </c>
      <c r="C7919" s="4">
        <v>45071.636111111111</v>
      </c>
      <c r="D7919" t="s">
        <v>47855</v>
      </c>
      <c r="E7919" t="s">
        <v>47856</v>
      </c>
      <c r="F7919">
        <v>7</v>
      </c>
      <c r="G7919" t="s">
        <v>6529</v>
      </c>
      <c r="H7919" t="s">
        <v>10969</v>
      </c>
      <c r="I7919" t="s">
        <v>40</v>
      </c>
      <c r="J7919" s="2" t="s">
        <v>62</v>
      </c>
      <c r="K7919" t="s">
        <v>42</v>
      </c>
      <c r="L7919" t="s">
        <v>1288</v>
      </c>
      <c r="Q7919">
        <v>24644</v>
      </c>
      <c r="R7919" t="s">
        <v>45</v>
      </c>
      <c r="S7919" t="s">
        <v>46472</v>
      </c>
      <c r="T7919">
        <v>25</v>
      </c>
      <c r="U7919" s="2" t="s">
        <v>47857</v>
      </c>
      <c r="W7919" t="s">
        <v>84</v>
      </c>
      <c r="X7919">
        <v>804286</v>
      </c>
      <c r="Y7919" t="s">
        <v>13756</v>
      </c>
      <c r="Z7919" t="s">
        <v>47858</v>
      </c>
      <c r="AA7919" s="2" t="s">
        <v>47859</v>
      </c>
      <c r="AB7919" t="s">
        <v>47860</v>
      </c>
      <c r="AG7919" t="s">
        <v>47861</v>
      </c>
      <c r="AH7919" t="s">
        <v>47862</v>
      </c>
      <c r="AI7919" t="s">
        <v>47863</v>
      </c>
    </row>
    <row r="7920" spans="2:35" ht="105">
      <c r="B7920" s="1">
        <v>45071</v>
      </c>
      <c r="C7920" s="4">
        <v>45071.60833333333</v>
      </c>
      <c r="D7920" t="s">
        <v>47864</v>
      </c>
      <c r="E7920" t="s">
        <v>1700</v>
      </c>
      <c r="F7920" t="s">
        <v>37</v>
      </c>
      <c r="G7920" t="s">
        <v>38</v>
      </c>
      <c r="H7920" t="s">
        <v>39</v>
      </c>
      <c r="I7920" t="s">
        <v>40</v>
      </c>
      <c r="J7920" s="2" t="s">
        <v>41</v>
      </c>
      <c r="K7920" t="s">
        <v>42</v>
      </c>
      <c r="L7920" t="s">
        <v>175</v>
      </c>
      <c r="Q7920">
        <v>24643</v>
      </c>
      <c r="R7920" t="s">
        <v>45</v>
      </c>
      <c r="S7920" t="s">
        <v>32135</v>
      </c>
      <c r="T7920">
        <v>25</v>
      </c>
      <c r="U7920" s="2" t="s">
        <v>47865</v>
      </c>
      <c r="V7920" s="1">
        <v>45071</v>
      </c>
      <c r="W7920" t="s">
        <v>84</v>
      </c>
      <c r="X7920">
        <v>812836</v>
      </c>
      <c r="Y7920" t="s">
        <v>9897</v>
      </c>
      <c r="Z7920" t="e">
        <f ca="1">- replaced monitor
- checked cartridge bay, plunger rod, _xludf.filter
- generated reports
- pulled Out defective monitor</f>
        <v>#NAME?</v>
      </c>
      <c r="AA7920" t="s">
        <v>9899</v>
      </c>
      <c r="AB7920" t="s">
        <v>88</v>
      </c>
      <c r="AD7920" s="2" t="s">
        <v>47866</v>
      </c>
      <c r="AE7920" t="s">
        <v>103</v>
      </c>
      <c r="AG7920" t="s">
        <v>47867</v>
      </c>
      <c r="AH7920" t="s">
        <v>47868</v>
      </c>
      <c r="AI7920" t="s">
        <v>47869</v>
      </c>
    </row>
    <row r="7921" spans="2:35" ht="105">
      <c r="B7921" s="1">
        <v>45071</v>
      </c>
      <c r="C7921" s="4">
        <v>45071.591666666667</v>
      </c>
      <c r="D7921" t="s">
        <v>18752</v>
      </c>
      <c r="E7921" t="s">
        <v>46590</v>
      </c>
      <c r="F7921">
        <v>7</v>
      </c>
      <c r="G7921" t="s">
        <v>432</v>
      </c>
      <c r="H7921" t="s">
        <v>39</v>
      </c>
      <c r="I7921" t="s">
        <v>94</v>
      </c>
      <c r="J7921" t="s">
        <v>109</v>
      </c>
      <c r="K7921" t="s">
        <v>42</v>
      </c>
      <c r="L7921" t="s">
        <v>594</v>
      </c>
      <c r="Q7921">
        <v>24642</v>
      </c>
      <c r="R7921" t="s">
        <v>119</v>
      </c>
      <c r="S7921" t="s">
        <v>22513</v>
      </c>
      <c r="T7921">
        <v>23</v>
      </c>
      <c r="U7921" s="2" t="s">
        <v>32532</v>
      </c>
      <c r="V7921" s="1">
        <v>45069</v>
      </c>
      <c r="W7921" t="s">
        <v>502</v>
      </c>
      <c r="X7921">
        <v>838564</v>
      </c>
      <c r="Y7921" t="s">
        <v>6997</v>
      </c>
      <c r="Z7921" t="s">
        <v>47870</v>
      </c>
      <c r="AA7921" t="s">
        <v>2551</v>
      </c>
      <c r="AB7921" t="s">
        <v>47871</v>
      </c>
      <c r="AG7921" t="s">
        <v>47872</v>
      </c>
      <c r="AH7921" t="s">
        <v>46595</v>
      </c>
      <c r="AI7921" t="s">
        <v>47873</v>
      </c>
    </row>
    <row r="7922" spans="2:35" ht="409.5">
      <c r="B7922" s="1">
        <v>45071</v>
      </c>
      <c r="C7922" s="4">
        <v>45071.564583333333</v>
      </c>
      <c r="D7922" t="s">
        <v>9147</v>
      </c>
      <c r="E7922" t="s">
        <v>47874</v>
      </c>
      <c r="F7922">
        <v>6</v>
      </c>
      <c r="G7922" t="s">
        <v>1234</v>
      </c>
      <c r="H7922" t="s">
        <v>608</v>
      </c>
      <c r="I7922" t="s">
        <v>94</v>
      </c>
      <c r="J7922" t="s">
        <v>109</v>
      </c>
      <c r="K7922" t="s">
        <v>42</v>
      </c>
      <c r="L7922" t="s">
        <v>610</v>
      </c>
      <c r="Q7922">
        <v>24641</v>
      </c>
      <c r="R7922" t="s">
        <v>119</v>
      </c>
      <c r="S7922" t="s">
        <v>19064</v>
      </c>
      <c r="T7922">
        <v>34</v>
      </c>
      <c r="U7922" s="2" t="s">
        <v>47875</v>
      </c>
      <c r="W7922" t="s">
        <v>360</v>
      </c>
      <c r="X7922">
        <v>838523</v>
      </c>
      <c r="Y7922" t="s">
        <v>47876</v>
      </c>
      <c r="Z7922" s="2" t="s">
        <v>47877</v>
      </c>
      <c r="AA7922" t="s">
        <v>47878</v>
      </c>
      <c r="AB7922" t="s">
        <v>47879</v>
      </c>
      <c r="AG7922" t="s">
        <v>47880</v>
      </c>
      <c r="AH7922" t="s">
        <v>21020</v>
      </c>
      <c r="AI7922" t="s">
        <v>47881</v>
      </c>
    </row>
    <row r="7923" spans="2:35" ht="90">
      <c r="B7923" s="1">
        <v>45071</v>
      </c>
      <c r="C7923" s="4">
        <v>45071.555555555555</v>
      </c>
      <c r="D7923" t="s">
        <v>38129</v>
      </c>
      <c r="E7923" t="s">
        <v>47882</v>
      </c>
      <c r="F7923">
        <v>6</v>
      </c>
      <c r="G7923" t="s">
        <v>1234</v>
      </c>
      <c r="H7923" t="s">
        <v>608</v>
      </c>
      <c r="I7923" t="s">
        <v>94</v>
      </c>
      <c r="J7923" t="s">
        <v>109</v>
      </c>
      <c r="K7923" t="s">
        <v>42</v>
      </c>
      <c r="L7923" t="s">
        <v>610</v>
      </c>
      <c r="Q7923">
        <v>24640</v>
      </c>
      <c r="R7923" t="s">
        <v>45</v>
      </c>
      <c r="S7923" t="s">
        <v>38131</v>
      </c>
      <c r="T7923">
        <v>24</v>
      </c>
      <c r="U7923" s="2" t="s">
        <v>47883</v>
      </c>
      <c r="W7923" t="s">
        <v>360</v>
      </c>
      <c r="X7923">
        <v>838144</v>
      </c>
      <c r="Y7923" t="s">
        <v>47884</v>
      </c>
      <c r="Z7923" t="s">
        <v>47885</v>
      </c>
      <c r="AA7923" t="s">
        <v>47886</v>
      </c>
      <c r="AB7923" t="s">
        <v>47887</v>
      </c>
      <c r="AG7923" t="s">
        <v>47888</v>
      </c>
      <c r="AH7923" t="s">
        <v>47889</v>
      </c>
      <c r="AI7923" t="s">
        <v>47890</v>
      </c>
    </row>
    <row r="7924" spans="2:35" ht="360">
      <c r="B7924" s="1">
        <v>45071</v>
      </c>
      <c r="C7924" s="4">
        <v>45071.540277777778</v>
      </c>
      <c r="D7924" t="s">
        <v>4206</v>
      </c>
      <c r="E7924" t="s">
        <v>21634</v>
      </c>
      <c r="F7924">
        <v>11</v>
      </c>
      <c r="G7924" t="s">
        <v>2836</v>
      </c>
      <c r="H7924" t="s">
        <v>202</v>
      </c>
      <c r="I7924" t="s">
        <v>40</v>
      </c>
      <c r="J7924" s="2" t="s">
        <v>190</v>
      </c>
      <c r="K7924" t="s">
        <v>42</v>
      </c>
      <c r="L7924" t="s">
        <v>204</v>
      </c>
      <c r="Q7924">
        <v>24639</v>
      </c>
      <c r="R7924" t="s">
        <v>119</v>
      </c>
      <c r="S7924" t="s">
        <v>4209</v>
      </c>
      <c r="T7924">
        <v>23.7</v>
      </c>
      <c r="W7924" t="s">
        <v>23237</v>
      </c>
      <c r="X7924">
        <v>838295</v>
      </c>
      <c r="Y7924" t="s">
        <v>32541</v>
      </c>
      <c r="Z7924" s="2" t="s">
        <v>47659</v>
      </c>
      <c r="AA7924" t="s">
        <v>2924</v>
      </c>
      <c r="AB7924" t="s">
        <v>47891</v>
      </c>
      <c r="AC7924" t="s">
        <v>47892</v>
      </c>
      <c r="AG7924" t="s">
        <v>47893</v>
      </c>
      <c r="AH7924" t="s">
        <v>46130</v>
      </c>
      <c r="AI7924" t="s">
        <v>47894</v>
      </c>
    </row>
    <row r="7925" spans="2:35" ht="240">
      <c r="B7925" s="1">
        <v>45071</v>
      </c>
      <c r="C7925" s="4">
        <v>45071.53402777778</v>
      </c>
      <c r="D7925" t="s">
        <v>2272</v>
      </c>
      <c r="E7925" t="s">
        <v>43308</v>
      </c>
      <c r="F7925" t="s">
        <v>148</v>
      </c>
      <c r="G7925" t="s">
        <v>310</v>
      </c>
      <c r="H7925" t="s">
        <v>2274</v>
      </c>
      <c r="I7925" t="s">
        <v>40</v>
      </c>
      <c r="J7925" t="s">
        <v>109</v>
      </c>
      <c r="K7925" t="s">
        <v>387</v>
      </c>
      <c r="L7925" t="s">
        <v>1943</v>
      </c>
      <c r="Q7925">
        <v>24638</v>
      </c>
      <c r="R7925" t="s">
        <v>95</v>
      </c>
      <c r="S7925" t="s">
        <v>2276</v>
      </c>
      <c r="T7925">
        <v>25</v>
      </c>
      <c r="W7925" t="s">
        <v>390</v>
      </c>
      <c r="X7925" t="s">
        <v>2277</v>
      </c>
      <c r="Y7925" t="s">
        <v>2099</v>
      </c>
      <c r="Z7925" s="2" t="s">
        <v>47895</v>
      </c>
      <c r="AA7925" t="s">
        <v>2100</v>
      </c>
      <c r="AB7925" t="s">
        <v>88</v>
      </c>
      <c r="AG7925" t="s">
        <v>47896</v>
      </c>
      <c r="AH7925" t="s">
        <v>18780</v>
      </c>
      <c r="AI7925" t="s">
        <v>47897</v>
      </c>
    </row>
    <row r="7926" spans="2:35" ht="135">
      <c r="B7926" s="1">
        <v>45071</v>
      </c>
      <c r="C7926" s="4">
        <v>45070.553472222222</v>
      </c>
      <c r="D7926" t="s">
        <v>23635</v>
      </c>
      <c r="E7926" t="s">
        <v>44597</v>
      </c>
      <c r="F7926" t="s">
        <v>148</v>
      </c>
      <c r="G7926" t="s">
        <v>310</v>
      </c>
      <c r="H7926" t="s">
        <v>39</v>
      </c>
      <c r="I7926" t="s">
        <v>40</v>
      </c>
      <c r="J7926" t="s">
        <v>109</v>
      </c>
      <c r="K7926" t="s">
        <v>42</v>
      </c>
      <c r="L7926" t="s">
        <v>1943</v>
      </c>
      <c r="Q7926">
        <v>24637</v>
      </c>
      <c r="R7926" t="s">
        <v>95</v>
      </c>
      <c r="S7926" t="s">
        <v>47898</v>
      </c>
      <c r="T7926">
        <v>25</v>
      </c>
      <c r="U7926" s="2" t="s">
        <v>29245</v>
      </c>
      <c r="W7926" t="s">
        <v>84</v>
      </c>
      <c r="X7926">
        <v>831620</v>
      </c>
      <c r="Y7926" t="s">
        <v>28970</v>
      </c>
      <c r="Z7926" s="2" t="s">
        <v>47899</v>
      </c>
      <c r="AA7926" t="s">
        <v>1548</v>
      </c>
      <c r="AB7926" t="s">
        <v>88</v>
      </c>
      <c r="AG7926" t="s">
        <v>47900</v>
      </c>
      <c r="AH7926" t="s">
        <v>32712</v>
      </c>
      <c r="AI7926" t="s">
        <v>47901</v>
      </c>
    </row>
    <row r="7927" spans="2:35" ht="135">
      <c r="B7927" s="1">
        <v>45071</v>
      </c>
      <c r="C7927" s="4">
        <v>45070.553472222222</v>
      </c>
      <c r="D7927" t="s">
        <v>23635</v>
      </c>
      <c r="E7927" t="s">
        <v>44597</v>
      </c>
      <c r="F7927" t="s">
        <v>148</v>
      </c>
      <c r="G7927" t="s">
        <v>310</v>
      </c>
      <c r="H7927" t="s">
        <v>39</v>
      </c>
      <c r="I7927" t="s">
        <v>40</v>
      </c>
      <c r="J7927" t="s">
        <v>109</v>
      </c>
      <c r="K7927" t="s">
        <v>42</v>
      </c>
      <c r="L7927" t="s">
        <v>1943</v>
      </c>
      <c r="Q7927">
        <v>24636</v>
      </c>
      <c r="R7927" t="s">
        <v>95</v>
      </c>
      <c r="S7927" t="s">
        <v>47898</v>
      </c>
      <c r="T7927">
        <v>25</v>
      </c>
      <c r="U7927" s="2" t="s">
        <v>29245</v>
      </c>
      <c r="W7927" t="s">
        <v>84</v>
      </c>
      <c r="X7927">
        <v>831620</v>
      </c>
      <c r="Y7927" t="s">
        <v>28970</v>
      </c>
      <c r="Z7927" s="2" t="s">
        <v>47899</v>
      </c>
      <c r="AA7927" t="s">
        <v>1548</v>
      </c>
      <c r="AB7927" t="s">
        <v>88</v>
      </c>
      <c r="AG7927" t="s">
        <v>47902</v>
      </c>
      <c r="AH7927" t="s">
        <v>32712</v>
      </c>
      <c r="AI7927" t="s">
        <v>47903</v>
      </c>
    </row>
    <row r="7928" spans="2:35" ht="300">
      <c r="B7928" s="1">
        <v>45071</v>
      </c>
      <c r="C7928" s="4">
        <v>45071.490972222222</v>
      </c>
      <c r="D7928" t="s">
        <v>26080</v>
      </c>
      <c r="E7928" t="s">
        <v>47904</v>
      </c>
      <c r="F7928">
        <v>13</v>
      </c>
      <c r="G7928" t="s">
        <v>4484</v>
      </c>
      <c r="H7928" t="s">
        <v>2125</v>
      </c>
      <c r="I7928" t="s">
        <v>40</v>
      </c>
      <c r="J7928" s="2" t="s">
        <v>41</v>
      </c>
      <c r="K7928" t="s">
        <v>42</v>
      </c>
      <c r="L7928" t="s">
        <v>933</v>
      </c>
      <c r="Q7928">
        <v>24635</v>
      </c>
      <c r="R7928" t="s">
        <v>45</v>
      </c>
      <c r="S7928" t="s">
        <v>7753</v>
      </c>
      <c r="T7928">
        <v>27.5</v>
      </c>
      <c r="U7928" s="2" t="s">
        <v>47905</v>
      </c>
      <c r="W7928" t="s">
        <v>3662</v>
      </c>
      <c r="X7928">
        <v>805099</v>
      </c>
      <c r="Y7928" t="s">
        <v>301</v>
      </c>
      <c r="Z7928" t="s">
        <v>301</v>
      </c>
      <c r="AA7928" t="s">
        <v>47906</v>
      </c>
      <c r="AB7928" t="s">
        <v>13650</v>
      </c>
      <c r="AG7928" t="s">
        <v>47907</v>
      </c>
      <c r="AH7928" t="s">
        <v>12765</v>
      </c>
      <c r="AI7928" t="s">
        <v>47908</v>
      </c>
    </row>
    <row r="7929" spans="2:35" ht="180">
      <c r="B7929" s="1">
        <v>45071</v>
      </c>
      <c r="C7929" s="4">
        <v>45071.453472222223</v>
      </c>
      <c r="D7929" t="s">
        <v>19677</v>
      </c>
      <c r="E7929" t="s">
        <v>19678</v>
      </c>
      <c r="F7929">
        <v>7</v>
      </c>
      <c r="G7929" t="s">
        <v>6529</v>
      </c>
      <c r="H7929" t="s">
        <v>10969</v>
      </c>
      <c r="I7929" t="s">
        <v>40</v>
      </c>
      <c r="J7929" s="2" t="s">
        <v>62</v>
      </c>
      <c r="K7929" t="s">
        <v>42</v>
      </c>
      <c r="L7929" t="s">
        <v>1288</v>
      </c>
      <c r="Q7929">
        <v>24634</v>
      </c>
      <c r="R7929" t="s">
        <v>119</v>
      </c>
      <c r="S7929" t="s">
        <v>42146</v>
      </c>
      <c r="T7929">
        <v>28</v>
      </c>
      <c r="U7929" s="2" t="s">
        <v>47909</v>
      </c>
      <c r="W7929" t="s">
        <v>1292</v>
      </c>
      <c r="X7929">
        <v>838396</v>
      </c>
      <c r="Y7929" t="s">
        <v>47910</v>
      </c>
      <c r="Z7929" t="e">
        <f ca="1">-COLLECT IQR,system _xludf.Log, _xludf.and Assay stat</f>
        <v>#NAME?</v>
      </c>
      <c r="AA7929" t="e">
        <f ca="1">-PERFORM PREV. Maintenance _xludf.and Cleaning
-PERFORM XpertCheck CALIBRATION:
B3-passed
                                                                                                                                                                                                                                                                B4-Retry THEN service</f>
        <v>#NAME?</v>
      </c>
      <c r="AB7929" t="s">
        <v>47911</v>
      </c>
      <c r="AG7929" t="s">
        <v>47912</v>
      </c>
      <c r="AH7929" t="s">
        <v>47913</v>
      </c>
      <c r="AI7929" t="s">
        <v>47914</v>
      </c>
    </row>
    <row r="7930" spans="2:35" ht="180">
      <c r="B7930" s="1">
        <v>45071</v>
      </c>
      <c r="C7930" s="4">
        <v>45071.395833333336</v>
      </c>
      <c r="D7930" t="s">
        <v>10983</v>
      </c>
      <c r="E7930" t="s">
        <v>47915</v>
      </c>
      <c r="F7930">
        <v>6</v>
      </c>
      <c r="G7930" t="s">
        <v>1234</v>
      </c>
      <c r="H7930" t="s">
        <v>39</v>
      </c>
      <c r="I7930" t="s">
        <v>40</v>
      </c>
      <c r="J7930" s="2" t="s">
        <v>1370</v>
      </c>
      <c r="K7930" t="s">
        <v>42</v>
      </c>
      <c r="L7930" t="s">
        <v>433</v>
      </c>
      <c r="Q7930">
        <v>24633</v>
      </c>
      <c r="R7930" t="s">
        <v>45</v>
      </c>
      <c r="S7930" t="s">
        <v>47916</v>
      </c>
      <c r="T7930">
        <v>28</v>
      </c>
      <c r="U7930" s="2" t="s">
        <v>47917</v>
      </c>
      <c r="W7930" t="s">
        <v>1008</v>
      </c>
      <c r="X7930">
        <v>805093</v>
      </c>
      <c r="Y7930" t="s">
        <v>47918</v>
      </c>
      <c r="Z7930" t="s">
        <v>47919</v>
      </c>
      <c r="AA7930" t="s">
        <v>47920</v>
      </c>
      <c r="AB7930" t="s">
        <v>1011</v>
      </c>
      <c r="AG7930" t="s">
        <v>47921</v>
      </c>
      <c r="AH7930" t="s">
        <v>47922</v>
      </c>
      <c r="AI7930" t="s">
        <v>47923</v>
      </c>
    </row>
    <row r="7931" spans="2:35" ht="195">
      <c r="B7931" s="1">
        <v>45071</v>
      </c>
      <c r="C7931" s="4">
        <v>45071.350694444445</v>
      </c>
      <c r="D7931" t="s">
        <v>2614</v>
      </c>
      <c r="E7931" t="s">
        <v>2615</v>
      </c>
      <c r="F7931">
        <v>1</v>
      </c>
      <c r="G7931" t="s">
        <v>2599</v>
      </c>
      <c r="H7931" t="s">
        <v>39</v>
      </c>
      <c r="I7931" t="s">
        <v>40</v>
      </c>
      <c r="J7931" s="2" t="s">
        <v>41</v>
      </c>
      <c r="K7931" t="s">
        <v>42</v>
      </c>
      <c r="L7931" t="s">
        <v>1048</v>
      </c>
      <c r="Q7931">
        <v>24632</v>
      </c>
      <c r="R7931" t="s">
        <v>45</v>
      </c>
      <c r="S7931" t="s">
        <v>2616</v>
      </c>
      <c r="T7931">
        <v>33</v>
      </c>
      <c r="U7931" s="2" t="s">
        <v>1509</v>
      </c>
      <c r="W7931" t="s">
        <v>2384</v>
      </c>
      <c r="X7931">
        <v>807430</v>
      </c>
      <c r="Y7931" t="s">
        <v>47924</v>
      </c>
      <c r="Z7931" s="2" t="s">
        <v>47925</v>
      </c>
      <c r="AA7931" t="s">
        <v>47926</v>
      </c>
      <c r="AB7931" t="s">
        <v>181</v>
      </c>
      <c r="AC7931" t="s">
        <v>47927</v>
      </c>
      <c r="AG7931" t="s">
        <v>47928</v>
      </c>
      <c r="AH7931" t="s">
        <v>2618</v>
      </c>
      <c r="AI7931" t="s">
        <v>47929</v>
      </c>
    </row>
    <row r="7932" spans="2:35" ht="345">
      <c r="B7932" s="1">
        <v>45071</v>
      </c>
      <c r="C7932" s="4">
        <v>45070.520833333336</v>
      </c>
      <c r="D7932" t="s">
        <v>1995</v>
      </c>
      <c r="E7932" t="s">
        <v>24752</v>
      </c>
      <c r="F7932" t="s">
        <v>148</v>
      </c>
      <c r="G7932" t="s">
        <v>1964</v>
      </c>
      <c r="H7932" t="s">
        <v>39</v>
      </c>
      <c r="I7932" t="s">
        <v>40</v>
      </c>
      <c r="J7932" s="2" t="s">
        <v>41</v>
      </c>
      <c r="K7932" t="s">
        <v>42</v>
      </c>
      <c r="L7932" t="s">
        <v>1048</v>
      </c>
      <c r="Q7932">
        <v>24631</v>
      </c>
      <c r="R7932" t="s">
        <v>45</v>
      </c>
      <c r="S7932" t="s">
        <v>1997</v>
      </c>
      <c r="T7932">
        <v>27</v>
      </c>
      <c r="U7932" s="2" t="s">
        <v>47930</v>
      </c>
      <c r="V7932" s="1">
        <v>45069</v>
      </c>
      <c r="W7932" t="s">
        <v>2384</v>
      </c>
      <c r="X7932">
        <v>838192</v>
      </c>
      <c r="Y7932" t="s">
        <v>47030</v>
      </c>
      <c r="Z7932" s="2" t="s">
        <v>47931</v>
      </c>
      <c r="AA7932" t="s">
        <v>47932</v>
      </c>
      <c r="AB7932" t="s">
        <v>70</v>
      </c>
      <c r="AC7932" t="s">
        <v>47933</v>
      </c>
      <c r="AD7932" t="s">
        <v>47934</v>
      </c>
      <c r="AE7932" t="s">
        <v>47935</v>
      </c>
      <c r="AG7932" t="s">
        <v>47936</v>
      </c>
      <c r="AH7932" t="s">
        <v>22999</v>
      </c>
      <c r="AI7932" t="s">
        <v>47937</v>
      </c>
    </row>
    <row r="7933" spans="2:35" ht="225">
      <c r="B7933" s="1">
        <v>45070</v>
      </c>
      <c r="C7933" s="4">
        <v>45070.606944444444</v>
      </c>
      <c r="D7933" t="s">
        <v>7067</v>
      </c>
      <c r="E7933" t="s">
        <v>7068</v>
      </c>
      <c r="F7933">
        <v>2</v>
      </c>
      <c r="G7933" t="s">
        <v>2723</v>
      </c>
      <c r="H7933" t="s">
        <v>39</v>
      </c>
      <c r="I7933" t="s">
        <v>40</v>
      </c>
      <c r="J7933" s="2" t="s">
        <v>62</v>
      </c>
      <c r="K7933" t="s">
        <v>42</v>
      </c>
      <c r="L7933" t="s">
        <v>63</v>
      </c>
      <c r="Q7933">
        <v>24630</v>
      </c>
      <c r="R7933" t="s">
        <v>119</v>
      </c>
      <c r="S7933" t="s">
        <v>7069</v>
      </c>
      <c r="T7933">
        <v>26</v>
      </c>
      <c r="U7933" s="2" t="s">
        <v>47938</v>
      </c>
      <c r="V7933" s="1">
        <v>44971</v>
      </c>
      <c r="W7933" t="s">
        <v>12351</v>
      </c>
      <c r="X7933">
        <v>838465</v>
      </c>
      <c r="Y7933" t="s">
        <v>1716</v>
      </c>
      <c r="Z7933" t="s">
        <v>1716</v>
      </c>
      <c r="AA7933" s="2" t="s">
        <v>38119</v>
      </c>
      <c r="AB7933" t="s">
        <v>70</v>
      </c>
      <c r="AC7933" t="s">
        <v>38901</v>
      </c>
      <c r="AD7933" t="s">
        <v>31742</v>
      </c>
      <c r="AE7933">
        <v>9625</v>
      </c>
      <c r="AG7933" t="s">
        <v>47939</v>
      </c>
      <c r="AH7933" t="s">
        <v>10833</v>
      </c>
      <c r="AI7933" t="s">
        <v>47940</v>
      </c>
    </row>
    <row r="7934" spans="2:35" ht="180">
      <c r="B7934" s="1">
        <v>45070</v>
      </c>
      <c r="C7934" s="4">
        <v>45070.434027777781</v>
      </c>
      <c r="D7934" t="s">
        <v>46338</v>
      </c>
      <c r="E7934" t="s">
        <v>46339</v>
      </c>
      <c r="F7934">
        <v>7</v>
      </c>
      <c r="G7934" t="s">
        <v>6529</v>
      </c>
      <c r="H7934" t="s">
        <v>1047</v>
      </c>
      <c r="I7934" t="s">
        <v>40</v>
      </c>
      <c r="J7934" s="2" t="s">
        <v>62</v>
      </c>
      <c r="K7934" t="s">
        <v>42</v>
      </c>
      <c r="L7934" t="s">
        <v>1288</v>
      </c>
      <c r="Q7934">
        <v>24629</v>
      </c>
      <c r="R7934" t="s">
        <v>45</v>
      </c>
      <c r="S7934" t="s">
        <v>12992</v>
      </c>
      <c r="T7934">
        <v>25</v>
      </c>
      <c r="U7934" s="2" t="s">
        <v>47941</v>
      </c>
      <c r="W7934" t="s">
        <v>1292</v>
      </c>
      <c r="X7934">
        <v>815431</v>
      </c>
      <c r="Y7934" t="s">
        <v>13756</v>
      </c>
      <c r="Z7934" t="e">
        <f ca="1">-COLLECT IQR, system _xludf.Log, _xludf.and ARCHIVE</f>
        <v>#NAME?</v>
      </c>
      <c r="AA7934" t="e">
        <f ca="1">-PERFORM Preventive Maintenance _xludf.and Cleaning
-PERFORM CALIBRATION : ALL modules passed</f>
        <v>#NAME?</v>
      </c>
      <c r="AB7934" t="s">
        <v>1293</v>
      </c>
      <c r="AG7934" t="s">
        <v>47942</v>
      </c>
      <c r="AH7934" t="s">
        <v>12996</v>
      </c>
      <c r="AI7934" t="s">
        <v>47943</v>
      </c>
    </row>
    <row r="7935" spans="2:35" ht="409.5">
      <c r="B7935" s="1">
        <v>45070</v>
      </c>
      <c r="C7935" s="4">
        <v>45070.621527777781</v>
      </c>
      <c r="D7935" t="s">
        <v>47944</v>
      </c>
      <c r="E7935" t="s">
        <v>7442</v>
      </c>
      <c r="F7935" t="s">
        <v>148</v>
      </c>
      <c r="G7935" t="s">
        <v>447</v>
      </c>
      <c r="H7935" t="s">
        <v>39</v>
      </c>
      <c r="I7935" t="s">
        <v>40</v>
      </c>
      <c r="J7935" s="2" t="s">
        <v>609</v>
      </c>
      <c r="K7935" t="s">
        <v>42</v>
      </c>
      <c r="L7935" t="s">
        <v>175</v>
      </c>
      <c r="Q7935">
        <v>24628</v>
      </c>
      <c r="R7935" t="s">
        <v>703</v>
      </c>
      <c r="S7935" t="s">
        <v>47945</v>
      </c>
      <c r="T7935">
        <v>25</v>
      </c>
      <c r="U7935" s="2" t="s">
        <v>47946</v>
      </c>
      <c r="W7935" t="s">
        <v>84</v>
      </c>
      <c r="X7935">
        <v>847578</v>
      </c>
      <c r="Y7935" t="s">
        <v>47947</v>
      </c>
      <c r="Z7935" s="2" t="s">
        <v>47948</v>
      </c>
      <c r="AA7935" t="e">
        <f ca="1">- imported Assay definition file
- performed Maintenance</f>
        <v>#NAME?</v>
      </c>
      <c r="AB7935" t="s">
        <v>88</v>
      </c>
      <c r="AG7935" t="s">
        <v>47949</v>
      </c>
      <c r="AH7935" t="s">
        <v>47950</v>
      </c>
      <c r="AI7935" t="s">
        <v>47951</v>
      </c>
    </row>
    <row r="7936" spans="2:35" ht="225">
      <c r="B7936" s="1">
        <v>45070</v>
      </c>
      <c r="C7936" s="4">
        <v>45070.611111111109</v>
      </c>
      <c r="D7936" t="s">
        <v>47952</v>
      </c>
      <c r="E7936" t="s">
        <v>19747</v>
      </c>
      <c r="F7936">
        <v>7</v>
      </c>
      <c r="G7936" t="s">
        <v>6529</v>
      </c>
      <c r="H7936" t="s">
        <v>47953</v>
      </c>
      <c r="I7936" t="s">
        <v>40</v>
      </c>
      <c r="J7936" s="2" t="s">
        <v>62</v>
      </c>
      <c r="K7936" t="s">
        <v>42</v>
      </c>
      <c r="L7936" t="s">
        <v>1288</v>
      </c>
      <c r="Q7936">
        <v>24627</v>
      </c>
      <c r="R7936" t="s">
        <v>119</v>
      </c>
      <c r="S7936" t="s">
        <v>10213</v>
      </c>
      <c r="T7936">
        <v>28</v>
      </c>
      <c r="U7936" s="2" t="s">
        <v>47954</v>
      </c>
      <c r="W7936" t="s">
        <v>1292</v>
      </c>
      <c r="X7936">
        <v>838394</v>
      </c>
      <c r="Y7936" s="2" t="s">
        <v>47955</v>
      </c>
      <c r="Z7936" t="s">
        <v>42350</v>
      </c>
      <c r="AA7936" t="e">
        <f ca="1">-PERFORM Preventive Maintenance _xludf.and Cleaning
-PERFORM XpertCheck :
B1-Retry TWICE THEN _xludf.For service
                                                                                                                                                                                                                                                                B2-Retry THEN passed
                                                                                                                                                                                                                                                                B3-_xludf.For service</f>
        <v>#NAME?</v>
      </c>
      <c r="AB7936" t="e">
        <f ca="1">-B1-B3 disabled</f>
        <v>#VALUE!</v>
      </c>
      <c r="AG7936" t="s">
        <v>47956</v>
      </c>
      <c r="AH7936" t="s">
        <v>12989</v>
      </c>
      <c r="AI7936" t="s">
        <v>47957</v>
      </c>
    </row>
    <row r="7937" spans="2:35" ht="180">
      <c r="B7937" s="1">
        <v>45070</v>
      </c>
      <c r="C7937" s="4">
        <v>45070.434027777781</v>
      </c>
      <c r="D7937" t="s">
        <v>46338</v>
      </c>
      <c r="E7937" t="s">
        <v>46339</v>
      </c>
      <c r="F7937">
        <v>7</v>
      </c>
      <c r="G7937" t="s">
        <v>6529</v>
      </c>
      <c r="H7937" t="s">
        <v>1047</v>
      </c>
      <c r="I7937" t="s">
        <v>40</v>
      </c>
      <c r="J7937" s="2" t="s">
        <v>62</v>
      </c>
      <c r="K7937" t="s">
        <v>42</v>
      </c>
      <c r="L7937" t="s">
        <v>1288</v>
      </c>
      <c r="Q7937">
        <v>24626</v>
      </c>
      <c r="R7937" t="s">
        <v>45</v>
      </c>
      <c r="S7937" t="s">
        <v>12992</v>
      </c>
      <c r="T7937">
        <v>25</v>
      </c>
      <c r="U7937" s="2" t="s">
        <v>47941</v>
      </c>
      <c r="W7937" t="s">
        <v>1292</v>
      </c>
      <c r="X7937">
        <v>815431</v>
      </c>
      <c r="Y7937" t="s">
        <v>13756</v>
      </c>
      <c r="Z7937" t="e">
        <f ca="1">-COLLECT IQR, system _xludf.Log, _xludf.and ARCHIVE</f>
        <v>#NAME?</v>
      </c>
      <c r="AA7937" t="e">
        <f ca="1">-PERFORM Preventive Maintenance _xludf.and Cleaning
-PERFORM CALIBRATION : ALL modules passed</f>
        <v>#NAME?</v>
      </c>
      <c r="AB7937" t="s">
        <v>1293</v>
      </c>
      <c r="AG7937" t="s">
        <v>47958</v>
      </c>
      <c r="AH7937" t="s">
        <v>12996</v>
      </c>
      <c r="AI7937" t="s">
        <v>47959</v>
      </c>
    </row>
    <row r="7938" spans="2:35" ht="285">
      <c r="B7938" s="1">
        <v>45070</v>
      </c>
      <c r="C7938" s="4">
        <v>45070.504861111112</v>
      </c>
      <c r="D7938" t="s">
        <v>42756</v>
      </c>
      <c r="E7938" t="s">
        <v>47960</v>
      </c>
      <c r="F7938">
        <v>11</v>
      </c>
      <c r="G7938" t="s">
        <v>2836</v>
      </c>
      <c r="H7938" t="s">
        <v>202</v>
      </c>
      <c r="I7938" t="s">
        <v>40</v>
      </c>
      <c r="J7938" t="s">
        <v>79</v>
      </c>
      <c r="K7938" t="s">
        <v>42</v>
      </c>
      <c r="L7938" t="s">
        <v>204</v>
      </c>
      <c r="Q7938">
        <v>24625</v>
      </c>
      <c r="R7938" t="s">
        <v>45</v>
      </c>
      <c r="S7938" t="s">
        <v>42758</v>
      </c>
      <c r="T7938">
        <v>27.4</v>
      </c>
      <c r="W7938" t="s">
        <v>23237</v>
      </c>
      <c r="X7938">
        <v>835216</v>
      </c>
      <c r="Y7938" t="s">
        <v>2034</v>
      </c>
      <c r="Z7938" s="2" t="s">
        <v>47961</v>
      </c>
      <c r="AA7938" t="s">
        <v>12182</v>
      </c>
      <c r="AB7938" t="s">
        <v>9590</v>
      </c>
      <c r="AG7938" t="s">
        <v>47962</v>
      </c>
      <c r="AH7938" t="s">
        <v>47963</v>
      </c>
      <c r="AI7938" t="s">
        <v>47964</v>
      </c>
    </row>
    <row r="7939" spans="2:35" ht="180">
      <c r="B7939" s="1">
        <v>45070</v>
      </c>
      <c r="C7939" s="4">
        <v>45070.490277777775</v>
      </c>
      <c r="D7939" t="s">
        <v>26306</v>
      </c>
      <c r="E7939" t="s">
        <v>47965</v>
      </c>
      <c r="F7939">
        <v>7</v>
      </c>
      <c r="G7939" t="s">
        <v>269</v>
      </c>
      <c r="H7939" t="s">
        <v>39</v>
      </c>
      <c r="I7939" t="s">
        <v>94</v>
      </c>
      <c r="J7939" t="s">
        <v>79</v>
      </c>
      <c r="K7939" t="s">
        <v>42</v>
      </c>
      <c r="L7939" t="s">
        <v>270</v>
      </c>
      <c r="Q7939">
        <v>24624</v>
      </c>
      <c r="R7939" t="s">
        <v>45</v>
      </c>
      <c r="S7939" t="s">
        <v>46147</v>
      </c>
      <c r="T7939">
        <v>20</v>
      </c>
      <c r="U7939" s="2" t="s">
        <v>47966</v>
      </c>
      <c r="W7939" t="s">
        <v>3662</v>
      </c>
      <c r="X7939">
        <v>808282</v>
      </c>
      <c r="Y7939" t="s">
        <v>47967</v>
      </c>
      <c r="Z7939" t="s">
        <v>47968</v>
      </c>
      <c r="AA7939" t="s">
        <v>47969</v>
      </c>
      <c r="AB7939" t="s">
        <v>47970</v>
      </c>
      <c r="AG7939" t="s">
        <v>47971</v>
      </c>
      <c r="AH7939" t="s">
        <v>47972</v>
      </c>
      <c r="AI7939" t="s">
        <v>47973</v>
      </c>
    </row>
    <row r="7940" spans="2:35" ht="270">
      <c r="B7940" s="1">
        <v>45070</v>
      </c>
      <c r="C7940" s="4">
        <v>45070.525694444441</v>
      </c>
      <c r="D7940" t="s">
        <v>25388</v>
      </c>
      <c r="E7940" t="s">
        <v>47974</v>
      </c>
      <c r="F7940">
        <v>13</v>
      </c>
      <c r="G7940" t="s">
        <v>931</v>
      </c>
      <c r="H7940" t="s">
        <v>2125</v>
      </c>
      <c r="I7940" t="s">
        <v>40</v>
      </c>
      <c r="J7940" s="2" t="s">
        <v>41</v>
      </c>
      <c r="K7940" t="s">
        <v>42</v>
      </c>
      <c r="L7940" t="s">
        <v>933</v>
      </c>
      <c r="Q7940">
        <v>24623</v>
      </c>
      <c r="R7940" t="s">
        <v>45</v>
      </c>
      <c r="S7940" t="s">
        <v>25390</v>
      </c>
      <c r="T7940">
        <v>23.45</v>
      </c>
      <c r="U7940" s="2" t="s">
        <v>47975</v>
      </c>
      <c r="W7940" t="s">
        <v>3662</v>
      </c>
      <c r="X7940">
        <v>815435</v>
      </c>
      <c r="Y7940" t="s">
        <v>301</v>
      </c>
      <c r="Z7940" t="s">
        <v>301</v>
      </c>
      <c r="AA7940" s="2" t="s">
        <v>47976</v>
      </c>
      <c r="AB7940" t="s">
        <v>13650</v>
      </c>
      <c r="AG7940" t="s">
        <v>47977</v>
      </c>
      <c r="AH7940" t="s">
        <v>25394</v>
      </c>
      <c r="AI7940" t="s">
        <v>47978</v>
      </c>
    </row>
    <row r="7941" spans="2:35" ht="225">
      <c r="B7941" s="1">
        <v>45070</v>
      </c>
      <c r="C7941" s="4">
        <v>45070.365277777775</v>
      </c>
      <c r="D7941" t="s">
        <v>20767</v>
      </c>
      <c r="E7941" t="s">
        <v>47979</v>
      </c>
      <c r="F7941">
        <v>2</v>
      </c>
      <c r="G7941" t="s">
        <v>2723</v>
      </c>
      <c r="H7941" t="s">
        <v>39</v>
      </c>
      <c r="I7941" t="s">
        <v>40</v>
      </c>
      <c r="J7941" s="2" t="s">
        <v>62</v>
      </c>
      <c r="K7941" t="s">
        <v>42</v>
      </c>
      <c r="L7941" t="s">
        <v>63</v>
      </c>
      <c r="Q7941">
        <v>24621</v>
      </c>
      <c r="R7941" t="s">
        <v>119</v>
      </c>
      <c r="S7941" t="s">
        <v>20769</v>
      </c>
      <c r="T7941">
        <v>29</v>
      </c>
      <c r="U7941" s="2" t="s">
        <v>47980</v>
      </c>
      <c r="V7941" s="1">
        <v>44971</v>
      </c>
      <c r="W7941" t="s">
        <v>26915</v>
      </c>
      <c r="X7941">
        <v>838532</v>
      </c>
      <c r="Y7941" t="s">
        <v>1716</v>
      </c>
      <c r="Z7941" t="s">
        <v>1716</v>
      </c>
      <c r="AA7941" s="2" t="s">
        <v>47981</v>
      </c>
      <c r="AB7941" t="s">
        <v>70</v>
      </c>
      <c r="AC7941" t="s">
        <v>38901</v>
      </c>
      <c r="AD7941" t="s">
        <v>31742</v>
      </c>
      <c r="AE7941">
        <v>9626</v>
      </c>
      <c r="AG7941" t="s">
        <v>47982</v>
      </c>
      <c r="AH7941" t="s">
        <v>47983</v>
      </c>
      <c r="AI7941" t="s">
        <v>47984</v>
      </c>
    </row>
    <row r="7942" spans="2:35" ht="240">
      <c r="B7942" s="1">
        <v>45070</v>
      </c>
      <c r="C7942" s="4">
        <v>45070.415972222225</v>
      </c>
      <c r="D7942" t="s">
        <v>32522</v>
      </c>
      <c r="E7942" t="s">
        <v>32523</v>
      </c>
      <c r="F7942">
        <v>2</v>
      </c>
      <c r="G7942" t="s">
        <v>2723</v>
      </c>
      <c r="H7942" t="s">
        <v>39</v>
      </c>
      <c r="I7942" t="s">
        <v>40</v>
      </c>
      <c r="J7942" s="2" t="s">
        <v>41</v>
      </c>
      <c r="K7942" t="s">
        <v>42</v>
      </c>
      <c r="L7942" t="s">
        <v>63</v>
      </c>
      <c r="Q7942">
        <v>24622</v>
      </c>
      <c r="R7942" t="s">
        <v>45</v>
      </c>
      <c r="S7942" t="s">
        <v>32524</v>
      </c>
      <c r="T7942">
        <v>26</v>
      </c>
      <c r="U7942" s="2" t="s">
        <v>47985</v>
      </c>
      <c r="V7942" s="1">
        <v>45070</v>
      </c>
      <c r="W7942" t="s">
        <v>29259</v>
      </c>
      <c r="X7942">
        <v>835091</v>
      </c>
      <c r="Y7942" t="s">
        <v>1716</v>
      </c>
      <c r="Z7942" t="s">
        <v>1716</v>
      </c>
      <c r="AA7942" s="2" t="s">
        <v>39935</v>
      </c>
      <c r="AB7942" t="s">
        <v>70</v>
      </c>
      <c r="AC7942" t="s">
        <v>47986</v>
      </c>
      <c r="AD7942" t="s">
        <v>47987</v>
      </c>
      <c r="AE7942" t="s">
        <v>1716</v>
      </c>
      <c r="AG7942" t="s">
        <v>47988</v>
      </c>
      <c r="AH7942" t="s">
        <v>32527</v>
      </c>
      <c r="AI7942" t="s">
        <v>47989</v>
      </c>
    </row>
    <row r="7943" spans="2:35" ht="225">
      <c r="B7943" s="1">
        <v>45070</v>
      </c>
      <c r="C7943" s="4">
        <v>45070.522916666669</v>
      </c>
      <c r="D7943" t="s">
        <v>20776</v>
      </c>
      <c r="E7943" t="s">
        <v>20777</v>
      </c>
      <c r="F7943" t="s">
        <v>511</v>
      </c>
      <c r="G7943" t="s">
        <v>20778</v>
      </c>
      <c r="H7943" t="s">
        <v>39</v>
      </c>
      <c r="I7943" t="s">
        <v>40</v>
      </c>
      <c r="J7943" s="2" t="s">
        <v>62</v>
      </c>
      <c r="K7943" t="s">
        <v>42</v>
      </c>
      <c r="L7943" t="s">
        <v>63</v>
      </c>
      <c r="Q7943">
        <v>24620</v>
      </c>
      <c r="R7943" t="s">
        <v>322</v>
      </c>
      <c r="S7943" t="s">
        <v>20779</v>
      </c>
      <c r="T7943">
        <v>29</v>
      </c>
      <c r="U7943" s="2" t="s">
        <v>13799</v>
      </c>
      <c r="V7943" s="1">
        <v>45063</v>
      </c>
      <c r="W7943" t="s">
        <v>26915</v>
      </c>
      <c r="X7943">
        <v>847727</v>
      </c>
      <c r="Y7943" t="s">
        <v>1716</v>
      </c>
      <c r="Z7943" t="s">
        <v>1716</v>
      </c>
      <c r="AA7943" s="2" t="s">
        <v>38119</v>
      </c>
      <c r="AB7943" t="s">
        <v>70</v>
      </c>
      <c r="AC7943" t="s">
        <v>38901</v>
      </c>
      <c r="AD7943" t="s">
        <v>31742</v>
      </c>
      <c r="AE7943">
        <v>5244</v>
      </c>
      <c r="AG7943" t="s">
        <v>47990</v>
      </c>
      <c r="AH7943" t="s">
        <v>47991</v>
      </c>
      <c r="AI7943" t="s">
        <v>47992</v>
      </c>
    </row>
    <row r="7944" spans="2:35" ht="315">
      <c r="B7944" s="1">
        <v>45070</v>
      </c>
      <c r="C7944" s="4">
        <v>45070.370833333334</v>
      </c>
      <c r="D7944" t="s">
        <v>47993</v>
      </c>
      <c r="E7944" t="s">
        <v>47994</v>
      </c>
      <c r="F7944">
        <v>3</v>
      </c>
      <c r="G7944" t="s">
        <v>134</v>
      </c>
      <c r="H7944" t="s">
        <v>1047</v>
      </c>
      <c r="I7944" t="s">
        <v>40</v>
      </c>
      <c r="J7944" s="2" t="s">
        <v>41</v>
      </c>
      <c r="K7944" t="s">
        <v>42</v>
      </c>
      <c r="L7944" t="s">
        <v>135</v>
      </c>
      <c r="Q7944">
        <v>24619</v>
      </c>
      <c r="R7944" t="s">
        <v>45</v>
      </c>
      <c r="S7944" t="s">
        <v>2679</v>
      </c>
      <c r="T7944">
        <v>30</v>
      </c>
      <c r="U7944" s="2" t="s">
        <v>47995</v>
      </c>
      <c r="V7944" s="1">
        <v>56019</v>
      </c>
      <c r="W7944" t="s">
        <v>2680</v>
      </c>
      <c r="X7944">
        <v>812834</v>
      </c>
      <c r="Y7944" t="s">
        <v>38525</v>
      </c>
      <c r="Z7944" s="2" t="s">
        <v>47996</v>
      </c>
      <c r="AA7944" s="2" t="s">
        <v>47997</v>
      </c>
      <c r="AB7944" t="s">
        <v>181</v>
      </c>
      <c r="AD7944" t="s">
        <v>22730</v>
      </c>
      <c r="AE7944">
        <v>40823</v>
      </c>
      <c r="AG7944" t="s">
        <v>47998</v>
      </c>
      <c r="AH7944" t="s">
        <v>2686</v>
      </c>
      <c r="AI7944" t="s">
        <v>47999</v>
      </c>
    </row>
    <row r="7945" spans="2:35" ht="270">
      <c r="B7945" s="1">
        <v>45070</v>
      </c>
      <c r="C7945" s="4">
        <v>45069.469444444447</v>
      </c>
      <c r="D7945" t="s">
        <v>2176</v>
      </c>
      <c r="E7945" t="s">
        <v>13608</v>
      </c>
      <c r="F7945" t="s">
        <v>148</v>
      </c>
      <c r="G7945" t="s">
        <v>447</v>
      </c>
      <c r="H7945" t="s">
        <v>61</v>
      </c>
      <c r="I7945" t="s">
        <v>40</v>
      </c>
      <c r="J7945" s="2" t="s">
        <v>62</v>
      </c>
      <c r="K7945" t="s">
        <v>42</v>
      </c>
      <c r="L7945" t="s">
        <v>1048</v>
      </c>
      <c r="Q7945">
        <v>24618</v>
      </c>
      <c r="R7945" t="s">
        <v>322</v>
      </c>
      <c r="S7945" t="s">
        <v>3086</v>
      </c>
      <c r="T7945">
        <v>27</v>
      </c>
      <c r="U7945" s="2" t="s">
        <v>47527</v>
      </c>
      <c r="V7945" s="1">
        <v>45062</v>
      </c>
      <c r="W7945" t="s">
        <v>47528</v>
      </c>
      <c r="X7945">
        <v>110014085</v>
      </c>
      <c r="Y7945" t="s">
        <v>28759</v>
      </c>
      <c r="Z7945" t="e">
        <f ca="1">-Changed _xludf.filter
-cleaned cartridge Bays, plunger Rods, I-CORE
-performed XpertCheck
-generated reports</f>
        <v>#NAME?</v>
      </c>
      <c r="AA7945" t="s">
        <v>47529</v>
      </c>
      <c r="AB7945" s="2" t="s">
        <v>47530</v>
      </c>
      <c r="AC7945" t="s">
        <v>47531</v>
      </c>
      <c r="AD7945" t="s">
        <v>1958</v>
      </c>
      <c r="AE7945" t="s">
        <v>47532</v>
      </c>
      <c r="AG7945" t="s">
        <v>47533</v>
      </c>
      <c r="AH7945" t="s">
        <v>15953</v>
      </c>
      <c r="AI7945" t="s">
        <v>47534</v>
      </c>
    </row>
    <row r="7946" spans="2:35" ht="255">
      <c r="B7946" s="1">
        <v>45070</v>
      </c>
      <c r="C7946" s="4">
        <v>45069.436805555553</v>
      </c>
      <c r="D7946" t="s">
        <v>2176</v>
      </c>
      <c r="E7946" t="s">
        <v>13608</v>
      </c>
      <c r="F7946" t="s">
        <v>148</v>
      </c>
      <c r="G7946" t="s">
        <v>447</v>
      </c>
      <c r="H7946" t="s">
        <v>1047</v>
      </c>
      <c r="I7946" t="s">
        <v>40</v>
      </c>
      <c r="J7946" t="s">
        <v>109</v>
      </c>
      <c r="K7946" t="s">
        <v>42</v>
      </c>
      <c r="L7946" t="s">
        <v>1048</v>
      </c>
      <c r="Q7946">
        <v>24618</v>
      </c>
      <c r="R7946" t="s">
        <v>45</v>
      </c>
      <c r="S7946" t="s">
        <v>2582</v>
      </c>
      <c r="T7946">
        <v>32</v>
      </c>
      <c r="U7946" s="2" t="s">
        <v>48000</v>
      </c>
      <c r="W7946" t="s">
        <v>360</v>
      </c>
      <c r="X7946">
        <v>803087</v>
      </c>
      <c r="Y7946" t="s">
        <v>7229</v>
      </c>
      <c r="Z7946" t="e">
        <f ca="1">-cleaned cartridge Bays, plunger Rods, I-CORE
- generated reports</f>
        <v>#NAME?</v>
      </c>
      <c r="AA7946" t="s">
        <v>16055</v>
      </c>
      <c r="AB7946" t="s">
        <v>38198</v>
      </c>
      <c r="AC7946" t="s">
        <v>47933</v>
      </c>
      <c r="AG7946" t="s">
        <v>48001</v>
      </c>
      <c r="AH7946" t="s">
        <v>2588</v>
      </c>
      <c r="AI7946" t="s">
        <v>48002</v>
      </c>
    </row>
    <row r="7947" spans="2:35" ht="105">
      <c r="B7947" s="1">
        <v>45069</v>
      </c>
      <c r="C7947" s="4">
        <v>45069.77847222222</v>
      </c>
      <c r="D7947" t="s">
        <v>3912</v>
      </c>
      <c r="E7947" t="s">
        <v>29506</v>
      </c>
      <c r="F7947">
        <v>6</v>
      </c>
      <c r="G7947" t="s">
        <v>1234</v>
      </c>
      <c r="H7947" t="s">
        <v>608</v>
      </c>
      <c r="I7947" t="s">
        <v>94</v>
      </c>
      <c r="J7947" t="s">
        <v>79</v>
      </c>
      <c r="K7947" t="s">
        <v>42</v>
      </c>
      <c r="L7947" t="s">
        <v>610</v>
      </c>
      <c r="Q7947">
        <v>24617</v>
      </c>
      <c r="R7947" t="s">
        <v>45</v>
      </c>
      <c r="S7947" t="s">
        <v>3914</v>
      </c>
      <c r="T7947">
        <v>22</v>
      </c>
      <c r="U7947" s="2" t="s">
        <v>32532</v>
      </c>
      <c r="W7947" t="s">
        <v>502</v>
      </c>
      <c r="X7947">
        <v>807614</v>
      </c>
      <c r="Y7947" t="s">
        <v>48003</v>
      </c>
      <c r="Z7947" t="s">
        <v>48004</v>
      </c>
      <c r="AA7947" t="s">
        <v>48004</v>
      </c>
      <c r="AB7947" t="s">
        <v>48005</v>
      </c>
      <c r="AG7947" t="s">
        <v>48006</v>
      </c>
      <c r="AH7947" t="s">
        <v>48007</v>
      </c>
      <c r="AI7947" t="s">
        <v>48008</v>
      </c>
    </row>
    <row r="7948" spans="2:35" ht="180">
      <c r="B7948" s="1">
        <v>45069</v>
      </c>
      <c r="C7948" s="4">
        <v>45069.703472222223</v>
      </c>
      <c r="D7948" t="s">
        <v>3103</v>
      </c>
      <c r="E7948" t="s">
        <v>3104</v>
      </c>
      <c r="F7948">
        <v>6</v>
      </c>
      <c r="G7948" t="s">
        <v>1507</v>
      </c>
      <c r="H7948" t="s">
        <v>11433</v>
      </c>
      <c r="I7948" t="s">
        <v>94</v>
      </c>
      <c r="J7948" s="2" t="s">
        <v>190</v>
      </c>
      <c r="K7948" t="s">
        <v>42</v>
      </c>
      <c r="L7948" t="s">
        <v>343</v>
      </c>
      <c r="Q7948">
        <v>24616</v>
      </c>
      <c r="R7948" t="s">
        <v>45</v>
      </c>
      <c r="S7948" t="s">
        <v>3105</v>
      </c>
      <c r="T7948">
        <v>24</v>
      </c>
      <c r="U7948" s="2" t="s">
        <v>48009</v>
      </c>
      <c r="W7948" t="s">
        <v>6105</v>
      </c>
      <c r="X7948">
        <v>805333</v>
      </c>
      <c r="Y7948" t="s">
        <v>48010</v>
      </c>
      <c r="Z7948" t="s">
        <v>301</v>
      </c>
      <c r="AA7948" t="e">
        <f ca="1">-Preventive Maintenance
-Troubleshoot module B4</f>
        <v>#NAME?</v>
      </c>
      <c r="AB7948" t="s">
        <v>48011</v>
      </c>
      <c r="AG7948" t="s">
        <v>48012</v>
      </c>
      <c r="AH7948" t="s">
        <v>48013</v>
      </c>
      <c r="AI7948" t="s">
        <v>48014</v>
      </c>
    </row>
    <row r="7949" spans="2:35" ht="240">
      <c r="B7949" s="1">
        <v>45069</v>
      </c>
      <c r="C7949" s="4">
        <v>45063.395833333336</v>
      </c>
      <c r="D7949" t="s">
        <v>48015</v>
      </c>
      <c r="E7949" t="s">
        <v>32089</v>
      </c>
      <c r="F7949">
        <v>12</v>
      </c>
      <c r="G7949" t="s">
        <v>5785</v>
      </c>
      <c r="H7949" t="s">
        <v>39</v>
      </c>
      <c r="I7949" t="s">
        <v>94</v>
      </c>
      <c r="J7949" s="2" t="s">
        <v>62</v>
      </c>
      <c r="K7949" t="s">
        <v>42</v>
      </c>
      <c r="L7949" t="s">
        <v>296</v>
      </c>
      <c r="Q7949">
        <v>24615</v>
      </c>
      <c r="R7949" t="s">
        <v>45</v>
      </c>
      <c r="S7949" t="s">
        <v>32090</v>
      </c>
      <c r="T7949">
        <v>28.3</v>
      </c>
      <c r="U7949" s="2" t="s">
        <v>48016</v>
      </c>
      <c r="V7949" s="1">
        <v>45063</v>
      </c>
      <c r="W7949" t="s">
        <v>23049</v>
      </c>
      <c r="X7949">
        <v>812017</v>
      </c>
      <c r="Y7949" t="s">
        <v>54</v>
      </c>
      <c r="Z7949" s="2" t="s">
        <v>48017</v>
      </c>
      <c r="AA7949" s="2" t="s">
        <v>48017</v>
      </c>
      <c r="AB7949" t="s">
        <v>972</v>
      </c>
      <c r="AC7949" t="s">
        <v>25110</v>
      </c>
      <c r="AD7949" t="s">
        <v>18451</v>
      </c>
      <c r="AE7949" t="s">
        <v>48018</v>
      </c>
      <c r="AG7949" t="s">
        <v>48019</v>
      </c>
      <c r="AH7949" t="s">
        <v>48020</v>
      </c>
      <c r="AI7949" t="s">
        <v>48021</v>
      </c>
    </row>
    <row r="7950" spans="2:35" ht="409.5">
      <c r="B7950" s="1">
        <v>45069</v>
      </c>
      <c r="C7950" s="4">
        <v>45069.648611111108</v>
      </c>
      <c r="D7950" t="s">
        <v>10647</v>
      </c>
      <c r="E7950" t="s">
        <v>10648</v>
      </c>
      <c r="F7950">
        <v>12</v>
      </c>
      <c r="G7950" t="s">
        <v>2137</v>
      </c>
      <c r="H7950" t="s">
        <v>39</v>
      </c>
      <c r="I7950" t="s">
        <v>94</v>
      </c>
      <c r="J7950" s="2" t="s">
        <v>41</v>
      </c>
      <c r="K7950" t="s">
        <v>42</v>
      </c>
      <c r="L7950" t="s">
        <v>296</v>
      </c>
      <c r="Q7950">
        <v>24614</v>
      </c>
      <c r="R7950" t="s">
        <v>45</v>
      </c>
      <c r="S7950" t="s">
        <v>48022</v>
      </c>
      <c r="T7950">
        <v>26.9</v>
      </c>
      <c r="U7950" s="2" t="s">
        <v>48023</v>
      </c>
      <c r="V7950" s="1">
        <v>45069</v>
      </c>
      <c r="W7950" t="s">
        <v>23049</v>
      </c>
      <c r="X7950">
        <v>807623</v>
      </c>
      <c r="Y7950" s="2" t="s">
        <v>48024</v>
      </c>
      <c r="Z7950" s="2" t="s">
        <v>48025</v>
      </c>
      <c r="AA7950" s="2" t="s">
        <v>48025</v>
      </c>
      <c r="AB7950" t="s">
        <v>46457</v>
      </c>
      <c r="AC7950" t="s">
        <v>48026</v>
      </c>
      <c r="AD7950" t="s">
        <v>37959</v>
      </c>
      <c r="AE7950" t="s">
        <v>19700</v>
      </c>
      <c r="AG7950" t="s">
        <v>48027</v>
      </c>
      <c r="AH7950" t="s">
        <v>48028</v>
      </c>
      <c r="AI7950" t="s">
        <v>48029</v>
      </c>
    </row>
    <row r="7951" spans="2:35" ht="45">
      <c r="B7951" s="1">
        <v>45069</v>
      </c>
      <c r="C7951" s="4">
        <v>45069.647222222222</v>
      </c>
      <c r="D7951" t="s">
        <v>4149</v>
      </c>
      <c r="E7951" t="s">
        <v>48030</v>
      </c>
      <c r="F7951">
        <v>7</v>
      </c>
      <c r="G7951" t="s">
        <v>432</v>
      </c>
      <c r="H7951" t="s">
        <v>39</v>
      </c>
      <c r="I7951" t="s">
        <v>40</v>
      </c>
      <c r="J7951" s="2" t="s">
        <v>1370</v>
      </c>
      <c r="K7951" t="s">
        <v>42</v>
      </c>
      <c r="L7951" t="s">
        <v>433</v>
      </c>
      <c r="Q7951">
        <v>24613</v>
      </c>
      <c r="R7951" t="s">
        <v>45</v>
      </c>
      <c r="S7951" t="s">
        <v>48031</v>
      </c>
      <c r="T7951">
        <v>23</v>
      </c>
      <c r="W7951" t="s">
        <v>1008</v>
      </c>
      <c r="X7951">
        <v>808286</v>
      </c>
      <c r="Y7951" t="s">
        <v>48032</v>
      </c>
      <c r="Z7951" t="s">
        <v>48033</v>
      </c>
      <c r="AA7951" t="s">
        <v>48034</v>
      </c>
      <c r="AB7951" t="s">
        <v>1011</v>
      </c>
      <c r="AG7951" t="s">
        <v>48035</v>
      </c>
      <c r="AH7951" t="s">
        <v>48036</v>
      </c>
      <c r="AI7951" t="s">
        <v>48037</v>
      </c>
    </row>
    <row r="7952" spans="2:35" ht="45">
      <c r="B7952" s="1">
        <v>45069</v>
      </c>
      <c r="C7952" s="4">
        <v>45069.616666666669</v>
      </c>
      <c r="D7952" t="s">
        <v>1203</v>
      </c>
      <c r="E7952" t="s">
        <v>2547</v>
      </c>
      <c r="F7952">
        <v>11</v>
      </c>
      <c r="G7952" t="s">
        <v>1205</v>
      </c>
      <c r="H7952" t="s">
        <v>1317</v>
      </c>
      <c r="I7952" t="s">
        <v>40</v>
      </c>
      <c r="J7952" s="2" t="s">
        <v>41</v>
      </c>
      <c r="K7952" t="s">
        <v>42</v>
      </c>
      <c r="L7952" t="s">
        <v>204</v>
      </c>
      <c r="Q7952">
        <v>24612</v>
      </c>
      <c r="R7952" t="s">
        <v>45</v>
      </c>
      <c r="S7952" t="s">
        <v>1206</v>
      </c>
      <c r="T7952">
        <v>23.8</v>
      </c>
      <c r="W7952" t="s">
        <v>23237</v>
      </c>
      <c r="X7952">
        <v>808298</v>
      </c>
      <c r="Y7952" t="s">
        <v>48038</v>
      </c>
      <c r="Z7952" t="s">
        <v>48039</v>
      </c>
      <c r="AA7952" t="s">
        <v>12182</v>
      </c>
      <c r="AB7952" t="s">
        <v>48040</v>
      </c>
      <c r="AC7952" t="s">
        <v>48041</v>
      </c>
      <c r="AG7952" t="s">
        <v>48042</v>
      </c>
      <c r="AH7952" t="s">
        <v>14076</v>
      </c>
      <c r="AI7952" t="s">
        <v>48043</v>
      </c>
    </row>
    <row r="7953" spans="2:35" ht="330">
      <c r="B7953" s="1">
        <v>45069</v>
      </c>
      <c r="C7953" s="4">
        <v>45069.57916666667</v>
      </c>
      <c r="D7953" t="s">
        <v>3502</v>
      </c>
      <c r="E7953" t="s">
        <v>3503</v>
      </c>
      <c r="F7953">
        <v>6</v>
      </c>
      <c r="G7953" t="s">
        <v>1507</v>
      </c>
      <c r="H7953" t="s">
        <v>1498</v>
      </c>
      <c r="I7953" t="s">
        <v>94</v>
      </c>
      <c r="J7953" t="s">
        <v>79</v>
      </c>
      <c r="K7953" t="s">
        <v>42</v>
      </c>
      <c r="L7953" t="s">
        <v>343</v>
      </c>
      <c r="Q7953">
        <v>24611</v>
      </c>
      <c r="R7953" t="s">
        <v>45</v>
      </c>
      <c r="S7953" t="s">
        <v>3504</v>
      </c>
      <c r="T7953">
        <v>27</v>
      </c>
      <c r="U7953" s="2" t="s">
        <v>48044</v>
      </c>
      <c r="V7953" s="1">
        <v>45069</v>
      </c>
      <c r="W7953" t="s">
        <v>6105</v>
      </c>
      <c r="X7953">
        <v>815280</v>
      </c>
      <c r="Y7953" t="s">
        <v>48045</v>
      </c>
      <c r="Z7953" s="2" t="s">
        <v>48046</v>
      </c>
      <c r="AA7953" t="e">
        <f ca="1">-module Replacement</f>
        <v>#NAME?</v>
      </c>
      <c r="AB7953" t="s">
        <v>7886</v>
      </c>
      <c r="AD7953" t="s">
        <v>31932</v>
      </c>
      <c r="AE7953" t="s">
        <v>45</v>
      </c>
      <c r="AG7953" t="s">
        <v>48047</v>
      </c>
      <c r="AH7953" t="s">
        <v>3509</v>
      </c>
      <c r="AI7953" t="s">
        <v>48048</v>
      </c>
    </row>
    <row r="7954" spans="2:35" ht="285">
      <c r="B7954" s="1">
        <v>45069</v>
      </c>
      <c r="C7954" s="4">
        <v>45069.55972222222</v>
      </c>
      <c r="D7954" t="s">
        <v>1661</v>
      </c>
      <c r="E7954" t="s">
        <v>1662</v>
      </c>
      <c r="F7954">
        <v>8</v>
      </c>
      <c r="G7954" t="s">
        <v>1663</v>
      </c>
      <c r="H7954" t="s">
        <v>39</v>
      </c>
      <c r="I7954" t="s">
        <v>40</v>
      </c>
      <c r="J7954" s="2" t="s">
        <v>41</v>
      </c>
      <c r="K7954" t="s">
        <v>42</v>
      </c>
      <c r="L7954" t="s">
        <v>259</v>
      </c>
      <c r="Q7954">
        <v>24610</v>
      </c>
      <c r="R7954" t="s">
        <v>45</v>
      </c>
      <c r="S7954" t="s">
        <v>26127</v>
      </c>
      <c r="T7954">
        <v>28</v>
      </c>
      <c r="U7954" s="2" t="s">
        <v>48049</v>
      </c>
      <c r="V7954" s="1">
        <v>45069</v>
      </c>
      <c r="W7954" t="s">
        <v>84</v>
      </c>
      <c r="X7954">
        <v>807566</v>
      </c>
      <c r="Y7954" t="e">
        <f ca="1">- stuck cartridge on module B3
- module B1 H/W Failed</f>
        <v>#NAME?</v>
      </c>
      <c r="Z7954" t="e">
        <f ca="1">- removed stuck cartridge on module B3/730410
- performed Preventive Maintenance
- Generate reports</f>
        <v>#NAME?</v>
      </c>
      <c r="AA7954" t="e">
        <f ca="1">- Repair
- Preventive Maintenance</f>
        <v>#NAME?</v>
      </c>
      <c r="AB7954" t="s">
        <v>70</v>
      </c>
      <c r="AG7954" t="s">
        <v>48050</v>
      </c>
      <c r="AH7954" t="s">
        <v>26143</v>
      </c>
      <c r="AI7954" t="s">
        <v>48051</v>
      </c>
    </row>
    <row r="7955" spans="2:35" ht="105">
      <c r="B7955" s="1">
        <v>45069</v>
      </c>
      <c r="C7955" s="4">
        <v>45069.459722222222</v>
      </c>
      <c r="D7955" t="s">
        <v>48052</v>
      </c>
      <c r="E7955" t="s">
        <v>48053</v>
      </c>
      <c r="F7955" t="s">
        <v>148</v>
      </c>
      <c r="G7955" t="s">
        <v>310</v>
      </c>
      <c r="H7955" t="s">
        <v>18031</v>
      </c>
      <c r="I7955" t="s">
        <v>40</v>
      </c>
      <c r="J7955" t="s">
        <v>321</v>
      </c>
      <c r="K7955" t="s">
        <v>42</v>
      </c>
      <c r="L7955" t="s">
        <v>175</v>
      </c>
      <c r="Q7955">
        <v>24609</v>
      </c>
      <c r="R7955" t="s">
        <v>322</v>
      </c>
      <c r="S7955" t="s">
        <v>18227</v>
      </c>
      <c r="T7955">
        <v>25</v>
      </c>
      <c r="U7955" s="2" t="s">
        <v>24107</v>
      </c>
      <c r="W7955" t="s">
        <v>536</v>
      </c>
      <c r="X7955">
        <v>110014186</v>
      </c>
      <c r="Y7955" t="s">
        <v>8338</v>
      </c>
      <c r="Z7955" t="e">
        <f ca="1">- unboxed Unit FROM crate
- installed Unit (Desktop, GX, UPS, printer)
- Setup GX settings
- performed functionality test
- generated reports</f>
        <v>#NAME?</v>
      </c>
      <c r="AA7955" t="s">
        <v>6430</v>
      </c>
      <c r="AB7955" t="s">
        <v>88</v>
      </c>
      <c r="AG7955" t="s">
        <v>48054</v>
      </c>
      <c r="AH7955" t="s">
        <v>48055</v>
      </c>
      <c r="AI7955" t="s">
        <v>48056</v>
      </c>
    </row>
    <row r="7956" spans="2:35" ht="180">
      <c r="B7956" s="1">
        <v>45069</v>
      </c>
      <c r="C7956" s="4">
        <v>45069.377083333333</v>
      </c>
      <c r="D7956" t="s">
        <v>5158</v>
      </c>
      <c r="E7956" t="s">
        <v>48057</v>
      </c>
      <c r="F7956" t="s">
        <v>148</v>
      </c>
      <c r="G7956" t="s">
        <v>310</v>
      </c>
      <c r="H7956" t="s">
        <v>34954</v>
      </c>
      <c r="I7956" t="s">
        <v>40</v>
      </c>
      <c r="J7956" s="2" t="s">
        <v>62</v>
      </c>
      <c r="K7956" t="s">
        <v>42</v>
      </c>
      <c r="L7956" t="s">
        <v>1943</v>
      </c>
      <c r="Q7956">
        <v>24608</v>
      </c>
      <c r="R7956" t="s">
        <v>322</v>
      </c>
      <c r="S7956" t="s">
        <v>14635</v>
      </c>
      <c r="T7956">
        <v>25</v>
      </c>
      <c r="U7956" s="2" t="s">
        <v>48058</v>
      </c>
      <c r="V7956" s="1">
        <v>45068</v>
      </c>
      <c r="W7956" t="s">
        <v>895</v>
      </c>
      <c r="X7956">
        <v>110013856</v>
      </c>
      <c r="Y7956" s="2" t="s">
        <v>23659</v>
      </c>
      <c r="Z7956" s="2" t="s">
        <v>32801</v>
      </c>
      <c r="AA7956" t="s">
        <v>23660</v>
      </c>
      <c r="AB7956" t="s">
        <v>88</v>
      </c>
      <c r="AD7956" t="s">
        <v>48059</v>
      </c>
      <c r="AE7956" t="s">
        <v>48060</v>
      </c>
      <c r="AG7956" t="s">
        <v>48061</v>
      </c>
      <c r="AH7956" t="s">
        <v>5165</v>
      </c>
      <c r="AI7956" t="s">
        <v>48062</v>
      </c>
    </row>
    <row r="7957" spans="2:35" ht="195">
      <c r="B7957" s="1">
        <v>45069</v>
      </c>
      <c r="C7957" s="4">
        <v>45063.6</v>
      </c>
      <c r="D7957" t="s">
        <v>38263</v>
      </c>
      <c r="E7957" t="s">
        <v>48063</v>
      </c>
      <c r="F7957" t="s">
        <v>37</v>
      </c>
      <c r="G7957" t="s">
        <v>748</v>
      </c>
      <c r="H7957" t="s">
        <v>39</v>
      </c>
      <c r="I7957" t="s">
        <v>40</v>
      </c>
      <c r="J7957" s="2" t="s">
        <v>41</v>
      </c>
      <c r="K7957" t="s">
        <v>42</v>
      </c>
      <c r="L7957" t="s">
        <v>1028</v>
      </c>
      <c r="Q7957">
        <v>24605</v>
      </c>
      <c r="R7957" t="s">
        <v>45</v>
      </c>
      <c r="S7957" t="s">
        <v>38265</v>
      </c>
      <c r="T7957">
        <v>28</v>
      </c>
      <c r="U7957" s="2" t="s">
        <v>11137</v>
      </c>
      <c r="V7957" s="1">
        <v>45062</v>
      </c>
      <c r="W7957" t="s">
        <v>2680</v>
      </c>
      <c r="X7957">
        <v>807581</v>
      </c>
      <c r="Y7957" t="s">
        <v>48064</v>
      </c>
      <c r="Z7957" t="s">
        <v>48065</v>
      </c>
      <c r="AA7957" s="2" t="s">
        <v>48066</v>
      </c>
      <c r="AB7957" t="s">
        <v>70</v>
      </c>
      <c r="AD7957" t="s">
        <v>48067</v>
      </c>
      <c r="AE7957" t="s">
        <v>48068</v>
      </c>
      <c r="AG7957" t="s">
        <v>48069</v>
      </c>
      <c r="AH7957" t="s">
        <v>48070</v>
      </c>
      <c r="AI7957" t="s">
        <v>48071</v>
      </c>
    </row>
    <row r="7958" spans="2:35" ht="150">
      <c r="B7958" s="1">
        <v>45069</v>
      </c>
      <c r="C7958" s="4">
        <v>45062.431944444441</v>
      </c>
      <c r="D7958" t="s">
        <v>32381</v>
      </c>
      <c r="E7958" t="s">
        <v>45549</v>
      </c>
      <c r="F7958" t="s">
        <v>37</v>
      </c>
      <c r="G7958" t="s">
        <v>748</v>
      </c>
      <c r="H7958" t="s">
        <v>39</v>
      </c>
      <c r="I7958" t="s">
        <v>40</v>
      </c>
      <c r="J7958" s="2" t="s">
        <v>41</v>
      </c>
      <c r="K7958" t="s">
        <v>42</v>
      </c>
      <c r="L7958" t="s">
        <v>1028</v>
      </c>
      <c r="Q7958">
        <v>24604</v>
      </c>
      <c r="R7958" t="s">
        <v>45</v>
      </c>
      <c r="S7958" t="s">
        <v>32383</v>
      </c>
      <c r="T7958">
        <v>25</v>
      </c>
      <c r="U7958" s="2" t="s">
        <v>48072</v>
      </c>
      <c r="W7958" t="s">
        <v>2680</v>
      </c>
      <c r="X7958">
        <v>814152</v>
      </c>
      <c r="Y7958" t="s">
        <v>35646</v>
      </c>
      <c r="Z7958" t="s">
        <v>2129</v>
      </c>
      <c r="AA7958" s="2" t="s">
        <v>40436</v>
      </c>
      <c r="AB7958" t="s">
        <v>28920</v>
      </c>
      <c r="AC7958" t="s">
        <v>48073</v>
      </c>
      <c r="AG7958" t="s">
        <v>48074</v>
      </c>
      <c r="AH7958" t="s">
        <v>42964</v>
      </c>
      <c r="AI7958" t="s">
        <v>48075</v>
      </c>
    </row>
    <row r="7959" spans="2:35" ht="135">
      <c r="B7959" s="1">
        <v>45069</v>
      </c>
      <c r="C7959" s="4">
        <v>45064.465277777781</v>
      </c>
      <c r="D7959" t="s">
        <v>30233</v>
      </c>
      <c r="E7959" t="s">
        <v>39047</v>
      </c>
      <c r="F7959" t="s">
        <v>37</v>
      </c>
      <c r="G7959" t="s">
        <v>748</v>
      </c>
      <c r="H7959" t="s">
        <v>39</v>
      </c>
      <c r="I7959" t="s">
        <v>40</v>
      </c>
      <c r="J7959" s="2" t="s">
        <v>41</v>
      </c>
      <c r="K7959" t="s">
        <v>42</v>
      </c>
      <c r="L7959" t="s">
        <v>1028</v>
      </c>
      <c r="Q7959">
        <v>24606</v>
      </c>
      <c r="R7959" t="s">
        <v>45</v>
      </c>
      <c r="S7959" t="s">
        <v>37309</v>
      </c>
      <c r="T7959">
        <v>25</v>
      </c>
      <c r="U7959" s="2" t="s">
        <v>3623</v>
      </c>
      <c r="V7959" s="1">
        <v>45062</v>
      </c>
      <c r="W7959" t="s">
        <v>2680</v>
      </c>
      <c r="X7959">
        <v>812835</v>
      </c>
      <c r="Y7959" t="s">
        <v>48076</v>
      </c>
      <c r="Z7959" t="s">
        <v>48077</v>
      </c>
      <c r="AA7959" s="2" t="s">
        <v>48078</v>
      </c>
      <c r="AB7959" t="s">
        <v>3063</v>
      </c>
      <c r="AD7959" t="s">
        <v>42214</v>
      </c>
      <c r="AE7959" t="s">
        <v>48079</v>
      </c>
      <c r="AG7959" t="s">
        <v>48080</v>
      </c>
      <c r="AH7959" t="s">
        <v>39050</v>
      </c>
      <c r="AI7959" t="s">
        <v>48081</v>
      </c>
    </row>
    <row r="7960" spans="2:35" ht="210">
      <c r="B7960" s="1">
        <v>45069</v>
      </c>
      <c r="C7960" s="4">
        <v>45064.504166666666</v>
      </c>
      <c r="D7960" t="s">
        <v>3782</v>
      </c>
      <c r="E7960" t="s">
        <v>48082</v>
      </c>
      <c r="F7960" t="s">
        <v>37</v>
      </c>
      <c r="G7960" t="s">
        <v>748</v>
      </c>
      <c r="H7960" t="s">
        <v>39</v>
      </c>
      <c r="I7960" t="s">
        <v>40</v>
      </c>
      <c r="J7960" s="2" t="s">
        <v>48083</v>
      </c>
      <c r="K7960" t="s">
        <v>42</v>
      </c>
      <c r="L7960" t="s">
        <v>1028</v>
      </c>
      <c r="Q7960">
        <v>24607</v>
      </c>
      <c r="R7960" t="s">
        <v>45</v>
      </c>
      <c r="S7960" t="s">
        <v>33887</v>
      </c>
      <c r="T7960">
        <v>25</v>
      </c>
      <c r="U7960" s="2" t="s">
        <v>48084</v>
      </c>
      <c r="W7960" t="s">
        <v>2680</v>
      </c>
      <c r="X7960">
        <v>804691</v>
      </c>
      <c r="Y7960" t="s">
        <v>3127</v>
      </c>
      <c r="Z7960" t="s">
        <v>6997</v>
      </c>
      <c r="AA7960" s="2" t="s">
        <v>48085</v>
      </c>
      <c r="AB7960" t="s">
        <v>8976</v>
      </c>
      <c r="AC7960" t="s">
        <v>48086</v>
      </c>
      <c r="AG7960" t="s">
        <v>48087</v>
      </c>
      <c r="AH7960" t="s">
        <v>42977</v>
      </c>
      <c r="AI7960" t="s">
        <v>48088</v>
      </c>
    </row>
    <row r="7961" spans="2:35" ht="240">
      <c r="B7961" s="1">
        <v>45069</v>
      </c>
      <c r="C7961" s="4">
        <v>45055.416666666664</v>
      </c>
      <c r="D7961" t="s">
        <v>27669</v>
      </c>
      <c r="E7961" t="s">
        <v>48089</v>
      </c>
      <c r="F7961" t="s">
        <v>37</v>
      </c>
      <c r="G7961" t="s">
        <v>748</v>
      </c>
      <c r="H7961" t="s">
        <v>39</v>
      </c>
      <c r="I7961" t="s">
        <v>40</v>
      </c>
      <c r="J7961" s="2" t="s">
        <v>190</v>
      </c>
      <c r="K7961" t="s">
        <v>42</v>
      </c>
      <c r="L7961" t="s">
        <v>1028</v>
      </c>
      <c r="Q7961">
        <v>24600</v>
      </c>
      <c r="R7961" t="s">
        <v>119</v>
      </c>
      <c r="S7961" t="s">
        <v>27671</v>
      </c>
      <c r="T7961">
        <v>25</v>
      </c>
      <c r="U7961" s="2" t="s">
        <v>48090</v>
      </c>
      <c r="W7961" t="s">
        <v>2680</v>
      </c>
      <c r="X7961">
        <v>821216</v>
      </c>
      <c r="Y7961" t="s">
        <v>48091</v>
      </c>
      <c r="Z7961" t="s">
        <v>21244</v>
      </c>
      <c r="AA7961" s="2" t="s">
        <v>48092</v>
      </c>
      <c r="AB7961" t="s">
        <v>3063</v>
      </c>
      <c r="AC7961" t="s">
        <v>48093</v>
      </c>
      <c r="AG7961" t="s">
        <v>48094</v>
      </c>
      <c r="AH7961" t="s">
        <v>27677</v>
      </c>
      <c r="AI7961" t="s">
        <v>48095</v>
      </c>
    </row>
    <row r="7962" spans="2:35" ht="90">
      <c r="B7962" s="1">
        <v>45069</v>
      </c>
      <c r="C7962" s="4">
        <v>45058.513194444444</v>
      </c>
      <c r="D7962" t="s">
        <v>7219</v>
      </c>
      <c r="E7962" t="s">
        <v>48096</v>
      </c>
      <c r="F7962" t="s">
        <v>148</v>
      </c>
      <c r="G7962" t="s">
        <v>310</v>
      </c>
      <c r="H7962" t="s">
        <v>7021</v>
      </c>
      <c r="I7962" t="s">
        <v>40</v>
      </c>
      <c r="J7962" t="s">
        <v>321</v>
      </c>
      <c r="K7962" t="s">
        <v>42</v>
      </c>
      <c r="L7962" t="s">
        <v>1028</v>
      </c>
      <c r="Q7962">
        <v>24601</v>
      </c>
      <c r="R7962" t="s">
        <v>322</v>
      </c>
      <c r="S7962" t="s">
        <v>27122</v>
      </c>
      <c r="T7962">
        <v>26</v>
      </c>
      <c r="V7962" s="1">
        <v>45056</v>
      </c>
      <c r="W7962" t="s">
        <v>2680</v>
      </c>
      <c r="X7962">
        <v>821257</v>
      </c>
      <c r="Y7962" t="s">
        <v>48097</v>
      </c>
      <c r="Z7962" t="s">
        <v>13110</v>
      </c>
      <c r="AA7962" s="2" t="s">
        <v>48098</v>
      </c>
      <c r="AB7962" t="s">
        <v>70</v>
      </c>
      <c r="AC7962" t="s">
        <v>48099</v>
      </c>
      <c r="AD7962" t="s">
        <v>3727</v>
      </c>
      <c r="AE7962">
        <v>9992</v>
      </c>
      <c r="AG7962" t="s">
        <v>48100</v>
      </c>
      <c r="AH7962" t="s">
        <v>48101</v>
      </c>
      <c r="AI7962" t="s">
        <v>48102</v>
      </c>
    </row>
    <row r="7963" spans="2:35" ht="165">
      <c r="B7963" s="1">
        <v>45069</v>
      </c>
      <c r="C7963" s="4">
        <v>45056.429166666669</v>
      </c>
      <c r="D7963" t="s">
        <v>2257</v>
      </c>
      <c r="E7963" t="s">
        <v>48103</v>
      </c>
      <c r="F7963" t="s">
        <v>37</v>
      </c>
      <c r="G7963" t="s">
        <v>748</v>
      </c>
      <c r="H7963" t="s">
        <v>39</v>
      </c>
      <c r="I7963" t="s">
        <v>40</v>
      </c>
      <c r="J7963" s="2" t="s">
        <v>62</v>
      </c>
      <c r="K7963" t="s">
        <v>42</v>
      </c>
      <c r="L7963" t="s">
        <v>1028</v>
      </c>
      <c r="Q7963">
        <v>24603</v>
      </c>
      <c r="R7963" t="s">
        <v>119</v>
      </c>
      <c r="S7963" t="s">
        <v>8974</v>
      </c>
      <c r="T7963">
        <v>28</v>
      </c>
      <c r="U7963" s="2" t="s">
        <v>44963</v>
      </c>
      <c r="V7963" s="1">
        <v>45041</v>
      </c>
      <c r="W7963" t="s">
        <v>2680</v>
      </c>
      <c r="X7963">
        <v>838537</v>
      </c>
      <c r="Y7963" t="s">
        <v>18140</v>
      </c>
      <c r="Z7963" t="s">
        <v>21244</v>
      </c>
      <c r="AA7963" s="2" t="s">
        <v>31300</v>
      </c>
      <c r="AB7963" t="s">
        <v>48104</v>
      </c>
      <c r="AC7963" t="s">
        <v>48105</v>
      </c>
      <c r="AD7963" t="s">
        <v>7189</v>
      </c>
      <c r="AE7963">
        <v>9930</v>
      </c>
      <c r="AG7963" t="s">
        <v>48106</v>
      </c>
      <c r="AH7963" t="s">
        <v>8978</v>
      </c>
      <c r="AI7963" t="s">
        <v>48107</v>
      </c>
    </row>
    <row r="7964" spans="2:35" ht="150">
      <c r="B7964" s="1">
        <v>45069</v>
      </c>
      <c r="C7964" s="4">
        <v>45056.493750000001</v>
      </c>
      <c r="D7964" t="s">
        <v>30233</v>
      </c>
      <c r="E7964" t="s">
        <v>39047</v>
      </c>
      <c r="F7964" t="s">
        <v>37</v>
      </c>
      <c r="G7964" t="s">
        <v>748</v>
      </c>
      <c r="H7964" t="s">
        <v>39</v>
      </c>
      <c r="I7964" t="s">
        <v>40</v>
      </c>
      <c r="J7964" s="2" t="s">
        <v>41</v>
      </c>
      <c r="K7964" t="s">
        <v>42</v>
      </c>
      <c r="L7964" t="s">
        <v>1028</v>
      </c>
      <c r="Q7964">
        <v>24603</v>
      </c>
      <c r="R7964" t="s">
        <v>45</v>
      </c>
      <c r="S7964" t="s">
        <v>37309</v>
      </c>
      <c r="T7964">
        <v>25</v>
      </c>
      <c r="U7964" s="2" t="s">
        <v>48108</v>
      </c>
      <c r="W7964" t="s">
        <v>2680</v>
      </c>
      <c r="X7964">
        <v>838162</v>
      </c>
      <c r="Y7964" t="s">
        <v>35646</v>
      </c>
      <c r="Z7964" t="s">
        <v>2129</v>
      </c>
      <c r="AA7964" s="2" t="s">
        <v>44735</v>
      </c>
      <c r="AB7964" t="s">
        <v>3063</v>
      </c>
      <c r="AC7964" t="s">
        <v>48109</v>
      </c>
      <c r="AG7964" t="s">
        <v>48110</v>
      </c>
      <c r="AH7964" t="s">
        <v>48111</v>
      </c>
      <c r="AI7964" t="s">
        <v>48112</v>
      </c>
    </row>
    <row r="7965" spans="2:35" ht="180">
      <c r="B7965" s="1">
        <v>45069</v>
      </c>
      <c r="C7965" s="4">
        <v>45055.480555555558</v>
      </c>
      <c r="D7965" t="s">
        <v>32381</v>
      </c>
      <c r="E7965" t="s">
        <v>45549</v>
      </c>
      <c r="F7965" t="s">
        <v>37</v>
      </c>
      <c r="G7965" t="s">
        <v>748</v>
      </c>
      <c r="H7965" t="s">
        <v>39</v>
      </c>
      <c r="I7965" t="s">
        <v>40</v>
      </c>
      <c r="J7965" s="2" t="s">
        <v>41</v>
      </c>
      <c r="K7965" t="s">
        <v>42</v>
      </c>
      <c r="L7965" t="s">
        <v>1028</v>
      </c>
      <c r="Q7965">
        <v>24602</v>
      </c>
      <c r="R7965" t="s">
        <v>45</v>
      </c>
      <c r="S7965" t="s">
        <v>32383</v>
      </c>
      <c r="T7965">
        <v>25</v>
      </c>
      <c r="U7965" s="2" t="s">
        <v>3505</v>
      </c>
      <c r="W7965" t="s">
        <v>2680</v>
      </c>
      <c r="X7965">
        <v>814152</v>
      </c>
      <c r="Y7965" s="2" t="s">
        <v>48113</v>
      </c>
      <c r="Z7965" s="2" t="s">
        <v>48114</v>
      </c>
      <c r="AA7965" s="2" t="s">
        <v>48115</v>
      </c>
      <c r="AB7965" t="s">
        <v>48116</v>
      </c>
      <c r="AC7965" t="s">
        <v>48117</v>
      </c>
      <c r="AG7965" t="s">
        <v>48118</v>
      </c>
      <c r="AH7965" t="s">
        <v>42964</v>
      </c>
      <c r="AI7965" t="s">
        <v>48119</v>
      </c>
    </row>
    <row r="7966" spans="2:35" ht="120">
      <c r="B7966" s="1">
        <v>45069</v>
      </c>
      <c r="C7966" s="4">
        <v>45063.425000000003</v>
      </c>
      <c r="D7966" t="s">
        <v>23656</v>
      </c>
      <c r="E7966" t="s">
        <v>48120</v>
      </c>
      <c r="F7966" t="s">
        <v>37</v>
      </c>
      <c r="G7966" t="s">
        <v>78</v>
      </c>
      <c r="H7966" t="s">
        <v>39</v>
      </c>
      <c r="I7966" t="s">
        <v>40</v>
      </c>
      <c r="J7966" s="2" t="s">
        <v>41</v>
      </c>
      <c r="K7966" t="s">
        <v>42</v>
      </c>
      <c r="L7966" t="s">
        <v>1943</v>
      </c>
      <c r="Q7966">
        <v>24599</v>
      </c>
      <c r="R7966" t="s">
        <v>45</v>
      </c>
      <c r="S7966" t="s">
        <v>23658</v>
      </c>
      <c r="T7966">
        <v>25</v>
      </c>
      <c r="U7966" s="2" t="s">
        <v>48121</v>
      </c>
      <c r="V7966" s="1">
        <v>45061</v>
      </c>
      <c r="W7966" t="s">
        <v>84</v>
      </c>
      <c r="X7966">
        <v>838447</v>
      </c>
      <c r="Y7966" s="2" t="s">
        <v>22466</v>
      </c>
      <c r="Z7966" s="2" t="s">
        <v>48122</v>
      </c>
      <c r="AA7966" t="s">
        <v>22330</v>
      </c>
      <c r="AB7966" t="s">
        <v>88</v>
      </c>
      <c r="AD7966" t="s">
        <v>48123</v>
      </c>
      <c r="AE7966" t="s">
        <v>48124</v>
      </c>
      <c r="AG7966" t="s">
        <v>48125</v>
      </c>
      <c r="AH7966" t="s">
        <v>23662</v>
      </c>
      <c r="AI7966" t="s">
        <v>48126</v>
      </c>
    </row>
    <row r="7967" spans="2:35" ht="300">
      <c r="B7967" s="1">
        <v>45069</v>
      </c>
      <c r="C7967" s="4">
        <v>45064.552777777775</v>
      </c>
      <c r="D7967" t="s">
        <v>24375</v>
      </c>
      <c r="E7967" t="s">
        <v>48127</v>
      </c>
      <c r="F7967" t="s">
        <v>1181</v>
      </c>
      <c r="G7967" t="s">
        <v>7148</v>
      </c>
      <c r="H7967" t="s">
        <v>34954</v>
      </c>
      <c r="I7967" t="s">
        <v>40</v>
      </c>
      <c r="J7967" s="2" t="s">
        <v>41</v>
      </c>
      <c r="K7967" t="s">
        <v>42</v>
      </c>
      <c r="L7967" t="s">
        <v>1943</v>
      </c>
      <c r="Q7967">
        <v>24598</v>
      </c>
      <c r="R7967" t="s">
        <v>45</v>
      </c>
      <c r="S7967" t="s">
        <v>48128</v>
      </c>
      <c r="T7967">
        <v>25</v>
      </c>
      <c r="U7967" s="2" t="s">
        <v>48129</v>
      </c>
      <c r="V7967" s="1">
        <v>45062</v>
      </c>
      <c r="W7967" t="s">
        <v>84</v>
      </c>
      <c r="X7967">
        <v>807987</v>
      </c>
      <c r="Y7967" s="2" t="s">
        <v>48130</v>
      </c>
      <c r="Z7967" s="2" t="s">
        <v>48131</v>
      </c>
      <c r="AA7967" t="s">
        <v>22330</v>
      </c>
      <c r="AB7967" t="s">
        <v>88</v>
      </c>
      <c r="AD7967" t="s">
        <v>48132</v>
      </c>
      <c r="AE7967" t="s">
        <v>8904</v>
      </c>
      <c r="AG7967" t="s">
        <v>48133</v>
      </c>
      <c r="AH7967" t="s">
        <v>48134</v>
      </c>
      <c r="AI7967" t="s">
        <v>48135</v>
      </c>
    </row>
    <row r="7968" spans="2:35" ht="300">
      <c r="B7968" s="1">
        <v>45069</v>
      </c>
      <c r="C7968" s="4">
        <v>45064.552777777775</v>
      </c>
      <c r="D7968" t="s">
        <v>24375</v>
      </c>
      <c r="E7968" t="s">
        <v>48127</v>
      </c>
      <c r="F7968" t="s">
        <v>1181</v>
      </c>
      <c r="G7968" t="s">
        <v>7148</v>
      </c>
      <c r="H7968" t="s">
        <v>34954</v>
      </c>
      <c r="I7968" t="s">
        <v>40</v>
      </c>
      <c r="J7968" s="2" t="s">
        <v>41</v>
      </c>
      <c r="K7968" t="s">
        <v>42</v>
      </c>
      <c r="L7968" t="s">
        <v>1943</v>
      </c>
      <c r="Q7968">
        <v>24597</v>
      </c>
      <c r="R7968" t="s">
        <v>45</v>
      </c>
      <c r="S7968" t="s">
        <v>48128</v>
      </c>
      <c r="T7968">
        <v>25</v>
      </c>
      <c r="U7968" s="2" t="s">
        <v>48129</v>
      </c>
      <c r="V7968" s="1">
        <v>45062</v>
      </c>
      <c r="W7968" t="s">
        <v>84</v>
      </c>
      <c r="X7968">
        <v>807987</v>
      </c>
      <c r="Y7968" s="2" t="s">
        <v>48130</v>
      </c>
      <c r="Z7968" s="2" t="s">
        <v>48131</v>
      </c>
      <c r="AA7968" t="s">
        <v>22330</v>
      </c>
      <c r="AB7968" t="s">
        <v>88</v>
      </c>
      <c r="AD7968" t="s">
        <v>48132</v>
      </c>
      <c r="AE7968" t="s">
        <v>8904</v>
      </c>
      <c r="AG7968" t="s">
        <v>48136</v>
      </c>
      <c r="AH7968" t="s">
        <v>48134</v>
      </c>
      <c r="AI7968" t="s">
        <v>48137</v>
      </c>
    </row>
    <row r="7969" spans="2:35" ht="330">
      <c r="B7969" s="1">
        <v>45068</v>
      </c>
      <c r="C7969" s="4">
        <v>45065.368750000001</v>
      </c>
      <c r="D7969" t="s">
        <v>3679</v>
      </c>
      <c r="E7969" t="s">
        <v>48138</v>
      </c>
      <c r="F7969" t="s">
        <v>148</v>
      </c>
      <c r="G7969" t="s">
        <v>447</v>
      </c>
      <c r="H7969" t="s">
        <v>662</v>
      </c>
      <c r="I7969" t="s">
        <v>40</v>
      </c>
      <c r="J7969" t="s">
        <v>109</v>
      </c>
      <c r="K7969" t="s">
        <v>42</v>
      </c>
      <c r="L7969" t="s">
        <v>448</v>
      </c>
      <c r="Q7969">
        <v>24596</v>
      </c>
      <c r="R7969" t="s">
        <v>322</v>
      </c>
      <c r="S7969" t="s">
        <v>17810</v>
      </c>
      <c r="T7969">
        <v>27</v>
      </c>
      <c r="U7969" s="2" t="s">
        <v>48139</v>
      </c>
      <c r="W7969" t="s">
        <v>325</v>
      </c>
      <c r="X7969">
        <v>838655</v>
      </c>
      <c r="Y7969" t="s">
        <v>48140</v>
      </c>
      <c r="Z7969" t="s">
        <v>40978</v>
      </c>
      <c r="AA7969" t="s">
        <v>6997</v>
      </c>
      <c r="AB7969" t="s">
        <v>48141</v>
      </c>
      <c r="AG7969" t="s">
        <v>48142</v>
      </c>
      <c r="AH7969" t="s">
        <v>39860</v>
      </c>
      <c r="AI7969" t="s">
        <v>48143</v>
      </c>
    </row>
    <row r="7970" spans="2:35" ht="330">
      <c r="B7970" s="1">
        <v>45068</v>
      </c>
      <c r="C7970" s="4">
        <v>45065.408333333333</v>
      </c>
      <c r="D7970" t="s">
        <v>38422</v>
      </c>
      <c r="E7970" t="s">
        <v>48144</v>
      </c>
      <c r="F7970" t="s">
        <v>148</v>
      </c>
      <c r="G7970" t="s">
        <v>447</v>
      </c>
      <c r="H7970" t="s">
        <v>662</v>
      </c>
      <c r="I7970" t="s">
        <v>40</v>
      </c>
      <c r="J7970" t="s">
        <v>109</v>
      </c>
      <c r="K7970" t="s">
        <v>42</v>
      </c>
      <c r="L7970" t="s">
        <v>448</v>
      </c>
      <c r="Q7970">
        <v>24595</v>
      </c>
      <c r="R7970" t="s">
        <v>45</v>
      </c>
      <c r="S7970" t="s">
        <v>17810</v>
      </c>
      <c r="T7970">
        <v>24</v>
      </c>
      <c r="U7970" s="2" t="s">
        <v>48145</v>
      </c>
      <c r="W7970" t="s">
        <v>360</v>
      </c>
      <c r="X7970">
        <v>834443</v>
      </c>
      <c r="Y7970" t="s">
        <v>48146</v>
      </c>
      <c r="Z7970" t="s">
        <v>48147</v>
      </c>
      <c r="AA7970" t="s">
        <v>6992</v>
      </c>
      <c r="AB7970" t="s">
        <v>48148</v>
      </c>
      <c r="AG7970" t="s">
        <v>48149</v>
      </c>
      <c r="AH7970" t="s">
        <v>39860</v>
      </c>
      <c r="AI7970" t="s">
        <v>48150</v>
      </c>
    </row>
    <row r="7971" spans="2:35" ht="330">
      <c r="B7971" s="1">
        <v>45068</v>
      </c>
      <c r="C7971" s="4">
        <v>45065.411111111112</v>
      </c>
      <c r="D7971" t="s">
        <v>38422</v>
      </c>
      <c r="E7971" t="s">
        <v>48151</v>
      </c>
      <c r="F7971" t="s">
        <v>148</v>
      </c>
      <c r="G7971" t="s">
        <v>447</v>
      </c>
      <c r="H7971" t="s">
        <v>662</v>
      </c>
      <c r="I7971" t="s">
        <v>40</v>
      </c>
      <c r="J7971" t="s">
        <v>109</v>
      </c>
      <c r="K7971" t="s">
        <v>42</v>
      </c>
      <c r="L7971" t="s">
        <v>448</v>
      </c>
      <c r="Q7971">
        <v>24594</v>
      </c>
      <c r="R7971" t="s">
        <v>322</v>
      </c>
      <c r="S7971" t="s">
        <v>17810</v>
      </c>
      <c r="T7971">
        <v>26</v>
      </c>
      <c r="U7971" s="2" t="s">
        <v>48152</v>
      </c>
      <c r="W7971" t="s">
        <v>360</v>
      </c>
      <c r="X7971">
        <v>804260</v>
      </c>
      <c r="Y7971" t="s">
        <v>48153</v>
      </c>
      <c r="Z7971" t="s">
        <v>40978</v>
      </c>
      <c r="AA7971" t="s">
        <v>6997</v>
      </c>
      <c r="AB7971" t="s">
        <v>48154</v>
      </c>
      <c r="AG7971" t="s">
        <v>48155</v>
      </c>
      <c r="AH7971" t="s">
        <v>39860</v>
      </c>
      <c r="AI7971" t="s">
        <v>48156</v>
      </c>
    </row>
    <row r="7972" spans="2:35" ht="330">
      <c r="B7972" s="1">
        <v>45068</v>
      </c>
      <c r="C7972" s="4">
        <v>45065.411111111112</v>
      </c>
      <c r="D7972" t="s">
        <v>38422</v>
      </c>
      <c r="E7972" t="s">
        <v>48151</v>
      </c>
      <c r="F7972" t="s">
        <v>148</v>
      </c>
      <c r="G7972" t="s">
        <v>447</v>
      </c>
      <c r="H7972" t="s">
        <v>662</v>
      </c>
      <c r="I7972" t="s">
        <v>40</v>
      </c>
      <c r="J7972" t="s">
        <v>109</v>
      </c>
      <c r="K7972" t="s">
        <v>42</v>
      </c>
      <c r="L7972" t="s">
        <v>448</v>
      </c>
      <c r="Q7972">
        <v>24593</v>
      </c>
      <c r="R7972" t="s">
        <v>322</v>
      </c>
      <c r="S7972" t="s">
        <v>17810</v>
      </c>
      <c r="T7972">
        <v>26</v>
      </c>
      <c r="U7972" s="2" t="s">
        <v>48152</v>
      </c>
      <c r="W7972" t="s">
        <v>360</v>
      </c>
      <c r="X7972">
        <v>804260</v>
      </c>
      <c r="Y7972" t="s">
        <v>48153</v>
      </c>
      <c r="Z7972" t="s">
        <v>40978</v>
      </c>
      <c r="AA7972" t="s">
        <v>6997</v>
      </c>
      <c r="AB7972" t="s">
        <v>48154</v>
      </c>
      <c r="AG7972" t="s">
        <v>48157</v>
      </c>
      <c r="AH7972" t="s">
        <v>39860</v>
      </c>
      <c r="AI7972" t="s">
        <v>48158</v>
      </c>
    </row>
    <row r="7973" spans="2:35" ht="180">
      <c r="B7973" s="1">
        <v>45068</v>
      </c>
      <c r="C7973" s="4">
        <v>45065.51458333333</v>
      </c>
      <c r="D7973" t="s">
        <v>38401</v>
      </c>
      <c r="E7973" t="s">
        <v>48159</v>
      </c>
      <c r="F7973" t="s">
        <v>148</v>
      </c>
      <c r="G7973" t="s">
        <v>447</v>
      </c>
      <c r="H7973" t="s">
        <v>39</v>
      </c>
      <c r="I7973" t="s">
        <v>40</v>
      </c>
      <c r="J7973" s="2" t="s">
        <v>190</v>
      </c>
      <c r="K7973" t="s">
        <v>42</v>
      </c>
      <c r="L7973" t="s">
        <v>448</v>
      </c>
      <c r="Q7973">
        <v>24592</v>
      </c>
      <c r="R7973" t="s">
        <v>119</v>
      </c>
      <c r="S7973" t="s">
        <v>33107</v>
      </c>
      <c r="T7973">
        <v>28</v>
      </c>
      <c r="U7973" s="2" t="s">
        <v>48160</v>
      </c>
      <c r="W7973" t="s">
        <v>360</v>
      </c>
      <c r="X7973">
        <v>831610</v>
      </c>
      <c r="Y7973" t="s">
        <v>48161</v>
      </c>
      <c r="Z7973" t="s">
        <v>40978</v>
      </c>
      <c r="AA7973" t="s">
        <v>6992</v>
      </c>
      <c r="AB7973" t="s">
        <v>48162</v>
      </c>
      <c r="AG7973" t="s">
        <v>48163</v>
      </c>
      <c r="AH7973" t="s">
        <v>48164</v>
      </c>
      <c r="AI7973" t="s">
        <v>48165</v>
      </c>
    </row>
    <row r="7974" spans="2:35" ht="105">
      <c r="B7974" s="1">
        <v>45068</v>
      </c>
      <c r="C7974" s="4">
        <v>45065.59652777778</v>
      </c>
      <c r="D7974" t="s">
        <v>29179</v>
      </c>
      <c r="E7974" t="s">
        <v>48166</v>
      </c>
      <c r="F7974" t="s">
        <v>37</v>
      </c>
      <c r="G7974" t="s">
        <v>38</v>
      </c>
      <c r="H7974" t="s">
        <v>39</v>
      </c>
      <c r="I7974" t="s">
        <v>40</v>
      </c>
      <c r="J7974" s="2" t="s">
        <v>41</v>
      </c>
      <c r="K7974" t="s">
        <v>42</v>
      </c>
      <c r="L7974" t="s">
        <v>448</v>
      </c>
      <c r="Q7974">
        <v>24591</v>
      </c>
      <c r="R7974" t="s">
        <v>45</v>
      </c>
      <c r="S7974" t="s">
        <v>29181</v>
      </c>
      <c r="T7974">
        <v>28</v>
      </c>
      <c r="U7974" s="2" t="s">
        <v>48167</v>
      </c>
      <c r="V7974" s="1">
        <v>45062</v>
      </c>
      <c r="W7974" t="s">
        <v>360</v>
      </c>
      <c r="X7974">
        <v>838161</v>
      </c>
      <c r="Y7974" t="s">
        <v>48168</v>
      </c>
      <c r="Z7974" t="s">
        <v>41282</v>
      </c>
      <c r="AA7974" t="s">
        <v>20643</v>
      </c>
      <c r="AB7974" t="s">
        <v>486</v>
      </c>
      <c r="AD7974" t="s">
        <v>19700</v>
      </c>
      <c r="AE7974" t="s">
        <v>48169</v>
      </c>
      <c r="AG7974" t="s">
        <v>48170</v>
      </c>
      <c r="AH7974" t="s">
        <v>48171</v>
      </c>
      <c r="AI7974" t="s">
        <v>48172</v>
      </c>
    </row>
    <row r="7975" spans="2:35" ht="225">
      <c r="B7975" s="1">
        <v>45068</v>
      </c>
      <c r="C7975" s="4">
        <v>45064.384027777778</v>
      </c>
      <c r="D7975" t="s">
        <v>8369</v>
      </c>
      <c r="E7975" t="s">
        <v>48173</v>
      </c>
      <c r="F7975">
        <v>2</v>
      </c>
      <c r="G7975" t="s">
        <v>2668</v>
      </c>
      <c r="H7975" t="s">
        <v>39</v>
      </c>
      <c r="I7975" t="s">
        <v>40</v>
      </c>
      <c r="J7975" s="2" t="s">
        <v>1157</v>
      </c>
      <c r="K7975" t="s">
        <v>42</v>
      </c>
      <c r="L7975" t="s">
        <v>63</v>
      </c>
      <c r="Q7975">
        <v>24590</v>
      </c>
      <c r="R7975" t="s">
        <v>119</v>
      </c>
      <c r="S7975" t="s">
        <v>8371</v>
      </c>
      <c r="T7975">
        <v>29</v>
      </c>
      <c r="U7975" s="2" t="s">
        <v>48174</v>
      </c>
      <c r="V7975" s="1">
        <v>44971</v>
      </c>
      <c r="W7975" t="s">
        <v>26915</v>
      </c>
      <c r="X7975">
        <v>838480</v>
      </c>
      <c r="Y7975" t="s">
        <v>24940</v>
      </c>
      <c r="Z7975" t="s">
        <v>48175</v>
      </c>
      <c r="AA7975" s="2" t="s">
        <v>38119</v>
      </c>
      <c r="AB7975" t="s">
        <v>48176</v>
      </c>
      <c r="AC7975" t="s">
        <v>48177</v>
      </c>
      <c r="AD7975" t="s">
        <v>31742</v>
      </c>
      <c r="AE7975">
        <v>9619</v>
      </c>
      <c r="AG7975" t="s">
        <v>48178</v>
      </c>
      <c r="AH7975" t="s">
        <v>10775</v>
      </c>
      <c r="AI7975" t="s">
        <v>48179</v>
      </c>
    </row>
    <row r="7976" spans="2:35" ht="225">
      <c r="B7976" s="1">
        <v>45068</v>
      </c>
      <c r="C7976" s="4">
        <v>45064.384027777778</v>
      </c>
      <c r="D7976" t="s">
        <v>8369</v>
      </c>
      <c r="E7976" t="s">
        <v>48173</v>
      </c>
      <c r="F7976">
        <v>2</v>
      </c>
      <c r="G7976" t="s">
        <v>2668</v>
      </c>
      <c r="H7976" t="s">
        <v>39</v>
      </c>
      <c r="I7976" t="s">
        <v>40</v>
      </c>
      <c r="J7976" s="2" t="s">
        <v>1157</v>
      </c>
      <c r="K7976" t="s">
        <v>42</v>
      </c>
      <c r="L7976" t="s">
        <v>63</v>
      </c>
      <c r="Q7976">
        <v>24589</v>
      </c>
      <c r="R7976" t="s">
        <v>119</v>
      </c>
      <c r="S7976" t="s">
        <v>8371</v>
      </c>
      <c r="T7976">
        <v>29</v>
      </c>
      <c r="U7976" s="2" t="s">
        <v>48174</v>
      </c>
      <c r="V7976" s="1">
        <v>44971</v>
      </c>
      <c r="W7976" t="s">
        <v>26915</v>
      </c>
      <c r="X7976">
        <v>838480</v>
      </c>
      <c r="Y7976" t="s">
        <v>24940</v>
      </c>
      <c r="Z7976" t="s">
        <v>48175</v>
      </c>
      <c r="AA7976" s="2" t="s">
        <v>38119</v>
      </c>
      <c r="AB7976" t="s">
        <v>48176</v>
      </c>
      <c r="AC7976" t="s">
        <v>48177</v>
      </c>
      <c r="AD7976" t="s">
        <v>31742</v>
      </c>
      <c r="AE7976">
        <v>9619</v>
      </c>
      <c r="AG7976" t="s">
        <v>48180</v>
      </c>
      <c r="AH7976" t="s">
        <v>10775</v>
      </c>
      <c r="AI7976" t="s">
        <v>48181</v>
      </c>
    </row>
    <row r="7977" spans="2:35" ht="225">
      <c r="B7977" s="1">
        <v>45068</v>
      </c>
      <c r="C7977" s="4">
        <v>45064.384027777778</v>
      </c>
      <c r="D7977" t="s">
        <v>8369</v>
      </c>
      <c r="E7977" t="s">
        <v>48173</v>
      </c>
      <c r="F7977">
        <v>2</v>
      </c>
      <c r="G7977" t="s">
        <v>2668</v>
      </c>
      <c r="H7977" t="s">
        <v>39</v>
      </c>
      <c r="I7977" t="s">
        <v>40</v>
      </c>
      <c r="J7977" s="2" t="s">
        <v>1157</v>
      </c>
      <c r="K7977" t="s">
        <v>42</v>
      </c>
      <c r="L7977" t="s">
        <v>63</v>
      </c>
      <c r="Q7977">
        <v>24588</v>
      </c>
      <c r="R7977" t="s">
        <v>119</v>
      </c>
      <c r="S7977" t="s">
        <v>8371</v>
      </c>
      <c r="T7977">
        <v>29</v>
      </c>
      <c r="U7977" s="2" t="s">
        <v>48174</v>
      </c>
      <c r="V7977" s="1">
        <v>44971</v>
      </c>
      <c r="W7977" t="s">
        <v>26915</v>
      </c>
      <c r="X7977">
        <v>838480</v>
      </c>
      <c r="Y7977" t="s">
        <v>24940</v>
      </c>
      <c r="Z7977" t="s">
        <v>48175</v>
      </c>
      <c r="AA7977" s="2" t="s">
        <v>38119</v>
      </c>
      <c r="AB7977" t="s">
        <v>48176</v>
      </c>
      <c r="AC7977" t="s">
        <v>48177</v>
      </c>
      <c r="AD7977" t="s">
        <v>31742</v>
      </c>
      <c r="AE7977">
        <v>9619</v>
      </c>
      <c r="AG7977" t="s">
        <v>48182</v>
      </c>
      <c r="AH7977" t="s">
        <v>10775</v>
      </c>
      <c r="AI7977" t="s">
        <v>48183</v>
      </c>
    </row>
    <row r="7978" spans="2:35" ht="225">
      <c r="B7978" s="1">
        <v>45068</v>
      </c>
      <c r="C7978" s="4">
        <v>45064.465277777781</v>
      </c>
      <c r="D7978" t="s">
        <v>8570</v>
      </c>
      <c r="E7978" t="s">
        <v>19832</v>
      </c>
      <c r="F7978">
        <v>2</v>
      </c>
      <c r="G7978" t="s">
        <v>2668</v>
      </c>
      <c r="H7978" t="s">
        <v>39</v>
      </c>
      <c r="I7978" t="s">
        <v>40</v>
      </c>
      <c r="J7978" s="2" t="s">
        <v>62</v>
      </c>
      <c r="K7978" t="s">
        <v>42</v>
      </c>
      <c r="L7978" t="s">
        <v>63</v>
      </c>
      <c r="Q7978">
        <v>24587</v>
      </c>
      <c r="R7978" t="s">
        <v>119</v>
      </c>
      <c r="S7978" t="s">
        <v>9392</v>
      </c>
      <c r="T7978">
        <v>27</v>
      </c>
      <c r="U7978" s="2" t="s">
        <v>48184</v>
      </c>
      <c r="V7978" s="1">
        <v>45064</v>
      </c>
      <c r="W7978" t="s">
        <v>26915</v>
      </c>
      <c r="X7978">
        <v>838521</v>
      </c>
      <c r="Y7978" t="s">
        <v>1716</v>
      </c>
      <c r="Z7978" t="s">
        <v>1716</v>
      </c>
      <c r="AA7978" s="2" t="s">
        <v>38119</v>
      </c>
      <c r="AB7978" t="s">
        <v>70</v>
      </c>
      <c r="AC7978" t="s">
        <v>38901</v>
      </c>
      <c r="AD7978" t="s">
        <v>31742</v>
      </c>
      <c r="AE7978">
        <v>9620</v>
      </c>
      <c r="AG7978" t="s">
        <v>48185</v>
      </c>
      <c r="AH7978" t="s">
        <v>9397</v>
      </c>
      <c r="AI7978" t="s">
        <v>48186</v>
      </c>
    </row>
    <row r="7979" spans="2:35" ht="225">
      <c r="B7979" s="1">
        <v>45068</v>
      </c>
      <c r="C7979" s="4">
        <v>45064.465277777781</v>
      </c>
      <c r="D7979" t="s">
        <v>8570</v>
      </c>
      <c r="E7979" t="s">
        <v>19832</v>
      </c>
      <c r="F7979">
        <v>2</v>
      </c>
      <c r="G7979" t="s">
        <v>2668</v>
      </c>
      <c r="H7979" t="s">
        <v>39</v>
      </c>
      <c r="I7979" t="s">
        <v>40</v>
      </c>
      <c r="J7979" s="2" t="s">
        <v>62</v>
      </c>
      <c r="K7979" t="s">
        <v>42</v>
      </c>
      <c r="L7979" t="s">
        <v>63</v>
      </c>
      <c r="Q7979">
        <v>24586</v>
      </c>
      <c r="R7979" t="s">
        <v>119</v>
      </c>
      <c r="S7979" t="s">
        <v>9392</v>
      </c>
      <c r="T7979">
        <v>27</v>
      </c>
      <c r="U7979" s="2" t="s">
        <v>48184</v>
      </c>
      <c r="V7979" s="1">
        <v>45064</v>
      </c>
      <c r="W7979" t="s">
        <v>26915</v>
      </c>
      <c r="X7979">
        <v>838521</v>
      </c>
      <c r="Y7979" t="s">
        <v>1716</v>
      </c>
      <c r="Z7979" t="s">
        <v>1716</v>
      </c>
      <c r="AA7979" s="2" t="s">
        <v>38119</v>
      </c>
      <c r="AB7979" t="s">
        <v>70</v>
      </c>
      <c r="AC7979" t="s">
        <v>38901</v>
      </c>
      <c r="AD7979" t="s">
        <v>31742</v>
      </c>
      <c r="AE7979">
        <v>9620</v>
      </c>
      <c r="AG7979" t="s">
        <v>48187</v>
      </c>
      <c r="AH7979" t="s">
        <v>9397</v>
      </c>
      <c r="AI7979" t="s">
        <v>48188</v>
      </c>
    </row>
    <row r="7980" spans="2:35" ht="240">
      <c r="B7980" s="1">
        <v>45068</v>
      </c>
      <c r="C7980" s="4">
        <v>45068.620833333334</v>
      </c>
      <c r="D7980" t="s">
        <v>48189</v>
      </c>
      <c r="E7980" t="s">
        <v>22482</v>
      </c>
      <c r="F7980">
        <v>3</v>
      </c>
      <c r="G7980" t="s">
        <v>1722</v>
      </c>
      <c r="H7980" t="s">
        <v>39</v>
      </c>
      <c r="I7980" t="s">
        <v>40</v>
      </c>
      <c r="J7980" s="2" t="s">
        <v>1592</v>
      </c>
      <c r="K7980" t="s">
        <v>42</v>
      </c>
      <c r="L7980" t="s">
        <v>63</v>
      </c>
      <c r="Q7980">
        <v>24585</v>
      </c>
      <c r="R7980" t="s">
        <v>45</v>
      </c>
      <c r="S7980" t="s">
        <v>48190</v>
      </c>
      <c r="T7980">
        <v>29</v>
      </c>
      <c r="V7980" s="1">
        <v>45068</v>
      </c>
      <c r="W7980" t="s">
        <v>26915</v>
      </c>
      <c r="X7980">
        <v>814182</v>
      </c>
      <c r="Y7980" t="s">
        <v>31905</v>
      </c>
      <c r="Z7980" s="2" t="s">
        <v>48191</v>
      </c>
      <c r="AA7980" s="2" t="s">
        <v>39935</v>
      </c>
      <c r="AB7980" t="s">
        <v>70</v>
      </c>
      <c r="AC7980" t="s">
        <v>48192</v>
      </c>
      <c r="AD7980" t="s">
        <v>48193</v>
      </c>
      <c r="AE7980" t="s">
        <v>1716</v>
      </c>
      <c r="AG7980" t="s">
        <v>48194</v>
      </c>
      <c r="AH7980" t="s">
        <v>48195</v>
      </c>
      <c r="AI7980" t="s">
        <v>48196</v>
      </c>
    </row>
    <row r="7981" spans="2:35" ht="375">
      <c r="B7981" s="1">
        <v>45068</v>
      </c>
      <c r="C7981" s="4">
        <v>45068.470833333333</v>
      </c>
      <c r="D7981" t="s">
        <v>31830</v>
      </c>
      <c r="E7981" t="s">
        <v>4655</v>
      </c>
      <c r="F7981">
        <v>10</v>
      </c>
      <c r="G7981" t="s">
        <v>1395</v>
      </c>
      <c r="H7981" t="s">
        <v>39</v>
      </c>
      <c r="I7981" t="s">
        <v>40</v>
      </c>
      <c r="J7981" s="2" t="s">
        <v>62</v>
      </c>
      <c r="K7981" t="s">
        <v>42</v>
      </c>
      <c r="L7981" t="s">
        <v>43100</v>
      </c>
      <c r="Q7981">
        <v>24584</v>
      </c>
      <c r="R7981" t="s">
        <v>45</v>
      </c>
      <c r="S7981" t="s">
        <v>31832</v>
      </c>
      <c r="T7981">
        <v>30</v>
      </c>
      <c r="U7981" s="2" t="s">
        <v>48197</v>
      </c>
      <c r="W7981" t="s">
        <v>43102</v>
      </c>
      <c r="X7981">
        <v>844118</v>
      </c>
      <c r="Y7981" t="s">
        <v>54</v>
      </c>
      <c r="Z7981" t="s">
        <v>54</v>
      </c>
      <c r="AA7981" s="2" t="s">
        <v>48198</v>
      </c>
      <c r="AB7981" t="s">
        <v>13082</v>
      </c>
      <c r="AC7981" t="s">
        <v>48199</v>
      </c>
      <c r="AG7981" t="s">
        <v>48200</v>
      </c>
      <c r="AH7981" t="s">
        <v>23377</v>
      </c>
      <c r="AI7981" t="s">
        <v>48201</v>
      </c>
    </row>
    <row r="7982" spans="2:35" ht="105">
      <c r="B7982" s="1">
        <v>45068</v>
      </c>
      <c r="C7982" s="4">
        <v>45058.384027777778</v>
      </c>
      <c r="D7982" t="s">
        <v>48202</v>
      </c>
      <c r="E7982" t="s">
        <v>48203</v>
      </c>
      <c r="F7982" t="s">
        <v>37</v>
      </c>
      <c r="G7982" t="s">
        <v>38</v>
      </c>
      <c r="H7982" t="s">
        <v>39</v>
      </c>
      <c r="I7982" t="s">
        <v>40</v>
      </c>
      <c r="J7982" t="s">
        <v>109</v>
      </c>
      <c r="K7982" t="s">
        <v>42</v>
      </c>
      <c r="L7982" t="s">
        <v>175</v>
      </c>
      <c r="Q7982">
        <v>24583</v>
      </c>
      <c r="R7982" t="s">
        <v>95</v>
      </c>
      <c r="S7982" t="s">
        <v>5580</v>
      </c>
      <c r="T7982">
        <v>25</v>
      </c>
      <c r="U7982" s="2" t="s">
        <v>48204</v>
      </c>
      <c r="V7982" s="1">
        <v>45055</v>
      </c>
      <c r="W7982" t="s">
        <v>84</v>
      </c>
      <c r="X7982">
        <v>110005265</v>
      </c>
      <c r="Y7982" t="s">
        <v>374</v>
      </c>
      <c r="Z7982" t="e">
        <f ca="1">- checked _xludf.and cleaned cartridge bay, plunger rod, icore slot, _xludf.filter
- performed self test
- generated reports</f>
        <v>#NAME?</v>
      </c>
      <c r="AA7982" t="s">
        <v>122</v>
      </c>
      <c r="AB7982" t="s">
        <v>88</v>
      </c>
      <c r="AD7982" t="s">
        <v>7189</v>
      </c>
      <c r="AE7982">
        <v>9984</v>
      </c>
      <c r="AG7982" t="s">
        <v>48205</v>
      </c>
      <c r="AH7982" t="s">
        <v>10911</v>
      </c>
      <c r="AI7982" t="s">
        <v>48206</v>
      </c>
    </row>
    <row r="7983" spans="2:35" ht="180">
      <c r="B7983" s="1">
        <v>45068</v>
      </c>
      <c r="C7983" s="4">
        <v>45058.581250000003</v>
      </c>
      <c r="D7983" t="s">
        <v>22455</v>
      </c>
      <c r="E7983" t="s">
        <v>22456</v>
      </c>
      <c r="F7983">
        <v>3</v>
      </c>
      <c r="G7983" t="s">
        <v>174</v>
      </c>
      <c r="H7983" t="s">
        <v>39</v>
      </c>
      <c r="I7983" t="s">
        <v>40</v>
      </c>
      <c r="J7983" s="2" t="s">
        <v>62</v>
      </c>
      <c r="K7983" t="s">
        <v>42</v>
      </c>
      <c r="L7983" t="s">
        <v>175</v>
      </c>
      <c r="Q7983">
        <v>24582</v>
      </c>
      <c r="R7983" t="s">
        <v>45</v>
      </c>
      <c r="S7983" t="s">
        <v>22457</v>
      </c>
      <c r="T7983">
        <v>25</v>
      </c>
      <c r="U7983" s="2" t="s">
        <v>48207</v>
      </c>
      <c r="V7983" s="1">
        <v>45058</v>
      </c>
      <c r="W7983" t="s">
        <v>84</v>
      </c>
      <c r="X7983">
        <v>807604</v>
      </c>
      <c r="Y7983" t="s">
        <v>998</v>
      </c>
      <c r="Z7983" t="e">
        <f ca="1">- checked _xludf.and cleaned cartridge bay, plunger rod, icore slot, _xludf.filter
- performed XpertCheck
- generated reports</f>
        <v>#NAME?</v>
      </c>
      <c r="AA7983" t="s">
        <v>999</v>
      </c>
      <c r="AB7983" s="2" t="s">
        <v>48208</v>
      </c>
      <c r="AD7983" t="s">
        <v>948</v>
      </c>
      <c r="AE7983" t="s">
        <v>103</v>
      </c>
      <c r="AG7983" t="s">
        <v>48209</v>
      </c>
      <c r="AH7983" t="s">
        <v>22461</v>
      </c>
      <c r="AI7983" t="s">
        <v>48210</v>
      </c>
    </row>
    <row r="7984" spans="2:35" ht="120">
      <c r="B7984" s="1">
        <v>45065</v>
      </c>
      <c r="C7984" s="4">
        <v>45065.611111111109</v>
      </c>
      <c r="D7984" t="s">
        <v>2510</v>
      </c>
      <c r="E7984" t="s">
        <v>35011</v>
      </c>
      <c r="F7984" t="s">
        <v>37</v>
      </c>
      <c r="G7984" t="s">
        <v>2499</v>
      </c>
      <c r="H7984" t="s">
        <v>39</v>
      </c>
      <c r="I7984" t="s">
        <v>40</v>
      </c>
      <c r="J7984" s="2" t="s">
        <v>41</v>
      </c>
      <c r="K7984" t="s">
        <v>42</v>
      </c>
      <c r="L7984" t="s">
        <v>15532</v>
      </c>
      <c r="Q7984">
        <v>24581</v>
      </c>
      <c r="R7984" t="s">
        <v>45</v>
      </c>
      <c r="S7984" t="s">
        <v>28703</v>
      </c>
      <c r="T7984">
        <v>24</v>
      </c>
      <c r="U7984" s="2" t="s">
        <v>48211</v>
      </c>
      <c r="V7984" s="1">
        <v>45062</v>
      </c>
      <c r="W7984" t="s">
        <v>3244</v>
      </c>
      <c r="X7984">
        <v>831890</v>
      </c>
      <c r="Y7984" t="s">
        <v>48212</v>
      </c>
      <c r="Z7984" t="e">
        <f ca="1">-checked &amp; cleaned cartridge bay, plunger rod, _xludf.filter &amp; icore slot
-replaced A4
-generated reports</f>
        <v>#NAME?</v>
      </c>
      <c r="AA7984" t="s">
        <v>22458</v>
      </c>
      <c r="AB7984" s="2" t="s">
        <v>48213</v>
      </c>
      <c r="AD7984" t="s">
        <v>48214</v>
      </c>
      <c r="AE7984" t="s">
        <v>48215</v>
      </c>
      <c r="AG7984" t="s">
        <v>48216</v>
      </c>
      <c r="AH7984" t="s">
        <v>48217</v>
      </c>
      <c r="AI7984" t="s">
        <v>48218</v>
      </c>
    </row>
    <row r="7985" spans="2:35" ht="240">
      <c r="B7985" s="1">
        <v>45065</v>
      </c>
      <c r="C7985" s="4">
        <v>45063.395833333336</v>
      </c>
      <c r="D7985" t="s">
        <v>48015</v>
      </c>
      <c r="E7985" t="s">
        <v>32089</v>
      </c>
      <c r="F7985">
        <v>12</v>
      </c>
      <c r="G7985" t="s">
        <v>5785</v>
      </c>
      <c r="H7985" t="s">
        <v>39</v>
      </c>
      <c r="I7985" t="s">
        <v>94</v>
      </c>
      <c r="J7985" s="2" t="s">
        <v>62</v>
      </c>
      <c r="K7985" t="s">
        <v>42</v>
      </c>
      <c r="L7985" t="s">
        <v>296</v>
      </c>
      <c r="Q7985">
        <v>24580</v>
      </c>
      <c r="R7985" t="s">
        <v>45</v>
      </c>
      <c r="S7985" t="s">
        <v>32090</v>
      </c>
      <c r="T7985">
        <v>28.3</v>
      </c>
      <c r="U7985" s="2" t="s">
        <v>48016</v>
      </c>
      <c r="V7985" s="1">
        <v>45063</v>
      </c>
      <c r="W7985" t="s">
        <v>23049</v>
      </c>
      <c r="X7985">
        <v>812017</v>
      </c>
      <c r="Y7985" t="s">
        <v>54</v>
      </c>
      <c r="Z7985" s="2" t="s">
        <v>48017</v>
      </c>
      <c r="AA7985" s="2" t="s">
        <v>48017</v>
      </c>
      <c r="AB7985" t="s">
        <v>972</v>
      </c>
      <c r="AC7985" t="s">
        <v>25110</v>
      </c>
      <c r="AD7985" t="s">
        <v>18451</v>
      </c>
      <c r="AE7985" t="s">
        <v>48018</v>
      </c>
      <c r="AG7985" t="s">
        <v>48219</v>
      </c>
      <c r="AH7985" t="s">
        <v>48020</v>
      </c>
      <c r="AI7985" t="s">
        <v>48220</v>
      </c>
    </row>
    <row r="7986" spans="2:35" ht="255">
      <c r="B7986" s="1">
        <v>45065</v>
      </c>
      <c r="C7986" s="4">
        <v>45065.602083333331</v>
      </c>
      <c r="D7986" t="s">
        <v>38003</v>
      </c>
      <c r="E7986" t="s">
        <v>48221</v>
      </c>
      <c r="F7986">
        <v>12</v>
      </c>
      <c r="G7986" t="s">
        <v>978</v>
      </c>
      <c r="H7986" t="s">
        <v>39</v>
      </c>
      <c r="I7986" t="s">
        <v>94</v>
      </c>
      <c r="J7986" s="2" t="s">
        <v>41</v>
      </c>
      <c r="K7986" t="s">
        <v>42</v>
      </c>
      <c r="L7986" t="s">
        <v>296</v>
      </c>
      <c r="Q7986">
        <v>24579</v>
      </c>
      <c r="R7986" t="s">
        <v>45</v>
      </c>
      <c r="S7986" t="s">
        <v>38005</v>
      </c>
      <c r="T7986">
        <v>26.3</v>
      </c>
      <c r="U7986" s="2" t="s">
        <v>48222</v>
      </c>
      <c r="V7986" s="1">
        <v>45065</v>
      </c>
      <c r="W7986" t="s">
        <v>38007</v>
      </c>
      <c r="X7986">
        <v>835184</v>
      </c>
      <c r="Y7986" t="s">
        <v>25700</v>
      </c>
      <c r="Z7986" s="2" t="s">
        <v>48223</v>
      </c>
      <c r="AA7986" s="2" t="s">
        <v>48223</v>
      </c>
      <c r="AB7986" t="s">
        <v>16070</v>
      </c>
      <c r="AD7986" t="s">
        <v>37959</v>
      </c>
      <c r="AE7986" t="s">
        <v>19700</v>
      </c>
      <c r="AG7986" t="s">
        <v>48224</v>
      </c>
      <c r="AH7986" t="s">
        <v>38013</v>
      </c>
      <c r="AI7986" t="s">
        <v>48225</v>
      </c>
    </row>
    <row r="7987" spans="2:35" ht="180">
      <c r="B7987" s="1">
        <v>45065</v>
      </c>
      <c r="C7987" s="4">
        <v>45065.576388888891</v>
      </c>
      <c r="D7987" t="s">
        <v>7890</v>
      </c>
      <c r="E7987" t="s">
        <v>48226</v>
      </c>
      <c r="F7987">
        <v>6</v>
      </c>
      <c r="G7987" t="s">
        <v>1286</v>
      </c>
      <c r="H7987" t="s">
        <v>202</v>
      </c>
      <c r="I7987" t="s">
        <v>94</v>
      </c>
      <c r="J7987" t="s">
        <v>996</v>
      </c>
      <c r="K7987" t="s">
        <v>42</v>
      </c>
      <c r="L7987" t="s">
        <v>23958</v>
      </c>
      <c r="Q7987">
        <v>24578</v>
      </c>
      <c r="R7987" t="s">
        <v>119</v>
      </c>
      <c r="S7987" t="s">
        <v>35948</v>
      </c>
      <c r="T7987">
        <v>4</v>
      </c>
      <c r="U7987" s="2" t="s">
        <v>48227</v>
      </c>
      <c r="W7987" t="s">
        <v>360</v>
      </c>
      <c r="X7987">
        <v>838393</v>
      </c>
      <c r="Y7987" t="s">
        <v>48228</v>
      </c>
      <c r="Z7987" t="s">
        <v>48229</v>
      </c>
      <c r="AA7987" t="s">
        <v>42843</v>
      </c>
      <c r="AB7987" t="s">
        <v>37708</v>
      </c>
      <c r="AG7987" t="s">
        <v>48230</v>
      </c>
      <c r="AH7987" t="s">
        <v>7895</v>
      </c>
      <c r="AI7987" t="s">
        <v>48231</v>
      </c>
    </row>
    <row r="7988" spans="2:35" ht="345">
      <c r="B7988" s="1">
        <v>45065</v>
      </c>
      <c r="C7988" s="4">
        <v>45065.597916666666</v>
      </c>
      <c r="D7988" t="s">
        <v>20238</v>
      </c>
      <c r="E7988" t="s">
        <v>20239</v>
      </c>
      <c r="F7988">
        <v>11</v>
      </c>
      <c r="G7988" t="s">
        <v>1205</v>
      </c>
      <c r="H7988" t="s">
        <v>662</v>
      </c>
      <c r="I7988" t="s">
        <v>94</v>
      </c>
      <c r="J7988" t="s">
        <v>79</v>
      </c>
      <c r="K7988" t="s">
        <v>42</v>
      </c>
      <c r="L7988" t="s">
        <v>204</v>
      </c>
      <c r="Q7988">
        <v>24577</v>
      </c>
      <c r="R7988" t="s">
        <v>95</v>
      </c>
      <c r="S7988" t="s">
        <v>48232</v>
      </c>
      <c r="T7988">
        <v>24.3</v>
      </c>
      <c r="V7988" s="1">
        <v>45058</v>
      </c>
      <c r="W7988" t="s">
        <v>1139</v>
      </c>
      <c r="X7988">
        <v>839151</v>
      </c>
      <c r="Y7988" t="s">
        <v>48233</v>
      </c>
      <c r="Z7988" s="2" t="s">
        <v>48234</v>
      </c>
      <c r="AA7988" t="s">
        <v>2129</v>
      </c>
      <c r="AB7988" t="s">
        <v>181</v>
      </c>
      <c r="AD7988" t="s">
        <v>19700</v>
      </c>
      <c r="AE7988" t="s">
        <v>48235</v>
      </c>
      <c r="AG7988" t="s">
        <v>48236</v>
      </c>
      <c r="AH7988" t="s">
        <v>48237</v>
      </c>
      <c r="AI7988" t="s">
        <v>48238</v>
      </c>
    </row>
    <row r="7989" spans="2:35" ht="225">
      <c r="B7989" s="1">
        <v>45065</v>
      </c>
      <c r="C7989" s="4">
        <v>45065.510416666664</v>
      </c>
      <c r="D7989" t="s">
        <v>9251</v>
      </c>
      <c r="E7989" t="s">
        <v>19670</v>
      </c>
      <c r="F7989">
        <v>2</v>
      </c>
      <c r="G7989" t="s">
        <v>60</v>
      </c>
      <c r="H7989" t="s">
        <v>39</v>
      </c>
      <c r="I7989" t="s">
        <v>40</v>
      </c>
      <c r="J7989" s="2" t="s">
        <v>62</v>
      </c>
      <c r="K7989" t="s">
        <v>42</v>
      </c>
      <c r="L7989" t="s">
        <v>63</v>
      </c>
      <c r="Q7989">
        <v>24576</v>
      </c>
      <c r="R7989" t="s">
        <v>119</v>
      </c>
      <c r="S7989" t="s">
        <v>9253</v>
      </c>
      <c r="T7989">
        <v>29</v>
      </c>
      <c r="U7989" s="2" t="s">
        <v>48239</v>
      </c>
      <c r="V7989" s="1">
        <v>44971</v>
      </c>
      <c r="W7989" t="s">
        <v>26915</v>
      </c>
      <c r="X7989">
        <v>838272</v>
      </c>
      <c r="Y7989" t="s">
        <v>1716</v>
      </c>
      <c r="Z7989" t="s">
        <v>1716</v>
      </c>
      <c r="AA7989" s="2" t="s">
        <v>38119</v>
      </c>
      <c r="AB7989" t="s">
        <v>70</v>
      </c>
      <c r="AC7989" t="s">
        <v>38901</v>
      </c>
      <c r="AD7989" t="s">
        <v>31742</v>
      </c>
      <c r="AE7989">
        <v>9622</v>
      </c>
      <c r="AG7989" t="s">
        <v>48240</v>
      </c>
      <c r="AH7989" t="s">
        <v>11348</v>
      </c>
      <c r="AI7989" t="s">
        <v>48241</v>
      </c>
    </row>
    <row r="7990" spans="2:35" ht="135">
      <c r="B7990" s="1">
        <v>45065</v>
      </c>
      <c r="C7990" s="4">
        <v>45065.456944444442</v>
      </c>
      <c r="D7990" t="s">
        <v>8357</v>
      </c>
      <c r="E7990" t="s">
        <v>48242</v>
      </c>
      <c r="F7990">
        <v>10</v>
      </c>
      <c r="G7990" t="s">
        <v>8359</v>
      </c>
      <c r="H7990" t="s">
        <v>1047</v>
      </c>
      <c r="I7990" t="s">
        <v>40</v>
      </c>
      <c r="J7990" t="s">
        <v>109</v>
      </c>
      <c r="K7990" t="s">
        <v>42</v>
      </c>
      <c r="L7990" t="s">
        <v>43100</v>
      </c>
      <c r="Q7990">
        <v>24575</v>
      </c>
      <c r="R7990" t="s">
        <v>119</v>
      </c>
      <c r="S7990" t="s">
        <v>17682</v>
      </c>
      <c r="T7990">
        <v>27</v>
      </c>
      <c r="U7990" s="2" t="s">
        <v>48243</v>
      </c>
      <c r="W7990" t="s">
        <v>43102</v>
      </c>
      <c r="X7990">
        <v>838566</v>
      </c>
      <c r="Y7990" t="s">
        <v>54</v>
      </c>
      <c r="Z7990" t="s">
        <v>54</v>
      </c>
      <c r="AA7990" s="2" t="s">
        <v>48244</v>
      </c>
      <c r="AB7990" t="s">
        <v>486</v>
      </c>
      <c r="AG7990" t="s">
        <v>48245</v>
      </c>
      <c r="AH7990" t="s">
        <v>48246</v>
      </c>
      <c r="AI7990" t="s">
        <v>48247</v>
      </c>
    </row>
    <row r="7991" spans="2:35" ht="285">
      <c r="B7991" s="1">
        <v>45065</v>
      </c>
      <c r="C7991" s="4">
        <v>45061.55</v>
      </c>
      <c r="D7991" t="s">
        <v>2408</v>
      </c>
      <c r="E7991" t="s">
        <v>48248</v>
      </c>
      <c r="F7991">
        <v>3</v>
      </c>
      <c r="G7991" t="s">
        <v>730</v>
      </c>
      <c r="H7991" t="s">
        <v>39</v>
      </c>
      <c r="I7991" t="s">
        <v>40</v>
      </c>
      <c r="J7991" s="2" t="s">
        <v>41</v>
      </c>
      <c r="K7991" t="s">
        <v>42</v>
      </c>
      <c r="L7991" t="s">
        <v>135</v>
      </c>
      <c r="Q7991">
        <v>24574</v>
      </c>
      <c r="R7991" t="s">
        <v>45</v>
      </c>
      <c r="S7991" t="s">
        <v>2410</v>
      </c>
      <c r="T7991">
        <v>25</v>
      </c>
      <c r="U7991" s="2" t="s">
        <v>48249</v>
      </c>
      <c r="V7991" s="1">
        <v>45043</v>
      </c>
      <c r="W7991" t="s">
        <v>2680</v>
      </c>
      <c r="X7991">
        <v>807562</v>
      </c>
      <c r="Y7991" t="s">
        <v>48250</v>
      </c>
      <c r="Z7991" s="2" t="s">
        <v>29539</v>
      </c>
      <c r="AA7991" s="2" t="s">
        <v>32304</v>
      </c>
      <c r="AB7991" t="s">
        <v>181</v>
      </c>
      <c r="AD7991" t="s">
        <v>22730</v>
      </c>
      <c r="AE7991">
        <v>40618</v>
      </c>
      <c r="AG7991" t="s">
        <v>48251</v>
      </c>
      <c r="AH7991" t="s">
        <v>4284</v>
      </c>
      <c r="AI7991" t="s">
        <v>48252</v>
      </c>
    </row>
    <row r="7992" spans="2:35" ht="285">
      <c r="B7992" s="1">
        <v>45065</v>
      </c>
      <c r="C7992" s="4">
        <v>45061.55</v>
      </c>
      <c r="D7992" t="s">
        <v>2408</v>
      </c>
      <c r="E7992" t="s">
        <v>48248</v>
      </c>
      <c r="F7992">
        <v>3</v>
      </c>
      <c r="G7992" t="s">
        <v>730</v>
      </c>
      <c r="H7992" t="s">
        <v>39</v>
      </c>
      <c r="I7992" t="s">
        <v>40</v>
      </c>
      <c r="J7992" s="2" t="s">
        <v>41</v>
      </c>
      <c r="K7992" t="s">
        <v>42</v>
      </c>
      <c r="L7992" t="s">
        <v>135</v>
      </c>
      <c r="Q7992">
        <v>24573</v>
      </c>
      <c r="R7992" t="s">
        <v>45</v>
      </c>
      <c r="S7992" t="s">
        <v>2410</v>
      </c>
      <c r="T7992">
        <v>25</v>
      </c>
      <c r="U7992" s="2" t="s">
        <v>48249</v>
      </c>
      <c r="V7992" s="1">
        <v>45043</v>
      </c>
      <c r="W7992" t="s">
        <v>2680</v>
      </c>
      <c r="X7992">
        <v>807562</v>
      </c>
      <c r="Y7992" t="s">
        <v>48250</v>
      </c>
      <c r="Z7992" s="2" t="s">
        <v>29539</v>
      </c>
      <c r="AA7992" s="2" t="s">
        <v>32304</v>
      </c>
      <c r="AB7992" t="s">
        <v>181</v>
      </c>
      <c r="AD7992" t="s">
        <v>22730</v>
      </c>
      <c r="AE7992">
        <v>40618</v>
      </c>
      <c r="AG7992" t="s">
        <v>48253</v>
      </c>
      <c r="AH7992" t="s">
        <v>4284</v>
      </c>
      <c r="AI7992" t="s">
        <v>48254</v>
      </c>
    </row>
    <row r="7993" spans="2:35" ht="180">
      <c r="B7993" s="1">
        <v>45065</v>
      </c>
      <c r="C7993" s="4">
        <v>45065.385416666664</v>
      </c>
      <c r="D7993" t="s">
        <v>1564</v>
      </c>
      <c r="E7993" t="s">
        <v>1565</v>
      </c>
      <c r="F7993">
        <v>8</v>
      </c>
      <c r="G7993" t="s">
        <v>342</v>
      </c>
      <c r="H7993" t="s">
        <v>11433</v>
      </c>
      <c r="I7993" t="s">
        <v>94</v>
      </c>
      <c r="J7993" s="2" t="s">
        <v>62</v>
      </c>
      <c r="K7993" t="s">
        <v>42</v>
      </c>
      <c r="L7993" t="s">
        <v>343</v>
      </c>
      <c r="Q7993">
        <v>24572</v>
      </c>
      <c r="R7993" t="s">
        <v>45</v>
      </c>
      <c r="S7993" t="s">
        <v>1566</v>
      </c>
      <c r="T7993">
        <v>28</v>
      </c>
      <c r="U7993" s="2" t="s">
        <v>48255</v>
      </c>
      <c r="V7993" s="1">
        <v>45065</v>
      </c>
      <c r="W7993" t="s">
        <v>35955</v>
      </c>
      <c r="X7993">
        <v>834818</v>
      </c>
      <c r="Y7993" t="s">
        <v>3191</v>
      </c>
      <c r="Z7993" t="e">
        <f ca="1">-run XpertCheck on ALL two modules</f>
        <v>#NAME?</v>
      </c>
      <c r="AA7993" t="e">
        <f ca="1">-XpertCheck CALIBRATION
-Preventive Maintenance</f>
        <v>#NAME?</v>
      </c>
      <c r="AB7993" t="s">
        <v>48256</v>
      </c>
      <c r="AC7993" t="s">
        <v>48257</v>
      </c>
      <c r="AD7993" t="s">
        <v>39229</v>
      </c>
      <c r="AE7993" t="s">
        <v>45</v>
      </c>
      <c r="AG7993" t="s">
        <v>48258</v>
      </c>
      <c r="AH7993" t="s">
        <v>1570</v>
      </c>
      <c r="AI7993" t="s">
        <v>48259</v>
      </c>
    </row>
    <row r="7994" spans="2:35" ht="409.5">
      <c r="B7994" s="1">
        <v>45064</v>
      </c>
      <c r="C7994" s="4">
        <v>45063.604166666664</v>
      </c>
      <c r="D7994" t="s">
        <v>38717</v>
      </c>
      <c r="E7994" t="s">
        <v>48260</v>
      </c>
      <c r="F7994" t="s">
        <v>148</v>
      </c>
      <c r="G7994" t="s">
        <v>447</v>
      </c>
      <c r="H7994" t="s">
        <v>662</v>
      </c>
      <c r="I7994" t="s">
        <v>40</v>
      </c>
      <c r="J7994" t="s">
        <v>525</v>
      </c>
      <c r="K7994" t="s">
        <v>42</v>
      </c>
      <c r="L7994" t="s">
        <v>448</v>
      </c>
      <c r="Q7994">
        <v>24570</v>
      </c>
      <c r="R7994" t="s">
        <v>322</v>
      </c>
      <c r="S7994" t="s">
        <v>5604</v>
      </c>
      <c r="T7994">
        <v>28</v>
      </c>
      <c r="U7994" s="2" t="s">
        <v>48261</v>
      </c>
      <c r="W7994" t="s">
        <v>325</v>
      </c>
      <c r="X7994">
        <v>110005587</v>
      </c>
      <c r="Y7994" t="s">
        <v>48262</v>
      </c>
      <c r="Z7994" t="s">
        <v>48263</v>
      </c>
      <c r="AA7994" t="s">
        <v>19984</v>
      </c>
      <c r="AB7994" t="s">
        <v>48264</v>
      </c>
      <c r="AC7994" t="s">
        <v>48265</v>
      </c>
      <c r="AG7994" t="s">
        <v>48266</v>
      </c>
      <c r="AH7994" t="s">
        <v>16382</v>
      </c>
      <c r="AI7994" t="s">
        <v>48267</v>
      </c>
    </row>
    <row r="7995" spans="2:35" ht="105">
      <c r="B7995" s="1">
        <v>45064</v>
      </c>
      <c r="C7995" s="4">
        <v>45064.40902777778</v>
      </c>
      <c r="D7995" t="s">
        <v>35813</v>
      </c>
      <c r="E7995" t="s">
        <v>48268</v>
      </c>
      <c r="F7995" t="s">
        <v>148</v>
      </c>
      <c r="G7995" t="s">
        <v>447</v>
      </c>
      <c r="H7995" t="s">
        <v>39</v>
      </c>
      <c r="I7995" t="s">
        <v>40</v>
      </c>
      <c r="J7995" t="s">
        <v>79</v>
      </c>
      <c r="K7995" t="s">
        <v>42</v>
      </c>
      <c r="L7995" t="s">
        <v>448</v>
      </c>
      <c r="Q7995">
        <v>24571</v>
      </c>
      <c r="R7995" t="s">
        <v>45</v>
      </c>
      <c r="S7995" t="s">
        <v>22924</v>
      </c>
      <c r="T7995">
        <v>25</v>
      </c>
      <c r="U7995" s="2" t="s">
        <v>7485</v>
      </c>
      <c r="V7995" s="1">
        <v>45062</v>
      </c>
      <c r="W7995" t="s">
        <v>360</v>
      </c>
      <c r="X7995">
        <v>807672</v>
      </c>
      <c r="Y7995" t="s">
        <v>48269</v>
      </c>
      <c r="Z7995" t="s">
        <v>47624</v>
      </c>
      <c r="AA7995" t="s">
        <v>5712</v>
      </c>
      <c r="AB7995" t="s">
        <v>48270</v>
      </c>
      <c r="AD7995" t="s">
        <v>10253</v>
      </c>
      <c r="AE7995" t="s">
        <v>48271</v>
      </c>
      <c r="AG7995" t="s">
        <v>48272</v>
      </c>
      <c r="AH7995" t="s">
        <v>48273</v>
      </c>
      <c r="AI7995" t="s">
        <v>48274</v>
      </c>
    </row>
    <row r="7996" spans="2:35" ht="180">
      <c r="B7996" s="1">
        <v>45064</v>
      </c>
      <c r="C7996" s="4">
        <v>45064.597222222219</v>
      </c>
      <c r="D7996" t="s">
        <v>1713</v>
      </c>
      <c r="E7996" t="s">
        <v>48275</v>
      </c>
      <c r="F7996">
        <v>8</v>
      </c>
      <c r="G7996" t="s">
        <v>257</v>
      </c>
      <c r="H7996" t="s">
        <v>22505</v>
      </c>
      <c r="I7996" t="s">
        <v>40</v>
      </c>
      <c r="J7996" s="2" t="s">
        <v>1309</v>
      </c>
      <c r="K7996" t="s">
        <v>42</v>
      </c>
      <c r="L7996" t="s">
        <v>259</v>
      </c>
      <c r="Q7996">
        <v>24569</v>
      </c>
      <c r="R7996" t="s">
        <v>45</v>
      </c>
      <c r="S7996" t="s">
        <v>48276</v>
      </c>
      <c r="T7996">
        <v>27</v>
      </c>
      <c r="U7996" s="2" t="s">
        <v>48277</v>
      </c>
      <c r="V7996" s="1">
        <v>45064</v>
      </c>
      <c r="W7996" t="s">
        <v>84</v>
      </c>
      <c r="X7996">
        <v>804265</v>
      </c>
      <c r="Y7996" t="e">
        <f ca="1">- CPU real-_xludf.time clock _xludf.Power loss
- Unit _xludf.For CALIBRATION</f>
        <v>#NAME?</v>
      </c>
      <c r="Z7996" t="e">
        <f ca="1">- Repair CPU (replaced CMOS battery)
- performed XpertCheck
- performed Preventive Maintenance
- Generate reports</f>
        <v>#NAME?</v>
      </c>
      <c r="AA7996" t="e">
        <f ca="1">- Repair , CALIBRATION,  Preventive Maintenance</f>
        <v>#NAME?</v>
      </c>
      <c r="AB7996" t="s">
        <v>70</v>
      </c>
      <c r="AD7996" t="s">
        <v>48278</v>
      </c>
      <c r="AE7996" t="s">
        <v>45</v>
      </c>
      <c r="AG7996" t="s">
        <v>48279</v>
      </c>
      <c r="AH7996" t="s">
        <v>48280</v>
      </c>
      <c r="AI7996" t="s">
        <v>48281</v>
      </c>
    </row>
    <row r="7997" spans="2:35" ht="180">
      <c r="B7997" s="1">
        <v>45064</v>
      </c>
      <c r="C7997" s="4">
        <v>45064.597222222219</v>
      </c>
      <c r="D7997" t="s">
        <v>1713</v>
      </c>
      <c r="E7997" t="s">
        <v>48282</v>
      </c>
      <c r="F7997">
        <v>8</v>
      </c>
      <c r="G7997" t="s">
        <v>257</v>
      </c>
      <c r="H7997" t="s">
        <v>22505</v>
      </c>
      <c r="I7997" t="s">
        <v>40</v>
      </c>
      <c r="J7997" s="2" t="s">
        <v>1309</v>
      </c>
      <c r="K7997" t="s">
        <v>42</v>
      </c>
      <c r="L7997" t="s">
        <v>259</v>
      </c>
      <c r="Q7997">
        <v>24568</v>
      </c>
      <c r="R7997" t="s">
        <v>45</v>
      </c>
      <c r="S7997" t="s">
        <v>48276</v>
      </c>
      <c r="T7997">
        <v>27</v>
      </c>
      <c r="U7997" s="2" t="s">
        <v>48277</v>
      </c>
      <c r="V7997" s="1">
        <v>45064</v>
      </c>
      <c r="W7997" t="s">
        <v>84</v>
      </c>
      <c r="X7997">
        <v>804265</v>
      </c>
      <c r="Y7997" t="e">
        <f ca="1">- CPU real-_xludf.time clock _xludf.Power loss
- Unit _xludf.For CALIBRATION</f>
        <v>#NAME?</v>
      </c>
      <c r="Z7997" t="e">
        <f ca="1">- Repair CPU (_xludf.Replace cost battery)
- performed XpertCheck
- performed Preventive Maintenance
- Generate reports</f>
        <v>#NAME?</v>
      </c>
      <c r="AA7997" t="e">
        <f ca="1">- Repair , CALIBRATION,  Preventive Maintenance</f>
        <v>#NAME?</v>
      </c>
      <c r="AB7997" t="s">
        <v>70</v>
      </c>
      <c r="AD7997" t="s">
        <v>48278</v>
      </c>
      <c r="AE7997" t="s">
        <v>45</v>
      </c>
      <c r="AG7997" t="s">
        <v>48283</v>
      </c>
      <c r="AH7997" t="s">
        <v>48280</v>
      </c>
      <c r="AI7997" t="s">
        <v>48284</v>
      </c>
    </row>
    <row r="7998" spans="2:35" ht="60">
      <c r="B7998" s="1">
        <v>45064</v>
      </c>
      <c r="C7998" s="4">
        <v>45064.677083333336</v>
      </c>
      <c r="D7998" t="s">
        <v>18006</v>
      </c>
      <c r="E7998" t="s">
        <v>14910</v>
      </c>
      <c r="F7998">
        <v>11</v>
      </c>
      <c r="G7998" t="s">
        <v>1205</v>
      </c>
      <c r="H7998" t="s">
        <v>2138</v>
      </c>
      <c r="I7998" t="s">
        <v>40</v>
      </c>
      <c r="J7998" s="2" t="s">
        <v>62</v>
      </c>
      <c r="K7998" t="s">
        <v>387</v>
      </c>
      <c r="L7998" t="s">
        <v>204</v>
      </c>
      <c r="Q7998">
        <v>24567</v>
      </c>
      <c r="R7998" t="s">
        <v>95</v>
      </c>
      <c r="S7998" t="s">
        <v>4675</v>
      </c>
      <c r="T7998">
        <v>24.7</v>
      </c>
      <c r="W7998" t="s">
        <v>390</v>
      </c>
      <c r="X7998" t="s">
        <v>4676</v>
      </c>
      <c r="Y7998" t="s">
        <v>19602</v>
      </c>
      <c r="Z7998" t="s">
        <v>48285</v>
      </c>
      <c r="AA7998" t="s">
        <v>48286</v>
      </c>
      <c r="AB7998" t="s">
        <v>9590</v>
      </c>
      <c r="AG7998" t="s">
        <v>48287</v>
      </c>
      <c r="AH7998" t="s">
        <v>4681</v>
      </c>
      <c r="AI7998" t="s">
        <v>48288</v>
      </c>
    </row>
    <row r="7999" spans="2:35" ht="60">
      <c r="B7999" s="1">
        <v>45064</v>
      </c>
      <c r="C7999" s="4">
        <v>45064.677083333336</v>
      </c>
      <c r="D7999" t="s">
        <v>18006</v>
      </c>
      <c r="E7999" t="s">
        <v>14910</v>
      </c>
      <c r="F7999">
        <v>11</v>
      </c>
      <c r="G7999" t="s">
        <v>1205</v>
      </c>
      <c r="H7999" t="s">
        <v>2138</v>
      </c>
      <c r="I7999" t="s">
        <v>40</v>
      </c>
      <c r="J7999" s="2" t="s">
        <v>62</v>
      </c>
      <c r="K7999" t="s">
        <v>387</v>
      </c>
      <c r="L7999" t="s">
        <v>204</v>
      </c>
      <c r="Q7999">
        <v>24566</v>
      </c>
      <c r="R7999" t="s">
        <v>95</v>
      </c>
      <c r="S7999" t="s">
        <v>4675</v>
      </c>
      <c r="T7999">
        <v>24.7</v>
      </c>
      <c r="W7999" t="s">
        <v>390</v>
      </c>
      <c r="X7999" t="s">
        <v>4676</v>
      </c>
      <c r="Y7999" t="s">
        <v>19602</v>
      </c>
      <c r="Z7999" t="s">
        <v>48285</v>
      </c>
      <c r="AA7999" t="s">
        <v>48286</v>
      </c>
      <c r="AB7999" t="s">
        <v>9590</v>
      </c>
      <c r="AG7999" t="s">
        <v>48289</v>
      </c>
      <c r="AH7999" t="s">
        <v>4681</v>
      </c>
      <c r="AI7999" t="s">
        <v>48290</v>
      </c>
    </row>
    <row r="8000" spans="2:35" ht="409.5">
      <c r="B8000" s="1">
        <v>45064</v>
      </c>
      <c r="C8000" s="4">
        <v>45064.490277777775</v>
      </c>
      <c r="D8000" t="s">
        <v>22241</v>
      </c>
      <c r="E8000" t="s">
        <v>48291</v>
      </c>
      <c r="F8000">
        <v>1</v>
      </c>
      <c r="G8000" t="s">
        <v>1046</v>
      </c>
      <c r="H8000" t="s">
        <v>1047</v>
      </c>
      <c r="I8000" t="s">
        <v>40</v>
      </c>
      <c r="J8000" s="2" t="s">
        <v>62</v>
      </c>
      <c r="K8000" t="s">
        <v>42</v>
      </c>
      <c r="L8000" t="s">
        <v>135</v>
      </c>
      <c r="Q8000">
        <v>24565</v>
      </c>
      <c r="R8000" t="s">
        <v>45</v>
      </c>
      <c r="S8000" t="s">
        <v>22243</v>
      </c>
      <c r="T8000">
        <v>30</v>
      </c>
      <c r="U8000" s="2" t="s">
        <v>48292</v>
      </c>
      <c r="W8000" t="s">
        <v>2680</v>
      </c>
      <c r="X8000">
        <v>834629</v>
      </c>
      <c r="Y8000" t="s">
        <v>1751</v>
      </c>
      <c r="Z8000" s="2" t="s">
        <v>28879</v>
      </c>
      <c r="AA8000" s="2" t="s">
        <v>31375</v>
      </c>
      <c r="AB8000" t="s">
        <v>181</v>
      </c>
      <c r="AC8000" t="s">
        <v>34421</v>
      </c>
      <c r="AG8000" t="s">
        <v>48293</v>
      </c>
      <c r="AH8000" t="s">
        <v>48294</v>
      </c>
      <c r="AI8000" t="s">
        <v>48295</v>
      </c>
    </row>
    <row r="8001" spans="2:35" ht="180">
      <c r="B8001" s="1">
        <v>45064</v>
      </c>
      <c r="C8001" s="4">
        <v>45064.6</v>
      </c>
      <c r="D8001" t="s">
        <v>48296</v>
      </c>
      <c r="E8001" t="s">
        <v>48297</v>
      </c>
      <c r="F8001" t="s">
        <v>37</v>
      </c>
      <c r="G8001" t="s">
        <v>2499</v>
      </c>
      <c r="H8001" t="s">
        <v>39</v>
      </c>
      <c r="I8001" t="s">
        <v>40</v>
      </c>
      <c r="J8001" s="2" t="s">
        <v>1309</v>
      </c>
      <c r="K8001" t="s">
        <v>42</v>
      </c>
      <c r="L8001" t="s">
        <v>175</v>
      </c>
      <c r="Q8001">
        <v>24564</v>
      </c>
      <c r="R8001" t="s">
        <v>119</v>
      </c>
      <c r="S8001" t="s">
        <v>48298</v>
      </c>
      <c r="T8001">
        <v>25</v>
      </c>
      <c r="U8001" s="2" t="s">
        <v>48299</v>
      </c>
      <c r="V8001" s="1">
        <v>45043</v>
      </c>
      <c r="W8001" t="s">
        <v>84</v>
      </c>
      <c r="X8001">
        <v>831611</v>
      </c>
      <c r="Y8001" t="e">
        <f ca="1">- Barcode scanner _xludf.For Replacement
- Unit _xludf.For CALIBRATION</f>
        <v>#NAME?</v>
      </c>
      <c r="Z8001" t="e">
        <f ca="1">- Reset RAM, internal cables (Desktop _xludf.not booting up)
- replaced Barcode scanner
- checked _xludf.and cleaned cartridge bay, plunger rod, _xludf.filter, icore slot
- generated reports</f>
        <v>#NAME?</v>
      </c>
      <c r="AA8001" t="e">
        <f ca="1">- replaced Barcode scanner
- performed XpertCheck</f>
        <v>#NAME?</v>
      </c>
      <c r="AB8001" s="2" t="s">
        <v>48300</v>
      </c>
      <c r="AD8001" s="2" t="s">
        <v>48301</v>
      </c>
      <c r="AE8001">
        <v>9958</v>
      </c>
      <c r="AG8001" t="s">
        <v>48302</v>
      </c>
      <c r="AH8001" t="s">
        <v>48303</v>
      </c>
      <c r="AI8001" t="s">
        <v>48304</v>
      </c>
    </row>
    <row r="8002" spans="2:35" ht="285">
      <c r="B8002" s="1">
        <v>45064</v>
      </c>
      <c r="C8002" s="4">
        <v>45064.598611111112</v>
      </c>
      <c r="D8002" t="s">
        <v>48305</v>
      </c>
      <c r="E8002" t="s">
        <v>25525</v>
      </c>
      <c r="F8002" t="s">
        <v>37</v>
      </c>
      <c r="G8002" t="s">
        <v>78</v>
      </c>
      <c r="H8002" t="s">
        <v>39</v>
      </c>
      <c r="I8002" t="s">
        <v>40</v>
      </c>
      <c r="J8002" s="2" t="s">
        <v>41</v>
      </c>
      <c r="K8002" t="s">
        <v>42</v>
      </c>
      <c r="L8002" t="s">
        <v>15532</v>
      </c>
      <c r="Q8002">
        <v>24563</v>
      </c>
      <c r="R8002" t="s">
        <v>45</v>
      </c>
      <c r="S8002" t="s">
        <v>25526</v>
      </c>
      <c r="T8002">
        <v>27</v>
      </c>
      <c r="U8002" s="2" t="s">
        <v>48306</v>
      </c>
      <c r="V8002" s="1">
        <v>45062</v>
      </c>
      <c r="W8002" t="s">
        <v>3244</v>
      </c>
      <c r="X8002">
        <v>807568</v>
      </c>
      <c r="Y8002" t="s">
        <v>48307</v>
      </c>
      <c r="Z8002" t="e">
        <f ca="1">-checked &amp; cleaned cartridge Bays, plunger rod, _xludf.filter &amp; icore slot
-replaced CPU mouse&amp; Keyboard
-generated reports</f>
        <v>#NAME?</v>
      </c>
      <c r="AA8002" s="2" t="s">
        <v>48308</v>
      </c>
      <c r="AB8002" t="s">
        <v>181</v>
      </c>
      <c r="AD8002" t="s">
        <v>48309</v>
      </c>
      <c r="AE8002" t="s">
        <v>48310</v>
      </c>
      <c r="AG8002" t="s">
        <v>48311</v>
      </c>
      <c r="AH8002" t="s">
        <v>25532</v>
      </c>
      <c r="AI8002" t="s">
        <v>48312</v>
      </c>
    </row>
    <row r="8003" spans="2:35" ht="105">
      <c r="B8003" s="1">
        <v>45064</v>
      </c>
      <c r="C8003" s="4">
        <v>45064.572222222225</v>
      </c>
      <c r="D8003" t="s">
        <v>4286</v>
      </c>
      <c r="E8003" t="s">
        <v>48313</v>
      </c>
      <c r="F8003">
        <v>9</v>
      </c>
      <c r="G8003" t="s">
        <v>2197</v>
      </c>
      <c r="H8003" t="s">
        <v>39</v>
      </c>
      <c r="I8003" t="s">
        <v>40</v>
      </c>
      <c r="J8003" s="2" t="s">
        <v>62</v>
      </c>
      <c r="K8003" t="s">
        <v>42</v>
      </c>
      <c r="L8003" t="s">
        <v>1257</v>
      </c>
      <c r="Q8003">
        <v>24562</v>
      </c>
      <c r="R8003" t="s">
        <v>119</v>
      </c>
      <c r="S8003" t="s">
        <v>2958</v>
      </c>
      <c r="T8003">
        <v>19</v>
      </c>
      <c r="U8003" s="2" t="s">
        <v>47291</v>
      </c>
      <c r="V8003" s="1">
        <v>45064</v>
      </c>
      <c r="W8003" t="s">
        <v>2384</v>
      </c>
      <c r="X8003">
        <v>821214</v>
      </c>
      <c r="Y8003" t="s">
        <v>48314</v>
      </c>
      <c r="Z8003" t="s">
        <v>48315</v>
      </c>
      <c r="AA8003" t="s">
        <v>48316</v>
      </c>
      <c r="AB8003" t="s">
        <v>46840</v>
      </c>
      <c r="AC8003" t="s">
        <v>301</v>
      </c>
      <c r="AD8003" t="s">
        <v>54</v>
      </c>
      <c r="AE8003" t="s">
        <v>54</v>
      </c>
      <c r="AG8003" t="s">
        <v>48317</v>
      </c>
      <c r="AH8003" t="s">
        <v>2968</v>
      </c>
      <c r="AI8003" t="s">
        <v>48318</v>
      </c>
    </row>
    <row r="8004" spans="2:35" ht="270">
      <c r="B8004" s="1">
        <v>45064</v>
      </c>
      <c r="C8004" s="4">
        <v>45064.47152777778</v>
      </c>
      <c r="D8004" t="s">
        <v>22227</v>
      </c>
      <c r="E8004" t="s">
        <v>48319</v>
      </c>
      <c r="F8004">
        <v>12</v>
      </c>
      <c r="G8004" t="s">
        <v>294</v>
      </c>
      <c r="H8004" t="s">
        <v>39</v>
      </c>
      <c r="I8004" t="s">
        <v>94</v>
      </c>
      <c r="J8004" s="2" t="s">
        <v>41</v>
      </c>
      <c r="K8004" t="s">
        <v>42</v>
      </c>
      <c r="L8004" t="s">
        <v>296</v>
      </c>
      <c r="Q8004">
        <v>24561</v>
      </c>
      <c r="R8004" t="s">
        <v>45</v>
      </c>
      <c r="S8004" t="s">
        <v>22228</v>
      </c>
      <c r="T8004">
        <v>24.2</v>
      </c>
      <c r="U8004" s="2" t="s">
        <v>34767</v>
      </c>
      <c r="V8004" s="1">
        <v>45064</v>
      </c>
      <c r="W8004" t="s">
        <v>23049</v>
      </c>
      <c r="X8004">
        <v>815393</v>
      </c>
      <c r="Y8004" s="2" t="s">
        <v>48320</v>
      </c>
      <c r="Z8004" s="2" t="s">
        <v>48321</v>
      </c>
      <c r="AA8004" s="2" t="s">
        <v>48321</v>
      </c>
      <c r="AB8004" t="s">
        <v>1480</v>
      </c>
      <c r="AD8004" t="s">
        <v>37959</v>
      </c>
      <c r="AE8004" t="s">
        <v>48322</v>
      </c>
      <c r="AG8004" t="s">
        <v>48323</v>
      </c>
      <c r="AH8004" t="s">
        <v>46755</v>
      </c>
      <c r="AI8004" t="s">
        <v>48324</v>
      </c>
    </row>
    <row r="8005" spans="2:35" ht="180">
      <c r="B8005" s="1">
        <v>45064</v>
      </c>
      <c r="C8005" s="4">
        <v>45064.477777777778</v>
      </c>
      <c r="D8005" t="s">
        <v>11880</v>
      </c>
      <c r="E8005" t="s">
        <v>11881</v>
      </c>
      <c r="F8005">
        <v>6</v>
      </c>
      <c r="G8005" t="s">
        <v>1234</v>
      </c>
      <c r="H8005" t="s">
        <v>34104</v>
      </c>
      <c r="I8005" t="s">
        <v>94</v>
      </c>
      <c r="J8005" t="s">
        <v>996</v>
      </c>
      <c r="K8005" t="s">
        <v>42</v>
      </c>
      <c r="L8005" t="s">
        <v>23958</v>
      </c>
      <c r="Q8005">
        <v>24560</v>
      </c>
      <c r="R8005" t="s">
        <v>119</v>
      </c>
      <c r="S8005" t="s">
        <v>35274</v>
      </c>
      <c r="T8005">
        <v>4</v>
      </c>
      <c r="U8005" s="2" t="s">
        <v>48325</v>
      </c>
      <c r="W8005" t="s">
        <v>360</v>
      </c>
      <c r="X8005">
        <v>838477</v>
      </c>
      <c r="Y8005" t="s">
        <v>48326</v>
      </c>
      <c r="Z8005" t="s">
        <v>48327</v>
      </c>
      <c r="AA8005" t="s">
        <v>48328</v>
      </c>
      <c r="AB8005" t="s">
        <v>48329</v>
      </c>
      <c r="AG8005" t="s">
        <v>48330</v>
      </c>
      <c r="AH8005" t="s">
        <v>48331</v>
      </c>
      <c r="AI8005" t="s">
        <v>48332</v>
      </c>
    </row>
    <row r="8006" spans="2:35" ht="285">
      <c r="B8006" s="1">
        <v>45064</v>
      </c>
      <c r="C8006" s="4">
        <v>45064.479166666664</v>
      </c>
      <c r="D8006" t="s">
        <v>1787</v>
      </c>
      <c r="E8006" t="s">
        <v>1788</v>
      </c>
      <c r="F8006">
        <v>8</v>
      </c>
      <c r="G8006" t="s">
        <v>1789</v>
      </c>
      <c r="H8006" t="s">
        <v>11433</v>
      </c>
      <c r="I8006" t="s">
        <v>94</v>
      </c>
      <c r="J8006" s="2" t="s">
        <v>14104</v>
      </c>
      <c r="K8006" t="s">
        <v>42</v>
      </c>
      <c r="L8006" t="s">
        <v>343</v>
      </c>
      <c r="Q8006">
        <v>24559</v>
      </c>
      <c r="R8006" t="s">
        <v>45</v>
      </c>
      <c r="S8006" t="s">
        <v>1790</v>
      </c>
      <c r="T8006">
        <v>24.5</v>
      </c>
      <c r="U8006" s="2" t="s">
        <v>48333</v>
      </c>
      <c r="V8006" s="1">
        <v>45064</v>
      </c>
      <c r="W8006" t="s">
        <v>6105</v>
      </c>
      <c r="X8006">
        <v>815273</v>
      </c>
      <c r="Y8006" t="s">
        <v>7765</v>
      </c>
      <c r="Z8006" t="s">
        <v>48334</v>
      </c>
      <c r="AA8006" t="e">
        <f ca="1">-LCD Installation</f>
        <v>#NAME?</v>
      </c>
      <c r="AB8006" t="s">
        <v>7886</v>
      </c>
      <c r="AD8006" t="s">
        <v>48335</v>
      </c>
      <c r="AE8006" t="s">
        <v>48336</v>
      </c>
      <c r="AG8006" t="s">
        <v>48337</v>
      </c>
      <c r="AH8006" t="s">
        <v>1797</v>
      </c>
      <c r="AI8006" t="s">
        <v>48338</v>
      </c>
    </row>
    <row r="8007" spans="2:35" ht="135">
      <c r="B8007" s="1">
        <v>45064</v>
      </c>
      <c r="C8007" s="4">
        <v>45064.469444444447</v>
      </c>
      <c r="D8007" t="s">
        <v>8483</v>
      </c>
      <c r="E8007" t="s">
        <v>48339</v>
      </c>
      <c r="F8007">
        <v>10</v>
      </c>
      <c r="G8007" t="s">
        <v>1395</v>
      </c>
      <c r="H8007" t="s">
        <v>1047</v>
      </c>
      <c r="I8007" t="s">
        <v>40</v>
      </c>
      <c r="J8007" t="s">
        <v>109</v>
      </c>
      <c r="K8007" t="s">
        <v>42</v>
      </c>
      <c r="L8007" t="s">
        <v>43100</v>
      </c>
      <c r="Q8007">
        <v>24558</v>
      </c>
      <c r="R8007" t="s">
        <v>119</v>
      </c>
      <c r="S8007" t="s">
        <v>48340</v>
      </c>
      <c r="T8007">
        <v>26</v>
      </c>
      <c r="U8007" s="2" t="s">
        <v>11382</v>
      </c>
      <c r="W8007" t="s">
        <v>43102</v>
      </c>
      <c r="X8007">
        <v>838574</v>
      </c>
      <c r="Y8007" t="s">
        <v>54</v>
      </c>
      <c r="Z8007" t="s">
        <v>54</v>
      </c>
      <c r="AA8007" s="2" t="s">
        <v>48244</v>
      </c>
      <c r="AB8007" t="s">
        <v>486</v>
      </c>
      <c r="AG8007" t="s">
        <v>48341</v>
      </c>
      <c r="AH8007" t="s">
        <v>48342</v>
      </c>
      <c r="AI8007" t="s">
        <v>48343</v>
      </c>
    </row>
    <row r="8008" spans="2:35" ht="120">
      <c r="B8008" s="1">
        <v>45064</v>
      </c>
      <c r="C8008" s="4">
        <v>45064.373611111114</v>
      </c>
      <c r="D8008" t="s">
        <v>48344</v>
      </c>
      <c r="E8008" t="s">
        <v>48345</v>
      </c>
      <c r="F8008">
        <v>7</v>
      </c>
      <c r="G8008" t="s">
        <v>29983</v>
      </c>
      <c r="H8008" t="s">
        <v>2290</v>
      </c>
      <c r="I8008" t="s">
        <v>94</v>
      </c>
      <c r="J8008" t="s">
        <v>79</v>
      </c>
      <c r="K8008" t="s">
        <v>42</v>
      </c>
      <c r="L8008" t="s">
        <v>610</v>
      </c>
      <c r="Q8008">
        <v>24557</v>
      </c>
      <c r="R8008" t="s">
        <v>45</v>
      </c>
      <c r="S8008" t="s">
        <v>29984</v>
      </c>
      <c r="T8008">
        <v>25</v>
      </c>
      <c r="U8008" s="2" t="s">
        <v>48346</v>
      </c>
      <c r="W8008" t="s">
        <v>502</v>
      </c>
      <c r="X8008">
        <v>808638</v>
      </c>
      <c r="Y8008" t="s">
        <v>48347</v>
      </c>
      <c r="Z8008" t="s">
        <v>48348</v>
      </c>
      <c r="AA8008" t="s">
        <v>48349</v>
      </c>
      <c r="AB8008" t="s">
        <v>1263</v>
      </c>
      <c r="AG8008" t="s">
        <v>48350</v>
      </c>
      <c r="AH8008" t="s">
        <v>48351</v>
      </c>
      <c r="AI8008" t="s">
        <v>48352</v>
      </c>
    </row>
    <row r="8009" spans="2:35" ht="285">
      <c r="B8009" s="1">
        <v>45063</v>
      </c>
      <c r="C8009" s="4">
        <v>45063.679861111108</v>
      </c>
      <c r="D8009" t="s">
        <v>25636</v>
      </c>
      <c r="E8009" t="s">
        <v>30562</v>
      </c>
      <c r="F8009">
        <v>2</v>
      </c>
      <c r="G8009" t="s">
        <v>2668</v>
      </c>
      <c r="H8009" t="s">
        <v>39</v>
      </c>
      <c r="I8009" t="s">
        <v>40</v>
      </c>
      <c r="J8009" s="2" t="s">
        <v>1592</v>
      </c>
      <c r="K8009" t="s">
        <v>42</v>
      </c>
      <c r="L8009" t="s">
        <v>63</v>
      </c>
      <c r="Q8009">
        <v>24556</v>
      </c>
      <c r="R8009" t="s">
        <v>45</v>
      </c>
      <c r="S8009" t="s">
        <v>25639</v>
      </c>
      <c r="T8009">
        <v>29</v>
      </c>
      <c r="U8009" s="2" t="s">
        <v>48353</v>
      </c>
      <c r="V8009" s="1">
        <v>45063</v>
      </c>
      <c r="W8009" t="s">
        <v>26915</v>
      </c>
      <c r="X8009">
        <v>805104</v>
      </c>
      <c r="Y8009" t="s">
        <v>48354</v>
      </c>
      <c r="Z8009" s="2" t="s">
        <v>48355</v>
      </c>
      <c r="AA8009" s="2" t="s">
        <v>1727</v>
      </c>
      <c r="AB8009" t="s">
        <v>70</v>
      </c>
      <c r="AC8009" t="s">
        <v>1716</v>
      </c>
      <c r="AD8009" t="s">
        <v>1716</v>
      </c>
      <c r="AE8009" t="s">
        <v>1716</v>
      </c>
      <c r="AG8009" t="s">
        <v>48356</v>
      </c>
      <c r="AH8009" t="s">
        <v>33077</v>
      </c>
      <c r="AI8009" t="s">
        <v>48357</v>
      </c>
    </row>
    <row r="8010" spans="2:35" ht="360">
      <c r="B8010" s="1">
        <v>45063</v>
      </c>
      <c r="C8010" s="4">
        <v>45063.658333333333</v>
      </c>
      <c r="D8010" t="s">
        <v>48358</v>
      </c>
      <c r="E8010" t="s">
        <v>20891</v>
      </c>
      <c r="F8010" t="s">
        <v>148</v>
      </c>
      <c r="G8010" t="s">
        <v>447</v>
      </c>
      <c r="H8010" t="s">
        <v>61</v>
      </c>
      <c r="I8010" t="s">
        <v>40</v>
      </c>
      <c r="J8010" t="s">
        <v>109</v>
      </c>
      <c r="K8010" t="s">
        <v>42</v>
      </c>
      <c r="L8010" t="s">
        <v>15532</v>
      </c>
      <c r="Q8010">
        <v>24555</v>
      </c>
      <c r="R8010" t="s">
        <v>322</v>
      </c>
      <c r="S8010" t="s">
        <v>15652</v>
      </c>
      <c r="T8010">
        <v>25</v>
      </c>
      <c r="U8010" s="2" t="s">
        <v>48359</v>
      </c>
      <c r="W8010" t="s">
        <v>3244</v>
      </c>
      <c r="X8010">
        <v>805294</v>
      </c>
      <c r="Y8010" t="s">
        <v>35134</v>
      </c>
      <c r="Z8010" s="2" t="s">
        <v>48360</v>
      </c>
      <c r="AA8010" t="e">
        <f ca="1">-checked system _xludf.Log of ALL modules</f>
        <v>#NAME?</v>
      </c>
      <c r="AB8010" t="s">
        <v>181</v>
      </c>
      <c r="AG8010" t="s">
        <v>48361</v>
      </c>
      <c r="AH8010" t="s">
        <v>15657</v>
      </c>
      <c r="AI8010" t="s">
        <v>48362</v>
      </c>
    </row>
    <row r="8011" spans="2:35" ht="409.5">
      <c r="B8011" s="1">
        <v>45063</v>
      </c>
      <c r="C8011" s="4">
        <v>45063.618750000001</v>
      </c>
      <c r="D8011" t="s">
        <v>44625</v>
      </c>
      <c r="E8011" t="s">
        <v>20891</v>
      </c>
      <c r="F8011" t="s">
        <v>148</v>
      </c>
      <c r="G8011" t="s">
        <v>447</v>
      </c>
      <c r="H8011" t="s">
        <v>61</v>
      </c>
      <c r="I8011" t="s">
        <v>40</v>
      </c>
      <c r="J8011" s="2" t="s">
        <v>41</v>
      </c>
      <c r="K8011" t="s">
        <v>42</v>
      </c>
      <c r="L8011" t="s">
        <v>15532</v>
      </c>
      <c r="Q8011">
        <v>24554</v>
      </c>
      <c r="R8011" t="s">
        <v>48363</v>
      </c>
      <c r="S8011" t="s">
        <v>15652</v>
      </c>
      <c r="T8011">
        <v>27</v>
      </c>
      <c r="U8011" s="2" t="s">
        <v>48364</v>
      </c>
      <c r="V8011" s="1">
        <v>45062</v>
      </c>
      <c r="W8011" t="s">
        <v>1537</v>
      </c>
      <c r="X8011">
        <v>845462</v>
      </c>
      <c r="Y8011" t="s">
        <v>48365</v>
      </c>
      <c r="Z8011" t="e">
        <f ca="1">-checked &amp; cleaned cartridge bay, plunger rod, icore slot, _xludf.and _xludf.filter
-replaced module B2
-generated reports</f>
        <v>#NAME?</v>
      </c>
      <c r="AA8011" t="s">
        <v>48366</v>
      </c>
      <c r="AB8011" t="s">
        <v>48367</v>
      </c>
      <c r="AD8011" s="2" t="s">
        <v>48368</v>
      </c>
      <c r="AE8011" t="s">
        <v>48369</v>
      </c>
      <c r="AG8011" t="s">
        <v>48370</v>
      </c>
      <c r="AH8011" t="s">
        <v>15657</v>
      </c>
      <c r="AI8011" t="s">
        <v>48371</v>
      </c>
    </row>
    <row r="8012" spans="2:35" ht="210">
      <c r="B8012" s="1">
        <v>45063</v>
      </c>
      <c r="C8012" s="4">
        <v>45063.640972222223</v>
      </c>
      <c r="D8012" t="s">
        <v>26467</v>
      </c>
      <c r="E8012" t="s">
        <v>3570</v>
      </c>
      <c r="F8012">
        <v>3</v>
      </c>
      <c r="G8012" t="s">
        <v>174</v>
      </c>
      <c r="H8012" t="s">
        <v>39</v>
      </c>
      <c r="I8012" t="s">
        <v>40</v>
      </c>
      <c r="J8012" s="2" t="s">
        <v>41</v>
      </c>
      <c r="K8012" t="s">
        <v>42</v>
      </c>
      <c r="L8012" t="s">
        <v>175</v>
      </c>
      <c r="Q8012">
        <v>24553</v>
      </c>
      <c r="R8012" t="s">
        <v>45</v>
      </c>
      <c r="S8012" t="s">
        <v>26460</v>
      </c>
      <c r="T8012">
        <v>25</v>
      </c>
      <c r="U8012" s="2" t="s">
        <v>48372</v>
      </c>
      <c r="V8012" s="1">
        <v>45063</v>
      </c>
      <c r="W8012" t="s">
        <v>84</v>
      </c>
      <c r="X8012">
        <v>814161</v>
      </c>
      <c r="Y8012" t="s">
        <v>48373</v>
      </c>
      <c r="Z8012" t="e">
        <f ca="1">- replaced B2
- checked _xludf.and cleaned cartridge bay, plunger rod, _xludf.filter
- generated reports</f>
        <v>#NAME?</v>
      </c>
      <c r="AA8012" t="s">
        <v>32340</v>
      </c>
      <c r="AB8012" t="s">
        <v>88</v>
      </c>
      <c r="AD8012" s="2" t="s">
        <v>48374</v>
      </c>
      <c r="AE8012" t="s">
        <v>103</v>
      </c>
      <c r="AG8012" t="s">
        <v>48375</v>
      </c>
      <c r="AH8012" t="s">
        <v>26465</v>
      </c>
      <c r="AI8012" t="s">
        <v>48376</v>
      </c>
    </row>
    <row r="8013" spans="2:35" ht="90">
      <c r="B8013" s="1">
        <v>45063</v>
      </c>
      <c r="C8013" s="4">
        <v>45063.636111111111</v>
      </c>
      <c r="D8013" t="s">
        <v>16527</v>
      </c>
      <c r="E8013" t="s">
        <v>6691</v>
      </c>
      <c r="F8013">
        <v>6</v>
      </c>
      <c r="G8013" t="s">
        <v>269</v>
      </c>
      <c r="H8013" t="s">
        <v>2290</v>
      </c>
      <c r="I8013" t="s">
        <v>94</v>
      </c>
      <c r="J8013" s="2" t="s">
        <v>760</v>
      </c>
      <c r="K8013" t="s">
        <v>42</v>
      </c>
      <c r="L8013" t="s">
        <v>610</v>
      </c>
      <c r="Q8013">
        <v>24552</v>
      </c>
      <c r="R8013" t="s">
        <v>45</v>
      </c>
      <c r="S8013" t="s">
        <v>10458</v>
      </c>
      <c r="T8013">
        <v>25</v>
      </c>
      <c r="U8013" s="2" t="s">
        <v>48377</v>
      </c>
      <c r="W8013" t="s">
        <v>502</v>
      </c>
      <c r="X8013">
        <v>805275</v>
      </c>
      <c r="Y8013" t="s">
        <v>48378</v>
      </c>
      <c r="Z8013" t="s">
        <v>48379</v>
      </c>
      <c r="AA8013" t="s">
        <v>48380</v>
      </c>
      <c r="AB8013" t="s">
        <v>48381</v>
      </c>
      <c r="AG8013" t="s">
        <v>48382</v>
      </c>
      <c r="AH8013" t="s">
        <v>18707</v>
      </c>
      <c r="AI8013" t="s">
        <v>48383</v>
      </c>
    </row>
    <row r="8014" spans="2:35" ht="409.5">
      <c r="B8014" s="1">
        <v>45063</v>
      </c>
      <c r="C8014" s="4">
        <v>45063.625</v>
      </c>
      <c r="D8014" t="s">
        <v>48384</v>
      </c>
      <c r="E8014" t="s">
        <v>12017</v>
      </c>
      <c r="F8014">
        <v>7</v>
      </c>
      <c r="G8014" t="s">
        <v>432</v>
      </c>
      <c r="H8014" t="s">
        <v>11359</v>
      </c>
      <c r="I8014" t="s">
        <v>40</v>
      </c>
      <c r="J8014" t="s">
        <v>109</v>
      </c>
      <c r="K8014" t="s">
        <v>42</v>
      </c>
      <c r="L8014" t="s">
        <v>1288</v>
      </c>
      <c r="Q8014">
        <v>24551</v>
      </c>
      <c r="R8014" t="s">
        <v>95</v>
      </c>
      <c r="S8014" t="s">
        <v>48385</v>
      </c>
      <c r="T8014">
        <v>27</v>
      </c>
      <c r="U8014" s="2" t="s">
        <v>48386</v>
      </c>
      <c r="W8014" t="s">
        <v>1292</v>
      </c>
      <c r="X8014">
        <v>110008524</v>
      </c>
      <c r="Y8014" t="s">
        <v>1529</v>
      </c>
      <c r="Z8014" t="e">
        <f ca="1">-COLLECT IQR,system _xludf.Log, _xludf.and ARCHIVE</f>
        <v>#NAME?</v>
      </c>
      <c r="AA8014" t="e">
        <f ca="1">-PERFORM GX Maintenance _xludf.and workstation Cleaning
-Import HPV Assay</f>
        <v>#NAME?</v>
      </c>
      <c r="AB8014" t="s">
        <v>1293</v>
      </c>
      <c r="AG8014" t="s">
        <v>48387</v>
      </c>
      <c r="AH8014" t="s">
        <v>48388</v>
      </c>
      <c r="AI8014" t="s">
        <v>48389</v>
      </c>
    </row>
    <row r="8015" spans="2:35" ht="285">
      <c r="B8015" s="1">
        <v>45063</v>
      </c>
      <c r="C8015" s="4">
        <v>45063.601388888892</v>
      </c>
      <c r="D8015" t="s">
        <v>1652</v>
      </c>
      <c r="E8015" t="s">
        <v>1653</v>
      </c>
      <c r="F8015">
        <v>8</v>
      </c>
      <c r="G8015" t="s">
        <v>342</v>
      </c>
      <c r="H8015" t="s">
        <v>39</v>
      </c>
      <c r="I8015" t="s">
        <v>94</v>
      </c>
      <c r="J8015" s="2" t="s">
        <v>41</v>
      </c>
      <c r="K8015" t="s">
        <v>42</v>
      </c>
      <c r="L8015" t="s">
        <v>343</v>
      </c>
      <c r="Q8015">
        <v>24550</v>
      </c>
      <c r="R8015" t="s">
        <v>45</v>
      </c>
      <c r="S8015" t="s">
        <v>1654</v>
      </c>
      <c r="T8015">
        <v>27</v>
      </c>
      <c r="U8015" s="2" t="s">
        <v>48390</v>
      </c>
      <c r="V8015" s="1">
        <v>45063</v>
      </c>
      <c r="W8015" t="s">
        <v>6105</v>
      </c>
      <c r="X8015">
        <v>804253</v>
      </c>
      <c r="Y8015" t="s">
        <v>16232</v>
      </c>
      <c r="Z8015" t="s">
        <v>48391</v>
      </c>
      <c r="AA8015" t="e">
        <f ca="1">-module Replacement
-Preventive Maintenance</f>
        <v>#NAME?</v>
      </c>
      <c r="AB8015" t="s">
        <v>7886</v>
      </c>
      <c r="AD8015" t="s">
        <v>48392</v>
      </c>
      <c r="AE8015" t="s">
        <v>45</v>
      </c>
      <c r="AG8015" t="s">
        <v>48393</v>
      </c>
      <c r="AH8015" t="s">
        <v>1659</v>
      </c>
      <c r="AI8015" t="s">
        <v>48394</v>
      </c>
    </row>
    <row r="8016" spans="2:35" ht="360">
      <c r="B8016" s="1">
        <v>45063</v>
      </c>
      <c r="C8016" s="4">
        <v>45063.524305555555</v>
      </c>
      <c r="D8016" t="s">
        <v>985</v>
      </c>
      <c r="E8016" t="s">
        <v>48395</v>
      </c>
      <c r="F8016" t="s">
        <v>148</v>
      </c>
      <c r="G8016" t="s">
        <v>785</v>
      </c>
      <c r="H8016" t="s">
        <v>39</v>
      </c>
      <c r="I8016" t="s">
        <v>40</v>
      </c>
      <c r="J8016" s="2" t="s">
        <v>760</v>
      </c>
      <c r="K8016" t="s">
        <v>42</v>
      </c>
      <c r="L8016" t="s">
        <v>761</v>
      </c>
      <c r="Q8016">
        <v>24549</v>
      </c>
      <c r="R8016" t="s">
        <v>45</v>
      </c>
      <c r="S8016" t="s">
        <v>46451</v>
      </c>
      <c r="T8016">
        <v>25</v>
      </c>
      <c r="V8016" s="1">
        <v>45063</v>
      </c>
      <c r="W8016" t="s">
        <v>360</v>
      </c>
      <c r="X8016">
        <v>805010</v>
      </c>
      <c r="Y8016" t="s">
        <v>48396</v>
      </c>
      <c r="Z8016" s="2" t="s">
        <v>48397</v>
      </c>
      <c r="AA8016" t="s">
        <v>48398</v>
      </c>
      <c r="AB8016" t="s">
        <v>181</v>
      </c>
      <c r="AC8016" t="s">
        <v>48399</v>
      </c>
      <c r="AG8016" t="s">
        <v>48400</v>
      </c>
      <c r="AH8016" t="s">
        <v>48401</v>
      </c>
      <c r="AI8016" t="s">
        <v>48402</v>
      </c>
    </row>
    <row r="8017" spans="2:35" ht="405">
      <c r="B8017" s="1">
        <v>45063</v>
      </c>
      <c r="C8017" s="4">
        <v>45063.557638888888</v>
      </c>
      <c r="D8017" t="s">
        <v>26665</v>
      </c>
      <c r="E8017" t="s">
        <v>48403</v>
      </c>
      <c r="F8017">
        <v>11</v>
      </c>
      <c r="G8017" t="s">
        <v>1205</v>
      </c>
      <c r="H8017" t="s">
        <v>1047</v>
      </c>
      <c r="I8017" t="s">
        <v>40</v>
      </c>
      <c r="J8017" s="2" t="s">
        <v>190</v>
      </c>
      <c r="K8017" t="s">
        <v>42</v>
      </c>
      <c r="L8017" t="s">
        <v>204</v>
      </c>
      <c r="Q8017">
        <v>24548</v>
      </c>
      <c r="R8017" t="s">
        <v>719</v>
      </c>
      <c r="S8017" t="s">
        <v>26667</v>
      </c>
      <c r="T8017">
        <v>27.8</v>
      </c>
      <c r="W8017" t="s">
        <v>9206</v>
      </c>
      <c r="X8017">
        <v>848248</v>
      </c>
      <c r="Y8017" t="s">
        <v>48404</v>
      </c>
      <c r="Z8017" s="2" t="s">
        <v>48405</v>
      </c>
      <c r="AA8017" t="s">
        <v>48406</v>
      </c>
      <c r="AB8017" t="s">
        <v>48407</v>
      </c>
      <c r="AC8017" t="s">
        <v>48408</v>
      </c>
      <c r="AG8017" t="s">
        <v>48409</v>
      </c>
      <c r="AH8017" t="s">
        <v>48410</v>
      </c>
      <c r="AI8017" t="s">
        <v>48411</v>
      </c>
    </row>
    <row r="8018" spans="2:35" ht="210">
      <c r="B8018" s="1">
        <v>45063</v>
      </c>
      <c r="C8018" s="4">
        <v>45063.552777777775</v>
      </c>
      <c r="D8018" t="s">
        <v>48412</v>
      </c>
      <c r="E8018" t="s">
        <v>48413</v>
      </c>
      <c r="F8018">
        <v>3</v>
      </c>
      <c r="G8018" t="s">
        <v>174</v>
      </c>
      <c r="H8018" t="s">
        <v>39</v>
      </c>
      <c r="I8018" t="s">
        <v>40</v>
      </c>
      <c r="J8018" s="2" t="s">
        <v>760</v>
      </c>
      <c r="K8018" t="s">
        <v>42</v>
      </c>
      <c r="L8018" t="s">
        <v>175</v>
      </c>
      <c r="Q8018">
        <v>24547</v>
      </c>
      <c r="R8018" t="s">
        <v>45</v>
      </c>
      <c r="S8018" t="s">
        <v>29772</v>
      </c>
      <c r="T8018">
        <v>25</v>
      </c>
      <c r="U8018" s="2" t="s">
        <v>24107</v>
      </c>
      <c r="V8018" s="1">
        <v>45063</v>
      </c>
      <c r="W8018" t="s">
        <v>84</v>
      </c>
      <c r="X8018">
        <v>838872</v>
      </c>
      <c r="Y8018" t="e">
        <f ca="1">- monitor _xludf.For Replacement
- Back up Unit is defective (Lenovo Laptop SN: CPH1019F03266)</f>
        <v>#NAME?</v>
      </c>
      <c r="Z8018" t="e">
        <f ca="1">- replaced monitor
- generated reports
- performed _xludf.Power on test on Laptop (_xludf.not working _xludf.and _xludf.not charging)</f>
        <v>#NAME?</v>
      </c>
      <c r="AA8018" t="e">
        <f ca="1">- replaced monitor
- Troubleshoot Back up Laptop</f>
        <v>#NAME?</v>
      </c>
      <c r="AB8018" s="2" t="s">
        <v>48414</v>
      </c>
      <c r="AD8018" s="2" t="s">
        <v>48415</v>
      </c>
      <c r="AE8018" t="s">
        <v>103</v>
      </c>
      <c r="AG8018" t="s">
        <v>48416</v>
      </c>
      <c r="AH8018" t="s">
        <v>48417</v>
      </c>
      <c r="AI8018" t="s">
        <v>48418</v>
      </c>
    </row>
    <row r="8019" spans="2:35" ht="315">
      <c r="B8019" s="1">
        <v>45063</v>
      </c>
      <c r="C8019" s="4">
        <v>45063.537499999999</v>
      </c>
      <c r="D8019" t="s">
        <v>4534</v>
      </c>
      <c r="E8019" t="s">
        <v>47200</v>
      </c>
      <c r="F8019">
        <v>1</v>
      </c>
      <c r="G8019" t="s">
        <v>1046</v>
      </c>
      <c r="H8019" t="s">
        <v>1047</v>
      </c>
      <c r="I8019" t="s">
        <v>40</v>
      </c>
      <c r="J8019" s="2" t="s">
        <v>41</v>
      </c>
      <c r="K8019" t="s">
        <v>42</v>
      </c>
      <c r="L8019" t="s">
        <v>135</v>
      </c>
      <c r="Q8019">
        <v>24546</v>
      </c>
      <c r="R8019" t="s">
        <v>45</v>
      </c>
      <c r="S8019" t="s">
        <v>4536</v>
      </c>
      <c r="T8019">
        <v>30</v>
      </c>
      <c r="U8019" s="2" t="s">
        <v>48419</v>
      </c>
      <c r="V8019" s="1">
        <v>45061</v>
      </c>
      <c r="W8019" t="s">
        <v>2680</v>
      </c>
      <c r="X8019">
        <v>808283</v>
      </c>
      <c r="Y8019" t="s">
        <v>48420</v>
      </c>
      <c r="Z8019" t="s">
        <v>5712</v>
      </c>
      <c r="AA8019" s="2" t="s">
        <v>47997</v>
      </c>
      <c r="AB8019" t="s">
        <v>181</v>
      </c>
      <c r="AD8019" t="s">
        <v>22730</v>
      </c>
      <c r="AE8019">
        <v>40828</v>
      </c>
      <c r="AG8019" t="s">
        <v>48421</v>
      </c>
      <c r="AH8019" t="s">
        <v>41006</v>
      </c>
      <c r="AI8019" t="s">
        <v>48422</v>
      </c>
    </row>
    <row r="8020" spans="2:35" ht="375">
      <c r="B8020" s="1">
        <v>45063</v>
      </c>
      <c r="C8020" s="4">
        <v>45063.354166666664</v>
      </c>
      <c r="D8020" t="s">
        <v>48423</v>
      </c>
      <c r="E8020" t="s">
        <v>35126</v>
      </c>
      <c r="F8020">
        <v>3</v>
      </c>
      <c r="G8020" t="s">
        <v>730</v>
      </c>
      <c r="H8020" t="s">
        <v>202</v>
      </c>
      <c r="I8020" t="s">
        <v>40</v>
      </c>
      <c r="J8020" s="2" t="s">
        <v>62</v>
      </c>
      <c r="K8020" t="s">
        <v>42</v>
      </c>
      <c r="L8020" t="s">
        <v>135</v>
      </c>
      <c r="Q8020">
        <v>24545</v>
      </c>
      <c r="R8020" t="s">
        <v>119</v>
      </c>
      <c r="S8020" t="s">
        <v>24890</v>
      </c>
      <c r="T8020">
        <v>27</v>
      </c>
      <c r="U8020" s="2" t="s">
        <v>48424</v>
      </c>
      <c r="W8020" t="s">
        <v>2680</v>
      </c>
      <c r="X8020">
        <v>831669</v>
      </c>
      <c r="Y8020" t="s">
        <v>48425</v>
      </c>
      <c r="Z8020" s="2" t="s">
        <v>48426</v>
      </c>
      <c r="AA8020" s="2" t="s">
        <v>45125</v>
      </c>
      <c r="AB8020" t="s">
        <v>181</v>
      </c>
      <c r="AC8020" t="s">
        <v>48427</v>
      </c>
      <c r="AG8020" t="s">
        <v>48428</v>
      </c>
      <c r="AH8020" t="s">
        <v>24893</v>
      </c>
      <c r="AI8020" t="s">
        <v>48429</v>
      </c>
    </row>
    <row r="8021" spans="2:35" ht="165">
      <c r="B8021" s="1">
        <v>45063</v>
      </c>
      <c r="C8021" s="4">
        <v>45063.511805555558</v>
      </c>
      <c r="D8021" t="s">
        <v>6682</v>
      </c>
      <c r="E8021" t="s">
        <v>48430</v>
      </c>
      <c r="F8021" t="s">
        <v>37</v>
      </c>
      <c r="G8021" t="s">
        <v>78</v>
      </c>
      <c r="H8021" t="s">
        <v>39</v>
      </c>
      <c r="I8021" t="s">
        <v>40</v>
      </c>
      <c r="J8021" s="2" t="s">
        <v>41</v>
      </c>
      <c r="K8021" t="s">
        <v>42</v>
      </c>
      <c r="L8021" t="s">
        <v>1943</v>
      </c>
      <c r="Q8021">
        <v>24544</v>
      </c>
      <c r="R8021" t="s">
        <v>45</v>
      </c>
      <c r="S8021" t="s">
        <v>43789</v>
      </c>
      <c r="T8021">
        <v>25</v>
      </c>
      <c r="U8021" s="2" t="s">
        <v>48431</v>
      </c>
      <c r="V8021" s="1">
        <v>45062</v>
      </c>
      <c r="W8021" t="s">
        <v>84</v>
      </c>
      <c r="X8021">
        <v>807570</v>
      </c>
      <c r="Y8021" s="2" t="s">
        <v>30687</v>
      </c>
      <c r="Z8021" s="2" t="s">
        <v>48432</v>
      </c>
      <c r="AA8021" t="s">
        <v>22330</v>
      </c>
      <c r="AB8021" t="s">
        <v>88</v>
      </c>
      <c r="AD8021" t="s">
        <v>48433</v>
      </c>
      <c r="AE8021" t="s">
        <v>48434</v>
      </c>
      <c r="AG8021" t="s">
        <v>48435</v>
      </c>
      <c r="AH8021" t="s">
        <v>43794</v>
      </c>
      <c r="AI8021" t="s">
        <v>48436</v>
      </c>
    </row>
    <row r="8022" spans="2:35" ht="180">
      <c r="B8022" s="1">
        <v>45063</v>
      </c>
      <c r="C8022" s="4">
        <v>45063.48333333333</v>
      </c>
      <c r="D8022" t="s">
        <v>340</v>
      </c>
      <c r="E8022" t="s">
        <v>8453</v>
      </c>
      <c r="F8022">
        <v>8</v>
      </c>
      <c r="G8022" t="s">
        <v>342</v>
      </c>
      <c r="H8022" t="s">
        <v>202</v>
      </c>
      <c r="I8022" t="s">
        <v>40</v>
      </c>
      <c r="J8022" t="s">
        <v>109</v>
      </c>
      <c r="K8022" t="s">
        <v>42</v>
      </c>
      <c r="L8022" t="s">
        <v>259</v>
      </c>
      <c r="Q8022">
        <v>24543</v>
      </c>
      <c r="R8022" t="s">
        <v>119</v>
      </c>
      <c r="S8022" t="s">
        <v>345</v>
      </c>
      <c r="T8022">
        <v>28</v>
      </c>
      <c r="U8022" s="2" t="s">
        <v>48437</v>
      </c>
      <c r="V8022" s="1">
        <v>45063</v>
      </c>
      <c r="W8022" t="s">
        <v>84</v>
      </c>
      <c r="X8022">
        <v>838555</v>
      </c>
      <c r="Y8022" t="e">
        <f ca="1">- A1 _xludf.and A3 temperature _xludf.error</f>
        <v>#NAME?</v>
      </c>
      <c r="Z8022" t="e">
        <f ca="1">- performed XpertCheck (A1 _xludf.and A3)
- performed Preventive
- Generate reports</f>
        <v>#NAME?</v>
      </c>
      <c r="AA8022" t="e">
        <f ca="1">- XpertCheck CALIBRATION
- Preventive Maintenance</f>
        <v>#NAME?</v>
      </c>
      <c r="AB8022" t="s">
        <v>70</v>
      </c>
      <c r="AD8022" t="s">
        <v>39510</v>
      </c>
      <c r="AE8022" t="s">
        <v>54</v>
      </c>
      <c r="AG8022" t="s">
        <v>48438</v>
      </c>
      <c r="AH8022" t="s">
        <v>48439</v>
      </c>
      <c r="AI8022" t="s">
        <v>48440</v>
      </c>
    </row>
    <row r="8023" spans="2:35" ht="409.5">
      <c r="B8023" s="1">
        <v>45063</v>
      </c>
      <c r="C8023" s="4">
        <v>45063.466666666667</v>
      </c>
      <c r="D8023" t="s">
        <v>4553</v>
      </c>
      <c r="E8023" t="s">
        <v>48441</v>
      </c>
      <c r="F8023" t="s">
        <v>148</v>
      </c>
      <c r="G8023" t="s">
        <v>149</v>
      </c>
      <c r="H8023" t="s">
        <v>39</v>
      </c>
      <c r="I8023" t="s">
        <v>40</v>
      </c>
      <c r="J8023" s="2" t="s">
        <v>41</v>
      </c>
      <c r="K8023" t="s">
        <v>42</v>
      </c>
      <c r="L8023" t="s">
        <v>1048</v>
      </c>
      <c r="Q8023">
        <v>24542</v>
      </c>
      <c r="R8023" t="s">
        <v>119</v>
      </c>
      <c r="S8023" t="s">
        <v>4555</v>
      </c>
      <c r="T8023">
        <v>29</v>
      </c>
      <c r="U8023" s="2" t="s">
        <v>48442</v>
      </c>
      <c r="V8023" s="1">
        <v>45062</v>
      </c>
      <c r="W8023" t="s">
        <v>2384</v>
      </c>
      <c r="X8023">
        <v>831598</v>
      </c>
      <c r="Y8023" s="2" t="s">
        <v>48443</v>
      </c>
      <c r="Z8023" s="2" t="s">
        <v>48444</v>
      </c>
      <c r="AA8023" t="e">
        <f ca="1">-PERFORM Preventive Maintenance
-_xludf.Replace module
-removed stuck cartridge</f>
        <v>#NAME?</v>
      </c>
      <c r="AB8023" t="s">
        <v>181</v>
      </c>
      <c r="AC8023" t="s">
        <v>48445</v>
      </c>
      <c r="AD8023" t="s">
        <v>48446</v>
      </c>
      <c r="AE8023" t="s">
        <v>48447</v>
      </c>
      <c r="AG8023" t="s">
        <v>48448</v>
      </c>
      <c r="AH8023" t="s">
        <v>4559</v>
      </c>
      <c r="AI8023" t="s">
        <v>48449</v>
      </c>
    </row>
    <row r="8024" spans="2:35" ht="255">
      <c r="B8024" s="1">
        <v>45063</v>
      </c>
      <c r="C8024" s="4">
        <v>45063.443055555559</v>
      </c>
      <c r="D8024" t="s">
        <v>4561</v>
      </c>
      <c r="E8024" t="s">
        <v>48450</v>
      </c>
      <c r="F8024" t="s">
        <v>148</v>
      </c>
      <c r="G8024" t="s">
        <v>447</v>
      </c>
      <c r="H8024" t="s">
        <v>39</v>
      </c>
      <c r="I8024" t="s">
        <v>40</v>
      </c>
      <c r="J8024" s="2" t="s">
        <v>62</v>
      </c>
      <c r="K8024" t="s">
        <v>42</v>
      </c>
      <c r="L8024" t="s">
        <v>15532</v>
      </c>
      <c r="Q8024">
        <v>24541</v>
      </c>
      <c r="R8024" t="s">
        <v>45</v>
      </c>
      <c r="S8024" t="s">
        <v>48451</v>
      </c>
      <c r="T8024">
        <v>30</v>
      </c>
      <c r="U8024" s="2" t="s">
        <v>48452</v>
      </c>
      <c r="V8024" s="1">
        <v>45062</v>
      </c>
      <c r="W8024" t="s">
        <v>6776</v>
      </c>
      <c r="X8024">
        <v>804688</v>
      </c>
      <c r="Y8024" t="s">
        <v>998</v>
      </c>
      <c r="Z8024" t="e">
        <f ca="1">-checked &amp; cleaned cartridge bay, plunger rod, icore slot, _xludf.filter
-performed XpertCheck
-tightened monitor cable
-generated reports</f>
        <v>#NAME?</v>
      </c>
      <c r="AA8024" t="s">
        <v>999</v>
      </c>
      <c r="AB8024" s="2" t="s">
        <v>48453</v>
      </c>
      <c r="AD8024" t="s">
        <v>7189</v>
      </c>
      <c r="AE8024" t="s">
        <v>48454</v>
      </c>
      <c r="AG8024" t="s">
        <v>48455</v>
      </c>
      <c r="AH8024" t="s">
        <v>43753</v>
      </c>
      <c r="AI8024" t="s">
        <v>48456</v>
      </c>
    </row>
    <row r="8025" spans="2:35" ht="120">
      <c r="B8025" s="1">
        <v>45063</v>
      </c>
      <c r="C8025" s="4">
        <v>45063.425000000003</v>
      </c>
      <c r="D8025" t="s">
        <v>23656</v>
      </c>
      <c r="E8025" t="s">
        <v>48120</v>
      </c>
      <c r="F8025" t="s">
        <v>37</v>
      </c>
      <c r="G8025" t="s">
        <v>78</v>
      </c>
      <c r="H8025" t="s">
        <v>39</v>
      </c>
      <c r="I8025" t="s">
        <v>40</v>
      </c>
      <c r="J8025" s="2" t="s">
        <v>41</v>
      </c>
      <c r="K8025" t="s">
        <v>42</v>
      </c>
      <c r="L8025" t="s">
        <v>1943</v>
      </c>
      <c r="Q8025">
        <v>24540</v>
      </c>
      <c r="R8025" t="s">
        <v>45</v>
      </c>
      <c r="S8025" t="s">
        <v>23658</v>
      </c>
      <c r="T8025">
        <v>25</v>
      </c>
      <c r="U8025" s="2" t="s">
        <v>48121</v>
      </c>
      <c r="V8025" s="1">
        <v>45061</v>
      </c>
      <c r="W8025" t="s">
        <v>84</v>
      </c>
      <c r="X8025">
        <v>838447</v>
      </c>
      <c r="Y8025" s="2" t="s">
        <v>22466</v>
      </c>
      <c r="Z8025" s="2" t="s">
        <v>48122</v>
      </c>
      <c r="AA8025" t="s">
        <v>22330</v>
      </c>
      <c r="AB8025" t="s">
        <v>88</v>
      </c>
      <c r="AD8025" t="s">
        <v>48123</v>
      </c>
      <c r="AE8025" t="s">
        <v>48124</v>
      </c>
      <c r="AG8025" t="s">
        <v>48457</v>
      </c>
      <c r="AH8025" t="s">
        <v>23662</v>
      </c>
      <c r="AI8025" t="s">
        <v>48458</v>
      </c>
    </row>
    <row r="8026" spans="2:35" ht="255">
      <c r="B8026" s="1">
        <v>45063</v>
      </c>
      <c r="C8026" s="4">
        <v>45062.640972222223</v>
      </c>
      <c r="D8026" t="s">
        <v>30119</v>
      </c>
      <c r="E8026" t="s">
        <v>48459</v>
      </c>
      <c r="F8026">
        <v>12</v>
      </c>
      <c r="G8026" t="s">
        <v>294</v>
      </c>
      <c r="H8026" t="s">
        <v>39</v>
      </c>
      <c r="I8026" t="s">
        <v>94</v>
      </c>
      <c r="J8026" s="2" t="s">
        <v>41</v>
      </c>
      <c r="K8026" t="s">
        <v>42</v>
      </c>
      <c r="L8026" t="s">
        <v>296</v>
      </c>
      <c r="Q8026">
        <v>24539</v>
      </c>
      <c r="R8026" t="s">
        <v>719</v>
      </c>
      <c r="S8026" t="s">
        <v>48460</v>
      </c>
      <c r="T8026">
        <v>25.5</v>
      </c>
      <c r="U8026" s="2" t="s">
        <v>48461</v>
      </c>
      <c r="V8026" s="1">
        <v>45062</v>
      </c>
      <c r="W8026" t="s">
        <v>23049</v>
      </c>
      <c r="X8026">
        <v>847257</v>
      </c>
      <c r="Y8026" t="s">
        <v>48462</v>
      </c>
      <c r="Z8026" s="2" t="s">
        <v>48463</v>
      </c>
      <c r="AA8026" s="2" t="s">
        <v>48463</v>
      </c>
      <c r="AB8026" t="s">
        <v>972</v>
      </c>
      <c r="AD8026" t="s">
        <v>37959</v>
      </c>
      <c r="AE8026" t="s">
        <v>10783</v>
      </c>
      <c r="AG8026" t="s">
        <v>48464</v>
      </c>
      <c r="AH8026" t="s">
        <v>48465</v>
      </c>
      <c r="AI8026" t="s">
        <v>48466</v>
      </c>
    </row>
    <row r="8027" spans="2:35" ht="409.5">
      <c r="B8027" s="1">
        <v>45062</v>
      </c>
      <c r="C8027" s="4">
        <v>45062.531944444447</v>
      </c>
      <c r="D8027" t="s">
        <v>22725</v>
      </c>
      <c r="E8027" t="s">
        <v>48467</v>
      </c>
      <c r="F8027">
        <v>1</v>
      </c>
      <c r="G8027" t="s">
        <v>1046</v>
      </c>
      <c r="H8027" t="s">
        <v>202</v>
      </c>
      <c r="I8027" t="s">
        <v>40</v>
      </c>
      <c r="J8027" s="2" t="s">
        <v>62</v>
      </c>
      <c r="K8027" t="s">
        <v>42</v>
      </c>
      <c r="L8027" t="s">
        <v>135</v>
      </c>
      <c r="Q8027">
        <v>24538</v>
      </c>
      <c r="R8027" t="s">
        <v>45</v>
      </c>
      <c r="S8027" t="s">
        <v>25095</v>
      </c>
      <c r="T8027">
        <v>30</v>
      </c>
      <c r="U8027" s="2" t="s">
        <v>8432</v>
      </c>
      <c r="W8027" t="s">
        <v>2680</v>
      </c>
      <c r="X8027">
        <v>815349</v>
      </c>
      <c r="Y8027" s="2" t="s">
        <v>48468</v>
      </c>
      <c r="Z8027" s="2" t="s">
        <v>28879</v>
      </c>
      <c r="AA8027" s="2" t="s">
        <v>31375</v>
      </c>
      <c r="AB8027" t="s">
        <v>41636</v>
      </c>
      <c r="AC8027" t="s">
        <v>48469</v>
      </c>
      <c r="AG8027" t="s">
        <v>48470</v>
      </c>
      <c r="AH8027" t="s">
        <v>22732</v>
      </c>
      <c r="AI8027" t="s">
        <v>48471</v>
      </c>
    </row>
    <row r="8028" spans="2:35" ht="240">
      <c r="B8028" s="1">
        <v>45062</v>
      </c>
      <c r="C8028" s="4">
        <v>45057.447222222225</v>
      </c>
      <c r="D8028" t="s">
        <v>15729</v>
      </c>
      <c r="E8028" t="s">
        <v>40124</v>
      </c>
      <c r="F8028" t="s">
        <v>511</v>
      </c>
      <c r="G8028" t="s">
        <v>15731</v>
      </c>
      <c r="H8028" t="s">
        <v>39</v>
      </c>
      <c r="I8028" t="s">
        <v>40</v>
      </c>
      <c r="J8028" s="2" t="s">
        <v>1592</v>
      </c>
      <c r="K8028" t="s">
        <v>42</v>
      </c>
      <c r="L8028" t="s">
        <v>63</v>
      </c>
      <c r="Q8028">
        <v>24535</v>
      </c>
      <c r="R8028" t="s">
        <v>45</v>
      </c>
      <c r="S8028" t="s">
        <v>15732</v>
      </c>
      <c r="T8028">
        <v>23</v>
      </c>
      <c r="U8028" s="2" t="s">
        <v>48472</v>
      </c>
      <c r="V8028" s="1">
        <v>45057</v>
      </c>
      <c r="W8028" t="s">
        <v>26915</v>
      </c>
      <c r="X8028">
        <v>807622</v>
      </c>
      <c r="Y8028" s="2" t="s">
        <v>48473</v>
      </c>
      <c r="Z8028" t="s">
        <v>48474</v>
      </c>
      <c r="AA8028" s="2" t="s">
        <v>39935</v>
      </c>
      <c r="AB8028" t="s">
        <v>70</v>
      </c>
      <c r="AC8028" t="s">
        <v>48475</v>
      </c>
      <c r="AD8028" t="s">
        <v>48476</v>
      </c>
      <c r="AE8028" t="s">
        <v>1716</v>
      </c>
      <c r="AG8028" t="s">
        <v>48477</v>
      </c>
      <c r="AH8028" t="s">
        <v>16549</v>
      </c>
      <c r="AI8028" t="s">
        <v>48478</v>
      </c>
    </row>
    <row r="8029" spans="2:35" ht="225">
      <c r="B8029" s="1">
        <v>45062</v>
      </c>
      <c r="C8029" s="4">
        <v>45057.456944444442</v>
      </c>
      <c r="D8029" t="s">
        <v>15729</v>
      </c>
      <c r="E8029" t="s">
        <v>40124</v>
      </c>
      <c r="F8029" t="s">
        <v>511</v>
      </c>
      <c r="G8029" t="s">
        <v>15731</v>
      </c>
      <c r="H8029" t="s">
        <v>46722</v>
      </c>
      <c r="I8029" t="s">
        <v>40</v>
      </c>
      <c r="J8029" s="2" t="s">
        <v>62</v>
      </c>
      <c r="K8029" t="s">
        <v>42</v>
      </c>
      <c r="L8029" t="s">
        <v>63</v>
      </c>
      <c r="Q8029">
        <v>24536</v>
      </c>
      <c r="R8029" t="s">
        <v>119</v>
      </c>
      <c r="S8029" t="s">
        <v>15732</v>
      </c>
      <c r="T8029">
        <v>23</v>
      </c>
      <c r="U8029" s="2" t="s">
        <v>48479</v>
      </c>
      <c r="V8029" s="1">
        <v>44971</v>
      </c>
      <c r="W8029" t="s">
        <v>26915</v>
      </c>
      <c r="X8029">
        <v>838466</v>
      </c>
      <c r="Y8029" t="s">
        <v>48480</v>
      </c>
      <c r="Z8029" t="s">
        <v>34204</v>
      </c>
      <c r="AA8029" s="2" t="s">
        <v>38119</v>
      </c>
      <c r="AB8029" t="s">
        <v>70</v>
      </c>
      <c r="AC8029" t="s">
        <v>48481</v>
      </c>
      <c r="AD8029" t="s">
        <v>46113</v>
      </c>
      <c r="AE8029">
        <v>9627</v>
      </c>
      <c r="AG8029" t="s">
        <v>48482</v>
      </c>
      <c r="AH8029" t="s">
        <v>16549</v>
      </c>
      <c r="AI8029" t="s">
        <v>48483</v>
      </c>
    </row>
    <row r="8030" spans="2:35" ht="300">
      <c r="B8030" s="1">
        <v>45062</v>
      </c>
      <c r="C8030" s="4">
        <v>45062.659722222219</v>
      </c>
      <c r="D8030" t="s">
        <v>48484</v>
      </c>
      <c r="E8030" t="s">
        <v>48485</v>
      </c>
      <c r="F8030">
        <v>3</v>
      </c>
      <c r="G8030" t="s">
        <v>1722</v>
      </c>
      <c r="H8030" t="s">
        <v>39</v>
      </c>
      <c r="I8030" t="s">
        <v>40</v>
      </c>
      <c r="J8030" s="2" t="s">
        <v>3198</v>
      </c>
      <c r="K8030" t="s">
        <v>42</v>
      </c>
      <c r="L8030" t="s">
        <v>63</v>
      </c>
      <c r="Q8030">
        <v>24537</v>
      </c>
      <c r="R8030" t="s">
        <v>119</v>
      </c>
      <c r="S8030" t="s">
        <v>35461</v>
      </c>
      <c r="T8030">
        <v>29</v>
      </c>
      <c r="U8030" s="2" t="s">
        <v>48486</v>
      </c>
      <c r="V8030" s="1">
        <v>45062</v>
      </c>
      <c r="W8030" t="s">
        <v>26915</v>
      </c>
      <c r="X8030">
        <v>831673</v>
      </c>
      <c r="Y8030" t="s">
        <v>48487</v>
      </c>
      <c r="Z8030" t="s">
        <v>48488</v>
      </c>
      <c r="AA8030" s="2" t="s">
        <v>48489</v>
      </c>
      <c r="AB8030" t="s">
        <v>70</v>
      </c>
      <c r="AC8030" t="s">
        <v>48490</v>
      </c>
      <c r="AD8030" t="s">
        <v>32127</v>
      </c>
      <c r="AE8030" t="s">
        <v>1716</v>
      </c>
      <c r="AG8030" t="s">
        <v>48491</v>
      </c>
      <c r="AH8030" t="s">
        <v>41736</v>
      </c>
      <c r="AI8030" t="s">
        <v>48492</v>
      </c>
    </row>
    <row r="8031" spans="2:35" ht="210">
      <c r="B8031" s="1">
        <v>45062</v>
      </c>
      <c r="C8031" s="4">
        <v>45062.659722222219</v>
      </c>
      <c r="D8031" t="s">
        <v>48493</v>
      </c>
      <c r="E8031" t="s">
        <v>48395</v>
      </c>
      <c r="F8031" t="s">
        <v>148</v>
      </c>
      <c r="G8031" t="s">
        <v>785</v>
      </c>
      <c r="H8031" t="s">
        <v>39</v>
      </c>
      <c r="I8031" t="s">
        <v>40</v>
      </c>
      <c r="J8031" s="2" t="s">
        <v>41</v>
      </c>
      <c r="K8031" t="s">
        <v>42</v>
      </c>
      <c r="L8031" t="s">
        <v>761</v>
      </c>
      <c r="Q8031">
        <v>24534</v>
      </c>
      <c r="R8031" t="s">
        <v>45</v>
      </c>
      <c r="S8031" t="s">
        <v>3562</v>
      </c>
      <c r="T8031">
        <v>25</v>
      </c>
      <c r="U8031" s="2" t="s">
        <v>48494</v>
      </c>
      <c r="V8031" s="1">
        <v>45062</v>
      </c>
      <c r="W8031" t="s">
        <v>360</v>
      </c>
      <c r="X8031">
        <v>805010</v>
      </c>
      <c r="Y8031" t="s">
        <v>1924</v>
      </c>
      <c r="Z8031" s="2" t="s">
        <v>48495</v>
      </c>
      <c r="AA8031" t="s">
        <v>820</v>
      </c>
      <c r="AB8031" t="s">
        <v>181</v>
      </c>
      <c r="AD8031" t="s">
        <v>48496</v>
      </c>
      <c r="AE8031" t="s">
        <v>48497</v>
      </c>
      <c r="AG8031" t="s">
        <v>48498</v>
      </c>
      <c r="AH8031" t="s">
        <v>48499</v>
      </c>
      <c r="AI8031" t="s">
        <v>48500</v>
      </c>
    </row>
    <row r="8032" spans="2:35" ht="105">
      <c r="B8032" s="1">
        <v>45062</v>
      </c>
      <c r="C8032" s="4">
        <v>45062.617361111108</v>
      </c>
      <c r="D8032" t="s">
        <v>9682</v>
      </c>
      <c r="E8032" t="s">
        <v>13246</v>
      </c>
      <c r="F8032">
        <v>9</v>
      </c>
      <c r="G8032" t="s">
        <v>2197</v>
      </c>
      <c r="H8032" t="s">
        <v>39</v>
      </c>
      <c r="I8032" t="s">
        <v>40</v>
      </c>
      <c r="J8032" s="2" t="s">
        <v>62</v>
      </c>
      <c r="K8032" t="s">
        <v>42</v>
      </c>
      <c r="L8032" t="s">
        <v>1257</v>
      </c>
      <c r="Q8032">
        <v>24533</v>
      </c>
      <c r="R8032" t="s">
        <v>119</v>
      </c>
      <c r="S8032" t="s">
        <v>13247</v>
      </c>
      <c r="T8032">
        <v>27</v>
      </c>
      <c r="U8032" s="2" t="s">
        <v>26824</v>
      </c>
      <c r="V8032" s="1">
        <v>45062</v>
      </c>
      <c r="W8032" t="s">
        <v>2384</v>
      </c>
      <c r="X8032">
        <v>838568</v>
      </c>
      <c r="Y8032" t="s">
        <v>48501</v>
      </c>
      <c r="Z8032" t="s">
        <v>48502</v>
      </c>
      <c r="AA8032" t="s">
        <v>39624</v>
      </c>
      <c r="AB8032" t="s">
        <v>48503</v>
      </c>
      <c r="AC8032" t="s">
        <v>301</v>
      </c>
      <c r="AD8032" t="s">
        <v>54</v>
      </c>
      <c r="AE8032" t="s">
        <v>54</v>
      </c>
      <c r="AG8032" t="s">
        <v>48504</v>
      </c>
      <c r="AH8032" t="s">
        <v>13254</v>
      </c>
      <c r="AI8032" t="s">
        <v>48505</v>
      </c>
    </row>
    <row r="8033" spans="2:35" ht="315">
      <c r="B8033" s="1">
        <v>45062</v>
      </c>
      <c r="C8033" s="4">
        <v>45062.574999999997</v>
      </c>
      <c r="D8033" t="s">
        <v>7459</v>
      </c>
      <c r="E8033" t="s">
        <v>48506</v>
      </c>
      <c r="F8033">
        <v>11</v>
      </c>
      <c r="G8033" t="s">
        <v>1205</v>
      </c>
      <c r="H8033" t="s">
        <v>202</v>
      </c>
      <c r="I8033" t="s">
        <v>40</v>
      </c>
      <c r="J8033" t="s">
        <v>109</v>
      </c>
      <c r="K8033" t="s">
        <v>42</v>
      </c>
      <c r="L8033" t="s">
        <v>204</v>
      </c>
      <c r="Q8033">
        <v>24532</v>
      </c>
      <c r="R8033" t="s">
        <v>119</v>
      </c>
      <c r="S8033" t="s">
        <v>48507</v>
      </c>
      <c r="T8033">
        <v>25.8</v>
      </c>
      <c r="W8033" t="s">
        <v>1292</v>
      </c>
      <c r="X8033">
        <v>838511</v>
      </c>
      <c r="Y8033" t="s">
        <v>1052</v>
      </c>
      <c r="Z8033" s="2" t="s">
        <v>1321</v>
      </c>
      <c r="AA8033" t="s">
        <v>2551</v>
      </c>
      <c r="AB8033" t="s">
        <v>9590</v>
      </c>
      <c r="AG8033" t="s">
        <v>48508</v>
      </c>
      <c r="AH8033" t="s">
        <v>48509</v>
      </c>
      <c r="AI8033" t="s">
        <v>48510</v>
      </c>
    </row>
    <row r="8034" spans="2:35" ht="180">
      <c r="B8034" s="1">
        <v>45062</v>
      </c>
      <c r="C8034" s="4">
        <v>45062.59375</v>
      </c>
      <c r="D8034" t="s">
        <v>25555</v>
      </c>
      <c r="E8034" t="s">
        <v>24319</v>
      </c>
      <c r="F8034" t="s">
        <v>148</v>
      </c>
      <c r="G8034" t="s">
        <v>310</v>
      </c>
      <c r="H8034" t="s">
        <v>39</v>
      </c>
      <c r="I8034" t="s">
        <v>40</v>
      </c>
      <c r="J8034" s="2" t="s">
        <v>41</v>
      </c>
      <c r="K8034" t="s">
        <v>42</v>
      </c>
      <c r="L8034" t="s">
        <v>175</v>
      </c>
      <c r="Q8034">
        <v>24531</v>
      </c>
      <c r="R8034" t="s">
        <v>45</v>
      </c>
      <c r="S8034" t="s">
        <v>25556</v>
      </c>
      <c r="T8034">
        <v>25</v>
      </c>
      <c r="U8034" s="2" t="s">
        <v>48511</v>
      </c>
      <c r="V8034" s="1">
        <v>45062</v>
      </c>
      <c r="W8034" t="s">
        <v>84</v>
      </c>
      <c r="X8034">
        <v>805067</v>
      </c>
      <c r="Y8034" t="s">
        <v>48512</v>
      </c>
      <c r="Z8034" t="e">
        <f ca="1">- checked _xludf.and cleaned cartridge bay, plunger rod, _xludf.filter
- replaced A2
- generated reports</f>
        <v>#NAME?</v>
      </c>
      <c r="AA8034" t="s">
        <v>39929</v>
      </c>
      <c r="AB8034" t="s">
        <v>88</v>
      </c>
      <c r="AD8034" s="2" t="s">
        <v>48513</v>
      </c>
      <c r="AE8034" t="s">
        <v>103</v>
      </c>
      <c r="AG8034" t="s">
        <v>48514</v>
      </c>
      <c r="AH8034" t="s">
        <v>25560</v>
      </c>
      <c r="AI8034" t="s">
        <v>48515</v>
      </c>
    </row>
    <row r="8035" spans="2:35" ht="285">
      <c r="B8035" s="1">
        <v>45062</v>
      </c>
      <c r="C8035" s="4">
        <v>45062.473611111112</v>
      </c>
      <c r="D8035" t="s">
        <v>43927</v>
      </c>
      <c r="E8035" t="s">
        <v>3706</v>
      </c>
      <c r="F8035">
        <v>3</v>
      </c>
      <c r="G8035" t="s">
        <v>174</v>
      </c>
      <c r="H8035" t="s">
        <v>39</v>
      </c>
      <c r="I8035" t="s">
        <v>40</v>
      </c>
      <c r="J8035" s="2" t="s">
        <v>190</v>
      </c>
      <c r="K8035" t="s">
        <v>42</v>
      </c>
      <c r="L8035" t="s">
        <v>175</v>
      </c>
      <c r="Q8035">
        <v>24530</v>
      </c>
      <c r="R8035" t="s">
        <v>119</v>
      </c>
      <c r="S8035" t="s">
        <v>48516</v>
      </c>
      <c r="T8035">
        <v>25</v>
      </c>
      <c r="U8035" s="2" t="s">
        <v>48517</v>
      </c>
      <c r="V8035" s="1">
        <v>45062</v>
      </c>
      <c r="W8035" t="s">
        <v>84</v>
      </c>
      <c r="X8035">
        <v>831897</v>
      </c>
      <c r="Y8035" t="s">
        <v>48518</v>
      </c>
      <c r="Z8035" t="e">
        <f ca="1">- checked _xludf.and cleaned cartridge bay, plunger rod, _xludf.filter, icore slot
- performed XpertCheck on A3
- generated reports</f>
        <v>#NAME?</v>
      </c>
      <c r="AA8035" t="s">
        <v>48519</v>
      </c>
      <c r="AB8035" s="2" t="s">
        <v>48520</v>
      </c>
      <c r="AD8035" t="s">
        <v>7189</v>
      </c>
      <c r="AE8035" t="s">
        <v>103</v>
      </c>
      <c r="AG8035" t="s">
        <v>48521</v>
      </c>
      <c r="AH8035" t="s">
        <v>43931</v>
      </c>
      <c r="AI8035" t="s">
        <v>48522</v>
      </c>
    </row>
    <row r="8036" spans="2:35" ht="409.5">
      <c r="B8036" s="1">
        <v>45062</v>
      </c>
      <c r="C8036" s="4">
        <v>45062.480555555558</v>
      </c>
      <c r="D8036" t="s">
        <v>2272</v>
      </c>
      <c r="E8036" t="s">
        <v>29500</v>
      </c>
      <c r="F8036" t="s">
        <v>148</v>
      </c>
      <c r="G8036" t="s">
        <v>310</v>
      </c>
      <c r="H8036" t="s">
        <v>39</v>
      </c>
      <c r="I8036" t="s">
        <v>40</v>
      </c>
      <c r="J8036" s="2" t="s">
        <v>4208</v>
      </c>
      <c r="K8036" t="s">
        <v>42</v>
      </c>
      <c r="L8036" t="s">
        <v>1943</v>
      </c>
      <c r="Q8036">
        <v>24529</v>
      </c>
      <c r="R8036" t="s">
        <v>703</v>
      </c>
      <c r="S8036" t="s">
        <v>6830</v>
      </c>
      <c r="T8036">
        <v>25</v>
      </c>
      <c r="U8036" s="2" t="s">
        <v>48523</v>
      </c>
      <c r="W8036" t="s">
        <v>84</v>
      </c>
      <c r="X8036">
        <v>835604</v>
      </c>
      <c r="Y8036" s="2" t="s">
        <v>48524</v>
      </c>
      <c r="Z8036" s="2" t="s">
        <v>48525</v>
      </c>
      <c r="AA8036" t="s">
        <v>4402</v>
      </c>
      <c r="AB8036" t="s">
        <v>48526</v>
      </c>
      <c r="AG8036" t="s">
        <v>48527</v>
      </c>
      <c r="AH8036" t="s">
        <v>12529</v>
      </c>
      <c r="AI8036" t="s">
        <v>48528</v>
      </c>
    </row>
    <row r="8037" spans="2:35" ht="120">
      <c r="B8037" s="1">
        <v>45061</v>
      </c>
      <c r="C8037" s="4">
        <v>45061.734722222223</v>
      </c>
      <c r="D8037" t="s">
        <v>5546</v>
      </c>
      <c r="E8037" t="s">
        <v>48529</v>
      </c>
      <c r="F8037">
        <v>7</v>
      </c>
      <c r="G8037" t="s">
        <v>432</v>
      </c>
      <c r="H8037" t="s">
        <v>2290</v>
      </c>
      <c r="I8037" t="s">
        <v>94</v>
      </c>
      <c r="J8037" t="s">
        <v>79</v>
      </c>
      <c r="K8037" t="s">
        <v>42</v>
      </c>
      <c r="L8037" t="s">
        <v>610</v>
      </c>
      <c r="Q8037">
        <v>24528</v>
      </c>
      <c r="R8037" t="s">
        <v>45</v>
      </c>
      <c r="S8037" t="s">
        <v>5548</v>
      </c>
      <c r="T8037">
        <v>26</v>
      </c>
      <c r="U8037" s="2" t="s">
        <v>48530</v>
      </c>
      <c r="W8037" t="s">
        <v>360</v>
      </c>
      <c r="X8037">
        <v>808620</v>
      </c>
      <c r="Y8037" t="s">
        <v>48531</v>
      </c>
      <c r="Z8037" t="s">
        <v>37254</v>
      </c>
      <c r="AA8037" t="s">
        <v>48532</v>
      </c>
      <c r="AB8037" t="s">
        <v>48533</v>
      </c>
      <c r="AG8037" t="s">
        <v>48534</v>
      </c>
      <c r="AH8037" t="s">
        <v>48535</v>
      </c>
      <c r="AI8037" t="s">
        <v>48536</v>
      </c>
    </row>
    <row r="8038" spans="2:35" ht="270">
      <c r="B8038" s="1">
        <v>45061</v>
      </c>
      <c r="C8038" s="4">
        <v>45061.607638888891</v>
      </c>
      <c r="D8038" t="s">
        <v>5546</v>
      </c>
      <c r="E8038" t="s">
        <v>1555</v>
      </c>
      <c r="F8038">
        <v>7</v>
      </c>
      <c r="G8038" t="s">
        <v>432</v>
      </c>
      <c r="H8038" t="s">
        <v>39</v>
      </c>
      <c r="I8038" t="s">
        <v>40</v>
      </c>
      <c r="J8038" s="2" t="s">
        <v>1370</v>
      </c>
      <c r="K8038" t="s">
        <v>42</v>
      </c>
      <c r="L8038" t="s">
        <v>433</v>
      </c>
      <c r="Q8038">
        <v>24527</v>
      </c>
      <c r="R8038" t="s">
        <v>45</v>
      </c>
      <c r="S8038" t="s">
        <v>5548</v>
      </c>
      <c r="T8038">
        <v>27</v>
      </c>
      <c r="U8038" s="2" t="s">
        <v>48537</v>
      </c>
      <c r="W8038" t="s">
        <v>1008</v>
      </c>
      <c r="X8038">
        <v>804840</v>
      </c>
      <c r="Y8038" t="s">
        <v>48538</v>
      </c>
      <c r="Z8038" t="s">
        <v>48539</v>
      </c>
      <c r="AA8038" t="s">
        <v>48539</v>
      </c>
      <c r="AB8038" t="s">
        <v>1011</v>
      </c>
      <c r="AG8038" t="s">
        <v>48540</v>
      </c>
      <c r="AH8038" t="s">
        <v>5551</v>
      </c>
      <c r="AI8038" t="s">
        <v>48541</v>
      </c>
    </row>
    <row r="8039" spans="2:35" ht="409.5">
      <c r="B8039" s="1">
        <v>45061</v>
      </c>
      <c r="C8039" s="4">
        <v>45061.425694444442</v>
      </c>
      <c r="D8039" t="s">
        <v>48542</v>
      </c>
      <c r="E8039" t="s">
        <v>48543</v>
      </c>
      <c r="F8039">
        <v>3</v>
      </c>
      <c r="G8039" t="s">
        <v>730</v>
      </c>
      <c r="H8039" t="s">
        <v>39</v>
      </c>
      <c r="I8039" t="s">
        <v>40</v>
      </c>
      <c r="J8039" s="2" t="s">
        <v>62</v>
      </c>
      <c r="K8039" t="s">
        <v>42</v>
      </c>
      <c r="L8039" t="s">
        <v>135</v>
      </c>
      <c r="Q8039">
        <v>24526</v>
      </c>
      <c r="R8039" t="s">
        <v>45</v>
      </c>
      <c r="S8039" t="s">
        <v>23720</v>
      </c>
      <c r="T8039">
        <v>31</v>
      </c>
      <c r="U8039" s="2" t="s">
        <v>48544</v>
      </c>
      <c r="V8039" s="1">
        <v>45043</v>
      </c>
      <c r="W8039" t="s">
        <v>2680</v>
      </c>
      <c r="X8039">
        <v>812838</v>
      </c>
      <c r="Y8039" t="s">
        <v>1751</v>
      </c>
      <c r="Z8039" s="2" t="s">
        <v>28879</v>
      </c>
      <c r="AA8039" s="2" t="s">
        <v>48545</v>
      </c>
      <c r="AB8039" t="s">
        <v>181</v>
      </c>
      <c r="AC8039" t="s">
        <v>34421</v>
      </c>
      <c r="AD8039" t="s">
        <v>48546</v>
      </c>
      <c r="AE8039">
        <v>40649</v>
      </c>
      <c r="AG8039" t="s">
        <v>48547</v>
      </c>
      <c r="AH8039" t="s">
        <v>23724</v>
      </c>
      <c r="AI8039" t="s">
        <v>48548</v>
      </c>
    </row>
    <row r="8040" spans="2:35" ht="105">
      <c r="B8040" s="1">
        <v>45061</v>
      </c>
      <c r="C8040" s="4">
        <v>45056.710416666669</v>
      </c>
      <c r="D8040" t="s">
        <v>44315</v>
      </c>
      <c r="E8040" t="s">
        <v>48549</v>
      </c>
      <c r="F8040">
        <v>6</v>
      </c>
      <c r="G8040" t="s">
        <v>1234</v>
      </c>
      <c r="H8040" t="s">
        <v>39</v>
      </c>
      <c r="I8040" t="s">
        <v>40</v>
      </c>
      <c r="J8040" s="2" t="s">
        <v>1370</v>
      </c>
      <c r="K8040" t="s">
        <v>42</v>
      </c>
      <c r="L8040" t="s">
        <v>433</v>
      </c>
      <c r="Q8040">
        <v>24525</v>
      </c>
      <c r="R8040" t="s">
        <v>45</v>
      </c>
      <c r="S8040" t="s">
        <v>44317</v>
      </c>
      <c r="T8040">
        <v>29</v>
      </c>
      <c r="U8040" s="2" t="s">
        <v>16004</v>
      </c>
      <c r="W8040" t="s">
        <v>1008</v>
      </c>
      <c r="X8040">
        <v>835055</v>
      </c>
      <c r="Y8040" t="s">
        <v>48550</v>
      </c>
      <c r="Z8040" t="s">
        <v>48551</v>
      </c>
      <c r="AA8040" t="s">
        <v>48552</v>
      </c>
      <c r="AB8040" t="s">
        <v>1011</v>
      </c>
      <c r="AG8040" t="s">
        <v>48553</v>
      </c>
      <c r="AH8040" t="s">
        <v>48554</v>
      </c>
      <c r="AI8040" t="s">
        <v>48555</v>
      </c>
    </row>
    <row r="8041" spans="2:35" ht="409.5">
      <c r="B8041" s="1">
        <v>45061</v>
      </c>
      <c r="C8041" s="4">
        <v>45058.598611111112</v>
      </c>
      <c r="D8041" t="s">
        <v>42092</v>
      </c>
      <c r="E8041" t="s">
        <v>48556</v>
      </c>
      <c r="F8041" t="s">
        <v>148</v>
      </c>
      <c r="G8041" t="s">
        <v>447</v>
      </c>
      <c r="H8041" t="s">
        <v>662</v>
      </c>
      <c r="I8041" t="s">
        <v>40</v>
      </c>
      <c r="J8041" t="s">
        <v>996</v>
      </c>
      <c r="K8041" t="s">
        <v>42</v>
      </c>
      <c r="L8041" t="s">
        <v>448</v>
      </c>
      <c r="Q8041">
        <v>24524</v>
      </c>
      <c r="R8041" t="s">
        <v>322</v>
      </c>
      <c r="S8041" t="s">
        <v>3987</v>
      </c>
      <c r="T8041">
        <v>24</v>
      </c>
      <c r="U8041" s="2" t="s">
        <v>48557</v>
      </c>
      <c r="V8041" s="1">
        <v>45056</v>
      </c>
      <c r="W8041" t="s">
        <v>45697</v>
      </c>
      <c r="X8041">
        <v>110014171</v>
      </c>
      <c r="Y8041" t="s">
        <v>17579</v>
      </c>
      <c r="Z8041" t="s">
        <v>42428</v>
      </c>
      <c r="AA8041" t="s">
        <v>11518</v>
      </c>
      <c r="AB8041" t="s">
        <v>17073</v>
      </c>
      <c r="AC8041" t="s">
        <v>48558</v>
      </c>
      <c r="AD8041" t="s">
        <v>11518</v>
      </c>
      <c r="AE8041">
        <v>9988</v>
      </c>
      <c r="AG8041" t="s">
        <v>48559</v>
      </c>
      <c r="AH8041" t="s">
        <v>660</v>
      </c>
      <c r="AI8041" t="s">
        <v>48560</v>
      </c>
    </row>
    <row r="8042" spans="2:35" ht="75">
      <c r="B8042" s="1">
        <v>45061</v>
      </c>
      <c r="C8042" s="4">
        <v>45057.520138888889</v>
      </c>
      <c r="D8042" t="s">
        <v>48561</v>
      </c>
      <c r="E8042" t="s">
        <v>48562</v>
      </c>
      <c r="F8042" t="s">
        <v>148</v>
      </c>
      <c r="G8042" t="s">
        <v>310</v>
      </c>
      <c r="H8042" t="s">
        <v>39</v>
      </c>
      <c r="I8042" t="s">
        <v>40</v>
      </c>
      <c r="J8042" s="2" t="s">
        <v>1444</v>
      </c>
      <c r="K8042" t="s">
        <v>387</v>
      </c>
      <c r="L8042" t="s">
        <v>448</v>
      </c>
      <c r="Q8042">
        <v>24523</v>
      </c>
      <c r="R8042" t="s">
        <v>322</v>
      </c>
      <c r="S8042" t="s">
        <v>3824</v>
      </c>
      <c r="T8042">
        <v>26</v>
      </c>
      <c r="W8042" t="s">
        <v>476</v>
      </c>
      <c r="X8042" t="s">
        <v>48563</v>
      </c>
      <c r="Y8042" t="s">
        <v>48564</v>
      </c>
      <c r="Z8042" t="s">
        <v>48565</v>
      </c>
      <c r="AA8042" t="s">
        <v>48566</v>
      </c>
      <c r="AB8042" t="s">
        <v>486</v>
      </c>
      <c r="AC8042" t="s">
        <v>47633</v>
      </c>
      <c r="AG8042" t="s">
        <v>48567</v>
      </c>
      <c r="AH8042" t="s">
        <v>48568</v>
      </c>
      <c r="AI8042" t="s">
        <v>48569</v>
      </c>
    </row>
    <row r="8043" spans="2:35" ht="75">
      <c r="B8043" s="1">
        <v>45061</v>
      </c>
      <c r="C8043" s="4">
        <v>45057.602083333331</v>
      </c>
      <c r="D8043" t="s">
        <v>48561</v>
      </c>
      <c r="E8043" t="s">
        <v>48570</v>
      </c>
      <c r="F8043" t="s">
        <v>148</v>
      </c>
      <c r="G8043" t="s">
        <v>310</v>
      </c>
      <c r="H8043" t="s">
        <v>39</v>
      </c>
      <c r="I8043" t="s">
        <v>40</v>
      </c>
      <c r="J8043" s="2" t="s">
        <v>1444</v>
      </c>
      <c r="K8043" t="s">
        <v>387</v>
      </c>
      <c r="L8043" t="s">
        <v>448</v>
      </c>
      <c r="Q8043">
        <v>24522</v>
      </c>
      <c r="R8043" t="s">
        <v>322</v>
      </c>
      <c r="S8043" t="s">
        <v>3824</v>
      </c>
      <c r="T8043">
        <v>26</v>
      </c>
      <c r="W8043" t="s">
        <v>476</v>
      </c>
      <c r="X8043" t="s">
        <v>4180</v>
      </c>
      <c r="Y8043" t="s">
        <v>48571</v>
      </c>
      <c r="Z8043" t="s">
        <v>46489</v>
      </c>
      <c r="AA8043" t="s">
        <v>28181</v>
      </c>
      <c r="AB8043" t="s">
        <v>486</v>
      </c>
      <c r="AC8043" t="s">
        <v>47633</v>
      </c>
      <c r="AG8043" t="s">
        <v>48572</v>
      </c>
      <c r="AH8043" t="s">
        <v>48568</v>
      </c>
      <c r="AI8043" t="s">
        <v>48573</v>
      </c>
    </row>
    <row r="8044" spans="2:35" ht="255">
      <c r="B8044" s="1">
        <v>45061</v>
      </c>
      <c r="C8044" s="1">
        <v>45058</v>
      </c>
      <c r="D8044" t="s">
        <v>5028</v>
      </c>
      <c r="E8044" t="s">
        <v>1472</v>
      </c>
      <c r="F8044">
        <v>12</v>
      </c>
      <c r="G8044" t="s">
        <v>978</v>
      </c>
      <c r="H8044" t="s">
        <v>295</v>
      </c>
      <c r="I8044" t="s">
        <v>94</v>
      </c>
      <c r="J8044" s="2" t="s">
        <v>1157</v>
      </c>
      <c r="K8044" t="s">
        <v>42</v>
      </c>
      <c r="L8044" t="s">
        <v>296</v>
      </c>
      <c r="N8044" t="s">
        <v>297</v>
      </c>
      <c r="O8044" t="s">
        <v>12538</v>
      </c>
      <c r="Q8044">
        <v>24521</v>
      </c>
      <c r="R8044" t="s">
        <v>95</v>
      </c>
      <c r="S8044" t="s">
        <v>297</v>
      </c>
      <c r="T8044">
        <v>27</v>
      </c>
      <c r="U8044" s="2" t="s">
        <v>48574</v>
      </c>
      <c r="W8044" t="s">
        <v>12540</v>
      </c>
      <c r="X8044">
        <v>839314</v>
      </c>
      <c r="Y8044" s="2" t="s">
        <v>48575</v>
      </c>
      <c r="Z8044" s="2" t="s">
        <v>48576</v>
      </c>
      <c r="AA8044" s="2" t="s">
        <v>48577</v>
      </c>
      <c r="AB8044" s="2" t="s">
        <v>48578</v>
      </c>
      <c r="AC8044" t="s">
        <v>48579</v>
      </c>
      <c r="AG8044" t="s">
        <v>48580</v>
      </c>
      <c r="AH8044" t="s">
        <v>48581</v>
      </c>
      <c r="AI8044" t="s">
        <v>48582</v>
      </c>
    </row>
    <row r="8045" spans="2:35" ht="375">
      <c r="B8045" s="1">
        <v>45061</v>
      </c>
      <c r="C8045" s="4">
        <v>45051.48333333333</v>
      </c>
      <c r="D8045" t="s">
        <v>25621</v>
      </c>
      <c r="E8045" t="s">
        <v>188</v>
      </c>
      <c r="F8045" t="s">
        <v>37</v>
      </c>
      <c r="G8045" t="s">
        <v>189</v>
      </c>
      <c r="H8045" t="s">
        <v>34954</v>
      </c>
      <c r="I8045" t="s">
        <v>40</v>
      </c>
      <c r="J8045" s="2" t="s">
        <v>41</v>
      </c>
      <c r="K8045" t="s">
        <v>42</v>
      </c>
      <c r="L8045" t="s">
        <v>1943</v>
      </c>
      <c r="Q8045">
        <v>24520</v>
      </c>
      <c r="R8045" t="s">
        <v>45</v>
      </c>
      <c r="S8045" t="s">
        <v>25623</v>
      </c>
      <c r="T8045">
        <v>25</v>
      </c>
      <c r="U8045" s="2" t="s">
        <v>48583</v>
      </c>
      <c r="V8045" s="1">
        <v>45048</v>
      </c>
      <c r="W8045" t="s">
        <v>895</v>
      </c>
      <c r="X8045">
        <v>844120</v>
      </c>
      <c r="Y8045" s="2" t="s">
        <v>48584</v>
      </c>
      <c r="Z8045" s="2" t="s">
        <v>48585</v>
      </c>
      <c r="AA8045" t="s">
        <v>22330</v>
      </c>
      <c r="AB8045" t="s">
        <v>88</v>
      </c>
      <c r="AD8045" t="s">
        <v>48586</v>
      </c>
      <c r="AE8045" t="s">
        <v>8904</v>
      </c>
      <c r="AG8045" t="s">
        <v>48587</v>
      </c>
      <c r="AH8045" t="s">
        <v>48588</v>
      </c>
      <c r="AI8045" t="s">
        <v>48589</v>
      </c>
    </row>
    <row r="8046" spans="2:35" ht="375">
      <c r="B8046" s="1">
        <v>45061</v>
      </c>
      <c r="C8046" s="4">
        <v>45051.48333333333</v>
      </c>
      <c r="D8046" t="s">
        <v>25621</v>
      </c>
      <c r="E8046" t="s">
        <v>188</v>
      </c>
      <c r="F8046" t="s">
        <v>37</v>
      </c>
      <c r="G8046" t="s">
        <v>189</v>
      </c>
      <c r="H8046" t="s">
        <v>34954</v>
      </c>
      <c r="I8046" t="s">
        <v>40</v>
      </c>
      <c r="J8046" s="2" t="s">
        <v>41</v>
      </c>
      <c r="K8046" t="s">
        <v>42</v>
      </c>
      <c r="L8046" t="s">
        <v>1943</v>
      </c>
      <c r="Q8046">
        <v>24519</v>
      </c>
      <c r="R8046" t="s">
        <v>45</v>
      </c>
      <c r="S8046" t="s">
        <v>25623</v>
      </c>
      <c r="T8046">
        <v>25</v>
      </c>
      <c r="U8046" s="2" t="s">
        <v>48583</v>
      </c>
      <c r="V8046" s="1">
        <v>45048</v>
      </c>
      <c r="W8046" t="s">
        <v>895</v>
      </c>
      <c r="X8046">
        <v>844120</v>
      </c>
      <c r="Y8046" s="2" t="s">
        <v>48584</v>
      </c>
      <c r="Z8046" s="2" t="s">
        <v>48585</v>
      </c>
      <c r="AA8046" t="s">
        <v>22330</v>
      </c>
      <c r="AB8046" t="s">
        <v>88</v>
      </c>
      <c r="AD8046" t="s">
        <v>48586</v>
      </c>
      <c r="AE8046" t="s">
        <v>8904</v>
      </c>
      <c r="AG8046" t="s">
        <v>48590</v>
      </c>
      <c r="AH8046" t="s">
        <v>48588</v>
      </c>
      <c r="AI8046" t="s">
        <v>48591</v>
      </c>
    </row>
    <row r="8047" spans="2:35" ht="285">
      <c r="B8047" s="1">
        <v>45061</v>
      </c>
      <c r="C8047" s="4">
        <v>45051.478472222225</v>
      </c>
      <c r="D8047" t="s">
        <v>25621</v>
      </c>
      <c r="E8047" t="s">
        <v>188</v>
      </c>
      <c r="F8047" t="s">
        <v>37</v>
      </c>
      <c r="G8047" t="s">
        <v>189</v>
      </c>
      <c r="H8047" t="s">
        <v>34954</v>
      </c>
      <c r="I8047" t="s">
        <v>40</v>
      </c>
      <c r="J8047" s="2" t="s">
        <v>41</v>
      </c>
      <c r="K8047" t="s">
        <v>42</v>
      </c>
      <c r="L8047" t="s">
        <v>1943</v>
      </c>
      <c r="Q8047">
        <v>24518</v>
      </c>
      <c r="R8047" t="s">
        <v>45</v>
      </c>
      <c r="S8047" t="s">
        <v>25623</v>
      </c>
      <c r="T8047">
        <v>25</v>
      </c>
      <c r="U8047" s="2" t="s">
        <v>48592</v>
      </c>
      <c r="V8047" s="1">
        <v>45048</v>
      </c>
      <c r="W8047" t="s">
        <v>84</v>
      </c>
      <c r="X8047">
        <v>834627</v>
      </c>
      <c r="Y8047" s="2" t="s">
        <v>22466</v>
      </c>
      <c r="Z8047" s="2" t="s">
        <v>45784</v>
      </c>
      <c r="AA8047" t="s">
        <v>22330</v>
      </c>
      <c r="AB8047" t="s">
        <v>88</v>
      </c>
      <c r="AD8047" t="s">
        <v>48593</v>
      </c>
      <c r="AE8047" t="s">
        <v>8904</v>
      </c>
      <c r="AG8047" t="s">
        <v>48594</v>
      </c>
      <c r="AH8047" t="s">
        <v>48588</v>
      </c>
      <c r="AI8047" t="s">
        <v>48595</v>
      </c>
    </row>
    <row r="8048" spans="2:35" ht="285">
      <c r="B8048" s="1">
        <v>45061</v>
      </c>
      <c r="C8048" s="4">
        <v>45051.478472222225</v>
      </c>
      <c r="D8048" t="s">
        <v>25621</v>
      </c>
      <c r="E8048" t="s">
        <v>188</v>
      </c>
      <c r="F8048" t="s">
        <v>37</v>
      </c>
      <c r="G8048" t="s">
        <v>189</v>
      </c>
      <c r="H8048" t="s">
        <v>34954</v>
      </c>
      <c r="I8048" t="s">
        <v>40</v>
      </c>
      <c r="J8048" s="2" t="s">
        <v>41</v>
      </c>
      <c r="K8048" t="s">
        <v>42</v>
      </c>
      <c r="L8048" t="s">
        <v>1943</v>
      </c>
      <c r="Q8048">
        <v>24517</v>
      </c>
      <c r="R8048" t="s">
        <v>45</v>
      </c>
      <c r="S8048" t="s">
        <v>25623</v>
      </c>
      <c r="T8048">
        <v>25</v>
      </c>
      <c r="U8048" s="2" t="s">
        <v>48592</v>
      </c>
      <c r="V8048" s="1">
        <v>45048</v>
      </c>
      <c r="W8048" t="s">
        <v>84</v>
      </c>
      <c r="X8048">
        <v>834627</v>
      </c>
      <c r="Y8048" s="2" t="s">
        <v>22466</v>
      </c>
      <c r="Z8048" s="2" t="s">
        <v>45784</v>
      </c>
      <c r="AA8048" t="s">
        <v>22330</v>
      </c>
      <c r="AB8048" t="s">
        <v>88</v>
      </c>
      <c r="AD8048" t="s">
        <v>48593</v>
      </c>
      <c r="AE8048" t="s">
        <v>8904</v>
      </c>
      <c r="AG8048" t="s">
        <v>48596</v>
      </c>
      <c r="AH8048" t="s">
        <v>48588</v>
      </c>
      <c r="AI8048" t="s">
        <v>48597</v>
      </c>
    </row>
    <row r="8049" spans="2:35" ht="210">
      <c r="B8049" s="1">
        <v>45061</v>
      </c>
      <c r="C8049" s="4">
        <v>45058.602777777778</v>
      </c>
      <c r="D8049" t="s">
        <v>40651</v>
      </c>
      <c r="E8049" t="s">
        <v>48598</v>
      </c>
      <c r="F8049" t="s">
        <v>37</v>
      </c>
      <c r="G8049" t="s">
        <v>78</v>
      </c>
      <c r="H8049" t="s">
        <v>39</v>
      </c>
      <c r="I8049" t="s">
        <v>40</v>
      </c>
      <c r="J8049" s="2" t="s">
        <v>1309</v>
      </c>
      <c r="K8049" t="s">
        <v>42</v>
      </c>
      <c r="L8049" t="s">
        <v>1943</v>
      </c>
      <c r="Q8049">
        <v>24516</v>
      </c>
      <c r="R8049" t="s">
        <v>119</v>
      </c>
      <c r="S8049" t="s">
        <v>48599</v>
      </c>
      <c r="T8049">
        <v>25</v>
      </c>
      <c r="U8049" s="2" t="s">
        <v>48600</v>
      </c>
      <c r="V8049" s="1">
        <v>45054</v>
      </c>
      <c r="W8049" t="s">
        <v>84</v>
      </c>
      <c r="X8049">
        <v>821164</v>
      </c>
      <c r="Y8049" s="2" t="s">
        <v>48601</v>
      </c>
      <c r="Z8049" s="2" t="s">
        <v>48602</v>
      </c>
      <c r="AA8049" t="s">
        <v>48603</v>
      </c>
      <c r="AB8049" t="s">
        <v>48604</v>
      </c>
      <c r="AD8049" s="2" t="s">
        <v>48605</v>
      </c>
      <c r="AE8049" t="s">
        <v>48606</v>
      </c>
      <c r="AG8049" t="s">
        <v>48607</v>
      </c>
      <c r="AH8049" t="s">
        <v>48608</v>
      </c>
      <c r="AI8049" t="s">
        <v>48609</v>
      </c>
    </row>
    <row r="8050" spans="2:35" ht="210">
      <c r="B8050" s="1">
        <v>45061</v>
      </c>
      <c r="C8050" s="4">
        <v>45058.602777777778</v>
      </c>
      <c r="D8050" t="s">
        <v>40651</v>
      </c>
      <c r="E8050" t="s">
        <v>48598</v>
      </c>
      <c r="F8050" t="s">
        <v>37</v>
      </c>
      <c r="G8050" t="s">
        <v>78</v>
      </c>
      <c r="H8050" t="s">
        <v>39</v>
      </c>
      <c r="I8050" t="s">
        <v>40</v>
      </c>
      <c r="J8050" s="2" t="s">
        <v>1309</v>
      </c>
      <c r="K8050" t="s">
        <v>42</v>
      </c>
      <c r="L8050" t="s">
        <v>1943</v>
      </c>
      <c r="Q8050">
        <v>24515</v>
      </c>
      <c r="R8050" t="s">
        <v>119</v>
      </c>
      <c r="S8050" t="s">
        <v>48599</v>
      </c>
      <c r="T8050">
        <v>25</v>
      </c>
      <c r="U8050" s="2" t="s">
        <v>48600</v>
      </c>
      <c r="V8050" s="1">
        <v>45054</v>
      </c>
      <c r="W8050" t="s">
        <v>84</v>
      </c>
      <c r="X8050">
        <v>821164</v>
      </c>
      <c r="Y8050" s="2" t="s">
        <v>48601</v>
      </c>
      <c r="Z8050" s="2" t="s">
        <v>48602</v>
      </c>
      <c r="AA8050" t="s">
        <v>48603</v>
      </c>
      <c r="AB8050" t="s">
        <v>48604</v>
      </c>
      <c r="AD8050" s="2" t="s">
        <v>48605</v>
      </c>
      <c r="AE8050" t="s">
        <v>48606</v>
      </c>
      <c r="AG8050" t="s">
        <v>48610</v>
      </c>
      <c r="AH8050" t="s">
        <v>48608</v>
      </c>
      <c r="AI8050" t="s">
        <v>48611</v>
      </c>
    </row>
    <row r="8051" spans="2:35">
      <c r="B8051" s="1">
        <v>45060</v>
      </c>
      <c r="C8051" s="4">
        <v>45057.591666666667</v>
      </c>
      <c r="D8051" t="s">
        <v>7476</v>
      </c>
      <c r="E8051" t="s">
        <v>48612</v>
      </c>
      <c r="F8051">
        <v>11</v>
      </c>
      <c r="G8051" t="s">
        <v>1205</v>
      </c>
      <c r="H8051" t="s">
        <v>202</v>
      </c>
      <c r="I8051" t="s">
        <v>40</v>
      </c>
      <c r="J8051" t="s">
        <v>525</v>
      </c>
      <c r="K8051" t="s">
        <v>42</v>
      </c>
      <c r="L8051" t="s">
        <v>204</v>
      </c>
      <c r="Q8051">
        <v>24514</v>
      </c>
      <c r="R8051" t="s">
        <v>119</v>
      </c>
      <c r="S8051" t="s">
        <v>7478</v>
      </c>
      <c r="T8051">
        <v>24.7</v>
      </c>
      <c r="W8051" t="s">
        <v>23237</v>
      </c>
      <c r="X8051">
        <v>838507</v>
      </c>
      <c r="Y8051" t="s">
        <v>48613</v>
      </c>
      <c r="Z8051" t="s">
        <v>48614</v>
      </c>
      <c r="AA8051" t="s">
        <v>25174</v>
      </c>
      <c r="AB8051" t="s">
        <v>48615</v>
      </c>
      <c r="AC8051" t="s">
        <v>28863</v>
      </c>
      <c r="AG8051" t="s">
        <v>48616</v>
      </c>
      <c r="AH8051" t="s">
        <v>27272</v>
      </c>
      <c r="AI8051" t="s">
        <v>48617</v>
      </c>
    </row>
    <row r="8052" spans="2:35">
      <c r="B8052" s="1">
        <v>45060</v>
      </c>
      <c r="C8052" s="4">
        <v>45057.591666666667</v>
      </c>
      <c r="D8052" t="s">
        <v>7476</v>
      </c>
      <c r="E8052" t="s">
        <v>48612</v>
      </c>
      <c r="F8052">
        <v>11</v>
      </c>
      <c r="G8052" t="s">
        <v>1205</v>
      </c>
      <c r="H8052" t="s">
        <v>202</v>
      </c>
      <c r="I8052" t="s">
        <v>40</v>
      </c>
      <c r="J8052" t="s">
        <v>525</v>
      </c>
      <c r="K8052" t="s">
        <v>42</v>
      </c>
      <c r="L8052" t="s">
        <v>204</v>
      </c>
      <c r="Q8052">
        <v>24513</v>
      </c>
      <c r="R8052" t="s">
        <v>119</v>
      </c>
      <c r="S8052" t="s">
        <v>7478</v>
      </c>
      <c r="T8052">
        <v>24.7</v>
      </c>
      <c r="W8052" t="s">
        <v>23237</v>
      </c>
      <c r="X8052">
        <v>838507</v>
      </c>
      <c r="Y8052" t="s">
        <v>48613</v>
      </c>
      <c r="Z8052" t="s">
        <v>48614</v>
      </c>
      <c r="AA8052" t="s">
        <v>25174</v>
      </c>
      <c r="AB8052" t="s">
        <v>48615</v>
      </c>
      <c r="AC8052" t="s">
        <v>28863</v>
      </c>
      <c r="AG8052" t="s">
        <v>48618</v>
      </c>
      <c r="AH8052" t="s">
        <v>27272</v>
      </c>
      <c r="AI8052" t="s">
        <v>48619</v>
      </c>
    </row>
    <row r="8053" spans="2:35" ht="210">
      <c r="B8053" s="1">
        <v>45058</v>
      </c>
      <c r="C8053" s="4">
        <v>45058.602777777778</v>
      </c>
      <c r="D8053" t="s">
        <v>40651</v>
      </c>
      <c r="E8053" t="s">
        <v>48598</v>
      </c>
      <c r="F8053" t="s">
        <v>37</v>
      </c>
      <c r="G8053" t="s">
        <v>78</v>
      </c>
      <c r="H8053" t="s">
        <v>39</v>
      </c>
      <c r="I8053" t="s">
        <v>40</v>
      </c>
      <c r="J8053" s="2" t="s">
        <v>17874</v>
      </c>
      <c r="K8053" t="s">
        <v>42</v>
      </c>
      <c r="L8053" t="s">
        <v>1943</v>
      </c>
      <c r="Q8053">
        <v>24512</v>
      </c>
      <c r="R8053" t="s">
        <v>119</v>
      </c>
      <c r="S8053" t="s">
        <v>48599</v>
      </c>
      <c r="T8053">
        <v>25</v>
      </c>
      <c r="U8053" s="2" t="s">
        <v>48600</v>
      </c>
      <c r="V8053" s="1">
        <v>45054</v>
      </c>
      <c r="W8053" t="s">
        <v>84</v>
      </c>
      <c r="X8053">
        <v>821164</v>
      </c>
      <c r="Y8053" s="2" t="s">
        <v>48601</v>
      </c>
      <c r="Z8053" s="2" t="s">
        <v>48602</v>
      </c>
      <c r="AA8053" t="s">
        <v>48620</v>
      </c>
      <c r="AB8053" t="s">
        <v>48604</v>
      </c>
      <c r="AD8053" s="2" t="s">
        <v>48605</v>
      </c>
      <c r="AE8053" t="s">
        <v>48606</v>
      </c>
      <c r="AG8053" t="s">
        <v>48621</v>
      </c>
      <c r="AH8053" t="s">
        <v>48608</v>
      </c>
      <c r="AI8053" t="s">
        <v>48622</v>
      </c>
    </row>
    <row r="8054" spans="2:35" ht="105">
      <c r="B8054" s="1">
        <v>45058</v>
      </c>
      <c r="C8054" s="4">
        <v>45058.550694444442</v>
      </c>
      <c r="D8054" t="s">
        <v>27494</v>
      </c>
      <c r="E8054" t="s">
        <v>48623</v>
      </c>
      <c r="F8054" t="s">
        <v>37</v>
      </c>
      <c r="G8054" t="s">
        <v>78</v>
      </c>
      <c r="H8054" t="s">
        <v>39</v>
      </c>
      <c r="I8054" t="s">
        <v>40</v>
      </c>
      <c r="J8054" s="2" t="s">
        <v>62</v>
      </c>
      <c r="K8054" t="s">
        <v>42</v>
      </c>
      <c r="L8054" t="s">
        <v>1943</v>
      </c>
      <c r="Q8054">
        <v>24511</v>
      </c>
      <c r="R8054" t="s">
        <v>119</v>
      </c>
      <c r="S8054" t="s">
        <v>27496</v>
      </c>
      <c r="T8054">
        <v>25</v>
      </c>
      <c r="U8054" s="2" t="s">
        <v>14643</v>
      </c>
      <c r="V8054" s="1">
        <v>44970</v>
      </c>
      <c r="W8054" t="s">
        <v>84</v>
      </c>
      <c r="X8054">
        <v>821163</v>
      </c>
      <c r="Y8054" s="2" t="s">
        <v>23659</v>
      </c>
      <c r="Z8054" s="2" t="s">
        <v>48624</v>
      </c>
      <c r="AA8054" t="s">
        <v>23660</v>
      </c>
      <c r="AB8054" t="s">
        <v>8352</v>
      </c>
      <c r="AD8054" t="s">
        <v>11518</v>
      </c>
      <c r="AE8054" t="s">
        <v>48625</v>
      </c>
      <c r="AG8054" t="s">
        <v>48626</v>
      </c>
      <c r="AH8054" t="s">
        <v>48627</v>
      </c>
      <c r="AI8054" t="s">
        <v>48628</v>
      </c>
    </row>
    <row r="8055" spans="2:35" ht="60">
      <c r="B8055" s="1">
        <v>45058</v>
      </c>
      <c r="C8055" s="4">
        <v>45058.474305555559</v>
      </c>
      <c r="D8055" t="s">
        <v>2901</v>
      </c>
      <c r="E8055" t="s">
        <v>48629</v>
      </c>
      <c r="F8055">
        <v>9</v>
      </c>
      <c r="G8055" t="s">
        <v>2903</v>
      </c>
      <c r="H8055" t="s">
        <v>39</v>
      </c>
      <c r="I8055" t="s">
        <v>40</v>
      </c>
      <c r="J8055" s="2" t="s">
        <v>62</v>
      </c>
      <c r="K8055" t="s">
        <v>42</v>
      </c>
      <c r="L8055" t="s">
        <v>1257</v>
      </c>
      <c r="Q8055">
        <v>24510</v>
      </c>
      <c r="R8055" t="s">
        <v>45</v>
      </c>
      <c r="S8055" t="s">
        <v>25857</v>
      </c>
      <c r="T8055">
        <v>28</v>
      </c>
      <c r="V8055" s="1">
        <v>45058</v>
      </c>
      <c r="W8055" t="s">
        <v>2384</v>
      </c>
      <c r="X8055">
        <v>804698</v>
      </c>
      <c r="Y8055" t="s">
        <v>48630</v>
      </c>
      <c r="Z8055" t="s">
        <v>48631</v>
      </c>
      <c r="AA8055" t="s">
        <v>48632</v>
      </c>
      <c r="AB8055" t="s">
        <v>7411</v>
      </c>
      <c r="AC8055" t="s">
        <v>301</v>
      </c>
      <c r="AD8055" t="s">
        <v>54</v>
      </c>
      <c r="AE8055" t="s">
        <v>54</v>
      </c>
      <c r="AG8055" t="s">
        <v>48633</v>
      </c>
      <c r="AH8055" t="s">
        <v>24166</v>
      </c>
      <c r="AI8055" t="s">
        <v>48634</v>
      </c>
    </row>
    <row r="8056" spans="2:35" ht="300">
      <c r="B8056" s="1">
        <v>45058</v>
      </c>
      <c r="C8056" s="4">
        <v>45057.613888888889</v>
      </c>
      <c r="D8056" t="s">
        <v>47298</v>
      </c>
      <c r="E8056" t="s">
        <v>48635</v>
      </c>
      <c r="F8056">
        <v>12</v>
      </c>
      <c r="G8056" t="s">
        <v>294</v>
      </c>
      <c r="H8056" t="s">
        <v>39</v>
      </c>
      <c r="I8056" t="s">
        <v>94</v>
      </c>
      <c r="J8056" s="2" t="s">
        <v>190</v>
      </c>
      <c r="K8056" t="s">
        <v>42</v>
      </c>
      <c r="L8056" t="s">
        <v>296</v>
      </c>
      <c r="Q8056">
        <v>24509</v>
      </c>
      <c r="R8056" t="s">
        <v>45</v>
      </c>
      <c r="S8056" t="s">
        <v>45352</v>
      </c>
      <c r="T8056">
        <v>25.2</v>
      </c>
      <c r="U8056" s="2" t="s">
        <v>48636</v>
      </c>
      <c r="W8056" t="s">
        <v>23049</v>
      </c>
      <c r="X8056">
        <v>807405</v>
      </c>
      <c r="Y8056" t="s">
        <v>48637</v>
      </c>
      <c r="Z8056" s="2" t="s">
        <v>48638</v>
      </c>
      <c r="AA8056" s="2" t="s">
        <v>48638</v>
      </c>
      <c r="AB8056" t="s">
        <v>972</v>
      </c>
      <c r="AC8056" t="s">
        <v>48639</v>
      </c>
      <c r="AG8056" t="s">
        <v>48640</v>
      </c>
      <c r="AH8056" t="s">
        <v>48641</v>
      </c>
      <c r="AI8056" t="s">
        <v>48642</v>
      </c>
    </row>
    <row r="8057" spans="2:35" ht="180">
      <c r="B8057" s="1">
        <v>45058</v>
      </c>
      <c r="C8057" s="4">
        <v>45058.438194444447</v>
      </c>
      <c r="D8057" t="s">
        <v>22809</v>
      </c>
      <c r="E8057" t="s">
        <v>48643</v>
      </c>
      <c r="F8057" t="s">
        <v>148</v>
      </c>
      <c r="G8057" t="s">
        <v>544</v>
      </c>
      <c r="H8057" t="s">
        <v>5042</v>
      </c>
      <c r="I8057" t="s">
        <v>40</v>
      </c>
      <c r="J8057" s="2" t="s">
        <v>62</v>
      </c>
      <c r="K8057" t="s">
        <v>42</v>
      </c>
      <c r="L8057" t="s">
        <v>15532</v>
      </c>
      <c r="Q8057">
        <v>24508</v>
      </c>
      <c r="R8057" t="s">
        <v>45</v>
      </c>
      <c r="S8057" t="s">
        <v>48644</v>
      </c>
      <c r="T8057">
        <v>29</v>
      </c>
      <c r="U8057" s="2" t="s">
        <v>48645</v>
      </c>
      <c r="V8057" s="1">
        <v>45044</v>
      </c>
      <c r="W8057" t="s">
        <v>47090</v>
      </c>
      <c r="X8057">
        <v>807982</v>
      </c>
      <c r="Y8057" t="s">
        <v>1111</v>
      </c>
      <c r="Z8057" t="s">
        <v>1519</v>
      </c>
      <c r="AA8057" s="2" t="s">
        <v>37058</v>
      </c>
      <c r="AB8057" t="s">
        <v>48646</v>
      </c>
      <c r="AD8057" t="s">
        <v>20036</v>
      </c>
      <c r="AE8057" t="s">
        <v>48647</v>
      </c>
      <c r="AG8057" t="s">
        <v>48648</v>
      </c>
      <c r="AH8057" t="s">
        <v>48649</v>
      </c>
      <c r="AI8057" t="s">
        <v>48650</v>
      </c>
    </row>
    <row r="8058" spans="2:35" ht="105">
      <c r="B8058" s="1">
        <v>45058</v>
      </c>
      <c r="C8058" s="4">
        <v>45058.387499999997</v>
      </c>
      <c r="D8058" t="s">
        <v>48651</v>
      </c>
      <c r="E8058" t="s">
        <v>48652</v>
      </c>
      <c r="F8058">
        <v>9</v>
      </c>
      <c r="G8058" t="s">
        <v>2903</v>
      </c>
      <c r="H8058" t="s">
        <v>39</v>
      </c>
      <c r="I8058" t="s">
        <v>40</v>
      </c>
      <c r="J8058" s="2" t="s">
        <v>41</v>
      </c>
      <c r="K8058" t="s">
        <v>42</v>
      </c>
      <c r="L8058" t="s">
        <v>1257</v>
      </c>
      <c r="Q8058">
        <v>24507</v>
      </c>
      <c r="R8058" t="s">
        <v>45</v>
      </c>
      <c r="S8058" t="s">
        <v>48653</v>
      </c>
      <c r="T8058">
        <v>28</v>
      </c>
      <c r="U8058" s="2" t="s">
        <v>8634</v>
      </c>
      <c r="V8058" s="1">
        <v>45058</v>
      </c>
      <c r="W8058" t="s">
        <v>2384</v>
      </c>
      <c r="X8058">
        <v>815285</v>
      </c>
      <c r="Y8058" t="s">
        <v>48654</v>
      </c>
      <c r="Z8058" t="s">
        <v>48655</v>
      </c>
      <c r="AA8058" t="s">
        <v>2129</v>
      </c>
      <c r="AB8058" t="s">
        <v>7411</v>
      </c>
      <c r="AC8058" t="s">
        <v>301</v>
      </c>
      <c r="AD8058" t="s">
        <v>54</v>
      </c>
      <c r="AE8058" t="s">
        <v>54</v>
      </c>
      <c r="AG8058" t="s">
        <v>48656</v>
      </c>
      <c r="AH8058" t="s">
        <v>48657</v>
      </c>
      <c r="AI8058" t="s">
        <v>48658</v>
      </c>
    </row>
    <row r="8059" spans="2:35" ht="255">
      <c r="B8059" s="1">
        <v>45057</v>
      </c>
      <c r="C8059" s="4">
        <v>45057.638194444444</v>
      </c>
      <c r="D8059" t="s">
        <v>48659</v>
      </c>
      <c r="E8059" t="s">
        <v>48660</v>
      </c>
      <c r="F8059">
        <v>1</v>
      </c>
      <c r="G8059" t="s">
        <v>2599</v>
      </c>
      <c r="H8059" t="s">
        <v>39</v>
      </c>
      <c r="I8059" t="s">
        <v>40</v>
      </c>
      <c r="J8059" s="2" t="s">
        <v>41</v>
      </c>
      <c r="K8059" t="s">
        <v>42</v>
      </c>
      <c r="L8059" t="s">
        <v>135</v>
      </c>
      <c r="Q8059">
        <v>24506</v>
      </c>
      <c r="R8059" t="s">
        <v>703</v>
      </c>
      <c r="S8059" t="s">
        <v>13899</v>
      </c>
      <c r="T8059">
        <v>28.5</v>
      </c>
      <c r="U8059" s="2" t="s">
        <v>48661</v>
      </c>
      <c r="V8059" s="1">
        <v>45054</v>
      </c>
      <c r="W8059" t="s">
        <v>2680</v>
      </c>
      <c r="X8059">
        <v>835542</v>
      </c>
      <c r="Y8059" s="2" t="s">
        <v>48662</v>
      </c>
      <c r="Z8059" s="2" t="s">
        <v>29539</v>
      </c>
      <c r="AA8059" s="2" t="s">
        <v>32304</v>
      </c>
      <c r="AB8059" t="s">
        <v>181</v>
      </c>
      <c r="AD8059" t="s">
        <v>43304</v>
      </c>
      <c r="AE8059">
        <v>9981</v>
      </c>
      <c r="AG8059" t="s">
        <v>48663</v>
      </c>
      <c r="AH8059" t="s">
        <v>48664</v>
      </c>
      <c r="AI8059" t="s">
        <v>48665</v>
      </c>
    </row>
    <row r="8060" spans="2:35" ht="270">
      <c r="B8060" s="1">
        <v>45057</v>
      </c>
      <c r="C8060" s="4">
        <v>45057.493750000001</v>
      </c>
      <c r="D8060" t="s">
        <v>48666</v>
      </c>
      <c r="E8060" t="s">
        <v>48667</v>
      </c>
      <c r="F8060">
        <v>1</v>
      </c>
      <c r="G8060" t="s">
        <v>1922</v>
      </c>
      <c r="H8060" t="s">
        <v>39</v>
      </c>
      <c r="I8060" t="s">
        <v>40</v>
      </c>
      <c r="J8060" s="2" t="s">
        <v>41</v>
      </c>
      <c r="K8060" t="s">
        <v>42</v>
      </c>
      <c r="L8060" t="s">
        <v>135</v>
      </c>
      <c r="Q8060">
        <v>24505</v>
      </c>
      <c r="R8060" t="s">
        <v>45</v>
      </c>
      <c r="S8060" t="s">
        <v>1933</v>
      </c>
      <c r="T8060">
        <v>30</v>
      </c>
      <c r="U8060" s="2" t="s">
        <v>48668</v>
      </c>
      <c r="W8060" t="s">
        <v>2680</v>
      </c>
      <c r="X8060">
        <v>807585</v>
      </c>
      <c r="Y8060" t="s">
        <v>48669</v>
      </c>
      <c r="Z8060" s="2" t="s">
        <v>48670</v>
      </c>
      <c r="AA8060" s="2" t="s">
        <v>48671</v>
      </c>
      <c r="AB8060" t="s">
        <v>181</v>
      </c>
      <c r="AG8060" t="s">
        <v>48672</v>
      </c>
      <c r="AH8060" t="s">
        <v>1939</v>
      </c>
      <c r="AI8060" t="s">
        <v>48673</v>
      </c>
    </row>
    <row r="8061" spans="2:35" ht="409.5">
      <c r="B8061" s="1">
        <v>45057</v>
      </c>
      <c r="C8061" s="4">
        <v>45057.630555555559</v>
      </c>
      <c r="D8061" t="s">
        <v>26071</v>
      </c>
      <c r="E8061" t="s">
        <v>48674</v>
      </c>
      <c r="F8061" t="s">
        <v>148</v>
      </c>
      <c r="G8061" t="s">
        <v>421</v>
      </c>
      <c r="H8061" t="s">
        <v>39</v>
      </c>
      <c r="I8061" t="s">
        <v>40</v>
      </c>
      <c r="J8061" s="2" t="s">
        <v>41</v>
      </c>
      <c r="K8061" t="s">
        <v>42</v>
      </c>
      <c r="L8061" t="s">
        <v>175</v>
      </c>
      <c r="Q8061">
        <v>24504</v>
      </c>
      <c r="R8061" t="s">
        <v>45</v>
      </c>
      <c r="S8061" t="s">
        <v>47766</v>
      </c>
      <c r="T8061">
        <v>25</v>
      </c>
      <c r="U8061" s="2" t="s">
        <v>48675</v>
      </c>
      <c r="V8061" s="1">
        <v>45057</v>
      </c>
      <c r="W8061" t="s">
        <v>84</v>
      </c>
      <c r="X8061">
        <v>814151</v>
      </c>
      <c r="Y8061" t="s">
        <v>48676</v>
      </c>
      <c r="Z8061" s="2" t="s">
        <v>48677</v>
      </c>
      <c r="AA8061" t="s">
        <v>335</v>
      </c>
      <c r="AB8061" s="2" t="s">
        <v>48678</v>
      </c>
      <c r="AD8061" s="2" t="s">
        <v>48679</v>
      </c>
      <c r="AE8061" t="s">
        <v>103</v>
      </c>
      <c r="AG8061" t="s">
        <v>48680</v>
      </c>
      <c r="AH8061" t="s">
        <v>47764</v>
      </c>
      <c r="AI8061" t="s">
        <v>48681</v>
      </c>
    </row>
    <row r="8062" spans="2:35" ht="180">
      <c r="B8062" s="1">
        <v>45057</v>
      </c>
      <c r="C8062" s="4">
        <v>45057.575694444444</v>
      </c>
      <c r="D8062" t="s">
        <v>40763</v>
      </c>
      <c r="E8062" t="s">
        <v>29325</v>
      </c>
      <c r="F8062">
        <v>6</v>
      </c>
      <c r="G8062" t="s">
        <v>1286</v>
      </c>
      <c r="H8062" t="s">
        <v>39</v>
      </c>
      <c r="I8062" t="s">
        <v>94</v>
      </c>
      <c r="J8062" t="s">
        <v>109</v>
      </c>
      <c r="K8062" t="s">
        <v>42</v>
      </c>
      <c r="L8062" t="s">
        <v>343</v>
      </c>
      <c r="Q8062">
        <v>24503</v>
      </c>
      <c r="R8062" t="s">
        <v>45</v>
      </c>
      <c r="S8062" t="s">
        <v>29327</v>
      </c>
      <c r="T8062">
        <v>33</v>
      </c>
      <c r="U8062" s="2" t="s">
        <v>48682</v>
      </c>
      <c r="W8062" t="s">
        <v>6105</v>
      </c>
      <c r="X8062">
        <v>807587</v>
      </c>
      <c r="Y8062" t="s">
        <v>301</v>
      </c>
      <c r="Z8062" t="s">
        <v>301</v>
      </c>
      <c r="AA8062" t="e">
        <f ca="1">-Preventive Maintenance</f>
        <v>#NAME?</v>
      </c>
      <c r="AB8062" t="s">
        <v>9638</v>
      </c>
      <c r="AC8062" t="s">
        <v>48683</v>
      </c>
      <c r="AG8062" t="s">
        <v>48684</v>
      </c>
      <c r="AH8062" t="s">
        <v>29332</v>
      </c>
      <c r="AI8062" t="s">
        <v>48685</v>
      </c>
    </row>
    <row r="8063" spans="2:35" ht="360">
      <c r="B8063" s="1">
        <v>45057</v>
      </c>
      <c r="C8063" s="4">
        <v>45057.595833333333</v>
      </c>
      <c r="D8063" t="s">
        <v>48686</v>
      </c>
      <c r="E8063" t="s">
        <v>48687</v>
      </c>
      <c r="F8063">
        <v>6</v>
      </c>
      <c r="G8063" t="s">
        <v>1286</v>
      </c>
      <c r="H8063" t="s">
        <v>48688</v>
      </c>
      <c r="I8063" t="s">
        <v>40</v>
      </c>
      <c r="J8063" t="s">
        <v>79</v>
      </c>
      <c r="K8063" t="s">
        <v>387</v>
      </c>
      <c r="L8063" t="s">
        <v>1288</v>
      </c>
      <c r="Q8063">
        <v>24502</v>
      </c>
      <c r="R8063" t="s">
        <v>95</v>
      </c>
      <c r="S8063" t="s">
        <v>31108</v>
      </c>
      <c r="T8063">
        <v>20</v>
      </c>
      <c r="W8063" t="s">
        <v>390</v>
      </c>
      <c r="X8063" t="s">
        <v>14171</v>
      </c>
      <c r="Y8063" t="s">
        <v>48689</v>
      </c>
      <c r="Z8063" t="e">
        <f ca="1">-PERFORM DIAGNOSIS _xludf.and CALIBRATION,passed
-PERFORM Cycle test</f>
        <v>#NAME?</v>
      </c>
      <c r="AA8063" s="2" t="s">
        <v>48690</v>
      </c>
      <c r="AB8063" t="s">
        <v>48691</v>
      </c>
      <c r="AG8063" t="s">
        <v>48692</v>
      </c>
      <c r="AH8063" t="s">
        <v>31111</v>
      </c>
      <c r="AI8063" t="s">
        <v>48693</v>
      </c>
    </row>
    <row r="8064" spans="2:35" ht="180">
      <c r="B8064" s="1">
        <v>45057</v>
      </c>
      <c r="C8064" s="4">
        <v>45057.575694444444</v>
      </c>
      <c r="D8064" t="s">
        <v>40763</v>
      </c>
      <c r="E8064" t="s">
        <v>29325</v>
      </c>
      <c r="F8064">
        <v>6</v>
      </c>
      <c r="G8064" t="s">
        <v>1286</v>
      </c>
      <c r="H8064" t="s">
        <v>39</v>
      </c>
      <c r="I8064" t="s">
        <v>94</v>
      </c>
      <c r="J8064" t="s">
        <v>109</v>
      </c>
      <c r="K8064" t="s">
        <v>42</v>
      </c>
      <c r="L8064" t="s">
        <v>343</v>
      </c>
      <c r="Q8064">
        <v>24501</v>
      </c>
      <c r="R8064" t="s">
        <v>45</v>
      </c>
      <c r="S8064" t="s">
        <v>29327</v>
      </c>
      <c r="T8064">
        <v>33</v>
      </c>
      <c r="U8064" s="2" t="s">
        <v>48682</v>
      </c>
      <c r="W8064" t="s">
        <v>6105</v>
      </c>
      <c r="X8064">
        <v>807587</v>
      </c>
      <c r="Y8064" t="s">
        <v>301</v>
      </c>
      <c r="Z8064" t="s">
        <v>301</v>
      </c>
      <c r="AA8064" t="e">
        <f ca="1">-Preventive Maintenance</f>
        <v>#NAME?</v>
      </c>
      <c r="AB8064" t="s">
        <v>9638</v>
      </c>
      <c r="AC8064" t="s">
        <v>48683</v>
      </c>
      <c r="AG8064" t="s">
        <v>48694</v>
      </c>
      <c r="AH8064" t="s">
        <v>29332</v>
      </c>
      <c r="AI8064" t="s">
        <v>48695</v>
      </c>
    </row>
    <row r="8065" spans="2:35" ht="285">
      <c r="B8065" s="1">
        <v>45057</v>
      </c>
      <c r="C8065" s="4">
        <v>45057.534722222219</v>
      </c>
      <c r="D8065" t="s">
        <v>25980</v>
      </c>
      <c r="E8065" t="s">
        <v>48696</v>
      </c>
      <c r="F8065">
        <v>3</v>
      </c>
      <c r="G8065" t="s">
        <v>174</v>
      </c>
      <c r="H8065" t="s">
        <v>39</v>
      </c>
      <c r="I8065" t="s">
        <v>40</v>
      </c>
      <c r="J8065" s="2" t="s">
        <v>190</v>
      </c>
      <c r="K8065" t="s">
        <v>42</v>
      </c>
      <c r="L8065" t="s">
        <v>175</v>
      </c>
      <c r="Q8065">
        <v>24500</v>
      </c>
      <c r="R8065" t="s">
        <v>119</v>
      </c>
      <c r="S8065" t="s">
        <v>3235</v>
      </c>
      <c r="T8065">
        <v>25</v>
      </c>
      <c r="U8065" s="2" t="s">
        <v>48697</v>
      </c>
      <c r="V8065" s="1">
        <v>45057</v>
      </c>
      <c r="W8065" t="s">
        <v>84</v>
      </c>
      <c r="X8065">
        <v>831904</v>
      </c>
      <c r="Y8065" t="e">
        <f ca="1">- module A1 ultrasonic horn _xludf.error
- module A4 temperature _xludf.error</f>
        <v>#NAME?</v>
      </c>
      <c r="Z8065" t="e">
        <f ca="1">- checked _xludf.and cleaned cartridge bay,  plunger rod, icore slot, _xludf.filter
- performed XpertCheck on A1, A4
- generated reports</f>
        <v>#NAME?</v>
      </c>
      <c r="AA8065" t="s">
        <v>45730</v>
      </c>
      <c r="AB8065" s="2" t="s">
        <v>48698</v>
      </c>
      <c r="AD8065" t="s">
        <v>7189</v>
      </c>
      <c r="AE8065" t="s">
        <v>103</v>
      </c>
      <c r="AG8065" t="s">
        <v>48699</v>
      </c>
      <c r="AH8065" t="s">
        <v>3239</v>
      </c>
      <c r="AI8065" t="s">
        <v>48700</v>
      </c>
    </row>
    <row r="8066" spans="2:35" ht="390">
      <c r="B8066" s="1">
        <v>45057</v>
      </c>
      <c r="C8066" s="4">
        <v>45055.554166666669</v>
      </c>
      <c r="D8066" t="s">
        <v>22353</v>
      </c>
      <c r="E8066" t="s">
        <v>22354</v>
      </c>
      <c r="F8066" t="s">
        <v>1255</v>
      </c>
      <c r="G8066" t="s">
        <v>1887</v>
      </c>
      <c r="H8066" t="s">
        <v>39</v>
      </c>
      <c r="I8066" t="s">
        <v>94</v>
      </c>
      <c r="J8066" s="2" t="s">
        <v>41</v>
      </c>
      <c r="K8066" t="s">
        <v>42</v>
      </c>
      <c r="L8066" t="s">
        <v>296</v>
      </c>
      <c r="Q8066">
        <v>24498</v>
      </c>
      <c r="R8066" t="s">
        <v>45</v>
      </c>
      <c r="S8066" t="s">
        <v>48701</v>
      </c>
      <c r="T8066">
        <v>29</v>
      </c>
      <c r="U8066" s="2" t="s">
        <v>48702</v>
      </c>
      <c r="V8066" s="1">
        <v>45055</v>
      </c>
      <c r="W8066" t="s">
        <v>23049</v>
      </c>
      <c r="X8066">
        <v>815490</v>
      </c>
      <c r="Y8066" t="s">
        <v>48703</v>
      </c>
      <c r="Z8066" s="2" t="s">
        <v>48704</v>
      </c>
      <c r="AA8066" s="2" t="s">
        <v>48704</v>
      </c>
      <c r="AB8066" t="s">
        <v>972</v>
      </c>
      <c r="AD8066" s="2" t="s">
        <v>48705</v>
      </c>
      <c r="AE8066" t="s">
        <v>10783</v>
      </c>
      <c r="AG8066" t="s">
        <v>48706</v>
      </c>
      <c r="AH8066" t="s">
        <v>48707</v>
      </c>
      <c r="AI8066" t="s">
        <v>48708</v>
      </c>
    </row>
    <row r="8067" spans="2:35" ht="330">
      <c r="B8067" s="1">
        <v>45057</v>
      </c>
      <c r="C8067" s="4">
        <v>45057.509722222225</v>
      </c>
      <c r="D8067" t="s">
        <v>22227</v>
      </c>
      <c r="E8067" t="s">
        <v>48319</v>
      </c>
      <c r="F8067">
        <v>12</v>
      </c>
      <c r="G8067" t="s">
        <v>978</v>
      </c>
      <c r="H8067" t="s">
        <v>39</v>
      </c>
      <c r="I8067" t="s">
        <v>94</v>
      </c>
      <c r="J8067" s="2" t="s">
        <v>1808</v>
      </c>
      <c r="K8067" t="s">
        <v>42</v>
      </c>
      <c r="L8067" t="s">
        <v>296</v>
      </c>
      <c r="Q8067">
        <v>24499</v>
      </c>
      <c r="R8067" t="s">
        <v>45</v>
      </c>
      <c r="S8067" t="s">
        <v>22228</v>
      </c>
      <c r="T8067">
        <v>27.6</v>
      </c>
      <c r="U8067" s="2" t="s">
        <v>18424</v>
      </c>
      <c r="V8067" s="1">
        <v>45057</v>
      </c>
      <c r="W8067" t="s">
        <v>23049</v>
      </c>
      <c r="X8067">
        <v>815393</v>
      </c>
      <c r="Y8067" t="s">
        <v>48709</v>
      </c>
      <c r="Z8067" s="2" t="s">
        <v>48710</v>
      </c>
      <c r="AA8067" s="2" t="s">
        <v>48710</v>
      </c>
      <c r="AB8067" t="s">
        <v>1480</v>
      </c>
      <c r="AC8067" t="s">
        <v>48711</v>
      </c>
      <c r="AD8067" t="s">
        <v>48712</v>
      </c>
      <c r="AE8067">
        <v>1000410214</v>
      </c>
      <c r="AG8067" t="s">
        <v>48713</v>
      </c>
      <c r="AH8067" t="s">
        <v>48714</v>
      </c>
      <c r="AI8067" t="s">
        <v>48715</v>
      </c>
    </row>
    <row r="8068" spans="2:35" ht="180">
      <c r="B8068" s="1">
        <v>45057</v>
      </c>
      <c r="C8068" s="4">
        <v>45056.599305555559</v>
      </c>
      <c r="D8068" t="s">
        <v>2106</v>
      </c>
      <c r="E8068" t="s">
        <v>9399</v>
      </c>
      <c r="F8068">
        <v>6</v>
      </c>
      <c r="G8068" t="s">
        <v>9400</v>
      </c>
      <c r="H8068" t="s">
        <v>39</v>
      </c>
      <c r="I8068" t="s">
        <v>94</v>
      </c>
      <c r="J8068" s="2" t="s">
        <v>760</v>
      </c>
      <c r="K8068" t="s">
        <v>42</v>
      </c>
      <c r="L8068" t="s">
        <v>343</v>
      </c>
      <c r="Q8068">
        <v>24496</v>
      </c>
      <c r="R8068" t="s">
        <v>45</v>
      </c>
      <c r="S8068" t="s">
        <v>9401</v>
      </c>
      <c r="T8068">
        <v>28</v>
      </c>
      <c r="U8068" s="2" t="s">
        <v>48716</v>
      </c>
      <c r="W8068" t="s">
        <v>6105</v>
      </c>
      <c r="X8068">
        <v>804714</v>
      </c>
      <c r="Y8068" t="s">
        <v>48717</v>
      </c>
      <c r="Z8068" t="e">
        <f ca="1">-Reset ultrasonic horn connection</f>
        <v>#NAME?</v>
      </c>
      <c r="AA8068" t="e">
        <f ca="1">-swap module C3 _xludf.and C4, Observe system _xludf.Log
-_xludf.Take a picture of the ultrasonic horn wire, front _xludf.and Back of PCB board, _xludf.and module bay
-_xludf.Return modules to Original place after gathering needed Data</f>
        <v>#NAME?</v>
      </c>
      <c r="AB8068" t="s">
        <v>48718</v>
      </c>
      <c r="AG8068" t="s">
        <v>48719</v>
      </c>
      <c r="AH8068" t="s">
        <v>39450</v>
      </c>
      <c r="AI8068" t="s">
        <v>48720</v>
      </c>
    </row>
    <row r="8069" spans="2:35" ht="180">
      <c r="B8069" s="1">
        <v>45057</v>
      </c>
      <c r="C8069" s="4">
        <v>45057.495138888888</v>
      </c>
      <c r="D8069" t="s">
        <v>48721</v>
      </c>
      <c r="E8069" t="s">
        <v>48722</v>
      </c>
      <c r="F8069">
        <v>6</v>
      </c>
      <c r="G8069" t="s">
        <v>1286</v>
      </c>
      <c r="H8069" t="s">
        <v>39</v>
      </c>
      <c r="I8069" t="s">
        <v>94</v>
      </c>
      <c r="J8069" t="s">
        <v>109</v>
      </c>
      <c r="K8069" t="s">
        <v>42</v>
      </c>
      <c r="L8069" t="s">
        <v>343</v>
      </c>
      <c r="Q8069">
        <v>24497</v>
      </c>
      <c r="R8069" t="s">
        <v>45</v>
      </c>
      <c r="S8069" t="s">
        <v>48723</v>
      </c>
      <c r="T8069">
        <v>27</v>
      </c>
      <c r="U8069" s="2" t="s">
        <v>48724</v>
      </c>
      <c r="W8069" t="s">
        <v>6105</v>
      </c>
      <c r="X8069">
        <v>838887</v>
      </c>
      <c r="Y8069" t="s">
        <v>301</v>
      </c>
      <c r="Z8069" t="s">
        <v>301</v>
      </c>
      <c r="AA8069" t="e">
        <f ca="1">-Preventive Maintenance</f>
        <v>#NAME?</v>
      </c>
      <c r="AB8069" t="s">
        <v>9638</v>
      </c>
      <c r="AC8069" t="s">
        <v>48725</v>
      </c>
      <c r="AG8069" t="s">
        <v>48726</v>
      </c>
      <c r="AH8069" t="s">
        <v>48727</v>
      </c>
      <c r="AI8069" t="s">
        <v>48728</v>
      </c>
    </row>
    <row r="8070" spans="2:35" ht="285">
      <c r="B8070" s="1">
        <v>45057</v>
      </c>
      <c r="C8070" s="4">
        <v>45057.489583333336</v>
      </c>
      <c r="D8070" t="s">
        <v>3905</v>
      </c>
      <c r="E8070" t="s">
        <v>31649</v>
      </c>
      <c r="F8070" t="s">
        <v>148</v>
      </c>
      <c r="G8070" t="s">
        <v>406</v>
      </c>
      <c r="H8070" t="s">
        <v>39</v>
      </c>
      <c r="I8070" t="s">
        <v>40</v>
      </c>
      <c r="J8070" s="2" t="s">
        <v>41</v>
      </c>
      <c r="K8070" t="s">
        <v>42</v>
      </c>
      <c r="L8070" t="s">
        <v>761</v>
      </c>
      <c r="Q8070">
        <v>24495</v>
      </c>
      <c r="R8070" t="s">
        <v>45</v>
      </c>
      <c r="S8070" t="s">
        <v>48729</v>
      </c>
      <c r="T8070">
        <v>22</v>
      </c>
      <c r="U8070" s="2" t="s">
        <v>48730</v>
      </c>
      <c r="V8070" s="1">
        <v>45057</v>
      </c>
      <c r="W8070" t="s">
        <v>666</v>
      </c>
      <c r="X8070">
        <v>814372</v>
      </c>
      <c r="Y8070" t="s">
        <v>11545</v>
      </c>
      <c r="Z8070" s="2" t="s">
        <v>48731</v>
      </c>
      <c r="AA8070" t="s">
        <v>456</v>
      </c>
      <c r="AB8070" t="s">
        <v>181</v>
      </c>
      <c r="AE8070" t="s">
        <v>48732</v>
      </c>
      <c r="AG8070" t="s">
        <v>48733</v>
      </c>
      <c r="AH8070" t="s">
        <v>48734</v>
      </c>
      <c r="AI8070" t="s">
        <v>48735</v>
      </c>
    </row>
    <row r="8071" spans="2:35" ht="195">
      <c r="B8071" s="1">
        <v>45057</v>
      </c>
      <c r="C8071" s="4">
        <v>45057.460416666669</v>
      </c>
      <c r="D8071" t="s">
        <v>340</v>
      </c>
      <c r="E8071" t="s">
        <v>340</v>
      </c>
      <c r="F8071">
        <v>8</v>
      </c>
      <c r="G8071" t="s">
        <v>342</v>
      </c>
      <c r="H8071" t="s">
        <v>2290</v>
      </c>
      <c r="I8071" t="s">
        <v>94</v>
      </c>
      <c r="J8071" t="s">
        <v>109</v>
      </c>
      <c r="K8071" t="s">
        <v>42</v>
      </c>
      <c r="L8071" t="s">
        <v>610</v>
      </c>
      <c r="Q8071">
        <v>24494</v>
      </c>
      <c r="R8071" t="s">
        <v>119</v>
      </c>
      <c r="S8071" t="s">
        <v>345</v>
      </c>
      <c r="T8071">
        <v>24</v>
      </c>
      <c r="U8071" s="2" t="s">
        <v>10790</v>
      </c>
      <c r="W8071" t="s">
        <v>502</v>
      </c>
      <c r="X8071">
        <v>838555</v>
      </c>
      <c r="Y8071" t="s">
        <v>48736</v>
      </c>
      <c r="Z8071" t="s">
        <v>122</v>
      </c>
      <c r="AA8071" s="2" t="s">
        <v>48737</v>
      </c>
      <c r="AB8071" t="s">
        <v>1263</v>
      </c>
      <c r="AG8071" t="s">
        <v>48738</v>
      </c>
      <c r="AH8071" t="s">
        <v>48739</v>
      </c>
      <c r="AI8071" t="s">
        <v>48740</v>
      </c>
    </row>
    <row r="8072" spans="2:35" ht="180">
      <c r="B8072" s="1">
        <v>45057</v>
      </c>
      <c r="C8072" s="4">
        <v>45057.457638888889</v>
      </c>
      <c r="D8072" t="s">
        <v>9762</v>
      </c>
      <c r="E8072" t="s">
        <v>9763</v>
      </c>
      <c r="F8072">
        <v>8</v>
      </c>
      <c r="G8072" t="s">
        <v>2945</v>
      </c>
      <c r="H8072" t="s">
        <v>39</v>
      </c>
      <c r="I8072" t="s">
        <v>40</v>
      </c>
      <c r="J8072" t="s">
        <v>109</v>
      </c>
      <c r="K8072" t="s">
        <v>42</v>
      </c>
      <c r="L8072" t="s">
        <v>259</v>
      </c>
      <c r="Q8072">
        <v>24493</v>
      </c>
      <c r="R8072" t="s">
        <v>119</v>
      </c>
      <c r="S8072" t="s">
        <v>14927</v>
      </c>
      <c r="T8072">
        <v>28</v>
      </c>
      <c r="U8072" s="2" t="s">
        <v>48741</v>
      </c>
      <c r="V8072" s="1">
        <v>45057</v>
      </c>
      <c r="W8072" t="s">
        <v>84</v>
      </c>
      <c r="X8072">
        <v>838548</v>
      </c>
      <c r="Y8072" t="s">
        <v>54</v>
      </c>
      <c r="Z8072" t="e">
        <f ca="1">- performed Preventive Maintenance
- performed functionality test
- Generate reports</f>
        <v>#NAME?</v>
      </c>
      <c r="AA8072" t="e">
        <f ca="1">- Preventive Maintenance</f>
        <v>#NAME?</v>
      </c>
      <c r="AB8072" t="s">
        <v>70</v>
      </c>
      <c r="AG8072" t="s">
        <v>48742</v>
      </c>
      <c r="AH8072" t="s">
        <v>22403</v>
      </c>
      <c r="AI8072" t="s">
        <v>48743</v>
      </c>
    </row>
    <row r="8073" spans="2:35" ht="285">
      <c r="B8073" s="1">
        <v>45057</v>
      </c>
      <c r="C8073" s="4">
        <v>45057.443055555559</v>
      </c>
      <c r="D8073" t="s">
        <v>7751</v>
      </c>
      <c r="E8073" t="s">
        <v>7752</v>
      </c>
      <c r="F8073">
        <v>13</v>
      </c>
      <c r="G8073" t="s">
        <v>4484</v>
      </c>
      <c r="H8073" t="s">
        <v>2125</v>
      </c>
      <c r="I8073" t="s">
        <v>40</v>
      </c>
      <c r="J8073" s="2" t="s">
        <v>1444</v>
      </c>
      <c r="K8073" t="s">
        <v>42</v>
      </c>
      <c r="L8073" t="s">
        <v>933</v>
      </c>
      <c r="Q8073">
        <v>24492</v>
      </c>
      <c r="R8073" t="s">
        <v>119</v>
      </c>
      <c r="S8073" t="s">
        <v>11316</v>
      </c>
      <c r="T8073">
        <v>27.67</v>
      </c>
      <c r="U8073" s="2" t="s">
        <v>48744</v>
      </c>
      <c r="W8073" t="s">
        <v>3662</v>
      </c>
      <c r="X8073">
        <v>838403</v>
      </c>
      <c r="Y8073" s="2" t="s">
        <v>48745</v>
      </c>
      <c r="Z8073" t="s">
        <v>301</v>
      </c>
      <c r="AA8073" t="s">
        <v>48746</v>
      </c>
      <c r="AB8073" s="2" t="s">
        <v>48747</v>
      </c>
      <c r="AG8073" t="s">
        <v>48748</v>
      </c>
      <c r="AH8073" t="s">
        <v>11318</v>
      </c>
      <c r="AI8073" t="s">
        <v>48749</v>
      </c>
    </row>
    <row r="8074" spans="2:35" ht="285">
      <c r="B8074" s="1">
        <v>45057</v>
      </c>
      <c r="C8074" s="4">
        <v>45057.436111111114</v>
      </c>
      <c r="D8074" t="s">
        <v>48750</v>
      </c>
      <c r="E8074" t="s">
        <v>44951</v>
      </c>
      <c r="F8074">
        <v>6</v>
      </c>
      <c r="G8074" t="s">
        <v>1286</v>
      </c>
      <c r="H8074" t="s">
        <v>10969</v>
      </c>
      <c r="I8074" t="s">
        <v>40</v>
      </c>
      <c r="J8074" t="s">
        <v>321</v>
      </c>
      <c r="K8074" t="s">
        <v>42</v>
      </c>
      <c r="L8074" t="s">
        <v>1288</v>
      </c>
      <c r="Q8074">
        <v>24491</v>
      </c>
      <c r="R8074" t="s">
        <v>45</v>
      </c>
      <c r="S8074" t="s">
        <v>48751</v>
      </c>
      <c r="T8074">
        <v>30</v>
      </c>
      <c r="U8074" s="2" t="s">
        <v>48752</v>
      </c>
      <c r="W8074" t="s">
        <v>1292</v>
      </c>
      <c r="X8074">
        <v>838869</v>
      </c>
      <c r="Y8074" t="s">
        <v>48753</v>
      </c>
      <c r="Z8074" t="s">
        <v>48754</v>
      </c>
      <c r="AA8074" t="s">
        <v>48755</v>
      </c>
      <c r="AB8074" t="s">
        <v>1293</v>
      </c>
      <c r="AC8074" t="e">
        <f ca="1">-Barcode scanner, printer, _xludf.and UPS to FOLLOW</f>
        <v>#NAME?</v>
      </c>
      <c r="AG8074" t="s">
        <v>48756</v>
      </c>
      <c r="AH8074" t="s">
        <v>48757</v>
      </c>
      <c r="AI8074" t="s">
        <v>48758</v>
      </c>
    </row>
    <row r="8075" spans="2:35" ht="285">
      <c r="B8075" s="1">
        <v>45056</v>
      </c>
      <c r="C8075" s="4">
        <v>45056.568055555559</v>
      </c>
      <c r="D8075" t="s">
        <v>12198</v>
      </c>
      <c r="E8075" t="s">
        <v>48759</v>
      </c>
      <c r="F8075" t="s">
        <v>148</v>
      </c>
      <c r="G8075" t="s">
        <v>310</v>
      </c>
      <c r="H8075" t="s">
        <v>870</v>
      </c>
      <c r="I8075" t="s">
        <v>40</v>
      </c>
      <c r="J8075" t="s">
        <v>109</v>
      </c>
      <c r="K8075" t="s">
        <v>42</v>
      </c>
      <c r="L8075" t="s">
        <v>1943</v>
      </c>
      <c r="Q8075">
        <v>24490</v>
      </c>
      <c r="R8075" t="s">
        <v>45</v>
      </c>
      <c r="S8075" t="s">
        <v>48760</v>
      </c>
      <c r="T8075">
        <v>25</v>
      </c>
      <c r="U8075" s="2" t="s">
        <v>48761</v>
      </c>
      <c r="W8075" t="s">
        <v>84</v>
      </c>
      <c r="X8075">
        <v>802511</v>
      </c>
      <c r="Y8075" t="s">
        <v>28970</v>
      </c>
      <c r="Z8075" s="2" t="s">
        <v>48762</v>
      </c>
      <c r="AA8075" t="s">
        <v>29419</v>
      </c>
      <c r="AB8075" t="s">
        <v>88</v>
      </c>
      <c r="AG8075" t="s">
        <v>48763</v>
      </c>
      <c r="AH8075" t="s">
        <v>48764</v>
      </c>
      <c r="AI8075" t="s">
        <v>48765</v>
      </c>
    </row>
    <row r="8076" spans="2:35" ht="285">
      <c r="B8076" s="1">
        <v>45056</v>
      </c>
      <c r="C8076" s="4">
        <v>45056.56527777778</v>
      </c>
      <c r="D8076" t="s">
        <v>12198</v>
      </c>
      <c r="E8076" t="s">
        <v>48759</v>
      </c>
      <c r="F8076" t="s">
        <v>148</v>
      </c>
      <c r="G8076" t="s">
        <v>310</v>
      </c>
      <c r="H8076" t="s">
        <v>870</v>
      </c>
      <c r="I8076" t="s">
        <v>40</v>
      </c>
      <c r="J8076" s="2" t="s">
        <v>41</v>
      </c>
      <c r="K8076" t="s">
        <v>42</v>
      </c>
      <c r="L8076" t="s">
        <v>1943</v>
      </c>
      <c r="Q8076">
        <v>24490</v>
      </c>
      <c r="R8076" t="s">
        <v>45</v>
      </c>
      <c r="S8076" t="s">
        <v>48760</v>
      </c>
      <c r="T8076">
        <v>25</v>
      </c>
      <c r="U8076" s="2" t="s">
        <v>48761</v>
      </c>
      <c r="V8076" s="1">
        <v>45054</v>
      </c>
      <c r="W8076" t="s">
        <v>84</v>
      </c>
      <c r="X8076">
        <v>838145</v>
      </c>
      <c r="Y8076" s="2" t="s">
        <v>37579</v>
      </c>
      <c r="Z8076" s="2" t="s">
        <v>48766</v>
      </c>
      <c r="AA8076" t="s">
        <v>22330</v>
      </c>
      <c r="AB8076" t="s">
        <v>88</v>
      </c>
      <c r="AD8076" t="s">
        <v>48767</v>
      </c>
      <c r="AE8076" t="s">
        <v>8904</v>
      </c>
      <c r="AG8076" t="s">
        <v>48768</v>
      </c>
      <c r="AH8076" t="s">
        <v>48764</v>
      </c>
      <c r="AI8076" t="s">
        <v>48769</v>
      </c>
    </row>
    <row r="8077" spans="2:35" ht="409.5">
      <c r="B8077" s="1">
        <v>45056</v>
      </c>
      <c r="C8077" s="4">
        <v>45055.663194444445</v>
      </c>
      <c r="D8077" t="s">
        <v>26193</v>
      </c>
      <c r="E8077" t="s">
        <v>48770</v>
      </c>
      <c r="F8077">
        <v>3</v>
      </c>
      <c r="G8077" t="s">
        <v>284</v>
      </c>
      <c r="H8077" t="s">
        <v>39</v>
      </c>
      <c r="I8077" t="s">
        <v>40</v>
      </c>
      <c r="J8077" s="2" t="s">
        <v>62</v>
      </c>
      <c r="K8077" t="s">
        <v>42</v>
      </c>
      <c r="L8077" t="s">
        <v>135</v>
      </c>
      <c r="Q8077">
        <v>24487</v>
      </c>
      <c r="R8077" t="s">
        <v>45</v>
      </c>
      <c r="S8077" t="s">
        <v>26195</v>
      </c>
      <c r="T8077">
        <v>29</v>
      </c>
      <c r="U8077" s="2" t="s">
        <v>48771</v>
      </c>
      <c r="V8077" s="1">
        <v>45043</v>
      </c>
      <c r="W8077" t="s">
        <v>3418</v>
      </c>
      <c r="X8077">
        <v>835102</v>
      </c>
      <c r="Y8077" t="s">
        <v>1751</v>
      </c>
      <c r="Z8077" s="2" t="s">
        <v>28879</v>
      </c>
      <c r="AA8077" s="2" t="s">
        <v>31375</v>
      </c>
      <c r="AB8077" t="s">
        <v>181</v>
      </c>
      <c r="AC8077" t="s">
        <v>34421</v>
      </c>
      <c r="AD8077" t="s">
        <v>34422</v>
      </c>
      <c r="AE8077">
        <v>40648</v>
      </c>
      <c r="AG8077" t="s">
        <v>48772</v>
      </c>
      <c r="AH8077" t="s">
        <v>26203</v>
      </c>
      <c r="AI8077" t="s">
        <v>48773</v>
      </c>
    </row>
    <row r="8078" spans="2:35" ht="90">
      <c r="B8078" s="1">
        <v>45056</v>
      </c>
      <c r="C8078" s="4">
        <v>45054.602083333331</v>
      </c>
      <c r="D8078" t="s">
        <v>7038</v>
      </c>
      <c r="E8078" t="s">
        <v>7318</v>
      </c>
      <c r="F8078">
        <v>1</v>
      </c>
      <c r="G8078" t="s">
        <v>1046</v>
      </c>
      <c r="H8078" t="s">
        <v>48774</v>
      </c>
      <c r="I8078" t="s">
        <v>40</v>
      </c>
      <c r="J8078" s="2" t="s">
        <v>62</v>
      </c>
      <c r="K8078" t="s">
        <v>42</v>
      </c>
      <c r="L8078" t="s">
        <v>135</v>
      </c>
      <c r="Q8078">
        <v>24488</v>
      </c>
      <c r="R8078" t="s">
        <v>119</v>
      </c>
      <c r="S8078" t="s">
        <v>7040</v>
      </c>
      <c r="T8078">
        <v>30</v>
      </c>
      <c r="U8078" s="2" t="s">
        <v>48775</v>
      </c>
      <c r="W8078" t="s">
        <v>2680</v>
      </c>
      <c r="X8078">
        <v>838278</v>
      </c>
      <c r="Y8078" t="s">
        <v>48776</v>
      </c>
      <c r="Z8078" t="s">
        <v>4487</v>
      </c>
      <c r="AA8078" t="s">
        <v>2322</v>
      </c>
      <c r="AB8078" t="s">
        <v>48777</v>
      </c>
      <c r="AC8078" t="s">
        <v>48778</v>
      </c>
      <c r="AG8078" t="s">
        <v>48779</v>
      </c>
      <c r="AH8078" t="s">
        <v>9358</v>
      </c>
      <c r="AI8078" t="s">
        <v>48780</v>
      </c>
    </row>
    <row r="8079" spans="2:35" ht="409.5">
      <c r="B8079" s="1">
        <v>45056</v>
      </c>
      <c r="C8079" s="4">
        <v>45054.524305555555</v>
      </c>
      <c r="D8079" t="s">
        <v>48781</v>
      </c>
      <c r="E8079" t="s">
        <v>48782</v>
      </c>
      <c r="F8079">
        <v>1</v>
      </c>
      <c r="G8079" t="s">
        <v>1046</v>
      </c>
      <c r="H8079" t="s">
        <v>39</v>
      </c>
      <c r="I8079" t="s">
        <v>40</v>
      </c>
      <c r="J8079" s="2" t="s">
        <v>62</v>
      </c>
      <c r="K8079" t="s">
        <v>42</v>
      </c>
      <c r="L8079" t="s">
        <v>135</v>
      </c>
      <c r="Q8079">
        <v>24489</v>
      </c>
      <c r="R8079" t="s">
        <v>45</v>
      </c>
      <c r="S8079" t="s">
        <v>24598</v>
      </c>
      <c r="T8079">
        <v>30</v>
      </c>
      <c r="U8079" s="2" t="s">
        <v>48783</v>
      </c>
      <c r="V8079" s="1">
        <v>45043</v>
      </c>
      <c r="W8079" t="s">
        <v>3418</v>
      </c>
      <c r="X8079">
        <v>834837</v>
      </c>
      <c r="Y8079" t="s">
        <v>1751</v>
      </c>
      <c r="Z8079" s="2" t="s">
        <v>2143</v>
      </c>
      <c r="AA8079" s="2" t="s">
        <v>31375</v>
      </c>
      <c r="AB8079" t="s">
        <v>181</v>
      </c>
      <c r="AC8079" t="s">
        <v>8019</v>
      </c>
      <c r="AD8079" t="s">
        <v>34422</v>
      </c>
      <c r="AE8079">
        <v>40639</v>
      </c>
      <c r="AG8079" t="s">
        <v>48784</v>
      </c>
      <c r="AH8079" t="s">
        <v>48785</v>
      </c>
      <c r="AI8079" t="s">
        <v>48786</v>
      </c>
    </row>
    <row r="8080" spans="2:35" ht="409.5">
      <c r="B8080" s="1">
        <v>45056</v>
      </c>
      <c r="C8080" s="4">
        <v>45056.629166666666</v>
      </c>
      <c r="D8080" t="s">
        <v>18588</v>
      </c>
      <c r="E8080" t="s">
        <v>18254</v>
      </c>
      <c r="F8080">
        <v>6</v>
      </c>
      <c r="G8080" t="s">
        <v>1234</v>
      </c>
      <c r="H8080" t="s">
        <v>39</v>
      </c>
      <c r="I8080" t="s">
        <v>40</v>
      </c>
      <c r="J8080" s="2" t="s">
        <v>62</v>
      </c>
      <c r="K8080" t="s">
        <v>42</v>
      </c>
      <c r="L8080" t="s">
        <v>433</v>
      </c>
      <c r="Q8080">
        <v>24486</v>
      </c>
      <c r="R8080" t="s">
        <v>95</v>
      </c>
      <c r="S8080" t="s">
        <v>35186</v>
      </c>
      <c r="T8080">
        <v>23</v>
      </c>
      <c r="U8080" s="2" t="s">
        <v>48787</v>
      </c>
      <c r="W8080" t="s">
        <v>1008</v>
      </c>
      <c r="X8080">
        <v>110005268</v>
      </c>
      <c r="Y8080" t="s">
        <v>48788</v>
      </c>
      <c r="Z8080" t="s">
        <v>48789</v>
      </c>
      <c r="AA8080" t="s">
        <v>18765</v>
      </c>
      <c r="AB8080" t="s">
        <v>1011</v>
      </c>
      <c r="AG8080" t="s">
        <v>48790</v>
      </c>
      <c r="AH8080" t="s">
        <v>48791</v>
      </c>
      <c r="AI8080" t="s">
        <v>48792</v>
      </c>
    </row>
    <row r="8081" spans="2:35" ht="90">
      <c r="B8081" s="1">
        <v>45056</v>
      </c>
      <c r="C8081" s="4">
        <v>45056.633333333331</v>
      </c>
      <c r="D8081" t="s">
        <v>2489</v>
      </c>
      <c r="E8081" t="s">
        <v>48793</v>
      </c>
      <c r="F8081">
        <v>8</v>
      </c>
      <c r="G8081" t="s">
        <v>342</v>
      </c>
      <c r="H8081" t="s">
        <v>2290</v>
      </c>
      <c r="I8081" t="s">
        <v>94</v>
      </c>
      <c r="J8081" t="s">
        <v>321</v>
      </c>
      <c r="K8081" t="s">
        <v>42</v>
      </c>
      <c r="L8081" t="s">
        <v>610</v>
      </c>
      <c r="Q8081">
        <v>24485</v>
      </c>
      <c r="R8081" t="s">
        <v>45</v>
      </c>
      <c r="S8081" t="s">
        <v>2492</v>
      </c>
      <c r="T8081">
        <v>24</v>
      </c>
      <c r="U8081" s="2" t="s">
        <v>48794</v>
      </c>
      <c r="W8081" t="s">
        <v>502</v>
      </c>
      <c r="X8081">
        <v>838143</v>
      </c>
      <c r="Y8081" t="s">
        <v>48795</v>
      </c>
      <c r="Z8081" t="s">
        <v>48796</v>
      </c>
      <c r="AA8081" t="s">
        <v>48797</v>
      </c>
      <c r="AB8081" t="s">
        <v>1263</v>
      </c>
      <c r="AG8081" t="s">
        <v>48798</v>
      </c>
      <c r="AH8081" t="s">
        <v>48799</v>
      </c>
      <c r="AI8081" t="s">
        <v>48800</v>
      </c>
    </row>
    <row r="8082" spans="2:35" ht="409.5">
      <c r="B8082" s="1">
        <v>45056</v>
      </c>
      <c r="C8082" s="4">
        <v>45056.571527777778</v>
      </c>
      <c r="D8082" t="s">
        <v>5474</v>
      </c>
      <c r="E8082" t="s">
        <v>2310</v>
      </c>
      <c r="F8082" t="s">
        <v>148</v>
      </c>
      <c r="G8082" t="s">
        <v>2007</v>
      </c>
      <c r="H8082" t="s">
        <v>61</v>
      </c>
      <c r="I8082" t="s">
        <v>40</v>
      </c>
      <c r="J8082" t="s">
        <v>109</v>
      </c>
      <c r="K8082" t="s">
        <v>42</v>
      </c>
      <c r="L8082" t="s">
        <v>175</v>
      </c>
      <c r="Q8082">
        <v>24484</v>
      </c>
      <c r="R8082" t="s">
        <v>95</v>
      </c>
      <c r="S8082" t="s">
        <v>48801</v>
      </c>
      <c r="T8082">
        <v>25</v>
      </c>
      <c r="U8082" s="2" t="s">
        <v>48802</v>
      </c>
      <c r="V8082" s="1">
        <v>45056</v>
      </c>
      <c r="W8082" t="s">
        <v>84</v>
      </c>
      <c r="X8082">
        <v>110001647</v>
      </c>
      <c r="Y8082" t="s">
        <v>48803</v>
      </c>
      <c r="Z8082" t="e">
        <f ca="1">- checked _xludf.and cleaned cartridge bay, plunger rod, icore slot, _xludf.filter
- performed self test
- generated reports</f>
        <v>#NAME?</v>
      </c>
      <c r="AA8082" t="s">
        <v>122</v>
      </c>
      <c r="AB8082" t="s">
        <v>88</v>
      </c>
      <c r="AD8082" t="s">
        <v>7189</v>
      </c>
      <c r="AE8082">
        <v>9977</v>
      </c>
      <c r="AG8082" t="s">
        <v>48804</v>
      </c>
      <c r="AH8082" t="s">
        <v>48805</v>
      </c>
      <c r="AI8082" t="s">
        <v>48806</v>
      </c>
    </row>
    <row r="8083" spans="2:35" ht="270">
      <c r="B8083" s="1">
        <v>45056</v>
      </c>
      <c r="C8083" s="4">
        <v>45056.568749999999</v>
      </c>
      <c r="D8083" t="s">
        <v>48807</v>
      </c>
      <c r="E8083" t="s">
        <v>48808</v>
      </c>
      <c r="F8083">
        <v>2</v>
      </c>
      <c r="G8083" t="s">
        <v>2723</v>
      </c>
      <c r="H8083" t="s">
        <v>39</v>
      </c>
      <c r="I8083" t="s">
        <v>40</v>
      </c>
      <c r="J8083" t="s">
        <v>109</v>
      </c>
      <c r="K8083" t="s">
        <v>42</v>
      </c>
      <c r="L8083" t="s">
        <v>63</v>
      </c>
      <c r="Q8083">
        <v>24483</v>
      </c>
      <c r="R8083" t="s">
        <v>45</v>
      </c>
      <c r="S8083" t="s">
        <v>2724</v>
      </c>
      <c r="T8083">
        <v>24</v>
      </c>
      <c r="U8083" s="2" t="s">
        <v>48809</v>
      </c>
      <c r="V8083" s="1">
        <v>45056</v>
      </c>
      <c r="W8083" t="s">
        <v>26915</v>
      </c>
      <c r="X8083">
        <v>808628</v>
      </c>
      <c r="Y8083" t="s">
        <v>48810</v>
      </c>
      <c r="Z8083" t="s">
        <v>48811</v>
      </c>
      <c r="AA8083" s="2" t="s">
        <v>1727</v>
      </c>
      <c r="AB8083" t="s">
        <v>70</v>
      </c>
      <c r="AC8083" t="s">
        <v>48812</v>
      </c>
      <c r="AD8083" t="s">
        <v>1716</v>
      </c>
      <c r="AE8083" t="s">
        <v>1716</v>
      </c>
      <c r="AG8083" t="s">
        <v>48813</v>
      </c>
      <c r="AH8083" t="s">
        <v>48814</v>
      </c>
      <c r="AI8083" t="s">
        <v>48815</v>
      </c>
    </row>
    <row r="8084" spans="2:35" ht="270">
      <c r="B8084" s="1">
        <v>45056</v>
      </c>
      <c r="C8084" s="4">
        <v>45056.564583333333</v>
      </c>
      <c r="D8084" t="s">
        <v>48807</v>
      </c>
      <c r="E8084" t="s">
        <v>48808</v>
      </c>
      <c r="F8084">
        <v>2</v>
      </c>
      <c r="G8084" t="s">
        <v>2723</v>
      </c>
      <c r="H8084" t="s">
        <v>39</v>
      </c>
      <c r="I8084" t="s">
        <v>40</v>
      </c>
      <c r="J8084" s="2" t="s">
        <v>41</v>
      </c>
      <c r="K8084" t="s">
        <v>42</v>
      </c>
      <c r="L8084" t="s">
        <v>63</v>
      </c>
      <c r="Q8084">
        <v>24482</v>
      </c>
      <c r="R8084" t="s">
        <v>45</v>
      </c>
      <c r="S8084" t="s">
        <v>2724</v>
      </c>
      <c r="T8084">
        <v>24</v>
      </c>
      <c r="U8084" s="2" t="s">
        <v>48809</v>
      </c>
      <c r="V8084" s="1">
        <v>45056</v>
      </c>
      <c r="W8084" t="s">
        <v>26915</v>
      </c>
      <c r="X8084">
        <v>834434</v>
      </c>
      <c r="Y8084" t="s">
        <v>1716</v>
      </c>
      <c r="Z8084" t="s">
        <v>1716</v>
      </c>
      <c r="AA8084" s="2" t="s">
        <v>39935</v>
      </c>
      <c r="AB8084" t="s">
        <v>70</v>
      </c>
      <c r="AC8084" t="s">
        <v>48816</v>
      </c>
      <c r="AD8084" t="s">
        <v>48817</v>
      </c>
      <c r="AE8084" t="s">
        <v>1716</v>
      </c>
      <c r="AG8084" t="s">
        <v>48818</v>
      </c>
      <c r="AH8084" t="s">
        <v>48814</v>
      </c>
      <c r="AI8084" t="s">
        <v>48819</v>
      </c>
    </row>
    <row r="8085" spans="2:35" ht="255">
      <c r="B8085" s="1">
        <v>45056</v>
      </c>
      <c r="C8085" s="4">
        <v>45056.555555555555</v>
      </c>
      <c r="D8085" t="s">
        <v>48807</v>
      </c>
      <c r="E8085" t="s">
        <v>48808</v>
      </c>
      <c r="F8085">
        <v>2</v>
      </c>
      <c r="G8085" t="s">
        <v>2723</v>
      </c>
      <c r="H8085" t="s">
        <v>39</v>
      </c>
      <c r="I8085" t="s">
        <v>40</v>
      </c>
      <c r="J8085" s="2" t="s">
        <v>1592</v>
      </c>
      <c r="K8085" t="s">
        <v>42</v>
      </c>
      <c r="L8085" t="s">
        <v>63</v>
      </c>
      <c r="Q8085">
        <v>24481</v>
      </c>
      <c r="R8085" t="s">
        <v>45</v>
      </c>
      <c r="S8085" t="s">
        <v>2724</v>
      </c>
      <c r="T8085">
        <v>23</v>
      </c>
      <c r="U8085" s="2" t="s">
        <v>48820</v>
      </c>
      <c r="V8085" s="1">
        <v>45056</v>
      </c>
      <c r="W8085" t="s">
        <v>29795</v>
      </c>
      <c r="X8085">
        <v>842894</v>
      </c>
      <c r="Y8085" t="s">
        <v>48821</v>
      </c>
      <c r="Z8085" t="s">
        <v>48822</v>
      </c>
      <c r="AA8085" s="2" t="s">
        <v>39935</v>
      </c>
      <c r="AB8085" t="s">
        <v>48823</v>
      </c>
      <c r="AC8085" t="s">
        <v>48824</v>
      </c>
      <c r="AD8085" t="s">
        <v>48825</v>
      </c>
      <c r="AE8085" t="s">
        <v>1716</v>
      </c>
      <c r="AG8085" t="s">
        <v>48826</v>
      </c>
      <c r="AH8085" t="s">
        <v>48814</v>
      </c>
      <c r="AI8085" t="s">
        <v>48827</v>
      </c>
    </row>
    <row r="8086" spans="2:35" ht="180">
      <c r="B8086" s="1">
        <v>45056</v>
      </c>
      <c r="C8086" s="4">
        <v>45056.510416666664</v>
      </c>
      <c r="D8086" t="s">
        <v>8654</v>
      </c>
      <c r="E8086" t="s">
        <v>8655</v>
      </c>
      <c r="F8086">
        <v>8</v>
      </c>
      <c r="G8086" t="s">
        <v>257</v>
      </c>
      <c r="H8086" t="s">
        <v>39</v>
      </c>
      <c r="I8086" t="s">
        <v>40</v>
      </c>
      <c r="J8086" t="s">
        <v>109</v>
      </c>
      <c r="K8086" t="s">
        <v>42</v>
      </c>
      <c r="L8086" t="s">
        <v>259</v>
      </c>
      <c r="Q8086">
        <v>24480</v>
      </c>
      <c r="R8086" t="s">
        <v>119</v>
      </c>
      <c r="S8086" t="s">
        <v>8656</v>
      </c>
      <c r="T8086">
        <v>27</v>
      </c>
      <c r="U8086" s="2" t="s">
        <v>48828</v>
      </c>
      <c r="V8086" s="1">
        <v>45056</v>
      </c>
      <c r="W8086" t="s">
        <v>84</v>
      </c>
      <c r="X8086">
        <v>838409</v>
      </c>
      <c r="Y8086" t="s">
        <v>1716</v>
      </c>
      <c r="Z8086" t="e">
        <f ca="1">- Preventive Maintenance
- Generate reports</f>
        <v>#NAME?</v>
      </c>
      <c r="AA8086" t="e">
        <f ca="1">- Preventive Maintenance</f>
        <v>#NAME?</v>
      </c>
      <c r="AB8086" t="s">
        <v>70</v>
      </c>
      <c r="AG8086" t="s">
        <v>48829</v>
      </c>
      <c r="AH8086" t="s">
        <v>9871</v>
      </c>
      <c r="AI8086" t="s">
        <v>48830</v>
      </c>
    </row>
    <row r="8087" spans="2:35" ht="285">
      <c r="B8087" s="1">
        <v>45056</v>
      </c>
      <c r="C8087" s="4">
        <v>45056.476388888892</v>
      </c>
      <c r="D8087" t="s">
        <v>45048</v>
      </c>
      <c r="E8087" t="s">
        <v>45049</v>
      </c>
      <c r="F8087">
        <v>6</v>
      </c>
      <c r="G8087" t="s">
        <v>1286</v>
      </c>
      <c r="H8087" t="s">
        <v>10969</v>
      </c>
      <c r="I8087" t="s">
        <v>40</v>
      </c>
      <c r="J8087" s="2" t="s">
        <v>41</v>
      </c>
      <c r="K8087" t="s">
        <v>42</v>
      </c>
      <c r="L8087" t="s">
        <v>1288</v>
      </c>
      <c r="Q8087">
        <v>24479</v>
      </c>
      <c r="R8087" t="s">
        <v>45</v>
      </c>
      <c r="S8087" t="s">
        <v>44760</v>
      </c>
      <c r="T8087">
        <v>28</v>
      </c>
      <c r="U8087" s="2" t="s">
        <v>48831</v>
      </c>
      <c r="W8087" t="s">
        <v>1292</v>
      </c>
      <c r="X8087">
        <v>807555</v>
      </c>
      <c r="Y8087" t="s">
        <v>10200</v>
      </c>
      <c r="Z8087" t="e">
        <f ca="1">-COLLECT IQR, system _xludf.Log, _xludf.and ARCHIVE</f>
        <v>#NAME?</v>
      </c>
      <c r="AA8087" s="2" t="s">
        <v>48832</v>
      </c>
      <c r="AB8087" t="e">
        <f ca="1">-EQUIPMENT is operational</f>
        <v>#NAME?</v>
      </c>
      <c r="AG8087" t="s">
        <v>48833</v>
      </c>
      <c r="AH8087" t="s">
        <v>48834</v>
      </c>
      <c r="AI8087" t="s">
        <v>48835</v>
      </c>
    </row>
    <row r="8088" spans="2:35" ht="45">
      <c r="B8088" s="1">
        <v>45056</v>
      </c>
      <c r="C8088" s="4">
        <v>45056.470833333333</v>
      </c>
      <c r="D8088" t="s">
        <v>11901</v>
      </c>
      <c r="E8088" t="s">
        <v>7772</v>
      </c>
      <c r="F8088">
        <v>6</v>
      </c>
      <c r="G8088" t="s">
        <v>1234</v>
      </c>
      <c r="H8088" t="s">
        <v>39</v>
      </c>
      <c r="I8088" t="s">
        <v>40</v>
      </c>
      <c r="J8088" s="2" t="s">
        <v>1370</v>
      </c>
      <c r="K8088" t="s">
        <v>42</v>
      </c>
      <c r="L8088" t="s">
        <v>433</v>
      </c>
      <c r="Q8088">
        <v>24478</v>
      </c>
      <c r="R8088" t="s">
        <v>45</v>
      </c>
      <c r="S8088" t="s">
        <v>34236</v>
      </c>
      <c r="T8088">
        <v>26</v>
      </c>
      <c r="W8088" t="s">
        <v>2384</v>
      </c>
      <c r="X8088">
        <v>804267</v>
      </c>
      <c r="Y8088" t="s">
        <v>48836</v>
      </c>
      <c r="Z8088" t="s">
        <v>48837</v>
      </c>
      <c r="AA8088" t="s">
        <v>48837</v>
      </c>
      <c r="AB8088" t="s">
        <v>1011</v>
      </c>
      <c r="AG8088" t="s">
        <v>48838</v>
      </c>
      <c r="AH8088" t="s">
        <v>29197</v>
      </c>
      <c r="AI8088" t="s">
        <v>48839</v>
      </c>
    </row>
    <row r="8089" spans="2:35" ht="225">
      <c r="B8089" s="1">
        <v>45056</v>
      </c>
      <c r="C8089" s="4">
        <v>45056.45</v>
      </c>
      <c r="D8089" t="s">
        <v>46743</v>
      </c>
      <c r="E8089" t="s">
        <v>48840</v>
      </c>
      <c r="F8089" t="s">
        <v>148</v>
      </c>
      <c r="G8089" t="s">
        <v>230</v>
      </c>
      <c r="H8089" t="s">
        <v>39</v>
      </c>
      <c r="I8089" t="s">
        <v>40</v>
      </c>
      <c r="J8089" s="2" t="s">
        <v>62</v>
      </c>
      <c r="K8089" t="s">
        <v>42</v>
      </c>
      <c r="L8089" t="s">
        <v>761</v>
      </c>
      <c r="Q8089">
        <v>24477</v>
      </c>
      <c r="R8089" t="s">
        <v>703</v>
      </c>
      <c r="S8089" t="s">
        <v>46744</v>
      </c>
      <c r="T8089">
        <v>28</v>
      </c>
      <c r="U8089" s="2" t="s">
        <v>48841</v>
      </c>
      <c r="V8089" s="1">
        <v>45054</v>
      </c>
      <c r="W8089" t="s">
        <v>360</v>
      </c>
      <c r="X8089">
        <v>110008415</v>
      </c>
      <c r="Y8089" t="s">
        <v>48842</v>
      </c>
      <c r="Z8089" s="2" t="s">
        <v>48843</v>
      </c>
      <c r="AA8089" t="s">
        <v>999</v>
      </c>
      <c r="AB8089" s="2" t="s">
        <v>48844</v>
      </c>
      <c r="AD8089" t="s">
        <v>20036</v>
      </c>
      <c r="AE8089">
        <v>9973</v>
      </c>
      <c r="AG8089" t="s">
        <v>48845</v>
      </c>
      <c r="AH8089" t="s">
        <v>21204</v>
      </c>
      <c r="AI8089" t="s">
        <v>48846</v>
      </c>
    </row>
    <row r="8090" spans="2:35" ht="195">
      <c r="B8090" s="1">
        <v>45056</v>
      </c>
      <c r="C8090" s="4">
        <v>45056.447916666664</v>
      </c>
      <c r="D8090" t="s">
        <v>48847</v>
      </c>
      <c r="E8090" t="s">
        <v>48848</v>
      </c>
      <c r="F8090" t="s">
        <v>148</v>
      </c>
      <c r="G8090" t="s">
        <v>544</v>
      </c>
      <c r="H8090" t="s">
        <v>39</v>
      </c>
      <c r="I8090" t="s">
        <v>40</v>
      </c>
      <c r="J8090" s="2" t="s">
        <v>41</v>
      </c>
      <c r="K8090" t="s">
        <v>42</v>
      </c>
      <c r="L8090" t="s">
        <v>15532</v>
      </c>
      <c r="Q8090">
        <v>24476</v>
      </c>
      <c r="R8090" t="s">
        <v>703</v>
      </c>
      <c r="S8090" t="s">
        <v>15445</v>
      </c>
      <c r="T8090">
        <v>27</v>
      </c>
      <c r="U8090" s="2" t="s">
        <v>9889</v>
      </c>
      <c r="V8090" s="1">
        <v>45054</v>
      </c>
      <c r="W8090" t="s">
        <v>3244</v>
      </c>
      <c r="X8090">
        <v>110008418</v>
      </c>
      <c r="Y8090" t="s">
        <v>48849</v>
      </c>
      <c r="Z8090" s="2" t="s">
        <v>48850</v>
      </c>
      <c r="AA8090" s="2" t="s">
        <v>48851</v>
      </c>
      <c r="AB8090" t="s">
        <v>48852</v>
      </c>
      <c r="AD8090" t="s">
        <v>40913</v>
      </c>
      <c r="AE8090">
        <v>9977</v>
      </c>
      <c r="AG8090" t="s">
        <v>48853</v>
      </c>
      <c r="AH8090" t="s">
        <v>15448</v>
      </c>
      <c r="AI8090" t="s">
        <v>48854</v>
      </c>
    </row>
    <row r="8091" spans="2:35" ht="180">
      <c r="B8091" s="1">
        <v>45056</v>
      </c>
      <c r="C8091" s="4">
        <v>45056.45</v>
      </c>
      <c r="D8091" t="s">
        <v>46743</v>
      </c>
      <c r="E8091" t="s">
        <v>48855</v>
      </c>
      <c r="F8091" t="s">
        <v>148</v>
      </c>
      <c r="G8091" t="s">
        <v>230</v>
      </c>
      <c r="H8091" t="s">
        <v>39</v>
      </c>
      <c r="I8091" t="s">
        <v>40</v>
      </c>
      <c r="J8091" s="2" t="s">
        <v>62</v>
      </c>
      <c r="K8091" t="s">
        <v>42</v>
      </c>
      <c r="L8091" t="s">
        <v>175</v>
      </c>
      <c r="Q8091">
        <v>24475</v>
      </c>
      <c r="R8091" t="s">
        <v>703</v>
      </c>
      <c r="S8091" t="s">
        <v>46744</v>
      </c>
      <c r="T8091">
        <v>28</v>
      </c>
      <c r="U8091" s="2" t="s">
        <v>48856</v>
      </c>
      <c r="V8091" s="1">
        <v>45054</v>
      </c>
      <c r="W8091" t="s">
        <v>84</v>
      </c>
      <c r="X8091">
        <v>110008420</v>
      </c>
      <c r="Y8091" t="s">
        <v>998</v>
      </c>
      <c r="Z8091" t="e">
        <f ca="1">- checked _xludf.and cleaned cartridge bay, plunger rod, icore slot, _xludf.filter
- performed XpertCheck
- generated reports</f>
        <v>#NAME?</v>
      </c>
      <c r="AA8091" t="s">
        <v>999</v>
      </c>
      <c r="AB8091" s="2" t="s">
        <v>36900</v>
      </c>
      <c r="AD8091" t="s">
        <v>7189</v>
      </c>
      <c r="AE8091">
        <v>9973</v>
      </c>
      <c r="AG8091" t="s">
        <v>48857</v>
      </c>
      <c r="AH8091" t="s">
        <v>21204</v>
      </c>
      <c r="AI8091" t="s">
        <v>48858</v>
      </c>
    </row>
    <row r="8092" spans="2:35" ht="300">
      <c r="B8092" s="1">
        <v>45056</v>
      </c>
      <c r="C8092" s="4">
        <v>45056.457638888889</v>
      </c>
      <c r="D8092" t="s">
        <v>12198</v>
      </c>
      <c r="E8092" t="s">
        <v>48759</v>
      </c>
      <c r="F8092" t="s">
        <v>148</v>
      </c>
      <c r="G8092" t="s">
        <v>310</v>
      </c>
      <c r="H8092" t="s">
        <v>295</v>
      </c>
      <c r="I8092" t="s">
        <v>40</v>
      </c>
      <c r="J8092" t="s">
        <v>109</v>
      </c>
      <c r="K8092" t="s">
        <v>42</v>
      </c>
      <c r="L8092" t="s">
        <v>1943</v>
      </c>
      <c r="N8092" t="s">
        <v>1944</v>
      </c>
      <c r="Q8092">
        <v>24474</v>
      </c>
      <c r="R8092" t="s">
        <v>322</v>
      </c>
      <c r="S8092" t="s">
        <v>12200</v>
      </c>
      <c r="T8092">
        <v>25</v>
      </c>
      <c r="U8092" s="2" t="s">
        <v>48859</v>
      </c>
      <c r="W8092" t="s">
        <v>895</v>
      </c>
      <c r="X8092">
        <v>844975</v>
      </c>
      <c r="Y8092" t="s">
        <v>18216</v>
      </c>
      <c r="Z8092" s="2" t="s">
        <v>47899</v>
      </c>
      <c r="AA8092" t="s">
        <v>1548</v>
      </c>
      <c r="AB8092" t="s">
        <v>48860</v>
      </c>
      <c r="AG8092" t="s">
        <v>48861</v>
      </c>
      <c r="AH8092" t="s">
        <v>48862</v>
      </c>
      <c r="AI8092" t="s">
        <v>48863</v>
      </c>
    </row>
    <row r="8093" spans="2:35" ht="180">
      <c r="B8093" s="1">
        <v>45056</v>
      </c>
      <c r="C8093" s="4">
        <v>45056.455555555556</v>
      </c>
      <c r="D8093" t="s">
        <v>12198</v>
      </c>
      <c r="E8093" t="s">
        <v>48759</v>
      </c>
      <c r="F8093" t="s">
        <v>148</v>
      </c>
      <c r="G8093" t="s">
        <v>310</v>
      </c>
      <c r="H8093" t="s">
        <v>295</v>
      </c>
      <c r="I8093" t="s">
        <v>40</v>
      </c>
      <c r="J8093" t="s">
        <v>109</v>
      </c>
      <c r="K8093" t="s">
        <v>42</v>
      </c>
      <c r="L8093" t="s">
        <v>1943</v>
      </c>
      <c r="Q8093">
        <v>24473</v>
      </c>
      <c r="R8093" t="s">
        <v>45</v>
      </c>
      <c r="S8093" t="s">
        <v>12200</v>
      </c>
      <c r="T8093">
        <v>25</v>
      </c>
      <c r="U8093" s="2" t="s">
        <v>48864</v>
      </c>
      <c r="W8093" t="s">
        <v>84</v>
      </c>
      <c r="X8093">
        <v>834624</v>
      </c>
      <c r="Y8093" t="s">
        <v>3001</v>
      </c>
      <c r="Z8093" s="2" t="s">
        <v>48865</v>
      </c>
      <c r="AA8093" t="s">
        <v>3128</v>
      </c>
      <c r="AB8093" t="s">
        <v>88</v>
      </c>
      <c r="AG8093" t="s">
        <v>48866</v>
      </c>
      <c r="AH8093" t="s">
        <v>48862</v>
      </c>
      <c r="AI8093" t="s">
        <v>48867</v>
      </c>
    </row>
    <row r="8094" spans="2:35" ht="180">
      <c r="B8094" s="1">
        <v>45056</v>
      </c>
      <c r="C8094" s="4">
        <v>45055.560416666667</v>
      </c>
      <c r="D8094" t="s">
        <v>16716</v>
      </c>
      <c r="E8094" t="s">
        <v>1128</v>
      </c>
      <c r="F8094">
        <v>8</v>
      </c>
      <c r="G8094" t="s">
        <v>342</v>
      </c>
      <c r="H8094" t="s">
        <v>2581</v>
      </c>
      <c r="I8094" t="s">
        <v>40</v>
      </c>
      <c r="J8094" t="s">
        <v>109</v>
      </c>
      <c r="K8094" t="s">
        <v>42</v>
      </c>
      <c r="L8094" t="s">
        <v>259</v>
      </c>
      <c r="Q8094">
        <v>24472</v>
      </c>
      <c r="R8094" t="s">
        <v>119</v>
      </c>
      <c r="S8094" t="s">
        <v>23172</v>
      </c>
      <c r="T8094">
        <v>27</v>
      </c>
      <c r="U8094" s="2" t="s">
        <v>48868</v>
      </c>
      <c r="V8094" s="1">
        <v>45055</v>
      </c>
      <c r="W8094" t="s">
        <v>84</v>
      </c>
      <c r="X8094">
        <v>838421</v>
      </c>
      <c r="Y8094" t="s">
        <v>48869</v>
      </c>
      <c r="Z8094" t="e">
        <f ca="1">- Preventive Maintenance
- Generate reports</f>
        <v>#NAME?</v>
      </c>
      <c r="AA8094" t="e">
        <f ca="1">- Preventive Maintenance</f>
        <v>#NAME?</v>
      </c>
      <c r="AB8094" t="s">
        <v>70</v>
      </c>
      <c r="AG8094" t="s">
        <v>48870</v>
      </c>
      <c r="AH8094" t="s">
        <v>23174</v>
      </c>
      <c r="AI8094" t="s">
        <v>48871</v>
      </c>
    </row>
    <row r="8095" spans="2:35" ht="375">
      <c r="B8095" s="1">
        <v>45056</v>
      </c>
      <c r="C8095" s="4">
        <v>45056.352083333331</v>
      </c>
      <c r="D8095" t="s">
        <v>23134</v>
      </c>
      <c r="E8095" t="s">
        <v>27716</v>
      </c>
      <c r="F8095" t="s">
        <v>148</v>
      </c>
      <c r="G8095" t="s">
        <v>310</v>
      </c>
      <c r="H8095" t="s">
        <v>41397</v>
      </c>
      <c r="I8095" t="s">
        <v>40</v>
      </c>
      <c r="J8095" t="s">
        <v>109</v>
      </c>
      <c r="K8095" t="s">
        <v>42</v>
      </c>
      <c r="L8095" t="s">
        <v>1943</v>
      </c>
      <c r="Q8095">
        <v>24469</v>
      </c>
      <c r="R8095" t="s">
        <v>45</v>
      </c>
      <c r="S8095" t="s">
        <v>23136</v>
      </c>
      <c r="T8095">
        <v>25</v>
      </c>
      <c r="U8095" s="2" t="s">
        <v>48872</v>
      </c>
      <c r="W8095" t="s">
        <v>84</v>
      </c>
      <c r="X8095">
        <v>834430</v>
      </c>
      <c r="Y8095" t="s">
        <v>28970</v>
      </c>
      <c r="Z8095" s="2" t="s">
        <v>48762</v>
      </c>
      <c r="AA8095" t="s">
        <v>29419</v>
      </c>
      <c r="AB8095" t="s">
        <v>88</v>
      </c>
      <c r="AG8095" t="s">
        <v>48873</v>
      </c>
      <c r="AH8095" t="s">
        <v>48874</v>
      </c>
      <c r="AI8095" t="s">
        <v>48875</v>
      </c>
    </row>
    <row r="8096" spans="2:35" ht="375">
      <c r="B8096" s="1">
        <v>45056</v>
      </c>
      <c r="C8096" s="4">
        <v>45056.35</v>
      </c>
      <c r="D8096" t="s">
        <v>23134</v>
      </c>
      <c r="E8096" t="s">
        <v>27716</v>
      </c>
      <c r="F8096" t="s">
        <v>148</v>
      </c>
      <c r="G8096" t="s">
        <v>310</v>
      </c>
      <c r="H8096" t="s">
        <v>41397</v>
      </c>
      <c r="I8096" t="s">
        <v>40</v>
      </c>
      <c r="J8096" t="s">
        <v>109</v>
      </c>
      <c r="K8096" t="s">
        <v>42</v>
      </c>
      <c r="L8096" t="s">
        <v>1943</v>
      </c>
      <c r="Q8096">
        <v>24470</v>
      </c>
      <c r="R8096" t="s">
        <v>119</v>
      </c>
      <c r="S8096" t="s">
        <v>23136</v>
      </c>
      <c r="T8096">
        <v>25</v>
      </c>
      <c r="U8096" s="2" t="s">
        <v>48872</v>
      </c>
      <c r="W8096" t="s">
        <v>84</v>
      </c>
      <c r="X8096">
        <v>831872</v>
      </c>
      <c r="Y8096" t="s">
        <v>28970</v>
      </c>
      <c r="Z8096" s="2" t="s">
        <v>48762</v>
      </c>
      <c r="AA8096" t="s">
        <v>29419</v>
      </c>
      <c r="AB8096" t="s">
        <v>88</v>
      </c>
      <c r="AG8096" t="s">
        <v>48876</v>
      </c>
      <c r="AH8096" t="s">
        <v>48874</v>
      </c>
      <c r="AI8096" t="s">
        <v>48877</v>
      </c>
    </row>
    <row r="8097" spans="2:35" ht="409.5">
      <c r="B8097" s="1">
        <v>45056</v>
      </c>
      <c r="C8097" s="4">
        <v>45056.348611111112</v>
      </c>
      <c r="D8097" t="s">
        <v>23134</v>
      </c>
      <c r="E8097" t="s">
        <v>27716</v>
      </c>
      <c r="F8097" t="s">
        <v>148</v>
      </c>
      <c r="G8097" t="s">
        <v>310</v>
      </c>
      <c r="H8097" t="s">
        <v>41397</v>
      </c>
      <c r="I8097" t="s">
        <v>40</v>
      </c>
      <c r="J8097" s="2" t="s">
        <v>1592</v>
      </c>
      <c r="K8097" t="s">
        <v>42</v>
      </c>
      <c r="L8097" t="s">
        <v>1943</v>
      </c>
      <c r="Q8097">
        <v>24471</v>
      </c>
      <c r="R8097" t="s">
        <v>45</v>
      </c>
      <c r="S8097" t="s">
        <v>23136</v>
      </c>
      <c r="T8097">
        <v>25</v>
      </c>
      <c r="U8097" s="2" t="s">
        <v>48878</v>
      </c>
      <c r="W8097" t="s">
        <v>895</v>
      </c>
      <c r="X8097">
        <v>844121</v>
      </c>
      <c r="Y8097" s="2" t="s">
        <v>48879</v>
      </c>
      <c r="Z8097" s="2" t="s">
        <v>48880</v>
      </c>
      <c r="AA8097" t="s">
        <v>29208</v>
      </c>
      <c r="AB8097" t="s">
        <v>88</v>
      </c>
      <c r="AG8097" t="s">
        <v>48881</v>
      </c>
      <c r="AH8097" t="s">
        <v>48874</v>
      </c>
      <c r="AI8097" t="s">
        <v>48882</v>
      </c>
    </row>
    <row r="8098" spans="2:35" ht="409.5">
      <c r="B8098" s="1">
        <v>45055</v>
      </c>
      <c r="C8098" s="4">
        <v>45055.652083333334</v>
      </c>
      <c r="D8098" t="s">
        <v>48883</v>
      </c>
      <c r="E8098" t="s">
        <v>48884</v>
      </c>
      <c r="F8098">
        <v>6</v>
      </c>
      <c r="G8098" t="s">
        <v>9400</v>
      </c>
      <c r="H8098" t="s">
        <v>39</v>
      </c>
      <c r="I8098" t="s">
        <v>94</v>
      </c>
      <c r="J8098" s="2" t="s">
        <v>41</v>
      </c>
      <c r="K8098" t="s">
        <v>42</v>
      </c>
      <c r="L8098" t="s">
        <v>343</v>
      </c>
      <c r="Q8098">
        <v>24468</v>
      </c>
      <c r="R8098" t="s">
        <v>45</v>
      </c>
      <c r="S8098" t="s">
        <v>38777</v>
      </c>
      <c r="T8098">
        <v>28</v>
      </c>
      <c r="U8098" s="2" t="s">
        <v>48885</v>
      </c>
      <c r="V8098" s="1">
        <v>45055</v>
      </c>
      <c r="W8098" t="s">
        <v>6105</v>
      </c>
      <c r="X8098">
        <v>808287</v>
      </c>
      <c r="Y8098" t="s">
        <v>48886</v>
      </c>
      <c r="Z8098" s="2" t="s">
        <v>48887</v>
      </c>
      <c r="AA8098" t="e">
        <f ca="1">-module Replacement
-Preventive Maintenance</f>
        <v>#NAME?</v>
      </c>
      <c r="AB8098" t="s">
        <v>7886</v>
      </c>
      <c r="AD8098" t="s">
        <v>48888</v>
      </c>
      <c r="AE8098" t="s">
        <v>45</v>
      </c>
      <c r="AG8098" t="s">
        <v>48889</v>
      </c>
      <c r="AH8098" t="s">
        <v>48890</v>
      </c>
      <c r="AI8098" t="s">
        <v>48891</v>
      </c>
    </row>
    <row r="8099" spans="2:35" ht="225">
      <c r="B8099" s="1">
        <v>45055</v>
      </c>
      <c r="C8099" s="4">
        <v>45055.486805555556</v>
      </c>
      <c r="D8099" t="s">
        <v>10344</v>
      </c>
      <c r="E8099" t="s">
        <v>48892</v>
      </c>
      <c r="F8099">
        <v>2</v>
      </c>
      <c r="G8099" t="s">
        <v>2723</v>
      </c>
      <c r="H8099" t="s">
        <v>39</v>
      </c>
      <c r="I8099" t="s">
        <v>40</v>
      </c>
      <c r="J8099" s="2" t="s">
        <v>62</v>
      </c>
      <c r="K8099" t="s">
        <v>42</v>
      </c>
      <c r="L8099" t="s">
        <v>63</v>
      </c>
      <c r="Q8099">
        <v>24467</v>
      </c>
      <c r="R8099" t="s">
        <v>119</v>
      </c>
      <c r="S8099" t="s">
        <v>48893</v>
      </c>
      <c r="T8099">
        <v>29</v>
      </c>
      <c r="U8099" s="2" t="s">
        <v>48894</v>
      </c>
      <c r="V8099" s="1">
        <v>44971</v>
      </c>
      <c r="W8099" t="s">
        <v>26915</v>
      </c>
      <c r="X8099">
        <v>838474</v>
      </c>
      <c r="Y8099" t="s">
        <v>1716</v>
      </c>
      <c r="Z8099" t="s">
        <v>1716</v>
      </c>
      <c r="AA8099" s="2" t="s">
        <v>38119</v>
      </c>
      <c r="AB8099" t="s">
        <v>70</v>
      </c>
      <c r="AC8099" t="s">
        <v>48895</v>
      </c>
      <c r="AD8099" t="s">
        <v>46113</v>
      </c>
      <c r="AE8099">
        <v>9630</v>
      </c>
      <c r="AG8099" t="s">
        <v>48896</v>
      </c>
      <c r="AH8099" t="s">
        <v>48897</v>
      </c>
      <c r="AI8099" t="s">
        <v>48898</v>
      </c>
    </row>
    <row r="8100" spans="2:35" ht="240">
      <c r="B8100" s="1">
        <v>45055</v>
      </c>
      <c r="C8100" s="4">
        <v>45054.52847222222</v>
      </c>
      <c r="D8100" t="s">
        <v>29917</v>
      </c>
      <c r="E8100" t="s">
        <v>32314</v>
      </c>
      <c r="F8100" t="s">
        <v>511</v>
      </c>
      <c r="G8100" t="s">
        <v>20778</v>
      </c>
      <c r="H8100" t="s">
        <v>39</v>
      </c>
      <c r="I8100" t="s">
        <v>40</v>
      </c>
      <c r="J8100" s="2" t="s">
        <v>41</v>
      </c>
      <c r="K8100" t="s">
        <v>42</v>
      </c>
      <c r="L8100" t="s">
        <v>63</v>
      </c>
      <c r="Q8100">
        <v>24466</v>
      </c>
      <c r="R8100" t="s">
        <v>45</v>
      </c>
      <c r="S8100" t="s">
        <v>29919</v>
      </c>
      <c r="T8100">
        <v>28</v>
      </c>
      <c r="U8100" s="2" t="s">
        <v>48899</v>
      </c>
      <c r="V8100" s="1">
        <v>45054</v>
      </c>
      <c r="W8100" t="s">
        <v>26915</v>
      </c>
      <c r="X8100">
        <v>807609</v>
      </c>
      <c r="Y8100" t="s">
        <v>1716</v>
      </c>
      <c r="Z8100" t="s">
        <v>1716</v>
      </c>
      <c r="AA8100" s="2" t="s">
        <v>39935</v>
      </c>
      <c r="AB8100" t="s">
        <v>70</v>
      </c>
      <c r="AC8100" t="s">
        <v>48900</v>
      </c>
      <c r="AD8100" t="s">
        <v>48901</v>
      </c>
      <c r="AE8100" t="s">
        <v>1716</v>
      </c>
      <c r="AG8100" t="s">
        <v>48902</v>
      </c>
      <c r="AH8100" t="s">
        <v>29925</v>
      </c>
      <c r="AI8100" t="s">
        <v>48903</v>
      </c>
    </row>
    <row r="8101" spans="2:35" ht="270">
      <c r="B8101" s="1">
        <v>45055</v>
      </c>
      <c r="C8101" s="4">
        <v>45055.611111111109</v>
      </c>
      <c r="D8101" t="s">
        <v>26413</v>
      </c>
      <c r="E8101" t="s">
        <v>48904</v>
      </c>
      <c r="F8101">
        <v>11</v>
      </c>
      <c r="G8101" t="s">
        <v>1759</v>
      </c>
      <c r="H8101" t="s">
        <v>202</v>
      </c>
      <c r="I8101" t="s">
        <v>40</v>
      </c>
      <c r="J8101" t="s">
        <v>79</v>
      </c>
      <c r="K8101" t="s">
        <v>42</v>
      </c>
      <c r="L8101" t="s">
        <v>204</v>
      </c>
      <c r="Q8101">
        <v>24465</v>
      </c>
      <c r="R8101" t="s">
        <v>719</v>
      </c>
      <c r="S8101" t="s">
        <v>48905</v>
      </c>
      <c r="T8101">
        <v>26.8</v>
      </c>
      <c r="W8101" t="s">
        <v>24154</v>
      </c>
      <c r="X8101">
        <v>847253</v>
      </c>
      <c r="Y8101" t="s">
        <v>32126</v>
      </c>
      <c r="Z8101" s="2" t="s">
        <v>48906</v>
      </c>
      <c r="AA8101" t="s">
        <v>12182</v>
      </c>
      <c r="AB8101" t="s">
        <v>9590</v>
      </c>
      <c r="AG8101" t="s">
        <v>48907</v>
      </c>
      <c r="AH8101" t="s">
        <v>48908</v>
      </c>
      <c r="AI8101" t="s">
        <v>48909</v>
      </c>
    </row>
    <row r="8102" spans="2:35" ht="180">
      <c r="B8102" s="1">
        <v>45055</v>
      </c>
      <c r="C8102" s="4">
        <v>45055.6</v>
      </c>
      <c r="D8102" t="s">
        <v>48910</v>
      </c>
      <c r="E8102" t="s">
        <v>30692</v>
      </c>
      <c r="F8102">
        <v>10</v>
      </c>
      <c r="G8102" t="s">
        <v>5571</v>
      </c>
      <c r="H8102" t="s">
        <v>61</v>
      </c>
      <c r="I8102" t="s">
        <v>94</v>
      </c>
      <c r="J8102" s="2" t="s">
        <v>1808</v>
      </c>
      <c r="K8102" t="s">
        <v>42</v>
      </c>
      <c r="L8102" t="s">
        <v>43100</v>
      </c>
      <c r="Q8102">
        <v>24464</v>
      </c>
      <c r="R8102" t="s">
        <v>45</v>
      </c>
      <c r="S8102" t="s">
        <v>30693</v>
      </c>
      <c r="T8102">
        <v>28</v>
      </c>
      <c r="U8102" s="2" t="s">
        <v>48911</v>
      </c>
      <c r="W8102" t="s">
        <v>43102</v>
      </c>
      <c r="X8102">
        <v>834437</v>
      </c>
      <c r="Y8102" t="s">
        <v>48912</v>
      </c>
      <c r="Z8102" t="s">
        <v>48913</v>
      </c>
      <c r="AA8102" s="2" t="s">
        <v>47374</v>
      </c>
      <c r="AB8102" t="s">
        <v>486</v>
      </c>
      <c r="AG8102" t="s">
        <v>48914</v>
      </c>
      <c r="AH8102" t="s">
        <v>48915</v>
      </c>
      <c r="AI8102" t="s">
        <v>48916</v>
      </c>
    </row>
    <row r="8103" spans="2:35" ht="90">
      <c r="B8103" s="1">
        <v>45055</v>
      </c>
      <c r="C8103" s="4">
        <v>44953.613194444442</v>
      </c>
      <c r="D8103" t="s">
        <v>48917</v>
      </c>
      <c r="E8103" t="s">
        <v>23503</v>
      </c>
      <c r="F8103">
        <v>7</v>
      </c>
      <c r="G8103" t="s">
        <v>6529</v>
      </c>
      <c r="H8103" t="s">
        <v>2290</v>
      </c>
      <c r="I8103" t="s">
        <v>94</v>
      </c>
      <c r="J8103" t="s">
        <v>79</v>
      </c>
      <c r="K8103" t="s">
        <v>42</v>
      </c>
      <c r="L8103" t="s">
        <v>610</v>
      </c>
      <c r="Q8103">
        <v>24463</v>
      </c>
      <c r="R8103" t="s">
        <v>45</v>
      </c>
      <c r="S8103" t="s">
        <v>46367</v>
      </c>
      <c r="T8103">
        <v>24</v>
      </c>
      <c r="U8103" s="2" t="s">
        <v>48918</v>
      </c>
      <c r="V8103" s="1">
        <v>44945</v>
      </c>
      <c r="W8103" t="s">
        <v>502</v>
      </c>
      <c r="X8103">
        <v>807603</v>
      </c>
      <c r="Y8103">
        <v>4008</v>
      </c>
      <c r="Z8103" t="s">
        <v>4789</v>
      </c>
      <c r="AA8103" t="s">
        <v>26300</v>
      </c>
      <c r="AB8103" t="s">
        <v>48919</v>
      </c>
      <c r="AD8103" t="s">
        <v>48920</v>
      </c>
      <c r="AE8103" t="s">
        <v>4448</v>
      </c>
      <c r="AG8103" t="s">
        <v>48921</v>
      </c>
      <c r="AH8103" t="s">
        <v>48922</v>
      </c>
      <c r="AI8103" t="s">
        <v>48923</v>
      </c>
    </row>
    <row r="8104" spans="2:35" ht="285">
      <c r="B8104" s="1">
        <v>45055</v>
      </c>
      <c r="C8104" s="4">
        <v>45055.5625</v>
      </c>
      <c r="D8104" t="s">
        <v>37565</v>
      </c>
      <c r="E8104" t="s">
        <v>48924</v>
      </c>
      <c r="F8104">
        <v>13</v>
      </c>
      <c r="G8104" t="s">
        <v>931</v>
      </c>
      <c r="H8104" t="s">
        <v>2125</v>
      </c>
      <c r="I8104" t="s">
        <v>40</v>
      </c>
      <c r="J8104" s="2" t="s">
        <v>41</v>
      </c>
      <c r="K8104" t="s">
        <v>42</v>
      </c>
      <c r="L8104" t="s">
        <v>933</v>
      </c>
      <c r="Q8104">
        <v>24462</v>
      </c>
      <c r="R8104" t="s">
        <v>45</v>
      </c>
      <c r="S8104" t="s">
        <v>25518</v>
      </c>
      <c r="T8104">
        <v>26.6</v>
      </c>
      <c r="U8104" s="2" t="s">
        <v>48925</v>
      </c>
      <c r="W8104" t="s">
        <v>3662</v>
      </c>
      <c r="X8104">
        <v>807602</v>
      </c>
      <c r="Y8104" t="s">
        <v>301</v>
      </c>
      <c r="Z8104" t="s">
        <v>301</v>
      </c>
      <c r="AA8104" t="s">
        <v>48926</v>
      </c>
      <c r="AB8104" t="s">
        <v>43442</v>
      </c>
      <c r="AG8104" t="s">
        <v>48927</v>
      </c>
      <c r="AH8104" t="s">
        <v>25522</v>
      </c>
      <c r="AI8104" t="s">
        <v>48928</v>
      </c>
    </row>
    <row r="8105" spans="2:35" ht="195">
      <c r="B8105" s="1">
        <v>45055</v>
      </c>
      <c r="C8105" s="4">
        <v>45054.378472222219</v>
      </c>
      <c r="D8105" t="s">
        <v>48929</v>
      </c>
      <c r="E8105" t="s">
        <v>48930</v>
      </c>
      <c r="F8105" t="s">
        <v>1255</v>
      </c>
      <c r="G8105" t="s">
        <v>4685</v>
      </c>
      <c r="H8105" t="s">
        <v>1047</v>
      </c>
      <c r="I8105" t="s">
        <v>40</v>
      </c>
      <c r="J8105" s="2" t="s">
        <v>1808</v>
      </c>
      <c r="K8105" t="s">
        <v>42</v>
      </c>
      <c r="L8105" t="s">
        <v>43100</v>
      </c>
      <c r="Q8105">
        <v>24461</v>
      </c>
      <c r="R8105" t="s">
        <v>119</v>
      </c>
      <c r="S8105" t="s">
        <v>23403</v>
      </c>
      <c r="T8105">
        <v>29</v>
      </c>
      <c r="W8105" t="s">
        <v>43102</v>
      </c>
      <c r="X8105">
        <v>838260</v>
      </c>
      <c r="Y8105" t="s">
        <v>48931</v>
      </c>
      <c r="Z8105" t="s">
        <v>48932</v>
      </c>
      <c r="AA8105" s="2" t="s">
        <v>48933</v>
      </c>
      <c r="AB8105" t="s">
        <v>486</v>
      </c>
      <c r="AG8105" t="s">
        <v>48934</v>
      </c>
      <c r="AH8105" t="s">
        <v>48935</v>
      </c>
      <c r="AI8105" t="s">
        <v>48936</v>
      </c>
    </row>
    <row r="8106" spans="2:35" ht="360">
      <c r="B8106" s="1">
        <v>45055</v>
      </c>
      <c r="C8106" s="4">
        <v>45055.517361111109</v>
      </c>
      <c r="D8106" t="s">
        <v>48412</v>
      </c>
      <c r="E8106" t="s">
        <v>48413</v>
      </c>
      <c r="F8106">
        <v>3</v>
      </c>
      <c r="G8106" t="s">
        <v>174</v>
      </c>
      <c r="H8106" t="s">
        <v>39</v>
      </c>
      <c r="I8106" t="s">
        <v>40</v>
      </c>
      <c r="J8106" s="2" t="s">
        <v>41</v>
      </c>
      <c r="K8106" t="s">
        <v>42</v>
      </c>
      <c r="L8106" t="s">
        <v>175</v>
      </c>
      <c r="Q8106">
        <v>24460</v>
      </c>
      <c r="R8106" t="s">
        <v>45</v>
      </c>
      <c r="S8106" t="s">
        <v>29772</v>
      </c>
      <c r="T8106">
        <v>25</v>
      </c>
      <c r="U8106" s="2" t="s">
        <v>48937</v>
      </c>
      <c r="V8106" s="1">
        <v>45055</v>
      </c>
      <c r="W8106" t="s">
        <v>84</v>
      </c>
      <c r="X8106">
        <v>838872</v>
      </c>
      <c r="Y8106" t="s">
        <v>48938</v>
      </c>
      <c r="Z8106" t="e">
        <f ca="1">- replaced D2
- checked _xludf.and cleaned cartridge bay, plunger rod, _xludf.filter
- generated reports</f>
        <v>#NAME?</v>
      </c>
      <c r="AA8106" t="s">
        <v>48939</v>
      </c>
      <c r="AB8106" t="s">
        <v>88</v>
      </c>
      <c r="AD8106" s="2" t="s">
        <v>48940</v>
      </c>
      <c r="AE8106" t="s">
        <v>103</v>
      </c>
      <c r="AG8106" t="s">
        <v>48941</v>
      </c>
      <c r="AH8106" t="s">
        <v>48417</v>
      </c>
      <c r="AI8106" t="s">
        <v>48942</v>
      </c>
    </row>
    <row r="8107" spans="2:35" ht="210">
      <c r="B8107" s="1">
        <v>45055</v>
      </c>
      <c r="C8107" s="4">
        <v>45044.591666666667</v>
      </c>
      <c r="D8107" t="s">
        <v>4379</v>
      </c>
      <c r="E8107" t="s">
        <v>28731</v>
      </c>
      <c r="F8107" t="s">
        <v>148</v>
      </c>
      <c r="G8107" t="s">
        <v>785</v>
      </c>
      <c r="H8107" t="s">
        <v>39</v>
      </c>
      <c r="I8107" t="s">
        <v>40</v>
      </c>
      <c r="J8107" s="2" t="s">
        <v>62</v>
      </c>
      <c r="K8107" t="s">
        <v>387</v>
      </c>
      <c r="L8107" t="s">
        <v>43</v>
      </c>
      <c r="Q8107">
        <v>24459</v>
      </c>
      <c r="R8107" t="s">
        <v>95</v>
      </c>
      <c r="S8107" t="s">
        <v>48943</v>
      </c>
      <c r="T8107">
        <v>26</v>
      </c>
      <c r="W8107" t="s">
        <v>390</v>
      </c>
      <c r="X8107" t="s">
        <v>4390</v>
      </c>
      <c r="Y8107" t="s">
        <v>9934</v>
      </c>
      <c r="Z8107" t="s">
        <v>5230</v>
      </c>
      <c r="AA8107" s="2" t="s">
        <v>48944</v>
      </c>
      <c r="AB8107" t="s">
        <v>88</v>
      </c>
      <c r="AG8107" t="s">
        <v>48945</v>
      </c>
      <c r="AH8107" t="s">
        <v>15710</v>
      </c>
      <c r="AI8107" t="s">
        <v>48946</v>
      </c>
    </row>
    <row r="8108" spans="2:35" ht="210">
      <c r="B8108" s="1">
        <v>45055</v>
      </c>
      <c r="C8108" s="4">
        <v>45044.591666666667</v>
      </c>
      <c r="D8108" t="s">
        <v>4379</v>
      </c>
      <c r="E8108" t="s">
        <v>28731</v>
      </c>
      <c r="F8108" t="s">
        <v>148</v>
      </c>
      <c r="G8108" t="s">
        <v>785</v>
      </c>
      <c r="H8108" t="s">
        <v>39</v>
      </c>
      <c r="I8108" t="s">
        <v>40</v>
      </c>
      <c r="J8108" s="2" t="s">
        <v>62</v>
      </c>
      <c r="K8108" t="s">
        <v>387</v>
      </c>
      <c r="L8108" t="s">
        <v>43</v>
      </c>
      <c r="Q8108">
        <v>24458</v>
      </c>
      <c r="R8108" t="s">
        <v>95</v>
      </c>
      <c r="S8108" t="s">
        <v>48943</v>
      </c>
      <c r="T8108">
        <v>26</v>
      </c>
      <c r="W8108" t="s">
        <v>390</v>
      </c>
      <c r="X8108" t="s">
        <v>4390</v>
      </c>
      <c r="Y8108" t="s">
        <v>9934</v>
      </c>
      <c r="Z8108" t="s">
        <v>5230</v>
      </c>
      <c r="AA8108" s="2" t="s">
        <v>48944</v>
      </c>
      <c r="AB8108" t="s">
        <v>88</v>
      </c>
      <c r="AG8108" t="s">
        <v>48947</v>
      </c>
      <c r="AH8108" t="s">
        <v>15710</v>
      </c>
      <c r="AI8108" t="s">
        <v>48948</v>
      </c>
    </row>
    <row r="8109" spans="2:35" ht="210">
      <c r="B8109" s="1">
        <v>45055</v>
      </c>
      <c r="C8109" s="4">
        <v>45044.67083333333</v>
      </c>
      <c r="D8109" t="s">
        <v>13817</v>
      </c>
      <c r="E8109" t="s">
        <v>40982</v>
      </c>
      <c r="F8109" t="s">
        <v>148</v>
      </c>
      <c r="G8109" t="s">
        <v>406</v>
      </c>
      <c r="H8109" t="s">
        <v>39</v>
      </c>
      <c r="I8109" t="s">
        <v>40</v>
      </c>
      <c r="J8109" t="s">
        <v>109</v>
      </c>
      <c r="K8109" t="s">
        <v>42</v>
      </c>
      <c r="L8109" t="s">
        <v>43</v>
      </c>
      <c r="Q8109">
        <v>24456</v>
      </c>
      <c r="R8109" t="s">
        <v>95</v>
      </c>
      <c r="S8109" t="s">
        <v>5690</v>
      </c>
      <c r="T8109">
        <v>25</v>
      </c>
      <c r="W8109" t="s">
        <v>41381</v>
      </c>
      <c r="X8109">
        <v>808411</v>
      </c>
      <c r="Y8109" t="s">
        <v>121</v>
      </c>
      <c r="Z8109" t="s">
        <v>122</v>
      </c>
      <c r="AA8109" s="2" t="s">
        <v>48949</v>
      </c>
      <c r="AB8109" t="s">
        <v>48950</v>
      </c>
      <c r="AG8109" t="s">
        <v>48951</v>
      </c>
      <c r="AH8109" t="s">
        <v>40989</v>
      </c>
      <c r="AI8109" t="s">
        <v>48952</v>
      </c>
    </row>
    <row r="8110" spans="2:35" ht="409.5">
      <c r="B8110" s="1">
        <v>45055</v>
      </c>
      <c r="C8110" s="4">
        <v>45044.665972222225</v>
      </c>
      <c r="D8110" t="s">
        <v>13817</v>
      </c>
      <c r="E8110" t="s">
        <v>40982</v>
      </c>
      <c r="F8110" t="s">
        <v>148</v>
      </c>
      <c r="G8110" t="s">
        <v>406</v>
      </c>
      <c r="H8110" t="s">
        <v>2570</v>
      </c>
      <c r="I8110" t="s">
        <v>40</v>
      </c>
      <c r="J8110" t="s">
        <v>109</v>
      </c>
      <c r="K8110" t="s">
        <v>42</v>
      </c>
      <c r="L8110" t="s">
        <v>43</v>
      </c>
      <c r="Q8110">
        <v>24457</v>
      </c>
      <c r="R8110" t="s">
        <v>95</v>
      </c>
      <c r="S8110" t="s">
        <v>5690</v>
      </c>
      <c r="T8110">
        <v>25</v>
      </c>
      <c r="U8110" s="2" t="s">
        <v>48953</v>
      </c>
      <c r="W8110" t="s">
        <v>9792</v>
      </c>
      <c r="X8110">
        <v>839231</v>
      </c>
      <c r="Y8110" t="s">
        <v>121</v>
      </c>
      <c r="Z8110" t="s">
        <v>122</v>
      </c>
      <c r="AA8110" s="2" t="s">
        <v>48949</v>
      </c>
      <c r="AB8110" t="s">
        <v>48950</v>
      </c>
      <c r="AG8110" t="s">
        <v>48954</v>
      </c>
      <c r="AH8110" t="s">
        <v>40989</v>
      </c>
      <c r="AI8110" t="s">
        <v>48955</v>
      </c>
    </row>
    <row r="8111" spans="2:35" ht="210">
      <c r="B8111" s="1">
        <v>45055</v>
      </c>
      <c r="C8111" s="4">
        <v>45041.607638888891</v>
      </c>
      <c r="D8111" t="s">
        <v>542</v>
      </c>
      <c r="E8111" t="s">
        <v>28584</v>
      </c>
      <c r="F8111" t="s">
        <v>148</v>
      </c>
      <c r="G8111" t="s">
        <v>544</v>
      </c>
      <c r="H8111" t="s">
        <v>39</v>
      </c>
      <c r="I8111" t="s">
        <v>40</v>
      </c>
      <c r="J8111" t="s">
        <v>109</v>
      </c>
      <c r="K8111" t="s">
        <v>42</v>
      </c>
      <c r="L8111" t="s">
        <v>43</v>
      </c>
      <c r="Q8111">
        <v>24455</v>
      </c>
      <c r="R8111" t="s">
        <v>45</v>
      </c>
      <c r="S8111" t="s">
        <v>15929</v>
      </c>
      <c r="T8111">
        <v>23</v>
      </c>
      <c r="U8111" s="2" t="s">
        <v>48956</v>
      </c>
      <c r="W8111" t="s">
        <v>9792</v>
      </c>
      <c r="X8111">
        <v>805211</v>
      </c>
      <c r="Y8111" t="s">
        <v>48957</v>
      </c>
      <c r="Z8111" t="s">
        <v>48958</v>
      </c>
      <c r="AA8111" s="2" t="s">
        <v>48959</v>
      </c>
      <c r="AB8111" t="s">
        <v>16412</v>
      </c>
      <c r="AG8111" t="s">
        <v>48960</v>
      </c>
      <c r="AH8111" t="s">
        <v>19310</v>
      </c>
      <c r="AI8111" t="s">
        <v>48961</v>
      </c>
    </row>
    <row r="8112" spans="2:35" ht="255">
      <c r="B8112" s="1">
        <v>45055</v>
      </c>
      <c r="C8112" s="4">
        <v>45044.568055555559</v>
      </c>
      <c r="D8112" t="s">
        <v>4379</v>
      </c>
      <c r="E8112" t="s">
        <v>28731</v>
      </c>
      <c r="F8112" t="s">
        <v>148</v>
      </c>
      <c r="G8112" t="s">
        <v>785</v>
      </c>
      <c r="H8112" t="s">
        <v>39</v>
      </c>
      <c r="I8112" t="s">
        <v>40</v>
      </c>
      <c r="J8112" t="s">
        <v>109</v>
      </c>
      <c r="K8112" t="s">
        <v>42</v>
      </c>
      <c r="L8112" t="s">
        <v>43</v>
      </c>
      <c r="Q8112">
        <v>24453</v>
      </c>
      <c r="R8112" t="s">
        <v>322</v>
      </c>
      <c r="S8112" t="s">
        <v>4382</v>
      </c>
      <c r="T8112">
        <v>26</v>
      </c>
      <c r="U8112" s="2" t="s">
        <v>48962</v>
      </c>
      <c r="W8112" t="s">
        <v>40863</v>
      </c>
      <c r="X8112">
        <v>838627</v>
      </c>
      <c r="Y8112" t="s">
        <v>121</v>
      </c>
      <c r="Z8112" t="s">
        <v>122</v>
      </c>
      <c r="AA8112" s="2" t="s">
        <v>48949</v>
      </c>
      <c r="AB8112" t="s">
        <v>48963</v>
      </c>
      <c r="AG8112" t="s">
        <v>48964</v>
      </c>
      <c r="AH8112" t="s">
        <v>30285</v>
      </c>
      <c r="AI8112" t="s">
        <v>48965</v>
      </c>
    </row>
    <row r="8113" spans="2:35" ht="300">
      <c r="B8113" s="1">
        <v>45055</v>
      </c>
      <c r="C8113" s="4">
        <v>45044.56527777778</v>
      </c>
      <c r="D8113" t="s">
        <v>4379</v>
      </c>
      <c r="E8113" t="s">
        <v>28731</v>
      </c>
      <c r="F8113" t="s">
        <v>148</v>
      </c>
      <c r="G8113" t="s">
        <v>785</v>
      </c>
      <c r="H8113" t="s">
        <v>39</v>
      </c>
      <c r="I8113" t="s">
        <v>40</v>
      </c>
      <c r="J8113" t="s">
        <v>109</v>
      </c>
      <c r="K8113" t="s">
        <v>42</v>
      </c>
      <c r="L8113" t="s">
        <v>43</v>
      </c>
      <c r="Q8113">
        <v>24454</v>
      </c>
      <c r="R8113" t="s">
        <v>45</v>
      </c>
      <c r="S8113" t="s">
        <v>4382</v>
      </c>
      <c r="T8113">
        <v>26</v>
      </c>
      <c r="U8113" s="2" t="s">
        <v>48966</v>
      </c>
      <c r="W8113" t="s">
        <v>9792</v>
      </c>
      <c r="X8113">
        <v>814374</v>
      </c>
      <c r="Y8113" t="s">
        <v>121</v>
      </c>
      <c r="Z8113" t="s">
        <v>122</v>
      </c>
      <c r="AA8113" s="2" t="s">
        <v>48967</v>
      </c>
      <c r="AB8113" t="s">
        <v>16412</v>
      </c>
      <c r="AG8113" t="s">
        <v>48968</v>
      </c>
      <c r="AH8113" t="s">
        <v>30285</v>
      </c>
      <c r="AI8113" t="s">
        <v>48969</v>
      </c>
    </row>
    <row r="8114" spans="2:35" ht="285">
      <c r="B8114" s="1">
        <v>45055</v>
      </c>
      <c r="C8114" s="4">
        <v>45041.618750000001</v>
      </c>
      <c r="D8114" t="s">
        <v>542</v>
      </c>
      <c r="E8114" t="s">
        <v>48970</v>
      </c>
      <c r="F8114" t="s">
        <v>148</v>
      </c>
      <c r="G8114" t="s">
        <v>544</v>
      </c>
      <c r="H8114" t="s">
        <v>39</v>
      </c>
      <c r="I8114" t="s">
        <v>40</v>
      </c>
      <c r="J8114" t="s">
        <v>109</v>
      </c>
      <c r="K8114" t="s">
        <v>42</v>
      </c>
      <c r="L8114" t="s">
        <v>43</v>
      </c>
      <c r="Q8114">
        <v>24452</v>
      </c>
      <c r="R8114" t="s">
        <v>45</v>
      </c>
      <c r="S8114" t="s">
        <v>15929</v>
      </c>
      <c r="T8114">
        <v>23</v>
      </c>
      <c r="U8114" s="2" t="s">
        <v>48971</v>
      </c>
      <c r="W8114" t="s">
        <v>9792</v>
      </c>
      <c r="X8114">
        <v>804254</v>
      </c>
      <c r="Y8114" t="s">
        <v>121</v>
      </c>
      <c r="Z8114" t="s">
        <v>122</v>
      </c>
      <c r="AA8114" s="2" t="s">
        <v>48972</v>
      </c>
      <c r="AB8114" t="s">
        <v>48973</v>
      </c>
      <c r="AG8114" t="s">
        <v>48974</v>
      </c>
      <c r="AH8114" t="s">
        <v>19310</v>
      </c>
      <c r="AI8114" t="s">
        <v>48975</v>
      </c>
    </row>
    <row r="8115" spans="2:35" ht="105">
      <c r="B8115" s="1">
        <v>45055</v>
      </c>
      <c r="C8115" s="4">
        <v>45055.463888888888</v>
      </c>
      <c r="D8115" t="s">
        <v>48976</v>
      </c>
      <c r="E8115" t="s">
        <v>48977</v>
      </c>
      <c r="F8115">
        <v>7</v>
      </c>
      <c r="G8115" t="s">
        <v>432</v>
      </c>
      <c r="H8115" t="s">
        <v>631</v>
      </c>
      <c r="I8115" t="s">
        <v>94</v>
      </c>
      <c r="J8115" t="s">
        <v>996</v>
      </c>
      <c r="K8115" t="s">
        <v>42</v>
      </c>
      <c r="L8115" t="s">
        <v>610</v>
      </c>
      <c r="Q8115">
        <v>24451</v>
      </c>
      <c r="R8115" t="s">
        <v>119</v>
      </c>
      <c r="S8115" t="s">
        <v>16307</v>
      </c>
      <c r="T8115">
        <v>24</v>
      </c>
      <c r="U8115" s="2" t="s">
        <v>23338</v>
      </c>
      <c r="W8115" t="s">
        <v>502</v>
      </c>
      <c r="X8115">
        <v>837661</v>
      </c>
      <c r="Y8115" t="s">
        <v>48978</v>
      </c>
      <c r="Z8115" t="s">
        <v>48979</v>
      </c>
      <c r="AA8115" t="s">
        <v>48980</v>
      </c>
      <c r="AB8115" t="s">
        <v>48981</v>
      </c>
      <c r="AG8115" t="s">
        <v>48982</v>
      </c>
      <c r="AH8115" t="s">
        <v>14408</v>
      </c>
      <c r="AI8115" t="s">
        <v>48983</v>
      </c>
    </row>
    <row r="8116" spans="2:35" ht="285">
      <c r="B8116" s="1">
        <v>45054</v>
      </c>
      <c r="C8116" s="4">
        <v>45054.661805555559</v>
      </c>
      <c r="D8116" t="s">
        <v>16527</v>
      </c>
      <c r="E8116" t="s">
        <v>6691</v>
      </c>
      <c r="F8116">
        <v>7</v>
      </c>
      <c r="G8116" t="s">
        <v>269</v>
      </c>
      <c r="H8116" t="s">
        <v>43023</v>
      </c>
      <c r="I8116" t="s">
        <v>94</v>
      </c>
      <c r="J8116" t="s">
        <v>996</v>
      </c>
      <c r="K8116" t="s">
        <v>42</v>
      </c>
      <c r="L8116" t="s">
        <v>23958</v>
      </c>
      <c r="Q8116">
        <v>24450</v>
      </c>
      <c r="R8116" t="s">
        <v>119</v>
      </c>
      <c r="S8116" t="s">
        <v>10458</v>
      </c>
      <c r="T8116">
        <v>4</v>
      </c>
      <c r="U8116" s="2" t="s">
        <v>48984</v>
      </c>
      <c r="W8116" t="s">
        <v>360</v>
      </c>
      <c r="X8116">
        <v>838525</v>
      </c>
      <c r="Y8116" t="s">
        <v>48985</v>
      </c>
      <c r="Z8116" t="s">
        <v>48986</v>
      </c>
      <c r="AA8116" t="s">
        <v>42740</v>
      </c>
      <c r="AB8116" t="s">
        <v>48987</v>
      </c>
      <c r="AG8116" t="s">
        <v>48988</v>
      </c>
      <c r="AH8116" t="s">
        <v>48989</v>
      </c>
      <c r="AI8116" t="s">
        <v>48990</v>
      </c>
    </row>
    <row r="8117" spans="2:35" ht="60">
      <c r="B8117" s="1">
        <v>45054</v>
      </c>
      <c r="C8117" s="4">
        <v>45051.606944444444</v>
      </c>
      <c r="D8117" t="s">
        <v>48991</v>
      </c>
      <c r="E8117" t="s">
        <v>48992</v>
      </c>
      <c r="F8117" t="s">
        <v>148</v>
      </c>
      <c r="G8117" t="s">
        <v>774</v>
      </c>
      <c r="H8117" t="s">
        <v>386</v>
      </c>
      <c r="I8117" t="s">
        <v>94</v>
      </c>
      <c r="J8117" s="2" t="s">
        <v>62</v>
      </c>
      <c r="K8117" t="s">
        <v>387</v>
      </c>
      <c r="L8117" t="s">
        <v>448</v>
      </c>
      <c r="Q8117">
        <v>24449</v>
      </c>
      <c r="R8117" t="s">
        <v>95</v>
      </c>
      <c r="S8117" t="s">
        <v>48993</v>
      </c>
      <c r="T8117">
        <v>28</v>
      </c>
      <c r="V8117" s="1">
        <v>45050</v>
      </c>
      <c r="W8117" t="s">
        <v>44669</v>
      </c>
      <c r="X8117" t="s">
        <v>3773</v>
      </c>
      <c r="Y8117" t="s">
        <v>48994</v>
      </c>
      <c r="Z8117" t="s">
        <v>46489</v>
      </c>
      <c r="AA8117" t="s">
        <v>28181</v>
      </c>
      <c r="AB8117" t="s">
        <v>486</v>
      </c>
      <c r="AD8117" t="s">
        <v>38897</v>
      </c>
      <c r="AE8117">
        <v>9971</v>
      </c>
      <c r="AG8117" t="s">
        <v>48995</v>
      </c>
      <c r="AH8117" t="s">
        <v>10923</v>
      </c>
      <c r="AI8117" t="s">
        <v>48996</v>
      </c>
    </row>
    <row r="8118" spans="2:35" ht="60">
      <c r="B8118" s="1">
        <v>45054</v>
      </c>
      <c r="C8118" s="4">
        <v>45051.606944444444</v>
      </c>
      <c r="D8118" t="s">
        <v>48991</v>
      </c>
      <c r="E8118" t="s">
        <v>48992</v>
      </c>
      <c r="F8118" t="s">
        <v>148</v>
      </c>
      <c r="G8118" t="s">
        <v>774</v>
      </c>
      <c r="H8118" t="s">
        <v>386</v>
      </c>
      <c r="I8118" t="s">
        <v>94</v>
      </c>
      <c r="J8118" s="2" t="s">
        <v>62</v>
      </c>
      <c r="K8118" t="s">
        <v>387</v>
      </c>
      <c r="L8118" t="s">
        <v>448</v>
      </c>
      <c r="Q8118">
        <v>24448</v>
      </c>
      <c r="R8118" t="s">
        <v>95</v>
      </c>
      <c r="S8118" t="s">
        <v>48993</v>
      </c>
      <c r="T8118">
        <v>28</v>
      </c>
      <c r="V8118" s="1">
        <v>45050</v>
      </c>
      <c r="W8118" t="s">
        <v>44669</v>
      </c>
      <c r="X8118" t="s">
        <v>3773</v>
      </c>
      <c r="Y8118" t="s">
        <v>48994</v>
      </c>
      <c r="Z8118" t="s">
        <v>46489</v>
      </c>
      <c r="AA8118" t="s">
        <v>28181</v>
      </c>
      <c r="AB8118" t="s">
        <v>486</v>
      </c>
      <c r="AD8118" t="s">
        <v>38897</v>
      </c>
      <c r="AE8118">
        <v>9971</v>
      </c>
      <c r="AG8118" t="s">
        <v>48997</v>
      </c>
      <c r="AH8118" t="s">
        <v>10923</v>
      </c>
      <c r="AI8118" t="s">
        <v>48998</v>
      </c>
    </row>
    <row r="8119" spans="2:35" ht="60">
      <c r="B8119" s="1">
        <v>45054</v>
      </c>
      <c r="C8119" s="4">
        <v>45051.637499999997</v>
      </c>
      <c r="D8119" t="s">
        <v>48991</v>
      </c>
      <c r="E8119" t="s">
        <v>48999</v>
      </c>
      <c r="F8119" t="s">
        <v>148</v>
      </c>
      <c r="G8119" t="s">
        <v>774</v>
      </c>
      <c r="H8119" t="s">
        <v>386</v>
      </c>
      <c r="I8119" t="s">
        <v>94</v>
      </c>
      <c r="J8119" s="2" t="s">
        <v>62</v>
      </c>
      <c r="K8119" t="s">
        <v>387</v>
      </c>
      <c r="L8119" t="s">
        <v>448</v>
      </c>
      <c r="Q8119">
        <v>24447</v>
      </c>
      <c r="R8119" t="s">
        <v>95</v>
      </c>
      <c r="S8119" t="s">
        <v>48993</v>
      </c>
      <c r="T8119">
        <v>28</v>
      </c>
      <c r="V8119" s="1">
        <v>45050</v>
      </c>
      <c r="W8119" t="s">
        <v>476</v>
      </c>
      <c r="X8119" t="s">
        <v>49000</v>
      </c>
      <c r="Y8119" t="s">
        <v>25152</v>
      </c>
      <c r="Z8119" t="s">
        <v>46489</v>
      </c>
      <c r="AA8119" t="s">
        <v>28181</v>
      </c>
      <c r="AB8119" t="s">
        <v>486</v>
      </c>
      <c r="AD8119" t="s">
        <v>5492</v>
      </c>
      <c r="AE8119">
        <v>9971</v>
      </c>
      <c r="AG8119" t="s">
        <v>49001</v>
      </c>
      <c r="AH8119" t="s">
        <v>10923</v>
      </c>
      <c r="AI8119" t="s">
        <v>49002</v>
      </c>
    </row>
    <row r="8120" spans="2:35" ht="60">
      <c r="B8120" s="1">
        <v>45054</v>
      </c>
      <c r="C8120" s="4">
        <v>45051.637499999997</v>
      </c>
      <c r="D8120" t="s">
        <v>48991</v>
      </c>
      <c r="E8120" t="s">
        <v>48999</v>
      </c>
      <c r="F8120" t="s">
        <v>148</v>
      </c>
      <c r="G8120" t="s">
        <v>774</v>
      </c>
      <c r="H8120" t="s">
        <v>386</v>
      </c>
      <c r="I8120" t="s">
        <v>94</v>
      </c>
      <c r="J8120" s="2" t="s">
        <v>62</v>
      </c>
      <c r="K8120" t="s">
        <v>387</v>
      </c>
      <c r="L8120" t="s">
        <v>448</v>
      </c>
      <c r="Q8120">
        <v>24446</v>
      </c>
      <c r="R8120" t="s">
        <v>95</v>
      </c>
      <c r="S8120" t="s">
        <v>48993</v>
      </c>
      <c r="T8120">
        <v>28</v>
      </c>
      <c r="V8120" s="1">
        <v>45050</v>
      </c>
      <c r="W8120" t="s">
        <v>476</v>
      </c>
      <c r="X8120" t="s">
        <v>49000</v>
      </c>
      <c r="Y8120" t="s">
        <v>25152</v>
      </c>
      <c r="Z8120" t="s">
        <v>46489</v>
      </c>
      <c r="AA8120" t="s">
        <v>28181</v>
      </c>
      <c r="AB8120" t="s">
        <v>486</v>
      </c>
      <c r="AD8120" t="s">
        <v>5492</v>
      </c>
      <c r="AE8120">
        <v>9971</v>
      </c>
      <c r="AG8120" t="s">
        <v>49003</v>
      </c>
      <c r="AH8120" t="s">
        <v>10923</v>
      </c>
      <c r="AI8120" t="s">
        <v>49004</v>
      </c>
    </row>
    <row r="8121" spans="2:35" ht="180">
      <c r="B8121" s="1">
        <v>45054</v>
      </c>
      <c r="C8121" s="4">
        <v>45054.578472222223</v>
      </c>
      <c r="D8121" t="s">
        <v>5563</v>
      </c>
      <c r="E8121" t="s">
        <v>1555</v>
      </c>
      <c r="F8121">
        <v>7</v>
      </c>
      <c r="G8121" t="s">
        <v>432</v>
      </c>
      <c r="H8121" t="s">
        <v>150</v>
      </c>
      <c r="I8121" t="s">
        <v>40</v>
      </c>
      <c r="J8121" s="2" t="s">
        <v>1157</v>
      </c>
      <c r="K8121" t="s">
        <v>42</v>
      </c>
      <c r="L8121" t="s">
        <v>343</v>
      </c>
      <c r="Q8121">
        <v>24445</v>
      </c>
      <c r="R8121" t="s">
        <v>119</v>
      </c>
      <c r="S8121" t="s">
        <v>5564</v>
      </c>
      <c r="T8121">
        <v>27</v>
      </c>
      <c r="U8121" s="2" t="s">
        <v>49005</v>
      </c>
      <c r="V8121" s="1">
        <v>45054</v>
      </c>
      <c r="W8121" t="s">
        <v>6105</v>
      </c>
      <c r="X8121">
        <v>838561</v>
      </c>
      <c r="Y8121" t="s">
        <v>49006</v>
      </c>
      <c r="Z8121" t="s">
        <v>301</v>
      </c>
      <c r="AA8121" t="e">
        <f ca="1">-run XPC verification on module B1
-Preventive Maintenance</f>
        <v>#NAME?</v>
      </c>
      <c r="AB8121" t="s">
        <v>49007</v>
      </c>
      <c r="AC8121" t="s">
        <v>49008</v>
      </c>
      <c r="AD8121" t="s">
        <v>49009</v>
      </c>
      <c r="AE8121" t="s">
        <v>103</v>
      </c>
      <c r="AG8121" t="s">
        <v>49010</v>
      </c>
      <c r="AH8121" t="s">
        <v>14800</v>
      </c>
      <c r="AI8121" t="s">
        <v>49011</v>
      </c>
    </row>
    <row r="8122" spans="2:35" ht="300">
      <c r="B8122" s="1">
        <v>45054</v>
      </c>
      <c r="C8122" s="4">
        <v>45054.543055555558</v>
      </c>
      <c r="D8122" t="s">
        <v>4482</v>
      </c>
      <c r="E8122" t="s">
        <v>8024</v>
      </c>
      <c r="F8122">
        <v>13</v>
      </c>
      <c r="G8122" t="s">
        <v>4484</v>
      </c>
      <c r="H8122" t="s">
        <v>61</v>
      </c>
      <c r="I8122" t="s">
        <v>40</v>
      </c>
      <c r="J8122" s="2" t="s">
        <v>1309</v>
      </c>
      <c r="K8122" t="s">
        <v>42</v>
      </c>
      <c r="L8122" t="s">
        <v>933</v>
      </c>
      <c r="Q8122">
        <v>24444</v>
      </c>
      <c r="R8122" t="s">
        <v>95</v>
      </c>
      <c r="S8122" t="s">
        <v>8025</v>
      </c>
      <c r="T8122">
        <v>18.55</v>
      </c>
      <c r="U8122" s="2" t="s">
        <v>49012</v>
      </c>
      <c r="W8122" t="s">
        <v>3662</v>
      </c>
      <c r="X8122">
        <v>831292</v>
      </c>
      <c r="Y8122" t="s">
        <v>7765</v>
      </c>
      <c r="Z8122" t="s">
        <v>301</v>
      </c>
      <c r="AA8122" s="2" t="s">
        <v>49013</v>
      </c>
      <c r="AB8122" s="2" t="s">
        <v>49014</v>
      </c>
      <c r="AG8122" t="s">
        <v>49015</v>
      </c>
      <c r="AH8122" t="s">
        <v>49016</v>
      </c>
      <c r="AI8122" t="s">
        <v>49017</v>
      </c>
    </row>
    <row r="8123" spans="2:35" ht="180">
      <c r="B8123" s="1">
        <v>45054</v>
      </c>
      <c r="C8123" s="4">
        <v>45051.609027777777</v>
      </c>
      <c r="D8123" t="s">
        <v>25783</v>
      </c>
      <c r="E8123" t="s">
        <v>25784</v>
      </c>
      <c r="F8123">
        <v>3</v>
      </c>
      <c r="G8123" t="s">
        <v>174</v>
      </c>
      <c r="H8123" t="s">
        <v>39</v>
      </c>
      <c r="I8123" t="s">
        <v>40</v>
      </c>
      <c r="J8123" s="2" t="s">
        <v>62</v>
      </c>
      <c r="K8123" t="s">
        <v>42</v>
      </c>
      <c r="L8123" t="s">
        <v>175</v>
      </c>
      <c r="N8123" t="s">
        <v>176</v>
      </c>
      <c r="Q8123">
        <v>24443</v>
      </c>
      <c r="R8123" t="s">
        <v>45</v>
      </c>
      <c r="S8123" t="s">
        <v>25785</v>
      </c>
      <c r="T8123">
        <v>25</v>
      </c>
      <c r="U8123" s="2" t="s">
        <v>49018</v>
      </c>
      <c r="V8123" s="1">
        <v>45051</v>
      </c>
      <c r="W8123" t="s">
        <v>84</v>
      </c>
      <c r="X8123">
        <v>838891</v>
      </c>
      <c r="Y8123" t="s">
        <v>998</v>
      </c>
      <c r="Z8123" t="e">
        <f ca="1">- checked _xludf.and cleaned cartridge bay, plunger rod, _xludf.filter, icore slot
- performed XpertCheck
- generated reports</f>
        <v>#NAME?</v>
      </c>
      <c r="AA8123" t="s">
        <v>34204</v>
      </c>
      <c r="AB8123" s="2" t="s">
        <v>49019</v>
      </c>
      <c r="AD8123" t="s">
        <v>948</v>
      </c>
      <c r="AE8123" t="s">
        <v>103</v>
      </c>
      <c r="AG8123" t="s">
        <v>49020</v>
      </c>
      <c r="AH8123" t="s">
        <v>25788</v>
      </c>
      <c r="AI8123" t="s">
        <v>49021</v>
      </c>
    </row>
    <row r="8124" spans="2:35" ht="180">
      <c r="B8124" s="1">
        <v>45054</v>
      </c>
      <c r="C8124" s="4">
        <v>45051.499305555553</v>
      </c>
      <c r="D8124" t="s">
        <v>49022</v>
      </c>
      <c r="E8124" t="s">
        <v>33049</v>
      </c>
      <c r="F8124">
        <v>3</v>
      </c>
      <c r="G8124" t="s">
        <v>174</v>
      </c>
      <c r="H8124" t="s">
        <v>39</v>
      </c>
      <c r="I8124" t="s">
        <v>40</v>
      </c>
      <c r="J8124" s="2" t="s">
        <v>41</v>
      </c>
      <c r="K8124" t="s">
        <v>42</v>
      </c>
      <c r="L8124" t="s">
        <v>175</v>
      </c>
      <c r="Q8124">
        <v>24442</v>
      </c>
      <c r="R8124" t="s">
        <v>45</v>
      </c>
      <c r="S8124" t="s">
        <v>49023</v>
      </c>
      <c r="T8124">
        <v>25</v>
      </c>
      <c r="U8124" s="2" t="s">
        <v>49024</v>
      </c>
      <c r="V8124" s="1">
        <v>45051</v>
      </c>
      <c r="W8124" t="s">
        <v>84</v>
      </c>
      <c r="X8124">
        <v>838167</v>
      </c>
      <c r="Y8124" t="s">
        <v>49025</v>
      </c>
      <c r="Z8124" t="e">
        <f ca="1">- replaced B2
- checked _xludf.and cleaned cartridge bay, plunger rod, _xludf.filter
- generated reports</f>
        <v>#NAME?</v>
      </c>
      <c r="AA8124" t="s">
        <v>32340</v>
      </c>
      <c r="AB8124" t="s">
        <v>181</v>
      </c>
      <c r="AD8124" s="2" t="s">
        <v>49026</v>
      </c>
      <c r="AE8124" t="s">
        <v>103</v>
      </c>
      <c r="AG8124" t="s">
        <v>49027</v>
      </c>
      <c r="AH8124" t="s">
        <v>33053</v>
      </c>
      <c r="AI8124" t="s">
        <v>49028</v>
      </c>
    </row>
    <row r="8125" spans="2:35" ht="120">
      <c r="B8125" s="1">
        <v>45054</v>
      </c>
      <c r="C8125" s="4">
        <v>45054.38958333333</v>
      </c>
      <c r="D8125" t="s">
        <v>6133</v>
      </c>
      <c r="E8125" t="s">
        <v>43099</v>
      </c>
      <c r="F8125">
        <v>10</v>
      </c>
      <c r="G8125" t="s">
        <v>4685</v>
      </c>
      <c r="H8125" t="s">
        <v>1047</v>
      </c>
      <c r="I8125" t="s">
        <v>40</v>
      </c>
      <c r="J8125" t="s">
        <v>996</v>
      </c>
      <c r="K8125" t="s">
        <v>42</v>
      </c>
      <c r="L8125" t="s">
        <v>43100</v>
      </c>
      <c r="Q8125">
        <v>24441</v>
      </c>
      <c r="R8125" t="s">
        <v>119</v>
      </c>
      <c r="S8125" t="s">
        <v>43101</v>
      </c>
      <c r="T8125">
        <v>22</v>
      </c>
      <c r="W8125" t="s">
        <v>43102</v>
      </c>
      <c r="X8125">
        <v>838298</v>
      </c>
      <c r="Y8125" t="s">
        <v>49029</v>
      </c>
      <c r="Z8125" t="s">
        <v>54</v>
      </c>
      <c r="AA8125" s="2" t="s">
        <v>49030</v>
      </c>
      <c r="AB8125" t="s">
        <v>486</v>
      </c>
      <c r="AG8125" t="s">
        <v>49031</v>
      </c>
      <c r="AH8125" t="s">
        <v>43105</v>
      </c>
      <c r="AI8125" t="s">
        <v>49032</v>
      </c>
    </row>
    <row r="8126" spans="2:35" ht="105">
      <c r="B8126" s="1">
        <v>45054</v>
      </c>
      <c r="C8126" s="4">
        <v>45054.386111111111</v>
      </c>
      <c r="D8126" t="s">
        <v>18752</v>
      </c>
      <c r="E8126" t="s">
        <v>46590</v>
      </c>
      <c r="F8126">
        <v>7</v>
      </c>
      <c r="G8126" t="s">
        <v>432</v>
      </c>
      <c r="H8126" t="s">
        <v>39</v>
      </c>
      <c r="I8126" t="s">
        <v>94</v>
      </c>
      <c r="J8126" t="s">
        <v>109</v>
      </c>
      <c r="K8126" t="s">
        <v>42</v>
      </c>
      <c r="L8126" t="s">
        <v>594</v>
      </c>
      <c r="Q8126">
        <v>24440</v>
      </c>
      <c r="R8126" t="s">
        <v>45</v>
      </c>
      <c r="S8126" t="s">
        <v>22513</v>
      </c>
      <c r="T8126">
        <v>22</v>
      </c>
      <c r="U8126" s="2" t="s">
        <v>4347</v>
      </c>
      <c r="V8126" s="1">
        <v>45051</v>
      </c>
      <c r="W8126" t="s">
        <v>502</v>
      </c>
      <c r="X8126">
        <v>815485</v>
      </c>
      <c r="Y8126" t="s">
        <v>67</v>
      </c>
      <c r="Z8126" t="s">
        <v>31912</v>
      </c>
      <c r="AA8126" t="s">
        <v>31912</v>
      </c>
      <c r="AB8126" t="s">
        <v>49033</v>
      </c>
      <c r="AG8126" t="s">
        <v>49034</v>
      </c>
      <c r="AH8126" t="s">
        <v>46595</v>
      </c>
      <c r="AI8126" t="s">
        <v>49035</v>
      </c>
    </row>
    <row r="8127" spans="2:35" ht="150">
      <c r="B8127" s="1">
        <v>45054</v>
      </c>
      <c r="C8127" s="4">
        <v>45050.379861111112</v>
      </c>
      <c r="D8127" t="s">
        <v>23439</v>
      </c>
      <c r="E8127" t="s">
        <v>49036</v>
      </c>
      <c r="F8127" t="s">
        <v>37</v>
      </c>
      <c r="G8127" t="s">
        <v>189</v>
      </c>
      <c r="H8127" t="s">
        <v>39</v>
      </c>
      <c r="I8127" t="s">
        <v>40</v>
      </c>
      <c r="J8127" s="2" t="s">
        <v>41</v>
      </c>
      <c r="K8127" t="s">
        <v>42</v>
      </c>
      <c r="L8127" t="s">
        <v>1028</v>
      </c>
      <c r="Q8127">
        <v>24439</v>
      </c>
      <c r="R8127" t="s">
        <v>45</v>
      </c>
      <c r="S8127" t="s">
        <v>49037</v>
      </c>
      <c r="T8127">
        <v>25</v>
      </c>
      <c r="U8127" s="2" t="s">
        <v>4426</v>
      </c>
      <c r="V8127" s="1">
        <v>45049</v>
      </c>
      <c r="W8127" t="s">
        <v>2680</v>
      </c>
      <c r="X8127">
        <v>838451</v>
      </c>
      <c r="Y8127" t="s">
        <v>29577</v>
      </c>
      <c r="Z8127" t="s">
        <v>2129</v>
      </c>
      <c r="AA8127" s="2" t="s">
        <v>49038</v>
      </c>
      <c r="AB8127" t="s">
        <v>3063</v>
      </c>
      <c r="AC8127" t="s">
        <v>49039</v>
      </c>
      <c r="AD8127" t="s">
        <v>10783</v>
      </c>
      <c r="AE8127" t="s">
        <v>49040</v>
      </c>
      <c r="AG8127" t="s">
        <v>49041</v>
      </c>
      <c r="AH8127" t="s">
        <v>49042</v>
      </c>
      <c r="AI8127" t="s">
        <v>49043</v>
      </c>
    </row>
    <row r="8128" spans="2:35" ht="150">
      <c r="B8128" s="1">
        <v>45054</v>
      </c>
      <c r="C8128" s="4">
        <v>45050.500694444447</v>
      </c>
      <c r="D8128" t="s">
        <v>49044</v>
      </c>
      <c r="E8128" t="s">
        <v>49045</v>
      </c>
      <c r="F8128" t="s">
        <v>37</v>
      </c>
      <c r="G8128" t="s">
        <v>189</v>
      </c>
      <c r="H8128" t="s">
        <v>39</v>
      </c>
      <c r="I8128" t="s">
        <v>40</v>
      </c>
      <c r="J8128" s="2" t="s">
        <v>41</v>
      </c>
      <c r="K8128" t="s">
        <v>42</v>
      </c>
      <c r="L8128" t="s">
        <v>1028</v>
      </c>
      <c r="Q8128">
        <v>24438</v>
      </c>
      <c r="R8128" t="s">
        <v>45</v>
      </c>
      <c r="S8128" t="s">
        <v>49046</v>
      </c>
      <c r="T8128">
        <v>25</v>
      </c>
      <c r="U8128" s="2" t="s">
        <v>34339</v>
      </c>
      <c r="V8128" s="1">
        <v>45049</v>
      </c>
      <c r="W8128" t="s">
        <v>2680</v>
      </c>
      <c r="X8128">
        <v>838179</v>
      </c>
      <c r="Y8128" t="s">
        <v>49047</v>
      </c>
      <c r="Z8128" t="s">
        <v>2129</v>
      </c>
      <c r="AA8128" s="2" t="s">
        <v>49048</v>
      </c>
      <c r="AB8128" t="s">
        <v>3063</v>
      </c>
      <c r="AC8128" t="s">
        <v>49049</v>
      </c>
      <c r="AD8128" t="s">
        <v>10783</v>
      </c>
      <c r="AE8128" t="s">
        <v>49050</v>
      </c>
      <c r="AG8128" t="s">
        <v>49051</v>
      </c>
      <c r="AH8128" t="s">
        <v>49052</v>
      </c>
      <c r="AI8128" t="s">
        <v>49053</v>
      </c>
    </row>
    <row r="8129" spans="2:35" ht="165">
      <c r="B8129" s="1">
        <v>45054</v>
      </c>
      <c r="C8129" s="4">
        <v>45051.504861111112</v>
      </c>
      <c r="D8129" t="s">
        <v>6619</v>
      </c>
      <c r="E8129" t="s">
        <v>49054</v>
      </c>
      <c r="F8129" t="s">
        <v>37</v>
      </c>
      <c r="G8129" t="s">
        <v>748</v>
      </c>
      <c r="H8129" t="s">
        <v>39</v>
      </c>
      <c r="I8129" t="s">
        <v>40</v>
      </c>
      <c r="J8129" s="2" t="s">
        <v>62</v>
      </c>
      <c r="K8129" t="s">
        <v>42</v>
      </c>
      <c r="L8129" t="s">
        <v>1028</v>
      </c>
      <c r="Q8129">
        <v>24437</v>
      </c>
      <c r="R8129" t="s">
        <v>119</v>
      </c>
      <c r="S8129" t="s">
        <v>5176</v>
      </c>
      <c r="T8129">
        <v>28</v>
      </c>
      <c r="U8129" s="2" t="s">
        <v>45613</v>
      </c>
      <c r="V8129" s="1">
        <v>45028</v>
      </c>
      <c r="W8129" t="s">
        <v>2680</v>
      </c>
      <c r="X8129">
        <v>838535</v>
      </c>
      <c r="Y8129" t="s">
        <v>43618</v>
      </c>
      <c r="Z8129" t="s">
        <v>21244</v>
      </c>
      <c r="AA8129" s="2" t="s">
        <v>49055</v>
      </c>
      <c r="AB8129" t="s">
        <v>49056</v>
      </c>
      <c r="AD8129" t="s">
        <v>7189</v>
      </c>
      <c r="AE8129">
        <v>9883</v>
      </c>
      <c r="AG8129" t="s">
        <v>49057</v>
      </c>
      <c r="AH8129" t="s">
        <v>15407</v>
      </c>
      <c r="AI8129" t="s">
        <v>49058</v>
      </c>
    </row>
    <row r="8130" spans="2:35" ht="225">
      <c r="B8130" s="1">
        <v>45052</v>
      </c>
      <c r="C8130" s="4">
        <v>45052.458333333336</v>
      </c>
      <c r="D8130" t="s">
        <v>35771</v>
      </c>
      <c r="E8130" t="s">
        <v>6103</v>
      </c>
      <c r="F8130" t="s">
        <v>1255</v>
      </c>
      <c r="G8130" t="s">
        <v>4685</v>
      </c>
      <c r="H8130" t="s">
        <v>1047</v>
      </c>
      <c r="I8130" t="s">
        <v>94</v>
      </c>
      <c r="J8130" s="2" t="s">
        <v>1370</v>
      </c>
      <c r="K8130" t="s">
        <v>42</v>
      </c>
      <c r="L8130" t="s">
        <v>43100</v>
      </c>
      <c r="Q8130">
        <v>24436</v>
      </c>
      <c r="R8130" t="s">
        <v>45</v>
      </c>
      <c r="S8130" t="s">
        <v>23403</v>
      </c>
      <c r="T8130">
        <v>28</v>
      </c>
      <c r="W8130" t="s">
        <v>43102</v>
      </c>
      <c r="X8130">
        <v>807457</v>
      </c>
      <c r="Y8130" s="2" t="s">
        <v>49059</v>
      </c>
      <c r="Z8130" s="2" t="s">
        <v>49060</v>
      </c>
      <c r="AA8130" s="2" t="s">
        <v>49061</v>
      </c>
      <c r="AB8130" t="s">
        <v>486</v>
      </c>
      <c r="AG8130" t="s">
        <v>49062</v>
      </c>
      <c r="AH8130" t="s">
        <v>49063</v>
      </c>
      <c r="AI8130" t="s">
        <v>49064</v>
      </c>
    </row>
    <row r="8131" spans="2:35" ht="105">
      <c r="B8131" s="1">
        <v>45052</v>
      </c>
      <c r="C8131" s="4">
        <v>45052.45</v>
      </c>
      <c r="D8131" t="s">
        <v>4183</v>
      </c>
      <c r="E8131" t="s">
        <v>49065</v>
      </c>
      <c r="F8131">
        <v>3</v>
      </c>
      <c r="G8131" t="s">
        <v>134</v>
      </c>
      <c r="H8131" t="s">
        <v>2849</v>
      </c>
      <c r="I8131" t="s">
        <v>40</v>
      </c>
      <c r="J8131" s="2" t="s">
        <v>355</v>
      </c>
      <c r="K8131" t="s">
        <v>42</v>
      </c>
      <c r="L8131" t="s">
        <v>80</v>
      </c>
      <c r="Q8131">
        <v>24435</v>
      </c>
      <c r="R8131" t="s">
        <v>45</v>
      </c>
      <c r="S8131" t="s">
        <v>11499</v>
      </c>
      <c r="T8131">
        <v>28</v>
      </c>
      <c r="W8131" t="s">
        <v>502</v>
      </c>
      <c r="X8131">
        <v>834445</v>
      </c>
      <c r="Y8131" t="s">
        <v>49066</v>
      </c>
      <c r="Z8131" t="s">
        <v>49067</v>
      </c>
      <c r="AA8131" s="2" t="s">
        <v>49068</v>
      </c>
      <c r="AB8131" t="s">
        <v>49069</v>
      </c>
      <c r="AG8131" t="s">
        <v>49070</v>
      </c>
      <c r="AH8131" t="s">
        <v>16891</v>
      </c>
      <c r="AI8131" t="s">
        <v>49071</v>
      </c>
    </row>
    <row r="8132" spans="2:35" ht="240">
      <c r="B8132" s="1">
        <v>45052</v>
      </c>
      <c r="C8132" s="4">
        <v>45052.375694444447</v>
      </c>
      <c r="D8132" t="s">
        <v>49072</v>
      </c>
      <c r="E8132" t="s">
        <v>20596</v>
      </c>
      <c r="F8132">
        <v>3</v>
      </c>
      <c r="G8132" t="s">
        <v>134</v>
      </c>
      <c r="H8132" t="s">
        <v>513</v>
      </c>
      <c r="I8132" t="s">
        <v>40</v>
      </c>
      <c r="J8132" s="2" t="s">
        <v>760</v>
      </c>
      <c r="K8132" t="s">
        <v>387</v>
      </c>
      <c r="L8132" t="s">
        <v>80</v>
      </c>
      <c r="Q8132">
        <v>24434</v>
      </c>
      <c r="R8132" t="s">
        <v>322</v>
      </c>
      <c r="S8132" t="s">
        <v>12629</v>
      </c>
      <c r="T8132">
        <v>30</v>
      </c>
      <c r="V8132" s="1">
        <v>45052</v>
      </c>
      <c r="W8132" t="s">
        <v>390</v>
      </c>
      <c r="X8132" t="s">
        <v>7574</v>
      </c>
      <c r="Y8132" t="s">
        <v>49073</v>
      </c>
      <c r="Z8132" t="s">
        <v>49074</v>
      </c>
      <c r="AA8132" s="2" t="s">
        <v>49075</v>
      </c>
      <c r="AB8132" t="s">
        <v>88</v>
      </c>
      <c r="AD8132" t="s">
        <v>54</v>
      </c>
      <c r="AE8132" t="s">
        <v>54</v>
      </c>
      <c r="AG8132" t="s">
        <v>49076</v>
      </c>
      <c r="AH8132" t="s">
        <v>49077</v>
      </c>
      <c r="AI8132" t="s">
        <v>49078</v>
      </c>
    </row>
    <row r="8133" spans="2:35" ht="240">
      <c r="B8133" s="1">
        <v>45052</v>
      </c>
      <c r="C8133" s="4">
        <v>45052.375694444447</v>
      </c>
      <c r="D8133" t="s">
        <v>49072</v>
      </c>
      <c r="E8133" t="s">
        <v>20596</v>
      </c>
      <c r="F8133">
        <v>3</v>
      </c>
      <c r="G8133" t="s">
        <v>134</v>
      </c>
      <c r="H8133" t="s">
        <v>513</v>
      </c>
      <c r="I8133" t="s">
        <v>40</v>
      </c>
      <c r="J8133" s="2" t="s">
        <v>760</v>
      </c>
      <c r="K8133" t="s">
        <v>387</v>
      </c>
      <c r="L8133" t="s">
        <v>80</v>
      </c>
      <c r="Q8133">
        <v>24433</v>
      </c>
      <c r="R8133" t="s">
        <v>322</v>
      </c>
      <c r="S8133" t="s">
        <v>12629</v>
      </c>
      <c r="T8133">
        <v>30</v>
      </c>
      <c r="V8133" s="1">
        <v>45052</v>
      </c>
      <c r="W8133" t="s">
        <v>390</v>
      </c>
      <c r="X8133" t="s">
        <v>7574</v>
      </c>
      <c r="Y8133" t="s">
        <v>49073</v>
      </c>
      <c r="Z8133" t="s">
        <v>49074</v>
      </c>
      <c r="AA8133" s="2" t="s">
        <v>49075</v>
      </c>
      <c r="AB8133" t="s">
        <v>88</v>
      </c>
      <c r="AD8133" t="s">
        <v>54</v>
      </c>
      <c r="AE8133" t="s">
        <v>54</v>
      </c>
      <c r="AG8133" t="s">
        <v>49079</v>
      </c>
      <c r="AH8133" t="s">
        <v>49077</v>
      </c>
      <c r="AI8133" t="s">
        <v>49080</v>
      </c>
    </row>
    <row r="8134" spans="2:35" ht="360">
      <c r="B8134" s="1">
        <v>45052</v>
      </c>
      <c r="C8134" s="4">
        <v>45052.395833333336</v>
      </c>
      <c r="D8134" t="s">
        <v>36726</v>
      </c>
      <c r="E8134" t="s">
        <v>31780</v>
      </c>
      <c r="F8134">
        <v>8</v>
      </c>
      <c r="G8134" t="s">
        <v>342</v>
      </c>
      <c r="H8134" t="s">
        <v>39</v>
      </c>
      <c r="I8134" t="s">
        <v>40</v>
      </c>
      <c r="J8134" s="2" t="s">
        <v>41</v>
      </c>
      <c r="K8134" t="s">
        <v>42</v>
      </c>
      <c r="L8134" t="s">
        <v>259</v>
      </c>
      <c r="Q8134">
        <v>24432</v>
      </c>
      <c r="R8134" t="s">
        <v>45</v>
      </c>
      <c r="S8134" t="s">
        <v>35961</v>
      </c>
      <c r="T8134">
        <v>27</v>
      </c>
      <c r="U8134" s="2" t="s">
        <v>49081</v>
      </c>
      <c r="V8134" s="1">
        <v>45052</v>
      </c>
      <c r="W8134" t="s">
        <v>84</v>
      </c>
      <c r="X8134">
        <v>808631</v>
      </c>
      <c r="Y8134" t="s">
        <v>34206</v>
      </c>
      <c r="Z8134" s="2" t="s">
        <v>49082</v>
      </c>
      <c r="AA8134" t="e">
        <f ca="1">- module Replacement
- Preventive Maintenance</f>
        <v>#NAME?</v>
      </c>
      <c r="AB8134" t="s">
        <v>70</v>
      </c>
      <c r="AD8134" t="s">
        <v>35865</v>
      </c>
      <c r="AE8134" t="s">
        <v>45</v>
      </c>
      <c r="AG8134" t="s">
        <v>49083</v>
      </c>
      <c r="AH8134" t="s">
        <v>35967</v>
      </c>
      <c r="AI8134" t="s">
        <v>49084</v>
      </c>
    </row>
    <row r="8135" spans="2:35" ht="60">
      <c r="B8135" s="1">
        <v>45051</v>
      </c>
      <c r="C8135" s="4">
        <v>45051.606944444444</v>
      </c>
      <c r="D8135" t="s">
        <v>48991</v>
      </c>
      <c r="E8135" t="s">
        <v>48992</v>
      </c>
      <c r="F8135" t="s">
        <v>148</v>
      </c>
      <c r="G8135" t="s">
        <v>774</v>
      </c>
      <c r="H8135" t="s">
        <v>386</v>
      </c>
      <c r="I8135" t="s">
        <v>94</v>
      </c>
      <c r="J8135" s="2" t="s">
        <v>62</v>
      </c>
      <c r="K8135" t="s">
        <v>387</v>
      </c>
      <c r="L8135" t="s">
        <v>448</v>
      </c>
      <c r="Q8135">
        <v>24431</v>
      </c>
      <c r="R8135" t="s">
        <v>95</v>
      </c>
      <c r="S8135" t="s">
        <v>48993</v>
      </c>
      <c r="T8135">
        <v>28</v>
      </c>
      <c r="V8135" s="1">
        <v>45050</v>
      </c>
      <c r="W8135" t="s">
        <v>44669</v>
      </c>
      <c r="X8135" t="s">
        <v>3773</v>
      </c>
      <c r="Y8135" t="s">
        <v>48994</v>
      </c>
      <c r="Z8135" t="s">
        <v>46489</v>
      </c>
      <c r="AA8135" t="s">
        <v>28181</v>
      </c>
      <c r="AB8135" t="s">
        <v>486</v>
      </c>
      <c r="AD8135" t="s">
        <v>38897</v>
      </c>
      <c r="AE8135">
        <v>9971</v>
      </c>
      <c r="AG8135" t="s">
        <v>49085</v>
      </c>
      <c r="AH8135" t="s">
        <v>10923</v>
      </c>
      <c r="AI8135" t="s">
        <v>49086</v>
      </c>
    </row>
    <row r="8136" spans="2:35" ht="60">
      <c r="B8136" s="1">
        <v>45051</v>
      </c>
      <c r="C8136" s="4">
        <v>45051.637499999997</v>
      </c>
      <c r="D8136" t="s">
        <v>48991</v>
      </c>
      <c r="E8136" t="s">
        <v>48999</v>
      </c>
      <c r="F8136" t="s">
        <v>148</v>
      </c>
      <c r="G8136" t="s">
        <v>774</v>
      </c>
      <c r="H8136" t="s">
        <v>386</v>
      </c>
      <c r="I8136" t="s">
        <v>94</v>
      </c>
      <c r="J8136" s="2" t="s">
        <v>62</v>
      </c>
      <c r="K8136" t="s">
        <v>387</v>
      </c>
      <c r="L8136" t="s">
        <v>448</v>
      </c>
      <c r="Q8136">
        <v>24430</v>
      </c>
      <c r="R8136" t="s">
        <v>95</v>
      </c>
      <c r="S8136" t="s">
        <v>10918</v>
      </c>
      <c r="T8136">
        <v>28</v>
      </c>
      <c r="V8136" s="1">
        <v>45050</v>
      </c>
      <c r="W8136" t="s">
        <v>476</v>
      </c>
      <c r="X8136" t="s">
        <v>49000</v>
      </c>
      <c r="Y8136" t="s">
        <v>25152</v>
      </c>
      <c r="Z8136" t="s">
        <v>46489</v>
      </c>
      <c r="AA8136" t="s">
        <v>28181</v>
      </c>
      <c r="AB8136" t="s">
        <v>486</v>
      </c>
      <c r="AD8136" t="s">
        <v>5492</v>
      </c>
      <c r="AE8136">
        <v>9971</v>
      </c>
      <c r="AG8136" t="s">
        <v>49087</v>
      </c>
      <c r="AH8136" t="s">
        <v>10923</v>
      </c>
      <c r="AI8136" t="s">
        <v>49088</v>
      </c>
    </row>
    <row r="8137" spans="2:35" ht="285">
      <c r="B8137" s="1">
        <v>45051</v>
      </c>
      <c r="C8137" s="4">
        <v>45051.711805555555</v>
      </c>
      <c r="D8137" t="s">
        <v>3050</v>
      </c>
      <c r="E8137" t="s">
        <v>3051</v>
      </c>
      <c r="F8137" t="s">
        <v>148</v>
      </c>
      <c r="G8137" t="s">
        <v>371</v>
      </c>
      <c r="H8137" t="s">
        <v>39</v>
      </c>
      <c r="I8137" t="s">
        <v>40</v>
      </c>
      <c r="J8137" s="2" t="s">
        <v>62</v>
      </c>
      <c r="K8137" t="s">
        <v>42</v>
      </c>
      <c r="L8137" t="s">
        <v>15532</v>
      </c>
      <c r="Q8137">
        <v>24429</v>
      </c>
      <c r="R8137" t="s">
        <v>45</v>
      </c>
      <c r="S8137" t="s">
        <v>39588</v>
      </c>
      <c r="T8137">
        <v>32</v>
      </c>
      <c r="U8137" s="2" t="s">
        <v>49089</v>
      </c>
      <c r="V8137" s="1">
        <v>45044</v>
      </c>
      <c r="W8137" t="s">
        <v>6776</v>
      </c>
      <c r="X8137">
        <v>814154</v>
      </c>
      <c r="Y8137" t="s">
        <v>1111</v>
      </c>
      <c r="Z8137" t="s">
        <v>1519</v>
      </c>
      <c r="AA8137" s="2" t="s">
        <v>37058</v>
      </c>
      <c r="AB8137" t="s">
        <v>49090</v>
      </c>
      <c r="AD8137" t="s">
        <v>20036</v>
      </c>
      <c r="AE8137" t="s">
        <v>49091</v>
      </c>
      <c r="AG8137" t="s">
        <v>49092</v>
      </c>
      <c r="AH8137" t="s">
        <v>25468</v>
      </c>
      <c r="AI8137" t="s">
        <v>49093</v>
      </c>
    </row>
    <row r="8138" spans="2:35" ht="285">
      <c r="B8138" s="1">
        <v>45051</v>
      </c>
      <c r="C8138" s="4">
        <v>45051.667361111111</v>
      </c>
      <c r="D8138" t="s">
        <v>3050</v>
      </c>
      <c r="E8138" t="s">
        <v>3051</v>
      </c>
      <c r="F8138" t="s">
        <v>148</v>
      </c>
      <c r="G8138" t="s">
        <v>371</v>
      </c>
      <c r="H8138" t="s">
        <v>39</v>
      </c>
      <c r="I8138" t="s">
        <v>40</v>
      </c>
      <c r="J8138" s="2" t="s">
        <v>62</v>
      </c>
      <c r="K8138" t="s">
        <v>42</v>
      </c>
      <c r="L8138" t="s">
        <v>15532</v>
      </c>
      <c r="Q8138">
        <v>24428</v>
      </c>
      <c r="R8138" t="s">
        <v>45</v>
      </c>
      <c r="S8138" t="s">
        <v>39588</v>
      </c>
      <c r="T8138">
        <v>31</v>
      </c>
      <c r="U8138" s="2" t="s">
        <v>49094</v>
      </c>
      <c r="V8138" s="1">
        <v>45044</v>
      </c>
      <c r="W8138" t="s">
        <v>6776</v>
      </c>
      <c r="X8138">
        <v>805271</v>
      </c>
      <c r="Y8138" t="s">
        <v>1111</v>
      </c>
      <c r="Z8138" t="s">
        <v>49095</v>
      </c>
      <c r="AA8138" s="2" t="s">
        <v>43553</v>
      </c>
      <c r="AB8138" t="s">
        <v>49096</v>
      </c>
      <c r="AD8138" t="s">
        <v>20036</v>
      </c>
      <c r="AE8138" t="s">
        <v>49097</v>
      </c>
      <c r="AG8138" t="s">
        <v>49098</v>
      </c>
      <c r="AH8138" t="s">
        <v>47051</v>
      </c>
      <c r="AI8138" t="s">
        <v>49099</v>
      </c>
    </row>
    <row r="8139" spans="2:35" ht="75">
      <c r="B8139" s="1">
        <v>45051</v>
      </c>
      <c r="C8139" s="4">
        <v>45051.650694444441</v>
      </c>
      <c r="D8139" t="s">
        <v>1825</v>
      </c>
      <c r="E8139" t="s">
        <v>1555</v>
      </c>
      <c r="F8139">
        <v>7</v>
      </c>
      <c r="G8139" t="s">
        <v>432</v>
      </c>
      <c r="H8139" t="s">
        <v>39</v>
      </c>
      <c r="I8139" t="s">
        <v>40</v>
      </c>
      <c r="J8139" s="2" t="s">
        <v>49100</v>
      </c>
      <c r="K8139" t="s">
        <v>42</v>
      </c>
      <c r="L8139" t="s">
        <v>433</v>
      </c>
      <c r="Q8139">
        <v>24427</v>
      </c>
      <c r="R8139" t="s">
        <v>45</v>
      </c>
      <c r="S8139" t="s">
        <v>49101</v>
      </c>
      <c r="T8139">
        <v>28</v>
      </c>
      <c r="W8139" t="s">
        <v>1008</v>
      </c>
      <c r="X8139">
        <v>838882</v>
      </c>
      <c r="Y8139" t="s">
        <v>49102</v>
      </c>
      <c r="Z8139" t="s">
        <v>49103</v>
      </c>
      <c r="AA8139" t="s">
        <v>49103</v>
      </c>
      <c r="AB8139" t="s">
        <v>1011</v>
      </c>
      <c r="AG8139" t="s">
        <v>49104</v>
      </c>
      <c r="AH8139" t="s">
        <v>49105</v>
      </c>
      <c r="AI8139" t="s">
        <v>49106</v>
      </c>
    </row>
    <row r="8140" spans="2:35" ht="135">
      <c r="B8140" s="1">
        <v>45051</v>
      </c>
      <c r="C8140" s="4">
        <v>45051.622916666667</v>
      </c>
      <c r="D8140" t="s">
        <v>2257</v>
      </c>
      <c r="E8140" t="s">
        <v>49107</v>
      </c>
      <c r="F8140" t="s">
        <v>37</v>
      </c>
      <c r="G8140" t="s">
        <v>189</v>
      </c>
      <c r="H8140" t="s">
        <v>39</v>
      </c>
      <c r="I8140" t="s">
        <v>40</v>
      </c>
      <c r="J8140" s="2" t="s">
        <v>62</v>
      </c>
      <c r="K8140" t="s">
        <v>42</v>
      </c>
      <c r="L8140" t="s">
        <v>1943</v>
      </c>
      <c r="Q8140">
        <v>24426</v>
      </c>
      <c r="R8140" t="s">
        <v>119</v>
      </c>
      <c r="S8140" t="s">
        <v>2259</v>
      </c>
      <c r="T8140">
        <v>25</v>
      </c>
      <c r="V8140" s="1">
        <v>44943</v>
      </c>
      <c r="W8140" t="s">
        <v>84</v>
      </c>
      <c r="X8140">
        <v>821421</v>
      </c>
      <c r="Y8140" s="2" t="s">
        <v>23659</v>
      </c>
      <c r="Z8140" s="2" t="s">
        <v>32801</v>
      </c>
      <c r="AA8140" t="s">
        <v>23660</v>
      </c>
      <c r="AB8140" t="s">
        <v>49108</v>
      </c>
      <c r="AD8140" t="s">
        <v>5056</v>
      </c>
      <c r="AE8140" t="s">
        <v>49109</v>
      </c>
      <c r="AG8140" t="s">
        <v>49110</v>
      </c>
      <c r="AH8140" t="s">
        <v>2262</v>
      </c>
      <c r="AI8140" t="s">
        <v>49111</v>
      </c>
    </row>
    <row r="8141" spans="2:35" ht="409.5">
      <c r="B8141" s="1">
        <v>45051</v>
      </c>
      <c r="C8141" s="4">
        <v>45051.623611111114</v>
      </c>
      <c r="D8141" t="s">
        <v>4503</v>
      </c>
      <c r="E8141" t="s">
        <v>49112</v>
      </c>
      <c r="F8141">
        <v>1</v>
      </c>
      <c r="G8141" t="s">
        <v>1046</v>
      </c>
      <c r="H8141" t="s">
        <v>39</v>
      </c>
      <c r="I8141" t="s">
        <v>40</v>
      </c>
      <c r="J8141" s="2" t="s">
        <v>62</v>
      </c>
      <c r="K8141" t="s">
        <v>42</v>
      </c>
      <c r="L8141" t="s">
        <v>135</v>
      </c>
      <c r="Q8141">
        <v>24425</v>
      </c>
      <c r="R8141" t="s">
        <v>119</v>
      </c>
      <c r="S8141" t="s">
        <v>15012</v>
      </c>
      <c r="T8141">
        <v>33</v>
      </c>
      <c r="U8141" s="2" t="s">
        <v>49113</v>
      </c>
      <c r="V8141" s="1">
        <v>45008</v>
      </c>
      <c r="W8141" t="s">
        <v>2680</v>
      </c>
      <c r="X8141">
        <v>838516</v>
      </c>
      <c r="Y8141" t="s">
        <v>1751</v>
      </c>
      <c r="Z8141" s="2" t="s">
        <v>29789</v>
      </c>
      <c r="AA8141" s="2" t="s">
        <v>31375</v>
      </c>
      <c r="AB8141" t="s">
        <v>49114</v>
      </c>
      <c r="AC8141" t="s">
        <v>49115</v>
      </c>
      <c r="AD8141" t="s">
        <v>26369</v>
      </c>
      <c r="AE8141">
        <v>9775</v>
      </c>
      <c r="AG8141" t="s">
        <v>49116</v>
      </c>
      <c r="AH8141" t="s">
        <v>11218</v>
      </c>
      <c r="AI8141" t="s">
        <v>49117</v>
      </c>
    </row>
    <row r="8142" spans="2:35" ht="210">
      <c r="B8142" s="1">
        <v>45051</v>
      </c>
      <c r="C8142" s="4">
        <v>45051.595833333333</v>
      </c>
      <c r="D8142" t="s">
        <v>32260</v>
      </c>
      <c r="E8142" t="s">
        <v>49118</v>
      </c>
      <c r="F8142" t="s">
        <v>148</v>
      </c>
      <c r="G8142" t="s">
        <v>371</v>
      </c>
      <c r="H8142" t="s">
        <v>39</v>
      </c>
      <c r="I8142" t="s">
        <v>40</v>
      </c>
      <c r="J8142" s="2" t="s">
        <v>41</v>
      </c>
      <c r="K8142" t="s">
        <v>42</v>
      </c>
      <c r="L8142" t="s">
        <v>15532</v>
      </c>
      <c r="Q8142">
        <v>24424</v>
      </c>
      <c r="R8142" t="s">
        <v>45</v>
      </c>
      <c r="S8142" t="s">
        <v>32262</v>
      </c>
      <c r="T8142">
        <v>24</v>
      </c>
      <c r="U8142" s="2" t="s">
        <v>49119</v>
      </c>
      <c r="V8142" s="1">
        <v>45049</v>
      </c>
      <c r="W8142" t="s">
        <v>3244</v>
      </c>
      <c r="X8142">
        <v>838884</v>
      </c>
      <c r="Y8142" t="s">
        <v>49120</v>
      </c>
      <c r="Z8142" t="s">
        <v>49121</v>
      </c>
      <c r="AA8142" s="2" t="s">
        <v>49122</v>
      </c>
      <c r="AB8142" s="2" t="s">
        <v>49123</v>
      </c>
      <c r="AC8142" t="s">
        <v>49124</v>
      </c>
      <c r="AD8142" t="s">
        <v>15847</v>
      </c>
      <c r="AE8142" t="s">
        <v>49125</v>
      </c>
      <c r="AG8142" t="s">
        <v>49126</v>
      </c>
      <c r="AH8142" t="s">
        <v>32267</v>
      </c>
      <c r="AI8142" t="s">
        <v>49127</v>
      </c>
    </row>
    <row r="8143" spans="2:35" ht="210">
      <c r="B8143" s="1">
        <v>45051</v>
      </c>
      <c r="C8143" s="4">
        <v>45051.570138888892</v>
      </c>
      <c r="D8143" t="s">
        <v>24611</v>
      </c>
      <c r="E8143" t="s">
        <v>49128</v>
      </c>
      <c r="F8143" t="s">
        <v>37</v>
      </c>
      <c r="G8143" t="s">
        <v>189</v>
      </c>
      <c r="H8143" t="s">
        <v>39</v>
      </c>
      <c r="I8143" t="s">
        <v>40</v>
      </c>
      <c r="J8143" s="2" t="s">
        <v>41</v>
      </c>
      <c r="K8143" t="s">
        <v>42</v>
      </c>
      <c r="L8143" t="s">
        <v>1943</v>
      </c>
      <c r="Q8143">
        <v>24423</v>
      </c>
      <c r="R8143" t="s">
        <v>45</v>
      </c>
      <c r="S8143" t="s">
        <v>24613</v>
      </c>
      <c r="T8143">
        <v>25</v>
      </c>
      <c r="U8143" s="2" t="s">
        <v>49129</v>
      </c>
      <c r="V8143" s="1">
        <v>45048</v>
      </c>
      <c r="W8143" t="s">
        <v>84</v>
      </c>
      <c r="X8143">
        <v>805329</v>
      </c>
      <c r="Y8143" s="2" t="s">
        <v>33800</v>
      </c>
      <c r="Z8143" s="2" t="s">
        <v>49130</v>
      </c>
      <c r="AA8143" t="s">
        <v>22330</v>
      </c>
      <c r="AB8143" t="s">
        <v>88</v>
      </c>
      <c r="AD8143" t="s">
        <v>49131</v>
      </c>
      <c r="AE8143" t="s">
        <v>8904</v>
      </c>
      <c r="AG8143" t="s">
        <v>49132</v>
      </c>
      <c r="AH8143" t="s">
        <v>24617</v>
      </c>
      <c r="AI8143" t="s">
        <v>49133</v>
      </c>
    </row>
    <row r="8144" spans="2:35" ht="210">
      <c r="B8144" s="1">
        <v>45051</v>
      </c>
      <c r="C8144" s="4">
        <v>45051.570138888892</v>
      </c>
      <c r="D8144" t="s">
        <v>24611</v>
      </c>
      <c r="E8144" t="s">
        <v>49128</v>
      </c>
      <c r="F8144" t="s">
        <v>37</v>
      </c>
      <c r="G8144" t="s">
        <v>189</v>
      </c>
      <c r="H8144" t="s">
        <v>39</v>
      </c>
      <c r="I8144" t="s">
        <v>40</v>
      </c>
      <c r="J8144" s="2" t="s">
        <v>41</v>
      </c>
      <c r="K8144" t="s">
        <v>42</v>
      </c>
      <c r="L8144" t="s">
        <v>1943</v>
      </c>
      <c r="Q8144">
        <v>24422</v>
      </c>
      <c r="R8144" t="s">
        <v>45</v>
      </c>
      <c r="S8144" t="s">
        <v>24613</v>
      </c>
      <c r="T8144">
        <v>25</v>
      </c>
      <c r="U8144" s="2" t="s">
        <v>49129</v>
      </c>
      <c r="V8144" s="1">
        <v>45048</v>
      </c>
      <c r="W8144" t="s">
        <v>84</v>
      </c>
      <c r="X8144">
        <v>805329</v>
      </c>
      <c r="Y8144" s="2" t="s">
        <v>33800</v>
      </c>
      <c r="Z8144" s="2" t="s">
        <v>49130</v>
      </c>
      <c r="AA8144" t="s">
        <v>22330</v>
      </c>
      <c r="AB8144" t="s">
        <v>88</v>
      </c>
      <c r="AD8144" t="s">
        <v>49131</v>
      </c>
      <c r="AE8144" t="s">
        <v>8904</v>
      </c>
      <c r="AG8144" t="s">
        <v>49134</v>
      </c>
      <c r="AH8144" t="s">
        <v>24617</v>
      </c>
      <c r="AI8144" t="s">
        <v>49135</v>
      </c>
    </row>
    <row r="8145" spans="2:35" ht="210">
      <c r="B8145" s="1">
        <v>45051</v>
      </c>
      <c r="C8145" s="4">
        <v>45051.574305555558</v>
      </c>
      <c r="D8145" t="s">
        <v>24611</v>
      </c>
      <c r="E8145" t="s">
        <v>49128</v>
      </c>
      <c r="F8145" t="s">
        <v>37</v>
      </c>
      <c r="G8145" t="s">
        <v>189</v>
      </c>
      <c r="H8145" t="s">
        <v>39</v>
      </c>
      <c r="I8145" t="s">
        <v>40</v>
      </c>
      <c r="J8145" s="2" t="s">
        <v>41</v>
      </c>
      <c r="K8145" t="s">
        <v>42</v>
      </c>
      <c r="L8145" t="s">
        <v>1943</v>
      </c>
      <c r="Q8145">
        <v>24421</v>
      </c>
      <c r="R8145" t="s">
        <v>45</v>
      </c>
      <c r="S8145" t="s">
        <v>24613</v>
      </c>
      <c r="T8145">
        <v>25</v>
      </c>
      <c r="U8145" s="2" t="s">
        <v>49129</v>
      </c>
      <c r="V8145" s="1">
        <v>45048</v>
      </c>
      <c r="W8145" t="s">
        <v>84</v>
      </c>
      <c r="X8145">
        <v>808642</v>
      </c>
      <c r="Y8145" s="2" t="s">
        <v>49136</v>
      </c>
      <c r="Z8145" s="2" t="s">
        <v>49137</v>
      </c>
      <c r="AA8145" t="s">
        <v>28687</v>
      </c>
      <c r="AB8145" t="s">
        <v>88</v>
      </c>
      <c r="AD8145" t="s">
        <v>49138</v>
      </c>
      <c r="AE8145" t="s">
        <v>8904</v>
      </c>
      <c r="AG8145" t="s">
        <v>49139</v>
      </c>
      <c r="AH8145" t="s">
        <v>49140</v>
      </c>
      <c r="AI8145" t="s">
        <v>49141</v>
      </c>
    </row>
    <row r="8146" spans="2:35" ht="405">
      <c r="B8146" s="1">
        <v>45051</v>
      </c>
      <c r="C8146" s="4">
        <v>45049.630555555559</v>
      </c>
      <c r="D8146" t="s">
        <v>2834</v>
      </c>
      <c r="E8146" t="s">
        <v>2835</v>
      </c>
      <c r="F8146">
        <v>11</v>
      </c>
      <c r="G8146" t="s">
        <v>2836</v>
      </c>
      <c r="H8146" t="s">
        <v>202</v>
      </c>
      <c r="I8146" t="s">
        <v>40</v>
      </c>
      <c r="J8146" s="2" t="s">
        <v>1592</v>
      </c>
      <c r="K8146" t="s">
        <v>42</v>
      </c>
      <c r="L8146" t="s">
        <v>204</v>
      </c>
      <c r="Q8146">
        <v>24420</v>
      </c>
      <c r="R8146" t="s">
        <v>45</v>
      </c>
      <c r="S8146" t="s">
        <v>2837</v>
      </c>
      <c r="T8146">
        <v>22.6</v>
      </c>
      <c r="W8146" t="s">
        <v>16722</v>
      </c>
      <c r="X8146">
        <v>838756</v>
      </c>
      <c r="Y8146" t="s">
        <v>49142</v>
      </c>
      <c r="Z8146" s="2" t="s">
        <v>49143</v>
      </c>
      <c r="AA8146" t="s">
        <v>49144</v>
      </c>
      <c r="AB8146" t="s">
        <v>49145</v>
      </c>
      <c r="AC8146" t="s">
        <v>49146</v>
      </c>
      <c r="AG8146" t="s">
        <v>49147</v>
      </c>
      <c r="AH8146" t="s">
        <v>2844</v>
      </c>
      <c r="AI8146" t="s">
        <v>49148</v>
      </c>
    </row>
    <row r="8147" spans="2:35" ht="405">
      <c r="B8147" s="1">
        <v>45051</v>
      </c>
      <c r="C8147" s="4">
        <v>45049.630555555559</v>
      </c>
      <c r="D8147" t="s">
        <v>2834</v>
      </c>
      <c r="E8147" t="s">
        <v>2835</v>
      </c>
      <c r="F8147">
        <v>11</v>
      </c>
      <c r="G8147" t="s">
        <v>2836</v>
      </c>
      <c r="H8147" t="s">
        <v>202</v>
      </c>
      <c r="I8147" t="s">
        <v>40</v>
      </c>
      <c r="J8147" s="2" t="s">
        <v>1592</v>
      </c>
      <c r="K8147" t="s">
        <v>42</v>
      </c>
      <c r="L8147" t="s">
        <v>204</v>
      </c>
      <c r="Q8147">
        <v>24419</v>
      </c>
      <c r="R8147" t="s">
        <v>45</v>
      </c>
      <c r="S8147" t="s">
        <v>2837</v>
      </c>
      <c r="T8147">
        <v>22.6</v>
      </c>
      <c r="W8147" t="s">
        <v>16722</v>
      </c>
      <c r="X8147">
        <v>838756</v>
      </c>
      <c r="Y8147" t="s">
        <v>49142</v>
      </c>
      <c r="Z8147" s="2" t="s">
        <v>49143</v>
      </c>
      <c r="AA8147" t="s">
        <v>49144</v>
      </c>
      <c r="AB8147" t="s">
        <v>49145</v>
      </c>
      <c r="AC8147" t="s">
        <v>49146</v>
      </c>
      <c r="AG8147" t="s">
        <v>49149</v>
      </c>
      <c r="AH8147" t="s">
        <v>2844</v>
      </c>
      <c r="AI8147" t="s">
        <v>49150</v>
      </c>
    </row>
    <row r="8148" spans="2:35" ht="255">
      <c r="B8148" s="1">
        <v>45051</v>
      </c>
      <c r="C8148" s="4">
        <v>45051.539583333331</v>
      </c>
      <c r="D8148" t="s">
        <v>49151</v>
      </c>
      <c r="E8148" t="s">
        <v>49152</v>
      </c>
      <c r="F8148">
        <v>1</v>
      </c>
      <c r="G8148" t="s">
        <v>1046</v>
      </c>
      <c r="H8148" t="s">
        <v>39</v>
      </c>
      <c r="I8148" t="s">
        <v>40</v>
      </c>
      <c r="J8148" s="2" t="s">
        <v>41</v>
      </c>
      <c r="K8148" t="s">
        <v>42</v>
      </c>
      <c r="L8148" t="s">
        <v>135</v>
      </c>
      <c r="Q8148">
        <v>24418</v>
      </c>
      <c r="R8148" t="s">
        <v>45</v>
      </c>
      <c r="S8148" t="s">
        <v>26615</v>
      </c>
      <c r="T8148">
        <v>30</v>
      </c>
      <c r="U8148" s="2" t="s">
        <v>49153</v>
      </c>
      <c r="V8148" s="1">
        <v>45043</v>
      </c>
      <c r="W8148" t="s">
        <v>2680</v>
      </c>
      <c r="X8148">
        <v>834684</v>
      </c>
      <c r="Y8148" t="s">
        <v>49154</v>
      </c>
      <c r="Z8148" s="2" t="s">
        <v>29539</v>
      </c>
      <c r="AA8148" s="2" t="s">
        <v>32304</v>
      </c>
      <c r="AB8148" t="s">
        <v>181</v>
      </c>
      <c r="AD8148" t="s">
        <v>13225</v>
      </c>
      <c r="AE8148">
        <v>40626</v>
      </c>
      <c r="AG8148" t="s">
        <v>49155</v>
      </c>
      <c r="AH8148" t="s">
        <v>26619</v>
      </c>
      <c r="AI8148" t="s">
        <v>49156</v>
      </c>
    </row>
    <row r="8149" spans="2:35" ht="409.5">
      <c r="B8149" s="1">
        <v>45051</v>
      </c>
      <c r="C8149" s="4">
        <v>45051.413194444445</v>
      </c>
      <c r="D8149" t="s">
        <v>1432</v>
      </c>
      <c r="E8149" t="s">
        <v>49157</v>
      </c>
      <c r="F8149">
        <v>1</v>
      </c>
      <c r="G8149" t="s">
        <v>1046</v>
      </c>
      <c r="H8149" t="s">
        <v>39</v>
      </c>
      <c r="I8149" t="s">
        <v>40</v>
      </c>
      <c r="J8149" s="2" t="s">
        <v>62</v>
      </c>
      <c r="K8149" t="s">
        <v>42</v>
      </c>
      <c r="L8149" t="s">
        <v>135</v>
      </c>
      <c r="Q8149">
        <v>24416</v>
      </c>
      <c r="R8149" t="s">
        <v>119</v>
      </c>
      <c r="S8149" t="s">
        <v>10453</v>
      </c>
      <c r="T8149">
        <v>30</v>
      </c>
      <c r="U8149" s="2" t="s">
        <v>49158</v>
      </c>
      <c r="V8149" s="1">
        <v>45008</v>
      </c>
      <c r="W8149" t="s">
        <v>2680</v>
      </c>
      <c r="X8149">
        <v>838518</v>
      </c>
      <c r="Y8149" t="s">
        <v>67</v>
      </c>
      <c r="Z8149" s="2" t="s">
        <v>29789</v>
      </c>
      <c r="AA8149" s="2" t="s">
        <v>31375</v>
      </c>
      <c r="AB8149" t="s">
        <v>181</v>
      </c>
      <c r="AC8149" t="s">
        <v>34421</v>
      </c>
      <c r="AD8149" t="s">
        <v>26369</v>
      </c>
      <c r="AE8149">
        <v>9778</v>
      </c>
      <c r="AG8149" t="s">
        <v>49159</v>
      </c>
      <c r="AH8149" t="s">
        <v>49160</v>
      </c>
      <c r="AI8149" t="s">
        <v>49161</v>
      </c>
    </row>
    <row r="8150" spans="2:35" ht="409.5">
      <c r="B8150" s="1">
        <v>45051</v>
      </c>
      <c r="C8150" s="4">
        <v>45050.65347222222</v>
      </c>
      <c r="D8150" t="s">
        <v>9342</v>
      </c>
      <c r="E8150" t="s">
        <v>49162</v>
      </c>
      <c r="F8150">
        <v>1</v>
      </c>
      <c r="G8150" t="s">
        <v>1046</v>
      </c>
      <c r="H8150" t="s">
        <v>1047</v>
      </c>
      <c r="I8150" t="s">
        <v>40</v>
      </c>
      <c r="J8150" s="2" t="s">
        <v>62</v>
      </c>
      <c r="K8150" t="s">
        <v>42</v>
      </c>
      <c r="L8150" t="s">
        <v>135</v>
      </c>
      <c r="Q8150">
        <v>24415</v>
      </c>
      <c r="R8150" t="s">
        <v>119</v>
      </c>
      <c r="S8150" t="s">
        <v>49163</v>
      </c>
      <c r="T8150">
        <v>30</v>
      </c>
      <c r="U8150" s="2" t="s">
        <v>49164</v>
      </c>
      <c r="V8150" s="1">
        <v>44959</v>
      </c>
      <c r="W8150" t="s">
        <v>2680</v>
      </c>
      <c r="X8150">
        <v>838287</v>
      </c>
      <c r="Y8150" t="s">
        <v>1751</v>
      </c>
      <c r="Z8150" s="2" t="s">
        <v>29789</v>
      </c>
      <c r="AA8150" s="2" t="s">
        <v>31375</v>
      </c>
      <c r="AB8150" t="s">
        <v>181</v>
      </c>
      <c r="AC8150" t="s">
        <v>34413</v>
      </c>
      <c r="AD8150" t="s">
        <v>26369</v>
      </c>
      <c r="AE8150">
        <v>9576</v>
      </c>
      <c r="AG8150" t="s">
        <v>49165</v>
      </c>
      <c r="AH8150" t="s">
        <v>49166</v>
      </c>
      <c r="AI8150" t="s">
        <v>49167</v>
      </c>
    </row>
    <row r="8151" spans="2:35" ht="405">
      <c r="B8151" s="1">
        <v>45051</v>
      </c>
      <c r="C8151" s="4">
        <v>45050.37777777778</v>
      </c>
      <c r="D8151" t="s">
        <v>41684</v>
      </c>
      <c r="E8151" t="s">
        <v>37265</v>
      </c>
      <c r="F8151">
        <v>3</v>
      </c>
      <c r="G8151" t="s">
        <v>219</v>
      </c>
      <c r="H8151" t="s">
        <v>39</v>
      </c>
      <c r="I8151" t="s">
        <v>40</v>
      </c>
      <c r="J8151" s="2" t="s">
        <v>1309</v>
      </c>
      <c r="K8151" t="s">
        <v>42</v>
      </c>
      <c r="L8151" t="s">
        <v>135</v>
      </c>
      <c r="Q8151">
        <v>24417</v>
      </c>
      <c r="R8151" t="s">
        <v>45</v>
      </c>
      <c r="S8151" t="s">
        <v>42525</v>
      </c>
      <c r="T8151">
        <v>31</v>
      </c>
      <c r="U8151" s="2" t="s">
        <v>49168</v>
      </c>
      <c r="V8151" s="1">
        <v>45043</v>
      </c>
      <c r="W8151" t="s">
        <v>2680</v>
      </c>
      <c r="X8151">
        <v>812788</v>
      </c>
      <c r="Y8151" t="s">
        <v>49169</v>
      </c>
      <c r="Z8151" s="2" t="s">
        <v>49170</v>
      </c>
      <c r="AA8151" s="2" t="s">
        <v>49171</v>
      </c>
      <c r="AB8151" t="s">
        <v>181</v>
      </c>
      <c r="AC8151" t="s">
        <v>34421</v>
      </c>
      <c r="AD8151" t="s">
        <v>49172</v>
      </c>
      <c r="AE8151" t="s">
        <v>49173</v>
      </c>
      <c r="AG8151" t="s">
        <v>49174</v>
      </c>
      <c r="AH8151" t="s">
        <v>49175</v>
      </c>
      <c r="AI8151" t="s">
        <v>49176</v>
      </c>
    </row>
    <row r="8152" spans="2:35" ht="409.5">
      <c r="B8152" s="1">
        <v>45051</v>
      </c>
      <c r="C8152" s="4">
        <v>45051.458333333336</v>
      </c>
      <c r="D8152" t="s">
        <v>4814</v>
      </c>
      <c r="E8152" t="s">
        <v>49177</v>
      </c>
      <c r="F8152" t="s">
        <v>148</v>
      </c>
      <c r="G8152" t="s">
        <v>785</v>
      </c>
      <c r="H8152" t="s">
        <v>39</v>
      </c>
      <c r="I8152" t="s">
        <v>40</v>
      </c>
      <c r="J8152" s="2" t="s">
        <v>41</v>
      </c>
      <c r="K8152" t="s">
        <v>42</v>
      </c>
      <c r="L8152" t="s">
        <v>1048</v>
      </c>
      <c r="Q8152">
        <v>24414</v>
      </c>
      <c r="R8152" t="s">
        <v>45</v>
      </c>
      <c r="S8152" t="s">
        <v>26449</v>
      </c>
      <c r="T8152">
        <v>29</v>
      </c>
      <c r="U8152" s="2" t="s">
        <v>49178</v>
      </c>
      <c r="V8152" s="1">
        <v>45049</v>
      </c>
      <c r="W8152" t="s">
        <v>2384</v>
      </c>
      <c r="X8152">
        <v>814163</v>
      </c>
      <c r="Y8152" t="s">
        <v>47465</v>
      </c>
      <c r="Z8152" s="2" t="s">
        <v>49179</v>
      </c>
      <c r="AA8152" t="s">
        <v>13318</v>
      </c>
      <c r="AB8152" t="s">
        <v>181</v>
      </c>
      <c r="AC8152" t="s">
        <v>27457</v>
      </c>
      <c r="AD8152" s="2" t="s">
        <v>49180</v>
      </c>
      <c r="AE8152" t="s">
        <v>49181</v>
      </c>
      <c r="AG8152" t="s">
        <v>49182</v>
      </c>
      <c r="AH8152" t="s">
        <v>4820</v>
      </c>
      <c r="AI8152" t="s">
        <v>49183</v>
      </c>
    </row>
    <row r="8153" spans="2:35" ht="409.5">
      <c r="B8153" s="1">
        <v>45051</v>
      </c>
      <c r="C8153" s="4">
        <v>45051.458333333336</v>
      </c>
      <c r="D8153" t="s">
        <v>4814</v>
      </c>
      <c r="E8153" t="s">
        <v>49177</v>
      </c>
      <c r="F8153" t="s">
        <v>148</v>
      </c>
      <c r="G8153" t="s">
        <v>785</v>
      </c>
      <c r="H8153" t="s">
        <v>39</v>
      </c>
      <c r="I8153" t="s">
        <v>40</v>
      </c>
      <c r="J8153" s="2" t="s">
        <v>41</v>
      </c>
      <c r="K8153" t="s">
        <v>42</v>
      </c>
      <c r="L8153" t="s">
        <v>1048</v>
      </c>
      <c r="Q8153">
        <v>24413</v>
      </c>
      <c r="R8153" t="s">
        <v>45</v>
      </c>
      <c r="S8153" t="s">
        <v>26449</v>
      </c>
      <c r="T8153">
        <v>29</v>
      </c>
      <c r="U8153" s="2" t="s">
        <v>49178</v>
      </c>
      <c r="V8153" s="1">
        <v>45049</v>
      </c>
      <c r="W8153" t="s">
        <v>2384</v>
      </c>
      <c r="X8153">
        <v>814163</v>
      </c>
      <c r="Y8153" t="s">
        <v>47465</v>
      </c>
      <c r="Z8153" s="2" t="s">
        <v>49179</v>
      </c>
      <c r="AA8153" t="s">
        <v>13318</v>
      </c>
      <c r="AB8153" t="s">
        <v>181</v>
      </c>
      <c r="AC8153" t="s">
        <v>27457</v>
      </c>
      <c r="AD8153" s="2" t="s">
        <v>49180</v>
      </c>
      <c r="AE8153" t="s">
        <v>49181</v>
      </c>
      <c r="AG8153" t="s">
        <v>49184</v>
      </c>
      <c r="AH8153" t="s">
        <v>4820</v>
      </c>
      <c r="AI8153" t="s">
        <v>49185</v>
      </c>
    </row>
    <row r="8154" spans="2:35" ht="360">
      <c r="B8154" s="1">
        <v>45051</v>
      </c>
      <c r="C8154" s="4">
        <v>45051.452777777777</v>
      </c>
      <c r="D8154" t="s">
        <v>5089</v>
      </c>
      <c r="E8154" t="s">
        <v>49186</v>
      </c>
      <c r="F8154">
        <v>3</v>
      </c>
      <c r="G8154" t="s">
        <v>1722</v>
      </c>
      <c r="H8154" t="s">
        <v>39</v>
      </c>
      <c r="I8154" t="s">
        <v>40</v>
      </c>
      <c r="J8154" s="2" t="s">
        <v>1592</v>
      </c>
      <c r="K8154" t="s">
        <v>42</v>
      </c>
      <c r="L8154" t="s">
        <v>63</v>
      </c>
      <c r="Q8154">
        <v>24412</v>
      </c>
      <c r="R8154" t="s">
        <v>45</v>
      </c>
      <c r="S8154" t="s">
        <v>15318</v>
      </c>
      <c r="T8154">
        <v>29</v>
      </c>
      <c r="U8154" s="2" t="s">
        <v>49187</v>
      </c>
      <c r="V8154" s="1">
        <v>45051</v>
      </c>
      <c r="W8154" t="s">
        <v>26915</v>
      </c>
      <c r="X8154">
        <v>844111</v>
      </c>
      <c r="Y8154" t="s">
        <v>49188</v>
      </c>
      <c r="Z8154" t="s">
        <v>49189</v>
      </c>
      <c r="AA8154" s="2" t="s">
        <v>39935</v>
      </c>
      <c r="AB8154" t="s">
        <v>70</v>
      </c>
      <c r="AC8154" t="s">
        <v>49190</v>
      </c>
      <c r="AD8154" t="s">
        <v>49191</v>
      </c>
      <c r="AE8154" t="s">
        <v>1716</v>
      </c>
      <c r="AG8154" t="s">
        <v>49192</v>
      </c>
      <c r="AH8154" t="s">
        <v>21706</v>
      </c>
      <c r="AI8154" t="s">
        <v>49193</v>
      </c>
    </row>
    <row r="8155" spans="2:35" ht="285">
      <c r="B8155" s="1">
        <v>45051</v>
      </c>
      <c r="C8155" s="4">
        <v>45050.55</v>
      </c>
      <c r="D8155" t="s">
        <v>33813</v>
      </c>
      <c r="E8155" t="s">
        <v>49194</v>
      </c>
      <c r="F8155">
        <v>3</v>
      </c>
      <c r="G8155" t="s">
        <v>1722</v>
      </c>
      <c r="H8155" t="s">
        <v>39</v>
      </c>
      <c r="I8155" t="s">
        <v>40</v>
      </c>
      <c r="J8155" s="2" t="s">
        <v>41</v>
      </c>
      <c r="K8155" t="s">
        <v>42</v>
      </c>
      <c r="L8155" t="s">
        <v>63</v>
      </c>
      <c r="Q8155">
        <v>24411</v>
      </c>
      <c r="R8155" t="s">
        <v>45</v>
      </c>
      <c r="S8155" t="s">
        <v>33815</v>
      </c>
      <c r="T8155">
        <v>29</v>
      </c>
      <c r="U8155" s="2" t="s">
        <v>49195</v>
      </c>
      <c r="V8155" s="1">
        <v>45050</v>
      </c>
      <c r="W8155" t="s">
        <v>26915</v>
      </c>
      <c r="X8155">
        <v>807560</v>
      </c>
      <c r="Y8155" t="s">
        <v>1716</v>
      </c>
      <c r="Z8155" t="s">
        <v>1716</v>
      </c>
      <c r="AA8155" s="2" t="s">
        <v>49196</v>
      </c>
      <c r="AB8155" t="s">
        <v>70</v>
      </c>
      <c r="AC8155" t="s">
        <v>49197</v>
      </c>
      <c r="AD8155" t="s">
        <v>49198</v>
      </c>
      <c r="AE8155" t="s">
        <v>1716</v>
      </c>
      <c r="AG8155" t="s">
        <v>49199</v>
      </c>
      <c r="AH8155" t="s">
        <v>49200</v>
      </c>
      <c r="AI8155" t="s">
        <v>49201</v>
      </c>
    </row>
    <row r="8156" spans="2:35" ht="285">
      <c r="B8156" s="1">
        <v>45051</v>
      </c>
      <c r="C8156" s="4">
        <v>45051.462500000001</v>
      </c>
      <c r="D8156" t="s">
        <v>1670</v>
      </c>
      <c r="E8156" t="s">
        <v>44348</v>
      </c>
      <c r="F8156" t="s">
        <v>148</v>
      </c>
      <c r="G8156" t="s">
        <v>310</v>
      </c>
      <c r="H8156" t="s">
        <v>39</v>
      </c>
      <c r="I8156" t="s">
        <v>40</v>
      </c>
      <c r="J8156" s="2" t="s">
        <v>41</v>
      </c>
      <c r="K8156" t="s">
        <v>42</v>
      </c>
      <c r="L8156" t="s">
        <v>15532</v>
      </c>
      <c r="Q8156">
        <v>24410</v>
      </c>
      <c r="R8156" t="s">
        <v>45</v>
      </c>
      <c r="S8156" t="s">
        <v>40103</v>
      </c>
      <c r="T8156">
        <v>25</v>
      </c>
      <c r="U8156" s="2" t="s">
        <v>24442</v>
      </c>
      <c r="V8156" s="1">
        <v>45049</v>
      </c>
      <c r="W8156" t="s">
        <v>597</v>
      </c>
      <c r="X8156">
        <v>812829</v>
      </c>
      <c r="Y8156" t="s">
        <v>22441</v>
      </c>
      <c r="Z8156" t="s">
        <v>5712</v>
      </c>
      <c r="AA8156" s="2" t="s">
        <v>49202</v>
      </c>
      <c r="AB8156" s="2" t="s">
        <v>49203</v>
      </c>
      <c r="AC8156" t="s">
        <v>49204</v>
      </c>
      <c r="AD8156" t="s">
        <v>49205</v>
      </c>
      <c r="AE8156" t="s">
        <v>49206</v>
      </c>
      <c r="AG8156" t="s">
        <v>49207</v>
      </c>
      <c r="AH8156" t="s">
        <v>49208</v>
      </c>
      <c r="AI8156" t="s">
        <v>49209</v>
      </c>
    </row>
    <row r="8157" spans="2:35" ht="285">
      <c r="B8157" s="1">
        <v>45051</v>
      </c>
      <c r="C8157" s="4">
        <v>45051.478472222225</v>
      </c>
      <c r="D8157" t="s">
        <v>25621</v>
      </c>
      <c r="E8157" t="s">
        <v>188</v>
      </c>
      <c r="F8157" t="s">
        <v>37</v>
      </c>
      <c r="G8157" t="s">
        <v>189</v>
      </c>
      <c r="H8157" t="s">
        <v>34954</v>
      </c>
      <c r="I8157" t="s">
        <v>40</v>
      </c>
      <c r="J8157" s="2" t="s">
        <v>41</v>
      </c>
      <c r="K8157" t="s">
        <v>42</v>
      </c>
      <c r="L8157" t="s">
        <v>1943</v>
      </c>
      <c r="Q8157">
        <v>24409</v>
      </c>
      <c r="R8157" t="s">
        <v>45</v>
      </c>
      <c r="S8157" t="s">
        <v>25623</v>
      </c>
      <c r="T8157">
        <v>25</v>
      </c>
      <c r="U8157" s="2" t="s">
        <v>48592</v>
      </c>
      <c r="V8157" s="1">
        <v>45048</v>
      </c>
      <c r="W8157" t="s">
        <v>84</v>
      </c>
      <c r="X8157">
        <v>834627</v>
      </c>
      <c r="Y8157" s="2" t="s">
        <v>22466</v>
      </c>
      <c r="Z8157" s="2" t="s">
        <v>45784</v>
      </c>
      <c r="AA8157" t="s">
        <v>22330</v>
      </c>
      <c r="AB8157" t="s">
        <v>88</v>
      </c>
      <c r="AD8157" t="s">
        <v>48593</v>
      </c>
      <c r="AE8157" t="s">
        <v>8904</v>
      </c>
      <c r="AG8157" t="s">
        <v>49210</v>
      </c>
      <c r="AH8157" t="s">
        <v>48588</v>
      </c>
      <c r="AI8157" t="s">
        <v>49211</v>
      </c>
    </row>
    <row r="8158" spans="2:35" ht="285">
      <c r="B8158" s="1">
        <v>45051</v>
      </c>
      <c r="C8158" s="4">
        <v>45051.480555555558</v>
      </c>
      <c r="D8158" t="s">
        <v>25621</v>
      </c>
      <c r="E8158" t="s">
        <v>188</v>
      </c>
      <c r="F8158" t="s">
        <v>37</v>
      </c>
      <c r="G8158" t="s">
        <v>189</v>
      </c>
      <c r="H8158" t="s">
        <v>34954</v>
      </c>
      <c r="I8158" t="s">
        <v>40</v>
      </c>
      <c r="J8158" s="2" t="s">
        <v>41</v>
      </c>
      <c r="K8158" t="s">
        <v>42</v>
      </c>
      <c r="L8158" t="s">
        <v>1943</v>
      </c>
      <c r="Q8158">
        <v>24408</v>
      </c>
      <c r="R8158" t="s">
        <v>45</v>
      </c>
      <c r="S8158" t="s">
        <v>25623</v>
      </c>
      <c r="T8158">
        <v>25</v>
      </c>
      <c r="U8158" s="2" t="s">
        <v>49212</v>
      </c>
      <c r="V8158" s="1">
        <v>45048</v>
      </c>
      <c r="W8158" t="s">
        <v>84</v>
      </c>
      <c r="X8158">
        <v>804683</v>
      </c>
      <c r="Y8158" s="2" t="s">
        <v>49213</v>
      </c>
      <c r="Z8158" s="2" t="s">
        <v>49214</v>
      </c>
      <c r="AA8158" t="s">
        <v>22330</v>
      </c>
      <c r="AB8158" t="s">
        <v>88</v>
      </c>
      <c r="AD8158" t="s">
        <v>49215</v>
      </c>
      <c r="AE8158" t="s">
        <v>8904</v>
      </c>
      <c r="AG8158" t="s">
        <v>49216</v>
      </c>
      <c r="AH8158" t="s">
        <v>48588</v>
      </c>
      <c r="AI8158" t="s">
        <v>49217</v>
      </c>
    </row>
    <row r="8159" spans="2:35" ht="409.5">
      <c r="B8159" s="1">
        <v>45051</v>
      </c>
      <c r="C8159" s="4">
        <v>45051.40347222222</v>
      </c>
      <c r="D8159" t="s">
        <v>24983</v>
      </c>
      <c r="E8159" t="s">
        <v>24984</v>
      </c>
      <c r="F8159">
        <v>8</v>
      </c>
      <c r="G8159" t="s">
        <v>257</v>
      </c>
      <c r="H8159" t="s">
        <v>12698</v>
      </c>
      <c r="I8159" t="s">
        <v>40</v>
      </c>
      <c r="J8159" s="2" t="s">
        <v>1309</v>
      </c>
      <c r="K8159" t="s">
        <v>42</v>
      </c>
      <c r="L8159" t="s">
        <v>259</v>
      </c>
      <c r="Q8159">
        <v>24407</v>
      </c>
      <c r="R8159" t="s">
        <v>45</v>
      </c>
      <c r="S8159" t="s">
        <v>47805</v>
      </c>
      <c r="T8159">
        <v>25</v>
      </c>
      <c r="U8159" s="2" t="s">
        <v>49218</v>
      </c>
      <c r="V8159" s="1">
        <v>45051</v>
      </c>
      <c r="W8159" t="s">
        <v>84</v>
      </c>
      <c r="X8159">
        <v>808291</v>
      </c>
      <c r="Y8159" t="e">
        <f ca="1">-module C3 _xludf.For Replacement
-_xludf.For CALIBRATION</f>
        <v>#NAME?</v>
      </c>
      <c r="Z8159" s="2" t="s">
        <v>49219</v>
      </c>
      <c r="AA8159" t="e">
        <f ca="1">-module Replacement
- CALIBRATION
- Preventive Maintenance</f>
        <v>#NAME?</v>
      </c>
      <c r="AB8159" t="s">
        <v>70</v>
      </c>
      <c r="AD8159" t="s">
        <v>49220</v>
      </c>
      <c r="AE8159" t="s">
        <v>45</v>
      </c>
      <c r="AG8159" t="s">
        <v>49221</v>
      </c>
      <c r="AH8159" t="s">
        <v>49222</v>
      </c>
      <c r="AI8159" t="s">
        <v>49223</v>
      </c>
    </row>
    <row r="8160" spans="2:35" ht="210">
      <c r="B8160" s="1">
        <v>45051</v>
      </c>
      <c r="C8160" s="4">
        <v>45051.398611111108</v>
      </c>
      <c r="D8160" t="s">
        <v>1678</v>
      </c>
      <c r="E8160" t="s">
        <v>44993</v>
      </c>
      <c r="F8160" t="s">
        <v>148</v>
      </c>
      <c r="G8160" t="s">
        <v>785</v>
      </c>
      <c r="H8160" t="s">
        <v>39</v>
      </c>
      <c r="I8160" t="s">
        <v>40</v>
      </c>
      <c r="J8160" s="2" t="s">
        <v>41</v>
      </c>
      <c r="K8160" t="s">
        <v>42</v>
      </c>
      <c r="L8160" t="s">
        <v>761</v>
      </c>
      <c r="Q8160">
        <v>24406</v>
      </c>
      <c r="R8160" t="s">
        <v>45</v>
      </c>
      <c r="S8160" t="s">
        <v>18437</v>
      </c>
      <c r="T8160">
        <v>25</v>
      </c>
      <c r="U8160" s="2" t="s">
        <v>49224</v>
      </c>
      <c r="V8160" s="1">
        <v>45049</v>
      </c>
      <c r="W8160" t="s">
        <v>3662</v>
      </c>
      <c r="X8160">
        <v>843924</v>
      </c>
      <c r="Y8160" t="s">
        <v>49225</v>
      </c>
      <c r="Z8160" s="2" t="s">
        <v>49226</v>
      </c>
      <c r="AA8160" t="s">
        <v>16055</v>
      </c>
      <c r="AB8160" t="s">
        <v>181</v>
      </c>
      <c r="AD8160" t="s">
        <v>49227</v>
      </c>
      <c r="AE8160" t="s">
        <v>49228</v>
      </c>
      <c r="AG8160" t="s">
        <v>49229</v>
      </c>
      <c r="AH8160" t="s">
        <v>14357</v>
      </c>
      <c r="AI8160" t="s">
        <v>49230</v>
      </c>
    </row>
    <row r="8161" spans="2:35" ht="409.5">
      <c r="B8161" s="1">
        <v>45051</v>
      </c>
      <c r="C8161" s="4">
        <v>45050.566666666666</v>
      </c>
      <c r="D8161" t="s">
        <v>660</v>
      </c>
      <c r="E8161" t="s">
        <v>49231</v>
      </c>
      <c r="F8161" t="s">
        <v>148</v>
      </c>
      <c r="G8161" t="s">
        <v>447</v>
      </c>
      <c r="H8161" t="s">
        <v>61</v>
      </c>
      <c r="I8161" t="s">
        <v>40</v>
      </c>
      <c r="J8161" t="s">
        <v>109</v>
      </c>
      <c r="K8161" t="s">
        <v>42</v>
      </c>
      <c r="L8161" t="s">
        <v>15532</v>
      </c>
      <c r="Q8161">
        <v>24405</v>
      </c>
      <c r="R8161" t="s">
        <v>322</v>
      </c>
      <c r="S8161" t="s">
        <v>3987</v>
      </c>
      <c r="T8161">
        <v>22</v>
      </c>
      <c r="U8161" s="2" t="s">
        <v>49232</v>
      </c>
      <c r="W8161" t="s">
        <v>10472</v>
      </c>
      <c r="X8161">
        <v>110014171</v>
      </c>
      <c r="Y8161" t="s">
        <v>49233</v>
      </c>
      <c r="Z8161" s="2" t="s">
        <v>49234</v>
      </c>
      <c r="AA8161" t="s">
        <v>6997</v>
      </c>
      <c r="AB8161" t="s">
        <v>181</v>
      </c>
      <c r="AG8161" t="s">
        <v>49235</v>
      </c>
      <c r="AH8161" t="s">
        <v>12852</v>
      </c>
      <c r="AI8161" t="s">
        <v>49236</v>
      </c>
    </row>
    <row r="8162" spans="2:35" ht="409.5">
      <c r="B8162" s="1">
        <v>45050</v>
      </c>
      <c r="C8162" s="4">
        <v>45050.625</v>
      </c>
      <c r="D8162" t="s">
        <v>49237</v>
      </c>
      <c r="E8162" t="s">
        <v>48260</v>
      </c>
      <c r="F8162" t="s">
        <v>148</v>
      </c>
      <c r="G8162" t="s">
        <v>447</v>
      </c>
      <c r="H8162" t="s">
        <v>26690</v>
      </c>
      <c r="I8162" t="s">
        <v>40</v>
      </c>
      <c r="J8162" t="s">
        <v>11797</v>
      </c>
      <c r="K8162" t="s">
        <v>42</v>
      </c>
      <c r="L8162" t="s">
        <v>448</v>
      </c>
      <c r="Q8162">
        <v>24404</v>
      </c>
      <c r="R8162" t="s">
        <v>322</v>
      </c>
      <c r="S8162" t="s">
        <v>5604</v>
      </c>
      <c r="T8162">
        <v>27</v>
      </c>
      <c r="U8162" s="2" t="s">
        <v>49238</v>
      </c>
      <c r="W8162" t="s">
        <v>325</v>
      </c>
      <c r="X8162">
        <v>110005587</v>
      </c>
      <c r="Y8162" t="s">
        <v>49239</v>
      </c>
      <c r="Z8162" t="s">
        <v>28155</v>
      </c>
      <c r="AA8162" t="s">
        <v>32947</v>
      </c>
      <c r="AB8162" t="s">
        <v>49240</v>
      </c>
      <c r="AG8162" t="s">
        <v>49241</v>
      </c>
      <c r="AH8162" t="s">
        <v>5609</v>
      </c>
      <c r="AI8162" t="s">
        <v>49242</v>
      </c>
    </row>
    <row r="8163" spans="2:35" ht="180">
      <c r="B8163" s="1">
        <v>45050</v>
      </c>
      <c r="C8163" s="4">
        <v>45050.646527777775</v>
      </c>
      <c r="D8163" t="s">
        <v>32616</v>
      </c>
      <c r="E8163" t="s">
        <v>29745</v>
      </c>
      <c r="F8163">
        <v>3</v>
      </c>
      <c r="G8163" t="s">
        <v>174</v>
      </c>
      <c r="H8163" t="s">
        <v>39</v>
      </c>
      <c r="I8163" t="s">
        <v>40</v>
      </c>
      <c r="J8163" s="2" t="s">
        <v>62</v>
      </c>
      <c r="K8163" t="s">
        <v>42</v>
      </c>
      <c r="L8163" t="s">
        <v>175</v>
      </c>
      <c r="Q8163">
        <v>24403</v>
      </c>
      <c r="R8163" t="s">
        <v>45</v>
      </c>
      <c r="S8163" t="s">
        <v>46969</v>
      </c>
      <c r="T8163">
        <v>25</v>
      </c>
      <c r="U8163" s="2" t="s">
        <v>49243</v>
      </c>
      <c r="W8163" t="s">
        <v>84</v>
      </c>
      <c r="X8163">
        <v>805252</v>
      </c>
      <c r="Y8163" t="s">
        <v>998</v>
      </c>
      <c r="Z8163" t="e">
        <f ca="1">- checked _xludf.and cleaned cartridge bay, plunger rod, _xludf.filter, icore slot
- performed XpertCheck
- generated reports</f>
        <v>#NAME?</v>
      </c>
      <c r="AA8163" t="s">
        <v>999</v>
      </c>
      <c r="AB8163" s="2" t="s">
        <v>49244</v>
      </c>
      <c r="AG8163" t="s">
        <v>49245</v>
      </c>
      <c r="AH8163" t="s">
        <v>46974</v>
      </c>
      <c r="AI8163" t="s">
        <v>49246</v>
      </c>
    </row>
    <row r="8164" spans="2:35" ht="105">
      <c r="B8164" s="1">
        <v>45050</v>
      </c>
      <c r="C8164" s="4">
        <v>45050.607638888891</v>
      </c>
      <c r="D8164" t="s">
        <v>24073</v>
      </c>
      <c r="E8164" t="s">
        <v>1555</v>
      </c>
      <c r="F8164">
        <v>7</v>
      </c>
      <c r="G8164" t="s">
        <v>432</v>
      </c>
      <c r="H8164" t="s">
        <v>39</v>
      </c>
      <c r="I8164" t="s">
        <v>40</v>
      </c>
      <c r="J8164" s="2" t="s">
        <v>49247</v>
      </c>
      <c r="K8164" t="s">
        <v>42</v>
      </c>
      <c r="L8164" t="s">
        <v>433</v>
      </c>
      <c r="Q8164">
        <v>24402</v>
      </c>
      <c r="R8164" t="s">
        <v>45</v>
      </c>
      <c r="S8164" t="s">
        <v>1818</v>
      </c>
      <c r="T8164">
        <v>28</v>
      </c>
      <c r="W8164" t="s">
        <v>6776</v>
      </c>
      <c r="X8164">
        <v>806201</v>
      </c>
      <c r="Y8164" t="s">
        <v>49248</v>
      </c>
      <c r="Z8164" t="s">
        <v>49249</v>
      </c>
      <c r="AA8164" t="s">
        <v>49249</v>
      </c>
      <c r="AB8164" t="s">
        <v>1011</v>
      </c>
      <c r="AG8164" t="s">
        <v>49250</v>
      </c>
      <c r="AH8164" t="s">
        <v>47357</v>
      </c>
      <c r="AI8164" t="s">
        <v>49251</v>
      </c>
    </row>
    <row r="8165" spans="2:35" ht="285">
      <c r="B8165" s="1">
        <v>45050</v>
      </c>
      <c r="C8165" s="4">
        <v>45050.42083333333</v>
      </c>
      <c r="D8165" t="s">
        <v>7219</v>
      </c>
      <c r="E8165" t="s">
        <v>29483</v>
      </c>
      <c r="F8165" t="s">
        <v>148</v>
      </c>
      <c r="G8165" t="s">
        <v>310</v>
      </c>
      <c r="H8165" t="s">
        <v>39</v>
      </c>
      <c r="I8165" t="s">
        <v>40</v>
      </c>
      <c r="J8165" s="2" t="s">
        <v>41</v>
      </c>
      <c r="K8165" t="s">
        <v>42</v>
      </c>
      <c r="L8165" t="s">
        <v>1048</v>
      </c>
      <c r="Q8165">
        <v>24401</v>
      </c>
      <c r="R8165" t="s">
        <v>45</v>
      </c>
      <c r="S8165" t="s">
        <v>35366</v>
      </c>
      <c r="T8165">
        <v>23</v>
      </c>
      <c r="U8165" s="2" t="s">
        <v>49252</v>
      </c>
      <c r="V8165" s="1">
        <v>45049</v>
      </c>
      <c r="W8165" t="s">
        <v>2384</v>
      </c>
      <c r="X8165">
        <v>804766</v>
      </c>
      <c r="Y8165" t="s">
        <v>11545</v>
      </c>
      <c r="Z8165" s="2" t="s">
        <v>49253</v>
      </c>
      <c r="AA8165" t="s">
        <v>13318</v>
      </c>
      <c r="AB8165" t="s">
        <v>181</v>
      </c>
      <c r="AC8165" t="s">
        <v>49254</v>
      </c>
      <c r="AD8165" t="s">
        <v>49255</v>
      </c>
      <c r="AE8165" t="s">
        <v>49256</v>
      </c>
      <c r="AG8165" t="s">
        <v>49257</v>
      </c>
      <c r="AH8165" t="s">
        <v>35371</v>
      </c>
      <c r="AI8165" t="s">
        <v>49258</v>
      </c>
    </row>
    <row r="8166" spans="2:35" ht="90">
      <c r="B8166" s="1">
        <v>45050</v>
      </c>
      <c r="C8166" s="4">
        <v>45050.584027777775</v>
      </c>
      <c r="D8166" t="s">
        <v>49259</v>
      </c>
      <c r="E8166" t="s">
        <v>43778</v>
      </c>
      <c r="F8166">
        <v>7</v>
      </c>
      <c r="G8166" t="s">
        <v>432</v>
      </c>
      <c r="H8166" t="s">
        <v>2290</v>
      </c>
      <c r="I8166" t="s">
        <v>94</v>
      </c>
      <c r="J8166" t="s">
        <v>79</v>
      </c>
      <c r="K8166" t="s">
        <v>42</v>
      </c>
      <c r="L8166" t="s">
        <v>610</v>
      </c>
      <c r="Q8166">
        <v>24400</v>
      </c>
      <c r="R8166" t="s">
        <v>45</v>
      </c>
      <c r="S8166" t="s">
        <v>23380</v>
      </c>
      <c r="T8166">
        <v>24</v>
      </c>
      <c r="U8166" s="2" t="s">
        <v>49260</v>
      </c>
      <c r="W8166" t="s">
        <v>502</v>
      </c>
      <c r="X8166">
        <v>808640</v>
      </c>
      <c r="Y8166" t="s">
        <v>49261</v>
      </c>
      <c r="Z8166" t="s">
        <v>49262</v>
      </c>
      <c r="AA8166" t="s">
        <v>49263</v>
      </c>
      <c r="AB8166" t="s">
        <v>1263</v>
      </c>
      <c r="AG8166" t="s">
        <v>49264</v>
      </c>
      <c r="AH8166" t="s">
        <v>49265</v>
      </c>
      <c r="AI8166" t="s">
        <v>49266</v>
      </c>
    </row>
    <row r="8167" spans="2:35" ht="285">
      <c r="B8167" s="1">
        <v>45050</v>
      </c>
      <c r="C8167" s="4">
        <v>45050.570833333331</v>
      </c>
      <c r="D8167" t="s">
        <v>8131</v>
      </c>
      <c r="E8167" t="s">
        <v>8132</v>
      </c>
      <c r="F8167">
        <v>6</v>
      </c>
      <c r="G8167" t="s">
        <v>4457</v>
      </c>
      <c r="H8167" t="s">
        <v>34104</v>
      </c>
      <c r="I8167" t="s">
        <v>94</v>
      </c>
      <c r="J8167" t="s">
        <v>996</v>
      </c>
      <c r="K8167" t="s">
        <v>42</v>
      </c>
      <c r="L8167" t="s">
        <v>23958</v>
      </c>
      <c r="Q8167">
        <v>24399</v>
      </c>
      <c r="R8167" t="s">
        <v>45</v>
      </c>
      <c r="S8167" t="s">
        <v>18851</v>
      </c>
      <c r="T8167">
        <v>4</v>
      </c>
      <c r="U8167" s="2" t="s">
        <v>49267</v>
      </c>
      <c r="W8167" t="s">
        <v>2384</v>
      </c>
      <c r="X8167">
        <v>804680</v>
      </c>
      <c r="Y8167" t="s">
        <v>49268</v>
      </c>
      <c r="Z8167" t="s">
        <v>49269</v>
      </c>
      <c r="AA8167" t="s">
        <v>49270</v>
      </c>
      <c r="AB8167" t="s">
        <v>49271</v>
      </c>
      <c r="AG8167" t="s">
        <v>49272</v>
      </c>
      <c r="AH8167" t="s">
        <v>49273</v>
      </c>
      <c r="AI8167" t="s">
        <v>49274</v>
      </c>
    </row>
    <row r="8168" spans="2:35" ht="180">
      <c r="B8168" s="1">
        <v>45050</v>
      </c>
      <c r="C8168" s="4">
        <v>45050.573611111111</v>
      </c>
      <c r="D8168" t="s">
        <v>2883</v>
      </c>
      <c r="E8168" t="s">
        <v>49275</v>
      </c>
      <c r="F8168">
        <v>13</v>
      </c>
      <c r="G8168" t="s">
        <v>7763</v>
      </c>
      <c r="H8168" t="s">
        <v>2125</v>
      </c>
      <c r="I8168" t="s">
        <v>40</v>
      </c>
      <c r="J8168" s="2" t="s">
        <v>62</v>
      </c>
      <c r="K8168" t="s">
        <v>42</v>
      </c>
      <c r="L8168" t="s">
        <v>933</v>
      </c>
      <c r="Q8168">
        <v>24398</v>
      </c>
      <c r="R8168" t="s">
        <v>45</v>
      </c>
      <c r="S8168" t="s">
        <v>24698</v>
      </c>
      <c r="T8168">
        <v>29.2</v>
      </c>
      <c r="U8168" s="2" t="s">
        <v>49276</v>
      </c>
      <c r="W8168" t="s">
        <v>3662</v>
      </c>
      <c r="X8168">
        <v>835078</v>
      </c>
      <c r="Y8168" t="s">
        <v>301</v>
      </c>
      <c r="Z8168" t="s">
        <v>301</v>
      </c>
      <c r="AA8168" t="s">
        <v>49277</v>
      </c>
      <c r="AB8168" t="s">
        <v>43442</v>
      </c>
      <c r="AG8168" t="s">
        <v>49278</v>
      </c>
      <c r="AH8168" t="s">
        <v>49279</v>
      </c>
      <c r="AI8168" t="s">
        <v>49280</v>
      </c>
    </row>
    <row r="8169" spans="2:35" ht="270">
      <c r="B8169" s="1">
        <v>45050</v>
      </c>
      <c r="C8169" s="4">
        <v>45050.561805555553</v>
      </c>
      <c r="D8169" t="s">
        <v>5903</v>
      </c>
      <c r="E8169" t="s">
        <v>49281</v>
      </c>
      <c r="F8169" t="s">
        <v>148</v>
      </c>
      <c r="G8169" t="s">
        <v>447</v>
      </c>
      <c r="H8169" t="s">
        <v>6500</v>
      </c>
      <c r="I8169" t="s">
        <v>40</v>
      </c>
      <c r="J8169" t="s">
        <v>109</v>
      </c>
      <c r="K8169" t="s">
        <v>42</v>
      </c>
      <c r="L8169" t="s">
        <v>448</v>
      </c>
      <c r="Q8169">
        <v>24397</v>
      </c>
      <c r="R8169" t="s">
        <v>45</v>
      </c>
      <c r="S8169" t="s">
        <v>3987</v>
      </c>
      <c r="T8169">
        <v>22</v>
      </c>
      <c r="U8169" s="2" t="s">
        <v>49282</v>
      </c>
      <c r="W8169" t="s">
        <v>360</v>
      </c>
      <c r="X8169">
        <v>803109</v>
      </c>
      <c r="Y8169" t="s">
        <v>121</v>
      </c>
      <c r="Z8169" t="s">
        <v>49283</v>
      </c>
      <c r="AA8169" t="s">
        <v>6997</v>
      </c>
      <c r="AB8169" t="s">
        <v>486</v>
      </c>
      <c r="AG8169" t="s">
        <v>49284</v>
      </c>
      <c r="AH8169" t="s">
        <v>12852</v>
      </c>
      <c r="AI8169" t="s">
        <v>49285</v>
      </c>
    </row>
    <row r="8170" spans="2:35" ht="360">
      <c r="B8170" s="1">
        <v>45050</v>
      </c>
      <c r="C8170" s="4">
        <v>45050.480555555558</v>
      </c>
      <c r="D8170" t="s">
        <v>1661</v>
      </c>
      <c r="E8170" t="s">
        <v>1662</v>
      </c>
      <c r="F8170">
        <v>8</v>
      </c>
      <c r="G8170" t="s">
        <v>1663</v>
      </c>
      <c r="H8170" t="s">
        <v>39</v>
      </c>
      <c r="I8170" t="s">
        <v>40</v>
      </c>
      <c r="J8170" s="2" t="s">
        <v>1309</v>
      </c>
      <c r="K8170" t="s">
        <v>42</v>
      </c>
      <c r="L8170" t="s">
        <v>259</v>
      </c>
      <c r="Q8170">
        <v>24396</v>
      </c>
      <c r="R8170" t="s">
        <v>45</v>
      </c>
      <c r="S8170" t="s">
        <v>26127</v>
      </c>
      <c r="T8170">
        <v>27</v>
      </c>
      <c r="U8170" s="2" t="s">
        <v>49286</v>
      </c>
      <c r="V8170" s="1">
        <v>45050</v>
      </c>
      <c r="W8170" t="s">
        <v>84</v>
      </c>
      <c r="X8170">
        <v>807566</v>
      </c>
      <c r="Y8170" t="s">
        <v>49287</v>
      </c>
      <c r="Z8170" s="2" t="s">
        <v>49288</v>
      </c>
      <c r="AA8170" t="e">
        <f ca="1">-module Replacement
-CALIBRATION
- Preventive Maintenance</f>
        <v>#NAME?</v>
      </c>
      <c r="AB8170" t="s">
        <v>49289</v>
      </c>
      <c r="AD8170" t="s">
        <v>49290</v>
      </c>
      <c r="AE8170" t="s">
        <v>45</v>
      </c>
      <c r="AG8170" t="s">
        <v>49291</v>
      </c>
      <c r="AH8170" t="s">
        <v>26143</v>
      </c>
      <c r="AI8170" t="s">
        <v>49292</v>
      </c>
    </row>
    <row r="8171" spans="2:35" ht="60">
      <c r="B8171" s="1">
        <v>45050</v>
      </c>
      <c r="C8171" s="4">
        <v>45050.456944444442</v>
      </c>
      <c r="D8171" t="s">
        <v>49293</v>
      </c>
      <c r="E8171" t="s">
        <v>49294</v>
      </c>
      <c r="F8171" t="s">
        <v>148</v>
      </c>
      <c r="G8171" t="s">
        <v>310</v>
      </c>
      <c r="H8171" t="s">
        <v>39</v>
      </c>
      <c r="I8171" t="s">
        <v>40</v>
      </c>
      <c r="J8171" s="2" t="s">
        <v>62</v>
      </c>
      <c r="K8171" t="s">
        <v>387</v>
      </c>
      <c r="L8171" t="s">
        <v>448</v>
      </c>
      <c r="Q8171">
        <v>24395</v>
      </c>
      <c r="R8171" t="s">
        <v>322</v>
      </c>
      <c r="S8171" t="s">
        <v>9610</v>
      </c>
      <c r="T8171">
        <v>27</v>
      </c>
      <c r="W8171" t="s">
        <v>31235</v>
      </c>
      <c r="X8171" t="s">
        <v>5906</v>
      </c>
      <c r="Y8171" t="s">
        <v>25152</v>
      </c>
      <c r="Z8171" t="s">
        <v>49295</v>
      </c>
      <c r="AA8171" t="s">
        <v>28174</v>
      </c>
      <c r="AB8171" t="s">
        <v>486</v>
      </c>
      <c r="AG8171" t="s">
        <v>49296</v>
      </c>
      <c r="AH8171" t="s">
        <v>9614</v>
      </c>
      <c r="AI8171" t="s">
        <v>49297</v>
      </c>
    </row>
    <row r="8172" spans="2:35" ht="285">
      <c r="B8172" s="1">
        <v>45050</v>
      </c>
      <c r="C8172" s="4">
        <v>45050.420138888891</v>
      </c>
      <c r="D8172" t="s">
        <v>7219</v>
      </c>
      <c r="E8172" t="s">
        <v>353</v>
      </c>
      <c r="F8172" t="s">
        <v>148</v>
      </c>
      <c r="G8172" t="s">
        <v>310</v>
      </c>
      <c r="H8172" t="s">
        <v>39</v>
      </c>
      <c r="I8172" t="s">
        <v>40</v>
      </c>
      <c r="J8172" s="2" t="s">
        <v>41</v>
      </c>
      <c r="K8172" t="s">
        <v>42</v>
      </c>
      <c r="L8172" t="s">
        <v>761</v>
      </c>
      <c r="Q8172">
        <v>24394</v>
      </c>
      <c r="R8172" t="s">
        <v>45</v>
      </c>
      <c r="S8172" t="s">
        <v>35366</v>
      </c>
      <c r="T8172">
        <v>23</v>
      </c>
      <c r="U8172" s="2" t="s">
        <v>49252</v>
      </c>
      <c r="V8172" s="1">
        <v>45049</v>
      </c>
      <c r="W8172" t="s">
        <v>49298</v>
      </c>
      <c r="X8172">
        <v>707843</v>
      </c>
      <c r="Y8172" t="s">
        <v>49225</v>
      </c>
      <c r="Z8172" s="2" t="s">
        <v>49299</v>
      </c>
      <c r="AA8172" t="s">
        <v>16055</v>
      </c>
      <c r="AB8172" t="s">
        <v>181</v>
      </c>
      <c r="AC8172" t="s">
        <v>49300</v>
      </c>
      <c r="AD8172" t="s">
        <v>49301</v>
      </c>
      <c r="AE8172" t="s">
        <v>49256</v>
      </c>
      <c r="AG8172" t="s">
        <v>49302</v>
      </c>
      <c r="AH8172" t="s">
        <v>35371</v>
      </c>
      <c r="AI8172" t="s">
        <v>49303</v>
      </c>
    </row>
    <row r="8173" spans="2:35" ht="180">
      <c r="B8173" s="1">
        <v>45050</v>
      </c>
      <c r="C8173" s="4">
        <v>45050.388888888891</v>
      </c>
      <c r="D8173" t="s">
        <v>49304</v>
      </c>
      <c r="E8173" t="s">
        <v>3971</v>
      </c>
      <c r="F8173">
        <v>9</v>
      </c>
      <c r="G8173" t="s">
        <v>2197</v>
      </c>
      <c r="H8173" t="s">
        <v>39</v>
      </c>
      <c r="I8173" t="s">
        <v>40</v>
      </c>
      <c r="J8173" s="2" t="s">
        <v>62</v>
      </c>
      <c r="K8173" t="s">
        <v>42</v>
      </c>
      <c r="L8173" t="s">
        <v>1257</v>
      </c>
      <c r="Q8173">
        <v>24393</v>
      </c>
      <c r="R8173" t="s">
        <v>119</v>
      </c>
      <c r="S8173" t="s">
        <v>3972</v>
      </c>
      <c r="T8173">
        <v>19</v>
      </c>
      <c r="U8173" s="2" t="s">
        <v>9598</v>
      </c>
      <c r="V8173" s="1">
        <v>45050</v>
      </c>
      <c r="W8173" t="s">
        <v>2384</v>
      </c>
      <c r="X8173">
        <v>838233</v>
      </c>
      <c r="Y8173" t="s">
        <v>49305</v>
      </c>
      <c r="Z8173" s="2" t="s">
        <v>49306</v>
      </c>
      <c r="AA8173" t="s">
        <v>49307</v>
      </c>
      <c r="AB8173" t="s">
        <v>49308</v>
      </c>
      <c r="AC8173" t="s">
        <v>301</v>
      </c>
      <c r="AD8173" t="s">
        <v>54</v>
      </c>
      <c r="AE8173" t="s">
        <v>54</v>
      </c>
      <c r="AG8173" t="s">
        <v>49309</v>
      </c>
      <c r="AH8173" t="s">
        <v>3979</v>
      </c>
      <c r="AI8173" t="s">
        <v>49310</v>
      </c>
    </row>
    <row r="8174" spans="2:35">
      <c r="B8174" s="1">
        <v>45049</v>
      </c>
      <c r="C8174" s="4">
        <v>45049.694444444445</v>
      </c>
      <c r="D8174" t="s">
        <v>24073</v>
      </c>
      <c r="E8174" t="s">
        <v>1555</v>
      </c>
      <c r="F8174">
        <v>7</v>
      </c>
      <c r="G8174" t="s">
        <v>432</v>
      </c>
      <c r="H8174" t="s">
        <v>39</v>
      </c>
      <c r="I8174" t="s">
        <v>40</v>
      </c>
      <c r="J8174" t="s">
        <v>583</v>
      </c>
      <c r="K8174" t="s">
        <v>42</v>
      </c>
      <c r="L8174" t="s">
        <v>433</v>
      </c>
      <c r="Q8174">
        <v>24392</v>
      </c>
      <c r="R8174" t="s">
        <v>45</v>
      </c>
      <c r="S8174" t="s">
        <v>1818</v>
      </c>
      <c r="T8174">
        <v>25</v>
      </c>
      <c r="W8174" t="s">
        <v>2384</v>
      </c>
      <c r="X8174">
        <v>838263</v>
      </c>
      <c r="Y8174" t="s">
        <v>49311</v>
      </c>
      <c r="Z8174" t="s">
        <v>49311</v>
      </c>
      <c r="AA8174" t="s">
        <v>49311</v>
      </c>
      <c r="AB8174" t="s">
        <v>1011</v>
      </c>
      <c r="AG8174" t="s">
        <v>49312</v>
      </c>
      <c r="AH8174" t="s">
        <v>47357</v>
      </c>
      <c r="AI8174" t="s">
        <v>49313</v>
      </c>
    </row>
    <row r="8175" spans="2:35" ht="180">
      <c r="B8175" s="1">
        <v>45049</v>
      </c>
      <c r="C8175" s="4">
        <v>45049.574999999997</v>
      </c>
      <c r="D8175" t="s">
        <v>1941</v>
      </c>
      <c r="E8175" t="s">
        <v>35258</v>
      </c>
      <c r="F8175" t="s">
        <v>148</v>
      </c>
      <c r="G8175" t="s">
        <v>310</v>
      </c>
      <c r="H8175" t="s">
        <v>39</v>
      </c>
      <c r="I8175" t="s">
        <v>40</v>
      </c>
      <c r="J8175" s="2" t="s">
        <v>41</v>
      </c>
      <c r="K8175" t="s">
        <v>42</v>
      </c>
      <c r="L8175" t="s">
        <v>1943</v>
      </c>
      <c r="Q8175">
        <v>24391</v>
      </c>
      <c r="R8175" t="s">
        <v>45</v>
      </c>
      <c r="S8175" t="s">
        <v>23643</v>
      </c>
      <c r="T8175">
        <v>25</v>
      </c>
      <c r="U8175" s="2" t="s">
        <v>49314</v>
      </c>
      <c r="V8175" s="1">
        <v>45048</v>
      </c>
      <c r="W8175" t="s">
        <v>84</v>
      </c>
      <c r="X8175">
        <v>805060</v>
      </c>
      <c r="Y8175" s="2" t="s">
        <v>37579</v>
      </c>
      <c r="Z8175" s="2" t="s">
        <v>49315</v>
      </c>
      <c r="AA8175" t="s">
        <v>22330</v>
      </c>
      <c r="AB8175" t="s">
        <v>88</v>
      </c>
      <c r="AD8175" t="s">
        <v>49316</v>
      </c>
      <c r="AE8175" t="s">
        <v>8904</v>
      </c>
      <c r="AG8175" t="s">
        <v>49317</v>
      </c>
      <c r="AH8175" t="s">
        <v>1951</v>
      </c>
      <c r="AI8175" t="s">
        <v>49318</v>
      </c>
    </row>
    <row r="8176" spans="2:35" ht="240">
      <c r="B8176" s="1">
        <v>45049</v>
      </c>
      <c r="C8176" s="4">
        <v>45049.561111111114</v>
      </c>
      <c r="D8176" t="s">
        <v>30763</v>
      </c>
      <c r="E8176" t="s">
        <v>49319</v>
      </c>
      <c r="F8176">
        <v>13</v>
      </c>
      <c r="G8176" t="s">
        <v>7763</v>
      </c>
      <c r="H8176" t="s">
        <v>2125</v>
      </c>
      <c r="I8176" t="s">
        <v>40</v>
      </c>
      <c r="J8176" s="2" t="s">
        <v>760</v>
      </c>
      <c r="K8176" t="s">
        <v>42</v>
      </c>
      <c r="L8176" t="s">
        <v>933</v>
      </c>
      <c r="Q8176">
        <v>24390</v>
      </c>
      <c r="R8176" t="s">
        <v>45</v>
      </c>
      <c r="S8176" t="s">
        <v>40099</v>
      </c>
      <c r="T8176">
        <v>20.63</v>
      </c>
      <c r="U8176" s="2" t="s">
        <v>49320</v>
      </c>
      <c r="W8176" t="s">
        <v>3662</v>
      </c>
      <c r="X8176">
        <v>805335</v>
      </c>
      <c r="Y8176" t="s">
        <v>49321</v>
      </c>
      <c r="Z8176" s="2" t="s">
        <v>49322</v>
      </c>
      <c r="AA8176" s="2" t="s">
        <v>49323</v>
      </c>
      <c r="AB8176" s="2" t="s">
        <v>49324</v>
      </c>
      <c r="AG8176" t="s">
        <v>49325</v>
      </c>
      <c r="AH8176" t="s">
        <v>30769</v>
      </c>
      <c r="AI8176" t="s">
        <v>49326</v>
      </c>
    </row>
    <row r="8177" spans="2:35" ht="240">
      <c r="B8177" s="1">
        <v>45049</v>
      </c>
      <c r="C8177" s="4">
        <v>45049.561111111114</v>
      </c>
      <c r="D8177" t="s">
        <v>30763</v>
      </c>
      <c r="E8177" t="s">
        <v>49319</v>
      </c>
      <c r="F8177">
        <v>13</v>
      </c>
      <c r="G8177" t="s">
        <v>7763</v>
      </c>
      <c r="H8177" t="s">
        <v>2125</v>
      </c>
      <c r="I8177" t="s">
        <v>40</v>
      </c>
      <c r="J8177" s="2" t="s">
        <v>760</v>
      </c>
      <c r="K8177" t="s">
        <v>42</v>
      </c>
      <c r="L8177" t="s">
        <v>933</v>
      </c>
      <c r="Q8177">
        <v>24389</v>
      </c>
      <c r="R8177" t="s">
        <v>45</v>
      </c>
      <c r="S8177" t="s">
        <v>40099</v>
      </c>
      <c r="T8177">
        <v>20.63</v>
      </c>
      <c r="U8177" s="2" t="s">
        <v>49320</v>
      </c>
      <c r="W8177" t="s">
        <v>3662</v>
      </c>
      <c r="X8177">
        <v>805335</v>
      </c>
      <c r="Y8177" t="s">
        <v>49321</v>
      </c>
      <c r="Z8177" s="2" t="s">
        <v>49322</v>
      </c>
      <c r="AA8177" s="2" t="s">
        <v>49323</v>
      </c>
      <c r="AB8177" s="2" t="s">
        <v>49324</v>
      </c>
      <c r="AG8177" t="s">
        <v>49327</v>
      </c>
      <c r="AH8177" t="s">
        <v>30769</v>
      </c>
      <c r="AI8177" t="s">
        <v>49328</v>
      </c>
    </row>
    <row r="8178" spans="2:35" ht="165">
      <c r="B8178" s="1">
        <v>45049</v>
      </c>
      <c r="C8178" s="4">
        <v>45049.521527777775</v>
      </c>
      <c r="D8178" t="s">
        <v>26333</v>
      </c>
      <c r="E8178" t="s">
        <v>41374</v>
      </c>
      <c r="F8178" t="s">
        <v>148</v>
      </c>
      <c r="G8178" t="s">
        <v>310</v>
      </c>
      <c r="H8178" t="s">
        <v>39</v>
      </c>
      <c r="I8178" t="s">
        <v>40</v>
      </c>
      <c r="J8178" s="2" t="s">
        <v>62</v>
      </c>
      <c r="K8178" t="s">
        <v>42</v>
      </c>
      <c r="L8178" t="s">
        <v>1943</v>
      </c>
      <c r="Q8178">
        <v>24388</v>
      </c>
      <c r="R8178" t="s">
        <v>119</v>
      </c>
      <c r="S8178" t="s">
        <v>34255</v>
      </c>
      <c r="T8178">
        <v>25</v>
      </c>
      <c r="U8178" s="2" t="s">
        <v>13744</v>
      </c>
      <c r="V8178" s="1">
        <v>45049</v>
      </c>
      <c r="W8178" t="s">
        <v>84</v>
      </c>
      <c r="X8178">
        <v>831871</v>
      </c>
      <c r="Y8178" s="2" t="s">
        <v>49329</v>
      </c>
      <c r="Z8178" s="2" t="s">
        <v>49330</v>
      </c>
      <c r="AA8178" t="s">
        <v>49331</v>
      </c>
      <c r="AB8178" t="s">
        <v>49332</v>
      </c>
      <c r="AC8178" t="s">
        <v>49333</v>
      </c>
      <c r="AD8178" t="s">
        <v>11518</v>
      </c>
      <c r="AE8178" t="s">
        <v>54</v>
      </c>
      <c r="AG8178" t="s">
        <v>49334</v>
      </c>
      <c r="AH8178" t="s">
        <v>34262</v>
      </c>
      <c r="AI8178" t="s">
        <v>49335</v>
      </c>
    </row>
    <row r="8179" spans="2:35" ht="240">
      <c r="B8179" s="1">
        <v>45049</v>
      </c>
      <c r="C8179" s="4">
        <v>45049.506944444445</v>
      </c>
      <c r="D8179" t="s">
        <v>25952</v>
      </c>
      <c r="E8179" t="s">
        <v>25953</v>
      </c>
      <c r="F8179" t="s">
        <v>148</v>
      </c>
      <c r="G8179" t="s">
        <v>447</v>
      </c>
      <c r="H8179" t="s">
        <v>39</v>
      </c>
      <c r="I8179" t="s">
        <v>40</v>
      </c>
      <c r="J8179" s="2" t="s">
        <v>190</v>
      </c>
      <c r="K8179" t="s">
        <v>42</v>
      </c>
      <c r="L8179" t="s">
        <v>175</v>
      </c>
      <c r="Q8179">
        <v>24387</v>
      </c>
      <c r="R8179" t="s">
        <v>119</v>
      </c>
      <c r="S8179" t="s">
        <v>25954</v>
      </c>
      <c r="T8179">
        <v>25</v>
      </c>
      <c r="U8179" s="2" t="s">
        <v>49336</v>
      </c>
      <c r="W8179" t="s">
        <v>84</v>
      </c>
      <c r="X8179">
        <v>831612</v>
      </c>
      <c r="Y8179" t="s">
        <v>49337</v>
      </c>
      <c r="Z8179" t="e">
        <f ca="1">- checked _xludf.and cleaned cartridge bay, plunger rod, _xludf.filter, icore
- performed XpertCheck on A2, A4
- generated reports</f>
        <v>#NAME?</v>
      </c>
      <c r="AA8179" t="s">
        <v>49338</v>
      </c>
      <c r="AB8179" s="2" t="s">
        <v>49339</v>
      </c>
      <c r="AG8179" t="s">
        <v>49340</v>
      </c>
      <c r="AH8179" t="s">
        <v>49341</v>
      </c>
      <c r="AI8179" t="s">
        <v>49342</v>
      </c>
    </row>
    <row r="8180" spans="2:35" ht="240">
      <c r="B8180" s="1">
        <v>45049</v>
      </c>
      <c r="C8180" s="4">
        <v>45049.393055555556</v>
      </c>
      <c r="D8180" t="s">
        <v>22025</v>
      </c>
      <c r="E8180" t="s">
        <v>8671</v>
      </c>
      <c r="F8180" t="s">
        <v>148</v>
      </c>
      <c r="G8180" t="s">
        <v>447</v>
      </c>
      <c r="H8180" t="s">
        <v>39</v>
      </c>
      <c r="I8180" t="s">
        <v>40</v>
      </c>
      <c r="J8180" s="2" t="s">
        <v>62</v>
      </c>
      <c r="K8180" t="s">
        <v>42</v>
      </c>
      <c r="L8180" t="s">
        <v>761</v>
      </c>
      <c r="Q8180">
        <v>24386</v>
      </c>
      <c r="R8180" t="s">
        <v>95</v>
      </c>
      <c r="S8180" t="s">
        <v>650</v>
      </c>
      <c r="T8180">
        <v>28</v>
      </c>
      <c r="V8180" s="1">
        <v>45049</v>
      </c>
      <c r="W8180" t="s">
        <v>360</v>
      </c>
      <c r="X8180">
        <v>821257</v>
      </c>
      <c r="Y8180" t="s">
        <v>49343</v>
      </c>
      <c r="Z8180" s="2" t="s">
        <v>49344</v>
      </c>
      <c r="AA8180" t="s">
        <v>49345</v>
      </c>
      <c r="AB8180" t="s">
        <v>181</v>
      </c>
      <c r="AD8180" t="s">
        <v>49346</v>
      </c>
      <c r="AE8180">
        <v>0</v>
      </c>
      <c r="AG8180" t="s">
        <v>49347</v>
      </c>
      <c r="AH8180" t="s">
        <v>448</v>
      </c>
      <c r="AI8180" t="s">
        <v>49348</v>
      </c>
    </row>
    <row r="8181" spans="2:35" ht="150">
      <c r="B8181" s="1">
        <v>45049</v>
      </c>
      <c r="C8181" s="4">
        <v>45049.419444444444</v>
      </c>
      <c r="D8181" t="s">
        <v>30233</v>
      </c>
      <c r="E8181" t="s">
        <v>39047</v>
      </c>
      <c r="F8181" t="s">
        <v>37</v>
      </c>
      <c r="G8181" t="s">
        <v>748</v>
      </c>
      <c r="H8181" t="s">
        <v>39</v>
      </c>
      <c r="I8181" t="s">
        <v>40</v>
      </c>
      <c r="J8181" s="2" t="s">
        <v>41</v>
      </c>
      <c r="K8181" t="s">
        <v>42</v>
      </c>
      <c r="L8181" t="s">
        <v>1028</v>
      </c>
      <c r="Q8181">
        <v>24385</v>
      </c>
      <c r="R8181" t="s">
        <v>45</v>
      </c>
      <c r="S8181" t="s">
        <v>37309</v>
      </c>
      <c r="T8181">
        <v>25</v>
      </c>
      <c r="U8181" s="2" t="s">
        <v>18339</v>
      </c>
      <c r="V8181" s="1">
        <v>45049</v>
      </c>
      <c r="W8181" t="s">
        <v>2680</v>
      </c>
      <c r="X8181">
        <v>838162</v>
      </c>
      <c r="Y8181" t="s">
        <v>43630</v>
      </c>
      <c r="Z8181" t="s">
        <v>2129</v>
      </c>
      <c r="AA8181" s="2" t="s">
        <v>49048</v>
      </c>
      <c r="AB8181" t="s">
        <v>49349</v>
      </c>
      <c r="AC8181" t="s">
        <v>49350</v>
      </c>
      <c r="AD8181" t="s">
        <v>10783</v>
      </c>
      <c r="AE8181" t="s">
        <v>49351</v>
      </c>
      <c r="AG8181" t="s">
        <v>49352</v>
      </c>
      <c r="AH8181" t="s">
        <v>37313</v>
      </c>
      <c r="AI8181" t="s">
        <v>49353</v>
      </c>
    </row>
    <row r="8182" spans="2:35" ht="150">
      <c r="B8182" s="1">
        <v>45049</v>
      </c>
      <c r="C8182" s="4">
        <v>45049.39166666667</v>
      </c>
      <c r="D8182" t="s">
        <v>13344</v>
      </c>
      <c r="E8182" t="s">
        <v>49354</v>
      </c>
      <c r="F8182" t="s">
        <v>148</v>
      </c>
      <c r="G8182" t="s">
        <v>447</v>
      </c>
      <c r="H8182" t="s">
        <v>39</v>
      </c>
      <c r="I8182" t="s">
        <v>40</v>
      </c>
      <c r="J8182" s="2" t="s">
        <v>62</v>
      </c>
      <c r="K8182" t="s">
        <v>42</v>
      </c>
      <c r="L8182" t="s">
        <v>15532</v>
      </c>
      <c r="Q8182">
        <v>24384</v>
      </c>
      <c r="R8182" t="s">
        <v>95</v>
      </c>
      <c r="S8182" t="s">
        <v>650</v>
      </c>
      <c r="T8182">
        <v>28</v>
      </c>
      <c r="V8182" s="1">
        <v>45049</v>
      </c>
      <c r="W8182" t="s">
        <v>49355</v>
      </c>
      <c r="X8182">
        <v>821257</v>
      </c>
      <c r="Y8182" t="s">
        <v>49356</v>
      </c>
      <c r="Z8182" t="s">
        <v>49357</v>
      </c>
      <c r="AA8182" s="2" t="s">
        <v>49358</v>
      </c>
      <c r="AB8182" s="2" t="s">
        <v>49359</v>
      </c>
      <c r="AD8182" t="s">
        <v>948</v>
      </c>
      <c r="AE8182">
        <v>0</v>
      </c>
      <c r="AG8182" t="s">
        <v>49360</v>
      </c>
      <c r="AH8182" t="s">
        <v>448</v>
      </c>
      <c r="AI8182" t="s">
        <v>49361</v>
      </c>
    </row>
    <row r="8183" spans="2:35" ht="60">
      <c r="B8183" s="1">
        <v>45049</v>
      </c>
      <c r="C8183" s="4">
        <v>45049.388888888891</v>
      </c>
      <c r="D8183" t="s">
        <v>22025</v>
      </c>
      <c r="E8183" t="s">
        <v>8563</v>
      </c>
      <c r="F8183" t="s">
        <v>148</v>
      </c>
      <c r="G8183" t="s">
        <v>447</v>
      </c>
      <c r="H8183" t="s">
        <v>22025</v>
      </c>
      <c r="I8183" t="s">
        <v>40</v>
      </c>
      <c r="J8183" s="2" t="s">
        <v>62</v>
      </c>
      <c r="K8183" t="s">
        <v>42</v>
      </c>
      <c r="L8183" t="s">
        <v>1048</v>
      </c>
      <c r="Q8183">
        <v>24383</v>
      </c>
      <c r="R8183" t="s">
        <v>95</v>
      </c>
      <c r="S8183" t="s">
        <v>650</v>
      </c>
      <c r="T8183">
        <v>28</v>
      </c>
      <c r="V8183" s="1">
        <v>45049</v>
      </c>
      <c r="W8183" t="s">
        <v>2384</v>
      </c>
      <c r="X8183">
        <v>821257</v>
      </c>
      <c r="Y8183" t="s">
        <v>49362</v>
      </c>
      <c r="Z8183" t="e">
        <f ca="1">-performed Xpert Check _xludf.and Maintenance
-cleaned cartridge Bays, I-CORE _xludf.and Plungers
-generated reports
-test run Unit</f>
        <v>#NAME?</v>
      </c>
      <c r="AA8183" t="s">
        <v>49363</v>
      </c>
      <c r="AB8183" t="s">
        <v>181</v>
      </c>
      <c r="AC8183" t="s">
        <v>49364</v>
      </c>
      <c r="AD8183" t="s">
        <v>21244</v>
      </c>
      <c r="AE8183">
        <v>0</v>
      </c>
      <c r="AG8183" t="s">
        <v>49365</v>
      </c>
      <c r="AH8183" t="s">
        <v>49366</v>
      </c>
      <c r="AI8183" t="s">
        <v>49367</v>
      </c>
    </row>
    <row r="8184" spans="2:35" ht="105">
      <c r="B8184" s="1">
        <v>45048</v>
      </c>
      <c r="C8184" s="4">
        <v>45043.586111111108</v>
      </c>
      <c r="D8184" t="s">
        <v>22923</v>
      </c>
      <c r="E8184" t="s">
        <v>49368</v>
      </c>
      <c r="F8184" t="s">
        <v>148</v>
      </c>
      <c r="G8184" t="s">
        <v>447</v>
      </c>
      <c r="H8184" t="s">
        <v>39</v>
      </c>
      <c r="I8184" t="s">
        <v>40</v>
      </c>
      <c r="J8184" s="2" t="s">
        <v>62</v>
      </c>
      <c r="K8184" t="s">
        <v>42</v>
      </c>
      <c r="L8184" t="s">
        <v>448</v>
      </c>
      <c r="Q8184">
        <v>24382</v>
      </c>
      <c r="R8184" t="s">
        <v>45</v>
      </c>
      <c r="S8184" t="s">
        <v>24687</v>
      </c>
      <c r="T8184">
        <v>30</v>
      </c>
      <c r="U8184" s="2" t="s">
        <v>49369</v>
      </c>
      <c r="V8184" s="1">
        <v>45043</v>
      </c>
      <c r="W8184" t="s">
        <v>360</v>
      </c>
      <c r="X8184">
        <v>807672</v>
      </c>
      <c r="Y8184" t="s">
        <v>44551</v>
      </c>
      <c r="Z8184" t="s">
        <v>49370</v>
      </c>
      <c r="AA8184" t="s">
        <v>24030</v>
      </c>
      <c r="AB8184" t="s">
        <v>49371</v>
      </c>
      <c r="AC8184" t="s">
        <v>49372</v>
      </c>
      <c r="AD8184" t="s">
        <v>32042</v>
      </c>
      <c r="AE8184">
        <v>0</v>
      </c>
      <c r="AG8184" t="s">
        <v>49373</v>
      </c>
      <c r="AH8184" t="s">
        <v>49374</v>
      </c>
      <c r="AI8184" t="s">
        <v>49375</v>
      </c>
    </row>
    <row r="8185" spans="2:35" ht="90">
      <c r="B8185" s="1">
        <v>45048</v>
      </c>
      <c r="C8185" s="4">
        <v>45043.380555555559</v>
      </c>
      <c r="D8185" t="s">
        <v>17854</v>
      </c>
      <c r="E8185" t="s">
        <v>49376</v>
      </c>
      <c r="F8185">
        <v>9</v>
      </c>
      <c r="G8185" t="s">
        <v>17856</v>
      </c>
      <c r="H8185" t="s">
        <v>39</v>
      </c>
      <c r="I8185" t="s">
        <v>40</v>
      </c>
      <c r="J8185" s="2" t="s">
        <v>41</v>
      </c>
      <c r="K8185" t="s">
        <v>42</v>
      </c>
      <c r="L8185" t="s">
        <v>1257</v>
      </c>
      <c r="Q8185">
        <v>24381</v>
      </c>
      <c r="R8185" t="s">
        <v>45</v>
      </c>
      <c r="S8185" t="s">
        <v>49377</v>
      </c>
      <c r="T8185">
        <v>28</v>
      </c>
      <c r="U8185" s="2" t="s">
        <v>49378</v>
      </c>
      <c r="V8185" s="1">
        <v>45043</v>
      </c>
      <c r="W8185" t="s">
        <v>2384</v>
      </c>
      <c r="X8185">
        <v>808643</v>
      </c>
      <c r="Y8185" t="s">
        <v>14904</v>
      </c>
      <c r="Z8185" t="s">
        <v>49379</v>
      </c>
      <c r="AA8185" t="s">
        <v>2129</v>
      </c>
      <c r="AB8185" t="s">
        <v>7411</v>
      </c>
      <c r="AC8185" t="s">
        <v>301</v>
      </c>
      <c r="AD8185" t="s">
        <v>54</v>
      </c>
      <c r="AE8185" t="s">
        <v>54</v>
      </c>
      <c r="AG8185" t="s">
        <v>49380</v>
      </c>
      <c r="AH8185" t="s">
        <v>49381</v>
      </c>
      <c r="AI8185" t="s">
        <v>49382</v>
      </c>
    </row>
    <row r="8186" spans="2:35" ht="195">
      <c r="B8186" s="1">
        <v>45048</v>
      </c>
      <c r="C8186" s="4">
        <v>45048.595138888886</v>
      </c>
      <c r="D8186" t="s">
        <v>7743</v>
      </c>
      <c r="E8186" t="s">
        <v>46439</v>
      </c>
      <c r="F8186">
        <v>11</v>
      </c>
      <c r="G8186" t="s">
        <v>1205</v>
      </c>
      <c r="H8186" t="s">
        <v>202</v>
      </c>
      <c r="I8186" t="s">
        <v>40</v>
      </c>
      <c r="J8186" t="s">
        <v>525</v>
      </c>
      <c r="K8186" t="s">
        <v>42</v>
      </c>
      <c r="L8186" t="s">
        <v>204</v>
      </c>
      <c r="Q8186">
        <v>24380</v>
      </c>
      <c r="R8186" t="s">
        <v>119</v>
      </c>
      <c r="S8186" t="s">
        <v>7745</v>
      </c>
      <c r="T8186">
        <v>27</v>
      </c>
      <c r="W8186" t="s">
        <v>24154</v>
      </c>
      <c r="X8186">
        <v>838492</v>
      </c>
      <c r="Y8186" t="s">
        <v>49383</v>
      </c>
      <c r="Z8186" t="s">
        <v>49384</v>
      </c>
      <c r="AA8186" t="s">
        <v>25174</v>
      </c>
      <c r="AB8186" s="2" t="s">
        <v>49385</v>
      </c>
      <c r="AC8186" t="s">
        <v>49386</v>
      </c>
      <c r="AG8186" t="s">
        <v>49387</v>
      </c>
      <c r="AH8186" t="s">
        <v>27898</v>
      </c>
      <c r="AI8186" t="s">
        <v>49388</v>
      </c>
    </row>
    <row r="8187" spans="2:35">
      <c r="B8187" s="1">
        <v>45048</v>
      </c>
      <c r="C8187" s="4">
        <v>45048.591666666667</v>
      </c>
      <c r="D8187" t="s">
        <v>17718</v>
      </c>
      <c r="E8187" t="s">
        <v>46439</v>
      </c>
      <c r="F8187">
        <v>11</v>
      </c>
      <c r="G8187" t="s">
        <v>1205</v>
      </c>
      <c r="H8187" t="s">
        <v>202</v>
      </c>
      <c r="I8187" t="s">
        <v>40</v>
      </c>
      <c r="J8187" t="s">
        <v>525</v>
      </c>
      <c r="K8187" t="s">
        <v>42</v>
      </c>
      <c r="L8187" t="s">
        <v>204</v>
      </c>
      <c r="Q8187">
        <v>24379</v>
      </c>
      <c r="R8187" t="s">
        <v>119</v>
      </c>
      <c r="S8187" t="s">
        <v>7745</v>
      </c>
      <c r="T8187">
        <v>27.8</v>
      </c>
      <c r="W8187" t="s">
        <v>23237</v>
      </c>
      <c r="X8187">
        <v>838492</v>
      </c>
      <c r="Y8187" t="s">
        <v>49383</v>
      </c>
      <c r="Z8187" t="s">
        <v>49389</v>
      </c>
      <c r="AA8187" t="s">
        <v>25174</v>
      </c>
      <c r="AB8187" t="s">
        <v>49390</v>
      </c>
      <c r="AC8187" t="s">
        <v>49391</v>
      </c>
      <c r="AG8187" t="s">
        <v>49392</v>
      </c>
      <c r="AH8187" t="s">
        <v>31879</v>
      </c>
      <c r="AI8187" t="s">
        <v>49393</v>
      </c>
    </row>
    <row r="8188" spans="2:35" ht="105">
      <c r="B8188" s="1">
        <v>45048</v>
      </c>
      <c r="C8188" s="4">
        <v>45048.57708333333</v>
      </c>
      <c r="D8188" t="s">
        <v>498</v>
      </c>
      <c r="E8188" t="s">
        <v>15835</v>
      </c>
      <c r="F8188">
        <v>7</v>
      </c>
      <c r="G8188" t="s">
        <v>432</v>
      </c>
      <c r="H8188" t="s">
        <v>608</v>
      </c>
      <c r="I8188" t="s">
        <v>94</v>
      </c>
      <c r="J8188" t="s">
        <v>996</v>
      </c>
      <c r="K8188" t="s">
        <v>42</v>
      </c>
      <c r="L8188" t="s">
        <v>610</v>
      </c>
      <c r="Q8188">
        <v>24378</v>
      </c>
      <c r="R8188" t="s">
        <v>119</v>
      </c>
      <c r="S8188" t="s">
        <v>33292</v>
      </c>
      <c r="T8188">
        <v>24</v>
      </c>
      <c r="U8188" s="2" t="s">
        <v>39343</v>
      </c>
      <c r="W8188" t="s">
        <v>502</v>
      </c>
      <c r="X8188">
        <v>838508</v>
      </c>
      <c r="Y8188" t="s">
        <v>12970</v>
      </c>
      <c r="Z8188" t="s">
        <v>5230</v>
      </c>
      <c r="AA8188" t="s">
        <v>49394</v>
      </c>
      <c r="AB8188" t="s">
        <v>49395</v>
      </c>
      <c r="AG8188" t="s">
        <v>49396</v>
      </c>
      <c r="AH8188" t="s">
        <v>49397</v>
      </c>
      <c r="AI8188" t="s">
        <v>49398</v>
      </c>
    </row>
    <row r="8189" spans="2:35" ht="240">
      <c r="B8189" s="1">
        <v>45048</v>
      </c>
      <c r="C8189" s="4">
        <v>45048.464583333334</v>
      </c>
      <c r="D8189" t="s">
        <v>2816</v>
      </c>
      <c r="E8189" t="s">
        <v>28082</v>
      </c>
      <c r="F8189" t="s">
        <v>148</v>
      </c>
      <c r="G8189" t="s">
        <v>371</v>
      </c>
      <c r="H8189" t="s">
        <v>39</v>
      </c>
      <c r="I8189" t="s">
        <v>40</v>
      </c>
      <c r="J8189" s="2" t="s">
        <v>190</v>
      </c>
      <c r="K8189" t="s">
        <v>42</v>
      </c>
      <c r="L8189" t="s">
        <v>175</v>
      </c>
      <c r="Q8189">
        <v>24377</v>
      </c>
      <c r="R8189" t="s">
        <v>119</v>
      </c>
      <c r="S8189" t="s">
        <v>2818</v>
      </c>
      <c r="T8189">
        <v>25</v>
      </c>
      <c r="U8189" s="2" t="s">
        <v>49399</v>
      </c>
      <c r="W8189" t="s">
        <v>84</v>
      </c>
      <c r="X8189">
        <v>831907</v>
      </c>
      <c r="Y8189" t="s">
        <v>49400</v>
      </c>
      <c r="Z8189" t="e">
        <f ca="1">- Reset Computer RAM
- checked _xludf.and cleaned cartridge bay, plunger rod, _xludf.filter
- generated reports</f>
        <v>#NAME?</v>
      </c>
      <c r="AA8189" t="s">
        <v>18687</v>
      </c>
      <c r="AB8189" s="2" t="s">
        <v>49401</v>
      </c>
      <c r="AG8189" t="s">
        <v>49402</v>
      </c>
      <c r="AH8189" t="s">
        <v>44569</v>
      </c>
      <c r="AI8189" t="s">
        <v>49403</v>
      </c>
    </row>
    <row r="8190" spans="2:35" ht="409.5">
      <c r="B8190" s="1">
        <v>45048</v>
      </c>
      <c r="C8190" s="4">
        <v>45043.522916666669</v>
      </c>
      <c r="D8190" t="s">
        <v>49404</v>
      </c>
      <c r="E8190" t="s">
        <v>49405</v>
      </c>
      <c r="F8190" t="s">
        <v>148</v>
      </c>
      <c r="G8190" t="s">
        <v>310</v>
      </c>
      <c r="H8190" t="s">
        <v>932</v>
      </c>
      <c r="I8190" t="s">
        <v>40</v>
      </c>
      <c r="J8190" s="2" t="s">
        <v>41</v>
      </c>
      <c r="K8190" t="s">
        <v>42</v>
      </c>
      <c r="L8190" t="s">
        <v>15532</v>
      </c>
      <c r="Q8190">
        <v>24376</v>
      </c>
      <c r="R8190" t="s">
        <v>703</v>
      </c>
      <c r="S8190" t="s">
        <v>49406</v>
      </c>
      <c r="T8190">
        <v>29</v>
      </c>
      <c r="U8190" s="2" t="s">
        <v>49407</v>
      </c>
      <c r="V8190" s="1">
        <v>45041</v>
      </c>
      <c r="W8190" t="s">
        <v>28952</v>
      </c>
      <c r="X8190">
        <v>835540</v>
      </c>
      <c r="Y8190" t="s">
        <v>49408</v>
      </c>
      <c r="Z8190" s="2" t="s">
        <v>49409</v>
      </c>
      <c r="AA8190" s="2" t="s">
        <v>29539</v>
      </c>
      <c r="AB8190" t="s">
        <v>181</v>
      </c>
      <c r="AD8190" t="s">
        <v>49410</v>
      </c>
      <c r="AE8190">
        <v>9928</v>
      </c>
      <c r="AG8190" t="s">
        <v>49411</v>
      </c>
      <c r="AH8190" t="s">
        <v>15541</v>
      </c>
      <c r="AI8190" t="s">
        <v>49412</v>
      </c>
    </row>
    <row r="8191" spans="2:35" ht="409.5">
      <c r="B8191" s="1">
        <v>45048</v>
      </c>
      <c r="C8191" s="4">
        <v>45043.522916666669</v>
      </c>
      <c r="D8191" t="s">
        <v>49404</v>
      </c>
      <c r="E8191" t="s">
        <v>49405</v>
      </c>
      <c r="F8191" t="s">
        <v>148</v>
      </c>
      <c r="G8191" t="s">
        <v>310</v>
      </c>
      <c r="H8191" t="s">
        <v>932</v>
      </c>
      <c r="I8191" t="s">
        <v>40</v>
      </c>
      <c r="J8191" s="2" t="s">
        <v>41</v>
      </c>
      <c r="K8191" t="s">
        <v>42</v>
      </c>
      <c r="L8191" t="s">
        <v>15532</v>
      </c>
      <c r="Q8191">
        <v>24375</v>
      </c>
      <c r="R8191" t="s">
        <v>703</v>
      </c>
      <c r="S8191" t="s">
        <v>49406</v>
      </c>
      <c r="T8191">
        <v>29</v>
      </c>
      <c r="U8191" s="2" t="s">
        <v>49407</v>
      </c>
      <c r="V8191" s="1">
        <v>45041</v>
      </c>
      <c r="W8191" t="s">
        <v>28952</v>
      </c>
      <c r="X8191">
        <v>835540</v>
      </c>
      <c r="Y8191" t="s">
        <v>49408</v>
      </c>
      <c r="Z8191" s="2" t="s">
        <v>49409</v>
      </c>
      <c r="AA8191" s="2" t="s">
        <v>29539</v>
      </c>
      <c r="AB8191" t="s">
        <v>181</v>
      </c>
      <c r="AD8191" t="s">
        <v>49410</v>
      </c>
      <c r="AE8191">
        <v>9928</v>
      </c>
      <c r="AG8191" t="s">
        <v>49413</v>
      </c>
      <c r="AH8191" t="s">
        <v>15541</v>
      </c>
      <c r="AI8191" t="s">
        <v>49414</v>
      </c>
    </row>
    <row r="8192" spans="2:35" ht="135">
      <c r="B8192" s="1">
        <v>45048</v>
      </c>
      <c r="C8192" s="4">
        <v>45041.554861111108</v>
      </c>
      <c r="D8192" t="s">
        <v>772</v>
      </c>
      <c r="E8192" t="s">
        <v>49415</v>
      </c>
      <c r="F8192" t="s">
        <v>148</v>
      </c>
      <c r="G8192" t="s">
        <v>774</v>
      </c>
      <c r="H8192" t="s">
        <v>39</v>
      </c>
      <c r="I8192" t="s">
        <v>40</v>
      </c>
      <c r="J8192" s="2" t="s">
        <v>41</v>
      </c>
      <c r="K8192" t="s">
        <v>42</v>
      </c>
      <c r="L8192" t="s">
        <v>1028</v>
      </c>
      <c r="Q8192">
        <v>24372</v>
      </c>
      <c r="R8192" t="s">
        <v>119</v>
      </c>
      <c r="S8192" t="s">
        <v>775</v>
      </c>
      <c r="T8192">
        <v>28</v>
      </c>
      <c r="U8192" s="2" t="s">
        <v>10914</v>
      </c>
      <c r="V8192" s="1">
        <v>45041</v>
      </c>
      <c r="W8192" t="s">
        <v>2680</v>
      </c>
      <c r="X8192">
        <v>831913</v>
      </c>
      <c r="Y8192" t="s">
        <v>49416</v>
      </c>
      <c r="Z8192" t="s">
        <v>7755</v>
      </c>
      <c r="AA8192" s="2" t="s">
        <v>49417</v>
      </c>
      <c r="AB8192" t="s">
        <v>3063</v>
      </c>
      <c r="AC8192" t="s">
        <v>49418</v>
      </c>
      <c r="AD8192" t="s">
        <v>49419</v>
      </c>
      <c r="AE8192">
        <v>9924</v>
      </c>
      <c r="AG8192" t="s">
        <v>49420</v>
      </c>
      <c r="AH8192" t="s">
        <v>27384</v>
      </c>
      <c r="AI8192" t="s">
        <v>49421</v>
      </c>
    </row>
    <row r="8193" spans="2:35" ht="225">
      <c r="B8193" s="1">
        <v>45048</v>
      </c>
      <c r="C8193" s="4">
        <v>45043.361111111109</v>
      </c>
      <c r="D8193" t="s">
        <v>47128</v>
      </c>
      <c r="E8193" t="s">
        <v>49422</v>
      </c>
      <c r="F8193" t="s">
        <v>1181</v>
      </c>
      <c r="G8193" t="s">
        <v>6612</v>
      </c>
      <c r="H8193" t="s">
        <v>39</v>
      </c>
      <c r="I8193" t="s">
        <v>40</v>
      </c>
      <c r="J8193" s="2" t="s">
        <v>1309</v>
      </c>
      <c r="K8193" t="s">
        <v>42</v>
      </c>
      <c r="L8193" t="s">
        <v>1028</v>
      </c>
      <c r="Q8193">
        <v>24374</v>
      </c>
      <c r="R8193" t="s">
        <v>45</v>
      </c>
      <c r="S8193" t="s">
        <v>47130</v>
      </c>
      <c r="T8193">
        <v>21</v>
      </c>
      <c r="U8193" s="2" t="s">
        <v>8628</v>
      </c>
      <c r="W8193" t="s">
        <v>2680</v>
      </c>
      <c r="X8193">
        <v>807459</v>
      </c>
      <c r="Y8193" s="2" t="s">
        <v>49423</v>
      </c>
      <c r="Z8193" t="s">
        <v>2129</v>
      </c>
      <c r="AA8193" s="2" t="s">
        <v>49424</v>
      </c>
      <c r="AB8193" t="s">
        <v>49425</v>
      </c>
      <c r="AC8193" t="s">
        <v>49426</v>
      </c>
      <c r="AG8193" t="s">
        <v>49427</v>
      </c>
      <c r="AH8193" t="s">
        <v>49428</v>
      </c>
      <c r="AI8193" t="s">
        <v>49429</v>
      </c>
    </row>
    <row r="8194" spans="2:35" ht="210">
      <c r="B8194" s="1">
        <v>45048</v>
      </c>
      <c r="C8194" s="4">
        <v>45042.425694444442</v>
      </c>
      <c r="D8194" t="s">
        <v>2437</v>
      </c>
      <c r="E8194" t="s">
        <v>49430</v>
      </c>
      <c r="F8194" t="s">
        <v>37</v>
      </c>
      <c r="G8194" t="s">
        <v>748</v>
      </c>
      <c r="H8194" t="s">
        <v>39</v>
      </c>
      <c r="I8194" t="s">
        <v>40</v>
      </c>
      <c r="J8194" s="2" t="s">
        <v>62</v>
      </c>
      <c r="K8194" t="s">
        <v>42</v>
      </c>
      <c r="L8194" t="s">
        <v>1028</v>
      </c>
      <c r="Q8194">
        <v>24373</v>
      </c>
      <c r="R8194" t="s">
        <v>45</v>
      </c>
      <c r="S8194" t="s">
        <v>2439</v>
      </c>
      <c r="T8194">
        <v>28</v>
      </c>
      <c r="U8194" s="2" t="s">
        <v>49431</v>
      </c>
      <c r="W8194" t="s">
        <v>36116</v>
      </c>
      <c r="X8194">
        <v>802860</v>
      </c>
      <c r="Y8194" t="s">
        <v>43618</v>
      </c>
      <c r="Z8194" t="s">
        <v>21244</v>
      </c>
      <c r="AA8194" s="2" t="s">
        <v>49432</v>
      </c>
      <c r="AB8194" t="s">
        <v>3063</v>
      </c>
      <c r="AC8194" t="s">
        <v>49433</v>
      </c>
      <c r="AG8194" t="s">
        <v>49434</v>
      </c>
      <c r="AH8194" t="s">
        <v>36119</v>
      </c>
      <c r="AI8194" t="s">
        <v>49435</v>
      </c>
    </row>
    <row r="8195" spans="2:35" ht="409.5">
      <c r="B8195" s="1">
        <v>45048</v>
      </c>
      <c r="C8195" s="4">
        <v>45044.659722222219</v>
      </c>
      <c r="D8195" t="s">
        <v>1081</v>
      </c>
      <c r="E8195" t="s">
        <v>49436</v>
      </c>
      <c r="F8195" t="s">
        <v>148</v>
      </c>
      <c r="G8195" t="s">
        <v>785</v>
      </c>
      <c r="H8195" t="s">
        <v>39</v>
      </c>
      <c r="I8195" t="s">
        <v>40</v>
      </c>
      <c r="J8195" s="2" t="s">
        <v>41</v>
      </c>
      <c r="K8195" t="s">
        <v>42</v>
      </c>
      <c r="L8195" t="s">
        <v>761</v>
      </c>
      <c r="Q8195">
        <v>24371</v>
      </c>
      <c r="R8195" t="s">
        <v>95</v>
      </c>
      <c r="S8195" t="s">
        <v>2016</v>
      </c>
      <c r="T8195">
        <v>26</v>
      </c>
      <c r="U8195" s="2" t="s">
        <v>49437</v>
      </c>
      <c r="V8195" s="1">
        <v>45045</v>
      </c>
      <c r="W8195" t="s">
        <v>49438</v>
      </c>
      <c r="X8195">
        <v>110015767</v>
      </c>
      <c r="Y8195" t="s">
        <v>49439</v>
      </c>
      <c r="Z8195" t="s">
        <v>49440</v>
      </c>
      <c r="AA8195" t="s">
        <v>38317</v>
      </c>
      <c r="AB8195" t="s">
        <v>181</v>
      </c>
      <c r="AD8195" t="s">
        <v>2562</v>
      </c>
      <c r="AE8195" t="s">
        <v>49441</v>
      </c>
      <c r="AG8195" t="s">
        <v>49442</v>
      </c>
      <c r="AH8195" t="s">
        <v>49443</v>
      </c>
      <c r="AI8195" t="s">
        <v>49444</v>
      </c>
    </row>
    <row r="8196" spans="2:35" ht="180">
      <c r="B8196" s="1">
        <v>45046</v>
      </c>
      <c r="C8196" s="4">
        <v>45042.488888888889</v>
      </c>
      <c r="D8196" t="s">
        <v>2489</v>
      </c>
      <c r="E8196" t="s">
        <v>49445</v>
      </c>
      <c r="F8196">
        <v>8</v>
      </c>
      <c r="G8196" t="s">
        <v>342</v>
      </c>
      <c r="H8196" t="s">
        <v>12698</v>
      </c>
      <c r="I8196" t="s">
        <v>40</v>
      </c>
      <c r="J8196" s="2" t="s">
        <v>41</v>
      </c>
      <c r="K8196" t="s">
        <v>42</v>
      </c>
      <c r="L8196" t="s">
        <v>259</v>
      </c>
      <c r="Q8196">
        <v>24370</v>
      </c>
      <c r="R8196" t="s">
        <v>45</v>
      </c>
      <c r="S8196" t="s">
        <v>2492</v>
      </c>
      <c r="T8196">
        <v>27</v>
      </c>
      <c r="U8196" s="2" t="s">
        <v>49446</v>
      </c>
      <c r="V8196" s="1">
        <v>45042</v>
      </c>
      <c r="W8196" t="s">
        <v>84</v>
      </c>
      <c r="X8196">
        <v>838143</v>
      </c>
      <c r="Y8196" t="e">
        <f ca="1">- stuck cartridge on module B2</f>
        <v>#NAME?</v>
      </c>
      <c r="Z8196" t="e">
        <f ca="1">- removed stuck cartridge on module B2/210073300
- performed Preventive Maintenance
- performed functionality test
- Generate reports</f>
        <v>#NAME?</v>
      </c>
      <c r="AA8196" t="e">
        <f ca="1">- Repair
- Preventive Maintenance</f>
        <v>#NAME?</v>
      </c>
      <c r="AB8196" t="s">
        <v>49447</v>
      </c>
      <c r="AG8196" t="s">
        <v>49448</v>
      </c>
      <c r="AH8196" t="s">
        <v>2495</v>
      </c>
      <c r="AI8196" t="s">
        <v>49449</v>
      </c>
    </row>
    <row r="8197" spans="2:35" ht="180">
      <c r="B8197" s="1">
        <v>45046</v>
      </c>
      <c r="C8197" s="4">
        <v>45042.488888888889</v>
      </c>
      <c r="D8197" t="s">
        <v>2489</v>
      </c>
      <c r="E8197" t="s">
        <v>49445</v>
      </c>
      <c r="F8197">
        <v>8</v>
      </c>
      <c r="G8197" t="s">
        <v>342</v>
      </c>
      <c r="H8197" t="s">
        <v>12698</v>
      </c>
      <c r="I8197" t="s">
        <v>40</v>
      </c>
      <c r="J8197" s="2" t="s">
        <v>41</v>
      </c>
      <c r="K8197" t="s">
        <v>42</v>
      </c>
      <c r="L8197" t="s">
        <v>259</v>
      </c>
      <c r="Q8197">
        <v>24369</v>
      </c>
      <c r="R8197" t="s">
        <v>45</v>
      </c>
      <c r="S8197" t="s">
        <v>2492</v>
      </c>
      <c r="T8197">
        <v>27</v>
      </c>
      <c r="U8197" s="2" t="s">
        <v>49446</v>
      </c>
      <c r="V8197" s="1">
        <v>45042</v>
      </c>
      <c r="W8197" t="s">
        <v>84</v>
      </c>
      <c r="X8197">
        <v>838143</v>
      </c>
      <c r="Y8197" t="e">
        <f ca="1">- stuck cartridge on module B2</f>
        <v>#NAME?</v>
      </c>
      <c r="Z8197" t="e">
        <f ca="1">- removed stuck cartridge on module B2/210073300
- performed Preventive Maintenance
- performed functionality test
- Generate reports</f>
        <v>#NAME?</v>
      </c>
      <c r="AA8197" t="e">
        <f ca="1">- Repair
- Preventive Maintenance</f>
        <v>#NAME?</v>
      </c>
      <c r="AB8197" t="s">
        <v>49447</v>
      </c>
      <c r="AG8197" t="s">
        <v>49450</v>
      </c>
      <c r="AH8197" t="s">
        <v>2495</v>
      </c>
      <c r="AI8197" t="s">
        <v>49451</v>
      </c>
    </row>
    <row r="8198" spans="2:35" ht="409.5">
      <c r="B8198" s="1">
        <v>45046</v>
      </c>
      <c r="C8198" s="4">
        <v>45046.4375</v>
      </c>
      <c r="D8198" t="s">
        <v>5474</v>
      </c>
      <c r="E8198" t="s">
        <v>49452</v>
      </c>
      <c r="F8198" t="s">
        <v>148</v>
      </c>
      <c r="G8198" t="s">
        <v>2007</v>
      </c>
      <c r="H8198" t="s">
        <v>49453</v>
      </c>
      <c r="I8198" t="s">
        <v>40</v>
      </c>
      <c r="J8198" s="2" t="s">
        <v>190</v>
      </c>
      <c r="K8198" t="s">
        <v>42</v>
      </c>
      <c r="L8198" t="s">
        <v>1943</v>
      </c>
      <c r="Q8198">
        <v>24367</v>
      </c>
      <c r="R8198" t="s">
        <v>95</v>
      </c>
      <c r="S8198" t="s">
        <v>49454</v>
      </c>
      <c r="T8198">
        <v>26</v>
      </c>
      <c r="U8198" s="2" t="s">
        <v>49455</v>
      </c>
      <c r="W8198" t="s">
        <v>373</v>
      </c>
      <c r="X8198">
        <v>110001647</v>
      </c>
      <c r="Y8198" s="2" t="s">
        <v>49456</v>
      </c>
      <c r="Z8198" s="2" t="s">
        <v>49457</v>
      </c>
      <c r="AA8198" t="s">
        <v>49458</v>
      </c>
      <c r="AB8198" t="s">
        <v>88</v>
      </c>
      <c r="AG8198" t="s">
        <v>49459</v>
      </c>
      <c r="AH8198" t="s">
        <v>49460</v>
      </c>
      <c r="AI8198" t="s">
        <v>49461</v>
      </c>
    </row>
    <row r="8199" spans="2:35" ht="255">
      <c r="B8199" s="1">
        <v>45046</v>
      </c>
      <c r="C8199" s="4">
        <v>45044.574305555558</v>
      </c>
      <c r="D8199" t="s">
        <v>26581</v>
      </c>
      <c r="E8199" t="s">
        <v>49462</v>
      </c>
      <c r="F8199" t="s">
        <v>148</v>
      </c>
      <c r="G8199" t="s">
        <v>310</v>
      </c>
      <c r="H8199" t="s">
        <v>39</v>
      </c>
      <c r="I8199" t="s">
        <v>40</v>
      </c>
      <c r="J8199" s="2" t="s">
        <v>41</v>
      </c>
      <c r="K8199" t="s">
        <v>42</v>
      </c>
      <c r="L8199" t="s">
        <v>1943</v>
      </c>
      <c r="Q8199">
        <v>24368</v>
      </c>
      <c r="R8199" t="s">
        <v>45</v>
      </c>
      <c r="S8199" t="s">
        <v>26576</v>
      </c>
      <c r="T8199">
        <v>25</v>
      </c>
      <c r="U8199" s="2" t="s">
        <v>49463</v>
      </c>
      <c r="V8199" s="1">
        <v>45043</v>
      </c>
      <c r="W8199" t="s">
        <v>84</v>
      </c>
      <c r="X8199">
        <v>707072</v>
      </c>
      <c r="Y8199" s="2" t="s">
        <v>35886</v>
      </c>
      <c r="Z8199" s="2" t="s">
        <v>35887</v>
      </c>
      <c r="AA8199" t="s">
        <v>22330</v>
      </c>
      <c r="AB8199" t="s">
        <v>88</v>
      </c>
      <c r="AD8199" t="s">
        <v>49464</v>
      </c>
      <c r="AE8199" t="s">
        <v>49465</v>
      </c>
      <c r="AG8199" t="s">
        <v>49466</v>
      </c>
      <c r="AH8199" t="s">
        <v>26585</v>
      </c>
      <c r="AI8199" t="s">
        <v>49467</v>
      </c>
    </row>
    <row r="8200" spans="2:35" ht="180">
      <c r="B8200" s="1">
        <v>45045</v>
      </c>
      <c r="C8200" s="4">
        <v>45043.455555555556</v>
      </c>
      <c r="D8200" t="s">
        <v>5017</v>
      </c>
      <c r="E8200" t="s">
        <v>49468</v>
      </c>
      <c r="F8200">
        <v>12</v>
      </c>
      <c r="G8200" t="s">
        <v>978</v>
      </c>
      <c r="H8200" t="s">
        <v>39</v>
      </c>
      <c r="I8200" t="s">
        <v>94</v>
      </c>
      <c r="J8200" t="s">
        <v>109</v>
      </c>
      <c r="K8200" t="s">
        <v>42</v>
      </c>
      <c r="L8200" t="s">
        <v>296</v>
      </c>
      <c r="Q8200">
        <v>24366</v>
      </c>
      <c r="R8200" t="s">
        <v>119</v>
      </c>
      <c r="S8200" t="s">
        <v>5019</v>
      </c>
      <c r="T8200">
        <v>28</v>
      </c>
      <c r="U8200" s="2" t="s">
        <v>49469</v>
      </c>
      <c r="W8200" t="s">
        <v>23049</v>
      </c>
      <c r="X8200">
        <v>838569</v>
      </c>
      <c r="Y8200" t="s">
        <v>54</v>
      </c>
      <c r="Z8200" t="s">
        <v>9161</v>
      </c>
      <c r="AA8200" t="s">
        <v>9161</v>
      </c>
      <c r="AB8200" t="s">
        <v>972</v>
      </c>
      <c r="AG8200" t="s">
        <v>49470</v>
      </c>
      <c r="AH8200" t="s">
        <v>7713</v>
      </c>
      <c r="AI8200" t="s">
        <v>49471</v>
      </c>
    </row>
    <row r="8201" spans="2:35" ht="255">
      <c r="B8201" s="1">
        <v>45044</v>
      </c>
      <c r="C8201" s="4">
        <v>45044.738888888889</v>
      </c>
      <c r="D8201" t="s">
        <v>855</v>
      </c>
      <c r="E8201" t="s">
        <v>49472</v>
      </c>
      <c r="F8201" t="s">
        <v>148</v>
      </c>
      <c r="G8201" t="s">
        <v>310</v>
      </c>
      <c r="H8201" t="s">
        <v>39</v>
      </c>
      <c r="I8201" t="s">
        <v>40</v>
      </c>
      <c r="J8201" s="2" t="s">
        <v>41</v>
      </c>
      <c r="K8201" t="s">
        <v>42</v>
      </c>
      <c r="L8201" t="s">
        <v>1048</v>
      </c>
      <c r="Q8201">
        <v>24365</v>
      </c>
      <c r="R8201" t="s">
        <v>322</v>
      </c>
      <c r="S8201" t="s">
        <v>859</v>
      </c>
      <c r="T8201">
        <v>24</v>
      </c>
      <c r="U8201" s="2" t="s">
        <v>49473</v>
      </c>
      <c r="V8201" s="1">
        <v>45041</v>
      </c>
      <c r="W8201" t="s">
        <v>860</v>
      </c>
      <c r="X8201">
        <v>809643</v>
      </c>
      <c r="Y8201" t="s">
        <v>26556</v>
      </c>
      <c r="Z8201" t="s">
        <v>49474</v>
      </c>
      <c r="AA8201" s="2" t="s">
        <v>49475</v>
      </c>
      <c r="AB8201" t="s">
        <v>181</v>
      </c>
      <c r="AC8201" t="s">
        <v>49476</v>
      </c>
      <c r="AD8201" t="s">
        <v>49477</v>
      </c>
      <c r="AE8201" t="s">
        <v>49478</v>
      </c>
      <c r="AG8201" t="s">
        <v>49479</v>
      </c>
      <c r="AH8201" t="s">
        <v>49480</v>
      </c>
      <c r="AI8201" t="s">
        <v>49481</v>
      </c>
    </row>
    <row r="8202" spans="2:35" ht="240">
      <c r="B8202" s="1">
        <v>45044</v>
      </c>
      <c r="C8202" s="4">
        <v>45044.64166666667</v>
      </c>
      <c r="D8202" t="s">
        <v>24517</v>
      </c>
      <c r="E8202" t="s">
        <v>49482</v>
      </c>
      <c r="F8202">
        <v>3</v>
      </c>
      <c r="G8202" t="s">
        <v>134</v>
      </c>
      <c r="H8202" t="s">
        <v>39</v>
      </c>
      <c r="I8202" t="s">
        <v>40</v>
      </c>
      <c r="J8202" s="2" t="s">
        <v>41</v>
      </c>
      <c r="K8202" t="s">
        <v>42</v>
      </c>
      <c r="L8202" t="s">
        <v>63</v>
      </c>
      <c r="Q8202">
        <v>24364</v>
      </c>
      <c r="R8202" t="s">
        <v>95</v>
      </c>
      <c r="S8202" t="s">
        <v>9328</v>
      </c>
      <c r="T8202">
        <v>29</v>
      </c>
      <c r="U8202" s="2" t="s">
        <v>49483</v>
      </c>
      <c r="V8202" s="1">
        <v>45043</v>
      </c>
      <c r="W8202" t="s">
        <v>26915</v>
      </c>
      <c r="X8202">
        <v>812571</v>
      </c>
      <c r="Y8202" t="s">
        <v>49484</v>
      </c>
      <c r="Z8202" t="s">
        <v>49485</v>
      </c>
      <c r="AA8202" s="2" t="s">
        <v>49486</v>
      </c>
      <c r="AB8202" t="s">
        <v>70</v>
      </c>
      <c r="AC8202" t="s">
        <v>1716</v>
      </c>
      <c r="AD8202" t="s">
        <v>49487</v>
      </c>
      <c r="AE8202" t="s">
        <v>49488</v>
      </c>
      <c r="AG8202" t="s">
        <v>49489</v>
      </c>
      <c r="AH8202" t="s">
        <v>14739</v>
      </c>
      <c r="AI8202" t="s">
        <v>49490</v>
      </c>
    </row>
    <row r="8203" spans="2:35" ht="409.5">
      <c r="B8203" s="1">
        <v>45044</v>
      </c>
      <c r="C8203" s="4">
        <v>45044.659722222219</v>
      </c>
      <c r="D8203" t="s">
        <v>1081</v>
      </c>
      <c r="E8203" t="s">
        <v>49436</v>
      </c>
      <c r="F8203" t="s">
        <v>148</v>
      </c>
      <c r="G8203" t="s">
        <v>785</v>
      </c>
      <c r="H8203" t="s">
        <v>39</v>
      </c>
      <c r="I8203" t="s">
        <v>40</v>
      </c>
      <c r="J8203" s="2" t="s">
        <v>41</v>
      </c>
      <c r="K8203" t="s">
        <v>42</v>
      </c>
      <c r="L8203" t="s">
        <v>761</v>
      </c>
      <c r="Q8203">
        <v>24363</v>
      </c>
      <c r="R8203" t="s">
        <v>95</v>
      </c>
      <c r="S8203" t="s">
        <v>2016</v>
      </c>
      <c r="T8203">
        <v>26</v>
      </c>
      <c r="U8203" s="2" t="s">
        <v>49437</v>
      </c>
      <c r="V8203" s="1">
        <v>45045</v>
      </c>
      <c r="W8203" t="s">
        <v>49438</v>
      </c>
      <c r="X8203">
        <v>110015767</v>
      </c>
      <c r="Y8203" t="s">
        <v>49439</v>
      </c>
      <c r="Z8203" t="s">
        <v>49440</v>
      </c>
      <c r="AA8203" t="s">
        <v>38317</v>
      </c>
      <c r="AB8203" t="s">
        <v>181</v>
      </c>
      <c r="AD8203" t="s">
        <v>2562</v>
      </c>
      <c r="AE8203" t="s">
        <v>49441</v>
      </c>
      <c r="AG8203" t="s">
        <v>49491</v>
      </c>
      <c r="AH8203" t="s">
        <v>49443</v>
      </c>
      <c r="AI8203" t="s">
        <v>49492</v>
      </c>
    </row>
    <row r="8204" spans="2:35" ht="195">
      <c r="B8204" s="1">
        <v>45044</v>
      </c>
      <c r="C8204" s="4">
        <v>45044.65347222222</v>
      </c>
      <c r="D8204" t="s">
        <v>10158</v>
      </c>
      <c r="E8204" t="s">
        <v>4655</v>
      </c>
      <c r="F8204">
        <v>10</v>
      </c>
      <c r="G8204" t="s">
        <v>1395</v>
      </c>
      <c r="H8204" t="s">
        <v>1047</v>
      </c>
      <c r="I8204" t="s">
        <v>40</v>
      </c>
      <c r="J8204" s="2" t="s">
        <v>62</v>
      </c>
      <c r="K8204" t="s">
        <v>42</v>
      </c>
      <c r="L8204" t="s">
        <v>43100</v>
      </c>
      <c r="Q8204">
        <v>24362</v>
      </c>
      <c r="R8204" t="s">
        <v>119</v>
      </c>
      <c r="S8204" t="s">
        <v>10835</v>
      </c>
      <c r="T8204">
        <v>28</v>
      </c>
      <c r="U8204" s="2" t="s">
        <v>49493</v>
      </c>
      <c r="W8204" t="s">
        <v>43102</v>
      </c>
      <c r="X8204">
        <v>838441</v>
      </c>
      <c r="Y8204" t="s">
        <v>49494</v>
      </c>
      <c r="Z8204" t="s">
        <v>301</v>
      </c>
      <c r="AA8204" s="2" t="s">
        <v>49495</v>
      </c>
      <c r="AB8204" t="s">
        <v>486</v>
      </c>
      <c r="AG8204" t="s">
        <v>49496</v>
      </c>
      <c r="AH8204" t="s">
        <v>48342</v>
      </c>
      <c r="AI8204" t="s">
        <v>49497</v>
      </c>
    </row>
    <row r="8205" spans="2:35" ht="255">
      <c r="B8205" s="1">
        <v>45044</v>
      </c>
      <c r="C8205" s="4">
        <v>45044.606249999997</v>
      </c>
      <c r="D8205" t="s">
        <v>1071</v>
      </c>
      <c r="E8205" t="s">
        <v>12328</v>
      </c>
      <c r="F8205">
        <v>7</v>
      </c>
      <c r="G8205" t="s">
        <v>432</v>
      </c>
      <c r="H8205" t="s">
        <v>150</v>
      </c>
      <c r="I8205" t="s">
        <v>40</v>
      </c>
      <c r="J8205" s="2" t="s">
        <v>1444</v>
      </c>
      <c r="K8205" t="s">
        <v>42</v>
      </c>
      <c r="L8205" t="s">
        <v>343</v>
      </c>
      <c r="Q8205">
        <v>24361</v>
      </c>
      <c r="R8205" t="s">
        <v>119</v>
      </c>
      <c r="S8205" t="s">
        <v>8679</v>
      </c>
      <c r="T8205">
        <v>23</v>
      </c>
      <c r="U8205" s="2" t="s">
        <v>49498</v>
      </c>
      <c r="W8205" t="s">
        <v>6105</v>
      </c>
      <c r="X8205">
        <v>838285</v>
      </c>
      <c r="Y8205" t="s">
        <v>49499</v>
      </c>
      <c r="Z8205" t="s">
        <v>301</v>
      </c>
      <c r="AA8205" t="e">
        <f ca="1">-Maintenance
-run XPC CALIBRATION on module A3</f>
        <v>#NAME?</v>
      </c>
      <c r="AB8205" t="s">
        <v>49500</v>
      </c>
      <c r="AC8205" t="s">
        <v>49501</v>
      </c>
      <c r="AG8205" t="s">
        <v>49502</v>
      </c>
      <c r="AH8205" t="s">
        <v>22113</v>
      </c>
      <c r="AI8205" t="s">
        <v>49503</v>
      </c>
    </row>
    <row r="8206" spans="2:35" ht="409.5">
      <c r="B8206" s="1">
        <v>45044</v>
      </c>
      <c r="C8206" s="4">
        <v>45044.572222222225</v>
      </c>
      <c r="D8206" t="s">
        <v>7826</v>
      </c>
      <c r="E8206" t="s">
        <v>49504</v>
      </c>
      <c r="F8206">
        <v>11</v>
      </c>
      <c r="G8206" t="s">
        <v>1759</v>
      </c>
      <c r="H8206" t="s">
        <v>202</v>
      </c>
      <c r="I8206" t="s">
        <v>40</v>
      </c>
      <c r="J8206" s="2" t="s">
        <v>41</v>
      </c>
      <c r="K8206" t="s">
        <v>42</v>
      </c>
      <c r="L8206" t="s">
        <v>204</v>
      </c>
      <c r="Q8206">
        <v>24360</v>
      </c>
      <c r="R8206" t="s">
        <v>119</v>
      </c>
      <c r="S8206" t="s">
        <v>7828</v>
      </c>
      <c r="T8206">
        <v>29.5</v>
      </c>
      <c r="W8206" t="s">
        <v>1292</v>
      </c>
      <c r="X8206">
        <v>838487</v>
      </c>
      <c r="Y8206" t="s">
        <v>49505</v>
      </c>
      <c r="Z8206" s="2" t="s">
        <v>49506</v>
      </c>
      <c r="AA8206" t="s">
        <v>39563</v>
      </c>
      <c r="AB8206" t="s">
        <v>9590</v>
      </c>
      <c r="AG8206" t="s">
        <v>49507</v>
      </c>
      <c r="AH8206" t="s">
        <v>49508</v>
      </c>
      <c r="AI8206" t="s">
        <v>49509</v>
      </c>
    </row>
    <row r="8207" spans="2:35" ht="75">
      <c r="B8207" s="1">
        <v>45044</v>
      </c>
      <c r="C8207" s="4">
        <v>45044.461111111108</v>
      </c>
      <c r="D8207" t="s">
        <v>22025</v>
      </c>
      <c r="E8207" t="s">
        <v>8671</v>
      </c>
      <c r="F8207" t="s">
        <v>148</v>
      </c>
      <c r="G8207" t="s">
        <v>447</v>
      </c>
      <c r="H8207" t="s">
        <v>5452</v>
      </c>
      <c r="I8207" t="s">
        <v>40</v>
      </c>
      <c r="J8207" t="s">
        <v>525</v>
      </c>
      <c r="K8207" t="s">
        <v>408</v>
      </c>
      <c r="L8207" t="s">
        <v>1048</v>
      </c>
      <c r="P8207" t="s">
        <v>1859</v>
      </c>
      <c r="Q8207">
        <v>24359</v>
      </c>
      <c r="R8207" t="s">
        <v>119</v>
      </c>
      <c r="S8207" t="s">
        <v>49510</v>
      </c>
      <c r="T8207">
        <v>25</v>
      </c>
      <c r="W8207" t="s">
        <v>49511</v>
      </c>
      <c r="X8207" t="s">
        <v>49512</v>
      </c>
      <c r="Y8207" s="2" t="s">
        <v>49513</v>
      </c>
      <c r="Z8207" t="s">
        <v>301</v>
      </c>
      <c r="AA8207" t="e">
        <f ca="1">-Check Fuse
-Check batteries
-Check board</f>
        <v>#NAME?</v>
      </c>
      <c r="AB8207" t="s">
        <v>181</v>
      </c>
      <c r="AC8207" t="s">
        <v>49514</v>
      </c>
      <c r="AG8207" t="s">
        <v>49515</v>
      </c>
      <c r="AH8207" t="s">
        <v>22025</v>
      </c>
      <c r="AI8207" t="s">
        <v>49516</v>
      </c>
    </row>
    <row r="8208" spans="2:35">
      <c r="B8208" s="1">
        <v>45044</v>
      </c>
      <c r="C8208" s="4">
        <v>45044.464583333334</v>
      </c>
      <c r="D8208" t="s">
        <v>22025</v>
      </c>
      <c r="E8208" t="s">
        <v>8671</v>
      </c>
      <c r="F8208" t="s">
        <v>148</v>
      </c>
      <c r="G8208" t="s">
        <v>447</v>
      </c>
      <c r="H8208" t="s">
        <v>5452</v>
      </c>
      <c r="I8208" t="s">
        <v>40</v>
      </c>
      <c r="J8208" t="s">
        <v>79</v>
      </c>
      <c r="K8208" t="s">
        <v>408</v>
      </c>
      <c r="L8208" t="s">
        <v>761</v>
      </c>
      <c r="P8208" t="s">
        <v>1859</v>
      </c>
      <c r="Q8208">
        <v>24358</v>
      </c>
      <c r="R8208" t="s">
        <v>119</v>
      </c>
      <c r="S8208" t="s">
        <v>410</v>
      </c>
      <c r="T8208">
        <v>25</v>
      </c>
      <c r="W8208" t="s">
        <v>49517</v>
      </c>
      <c r="X8208" t="s">
        <v>49518</v>
      </c>
      <c r="Y8208" t="s">
        <v>49519</v>
      </c>
      <c r="Z8208" t="s">
        <v>301</v>
      </c>
      <c r="AA8208" t="s">
        <v>49520</v>
      </c>
      <c r="AB8208" t="s">
        <v>13135</v>
      </c>
      <c r="AG8208" t="s">
        <v>49521</v>
      </c>
      <c r="AH8208" t="s">
        <v>22025</v>
      </c>
      <c r="AI8208" t="s">
        <v>49522</v>
      </c>
    </row>
    <row r="8209" spans="2:35" ht="75">
      <c r="B8209" s="1">
        <v>45044</v>
      </c>
      <c r="C8209" s="4">
        <v>45044.456250000003</v>
      </c>
      <c r="D8209" t="s">
        <v>22025</v>
      </c>
      <c r="E8209" t="s">
        <v>8671</v>
      </c>
      <c r="F8209" t="s">
        <v>148</v>
      </c>
      <c r="G8209" t="s">
        <v>447</v>
      </c>
      <c r="H8209" t="s">
        <v>5452</v>
      </c>
      <c r="I8209" t="s">
        <v>40</v>
      </c>
      <c r="J8209" t="s">
        <v>525</v>
      </c>
      <c r="K8209" t="s">
        <v>408</v>
      </c>
      <c r="L8209" t="s">
        <v>1048</v>
      </c>
      <c r="P8209" t="s">
        <v>1859</v>
      </c>
      <c r="Q8209">
        <v>24357</v>
      </c>
      <c r="R8209" t="s">
        <v>119</v>
      </c>
      <c r="S8209" t="s">
        <v>410</v>
      </c>
      <c r="T8209">
        <v>25</v>
      </c>
      <c r="W8209" t="s">
        <v>49511</v>
      </c>
      <c r="X8209" t="s">
        <v>49523</v>
      </c>
      <c r="Y8209" s="2" t="s">
        <v>49524</v>
      </c>
      <c r="Z8209" t="s">
        <v>301</v>
      </c>
      <c r="AA8209" t="e">
        <f ca="1">-Check Fuse
-Check batteries
-Check boards</f>
        <v>#NAME?</v>
      </c>
      <c r="AB8209" t="s">
        <v>13135</v>
      </c>
      <c r="AC8209" t="s">
        <v>49525</v>
      </c>
      <c r="AG8209" t="s">
        <v>49526</v>
      </c>
      <c r="AH8209" t="s">
        <v>13336</v>
      </c>
      <c r="AI8209" t="s">
        <v>49527</v>
      </c>
    </row>
    <row r="8210" spans="2:35" ht="409.5">
      <c r="B8210" s="1">
        <v>45043</v>
      </c>
      <c r="C8210" s="4">
        <v>45043.479166666664</v>
      </c>
      <c r="D8210" t="s">
        <v>4511</v>
      </c>
      <c r="E8210" t="s">
        <v>49528</v>
      </c>
      <c r="F8210">
        <v>1</v>
      </c>
      <c r="G8210" t="s">
        <v>1046</v>
      </c>
      <c r="H8210" t="s">
        <v>39</v>
      </c>
      <c r="I8210" t="s">
        <v>40</v>
      </c>
      <c r="J8210" s="2" t="s">
        <v>62</v>
      </c>
      <c r="K8210" t="s">
        <v>42</v>
      </c>
      <c r="L8210" t="s">
        <v>135</v>
      </c>
      <c r="Q8210">
        <v>24356</v>
      </c>
      <c r="R8210" t="s">
        <v>119</v>
      </c>
      <c r="S8210" t="s">
        <v>4513</v>
      </c>
      <c r="T8210">
        <v>26</v>
      </c>
      <c r="U8210" s="2" t="s">
        <v>49529</v>
      </c>
      <c r="V8210" s="1">
        <v>45043</v>
      </c>
      <c r="W8210" t="s">
        <v>2680</v>
      </c>
      <c r="X8210">
        <v>838288</v>
      </c>
      <c r="Y8210" t="s">
        <v>1751</v>
      </c>
      <c r="Z8210" s="2" t="s">
        <v>29789</v>
      </c>
      <c r="AA8210" s="2" t="s">
        <v>31375</v>
      </c>
      <c r="AB8210" t="s">
        <v>181</v>
      </c>
      <c r="AC8210" t="s">
        <v>34421</v>
      </c>
      <c r="AD8210" t="s">
        <v>26369</v>
      </c>
      <c r="AE8210">
        <v>9779</v>
      </c>
      <c r="AG8210" t="s">
        <v>49530</v>
      </c>
      <c r="AH8210" t="s">
        <v>4515</v>
      </c>
      <c r="AI8210" t="s">
        <v>49531</v>
      </c>
    </row>
    <row r="8211" spans="2:35" ht="409.5">
      <c r="B8211" s="1">
        <v>45043</v>
      </c>
      <c r="C8211" s="4">
        <v>45043.427083333336</v>
      </c>
      <c r="D8211" t="s">
        <v>49532</v>
      </c>
      <c r="E8211" t="s">
        <v>49533</v>
      </c>
      <c r="F8211">
        <v>1</v>
      </c>
      <c r="G8211" t="s">
        <v>1046</v>
      </c>
      <c r="H8211" t="s">
        <v>39</v>
      </c>
      <c r="I8211" t="s">
        <v>40</v>
      </c>
      <c r="J8211" s="2" t="s">
        <v>62</v>
      </c>
      <c r="K8211" t="s">
        <v>42</v>
      </c>
      <c r="L8211" t="s">
        <v>135</v>
      </c>
      <c r="Q8211">
        <v>24355</v>
      </c>
      <c r="R8211" t="s">
        <v>119</v>
      </c>
      <c r="S8211" t="s">
        <v>3740</v>
      </c>
      <c r="T8211">
        <v>30</v>
      </c>
      <c r="U8211" s="2" t="s">
        <v>49534</v>
      </c>
      <c r="V8211" s="1">
        <v>45008</v>
      </c>
      <c r="W8211" t="s">
        <v>2680</v>
      </c>
      <c r="X8211">
        <v>838438</v>
      </c>
      <c r="Y8211" t="s">
        <v>67</v>
      </c>
      <c r="Z8211" s="2" t="s">
        <v>29789</v>
      </c>
      <c r="AA8211" s="2" t="s">
        <v>31375</v>
      </c>
      <c r="AB8211" t="s">
        <v>181</v>
      </c>
      <c r="AD8211" t="s">
        <v>26369</v>
      </c>
      <c r="AE8211">
        <v>9777</v>
      </c>
      <c r="AG8211" t="s">
        <v>49535</v>
      </c>
      <c r="AH8211" t="s">
        <v>49536</v>
      </c>
      <c r="AI8211" t="s">
        <v>49537</v>
      </c>
    </row>
    <row r="8212" spans="2:35" ht="409.5">
      <c r="B8212" s="1">
        <v>45043</v>
      </c>
      <c r="C8212" s="4">
        <v>45043.427083333336</v>
      </c>
      <c r="D8212" t="s">
        <v>49532</v>
      </c>
      <c r="E8212" t="s">
        <v>49533</v>
      </c>
      <c r="F8212">
        <v>1</v>
      </c>
      <c r="G8212" t="s">
        <v>1046</v>
      </c>
      <c r="H8212" t="s">
        <v>39</v>
      </c>
      <c r="I8212" t="s">
        <v>40</v>
      </c>
      <c r="J8212" s="2" t="s">
        <v>62</v>
      </c>
      <c r="K8212" t="s">
        <v>42</v>
      </c>
      <c r="L8212" t="s">
        <v>135</v>
      </c>
      <c r="Q8212">
        <v>24354</v>
      </c>
      <c r="R8212" t="s">
        <v>119</v>
      </c>
      <c r="S8212" t="s">
        <v>3740</v>
      </c>
      <c r="T8212">
        <v>30</v>
      </c>
      <c r="U8212" s="2" t="s">
        <v>49534</v>
      </c>
      <c r="V8212" s="1">
        <v>45008</v>
      </c>
      <c r="W8212" t="s">
        <v>2680</v>
      </c>
      <c r="X8212">
        <v>838438</v>
      </c>
      <c r="Y8212" t="s">
        <v>67</v>
      </c>
      <c r="Z8212" s="2" t="s">
        <v>29789</v>
      </c>
      <c r="AA8212" s="2" t="s">
        <v>31375</v>
      </c>
      <c r="AB8212" t="s">
        <v>181</v>
      </c>
      <c r="AD8212" t="s">
        <v>26369</v>
      </c>
      <c r="AE8212">
        <v>9777</v>
      </c>
      <c r="AG8212" t="s">
        <v>49538</v>
      </c>
      <c r="AH8212" t="s">
        <v>49536</v>
      </c>
      <c r="AI8212" t="s">
        <v>49539</v>
      </c>
    </row>
    <row r="8213" spans="2:35" ht="409.5">
      <c r="B8213" s="1">
        <v>45043</v>
      </c>
      <c r="C8213" s="4">
        <v>45043.479166666664</v>
      </c>
      <c r="D8213" t="s">
        <v>4511</v>
      </c>
      <c r="E8213" t="s">
        <v>49528</v>
      </c>
      <c r="F8213">
        <v>1</v>
      </c>
      <c r="G8213" t="s">
        <v>1046</v>
      </c>
      <c r="H8213" t="s">
        <v>39</v>
      </c>
      <c r="I8213" t="s">
        <v>40</v>
      </c>
      <c r="J8213" s="2" t="s">
        <v>62</v>
      </c>
      <c r="K8213" t="s">
        <v>42</v>
      </c>
      <c r="L8213" t="s">
        <v>135</v>
      </c>
      <c r="Q8213">
        <v>24353</v>
      </c>
      <c r="R8213" t="s">
        <v>119</v>
      </c>
      <c r="S8213" t="s">
        <v>4513</v>
      </c>
      <c r="T8213">
        <v>26</v>
      </c>
      <c r="U8213" s="2" t="s">
        <v>49529</v>
      </c>
      <c r="V8213" s="1">
        <v>45043</v>
      </c>
      <c r="W8213" t="s">
        <v>2680</v>
      </c>
      <c r="X8213">
        <v>838288</v>
      </c>
      <c r="Y8213" t="s">
        <v>1751</v>
      </c>
      <c r="Z8213" s="2" t="s">
        <v>29789</v>
      </c>
      <c r="AA8213" s="2" t="s">
        <v>31375</v>
      </c>
      <c r="AB8213" t="s">
        <v>181</v>
      </c>
      <c r="AC8213" t="s">
        <v>34421</v>
      </c>
      <c r="AD8213" t="s">
        <v>26369</v>
      </c>
      <c r="AE8213">
        <v>9779</v>
      </c>
      <c r="AG8213" t="s">
        <v>49540</v>
      </c>
      <c r="AH8213" t="s">
        <v>4515</v>
      </c>
      <c r="AI8213" t="s">
        <v>49541</v>
      </c>
    </row>
    <row r="8214" spans="2:35" ht="195">
      <c r="B8214" s="1">
        <v>45043</v>
      </c>
      <c r="C8214" s="4">
        <v>45043.635416666664</v>
      </c>
      <c r="D8214" t="s">
        <v>22448</v>
      </c>
      <c r="E8214" t="s">
        <v>40858</v>
      </c>
      <c r="F8214">
        <v>3</v>
      </c>
      <c r="G8214" t="s">
        <v>1722</v>
      </c>
      <c r="H8214" t="s">
        <v>39</v>
      </c>
      <c r="I8214" t="s">
        <v>40</v>
      </c>
      <c r="J8214" s="2" t="s">
        <v>3198</v>
      </c>
      <c r="K8214" t="s">
        <v>42</v>
      </c>
      <c r="L8214" t="s">
        <v>63</v>
      </c>
      <c r="Q8214">
        <v>24352</v>
      </c>
      <c r="R8214" t="s">
        <v>119</v>
      </c>
      <c r="S8214" t="s">
        <v>22450</v>
      </c>
      <c r="T8214">
        <v>29</v>
      </c>
      <c r="U8214" s="2" t="s">
        <v>49542</v>
      </c>
      <c r="V8214" s="1">
        <v>45043</v>
      </c>
      <c r="W8214" t="s">
        <v>26915</v>
      </c>
      <c r="X8214">
        <v>831695</v>
      </c>
      <c r="Y8214" t="s">
        <v>49543</v>
      </c>
      <c r="Z8214" t="s">
        <v>49544</v>
      </c>
      <c r="AA8214" s="2" t="s">
        <v>1727</v>
      </c>
      <c r="AB8214" t="s">
        <v>70</v>
      </c>
      <c r="AC8214" t="s">
        <v>42292</v>
      </c>
      <c r="AD8214" t="s">
        <v>29263</v>
      </c>
      <c r="AE8214" t="s">
        <v>1716</v>
      </c>
      <c r="AG8214" t="s">
        <v>49545</v>
      </c>
      <c r="AH8214" t="s">
        <v>39542</v>
      </c>
      <c r="AI8214" t="s">
        <v>49546</v>
      </c>
    </row>
    <row r="8215" spans="2:35" ht="90">
      <c r="B8215" s="1">
        <v>45043</v>
      </c>
      <c r="C8215" s="4">
        <v>45043.65625</v>
      </c>
      <c r="D8215" t="s">
        <v>16407</v>
      </c>
      <c r="E8215" t="s">
        <v>49547</v>
      </c>
      <c r="F8215">
        <v>7</v>
      </c>
      <c r="G8215" t="s">
        <v>432</v>
      </c>
      <c r="H8215" t="s">
        <v>608</v>
      </c>
      <c r="I8215" t="s">
        <v>94</v>
      </c>
      <c r="J8215" s="2" t="s">
        <v>609</v>
      </c>
      <c r="K8215" t="s">
        <v>42</v>
      </c>
      <c r="L8215" t="s">
        <v>610</v>
      </c>
      <c r="Q8215">
        <v>24351</v>
      </c>
      <c r="R8215" t="s">
        <v>119</v>
      </c>
      <c r="S8215" t="s">
        <v>16409</v>
      </c>
      <c r="T8215">
        <v>24</v>
      </c>
      <c r="U8215" s="2" t="s">
        <v>49548</v>
      </c>
      <c r="W8215" t="s">
        <v>502</v>
      </c>
      <c r="X8215">
        <v>838513</v>
      </c>
      <c r="Y8215" t="s">
        <v>485</v>
      </c>
      <c r="Z8215" t="s">
        <v>122</v>
      </c>
      <c r="AA8215" t="s">
        <v>49549</v>
      </c>
      <c r="AB8215" t="s">
        <v>1263</v>
      </c>
      <c r="AG8215" t="s">
        <v>49550</v>
      </c>
      <c r="AH8215" t="s">
        <v>49551</v>
      </c>
      <c r="AI8215" t="s">
        <v>49552</v>
      </c>
    </row>
    <row r="8216" spans="2:35">
      <c r="B8216" s="1">
        <v>45043</v>
      </c>
      <c r="C8216" s="4">
        <v>45043.565972222219</v>
      </c>
      <c r="D8216" t="s">
        <v>5563</v>
      </c>
      <c r="E8216" t="s">
        <v>1555</v>
      </c>
      <c r="F8216">
        <v>7</v>
      </c>
      <c r="G8216" t="s">
        <v>432</v>
      </c>
      <c r="H8216" t="s">
        <v>150</v>
      </c>
      <c r="I8216" t="s">
        <v>40</v>
      </c>
      <c r="J8216" t="s">
        <v>525</v>
      </c>
      <c r="K8216" t="s">
        <v>42</v>
      </c>
      <c r="L8216" t="s">
        <v>343</v>
      </c>
      <c r="Q8216">
        <v>24350</v>
      </c>
      <c r="R8216" t="s">
        <v>119</v>
      </c>
      <c r="S8216" t="s">
        <v>5564</v>
      </c>
      <c r="T8216">
        <v>23</v>
      </c>
      <c r="W8216" t="s">
        <v>6105</v>
      </c>
      <c r="X8216">
        <v>838561</v>
      </c>
      <c r="Y8216" t="s">
        <v>49553</v>
      </c>
      <c r="Z8216" t="s">
        <v>301</v>
      </c>
      <c r="AA8216" t="e">
        <f ca="1">-deep _xludf.Clean module A1 internally
-Maintenance</f>
        <v>#NAME?</v>
      </c>
      <c r="AB8216" t="s">
        <v>49554</v>
      </c>
      <c r="AC8216" t="s">
        <v>49555</v>
      </c>
      <c r="AG8216" t="s">
        <v>49556</v>
      </c>
      <c r="AH8216" t="s">
        <v>14800</v>
      </c>
      <c r="AI8216" t="s">
        <v>49557</v>
      </c>
    </row>
    <row r="8217" spans="2:35" ht="409.5">
      <c r="B8217" s="1">
        <v>45043</v>
      </c>
      <c r="C8217" s="4">
        <v>44992.435416666667</v>
      </c>
      <c r="D8217" t="s">
        <v>38717</v>
      </c>
      <c r="E8217" t="s">
        <v>49558</v>
      </c>
      <c r="F8217" t="s">
        <v>148</v>
      </c>
      <c r="G8217" t="s">
        <v>310</v>
      </c>
      <c r="H8217" t="s">
        <v>39</v>
      </c>
      <c r="I8217" t="s">
        <v>40</v>
      </c>
      <c r="J8217" t="s">
        <v>525</v>
      </c>
      <c r="K8217" t="s">
        <v>42</v>
      </c>
      <c r="L8217" t="s">
        <v>448</v>
      </c>
      <c r="Q8217">
        <v>24349</v>
      </c>
      <c r="R8217" t="s">
        <v>322</v>
      </c>
      <c r="S8217" t="s">
        <v>5604</v>
      </c>
      <c r="T8217">
        <v>28</v>
      </c>
      <c r="U8217" s="2" t="s">
        <v>49559</v>
      </c>
      <c r="W8217" t="s">
        <v>360</v>
      </c>
      <c r="X8217">
        <v>838524</v>
      </c>
      <c r="Y8217" t="s">
        <v>49560</v>
      </c>
      <c r="Z8217" t="s">
        <v>49561</v>
      </c>
      <c r="AA8217" t="s">
        <v>19984</v>
      </c>
      <c r="AB8217" t="s">
        <v>49562</v>
      </c>
      <c r="AG8217" t="s">
        <v>49563</v>
      </c>
      <c r="AH8217" t="s">
        <v>16382</v>
      </c>
      <c r="AI8217" t="s">
        <v>49564</v>
      </c>
    </row>
    <row r="8218" spans="2:35" ht="180">
      <c r="B8218" s="1">
        <v>45043</v>
      </c>
      <c r="C8218" s="4">
        <v>45041.603472222225</v>
      </c>
      <c r="D8218" t="s">
        <v>49565</v>
      </c>
      <c r="E8218" t="s">
        <v>49566</v>
      </c>
      <c r="F8218" t="s">
        <v>148</v>
      </c>
      <c r="G8218" t="s">
        <v>310</v>
      </c>
      <c r="H8218" t="s">
        <v>39</v>
      </c>
      <c r="I8218" t="s">
        <v>40</v>
      </c>
      <c r="J8218" t="s">
        <v>79</v>
      </c>
      <c r="K8218" t="s">
        <v>42</v>
      </c>
      <c r="L8218" t="s">
        <v>448</v>
      </c>
      <c r="Q8218">
        <v>24348</v>
      </c>
      <c r="R8218" t="s">
        <v>119</v>
      </c>
      <c r="S8218" t="s">
        <v>34536</v>
      </c>
      <c r="T8218">
        <v>28</v>
      </c>
      <c r="U8218" s="2" t="s">
        <v>49567</v>
      </c>
      <c r="W8218" t="s">
        <v>360</v>
      </c>
      <c r="X8218">
        <v>831527</v>
      </c>
      <c r="Y8218" t="s">
        <v>49568</v>
      </c>
      <c r="Z8218" t="s">
        <v>49569</v>
      </c>
      <c r="AA8218" t="s">
        <v>9749</v>
      </c>
      <c r="AB8218" t="s">
        <v>486</v>
      </c>
      <c r="AG8218" t="s">
        <v>49570</v>
      </c>
      <c r="AH8218" t="s">
        <v>34539</v>
      </c>
      <c r="AI8218" t="s">
        <v>49571</v>
      </c>
    </row>
    <row r="8219" spans="2:35">
      <c r="B8219" s="1">
        <v>45043</v>
      </c>
      <c r="C8219" s="4">
        <v>45043.447916666664</v>
      </c>
      <c r="D8219" t="s">
        <v>12747</v>
      </c>
      <c r="E8219" t="s">
        <v>16605</v>
      </c>
      <c r="F8219">
        <v>6</v>
      </c>
      <c r="G8219" t="s">
        <v>1234</v>
      </c>
      <c r="H8219" t="s">
        <v>34104</v>
      </c>
      <c r="I8219" t="s">
        <v>94</v>
      </c>
      <c r="J8219" t="s">
        <v>996</v>
      </c>
      <c r="K8219" t="s">
        <v>42</v>
      </c>
      <c r="L8219" t="s">
        <v>23958</v>
      </c>
      <c r="Q8219">
        <v>24347</v>
      </c>
      <c r="R8219" t="s">
        <v>45</v>
      </c>
      <c r="S8219" t="s">
        <v>20399</v>
      </c>
      <c r="T8219">
        <v>4</v>
      </c>
      <c r="W8219" t="s">
        <v>6776</v>
      </c>
      <c r="X8219">
        <v>805093</v>
      </c>
      <c r="Y8219" t="s">
        <v>49572</v>
      </c>
      <c r="Z8219" t="s">
        <v>49573</v>
      </c>
      <c r="AA8219" t="s">
        <v>49574</v>
      </c>
      <c r="AB8219" t="s">
        <v>49575</v>
      </c>
      <c r="AG8219" t="s">
        <v>49576</v>
      </c>
      <c r="AH8219" t="s">
        <v>49577</v>
      </c>
      <c r="AI8219" t="s">
        <v>49578</v>
      </c>
    </row>
    <row r="8220" spans="2:35" ht="180">
      <c r="B8220" s="1">
        <v>45043</v>
      </c>
      <c r="C8220" s="4">
        <v>45043.370833333334</v>
      </c>
      <c r="D8220" t="s">
        <v>49579</v>
      </c>
      <c r="E8220" t="s">
        <v>49580</v>
      </c>
      <c r="F8220">
        <v>8</v>
      </c>
      <c r="G8220" t="s">
        <v>2945</v>
      </c>
      <c r="H8220" t="s">
        <v>39</v>
      </c>
      <c r="I8220" t="s">
        <v>40</v>
      </c>
      <c r="J8220" s="2" t="s">
        <v>62</v>
      </c>
      <c r="K8220" t="s">
        <v>42</v>
      </c>
      <c r="L8220" t="s">
        <v>259</v>
      </c>
      <c r="Q8220">
        <v>24346</v>
      </c>
      <c r="R8220" t="s">
        <v>45</v>
      </c>
      <c r="S8220" t="s">
        <v>49581</v>
      </c>
      <c r="T8220">
        <v>27</v>
      </c>
      <c r="U8220" s="2" t="s">
        <v>49582</v>
      </c>
      <c r="V8220" s="1">
        <v>45043</v>
      </c>
      <c r="W8220" t="s">
        <v>84</v>
      </c>
      <c r="X8220">
        <v>804262</v>
      </c>
      <c r="Y8220" t="s">
        <v>49583</v>
      </c>
      <c r="Z8220" t="e">
        <f ca="1">- performed XpertCheck CALIBRATION
- performed Preventive Maintenance
- performed functionality test
- Generate reports</f>
        <v>#NAME?</v>
      </c>
      <c r="AA8220" t="e">
        <f ca="1">- CALIBRATION
- Preventive Maintenance</f>
        <v>#NAME?</v>
      </c>
      <c r="AB8220" t="s">
        <v>70</v>
      </c>
      <c r="AC8220" t="s">
        <v>49584</v>
      </c>
      <c r="AD8220" t="s">
        <v>49585</v>
      </c>
      <c r="AE8220" t="s">
        <v>45</v>
      </c>
      <c r="AG8220" t="s">
        <v>49586</v>
      </c>
      <c r="AH8220" t="s">
        <v>49587</v>
      </c>
      <c r="AI8220" t="s">
        <v>49588</v>
      </c>
    </row>
    <row r="8221" spans="2:35" ht="409.5">
      <c r="B8221" s="1">
        <v>45043</v>
      </c>
      <c r="C8221" s="4">
        <v>45042.52847222222</v>
      </c>
      <c r="D8221" t="s">
        <v>3732</v>
      </c>
      <c r="E8221" t="s">
        <v>49589</v>
      </c>
      <c r="F8221">
        <v>1</v>
      </c>
      <c r="G8221" t="s">
        <v>1046</v>
      </c>
      <c r="H8221" t="s">
        <v>39</v>
      </c>
      <c r="I8221" t="s">
        <v>40</v>
      </c>
      <c r="J8221" s="2" t="s">
        <v>62</v>
      </c>
      <c r="K8221" t="s">
        <v>42</v>
      </c>
      <c r="L8221" t="s">
        <v>135</v>
      </c>
      <c r="Q8221">
        <v>24345</v>
      </c>
      <c r="R8221" t="s">
        <v>119</v>
      </c>
      <c r="S8221" t="s">
        <v>19601</v>
      </c>
      <c r="T8221">
        <v>26</v>
      </c>
      <c r="U8221" s="2" t="s">
        <v>49590</v>
      </c>
      <c r="V8221" s="1">
        <v>44959</v>
      </c>
      <c r="W8221" t="s">
        <v>2680</v>
      </c>
      <c r="X8221">
        <v>838473</v>
      </c>
      <c r="Y8221" t="s">
        <v>1751</v>
      </c>
      <c r="Z8221" s="2" t="s">
        <v>29789</v>
      </c>
      <c r="AA8221" s="2" t="s">
        <v>31375</v>
      </c>
      <c r="AB8221" t="s">
        <v>49591</v>
      </c>
      <c r="AC8221" t="s">
        <v>4800</v>
      </c>
      <c r="AD8221" t="s">
        <v>47588</v>
      </c>
      <c r="AE8221">
        <v>9577</v>
      </c>
      <c r="AG8221" t="s">
        <v>49592</v>
      </c>
      <c r="AH8221" t="s">
        <v>26539</v>
      </c>
      <c r="AI8221" t="s">
        <v>49593</v>
      </c>
    </row>
    <row r="8222" spans="2:35" ht="405">
      <c r="B8222" s="1">
        <v>45043</v>
      </c>
      <c r="C8222" s="4">
        <v>45041.504861111112</v>
      </c>
      <c r="D8222" t="s">
        <v>1044</v>
      </c>
      <c r="E8222" t="s">
        <v>49594</v>
      </c>
      <c r="F8222">
        <v>1</v>
      </c>
      <c r="G8222" t="s">
        <v>1046</v>
      </c>
      <c r="H8222" t="s">
        <v>39</v>
      </c>
      <c r="I8222" t="s">
        <v>40</v>
      </c>
      <c r="J8222" s="2" t="s">
        <v>41</v>
      </c>
      <c r="K8222" t="s">
        <v>42</v>
      </c>
      <c r="L8222" t="s">
        <v>135</v>
      </c>
      <c r="Q8222">
        <v>24344</v>
      </c>
      <c r="R8222" t="s">
        <v>45</v>
      </c>
      <c r="S8222" t="s">
        <v>1050</v>
      </c>
      <c r="T8222">
        <v>24</v>
      </c>
      <c r="U8222" s="2" t="s">
        <v>49595</v>
      </c>
      <c r="V8222" s="1">
        <v>45027</v>
      </c>
      <c r="W8222" t="s">
        <v>2680</v>
      </c>
      <c r="X8222">
        <v>812830</v>
      </c>
      <c r="Y8222" t="s">
        <v>49596</v>
      </c>
      <c r="Z8222" s="2" t="s">
        <v>49597</v>
      </c>
      <c r="AA8222" s="2" t="s">
        <v>49598</v>
      </c>
      <c r="AB8222" t="s">
        <v>181</v>
      </c>
      <c r="AD8222" t="s">
        <v>49599</v>
      </c>
      <c r="AE8222">
        <v>40021</v>
      </c>
      <c r="AG8222" t="s">
        <v>49600</v>
      </c>
      <c r="AH8222" t="s">
        <v>25352</v>
      </c>
      <c r="AI8222" t="s">
        <v>49601</v>
      </c>
    </row>
    <row r="8223" spans="2:35" ht="315">
      <c r="B8223" s="1">
        <v>45042</v>
      </c>
      <c r="C8223" s="4">
        <v>45042.536111111112</v>
      </c>
      <c r="D8223" t="s">
        <v>24517</v>
      </c>
      <c r="E8223" t="s">
        <v>24518</v>
      </c>
      <c r="F8223">
        <v>3</v>
      </c>
      <c r="G8223" t="s">
        <v>134</v>
      </c>
      <c r="H8223" t="s">
        <v>39</v>
      </c>
      <c r="I8223" t="s">
        <v>40</v>
      </c>
      <c r="J8223" s="2" t="s">
        <v>1592</v>
      </c>
      <c r="K8223" t="s">
        <v>42</v>
      </c>
      <c r="L8223" t="s">
        <v>63</v>
      </c>
      <c r="Q8223">
        <v>24343</v>
      </c>
      <c r="R8223" t="s">
        <v>95</v>
      </c>
      <c r="S8223" t="s">
        <v>9328</v>
      </c>
      <c r="T8223">
        <v>29</v>
      </c>
      <c r="V8223" s="1">
        <v>45042</v>
      </c>
      <c r="W8223" t="s">
        <v>26915</v>
      </c>
      <c r="X8223">
        <v>812571</v>
      </c>
      <c r="Y8223" t="s">
        <v>49602</v>
      </c>
      <c r="Z8223" s="2" t="s">
        <v>49603</v>
      </c>
      <c r="AA8223" s="2" t="s">
        <v>49604</v>
      </c>
      <c r="AB8223" t="s">
        <v>70</v>
      </c>
      <c r="AC8223" t="s">
        <v>49605</v>
      </c>
      <c r="AD8223" t="s">
        <v>1716</v>
      </c>
      <c r="AE8223" t="s">
        <v>1716</v>
      </c>
      <c r="AG8223" t="s">
        <v>49606</v>
      </c>
      <c r="AH8223" t="s">
        <v>14739</v>
      </c>
      <c r="AI8223" t="s">
        <v>49607</v>
      </c>
    </row>
    <row r="8224" spans="2:35" ht="60">
      <c r="B8224" s="1">
        <v>45042</v>
      </c>
      <c r="C8224" s="4">
        <v>45042.592361111114</v>
      </c>
      <c r="D8224" t="s">
        <v>49608</v>
      </c>
      <c r="E8224" t="s">
        <v>49609</v>
      </c>
      <c r="F8224">
        <v>9</v>
      </c>
      <c r="G8224" t="s">
        <v>2197</v>
      </c>
      <c r="H8224" t="s">
        <v>386</v>
      </c>
      <c r="I8224" t="s">
        <v>40</v>
      </c>
      <c r="J8224" s="2" t="s">
        <v>62</v>
      </c>
      <c r="K8224" t="s">
        <v>387</v>
      </c>
      <c r="L8224" t="s">
        <v>433</v>
      </c>
      <c r="Q8224">
        <v>24342</v>
      </c>
      <c r="R8224" t="s">
        <v>95</v>
      </c>
      <c r="S8224" t="s">
        <v>7052</v>
      </c>
      <c r="T8224">
        <v>25</v>
      </c>
      <c r="W8224" t="s">
        <v>49610</v>
      </c>
      <c r="X8224" t="s">
        <v>7053</v>
      </c>
      <c r="Y8224" t="s">
        <v>4315</v>
      </c>
      <c r="Z8224" t="s">
        <v>4315</v>
      </c>
      <c r="AA8224" t="s">
        <v>4315</v>
      </c>
      <c r="AB8224" t="s">
        <v>1011</v>
      </c>
      <c r="AC8224" t="s">
        <v>49611</v>
      </c>
      <c r="AG8224" t="s">
        <v>49612</v>
      </c>
      <c r="AH8224" t="s">
        <v>49613</v>
      </c>
      <c r="AI8224" t="s">
        <v>49614</v>
      </c>
    </row>
    <row r="8225" spans="2:35" ht="90">
      <c r="B8225" s="1">
        <v>45042</v>
      </c>
      <c r="C8225" s="4">
        <v>45042.556944444441</v>
      </c>
      <c r="D8225" t="s">
        <v>42786</v>
      </c>
      <c r="E8225" t="s">
        <v>49615</v>
      </c>
      <c r="F8225">
        <v>6</v>
      </c>
      <c r="G8225" t="s">
        <v>4457</v>
      </c>
      <c r="H8225" t="s">
        <v>39</v>
      </c>
      <c r="I8225" t="s">
        <v>40</v>
      </c>
      <c r="J8225" s="2" t="s">
        <v>609</v>
      </c>
      <c r="K8225" t="s">
        <v>42</v>
      </c>
      <c r="L8225" t="s">
        <v>1288</v>
      </c>
      <c r="Q8225">
        <v>24341</v>
      </c>
      <c r="R8225" t="s">
        <v>45</v>
      </c>
      <c r="S8225" t="s">
        <v>49616</v>
      </c>
      <c r="T8225">
        <v>29</v>
      </c>
      <c r="U8225" s="2" t="s">
        <v>13799</v>
      </c>
      <c r="W8225" t="s">
        <v>1292</v>
      </c>
      <c r="X8225">
        <v>815387</v>
      </c>
      <c r="Y8225" t="s">
        <v>49617</v>
      </c>
      <c r="Z8225" t="e">
        <f ca="1">-COLLECT IQR _xludf.and system _xludf.Log</f>
        <v>#NAME?</v>
      </c>
      <c r="AA8225" t="e">
        <f ca="1">-Setup new THINKCENTRE system Unit with SN: CPH0622F38284
-Configure GX system
-PERFORM PM</f>
        <v>#NAME?</v>
      </c>
      <c r="AB8225" t="e">
        <f ca="1">-EQUIPMENT is operational</f>
        <v>#NAME?</v>
      </c>
      <c r="AG8225" t="s">
        <v>49618</v>
      </c>
      <c r="AH8225" t="s">
        <v>42792</v>
      </c>
      <c r="AI8225" t="s">
        <v>49619</v>
      </c>
    </row>
    <row r="8226" spans="2:35" ht="255">
      <c r="B8226" s="1">
        <v>45042</v>
      </c>
      <c r="C8226" s="4">
        <v>45042.424305555556</v>
      </c>
      <c r="D8226" t="s">
        <v>45221</v>
      </c>
      <c r="E8226" t="s">
        <v>49620</v>
      </c>
      <c r="F8226">
        <v>7</v>
      </c>
      <c r="G8226" t="s">
        <v>432</v>
      </c>
      <c r="H8226" t="s">
        <v>2290</v>
      </c>
      <c r="I8226" t="s">
        <v>94</v>
      </c>
      <c r="J8226" s="2" t="s">
        <v>62</v>
      </c>
      <c r="K8226" t="s">
        <v>42</v>
      </c>
      <c r="L8226" t="s">
        <v>610</v>
      </c>
      <c r="Q8226">
        <v>24340</v>
      </c>
      <c r="R8226" t="s">
        <v>119</v>
      </c>
      <c r="S8226" t="s">
        <v>13419</v>
      </c>
      <c r="T8226">
        <v>24</v>
      </c>
      <c r="U8226" s="2" t="s">
        <v>49621</v>
      </c>
      <c r="W8226" t="s">
        <v>1008</v>
      </c>
      <c r="X8226">
        <v>838512</v>
      </c>
      <c r="Y8226" t="s">
        <v>49622</v>
      </c>
      <c r="Z8226" s="2" t="s">
        <v>49623</v>
      </c>
      <c r="AA8226" t="s">
        <v>49624</v>
      </c>
      <c r="AB8226" t="s">
        <v>49625</v>
      </c>
      <c r="AG8226" t="s">
        <v>49626</v>
      </c>
      <c r="AH8226" t="s">
        <v>49627</v>
      </c>
      <c r="AI8226" t="s">
        <v>49628</v>
      </c>
    </row>
    <row r="8227" spans="2:35" ht="285">
      <c r="B8227" s="1">
        <v>45042</v>
      </c>
      <c r="C8227" s="4">
        <v>45042.417361111111</v>
      </c>
      <c r="D8227" t="s">
        <v>20160</v>
      </c>
      <c r="E8227" t="s">
        <v>49629</v>
      </c>
      <c r="F8227">
        <v>6</v>
      </c>
      <c r="G8227" t="s">
        <v>4457</v>
      </c>
      <c r="H8227" t="s">
        <v>49630</v>
      </c>
      <c r="I8227" t="s">
        <v>40</v>
      </c>
      <c r="J8227" t="s">
        <v>79</v>
      </c>
      <c r="K8227" t="s">
        <v>42</v>
      </c>
      <c r="L8227" t="s">
        <v>1288</v>
      </c>
      <c r="Q8227">
        <v>24339</v>
      </c>
      <c r="R8227" t="s">
        <v>45</v>
      </c>
      <c r="S8227" t="s">
        <v>18851</v>
      </c>
      <c r="T8227">
        <v>24</v>
      </c>
      <c r="U8227" s="2" t="s">
        <v>49631</v>
      </c>
      <c r="W8227" t="s">
        <v>1292</v>
      </c>
      <c r="X8227">
        <v>804680</v>
      </c>
      <c r="Y8227" t="s">
        <v>49632</v>
      </c>
      <c r="Z8227" t="e">
        <f ca="1">-COLLECT IQR,Assay stat, _xludf.and system _xludf.Log</f>
        <v>#NAME?</v>
      </c>
      <c r="AA8227" t="e">
        <f ca="1">-PERFORM Gateway board Replacement _xludf.and Configure Gateway SN</f>
        <v>#NAME?</v>
      </c>
      <c r="AB8227" t="s">
        <v>1293</v>
      </c>
      <c r="AC8227" t="s">
        <v>49633</v>
      </c>
      <c r="AG8227" t="s">
        <v>49634</v>
      </c>
      <c r="AH8227" t="s">
        <v>18853</v>
      </c>
      <c r="AI8227" t="s">
        <v>49635</v>
      </c>
    </row>
    <row r="8228" spans="2:35" ht="255">
      <c r="B8228" s="1">
        <v>45041</v>
      </c>
      <c r="C8228" s="4">
        <v>45041.613194444442</v>
      </c>
      <c r="D8228" t="s">
        <v>1885</v>
      </c>
      <c r="E8228" t="s">
        <v>5652</v>
      </c>
      <c r="F8228" t="s">
        <v>1255</v>
      </c>
      <c r="G8228" t="s">
        <v>1887</v>
      </c>
      <c r="H8228" t="s">
        <v>295</v>
      </c>
      <c r="I8228" t="s">
        <v>94</v>
      </c>
      <c r="J8228" s="2" t="s">
        <v>41</v>
      </c>
      <c r="K8228" t="s">
        <v>42</v>
      </c>
      <c r="L8228" t="s">
        <v>296</v>
      </c>
      <c r="Q8228">
        <v>24338</v>
      </c>
      <c r="R8228" t="s">
        <v>45</v>
      </c>
      <c r="S8228" t="s">
        <v>25655</v>
      </c>
      <c r="T8228">
        <v>25.4</v>
      </c>
      <c r="U8228" s="2" t="s">
        <v>49636</v>
      </c>
      <c r="V8228" s="1">
        <v>45041</v>
      </c>
      <c r="W8228" t="s">
        <v>23049</v>
      </c>
      <c r="X8228">
        <v>834442</v>
      </c>
      <c r="Y8228" t="s">
        <v>46751</v>
      </c>
      <c r="Z8228" s="2" t="s">
        <v>49637</v>
      </c>
      <c r="AA8228" s="2" t="s">
        <v>49637</v>
      </c>
      <c r="AB8228" t="s">
        <v>972</v>
      </c>
      <c r="AD8228" t="s">
        <v>49638</v>
      </c>
      <c r="AE8228" t="s">
        <v>10783</v>
      </c>
      <c r="AG8228" t="s">
        <v>49639</v>
      </c>
      <c r="AH8228" t="s">
        <v>49640</v>
      </c>
      <c r="AI8228" t="s">
        <v>49641</v>
      </c>
    </row>
    <row r="8229" spans="2:35" ht="255">
      <c r="B8229" s="1">
        <v>45041</v>
      </c>
      <c r="C8229" s="4">
        <v>45041.613194444442</v>
      </c>
      <c r="D8229" t="s">
        <v>1885</v>
      </c>
      <c r="E8229" t="s">
        <v>5652</v>
      </c>
      <c r="F8229" t="s">
        <v>1255</v>
      </c>
      <c r="G8229" t="s">
        <v>1887</v>
      </c>
      <c r="H8229" t="s">
        <v>295</v>
      </c>
      <c r="I8229" t="s">
        <v>94</v>
      </c>
      <c r="J8229" s="2" t="s">
        <v>41</v>
      </c>
      <c r="K8229" t="s">
        <v>42</v>
      </c>
      <c r="L8229" t="s">
        <v>296</v>
      </c>
      <c r="Q8229">
        <v>24337</v>
      </c>
      <c r="R8229" t="s">
        <v>45</v>
      </c>
      <c r="S8229" t="s">
        <v>25655</v>
      </c>
      <c r="T8229">
        <v>25.4</v>
      </c>
      <c r="U8229" s="2" t="s">
        <v>49636</v>
      </c>
      <c r="V8229" s="1">
        <v>45041</v>
      </c>
      <c r="W8229" t="s">
        <v>23049</v>
      </c>
      <c r="X8229">
        <v>834442</v>
      </c>
      <c r="Y8229" t="s">
        <v>46751</v>
      </c>
      <c r="Z8229" s="2" t="s">
        <v>49637</v>
      </c>
      <c r="AA8229" s="2" t="s">
        <v>49637</v>
      </c>
      <c r="AB8229" t="s">
        <v>972</v>
      </c>
      <c r="AD8229" t="s">
        <v>49638</v>
      </c>
      <c r="AE8229" t="s">
        <v>10783</v>
      </c>
      <c r="AG8229" t="s">
        <v>49642</v>
      </c>
      <c r="AH8229" t="s">
        <v>49640</v>
      </c>
      <c r="AI8229" t="s">
        <v>49643</v>
      </c>
    </row>
    <row r="8230" spans="2:35" ht="255">
      <c r="B8230" s="1">
        <v>45041</v>
      </c>
      <c r="C8230" s="4">
        <v>45041.609722222223</v>
      </c>
      <c r="D8230" t="s">
        <v>1885</v>
      </c>
      <c r="E8230" t="s">
        <v>5652</v>
      </c>
      <c r="F8230" t="s">
        <v>1255</v>
      </c>
      <c r="G8230" t="s">
        <v>1887</v>
      </c>
      <c r="H8230" t="s">
        <v>295</v>
      </c>
      <c r="I8230" t="s">
        <v>94</v>
      </c>
      <c r="J8230" s="2" t="s">
        <v>41</v>
      </c>
      <c r="K8230" t="s">
        <v>42</v>
      </c>
      <c r="L8230" t="s">
        <v>296</v>
      </c>
      <c r="Q8230">
        <v>24336</v>
      </c>
      <c r="R8230" t="s">
        <v>45</v>
      </c>
      <c r="S8230" t="s">
        <v>25655</v>
      </c>
      <c r="T8230">
        <v>25.3</v>
      </c>
      <c r="U8230" s="2" t="s">
        <v>49636</v>
      </c>
      <c r="V8230" s="1">
        <v>45041</v>
      </c>
      <c r="W8230" t="s">
        <v>23049</v>
      </c>
      <c r="X8230">
        <v>834441</v>
      </c>
      <c r="Y8230" t="s">
        <v>46773</v>
      </c>
      <c r="Z8230" s="2" t="s">
        <v>49644</v>
      </c>
      <c r="AA8230" s="2" t="s">
        <v>49644</v>
      </c>
      <c r="AB8230" t="s">
        <v>972</v>
      </c>
      <c r="AD8230" t="s">
        <v>49638</v>
      </c>
      <c r="AE8230" t="s">
        <v>10783</v>
      </c>
      <c r="AG8230" t="s">
        <v>49645</v>
      </c>
      <c r="AH8230" t="s">
        <v>49640</v>
      </c>
      <c r="AI8230" t="s">
        <v>49646</v>
      </c>
    </row>
    <row r="8231" spans="2:35" ht="255">
      <c r="B8231" s="1">
        <v>45041</v>
      </c>
      <c r="C8231" s="4">
        <v>45041.609722222223</v>
      </c>
      <c r="D8231" t="s">
        <v>1885</v>
      </c>
      <c r="E8231" t="s">
        <v>5652</v>
      </c>
      <c r="F8231" t="s">
        <v>1255</v>
      </c>
      <c r="G8231" t="s">
        <v>1887</v>
      </c>
      <c r="H8231" t="s">
        <v>295</v>
      </c>
      <c r="I8231" t="s">
        <v>94</v>
      </c>
      <c r="J8231" s="2" t="s">
        <v>41</v>
      </c>
      <c r="K8231" t="s">
        <v>42</v>
      </c>
      <c r="L8231" t="s">
        <v>296</v>
      </c>
      <c r="Q8231">
        <v>24335</v>
      </c>
      <c r="R8231" t="s">
        <v>45</v>
      </c>
      <c r="S8231" t="s">
        <v>25655</v>
      </c>
      <c r="T8231">
        <v>25.3</v>
      </c>
      <c r="U8231" s="2" t="s">
        <v>49636</v>
      </c>
      <c r="V8231" s="1">
        <v>45041</v>
      </c>
      <c r="W8231" t="s">
        <v>23049</v>
      </c>
      <c r="X8231">
        <v>834441</v>
      </c>
      <c r="Y8231" t="s">
        <v>46773</v>
      </c>
      <c r="Z8231" s="2" t="s">
        <v>49644</v>
      </c>
      <c r="AA8231" s="2" t="s">
        <v>49644</v>
      </c>
      <c r="AB8231" t="s">
        <v>972</v>
      </c>
      <c r="AD8231" t="s">
        <v>49638</v>
      </c>
      <c r="AE8231" t="s">
        <v>10783</v>
      </c>
      <c r="AG8231" t="s">
        <v>49647</v>
      </c>
      <c r="AH8231" t="s">
        <v>49640</v>
      </c>
      <c r="AI8231" t="s">
        <v>49648</v>
      </c>
    </row>
    <row r="8232" spans="2:35" ht="255">
      <c r="B8232" s="1">
        <v>45041</v>
      </c>
      <c r="C8232" s="4">
        <v>45041.609722222223</v>
      </c>
      <c r="D8232" t="s">
        <v>1885</v>
      </c>
      <c r="E8232" t="s">
        <v>5652</v>
      </c>
      <c r="F8232" t="s">
        <v>1255</v>
      </c>
      <c r="G8232" t="s">
        <v>1887</v>
      </c>
      <c r="H8232" t="s">
        <v>295</v>
      </c>
      <c r="I8232" t="s">
        <v>94</v>
      </c>
      <c r="J8232" s="2" t="s">
        <v>41</v>
      </c>
      <c r="K8232" t="s">
        <v>42</v>
      </c>
      <c r="L8232" t="s">
        <v>296</v>
      </c>
      <c r="Q8232">
        <v>24334</v>
      </c>
      <c r="R8232" t="s">
        <v>45</v>
      </c>
      <c r="S8232" t="s">
        <v>25655</v>
      </c>
      <c r="T8232">
        <v>25.3</v>
      </c>
      <c r="U8232" s="2" t="s">
        <v>49636</v>
      </c>
      <c r="V8232" s="1">
        <v>45041</v>
      </c>
      <c r="W8232" t="s">
        <v>23049</v>
      </c>
      <c r="X8232">
        <v>834441</v>
      </c>
      <c r="Y8232" t="s">
        <v>46773</v>
      </c>
      <c r="Z8232" s="2" t="s">
        <v>49644</v>
      </c>
      <c r="AA8232" s="2" t="s">
        <v>49644</v>
      </c>
      <c r="AB8232" t="s">
        <v>972</v>
      </c>
      <c r="AD8232" t="s">
        <v>49638</v>
      </c>
      <c r="AE8232" t="s">
        <v>10783</v>
      </c>
      <c r="AG8232" t="s">
        <v>49649</v>
      </c>
      <c r="AH8232" t="s">
        <v>49640</v>
      </c>
      <c r="AI8232" t="s">
        <v>49650</v>
      </c>
    </row>
    <row r="8233" spans="2:35" ht="210">
      <c r="B8233" s="1">
        <v>45041</v>
      </c>
      <c r="C8233" s="4">
        <v>45041.64166666667</v>
      </c>
      <c r="D8233" t="s">
        <v>42265</v>
      </c>
      <c r="E8233" t="s">
        <v>42266</v>
      </c>
      <c r="F8233">
        <v>3</v>
      </c>
      <c r="G8233" t="s">
        <v>1722</v>
      </c>
      <c r="H8233" t="s">
        <v>39</v>
      </c>
      <c r="I8233" t="s">
        <v>40</v>
      </c>
      <c r="J8233" s="2" t="s">
        <v>1592</v>
      </c>
      <c r="K8233" t="s">
        <v>42</v>
      </c>
      <c r="L8233" t="s">
        <v>63</v>
      </c>
      <c r="Q8233">
        <v>24333</v>
      </c>
      <c r="R8233" t="s">
        <v>45</v>
      </c>
      <c r="S8233" t="s">
        <v>42267</v>
      </c>
      <c r="T8233">
        <v>29</v>
      </c>
      <c r="U8233" s="2" t="s">
        <v>49651</v>
      </c>
      <c r="V8233" s="1">
        <v>45041</v>
      </c>
      <c r="W8233" t="s">
        <v>26915</v>
      </c>
      <c r="X8233">
        <v>846042</v>
      </c>
      <c r="Y8233" t="s">
        <v>49652</v>
      </c>
      <c r="Z8233" s="2" t="s">
        <v>49653</v>
      </c>
      <c r="AA8233" s="2" t="s">
        <v>49654</v>
      </c>
      <c r="AB8233" t="s">
        <v>70</v>
      </c>
      <c r="AC8233" t="s">
        <v>1716</v>
      </c>
      <c r="AD8233" t="s">
        <v>1716</v>
      </c>
      <c r="AE8233" t="s">
        <v>1716</v>
      </c>
      <c r="AG8233" t="s">
        <v>49655</v>
      </c>
      <c r="AH8233" t="s">
        <v>3277</v>
      </c>
      <c r="AI8233" t="s">
        <v>49656</v>
      </c>
    </row>
    <row r="8234" spans="2:35" ht="330">
      <c r="B8234" s="1">
        <v>45041</v>
      </c>
      <c r="C8234" s="4">
        <v>45040.586805555555</v>
      </c>
      <c r="D8234" t="s">
        <v>22481</v>
      </c>
      <c r="E8234" t="s">
        <v>22482</v>
      </c>
      <c r="F8234">
        <v>3</v>
      </c>
      <c r="G8234" t="s">
        <v>1722</v>
      </c>
      <c r="H8234" t="s">
        <v>39</v>
      </c>
      <c r="I8234" t="s">
        <v>40</v>
      </c>
      <c r="J8234" s="2" t="s">
        <v>17874</v>
      </c>
      <c r="K8234" t="s">
        <v>42</v>
      </c>
      <c r="L8234" t="s">
        <v>63</v>
      </c>
      <c r="Q8234">
        <v>24332</v>
      </c>
      <c r="R8234" t="s">
        <v>45</v>
      </c>
      <c r="S8234" t="s">
        <v>22483</v>
      </c>
      <c r="T8234">
        <v>29</v>
      </c>
      <c r="V8234" s="1">
        <v>45040</v>
      </c>
      <c r="W8234" t="s">
        <v>49657</v>
      </c>
      <c r="X8234">
        <v>814182</v>
      </c>
      <c r="Y8234" t="s">
        <v>1716</v>
      </c>
      <c r="Z8234" t="s">
        <v>49658</v>
      </c>
      <c r="AA8234" s="2" t="s">
        <v>49659</v>
      </c>
      <c r="AB8234" t="s">
        <v>70</v>
      </c>
      <c r="AC8234" t="s">
        <v>49660</v>
      </c>
      <c r="AD8234" t="s">
        <v>46113</v>
      </c>
      <c r="AE8234" t="s">
        <v>1716</v>
      </c>
      <c r="AG8234" t="s">
        <v>49661</v>
      </c>
      <c r="AH8234" t="s">
        <v>49662</v>
      </c>
      <c r="AI8234" t="s">
        <v>49663</v>
      </c>
    </row>
    <row r="8235" spans="2:35" ht="285">
      <c r="B8235" s="1">
        <v>45041</v>
      </c>
      <c r="C8235" s="4">
        <v>45041.631944444445</v>
      </c>
      <c r="D8235" t="s">
        <v>49664</v>
      </c>
      <c r="E8235" t="s">
        <v>28594</v>
      </c>
      <c r="F8235" t="s">
        <v>148</v>
      </c>
      <c r="G8235" t="s">
        <v>544</v>
      </c>
      <c r="H8235" t="s">
        <v>39</v>
      </c>
      <c r="I8235" t="s">
        <v>40</v>
      </c>
      <c r="J8235" t="s">
        <v>109</v>
      </c>
      <c r="K8235" t="s">
        <v>42</v>
      </c>
      <c r="L8235" t="s">
        <v>761</v>
      </c>
      <c r="Q8235">
        <v>24331</v>
      </c>
      <c r="R8235" t="s">
        <v>119</v>
      </c>
      <c r="S8235" t="s">
        <v>15929</v>
      </c>
      <c r="T8235">
        <v>24</v>
      </c>
      <c r="U8235" s="2" t="s">
        <v>49665</v>
      </c>
      <c r="W8235" t="s">
        <v>17334</v>
      </c>
      <c r="X8235">
        <v>831588</v>
      </c>
      <c r="Y8235" t="s">
        <v>121</v>
      </c>
      <c r="Z8235" t="s">
        <v>122</v>
      </c>
      <c r="AA8235" s="2" t="s">
        <v>49666</v>
      </c>
      <c r="AB8235" t="s">
        <v>181</v>
      </c>
      <c r="AG8235" t="s">
        <v>49667</v>
      </c>
      <c r="AH8235" t="s">
        <v>19310</v>
      </c>
      <c r="AI8235" t="s">
        <v>49668</v>
      </c>
    </row>
    <row r="8236" spans="2:35" ht="375">
      <c r="B8236" s="1">
        <v>45041</v>
      </c>
      <c r="C8236" s="4">
        <v>45041.581250000003</v>
      </c>
      <c r="D8236" t="s">
        <v>25555</v>
      </c>
      <c r="E8236" t="s">
        <v>24319</v>
      </c>
      <c r="F8236" t="s">
        <v>148</v>
      </c>
      <c r="G8236" t="s">
        <v>310</v>
      </c>
      <c r="H8236" t="s">
        <v>39</v>
      </c>
      <c r="I8236" t="s">
        <v>40</v>
      </c>
      <c r="J8236" s="2" t="s">
        <v>10552</v>
      </c>
      <c r="K8236" t="s">
        <v>42</v>
      </c>
      <c r="L8236" t="s">
        <v>175</v>
      </c>
      <c r="Q8236">
        <v>24330</v>
      </c>
      <c r="R8236" t="s">
        <v>45</v>
      </c>
      <c r="S8236" t="s">
        <v>25556</v>
      </c>
      <c r="T8236">
        <v>23</v>
      </c>
      <c r="U8236" s="2" t="s">
        <v>49669</v>
      </c>
      <c r="W8236" t="s">
        <v>536</v>
      </c>
      <c r="X8236">
        <v>839292</v>
      </c>
      <c r="Y8236" t="s">
        <v>8338</v>
      </c>
      <c r="Z8236" t="e">
        <f ca="1">- installed Unit
- generated reports
- performed functionality test</f>
        <v>#NAME?</v>
      </c>
      <c r="AA8236" t="s">
        <v>6430</v>
      </c>
      <c r="AB8236" t="s">
        <v>88</v>
      </c>
      <c r="AG8236" t="s">
        <v>49670</v>
      </c>
      <c r="AH8236" t="s">
        <v>25560</v>
      </c>
      <c r="AI8236" t="s">
        <v>49671</v>
      </c>
    </row>
    <row r="8237" spans="2:35" ht="300">
      <c r="B8237" s="1">
        <v>45041</v>
      </c>
      <c r="C8237" s="4">
        <v>45041.436111111114</v>
      </c>
      <c r="D8237" t="s">
        <v>26080</v>
      </c>
      <c r="E8237" t="s">
        <v>49672</v>
      </c>
      <c r="F8237">
        <v>13</v>
      </c>
      <c r="G8237" t="s">
        <v>4484</v>
      </c>
      <c r="H8237" t="s">
        <v>2125</v>
      </c>
      <c r="I8237" t="s">
        <v>40</v>
      </c>
      <c r="J8237" s="2" t="s">
        <v>62</v>
      </c>
      <c r="K8237" t="s">
        <v>42</v>
      </c>
      <c r="L8237" t="s">
        <v>933</v>
      </c>
      <c r="Q8237">
        <v>24329</v>
      </c>
      <c r="R8237" t="s">
        <v>45</v>
      </c>
      <c r="S8237" t="s">
        <v>7753</v>
      </c>
      <c r="T8237">
        <v>28.77</v>
      </c>
      <c r="U8237" s="2" t="s">
        <v>49673</v>
      </c>
      <c r="W8237" t="s">
        <v>3662</v>
      </c>
      <c r="X8237">
        <v>805099</v>
      </c>
      <c r="Y8237" t="s">
        <v>49674</v>
      </c>
      <c r="Z8237" t="s">
        <v>301</v>
      </c>
      <c r="AA8237" t="s">
        <v>49675</v>
      </c>
      <c r="AB8237" t="s">
        <v>49676</v>
      </c>
      <c r="AG8237" t="s">
        <v>49677</v>
      </c>
      <c r="AH8237" t="s">
        <v>12765</v>
      </c>
      <c r="AI8237" t="s">
        <v>49678</v>
      </c>
    </row>
    <row r="8238" spans="2:35" ht="180">
      <c r="B8238" s="1">
        <v>45041</v>
      </c>
      <c r="C8238" s="4">
        <v>45041.424305555556</v>
      </c>
      <c r="D8238" t="s">
        <v>5158</v>
      </c>
      <c r="E8238" t="s">
        <v>49679</v>
      </c>
      <c r="F8238" t="s">
        <v>148</v>
      </c>
      <c r="G8238" t="s">
        <v>310</v>
      </c>
      <c r="H8238" t="s">
        <v>61</v>
      </c>
      <c r="I8238" t="s">
        <v>40</v>
      </c>
      <c r="J8238" s="2" t="s">
        <v>41</v>
      </c>
      <c r="K8238" t="s">
        <v>42</v>
      </c>
      <c r="L8238" t="s">
        <v>1048</v>
      </c>
      <c r="Q8238">
        <v>24328</v>
      </c>
      <c r="R8238" t="s">
        <v>322</v>
      </c>
      <c r="S8238" t="s">
        <v>14635</v>
      </c>
      <c r="T8238">
        <v>28</v>
      </c>
      <c r="U8238" s="2" t="s">
        <v>49680</v>
      </c>
      <c r="V8238" s="1">
        <v>45040</v>
      </c>
      <c r="W8238" t="s">
        <v>46515</v>
      </c>
      <c r="X8238">
        <v>110013856</v>
      </c>
      <c r="Y8238" s="2" t="s">
        <v>49681</v>
      </c>
      <c r="Z8238" s="2" t="s">
        <v>49682</v>
      </c>
      <c r="AA8238" t="s">
        <v>22330</v>
      </c>
      <c r="AB8238" t="s">
        <v>181</v>
      </c>
      <c r="AC8238" t="s">
        <v>49683</v>
      </c>
      <c r="AD8238" t="s">
        <v>49684</v>
      </c>
      <c r="AE8238" t="s">
        <v>49685</v>
      </c>
      <c r="AG8238" t="s">
        <v>49686</v>
      </c>
      <c r="AH8238" t="s">
        <v>49687</v>
      </c>
      <c r="AI8238" t="s">
        <v>49688</v>
      </c>
    </row>
    <row r="8239" spans="2:35" ht="270">
      <c r="B8239" s="1">
        <v>45041</v>
      </c>
      <c r="C8239" s="4">
        <v>45041.427777777775</v>
      </c>
      <c r="D8239" t="s">
        <v>49689</v>
      </c>
      <c r="E8239" t="s">
        <v>44357</v>
      </c>
      <c r="F8239">
        <v>7</v>
      </c>
      <c r="G8239" t="s">
        <v>432</v>
      </c>
      <c r="H8239" t="s">
        <v>2290</v>
      </c>
      <c r="I8239" t="s">
        <v>94</v>
      </c>
      <c r="J8239" s="2" t="s">
        <v>62</v>
      </c>
      <c r="K8239" t="s">
        <v>42</v>
      </c>
      <c r="L8239" t="s">
        <v>610</v>
      </c>
      <c r="Q8239">
        <v>24327</v>
      </c>
      <c r="R8239" t="s">
        <v>119</v>
      </c>
      <c r="S8239" t="s">
        <v>49690</v>
      </c>
      <c r="T8239">
        <v>25</v>
      </c>
      <c r="U8239" s="2" t="s">
        <v>49691</v>
      </c>
      <c r="W8239" t="s">
        <v>1008</v>
      </c>
      <c r="X8239">
        <v>838283</v>
      </c>
      <c r="Y8239" t="s">
        <v>49692</v>
      </c>
      <c r="Z8239" t="s">
        <v>49693</v>
      </c>
      <c r="AA8239" s="2" t="s">
        <v>49694</v>
      </c>
      <c r="AB8239" s="2" t="s">
        <v>49695</v>
      </c>
      <c r="AG8239" t="s">
        <v>49696</v>
      </c>
      <c r="AH8239" t="s">
        <v>44440</v>
      </c>
      <c r="AI8239" t="s">
        <v>49697</v>
      </c>
    </row>
    <row r="8240" spans="2:35" ht="345">
      <c r="B8240" s="1">
        <v>45041</v>
      </c>
      <c r="C8240" s="4">
        <v>45041.371527777781</v>
      </c>
      <c r="D8240" t="s">
        <v>49698</v>
      </c>
      <c r="E8240" t="s">
        <v>44555</v>
      </c>
      <c r="F8240" t="s">
        <v>148</v>
      </c>
      <c r="G8240" t="s">
        <v>447</v>
      </c>
      <c r="H8240" t="s">
        <v>39</v>
      </c>
      <c r="I8240" t="s">
        <v>40</v>
      </c>
      <c r="J8240" s="2" t="s">
        <v>41</v>
      </c>
      <c r="K8240" t="s">
        <v>42</v>
      </c>
      <c r="L8240" t="s">
        <v>15532</v>
      </c>
      <c r="Q8240">
        <v>24326</v>
      </c>
      <c r="R8240" t="s">
        <v>119</v>
      </c>
      <c r="S8240" t="s">
        <v>18441</v>
      </c>
      <c r="T8240">
        <v>25</v>
      </c>
      <c r="U8240" s="2" t="s">
        <v>49699</v>
      </c>
      <c r="V8240" s="1">
        <v>45040</v>
      </c>
      <c r="W8240" t="s">
        <v>666</v>
      </c>
      <c r="X8240">
        <v>831848</v>
      </c>
      <c r="Y8240" t="s">
        <v>49700</v>
      </c>
      <c r="Z8240" t="s">
        <v>49701</v>
      </c>
      <c r="AA8240" s="2" t="s">
        <v>49702</v>
      </c>
      <c r="AB8240" t="s">
        <v>49703</v>
      </c>
      <c r="AD8240" t="s">
        <v>49704</v>
      </c>
      <c r="AE8240" t="s">
        <v>49705</v>
      </c>
      <c r="AG8240" t="s">
        <v>49706</v>
      </c>
      <c r="AH8240" t="s">
        <v>49707</v>
      </c>
      <c r="AI8240" t="s">
        <v>49708</v>
      </c>
    </row>
    <row r="8241" spans="2:35" ht="210">
      <c r="B8241" s="1">
        <v>45040</v>
      </c>
      <c r="C8241" s="4">
        <v>45035.574999999997</v>
      </c>
      <c r="D8241" t="s">
        <v>34900</v>
      </c>
      <c r="E8241" t="s">
        <v>49709</v>
      </c>
      <c r="F8241" t="s">
        <v>37</v>
      </c>
      <c r="G8241" t="s">
        <v>38</v>
      </c>
      <c r="H8241" t="s">
        <v>39</v>
      </c>
      <c r="I8241" t="s">
        <v>40</v>
      </c>
      <c r="J8241" s="2" t="s">
        <v>41</v>
      </c>
      <c r="K8241" t="s">
        <v>42</v>
      </c>
      <c r="L8241" t="s">
        <v>448</v>
      </c>
      <c r="Q8241">
        <v>24325</v>
      </c>
      <c r="R8241" t="s">
        <v>45</v>
      </c>
      <c r="S8241" t="s">
        <v>3032</v>
      </c>
      <c r="T8241">
        <v>31</v>
      </c>
      <c r="U8241" s="2" t="s">
        <v>49710</v>
      </c>
      <c r="V8241" s="1">
        <v>45033</v>
      </c>
      <c r="W8241" t="s">
        <v>325</v>
      </c>
      <c r="X8241">
        <v>842226</v>
      </c>
      <c r="Y8241" t="s">
        <v>49711</v>
      </c>
      <c r="Z8241" t="s">
        <v>42541</v>
      </c>
      <c r="AA8241" t="s">
        <v>20643</v>
      </c>
      <c r="AB8241" t="s">
        <v>486</v>
      </c>
      <c r="AD8241" t="s">
        <v>10253</v>
      </c>
      <c r="AE8241" t="s">
        <v>49712</v>
      </c>
      <c r="AG8241" t="s">
        <v>49713</v>
      </c>
      <c r="AH8241" t="s">
        <v>3035</v>
      </c>
      <c r="AI8241" t="s">
        <v>49714</v>
      </c>
    </row>
    <row r="8242" spans="2:35" ht="105">
      <c r="B8242" s="1">
        <v>45040</v>
      </c>
      <c r="C8242" s="4">
        <v>45035.402777777781</v>
      </c>
      <c r="D8242" t="s">
        <v>34824</v>
      </c>
      <c r="E8242" t="s">
        <v>49715</v>
      </c>
      <c r="F8242" t="s">
        <v>37</v>
      </c>
      <c r="G8242" t="s">
        <v>38</v>
      </c>
      <c r="H8242" t="s">
        <v>39</v>
      </c>
      <c r="I8242" t="s">
        <v>40</v>
      </c>
      <c r="J8242" s="2" t="s">
        <v>41</v>
      </c>
      <c r="K8242" t="s">
        <v>42</v>
      </c>
      <c r="L8242" t="s">
        <v>448</v>
      </c>
      <c r="Q8242">
        <v>24324</v>
      </c>
      <c r="R8242" t="s">
        <v>45</v>
      </c>
      <c r="S8242" t="s">
        <v>32135</v>
      </c>
      <c r="T8242">
        <v>30</v>
      </c>
      <c r="U8242" s="2" t="s">
        <v>13451</v>
      </c>
      <c r="V8242" s="1">
        <v>45033</v>
      </c>
      <c r="W8242" t="s">
        <v>360</v>
      </c>
      <c r="X8242">
        <v>812836</v>
      </c>
      <c r="Y8242" t="s">
        <v>49716</v>
      </c>
      <c r="Z8242" t="s">
        <v>47624</v>
      </c>
      <c r="AA8242" t="s">
        <v>20643</v>
      </c>
      <c r="AB8242" t="s">
        <v>486</v>
      </c>
      <c r="AD8242" t="s">
        <v>10253</v>
      </c>
      <c r="AE8242" t="s">
        <v>49717</v>
      </c>
      <c r="AG8242" t="s">
        <v>49718</v>
      </c>
      <c r="AH8242" t="s">
        <v>49719</v>
      </c>
      <c r="AI8242" t="s">
        <v>49720</v>
      </c>
    </row>
    <row r="8243" spans="2:35" ht="409.5">
      <c r="B8243" s="1">
        <v>45040</v>
      </c>
      <c r="C8243" s="4">
        <v>45040.665277777778</v>
      </c>
      <c r="D8243" t="s">
        <v>24348</v>
      </c>
      <c r="E8243" t="s">
        <v>49721</v>
      </c>
      <c r="F8243" t="s">
        <v>1181</v>
      </c>
      <c r="G8243" t="s">
        <v>1182</v>
      </c>
      <c r="H8243" t="s">
        <v>202</v>
      </c>
      <c r="I8243" t="s">
        <v>40</v>
      </c>
      <c r="J8243" s="2" t="s">
        <v>41</v>
      </c>
      <c r="K8243" t="s">
        <v>42</v>
      </c>
      <c r="L8243" t="s">
        <v>204</v>
      </c>
      <c r="Q8243">
        <v>24323</v>
      </c>
      <c r="R8243" t="s">
        <v>45</v>
      </c>
      <c r="S8243" t="s">
        <v>49722</v>
      </c>
      <c r="T8243">
        <v>25.7</v>
      </c>
      <c r="W8243" t="s">
        <v>23237</v>
      </c>
      <c r="X8243">
        <v>807612</v>
      </c>
      <c r="Y8243" t="s">
        <v>3061</v>
      </c>
      <c r="Z8243" s="2" t="s">
        <v>49723</v>
      </c>
      <c r="AA8243" t="s">
        <v>2560</v>
      </c>
      <c r="AB8243" t="s">
        <v>9590</v>
      </c>
      <c r="AG8243" t="s">
        <v>49724</v>
      </c>
      <c r="AH8243" t="s">
        <v>49725</v>
      </c>
      <c r="AI8243" t="s">
        <v>49726</v>
      </c>
    </row>
    <row r="8244" spans="2:35" ht="165">
      <c r="B8244" s="1">
        <v>45040</v>
      </c>
      <c r="C8244" s="4">
        <v>45029.48541666667</v>
      </c>
      <c r="D8244" t="s">
        <v>48659</v>
      </c>
      <c r="E8244" t="s">
        <v>21065</v>
      </c>
      <c r="F8244">
        <v>1</v>
      </c>
      <c r="G8244" t="s">
        <v>2599</v>
      </c>
      <c r="H8244" t="s">
        <v>39</v>
      </c>
      <c r="I8244" t="s">
        <v>40</v>
      </c>
      <c r="J8244" s="2" t="s">
        <v>2170</v>
      </c>
      <c r="K8244" t="s">
        <v>42</v>
      </c>
      <c r="L8244" t="s">
        <v>175</v>
      </c>
      <c r="Q8244">
        <v>24321</v>
      </c>
      <c r="R8244" t="s">
        <v>703</v>
      </c>
      <c r="S8244" t="s">
        <v>13899</v>
      </c>
      <c r="T8244">
        <v>25</v>
      </c>
      <c r="U8244" s="2" t="s">
        <v>48661</v>
      </c>
      <c r="V8244" s="1">
        <v>45027</v>
      </c>
      <c r="W8244" t="s">
        <v>84</v>
      </c>
      <c r="X8244">
        <v>835542</v>
      </c>
      <c r="Y8244" t="s">
        <v>49727</v>
      </c>
      <c r="Z8244" t="e">
        <f ca="1">- checked _xludf.and cleaned cartridge bay, plunger rod, _xludf.filter, I CORE slot
- performed XpertCheck
- generated reports</f>
        <v>#NAME?</v>
      </c>
      <c r="AA8244" t="s">
        <v>34204</v>
      </c>
      <c r="AB8244" s="2" t="s">
        <v>49728</v>
      </c>
      <c r="AD8244" t="s">
        <v>948</v>
      </c>
      <c r="AE8244">
        <v>9876</v>
      </c>
      <c r="AG8244" t="s">
        <v>49729</v>
      </c>
      <c r="AH8244" t="s">
        <v>48664</v>
      </c>
      <c r="AI8244" t="s">
        <v>49730</v>
      </c>
    </row>
    <row r="8245" spans="2:35" ht="405">
      <c r="B8245" s="1">
        <v>45040</v>
      </c>
      <c r="C8245" s="4">
        <v>45028.679166666669</v>
      </c>
      <c r="D8245" t="s">
        <v>1907</v>
      </c>
      <c r="E8245" t="s">
        <v>1908</v>
      </c>
      <c r="F8245">
        <v>1</v>
      </c>
      <c r="G8245" t="s">
        <v>1909</v>
      </c>
      <c r="H8245" t="s">
        <v>39</v>
      </c>
      <c r="I8245" t="s">
        <v>40</v>
      </c>
      <c r="J8245" s="2" t="s">
        <v>41</v>
      </c>
      <c r="K8245" t="s">
        <v>42</v>
      </c>
      <c r="L8245" t="s">
        <v>175</v>
      </c>
      <c r="Q8245">
        <v>24322</v>
      </c>
      <c r="R8245" t="s">
        <v>45</v>
      </c>
      <c r="S8245" t="s">
        <v>1911</v>
      </c>
      <c r="T8245">
        <v>25</v>
      </c>
      <c r="U8245" s="2" t="s">
        <v>49731</v>
      </c>
      <c r="V8245" s="1">
        <v>45028</v>
      </c>
      <c r="W8245" t="s">
        <v>84</v>
      </c>
      <c r="X8245">
        <v>848249</v>
      </c>
      <c r="Y8245" t="s">
        <v>49732</v>
      </c>
      <c r="Z8245" t="e">
        <f ca="1">- replaced B4
- checked cartridge bay, plunger rod, _xludf.filter
- generated reports</f>
        <v>#NAME?</v>
      </c>
      <c r="AA8245" t="s">
        <v>25294</v>
      </c>
      <c r="AB8245" t="s">
        <v>88</v>
      </c>
      <c r="AD8245" s="2" t="s">
        <v>49733</v>
      </c>
      <c r="AE8245" t="s">
        <v>103</v>
      </c>
      <c r="AG8245" t="s">
        <v>49734</v>
      </c>
      <c r="AH8245" t="s">
        <v>49735</v>
      </c>
      <c r="AI8245" t="s">
        <v>49736</v>
      </c>
    </row>
    <row r="8246" spans="2:35" ht="180">
      <c r="B8246" s="1">
        <v>45040</v>
      </c>
      <c r="C8246" s="4">
        <v>45028.484722222223</v>
      </c>
      <c r="D8246" t="s">
        <v>35746</v>
      </c>
      <c r="E8246" t="s">
        <v>35747</v>
      </c>
      <c r="F8246">
        <v>1</v>
      </c>
      <c r="G8246" t="s">
        <v>1909</v>
      </c>
      <c r="H8246" t="s">
        <v>39</v>
      </c>
      <c r="I8246" t="s">
        <v>40</v>
      </c>
      <c r="J8246" t="s">
        <v>79</v>
      </c>
      <c r="K8246" t="s">
        <v>42</v>
      </c>
      <c r="L8246" t="s">
        <v>175</v>
      </c>
      <c r="Q8246">
        <v>24320</v>
      </c>
      <c r="R8246" t="s">
        <v>45</v>
      </c>
      <c r="S8246" t="s">
        <v>35748</v>
      </c>
      <c r="T8246">
        <v>25</v>
      </c>
      <c r="U8246" s="2" t="s">
        <v>49737</v>
      </c>
      <c r="V8246" s="1">
        <v>45028</v>
      </c>
      <c r="W8246" t="s">
        <v>84</v>
      </c>
      <c r="X8246">
        <v>707400</v>
      </c>
      <c r="Y8246" t="s">
        <v>49738</v>
      </c>
      <c r="Z8246" t="e">
        <f ca="1">- replaced A1, A2, A4
- generated reports
- performed functionality test</f>
        <v>#NAME?</v>
      </c>
      <c r="AA8246" t="s">
        <v>240</v>
      </c>
      <c r="AB8246" t="s">
        <v>88</v>
      </c>
      <c r="AD8246" s="2" t="s">
        <v>49739</v>
      </c>
      <c r="AE8246" t="s">
        <v>103</v>
      </c>
      <c r="AG8246" t="s">
        <v>49740</v>
      </c>
      <c r="AH8246" t="s">
        <v>35753</v>
      </c>
      <c r="AI8246" t="s">
        <v>49741</v>
      </c>
    </row>
    <row r="8247" spans="2:35" ht="180">
      <c r="B8247" s="1">
        <v>45040</v>
      </c>
      <c r="C8247" s="4">
        <v>45029.645833333336</v>
      </c>
      <c r="D8247" t="s">
        <v>29447</v>
      </c>
      <c r="E8247" t="s">
        <v>1921</v>
      </c>
      <c r="F8247">
        <v>1</v>
      </c>
      <c r="G8247" t="s">
        <v>1922</v>
      </c>
      <c r="H8247" t="s">
        <v>39</v>
      </c>
      <c r="I8247" t="s">
        <v>40</v>
      </c>
      <c r="J8247" s="2" t="s">
        <v>1309</v>
      </c>
      <c r="K8247" t="s">
        <v>42</v>
      </c>
      <c r="L8247" t="s">
        <v>175</v>
      </c>
      <c r="Q8247">
        <v>24320</v>
      </c>
      <c r="R8247" t="s">
        <v>45</v>
      </c>
      <c r="S8247" t="s">
        <v>49742</v>
      </c>
      <c r="T8247">
        <v>25</v>
      </c>
      <c r="U8247" s="2" t="s">
        <v>49743</v>
      </c>
      <c r="V8247" s="1">
        <v>45029</v>
      </c>
      <c r="W8247" t="s">
        <v>84</v>
      </c>
      <c r="X8247">
        <v>807578</v>
      </c>
      <c r="Y8247" t="s">
        <v>49744</v>
      </c>
      <c r="Z8247" t="e">
        <f ca="1">- replaced D4
- checked _xludf.and cleaned cartridge bay, plunger rod, _xludf.filter
- performed XpertCheck
- generated reports</f>
        <v>#NAME?</v>
      </c>
      <c r="AA8247" t="e">
        <f ca="1">- replaced D4
- performed XpertCheck</f>
        <v>#NAME?</v>
      </c>
      <c r="AB8247" s="2" t="s">
        <v>49745</v>
      </c>
      <c r="AD8247" s="2" t="s">
        <v>49746</v>
      </c>
      <c r="AE8247" t="s">
        <v>103</v>
      </c>
      <c r="AG8247" t="s">
        <v>49747</v>
      </c>
      <c r="AH8247" t="s">
        <v>49748</v>
      </c>
      <c r="AI8247" t="s">
        <v>49749</v>
      </c>
    </row>
    <row r="8248" spans="2:35" ht="409.5">
      <c r="B8248" s="1">
        <v>45040</v>
      </c>
      <c r="C8248" s="4">
        <v>45028.676388888889</v>
      </c>
      <c r="D8248" t="s">
        <v>1907</v>
      </c>
      <c r="E8248" t="s">
        <v>1908</v>
      </c>
      <c r="F8248">
        <v>1</v>
      </c>
      <c r="G8248" t="s">
        <v>1909</v>
      </c>
      <c r="H8248" t="s">
        <v>39</v>
      </c>
      <c r="I8248" t="s">
        <v>40</v>
      </c>
      <c r="J8248" s="2" t="s">
        <v>41</v>
      </c>
      <c r="K8248" t="s">
        <v>42</v>
      </c>
      <c r="L8248" t="s">
        <v>175</v>
      </c>
      <c r="Q8248">
        <v>24321</v>
      </c>
      <c r="R8248" t="s">
        <v>45</v>
      </c>
      <c r="S8248" t="s">
        <v>1911</v>
      </c>
      <c r="T8248">
        <v>25</v>
      </c>
      <c r="U8248" s="2" t="s">
        <v>49750</v>
      </c>
      <c r="V8248" s="1">
        <v>45037</v>
      </c>
      <c r="W8248" t="s">
        <v>84</v>
      </c>
      <c r="X8248">
        <v>707524</v>
      </c>
      <c r="Y8248" t="s">
        <v>49751</v>
      </c>
      <c r="Z8248" t="e">
        <f ca="1">- replaced B4
- checked cartridge bay, plunger rod
- generated reports</f>
        <v>#NAME?</v>
      </c>
      <c r="AA8248" t="s">
        <v>25294</v>
      </c>
      <c r="AB8248" t="s">
        <v>88</v>
      </c>
      <c r="AD8248" s="2" t="s">
        <v>49752</v>
      </c>
      <c r="AE8248" t="s">
        <v>103</v>
      </c>
      <c r="AG8248" t="s">
        <v>49753</v>
      </c>
      <c r="AH8248" t="s">
        <v>49735</v>
      </c>
      <c r="AI8248" t="s">
        <v>49754</v>
      </c>
    </row>
    <row r="8249" spans="2:35" ht="409.5">
      <c r="B8249" s="1">
        <v>45040</v>
      </c>
      <c r="C8249" s="4">
        <v>45035.647222222222</v>
      </c>
      <c r="D8249" t="s">
        <v>2056</v>
      </c>
      <c r="E8249" t="s">
        <v>49755</v>
      </c>
      <c r="F8249" t="s">
        <v>1181</v>
      </c>
      <c r="G8249" t="s">
        <v>1182</v>
      </c>
      <c r="H8249" t="s">
        <v>39</v>
      </c>
      <c r="I8249" t="s">
        <v>94</v>
      </c>
      <c r="J8249" s="2" t="s">
        <v>760</v>
      </c>
      <c r="K8249" t="s">
        <v>42</v>
      </c>
      <c r="L8249" t="s">
        <v>43100</v>
      </c>
      <c r="Q8249">
        <v>24319</v>
      </c>
      <c r="R8249" t="s">
        <v>45</v>
      </c>
      <c r="S8249" t="s">
        <v>49756</v>
      </c>
      <c r="T8249">
        <v>30</v>
      </c>
      <c r="U8249" s="2" t="s">
        <v>49757</v>
      </c>
      <c r="W8249" t="s">
        <v>43102</v>
      </c>
      <c r="X8249">
        <v>804282</v>
      </c>
      <c r="Y8249" t="s">
        <v>49758</v>
      </c>
      <c r="Z8249" s="2" t="s">
        <v>49759</v>
      </c>
      <c r="AA8249" s="2" t="s">
        <v>49760</v>
      </c>
      <c r="AB8249" t="s">
        <v>486</v>
      </c>
      <c r="AG8249" t="s">
        <v>49761</v>
      </c>
      <c r="AH8249" t="s">
        <v>49762</v>
      </c>
      <c r="AI8249" t="s">
        <v>49763</v>
      </c>
    </row>
    <row r="8250" spans="2:35" ht="180">
      <c r="B8250" s="1">
        <v>45040</v>
      </c>
      <c r="C8250" s="4">
        <v>45040.4</v>
      </c>
      <c r="D8250" t="s">
        <v>1065</v>
      </c>
      <c r="E8250" t="s">
        <v>49764</v>
      </c>
      <c r="F8250">
        <v>1</v>
      </c>
      <c r="G8250" t="s">
        <v>1046</v>
      </c>
      <c r="H8250" t="s">
        <v>39</v>
      </c>
      <c r="I8250" t="s">
        <v>40</v>
      </c>
      <c r="J8250" s="2" t="s">
        <v>62</v>
      </c>
      <c r="K8250" t="s">
        <v>42</v>
      </c>
      <c r="L8250" t="s">
        <v>135</v>
      </c>
      <c r="Q8250">
        <v>24318</v>
      </c>
      <c r="R8250" t="s">
        <v>119</v>
      </c>
      <c r="S8250" t="s">
        <v>49765</v>
      </c>
      <c r="T8250">
        <v>32</v>
      </c>
      <c r="U8250" s="2" t="s">
        <v>49766</v>
      </c>
      <c r="V8250" s="1">
        <v>44959</v>
      </c>
      <c r="W8250" t="s">
        <v>2680</v>
      </c>
      <c r="X8250">
        <v>838284</v>
      </c>
      <c r="Y8250" t="s">
        <v>67</v>
      </c>
      <c r="Z8250" s="2" t="s">
        <v>29789</v>
      </c>
      <c r="AA8250" t="e">
        <f ca="1">-performed surface Cleaning
-performed Cleaning of cartridge bay,icore,plunger rod _xludf.and _xludf.filter
-performed CALIBRATION
-Generate reports
-archived test results
-performed functionality test</f>
        <v>#NAME?</v>
      </c>
      <c r="AB8250" t="s">
        <v>41636</v>
      </c>
      <c r="AC8250" t="s">
        <v>34413</v>
      </c>
      <c r="AD8250" t="s">
        <v>28115</v>
      </c>
      <c r="AE8250">
        <v>9575</v>
      </c>
      <c r="AG8250" t="s">
        <v>49767</v>
      </c>
      <c r="AH8250" t="s">
        <v>49768</v>
      </c>
      <c r="AI8250" t="s">
        <v>49769</v>
      </c>
    </row>
    <row r="8251" spans="2:35" ht="105">
      <c r="B8251" s="1">
        <v>45040</v>
      </c>
      <c r="C8251" s="4">
        <v>45036.386805555558</v>
      </c>
      <c r="D8251" t="s">
        <v>22913</v>
      </c>
      <c r="E8251" t="s">
        <v>46050</v>
      </c>
      <c r="F8251">
        <v>9</v>
      </c>
      <c r="G8251" t="s">
        <v>2903</v>
      </c>
      <c r="H8251" t="s">
        <v>39</v>
      </c>
      <c r="I8251" t="s">
        <v>40</v>
      </c>
      <c r="J8251" s="2" t="s">
        <v>1808</v>
      </c>
      <c r="K8251" t="s">
        <v>42</v>
      </c>
      <c r="L8251" t="s">
        <v>1257</v>
      </c>
      <c r="Q8251">
        <v>24317</v>
      </c>
      <c r="R8251" t="s">
        <v>45</v>
      </c>
      <c r="S8251" t="s">
        <v>37743</v>
      </c>
      <c r="T8251">
        <v>25</v>
      </c>
      <c r="U8251" s="2" t="s">
        <v>12333</v>
      </c>
      <c r="V8251" s="1">
        <v>45036</v>
      </c>
      <c r="W8251" t="s">
        <v>2384</v>
      </c>
      <c r="X8251">
        <v>834827</v>
      </c>
      <c r="Y8251" t="s">
        <v>33518</v>
      </c>
      <c r="Z8251" t="s">
        <v>46051</v>
      </c>
      <c r="AA8251" t="s">
        <v>22443</v>
      </c>
      <c r="AB8251" t="s">
        <v>29359</v>
      </c>
      <c r="AC8251" t="s">
        <v>301</v>
      </c>
      <c r="AD8251" t="s">
        <v>54</v>
      </c>
      <c r="AE8251" t="s">
        <v>54</v>
      </c>
      <c r="AG8251" t="s">
        <v>49770</v>
      </c>
      <c r="AH8251" t="s">
        <v>37749</v>
      </c>
      <c r="AI8251" t="s">
        <v>49771</v>
      </c>
    </row>
    <row r="8252" spans="2:35" ht="180">
      <c r="B8252" s="1">
        <v>45040</v>
      </c>
      <c r="C8252" s="4">
        <v>45036.493055555555</v>
      </c>
      <c r="D8252" t="s">
        <v>30403</v>
      </c>
      <c r="E8252" t="s">
        <v>49772</v>
      </c>
      <c r="F8252" t="s">
        <v>37</v>
      </c>
      <c r="G8252" t="s">
        <v>2499</v>
      </c>
      <c r="H8252" t="s">
        <v>39</v>
      </c>
      <c r="I8252" t="s">
        <v>40</v>
      </c>
      <c r="J8252" t="s">
        <v>109</v>
      </c>
      <c r="K8252" t="s">
        <v>42</v>
      </c>
      <c r="L8252" t="s">
        <v>43</v>
      </c>
      <c r="Q8252">
        <v>24316</v>
      </c>
      <c r="R8252" t="s">
        <v>45</v>
      </c>
      <c r="S8252" t="s">
        <v>49773</v>
      </c>
      <c r="T8252">
        <v>25</v>
      </c>
      <c r="U8252" s="2" t="s">
        <v>45080</v>
      </c>
      <c r="W8252" t="s">
        <v>9792</v>
      </c>
      <c r="X8252">
        <v>804684</v>
      </c>
      <c r="Y8252" t="s">
        <v>121</v>
      </c>
      <c r="Z8252" t="s">
        <v>122</v>
      </c>
      <c r="AA8252" s="2" t="s">
        <v>49774</v>
      </c>
      <c r="AB8252" t="s">
        <v>16412</v>
      </c>
      <c r="AG8252" t="s">
        <v>49775</v>
      </c>
      <c r="AH8252" t="s">
        <v>49776</v>
      </c>
      <c r="AI8252" t="s">
        <v>49777</v>
      </c>
    </row>
    <row r="8253" spans="2:35" ht="165">
      <c r="B8253" s="1">
        <v>45040</v>
      </c>
      <c r="C8253" s="4">
        <v>45036.430555555555</v>
      </c>
      <c r="D8253" t="s">
        <v>49778</v>
      </c>
      <c r="E8253" t="s">
        <v>49772</v>
      </c>
      <c r="F8253" t="s">
        <v>37</v>
      </c>
      <c r="G8253" t="s">
        <v>2499</v>
      </c>
      <c r="H8253" t="s">
        <v>39</v>
      </c>
      <c r="I8253" t="s">
        <v>40</v>
      </c>
      <c r="J8253" t="s">
        <v>525</v>
      </c>
      <c r="K8253" t="s">
        <v>42</v>
      </c>
      <c r="L8253" t="s">
        <v>43</v>
      </c>
      <c r="Q8253">
        <v>24315</v>
      </c>
      <c r="R8253" t="s">
        <v>45</v>
      </c>
      <c r="S8253" t="s">
        <v>23801</v>
      </c>
      <c r="T8253">
        <v>27</v>
      </c>
      <c r="W8253" t="s">
        <v>9792</v>
      </c>
      <c r="X8253">
        <v>808268</v>
      </c>
      <c r="Y8253" t="s">
        <v>49779</v>
      </c>
      <c r="Z8253" t="s">
        <v>49780</v>
      </c>
      <c r="AA8253" s="2" t="s">
        <v>49781</v>
      </c>
      <c r="AB8253" t="s">
        <v>49782</v>
      </c>
      <c r="AG8253" t="s">
        <v>49783</v>
      </c>
      <c r="AH8253" t="s">
        <v>23806</v>
      </c>
      <c r="AI8253" t="s">
        <v>49784</v>
      </c>
    </row>
    <row r="8254" spans="2:35" ht="270">
      <c r="B8254" s="1">
        <v>45040</v>
      </c>
      <c r="C8254" s="4">
        <v>45036.425000000003</v>
      </c>
      <c r="D8254" t="s">
        <v>49785</v>
      </c>
      <c r="E8254" t="s">
        <v>49772</v>
      </c>
      <c r="F8254" t="s">
        <v>37</v>
      </c>
      <c r="G8254" t="s">
        <v>2499</v>
      </c>
      <c r="H8254" t="s">
        <v>39</v>
      </c>
      <c r="I8254" t="s">
        <v>40</v>
      </c>
      <c r="J8254" s="2" t="s">
        <v>62</v>
      </c>
      <c r="K8254" t="s">
        <v>42</v>
      </c>
      <c r="L8254" t="s">
        <v>43</v>
      </c>
      <c r="Q8254">
        <v>24315</v>
      </c>
      <c r="R8254" t="s">
        <v>45</v>
      </c>
      <c r="S8254" t="s">
        <v>23801</v>
      </c>
      <c r="T8254">
        <v>27</v>
      </c>
      <c r="U8254" s="2" t="s">
        <v>49786</v>
      </c>
      <c r="W8254" t="s">
        <v>9792</v>
      </c>
      <c r="X8254">
        <v>834625</v>
      </c>
      <c r="Y8254" t="s">
        <v>1111</v>
      </c>
      <c r="Z8254" t="s">
        <v>1519</v>
      </c>
      <c r="AA8254" s="2" t="s">
        <v>49787</v>
      </c>
      <c r="AB8254" t="s">
        <v>49788</v>
      </c>
      <c r="AG8254" t="s">
        <v>49789</v>
      </c>
      <c r="AH8254" t="s">
        <v>23806</v>
      </c>
      <c r="AI8254" t="s">
        <v>49790</v>
      </c>
    </row>
    <row r="8255" spans="2:35" ht="150">
      <c r="B8255" s="1">
        <v>45040</v>
      </c>
      <c r="C8255" s="4">
        <v>45033.570138888892</v>
      </c>
      <c r="D8255" t="s">
        <v>22119</v>
      </c>
      <c r="E8255" t="s">
        <v>49791</v>
      </c>
      <c r="F8255" t="s">
        <v>37</v>
      </c>
      <c r="G8255" t="s">
        <v>2499</v>
      </c>
      <c r="H8255" t="s">
        <v>39</v>
      </c>
      <c r="I8255" t="s">
        <v>40</v>
      </c>
      <c r="J8255" s="2" t="s">
        <v>62</v>
      </c>
      <c r="K8255" t="s">
        <v>42</v>
      </c>
      <c r="L8255" t="s">
        <v>43</v>
      </c>
      <c r="Q8255">
        <v>24314</v>
      </c>
      <c r="R8255" t="s">
        <v>45</v>
      </c>
      <c r="S8255" t="s">
        <v>22121</v>
      </c>
      <c r="T8255">
        <v>27</v>
      </c>
      <c r="U8255" s="2" t="s">
        <v>27773</v>
      </c>
      <c r="W8255" t="s">
        <v>9792</v>
      </c>
      <c r="X8255">
        <v>814155</v>
      </c>
      <c r="Y8255" t="s">
        <v>1111</v>
      </c>
      <c r="Z8255" t="s">
        <v>999</v>
      </c>
      <c r="AA8255" s="2" t="s">
        <v>38266</v>
      </c>
      <c r="AB8255" t="s">
        <v>88</v>
      </c>
      <c r="AC8255" t="s">
        <v>3966</v>
      </c>
      <c r="AG8255" t="s">
        <v>49792</v>
      </c>
      <c r="AH8255" t="s">
        <v>33338</v>
      </c>
      <c r="AI8255" t="s">
        <v>49793</v>
      </c>
    </row>
    <row r="8256" spans="2:35" ht="180">
      <c r="B8256" s="1">
        <v>45040</v>
      </c>
      <c r="C8256" s="4">
        <v>45034.490277777775</v>
      </c>
      <c r="D8256" t="s">
        <v>7939</v>
      </c>
      <c r="E8256" t="s">
        <v>26325</v>
      </c>
      <c r="F8256">
        <v>5</v>
      </c>
      <c r="G8256" t="s">
        <v>5795</v>
      </c>
      <c r="H8256" t="s">
        <v>39</v>
      </c>
      <c r="I8256" t="s">
        <v>40</v>
      </c>
      <c r="J8256" s="2" t="s">
        <v>62</v>
      </c>
      <c r="K8256" t="s">
        <v>42</v>
      </c>
      <c r="L8256" t="s">
        <v>43</v>
      </c>
      <c r="Q8256">
        <v>24315</v>
      </c>
      <c r="R8256" t="s">
        <v>119</v>
      </c>
      <c r="S8256" t="s">
        <v>44538</v>
      </c>
      <c r="T8256">
        <v>25</v>
      </c>
      <c r="U8256" s="2" t="s">
        <v>49794</v>
      </c>
      <c r="V8256" s="1">
        <v>45028</v>
      </c>
      <c r="W8256" t="s">
        <v>9792</v>
      </c>
      <c r="X8256">
        <v>838207</v>
      </c>
      <c r="Y8256" t="s">
        <v>1111</v>
      </c>
      <c r="Z8256" t="s">
        <v>1519</v>
      </c>
      <c r="AA8256" s="2" t="s">
        <v>38266</v>
      </c>
      <c r="AB8256" t="s">
        <v>88</v>
      </c>
      <c r="AC8256" t="s">
        <v>49795</v>
      </c>
      <c r="AD8256" t="s">
        <v>20036</v>
      </c>
      <c r="AE8256" t="s">
        <v>49796</v>
      </c>
      <c r="AG8256" t="s">
        <v>49797</v>
      </c>
      <c r="AH8256" t="s">
        <v>7944</v>
      </c>
      <c r="AI8256" t="s">
        <v>49798</v>
      </c>
    </row>
    <row r="8257" spans="2:35" ht="180">
      <c r="B8257" s="1">
        <v>45040</v>
      </c>
      <c r="C8257" s="4">
        <v>45035.334027777775</v>
      </c>
      <c r="D8257" t="s">
        <v>33454</v>
      </c>
      <c r="E8257" t="s">
        <v>49799</v>
      </c>
      <c r="F8257" t="s">
        <v>37</v>
      </c>
      <c r="G8257" t="s">
        <v>2499</v>
      </c>
      <c r="H8257" t="s">
        <v>39</v>
      </c>
      <c r="I8257" t="s">
        <v>40</v>
      </c>
      <c r="J8257" s="2" t="s">
        <v>41</v>
      </c>
      <c r="K8257" t="s">
        <v>42</v>
      </c>
      <c r="L8257" t="s">
        <v>43</v>
      </c>
      <c r="Q8257">
        <v>24313</v>
      </c>
      <c r="R8257" t="s">
        <v>119</v>
      </c>
      <c r="S8257" t="s">
        <v>49800</v>
      </c>
      <c r="T8257">
        <v>25</v>
      </c>
      <c r="U8257" s="2" t="s">
        <v>9024</v>
      </c>
      <c r="V8257" s="1">
        <v>45028</v>
      </c>
      <c r="W8257" t="s">
        <v>9792</v>
      </c>
      <c r="X8257">
        <v>831889</v>
      </c>
      <c r="Y8257" t="s">
        <v>49801</v>
      </c>
      <c r="Z8257" t="s">
        <v>40723</v>
      </c>
      <c r="AA8257" s="2" t="s">
        <v>11546</v>
      </c>
      <c r="AB8257" t="s">
        <v>88</v>
      </c>
      <c r="AD8257" s="2" t="s">
        <v>49802</v>
      </c>
      <c r="AE8257" t="s">
        <v>49803</v>
      </c>
      <c r="AG8257" t="s">
        <v>49804</v>
      </c>
      <c r="AH8257" t="s">
        <v>49805</v>
      </c>
      <c r="AI8257" t="s">
        <v>49806</v>
      </c>
    </row>
    <row r="8258" spans="2:35" ht="180">
      <c r="B8258" s="1">
        <v>45040</v>
      </c>
      <c r="C8258" s="4">
        <v>45034.541666666664</v>
      </c>
      <c r="D8258" t="s">
        <v>6943</v>
      </c>
      <c r="E8258" t="s">
        <v>12358</v>
      </c>
      <c r="F8258">
        <v>5</v>
      </c>
      <c r="G8258" t="s">
        <v>5795</v>
      </c>
      <c r="H8258" t="s">
        <v>39</v>
      </c>
      <c r="I8258" t="s">
        <v>40</v>
      </c>
      <c r="J8258" s="2" t="s">
        <v>62</v>
      </c>
      <c r="K8258" t="s">
        <v>42</v>
      </c>
      <c r="L8258" t="s">
        <v>43</v>
      </c>
      <c r="Q8258">
        <v>24313</v>
      </c>
      <c r="R8258" t="s">
        <v>119</v>
      </c>
      <c r="S8258" t="s">
        <v>5796</v>
      </c>
      <c r="T8258">
        <v>25</v>
      </c>
      <c r="U8258" s="2" t="s">
        <v>49807</v>
      </c>
      <c r="V8258" s="1">
        <v>45028</v>
      </c>
      <c r="W8258" t="s">
        <v>9792</v>
      </c>
      <c r="X8258">
        <v>838576</v>
      </c>
      <c r="Y8258" t="s">
        <v>1111</v>
      </c>
      <c r="Z8258" t="s">
        <v>1519</v>
      </c>
      <c r="AA8258" s="2" t="s">
        <v>38266</v>
      </c>
      <c r="AB8258" t="s">
        <v>88</v>
      </c>
      <c r="AC8258" t="s">
        <v>3966</v>
      </c>
      <c r="AD8258" t="s">
        <v>20036</v>
      </c>
      <c r="AE8258" t="s">
        <v>49808</v>
      </c>
      <c r="AG8258" t="s">
        <v>49809</v>
      </c>
      <c r="AH8258" t="s">
        <v>5805</v>
      </c>
      <c r="AI8258" t="s">
        <v>49810</v>
      </c>
    </row>
    <row r="8259" spans="2:35" ht="270">
      <c r="B8259" s="1">
        <v>45040</v>
      </c>
      <c r="C8259" s="4">
        <v>45036.42083333333</v>
      </c>
      <c r="D8259" t="s">
        <v>49785</v>
      </c>
      <c r="E8259" t="s">
        <v>49772</v>
      </c>
      <c r="F8259" t="s">
        <v>37</v>
      </c>
      <c r="G8259" t="s">
        <v>2499</v>
      </c>
      <c r="H8259" t="s">
        <v>39</v>
      </c>
      <c r="I8259" t="s">
        <v>40</v>
      </c>
      <c r="J8259" s="2" t="s">
        <v>62</v>
      </c>
      <c r="K8259" t="s">
        <v>42</v>
      </c>
      <c r="L8259" t="s">
        <v>43</v>
      </c>
      <c r="Q8259">
        <v>24314</v>
      </c>
      <c r="R8259" t="s">
        <v>45</v>
      </c>
      <c r="S8259" t="s">
        <v>23801</v>
      </c>
      <c r="T8259">
        <v>27</v>
      </c>
      <c r="U8259" s="2" t="s">
        <v>49811</v>
      </c>
      <c r="W8259" t="s">
        <v>9792</v>
      </c>
      <c r="X8259">
        <v>838871</v>
      </c>
      <c r="Y8259" t="s">
        <v>1111</v>
      </c>
      <c r="Z8259" t="s">
        <v>1519</v>
      </c>
      <c r="AA8259" s="2" t="s">
        <v>38266</v>
      </c>
      <c r="AB8259" t="s">
        <v>49812</v>
      </c>
      <c r="AG8259" t="s">
        <v>49813</v>
      </c>
      <c r="AH8259" t="s">
        <v>23806</v>
      </c>
      <c r="AI8259" t="s">
        <v>49814</v>
      </c>
    </row>
    <row r="8260" spans="2:35" ht="409.5">
      <c r="B8260" s="1">
        <v>45040</v>
      </c>
      <c r="C8260" s="4">
        <v>45036.620833333334</v>
      </c>
      <c r="D8260" t="s">
        <v>49815</v>
      </c>
      <c r="E8260" t="s">
        <v>46198</v>
      </c>
      <c r="F8260" t="s">
        <v>148</v>
      </c>
      <c r="G8260" t="s">
        <v>447</v>
      </c>
      <c r="H8260" t="s">
        <v>34954</v>
      </c>
      <c r="I8260" t="s">
        <v>40</v>
      </c>
      <c r="J8260" s="2" t="s">
        <v>41</v>
      </c>
      <c r="K8260" t="s">
        <v>42</v>
      </c>
      <c r="L8260" t="s">
        <v>175</v>
      </c>
      <c r="Q8260">
        <v>24312</v>
      </c>
      <c r="R8260" t="s">
        <v>95</v>
      </c>
      <c r="S8260" t="s">
        <v>5604</v>
      </c>
      <c r="T8260">
        <v>25</v>
      </c>
      <c r="U8260" s="2" t="s">
        <v>49816</v>
      </c>
      <c r="V8260" s="1">
        <v>45034</v>
      </c>
      <c r="W8260" t="s">
        <v>536</v>
      </c>
      <c r="X8260">
        <v>110005587</v>
      </c>
      <c r="Y8260" t="s">
        <v>49817</v>
      </c>
      <c r="Z8260" t="e">
        <f ca="1">- replaced modules A2, D1, D4
- checked _xludf.and cleaned cartridge bay, plunger rod, _xludf.filter
- generated reports</f>
        <v>#NAME?</v>
      </c>
      <c r="AA8260" t="s">
        <v>240</v>
      </c>
      <c r="AB8260" t="s">
        <v>88</v>
      </c>
      <c r="AD8260" s="2" t="s">
        <v>49818</v>
      </c>
      <c r="AE8260" t="s">
        <v>49819</v>
      </c>
      <c r="AG8260" t="s">
        <v>49820</v>
      </c>
      <c r="AH8260" t="s">
        <v>49821</v>
      </c>
      <c r="AI8260" t="s">
        <v>49822</v>
      </c>
    </row>
    <row r="8261" spans="2:35" ht="150">
      <c r="B8261" s="1">
        <v>45040</v>
      </c>
      <c r="C8261" s="4">
        <v>45036.432638888888</v>
      </c>
      <c r="D8261" t="s">
        <v>49823</v>
      </c>
      <c r="E8261" t="s">
        <v>49824</v>
      </c>
      <c r="F8261" t="s">
        <v>37</v>
      </c>
      <c r="G8261" t="s">
        <v>2499</v>
      </c>
      <c r="H8261" t="s">
        <v>39</v>
      </c>
      <c r="I8261" t="s">
        <v>40</v>
      </c>
      <c r="J8261" s="2" t="s">
        <v>41</v>
      </c>
      <c r="K8261" t="s">
        <v>42</v>
      </c>
      <c r="L8261" t="s">
        <v>1028</v>
      </c>
      <c r="Q8261">
        <v>24311</v>
      </c>
      <c r="R8261" t="s">
        <v>119</v>
      </c>
      <c r="S8261" t="s">
        <v>36961</v>
      </c>
      <c r="T8261">
        <v>28</v>
      </c>
      <c r="U8261" s="2" t="s">
        <v>49825</v>
      </c>
      <c r="V8261" s="1">
        <v>45028</v>
      </c>
      <c r="W8261" t="s">
        <v>2680</v>
      </c>
      <c r="X8261">
        <v>831614</v>
      </c>
      <c r="Y8261" t="s">
        <v>35368</v>
      </c>
      <c r="Z8261" t="s">
        <v>2129</v>
      </c>
      <c r="AA8261" s="2" t="s">
        <v>47151</v>
      </c>
      <c r="AB8261" t="s">
        <v>3063</v>
      </c>
      <c r="AC8261" t="s">
        <v>49826</v>
      </c>
      <c r="AD8261" t="s">
        <v>31932</v>
      </c>
      <c r="AE8261">
        <v>9888</v>
      </c>
      <c r="AG8261" t="s">
        <v>49827</v>
      </c>
      <c r="AH8261" t="s">
        <v>36966</v>
      </c>
      <c r="AI8261" t="s">
        <v>49828</v>
      </c>
    </row>
    <row r="8262" spans="2:35" ht="165">
      <c r="B8262" s="1">
        <v>45040</v>
      </c>
      <c r="C8262" s="4">
        <v>45035.593055555553</v>
      </c>
      <c r="D8262" t="s">
        <v>2883</v>
      </c>
      <c r="E8262" t="s">
        <v>49829</v>
      </c>
      <c r="F8262" t="s">
        <v>37</v>
      </c>
      <c r="G8262" t="s">
        <v>2499</v>
      </c>
      <c r="H8262" t="s">
        <v>39</v>
      </c>
      <c r="I8262" t="s">
        <v>40</v>
      </c>
      <c r="J8262" s="2" t="s">
        <v>41</v>
      </c>
      <c r="K8262" t="s">
        <v>42</v>
      </c>
      <c r="L8262" t="s">
        <v>1028</v>
      </c>
      <c r="Q8262">
        <v>24310</v>
      </c>
      <c r="R8262" t="s">
        <v>119</v>
      </c>
      <c r="S8262" t="s">
        <v>33308</v>
      </c>
      <c r="T8262">
        <v>27</v>
      </c>
      <c r="U8262" s="2" t="s">
        <v>36849</v>
      </c>
      <c r="V8262" s="1">
        <v>45028</v>
      </c>
      <c r="W8262" t="s">
        <v>2680</v>
      </c>
      <c r="X8262">
        <v>831698</v>
      </c>
      <c r="Y8262" t="s">
        <v>49830</v>
      </c>
      <c r="Z8262" t="s">
        <v>2129</v>
      </c>
      <c r="AA8262" s="2" t="s">
        <v>49831</v>
      </c>
      <c r="AB8262" t="s">
        <v>3063</v>
      </c>
      <c r="AC8262" t="s">
        <v>49832</v>
      </c>
      <c r="AD8262" t="s">
        <v>31932</v>
      </c>
      <c r="AE8262">
        <v>9886</v>
      </c>
      <c r="AG8262" t="s">
        <v>49833</v>
      </c>
      <c r="AH8262" t="s">
        <v>23979</v>
      </c>
      <c r="AI8262" t="s">
        <v>49834</v>
      </c>
    </row>
    <row r="8263" spans="2:35" ht="285">
      <c r="B8263" s="1">
        <v>45040</v>
      </c>
      <c r="C8263" s="4">
        <v>45033.714583333334</v>
      </c>
      <c r="D8263" t="s">
        <v>2529</v>
      </c>
      <c r="E8263" t="s">
        <v>49835</v>
      </c>
      <c r="F8263" t="s">
        <v>37</v>
      </c>
      <c r="G8263" t="s">
        <v>2499</v>
      </c>
      <c r="H8263" t="s">
        <v>39</v>
      </c>
      <c r="I8263" t="s">
        <v>40</v>
      </c>
      <c r="J8263" s="2" t="s">
        <v>1309</v>
      </c>
      <c r="K8263" t="s">
        <v>42</v>
      </c>
      <c r="L8263" t="s">
        <v>1028</v>
      </c>
      <c r="Q8263">
        <v>24309</v>
      </c>
      <c r="R8263" t="s">
        <v>45</v>
      </c>
      <c r="S8263" t="s">
        <v>49836</v>
      </c>
      <c r="T8263">
        <v>25</v>
      </c>
      <c r="U8263" s="2" t="s">
        <v>49837</v>
      </c>
      <c r="V8263" s="1">
        <v>45033</v>
      </c>
      <c r="W8263" t="s">
        <v>9792</v>
      </c>
      <c r="X8263">
        <v>807462</v>
      </c>
      <c r="Y8263" t="s">
        <v>34543</v>
      </c>
      <c r="Z8263" t="s">
        <v>40723</v>
      </c>
      <c r="AA8263" s="2" t="s">
        <v>40689</v>
      </c>
      <c r="AB8263" t="s">
        <v>88</v>
      </c>
      <c r="AC8263" t="s">
        <v>28004</v>
      </c>
      <c r="AD8263" s="2" t="s">
        <v>49838</v>
      </c>
      <c r="AE8263" t="s">
        <v>54</v>
      </c>
      <c r="AG8263" t="s">
        <v>49839</v>
      </c>
      <c r="AH8263" t="s">
        <v>36880</v>
      </c>
      <c r="AI8263" t="s">
        <v>49840</v>
      </c>
    </row>
    <row r="8264" spans="2:35" ht="210">
      <c r="B8264" s="1">
        <v>45040</v>
      </c>
      <c r="C8264" s="4">
        <v>45034.718055555553</v>
      </c>
      <c r="D8264" t="s">
        <v>37108</v>
      </c>
      <c r="E8264" t="s">
        <v>49841</v>
      </c>
      <c r="F8264" t="s">
        <v>37</v>
      </c>
      <c r="G8264" t="s">
        <v>2499</v>
      </c>
      <c r="H8264" t="s">
        <v>39</v>
      </c>
      <c r="I8264" t="s">
        <v>40</v>
      </c>
      <c r="J8264" s="2" t="s">
        <v>49842</v>
      </c>
      <c r="K8264" t="s">
        <v>42</v>
      </c>
      <c r="L8264" t="s">
        <v>1028</v>
      </c>
      <c r="Q8264">
        <v>24308</v>
      </c>
      <c r="R8264" t="s">
        <v>119</v>
      </c>
      <c r="S8264" t="s">
        <v>37110</v>
      </c>
      <c r="T8264">
        <v>25</v>
      </c>
      <c r="U8264" s="2" t="s">
        <v>23973</v>
      </c>
      <c r="V8264" s="1">
        <v>45028</v>
      </c>
      <c r="W8264" t="s">
        <v>2680</v>
      </c>
      <c r="X8264">
        <v>831916</v>
      </c>
      <c r="Y8264" s="2" t="s">
        <v>49843</v>
      </c>
      <c r="Z8264" s="2" t="s">
        <v>31928</v>
      </c>
      <c r="AA8264" s="2" t="s">
        <v>49844</v>
      </c>
      <c r="AB8264" t="s">
        <v>28920</v>
      </c>
      <c r="AC8264" t="s">
        <v>49845</v>
      </c>
      <c r="AD8264" t="s">
        <v>31932</v>
      </c>
      <c r="AE8264">
        <v>9885</v>
      </c>
      <c r="AG8264" t="s">
        <v>49846</v>
      </c>
      <c r="AH8264" t="s">
        <v>49847</v>
      </c>
      <c r="AI8264" t="s">
        <v>49848</v>
      </c>
    </row>
    <row r="8265" spans="2:35" ht="285">
      <c r="B8265" s="1">
        <v>45040</v>
      </c>
      <c r="C8265" s="4">
        <v>45033.706944444442</v>
      </c>
      <c r="D8265" t="s">
        <v>2529</v>
      </c>
      <c r="E8265" t="s">
        <v>49849</v>
      </c>
      <c r="F8265" t="s">
        <v>37</v>
      </c>
      <c r="G8265" t="s">
        <v>2499</v>
      </c>
      <c r="H8265" t="s">
        <v>39</v>
      </c>
      <c r="I8265" t="s">
        <v>40</v>
      </c>
      <c r="J8265" s="2" t="s">
        <v>41</v>
      </c>
      <c r="K8265" t="s">
        <v>42</v>
      </c>
      <c r="L8265" t="s">
        <v>1028</v>
      </c>
      <c r="Q8265">
        <v>24309</v>
      </c>
      <c r="R8265" t="s">
        <v>45</v>
      </c>
      <c r="S8265" t="s">
        <v>49836</v>
      </c>
      <c r="T8265">
        <v>25</v>
      </c>
      <c r="U8265" s="2" t="s">
        <v>49850</v>
      </c>
      <c r="W8265" t="s">
        <v>2680</v>
      </c>
      <c r="X8265">
        <v>804692</v>
      </c>
      <c r="Y8265" t="s">
        <v>49851</v>
      </c>
      <c r="Z8265" t="s">
        <v>2129</v>
      </c>
      <c r="AA8265" s="2" t="s">
        <v>49852</v>
      </c>
      <c r="AB8265" t="s">
        <v>3063</v>
      </c>
      <c r="AC8265" t="s">
        <v>49853</v>
      </c>
      <c r="AG8265" t="s">
        <v>49854</v>
      </c>
      <c r="AH8265" t="s">
        <v>49855</v>
      </c>
      <c r="AI8265" t="s">
        <v>49856</v>
      </c>
    </row>
    <row r="8266" spans="2:35" ht="150">
      <c r="B8266" s="1">
        <v>45040</v>
      </c>
      <c r="C8266" s="4">
        <v>45033.630555555559</v>
      </c>
      <c r="D8266" t="s">
        <v>2510</v>
      </c>
      <c r="E8266" t="s">
        <v>49857</v>
      </c>
      <c r="F8266" t="s">
        <v>37</v>
      </c>
      <c r="G8266" t="s">
        <v>2499</v>
      </c>
      <c r="H8266" t="s">
        <v>39</v>
      </c>
      <c r="I8266" t="s">
        <v>40</v>
      </c>
      <c r="J8266" s="2" t="s">
        <v>41</v>
      </c>
      <c r="K8266" t="s">
        <v>42</v>
      </c>
      <c r="L8266" t="s">
        <v>1028</v>
      </c>
      <c r="Q8266">
        <v>24308</v>
      </c>
      <c r="R8266" t="s">
        <v>119</v>
      </c>
      <c r="S8266" t="s">
        <v>49858</v>
      </c>
      <c r="T8266">
        <v>26</v>
      </c>
      <c r="U8266" s="2" t="s">
        <v>49859</v>
      </c>
      <c r="V8266" s="1">
        <v>45028</v>
      </c>
      <c r="W8266" t="s">
        <v>2680</v>
      </c>
      <c r="X8266">
        <v>831890</v>
      </c>
      <c r="Y8266" t="s">
        <v>33904</v>
      </c>
      <c r="Z8266" t="s">
        <v>2129</v>
      </c>
      <c r="AA8266" s="2" t="s">
        <v>49860</v>
      </c>
      <c r="AB8266" t="s">
        <v>3063</v>
      </c>
      <c r="AC8266" t="s">
        <v>49861</v>
      </c>
      <c r="AD8266" t="s">
        <v>31932</v>
      </c>
      <c r="AE8266">
        <v>9887</v>
      </c>
      <c r="AG8266" t="s">
        <v>49862</v>
      </c>
      <c r="AH8266" t="s">
        <v>49863</v>
      </c>
      <c r="AI8266" t="s">
        <v>49864</v>
      </c>
    </row>
    <row r="8267" spans="2:35" ht="150">
      <c r="B8267" s="1">
        <v>45040</v>
      </c>
      <c r="C8267" s="4">
        <v>45035.440972222219</v>
      </c>
      <c r="D8267" t="s">
        <v>31013</v>
      </c>
      <c r="E8267" t="s">
        <v>49865</v>
      </c>
      <c r="F8267" t="s">
        <v>37</v>
      </c>
      <c r="G8267" t="s">
        <v>2499</v>
      </c>
      <c r="H8267" t="s">
        <v>39</v>
      </c>
      <c r="I8267" t="s">
        <v>40</v>
      </c>
      <c r="J8267" s="2" t="s">
        <v>41</v>
      </c>
      <c r="K8267" t="s">
        <v>42</v>
      </c>
      <c r="L8267" t="s">
        <v>1028</v>
      </c>
      <c r="Q8267">
        <v>24309</v>
      </c>
      <c r="R8267" t="s">
        <v>45</v>
      </c>
      <c r="S8267" t="s">
        <v>31015</v>
      </c>
      <c r="T8267">
        <v>20</v>
      </c>
      <c r="U8267" s="2" t="s">
        <v>32769</v>
      </c>
      <c r="W8267" t="s">
        <v>2680</v>
      </c>
      <c r="X8267">
        <v>838163</v>
      </c>
      <c r="Y8267" t="s">
        <v>31464</v>
      </c>
      <c r="Z8267" t="s">
        <v>2129</v>
      </c>
      <c r="AA8267" s="2" t="s">
        <v>49038</v>
      </c>
      <c r="AB8267" t="s">
        <v>49866</v>
      </c>
      <c r="AC8267" t="s">
        <v>49867</v>
      </c>
      <c r="AG8267" t="s">
        <v>49868</v>
      </c>
      <c r="AH8267" t="s">
        <v>49869</v>
      </c>
      <c r="AI8267" t="s">
        <v>49870</v>
      </c>
    </row>
    <row r="8268" spans="2:35" ht="180">
      <c r="B8268" s="1">
        <v>45038</v>
      </c>
      <c r="C8268" s="4">
        <v>45035.555555555555</v>
      </c>
      <c r="D8268" t="s">
        <v>24888</v>
      </c>
      <c r="E8268" t="s">
        <v>49871</v>
      </c>
      <c r="F8268" t="s">
        <v>1181</v>
      </c>
      <c r="G8268" t="s">
        <v>3753</v>
      </c>
      <c r="H8268" t="s">
        <v>39</v>
      </c>
      <c r="I8268" t="s">
        <v>40</v>
      </c>
      <c r="J8268" s="2" t="s">
        <v>41</v>
      </c>
      <c r="K8268" t="s">
        <v>42</v>
      </c>
      <c r="L8268" t="s">
        <v>1943</v>
      </c>
      <c r="Q8268">
        <v>24306</v>
      </c>
      <c r="R8268" t="s">
        <v>45</v>
      </c>
      <c r="S8268" t="s">
        <v>49872</v>
      </c>
      <c r="T8268">
        <v>25</v>
      </c>
      <c r="U8268" s="2" t="s">
        <v>49873</v>
      </c>
      <c r="V8268" s="1">
        <v>45016</v>
      </c>
      <c r="W8268" t="s">
        <v>49874</v>
      </c>
      <c r="X8268">
        <v>835178</v>
      </c>
      <c r="Y8268" s="2" t="s">
        <v>22466</v>
      </c>
      <c r="Z8268" s="2" t="s">
        <v>49875</v>
      </c>
      <c r="AA8268" t="s">
        <v>22330</v>
      </c>
      <c r="AB8268" t="s">
        <v>88</v>
      </c>
      <c r="AD8268" t="s">
        <v>49876</v>
      </c>
      <c r="AE8268" t="s">
        <v>4448</v>
      </c>
      <c r="AG8268" t="s">
        <v>49877</v>
      </c>
      <c r="AH8268" t="s">
        <v>49878</v>
      </c>
      <c r="AI8268" t="s">
        <v>49879</v>
      </c>
    </row>
    <row r="8269" spans="2:35" ht="180">
      <c r="B8269" s="1">
        <v>45038</v>
      </c>
      <c r="C8269" s="4">
        <v>45035.339583333334</v>
      </c>
      <c r="D8269" t="s">
        <v>31708</v>
      </c>
      <c r="E8269" t="s">
        <v>49880</v>
      </c>
      <c r="F8269" t="s">
        <v>1181</v>
      </c>
      <c r="G8269" t="s">
        <v>7148</v>
      </c>
      <c r="H8269" t="s">
        <v>39</v>
      </c>
      <c r="I8269" t="s">
        <v>40</v>
      </c>
      <c r="J8269" s="2" t="s">
        <v>41</v>
      </c>
      <c r="K8269" t="s">
        <v>42</v>
      </c>
      <c r="L8269" t="s">
        <v>1943</v>
      </c>
      <c r="Q8269">
        <v>24307</v>
      </c>
      <c r="R8269" t="s">
        <v>45</v>
      </c>
      <c r="S8269" t="s">
        <v>31710</v>
      </c>
      <c r="T8269">
        <v>25</v>
      </c>
      <c r="U8269" s="2" t="s">
        <v>49881</v>
      </c>
      <c r="V8269" s="1">
        <v>45016</v>
      </c>
      <c r="W8269" t="s">
        <v>84</v>
      </c>
      <c r="X8269">
        <v>834687</v>
      </c>
      <c r="Y8269" s="2" t="s">
        <v>43179</v>
      </c>
      <c r="Z8269" s="2" t="s">
        <v>43180</v>
      </c>
      <c r="AA8269" t="s">
        <v>49882</v>
      </c>
      <c r="AB8269" t="s">
        <v>88</v>
      </c>
      <c r="AD8269" t="s">
        <v>49883</v>
      </c>
      <c r="AE8269" t="s">
        <v>4448</v>
      </c>
      <c r="AG8269" t="s">
        <v>49884</v>
      </c>
      <c r="AH8269" t="s">
        <v>31713</v>
      </c>
      <c r="AI8269" t="s">
        <v>49885</v>
      </c>
    </row>
    <row r="8270" spans="2:35" ht="135">
      <c r="B8270" s="1">
        <v>45038</v>
      </c>
      <c r="C8270" s="4">
        <v>45034.526388888888</v>
      </c>
      <c r="D8270" t="s">
        <v>31767</v>
      </c>
      <c r="E8270" t="s">
        <v>49886</v>
      </c>
      <c r="F8270" t="s">
        <v>1181</v>
      </c>
      <c r="G8270" t="s">
        <v>3753</v>
      </c>
      <c r="H8270" t="s">
        <v>39</v>
      </c>
      <c r="I8270" t="s">
        <v>40</v>
      </c>
      <c r="J8270" s="2" t="s">
        <v>41</v>
      </c>
      <c r="K8270" t="s">
        <v>42</v>
      </c>
      <c r="L8270" t="s">
        <v>1943</v>
      </c>
      <c r="Q8270">
        <v>24307</v>
      </c>
      <c r="R8270" t="s">
        <v>45</v>
      </c>
      <c r="S8270" t="s">
        <v>31769</v>
      </c>
      <c r="T8270">
        <v>25</v>
      </c>
      <c r="U8270" s="2" t="s">
        <v>29810</v>
      </c>
      <c r="V8270" s="1">
        <v>45016</v>
      </c>
      <c r="W8270" t="s">
        <v>84</v>
      </c>
      <c r="X8270">
        <v>835185</v>
      </c>
      <c r="Y8270" s="2" t="s">
        <v>49887</v>
      </c>
      <c r="Z8270" s="2" t="s">
        <v>49888</v>
      </c>
      <c r="AA8270" t="s">
        <v>22330</v>
      </c>
      <c r="AB8270" t="s">
        <v>88</v>
      </c>
      <c r="AD8270" t="s">
        <v>49889</v>
      </c>
      <c r="AE8270" t="s">
        <v>1716</v>
      </c>
      <c r="AG8270" t="s">
        <v>49890</v>
      </c>
      <c r="AH8270" t="s">
        <v>49891</v>
      </c>
      <c r="AI8270" t="s">
        <v>49892</v>
      </c>
    </row>
    <row r="8271" spans="2:35" ht="315">
      <c r="B8271" s="1">
        <v>45036</v>
      </c>
      <c r="C8271" s="4">
        <v>45036.538888888892</v>
      </c>
      <c r="D8271" t="s">
        <v>2408</v>
      </c>
      <c r="E8271" t="s">
        <v>2409</v>
      </c>
      <c r="F8271">
        <v>3</v>
      </c>
      <c r="G8271" t="s">
        <v>730</v>
      </c>
      <c r="H8271" t="s">
        <v>39</v>
      </c>
      <c r="I8271" t="s">
        <v>40</v>
      </c>
      <c r="J8271" s="2" t="s">
        <v>41</v>
      </c>
      <c r="K8271" t="s">
        <v>42</v>
      </c>
      <c r="L8271" t="s">
        <v>135</v>
      </c>
      <c r="Q8271">
        <v>24305</v>
      </c>
      <c r="R8271" t="s">
        <v>45</v>
      </c>
      <c r="S8271" t="s">
        <v>2410</v>
      </c>
      <c r="T8271">
        <v>25</v>
      </c>
      <c r="U8271" s="2" t="s">
        <v>49893</v>
      </c>
      <c r="W8271" t="s">
        <v>2680</v>
      </c>
      <c r="X8271">
        <v>807562</v>
      </c>
      <c r="Y8271" t="s">
        <v>49894</v>
      </c>
      <c r="Z8271" s="2" t="s">
        <v>29539</v>
      </c>
      <c r="AA8271" s="2" t="s">
        <v>49895</v>
      </c>
      <c r="AB8271" t="s">
        <v>49896</v>
      </c>
      <c r="AG8271" t="s">
        <v>49897</v>
      </c>
      <c r="AH8271" t="s">
        <v>49898</v>
      </c>
      <c r="AI8271" t="s">
        <v>49899</v>
      </c>
    </row>
    <row r="8272" spans="2:35" ht="255">
      <c r="B8272" s="1">
        <v>45036</v>
      </c>
      <c r="C8272" s="4">
        <v>45035.501388888886</v>
      </c>
      <c r="D8272" t="s">
        <v>49900</v>
      </c>
      <c r="E8272" t="s">
        <v>49901</v>
      </c>
      <c r="F8272">
        <v>12</v>
      </c>
      <c r="G8272" t="s">
        <v>294</v>
      </c>
      <c r="H8272" t="s">
        <v>39</v>
      </c>
      <c r="I8272" t="s">
        <v>94</v>
      </c>
      <c r="J8272" s="2" t="s">
        <v>41</v>
      </c>
      <c r="K8272" t="s">
        <v>42</v>
      </c>
      <c r="L8272" t="s">
        <v>296</v>
      </c>
      <c r="Q8272">
        <v>24304</v>
      </c>
      <c r="R8272" t="s">
        <v>45</v>
      </c>
      <c r="S8272" t="s">
        <v>49902</v>
      </c>
      <c r="T8272">
        <v>28</v>
      </c>
      <c r="U8272" s="2" t="s">
        <v>49903</v>
      </c>
      <c r="V8272" s="1">
        <v>45035</v>
      </c>
      <c r="W8272" t="s">
        <v>23049</v>
      </c>
      <c r="X8272">
        <v>838129</v>
      </c>
      <c r="Y8272" t="s">
        <v>15200</v>
      </c>
      <c r="Z8272" s="2" t="s">
        <v>49904</v>
      </c>
      <c r="AA8272" s="2" t="s">
        <v>49904</v>
      </c>
      <c r="AB8272" t="s">
        <v>972</v>
      </c>
      <c r="AD8272" t="s">
        <v>49905</v>
      </c>
      <c r="AE8272" t="s">
        <v>10783</v>
      </c>
      <c r="AG8272" t="s">
        <v>49906</v>
      </c>
      <c r="AH8272" t="s">
        <v>49907</v>
      </c>
      <c r="AI8272" t="s">
        <v>49908</v>
      </c>
    </row>
    <row r="8273" spans="2:35" ht="60">
      <c r="B8273" s="1">
        <v>45036</v>
      </c>
      <c r="C8273" s="4">
        <v>45036.620833333334</v>
      </c>
      <c r="D8273" t="s">
        <v>5546</v>
      </c>
      <c r="E8273" t="s">
        <v>1555</v>
      </c>
      <c r="F8273">
        <v>7</v>
      </c>
      <c r="G8273" t="s">
        <v>432</v>
      </c>
      <c r="H8273" t="s">
        <v>39</v>
      </c>
      <c r="I8273" t="s">
        <v>40</v>
      </c>
      <c r="J8273" s="2" t="s">
        <v>62</v>
      </c>
      <c r="K8273" t="s">
        <v>42</v>
      </c>
      <c r="L8273" t="s">
        <v>433</v>
      </c>
      <c r="Q8273">
        <v>24303</v>
      </c>
      <c r="R8273" t="s">
        <v>45</v>
      </c>
      <c r="S8273" t="s">
        <v>5548</v>
      </c>
      <c r="T8273">
        <v>25</v>
      </c>
      <c r="W8273" t="s">
        <v>84</v>
      </c>
      <c r="X8273">
        <v>808620</v>
      </c>
      <c r="Y8273" t="s">
        <v>49909</v>
      </c>
      <c r="Z8273" t="s">
        <v>49910</v>
      </c>
      <c r="AA8273" t="s">
        <v>49910</v>
      </c>
      <c r="AB8273" t="s">
        <v>49911</v>
      </c>
      <c r="AG8273" t="s">
        <v>49912</v>
      </c>
      <c r="AH8273" t="s">
        <v>5720</v>
      </c>
      <c r="AI8273" t="s">
        <v>49913</v>
      </c>
    </row>
    <row r="8274" spans="2:35" ht="255">
      <c r="B8274" s="1">
        <v>45036</v>
      </c>
      <c r="C8274" s="4">
        <v>45036.496527777781</v>
      </c>
      <c r="D8274" t="s">
        <v>4561</v>
      </c>
      <c r="E8274" t="s">
        <v>49914</v>
      </c>
      <c r="F8274" t="s">
        <v>148</v>
      </c>
      <c r="G8274" t="s">
        <v>447</v>
      </c>
      <c r="H8274" t="s">
        <v>39</v>
      </c>
      <c r="I8274" t="s">
        <v>40</v>
      </c>
      <c r="J8274" s="2" t="s">
        <v>41</v>
      </c>
      <c r="K8274" t="s">
        <v>42</v>
      </c>
      <c r="L8274" t="s">
        <v>175</v>
      </c>
      <c r="Q8274">
        <v>24302</v>
      </c>
      <c r="R8274" t="s">
        <v>45</v>
      </c>
      <c r="S8274" t="s">
        <v>49915</v>
      </c>
      <c r="T8274">
        <v>25</v>
      </c>
      <c r="U8274" s="2" t="s">
        <v>49916</v>
      </c>
      <c r="V8274" s="1">
        <v>45035</v>
      </c>
      <c r="W8274" t="s">
        <v>84</v>
      </c>
      <c r="X8274">
        <v>804688</v>
      </c>
      <c r="Y8274" t="s">
        <v>49917</v>
      </c>
      <c r="Z8274" t="e">
        <f ca="1">- replaced A3
- checked _xludf.and cleaned cartridge bay, plunger rod, _xludf.filter
- generated reports</f>
        <v>#NAME?</v>
      </c>
      <c r="AA8274" t="s">
        <v>22674</v>
      </c>
      <c r="AB8274" t="s">
        <v>88</v>
      </c>
      <c r="AD8274" s="2" t="s">
        <v>49918</v>
      </c>
      <c r="AE8274" t="s">
        <v>49919</v>
      </c>
      <c r="AG8274" t="s">
        <v>49920</v>
      </c>
      <c r="AH8274" t="s">
        <v>49921</v>
      </c>
      <c r="AI8274" t="s">
        <v>49922</v>
      </c>
    </row>
    <row r="8275" spans="2:35" ht="255">
      <c r="B8275" s="1">
        <v>45036</v>
      </c>
      <c r="C8275" s="4">
        <v>45036.576388888891</v>
      </c>
      <c r="D8275" t="s">
        <v>1071</v>
      </c>
      <c r="E8275" t="s">
        <v>1555</v>
      </c>
      <c r="F8275">
        <v>7</v>
      </c>
      <c r="G8275" t="s">
        <v>432</v>
      </c>
      <c r="H8275" t="s">
        <v>150</v>
      </c>
      <c r="I8275" t="s">
        <v>40</v>
      </c>
      <c r="J8275" t="s">
        <v>109</v>
      </c>
      <c r="K8275" t="s">
        <v>42</v>
      </c>
      <c r="L8275" t="s">
        <v>343</v>
      </c>
      <c r="Q8275">
        <v>24301</v>
      </c>
      <c r="R8275" t="s">
        <v>119</v>
      </c>
      <c r="S8275" t="s">
        <v>8679</v>
      </c>
      <c r="T8275">
        <v>23</v>
      </c>
      <c r="U8275" s="2" t="s">
        <v>49923</v>
      </c>
      <c r="W8275" t="s">
        <v>6105</v>
      </c>
      <c r="X8275">
        <v>820206</v>
      </c>
      <c r="Y8275" t="s">
        <v>301</v>
      </c>
      <c r="Z8275" t="s">
        <v>301</v>
      </c>
      <c r="AA8275" t="s">
        <v>3128</v>
      </c>
      <c r="AB8275" t="s">
        <v>49924</v>
      </c>
      <c r="AG8275" t="s">
        <v>49925</v>
      </c>
      <c r="AH8275" t="s">
        <v>16851</v>
      </c>
      <c r="AI8275" t="s">
        <v>49926</v>
      </c>
    </row>
    <row r="8276" spans="2:35" ht="255">
      <c r="B8276" s="1">
        <v>45036</v>
      </c>
      <c r="C8276" s="4">
        <v>45036.574999999997</v>
      </c>
      <c r="D8276" t="s">
        <v>1071</v>
      </c>
      <c r="E8276" t="s">
        <v>1555</v>
      </c>
      <c r="F8276">
        <v>7</v>
      </c>
      <c r="G8276" t="s">
        <v>432</v>
      </c>
      <c r="H8276" t="s">
        <v>150</v>
      </c>
      <c r="I8276" t="s">
        <v>40</v>
      </c>
      <c r="J8276" t="s">
        <v>109</v>
      </c>
      <c r="K8276" t="s">
        <v>42</v>
      </c>
      <c r="L8276" t="s">
        <v>343</v>
      </c>
      <c r="Q8276">
        <v>24300</v>
      </c>
      <c r="R8276" t="s">
        <v>119</v>
      </c>
      <c r="S8276" t="s">
        <v>49927</v>
      </c>
      <c r="T8276">
        <v>27</v>
      </c>
      <c r="U8276" s="2" t="s">
        <v>49928</v>
      </c>
      <c r="W8276" t="s">
        <v>6105</v>
      </c>
      <c r="X8276">
        <v>838285</v>
      </c>
      <c r="Y8276" t="s">
        <v>301</v>
      </c>
      <c r="Z8276" t="s">
        <v>301</v>
      </c>
      <c r="AA8276" t="e">
        <f ca="1">-Preventive Maintenance</f>
        <v>#NAME?</v>
      </c>
      <c r="AB8276" t="s">
        <v>49929</v>
      </c>
      <c r="AC8276" t="s">
        <v>49930</v>
      </c>
      <c r="AG8276" t="s">
        <v>49931</v>
      </c>
      <c r="AH8276" t="s">
        <v>16851</v>
      </c>
      <c r="AI8276" t="s">
        <v>49932</v>
      </c>
    </row>
    <row r="8277" spans="2:35" ht="255">
      <c r="B8277" s="1">
        <v>45036</v>
      </c>
      <c r="C8277" s="4">
        <v>45036.576388888891</v>
      </c>
      <c r="D8277" t="s">
        <v>1071</v>
      </c>
      <c r="E8277" t="s">
        <v>1555</v>
      </c>
      <c r="F8277">
        <v>7</v>
      </c>
      <c r="G8277" t="s">
        <v>432</v>
      </c>
      <c r="H8277" t="s">
        <v>150</v>
      </c>
      <c r="I8277" t="s">
        <v>40</v>
      </c>
      <c r="J8277" t="s">
        <v>109</v>
      </c>
      <c r="K8277" t="s">
        <v>42</v>
      </c>
      <c r="L8277" t="s">
        <v>343</v>
      </c>
      <c r="Q8277">
        <v>24299</v>
      </c>
      <c r="R8277" t="s">
        <v>119</v>
      </c>
      <c r="S8277" t="s">
        <v>8679</v>
      </c>
      <c r="T8277">
        <v>23</v>
      </c>
      <c r="U8277" s="2" t="s">
        <v>49923</v>
      </c>
      <c r="W8277" t="s">
        <v>6105</v>
      </c>
      <c r="X8277">
        <v>820206</v>
      </c>
      <c r="Y8277" t="s">
        <v>301</v>
      </c>
      <c r="Z8277" t="s">
        <v>301</v>
      </c>
      <c r="AA8277" t="s">
        <v>3128</v>
      </c>
      <c r="AB8277" t="s">
        <v>49924</v>
      </c>
      <c r="AG8277" t="s">
        <v>49933</v>
      </c>
      <c r="AH8277" t="s">
        <v>16851</v>
      </c>
      <c r="AI8277" t="s">
        <v>49934</v>
      </c>
    </row>
    <row r="8278" spans="2:35" ht="255">
      <c r="B8278" s="1">
        <v>45036</v>
      </c>
      <c r="C8278" s="4">
        <v>45036.574999999997</v>
      </c>
      <c r="D8278" t="s">
        <v>1071</v>
      </c>
      <c r="E8278" t="s">
        <v>1555</v>
      </c>
      <c r="F8278">
        <v>7</v>
      </c>
      <c r="G8278" t="s">
        <v>432</v>
      </c>
      <c r="H8278" t="s">
        <v>150</v>
      </c>
      <c r="I8278" t="s">
        <v>40</v>
      </c>
      <c r="J8278" t="s">
        <v>109</v>
      </c>
      <c r="K8278" t="s">
        <v>42</v>
      </c>
      <c r="L8278" t="s">
        <v>343</v>
      </c>
      <c r="Q8278">
        <v>24298</v>
      </c>
      <c r="R8278" t="s">
        <v>119</v>
      </c>
      <c r="S8278" t="s">
        <v>49927</v>
      </c>
      <c r="T8278">
        <v>27</v>
      </c>
      <c r="U8278" s="2" t="s">
        <v>49928</v>
      </c>
      <c r="W8278" t="s">
        <v>6105</v>
      </c>
      <c r="X8278">
        <v>838285</v>
      </c>
      <c r="Y8278" t="s">
        <v>301</v>
      </c>
      <c r="Z8278" t="s">
        <v>301</v>
      </c>
      <c r="AA8278" t="e">
        <f ca="1">-Preventive Maintenance</f>
        <v>#NAME?</v>
      </c>
      <c r="AB8278" t="s">
        <v>49929</v>
      </c>
      <c r="AC8278" t="s">
        <v>49930</v>
      </c>
      <c r="AG8278" t="s">
        <v>49935</v>
      </c>
      <c r="AH8278" t="s">
        <v>16851</v>
      </c>
      <c r="AI8278" t="s">
        <v>49936</v>
      </c>
    </row>
    <row r="8279" spans="2:35" ht="360">
      <c r="B8279" s="1">
        <v>45036</v>
      </c>
      <c r="C8279" s="4">
        <v>45036.563888888886</v>
      </c>
      <c r="D8279" t="s">
        <v>24781</v>
      </c>
      <c r="E8279" t="s">
        <v>49937</v>
      </c>
      <c r="F8279">
        <v>8</v>
      </c>
      <c r="G8279" t="s">
        <v>257</v>
      </c>
      <c r="H8279" t="s">
        <v>39</v>
      </c>
      <c r="I8279" t="s">
        <v>40</v>
      </c>
      <c r="J8279" s="2" t="s">
        <v>1808</v>
      </c>
      <c r="K8279" t="s">
        <v>42</v>
      </c>
      <c r="L8279" t="s">
        <v>259</v>
      </c>
      <c r="Q8279">
        <v>24297</v>
      </c>
      <c r="R8279" t="s">
        <v>45</v>
      </c>
      <c r="S8279" t="s">
        <v>49938</v>
      </c>
      <c r="T8279">
        <v>28</v>
      </c>
      <c r="U8279" s="2" t="s">
        <v>49939</v>
      </c>
      <c r="V8279" s="1">
        <v>45036</v>
      </c>
      <c r="W8279" t="s">
        <v>84</v>
      </c>
      <c r="X8279">
        <v>838868</v>
      </c>
      <c r="Y8279" t="s">
        <v>8731</v>
      </c>
      <c r="Z8279" s="2" t="s">
        <v>49940</v>
      </c>
      <c r="AA8279" t="e">
        <f ca="1">-module Replacement
- Preventive Maintenance</f>
        <v>#NAME?</v>
      </c>
      <c r="AB8279" t="s">
        <v>49941</v>
      </c>
      <c r="AD8279" t="s">
        <v>35865</v>
      </c>
      <c r="AE8279" t="s">
        <v>45</v>
      </c>
      <c r="AG8279" t="s">
        <v>49942</v>
      </c>
      <c r="AH8279" t="s">
        <v>49943</v>
      </c>
      <c r="AI8279" t="s">
        <v>49944</v>
      </c>
    </row>
    <row r="8280" spans="2:35" ht="240">
      <c r="B8280" s="1">
        <v>45036</v>
      </c>
      <c r="C8280" s="4">
        <v>45036.526388888888</v>
      </c>
      <c r="D8280" t="s">
        <v>8160</v>
      </c>
      <c r="E8280" t="s">
        <v>15636</v>
      </c>
      <c r="F8280">
        <v>11</v>
      </c>
      <c r="G8280" t="s">
        <v>1205</v>
      </c>
      <c r="H8280" t="s">
        <v>202</v>
      </c>
      <c r="I8280" t="s">
        <v>40</v>
      </c>
      <c r="J8280" t="s">
        <v>109</v>
      </c>
      <c r="K8280" t="s">
        <v>42</v>
      </c>
      <c r="L8280" t="s">
        <v>204</v>
      </c>
      <c r="Q8280">
        <v>24296</v>
      </c>
      <c r="R8280" t="s">
        <v>119</v>
      </c>
      <c r="S8280" t="s">
        <v>8162</v>
      </c>
      <c r="T8280">
        <v>28.7</v>
      </c>
      <c r="W8280" t="s">
        <v>23237</v>
      </c>
      <c r="X8280">
        <v>838401</v>
      </c>
      <c r="Y8280" t="s">
        <v>1052</v>
      </c>
      <c r="Z8280" s="2" t="s">
        <v>49945</v>
      </c>
      <c r="AA8280" t="s">
        <v>2551</v>
      </c>
      <c r="AB8280" t="s">
        <v>9590</v>
      </c>
      <c r="AG8280" t="s">
        <v>49946</v>
      </c>
      <c r="AH8280" t="s">
        <v>16709</v>
      </c>
      <c r="AI8280" t="s">
        <v>49947</v>
      </c>
    </row>
    <row r="8281" spans="2:35" ht="180">
      <c r="B8281" s="1">
        <v>45036</v>
      </c>
      <c r="C8281" s="4">
        <v>45036.531944444447</v>
      </c>
      <c r="D8281" t="s">
        <v>49948</v>
      </c>
      <c r="E8281" t="s">
        <v>49949</v>
      </c>
      <c r="F8281">
        <v>7</v>
      </c>
      <c r="G8281" t="s">
        <v>432</v>
      </c>
      <c r="H8281" t="s">
        <v>2290</v>
      </c>
      <c r="I8281" t="s">
        <v>94</v>
      </c>
      <c r="J8281" t="s">
        <v>996</v>
      </c>
      <c r="K8281" t="s">
        <v>42</v>
      </c>
      <c r="L8281" t="s">
        <v>610</v>
      </c>
      <c r="Q8281">
        <v>24295</v>
      </c>
      <c r="R8281" t="s">
        <v>703</v>
      </c>
      <c r="S8281" t="s">
        <v>20685</v>
      </c>
      <c r="T8281">
        <v>27</v>
      </c>
      <c r="U8281" s="2" t="s">
        <v>49950</v>
      </c>
      <c r="W8281" t="s">
        <v>1008</v>
      </c>
      <c r="X8281">
        <v>840969</v>
      </c>
      <c r="Y8281" t="s">
        <v>67</v>
      </c>
      <c r="Z8281" t="s">
        <v>5230</v>
      </c>
      <c r="AA8281" s="2" t="s">
        <v>49951</v>
      </c>
      <c r="AB8281" t="s">
        <v>8019</v>
      </c>
      <c r="AG8281" t="s">
        <v>49952</v>
      </c>
      <c r="AH8281" t="s">
        <v>28683</v>
      </c>
      <c r="AI8281" t="s">
        <v>49953</v>
      </c>
    </row>
    <row r="8282" spans="2:35" ht="255">
      <c r="B8282" s="1">
        <v>45036</v>
      </c>
      <c r="C8282" s="4">
        <v>45036.496527777781</v>
      </c>
      <c r="D8282" t="s">
        <v>4561</v>
      </c>
      <c r="E8282" t="s">
        <v>49914</v>
      </c>
      <c r="F8282" t="s">
        <v>148</v>
      </c>
      <c r="G8282" t="s">
        <v>447</v>
      </c>
      <c r="H8282" t="s">
        <v>39</v>
      </c>
      <c r="I8282" t="s">
        <v>40</v>
      </c>
      <c r="J8282" s="2" t="s">
        <v>41</v>
      </c>
      <c r="K8282" t="s">
        <v>42</v>
      </c>
      <c r="L8282" t="s">
        <v>175</v>
      </c>
      <c r="Q8282">
        <v>24294</v>
      </c>
      <c r="R8282" t="s">
        <v>45</v>
      </c>
      <c r="S8282" t="s">
        <v>49915</v>
      </c>
      <c r="T8282">
        <v>25</v>
      </c>
      <c r="U8282" s="2" t="s">
        <v>49916</v>
      </c>
      <c r="V8282" s="1">
        <v>45035</v>
      </c>
      <c r="W8282" t="s">
        <v>84</v>
      </c>
      <c r="X8282">
        <v>804688</v>
      </c>
      <c r="Y8282" t="s">
        <v>49917</v>
      </c>
      <c r="Z8282" t="e">
        <f ca="1">- replaced A3
- checked _xludf.and cleaned cartridge bay, plunger rod, _xludf.filter
- generated reports</f>
        <v>#NAME?</v>
      </c>
      <c r="AA8282" t="s">
        <v>22674</v>
      </c>
      <c r="AB8282" t="s">
        <v>88</v>
      </c>
      <c r="AD8282" s="2" t="s">
        <v>49918</v>
      </c>
      <c r="AE8282" t="s">
        <v>49919</v>
      </c>
      <c r="AG8282" t="s">
        <v>49954</v>
      </c>
      <c r="AH8282" t="s">
        <v>49921</v>
      </c>
      <c r="AI8282" t="s">
        <v>49955</v>
      </c>
    </row>
    <row r="8283" spans="2:35" ht="255">
      <c r="B8283" s="1">
        <v>45036</v>
      </c>
      <c r="C8283" s="4">
        <v>45036.411805555559</v>
      </c>
      <c r="D8283" t="s">
        <v>22227</v>
      </c>
      <c r="E8283" t="s">
        <v>48319</v>
      </c>
      <c r="F8283">
        <v>12</v>
      </c>
      <c r="G8283" t="s">
        <v>294</v>
      </c>
      <c r="H8283" t="s">
        <v>39</v>
      </c>
      <c r="I8283" t="s">
        <v>94</v>
      </c>
      <c r="J8283" s="2" t="s">
        <v>190</v>
      </c>
      <c r="K8283" t="s">
        <v>42</v>
      </c>
      <c r="L8283" t="s">
        <v>296</v>
      </c>
      <c r="Q8283">
        <v>24293</v>
      </c>
      <c r="R8283" t="s">
        <v>45</v>
      </c>
      <c r="S8283" t="s">
        <v>24282</v>
      </c>
      <c r="T8283">
        <v>24</v>
      </c>
      <c r="U8283" s="2" t="s">
        <v>49956</v>
      </c>
      <c r="W8283" t="s">
        <v>23049</v>
      </c>
      <c r="X8283">
        <v>835396</v>
      </c>
      <c r="Y8283" t="s">
        <v>49957</v>
      </c>
      <c r="Z8283" s="2" t="s">
        <v>49958</v>
      </c>
      <c r="AA8283" s="2" t="s">
        <v>49958</v>
      </c>
      <c r="AB8283" t="s">
        <v>16070</v>
      </c>
      <c r="AC8283" t="s">
        <v>49959</v>
      </c>
      <c r="AG8283" t="s">
        <v>49960</v>
      </c>
      <c r="AH8283" t="s">
        <v>49961</v>
      </c>
      <c r="AI8283" t="s">
        <v>49962</v>
      </c>
    </row>
    <row r="8284" spans="2:35" ht="225">
      <c r="B8284" s="1">
        <v>45036</v>
      </c>
      <c r="C8284" s="4">
        <v>45034.395833333336</v>
      </c>
      <c r="D8284" t="s">
        <v>7200</v>
      </c>
      <c r="E8284" t="s">
        <v>12226</v>
      </c>
      <c r="F8284">
        <v>12</v>
      </c>
      <c r="G8284" t="s">
        <v>978</v>
      </c>
      <c r="H8284" t="s">
        <v>39</v>
      </c>
      <c r="I8284" t="s">
        <v>94</v>
      </c>
      <c r="J8284" s="2" t="s">
        <v>190</v>
      </c>
      <c r="K8284" t="s">
        <v>42</v>
      </c>
      <c r="L8284" t="s">
        <v>296</v>
      </c>
      <c r="Q8284">
        <v>24292</v>
      </c>
      <c r="R8284" t="s">
        <v>119</v>
      </c>
      <c r="S8284" t="s">
        <v>7202</v>
      </c>
      <c r="T8284">
        <v>25</v>
      </c>
      <c r="U8284" s="2" t="s">
        <v>49963</v>
      </c>
      <c r="W8284" t="s">
        <v>23049</v>
      </c>
      <c r="X8284">
        <v>838504</v>
      </c>
      <c r="Y8284" t="s">
        <v>49964</v>
      </c>
      <c r="Z8284" s="2" t="s">
        <v>49965</v>
      </c>
      <c r="AA8284" s="2" t="s">
        <v>49965</v>
      </c>
      <c r="AB8284" t="s">
        <v>972</v>
      </c>
      <c r="AC8284" t="s">
        <v>49966</v>
      </c>
      <c r="AG8284" t="s">
        <v>49967</v>
      </c>
      <c r="AH8284" t="s">
        <v>32835</v>
      </c>
      <c r="AI8284" t="s">
        <v>49968</v>
      </c>
    </row>
    <row r="8285" spans="2:35" ht="225">
      <c r="B8285" s="1">
        <v>45036</v>
      </c>
      <c r="C8285" s="4">
        <v>45034.395833333336</v>
      </c>
      <c r="D8285" t="s">
        <v>7200</v>
      </c>
      <c r="E8285" t="s">
        <v>12226</v>
      </c>
      <c r="F8285">
        <v>12</v>
      </c>
      <c r="G8285" t="s">
        <v>978</v>
      </c>
      <c r="H8285" t="s">
        <v>39</v>
      </c>
      <c r="I8285" t="s">
        <v>94</v>
      </c>
      <c r="J8285" s="2" t="s">
        <v>190</v>
      </c>
      <c r="K8285" t="s">
        <v>42</v>
      </c>
      <c r="L8285" t="s">
        <v>296</v>
      </c>
      <c r="Q8285">
        <v>24290</v>
      </c>
      <c r="R8285" t="s">
        <v>119</v>
      </c>
      <c r="S8285" t="s">
        <v>7202</v>
      </c>
      <c r="T8285">
        <v>25</v>
      </c>
      <c r="U8285" s="2" t="s">
        <v>49963</v>
      </c>
      <c r="W8285" t="s">
        <v>23049</v>
      </c>
      <c r="X8285">
        <v>838504</v>
      </c>
      <c r="Y8285" t="s">
        <v>49964</v>
      </c>
      <c r="Z8285" s="2" t="s">
        <v>49965</v>
      </c>
      <c r="AA8285" s="2" t="s">
        <v>49965</v>
      </c>
      <c r="AB8285" t="s">
        <v>972</v>
      </c>
      <c r="AC8285" t="s">
        <v>49966</v>
      </c>
      <c r="AG8285" t="s">
        <v>49969</v>
      </c>
      <c r="AH8285" t="s">
        <v>32835</v>
      </c>
      <c r="AI8285" t="s">
        <v>49970</v>
      </c>
    </row>
    <row r="8286" spans="2:35" ht="255">
      <c r="B8286" s="1">
        <v>45036</v>
      </c>
      <c r="C8286" s="4">
        <v>45036.411805555559</v>
      </c>
      <c r="D8286" t="s">
        <v>22227</v>
      </c>
      <c r="E8286" t="s">
        <v>48319</v>
      </c>
      <c r="F8286">
        <v>12</v>
      </c>
      <c r="G8286" t="s">
        <v>294</v>
      </c>
      <c r="H8286" t="s">
        <v>39</v>
      </c>
      <c r="I8286" t="s">
        <v>94</v>
      </c>
      <c r="J8286" s="2" t="s">
        <v>190</v>
      </c>
      <c r="K8286" t="s">
        <v>42</v>
      </c>
      <c r="L8286" t="s">
        <v>296</v>
      </c>
      <c r="Q8286">
        <v>24291</v>
      </c>
      <c r="R8286" t="s">
        <v>45</v>
      </c>
      <c r="S8286" t="s">
        <v>24282</v>
      </c>
      <c r="T8286">
        <v>24</v>
      </c>
      <c r="U8286" s="2" t="s">
        <v>49956</v>
      </c>
      <c r="W8286" t="s">
        <v>23049</v>
      </c>
      <c r="X8286">
        <v>835396</v>
      </c>
      <c r="Y8286" t="s">
        <v>49957</v>
      </c>
      <c r="Z8286" s="2" t="s">
        <v>49958</v>
      </c>
      <c r="AA8286" s="2" t="s">
        <v>49958</v>
      </c>
      <c r="AB8286" t="s">
        <v>16070</v>
      </c>
      <c r="AC8286" t="s">
        <v>49959</v>
      </c>
      <c r="AG8286" t="s">
        <v>49971</v>
      </c>
      <c r="AH8286" t="s">
        <v>49961</v>
      </c>
      <c r="AI8286" t="s">
        <v>49972</v>
      </c>
    </row>
    <row r="8287" spans="2:35" ht="60">
      <c r="B8287" s="1">
        <v>45035</v>
      </c>
      <c r="C8287" s="4">
        <v>45035.652777777781</v>
      </c>
      <c r="D8287" t="s">
        <v>1825</v>
      </c>
      <c r="E8287" t="s">
        <v>1555</v>
      </c>
      <c r="F8287">
        <v>7</v>
      </c>
      <c r="G8287" t="s">
        <v>432</v>
      </c>
      <c r="H8287" t="s">
        <v>39</v>
      </c>
      <c r="I8287" t="s">
        <v>40</v>
      </c>
      <c r="J8287" s="2" t="s">
        <v>62</v>
      </c>
      <c r="K8287" t="s">
        <v>42</v>
      </c>
      <c r="L8287" t="s">
        <v>433</v>
      </c>
      <c r="Q8287">
        <v>24289</v>
      </c>
      <c r="R8287" t="s">
        <v>45</v>
      </c>
      <c r="S8287" t="s">
        <v>49973</v>
      </c>
      <c r="T8287">
        <v>26</v>
      </c>
      <c r="W8287" t="s">
        <v>84</v>
      </c>
      <c r="X8287">
        <v>838882</v>
      </c>
      <c r="Y8287" t="s">
        <v>49974</v>
      </c>
      <c r="Z8287" t="s">
        <v>49975</v>
      </c>
      <c r="AA8287" t="s">
        <v>49975</v>
      </c>
      <c r="AB8287" t="s">
        <v>1011</v>
      </c>
      <c r="AG8287" t="s">
        <v>49976</v>
      </c>
      <c r="AH8287" t="s">
        <v>49977</v>
      </c>
      <c r="AI8287" t="s">
        <v>49978</v>
      </c>
    </row>
    <row r="8288" spans="2:35" ht="409.5">
      <c r="B8288" s="1">
        <v>45035</v>
      </c>
      <c r="C8288" s="4">
        <v>45035.606249999997</v>
      </c>
      <c r="D8288" t="s">
        <v>4534</v>
      </c>
      <c r="E8288" t="s">
        <v>49979</v>
      </c>
      <c r="F8288">
        <v>1</v>
      </c>
      <c r="G8288" t="s">
        <v>1046</v>
      </c>
      <c r="H8288" t="s">
        <v>2581</v>
      </c>
      <c r="I8288" t="s">
        <v>40</v>
      </c>
      <c r="J8288" s="2" t="s">
        <v>62</v>
      </c>
      <c r="K8288" t="s">
        <v>42</v>
      </c>
      <c r="L8288" t="s">
        <v>135</v>
      </c>
      <c r="Q8288">
        <v>24288</v>
      </c>
      <c r="R8288" t="s">
        <v>45</v>
      </c>
      <c r="S8288" t="s">
        <v>4536</v>
      </c>
      <c r="T8288">
        <v>30</v>
      </c>
      <c r="U8288" s="2" t="s">
        <v>49980</v>
      </c>
      <c r="V8288" s="1">
        <v>44935</v>
      </c>
      <c r="W8288" t="s">
        <v>2680</v>
      </c>
      <c r="X8288">
        <v>808283</v>
      </c>
      <c r="Y8288" t="s">
        <v>1751</v>
      </c>
      <c r="Z8288" s="2" t="s">
        <v>49981</v>
      </c>
      <c r="AA8288" s="2" t="s">
        <v>31375</v>
      </c>
      <c r="AB8288" t="s">
        <v>49982</v>
      </c>
      <c r="AC8288" t="s">
        <v>4800</v>
      </c>
      <c r="AD8288" t="s">
        <v>49983</v>
      </c>
      <c r="AE8288">
        <v>3800</v>
      </c>
      <c r="AG8288" t="s">
        <v>49984</v>
      </c>
      <c r="AH8288" t="s">
        <v>41006</v>
      </c>
      <c r="AI8288" t="s">
        <v>49985</v>
      </c>
    </row>
    <row r="8289" spans="2:35">
      <c r="B8289" s="1">
        <v>45035</v>
      </c>
      <c r="C8289" s="4">
        <v>45035.625</v>
      </c>
      <c r="D8289" t="s">
        <v>2470</v>
      </c>
      <c r="E8289" t="s">
        <v>49986</v>
      </c>
      <c r="F8289" t="s">
        <v>148</v>
      </c>
      <c r="G8289" t="s">
        <v>230</v>
      </c>
      <c r="H8289" t="s">
        <v>513</v>
      </c>
      <c r="I8289" t="s">
        <v>40</v>
      </c>
      <c r="J8289" t="s">
        <v>109</v>
      </c>
      <c r="K8289" t="s">
        <v>387</v>
      </c>
      <c r="L8289" t="s">
        <v>1048</v>
      </c>
      <c r="Q8289">
        <v>24287</v>
      </c>
      <c r="R8289" t="s">
        <v>95</v>
      </c>
      <c r="S8289" t="s">
        <v>2471</v>
      </c>
      <c r="T8289">
        <v>25</v>
      </c>
      <c r="W8289" t="s">
        <v>476</v>
      </c>
      <c r="X8289" t="s">
        <v>5622</v>
      </c>
      <c r="Y8289" t="s">
        <v>374</v>
      </c>
      <c r="Z8289" t="e">
        <f ca="1">-Check rotor roller pumps
-Check CALIBRATION parameters
-Check centrifuge
-PERFORM self test</f>
        <v>#NAME?</v>
      </c>
      <c r="AA8289" t="s">
        <v>49987</v>
      </c>
      <c r="AB8289" t="s">
        <v>14308</v>
      </c>
      <c r="AC8289" t="s">
        <v>49988</v>
      </c>
      <c r="AG8289" t="s">
        <v>49989</v>
      </c>
      <c r="AH8289" t="s">
        <v>4898</v>
      </c>
      <c r="AI8289" t="s">
        <v>49990</v>
      </c>
    </row>
    <row r="8290" spans="2:35">
      <c r="B8290" s="1">
        <v>45035</v>
      </c>
      <c r="C8290" s="4">
        <v>45035.625694444447</v>
      </c>
      <c r="D8290" t="s">
        <v>2470</v>
      </c>
      <c r="E8290" t="s">
        <v>9436</v>
      </c>
      <c r="F8290" t="s">
        <v>148</v>
      </c>
      <c r="G8290" t="s">
        <v>230</v>
      </c>
      <c r="H8290" t="s">
        <v>513</v>
      </c>
      <c r="I8290" t="s">
        <v>40</v>
      </c>
      <c r="J8290" t="s">
        <v>109</v>
      </c>
      <c r="K8290" t="s">
        <v>387</v>
      </c>
      <c r="L8290" t="s">
        <v>15532</v>
      </c>
      <c r="Q8290">
        <v>24286</v>
      </c>
      <c r="R8290" t="s">
        <v>95</v>
      </c>
      <c r="S8290" t="s">
        <v>2471</v>
      </c>
      <c r="T8290">
        <v>25</v>
      </c>
      <c r="W8290" t="s">
        <v>390</v>
      </c>
      <c r="X8290" t="s">
        <v>2472</v>
      </c>
      <c r="Y8290" t="s">
        <v>49991</v>
      </c>
      <c r="Z8290" t="e">
        <f ca="1">-checked rotor, roller pumps
-checked CALIBRATION parameters
-checked centrifuge
-performed self-test</f>
        <v>#NAME?</v>
      </c>
      <c r="AA8290" t="s">
        <v>122</v>
      </c>
      <c r="AB8290" t="s">
        <v>486</v>
      </c>
      <c r="AC8290" t="s">
        <v>49992</v>
      </c>
      <c r="AG8290" t="s">
        <v>49993</v>
      </c>
      <c r="AH8290" t="s">
        <v>4898</v>
      </c>
      <c r="AI8290" t="s">
        <v>49994</v>
      </c>
    </row>
    <row r="8291" spans="2:35">
      <c r="B8291" s="1">
        <v>45035</v>
      </c>
      <c r="C8291" s="4">
        <v>45035.601388888892</v>
      </c>
      <c r="D8291" t="s">
        <v>14010</v>
      </c>
      <c r="E8291" t="s">
        <v>49995</v>
      </c>
      <c r="F8291" t="s">
        <v>148</v>
      </c>
      <c r="G8291" t="s">
        <v>774</v>
      </c>
      <c r="H8291" t="s">
        <v>39</v>
      </c>
      <c r="I8291" t="s">
        <v>40</v>
      </c>
      <c r="J8291" t="s">
        <v>321</v>
      </c>
      <c r="K8291" t="s">
        <v>42</v>
      </c>
      <c r="L8291" t="s">
        <v>80</v>
      </c>
      <c r="Q8291">
        <v>24285</v>
      </c>
      <c r="R8291" t="s">
        <v>322</v>
      </c>
      <c r="S8291" t="s">
        <v>49996</v>
      </c>
      <c r="T8291">
        <v>25</v>
      </c>
      <c r="V8291" s="1">
        <v>45035</v>
      </c>
      <c r="W8291" t="s">
        <v>49997</v>
      </c>
      <c r="X8291">
        <v>110017870</v>
      </c>
      <c r="Y8291" t="s">
        <v>47425</v>
      </c>
      <c r="Z8291" t="s">
        <v>47426</v>
      </c>
      <c r="AA8291" t="s">
        <v>49998</v>
      </c>
      <c r="AB8291" t="s">
        <v>70</v>
      </c>
      <c r="AG8291" t="s">
        <v>49999</v>
      </c>
      <c r="AH8291" t="s">
        <v>50000</v>
      </c>
      <c r="AI8291" t="s">
        <v>50001</v>
      </c>
    </row>
    <row r="8292" spans="2:35">
      <c r="B8292" s="1">
        <v>45035</v>
      </c>
      <c r="C8292" s="4">
        <v>45035.601388888892</v>
      </c>
      <c r="D8292" t="s">
        <v>14010</v>
      </c>
      <c r="E8292" t="s">
        <v>49995</v>
      </c>
      <c r="F8292" t="s">
        <v>148</v>
      </c>
      <c r="G8292" t="s">
        <v>774</v>
      </c>
      <c r="H8292" t="s">
        <v>39</v>
      </c>
      <c r="I8292" t="s">
        <v>40</v>
      </c>
      <c r="J8292" t="s">
        <v>321</v>
      </c>
      <c r="K8292" t="s">
        <v>42</v>
      </c>
      <c r="L8292" t="s">
        <v>80</v>
      </c>
      <c r="Q8292">
        <v>24284</v>
      </c>
      <c r="R8292" t="s">
        <v>322</v>
      </c>
      <c r="S8292" t="s">
        <v>49996</v>
      </c>
      <c r="T8292">
        <v>25</v>
      </c>
      <c r="V8292" s="1">
        <v>45035</v>
      </c>
      <c r="W8292" t="s">
        <v>49997</v>
      </c>
      <c r="X8292">
        <v>110017870</v>
      </c>
      <c r="Y8292" t="s">
        <v>47425</v>
      </c>
      <c r="Z8292" t="s">
        <v>47426</v>
      </c>
      <c r="AA8292" t="s">
        <v>49998</v>
      </c>
      <c r="AB8292" t="s">
        <v>70</v>
      </c>
      <c r="AG8292" t="s">
        <v>50002</v>
      </c>
      <c r="AH8292" t="s">
        <v>50000</v>
      </c>
      <c r="AI8292" t="s">
        <v>50003</v>
      </c>
    </row>
    <row r="8293" spans="2:35">
      <c r="B8293" s="1">
        <v>45035</v>
      </c>
      <c r="C8293" s="4">
        <v>45035.580555555556</v>
      </c>
      <c r="D8293" t="s">
        <v>14010</v>
      </c>
      <c r="E8293" t="s">
        <v>50004</v>
      </c>
      <c r="F8293" t="s">
        <v>148</v>
      </c>
      <c r="G8293" t="s">
        <v>774</v>
      </c>
      <c r="H8293" t="s">
        <v>39</v>
      </c>
      <c r="I8293" t="s">
        <v>40</v>
      </c>
      <c r="J8293" t="s">
        <v>321</v>
      </c>
      <c r="K8293" t="s">
        <v>42</v>
      </c>
      <c r="L8293" t="s">
        <v>80</v>
      </c>
      <c r="Q8293">
        <v>24283</v>
      </c>
      <c r="R8293" t="s">
        <v>322</v>
      </c>
      <c r="S8293" t="s">
        <v>49996</v>
      </c>
      <c r="T8293">
        <v>25</v>
      </c>
      <c r="V8293" s="1">
        <v>45035</v>
      </c>
      <c r="W8293" t="s">
        <v>817</v>
      </c>
      <c r="X8293">
        <v>110017869</v>
      </c>
      <c r="Y8293" t="s">
        <v>50005</v>
      </c>
      <c r="Z8293" t="s">
        <v>50006</v>
      </c>
      <c r="AA8293" t="s">
        <v>49998</v>
      </c>
      <c r="AB8293" t="s">
        <v>70</v>
      </c>
      <c r="AG8293" t="s">
        <v>50007</v>
      </c>
      <c r="AH8293" t="s">
        <v>50000</v>
      </c>
      <c r="AI8293" t="s">
        <v>50008</v>
      </c>
    </row>
    <row r="8294" spans="2:35" ht="285">
      <c r="B8294" s="1">
        <v>45035</v>
      </c>
      <c r="C8294" s="4">
        <v>45035.542361111111</v>
      </c>
      <c r="D8294" t="s">
        <v>11265</v>
      </c>
      <c r="E8294" t="s">
        <v>32968</v>
      </c>
      <c r="F8294">
        <v>3</v>
      </c>
      <c r="G8294" t="s">
        <v>1722</v>
      </c>
      <c r="H8294" t="s">
        <v>39</v>
      </c>
      <c r="I8294" t="s">
        <v>40</v>
      </c>
      <c r="J8294" t="s">
        <v>109</v>
      </c>
      <c r="K8294" t="s">
        <v>42</v>
      </c>
      <c r="L8294" t="s">
        <v>63</v>
      </c>
      <c r="Q8294">
        <v>24282</v>
      </c>
      <c r="R8294" t="s">
        <v>322</v>
      </c>
      <c r="S8294" t="s">
        <v>50009</v>
      </c>
      <c r="T8294">
        <v>28</v>
      </c>
      <c r="U8294" s="2" t="s">
        <v>50010</v>
      </c>
      <c r="V8294" s="1">
        <v>45035</v>
      </c>
      <c r="W8294" t="s">
        <v>26915</v>
      </c>
      <c r="X8294">
        <v>110013773</v>
      </c>
      <c r="Y8294" t="s">
        <v>34941</v>
      </c>
      <c r="Z8294" t="s">
        <v>50011</v>
      </c>
      <c r="AA8294" s="2" t="s">
        <v>1727</v>
      </c>
      <c r="AB8294" t="s">
        <v>70</v>
      </c>
      <c r="AC8294" t="s">
        <v>1716</v>
      </c>
      <c r="AD8294" t="s">
        <v>1716</v>
      </c>
      <c r="AE8294" t="s">
        <v>1716</v>
      </c>
      <c r="AG8294" t="s">
        <v>50012</v>
      </c>
      <c r="AH8294" t="s">
        <v>50013</v>
      </c>
      <c r="AI8294" t="s">
        <v>50014</v>
      </c>
    </row>
    <row r="8295" spans="2:35" ht="300">
      <c r="B8295" s="1">
        <v>45035</v>
      </c>
      <c r="C8295" s="4">
        <v>45035.54583333333</v>
      </c>
      <c r="D8295" t="s">
        <v>17718</v>
      </c>
      <c r="E8295" t="s">
        <v>50015</v>
      </c>
      <c r="F8295">
        <v>11</v>
      </c>
      <c r="G8295" t="s">
        <v>1205</v>
      </c>
      <c r="H8295" t="s">
        <v>202</v>
      </c>
      <c r="I8295" t="s">
        <v>40</v>
      </c>
      <c r="J8295" t="s">
        <v>109</v>
      </c>
      <c r="K8295" t="s">
        <v>42</v>
      </c>
      <c r="L8295" t="s">
        <v>204</v>
      </c>
      <c r="Q8295">
        <v>24281</v>
      </c>
      <c r="R8295" t="s">
        <v>119</v>
      </c>
      <c r="S8295" t="s">
        <v>7745</v>
      </c>
      <c r="T8295">
        <v>28.7</v>
      </c>
      <c r="W8295" t="s">
        <v>23237</v>
      </c>
      <c r="X8295">
        <v>838492</v>
      </c>
      <c r="Y8295" t="s">
        <v>1052</v>
      </c>
      <c r="Z8295" s="2" t="s">
        <v>50016</v>
      </c>
      <c r="AA8295" t="s">
        <v>2551</v>
      </c>
      <c r="AB8295" t="s">
        <v>181</v>
      </c>
      <c r="AC8295" t="s">
        <v>50017</v>
      </c>
      <c r="AG8295" t="s">
        <v>50018</v>
      </c>
      <c r="AH8295" t="s">
        <v>50019</v>
      </c>
      <c r="AI8295" t="s">
        <v>50020</v>
      </c>
    </row>
    <row r="8296" spans="2:35" ht="180">
      <c r="B8296" s="1">
        <v>45035</v>
      </c>
      <c r="C8296" s="4">
        <v>45035.545138888891</v>
      </c>
      <c r="D8296" t="s">
        <v>4953</v>
      </c>
      <c r="E8296" t="s">
        <v>50021</v>
      </c>
      <c r="F8296">
        <v>1</v>
      </c>
      <c r="G8296" t="s">
        <v>1046</v>
      </c>
      <c r="H8296" t="s">
        <v>39</v>
      </c>
      <c r="I8296" t="s">
        <v>40</v>
      </c>
      <c r="J8296" s="2" t="s">
        <v>62</v>
      </c>
      <c r="K8296" t="s">
        <v>42</v>
      </c>
      <c r="L8296" t="s">
        <v>135</v>
      </c>
      <c r="Q8296">
        <v>24280</v>
      </c>
      <c r="R8296" t="s">
        <v>119</v>
      </c>
      <c r="S8296" t="s">
        <v>4955</v>
      </c>
      <c r="T8296">
        <v>30</v>
      </c>
      <c r="U8296" s="2" t="s">
        <v>48016</v>
      </c>
      <c r="V8296" s="1">
        <v>44960</v>
      </c>
      <c r="W8296" t="s">
        <v>2680</v>
      </c>
      <c r="X8296">
        <v>838437</v>
      </c>
      <c r="Y8296" t="s">
        <v>67</v>
      </c>
      <c r="Z8296" s="2" t="s">
        <v>2143</v>
      </c>
      <c r="AA8296" t="e">
        <f ca="1">-performed surface Cleaning
-performed Cleaning of cartridge bay,icore,plunger rod _xludf.and _xludf.filter
-Generate reports
-archived test results
-performed functionality test</f>
        <v>#NAME?</v>
      </c>
      <c r="AB8296" t="s">
        <v>50022</v>
      </c>
      <c r="AD8296" t="s">
        <v>28115</v>
      </c>
      <c r="AE8296">
        <v>9589</v>
      </c>
      <c r="AG8296" t="s">
        <v>50023</v>
      </c>
      <c r="AH8296" t="s">
        <v>4958</v>
      </c>
      <c r="AI8296" t="s">
        <v>50024</v>
      </c>
    </row>
    <row r="8297" spans="2:35" ht="315">
      <c r="B8297" s="1">
        <v>45035</v>
      </c>
      <c r="C8297" s="4">
        <v>45034.545138888891</v>
      </c>
      <c r="D8297" t="s">
        <v>42136</v>
      </c>
      <c r="E8297" t="s">
        <v>43371</v>
      </c>
      <c r="F8297">
        <v>11</v>
      </c>
      <c r="G8297" t="s">
        <v>1205</v>
      </c>
      <c r="H8297" t="s">
        <v>1317</v>
      </c>
      <c r="I8297" t="s">
        <v>40</v>
      </c>
      <c r="J8297" t="s">
        <v>109</v>
      </c>
      <c r="K8297" t="s">
        <v>42</v>
      </c>
      <c r="L8297" t="s">
        <v>204</v>
      </c>
      <c r="Q8297">
        <v>24279</v>
      </c>
      <c r="R8297" t="s">
        <v>119</v>
      </c>
      <c r="S8297" t="s">
        <v>1318</v>
      </c>
      <c r="T8297">
        <v>23.7</v>
      </c>
      <c r="W8297" t="s">
        <v>23237</v>
      </c>
      <c r="X8297">
        <v>838262</v>
      </c>
      <c r="Y8297" t="s">
        <v>1052</v>
      </c>
      <c r="Z8297" s="2" t="s">
        <v>1321</v>
      </c>
      <c r="AA8297" t="s">
        <v>2551</v>
      </c>
      <c r="AB8297" t="s">
        <v>9590</v>
      </c>
      <c r="AG8297" t="s">
        <v>50025</v>
      </c>
      <c r="AH8297" t="s">
        <v>50026</v>
      </c>
      <c r="AI8297" t="s">
        <v>50027</v>
      </c>
    </row>
    <row r="8298" spans="2:35" ht="315">
      <c r="B8298" s="1">
        <v>45035</v>
      </c>
      <c r="C8298" s="4">
        <v>45034.546527777777</v>
      </c>
      <c r="D8298" t="s">
        <v>42136</v>
      </c>
      <c r="E8298" t="s">
        <v>43371</v>
      </c>
      <c r="F8298">
        <v>11</v>
      </c>
      <c r="G8298" t="s">
        <v>1205</v>
      </c>
      <c r="H8298" t="s">
        <v>50028</v>
      </c>
      <c r="I8298" t="s">
        <v>40</v>
      </c>
      <c r="J8298" t="s">
        <v>109</v>
      </c>
      <c r="K8298" t="s">
        <v>42</v>
      </c>
      <c r="L8298" t="s">
        <v>204</v>
      </c>
      <c r="Q8298">
        <v>24278</v>
      </c>
      <c r="R8298" t="s">
        <v>322</v>
      </c>
      <c r="S8298" t="s">
        <v>1318</v>
      </c>
      <c r="T8298">
        <v>23.8</v>
      </c>
      <c r="W8298" t="s">
        <v>23237</v>
      </c>
      <c r="X8298">
        <v>839236</v>
      </c>
      <c r="Y8298" t="s">
        <v>1052</v>
      </c>
      <c r="Z8298" s="2" t="s">
        <v>1321</v>
      </c>
      <c r="AA8298" t="s">
        <v>2551</v>
      </c>
      <c r="AB8298" t="s">
        <v>50029</v>
      </c>
      <c r="AG8298" t="s">
        <v>50030</v>
      </c>
      <c r="AH8298" t="s">
        <v>50026</v>
      </c>
      <c r="AI8298" t="s">
        <v>50031</v>
      </c>
    </row>
    <row r="8299" spans="2:35" ht="225">
      <c r="B8299" s="1">
        <v>45035</v>
      </c>
      <c r="C8299" s="4">
        <v>45035.49722222222</v>
      </c>
      <c r="D8299" t="s">
        <v>10465</v>
      </c>
      <c r="E8299" t="s">
        <v>50032</v>
      </c>
      <c r="F8299">
        <v>10</v>
      </c>
      <c r="G8299" t="s">
        <v>1395</v>
      </c>
      <c r="H8299" t="s">
        <v>2125</v>
      </c>
      <c r="I8299" t="s">
        <v>40</v>
      </c>
      <c r="J8299" s="2" t="s">
        <v>62</v>
      </c>
      <c r="K8299" t="s">
        <v>42</v>
      </c>
      <c r="L8299" t="s">
        <v>933</v>
      </c>
      <c r="Q8299">
        <v>24277</v>
      </c>
      <c r="R8299" t="s">
        <v>119</v>
      </c>
      <c r="S8299" t="s">
        <v>9174</v>
      </c>
      <c r="T8299">
        <v>30</v>
      </c>
      <c r="U8299" s="2" t="s">
        <v>13185</v>
      </c>
      <c r="W8299" t="s">
        <v>3662</v>
      </c>
      <c r="X8299">
        <v>838556</v>
      </c>
      <c r="Y8299" t="s">
        <v>50033</v>
      </c>
      <c r="Z8299" t="s">
        <v>301</v>
      </c>
      <c r="AA8299" s="2" t="s">
        <v>50034</v>
      </c>
      <c r="AB8299" t="s">
        <v>50035</v>
      </c>
      <c r="AC8299" t="s">
        <v>301</v>
      </c>
      <c r="AG8299" t="s">
        <v>50036</v>
      </c>
      <c r="AH8299" t="s">
        <v>10469</v>
      </c>
      <c r="AI8299" t="s">
        <v>50037</v>
      </c>
    </row>
    <row r="8300" spans="2:35" ht="180">
      <c r="B8300" s="1">
        <v>45035</v>
      </c>
      <c r="C8300" s="4">
        <v>45035.517361111109</v>
      </c>
      <c r="D8300" t="s">
        <v>50038</v>
      </c>
      <c r="E8300" t="s">
        <v>50039</v>
      </c>
      <c r="F8300" t="s">
        <v>148</v>
      </c>
      <c r="G8300" t="s">
        <v>230</v>
      </c>
      <c r="H8300" t="s">
        <v>39</v>
      </c>
      <c r="I8300" t="s">
        <v>40</v>
      </c>
      <c r="J8300" s="2" t="s">
        <v>41</v>
      </c>
      <c r="K8300" t="s">
        <v>42</v>
      </c>
      <c r="L8300" t="s">
        <v>1048</v>
      </c>
      <c r="Q8300">
        <v>24276</v>
      </c>
      <c r="R8300" t="s">
        <v>703</v>
      </c>
      <c r="S8300" t="s">
        <v>50040</v>
      </c>
      <c r="T8300">
        <v>25</v>
      </c>
      <c r="U8300" s="2" t="s">
        <v>50041</v>
      </c>
      <c r="V8300" s="1">
        <v>45034</v>
      </c>
      <c r="W8300" t="s">
        <v>2384</v>
      </c>
      <c r="X8300">
        <v>835600</v>
      </c>
      <c r="Y8300" t="s">
        <v>50042</v>
      </c>
      <c r="Z8300" t="e">
        <f ca="1">-replaced modules B2 _xludf.and B3
-checked _xludf.and cleaned cartridge Bays, plunger rod, _xludf.filter
-generated reports</f>
        <v>#NAME?</v>
      </c>
      <c r="AA8300" t="s">
        <v>50043</v>
      </c>
      <c r="AB8300" t="s">
        <v>181</v>
      </c>
      <c r="AC8300" t="s">
        <v>49988</v>
      </c>
      <c r="AD8300" t="s">
        <v>50044</v>
      </c>
      <c r="AE8300">
        <v>9908</v>
      </c>
      <c r="AG8300" t="s">
        <v>50045</v>
      </c>
      <c r="AH8300" t="s">
        <v>50046</v>
      </c>
      <c r="AI8300" t="s">
        <v>50047</v>
      </c>
    </row>
    <row r="8301" spans="2:35" ht="165">
      <c r="B8301" s="1">
        <v>45035</v>
      </c>
      <c r="C8301" s="4">
        <v>45034.425694444442</v>
      </c>
      <c r="D8301" t="s">
        <v>26058</v>
      </c>
      <c r="E8301" t="s">
        <v>45275</v>
      </c>
      <c r="F8301" t="s">
        <v>148</v>
      </c>
      <c r="G8301" t="s">
        <v>371</v>
      </c>
      <c r="H8301" t="s">
        <v>39</v>
      </c>
      <c r="I8301" t="s">
        <v>40</v>
      </c>
      <c r="J8301" s="2" t="s">
        <v>62</v>
      </c>
      <c r="K8301" t="s">
        <v>42</v>
      </c>
      <c r="L8301" t="s">
        <v>175</v>
      </c>
      <c r="Q8301">
        <v>24275</v>
      </c>
      <c r="R8301" t="s">
        <v>45</v>
      </c>
      <c r="S8301" t="s">
        <v>50048</v>
      </c>
      <c r="T8301">
        <v>25</v>
      </c>
      <c r="U8301" s="2" t="s">
        <v>50049</v>
      </c>
      <c r="V8301" s="1">
        <v>45034</v>
      </c>
      <c r="W8301" t="s">
        <v>84</v>
      </c>
      <c r="X8301">
        <v>838856</v>
      </c>
      <c r="Y8301" t="s">
        <v>998</v>
      </c>
      <c r="Z8301" t="e">
        <f ca="1">- checked _xludf.and cleaned cartridge bay, plunger rod, _xludf.filter, icore slot
- performed XpertCheck
- generated reports</f>
        <v>#NAME?</v>
      </c>
      <c r="AA8301" t="s">
        <v>999</v>
      </c>
      <c r="AB8301" s="2" t="s">
        <v>50050</v>
      </c>
      <c r="AD8301" t="s">
        <v>7189</v>
      </c>
      <c r="AE8301" t="s">
        <v>103</v>
      </c>
      <c r="AG8301" t="s">
        <v>50051</v>
      </c>
      <c r="AH8301" t="s">
        <v>50052</v>
      </c>
      <c r="AI8301" t="s">
        <v>50053</v>
      </c>
    </row>
    <row r="8302" spans="2:35" ht="375">
      <c r="B8302" s="1">
        <v>45035</v>
      </c>
      <c r="C8302" s="4">
        <v>45035.38958333333</v>
      </c>
      <c r="D8302" t="s">
        <v>2056</v>
      </c>
      <c r="E8302" t="s">
        <v>49755</v>
      </c>
      <c r="F8302" t="s">
        <v>1181</v>
      </c>
      <c r="G8302" t="s">
        <v>1182</v>
      </c>
      <c r="H8302" t="s">
        <v>39</v>
      </c>
      <c r="I8302" t="s">
        <v>94</v>
      </c>
      <c r="J8302" s="2" t="s">
        <v>1808</v>
      </c>
      <c r="K8302" t="s">
        <v>42</v>
      </c>
      <c r="L8302" t="s">
        <v>43100</v>
      </c>
      <c r="Q8302">
        <v>24274</v>
      </c>
      <c r="R8302" t="s">
        <v>45</v>
      </c>
      <c r="S8302" t="s">
        <v>50054</v>
      </c>
      <c r="T8302">
        <v>30</v>
      </c>
      <c r="U8302" s="2" t="s">
        <v>50055</v>
      </c>
      <c r="W8302" t="s">
        <v>43102</v>
      </c>
      <c r="X8302">
        <v>842893</v>
      </c>
      <c r="Y8302" t="s">
        <v>50056</v>
      </c>
      <c r="Z8302" s="2" t="s">
        <v>50057</v>
      </c>
      <c r="AA8302" s="2" t="s">
        <v>50058</v>
      </c>
      <c r="AB8302" t="s">
        <v>486</v>
      </c>
      <c r="AG8302" t="s">
        <v>50059</v>
      </c>
      <c r="AH8302" t="s">
        <v>49762</v>
      </c>
      <c r="AI8302" t="s">
        <v>50060</v>
      </c>
    </row>
    <row r="8303" spans="2:35" ht="105">
      <c r="B8303" s="1">
        <v>45035</v>
      </c>
      <c r="C8303" s="4">
        <v>45035.38958333333</v>
      </c>
      <c r="D8303" t="s">
        <v>2233</v>
      </c>
      <c r="E8303" t="s">
        <v>34113</v>
      </c>
      <c r="F8303">
        <v>7</v>
      </c>
      <c r="G8303" t="s">
        <v>432</v>
      </c>
      <c r="H8303" t="s">
        <v>39</v>
      </c>
      <c r="I8303" t="s">
        <v>94</v>
      </c>
      <c r="J8303" t="s">
        <v>996</v>
      </c>
      <c r="K8303" t="s">
        <v>42</v>
      </c>
      <c r="L8303" t="s">
        <v>594</v>
      </c>
      <c r="Q8303">
        <v>24273</v>
      </c>
      <c r="R8303" t="s">
        <v>119</v>
      </c>
      <c r="S8303" t="s">
        <v>2235</v>
      </c>
      <c r="T8303">
        <v>23</v>
      </c>
      <c r="U8303" s="2" t="s">
        <v>19880</v>
      </c>
      <c r="V8303" s="1">
        <v>45035</v>
      </c>
      <c r="W8303" t="s">
        <v>502</v>
      </c>
      <c r="X8303">
        <v>838231</v>
      </c>
      <c r="Y8303" t="s">
        <v>50061</v>
      </c>
      <c r="Z8303" t="s">
        <v>31912</v>
      </c>
      <c r="AA8303" t="s">
        <v>50062</v>
      </c>
      <c r="AB8303" t="s">
        <v>50063</v>
      </c>
      <c r="AG8303" t="s">
        <v>50064</v>
      </c>
      <c r="AH8303" t="s">
        <v>2241</v>
      </c>
      <c r="AI8303" t="s">
        <v>50065</v>
      </c>
    </row>
    <row r="8304" spans="2:35" ht="180">
      <c r="B8304" s="1">
        <v>45034</v>
      </c>
      <c r="C8304" s="4">
        <v>45030.545138888891</v>
      </c>
      <c r="D8304" t="s">
        <v>36408</v>
      </c>
      <c r="E8304" t="s">
        <v>26588</v>
      </c>
      <c r="F8304">
        <v>3</v>
      </c>
      <c r="G8304" t="s">
        <v>134</v>
      </c>
      <c r="H8304" t="s">
        <v>39</v>
      </c>
      <c r="I8304" t="s">
        <v>40</v>
      </c>
      <c r="J8304" s="2" t="s">
        <v>190</v>
      </c>
      <c r="K8304" t="s">
        <v>42</v>
      </c>
      <c r="L8304" t="s">
        <v>63</v>
      </c>
      <c r="Q8304">
        <v>24270</v>
      </c>
      <c r="R8304" t="s">
        <v>119</v>
      </c>
      <c r="S8304" t="s">
        <v>26589</v>
      </c>
      <c r="T8304">
        <v>27</v>
      </c>
      <c r="U8304" s="2" t="s">
        <v>50066</v>
      </c>
      <c r="V8304" s="1">
        <v>45030</v>
      </c>
      <c r="W8304" t="s">
        <v>26915</v>
      </c>
      <c r="X8304">
        <v>831877</v>
      </c>
      <c r="Y8304" t="s">
        <v>50067</v>
      </c>
      <c r="Z8304" t="s">
        <v>1935</v>
      </c>
      <c r="AA8304" s="2" t="s">
        <v>1727</v>
      </c>
      <c r="AB8304" t="s">
        <v>70</v>
      </c>
      <c r="AC8304" t="s">
        <v>1716</v>
      </c>
      <c r="AD8304" t="s">
        <v>1716</v>
      </c>
      <c r="AE8304" t="s">
        <v>1716</v>
      </c>
      <c r="AG8304" t="s">
        <v>50068</v>
      </c>
      <c r="AH8304" t="s">
        <v>50069</v>
      </c>
      <c r="AI8304" t="s">
        <v>50070</v>
      </c>
    </row>
    <row r="8305" spans="2:35" ht="270">
      <c r="B8305" s="1">
        <v>45034</v>
      </c>
      <c r="C8305" s="4">
        <v>45030.493055555555</v>
      </c>
      <c r="D8305" t="s">
        <v>4183</v>
      </c>
      <c r="E8305" t="s">
        <v>24518</v>
      </c>
      <c r="F8305">
        <v>3</v>
      </c>
      <c r="G8305" t="s">
        <v>134</v>
      </c>
      <c r="H8305" t="s">
        <v>39</v>
      </c>
      <c r="I8305" t="s">
        <v>40</v>
      </c>
      <c r="J8305" s="2" t="s">
        <v>1592</v>
      </c>
      <c r="K8305" t="s">
        <v>42</v>
      </c>
      <c r="L8305" t="s">
        <v>63</v>
      </c>
      <c r="Q8305">
        <v>24272</v>
      </c>
      <c r="R8305" t="s">
        <v>95</v>
      </c>
      <c r="S8305" t="s">
        <v>9328</v>
      </c>
      <c r="T8305">
        <v>29</v>
      </c>
      <c r="U8305" s="2" t="s">
        <v>50071</v>
      </c>
      <c r="V8305" s="1">
        <v>45030</v>
      </c>
      <c r="W8305" t="s">
        <v>26915</v>
      </c>
      <c r="X8305">
        <v>812571</v>
      </c>
      <c r="Y8305" s="2" t="s">
        <v>50072</v>
      </c>
      <c r="Z8305" s="2" t="s">
        <v>50073</v>
      </c>
      <c r="AA8305" s="2" t="s">
        <v>1727</v>
      </c>
      <c r="AB8305" t="s">
        <v>70</v>
      </c>
      <c r="AC8305" t="s">
        <v>50074</v>
      </c>
      <c r="AD8305" t="s">
        <v>50075</v>
      </c>
      <c r="AE8305" t="s">
        <v>1716</v>
      </c>
      <c r="AG8305" t="s">
        <v>50076</v>
      </c>
      <c r="AH8305" t="s">
        <v>14739</v>
      </c>
      <c r="AI8305" t="s">
        <v>50077</v>
      </c>
    </row>
    <row r="8306" spans="2:35" ht="165">
      <c r="B8306" s="1">
        <v>45034</v>
      </c>
      <c r="C8306" s="4">
        <v>45034.629861111112</v>
      </c>
      <c r="D8306" t="s">
        <v>29075</v>
      </c>
      <c r="E8306" t="s">
        <v>50078</v>
      </c>
      <c r="F8306">
        <v>3</v>
      </c>
      <c r="G8306" t="s">
        <v>1722</v>
      </c>
      <c r="H8306" t="s">
        <v>39</v>
      </c>
      <c r="I8306" t="s">
        <v>40</v>
      </c>
      <c r="J8306" s="2" t="s">
        <v>190</v>
      </c>
      <c r="K8306" t="s">
        <v>42</v>
      </c>
      <c r="L8306" t="s">
        <v>63</v>
      </c>
      <c r="Q8306">
        <v>24271</v>
      </c>
      <c r="R8306" t="s">
        <v>119</v>
      </c>
      <c r="S8306" t="s">
        <v>29077</v>
      </c>
      <c r="T8306">
        <v>28</v>
      </c>
      <c r="U8306" s="2" t="s">
        <v>50079</v>
      </c>
      <c r="V8306" s="1">
        <v>45034</v>
      </c>
      <c r="W8306" t="s">
        <v>26915</v>
      </c>
      <c r="X8306">
        <v>831582</v>
      </c>
      <c r="Y8306" t="s">
        <v>38529</v>
      </c>
      <c r="Z8306" t="s">
        <v>50080</v>
      </c>
      <c r="AA8306" s="2" t="s">
        <v>1727</v>
      </c>
      <c r="AB8306" t="s">
        <v>70</v>
      </c>
      <c r="AC8306" t="s">
        <v>1716</v>
      </c>
      <c r="AD8306" t="s">
        <v>1716</v>
      </c>
      <c r="AE8306" t="s">
        <v>1716</v>
      </c>
      <c r="AG8306" t="s">
        <v>50081</v>
      </c>
      <c r="AH8306" t="s">
        <v>50082</v>
      </c>
      <c r="AI8306" t="s">
        <v>50083</v>
      </c>
    </row>
    <row r="8307" spans="2:35" ht="225">
      <c r="B8307" s="1">
        <v>45034</v>
      </c>
      <c r="C8307" s="4">
        <v>45034.62777777778</v>
      </c>
      <c r="D8307" t="s">
        <v>18001</v>
      </c>
      <c r="E8307" t="s">
        <v>18002</v>
      </c>
      <c r="F8307">
        <v>7</v>
      </c>
      <c r="G8307" t="s">
        <v>432</v>
      </c>
      <c r="H8307" t="s">
        <v>10969</v>
      </c>
      <c r="I8307" t="s">
        <v>40</v>
      </c>
      <c r="J8307" t="s">
        <v>996</v>
      </c>
      <c r="K8307" t="s">
        <v>42</v>
      </c>
      <c r="L8307" t="s">
        <v>1288</v>
      </c>
      <c r="Q8307">
        <v>24269</v>
      </c>
      <c r="R8307" t="s">
        <v>119</v>
      </c>
      <c r="S8307" t="s">
        <v>16307</v>
      </c>
      <c r="T8307">
        <v>28</v>
      </c>
      <c r="U8307" s="2" t="s">
        <v>50084</v>
      </c>
      <c r="W8307" t="s">
        <v>1292</v>
      </c>
      <c r="X8307">
        <v>837661</v>
      </c>
      <c r="Y8307" t="s">
        <v>50085</v>
      </c>
      <c r="Z8307" t="s">
        <v>50086</v>
      </c>
      <c r="AA8307" s="2" t="s">
        <v>50087</v>
      </c>
      <c r="AB8307" t="s">
        <v>50088</v>
      </c>
      <c r="AG8307" t="s">
        <v>50089</v>
      </c>
      <c r="AH8307" t="s">
        <v>14408</v>
      </c>
      <c r="AI8307" t="s">
        <v>50090</v>
      </c>
    </row>
    <row r="8308" spans="2:35" ht="315">
      <c r="B8308" s="1">
        <v>45034</v>
      </c>
      <c r="C8308" s="4">
        <v>45034.55</v>
      </c>
      <c r="D8308" t="s">
        <v>217</v>
      </c>
      <c r="E8308" t="s">
        <v>50091</v>
      </c>
      <c r="F8308">
        <v>3</v>
      </c>
      <c r="G8308" t="s">
        <v>219</v>
      </c>
      <c r="H8308" t="s">
        <v>39</v>
      </c>
      <c r="I8308" t="s">
        <v>40</v>
      </c>
      <c r="J8308" s="2" t="s">
        <v>41</v>
      </c>
      <c r="K8308" t="s">
        <v>42</v>
      </c>
      <c r="L8308" t="s">
        <v>135</v>
      </c>
      <c r="Q8308">
        <v>24268</v>
      </c>
      <c r="R8308" t="s">
        <v>45</v>
      </c>
      <c r="S8308" t="s">
        <v>47575</v>
      </c>
      <c r="T8308">
        <v>26</v>
      </c>
      <c r="U8308" s="2" t="s">
        <v>50092</v>
      </c>
      <c r="V8308" s="1">
        <v>45016</v>
      </c>
      <c r="W8308" t="s">
        <v>2680</v>
      </c>
      <c r="X8308">
        <v>834807</v>
      </c>
      <c r="Y8308" t="s">
        <v>50093</v>
      </c>
      <c r="Z8308" s="2" t="s">
        <v>29539</v>
      </c>
      <c r="AA8308" s="2" t="s">
        <v>47997</v>
      </c>
      <c r="AB8308" t="s">
        <v>181</v>
      </c>
      <c r="AD8308" t="s">
        <v>22730</v>
      </c>
      <c r="AE8308">
        <v>39996</v>
      </c>
      <c r="AG8308" t="s">
        <v>50094</v>
      </c>
      <c r="AH8308" t="s">
        <v>32312</v>
      </c>
      <c r="AI8308" t="s">
        <v>50095</v>
      </c>
    </row>
    <row r="8309" spans="2:35" ht="180">
      <c r="B8309" s="1">
        <v>45034</v>
      </c>
      <c r="C8309" s="4">
        <v>45034.505555555559</v>
      </c>
      <c r="D8309" t="s">
        <v>8123</v>
      </c>
      <c r="E8309" t="s">
        <v>8124</v>
      </c>
      <c r="F8309">
        <v>13</v>
      </c>
      <c r="G8309" t="s">
        <v>4484</v>
      </c>
      <c r="H8309" t="s">
        <v>2125</v>
      </c>
      <c r="I8309" t="s">
        <v>40</v>
      </c>
      <c r="J8309" t="s">
        <v>79</v>
      </c>
      <c r="K8309" t="s">
        <v>42</v>
      </c>
      <c r="L8309" t="s">
        <v>933</v>
      </c>
      <c r="Q8309">
        <v>24267</v>
      </c>
      <c r="R8309" t="s">
        <v>119</v>
      </c>
      <c r="S8309" t="s">
        <v>8125</v>
      </c>
      <c r="T8309">
        <v>26.12</v>
      </c>
      <c r="U8309" s="2" t="s">
        <v>50096</v>
      </c>
      <c r="V8309" s="1">
        <v>45013</v>
      </c>
      <c r="W8309" t="s">
        <v>3662</v>
      </c>
      <c r="X8309">
        <v>838554</v>
      </c>
      <c r="Y8309" t="s">
        <v>301</v>
      </c>
      <c r="Z8309" t="s">
        <v>301</v>
      </c>
      <c r="AA8309" t="s">
        <v>50097</v>
      </c>
      <c r="AB8309" t="s">
        <v>50098</v>
      </c>
      <c r="AC8309" t="s">
        <v>301</v>
      </c>
      <c r="AD8309" t="s">
        <v>37980</v>
      </c>
      <c r="AE8309">
        <v>9848</v>
      </c>
      <c r="AG8309" t="s">
        <v>50099</v>
      </c>
      <c r="AH8309" t="s">
        <v>8129</v>
      </c>
      <c r="AI8309" t="s">
        <v>50100</v>
      </c>
    </row>
    <row r="8310" spans="2:35" ht="90">
      <c r="B8310" s="1">
        <v>45034</v>
      </c>
      <c r="C8310" s="4">
        <v>45034.42083333333</v>
      </c>
      <c r="D8310" t="s">
        <v>50101</v>
      </c>
      <c r="E8310" t="s">
        <v>50102</v>
      </c>
      <c r="F8310">
        <v>7</v>
      </c>
      <c r="G8310" t="s">
        <v>432</v>
      </c>
      <c r="H8310" t="s">
        <v>39</v>
      </c>
      <c r="I8310" t="s">
        <v>94</v>
      </c>
      <c r="J8310" t="s">
        <v>321</v>
      </c>
      <c r="K8310" t="s">
        <v>42</v>
      </c>
      <c r="L8310" t="s">
        <v>610</v>
      </c>
      <c r="Q8310">
        <v>24266</v>
      </c>
      <c r="R8310" t="s">
        <v>703</v>
      </c>
      <c r="S8310" t="s">
        <v>50103</v>
      </c>
      <c r="T8310">
        <v>24</v>
      </c>
      <c r="U8310" s="2" t="s">
        <v>13799</v>
      </c>
      <c r="V8310" s="1">
        <v>45034</v>
      </c>
      <c r="W8310" t="s">
        <v>37384</v>
      </c>
      <c r="X8310">
        <v>110017599</v>
      </c>
      <c r="Y8310" t="s">
        <v>50104</v>
      </c>
      <c r="Z8310" t="s">
        <v>50105</v>
      </c>
      <c r="AA8310" t="s">
        <v>50106</v>
      </c>
      <c r="AB8310" t="s">
        <v>50107</v>
      </c>
      <c r="AC8310" t="s">
        <v>50108</v>
      </c>
      <c r="AD8310" t="s">
        <v>50109</v>
      </c>
      <c r="AE8310" t="s">
        <v>50110</v>
      </c>
      <c r="AG8310" t="s">
        <v>50111</v>
      </c>
      <c r="AH8310" t="s">
        <v>50112</v>
      </c>
      <c r="AI8310" t="s">
        <v>50113</v>
      </c>
    </row>
    <row r="8311" spans="2:35" ht="165">
      <c r="B8311" s="1">
        <v>45034</v>
      </c>
      <c r="C8311" s="4">
        <v>45034.425694444442</v>
      </c>
      <c r="D8311" t="s">
        <v>26058</v>
      </c>
      <c r="E8311" t="s">
        <v>45275</v>
      </c>
      <c r="F8311" t="s">
        <v>148</v>
      </c>
      <c r="G8311" t="s">
        <v>371</v>
      </c>
      <c r="H8311" t="s">
        <v>39</v>
      </c>
      <c r="I8311" t="s">
        <v>40</v>
      </c>
      <c r="J8311" s="2" t="s">
        <v>62</v>
      </c>
      <c r="K8311" t="s">
        <v>42</v>
      </c>
      <c r="L8311" t="s">
        <v>175</v>
      </c>
      <c r="Q8311">
        <v>24265</v>
      </c>
      <c r="R8311" t="s">
        <v>45</v>
      </c>
      <c r="S8311" t="s">
        <v>50048</v>
      </c>
      <c r="T8311">
        <v>25</v>
      </c>
      <c r="U8311" s="2" t="s">
        <v>50049</v>
      </c>
      <c r="V8311" s="1">
        <v>45034</v>
      </c>
      <c r="W8311" t="s">
        <v>84</v>
      </c>
      <c r="X8311">
        <v>838856</v>
      </c>
      <c r="Y8311" t="s">
        <v>998</v>
      </c>
      <c r="Z8311" t="e">
        <f ca="1">- checked _xludf.and cleaned cartridge bay, plunger rod, _xludf.filter, icore slot
- performed XpertCheck
- generated reports</f>
        <v>#NAME?</v>
      </c>
      <c r="AA8311" t="s">
        <v>999</v>
      </c>
      <c r="AB8311" s="2" t="s">
        <v>50050</v>
      </c>
      <c r="AD8311" t="s">
        <v>7189</v>
      </c>
      <c r="AE8311" t="s">
        <v>103</v>
      </c>
      <c r="AG8311" t="s">
        <v>50114</v>
      </c>
      <c r="AH8311" t="s">
        <v>50052</v>
      </c>
      <c r="AI8311" t="s">
        <v>50115</v>
      </c>
    </row>
    <row r="8312" spans="2:35" ht="180">
      <c r="B8312" s="1">
        <v>45034</v>
      </c>
      <c r="C8312" s="4">
        <v>45034.416666666664</v>
      </c>
      <c r="D8312" t="s">
        <v>1343</v>
      </c>
      <c r="E8312" t="s">
        <v>50116</v>
      </c>
      <c r="F8312">
        <v>8</v>
      </c>
      <c r="G8312" t="s">
        <v>342</v>
      </c>
      <c r="H8312" t="s">
        <v>39</v>
      </c>
      <c r="I8312" t="s">
        <v>40</v>
      </c>
      <c r="J8312" s="2" t="s">
        <v>1592</v>
      </c>
      <c r="K8312" t="s">
        <v>42</v>
      </c>
      <c r="L8312" t="s">
        <v>259</v>
      </c>
      <c r="Q8312">
        <v>24264</v>
      </c>
      <c r="R8312" t="s">
        <v>45</v>
      </c>
      <c r="S8312" t="s">
        <v>50117</v>
      </c>
      <c r="T8312">
        <v>27</v>
      </c>
      <c r="U8312" s="2" t="s">
        <v>50118</v>
      </c>
      <c r="V8312" s="1">
        <v>45034</v>
      </c>
      <c r="W8312" t="s">
        <v>84</v>
      </c>
      <c r="X8312">
        <v>815267</v>
      </c>
      <c r="Y8312" t="s">
        <v>50119</v>
      </c>
      <c r="Z8312" t="e">
        <f ca="1">- Troubleshoot BIOS system
- _xludf.Replace CMOS battery
- performed Preventive Maintenance
- performed functionality test
- Generate reports</f>
        <v>#NAME?</v>
      </c>
      <c r="AA8312" t="e">
        <f ca="1">- Troubleshooting
- Preventive Maintenance</f>
        <v>#NAME?</v>
      </c>
      <c r="AB8312" t="s">
        <v>70</v>
      </c>
      <c r="AD8312" t="s">
        <v>50120</v>
      </c>
      <c r="AE8312" t="s">
        <v>54</v>
      </c>
      <c r="AG8312" t="s">
        <v>50121</v>
      </c>
      <c r="AH8312" t="s">
        <v>50122</v>
      </c>
      <c r="AI8312" t="s">
        <v>50123</v>
      </c>
    </row>
    <row r="8313" spans="2:35" ht="90">
      <c r="B8313" s="1">
        <v>45034</v>
      </c>
      <c r="C8313" s="4">
        <v>45034.42083333333</v>
      </c>
      <c r="D8313" t="s">
        <v>50101</v>
      </c>
      <c r="E8313" t="s">
        <v>50102</v>
      </c>
      <c r="F8313">
        <v>7</v>
      </c>
      <c r="G8313" t="s">
        <v>432</v>
      </c>
      <c r="H8313" t="s">
        <v>39</v>
      </c>
      <c r="I8313" t="s">
        <v>94</v>
      </c>
      <c r="J8313" t="s">
        <v>321</v>
      </c>
      <c r="K8313" t="s">
        <v>42</v>
      </c>
      <c r="L8313" t="s">
        <v>610</v>
      </c>
      <c r="Q8313">
        <v>24263</v>
      </c>
      <c r="R8313" t="s">
        <v>703</v>
      </c>
      <c r="S8313" t="s">
        <v>50103</v>
      </c>
      <c r="T8313">
        <v>24</v>
      </c>
      <c r="U8313" s="2" t="s">
        <v>13799</v>
      </c>
      <c r="V8313" s="1">
        <v>45034</v>
      </c>
      <c r="W8313" t="s">
        <v>37384</v>
      </c>
      <c r="X8313">
        <v>110017599</v>
      </c>
      <c r="Y8313" t="s">
        <v>50104</v>
      </c>
      <c r="Z8313" t="s">
        <v>50105</v>
      </c>
      <c r="AA8313" t="s">
        <v>50106</v>
      </c>
      <c r="AB8313" t="s">
        <v>50107</v>
      </c>
      <c r="AC8313" t="s">
        <v>50108</v>
      </c>
      <c r="AD8313" t="s">
        <v>50109</v>
      </c>
      <c r="AE8313" t="s">
        <v>50110</v>
      </c>
      <c r="AG8313" t="s">
        <v>50124</v>
      </c>
      <c r="AH8313" t="s">
        <v>50112</v>
      </c>
      <c r="AI8313" t="s">
        <v>50125</v>
      </c>
    </row>
    <row r="8314" spans="2:35" ht="225">
      <c r="B8314" s="1">
        <v>45034</v>
      </c>
      <c r="C8314" s="4">
        <v>45034.395833333336</v>
      </c>
      <c r="D8314" t="s">
        <v>7200</v>
      </c>
      <c r="E8314" t="s">
        <v>12226</v>
      </c>
      <c r="F8314">
        <v>12</v>
      </c>
      <c r="G8314" t="s">
        <v>978</v>
      </c>
      <c r="H8314" t="s">
        <v>39</v>
      </c>
      <c r="I8314" t="s">
        <v>94</v>
      </c>
      <c r="J8314" s="2" t="s">
        <v>190</v>
      </c>
      <c r="K8314" t="s">
        <v>42</v>
      </c>
      <c r="L8314" t="s">
        <v>296</v>
      </c>
      <c r="Q8314">
        <v>24262</v>
      </c>
      <c r="R8314" t="s">
        <v>119</v>
      </c>
      <c r="S8314" t="s">
        <v>7202</v>
      </c>
      <c r="T8314">
        <v>25</v>
      </c>
      <c r="U8314" s="2" t="s">
        <v>49963</v>
      </c>
      <c r="W8314" t="s">
        <v>23049</v>
      </c>
      <c r="X8314">
        <v>838504</v>
      </c>
      <c r="Y8314" t="s">
        <v>49964</v>
      </c>
      <c r="Z8314" s="2" t="s">
        <v>49965</v>
      </c>
      <c r="AA8314" s="2" t="s">
        <v>49965</v>
      </c>
      <c r="AB8314" t="s">
        <v>972</v>
      </c>
      <c r="AC8314" t="s">
        <v>49966</v>
      </c>
      <c r="AG8314" t="s">
        <v>50126</v>
      </c>
      <c r="AH8314" t="s">
        <v>32835</v>
      </c>
      <c r="AI8314" t="s">
        <v>50127</v>
      </c>
    </row>
    <row r="8315" spans="2:35" ht="225">
      <c r="B8315" s="1">
        <v>45034</v>
      </c>
      <c r="C8315" s="4">
        <v>45034.395833333336</v>
      </c>
      <c r="D8315" t="s">
        <v>7200</v>
      </c>
      <c r="E8315" t="s">
        <v>12226</v>
      </c>
      <c r="F8315">
        <v>12</v>
      </c>
      <c r="G8315" t="s">
        <v>978</v>
      </c>
      <c r="H8315" t="s">
        <v>39</v>
      </c>
      <c r="I8315" t="s">
        <v>94</v>
      </c>
      <c r="J8315" s="2" t="s">
        <v>190</v>
      </c>
      <c r="K8315" t="s">
        <v>42</v>
      </c>
      <c r="L8315" t="s">
        <v>296</v>
      </c>
      <c r="Q8315">
        <v>24261</v>
      </c>
      <c r="R8315" t="s">
        <v>119</v>
      </c>
      <c r="S8315" t="s">
        <v>7202</v>
      </c>
      <c r="T8315">
        <v>25</v>
      </c>
      <c r="U8315" s="2" t="s">
        <v>49963</v>
      </c>
      <c r="W8315" t="s">
        <v>23049</v>
      </c>
      <c r="X8315">
        <v>838504</v>
      </c>
      <c r="Y8315" t="s">
        <v>49964</v>
      </c>
      <c r="Z8315" s="2" t="s">
        <v>49965</v>
      </c>
      <c r="AA8315" s="2" t="s">
        <v>49965</v>
      </c>
      <c r="AB8315" t="s">
        <v>972</v>
      </c>
      <c r="AC8315" t="s">
        <v>49966</v>
      </c>
      <c r="AG8315" t="s">
        <v>50128</v>
      </c>
      <c r="AH8315" t="s">
        <v>32835</v>
      </c>
      <c r="AI8315" t="s">
        <v>50129</v>
      </c>
    </row>
    <row r="8316" spans="2:35" ht="105">
      <c r="B8316" s="1">
        <v>45034</v>
      </c>
      <c r="C8316" s="4">
        <v>45034.409722222219</v>
      </c>
      <c r="D8316" t="s">
        <v>50130</v>
      </c>
      <c r="E8316" t="s">
        <v>50131</v>
      </c>
      <c r="F8316">
        <v>9</v>
      </c>
      <c r="G8316" t="s">
        <v>3346</v>
      </c>
      <c r="H8316" t="s">
        <v>39</v>
      </c>
      <c r="I8316" t="s">
        <v>40</v>
      </c>
      <c r="J8316" s="2" t="s">
        <v>1808</v>
      </c>
      <c r="K8316" t="s">
        <v>42</v>
      </c>
      <c r="L8316" t="s">
        <v>1257</v>
      </c>
      <c r="Q8316">
        <v>24260</v>
      </c>
      <c r="R8316" t="s">
        <v>45</v>
      </c>
      <c r="S8316" t="s">
        <v>4336</v>
      </c>
      <c r="T8316">
        <v>26</v>
      </c>
      <c r="U8316" s="2" t="s">
        <v>15240</v>
      </c>
      <c r="V8316" s="1">
        <v>45034</v>
      </c>
      <c r="W8316" t="s">
        <v>2384</v>
      </c>
      <c r="X8316">
        <v>807595</v>
      </c>
      <c r="Y8316" t="s">
        <v>48501</v>
      </c>
      <c r="Z8316" t="s">
        <v>50132</v>
      </c>
      <c r="AA8316" t="s">
        <v>2129</v>
      </c>
      <c r="AB8316" t="s">
        <v>50133</v>
      </c>
      <c r="AC8316" t="s">
        <v>50134</v>
      </c>
      <c r="AD8316" t="s">
        <v>54</v>
      </c>
      <c r="AE8316" t="s">
        <v>54</v>
      </c>
      <c r="AG8316" t="s">
        <v>50135</v>
      </c>
      <c r="AH8316" t="s">
        <v>50136</v>
      </c>
      <c r="AI8316" t="s">
        <v>50137</v>
      </c>
    </row>
    <row r="8317" spans="2:35">
      <c r="B8317" s="1">
        <v>45034</v>
      </c>
      <c r="C8317" s="4">
        <v>45034.373611111114</v>
      </c>
      <c r="D8317" t="s">
        <v>39840</v>
      </c>
      <c r="E8317" t="s">
        <v>6691</v>
      </c>
      <c r="F8317">
        <v>7</v>
      </c>
      <c r="G8317" t="s">
        <v>432</v>
      </c>
      <c r="H8317" t="s">
        <v>39</v>
      </c>
      <c r="I8317" t="s">
        <v>94</v>
      </c>
      <c r="J8317" t="s">
        <v>321</v>
      </c>
      <c r="K8317" t="s">
        <v>42</v>
      </c>
      <c r="L8317" t="s">
        <v>594</v>
      </c>
      <c r="Q8317">
        <v>24259</v>
      </c>
      <c r="R8317" t="s">
        <v>119</v>
      </c>
      <c r="S8317" t="s">
        <v>10458</v>
      </c>
      <c r="T8317">
        <v>23</v>
      </c>
      <c r="V8317" s="1">
        <v>45030</v>
      </c>
      <c r="W8317" t="s">
        <v>502</v>
      </c>
      <c r="X8317">
        <v>838525</v>
      </c>
      <c r="Y8317" t="s">
        <v>50138</v>
      </c>
      <c r="Z8317" t="s">
        <v>50139</v>
      </c>
      <c r="AA8317" t="s">
        <v>50140</v>
      </c>
      <c r="AB8317" t="s">
        <v>4253</v>
      </c>
      <c r="AG8317" t="s">
        <v>50141</v>
      </c>
      <c r="AH8317" t="s">
        <v>50142</v>
      </c>
      <c r="AI8317" t="s">
        <v>50143</v>
      </c>
    </row>
    <row r="8318" spans="2:35" ht="180">
      <c r="B8318" s="1">
        <v>45034</v>
      </c>
      <c r="C8318" s="4">
        <v>45034.373611111114</v>
      </c>
      <c r="D8318" t="s">
        <v>31731</v>
      </c>
      <c r="E8318" t="s">
        <v>50144</v>
      </c>
      <c r="F8318" t="s">
        <v>37</v>
      </c>
      <c r="G8318" t="s">
        <v>3753</v>
      </c>
      <c r="H8318" t="s">
        <v>39</v>
      </c>
      <c r="I8318" t="s">
        <v>40</v>
      </c>
      <c r="J8318" s="2" t="s">
        <v>41</v>
      </c>
      <c r="K8318" t="s">
        <v>42</v>
      </c>
      <c r="L8318" t="s">
        <v>1943</v>
      </c>
      <c r="Q8318">
        <v>24258</v>
      </c>
      <c r="R8318" t="s">
        <v>45</v>
      </c>
      <c r="S8318" t="s">
        <v>31733</v>
      </c>
      <c r="T8318">
        <v>28</v>
      </c>
      <c r="U8318" s="2" t="s">
        <v>50145</v>
      </c>
      <c r="V8318" s="1">
        <v>45016</v>
      </c>
      <c r="W8318" t="s">
        <v>84</v>
      </c>
      <c r="X8318">
        <v>807590</v>
      </c>
      <c r="Y8318" t="s">
        <v>50146</v>
      </c>
      <c r="Z8318" s="2" t="s">
        <v>50147</v>
      </c>
      <c r="AA8318" t="s">
        <v>50148</v>
      </c>
      <c r="AB8318" t="s">
        <v>88</v>
      </c>
      <c r="AD8318" t="s">
        <v>50149</v>
      </c>
      <c r="AE8318" t="s">
        <v>54</v>
      </c>
      <c r="AG8318" t="s">
        <v>50150</v>
      </c>
      <c r="AH8318" t="s">
        <v>33568</v>
      </c>
      <c r="AI8318" t="s">
        <v>50151</v>
      </c>
    </row>
    <row r="8319" spans="2:35" ht="255">
      <c r="B8319" s="1">
        <v>45033</v>
      </c>
      <c r="C8319" s="4">
        <v>45033.648611111108</v>
      </c>
      <c r="D8319" t="s">
        <v>9886</v>
      </c>
      <c r="E8319" t="s">
        <v>29011</v>
      </c>
      <c r="F8319">
        <v>12</v>
      </c>
      <c r="G8319" t="s">
        <v>5785</v>
      </c>
      <c r="H8319" t="s">
        <v>39</v>
      </c>
      <c r="I8319" t="s">
        <v>94</v>
      </c>
      <c r="J8319" s="2" t="s">
        <v>41</v>
      </c>
      <c r="K8319" t="s">
        <v>42</v>
      </c>
      <c r="L8319" t="s">
        <v>296</v>
      </c>
      <c r="Q8319">
        <v>24257</v>
      </c>
      <c r="R8319" t="s">
        <v>119</v>
      </c>
      <c r="S8319" t="s">
        <v>29012</v>
      </c>
      <c r="T8319">
        <v>22</v>
      </c>
      <c r="U8319" s="2" t="s">
        <v>50152</v>
      </c>
      <c r="V8319" s="1">
        <v>45033</v>
      </c>
      <c r="W8319" t="s">
        <v>23049</v>
      </c>
      <c r="X8319">
        <v>838419</v>
      </c>
      <c r="Y8319" t="s">
        <v>2376</v>
      </c>
      <c r="Z8319" s="2" t="s">
        <v>50153</v>
      </c>
      <c r="AA8319" s="2" t="s">
        <v>50153</v>
      </c>
      <c r="AB8319" t="s">
        <v>972</v>
      </c>
      <c r="AD8319" t="s">
        <v>50154</v>
      </c>
      <c r="AE8319" t="s">
        <v>50155</v>
      </c>
      <c r="AG8319" t="s">
        <v>50156</v>
      </c>
      <c r="AH8319" t="s">
        <v>44426</v>
      </c>
      <c r="AI8319" t="s">
        <v>50157</v>
      </c>
    </row>
    <row r="8320" spans="2:35" ht="135">
      <c r="B8320" s="1">
        <v>45033</v>
      </c>
      <c r="C8320" s="4">
        <v>45033.638888888891</v>
      </c>
      <c r="D8320" t="s">
        <v>13336</v>
      </c>
      <c r="E8320" t="s">
        <v>22026</v>
      </c>
      <c r="F8320" t="s">
        <v>148</v>
      </c>
      <c r="G8320" t="s">
        <v>447</v>
      </c>
      <c r="H8320" t="s">
        <v>39</v>
      </c>
      <c r="I8320" t="s">
        <v>40</v>
      </c>
      <c r="J8320" t="s">
        <v>79</v>
      </c>
      <c r="K8320" t="s">
        <v>408</v>
      </c>
      <c r="L8320" t="s">
        <v>15532</v>
      </c>
      <c r="P8320" t="s">
        <v>1859</v>
      </c>
      <c r="Q8320">
        <v>24256</v>
      </c>
      <c r="R8320" t="s">
        <v>119</v>
      </c>
      <c r="S8320" t="s">
        <v>410</v>
      </c>
      <c r="T8320">
        <v>25</v>
      </c>
      <c r="W8320" t="s">
        <v>49517</v>
      </c>
      <c r="X8320">
        <v>20057560904</v>
      </c>
      <c r="Y8320" t="s">
        <v>50158</v>
      </c>
      <c r="Z8320" t="s">
        <v>54</v>
      </c>
      <c r="AA8320" s="2" t="s">
        <v>50159</v>
      </c>
      <c r="AB8320" t="s">
        <v>50160</v>
      </c>
      <c r="AC8320" t="s">
        <v>50161</v>
      </c>
      <c r="AG8320" t="s">
        <v>50162</v>
      </c>
      <c r="AH8320" t="s">
        <v>409</v>
      </c>
      <c r="AI8320" t="s">
        <v>50163</v>
      </c>
    </row>
    <row r="8321" spans="2:35" ht="135">
      <c r="B8321" s="1">
        <v>45033</v>
      </c>
      <c r="C8321" s="4">
        <v>45033.655555555553</v>
      </c>
      <c r="D8321" t="s">
        <v>22025</v>
      </c>
      <c r="E8321" t="s">
        <v>22026</v>
      </c>
      <c r="F8321" t="s">
        <v>148</v>
      </c>
      <c r="G8321" t="s">
        <v>447</v>
      </c>
      <c r="H8321" t="s">
        <v>39</v>
      </c>
      <c r="I8321" t="s">
        <v>40</v>
      </c>
      <c r="J8321" t="s">
        <v>525</v>
      </c>
      <c r="K8321" t="s">
        <v>408</v>
      </c>
      <c r="L8321" t="s">
        <v>1048</v>
      </c>
      <c r="P8321" t="s">
        <v>1859</v>
      </c>
      <c r="Q8321">
        <v>24255</v>
      </c>
      <c r="R8321" t="s">
        <v>119</v>
      </c>
      <c r="S8321" t="s">
        <v>410</v>
      </c>
      <c r="T8321">
        <v>23</v>
      </c>
      <c r="V8321" s="1">
        <v>45033</v>
      </c>
      <c r="W8321" t="s">
        <v>49511</v>
      </c>
      <c r="X8321">
        <v>20110481208</v>
      </c>
      <c r="Y8321" t="s">
        <v>50164</v>
      </c>
      <c r="Z8321" t="s">
        <v>50165</v>
      </c>
      <c r="AA8321" s="2" t="s">
        <v>50166</v>
      </c>
      <c r="AB8321" t="s">
        <v>181</v>
      </c>
      <c r="AD8321" t="s">
        <v>50167</v>
      </c>
      <c r="AE8321" t="s">
        <v>103</v>
      </c>
      <c r="AG8321" t="s">
        <v>50168</v>
      </c>
      <c r="AH8321" t="s">
        <v>22025</v>
      </c>
      <c r="AI8321" t="s">
        <v>50169</v>
      </c>
    </row>
    <row r="8322" spans="2:35">
      <c r="B8322" s="1">
        <v>45033</v>
      </c>
      <c r="C8322" s="4">
        <v>45033.655555555553</v>
      </c>
      <c r="D8322" t="s">
        <v>22025</v>
      </c>
      <c r="E8322" t="s">
        <v>50170</v>
      </c>
      <c r="F8322" t="s">
        <v>148</v>
      </c>
      <c r="G8322" t="s">
        <v>447</v>
      </c>
      <c r="H8322" t="s">
        <v>39</v>
      </c>
      <c r="I8322" t="s">
        <v>40</v>
      </c>
      <c r="J8322" t="s">
        <v>525</v>
      </c>
      <c r="K8322" t="s">
        <v>408</v>
      </c>
      <c r="L8322" t="s">
        <v>761</v>
      </c>
      <c r="P8322" t="s">
        <v>1859</v>
      </c>
      <c r="Q8322">
        <v>24254</v>
      </c>
      <c r="R8322" t="s">
        <v>119</v>
      </c>
      <c r="S8322" t="s">
        <v>410</v>
      </c>
      <c r="T8322">
        <v>23</v>
      </c>
      <c r="V8322" s="1">
        <v>45033</v>
      </c>
      <c r="W8322" t="s">
        <v>49517</v>
      </c>
      <c r="X8322" t="s">
        <v>6552</v>
      </c>
      <c r="Y8322" t="s">
        <v>50164</v>
      </c>
      <c r="Z8322" t="s">
        <v>54</v>
      </c>
      <c r="AA8322" t="s">
        <v>50171</v>
      </c>
      <c r="AB8322" t="s">
        <v>181</v>
      </c>
      <c r="AG8322" t="s">
        <v>50172</v>
      </c>
      <c r="AH8322" t="s">
        <v>22025</v>
      </c>
      <c r="AI8322" t="s">
        <v>50173</v>
      </c>
    </row>
    <row r="8323" spans="2:35" ht="300">
      <c r="B8323" s="1">
        <v>45033</v>
      </c>
      <c r="C8323" s="4">
        <v>45033.609722222223</v>
      </c>
      <c r="D8323" t="s">
        <v>13336</v>
      </c>
      <c r="E8323" t="s">
        <v>22026</v>
      </c>
      <c r="F8323" t="s">
        <v>148</v>
      </c>
      <c r="G8323" t="s">
        <v>447</v>
      </c>
      <c r="H8323" t="s">
        <v>39</v>
      </c>
      <c r="I8323" t="s">
        <v>40</v>
      </c>
      <c r="J8323" s="2" t="s">
        <v>41</v>
      </c>
      <c r="K8323" t="s">
        <v>42</v>
      </c>
      <c r="L8323" t="s">
        <v>409</v>
      </c>
      <c r="Q8323">
        <v>24253</v>
      </c>
      <c r="R8323" t="s">
        <v>45</v>
      </c>
      <c r="S8323" t="s">
        <v>410</v>
      </c>
      <c r="T8323">
        <v>28</v>
      </c>
      <c r="U8323" s="2" t="s">
        <v>13799</v>
      </c>
      <c r="V8323" s="1">
        <v>45030</v>
      </c>
      <c r="W8323" t="s">
        <v>666</v>
      </c>
      <c r="X8323">
        <v>838869</v>
      </c>
      <c r="Y8323" t="s">
        <v>13685</v>
      </c>
      <c r="Z8323" t="s">
        <v>48004</v>
      </c>
      <c r="AA8323" s="2" t="s">
        <v>50174</v>
      </c>
      <c r="AB8323" t="s">
        <v>181</v>
      </c>
      <c r="AD8323" t="s">
        <v>50175</v>
      </c>
      <c r="AE8323" t="s">
        <v>50176</v>
      </c>
      <c r="AG8323" t="s">
        <v>50177</v>
      </c>
      <c r="AH8323" t="s">
        <v>22025</v>
      </c>
      <c r="AI8323" t="s">
        <v>50178</v>
      </c>
    </row>
    <row r="8324" spans="2:35" ht="390">
      <c r="B8324" s="1">
        <v>45033</v>
      </c>
      <c r="C8324" s="4">
        <v>45033.582638888889</v>
      </c>
      <c r="D8324" t="s">
        <v>9878</v>
      </c>
      <c r="E8324" t="s">
        <v>9879</v>
      </c>
      <c r="F8324">
        <v>12</v>
      </c>
      <c r="G8324" t="s">
        <v>5785</v>
      </c>
      <c r="H8324" t="s">
        <v>39</v>
      </c>
      <c r="I8324" t="s">
        <v>94</v>
      </c>
      <c r="J8324" s="2" t="s">
        <v>41</v>
      </c>
      <c r="K8324" t="s">
        <v>42</v>
      </c>
      <c r="L8324" t="s">
        <v>296</v>
      </c>
      <c r="Q8324">
        <v>24252</v>
      </c>
      <c r="R8324" t="s">
        <v>119</v>
      </c>
      <c r="S8324" t="s">
        <v>9880</v>
      </c>
      <c r="T8324">
        <v>21</v>
      </c>
      <c r="U8324" s="2" t="s">
        <v>50179</v>
      </c>
      <c r="V8324" s="1">
        <v>45033</v>
      </c>
      <c r="W8324" t="s">
        <v>23049</v>
      </c>
      <c r="X8324">
        <v>838542</v>
      </c>
      <c r="Y8324" t="s">
        <v>48703</v>
      </c>
      <c r="Z8324" s="2" t="s">
        <v>50180</v>
      </c>
      <c r="AA8324" s="2" t="s">
        <v>50180</v>
      </c>
      <c r="AB8324" t="s">
        <v>972</v>
      </c>
      <c r="AD8324" t="s">
        <v>50181</v>
      </c>
      <c r="AE8324" t="s">
        <v>50182</v>
      </c>
      <c r="AG8324" t="s">
        <v>50183</v>
      </c>
      <c r="AH8324" t="s">
        <v>9884</v>
      </c>
      <c r="AI8324" t="s">
        <v>50184</v>
      </c>
    </row>
    <row r="8325" spans="2:35" ht="105">
      <c r="B8325" s="1">
        <v>45033</v>
      </c>
      <c r="C8325" s="4">
        <v>45033.559027777781</v>
      </c>
      <c r="D8325" t="s">
        <v>3067</v>
      </c>
      <c r="E8325" t="s">
        <v>25953</v>
      </c>
      <c r="F8325" t="s">
        <v>148</v>
      </c>
      <c r="G8325" t="s">
        <v>447</v>
      </c>
      <c r="H8325" t="s">
        <v>39</v>
      </c>
      <c r="I8325" t="s">
        <v>40</v>
      </c>
      <c r="J8325" t="s">
        <v>50185</v>
      </c>
      <c r="K8325" t="s">
        <v>42</v>
      </c>
      <c r="L8325" t="s">
        <v>175</v>
      </c>
      <c r="Q8325">
        <v>24251</v>
      </c>
      <c r="R8325" t="s">
        <v>45</v>
      </c>
      <c r="S8325" t="s">
        <v>3069</v>
      </c>
      <c r="T8325">
        <v>25</v>
      </c>
      <c r="U8325" s="2" t="s">
        <v>24107</v>
      </c>
      <c r="W8325" t="s">
        <v>84</v>
      </c>
      <c r="X8325">
        <v>838881</v>
      </c>
      <c r="Y8325" t="s">
        <v>11865</v>
      </c>
      <c r="Z8325" t="e">
        <f ca="1">- generated reports
- Disassembled GeneXpert system
- assisted STAFF to Load GX system</f>
        <v>#NAME?</v>
      </c>
      <c r="AA8325" t="s">
        <v>50186</v>
      </c>
      <c r="AB8325" t="s">
        <v>88</v>
      </c>
      <c r="AG8325" t="s">
        <v>50187</v>
      </c>
      <c r="AH8325" t="s">
        <v>32344</v>
      </c>
      <c r="AI8325" t="s">
        <v>50188</v>
      </c>
    </row>
    <row r="8326" spans="2:35" ht="180">
      <c r="B8326" s="1">
        <v>45033</v>
      </c>
      <c r="C8326" s="4">
        <v>45033.522916666669</v>
      </c>
      <c r="D8326" t="s">
        <v>16716</v>
      </c>
      <c r="E8326" t="s">
        <v>1128</v>
      </c>
      <c r="F8326">
        <v>8</v>
      </c>
      <c r="G8326" t="s">
        <v>342</v>
      </c>
      <c r="H8326" t="s">
        <v>12698</v>
      </c>
      <c r="I8326" t="s">
        <v>40</v>
      </c>
      <c r="J8326" s="2" t="s">
        <v>62</v>
      </c>
      <c r="K8326" t="s">
        <v>42</v>
      </c>
      <c r="L8326" t="s">
        <v>259</v>
      </c>
      <c r="Q8326">
        <v>24250</v>
      </c>
      <c r="R8326" t="s">
        <v>119</v>
      </c>
      <c r="S8326" t="s">
        <v>23172</v>
      </c>
      <c r="T8326">
        <v>28</v>
      </c>
      <c r="U8326" s="2" t="s">
        <v>50189</v>
      </c>
      <c r="V8326" s="1">
        <v>45033</v>
      </c>
      <c r="W8326" t="s">
        <v>84</v>
      </c>
      <c r="X8326">
        <v>838421</v>
      </c>
      <c r="Y8326" t="s">
        <v>50190</v>
      </c>
      <c r="Z8326" t="e">
        <f ca="1">- performed Preventive Maintenance
- run XpertCheck on module B4
- performed functionality test
- Generate reports</f>
        <v>#NAME?</v>
      </c>
      <c r="AA8326" t="e">
        <f ca="1">- Preventive Maintenance
- CALIBRATION</f>
        <v>#NAME?</v>
      </c>
      <c r="AB8326" t="s">
        <v>50191</v>
      </c>
      <c r="AG8326" t="s">
        <v>50192</v>
      </c>
      <c r="AH8326" t="s">
        <v>50193</v>
      </c>
      <c r="AI8326" t="s">
        <v>50194</v>
      </c>
    </row>
    <row r="8327" spans="2:35" ht="90">
      <c r="B8327" s="1">
        <v>45033</v>
      </c>
      <c r="C8327" s="4">
        <v>45033.426388888889</v>
      </c>
      <c r="D8327" t="s">
        <v>18972</v>
      </c>
      <c r="E8327" t="s">
        <v>5273</v>
      </c>
      <c r="F8327">
        <v>6</v>
      </c>
      <c r="G8327" t="s">
        <v>5216</v>
      </c>
      <c r="H8327" t="s">
        <v>39</v>
      </c>
      <c r="I8327" t="s">
        <v>94</v>
      </c>
      <c r="J8327" s="2" t="s">
        <v>41</v>
      </c>
      <c r="K8327" t="s">
        <v>42</v>
      </c>
      <c r="L8327" t="s">
        <v>343</v>
      </c>
      <c r="Q8327">
        <v>24249</v>
      </c>
      <c r="R8327" t="s">
        <v>45</v>
      </c>
      <c r="S8327" t="s">
        <v>18974</v>
      </c>
      <c r="T8327">
        <v>25</v>
      </c>
      <c r="U8327" s="2" t="s">
        <v>50195</v>
      </c>
      <c r="V8327" s="1">
        <v>45033</v>
      </c>
      <c r="W8327" t="s">
        <v>6105</v>
      </c>
      <c r="X8327">
        <v>838861</v>
      </c>
      <c r="Y8327" t="s">
        <v>50196</v>
      </c>
      <c r="Z8327" t="s">
        <v>50197</v>
      </c>
      <c r="AA8327" t="e">
        <f ca="1">-Preventive Maintenance
-module Replacement</f>
        <v>#NAME?</v>
      </c>
      <c r="AB8327" t="s">
        <v>7886</v>
      </c>
      <c r="AD8327" t="s">
        <v>24390</v>
      </c>
      <c r="AE8327" t="s">
        <v>45</v>
      </c>
      <c r="AG8327" t="s">
        <v>50198</v>
      </c>
      <c r="AH8327" t="s">
        <v>50199</v>
      </c>
      <c r="AI8327" t="s">
        <v>50200</v>
      </c>
    </row>
    <row r="8328" spans="2:35" ht="375">
      <c r="B8328" s="1">
        <v>45033</v>
      </c>
      <c r="C8328" s="4">
        <v>45033.46597222222</v>
      </c>
      <c r="D8328" t="s">
        <v>25555</v>
      </c>
      <c r="E8328" t="s">
        <v>24319</v>
      </c>
      <c r="F8328" t="s">
        <v>148</v>
      </c>
      <c r="G8328" t="s">
        <v>310</v>
      </c>
      <c r="H8328" t="s">
        <v>39</v>
      </c>
      <c r="I8328" t="s">
        <v>40</v>
      </c>
      <c r="J8328" t="s">
        <v>50201</v>
      </c>
      <c r="K8328" t="s">
        <v>42</v>
      </c>
      <c r="L8328" t="s">
        <v>175</v>
      </c>
      <c r="Q8328">
        <v>24248</v>
      </c>
      <c r="R8328" t="s">
        <v>45</v>
      </c>
      <c r="S8328" t="s">
        <v>25556</v>
      </c>
      <c r="T8328">
        <v>25</v>
      </c>
      <c r="U8328" s="2" t="s">
        <v>50202</v>
      </c>
      <c r="W8328" t="s">
        <v>84</v>
      </c>
      <c r="X8328">
        <v>839292</v>
      </c>
      <c r="Y8328" t="s">
        <v>50203</v>
      </c>
      <c r="Z8328" t="e">
        <f ca="1">- generated reports
- uninstalled _xludf.and packed GeneXpert system
- assisted PBSP STAFF in loading GX system to van</f>
        <v>#NAME?</v>
      </c>
      <c r="AA8328" t="s">
        <v>29748</v>
      </c>
      <c r="AB8328" t="s">
        <v>88</v>
      </c>
      <c r="AG8328" t="s">
        <v>50204</v>
      </c>
      <c r="AH8328" t="s">
        <v>25560</v>
      </c>
      <c r="AI8328" t="s">
        <v>50205</v>
      </c>
    </row>
    <row r="8329" spans="2:35" ht="195">
      <c r="B8329" s="1">
        <v>45033</v>
      </c>
      <c r="C8329" s="4">
        <v>45029.597222222219</v>
      </c>
      <c r="D8329" t="s">
        <v>28489</v>
      </c>
      <c r="E8329" t="s">
        <v>50206</v>
      </c>
      <c r="F8329" t="s">
        <v>148</v>
      </c>
      <c r="G8329" t="s">
        <v>2007</v>
      </c>
      <c r="H8329" t="s">
        <v>39</v>
      </c>
      <c r="I8329" t="s">
        <v>40</v>
      </c>
      <c r="J8329" s="2" t="s">
        <v>62</v>
      </c>
      <c r="K8329" t="s">
        <v>2629</v>
      </c>
      <c r="L8329" t="s">
        <v>43</v>
      </c>
      <c r="Q8329">
        <v>24248</v>
      </c>
      <c r="R8329" t="s">
        <v>95</v>
      </c>
      <c r="S8329" t="s">
        <v>28491</v>
      </c>
      <c r="T8329">
        <v>25</v>
      </c>
      <c r="W8329" t="s">
        <v>35334</v>
      </c>
      <c r="X8329">
        <v>3134004145</v>
      </c>
      <c r="Y8329" t="s">
        <v>121</v>
      </c>
      <c r="Z8329" t="s">
        <v>122</v>
      </c>
      <c r="AA8329" s="2" t="s">
        <v>50207</v>
      </c>
      <c r="AB8329" t="s">
        <v>88</v>
      </c>
      <c r="AG8329" t="s">
        <v>50208</v>
      </c>
      <c r="AH8329" t="s">
        <v>50209</v>
      </c>
      <c r="AI8329" t="s">
        <v>50210</v>
      </c>
    </row>
    <row r="8330" spans="2:35" ht="150">
      <c r="B8330" s="1">
        <v>45033</v>
      </c>
      <c r="C8330" s="4">
        <v>45030.635416666664</v>
      </c>
      <c r="D8330" t="s">
        <v>702</v>
      </c>
      <c r="E8330" t="s">
        <v>29676</v>
      </c>
      <c r="F8330" t="s">
        <v>148</v>
      </c>
      <c r="G8330" t="s">
        <v>544</v>
      </c>
      <c r="H8330" t="s">
        <v>39</v>
      </c>
      <c r="I8330" t="s">
        <v>40</v>
      </c>
      <c r="J8330" s="2" t="s">
        <v>62</v>
      </c>
      <c r="K8330" t="s">
        <v>42</v>
      </c>
      <c r="L8330" t="s">
        <v>43</v>
      </c>
      <c r="Q8330">
        <v>24247</v>
      </c>
      <c r="R8330" t="s">
        <v>703</v>
      </c>
      <c r="S8330" t="s">
        <v>50211</v>
      </c>
      <c r="T8330">
        <v>27</v>
      </c>
      <c r="U8330" s="2" t="s">
        <v>17380</v>
      </c>
      <c r="V8330" s="1">
        <v>45005</v>
      </c>
      <c r="W8330" t="s">
        <v>9792</v>
      </c>
      <c r="X8330">
        <v>110008418</v>
      </c>
      <c r="Y8330" t="s">
        <v>1111</v>
      </c>
      <c r="Z8330" t="s">
        <v>1519</v>
      </c>
      <c r="AA8330" s="2" t="s">
        <v>38266</v>
      </c>
      <c r="AB8330" t="s">
        <v>50212</v>
      </c>
      <c r="AD8330" t="s">
        <v>20036</v>
      </c>
      <c r="AE8330" t="s">
        <v>50213</v>
      </c>
      <c r="AG8330" t="s">
        <v>50214</v>
      </c>
      <c r="AH8330" t="s">
        <v>50215</v>
      </c>
      <c r="AI8330" t="s">
        <v>50216</v>
      </c>
    </row>
    <row r="8331" spans="2:35" ht="180">
      <c r="B8331" s="1">
        <v>45033</v>
      </c>
      <c r="C8331" s="4">
        <v>45030.481249999997</v>
      </c>
      <c r="D8331" t="s">
        <v>4190</v>
      </c>
      <c r="E8331" t="s">
        <v>34606</v>
      </c>
      <c r="F8331" t="s">
        <v>37</v>
      </c>
      <c r="G8331" t="s">
        <v>38</v>
      </c>
      <c r="H8331" t="s">
        <v>39</v>
      </c>
      <c r="I8331" t="s">
        <v>40</v>
      </c>
      <c r="J8331" s="2" t="s">
        <v>190</v>
      </c>
      <c r="K8331" t="s">
        <v>42</v>
      </c>
      <c r="L8331" t="s">
        <v>43</v>
      </c>
      <c r="Q8331">
        <v>24246</v>
      </c>
      <c r="R8331" t="s">
        <v>119</v>
      </c>
      <c r="S8331" t="s">
        <v>4192</v>
      </c>
      <c r="T8331">
        <v>26</v>
      </c>
      <c r="U8331" s="2" t="s">
        <v>50217</v>
      </c>
      <c r="W8331" t="s">
        <v>9792</v>
      </c>
      <c r="X8331">
        <v>821293</v>
      </c>
      <c r="Y8331" t="s">
        <v>50218</v>
      </c>
      <c r="Z8331" t="s">
        <v>50219</v>
      </c>
      <c r="AA8331" s="2" t="s">
        <v>50220</v>
      </c>
      <c r="AB8331" t="s">
        <v>50221</v>
      </c>
      <c r="AG8331" t="s">
        <v>50222</v>
      </c>
      <c r="AH8331" t="s">
        <v>50223</v>
      </c>
      <c r="AI8331" t="s">
        <v>50224</v>
      </c>
    </row>
    <row r="8332" spans="2:35" ht="225">
      <c r="B8332" s="1">
        <v>45033</v>
      </c>
      <c r="C8332" s="4">
        <v>45029.680555555555</v>
      </c>
      <c r="D8332" t="s">
        <v>38660</v>
      </c>
      <c r="E8332" t="s">
        <v>50225</v>
      </c>
      <c r="F8332" t="s">
        <v>148</v>
      </c>
      <c r="G8332" t="s">
        <v>2007</v>
      </c>
      <c r="H8332" t="s">
        <v>39</v>
      </c>
      <c r="I8332" t="s">
        <v>40</v>
      </c>
      <c r="J8332" s="2" t="s">
        <v>1309</v>
      </c>
      <c r="K8332" t="s">
        <v>42</v>
      </c>
      <c r="L8332" t="s">
        <v>43</v>
      </c>
      <c r="Q8332">
        <v>24247</v>
      </c>
      <c r="R8332" t="s">
        <v>119</v>
      </c>
      <c r="S8332" t="s">
        <v>38661</v>
      </c>
      <c r="T8332">
        <v>25</v>
      </c>
      <c r="U8332" s="2" t="s">
        <v>50226</v>
      </c>
      <c r="V8332" s="1">
        <v>45012</v>
      </c>
      <c r="W8332" t="s">
        <v>9792</v>
      </c>
      <c r="X8332">
        <v>831712</v>
      </c>
      <c r="Y8332" s="2" t="s">
        <v>50227</v>
      </c>
      <c r="Z8332" s="2" t="s">
        <v>50228</v>
      </c>
      <c r="AA8332" s="2" t="s">
        <v>50229</v>
      </c>
      <c r="AB8332" t="s">
        <v>3136</v>
      </c>
      <c r="AD8332" s="2" t="s">
        <v>50230</v>
      </c>
      <c r="AE8332" t="s">
        <v>50231</v>
      </c>
      <c r="AG8332" t="s">
        <v>50232</v>
      </c>
      <c r="AH8332" t="s">
        <v>50233</v>
      </c>
      <c r="AI8332" t="s">
        <v>50234</v>
      </c>
    </row>
    <row r="8333" spans="2:35" ht="180">
      <c r="B8333" s="1">
        <v>45033</v>
      </c>
      <c r="C8333" s="4">
        <v>45030.43472222222</v>
      </c>
      <c r="D8333" t="s">
        <v>28711</v>
      </c>
      <c r="E8333" t="s">
        <v>50235</v>
      </c>
      <c r="F8333" t="s">
        <v>37</v>
      </c>
      <c r="G8333" t="s">
        <v>38</v>
      </c>
      <c r="H8333" t="s">
        <v>39</v>
      </c>
      <c r="I8333" t="s">
        <v>40</v>
      </c>
      <c r="J8333" s="2" t="s">
        <v>41</v>
      </c>
      <c r="K8333" t="s">
        <v>42</v>
      </c>
      <c r="L8333" t="s">
        <v>43</v>
      </c>
      <c r="Q8333">
        <v>24246</v>
      </c>
      <c r="R8333" t="s">
        <v>119</v>
      </c>
      <c r="S8333" t="s">
        <v>28713</v>
      </c>
      <c r="T8333">
        <v>25</v>
      </c>
      <c r="U8333" s="2" t="s">
        <v>50236</v>
      </c>
      <c r="V8333" s="1">
        <v>45012</v>
      </c>
      <c r="W8333" t="s">
        <v>9792</v>
      </c>
      <c r="X8333">
        <v>831896</v>
      </c>
      <c r="Y8333" t="s">
        <v>27569</v>
      </c>
      <c r="Z8333" t="s">
        <v>7399</v>
      </c>
      <c r="AA8333" s="2" t="s">
        <v>11546</v>
      </c>
      <c r="AB8333" t="s">
        <v>16412</v>
      </c>
      <c r="AD8333" s="2" t="s">
        <v>50237</v>
      </c>
      <c r="AE8333" t="s">
        <v>50238</v>
      </c>
      <c r="AG8333" t="s">
        <v>50239</v>
      </c>
      <c r="AH8333" t="s">
        <v>50240</v>
      </c>
      <c r="AI8333" t="s">
        <v>50241</v>
      </c>
    </row>
    <row r="8334" spans="2:35" ht="165">
      <c r="B8334" s="1">
        <v>45033</v>
      </c>
      <c r="C8334" s="4">
        <v>45029.443749999999</v>
      </c>
      <c r="D8334" t="s">
        <v>32381</v>
      </c>
      <c r="E8334" t="s">
        <v>50242</v>
      </c>
      <c r="F8334" t="s">
        <v>37</v>
      </c>
      <c r="G8334" t="s">
        <v>748</v>
      </c>
      <c r="H8334" t="s">
        <v>39</v>
      </c>
      <c r="I8334" t="s">
        <v>40</v>
      </c>
      <c r="J8334" s="2" t="s">
        <v>62</v>
      </c>
      <c r="K8334" t="s">
        <v>42</v>
      </c>
      <c r="L8334" t="s">
        <v>1028</v>
      </c>
      <c r="Q8334">
        <v>24242</v>
      </c>
      <c r="R8334" t="s">
        <v>45</v>
      </c>
      <c r="S8334" t="s">
        <v>32383</v>
      </c>
      <c r="T8334">
        <v>22</v>
      </c>
      <c r="U8334" s="2" t="s">
        <v>50243</v>
      </c>
      <c r="W8334" t="s">
        <v>2680</v>
      </c>
      <c r="X8334">
        <v>814152</v>
      </c>
      <c r="Y8334" t="s">
        <v>18140</v>
      </c>
      <c r="Z8334" t="s">
        <v>21244</v>
      </c>
      <c r="AA8334" s="2" t="s">
        <v>49432</v>
      </c>
      <c r="AB8334" t="s">
        <v>50244</v>
      </c>
      <c r="AC8334" t="s">
        <v>50245</v>
      </c>
      <c r="AG8334" t="s">
        <v>50246</v>
      </c>
      <c r="AH8334" t="s">
        <v>42964</v>
      </c>
      <c r="AI8334" t="s">
        <v>50247</v>
      </c>
    </row>
    <row r="8335" spans="2:35" ht="195">
      <c r="B8335" s="1">
        <v>45033</v>
      </c>
      <c r="C8335" s="4">
        <v>45030.644444444442</v>
      </c>
      <c r="D8335" t="s">
        <v>14010</v>
      </c>
      <c r="E8335" t="s">
        <v>43593</v>
      </c>
      <c r="F8335" t="s">
        <v>148</v>
      </c>
      <c r="G8335" t="s">
        <v>774</v>
      </c>
      <c r="H8335" t="s">
        <v>50248</v>
      </c>
      <c r="I8335" t="s">
        <v>40</v>
      </c>
      <c r="J8335" s="2" t="s">
        <v>50249</v>
      </c>
      <c r="K8335" t="s">
        <v>408</v>
      </c>
      <c r="L8335" t="s">
        <v>1028</v>
      </c>
      <c r="P8335" t="s">
        <v>50250</v>
      </c>
      <c r="Q8335">
        <v>24243</v>
      </c>
      <c r="R8335" t="s">
        <v>322</v>
      </c>
      <c r="S8335" t="s">
        <v>50251</v>
      </c>
      <c r="T8335">
        <v>25</v>
      </c>
      <c r="W8335" t="s">
        <v>50252</v>
      </c>
      <c r="X8335" t="s">
        <v>50253</v>
      </c>
      <c r="Y8335" t="s">
        <v>50254</v>
      </c>
      <c r="Z8335" t="s">
        <v>10920</v>
      </c>
      <c r="AA8335" s="2" t="s">
        <v>50255</v>
      </c>
      <c r="AB8335" t="s">
        <v>50256</v>
      </c>
      <c r="AC8335" t="s">
        <v>50257</v>
      </c>
      <c r="AG8335" t="s">
        <v>50258</v>
      </c>
      <c r="AH8335" t="s">
        <v>50259</v>
      </c>
      <c r="AI8335" t="s">
        <v>50260</v>
      </c>
    </row>
    <row r="8336" spans="2:35" ht="165">
      <c r="B8336" s="1">
        <v>45033</v>
      </c>
      <c r="C8336" s="4">
        <v>45030.585416666669</v>
      </c>
      <c r="D8336" t="s">
        <v>1026</v>
      </c>
      <c r="E8336" t="s">
        <v>50261</v>
      </c>
      <c r="F8336" t="s">
        <v>148</v>
      </c>
      <c r="G8336" t="s">
        <v>774</v>
      </c>
      <c r="H8336" t="s">
        <v>513</v>
      </c>
      <c r="I8336" t="s">
        <v>40</v>
      </c>
      <c r="J8336" t="s">
        <v>50262</v>
      </c>
      <c r="K8336" t="s">
        <v>387</v>
      </c>
      <c r="L8336" t="s">
        <v>1028</v>
      </c>
      <c r="Q8336">
        <v>24245</v>
      </c>
      <c r="R8336" t="s">
        <v>322</v>
      </c>
      <c r="S8336" t="s">
        <v>10918</v>
      </c>
      <c r="T8336">
        <v>24</v>
      </c>
      <c r="W8336" t="s">
        <v>390</v>
      </c>
      <c r="X8336" t="s">
        <v>50263</v>
      </c>
      <c r="Y8336" t="s">
        <v>50264</v>
      </c>
      <c r="Z8336" t="s">
        <v>50265</v>
      </c>
      <c r="AA8336" s="2" t="s">
        <v>50266</v>
      </c>
      <c r="AB8336" t="s">
        <v>50267</v>
      </c>
      <c r="AC8336" t="s">
        <v>50268</v>
      </c>
      <c r="AG8336" t="s">
        <v>50269</v>
      </c>
      <c r="AH8336" t="s">
        <v>10923</v>
      </c>
      <c r="AI8336" t="s">
        <v>50270</v>
      </c>
    </row>
    <row r="8337" spans="2:35" ht="240">
      <c r="B8337" s="1">
        <v>45033</v>
      </c>
      <c r="C8337" s="4">
        <v>45030.575694444444</v>
      </c>
      <c r="D8337" t="s">
        <v>1026</v>
      </c>
      <c r="E8337" t="s">
        <v>50261</v>
      </c>
      <c r="F8337" t="s">
        <v>148</v>
      </c>
      <c r="G8337" t="s">
        <v>774</v>
      </c>
      <c r="H8337" t="s">
        <v>513</v>
      </c>
      <c r="I8337" t="s">
        <v>40</v>
      </c>
      <c r="J8337" t="s">
        <v>50262</v>
      </c>
      <c r="K8337" t="s">
        <v>387</v>
      </c>
      <c r="L8337" t="s">
        <v>1028</v>
      </c>
      <c r="Q8337">
        <v>24244</v>
      </c>
      <c r="R8337" t="s">
        <v>322</v>
      </c>
      <c r="S8337" t="s">
        <v>10918</v>
      </c>
      <c r="T8337">
        <v>24</v>
      </c>
      <c r="W8337" t="s">
        <v>390</v>
      </c>
      <c r="X8337" t="s">
        <v>5184</v>
      </c>
      <c r="Y8337" t="s">
        <v>50264</v>
      </c>
      <c r="Z8337" t="s">
        <v>50265</v>
      </c>
      <c r="AA8337" s="2" t="s">
        <v>50271</v>
      </c>
      <c r="AB8337" t="s">
        <v>50272</v>
      </c>
      <c r="AC8337" t="s">
        <v>50268</v>
      </c>
      <c r="AG8337" t="s">
        <v>50273</v>
      </c>
      <c r="AH8337" t="s">
        <v>10923</v>
      </c>
      <c r="AI8337" t="s">
        <v>50274</v>
      </c>
    </row>
    <row r="8338" spans="2:35" ht="210">
      <c r="B8338" s="1">
        <v>45033</v>
      </c>
      <c r="C8338" s="4">
        <v>45028.51458333333</v>
      </c>
      <c r="D8338" t="s">
        <v>50275</v>
      </c>
      <c r="E8338" t="s">
        <v>50276</v>
      </c>
      <c r="F8338" t="s">
        <v>37</v>
      </c>
      <c r="G8338" t="s">
        <v>748</v>
      </c>
      <c r="H8338" t="s">
        <v>39</v>
      </c>
      <c r="I8338" t="s">
        <v>40</v>
      </c>
      <c r="J8338" s="2" t="s">
        <v>41</v>
      </c>
      <c r="K8338" t="s">
        <v>42</v>
      </c>
      <c r="L8338" t="s">
        <v>1028</v>
      </c>
      <c r="Q8338">
        <v>24237</v>
      </c>
      <c r="R8338" t="s">
        <v>45</v>
      </c>
      <c r="S8338" t="s">
        <v>50277</v>
      </c>
      <c r="T8338">
        <v>24</v>
      </c>
      <c r="U8338" s="2" t="s">
        <v>50278</v>
      </c>
      <c r="V8338" s="1">
        <v>45027</v>
      </c>
      <c r="W8338" t="s">
        <v>2680</v>
      </c>
      <c r="X8338">
        <v>807584</v>
      </c>
      <c r="Y8338" t="s">
        <v>50279</v>
      </c>
      <c r="Z8338" t="s">
        <v>2129</v>
      </c>
      <c r="AA8338" s="2" t="s">
        <v>50280</v>
      </c>
      <c r="AB8338" t="s">
        <v>3063</v>
      </c>
      <c r="AC8338" t="s">
        <v>50281</v>
      </c>
      <c r="AD8338" t="s">
        <v>50282</v>
      </c>
      <c r="AE8338" t="s">
        <v>50283</v>
      </c>
      <c r="AG8338" t="s">
        <v>50284</v>
      </c>
      <c r="AH8338" t="s">
        <v>36533</v>
      </c>
      <c r="AI8338" t="s">
        <v>50285</v>
      </c>
    </row>
    <row r="8339" spans="2:35" ht="165">
      <c r="B8339" s="1">
        <v>45033</v>
      </c>
      <c r="C8339" s="4">
        <v>45029.443749999999</v>
      </c>
      <c r="D8339" t="s">
        <v>32381</v>
      </c>
      <c r="E8339" t="s">
        <v>50242</v>
      </c>
      <c r="F8339" t="s">
        <v>37</v>
      </c>
      <c r="G8339" t="s">
        <v>748</v>
      </c>
      <c r="H8339" t="s">
        <v>39</v>
      </c>
      <c r="I8339" t="s">
        <v>40</v>
      </c>
      <c r="J8339" s="2" t="s">
        <v>62</v>
      </c>
      <c r="K8339" t="s">
        <v>42</v>
      </c>
      <c r="L8339" t="s">
        <v>1028</v>
      </c>
      <c r="Q8339">
        <v>24238</v>
      </c>
      <c r="R8339" t="s">
        <v>45</v>
      </c>
      <c r="S8339" t="s">
        <v>32383</v>
      </c>
      <c r="T8339">
        <v>22</v>
      </c>
      <c r="U8339" s="2" t="s">
        <v>50243</v>
      </c>
      <c r="W8339" t="s">
        <v>2680</v>
      </c>
      <c r="X8339">
        <v>814152</v>
      </c>
      <c r="Y8339" t="s">
        <v>18140</v>
      </c>
      <c r="Z8339" t="s">
        <v>21244</v>
      </c>
      <c r="AA8339" s="2" t="s">
        <v>49432</v>
      </c>
      <c r="AB8339" t="s">
        <v>50244</v>
      </c>
      <c r="AC8339" t="s">
        <v>50245</v>
      </c>
      <c r="AG8339" t="s">
        <v>50286</v>
      </c>
      <c r="AH8339" t="s">
        <v>42964</v>
      </c>
      <c r="AI8339" t="s">
        <v>50287</v>
      </c>
    </row>
    <row r="8340" spans="2:35" ht="195">
      <c r="B8340" s="1">
        <v>45033</v>
      </c>
      <c r="C8340" s="4">
        <v>45028.445138888892</v>
      </c>
      <c r="D8340" t="s">
        <v>26808</v>
      </c>
      <c r="E8340" t="s">
        <v>50288</v>
      </c>
      <c r="F8340" t="s">
        <v>37</v>
      </c>
      <c r="G8340" t="s">
        <v>748</v>
      </c>
      <c r="H8340" t="s">
        <v>39</v>
      </c>
      <c r="I8340" t="s">
        <v>40</v>
      </c>
      <c r="J8340" s="2" t="s">
        <v>33238</v>
      </c>
      <c r="K8340" t="s">
        <v>42</v>
      </c>
      <c r="L8340" t="s">
        <v>1028</v>
      </c>
      <c r="Q8340">
        <v>24241</v>
      </c>
      <c r="R8340" t="s">
        <v>119</v>
      </c>
      <c r="S8340" t="s">
        <v>50289</v>
      </c>
      <c r="T8340">
        <v>27</v>
      </c>
      <c r="U8340" s="2" t="s">
        <v>39657</v>
      </c>
      <c r="W8340" t="s">
        <v>2680</v>
      </c>
      <c r="X8340">
        <v>820705</v>
      </c>
      <c r="Y8340" t="s">
        <v>50290</v>
      </c>
      <c r="Z8340" t="s">
        <v>21244</v>
      </c>
      <c r="AA8340" s="2" t="s">
        <v>50291</v>
      </c>
      <c r="AB8340" t="s">
        <v>50292</v>
      </c>
      <c r="AC8340" t="s">
        <v>50293</v>
      </c>
      <c r="AG8340" t="s">
        <v>50294</v>
      </c>
      <c r="AH8340" t="s">
        <v>50295</v>
      </c>
      <c r="AI8340" t="s">
        <v>50296</v>
      </c>
    </row>
    <row r="8341" spans="2:35" ht="180">
      <c r="B8341" s="1">
        <v>45033</v>
      </c>
      <c r="C8341" s="4">
        <v>45029.503472222219</v>
      </c>
      <c r="D8341" t="s">
        <v>50297</v>
      </c>
      <c r="E8341" t="s">
        <v>50298</v>
      </c>
      <c r="F8341" t="s">
        <v>37</v>
      </c>
      <c r="G8341" t="s">
        <v>748</v>
      </c>
      <c r="H8341" t="s">
        <v>39</v>
      </c>
      <c r="I8341" t="s">
        <v>40</v>
      </c>
      <c r="J8341" s="2" t="s">
        <v>41</v>
      </c>
      <c r="K8341" t="s">
        <v>42</v>
      </c>
      <c r="L8341" t="s">
        <v>1028</v>
      </c>
      <c r="Q8341">
        <v>24240</v>
      </c>
      <c r="R8341" t="s">
        <v>45</v>
      </c>
      <c r="S8341" t="s">
        <v>50299</v>
      </c>
      <c r="T8341">
        <v>25</v>
      </c>
      <c r="U8341" s="2" t="s">
        <v>39343</v>
      </c>
      <c r="W8341" t="s">
        <v>2680</v>
      </c>
      <c r="X8341">
        <v>838446</v>
      </c>
      <c r="Y8341" t="s">
        <v>29577</v>
      </c>
      <c r="Z8341" t="s">
        <v>2129</v>
      </c>
      <c r="AA8341" s="2" t="s">
        <v>50300</v>
      </c>
      <c r="AB8341" t="s">
        <v>3063</v>
      </c>
      <c r="AC8341" t="s">
        <v>50301</v>
      </c>
      <c r="AG8341" t="s">
        <v>50302</v>
      </c>
      <c r="AH8341" t="s">
        <v>50303</v>
      </c>
      <c r="AI8341" t="s">
        <v>50304</v>
      </c>
    </row>
    <row r="8342" spans="2:35" ht="210">
      <c r="B8342" s="1">
        <v>45033</v>
      </c>
      <c r="C8342" s="4">
        <v>45028.405555555553</v>
      </c>
      <c r="D8342" t="s">
        <v>24738</v>
      </c>
      <c r="E8342" t="s">
        <v>50305</v>
      </c>
      <c r="F8342" t="s">
        <v>37</v>
      </c>
      <c r="G8342" t="s">
        <v>748</v>
      </c>
      <c r="H8342" t="s">
        <v>39</v>
      </c>
      <c r="I8342" t="s">
        <v>40</v>
      </c>
      <c r="J8342" s="2" t="s">
        <v>33238</v>
      </c>
      <c r="K8342" t="s">
        <v>42</v>
      </c>
      <c r="L8342" t="s">
        <v>1028</v>
      </c>
      <c r="Q8342">
        <v>24239</v>
      </c>
      <c r="R8342" t="s">
        <v>119</v>
      </c>
      <c r="S8342" t="s">
        <v>50306</v>
      </c>
      <c r="T8342">
        <v>26</v>
      </c>
      <c r="U8342" s="2" t="s">
        <v>25359</v>
      </c>
      <c r="W8342" t="s">
        <v>2680</v>
      </c>
      <c r="X8342">
        <v>821227</v>
      </c>
      <c r="Y8342" t="s">
        <v>33229</v>
      </c>
      <c r="Z8342" t="s">
        <v>33241</v>
      </c>
      <c r="AA8342" s="2" t="s">
        <v>50307</v>
      </c>
      <c r="AB8342" t="s">
        <v>34769</v>
      </c>
      <c r="AC8342" t="s">
        <v>50308</v>
      </c>
      <c r="AG8342" t="s">
        <v>50309</v>
      </c>
      <c r="AH8342" t="s">
        <v>50310</v>
      </c>
      <c r="AI8342" t="s">
        <v>50311</v>
      </c>
    </row>
    <row r="8343" spans="2:35" ht="390">
      <c r="B8343" s="1">
        <v>45031</v>
      </c>
      <c r="C8343" s="4">
        <v>45031.895833333336</v>
      </c>
      <c r="D8343" t="s">
        <v>50312</v>
      </c>
      <c r="E8343" t="s">
        <v>10433</v>
      </c>
      <c r="F8343" t="s">
        <v>148</v>
      </c>
      <c r="G8343" t="s">
        <v>447</v>
      </c>
      <c r="H8343" t="s">
        <v>150</v>
      </c>
      <c r="I8343" t="s">
        <v>40</v>
      </c>
      <c r="J8343" s="2" t="s">
        <v>190</v>
      </c>
      <c r="K8343" t="s">
        <v>42</v>
      </c>
      <c r="L8343" t="s">
        <v>448</v>
      </c>
      <c r="Q8343">
        <v>24236</v>
      </c>
      <c r="R8343" t="s">
        <v>95</v>
      </c>
      <c r="S8343" t="s">
        <v>2808</v>
      </c>
      <c r="T8343">
        <v>30</v>
      </c>
      <c r="U8343" s="2" t="s">
        <v>50313</v>
      </c>
      <c r="W8343" t="s">
        <v>360</v>
      </c>
      <c r="X8343">
        <v>807155</v>
      </c>
      <c r="Y8343" t="s">
        <v>50314</v>
      </c>
      <c r="Z8343" t="s">
        <v>50315</v>
      </c>
      <c r="AA8343" t="s">
        <v>19984</v>
      </c>
      <c r="AB8343" t="s">
        <v>486</v>
      </c>
      <c r="AG8343" t="s">
        <v>50316</v>
      </c>
      <c r="AH8343" t="s">
        <v>50317</v>
      </c>
      <c r="AI8343" t="s">
        <v>50318</v>
      </c>
    </row>
    <row r="8344" spans="2:35" ht="75">
      <c r="B8344" s="1">
        <v>45031</v>
      </c>
      <c r="C8344" s="4">
        <v>45030.60833333333</v>
      </c>
      <c r="D8344" t="s">
        <v>50319</v>
      </c>
      <c r="E8344" t="s">
        <v>50320</v>
      </c>
      <c r="F8344" t="s">
        <v>148</v>
      </c>
      <c r="G8344" t="s">
        <v>310</v>
      </c>
      <c r="H8344" t="s">
        <v>386</v>
      </c>
      <c r="I8344" t="s">
        <v>40</v>
      </c>
      <c r="J8344" s="2" t="s">
        <v>190</v>
      </c>
      <c r="K8344" t="s">
        <v>387</v>
      </c>
      <c r="L8344" t="s">
        <v>448</v>
      </c>
      <c r="Q8344">
        <v>24235</v>
      </c>
      <c r="R8344" t="s">
        <v>95</v>
      </c>
      <c r="S8344" t="s">
        <v>2276</v>
      </c>
      <c r="T8344">
        <v>27</v>
      </c>
      <c r="W8344" t="s">
        <v>476</v>
      </c>
      <c r="X8344" t="s">
        <v>2277</v>
      </c>
      <c r="Y8344" t="s">
        <v>50321</v>
      </c>
      <c r="Z8344" t="s">
        <v>50322</v>
      </c>
      <c r="AA8344" t="s">
        <v>4487</v>
      </c>
      <c r="AB8344" t="s">
        <v>486</v>
      </c>
      <c r="AG8344" t="s">
        <v>50323</v>
      </c>
      <c r="AH8344" t="s">
        <v>50324</v>
      </c>
      <c r="AI8344" t="s">
        <v>50325</v>
      </c>
    </row>
    <row r="8345" spans="2:35" ht="315">
      <c r="B8345" s="1">
        <v>45031</v>
      </c>
      <c r="C8345" s="4">
        <v>45030.561805555553</v>
      </c>
      <c r="D8345" t="s">
        <v>21401</v>
      </c>
      <c r="E8345" t="s">
        <v>7811</v>
      </c>
      <c r="F8345">
        <v>11</v>
      </c>
      <c r="G8345" t="s">
        <v>1205</v>
      </c>
      <c r="H8345" t="s">
        <v>202</v>
      </c>
      <c r="I8345" t="s">
        <v>40</v>
      </c>
      <c r="J8345" t="s">
        <v>109</v>
      </c>
      <c r="K8345" t="s">
        <v>42</v>
      </c>
      <c r="L8345" t="s">
        <v>204</v>
      </c>
      <c r="Q8345">
        <v>24234</v>
      </c>
      <c r="R8345" t="s">
        <v>119</v>
      </c>
      <c r="S8345" t="s">
        <v>7812</v>
      </c>
      <c r="T8345">
        <v>24.8</v>
      </c>
      <c r="W8345" t="s">
        <v>23237</v>
      </c>
      <c r="X8345">
        <v>838232</v>
      </c>
      <c r="Y8345" t="s">
        <v>1052</v>
      </c>
      <c r="Z8345" s="2" t="s">
        <v>8775</v>
      </c>
      <c r="AA8345" t="s">
        <v>2551</v>
      </c>
      <c r="AB8345" t="s">
        <v>9590</v>
      </c>
      <c r="AG8345" t="s">
        <v>50326</v>
      </c>
      <c r="AH8345" t="s">
        <v>28267</v>
      </c>
      <c r="AI8345" t="s">
        <v>50327</v>
      </c>
    </row>
    <row r="8346" spans="2:35" ht="270">
      <c r="B8346" s="1">
        <v>45030</v>
      </c>
      <c r="C8346" s="4">
        <v>45030.493055555555</v>
      </c>
      <c r="D8346" t="s">
        <v>4183</v>
      </c>
      <c r="E8346" t="s">
        <v>24518</v>
      </c>
      <c r="F8346">
        <v>3</v>
      </c>
      <c r="G8346" t="s">
        <v>134</v>
      </c>
      <c r="H8346" t="s">
        <v>39</v>
      </c>
      <c r="I8346" t="s">
        <v>40</v>
      </c>
      <c r="J8346" s="2" t="s">
        <v>1592</v>
      </c>
      <c r="K8346" t="s">
        <v>42</v>
      </c>
      <c r="L8346" t="s">
        <v>63</v>
      </c>
      <c r="Q8346">
        <v>24232</v>
      </c>
      <c r="R8346" t="s">
        <v>95</v>
      </c>
      <c r="S8346" t="s">
        <v>9328</v>
      </c>
      <c r="T8346">
        <v>29</v>
      </c>
      <c r="U8346" s="2" t="s">
        <v>50071</v>
      </c>
      <c r="V8346" s="1">
        <v>45030</v>
      </c>
      <c r="W8346" t="s">
        <v>26915</v>
      </c>
      <c r="X8346">
        <v>812571</v>
      </c>
      <c r="Y8346" t="s">
        <v>50328</v>
      </c>
      <c r="Z8346" s="2" t="s">
        <v>50329</v>
      </c>
      <c r="AA8346" s="2" t="s">
        <v>1727</v>
      </c>
      <c r="AB8346" t="s">
        <v>70</v>
      </c>
      <c r="AC8346" t="s">
        <v>1716</v>
      </c>
      <c r="AD8346" t="s">
        <v>50075</v>
      </c>
      <c r="AE8346" t="s">
        <v>1716</v>
      </c>
      <c r="AG8346" t="s">
        <v>50330</v>
      </c>
      <c r="AH8346" t="s">
        <v>14739</v>
      </c>
      <c r="AI8346" t="s">
        <v>50331</v>
      </c>
    </row>
    <row r="8347" spans="2:35" ht="180">
      <c r="B8347" s="1">
        <v>45030</v>
      </c>
      <c r="C8347" s="4">
        <v>45030.545138888891</v>
      </c>
      <c r="D8347" t="s">
        <v>36408</v>
      </c>
      <c r="E8347" t="s">
        <v>26588</v>
      </c>
      <c r="F8347">
        <v>3</v>
      </c>
      <c r="G8347" t="s">
        <v>134</v>
      </c>
      <c r="H8347" t="s">
        <v>39</v>
      </c>
      <c r="I8347" t="s">
        <v>40</v>
      </c>
      <c r="J8347" s="2" t="s">
        <v>190</v>
      </c>
      <c r="K8347" t="s">
        <v>42</v>
      </c>
      <c r="L8347" t="s">
        <v>63</v>
      </c>
      <c r="Q8347">
        <v>24233</v>
      </c>
      <c r="R8347" t="s">
        <v>119</v>
      </c>
      <c r="S8347" t="s">
        <v>26589</v>
      </c>
      <c r="T8347">
        <v>27</v>
      </c>
      <c r="U8347" s="2" t="s">
        <v>50066</v>
      </c>
      <c r="V8347" s="1">
        <v>45030</v>
      </c>
      <c r="W8347" t="s">
        <v>26915</v>
      </c>
      <c r="X8347">
        <v>831877</v>
      </c>
      <c r="Y8347" t="s">
        <v>50067</v>
      </c>
      <c r="Z8347" t="s">
        <v>1935</v>
      </c>
      <c r="AA8347" s="2" t="s">
        <v>1727</v>
      </c>
      <c r="AB8347" t="s">
        <v>70</v>
      </c>
      <c r="AC8347" t="s">
        <v>1716</v>
      </c>
      <c r="AD8347" t="s">
        <v>1716</v>
      </c>
      <c r="AE8347" t="s">
        <v>1716</v>
      </c>
      <c r="AG8347" t="s">
        <v>50332</v>
      </c>
      <c r="AH8347" t="s">
        <v>50069</v>
      </c>
      <c r="AI8347" t="s">
        <v>50333</v>
      </c>
    </row>
    <row r="8348" spans="2:35" ht="180">
      <c r="B8348" s="1">
        <v>45030</v>
      </c>
      <c r="C8348" s="4">
        <v>45030.545138888891</v>
      </c>
      <c r="D8348" t="s">
        <v>36408</v>
      </c>
      <c r="E8348" t="s">
        <v>26588</v>
      </c>
      <c r="F8348">
        <v>3</v>
      </c>
      <c r="G8348" t="s">
        <v>134</v>
      </c>
      <c r="H8348" t="s">
        <v>39</v>
      </c>
      <c r="I8348" t="s">
        <v>40</v>
      </c>
      <c r="J8348" s="2" t="s">
        <v>190</v>
      </c>
      <c r="K8348" t="s">
        <v>42</v>
      </c>
      <c r="L8348" t="s">
        <v>63</v>
      </c>
      <c r="Q8348">
        <v>24231</v>
      </c>
      <c r="R8348" t="s">
        <v>119</v>
      </c>
      <c r="S8348" t="s">
        <v>26589</v>
      </c>
      <c r="T8348">
        <v>27</v>
      </c>
      <c r="U8348" s="2" t="s">
        <v>50066</v>
      </c>
      <c r="V8348" s="1">
        <v>45030</v>
      </c>
      <c r="W8348" t="s">
        <v>26915</v>
      </c>
      <c r="X8348">
        <v>831877</v>
      </c>
      <c r="Y8348" t="s">
        <v>50067</v>
      </c>
      <c r="Z8348" t="s">
        <v>1935</v>
      </c>
      <c r="AA8348" s="2" t="s">
        <v>1727</v>
      </c>
      <c r="AB8348" t="s">
        <v>70</v>
      </c>
      <c r="AC8348" t="s">
        <v>1716</v>
      </c>
      <c r="AD8348" t="s">
        <v>1716</v>
      </c>
      <c r="AE8348" t="s">
        <v>1716</v>
      </c>
      <c r="AG8348" t="s">
        <v>50334</v>
      </c>
      <c r="AH8348" t="s">
        <v>50069</v>
      </c>
      <c r="AI8348" t="s">
        <v>50335</v>
      </c>
    </row>
    <row r="8349" spans="2:35" ht="270">
      <c r="B8349" s="1">
        <v>45030</v>
      </c>
      <c r="C8349" s="4">
        <v>45030.493055555555</v>
      </c>
      <c r="D8349" t="s">
        <v>4183</v>
      </c>
      <c r="E8349" t="s">
        <v>24518</v>
      </c>
      <c r="F8349">
        <v>3</v>
      </c>
      <c r="G8349" t="s">
        <v>134</v>
      </c>
      <c r="H8349" t="s">
        <v>39</v>
      </c>
      <c r="I8349" t="s">
        <v>40</v>
      </c>
      <c r="J8349" s="2" t="s">
        <v>1592</v>
      </c>
      <c r="K8349" t="s">
        <v>42</v>
      </c>
      <c r="L8349" t="s">
        <v>63</v>
      </c>
      <c r="Q8349">
        <v>24231</v>
      </c>
      <c r="R8349" t="s">
        <v>95</v>
      </c>
      <c r="S8349" t="s">
        <v>9328</v>
      </c>
      <c r="T8349">
        <v>29</v>
      </c>
      <c r="U8349" s="2" t="s">
        <v>50071</v>
      </c>
      <c r="V8349" s="1">
        <v>45030</v>
      </c>
      <c r="W8349" t="s">
        <v>26915</v>
      </c>
      <c r="X8349">
        <v>812571</v>
      </c>
      <c r="Y8349" t="s">
        <v>50328</v>
      </c>
      <c r="Z8349" s="2" t="s">
        <v>50329</v>
      </c>
      <c r="AA8349" s="2" t="s">
        <v>1727</v>
      </c>
      <c r="AB8349" t="s">
        <v>70</v>
      </c>
      <c r="AC8349" t="s">
        <v>1716</v>
      </c>
      <c r="AD8349" t="s">
        <v>50075</v>
      </c>
      <c r="AE8349" t="s">
        <v>1716</v>
      </c>
      <c r="AG8349" t="s">
        <v>50336</v>
      </c>
      <c r="AH8349" t="s">
        <v>14739</v>
      </c>
      <c r="AI8349" t="s">
        <v>50337</v>
      </c>
    </row>
    <row r="8350" spans="2:35" ht="180">
      <c r="B8350" s="1">
        <v>45030</v>
      </c>
      <c r="C8350" s="4">
        <v>45030.65625</v>
      </c>
      <c r="D8350" t="s">
        <v>46470</v>
      </c>
      <c r="E8350" t="s">
        <v>50338</v>
      </c>
      <c r="F8350">
        <v>7</v>
      </c>
      <c r="G8350" t="s">
        <v>432</v>
      </c>
      <c r="H8350" t="s">
        <v>39</v>
      </c>
      <c r="I8350" t="s">
        <v>40</v>
      </c>
      <c r="J8350" s="2" t="s">
        <v>355</v>
      </c>
      <c r="K8350" t="s">
        <v>42</v>
      </c>
      <c r="L8350" t="s">
        <v>433</v>
      </c>
      <c r="Q8350">
        <v>24230</v>
      </c>
      <c r="R8350" t="s">
        <v>45</v>
      </c>
      <c r="S8350" t="s">
        <v>50339</v>
      </c>
      <c r="T8350">
        <v>29</v>
      </c>
      <c r="U8350" s="2" t="s">
        <v>50340</v>
      </c>
      <c r="W8350" t="s">
        <v>12212</v>
      </c>
      <c r="X8350">
        <v>804286</v>
      </c>
      <c r="Y8350" t="s">
        <v>50341</v>
      </c>
      <c r="Z8350" t="s">
        <v>50342</v>
      </c>
      <c r="AA8350" t="s">
        <v>50342</v>
      </c>
      <c r="AB8350" t="s">
        <v>1011</v>
      </c>
      <c r="AG8350" t="s">
        <v>50343</v>
      </c>
      <c r="AH8350" t="s">
        <v>50344</v>
      </c>
      <c r="AI8350" t="s">
        <v>50345</v>
      </c>
    </row>
    <row r="8351" spans="2:35" ht="285">
      <c r="B8351" s="1">
        <v>45030</v>
      </c>
      <c r="C8351" s="4">
        <v>45030.560416666667</v>
      </c>
      <c r="D8351" t="s">
        <v>24205</v>
      </c>
      <c r="E8351" t="s">
        <v>2797</v>
      </c>
      <c r="F8351">
        <v>12</v>
      </c>
      <c r="G8351" t="s">
        <v>978</v>
      </c>
      <c r="H8351" t="s">
        <v>39</v>
      </c>
      <c r="I8351" t="s">
        <v>94</v>
      </c>
      <c r="J8351" s="2" t="s">
        <v>62</v>
      </c>
      <c r="K8351" t="s">
        <v>42</v>
      </c>
      <c r="L8351" t="s">
        <v>296</v>
      </c>
      <c r="Q8351">
        <v>24229</v>
      </c>
      <c r="R8351" t="s">
        <v>45</v>
      </c>
      <c r="S8351" t="s">
        <v>31147</v>
      </c>
      <c r="T8351">
        <v>28</v>
      </c>
      <c r="U8351" s="2" t="s">
        <v>50346</v>
      </c>
      <c r="V8351" s="1">
        <v>45030</v>
      </c>
      <c r="W8351" t="s">
        <v>23049</v>
      </c>
      <c r="X8351">
        <v>805007</v>
      </c>
      <c r="Y8351" t="s">
        <v>50347</v>
      </c>
      <c r="Z8351" s="2" t="s">
        <v>50348</v>
      </c>
      <c r="AA8351" s="2" t="s">
        <v>50348</v>
      </c>
      <c r="AB8351" t="s">
        <v>972</v>
      </c>
      <c r="AC8351" t="s">
        <v>50349</v>
      </c>
      <c r="AD8351" t="s">
        <v>18451</v>
      </c>
      <c r="AE8351" t="s">
        <v>50350</v>
      </c>
      <c r="AG8351" t="s">
        <v>50351</v>
      </c>
      <c r="AH8351" t="s">
        <v>31152</v>
      </c>
      <c r="AI8351" t="s">
        <v>50352</v>
      </c>
    </row>
    <row r="8352" spans="2:35" ht="409.5">
      <c r="B8352" s="1">
        <v>45030</v>
      </c>
      <c r="C8352" s="4">
        <v>45030.563888888886</v>
      </c>
      <c r="D8352" t="s">
        <v>46949</v>
      </c>
      <c r="E8352" t="s">
        <v>2328</v>
      </c>
      <c r="F8352">
        <v>7</v>
      </c>
      <c r="G8352" t="s">
        <v>432</v>
      </c>
      <c r="H8352" t="s">
        <v>2290</v>
      </c>
      <c r="I8352" t="s">
        <v>94</v>
      </c>
      <c r="J8352" s="2" t="s">
        <v>609</v>
      </c>
      <c r="K8352" t="s">
        <v>42</v>
      </c>
      <c r="L8352" t="s">
        <v>610</v>
      </c>
      <c r="Q8352">
        <v>24228</v>
      </c>
      <c r="R8352" t="s">
        <v>119</v>
      </c>
      <c r="S8352" t="s">
        <v>2329</v>
      </c>
      <c r="T8352">
        <v>24</v>
      </c>
      <c r="U8352" s="2" t="s">
        <v>50353</v>
      </c>
      <c r="W8352" t="s">
        <v>502</v>
      </c>
      <c r="X8352">
        <v>838506</v>
      </c>
      <c r="Y8352" t="s">
        <v>50354</v>
      </c>
      <c r="Z8352" t="s">
        <v>50355</v>
      </c>
      <c r="AA8352" s="2" t="s">
        <v>50356</v>
      </c>
      <c r="AB8352" t="s">
        <v>1263</v>
      </c>
      <c r="AG8352" t="s">
        <v>50357</v>
      </c>
      <c r="AH8352" t="s">
        <v>13462</v>
      </c>
      <c r="AI8352" t="s">
        <v>50358</v>
      </c>
    </row>
    <row r="8353" spans="2:35" ht="240">
      <c r="B8353" s="1">
        <v>45030</v>
      </c>
      <c r="C8353" s="4">
        <v>45030.504166666666</v>
      </c>
      <c r="D8353" t="s">
        <v>50359</v>
      </c>
      <c r="E8353" t="s">
        <v>50360</v>
      </c>
      <c r="F8353" t="s">
        <v>37</v>
      </c>
      <c r="G8353" t="s">
        <v>189</v>
      </c>
      <c r="H8353" t="s">
        <v>39</v>
      </c>
      <c r="I8353" t="s">
        <v>40</v>
      </c>
      <c r="J8353" s="2" t="s">
        <v>1592</v>
      </c>
      <c r="K8353" t="s">
        <v>42</v>
      </c>
      <c r="L8353" t="s">
        <v>1943</v>
      </c>
      <c r="Q8353">
        <v>24227</v>
      </c>
      <c r="R8353" t="s">
        <v>119</v>
      </c>
      <c r="S8353" t="s">
        <v>41233</v>
      </c>
      <c r="T8353">
        <v>25</v>
      </c>
      <c r="U8353" s="2" t="s">
        <v>27147</v>
      </c>
      <c r="V8353" s="1">
        <v>45012</v>
      </c>
      <c r="W8353" t="s">
        <v>84</v>
      </c>
      <c r="X8353">
        <v>821299</v>
      </c>
      <c r="Y8353" s="2" t="s">
        <v>50361</v>
      </c>
      <c r="Z8353" s="2" t="s">
        <v>50362</v>
      </c>
      <c r="AA8353" t="s">
        <v>50363</v>
      </c>
      <c r="AB8353" t="s">
        <v>50364</v>
      </c>
      <c r="AD8353" t="s">
        <v>50365</v>
      </c>
      <c r="AE8353" t="s">
        <v>50366</v>
      </c>
      <c r="AG8353" t="s">
        <v>50367</v>
      </c>
      <c r="AH8353" t="s">
        <v>50368</v>
      </c>
      <c r="AI8353" t="s">
        <v>50369</v>
      </c>
    </row>
    <row r="8354" spans="2:35" ht="180">
      <c r="B8354" s="1">
        <v>45030</v>
      </c>
      <c r="C8354" s="4">
        <v>45030.474305555559</v>
      </c>
      <c r="D8354" t="s">
        <v>50370</v>
      </c>
      <c r="E8354" t="s">
        <v>50371</v>
      </c>
      <c r="F8354">
        <v>6</v>
      </c>
      <c r="G8354" t="s">
        <v>1234</v>
      </c>
      <c r="H8354" t="s">
        <v>39</v>
      </c>
      <c r="I8354" t="s">
        <v>94</v>
      </c>
      <c r="J8354" s="2" t="s">
        <v>41</v>
      </c>
      <c r="K8354" t="s">
        <v>42</v>
      </c>
      <c r="L8354" t="s">
        <v>270</v>
      </c>
      <c r="Q8354">
        <v>24226</v>
      </c>
      <c r="R8354" t="s">
        <v>45</v>
      </c>
      <c r="S8354" t="s">
        <v>50372</v>
      </c>
      <c r="T8354">
        <v>25</v>
      </c>
      <c r="U8354" s="2" t="s">
        <v>50373</v>
      </c>
      <c r="W8354" t="s">
        <v>1292</v>
      </c>
      <c r="X8354">
        <v>815281</v>
      </c>
      <c r="Y8354" t="s">
        <v>50374</v>
      </c>
      <c r="Z8354" t="s">
        <v>50375</v>
      </c>
      <c r="AA8354" t="s">
        <v>50376</v>
      </c>
      <c r="AB8354" t="s">
        <v>4668</v>
      </c>
      <c r="AG8354" t="s">
        <v>50377</v>
      </c>
      <c r="AH8354" t="s">
        <v>50378</v>
      </c>
      <c r="AI8354" t="s">
        <v>50379</v>
      </c>
    </row>
    <row r="8355" spans="2:35" ht="360">
      <c r="B8355" s="1">
        <v>45030</v>
      </c>
      <c r="C8355" s="4">
        <v>45030.438194444447</v>
      </c>
      <c r="D8355" t="s">
        <v>2364</v>
      </c>
      <c r="E8355" t="s">
        <v>7483</v>
      </c>
      <c r="F8355">
        <v>12</v>
      </c>
      <c r="G8355" t="s">
        <v>978</v>
      </c>
      <c r="H8355" t="s">
        <v>39</v>
      </c>
      <c r="I8355" t="s">
        <v>94</v>
      </c>
      <c r="J8355" s="2" t="s">
        <v>8419</v>
      </c>
      <c r="K8355" t="s">
        <v>42</v>
      </c>
      <c r="L8355" t="s">
        <v>296</v>
      </c>
      <c r="Q8355">
        <v>24225</v>
      </c>
      <c r="R8355" t="s">
        <v>119</v>
      </c>
      <c r="S8355" t="s">
        <v>50380</v>
      </c>
      <c r="T8355">
        <v>23.3</v>
      </c>
      <c r="U8355" s="2" t="s">
        <v>50381</v>
      </c>
      <c r="V8355" s="1">
        <v>45030</v>
      </c>
      <c r="W8355" t="s">
        <v>23049</v>
      </c>
      <c r="X8355">
        <v>838570</v>
      </c>
      <c r="Y8355" s="2" t="s">
        <v>50382</v>
      </c>
      <c r="Z8355" s="2" t="s">
        <v>50383</v>
      </c>
      <c r="AA8355" s="2" t="s">
        <v>50383</v>
      </c>
      <c r="AB8355" t="s">
        <v>972</v>
      </c>
      <c r="AC8355" t="s">
        <v>50384</v>
      </c>
      <c r="AD8355" t="s">
        <v>50385</v>
      </c>
      <c r="AE8355" t="s">
        <v>50386</v>
      </c>
      <c r="AG8355" t="s">
        <v>50387</v>
      </c>
      <c r="AH8355" t="s">
        <v>50388</v>
      </c>
      <c r="AI8355" t="s">
        <v>50389</v>
      </c>
    </row>
    <row r="8356" spans="2:35" ht="180">
      <c r="B8356" s="1">
        <v>45030</v>
      </c>
      <c r="C8356" s="4">
        <v>45030.43472222222</v>
      </c>
      <c r="D8356" t="s">
        <v>50390</v>
      </c>
      <c r="E8356" t="s">
        <v>50391</v>
      </c>
      <c r="F8356">
        <v>6</v>
      </c>
      <c r="G8356" t="s">
        <v>1507</v>
      </c>
      <c r="H8356" t="s">
        <v>1498</v>
      </c>
      <c r="I8356" t="s">
        <v>94</v>
      </c>
      <c r="J8356" s="2" t="s">
        <v>41</v>
      </c>
      <c r="K8356" t="s">
        <v>42</v>
      </c>
      <c r="L8356" t="s">
        <v>343</v>
      </c>
      <c r="Q8356">
        <v>24224</v>
      </c>
      <c r="R8356" t="s">
        <v>45</v>
      </c>
      <c r="S8356" t="s">
        <v>50392</v>
      </c>
      <c r="T8356">
        <v>27</v>
      </c>
      <c r="U8356" s="2" t="s">
        <v>50393</v>
      </c>
      <c r="W8356" t="s">
        <v>6105</v>
      </c>
      <c r="X8356">
        <v>815282</v>
      </c>
      <c r="Y8356" t="s">
        <v>50394</v>
      </c>
      <c r="Z8356" t="e">
        <f ca="1">-_xludf.Replace CMOS battery
-Change boot options _xludf.For newly installed CMOS battery</f>
        <v>#NAME?</v>
      </c>
      <c r="AA8356" t="e">
        <f ca="1">-Preventive Maintenance</f>
        <v>#NAME?</v>
      </c>
      <c r="AB8356" t="s">
        <v>50395</v>
      </c>
      <c r="AG8356" t="s">
        <v>50396</v>
      </c>
      <c r="AH8356" t="s">
        <v>50397</v>
      </c>
      <c r="AI8356" t="s">
        <v>50398</v>
      </c>
    </row>
    <row r="8357" spans="2:35" ht="409.5">
      <c r="B8357" s="1">
        <v>45030</v>
      </c>
      <c r="C8357" s="4">
        <v>45030.422222222223</v>
      </c>
      <c r="D8357" t="s">
        <v>50399</v>
      </c>
      <c r="E8357" t="s">
        <v>50400</v>
      </c>
      <c r="F8357">
        <v>6</v>
      </c>
      <c r="G8357" t="s">
        <v>9400</v>
      </c>
      <c r="H8357" t="s">
        <v>1047</v>
      </c>
      <c r="I8357" t="s">
        <v>40</v>
      </c>
      <c r="J8357" s="2" t="s">
        <v>41</v>
      </c>
      <c r="K8357" t="s">
        <v>42</v>
      </c>
      <c r="L8357" t="s">
        <v>1288</v>
      </c>
      <c r="Q8357">
        <v>24222</v>
      </c>
      <c r="R8357" t="s">
        <v>119</v>
      </c>
      <c r="S8357" t="s">
        <v>9401</v>
      </c>
      <c r="T8357">
        <v>26</v>
      </c>
      <c r="U8357" s="2" t="s">
        <v>50401</v>
      </c>
      <c r="V8357" s="1">
        <v>45013</v>
      </c>
      <c r="W8357" t="s">
        <v>1292</v>
      </c>
      <c r="X8357">
        <v>838412</v>
      </c>
      <c r="Y8357" t="s">
        <v>50402</v>
      </c>
      <c r="Z8357" t="e">
        <f ca="1">-COLLECT IQR , sytem _xludf.Log , _xludf.and ARCHIVE</f>
        <v>#NAME?</v>
      </c>
      <c r="AA8357" s="2" t="s">
        <v>50403</v>
      </c>
      <c r="AB8357" t="s">
        <v>1293</v>
      </c>
      <c r="AC8357" t="s">
        <v>50404</v>
      </c>
      <c r="AD8357" t="s">
        <v>10783</v>
      </c>
      <c r="AE8357" s="3">
        <v>98339834</v>
      </c>
      <c r="AG8357" t="s">
        <v>50405</v>
      </c>
      <c r="AH8357" t="s">
        <v>39450</v>
      </c>
      <c r="AI8357" t="s">
        <v>50406</v>
      </c>
    </row>
    <row r="8358" spans="2:35" ht="315">
      <c r="B8358" s="1">
        <v>45030</v>
      </c>
      <c r="C8358" s="4">
        <v>45030.428472222222</v>
      </c>
      <c r="D8358" t="s">
        <v>50399</v>
      </c>
      <c r="E8358" t="s">
        <v>50400</v>
      </c>
      <c r="F8358">
        <v>6</v>
      </c>
      <c r="G8358" t="s">
        <v>9400</v>
      </c>
      <c r="H8358" t="s">
        <v>1047</v>
      </c>
      <c r="I8358" t="s">
        <v>40</v>
      </c>
      <c r="J8358" s="2" t="s">
        <v>190</v>
      </c>
      <c r="K8358" t="s">
        <v>42</v>
      </c>
      <c r="L8358" t="s">
        <v>1288</v>
      </c>
      <c r="Q8358">
        <v>24223</v>
      </c>
      <c r="R8358" t="s">
        <v>45</v>
      </c>
      <c r="S8358" t="s">
        <v>9401</v>
      </c>
      <c r="T8358">
        <v>27</v>
      </c>
      <c r="U8358" s="2" t="s">
        <v>50401</v>
      </c>
      <c r="W8358" t="s">
        <v>1292</v>
      </c>
      <c r="X8358">
        <v>804714</v>
      </c>
      <c r="Y8358" t="s">
        <v>50407</v>
      </c>
      <c r="Z8358" t="s">
        <v>9107</v>
      </c>
      <c r="AA8358" s="2" t="s">
        <v>50408</v>
      </c>
      <c r="AB8358" t="s">
        <v>1293</v>
      </c>
      <c r="AC8358" t="s">
        <v>50409</v>
      </c>
      <c r="AG8358" t="s">
        <v>50410</v>
      </c>
      <c r="AH8358" t="s">
        <v>39450</v>
      </c>
      <c r="AI8358" t="s">
        <v>50411</v>
      </c>
    </row>
    <row r="8359" spans="2:35" ht="165">
      <c r="B8359" s="1">
        <v>45030</v>
      </c>
      <c r="C8359" s="4">
        <v>45030.424305555556</v>
      </c>
      <c r="D8359" t="s">
        <v>2250</v>
      </c>
      <c r="E8359" t="s">
        <v>50412</v>
      </c>
      <c r="F8359" t="s">
        <v>37</v>
      </c>
      <c r="G8359" t="s">
        <v>189</v>
      </c>
      <c r="H8359" t="s">
        <v>39</v>
      </c>
      <c r="I8359" t="s">
        <v>40</v>
      </c>
      <c r="J8359" s="2" t="s">
        <v>41</v>
      </c>
      <c r="K8359" t="s">
        <v>42</v>
      </c>
      <c r="L8359" t="s">
        <v>1943</v>
      </c>
      <c r="Q8359">
        <v>24221</v>
      </c>
      <c r="R8359" t="s">
        <v>119</v>
      </c>
      <c r="S8359" t="s">
        <v>41273</v>
      </c>
      <c r="T8359">
        <v>25</v>
      </c>
      <c r="U8359" s="2" t="s">
        <v>9839</v>
      </c>
      <c r="V8359" s="1">
        <v>45027</v>
      </c>
      <c r="W8359" t="s">
        <v>84</v>
      </c>
      <c r="X8359">
        <v>820201</v>
      </c>
      <c r="Y8359" s="2" t="s">
        <v>22329</v>
      </c>
      <c r="Z8359" s="2" t="s">
        <v>50413</v>
      </c>
      <c r="AA8359" t="s">
        <v>22330</v>
      </c>
      <c r="AB8359" t="s">
        <v>88</v>
      </c>
      <c r="AD8359" t="s">
        <v>50414</v>
      </c>
      <c r="AE8359" t="s">
        <v>50415</v>
      </c>
      <c r="AG8359" t="s">
        <v>50416</v>
      </c>
      <c r="AH8359" t="s">
        <v>2255</v>
      </c>
      <c r="AI8359" t="s">
        <v>50417</v>
      </c>
    </row>
    <row r="8360" spans="2:35" ht="285">
      <c r="B8360" s="1">
        <v>45030</v>
      </c>
      <c r="C8360" s="4">
        <v>45030.413888888892</v>
      </c>
      <c r="D8360" t="s">
        <v>50418</v>
      </c>
      <c r="E8360" t="s">
        <v>31780</v>
      </c>
      <c r="F8360">
        <v>8</v>
      </c>
      <c r="G8360" t="s">
        <v>342</v>
      </c>
      <c r="H8360" t="s">
        <v>39</v>
      </c>
      <c r="I8360" t="s">
        <v>40</v>
      </c>
      <c r="J8360" s="2" t="s">
        <v>41</v>
      </c>
      <c r="K8360" t="s">
        <v>42</v>
      </c>
      <c r="L8360" t="s">
        <v>259</v>
      </c>
      <c r="Q8360">
        <v>24220</v>
      </c>
      <c r="R8360" t="s">
        <v>45</v>
      </c>
      <c r="S8360" t="s">
        <v>23575</v>
      </c>
      <c r="T8360">
        <v>26</v>
      </c>
      <c r="U8360" s="2" t="s">
        <v>50419</v>
      </c>
      <c r="V8360" s="1">
        <v>45030</v>
      </c>
      <c r="W8360" t="s">
        <v>84</v>
      </c>
      <c r="X8360">
        <v>808631</v>
      </c>
      <c r="Y8360" t="e">
        <f ca="1">- stuck cartridge (module B2)</f>
        <v>#NAME?</v>
      </c>
      <c r="Z8360" t="e">
        <f ca="1">- removed stuck cartridge on module B2
- performed Preventive Maintenance
- performed functionality test
- Generate reports</f>
        <v>#NAME?</v>
      </c>
      <c r="AA8360" t="e">
        <f ca="1">-Rapair
- Preventive Maintenance</f>
        <v>#NAME?</v>
      </c>
      <c r="AB8360" t="s">
        <v>70</v>
      </c>
      <c r="AG8360" t="s">
        <v>50420</v>
      </c>
      <c r="AH8360" t="s">
        <v>50421</v>
      </c>
      <c r="AI8360" t="s">
        <v>50422</v>
      </c>
    </row>
    <row r="8361" spans="2:35" ht="315">
      <c r="B8361" s="1">
        <v>45030</v>
      </c>
      <c r="C8361" s="4">
        <v>45030.07708333333</v>
      </c>
      <c r="D8361" t="s">
        <v>4206</v>
      </c>
      <c r="E8361" t="s">
        <v>14660</v>
      </c>
      <c r="F8361">
        <v>11</v>
      </c>
      <c r="G8361" t="s">
        <v>2836</v>
      </c>
      <c r="H8361" t="s">
        <v>202</v>
      </c>
      <c r="I8361" t="s">
        <v>40</v>
      </c>
      <c r="J8361" t="s">
        <v>109</v>
      </c>
      <c r="K8361" t="s">
        <v>42</v>
      </c>
      <c r="L8361" t="s">
        <v>204</v>
      </c>
      <c r="Q8361">
        <v>24219</v>
      </c>
      <c r="R8361" t="s">
        <v>119</v>
      </c>
      <c r="S8361" t="s">
        <v>4209</v>
      </c>
      <c r="T8361">
        <v>23.8</v>
      </c>
      <c r="W8361" t="s">
        <v>23237</v>
      </c>
      <c r="X8361">
        <v>838295</v>
      </c>
      <c r="Y8361" t="s">
        <v>1052</v>
      </c>
      <c r="Z8361" s="2" t="s">
        <v>8775</v>
      </c>
      <c r="AA8361" t="s">
        <v>2551</v>
      </c>
      <c r="AB8361" t="s">
        <v>46923</v>
      </c>
      <c r="AG8361" t="s">
        <v>50423</v>
      </c>
      <c r="AH8361" t="s">
        <v>46130</v>
      </c>
      <c r="AI8361" t="s">
        <v>50424</v>
      </c>
    </row>
    <row r="8362" spans="2:35">
      <c r="B8362" s="1">
        <v>45030</v>
      </c>
      <c r="C8362" s="4">
        <v>45029.634722222225</v>
      </c>
      <c r="D8362" t="s">
        <v>42431</v>
      </c>
      <c r="E8362" t="s">
        <v>50425</v>
      </c>
      <c r="F8362" t="s">
        <v>148</v>
      </c>
      <c r="G8362" t="s">
        <v>447</v>
      </c>
      <c r="H8362" t="s">
        <v>50426</v>
      </c>
      <c r="I8362" t="s">
        <v>40</v>
      </c>
      <c r="J8362" t="s">
        <v>79</v>
      </c>
      <c r="K8362" t="s">
        <v>42</v>
      </c>
      <c r="L8362" t="s">
        <v>448</v>
      </c>
      <c r="Q8362">
        <v>24218</v>
      </c>
      <c r="R8362" t="s">
        <v>45</v>
      </c>
      <c r="S8362" t="s">
        <v>50427</v>
      </c>
      <c r="T8362">
        <v>28</v>
      </c>
      <c r="V8362" s="1">
        <v>45029</v>
      </c>
      <c r="W8362" t="s">
        <v>50428</v>
      </c>
      <c r="X8362">
        <v>704584</v>
      </c>
      <c r="Y8362" t="s">
        <v>50429</v>
      </c>
      <c r="Z8362" t="s">
        <v>50430</v>
      </c>
      <c r="AA8362" t="s">
        <v>50431</v>
      </c>
      <c r="AB8362" t="s">
        <v>486</v>
      </c>
      <c r="AD8362" t="s">
        <v>46823</v>
      </c>
      <c r="AE8362">
        <v>0</v>
      </c>
      <c r="AG8362" t="s">
        <v>50432</v>
      </c>
      <c r="AH8362" t="s">
        <v>50433</v>
      </c>
      <c r="AI8362" t="s">
        <v>50434</v>
      </c>
    </row>
    <row r="8363" spans="2:35" ht="180">
      <c r="B8363" s="1">
        <v>45029</v>
      </c>
      <c r="C8363" s="4">
        <v>45029.880555555559</v>
      </c>
      <c r="D8363" t="s">
        <v>50435</v>
      </c>
      <c r="E8363" t="s">
        <v>12984</v>
      </c>
      <c r="F8363">
        <v>7</v>
      </c>
      <c r="G8363" t="s">
        <v>432</v>
      </c>
      <c r="H8363" t="s">
        <v>39</v>
      </c>
      <c r="I8363" t="s">
        <v>94</v>
      </c>
      <c r="J8363" s="2" t="s">
        <v>1370</v>
      </c>
      <c r="K8363" t="s">
        <v>42</v>
      </c>
      <c r="L8363" t="s">
        <v>433</v>
      </c>
      <c r="Q8363">
        <v>24217</v>
      </c>
      <c r="R8363" t="s">
        <v>119</v>
      </c>
      <c r="S8363" t="s">
        <v>27956</v>
      </c>
      <c r="T8363">
        <v>28</v>
      </c>
      <c r="U8363" s="2" t="s">
        <v>50436</v>
      </c>
      <c r="W8363" t="s">
        <v>84</v>
      </c>
      <c r="X8363">
        <v>838394</v>
      </c>
      <c r="Y8363" t="s">
        <v>50437</v>
      </c>
      <c r="Z8363" t="s">
        <v>50438</v>
      </c>
      <c r="AA8363" t="s">
        <v>50439</v>
      </c>
      <c r="AB8363" t="s">
        <v>1011</v>
      </c>
      <c r="AG8363" t="s">
        <v>50440</v>
      </c>
      <c r="AH8363" t="s">
        <v>12989</v>
      </c>
      <c r="AI8363" t="s">
        <v>50441</v>
      </c>
    </row>
    <row r="8364" spans="2:35" ht="270">
      <c r="B8364" s="1">
        <v>45029</v>
      </c>
      <c r="C8364" s="4">
        <v>45029.692361111112</v>
      </c>
      <c r="D8364" t="s">
        <v>4218</v>
      </c>
      <c r="E8364" t="s">
        <v>4219</v>
      </c>
      <c r="F8364">
        <v>3</v>
      </c>
      <c r="G8364" t="s">
        <v>1722</v>
      </c>
      <c r="H8364" t="s">
        <v>39</v>
      </c>
      <c r="I8364" t="s">
        <v>40</v>
      </c>
      <c r="J8364" s="2" t="s">
        <v>1592</v>
      </c>
      <c r="K8364" t="s">
        <v>42</v>
      </c>
      <c r="L8364" t="s">
        <v>63</v>
      </c>
      <c r="Q8364">
        <v>24216</v>
      </c>
      <c r="R8364" t="s">
        <v>119</v>
      </c>
      <c r="S8364" t="s">
        <v>4220</v>
      </c>
      <c r="T8364">
        <v>29</v>
      </c>
      <c r="U8364" s="2" t="s">
        <v>50442</v>
      </c>
      <c r="V8364" s="1">
        <v>45068</v>
      </c>
      <c r="W8364" t="s">
        <v>26915</v>
      </c>
      <c r="X8364">
        <v>831637</v>
      </c>
      <c r="Y8364" t="s">
        <v>6973</v>
      </c>
      <c r="Z8364" t="s">
        <v>35750</v>
      </c>
      <c r="AA8364" s="2" t="s">
        <v>50443</v>
      </c>
      <c r="AB8364" t="s">
        <v>70</v>
      </c>
      <c r="AC8364" t="s">
        <v>11378</v>
      </c>
      <c r="AD8364" t="s">
        <v>50444</v>
      </c>
      <c r="AE8364">
        <v>9773</v>
      </c>
      <c r="AG8364" t="s">
        <v>50445</v>
      </c>
      <c r="AH8364" t="s">
        <v>26856</v>
      </c>
      <c r="AI8364" t="s">
        <v>50446</v>
      </c>
    </row>
    <row r="8365" spans="2:35" ht="270">
      <c r="B8365" s="1">
        <v>45029</v>
      </c>
      <c r="C8365" s="4">
        <v>45029.692361111112</v>
      </c>
      <c r="D8365" t="s">
        <v>4218</v>
      </c>
      <c r="E8365" t="s">
        <v>4219</v>
      </c>
      <c r="F8365">
        <v>3</v>
      </c>
      <c r="G8365" t="s">
        <v>1722</v>
      </c>
      <c r="H8365" t="s">
        <v>39</v>
      </c>
      <c r="I8365" t="s">
        <v>40</v>
      </c>
      <c r="J8365" s="2" t="s">
        <v>1592</v>
      </c>
      <c r="K8365" t="s">
        <v>42</v>
      </c>
      <c r="L8365" t="s">
        <v>63</v>
      </c>
      <c r="Q8365">
        <v>24215</v>
      </c>
      <c r="R8365" t="s">
        <v>119</v>
      </c>
      <c r="S8365" t="s">
        <v>4220</v>
      </c>
      <c r="T8365">
        <v>29</v>
      </c>
      <c r="U8365" s="2" t="s">
        <v>50442</v>
      </c>
      <c r="V8365" s="1">
        <v>45068</v>
      </c>
      <c r="W8365" t="s">
        <v>26915</v>
      </c>
      <c r="X8365">
        <v>831637</v>
      </c>
      <c r="Y8365" t="s">
        <v>6973</v>
      </c>
      <c r="Z8365" t="s">
        <v>35750</v>
      </c>
      <c r="AA8365" s="2" t="s">
        <v>50443</v>
      </c>
      <c r="AB8365" t="s">
        <v>70</v>
      </c>
      <c r="AC8365" t="s">
        <v>11378</v>
      </c>
      <c r="AD8365" t="s">
        <v>50444</v>
      </c>
      <c r="AE8365">
        <v>9773</v>
      </c>
      <c r="AG8365" t="s">
        <v>50447</v>
      </c>
      <c r="AH8365" t="s">
        <v>26856</v>
      </c>
      <c r="AI8365" t="s">
        <v>50448</v>
      </c>
    </row>
    <row r="8366" spans="2:35" ht="180">
      <c r="B8366" s="1">
        <v>45029</v>
      </c>
      <c r="C8366" s="4">
        <v>45029.691666666666</v>
      </c>
      <c r="D8366" t="s">
        <v>44758</v>
      </c>
      <c r="E8366" t="s">
        <v>44759</v>
      </c>
      <c r="F8366">
        <v>6</v>
      </c>
      <c r="G8366" t="s">
        <v>1286</v>
      </c>
      <c r="H8366" t="s">
        <v>39</v>
      </c>
      <c r="I8366" t="s">
        <v>94</v>
      </c>
      <c r="J8366" s="2" t="s">
        <v>1309</v>
      </c>
      <c r="K8366" t="s">
        <v>42</v>
      </c>
      <c r="L8366" t="s">
        <v>343</v>
      </c>
      <c r="Q8366">
        <v>24214</v>
      </c>
      <c r="R8366" t="s">
        <v>45</v>
      </c>
      <c r="S8366" t="s">
        <v>44760</v>
      </c>
      <c r="T8366">
        <v>23</v>
      </c>
      <c r="U8366" s="2" t="s">
        <v>50449</v>
      </c>
      <c r="V8366" s="1">
        <v>45029</v>
      </c>
      <c r="W8366" t="s">
        <v>360</v>
      </c>
      <c r="X8366">
        <v>807555</v>
      </c>
      <c r="Y8366" t="s">
        <v>50450</v>
      </c>
      <c r="Z8366" t="s">
        <v>50451</v>
      </c>
      <c r="AA8366" t="e">
        <f ca="1">-Preventive Maintenance
-module Replacement
-Xpert Check CALIBRATION on module B2, B3, B4</f>
        <v>#NAME?</v>
      </c>
      <c r="AB8366" t="s">
        <v>50452</v>
      </c>
      <c r="AC8366" t="s">
        <v>50453</v>
      </c>
      <c r="AD8366" t="s">
        <v>50454</v>
      </c>
      <c r="AE8366" t="s">
        <v>45</v>
      </c>
      <c r="AG8366" t="s">
        <v>50455</v>
      </c>
      <c r="AH8366" t="s">
        <v>44764</v>
      </c>
      <c r="AI8366" t="s">
        <v>50456</v>
      </c>
    </row>
    <row r="8367" spans="2:35" ht="375">
      <c r="B8367" s="1">
        <v>45029</v>
      </c>
      <c r="C8367" s="4">
        <v>45029.694444444445</v>
      </c>
      <c r="D8367" t="s">
        <v>638</v>
      </c>
      <c r="E8367" t="s">
        <v>639</v>
      </c>
      <c r="F8367">
        <v>3</v>
      </c>
      <c r="G8367" t="s">
        <v>284</v>
      </c>
      <c r="H8367" t="s">
        <v>39</v>
      </c>
      <c r="I8367" t="s">
        <v>40</v>
      </c>
      <c r="J8367" s="2" t="s">
        <v>62</v>
      </c>
      <c r="K8367" t="s">
        <v>42</v>
      </c>
      <c r="L8367" t="s">
        <v>135</v>
      </c>
      <c r="Q8367">
        <v>24213</v>
      </c>
      <c r="R8367" t="s">
        <v>119</v>
      </c>
      <c r="S8367" t="s">
        <v>640</v>
      </c>
      <c r="T8367">
        <v>29</v>
      </c>
      <c r="U8367" s="2" t="s">
        <v>50457</v>
      </c>
      <c r="V8367" s="1">
        <v>44964</v>
      </c>
      <c r="W8367" t="s">
        <v>2680</v>
      </c>
      <c r="X8367">
        <v>831894</v>
      </c>
      <c r="Y8367" t="s">
        <v>1751</v>
      </c>
      <c r="Z8367" s="2" t="s">
        <v>50458</v>
      </c>
      <c r="AA8367" s="2" t="s">
        <v>50459</v>
      </c>
      <c r="AB8367" t="s">
        <v>181</v>
      </c>
      <c r="AC8367" t="s">
        <v>50460</v>
      </c>
      <c r="AD8367" t="s">
        <v>948</v>
      </c>
      <c r="AE8367">
        <v>9605</v>
      </c>
      <c r="AG8367" t="s">
        <v>50461</v>
      </c>
      <c r="AH8367" t="s">
        <v>50462</v>
      </c>
      <c r="AI8367" t="s">
        <v>50463</v>
      </c>
    </row>
    <row r="8368" spans="2:35" ht="195">
      <c r="B8368" s="1">
        <v>45029</v>
      </c>
      <c r="C8368" s="4">
        <v>45029.597222222219</v>
      </c>
      <c r="D8368" t="s">
        <v>28489</v>
      </c>
      <c r="E8368" t="s">
        <v>50206</v>
      </c>
      <c r="F8368" t="s">
        <v>148</v>
      </c>
      <c r="G8368" t="s">
        <v>2007</v>
      </c>
      <c r="H8368" t="s">
        <v>39</v>
      </c>
      <c r="I8368" t="s">
        <v>40</v>
      </c>
      <c r="J8368" s="2" t="s">
        <v>62</v>
      </c>
      <c r="K8368" t="s">
        <v>2629</v>
      </c>
      <c r="L8368" t="s">
        <v>43</v>
      </c>
      <c r="Q8368">
        <v>24212</v>
      </c>
      <c r="R8368" t="s">
        <v>95</v>
      </c>
      <c r="S8368" t="s">
        <v>28491</v>
      </c>
      <c r="T8368">
        <v>25</v>
      </c>
      <c r="W8368" t="s">
        <v>35334</v>
      </c>
      <c r="X8368">
        <v>3134004145</v>
      </c>
      <c r="Y8368" t="s">
        <v>121</v>
      </c>
      <c r="Z8368" t="s">
        <v>122</v>
      </c>
      <c r="AA8368" s="2" t="s">
        <v>50207</v>
      </c>
      <c r="AB8368" t="s">
        <v>88</v>
      </c>
      <c r="AG8368" t="s">
        <v>50464</v>
      </c>
      <c r="AH8368" t="s">
        <v>50209</v>
      </c>
      <c r="AI8368" t="s">
        <v>50465</v>
      </c>
    </row>
    <row r="8369" spans="2:35" ht="180">
      <c r="B8369" s="1">
        <v>45029</v>
      </c>
      <c r="C8369" s="4">
        <v>45028.418749999997</v>
      </c>
      <c r="D8369" t="s">
        <v>985</v>
      </c>
      <c r="E8369" t="s">
        <v>50466</v>
      </c>
      <c r="F8369" t="s">
        <v>148</v>
      </c>
      <c r="G8369" t="s">
        <v>785</v>
      </c>
      <c r="H8369" t="s">
        <v>39</v>
      </c>
      <c r="I8369" t="s">
        <v>40</v>
      </c>
      <c r="J8369" s="2" t="s">
        <v>62</v>
      </c>
      <c r="K8369" t="s">
        <v>42</v>
      </c>
      <c r="L8369" t="s">
        <v>43</v>
      </c>
      <c r="Q8369">
        <v>24211</v>
      </c>
      <c r="R8369" t="s">
        <v>45</v>
      </c>
      <c r="S8369" t="s">
        <v>46451</v>
      </c>
      <c r="T8369">
        <v>25</v>
      </c>
      <c r="U8369" s="2" t="s">
        <v>50467</v>
      </c>
      <c r="W8369" t="s">
        <v>9792</v>
      </c>
      <c r="X8369">
        <v>805010</v>
      </c>
      <c r="Y8369" t="s">
        <v>1111</v>
      </c>
      <c r="Z8369" t="s">
        <v>1519</v>
      </c>
      <c r="AA8369" s="2" t="s">
        <v>38266</v>
      </c>
      <c r="AB8369" t="s">
        <v>50468</v>
      </c>
      <c r="AG8369" t="s">
        <v>50469</v>
      </c>
      <c r="AH8369" t="s">
        <v>48401</v>
      </c>
      <c r="AI8369" t="s">
        <v>50470</v>
      </c>
    </row>
    <row r="8370" spans="2:35" ht="255">
      <c r="B8370" s="1">
        <v>45029</v>
      </c>
      <c r="C8370" s="4">
        <v>45029.526388888888</v>
      </c>
      <c r="D8370" t="s">
        <v>28489</v>
      </c>
      <c r="E8370" t="s">
        <v>50206</v>
      </c>
      <c r="F8370" t="s">
        <v>148</v>
      </c>
      <c r="G8370" t="s">
        <v>2007</v>
      </c>
      <c r="H8370" t="s">
        <v>39</v>
      </c>
      <c r="I8370" t="s">
        <v>40</v>
      </c>
      <c r="J8370" t="s">
        <v>79</v>
      </c>
      <c r="K8370" t="s">
        <v>42</v>
      </c>
      <c r="L8370" t="s">
        <v>43</v>
      </c>
      <c r="Q8370">
        <v>24209</v>
      </c>
      <c r="R8370" t="s">
        <v>1268</v>
      </c>
      <c r="S8370" t="s">
        <v>28491</v>
      </c>
      <c r="T8370">
        <v>25</v>
      </c>
      <c r="U8370" s="2" t="s">
        <v>50471</v>
      </c>
      <c r="V8370" s="1">
        <v>45026</v>
      </c>
      <c r="W8370" t="s">
        <v>153</v>
      </c>
      <c r="X8370">
        <v>110004816</v>
      </c>
      <c r="Y8370" t="s">
        <v>50472</v>
      </c>
      <c r="Z8370" t="s">
        <v>40723</v>
      </c>
      <c r="AA8370" s="2" t="s">
        <v>43527</v>
      </c>
      <c r="AB8370" t="s">
        <v>16412</v>
      </c>
      <c r="AD8370" s="2" t="s">
        <v>50473</v>
      </c>
      <c r="AE8370" t="s">
        <v>54</v>
      </c>
      <c r="AG8370" t="s">
        <v>50474</v>
      </c>
      <c r="AH8370" t="s">
        <v>38658</v>
      </c>
      <c r="AI8370" t="s">
        <v>50475</v>
      </c>
    </row>
    <row r="8371" spans="2:35" ht="195">
      <c r="B8371" s="1">
        <v>45029</v>
      </c>
      <c r="C8371" s="4">
        <v>45029.531944444447</v>
      </c>
      <c r="D8371" t="s">
        <v>28489</v>
      </c>
      <c r="E8371" t="s">
        <v>50206</v>
      </c>
      <c r="F8371" t="s">
        <v>148</v>
      </c>
      <c r="G8371" t="s">
        <v>2007</v>
      </c>
      <c r="H8371" t="s">
        <v>39</v>
      </c>
      <c r="I8371" t="s">
        <v>40</v>
      </c>
      <c r="J8371" t="s">
        <v>109</v>
      </c>
      <c r="K8371" t="s">
        <v>42</v>
      </c>
      <c r="L8371" t="s">
        <v>43</v>
      </c>
      <c r="Q8371">
        <v>24208</v>
      </c>
      <c r="R8371" t="s">
        <v>1268</v>
      </c>
      <c r="S8371" t="s">
        <v>28491</v>
      </c>
      <c r="T8371">
        <v>25</v>
      </c>
      <c r="W8371" t="s">
        <v>9792</v>
      </c>
      <c r="X8371">
        <v>805288</v>
      </c>
      <c r="Y8371" t="s">
        <v>121</v>
      </c>
      <c r="Z8371" t="s">
        <v>122</v>
      </c>
      <c r="AA8371" s="2" t="s">
        <v>48972</v>
      </c>
      <c r="AB8371" t="s">
        <v>16412</v>
      </c>
      <c r="AG8371" t="s">
        <v>50476</v>
      </c>
      <c r="AH8371" t="s">
        <v>38658</v>
      </c>
      <c r="AI8371" t="s">
        <v>50477</v>
      </c>
    </row>
    <row r="8372" spans="2:35" ht="210">
      <c r="B8372" s="1">
        <v>45029</v>
      </c>
      <c r="C8372" s="4">
        <v>45028.50277777778</v>
      </c>
      <c r="D8372" t="s">
        <v>4757</v>
      </c>
      <c r="E8372" t="s">
        <v>50478</v>
      </c>
      <c r="F8372" t="s">
        <v>148</v>
      </c>
      <c r="G8372" t="s">
        <v>785</v>
      </c>
      <c r="H8372" t="s">
        <v>39</v>
      </c>
      <c r="I8372" t="s">
        <v>40</v>
      </c>
      <c r="J8372" s="2" t="s">
        <v>41</v>
      </c>
      <c r="K8372" t="s">
        <v>42</v>
      </c>
      <c r="L8372" t="s">
        <v>43</v>
      </c>
      <c r="Q8372">
        <v>24210</v>
      </c>
      <c r="R8372" t="s">
        <v>119</v>
      </c>
      <c r="S8372" t="s">
        <v>35707</v>
      </c>
      <c r="T8372">
        <v>25</v>
      </c>
      <c r="U8372" s="2" t="s">
        <v>50479</v>
      </c>
      <c r="V8372" s="1">
        <v>44964</v>
      </c>
      <c r="W8372" t="s">
        <v>9792</v>
      </c>
      <c r="X8372">
        <v>831905</v>
      </c>
      <c r="Y8372" t="s">
        <v>11026</v>
      </c>
      <c r="Z8372" t="s">
        <v>9395</v>
      </c>
      <c r="AA8372" s="2" t="s">
        <v>50480</v>
      </c>
      <c r="AB8372" t="s">
        <v>50481</v>
      </c>
      <c r="AD8372" t="s">
        <v>1859</v>
      </c>
      <c r="AE8372" t="s">
        <v>50482</v>
      </c>
      <c r="AG8372" t="s">
        <v>50483</v>
      </c>
      <c r="AH8372" t="s">
        <v>35710</v>
      </c>
      <c r="AI8372" t="s">
        <v>50484</v>
      </c>
    </row>
    <row r="8373" spans="2:35" ht="195">
      <c r="B8373" s="1">
        <v>45029</v>
      </c>
      <c r="C8373" s="4">
        <v>45029.553472222222</v>
      </c>
      <c r="D8373" t="s">
        <v>28489</v>
      </c>
      <c r="E8373" t="s">
        <v>50485</v>
      </c>
      <c r="F8373" t="s">
        <v>148</v>
      </c>
      <c r="G8373" t="s">
        <v>2007</v>
      </c>
      <c r="H8373" t="s">
        <v>39</v>
      </c>
      <c r="I8373" t="s">
        <v>40</v>
      </c>
      <c r="J8373" t="s">
        <v>109</v>
      </c>
      <c r="K8373" t="s">
        <v>42</v>
      </c>
      <c r="L8373" t="s">
        <v>43</v>
      </c>
      <c r="Q8373">
        <v>24211</v>
      </c>
      <c r="R8373" t="s">
        <v>1268</v>
      </c>
      <c r="S8373" t="s">
        <v>28491</v>
      </c>
      <c r="T8373">
        <v>25</v>
      </c>
      <c r="W8373" t="s">
        <v>9792</v>
      </c>
      <c r="X8373">
        <v>110002868</v>
      </c>
      <c r="Y8373" t="s">
        <v>121</v>
      </c>
      <c r="Z8373" t="s">
        <v>122</v>
      </c>
      <c r="AA8373" s="2" t="s">
        <v>50486</v>
      </c>
      <c r="AB8373" t="s">
        <v>7543</v>
      </c>
      <c r="AG8373" t="s">
        <v>50487</v>
      </c>
      <c r="AH8373" t="s">
        <v>38658</v>
      </c>
      <c r="AI8373" t="s">
        <v>50488</v>
      </c>
    </row>
    <row r="8374" spans="2:35" ht="255">
      <c r="B8374" s="1">
        <v>45029</v>
      </c>
      <c r="C8374" s="4">
        <v>45029.661805555559</v>
      </c>
      <c r="D8374" t="s">
        <v>1738</v>
      </c>
      <c r="E8374" t="s">
        <v>639</v>
      </c>
      <c r="F8374">
        <v>3</v>
      </c>
      <c r="G8374" t="s">
        <v>284</v>
      </c>
      <c r="H8374" t="s">
        <v>39</v>
      </c>
      <c r="I8374" t="s">
        <v>40</v>
      </c>
      <c r="J8374" s="2" t="s">
        <v>1592</v>
      </c>
      <c r="K8374" t="s">
        <v>42</v>
      </c>
      <c r="L8374" t="s">
        <v>135</v>
      </c>
      <c r="Q8374">
        <v>24207</v>
      </c>
      <c r="R8374" t="s">
        <v>322</v>
      </c>
      <c r="S8374" t="s">
        <v>11300</v>
      </c>
      <c r="T8374">
        <v>30</v>
      </c>
      <c r="U8374" s="2" t="s">
        <v>50489</v>
      </c>
      <c r="W8374" t="s">
        <v>38524</v>
      </c>
      <c r="X8374">
        <v>724561</v>
      </c>
      <c r="Y8374" t="s">
        <v>50490</v>
      </c>
      <c r="Z8374" t="s">
        <v>46586</v>
      </c>
      <c r="AA8374" s="2" t="s">
        <v>50491</v>
      </c>
      <c r="AB8374" t="s">
        <v>181</v>
      </c>
      <c r="AG8374" t="s">
        <v>50492</v>
      </c>
      <c r="AH8374" t="s">
        <v>50493</v>
      </c>
      <c r="AI8374" t="s">
        <v>50494</v>
      </c>
    </row>
    <row r="8375" spans="2:35" ht="90">
      <c r="B8375" s="1">
        <v>45029</v>
      </c>
      <c r="C8375" s="4">
        <v>45029.502083333333</v>
      </c>
      <c r="D8375" t="s">
        <v>50495</v>
      </c>
      <c r="E8375" t="s">
        <v>50496</v>
      </c>
      <c r="F8375">
        <v>7</v>
      </c>
      <c r="G8375" t="s">
        <v>432</v>
      </c>
      <c r="H8375" t="s">
        <v>608</v>
      </c>
      <c r="I8375" t="s">
        <v>94</v>
      </c>
      <c r="J8375" s="2" t="s">
        <v>609</v>
      </c>
      <c r="K8375" t="s">
        <v>42</v>
      </c>
      <c r="L8375" t="s">
        <v>610</v>
      </c>
      <c r="Q8375">
        <v>24206</v>
      </c>
      <c r="R8375" t="s">
        <v>119</v>
      </c>
      <c r="S8375" t="s">
        <v>6211</v>
      </c>
      <c r="T8375">
        <v>25</v>
      </c>
      <c r="U8375" s="2" t="s">
        <v>50497</v>
      </c>
      <c r="W8375" t="s">
        <v>1008</v>
      </c>
      <c r="X8375">
        <v>838534</v>
      </c>
      <c r="Y8375" t="s">
        <v>50498</v>
      </c>
      <c r="Z8375" t="s">
        <v>50499</v>
      </c>
      <c r="AA8375" t="s">
        <v>50500</v>
      </c>
      <c r="AB8375" t="s">
        <v>7543</v>
      </c>
      <c r="AG8375" t="s">
        <v>50501</v>
      </c>
      <c r="AH8375" t="s">
        <v>39363</v>
      </c>
      <c r="AI8375" t="s">
        <v>50502</v>
      </c>
    </row>
    <row r="8376" spans="2:35" ht="105">
      <c r="B8376" s="1">
        <v>45029</v>
      </c>
      <c r="C8376" s="4">
        <v>45029.595138888886</v>
      </c>
      <c r="D8376" t="s">
        <v>36357</v>
      </c>
      <c r="E8376" t="s">
        <v>50503</v>
      </c>
      <c r="F8376">
        <v>9</v>
      </c>
      <c r="G8376" t="s">
        <v>2903</v>
      </c>
      <c r="H8376" t="s">
        <v>39</v>
      </c>
      <c r="I8376" t="s">
        <v>40</v>
      </c>
      <c r="J8376" s="2" t="s">
        <v>1808</v>
      </c>
      <c r="K8376" t="s">
        <v>42</v>
      </c>
      <c r="L8376" t="s">
        <v>1257</v>
      </c>
      <c r="Q8376">
        <v>24205</v>
      </c>
      <c r="R8376" t="s">
        <v>45</v>
      </c>
      <c r="S8376" t="s">
        <v>37889</v>
      </c>
      <c r="T8376">
        <v>25</v>
      </c>
      <c r="U8376" s="2" t="s">
        <v>44811</v>
      </c>
      <c r="V8376" s="1">
        <v>45029</v>
      </c>
      <c r="W8376" t="s">
        <v>2384</v>
      </c>
      <c r="X8376">
        <v>838539</v>
      </c>
      <c r="Y8376" t="s">
        <v>301</v>
      </c>
      <c r="Z8376" t="s">
        <v>50504</v>
      </c>
      <c r="AA8376" t="s">
        <v>22443</v>
      </c>
      <c r="AB8376" t="s">
        <v>50505</v>
      </c>
      <c r="AC8376" t="s">
        <v>301</v>
      </c>
      <c r="AD8376" t="s">
        <v>54</v>
      </c>
      <c r="AE8376" t="s">
        <v>54</v>
      </c>
      <c r="AG8376" t="s">
        <v>50506</v>
      </c>
      <c r="AH8376" t="s">
        <v>50507</v>
      </c>
      <c r="AI8376" t="s">
        <v>50508</v>
      </c>
    </row>
    <row r="8377" spans="2:35" ht="165">
      <c r="B8377" s="1">
        <v>45029</v>
      </c>
      <c r="C8377" s="4">
        <v>45029.59652777778</v>
      </c>
      <c r="D8377" t="s">
        <v>6682</v>
      </c>
      <c r="E8377" t="s">
        <v>45247</v>
      </c>
      <c r="F8377" t="s">
        <v>37</v>
      </c>
      <c r="G8377" t="s">
        <v>78</v>
      </c>
      <c r="H8377" t="s">
        <v>39</v>
      </c>
      <c r="I8377" t="s">
        <v>40</v>
      </c>
      <c r="J8377" s="2" t="s">
        <v>62</v>
      </c>
      <c r="K8377" t="s">
        <v>42</v>
      </c>
      <c r="L8377" t="s">
        <v>1943</v>
      </c>
      <c r="Q8377">
        <v>24204</v>
      </c>
      <c r="R8377" t="s">
        <v>45</v>
      </c>
      <c r="S8377" t="s">
        <v>43789</v>
      </c>
      <c r="T8377">
        <v>28</v>
      </c>
      <c r="U8377" s="2" t="s">
        <v>23415</v>
      </c>
      <c r="V8377" s="1">
        <v>45027</v>
      </c>
      <c r="W8377" t="s">
        <v>84</v>
      </c>
      <c r="X8377">
        <v>807570</v>
      </c>
      <c r="Y8377" s="2" t="s">
        <v>50509</v>
      </c>
      <c r="Z8377" s="2" t="s">
        <v>50510</v>
      </c>
      <c r="AA8377" t="s">
        <v>23660</v>
      </c>
      <c r="AB8377" t="s">
        <v>50511</v>
      </c>
      <c r="AD8377" t="s">
        <v>948</v>
      </c>
      <c r="AE8377" t="s">
        <v>50512</v>
      </c>
      <c r="AG8377" t="s">
        <v>50513</v>
      </c>
      <c r="AH8377" t="s">
        <v>43794</v>
      </c>
      <c r="AI8377" t="s">
        <v>50514</v>
      </c>
    </row>
    <row r="8378" spans="2:35" ht="105">
      <c r="B8378" s="1">
        <v>45029</v>
      </c>
      <c r="C8378" s="4">
        <v>45028.654861111114</v>
      </c>
      <c r="D8378" t="s">
        <v>1626</v>
      </c>
      <c r="E8378" t="s">
        <v>50515</v>
      </c>
      <c r="F8378">
        <v>9</v>
      </c>
      <c r="G8378" t="s">
        <v>1628</v>
      </c>
      <c r="H8378" t="s">
        <v>39</v>
      </c>
      <c r="I8378" t="s">
        <v>40</v>
      </c>
      <c r="J8378" s="2" t="s">
        <v>1808</v>
      </c>
      <c r="K8378" t="s">
        <v>42</v>
      </c>
      <c r="L8378" t="s">
        <v>1257</v>
      </c>
      <c r="Q8378">
        <v>24203</v>
      </c>
      <c r="R8378" t="s">
        <v>45</v>
      </c>
      <c r="S8378" t="s">
        <v>1629</v>
      </c>
      <c r="T8378">
        <v>31</v>
      </c>
      <c r="U8378" s="2" t="s">
        <v>50516</v>
      </c>
      <c r="V8378" s="1">
        <v>45028</v>
      </c>
      <c r="W8378" t="s">
        <v>2384</v>
      </c>
      <c r="X8378">
        <v>808615</v>
      </c>
      <c r="Y8378" t="s">
        <v>31865</v>
      </c>
      <c r="Z8378" t="s">
        <v>50517</v>
      </c>
      <c r="AA8378" t="s">
        <v>50517</v>
      </c>
      <c r="AB8378" t="s">
        <v>37747</v>
      </c>
      <c r="AC8378" t="s">
        <v>301</v>
      </c>
      <c r="AD8378" t="s">
        <v>54</v>
      </c>
      <c r="AE8378" t="s">
        <v>54</v>
      </c>
      <c r="AG8378" t="s">
        <v>50518</v>
      </c>
      <c r="AH8378" t="s">
        <v>31871</v>
      </c>
      <c r="AI8378" t="s">
        <v>50519</v>
      </c>
    </row>
    <row r="8379" spans="2:35" ht="225">
      <c r="B8379" s="1">
        <v>45029</v>
      </c>
      <c r="C8379" s="4">
        <v>45029.551388888889</v>
      </c>
      <c r="D8379" t="s">
        <v>5783</v>
      </c>
      <c r="E8379" t="s">
        <v>50520</v>
      </c>
      <c r="F8379">
        <v>12</v>
      </c>
      <c r="G8379" t="s">
        <v>5785</v>
      </c>
      <c r="H8379" t="s">
        <v>39</v>
      </c>
      <c r="I8379" t="s">
        <v>94</v>
      </c>
      <c r="J8379" s="2" t="s">
        <v>1157</v>
      </c>
      <c r="K8379" t="s">
        <v>42</v>
      </c>
      <c r="L8379" t="s">
        <v>296</v>
      </c>
      <c r="Q8379">
        <v>24202</v>
      </c>
      <c r="R8379" t="s">
        <v>119</v>
      </c>
      <c r="S8379" t="s">
        <v>20624</v>
      </c>
      <c r="T8379">
        <v>27</v>
      </c>
      <c r="U8379" s="2" t="s">
        <v>36752</v>
      </c>
      <c r="W8379" t="s">
        <v>23049</v>
      </c>
      <c r="X8379">
        <v>838546</v>
      </c>
      <c r="Y8379" t="s">
        <v>46751</v>
      </c>
      <c r="Z8379" s="2" t="s">
        <v>50521</v>
      </c>
      <c r="AA8379" s="2" t="s">
        <v>50521</v>
      </c>
      <c r="AB8379" t="s">
        <v>1480</v>
      </c>
      <c r="AC8379" t="s">
        <v>50522</v>
      </c>
      <c r="AG8379" t="s">
        <v>50523</v>
      </c>
      <c r="AH8379" t="s">
        <v>5791</v>
      </c>
      <c r="AI8379" t="s">
        <v>50524</v>
      </c>
    </row>
    <row r="8380" spans="2:35" ht="225">
      <c r="B8380" s="1">
        <v>45029</v>
      </c>
      <c r="C8380" s="4">
        <v>45029.551388888889</v>
      </c>
      <c r="D8380" t="s">
        <v>5783</v>
      </c>
      <c r="E8380" t="s">
        <v>50520</v>
      </c>
      <c r="F8380">
        <v>12</v>
      </c>
      <c r="G8380" t="s">
        <v>5785</v>
      </c>
      <c r="H8380" t="s">
        <v>39</v>
      </c>
      <c r="I8380" t="s">
        <v>94</v>
      </c>
      <c r="J8380" s="2" t="s">
        <v>1157</v>
      </c>
      <c r="K8380" t="s">
        <v>42</v>
      </c>
      <c r="L8380" t="s">
        <v>296</v>
      </c>
      <c r="Q8380">
        <v>24201</v>
      </c>
      <c r="R8380" t="s">
        <v>119</v>
      </c>
      <c r="S8380" t="s">
        <v>20624</v>
      </c>
      <c r="T8380">
        <v>27</v>
      </c>
      <c r="U8380" s="2" t="s">
        <v>36752</v>
      </c>
      <c r="W8380" t="s">
        <v>23049</v>
      </c>
      <c r="X8380">
        <v>838546</v>
      </c>
      <c r="Y8380" t="s">
        <v>46751</v>
      </c>
      <c r="Z8380" s="2" t="s">
        <v>50521</v>
      </c>
      <c r="AA8380" s="2" t="s">
        <v>50521</v>
      </c>
      <c r="AB8380" t="s">
        <v>1480</v>
      </c>
      <c r="AC8380" t="s">
        <v>50522</v>
      </c>
      <c r="AG8380" t="s">
        <v>50525</v>
      </c>
      <c r="AH8380" t="s">
        <v>5791</v>
      </c>
      <c r="AI8380" t="s">
        <v>50526</v>
      </c>
    </row>
    <row r="8381" spans="2:35" ht="300">
      <c r="B8381" s="1">
        <v>45029</v>
      </c>
      <c r="C8381" s="4">
        <v>45029.510416666664</v>
      </c>
      <c r="D8381" t="s">
        <v>50527</v>
      </c>
      <c r="E8381" t="s">
        <v>36349</v>
      </c>
      <c r="F8381">
        <v>6</v>
      </c>
      <c r="G8381" t="s">
        <v>1286</v>
      </c>
      <c r="H8381" t="s">
        <v>1498</v>
      </c>
      <c r="I8381" t="s">
        <v>94</v>
      </c>
      <c r="J8381" s="2" t="s">
        <v>1309</v>
      </c>
      <c r="K8381" t="s">
        <v>42</v>
      </c>
      <c r="L8381" t="s">
        <v>343</v>
      </c>
      <c r="Q8381">
        <v>24200</v>
      </c>
      <c r="R8381" t="s">
        <v>45</v>
      </c>
      <c r="S8381" t="s">
        <v>50528</v>
      </c>
      <c r="T8381">
        <v>22</v>
      </c>
      <c r="U8381" s="2" t="s">
        <v>50529</v>
      </c>
      <c r="V8381" s="1">
        <v>45029</v>
      </c>
      <c r="W8381" t="s">
        <v>360</v>
      </c>
      <c r="X8381">
        <v>815429</v>
      </c>
      <c r="Y8381" t="s">
        <v>50530</v>
      </c>
      <c r="Z8381" s="2" t="s">
        <v>50531</v>
      </c>
      <c r="AA8381" t="e">
        <f ca="1">-XpertCheck CALIBRATION on module B2, B4
-Preventive Maintenance
-module Replacement</f>
        <v>#NAME?</v>
      </c>
      <c r="AB8381" t="s">
        <v>49924</v>
      </c>
      <c r="AC8381" t="s">
        <v>50532</v>
      </c>
      <c r="AD8381" t="s">
        <v>50533</v>
      </c>
      <c r="AE8381" t="s">
        <v>45</v>
      </c>
      <c r="AG8381" t="s">
        <v>50534</v>
      </c>
      <c r="AH8381" t="s">
        <v>50535</v>
      </c>
      <c r="AI8381" t="s">
        <v>50536</v>
      </c>
    </row>
    <row r="8382" spans="2:35" ht="345">
      <c r="B8382" s="1">
        <v>45029</v>
      </c>
      <c r="C8382" s="4">
        <v>45029.531944444447</v>
      </c>
      <c r="D8382" t="s">
        <v>24983</v>
      </c>
      <c r="E8382" t="s">
        <v>50537</v>
      </c>
      <c r="F8382">
        <v>8</v>
      </c>
      <c r="G8382" t="s">
        <v>257</v>
      </c>
      <c r="H8382" t="s">
        <v>12698</v>
      </c>
      <c r="I8382" t="s">
        <v>40</v>
      </c>
      <c r="J8382" s="2" t="s">
        <v>41</v>
      </c>
      <c r="K8382" t="s">
        <v>42</v>
      </c>
      <c r="L8382" t="s">
        <v>259</v>
      </c>
      <c r="Q8382">
        <v>24199</v>
      </c>
      <c r="R8382" t="s">
        <v>45</v>
      </c>
      <c r="S8382" t="s">
        <v>47805</v>
      </c>
      <c r="T8382">
        <v>29</v>
      </c>
      <c r="U8382" s="2" t="s">
        <v>50538</v>
      </c>
      <c r="V8382" s="1">
        <v>45029</v>
      </c>
      <c r="W8382" t="s">
        <v>84</v>
      </c>
      <c r="X8382">
        <v>808291</v>
      </c>
      <c r="Y8382" t="e">
        <f ca="1">- module C2 _xludf.For Replacement
- module C3 H/W Failed</f>
        <v>#NAME?</v>
      </c>
      <c r="Z8382" s="2" t="s">
        <v>50539</v>
      </c>
      <c r="AA8382" t="e">
        <f ca="1">-module Replacement
-Preventive Maintenance</f>
        <v>#NAME?</v>
      </c>
      <c r="AB8382" t="s">
        <v>50540</v>
      </c>
      <c r="AD8382" t="s">
        <v>35865</v>
      </c>
      <c r="AE8382" t="s">
        <v>45</v>
      </c>
      <c r="AG8382" t="s">
        <v>50541</v>
      </c>
      <c r="AH8382" t="s">
        <v>50542</v>
      </c>
      <c r="AI8382" t="s">
        <v>50543</v>
      </c>
    </row>
    <row r="8383" spans="2:35" ht="180">
      <c r="B8383" s="1">
        <v>45029</v>
      </c>
      <c r="C8383" s="4">
        <v>45029.512499999997</v>
      </c>
      <c r="D8383" t="s">
        <v>7634</v>
      </c>
      <c r="E8383" t="s">
        <v>12141</v>
      </c>
      <c r="F8383">
        <v>13</v>
      </c>
      <c r="G8383" t="s">
        <v>4484</v>
      </c>
      <c r="H8383" t="s">
        <v>2125</v>
      </c>
      <c r="I8383" t="s">
        <v>40</v>
      </c>
      <c r="J8383" s="2" t="s">
        <v>41</v>
      </c>
      <c r="K8383" t="s">
        <v>42</v>
      </c>
      <c r="L8383" t="s">
        <v>933</v>
      </c>
      <c r="Q8383">
        <v>24198</v>
      </c>
      <c r="R8383" t="s">
        <v>119</v>
      </c>
      <c r="S8383" t="s">
        <v>12142</v>
      </c>
      <c r="T8383">
        <v>28.2</v>
      </c>
      <c r="U8383" s="2" t="s">
        <v>50544</v>
      </c>
      <c r="V8383" s="1">
        <v>45009</v>
      </c>
      <c r="W8383" t="s">
        <v>3662</v>
      </c>
      <c r="X8383">
        <v>837611</v>
      </c>
      <c r="Y8383" t="s">
        <v>301</v>
      </c>
      <c r="Z8383" t="s">
        <v>301</v>
      </c>
      <c r="AA8383" t="s">
        <v>50545</v>
      </c>
      <c r="AB8383" t="s">
        <v>50546</v>
      </c>
      <c r="AD8383" t="s">
        <v>50547</v>
      </c>
      <c r="AE8383">
        <v>9784</v>
      </c>
      <c r="AG8383" t="s">
        <v>50548</v>
      </c>
      <c r="AH8383" t="s">
        <v>13658</v>
      </c>
      <c r="AI8383" t="s">
        <v>50549</v>
      </c>
    </row>
    <row r="8384" spans="2:35" ht="120">
      <c r="B8384" s="1">
        <v>45029</v>
      </c>
      <c r="C8384" s="4">
        <v>45029.511111111111</v>
      </c>
      <c r="D8384" t="s">
        <v>24611</v>
      </c>
      <c r="E8384" t="s">
        <v>50550</v>
      </c>
      <c r="F8384" t="s">
        <v>37</v>
      </c>
      <c r="G8384" t="s">
        <v>189</v>
      </c>
      <c r="H8384" t="s">
        <v>39</v>
      </c>
      <c r="I8384" t="s">
        <v>40</v>
      </c>
      <c r="J8384" s="2" t="s">
        <v>41</v>
      </c>
      <c r="K8384" t="s">
        <v>42</v>
      </c>
      <c r="L8384" t="s">
        <v>1943</v>
      </c>
      <c r="Q8384">
        <v>24197</v>
      </c>
      <c r="R8384" t="s">
        <v>45</v>
      </c>
      <c r="S8384" t="s">
        <v>24613</v>
      </c>
      <c r="T8384">
        <v>25</v>
      </c>
      <c r="U8384" s="2" t="s">
        <v>38218</v>
      </c>
      <c r="V8384" s="1">
        <v>45027</v>
      </c>
      <c r="W8384" t="s">
        <v>84</v>
      </c>
      <c r="X8384">
        <v>808642</v>
      </c>
      <c r="Y8384" s="2" t="s">
        <v>50551</v>
      </c>
      <c r="Z8384" s="2" t="s">
        <v>50552</v>
      </c>
      <c r="AA8384" t="s">
        <v>22330</v>
      </c>
      <c r="AB8384" t="s">
        <v>88</v>
      </c>
      <c r="AD8384" t="s">
        <v>50553</v>
      </c>
      <c r="AE8384" t="s">
        <v>50554</v>
      </c>
      <c r="AG8384" t="s">
        <v>50555</v>
      </c>
      <c r="AH8384" t="s">
        <v>24617</v>
      </c>
      <c r="AI8384" t="s">
        <v>50556</v>
      </c>
    </row>
    <row r="8385" spans="2:35" ht="180">
      <c r="B8385" s="1">
        <v>45029</v>
      </c>
      <c r="C8385" s="4">
        <v>45029.509722222225</v>
      </c>
      <c r="D8385" t="s">
        <v>38775</v>
      </c>
      <c r="E8385" t="s">
        <v>50557</v>
      </c>
      <c r="F8385">
        <v>6</v>
      </c>
      <c r="G8385" t="s">
        <v>9400</v>
      </c>
      <c r="H8385" t="s">
        <v>10969</v>
      </c>
      <c r="I8385" t="s">
        <v>40</v>
      </c>
      <c r="J8385" s="2" t="s">
        <v>62</v>
      </c>
      <c r="K8385" t="s">
        <v>42</v>
      </c>
      <c r="L8385" t="s">
        <v>1288</v>
      </c>
      <c r="Q8385">
        <v>24197</v>
      </c>
      <c r="R8385" t="s">
        <v>45</v>
      </c>
      <c r="S8385" t="s">
        <v>38777</v>
      </c>
      <c r="T8385">
        <v>29</v>
      </c>
      <c r="U8385" s="2" t="s">
        <v>50558</v>
      </c>
      <c r="W8385" t="s">
        <v>1292</v>
      </c>
      <c r="X8385">
        <v>808287</v>
      </c>
      <c r="Y8385" t="e">
        <f ca="1">-_xludf.For Maintenance _xludf.and CALIBRATION
-ACCESSORY issue: mouse _xludf.RIGHT CLICK NON functional
-UPS DOES _xludf.not HOLD CHARGE/defective</f>
        <v>#NAME?</v>
      </c>
      <c r="Z8385" t="e">
        <f ca="1">-COLLECT IQR,system _xludf.Log, _xludf.and ARCHIVE
-confirm mouse is defective
-confirm UPS defective</f>
        <v>#NAME?</v>
      </c>
      <c r="AA8385" t="e">
        <f ca="1">-PERFORM Maintenance TASKS
-PERFORM XpertCheck CALIBRATION:
B1-Retry THEN passed
                                                                                                                                                                                                                                                                B2-_xludf.For service
                                                                                                                                                                                                                                                                B3-Retry THEN _xludf.For service
                                                                                                                                                                                                                                                                B4-Retry THEN _xludf.For service</f>
        <v>#NAME?</v>
      </c>
      <c r="AB8385" t="s">
        <v>50559</v>
      </c>
      <c r="AG8385" t="s">
        <v>50560</v>
      </c>
      <c r="AH8385" t="s">
        <v>38781</v>
      </c>
      <c r="AI8385" t="s">
        <v>50561</v>
      </c>
    </row>
    <row r="8386" spans="2:35" ht="105">
      <c r="B8386" s="1">
        <v>45029</v>
      </c>
      <c r="C8386" s="4">
        <v>45029.467361111114</v>
      </c>
      <c r="D8386" t="s">
        <v>50562</v>
      </c>
      <c r="E8386" t="s">
        <v>50563</v>
      </c>
      <c r="F8386" t="s">
        <v>148</v>
      </c>
      <c r="G8386" t="s">
        <v>310</v>
      </c>
      <c r="H8386" t="s">
        <v>39</v>
      </c>
      <c r="I8386" t="s">
        <v>40</v>
      </c>
      <c r="J8386" t="s">
        <v>321</v>
      </c>
      <c r="K8386" t="s">
        <v>42</v>
      </c>
      <c r="L8386" t="s">
        <v>448</v>
      </c>
      <c r="Q8386">
        <v>24196</v>
      </c>
      <c r="R8386" t="s">
        <v>95</v>
      </c>
      <c r="S8386" t="s">
        <v>5210</v>
      </c>
      <c r="T8386">
        <v>27</v>
      </c>
      <c r="U8386" s="2" t="s">
        <v>1509</v>
      </c>
      <c r="W8386" t="s">
        <v>325</v>
      </c>
      <c r="X8386">
        <v>110016343</v>
      </c>
      <c r="Y8386" t="s">
        <v>750</v>
      </c>
      <c r="Z8386" t="s">
        <v>50564</v>
      </c>
      <c r="AA8386" t="s">
        <v>13110</v>
      </c>
      <c r="AB8386" t="s">
        <v>486</v>
      </c>
      <c r="AG8386" t="s">
        <v>50565</v>
      </c>
      <c r="AH8386" t="s">
        <v>50566</v>
      </c>
      <c r="AI8386" t="s">
        <v>50567</v>
      </c>
    </row>
    <row r="8387" spans="2:35" ht="180">
      <c r="B8387" s="1">
        <v>45029</v>
      </c>
      <c r="C8387" s="4">
        <v>45029.456944444442</v>
      </c>
      <c r="D8387" t="s">
        <v>34217</v>
      </c>
      <c r="E8387" t="s">
        <v>29506</v>
      </c>
      <c r="F8387">
        <v>6</v>
      </c>
      <c r="G8387" t="s">
        <v>1234</v>
      </c>
      <c r="H8387" t="s">
        <v>1047</v>
      </c>
      <c r="I8387" t="s">
        <v>94</v>
      </c>
      <c r="J8387" t="s">
        <v>79</v>
      </c>
      <c r="K8387" t="s">
        <v>42</v>
      </c>
      <c r="L8387" t="s">
        <v>23958</v>
      </c>
      <c r="Q8387">
        <v>24195</v>
      </c>
      <c r="R8387" t="s">
        <v>119</v>
      </c>
      <c r="S8387" t="s">
        <v>3914</v>
      </c>
      <c r="T8387">
        <v>4</v>
      </c>
      <c r="U8387" s="2" t="s">
        <v>50568</v>
      </c>
      <c r="W8387" t="s">
        <v>360</v>
      </c>
      <c r="X8387">
        <v>838499</v>
      </c>
      <c r="Y8387" t="s">
        <v>50569</v>
      </c>
      <c r="Z8387" t="s">
        <v>3128</v>
      </c>
      <c r="AA8387" t="s">
        <v>50570</v>
      </c>
      <c r="AB8387" t="s">
        <v>50571</v>
      </c>
      <c r="AG8387" t="s">
        <v>50572</v>
      </c>
      <c r="AH8387" t="s">
        <v>34223</v>
      </c>
      <c r="AI8387" t="s">
        <v>50573</v>
      </c>
    </row>
    <row r="8388" spans="2:35" ht="240">
      <c r="B8388" s="1">
        <v>45029</v>
      </c>
      <c r="C8388" s="4">
        <v>45029.438194444447</v>
      </c>
      <c r="D8388" t="s">
        <v>26802</v>
      </c>
      <c r="E8388" t="s">
        <v>50574</v>
      </c>
      <c r="F8388" t="s">
        <v>37</v>
      </c>
      <c r="G8388" t="s">
        <v>189</v>
      </c>
      <c r="H8388" t="s">
        <v>39</v>
      </c>
      <c r="I8388" t="s">
        <v>40</v>
      </c>
      <c r="J8388" s="2" t="s">
        <v>1309</v>
      </c>
      <c r="K8388" t="s">
        <v>42</v>
      </c>
      <c r="L8388" t="s">
        <v>1943</v>
      </c>
      <c r="Q8388">
        <v>24194</v>
      </c>
      <c r="R8388" t="s">
        <v>119</v>
      </c>
      <c r="S8388" t="s">
        <v>50575</v>
      </c>
      <c r="T8388">
        <v>25</v>
      </c>
      <c r="U8388" s="2" t="s">
        <v>49825</v>
      </c>
      <c r="V8388" s="1">
        <v>45012</v>
      </c>
      <c r="W8388" t="s">
        <v>84</v>
      </c>
      <c r="X8388">
        <v>821297</v>
      </c>
      <c r="Y8388" s="2" t="s">
        <v>50576</v>
      </c>
      <c r="Z8388" s="2" t="s">
        <v>50577</v>
      </c>
      <c r="AA8388" t="s">
        <v>50578</v>
      </c>
      <c r="AB8388" s="2" t="s">
        <v>50579</v>
      </c>
      <c r="AD8388" s="2" t="s">
        <v>50580</v>
      </c>
      <c r="AE8388" t="s">
        <v>50581</v>
      </c>
      <c r="AG8388" t="s">
        <v>50582</v>
      </c>
      <c r="AH8388" t="s">
        <v>26806</v>
      </c>
      <c r="AI8388" t="s">
        <v>50583</v>
      </c>
    </row>
    <row r="8389" spans="2:35" ht="255">
      <c r="B8389" s="1">
        <v>45029</v>
      </c>
      <c r="C8389" s="4">
        <v>45028.54583333333</v>
      </c>
      <c r="D8389" t="s">
        <v>50584</v>
      </c>
      <c r="E8389" t="s">
        <v>43308</v>
      </c>
      <c r="F8389" t="s">
        <v>148</v>
      </c>
      <c r="G8389" t="s">
        <v>310</v>
      </c>
      <c r="H8389" t="s">
        <v>39</v>
      </c>
      <c r="I8389" t="s">
        <v>40</v>
      </c>
      <c r="J8389" s="2" t="s">
        <v>41</v>
      </c>
      <c r="K8389" t="s">
        <v>42</v>
      </c>
      <c r="L8389" t="s">
        <v>1943</v>
      </c>
      <c r="Q8389">
        <v>24193</v>
      </c>
      <c r="R8389" t="s">
        <v>45</v>
      </c>
      <c r="S8389" t="s">
        <v>29418</v>
      </c>
      <c r="T8389">
        <v>25</v>
      </c>
      <c r="U8389" s="2" t="s">
        <v>50585</v>
      </c>
      <c r="V8389" s="1">
        <v>45027</v>
      </c>
      <c r="W8389" t="s">
        <v>84</v>
      </c>
      <c r="X8389">
        <v>805111</v>
      </c>
      <c r="Y8389" s="2" t="s">
        <v>30687</v>
      </c>
      <c r="Z8389" s="2" t="s">
        <v>48432</v>
      </c>
      <c r="AA8389" t="s">
        <v>28687</v>
      </c>
      <c r="AB8389" t="s">
        <v>88</v>
      </c>
      <c r="AD8389" t="s">
        <v>50586</v>
      </c>
      <c r="AE8389" t="s">
        <v>50587</v>
      </c>
      <c r="AG8389" t="s">
        <v>50588</v>
      </c>
      <c r="AH8389" t="s">
        <v>50589</v>
      </c>
      <c r="AI8389" t="s">
        <v>50590</v>
      </c>
    </row>
    <row r="8390" spans="2:35" ht="360">
      <c r="B8390" s="1">
        <v>45029</v>
      </c>
      <c r="C8390" s="4">
        <v>45028.604166666664</v>
      </c>
      <c r="D8390" t="s">
        <v>1713</v>
      </c>
      <c r="E8390" t="s">
        <v>50591</v>
      </c>
      <c r="F8390">
        <v>8</v>
      </c>
      <c r="G8390" t="s">
        <v>257</v>
      </c>
      <c r="H8390" t="s">
        <v>39</v>
      </c>
      <c r="I8390" t="s">
        <v>40</v>
      </c>
      <c r="J8390" s="2" t="s">
        <v>41</v>
      </c>
      <c r="K8390" t="s">
        <v>42</v>
      </c>
      <c r="L8390" t="s">
        <v>259</v>
      </c>
      <c r="Q8390">
        <v>24192</v>
      </c>
      <c r="R8390" t="s">
        <v>45</v>
      </c>
      <c r="S8390" t="s">
        <v>50592</v>
      </c>
      <c r="T8390">
        <v>29</v>
      </c>
      <c r="U8390" s="2" t="s">
        <v>50593</v>
      </c>
      <c r="V8390" s="1">
        <v>45028</v>
      </c>
      <c r="W8390" t="s">
        <v>84</v>
      </c>
      <c r="X8390">
        <v>804265</v>
      </c>
      <c r="Y8390" t="e">
        <f ca="1">- module B4 _xludf.For Replacement</f>
        <v>#NAME?</v>
      </c>
      <c r="Z8390" s="2" t="s">
        <v>50594</v>
      </c>
      <c r="AA8390" t="e">
        <f ca="1">-module Replacement
-Preventive Maintenance</f>
        <v>#NAME?</v>
      </c>
      <c r="AB8390" t="s">
        <v>70</v>
      </c>
      <c r="AD8390" t="s">
        <v>35865</v>
      </c>
      <c r="AE8390" t="s">
        <v>45</v>
      </c>
      <c r="AG8390" t="s">
        <v>50595</v>
      </c>
      <c r="AH8390" t="s">
        <v>50596</v>
      </c>
      <c r="AI8390" t="s">
        <v>50597</v>
      </c>
    </row>
    <row r="8391" spans="2:35" ht="405">
      <c r="B8391" s="1">
        <v>45029</v>
      </c>
      <c r="C8391" s="4">
        <v>45029.410416666666</v>
      </c>
      <c r="D8391" t="s">
        <v>50598</v>
      </c>
      <c r="E8391" t="s">
        <v>8068</v>
      </c>
      <c r="F8391">
        <v>8</v>
      </c>
      <c r="G8391" t="s">
        <v>257</v>
      </c>
      <c r="H8391" t="s">
        <v>12698</v>
      </c>
      <c r="I8391" t="s">
        <v>40</v>
      </c>
      <c r="J8391" s="2" t="s">
        <v>1309</v>
      </c>
      <c r="K8391" t="s">
        <v>42</v>
      </c>
      <c r="L8391" t="s">
        <v>259</v>
      </c>
      <c r="Q8391">
        <v>24191</v>
      </c>
      <c r="R8391" t="s">
        <v>119</v>
      </c>
      <c r="S8391" t="s">
        <v>9419</v>
      </c>
      <c r="T8391">
        <v>24</v>
      </c>
      <c r="U8391" s="2" t="s">
        <v>50599</v>
      </c>
      <c r="V8391" s="1">
        <v>45029</v>
      </c>
      <c r="W8391" t="s">
        <v>84</v>
      </c>
      <c r="X8391">
        <v>838406</v>
      </c>
      <c r="Y8391" t="e">
        <f ca="1">-module B3 _xludf.For Replacement</f>
        <v>#NAME?</v>
      </c>
      <c r="Z8391" s="2" t="s">
        <v>50600</v>
      </c>
      <c r="AA8391" t="e">
        <f ca="1">-module Replacement
-Preventive Maintenance</f>
        <v>#NAME?</v>
      </c>
      <c r="AB8391" t="s">
        <v>70</v>
      </c>
      <c r="AC8391" t="s">
        <v>50601</v>
      </c>
      <c r="AD8391" s="2" t="s">
        <v>50602</v>
      </c>
      <c r="AE8391" t="s">
        <v>119</v>
      </c>
      <c r="AG8391" t="s">
        <v>50603</v>
      </c>
      <c r="AH8391" t="s">
        <v>50604</v>
      </c>
      <c r="AI8391" t="s">
        <v>50605</v>
      </c>
    </row>
    <row r="8392" spans="2:35" ht="210">
      <c r="B8392" s="1">
        <v>45029</v>
      </c>
      <c r="C8392" s="4">
        <v>45029.359027777777</v>
      </c>
      <c r="D8392" t="s">
        <v>50606</v>
      </c>
      <c r="E8392" t="s">
        <v>30692</v>
      </c>
      <c r="F8392">
        <v>10</v>
      </c>
      <c r="G8392" t="s">
        <v>5571</v>
      </c>
      <c r="H8392" t="s">
        <v>932</v>
      </c>
      <c r="I8392" t="s">
        <v>94</v>
      </c>
      <c r="J8392" t="s">
        <v>321</v>
      </c>
      <c r="K8392" t="s">
        <v>42</v>
      </c>
      <c r="L8392" t="s">
        <v>43100</v>
      </c>
      <c r="Q8392">
        <v>24190</v>
      </c>
      <c r="R8392" t="s">
        <v>45</v>
      </c>
      <c r="S8392" t="s">
        <v>28219</v>
      </c>
      <c r="T8392">
        <v>29</v>
      </c>
      <c r="U8392" s="2" t="s">
        <v>50607</v>
      </c>
      <c r="W8392" t="s">
        <v>43102</v>
      </c>
      <c r="X8392">
        <v>804765</v>
      </c>
      <c r="Y8392" t="s">
        <v>50608</v>
      </c>
      <c r="Z8392" s="2" t="s">
        <v>50609</v>
      </c>
      <c r="AA8392" s="2" t="s">
        <v>50610</v>
      </c>
      <c r="AB8392" t="s">
        <v>486</v>
      </c>
      <c r="AG8392" t="s">
        <v>50611</v>
      </c>
      <c r="AH8392" t="s">
        <v>50612</v>
      </c>
      <c r="AI8392" t="s">
        <v>50613</v>
      </c>
    </row>
    <row r="8393" spans="2:35" ht="150">
      <c r="B8393" s="1">
        <v>45029</v>
      </c>
      <c r="C8393" s="4">
        <v>45029.388888888891</v>
      </c>
      <c r="D8393" t="s">
        <v>50606</v>
      </c>
      <c r="E8393" t="s">
        <v>30692</v>
      </c>
      <c r="F8393">
        <v>10</v>
      </c>
      <c r="G8393" t="s">
        <v>5571</v>
      </c>
      <c r="H8393" t="s">
        <v>61</v>
      </c>
      <c r="I8393" t="s">
        <v>94</v>
      </c>
      <c r="J8393" t="s">
        <v>996</v>
      </c>
      <c r="K8393" t="s">
        <v>42</v>
      </c>
      <c r="L8393" t="s">
        <v>43100</v>
      </c>
      <c r="Q8393">
        <v>24189</v>
      </c>
      <c r="R8393" t="s">
        <v>45</v>
      </c>
      <c r="S8393" t="s">
        <v>30693</v>
      </c>
      <c r="T8393">
        <v>29</v>
      </c>
      <c r="U8393" s="2" t="s">
        <v>50614</v>
      </c>
      <c r="W8393" t="s">
        <v>43102</v>
      </c>
      <c r="X8393">
        <v>834437</v>
      </c>
      <c r="Y8393" t="s">
        <v>54</v>
      </c>
      <c r="Z8393" t="s">
        <v>54</v>
      </c>
      <c r="AA8393" s="2" t="s">
        <v>50615</v>
      </c>
      <c r="AB8393" t="s">
        <v>486</v>
      </c>
      <c r="AC8393" t="s">
        <v>50616</v>
      </c>
      <c r="AG8393" t="s">
        <v>50617</v>
      </c>
      <c r="AH8393" t="s">
        <v>50612</v>
      </c>
      <c r="AI8393" t="s">
        <v>50618</v>
      </c>
    </row>
    <row r="8394" spans="2:35" ht="210">
      <c r="B8394" s="1">
        <v>45029</v>
      </c>
      <c r="C8394" s="4">
        <v>45029.359027777777</v>
      </c>
      <c r="D8394" t="s">
        <v>50606</v>
      </c>
      <c r="E8394" t="s">
        <v>30692</v>
      </c>
      <c r="F8394">
        <v>10</v>
      </c>
      <c r="G8394" t="s">
        <v>5571</v>
      </c>
      <c r="H8394" t="s">
        <v>932</v>
      </c>
      <c r="I8394" t="s">
        <v>94</v>
      </c>
      <c r="J8394" t="s">
        <v>321</v>
      </c>
      <c r="K8394" t="s">
        <v>42</v>
      </c>
      <c r="L8394" t="s">
        <v>43100</v>
      </c>
      <c r="Q8394">
        <v>24188</v>
      </c>
      <c r="R8394" t="s">
        <v>45</v>
      </c>
      <c r="S8394" t="s">
        <v>28219</v>
      </c>
      <c r="T8394">
        <v>29</v>
      </c>
      <c r="U8394" s="2" t="s">
        <v>50607</v>
      </c>
      <c r="W8394" t="s">
        <v>43102</v>
      </c>
      <c r="X8394">
        <v>804765</v>
      </c>
      <c r="Y8394" t="s">
        <v>50608</v>
      </c>
      <c r="Z8394" s="2" t="s">
        <v>50609</v>
      </c>
      <c r="AA8394" s="2" t="s">
        <v>50610</v>
      </c>
      <c r="AB8394" t="s">
        <v>486</v>
      </c>
      <c r="AG8394" t="s">
        <v>50619</v>
      </c>
      <c r="AH8394" t="s">
        <v>50612</v>
      </c>
      <c r="AI8394" t="s">
        <v>50620</v>
      </c>
    </row>
    <row r="8395" spans="2:35" ht="165">
      <c r="B8395" s="1">
        <v>45029</v>
      </c>
      <c r="C8395" s="4">
        <v>45016.508333333331</v>
      </c>
      <c r="D8395" t="s">
        <v>22325</v>
      </c>
      <c r="E8395" t="s">
        <v>46558</v>
      </c>
      <c r="F8395" t="s">
        <v>37</v>
      </c>
      <c r="G8395" t="s">
        <v>78</v>
      </c>
      <c r="H8395" t="s">
        <v>39</v>
      </c>
      <c r="I8395" t="s">
        <v>40</v>
      </c>
      <c r="J8395" s="2" t="s">
        <v>41</v>
      </c>
      <c r="K8395" t="s">
        <v>42</v>
      </c>
      <c r="L8395" t="s">
        <v>1943</v>
      </c>
      <c r="Q8395">
        <v>24187</v>
      </c>
      <c r="R8395" t="s">
        <v>119</v>
      </c>
      <c r="S8395" t="s">
        <v>28021</v>
      </c>
      <c r="T8395">
        <v>25</v>
      </c>
      <c r="V8395" s="1">
        <v>45012</v>
      </c>
      <c r="W8395" t="s">
        <v>84</v>
      </c>
      <c r="X8395">
        <v>821224</v>
      </c>
      <c r="Y8395" s="2" t="s">
        <v>50621</v>
      </c>
      <c r="Z8395" s="2" t="s">
        <v>49875</v>
      </c>
      <c r="AA8395" t="s">
        <v>28687</v>
      </c>
      <c r="AB8395" t="s">
        <v>50622</v>
      </c>
      <c r="AD8395" t="s">
        <v>50623</v>
      </c>
      <c r="AE8395" t="s">
        <v>50624</v>
      </c>
      <c r="AG8395" t="s">
        <v>50625</v>
      </c>
      <c r="AH8395" t="s">
        <v>22333</v>
      </c>
      <c r="AI8395" t="s">
        <v>50626</v>
      </c>
    </row>
    <row r="8396" spans="2:35" ht="375">
      <c r="B8396" s="1">
        <v>45029</v>
      </c>
      <c r="C8396" s="4">
        <v>45028.338194444441</v>
      </c>
      <c r="D8396" t="s">
        <v>29917</v>
      </c>
      <c r="E8396" t="s">
        <v>50627</v>
      </c>
      <c r="F8396" t="s">
        <v>511</v>
      </c>
      <c r="G8396" t="s">
        <v>20778</v>
      </c>
      <c r="H8396" t="s">
        <v>39</v>
      </c>
      <c r="I8396" t="s">
        <v>40</v>
      </c>
      <c r="J8396" s="2" t="s">
        <v>1309</v>
      </c>
      <c r="K8396" t="s">
        <v>42</v>
      </c>
      <c r="L8396" t="s">
        <v>135</v>
      </c>
      <c r="Q8396">
        <v>24186</v>
      </c>
      <c r="R8396" t="s">
        <v>45</v>
      </c>
      <c r="S8396" t="s">
        <v>29919</v>
      </c>
      <c r="T8396">
        <v>25</v>
      </c>
      <c r="U8396" s="2" t="s">
        <v>50628</v>
      </c>
      <c r="V8396" s="1">
        <v>45028</v>
      </c>
      <c r="W8396" t="s">
        <v>2680</v>
      </c>
      <c r="X8396">
        <v>807609</v>
      </c>
      <c r="Y8396" t="s">
        <v>50629</v>
      </c>
      <c r="Z8396" s="2" t="s">
        <v>50630</v>
      </c>
      <c r="AA8396" s="2" t="s">
        <v>50631</v>
      </c>
      <c r="AB8396" t="s">
        <v>50632</v>
      </c>
      <c r="AC8396" t="s">
        <v>50633</v>
      </c>
      <c r="AD8396" t="s">
        <v>50634</v>
      </c>
      <c r="AE8396" s="3">
        <v>400083939039353</v>
      </c>
      <c r="AG8396" t="s">
        <v>50635</v>
      </c>
      <c r="AH8396" t="s">
        <v>50636</v>
      </c>
      <c r="AI8396" t="s">
        <v>50637</v>
      </c>
    </row>
    <row r="8397" spans="2:35" ht="90">
      <c r="B8397" s="1">
        <v>45028</v>
      </c>
      <c r="C8397" s="4">
        <v>45028.720833333333</v>
      </c>
      <c r="D8397" t="s">
        <v>50638</v>
      </c>
      <c r="E8397" t="s">
        <v>46054</v>
      </c>
      <c r="F8397">
        <v>7</v>
      </c>
      <c r="G8397" t="s">
        <v>432</v>
      </c>
      <c r="H8397" t="s">
        <v>2290</v>
      </c>
      <c r="I8397" t="s">
        <v>94</v>
      </c>
      <c r="J8397" s="2" t="s">
        <v>609</v>
      </c>
      <c r="K8397" t="s">
        <v>42</v>
      </c>
      <c r="L8397" t="s">
        <v>610</v>
      </c>
      <c r="Q8397">
        <v>24185</v>
      </c>
      <c r="R8397" t="s">
        <v>119</v>
      </c>
      <c r="S8397" t="s">
        <v>16540</v>
      </c>
      <c r="T8397">
        <v>24</v>
      </c>
      <c r="U8397" s="2" t="s">
        <v>50639</v>
      </c>
      <c r="W8397" t="s">
        <v>502</v>
      </c>
      <c r="X8397">
        <v>838283</v>
      </c>
      <c r="Y8397" t="s">
        <v>50640</v>
      </c>
      <c r="Z8397" t="s">
        <v>50641</v>
      </c>
      <c r="AA8397" t="s">
        <v>50642</v>
      </c>
      <c r="AB8397" t="s">
        <v>50643</v>
      </c>
      <c r="AG8397" t="s">
        <v>50644</v>
      </c>
      <c r="AH8397" t="s">
        <v>44440</v>
      </c>
      <c r="AI8397" t="s">
        <v>50645</v>
      </c>
    </row>
    <row r="8398" spans="2:35" ht="240">
      <c r="B8398" s="1">
        <v>45028</v>
      </c>
      <c r="C8398" s="4">
        <v>45028.495138888888</v>
      </c>
      <c r="D8398" t="s">
        <v>23601</v>
      </c>
      <c r="E8398" t="s">
        <v>23602</v>
      </c>
      <c r="F8398">
        <v>3</v>
      </c>
      <c r="G8398" t="s">
        <v>134</v>
      </c>
      <c r="H8398" t="s">
        <v>39</v>
      </c>
      <c r="I8398" t="s">
        <v>40</v>
      </c>
      <c r="J8398" s="2" t="s">
        <v>41</v>
      </c>
      <c r="K8398" t="s">
        <v>42</v>
      </c>
      <c r="L8398" t="s">
        <v>63</v>
      </c>
      <c r="Q8398">
        <v>24183</v>
      </c>
      <c r="R8398" t="s">
        <v>119</v>
      </c>
      <c r="S8398" t="s">
        <v>23603</v>
      </c>
      <c r="T8398">
        <v>28</v>
      </c>
      <c r="U8398" s="2" t="s">
        <v>50646</v>
      </c>
      <c r="V8398" s="1">
        <v>45038</v>
      </c>
      <c r="W8398" t="s">
        <v>26915</v>
      </c>
      <c r="X8398">
        <v>831902</v>
      </c>
      <c r="Y8398" t="s">
        <v>1716</v>
      </c>
      <c r="Z8398" t="s">
        <v>1716</v>
      </c>
      <c r="AA8398" s="2" t="s">
        <v>39935</v>
      </c>
      <c r="AB8398" t="s">
        <v>70</v>
      </c>
      <c r="AC8398" t="s">
        <v>50647</v>
      </c>
      <c r="AD8398" t="s">
        <v>50648</v>
      </c>
      <c r="AE8398" t="s">
        <v>50649</v>
      </c>
      <c r="AG8398" t="s">
        <v>50650</v>
      </c>
      <c r="AH8398" t="s">
        <v>35939</v>
      </c>
      <c r="AI8398" t="s">
        <v>50651</v>
      </c>
    </row>
    <row r="8399" spans="2:35" ht="225">
      <c r="B8399" s="1">
        <v>45028</v>
      </c>
      <c r="C8399" s="4">
        <v>45028.451388888891</v>
      </c>
      <c r="D8399" t="s">
        <v>30164</v>
      </c>
      <c r="E8399" t="s">
        <v>50652</v>
      </c>
      <c r="F8399">
        <v>3</v>
      </c>
      <c r="G8399" t="s">
        <v>134</v>
      </c>
      <c r="H8399" t="s">
        <v>39</v>
      </c>
      <c r="I8399" t="s">
        <v>40</v>
      </c>
      <c r="J8399" s="2" t="s">
        <v>1592</v>
      </c>
      <c r="K8399" t="s">
        <v>42</v>
      </c>
      <c r="L8399" t="s">
        <v>63</v>
      </c>
      <c r="Q8399">
        <v>24184</v>
      </c>
      <c r="R8399" t="s">
        <v>719</v>
      </c>
      <c r="S8399" t="s">
        <v>2647</v>
      </c>
      <c r="T8399">
        <v>29</v>
      </c>
      <c r="U8399" s="2" t="s">
        <v>50653</v>
      </c>
      <c r="V8399" s="1">
        <v>45028</v>
      </c>
      <c r="W8399" t="s">
        <v>26915</v>
      </c>
      <c r="X8399">
        <v>846044</v>
      </c>
      <c r="Y8399" s="2" t="s">
        <v>50654</v>
      </c>
      <c r="Z8399" t="s">
        <v>50655</v>
      </c>
      <c r="AA8399" s="2" t="s">
        <v>50656</v>
      </c>
      <c r="AB8399" t="s">
        <v>70</v>
      </c>
      <c r="AC8399" t="s">
        <v>11378</v>
      </c>
      <c r="AD8399" t="s">
        <v>1716</v>
      </c>
      <c r="AE8399" t="s">
        <v>1716</v>
      </c>
      <c r="AG8399" t="s">
        <v>50657</v>
      </c>
      <c r="AH8399" t="s">
        <v>50658</v>
      </c>
      <c r="AI8399" t="s">
        <v>50659</v>
      </c>
    </row>
    <row r="8400" spans="2:35" ht="180">
      <c r="B8400" s="1">
        <v>45028</v>
      </c>
      <c r="C8400" s="4">
        <v>45028.559027777781</v>
      </c>
      <c r="D8400" t="s">
        <v>42394</v>
      </c>
      <c r="E8400" t="s">
        <v>50660</v>
      </c>
      <c r="F8400">
        <v>6</v>
      </c>
      <c r="G8400" t="s">
        <v>1234</v>
      </c>
      <c r="H8400" t="s">
        <v>258</v>
      </c>
      <c r="I8400" t="s">
        <v>94</v>
      </c>
      <c r="J8400" s="2" t="s">
        <v>41</v>
      </c>
      <c r="K8400" t="s">
        <v>42</v>
      </c>
      <c r="L8400" t="s">
        <v>270</v>
      </c>
      <c r="Q8400">
        <v>24182</v>
      </c>
      <c r="R8400" t="s">
        <v>45</v>
      </c>
      <c r="S8400" t="s">
        <v>50661</v>
      </c>
      <c r="T8400">
        <v>25</v>
      </c>
      <c r="U8400" s="2" t="s">
        <v>50662</v>
      </c>
      <c r="W8400" t="s">
        <v>1292</v>
      </c>
      <c r="X8400">
        <v>807594</v>
      </c>
      <c r="Y8400" t="s">
        <v>50663</v>
      </c>
      <c r="Z8400" t="e">
        <f ca="1">- module bay Cleaning, _xludf.filter Cleaning, optic slot Cleaning, plunger rod Maintenance.</f>
        <v>#NAME?</v>
      </c>
      <c r="AA8400" t="s">
        <v>50664</v>
      </c>
      <c r="AB8400" t="s">
        <v>37589</v>
      </c>
      <c r="AG8400" t="s">
        <v>50665</v>
      </c>
      <c r="AH8400" t="s">
        <v>50666</v>
      </c>
      <c r="AI8400" t="s">
        <v>50667</v>
      </c>
    </row>
    <row r="8401" spans="2:35" ht="180">
      <c r="B8401" s="1">
        <v>45028</v>
      </c>
      <c r="C8401" s="4">
        <v>45028.51666666667</v>
      </c>
      <c r="D8401" t="s">
        <v>26268</v>
      </c>
      <c r="E8401" t="s">
        <v>26269</v>
      </c>
      <c r="F8401">
        <v>13</v>
      </c>
      <c r="G8401" t="s">
        <v>7763</v>
      </c>
      <c r="H8401" t="s">
        <v>2125</v>
      </c>
      <c r="I8401" t="s">
        <v>40</v>
      </c>
      <c r="J8401" s="2" t="s">
        <v>41</v>
      </c>
      <c r="K8401" t="s">
        <v>42</v>
      </c>
      <c r="L8401" t="s">
        <v>933</v>
      </c>
      <c r="Q8401">
        <v>24181</v>
      </c>
      <c r="R8401" t="s">
        <v>45</v>
      </c>
      <c r="S8401" t="s">
        <v>50668</v>
      </c>
      <c r="T8401">
        <v>25.15</v>
      </c>
      <c r="U8401" s="2" t="s">
        <v>50669</v>
      </c>
      <c r="W8401" t="s">
        <v>3662</v>
      </c>
      <c r="X8401">
        <v>815436</v>
      </c>
      <c r="Y8401" t="s">
        <v>301</v>
      </c>
      <c r="Z8401" t="s">
        <v>301</v>
      </c>
      <c r="AA8401" t="s">
        <v>50670</v>
      </c>
      <c r="AB8401" t="s">
        <v>50098</v>
      </c>
      <c r="AG8401" t="s">
        <v>50671</v>
      </c>
      <c r="AH8401" t="s">
        <v>50672</v>
      </c>
      <c r="AI8401" t="s">
        <v>50673</v>
      </c>
    </row>
    <row r="8402" spans="2:35" ht="285">
      <c r="B8402" s="1">
        <v>45028</v>
      </c>
      <c r="C8402" s="4">
        <v>45028.456944444442</v>
      </c>
      <c r="D8402" t="s">
        <v>1661</v>
      </c>
      <c r="E8402" t="s">
        <v>1662</v>
      </c>
      <c r="F8402">
        <v>8</v>
      </c>
      <c r="G8402" t="s">
        <v>1663</v>
      </c>
      <c r="H8402" t="s">
        <v>39</v>
      </c>
      <c r="I8402" t="s">
        <v>40</v>
      </c>
      <c r="J8402" s="2" t="s">
        <v>41</v>
      </c>
      <c r="K8402" t="s">
        <v>42</v>
      </c>
      <c r="L8402" t="s">
        <v>259</v>
      </c>
      <c r="Q8402">
        <v>24180</v>
      </c>
      <c r="R8402" t="s">
        <v>45</v>
      </c>
      <c r="S8402" t="s">
        <v>26127</v>
      </c>
      <c r="T8402">
        <v>29</v>
      </c>
      <c r="U8402" s="2" t="s">
        <v>50674</v>
      </c>
      <c r="V8402" s="1">
        <v>45028</v>
      </c>
      <c r="W8402" t="s">
        <v>84</v>
      </c>
      <c r="X8402">
        <v>807566</v>
      </c>
      <c r="Y8402" t="s">
        <v>50675</v>
      </c>
      <c r="Z8402" t="e">
        <f ca="1">-removed stuck cartridge on module B3
-performed Preventive Maintenance
-performed functionality test
- Generate reports</f>
        <v>#NAME?</v>
      </c>
      <c r="AA8402" t="e">
        <f ca="1">- Repair
- Preventive Maintenance</f>
        <v>#NAME?</v>
      </c>
      <c r="AB8402" t="e">
        <f ca="1">- Unit is operational</f>
        <v>#NAME?</v>
      </c>
      <c r="AC8402" t="s">
        <v>50676</v>
      </c>
      <c r="AG8402" t="s">
        <v>50677</v>
      </c>
      <c r="AH8402" t="s">
        <v>50678</v>
      </c>
      <c r="AI8402" t="s">
        <v>50679</v>
      </c>
    </row>
    <row r="8403" spans="2:35" ht="90">
      <c r="B8403" s="1">
        <v>45028</v>
      </c>
      <c r="C8403" s="4">
        <v>45028.454861111109</v>
      </c>
      <c r="D8403" t="s">
        <v>50680</v>
      </c>
      <c r="E8403" t="s">
        <v>50681</v>
      </c>
      <c r="F8403">
        <v>6</v>
      </c>
      <c r="G8403" t="s">
        <v>9400</v>
      </c>
      <c r="H8403" t="s">
        <v>10969</v>
      </c>
      <c r="I8403" t="s">
        <v>40</v>
      </c>
      <c r="J8403" t="s">
        <v>321</v>
      </c>
      <c r="K8403" t="s">
        <v>42</v>
      </c>
      <c r="L8403" t="s">
        <v>1288</v>
      </c>
      <c r="Q8403">
        <v>24179</v>
      </c>
      <c r="R8403" t="s">
        <v>45</v>
      </c>
      <c r="S8403" t="s">
        <v>50682</v>
      </c>
      <c r="T8403">
        <v>29</v>
      </c>
      <c r="U8403" s="2" t="s">
        <v>50683</v>
      </c>
      <c r="W8403" t="s">
        <v>4775</v>
      </c>
      <c r="X8403">
        <v>835103</v>
      </c>
      <c r="Y8403" t="s">
        <v>18838</v>
      </c>
      <c r="Z8403" t="e">
        <f ca="1">-COLLECT IQR
-system Unit serial no.:CPH1119F04280</f>
        <v>#NAME?</v>
      </c>
      <c r="AA8403" t="e">
        <f ca="1">-PERFORM GeneXpert EQUIPMENT _xludf.and workstation Installation
-end user orientation/EQUIPMENT FAMILIARIZATION</f>
        <v>#NAME?</v>
      </c>
      <c r="AB8403" t="s">
        <v>1293</v>
      </c>
      <c r="AG8403" t="s">
        <v>50684</v>
      </c>
      <c r="AH8403" t="s">
        <v>50685</v>
      </c>
      <c r="AI8403" t="s">
        <v>50686</v>
      </c>
    </row>
    <row r="8404" spans="2:35" ht="45">
      <c r="B8404" s="1">
        <v>45028</v>
      </c>
      <c r="C8404" s="4">
        <v>45028.407638888886</v>
      </c>
      <c r="D8404" t="s">
        <v>42379</v>
      </c>
      <c r="E8404" t="s">
        <v>50687</v>
      </c>
      <c r="F8404">
        <v>7</v>
      </c>
      <c r="G8404" t="s">
        <v>432</v>
      </c>
      <c r="H8404" t="s">
        <v>39</v>
      </c>
      <c r="I8404" t="s">
        <v>40</v>
      </c>
      <c r="J8404" s="2" t="s">
        <v>1370</v>
      </c>
      <c r="K8404" t="s">
        <v>42</v>
      </c>
      <c r="L8404" t="s">
        <v>433</v>
      </c>
      <c r="Q8404">
        <v>24178</v>
      </c>
      <c r="R8404" t="s">
        <v>45</v>
      </c>
      <c r="S8404" t="s">
        <v>12992</v>
      </c>
      <c r="T8404">
        <v>21</v>
      </c>
      <c r="W8404" t="s">
        <v>12212</v>
      </c>
      <c r="X8404">
        <v>815431</v>
      </c>
      <c r="Y8404" t="s">
        <v>50688</v>
      </c>
      <c r="Z8404" t="s">
        <v>50689</v>
      </c>
      <c r="AA8404" t="s">
        <v>20217</v>
      </c>
      <c r="AB8404" t="s">
        <v>1011</v>
      </c>
      <c r="AG8404" t="s">
        <v>50690</v>
      </c>
      <c r="AH8404" t="s">
        <v>12996</v>
      </c>
      <c r="AI8404" t="s">
        <v>50691</v>
      </c>
    </row>
    <row r="8405" spans="2:35" ht="375">
      <c r="B8405" s="1">
        <v>45028</v>
      </c>
      <c r="C8405" s="4">
        <v>45028.4</v>
      </c>
      <c r="D8405" t="s">
        <v>3712</v>
      </c>
      <c r="E8405" t="s">
        <v>3713</v>
      </c>
      <c r="F8405" t="s">
        <v>148</v>
      </c>
      <c r="G8405" t="s">
        <v>310</v>
      </c>
      <c r="H8405" t="s">
        <v>386</v>
      </c>
      <c r="I8405" t="s">
        <v>40</v>
      </c>
      <c r="J8405" s="2" t="s">
        <v>760</v>
      </c>
      <c r="K8405" t="s">
        <v>387</v>
      </c>
      <c r="L8405" t="s">
        <v>1943</v>
      </c>
      <c r="Q8405">
        <v>24177</v>
      </c>
      <c r="R8405" t="s">
        <v>322</v>
      </c>
      <c r="S8405" t="s">
        <v>9747</v>
      </c>
      <c r="T8405">
        <v>25</v>
      </c>
      <c r="W8405" t="s">
        <v>390</v>
      </c>
      <c r="X8405" t="s">
        <v>20133</v>
      </c>
      <c r="Y8405" t="s">
        <v>50692</v>
      </c>
      <c r="Z8405" s="2" t="s">
        <v>50693</v>
      </c>
      <c r="AA8405" t="s">
        <v>9818</v>
      </c>
      <c r="AB8405" t="s">
        <v>50694</v>
      </c>
      <c r="AG8405" t="s">
        <v>50695</v>
      </c>
      <c r="AH8405" t="s">
        <v>9755</v>
      </c>
      <c r="AI8405" t="s">
        <v>50696</v>
      </c>
    </row>
    <row r="8406" spans="2:35" ht="375">
      <c r="B8406" s="1">
        <v>45028</v>
      </c>
      <c r="C8406" s="4">
        <v>45028.396527777775</v>
      </c>
      <c r="D8406" t="s">
        <v>3712</v>
      </c>
      <c r="E8406" t="s">
        <v>3713</v>
      </c>
      <c r="F8406" t="s">
        <v>148</v>
      </c>
      <c r="G8406" t="s">
        <v>310</v>
      </c>
      <c r="H8406" t="s">
        <v>386</v>
      </c>
      <c r="I8406" t="s">
        <v>40</v>
      </c>
      <c r="J8406" s="2" t="s">
        <v>760</v>
      </c>
      <c r="K8406" t="s">
        <v>387</v>
      </c>
      <c r="L8406" t="s">
        <v>1943</v>
      </c>
      <c r="Q8406">
        <v>24176</v>
      </c>
      <c r="R8406" t="s">
        <v>322</v>
      </c>
      <c r="S8406" t="s">
        <v>9747</v>
      </c>
      <c r="T8406">
        <v>25</v>
      </c>
      <c r="W8406" t="s">
        <v>390</v>
      </c>
      <c r="X8406" t="s">
        <v>4180</v>
      </c>
      <c r="Y8406" t="s">
        <v>50692</v>
      </c>
      <c r="Z8406" s="2" t="s">
        <v>50693</v>
      </c>
      <c r="AA8406" t="s">
        <v>9818</v>
      </c>
      <c r="AB8406" t="s">
        <v>50694</v>
      </c>
      <c r="AG8406" t="s">
        <v>50697</v>
      </c>
      <c r="AH8406" t="s">
        <v>9755</v>
      </c>
      <c r="AI8406" t="s">
        <v>50698</v>
      </c>
    </row>
    <row r="8407" spans="2:35" ht="300">
      <c r="B8407" s="1">
        <v>45028</v>
      </c>
      <c r="C8407" s="4">
        <v>45028.390972222223</v>
      </c>
      <c r="D8407" t="s">
        <v>5563</v>
      </c>
      <c r="E8407" t="s">
        <v>12328</v>
      </c>
      <c r="F8407">
        <v>7</v>
      </c>
      <c r="G8407" t="s">
        <v>432</v>
      </c>
      <c r="H8407" t="s">
        <v>150</v>
      </c>
      <c r="I8407" t="s">
        <v>40</v>
      </c>
      <c r="J8407" s="2" t="s">
        <v>41</v>
      </c>
      <c r="K8407" t="s">
        <v>42</v>
      </c>
      <c r="L8407" t="s">
        <v>343</v>
      </c>
      <c r="Q8407">
        <v>24175</v>
      </c>
      <c r="R8407" t="s">
        <v>119</v>
      </c>
      <c r="S8407" t="s">
        <v>5564</v>
      </c>
      <c r="T8407">
        <v>26</v>
      </c>
      <c r="U8407" s="2" t="s">
        <v>50699</v>
      </c>
      <c r="V8407" s="1">
        <v>45013</v>
      </c>
      <c r="W8407" t="s">
        <v>360</v>
      </c>
      <c r="X8407">
        <v>838561</v>
      </c>
      <c r="Y8407" t="s">
        <v>50700</v>
      </c>
      <c r="Z8407" s="2" t="s">
        <v>50701</v>
      </c>
      <c r="AA8407" t="e">
        <f ca="1">-Preventive Maintenance
-module Replacement</f>
        <v>#NAME?</v>
      </c>
      <c r="AB8407" t="s">
        <v>50702</v>
      </c>
      <c r="AC8407" t="s">
        <v>50703</v>
      </c>
      <c r="AD8407" t="s">
        <v>50704</v>
      </c>
      <c r="AE8407" t="s">
        <v>50705</v>
      </c>
      <c r="AG8407" t="s">
        <v>50706</v>
      </c>
      <c r="AH8407" t="s">
        <v>14800</v>
      </c>
      <c r="AI8407" t="s">
        <v>50707</v>
      </c>
    </row>
    <row r="8408" spans="2:35" ht="360">
      <c r="B8408" s="1">
        <v>45028</v>
      </c>
      <c r="C8408" s="4">
        <v>45028.381944444445</v>
      </c>
      <c r="D8408" t="s">
        <v>4694</v>
      </c>
      <c r="E8408" t="s">
        <v>13697</v>
      </c>
      <c r="F8408">
        <v>12</v>
      </c>
      <c r="G8408" t="s">
        <v>2137</v>
      </c>
      <c r="H8408" t="s">
        <v>39</v>
      </c>
      <c r="I8408" t="s">
        <v>94</v>
      </c>
      <c r="J8408" s="2" t="s">
        <v>8419</v>
      </c>
      <c r="K8408" t="s">
        <v>42</v>
      </c>
      <c r="L8408" t="s">
        <v>296</v>
      </c>
      <c r="Q8408">
        <v>24174</v>
      </c>
      <c r="R8408" t="s">
        <v>119</v>
      </c>
      <c r="S8408" t="s">
        <v>38915</v>
      </c>
      <c r="T8408">
        <v>25.5</v>
      </c>
      <c r="U8408" s="2" t="s">
        <v>50708</v>
      </c>
      <c r="V8408" s="1">
        <v>45028</v>
      </c>
      <c r="W8408" t="s">
        <v>23049</v>
      </c>
      <c r="X8408">
        <v>838545</v>
      </c>
      <c r="Y8408" t="s">
        <v>26123</v>
      </c>
      <c r="Z8408" s="2" t="s">
        <v>50709</v>
      </c>
      <c r="AA8408" s="2" t="s">
        <v>50709</v>
      </c>
      <c r="AB8408" t="s">
        <v>1480</v>
      </c>
      <c r="AD8408" t="s">
        <v>37959</v>
      </c>
      <c r="AE8408" t="s">
        <v>50710</v>
      </c>
      <c r="AG8408" t="s">
        <v>50711</v>
      </c>
      <c r="AH8408" t="s">
        <v>50712</v>
      </c>
      <c r="AI8408" t="s">
        <v>50713</v>
      </c>
    </row>
    <row r="8409" spans="2:35" ht="255">
      <c r="B8409" s="1">
        <v>45028</v>
      </c>
      <c r="C8409" s="4">
        <v>45027.654861111114</v>
      </c>
      <c r="D8409" t="s">
        <v>7897</v>
      </c>
      <c r="E8409" t="s">
        <v>7898</v>
      </c>
      <c r="F8409">
        <v>12</v>
      </c>
      <c r="G8409" t="s">
        <v>2137</v>
      </c>
      <c r="H8409" t="s">
        <v>39</v>
      </c>
      <c r="I8409" t="s">
        <v>94</v>
      </c>
      <c r="J8409" s="2" t="s">
        <v>41</v>
      </c>
      <c r="K8409" t="s">
        <v>42</v>
      </c>
      <c r="L8409" t="s">
        <v>296</v>
      </c>
      <c r="Q8409">
        <v>24174</v>
      </c>
      <c r="R8409" t="s">
        <v>119</v>
      </c>
      <c r="S8409" t="s">
        <v>39694</v>
      </c>
      <c r="T8409">
        <v>28</v>
      </c>
      <c r="U8409" s="2" t="s">
        <v>50714</v>
      </c>
      <c r="V8409" s="1">
        <v>45027</v>
      </c>
      <c r="W8409" t="s">
        <v>23049</v>
      </c>
      <c r="X8409">
        <v>838259</v>
      </c>
      <c r="Y8409" t="s">
        <v>11013</v>
      </c>
      <c r="Z8409" s="2" t="s">
        <v>50715</v>
      </c>
      <c r="AA8409" s="2" t="s">
        <v>50715</v>
      </c>
      <c r="AB8409" t="s">
        <v>972</v>
      </c>
      <c r="AD8409" t="s">
        <v>37959</v>
      </c>
      <c r="AE8409" t="s">
        <v>50716</v>
      </c>
      <c r="AG8409" t="s">
        <v>50717</v>
      </c>
      <c r="AH8409" t="s">
        <v>13797</v>
      </c>
      <c r="AI8409" t="s">
        <v>50718</v>
      </c>
    </row>
    <row r="8410" spans="2:35">
      <c r="B8410" s="1">
        <v>45027</v>
      </c>
      <c r="C8410" s="4">
        <v>45027.65902777778</v>
      </c>
      <c r="D8410" t="s">
        <v>44011</v>
      </c>
      <c r="E8410" t="s">
        <v>41822</v>
      </c>
      <c r="F8410" t="s">
        <v>148</v>
      </c>
      <c r="G8410" t="s">
        <v>447</v>
      </c>
      <c r="H8410" t="s">
        <v>386</v>
      </c>
      <c r="I8410" t="s">
        <v>94</v>
      </c>
      <c r="J8410" t="s">
        <v>525</v>
      </c>
      <c r="K8410" t="s">
        <v>387</v>
      </c>
      <c r="L8410" t="s">
        <v>448</v>
      </c>
      <c r="Q8410">
        <v>24173</v>
      </c>
      <c r="R8410" t="s">
        <v>322</v>
      </c>
      <c r="S8410" t="s">
        <v>4140</v>
      </c>
      <c r="T8410">
        <v>27</v>
      </c>
      <c r="V8410" s="1">
        <v>44987</v>
      </c>
      <c r="W8410" t="s">
        <v>476</v>
      </c>
      <c r="X8410" t="s">
        <v>4142</v>
      </c>
      <c r="Y8410" t="s">
        <v>50719</v>
      </c>
      <c r="Z8410" t="s">
        <v>50720</v>
      </c>
      <c r="AA8410" t="s">
        <v>4487</v>
      </c>
      <c r="AB8410" t="s">
        <v>4741</v>
      </c>
      <c r="AC8410" t="s">
        <v>50721</v>
      </c>
      <c r="AD8410" t="s">
        <v>50722</v>
      </c>
      <c r="AE8410">
        <v>9660</v>
      </c>
      <c r="AG8410" t="s">
        <v>50723</v>
      </c>
      <c r="AH8410" t="s">
        <v>50724</v>
      </c>
      <c r="AI8410" t="s">
        <v>50725</v>
      </c>
    </row>
    <row r="8411" spans="2:35">
      <c r="B8411" s="1">
        <v>45027</v>
      </c>
      <c r="C8411" s="4">
        <v>45027.65902777778</v>
      </c>
      <c r="D8411" t="s">
        <v>44011</v>
      </c>
      <c r="E8411" t="s">
        <v>41822</v>
      </c>
      <c r="F8411" t="s">
        <v>148</v>
      </c>
      <c r="G8411" t="s">
        <v>447</v>
      </c>
      <c r="H8411" t="s">
        <v>386</v>
      </c>
      <c r="I8411" t="s">
        <v>94</v>
      </c>
      <c r="J8411" t="s">
        <v>525</v>
      </c>
      <c r="K8411" t="s">
        <v>387</v>
      </c>
      <c r="L8411" t="s">
        <v>448</v>
      </c>
      <c r="Q8411">
        <v>24172</v>
      </c>
      <c r="R8411" t="s">
        <v>322</v>
      </c>
      <c r="S8411" t="s">
        <v>4140</v>
      </c>
      <c r="T8411">
        <v>27</v>
      </c>
      <c r="V8411" s="1">
        <v>44987</v>
      </c>
      <c r="W8411" t="s">
        <v>476</v>
      </c>
      <c r="X8411" t="s">
        <v>4142</v>
      </c>
      <c r="Y8411" t="s">
        <v>50719</v>
      </c>
      <c r="Z8411" t="s">
        <v>50720</v>
      </c>
      <c r="AA8411" t="s">
        <v>4487</v>
      </c>
      <c r="AB8411" t="s">
        <v>4741</v>
      </c>
      <c r="AC8411" t="s">
        <v>50721</v>
      </c>
      <c r="AD8411" t="s">
        <v>50722</v>
      </c>
      <c r="AE8411">
        <v>9660</v>
      </c>
      <c r="AG8411" t="s">
        <v>50726</v>
      </c>
      <c r="AH8411" t="s">
        <v>50724</v>
      </c>
      <c r="AI8411" t="s">
        <v>50727</v>
      </c>
    </row>
    <row r="8412" spans="2:35" ht="285">
      <c r="B8412" s="1">
        <v>45027</v>
      </c>
      <c r="C8412" s="4">
        <v>45021.660416666666</v>
      </c>
      <c r="D8412" t="s">
        <v>4236</v>
      </c>
      <c r="E8412" t="s">
        <v>25784</v>
      </c>
      <c r="F8412">
        <v>3</v>
      </c>
      <c r="G8412" t="s">
        <v>174</v>
      </c>
      <c r="H8412" t="s">
        <v>39</v>
      </c>
      <c r="I8412" t="s">
        <v>40</v>
      </c>
      <c r="J8412" t="s">
        <v>79</v>
      </c>
      <c r="K8412" t="s">
        <v>42</v>
      </c>
      <c r="L8412" t="s">
        <v>175</v>
      </c>
      <c r="Q8412">
        <v>24171</v>
      </c>
      <c r="R8412" t="s">
        <v>45</v>
      </c>
      <c r="S8412" t="s">
        <v>4237</v>
      </c>
      <c r="T8412">
        <v>25</v>
      </c>
      <c r="U8412" s="2" t="s">
        <v>50728</v>
      </c>
      <c r="V8412" s="1">
        <v>45021</v>
      </c>
      <c r="W8412" t="s">
        <v>84</v>
      </c>
      <c r="X8412">
        <v>812770</v>
      </c>
      <c r="Y8412" t="s">
        <v>50729</v>
      </c>
      <c r="Z8412" t="e">
        <f ca="1">- replaced B3
- generated reports
- performed functionality test</f>
        <v>#NAME?</v>
      </c>
      <c r="AA8412" t="s">
        <v>33640</v>
      </c>
      <c r="AB8412" t="s">
        <v>88</v>
      </c>
      <c r="AD8412" s="2" t="s">
        <v>50730</v>
      </c>
      <c r="AE8412" t="s">
        <v>103</v>
      </c>
      <c r="AG8412" t="s">
        <v>50731</v>
      </c>
      <c r="AH8412" t="s">
        <v>50732</v>
      </c>
      <c r="AI8412" t="s">
        <v>50733</v>
      </c>
    </row>
    <row r="8413" spans="2:35" ht="270">
      <c r="B8413" s="1">
        <v>45027</v>
      </c>
      <c r="C8413" s="4">
        <v>45027.642361111109</v>
      </c>
      <c r="D8413" t="s">
        <v>5546</v>
      </c>
      <c r="E8413" t="s">
        <v>1555</v>
      </c>
      <c r="F8413">
        <v>7</v>
      </c>
      <c r="G8413" t="s">
        <v>432</v>
      </c>
      <c r="H8413" t="s">
        <v>39</v>
      </c>
      <c r="I8413" t="s">
        <v>94</v>
      </c>
      <c r="J8413" s="2" t="s">
        <v>1808</v>
      </c>
      <c r="K8413" t="s">
        <v>42</v>
      </c>
      <c r="L8413" t="s">
        <v>433</v>
      </c>
      <c r="Q8413">
        <v>24170</v>
      </c>
      <c r="R8413" t="s">
        <v>119</v>
      </c>
      <c r="S8413" t="s">
        <v>5548</v>
      </c>
      <c r="T8413">
        <v>28</v>
      </c>
      <c r="U8413" s="2" t="s">
        <v>50734</v>
      </c>
      <c r="W8413" t="s">
        <v>6776</v>
      </c>
      <c r="X8413">
        <v>838527</v>
      </c>
      <c r="Y8413" t="s">
        <v>50735</v>
      </c>
      <c r="Z8413" t="s">
        <v>50736</v>
      </c>
      <c r="AA8413" t="s">
        <v>50737</v>
      </c>
      <c r="AB8413" t="s">
        <v>1011</v>
      </c>
      <c r="AG8413" t="s">
        <v>50738</v>
      </c>
      <c r="AH8413" t="s">
        <v>5720</v>
      </c>
      <c r="AI8413" t="s">
        <v>50739</v>
      </c>
    </row>
    <row r="8414" spans="2:35" ht="255">
      <c r="B8414" s="1">
        <v>45027</v>
      </c>
      <c r="C8414" s="4">
        <v>45027.585416666669</v>
      </c>
      <c r="D8414" t="s">
        <v>1071</v>
      </c>
      <c r="E8414" t="s">
        <v>12328</v>
      </c>
      <c r="F8414">
        <v>7</v>
      </c>
      <c r="G8414" t="s">
        <v>432</v>
      </c>
      <c r="H8414" t="s">
        <v>150</v>
      </c>
      <c r="I8414" t="s">
        <v>40</v>
      </c>
      <c r="J8414" t="s">
        <v>79</v>
      </c>
      <c r="K8414" t="s">
        <v>42</v>
      </c>
      <c r="L8414" t="s">
        <v>343</v>
      </c>
      <c r="Q8414">
        <v>24169</v>
      </c>
      <c r="R8414" t="s">
        <v>119</v>
      </c>
      <c r="S8414" t="s">
        <v>8679</v>
      </c>
      <c r="T8414">
        <v>24</v>
      </c>
      <c r="U8414" s="2" t="s">
        <v>50740</v>
      </c>
      <c r="W8414" t="s">
        <v>360</v>
      </c>
      <c r="X8414">
        <v>838285</v>
      </c>
      <c r="Y8414" t="s">
        <v>50741</v>
      </c>
      <c r="Z8414" t="s">
        <v>50742</v>
      </c>
      <c r="AA8414" t="s">
        <v>50743</v>
      </c>
      <c r="AB8414" t="s">
        <v>7886</v>
      </c>
      <c r="AC8414" t="s">
        <v>50744</v>
      </c>
      <c r="AG8414" t="s">
        <v>50745</v>
      </c>
      <c r="AH8414" t="s">
        <v>16851</v>
      </c>
      <c r="AI8414" t="s">
        <v>50746</v>
      </c>
    </row>
    <row r="8415" spans="2:35" ht="255">
      <c r="B8415" s="1">
        <v>45027</v>
      </c>
      <c r="C8415" s="4">
        <v>45027.581250000003</v>
      </c>
      <c r="D8415" t="s">
        <v>1071</v>
      </c>
      <c r="E8415" t="s">
        <v>12328</v>
      </c>
      <c r="F8415">
        <v>7</v>
      </c>
      <c r="G8415" t="s">
        <v>432</v>
      </c>
      <c r="H8415" t="s">
        <v>150</v>
      </c>
      <c r="I8415" t="s">
        <v>40</v>
      </c>
      <c r="J8415" t="s">
        <v>79</v>
      </c>
      <c r="K8415" t="s">
        <v>42</v>
      </c>
      <c r="L8415" t="s">
        <v>343</v>
      </c>
      <c r="Q8415">
        <v>24168</v>
      </c>
      <c r="R8415" t="s">
        <v>119</v>
      </c>
      <c r="S8415" t="s">
        <v>8679</v>
      </c>
      <c r="T8415">
        <v>24</v>
      </c>
      <c r="U8415" s="2" t="s">
        <v>50747</v>
      </c>
      <c r="V8415" s="1">
        <v>45009</v>
      </c>
      <c r="W8415" t="s">
        <v>360</v>
      </c>
      <c r="X8415">
        <v>820206</v>
      </c>
      <c r="Y8415" t="s">
        <v>50748</v>
      </c>
      <c r="Z8415" t="s">
        <v>50749</v>
      </c>
      <c r="AA8415" t="s">
        <v>2129</v>
      </c>
      <c r="AB8415" t="s">
        <v>7886</v>
      </c>
      <c r="AD8415" t="s">
        <v>50750</v>
      </c>
      <c r="AE8415">
        <v>9782</v>
      </c>
      <c r="AG8415" t="s">
        <v>50751</v>
      </c>
      <c r="AH8415" t="s">
        <v>16851</v>
      </c>
      <c r="AI8415" t="s">
        <v>50752</v>
      </c>
    </row>
    <row r="8416" spans="2:35" ht="105">
      <c r="B8416" s="1">
        <v>45027</v>
      </c>
      <c r="C8416" s="4">
        <v>45027.603472222225</v>
      </c>
      <c r="D8416" t="s">
        <v>44634</v>
      </c>
      <c r="E8416" t="s">
        <v>50753</v>
      </c>
      <c r="F8416">
        <v>9</v>
      </c>
      <c r="G8416" t="s">
        <v>2197</v>
      </c>
      <c r="H8416" t="s">
        <v>39</v>
      </c>
      <c r="I8416" t="s">
        <v>40</v>
      </c>
      <c r="J8416" t="s">
        <v>109</v>
      </c>
      <c r="K8416" t="s">
        <v>42</v>
      </c>
      <c r="L8416" t="s">
        <v>1257</v>
      </c>
      <c r="Q8416">
        <v>24167</v>
      </c>
      <c r="R8416" t="s">
        <v>119</v>
      </c>
      <c r="S8416" t="s">
        <v>2958</v>
      </c>
      <c r="T8416">
        <v>19</v>
      </c>
      <c r="U8416" s="2" t="s">
        <v>50754</v>
      </c>
      <c r="V8416" s="1">
        <v>45027</v>
      </c>
      <c r="W8416" t="s">
        <v>360</v>
      </c>
      <c r="X8416">
        <v>821214</v>
      </c>
      <c r="Y8416" t="s">
        <v>50755</v>
      </c>
      <c r="Z8416" t="s">
        <v>50756</v>
      </c>
      <c r="AA8416" t="s">
        <v>12559</v>
      </c>
      <c r="AB8416" t="s">
        <v>50757</v>
      </c>
      <c r="AC8416" t="s">
        <v>50758</v>
      </c>
      <c r="AD8416" t="s">
        <v>54</v>
      </c>
      <c r="AE8416" t="s">
        <v>54</v>
      </c>
      <c r="AG8416" t="s">
        <v>50759</v>
      </c>
      <c r="AH8416" t="s">
        <v>2968</v>
      </c>
      <c r="AI8416" t="s">
        <v>50760</v>
      </c>
    </row>
    <row r="8417" spans="2:35" ht="165">
      <c r="B8417" s="1">
        <v>45027</v>
      </c>
      <c r="C8417" s="4">
        <v>45020.606249999997</v>
      </c>
      <c r="D8417" t="s">
        <v>50761</v>
      </c>
      <c r="E8417" t="s">
        <v>50762</v>
      </c>
      <c r="F8417" t="s">
        <v>37</v>
      </c>
      <c r="G8417" t="s">
        <v>189</v>
      </c>
      <c r="H8417" t="s">
        <v>39</v>
      </c>
      <c r="I8417" t="s">
        <v>40</v>
      </c>
      <c r="J8417" s="2" t="s">
        <v>62</v>
      </c>
      <c r="K8417" t="s">
        <v>42</v>
      </c>
      <c r="L8417" t="s">
        <v>1028</v>
      </c>
      <c r="Q8417">
        <v>24166</v>
      </c>
      <c r="R8417" t="s">
        <v>119</v>
      </c>
      <c r="S8417" t="s">
        <v>50763</v>
      </c>
      <c r="T8417">
        <v>28</v>
      </c>
      <c r="U8417" s="2" t="s">
        <v>17357</v>
      </c>
      <c r="V8417" s="1">
        <v>44942</v>
      </c>
      <c r="W8417" t="s">
        <v>2680</v>
      </c>
      <c r="X8417">
        <v>820210</v>
      </c>
      <c r="Y8417" t="s">
        <v>18140</v>
      </c>
      <c r="Z8417" t="s">
        <v>21244</v>
      </c>
      <c r="AA8417" s="2" t="s">
        <v>31300</v>
      </c>
      <c r="AB8417" t="s">
        <v>3063</v>
      </c>
      <c r="AC8417" t="s">
        <v>28004</v>
      </c>
      <c r="AD8417" t="s">
        <v>7189</v>
      </c>
      <c r="AE8417">
        <v>9468</v>
      </c>
      <c r="AG8417" t="s">
        <v>50764</v>
      </c>
      <c r="AH8417" t="s">
        <v>50765</v>
      </c>
      <c r="AI8417" t="s">
        <v>50766</v>
      </c>
    </row>
    <row r="8418" spans="2:35" ht="240">
      <c r="B8418" s="1">
        <v>45027</v>
      </c>
      <c r="C8418" s="4">
        <v>45027.603472222225</v>
      </c>
      <c r="D8418" t="s">
        <v>50767</v>
      </c>
      <c r="E8418" t="s">
        <v>50768</v>
      </c>
      <c r="F8418">
        <v>13</v>
      </c>
      <c r="G8418" t="s">
        <v>8524</v>
      </c>
      <c r="H8418" t="s">
        <v>2125</v>
      </c>
      <c r="I8418" t="s">
        <v>40</v>
      </c>
      <c r="J8418" s="2" t="s">
        <v>41</v>
      </c>
      <c r="K8418" t="s">
        <v>42</v>
      </c>
      <c r="L8418" t="s">
        <v>933</v>
      </c>
      <c r="Q8418">
        <v>24165</v>
      </c>
      <c r="R8418" t="s">
        <v>45</v>
      </c>
      <c r="S8418" t="s">
        <v>50769</v>
      </c>
      <c r="T8418">
        <v>31.65</v>
      </c>
      <c r="U8418" s="2" t="s">
        <v>50770</v>
      </c>
      <c r="W8418" t="s">
        <v>3662</v>
      </c>
      <c r="X8418">
        <v>805280</v>
      </c>
      <c r="Y8418" t="s">
        <v>301</v>
      </c>
      <c r="Z8418" t="s">
        <v>301</v>
      </c>
      <c r="AA8418" s="2" t="s">
        <v>50771</v>
      </c>
      <c r="AB8418" t="s">
        <v>13650</v>
      </c>
      <c r="AG8418" t="s">
        <v>50772</v>
      </c>
      <c r="AH8418" t="s">
        <v>50773</v>
      </c>
      <c r="AI8418" t="s">
        <v>50774</v>
      </c>
    </row>
    <row r="8419" spans="2:35" ht="285">
      <c r="B8419" s="1">
        <v>45027</v>
      </c>
      <c r="C8419" s="4">
        <v>45027.571527777778</v>
      </c>
      <c r="D8419" t="s">
        <v>45308</v>
      </c>
      <c r="E8419" t="s">
        <v>39764</v>
      </c>
      <c r="F8419">
        <v>6</v>
      </c>
      <c r="G8419" t="s">
        <v>1234</v>
      </c>
      <c r="H8419" t="s">
        <v>258</v>
      </c>
      <c r="I8419" t="s">
        <v>94</v>
      </c>
      <c r="J8419" s="2" t="s">
        <v>41</v>
      </c>
      <c r="K8419" t="s">
        <v>42</v>
      </c>
      <c r="L8419" t="s">
        <v>270</v>
      </c>
      <c r="Q8419">
        <v>24164</v>
      </c>
      <c r="R8419" t="s">
        <v>45</v>
      </c>
      <c r="S8419" t="s">
        <v>50775</v>
      </c>
      <c r="T8419">
        <v>23</v>
      </c>
      <c r="U8419" s="2" t="s">
        <v>50776</v>
      </c>
      <c r="W8419" t="s">
        <v>1292</v>
      </c>
      <c r="X8419">
        <v>815283</v>
      </c>
      <c r="Y8419" t="s">
        <v>50777</v>
      </c>
      <c r="Z8419" t="e">
        <f ca="1">- PERFORM module bay Cleaning, plunger rod Maintenance, _xludf.filter Cleaning, archiving.</f>
        <v>#NAME?</v>
      </c>
      <c r="AA8419" s="2" t="s">
        <v>50778</v>
      </c>
      <c r="AB8419" t="s">
        <v>49924</v>
      </c>
      <c r="AG8419" t="s">
        <v>50779</v>
      </c>
      <c r="AH8419" t="s">
        <v>50780</v>
      </c>
      <c r="AI8419" t="s">
        <v>50781</v>
      </c>
    </row>
    <row r="8420" spans="2:35" ht="105">
      <c r="B8420" s="1">
        <v>45027</v>
      </c>
      <c r="C8420" s="4">
        <v>45027.531944444447</v>
      </c>
      <c r="D8420" t="s">
        <v>10149</v>
      </c>
      <c r="E8420" t="s">
        <v>16554</v>
      </c>
      <c r="F8420">
        <v>10</v>
      </c>
      <c r="G8420" t="s">
        <v>1395</v>
      </c>
      <c r="H8420" t="s">
        <v>1047</v>
      </c>
      <c r="I8420" t="s">
        <v>40</v>
      </c>
      <c r="J8420" s="2" t="s">
        <v>1808</v>
      </c>
      <c r="K8420" t="s">
        <v>42</v>
      </c>
      <c r="L8420" t="s">
        <v>43100</v>
      </c>
      <c r="Q8420">
        <v>24163</v>
      </c>
      <c r="R8420" t="s">
        <v>119</v>
      </c>
      <c r="S8420" t="s">
        <v>10801</v>
      </c>
      <c r="T8420">
        <v>27</v>
      </c>
      <c r="U8420" s="2" t="s">
        <v>28944</v>
      </c>
      <c r="W8420" t="s">
        <v>43102</v>
      </c>
      <c r="X8420">
        <v>838269</v>
      </c>
      <c r="Y8420" t="s">
        <v>50782</v>
      </c>
      <c r="Z8420" t="s">
        <v>4789</v>
      </c>
      <c r="AA8420" s="2" t="s">
        <v>50783</v>
      </c>
      <c r="AB8420" t="s">
        <v>486</v>
      </c>
      <c r="AG8420" t="s">
        <v>50784</v>
      </c>
      <c r="AH8420" t="s">
        <v>16558</v>
      </c>
      <c r="AI8420" t="s">
        <v>50785</v>
      </c>
    </row>
    <row r="8421" spans="2:35" ht="285">
      <c r="B8421" s="1">
        <v>45027</v>
      </c>
      <c r="C8421" s="4">
        <v>45027.447222222225</v>
      </c>
      <c r="D8421" t="s">
        <v>31600</v>
      </c>
      <c r="E8421" t="s">
        <v>50786</v>
      </c>
      <c r="F8421">
        <v>3</v>
      </c>
      <c r="G8421" t="s">
        <v>1640</v>
      </c>
      <c r="H8421" t="s">
        <v>39</v>
      </c>
      <c r="I8421" t="s">
        <v>40</v>
      </c>
      <c r="J8421" s="2" t="s">
        <v>41</v>
      </c>
      <c r="K8421" t="s">
        <v>42</v>
      </c>
      <c r="L8421" t="s">
        <v>63</v>
      </c>
      <c r="Q8421">
        <v>24162</v>
      </c>
      <c r="R8421" t="s">
        <v>45</v>
      </c>
      <c r="S8421" t="s">
        <v>31602</v>
      </c>
      <c r="T8421">
        <v>27</v>
      </c>
      <c r="U8421" s="2" t="s">
        <v>50787</v>
      </c>
      <c r="V8421" s="1">
        <v>44999</v>
      </c>
      <c r="W8421" t="s">
        <v>26915</v>
      </c>
      <c r="X8421">
        <v>807565</v>
      </c>
      <c r="Y8421" t="s">
        <v>1716</v>
      </c>
      <c r="Z8421" t="s">
        <v>1716</v>
      </c>
      <c r="AA8421" s="2" t="s">
        <v>39935</v>
      </c>
      <c r="AB8421" t="s">
        <v>70</v>
      </c>
      <c r="AC8421" t="s">
        <v>50788</v>
      </c>
      <c r="AD8421" t="s">
        <v>50789</v>
      </c>
      <c r="AE8421" t="s">
        <v>1716</v>
      </c>
      <c r="AG8421" t="s">
        <v>50790</v>
      </c>
      <c r="AH8421" t="s">
        <v>50791</v>
      </c>
      <c r="AI8421" t="s">
        <v>50792</v>
      </c>
    </row>
    <row r="8422" spans="2:35" ht="165">
      <c r="B8422" s="1">
        <v>45027</v>
      </c>
      <c r="C8422" s="4">
        <v>45027.493750000001</v>
      </c>
      <c r="D8422" t="s">
        <v>45221</v>
      </c>
      <c r="E8422" t="s">
        <v>42227</v>
      </c>
      <c r="F8422">
        <v>7</v>
      </c>
      <c r="G8422" t="s">
        <v>432</v>
      </c>
      <c r="H8422" t="s">
        <v>39</v>
      </c>
      <c r="I8422" t="s">
        <v>94</v>
      </c>
      <c r="J8422" t="s">
        <v>109</v>
      </c>
      <c r="K8422" t="s">
        <v>42</v>
      </c>
      <c r="L8422" t="s">
        <v>610</v>
      </c>
      <c r="Q8422">
        <v>24161</v>
      </c>
      <c r="R8422" t="s">
        <v>119</v>
      </c>
      <c r="S8422" t="s">
        <v>13419</v>
      </c>
      <c r="T8422">
        <v>24</v>
      </c>
      <c r="U8422" s="2" t="s">
        <v>18993</v>
      </c>
      <c r="W8422" t="s">
        <v>502</v>
      </c>
      <c r="X8422">
        <v>838512</v>
      </c>
      <c r="Y8422">
        <v>4009</v>
      </c>
      <c r="Z8422" t="s">
        <v>50793</v>
      </c>
      <c r="AA8422" s="2" t="s">
        <v>50794</v>
      </c>
      <c r="AB8422" t="s">
        <v>1263</v>
      </c>
      <c r="AG8422" t="s">
        <v>50795</v>
      </c>
      <c r="AH8422" t="s">
        <v>50796</v>
      </c>
      <c r="AI8422" t="s">
        <v>50797</v>
      </c>
    </row>
    <row r="8423" spans="2:35" ht="165">
      <c r="B8423" s="1">
        <v>45027</v>
      </c>
      <c r="C8423" s="4">
        <v>45027.493750000001</v>
      </c>
      <c r="D8423" t="s">
        <v>45221</v>
      </c>
      <c r="E8423" t="s">
        <v>42227</v>
      </c>
      <c r="F8423">
        <v>7</v>
      </c>
      <c r="G8423" t="s">
        <v>432</v>
      </c>
      <c r="H8423" t="s">
        <v>39</v>
      </c>
      <c r="I8423" t="s">
        <v>94</v>
      </c>
      <c r="J8423" t="s">
        <v>109</v>
      </c>
      <c r="K8423" t="s">
        <v>42</v>
      </c>
      <c r="L8423" t="s">
        <v>610</v>
      </c>
      <c r="Q8423">
        <v>24160</v>
      </c>
      <c r="R8423" t="s">
        <v>119</v>
      </c>
      <c r="S8423" t="s">
        <v>13419</v>
      </c>
      <c r="T8423">
        <v>24</v>
      </c>
      <c r="U8423" s="2" t="s">
        <v>18993</v>
      </c>
      <c r="W8423" t="s">
        <v>502</v>
      </c>
      <c r="X8423">
        <v>838512</v>
      </c>
      <c r="Y8423">
        <v>4009</v>
      </c>
      <c r="Z8423" t="s">
        <v>50793</v>
      </c>
      <c r="AA8423" s="2" t="s">
        <v>50794</v>
      </c>
      <c r="AB8423" t="s">
        <v>1263</v>
      </c>
      <c r="AG8423" t="s">
        <v>50798</v>
      </c>
      <c r="AH8423" t="s">
        <v>50796</v>
      </c>
      <c r="AI8423" t="s">
        <v>50799</v>
      </c>
    </row>
    <row r="8424" spans="2:35" ht="180">
      <c r="B8424" s="1">
        <v>45027</v>
      </c>
      <c r="C8424" s="4">
        <v>45027.42291666667</v>
      </c>
      <c r="D8424" t="s">
        <v>18752</v>
      </c>
      <c r="E8424" t="s">
        <v>46590</v>
      </c>
      <c r="F8424">
        <v>7</v>
      </c>
      <c r="G8424" t="s">
        <v>432</v>
      </c>
      <c r="H8424" t="s">
        <v>39</v>
      </c>
      <c r="I8424" t="s">
        <v>94</v>
      </c>
      <c r="J8424" t="s">
        <v>321</v>
      </c>
      <c r="K8424" t="s">
        <v>42</v>
      </c>
      <c r="L8424" t="s">
        <v>594</v>
      </c>
      <c r="Q8424">
        <v>24159</v>
      </c>
      <c r="R8424" t="s">
        <v>45</v>
      </c>
      <c r="S8424" t="s">
        <v>22513</v>
      </c>
      <c r="T8424">
        <v>24</v>
      </c>
      <c r="U8424" s="2" t="s">
        <v>50800</v>
      </c>
      <c r="V8424" s="1">
        <v>45020</v>
      </c>
      <c r="W8424" t="s">
        <v>502</v>
      </c>
      <c r="X8424">
        <v>815485</v>
      </c>
      <c r="Y8424" t="s">
        <v>50801</v>
      </c>
      <c r="Z8424" t="s">
        <v>50802</v>
      </c>
      <c r="AA8424" t="s">
        <v>50803</v>
      </c>
      <c r="AB8424" t="s">
        <v>4253</v>
      </c>
      <c r="AG8424" t="s">
        <v>50804</v>
      </c>
      <c r="AH8424" t="s">
        <v>46595</v>
      </c>
      <c r="AI8424" t="s">
        <v>50805</v>
      </c>
    </row>
    <row r="8425" spans="2:35" ht="255">
      <c r="B8425" s="1">
        <v>45027</v>
      </c>
      <c r="C8425" s="4">
        <v>45020.477083333331</v>
      </c>
      <c r="D8425" t="s">
        <v>2449</v>
      </c>
      <c r="E8425" t="s">
        <v>50806</v>
      </c>
      <c r="F8425" t="s">
        <v>148</v>
      </c>
      <c r="G8425" t="s">
        <v>1964</v>
      </c>
      <c r="H8425" t="s">
        <v>39</v>
      </c>
      <c r="I8425" t="s">
        <v>40</v>
      </c>
      <c r="J8425" s="2" t="s">
        <v>62</v>
      </c>
      <c r="K8425" t="s">
        <v>42</v>
      </c>
      <c r="L8425" t="s">
        <v>43</v>
      </c>
      <c r="Q8425">
        <v>24157</v>
      </c>
      <c r="R8425" t="s">
        <v>119</v>
      </c>
      <c r="S8425" t="s">
        <v>2451</v>
      </c>
      <c r="T8425">
        <v>25</v>
      </c>
      <c r="U8425" s="2" t="s">
        <v>50807</v>
      </c>
      <c r="V8425" s="1">
        <v>44944</v>
      </c>
      <c r="W8425" t="s">
        <v>9792</v>
      </c>
      <c r="X8425">
        <v>831898</v>
      </c>
      <c r="Y8425" t="s">
        <v>1111</v>
      </c>
      <c r="Z8425" t="s">
        <v>1519</v>
      </c>
      <c r="AA8425" s="2" t="s">
        <v>38266</v>
      </c>
      <c r="AB8425" t="s">
        <v>1521</v>
      </c>
      <c r="AD8425" t="s">
        <v>39229</v>
      </c>
      <c r="AE8425" t="s">
        <v>50808</v>
      </c>
      <c r="AG8425" t="s">
        <v>50809</v>
      </c>
      <c r="AH8425" t="s">
        <v>2458</v>
      </c>
      <c r="AI8425" t="s">
        <v>50810</v>
      </c>
    </row>
    <row r="8426" spans="2:35" ht="285">
      <c r="B8426" s="1">
        <v>45027</v>
      </c>
      <c r="C8426" s="4">
        <v>45020.588194444441</v>
      </c>
      <c r="D8426" t="s">
        <v>1995</v>
      </c>
      <c r="E8426" t="s">
        <v>50811</v>
      </c>
      <c r="F8426" t="s">
        <v>148</v>
      </c>
      <c r="G8426" t="s">
        <v>1964</v>
      </c>
      <c r="H8426" t="s">
        <v>39</v>
      </c>
      <c r="I8426" t="s">
        <v>40</v>
      </c>
      <c r="J8426" s="2" t="s">
        <v>1309</v>
      </c>
      <c r="K8426" t="s">
        <v>42</v>
      </c>
      <c r="L8426" t="s">
        <v>43</v>
      </c>
      <c r="Q8426">
        <v>24155</v>
      </c>
      <c r="R8426" t="s">
        <v>45</v>
      </c>
      <c r="S8426" t="s">
        <v>1997</v>
      </c>
      <c r="T8426">
        <v>25</v>
      </c>
      <c r="U8426" s="2" t="s">
        <v>50812</v>
      </c>
      <c r="V8426" s="1">
        <v>45020</v>
      </c>
      <c r="W8426" t="s">
        <v>9792</v>
      </c>
      <c r="X8426">
        <v>838192</v>
      </c>
      <c r="Y8426" t="s">
        <v>50813</v>
      </c>
      <c r="Z8426" t="s">
        <v>50814</v>
      </c>
      <c r="AA8426" s="2" t="s">
        <v>50815</v>
      </c>
      <c r="AB8426" t="s">
        <v>88</v>
      </c>
      <c r="AC8426" t="s">
        <v>50816</v>
      </c>
      <c r="AD8426" s="2" t="s">
        <v>50817</v>
      </c>
      <c r="AE8426" t="s">
        <v>54</v>
      </c>
      <c r="AG8426" t="s">
        <v>50818</v>
      </c>
      <c r="AH8426" t="s">
        <v>50819</v>
      </c>
      <c r="AI8426" t="s">
        <v>50820</v>
      </c>
    </row>
    <row r="8427" spans="2:35" ht="285">
      <c r="B8427" s="1">
        <v>45027</v>
      </c>
      <c r="C8427" s="4">
        <v>45021.37777777778</v>
      </c>
      <c r="D8427" t="s">
        <v>4553</v>
      </c>
      <c r="E8427" t="s">
        <v>50821</v>
      </c>
      <c r="F8427" t="s">
        <v>148</v>
      </c>
      <c r="G8427" t="s">
        <v>149</v>
      </c>
      <c r="H8427" t="s">
        <v>39</v>
      </c>
      <c r="I8427" t="s">
        <v>40</v>
      </c>
      <c r="J8427" s="2" t="s">
        <v>41</v>
      </c>
      <c r="K8427" t="s">
        <v>42</v>
      </c>
      <c r="L8427" t="s">
        <v>43</v>
      </c>
      <c r="Q8427">
        <v>24158</v>
      </c>
      <c r="R8427" t="s">
        <v>119</v>
      </c>
      <c r="S8427" t="s">
        <v>4555</v>
      </c>
      <c r="T8427">
        <v>25</v>
      </c>
      <c r="U8427" s="2" t="s">
        <v>50822</v>
      </c>
      <c r="V8427" s="1">
        <v>45012</v>
      </c>
      <c r="W8427" t="s">
        <v>9792</v>
      </c>
      <c r="X8427">
        <v>831598</v>
      </c>
      <c r="Y8427" t="s">
        <v>50823</v>
      </c>
      <c r="Z8427" t="s">
        <v>7399</v>
      </c>
      <c r="AA8427" s="2" t="s">
        <v>50824</v>
      </c>
      <c r="AB8427" t="s">
        <v>16412</v>
      </c>
      <c r="AD8427" s="2" t="s">
        <v>50825</v>
      </c>
      <c r="AE8427" t="s">
        <v>50826</v>
      </c>
      <c r="AG8427" t="s">
        <v>50827</v>
      </c>
      <c r="AH8427" t="s">
        <v>4559</v>
      </c>
      <c r="AI8427" t="s">
        <v>50828</v>
      </c>
    </row>
    <row r="8428" spans="2:35" ht="390">
      <c r="B8428" s="1">
        <v>45027</v>
      </c>
      <c r="C8428" s="4">
        <v>45021.478472222225</v>
      </c>
      <c r="D8428" t="s">
        <v>146</v>
      </c>
      <c r="E8428" t="s">
        <v>28042</v>
      </c>
      <c r="F8428" t="s">
        <v>148</v>
      </c>
      <c r="G8428" t="s">
        <v>149</v>
      </c>
      <c r="H8428" t="s">
        <v>39</v>
      </c>
      <c r="I8428" t="s">
        <v>40</v>
      </c>
      <c r="J8428" t="s">
        <v>109</v>
      </c>
      <c r="K8428" t="s">
        <v>42</v>
      </c>
      <c r="L8428" t="s">
        <v>43</v>
      </c>
      <c r="Q8428">
        <v>24156</v>
      </c>
      <c r="R8428" t="s">
        <v>95</v>
      </c>
      <c r="S8428" t="s">
        <v>22735</v>
      </c>
      <c r="T8428">
        <v>22</v>
      </c>
      <c r="U8428" s="2" t="s">
        <v>50829</v>
      </c>
      <c r="W8428" t="s">
        <v>153</v>
      </c>
      <c r="X8428">
        <v>110003714</v>
      </c>
      <c r="Y8428" t="s">
        <v>121</v>
      </c>
      <c r="Z8428" t="s">
        <v>122</v>
      </c>
      <c r="AA8428" s="2" t="s">
        <v>43548</v>
      </c>
      <c r="AB8428" t="s">
        <v>16412</v>
      </c>
      <c r="AG8428" t="s">
        <v>50830</v>
      </c>
      <c r="AH8428" t="s">
        <v>50831</v>
      </c>
      <c r="AI8428" t="s">
        <v>50832</v>
      </c>
    </row>
    <row r="8429" spans="2:35" ht="180">
      <c r="B8429" s="1">
        <v>45026</v>
      </c>
      <c r="C8429" s="4">
        <v>45020.686111111114</v>
      </c>
      <c r="D8429" t="s">
        <v>50833</v>
      </c>
      <c r="E8429" t="s">
        <v>50834</v>
      </c>
      <c r="F8429">
        <v>5</v>
      </c>
      <c r="G8429" t="s">
        <v>839</v>
      </c>
      <c r="H8429" t="s">
        <v>39</v>
      </c>
      <c r="I8429" t="s">
        <v>40</v>
      </c>
      <c r="J8429" s="2" t="s">
        <v>41</v>
      </c>
      <c r="K8429" t="s">
        <v>42</v>
      </c>
      <c r="L8429" t="s">
        <v>448</v>
      </c>
      <c r="Q8429">
        <v>24154</v>
      </c>
      <c r="R8429" t="s">
        <v>119</v>
      </c>
      <c r="S8429" t="s">
        <v>7099</v>
      </c>
      <c r="T8429">
        <v>25</v>
      </c>
      <c r="U8429" s="2" t="s">
        <v>50835</v>
      </c>
      <c r="V8429" s="1">
        <v>45013</v>
      </c>
      <c r="W8429" t="s">
        <v>360</v>
      </c>
      <c r="X8429">
        <v>838408</v>
      </c>
      <c r="Y8429" t="s">
        <v>50836</v>
      </c>
      <c r="Z8429" t="s">
        <v>50837</v>
      </c>
      <c r="AA8429" t="s">
        <v>20643</v>
      </c>
      <c r="AB8429" t="s">
        <v>50838</v>
      </c>
      <c r="AD8429" t="s">
        <v>50839</v>
      </c>
      <c r="AE8429">
        <v>9815</v>
      </c>
      <c r="AG8429" t="s">
        <v>50840</v>
      </c>
      <c r="AH8429" t="s">
        <v>10770</v>
      </c>
      <c r="AI8429" t="s">
        <v>50841</v>
      </c>
    </row>
    <row r="8430" spans="2:35" ht="180">
      <c r="B8430" s="1">
        <v>45026</v>
      </c>
      <c r="C8430" s="4">
        <v>45020.525000000001</v>
      </c>
      <c r="D8430" t="s">
        <v>50842</v>
      </c>
      <c r="E8430" t="s">
        <v>50843</v>
      </c>
      <c r="F8430">
        <v>5</v>
      </c>
      <c r="G8430" t="s">
        <v>839</v>
      </c>
      <c r="H8430" t="s">
        <v>39</v>
      </c>
      <c r="I8430" t="s">
        <v>40</v>
      </c>
      <c r="J8430" s="2" t="s">
        <v>41</v>
      </c>
      <c r="K8430" t="s">
        <v>42</v>
      </c>
      <c r="L8430" t="s">
        <v>448</v>
      </c>
      <c r="Q8430">
        <v>24153</v>
      </c>
      <c r="R8430" t="s">
        <v>119</v>
      </c>
      <c r="S8430" t="s">
        <v>8909</v>
      </c>
      <c r="T8430">
        <v>26</v>
      </c>
      <c r="U8430" s="2" t="s">
        <v>50844</v>
      </c>
      <c r="V8430" s="1">
        <v>45013</v>
      </c>
      <c r="W8430" t="s">
        <v>360</v>
      </c>
      <c r="X8430">
        <v>83838928</v>
      </c>
      <c r="Y8430" t="s">
        <v>50845</v>
      </c>
      <c r="Z8430" t="s">
        <v>42541</v>
      </c>
      <c r="AA8430" t="s">
        <v>20643</v>
      </c>
      <c r="AB8430" t="s">
        <v>50846</v>
      </c>
      <c r="AD8430" t="s">
        <v>34321</v>
      </c>
      <c r="AE8430">
        <v>9816</v>
      </c>
      <c r="AG8430" t="s">
        <v>50847</v>
      </c>
      <c r="AH8430" t="s">
        <v>8912</v>
      </c>
      <c r="AI8430" t="s">
        <v>50848</v>
      </c>
    </row>
    <row r="8431" spans="2:35" ht="285">
      <c r="B8431" s="1">
        <v>45026</v>
      </c>
      <c r="C8431" s="4">
        <v>45016.636805555558</v>
      </c>
      <c r="D8431" t="s">
        <v>50849</v>
      </c>
      <c r="E8431" t="s">
        <v>42404</v>
      </c>
      <c r="F8431" t="s">
        <v>148</v>
      </c>
      <c r="G8431" t="s">
        <v>2007</v>
      </c>
      <c r="H8431" t="s">
        <v>39</v>
      </c>
      <c r="I8431" t="s">
        <v>40</v>
      </c>
      <c r="J8431" t="s">
        <v>109</v>
      </c>
      <c r="K8431" t="s">
        <v>42</v>
      </c>
      <c r="L8431" t="s">
        <v>448</v>
      </c>
      <c r="Q8431">
        <v>24152</v>
      </c>
      <c r="R8431" t="s">
        <v>322</v>
      </c>
      <c r="S8431" t="s">
        <v>50850</v>
      </c>
      <c r="T8431">
        <v>26</v>
      </c>
      <c r="U8431" s="2" t="s">
        <v>50851</v>
      </c>
      <c r="W8431" t="s">
        <v>360</v>
      </c>
      <c r="X8431">
        <v>838134</v>
      </c>
      <c r="Y8431" t="s">
        <v>121</v>
      </c>
      <c r="Z8431" t="s">
        <v>40978</v>
      </c>
      <c r="AA8431" t="s">
        <v>6997</v>
      </c>
      <c r="AB8431" t="s">
        <v>486</v>
      </c>
      <c r="AG8431" t="s">
        <v>50852</v>
      </c>
      <c r="AH8431" t="s">
        <v>50853</v>
      </c>
      <c r="AI8431" t="s">
        <v>50854</v>
      </c>
    </row>
    <row r="8432" spans="2:35" ht="180">
      <c r="B8432" s="1">
        <v>45026</v>
      </c>
      <c r="C8432" s="4">
        <v>45016.537499999999</v>
      </c>
      <c r="D8432" t="s">
        <v>50855</v>
      </c>
      <c r="E8432" t="s">
        <v>50856</v>
      </c>
      <c r="F8432" t="s">
        <v>148</v>
      </c>
      <c r="G8432" t="s">
        <v>20126</v>
      </c>
      <c r="H8432" t="s">
        <v>39</v>
      </c>
      <c r="I8432" t="s">
        <v>40</v>
      </c>
      <c r="J8432" s="2" t="s">
        <v>41</v>
      </c>
      <c r="K8432" t="s">
        <v>42</v>
      </c>
      <c r="L8432" t="s">
        <v>448</v>
      </c>
      <c r="Q8432">
        <v>24151</v>
      </c>
      <c r="R8432" t="s">
        <v>119</v>
      </c>
      <c r="S8432" t="s">
        <v>33009</v>
      </c>
      <c r="T8432">
        <v>26</v>
      </c>
      <c r="U8432" s="2" t="s">
        <v>50857</v>
      </c>
      <c r="V8432" s="1">
        <v>45012</v>
      </c>
      <c r="W8432" t="s">
        <v>360</v>
      </c>
      <c r="X8432">
        <v>831700</v>
      </c>
      <c r="Y8432" t="s">
        <v>50858</v>
      </c>
      <c r="Z8432" t="s">
        <v>42541</v>
      </c>
      <c r="AA8432" t="s">
        <v>50859</v>
      </c>
      <c r="AB8432" t="s">
        <v>486</v>
      </c>
      <c r="AD8432" t="s">
        <v>50860</v>
      </c>
      <c r="AE8432">
        <v>9795</v>
      </c>
      <c r="AG8432" t="s">
        <v>50861</v>
      </c>
      <c r="AH8432" t="s">
        <v>50862</v>
      </c>
      <c r="AI8432" t="s">
        <v>50863</v>
      </c>
    </row>
    <row r="8433" spans="2:35" ht="285">
      <c r="B8433" s="1">
        <v>45026</v>
      </c>
      <c r="C8433" s="4">
        <v>45016.609027777777</v>
      </c>
      <c r="D8433" t="s">
        <v>50849</v>
      </c>
      <c r="E8433" t="s">
        <v>50864</v>
      </c>
      <c r="F8433" t="s">
        <v>148</v>
      </c>
      <c r="G8433" t="s">
        <v>2007</v>
      </c>
      <c r="H8433" t="s">
        <v>39</v>
      </c>
      <c r="I8433" t="s">
        <v>40</v>
      </c>
      <c r="J8433" s="2" t="s">
        <v>62</v>
      </c>
      <c r="K8433" t="s">
        <v>42</v>
      </c>
      <c r="L8433" t="s">
        <v>448</v>
      </c>
      <c r="Q8433">
        <v>24150</v>
      </c>
      <c r="R8433" t="s">
        <v>703</v>
      </c>
      <c r="S8433" t="s">
        <v>50850</v>
      </c>
      <c r="T8433">
        <v>23</v>
      </c>
      <c r="U8433" s="2" t="s">
        <v>50851</v>
      </c>
      <c r="V8433" s="1">
        <v>45013</v>
      </c>
      <c r="W8433" t="s">
        <v>360</v>
      </c>
      <c r="X8433">
        <v>812560</v>
      </c>
      <c r="Y8433" t="s">
        <v>50865</v>
      </c>
      <c r="Z8433" t="s">
        <v>42428</v>
      </c>
      <c r="AA8433" t="s">
        <v>28936</v>
      </c>
      <c r="AB8433" t="s">
        <v>5243</v>
      </c>
      <c r="AD8433" t="s">
        <v>32042</v>
      </c>
      <c r="AE8433">
        <v>9818</v>
      </c>
      <c r="AG8433" t="s">
        <v>50866</v>
      </c>
      <c r="AH8433" t="s">
        <v>50853</v>
      </c>
      <c r="AI8433" t="s">
        <v>50867</v>
      </c>
    </row>
    <row r="8434" spans="2:35" ht="180">
      <c r="B8434" s="1">
        <v>45026</v>
      </c>
      <c r="C8434" s="4">
        <v>45016.537499999999</v>
      </c>
      <c r="D8434" t="s">
        <v>50855</v>
      </c>
      <c r="E8434" t="s">
        <v>50856</v>
      </c>
      <c r="F8434" t="s">
        <v>148</v>
      </c>
      <c r="G8434" t="s">
        <v>20126</v>
      </c>
      <c r="H8434" t="s">
        <v>39</v>
      </c>
      <c r="I8434" t="s">
        <v>40</v>
      </c>
      <c r="J8434" s="2" t="s">
        <v>41</v>
      </c>
      <c r="K8434" t="s">
        <v>42</v>
      </c>
      <c r="L8434" t="s">
        <v>448</v>
      </c>
      <c r="Q8434">
        <v>24149</v>
      </c>
      <c r="R8434" t="s">
        <v>119</v>
      </c>
      <c r="S8434" t="s">
        <v>33009</v>
      </c>
      <c r="T8434">
        <v>26</v>
      </c>
      <c r="U8434" s="2" t="s">
        <v>50857</v>
      </c>
      <c r="V8434" s="1">
        <v>45012</v>
      </c>
      <c r="W8434" t="s">
        <v>360</v>
      </c>
      <c r="X8434">
        <v>831700</v>
      </c>
      <c r="Y8434" t="s">
        <v>50858</v>
      </c>
      <c r="Z8434" t="s">
        <v>42541</v>
      </c>
      <c r="AA8434" t="s">
        <v>50859</v>
      </c>
      <c r="AB8434" t="s">
        <v>486</v>
      </c>
      <c r="AD8434" t="s">
        <v>50860</v>
      </c>
      <c r="AE8434">
        <v>9795</v>
      </c>
      <c r="AG8434" t="s">
        <v>50861</v>
      </c>
      <c r="AH8434" t="s">
        <v>50862</v>
      </c>
      <c r="AI8434" t="s">
        <v>50863</v>
      </c>
    </row>
    <row r="8435" spans="2:35" ht="165">
      <c r="B8435" s="1">
        <v>45026</v>
      </c>
      <c r="C8435" s="4">
        <v>45016.419444444444</v>
      </c>
      <c r="D8435" t="s">
        <v>50868</v>
      </c>
      <c r="E8435" t="s">
        <v>50869</v>
      </c>
      <c r="F8435" t="s">
        <v>148</v>
      </c>
      <c r="G8435" t="s">
        <v>447</v>
      </c>
      <c r="H8435" t="s">
        <v>39</v>
      </c>
      <c r="I8435" t="s">
        <v>40</v>
      </c>
      <c r="J8435" s="2" t="s">
        <v>41</v>
      </c>
      <c r="K8435" t="s">
        <v>42</v>
      </c>
      <c r="L8435" t="s">
        <v>448</v>
      </c>
      <c r="Q8435">
        <v>24148</v>
      </c>
      <c r="R8435" t="s">
        <v>95</v>
      </c>
      <c r="S8435" t="s">
        <v>50870</v>
      </c>
      <c r="T8435">
        <v>30</v>
      </c>
      <c r="U8435" s="2" t="s">
        <v>50871</v>
      </c>
      <c r="V8435" s="1">
        <v>45001</v>
      </c>
      <c r="W8435" t="s">
        <v>360</v>
      </c>
      <c r="X8435">
        <v>110008529</v>
      </c>
      <c r="Y8435" t="s">
        <v>50872</v>
      </c>
      <c r="Z8435" t="s">
        <v>41282</v>
      </c>
      <c r="AA8435" t="s">
        <v>20643</v>
      </c>
      <c r="AB8435" t="s">
        <v>486</v>
      </c>
      <c r="AD8435" t="s">
        <v>19700</v>
      </c>
      <c r="AE8435">
        <v>9697</v>
      </c>
      <c r="AG8435" t="s">
        <v>50873</v>
      </c>
      <c r="AH8435" t="s">
        <v>50874</v>
      </c>
      <c r="AI8435" t="s">
        <v>50875</v>
      </c>
    </row>
    <row r="8436" spans="2:35" ht="180">
      <c r="B8436" s="1">
        <v>45026</v>
      </c>
      <c r="C8436" s="4">
        <v>45015.645833333336</v>
      </c>
      <c r="D8436" t="s">
        <v>50876</v>
      </c>
      <c r="E8436" t="s">
        <v>50877</v>
      </c>
      <c r="F8436" t="s">
        <v>148</v>
      </c>
      <c r="G8436" t="s">
        <v>310</v>
      </c>
      <c r="H8436" t="s">
        <v>39</v>
      </c>
      <c r="I8436" t="s">
        <v>40</v>
      </c>
      <c r="J8436" s="2" t="s">
        <v>41</v>
      </c>
      <c r="K8436" t="s">
        <v>42</v>
      </c>
      <c r="L8436" t="s">
        <v>448</v>
      </c>
      <c r="Q8436">
        <v>24147</v>
      </c>
      <c r="R8436" t="s">
        <v>119</v>
      </c>
      <c r="S8436" t="s">
        <v>34536</v>
      </c>
      <c r="T8436">
        <v>28</v>
      </c>
      <c r="U8436" s="2" t="s">
        <v>50878</v>
      </c>
      <c r="V8436" s="1">
        <v>45005</v>
      </c>
      <c r="W8436" t="s">
        <v>360</v>
      </c>
      <c r="X8436">
        <v>831527</v>
      </c>
      <c r="Y8436" t="s">
        <v>50879</v>
      </c>
      <c r="Z8436" t="s">
        <v>50880</v>
      </c>
      <c r="AA8436" t="s">
        <v>20643</v>
      </c>
      <c r="AB8436" t="s">
        <v>50881</v>
      </c>
      <c r="AC8436" t="s">
        <v>50882</v>
      </c>
      <c r="AD8436" t="s">
        <v>34321</v>
      </c>
      <c r="AE8436" s="3">
        <v>97309705</v>
      </c>
      <c r="AG8436" t="s">
        <v>50883</v>
      </c>
      <c r="AH8436" t="s">
        <v>36092</v>
      </c>
      <c r="AI8436" t="s">
        <v>50884</v>
      </c>
    </row>
    <row r="8437" spans="2:35" ht="180">
      <c r="B8437" s="1">
        <v>45026</v>
      </c>
      <c r="C8437" s="4">
        <v>45015.566666666666</v>
      </c>
      <c r="D8437" t="s">
        <v>38401</v>
      </c>
      <c r="E8437" t="s">
        <v>50885</v>
      </c>
      <c r="F8437" t="s">
        <v>148</v>
      </c>
      <c r="G8437" t="s">
        <v>447</v>
      </c>
      <c r="H8437" t="s">
        <v>39</v>
      </c>
      <c r="I8437" t="s">
        <v>40</v>
      </c>
      <c r="J8437" s="2" t="s">
        <v>41</v>
      </c>
      <c r="K8437" t="s">
        <v>42</v>
      </c>
      <c r="L8437" t="s">
        <v>448</v>
      </c>
      <c r="Q8437">
        <v>24146</v>
      </c>
      <c r="R8437" t="s">
        <v>119</v>
      </c>
      <c r="S8437" t="s">
        <v>33107</v>
      </c>
      <c r="T8437">
        <v>27</v>
      </c>
      <c r="U8437" s="2" t="s">
        <v>50886</v>
      </c>
      <c r="V8437" s="1">
        <v>45012</v>
      </c>
      <c r="W8437" t="s">
        <v>360</v>
      </c>
      <c r="X8437">
        <v>831610</v>
      </c>
      <c r="Y8437" t="s">
        <v>50887</v>
      </c>
      <c r="Z8437" t="s">
        <v>50880</v>
      </c>
      <c r="AA8437" t="s">
        <v>20643</v>
      </c>
      <c r="AB8437" t="s">
        <v>50888</v>
      </c>
      <c r="AD8437" t="s">
        <v>34321</v>
      </c>
      <c r="AE8437">
        <v>9801</v>
      </c>
      <c r="AG8437" t="s">
        <v>50889</v>
      </c>
      <c r="AH8437" t="s">
        <v>50890</v>
      </c>
      <c r="AI8437" t="s">
        <v>50891</v>
      </c>
    </row>
    <row r="8438" spans="2:35" ht="45">
      <c r="B8438" s="1">
        <v>45026</v>
      </c>
      <c r="C8438" s="4">
        <v>45015.49722222222</v>
      </c>
      <c r="D8438" t="s">
        <v>50892</v>
      </c>
      <c r="E8438" t="s">
        <v>50893</v>
      </c>
      <c r="F8438" t="s">
        <v>148</v>
      </c>
      <c r="G8438" t="s">
        <v>447</v>
      </c>
      <c r="H8438" t="s">
        <v>39</v>
      </c>
      <c r="I8438" t="s">
        <v>40</v>
      </c>
      <c r="J8438" s="2" t="s">
        <v>41</v>
      </c>
      <c r="K8438" t="s">
        <v>387</v>
      </c>
      <c r="L8438" t="s">
        <v>448</v>
      </c>
      <c r="Q8438">
        <v>24145</v>
      </c>
      <c r="R8438" t="s">
        <v>119</v>
      </c>
      <c r="S8438" t="s">
        <v>50894</v>
      </c>
      <c r="T8438">
        <v>25</v>
      </c>
      <c r="V8438" s="1">
        <v>45012</v>
      </c>
      <c r="W8438" t="s">
        <v>502</v>
      </c>
      <c r="X8438">
        <v>831507</v>
      </c>
      <c r="Y8438" t="s">
        <v>50895</v>
      </c>
      <c r="Z8438" t="s">
        <v>50837</v>
      </c>
      <c r="AA8438" t="s">
        <v>20643</v>
      </c>
      <c r="AB8438" t="s">
        <v>486</v>
      </c>
      <c r="AD8438" t="s">
        <v>50896</v>
      </c>
      <c r="AE8438">
        <v>9811</v>
      </c>
      <c r="AG8438" t="s">
        <v>50897</v>
      </c>
      <c r="AH8438" t="s">
        <v>50898</v>
      </c>
      <c r="AI8438" t="s">
        <v>50899</v>
      </c>
    </row>
    <row r="8439" spans="2:35" ht="180">
      <c r="B8439" s="1">
        <v>45026</v>
      </c>
      <c r="C8439" s="4">
        <v>45014.570138888892</v>
      </c>
      <c r="D8439" t="s">
        <v>7784</v>
      </c>
      <c r="E8439" t="s">
        <v>50900</v>
      </c>
      <c r="F8439" t="s">
        <v>148</v>
      </c>
      <c r="G8439" t="s">
        <v>447</v>
      </c>
      <c r="H8439" t="s">
        <v>39</v>
      </c>
      <c r="I8439" t="s">
        <v>40</v>
      </c>
      <c r="J8439" s="2" t="s">
        <v>62</v>
      </c>
      <c r="K8439" t="s">
        <v>42</v>
      </c>
      <c r="L8439" t="s">
        <v>448</v>
      </c>
      <c r="Q8439">
        <v>24144</v>
      </c>
      <c r="R8439" t="s">
        <v>703</v>
      </c>
      <c r="S8439" t="s">
        <v>50901</v>
      </c>
      <c r="T8439">
        <v>23</v>
      </c>
      <c r="U8439" s="2" t="s">
        <v>50902</v>
      </c>
      <c r="V8439" s="1">
        <v>45013</v>
      </c>
      <c r="W8439" t="s">
        <v>360</v>
      </c>
      <c r="X8439">
        <v>840975</v>
      </c>
      <c r="Y8439" t="s">
        <v>50865</v>
      </c>
      <c r="Z8439" t="s">
        <v>49370</v>
      </c>
      <c r="AA8439" t="s">
        <v>28936</v>
      </c>
      <c r="AB8439" t="s">
        <v>5243</v>
      </c>
      <c r="AD8439" t="s">
        <v>31754</v>
      </c>
      <c r="AE8439">
        <v>9819</v>
      </c>
      <c r="AG8439" t="s">
        <v>50903</v>
      </c>
      <c r="AH8439" t="s">
        <v>50904</v>
      </c>
      <c r="AI8439" t="s">
        <v>50905</v>
      </c>
    </row>
    <row r="8440" spans="2:35" ht="180">
      <c r="B8440" s="1">
        <v>45026</v>
      </c>
      <c r="C8440" s="4">
        <v>45021.353472222225</v>
      </c>
      <c r="D8440" t="s">
        <v>50906</v>
      </c>
      <c r="E8440" t="s">
        <v>50907</v>
      </c>
      <c r="F8440">
        <v>5</v>
      </c>
      <c r="G8440" t="s">
        <v>759</v>
      </c>
      <c r="H8440" t="s">
        <v>39</v>
      </c>
      <c r="I8440" t="s">
        <v>40</v>
      </c>
      <c r="J8440" s="2" t="s">
        <v>41</v>
      </c>
      <c r="K8440" t="s">
        <v>42</v>
      </c>
      <c r="L8440" t="s">
        <v>448</v>
      </c>
      <c r="Q8440">
        <v>24143</v>
      </c>
      <c r="R8440" t="s">
        <v>45</v>
      </c>
      <c r="S8440" t="s">
        <v>46226</v>
      </c>
      <c r="T8440">
        <v>29</v>
      </c>
      <c r="U8440" s="2" t="s">
        <v>50908</v>
      </c>
      <c r="V8440" s="1">
        <v>45021</v>
      </c>
      <c r="W8440" t="s">
        <v>360</v>
      </c>
      <c r="X8440">
        <v>814371</v>
      </c>
      <c r="Y8440" t="s">
        <v>50909</v>
      </c>
      <c r="Z8440" t="s">
        <v>42541</v>
      </c>
      <c r="AA8440" t="s">
        <v>20643</v>
      </c>
      <c r="AB8440" t="s">
        <v>50910</v>
      </c>
      <c r="AD8440" t="s">
        <v>50911</v>
      </c>
      <c r="AE8440" t="s">
        <v>38419</v>
      </c>
      <c r="AG8440" t="s">
        <v>50912</v>
      </c>
      <c r="AH8440" t="s">
        <v>46232</v>
      </c>
      <c r="AI8440" t="s">
        <v>50913</v>
      </c>
    </row>
    <row r="8441" spans="2:35" ht="360">
      <c r="B8441" s="1">
        <v>45026</v>
      </c>
      <c r="C8441" s="4">
        <v>45021.442361111112</v>
      </c>
      <c r="D8441" t="s">
        <v>50914</v>
      </c>
      <c r="E8441" t="s">
        <v>50915</v>
      </c>
      <c r="F8441">
        <v>5</v>
      </c>
      <c r="G8441" t="s">
        <v>759</v>
      </c>
      <c r="H8441" t="s">
        <v>39</v>
      </c>
      <c r="I8441" t="s">
        <v>40</v>
      </c>
      <c r="J8441" s="2" t="s">
        <v>41</v>
      </c>
      <c r="K8441" t="s">
        <v>42</v>
      </c>
      <c r="L8441" t="s">
        <v>448</v>
      </c>
      <c r="Q8441">
        <v>24142</v>
      </c>
      <c r="R8441" t="s">
        <v>45</v>
      </c>
      <c r="S8441" t="s">
        <v>4983</v>
      </c>
      <c r="T8441">
        <v>20</v>
      </c>
      <c r="U8441" s="2" t="s">
        <v>50916</v>
      </c>
      <c r="V8441" s="1">
        <v>45021</v>
      </c>
      <c r="W8441" t="s">
        <v>360</v>
      </c>
      <c r="X8441">
        <v>807579</v>
      </c>
      <c r="Y8441" t="s">
        <v>50917</v>
      </c>
      <c r="Z8441" t="s">
        <v>42541</v>
      </c>
      <c r="AA8441" t="s">
        <v>20643</v>
      </c>
      <c r="AB8441" t="s">
        <v>486</v>
      </c>
      <c r="AD8441" t="s">
        <v>50918</v>
      </c>
      <c r="AE8441">
        <v>0</v>
      </c>
      <c r="AG8441" t="s">
        <v>50919</v>
      </c>
      <c r="AH8441" t="s">
        <v>4986</v>
      </c>
      <c r="AI8441" t="s">
        <v>50920</v>
      </c>
    </row>
    <row r="8442" spans="2:35" ht="45">
      <c r="B8442" s="1">
        <v>45023</v>
      </c>
      <c r="C8442" s="4">
        <v>45020.620833333334</v>
      </c>
      <c r="D8442" t="s">
        <v>50921</v>
      </c>
      <c r="E8442" t="s">
        <v>50922</v>
      </c>
      <c r="F8442">
        <v>5</v>
      </c>
      <c r="G8442" t="s">
        <v>839</v>
      </c>
      <c r="H8442" t="s">
        <v>39</v>
      </c>
      <c r="I8442" t="s">
        <v>40</v>
      </c>
      <c r="J8442" s="2" t="s">
        <v>41</v>
      </c>
      <c r="K8442" t="s">
        <v>42</v>
      </c>
      <c r="L8442" t="s">
        <v>448</v>
      </c>
      <c r="Q8442">
        <v>24141</v>
      </c>
      <c r="R8442" t="s">
        <v>45</v>
      </c>
      <c r="S8442" t="s">
        <v>50923</v>
      </c>
      <c r="T8442">
        <v>25</v>
      </c>
      <c r="V8442" s="1">
        <v>45021</v>
      </c>
      <c r="W8442" t="s">
        <v>360</v>
      </c>
      <c r="X8442">
        <v>808639</v>
      </c>
      <c r="Y8442" t="s">
        <v>50924</v>
      </c>
      <c r="Z8442" t="s">
        <v>42541</v>
      </c>
      <c r="AA8442" t="s">
        <v>20643</v>
      </c>
      <c r="AB8442" t="s">
        <v>4741</v>
      </c>
      <c r="AE8442" t="s">
        <v>34321</v>
      </c>
      <c r="AG8442" t="s">
        <v>50925</v>
      </c>
      <c r="AH8442" t="s">
        <v>50926</v>
      </c>
      <c r="AI8442" t="s">
        <v>50927</v>
      </c>
    </row>
    <row r="8443" spans="2:35" ht="45">
      <c r="B8443" s="1">
        <v>45023</v>
      </c>
      <c r="C8443" s="4">
        <v>45020.620833333334</v>
      </c>
      <c r="D8443" t="s">
        <v>50921</v>
      </c>
      <c r="E8443" t="s">
        <v>50922</v>
      </c>
      <c r="F8443">
        <v>5</v>
      </c>
      <c r="G8443" t="s">
        <v>839</v>
      </c>
      <c r="H8443" t="s">
        <v>39</v>
      </c>
      <c r="I8443" t="s">
        <v>40</v>
      </c>
      <c r="J8443" s="2" t="s">
        <v>41</v>
      </c>
      <c r="K8443" t="s">
        <v>42</v>
      </c>
      <c r="L8443" t="s">
        <v>448</v>
      </c>
      <c r="Q8443">
        <v>24140</v>
      </c>
      <c r="R8443" t="s">
        <v>45</v>
      </c>
      <c r="S8443" t="s">
        <v>50923</v>
      </c>
      <c r="T8443">
        <v>25</v>
      </c>
      <c r="V8443" s="1">
        <v>45021</v>
      </c>
      <c r="W8443" t="s">
        <v>360</v>
      </c>
      <c r="X8443">
        <v>808639</v>
      </c>
      <c r="Y8443" t="s">
        <v>50924</v>
      </c>
      <c r="Z8443" t="s">
        <v>42541</v>
      </c>
      <c r="AA8443" t="s">
        <v>20643</v>
      </c>
      <c r="AB8443" t="s">
        <v>4741</v>
      </c>
      <c r="AE8443" t="s">
        <v>34321</v>
      </c>
      <c r="AG8443" t="s">
        <v>50928</v>
      </c>
      <c r="AH8443" t="s">
        <v>50926</v>
      </c>
      <c r="AI8443" t="s">
        <v>50929</v>
      </c>
    </row>
    <row r="8444" spans="2:35" ht="409.5">
      <c r="B8444" s="1">
        <v>45023</v>
      </c>
      <c r="C8444" s="4">
        <v>45023.460416666669</v>
      </c>
      <c r="D8444" t="s">
        <v>92</v>
      </c>
      <c r="E8444" t="s">
        <v>50930</v>
      </c>
      <c r="F8444" t="s">
        <v>37</v>
      </c>
      <c r="G8444" t="s">
        <v>78</v>
      </c>
      <c r="H8444" t="s">
        <v>61</v>
      </c>
      <c r="I8444" t="s">
        <v>40</v>
      </c>
      <c r="J8444" t="s">
        <v>109</v>
      </c>
      <c r="K8444" t="s">
        <v>42</v>
      </c>
      <c r="L8444" t="s">
        <v>1943</v>
      </c>
      <c r="Q8444">
        <v>24139</v>
      </c>
      <c r="R8444" t="s">
        <v>95</v>
      </c>
      <c r="S8444" t="s">
        <v>96</v>
      </c>
      <c r="T8444">
        <v>25</v>
      </c>
      <c r="U8444" s="2" t="s">
        <v>50931</v>
      </c>
      <c r="W8444" t="s">
        <v>84</v>
      </c>
      <c r="X8444">
        <v>839233</v>
      </c>
      <c r="Y8444" t="s">
        <v>50932</v>
      </c>
      <c r="Z8444" s="2" t="s">
        <v>42296</v>
      </c>
      <c r="AA8444" t="s">
        <v>1548</v>
      </c>
      <c r="AB8444" t="s">
        <v>181</v>
      </c>
      <c r="AG8444" t="s">
        <v>50933</v>
      </c>
      <c r="AH8444" t="s">
        <v>50934</v>
      </c>
      <c r="AI8444" t="s">
        <v>50935</v>
      </c>
    </row>
    <row r="8445" spans="2:35" ht="210">
      <c r="B8445" s="1">
        <v>45022</v>
      </c>
      <c r="C8445" s="4">
        <v>45021.461805555555</v>
      </c>
      <c r="D8445" t="s">
        <v>4795</v>
      </c>
      <c r="E8445" t="s">
        <v>4796</v>
      </c>
      <c r="F8445">
        <v>10</v>
      </c>
      <c r="G8445" t="s">
        <v>2392</v>
      </c>
      <c r="H8445" t="s">
        <v>1047</v>
      </c>
      <c r="I8445" t="s">
        <v>94</v>
      </c>
      <c r="J8445" t="s">
        <v>321</v>
      </c>
      <c r="K8445" t="s">
        <v>42</v>
      </c>
      <c r="L8445" t="s">
        <v>43100</v>
      </c>
      <c r="Q8445">
        <v>24138</v>
      </c>
      <c r="R8445" t="s">
        <v>45</v>
      </c>
      <c r="S8445" t="s">
        <v>4797</v>
      </c>
      <c r="T8445">
        <v>27</v>
      </c>
      <c r="U8445" s="2" t="s">
        <v>50936</v>
      </c>
      <c r="W8445" t="s">
        <v>43102</v>
      </c>
      <c r="X8445">
        <v>805090</v>
      </c>
      <c r="Y8445" t="s">
        <v>50937</v>
      </c>
      <c r="Z8445" s="2" t="s">
        <v>50938</v>
      </c>
      <c r="AA8445" t="s">
        <v>2129</v>
      </c>
      <c r="AB8445" t="s">
        <v>486</v>
      </c>
      <c r="AG8445" t="s">
        <v>50939</v>
      </c>
      <c r="AH8445" t="s">
        <v>50940</v>
      </c>
      <c r="AI8445" t="s">
        <v>50941</v>
      </c>
    </row>
    <row r="8446" spans="2:35" ht="225">
      <c r="B8446" s="1">
        <v>45021</v>
      </c>
      <c r="C8446" s="4">
        <v>45021.668055555558</v>
      </c>
      <c r="D8446" t="s">
        <v>50942</v>
      </c>
      <c r="E8446" t="s">
        <v>50943</v>
      </c>
      <c r="F8446">
        <v>6</v>
      </c>
      <c r="G8446" t="s">
        <v>1234</v>
      </c>
      <c r="H8446" t="s">
        <v>2290</v>
      </c>
      <c r="I8446" t="s">
        <v>94</v>
      </c>
      <c r="J8446" t="s">
        <v>79</v>
      </c>
      <c r="K8446" t="s">
        <v>42</v>
      </c>
      <c r="L8446" t="s">
        <v>610</v>
      </c>
      <c r="Q8446">
        <v>24137</v>
      </c>
      <c r="R8446" t="s">
        <v>119</v>
      </c>
      <c r="S8446" t="s">
        <v>50944</v>
      </c>
      <c r="T8446">
        <v>30</v>
      </c>
      <c r="U8446" s="2" t="s">
        <v>50945</v>
      </c>
      <c r="W8446" t="s">
        <v>502</v>
      </c>
      <c r="X8446">
        <v>838523</v>
      </c>
      <c r="Y8446" s="2" t="s">
        <v>50946</v>
      </c>
      <c r="Z8446" t="s">
        <v>5712</v>
      </c>
      <c r="AA8446" s="2" t="s">
        <v>50947</v>
      </c>
      <c r="AB8446" t="s">
        <v>1211</v>
      </c>
      <c r="AG8446" t="s">
        <v>50948</v>
      </c>
      <c r="AH8446" t="s">
        <v>21020</v>
      </c>
      <c r="AI8446" t="s">
        <v>50949</v>
      </c>
    </row>
    <row r="8447" spans="2:35" ht="409.5">
      <c r="B8447" s="1">
        <v>45021</v>
      </c>
      <c r="C8447" s="4">
        <v>45021.543055555558</v>
      </c>
      <c r="D8447" t="s">
        <v>2272</v>
      </c>
      <c r="E8447" t="s">
        <v>43308</v>
      </c>
      <c r="F8447" t="s">
        <v>148</v>
      </c>
      <c r="G8447" t="s">
        <v>310</v>
      </c>
      <c r="H8447" t="s">
        <v>39</v>
      </c>
      <c r="I8447" t="s">
        <v>40</v>
      </c>
      <c r="J8447" t="s">
        <v>109</v>
      </c>
      <c r="K8447" t="s">
        <v>42</v>
      </c>
      <c r="L8447" t="s">
        <v>1943</v>
      </c>
      <c r="Q8447">
        <v>24136</v>
      </c>
      <c r="R8447" t="s">
        <v>703</v>
      </c>
      <c r="S8447" t="s">
        <v>6830</v>
      </c>
      <c r="T8447">
        <v>28</v>
      </c>
      <c r="U8447" s="2" t="s">
        <v>50950</v>
      </c>
      <c r="W8447" t="s">
        <v>84</v>
      </c>
      <c r="X8447">
        <v>835604</v>
      </c>
      <c r="Y8447" s="2" t="s">
        <v>50951</v>
      </c>
      <c r="Z8447" s="2" t="s">
        <v>50952</v>
      </c>
      <c r="AA8447" t="s">
        <v>50953</v>
      </c>
      <c r="AB8447" t="s">
        <v>88</v>
      </c>
      <c r="AG8447" t="s">
        <v>50954</v>
      </c>
      <c r="AH8447" t="s">
        <v>12529</v>
      </c>
      <c r="AI8447" t="s">
        <v>50955</v>
      </c>
    </row>
    <row r="8448" spans="2:35" ht="285">
      <c r="B8448" s="1">
        <v>45021</v>
      </c>
      <c r="C8448" s="4">
        <v>45021.509027777778</v>
      </c>
      <c r="D8448" t="s">
        <v>40257</v>
      </c>
      <c r="E8448" t="s">
        <v>40258</v>
      </c>
      <c r="F8448">
        <v>8</v>
      </c>
      <c r="G8448" t="s">
        <v>342</v>
      </c>
      <c r="H8448" t="s">
        <v>1047</v>
      </c>
      <c r="I8448" t="s">
        <v>40</v>
      </c>
      <c r="J8448" s="2" t="s">
        <v>41</v>
      </c>
      <c r="K8448" t="s">
        <v>42</v>
      </c>
      <c r="L8448" t="s">
        <v>259</v>
      </c>
      <c r="Q8448">
        <v>24135</v>
      </c>
      <c r="R8448" t="s">
        <v>45</v>
      </c>
      <c r="S8448" t="s">
        <v>50956</v>
      </c>
      <c r="T8448">
        <v>27</v>
      </c>
      <c r="U8448" s="2" t="s">
        <v>50957</v>
      </c>
      <c r="V8448" s="1">
        <v>45021</v>
      </c>
      <c r="W8448" t="s">
        <v>84</v>
      </c>
      <c r="X8448">
        <v>807619</v>
      </c>
      <c r="Y8448" t="s">
        <v>2514</v>
      </c>
      <c r="Z8448" s="2" t="s">
        <v>50958</v>
      </c>
      <c r="AA8448" t="e">
        <f ca="1">- module Replacement</f>
        <v>#NAME?</v>
      </c>
      <c r="AB8448" t="s">
        <v>70</v>
      </c>
      <c r="AD8448" t="s">
        <v>35865</v>
      </c>
      <c r="AE8448" t="s">
        <v>45</v>
      </c>
      <c r="AG8448" t="s">
        <v>50959</v>
      </c>
      <c r="AH8448" t="s">
        <v>50960</v>
      </c>
      <c r="AI8448" t="s">
        <v>50961</v>
      </c>
    </row>
    <row r="8449" spans="2:35" ht="90">
      <c r="B8449" s="1">
        <v>45021</v>
      </c>
      <c r="C8449" s="4">
        <v>45021.462500000001</v>
      </c>
      <c r="D8449" t="s">
        <v>25555</v>
      </c>
      <c r="E8449" t="s">
        <v>3639</v>
      </c>
      <c r="F8449" t="s">
        <v>148</v>
      </c>
      <c r="G8449" t="s">
        <v>310</v>
      </c>
      <c r="H8449" t="s">
        <v>39</v>
      </c>
      <c r="I8449" t="s">
        <v>40</v>
      </c>
      <c r="J8449" t="s">
        <v>321</v>
      </c>
      <c r="K8449" t="s">
        <v>42</v>
      </c>
      <c r="L8449" t="s">
        <v>175</v>
      </c>
      <c r="Q8449">
        <v>24134</v>
      </c>
      <c r="R8449" t="s">
        <v>45</v>
      </c>
      <c r="S8449" t="s">
        <v>1672</v>
      </c>
      <c r="T8449">
        <v>25</v>
      </c>
      <c r="U8449" s="2" t="s">
        <v>50962</v>
      </c>
      <c r="W8449" t="s">
        <v>536</v>
      </c>
      <c r="X8449">
        <v>839292</v>
      </c>
      <c r="Y8449" t="s">
        <v>50963</v>
      </c>
      <c r="Z8449" t="e">
        <f ca="1">- installed Unit
- checked _xludf.and cleaned cartridge bay, plunger rod, _xludf.filter
- generated reports</f>
        <v>#NAME?</v>
      </c>
      <c r="AA8449" t="s">
        <v>6430</v>
      </c>
      <c r="AB8449" t="s">
        <v>88</v>
      </c>
      <c r="AG8449" t="s">
        <v>50964</v>
      </c>
      <c r="AH8449" t="s">
        <v>1676</v>
      </c>
      <c r="AI8449" t="s">
        <v>50965</v>
      </c>
    </row>
    <row r="8450" spans="2:35" ht="180">
      <c r="B8450" s="1">
        <v>45021</v>
      </c>
      <c r="C8450" s="4">
        <v>45021.459722222222</v>
      </c>
      <c r="D8450" t="s">
        <v>25555</v>
      </c>
      <c r="E8450" t="s">
        <v>24319</v>
      </c>
      <c r="F8450" t="s">
        <v>148</v>
      </c>
      <c r="G8450" t="s">
        <v>310</v>
      </c>
      <c r="H8450" t="s">
        <v>39</v>
      </c>
      <c r="I8450" t="s">
        <v>40</v>
      </c>
      <c r="J8450" t="s">
        <v>996</v>
      </c>
      <c r="K8450" t="s">
        <v>42</v>
      </c>
      <c r="L8450" t="s">
        <v>175</v>
      </c>
      <c r="Q8450">
        <v>24133</v>
      </c>
      <c r="R8450" t="s">
        <v>45</v>
      </c>
      <c r="S8450" t="s">
        <v>1672</v>
      </c>
      <c r="T8450">
        <v>25</v>
      </c>
      <c r="U8450" s="2" t="s">
        <v>50966</v>
      </c>
      <c r="V8450" s="1">
        <v>45021</v>
      </c>
      <c r="W8450" t="s">
        <v>84</v>
      </c>
      <c r="X8450">
        <v>805067</v>
      </c>
      <c r="Y8450" t="s">
        <v>50967</v>
      </c>
      <c r="Z8450" t="e">
        <f ca="1">- checked _xludf.and cleaned cartridge bay, plunger rod, icore slot, _xludf.filter
- performed XpertCheck
- generated reports</f>
        <v>#NAME?</v>
      </c>
      <c r="AA8450" t="s">
        <v>999</v>
      </c>
      <c r="AB8450" s="2" t="s">
        <v>49244</v>
      </c>
      <c r="AD8450" t="s">
        <v>7189</v>
      </c>
      <c r="AE8450" t="s">
        <v>103</v>
      </c>
      <c r="AG8450" t="s">
        <v>50968</v>
      </c>
      <c r="AH8450" t="s">
        <v>1676</v>
      </c>
      <c r="AI8450" t="s">
        <v>50969</v>
      </c>
    </row>
    <row r="8451" spans="2:35" ht="409.5">
      <c r="B8451" s="1">
        <v>45021</v>
      </c>
      <c r="C8451" s="4">
        <v>45021.366666666669</v>
      </c>
      <c r="D8451" t="s">
        <v>3639</v>
      </c>
      <c r="E8451" t="s">
        <v>24319</v>
      </c>
      <c r="F8451" t="s">
        <v>148</v>
      </c>
      <c r="G8451" t="s">
        <v>310</v>
      </c>
      <c r="H8451" t="s">
        <v>47748</v>
      </c>
      <c r="I8451" t="s">
        <v>40</v>
      </c>
      <c r="J8451" t="s">
        <v>50970</v>
      </c>
      <c r="K8451" t="s">
        <v>42</v>
      </c>
      <c r="L8451" t="s">
        <v>175</v>
      </c>
      <c r="Q8451">
        <v>24132</v>
      </c>
      <c r="R8451" t="s">
        <v>45</v>
      </c>
      <c r="S8451" t="s">
        <v>46537</v>
      </c>
      <c r="T8451">
        <v>25</v>
      </c>
      <c r="U8451" s="2" t="s">
        <v>50971</v>
      </c>
      <c r="W8451" t="s">
        <v>84</v>
      </c>
      <c r="X8451">
        <v>839292</v>
      </c>
      <c r="Y8451" t="s">
        <v>50972</v>
      </c>
      <c r="Z8451" s="2" t="s">
        <v>50973</v>
      </c>
      <c r="AA8451" t="s">
        <v>50974</v>
      </c>
      <c r="AB8451" t="s">
        <v>50975</v>
      </c>
      <c r="AG8451" t="s">
        <v>50976</v>
      </c>
      <c r="AH8451" t="s">
        <v>50977</v>
      </c>
      <c r="AI8451" t="s">
        <v>50978</v>
      </c>
    </row>
    <row r="8452" spans="2:35">
      <c r="B8452" s="1">
        <v>45021</v>
      </c>
      <c r="C8452" s="4">
        <v>45021.440972222219</v>
      </c>
      <c r="D8452" t="s">
        <v>38215</v>
      </c>
      <c r="E8452" t="s">
        <v>50979</v>
      </c>
      <c r="F8452">
        <v>11</v>
      </c>
      <c r="G8452" t="s">
        <v>1205</v>
      </c>
      <c r="H8452" t="s">
        <v>1047</v>
      </c>
      <c r="I8452" t="s">
        <v>40</v>
      </c>
      <c r="J8452" t="s">
        <v>79</v>
      </c>
      <c r="K8452" t="s">
        <v>42</v>
      </c>
      <c r="L8452" t="s">
        <v>204</v>
      </c>
      <c r="Q8452">
        <v>24131</v>
      </c>
      <c r="R8452" t="s">
        <v>45</v>
      </c>
      <c r="S8452" t="s">
        <v>38217</v>
      </c>
      <c r="T8452">
        <v>28.6</v>
      </c>
      <c r="W8452" t="s">
        <v>23237</v>
      </c>
      <c r="X8452">
        <v>838181</v>
      </c>
      <c r="Y8452" t="s">
        <v>22888</v>
      </c>
      <c r="Z8452" t="s">
        <v>50980</v>
      </c>
      <c r="AA8452" t="s">
        <v>12182</v>
      </c>
      <c r="AB8452" t="s">
        <v>3063</v>
      </c>
      <c r="AG8452" t="s">
        <v>50981</v>
      </c>
      <c r="AH8452" t="s">
        <v>50982</v>
      </c>
      <c r="AI8452" t="s">
        <v>50983</v>
      </c>
    </row>
    <row r="8453" spans="2:35" ht="409.5">
      <c r="B8453" s="1">
        <v>45021</v>
      </c>
      <c r="C8453" s="4">
        <v>45021.366666666669</v>
      </c>
      <c r="D8453" t="s">
        <v>3639</v>
      </c>
      <c r="E8453" t="s">
        <v>24319</v>
      </c>
      <c r="F8453" t="s">
        <v>148</v>
      </c>
      <c r="G8453" t="s">
        <v>310</v>
      </c>
      <c r="H8453" t="s">
        <v>47748</v>
      </c>
      <c r="I8453" t="s">
        <v>40</v>
      </c>
      <c r="J8453" t="s">
        <v>50970</v>
      </c>
      <c r="K8453" t="s">
        <v>42</v>
      </c>
      <c r="L8453" t="s">
        <v>175</v>
      </c>
      <c r="Q8453">
        <v>24130</v>
      </c>
      <c r="R8453" t="s">
        <v>45</v>
      </c>
      <c r="S8453" t="s">
        <v>46537</v>
      </c>
      <c r="T8453">
        <v>25</v>
      </c>
      <c r="U8453" s="2" t="s">
        <v>50971</v>
      </c>
      <c r="W8453" t="s">
        <v>84</v>
      </c>
      <c r="X8453">
        <v>839292</v>
      </c>
      <c r="Y8453" t="s">
        <v>50972</v>
      </c>
      <c r="Z8453" s="2" t="s">
        <v>50973</v>
      </c>
      <c r="AA8453" t="s">
        <v>50974</v>
      </c>
      <c r="AB8453" t="s">
        <v>50975</v>
      </c>
      <c r="AG8453" t="s">
        <v>50984</v>
      </c>
      <c r="AH8453" t="s">
        <v>50977</v>
      </c>
      <c r="AI8453" t="s">
        <v>50985</v>
      </c>
    </row>
    <row r="8454" spans="2:35" ht="180">
      <c r="B8454" s="1">
        <v>45021</v>
      </c>
      <c r="C8454" s="4">
        <v>45021.40625</v>
      </c>
      <c r="D8454" t="s">
        <v>50986</v>
      </c>
      <c r="E8454" t="s">
        <v>1497</v>
      </c>
      <c r="F8454">
        <v>8</v>
      </c>
      <c r="G8454" t="s">
        <v>342</v>
      </c>
      <c r="H8454" t="s">
        <v>1498</v>
      </c>
      <c r="I8454" t="s">
        <v>40</v>
      </c>
      <c r="J8454" t="s">
        <v>109</v>
      </c>
      <c r="K8454" t="s">
        <v>42</v>
      </c>
      <c r="L8454" t="s">
        <v>343</v>
      </c>
      <c r="Q8454">
        <v>24129</v>
      </c>
      <c r="R8454" t="s">
        <v>119</v>
      </c>
      <c r="S8454" t="s">
        <v>7820</v>
      </c>
      <c r="T8454">
        <v>27</v>
      </c>
      <c r="U8454" s="2" t="s">
        <v>50987</v>
      </c>
      <c r="W8454" t="s">
        <v>360</v>
      </c>
      <c r="X8454">
        <v>838297</v>
      </c>
      <c r="Y8454" t="s">
        <v>301</v>
      </c>
      <c r="Z8454" t="s">
        <v>301</v>
      </c>
      <c r="AA8454" t="e">
        <f ca="1">-Preventive Maintenance</f>
        <v>#NAME?</v>
      </c>
      <c r="AB8454" t="s">
        <v>7886</v>
      </c>
      <c r="AG8454" t="s">
        <v>50988</v>
      </c>
      <c r="AH8454" t="s">
        <v>7824</v>
      </c>
      <c r="AI8454" t="s">
        <v>50989</v>
      </c>
    </row>
    <row r="8455" spans="2:35" ht="285">
      <c r="B8455" s="1">
        <v>45021</v>
      </c>
      <c r="C8455" s="4">
        <v>45016.591666666667</v>
      </c>
      <c r="D8455" t="s">
        <v>50990</v>
      </c>
      <c r="E8455" t="s">
        <v>50991</v>
      </c>
      <c r="F8455" t="s">
        <v>37</v>
      </c>
      <c r="G8455" t="s">
        <v>38</v>
      </c>
      <c r="H8455" t="s">
        <v>39</v>
      </c>
      <c r="I8455" t="s">
        <v>40</v>
      </c>
      <c r="J8455" s="2" t="s">
        <v>190</v>
      </c>
      <c r="K8455" t="s">
        <v>42</v>
      </c>
      <c r="L8455" t="s">
        <v>43</v>
      </c>
      <c r="Q8455">
        <v>24126</v>
      </c>
      <c r="R8455" t="s">
        <v>45</v>
      </c>
      <c r="S8455" t="s">
        <v>50992</v>
      </c>
      <c r="T8455">
        <v>25</v>
      </c>
      <c r="U8455" s="2" t="s">
        <v>50993</v>
      </c>
      <c r="W8455" t="s">
        <v>9792</v>
      </c>
      <c r="X8455">
        <v>838182</v>
      </c>
      <c r="Y8455" t="s">
        <v>46074</v>
      </c>
      <c r="Z8455" t="s">
        <v>50994</v>
      </c>
      <c r="AA8455" s="2" t="s">
        <v>50995</v>
      </c>
      <c r="AB8455" t="s">
        <v>50996</v>
      </c>
      <c r="AG8455" t="s">
        <v>50997</v>
      </c>
      <c r="AH8455" t="s">
        <v>117</v>
      </c>
      <c r="AI8455" t="s">
        <v>50998</v>
      </c>
    </row>
    <row r="8456" spans="2:35" ht="180">
      <c r="B8456" s="1">
        <v>45021</v>
      </c>
      <c r="C8456" s="4">
        <v>45016.670138888891</v>
      </c>
      <c r="D8456" t="s">
        <v>1107</v>
      </c>
      <c r="E8456" t="s">
        <v>33952</v>
      </c>
      <c r="F8456" t="s">
        <v>37</v>
      </c>
      <c r="G8456" t="s">
        <v>38</v>
      </c>
      <c r="H8456" t="s">
        <v>39</v>
      </c>
      <c r="I8456" t="s">
        <v>40</v>
      </c>
      <c r="J8456" s="2" t="s">
        <v>41</v>
      </c>
      <c r="K8456" t="s">
        <v>42</v>
      </c>
      <c r="L8456" t="s">
        <v>43</v>
      </c>
      <c r="Q8456">
        <v>24128</v>
      </c>
      <c r="R8456" t="s">
        <v>119</v>
      </c>
      <c r="S8456" t="s">
        <v>26768</v>
      </c>
      <c r="T8456">
        <v>25</v>
      </c>
      <c r="U8456" s="2" t="s">
        <v>50999</v>
      </c>
      <c r="V8456" s="1">
        <v>45005</v>
      </c>
      <c r="W8456" t="s">
        <v>9792</v>
      </c>
      <c r="X8456">
        <v>819864</v>
      </c>
      <c r="Y8456" t="s">
        <v>51000</v>
      </c>
      <c r="Z8456" t="s">
        <v>40723</v>
      </c>
      <c r="AA8456" s="2" t="s">
        <v>38682</v>
      </c>
      <c r="AB8456" t="s">
        <v>51001</v>
      </c>
      <c r="AD8456" s="2" t="s">
        <v>51002</v>
      </c>
      <c r="AE8456" t="s">
        <v>51003</v>
      </c>
      <c r="AG8456" t="s">
        <v>51004</v>
      </c>
      <c r="AH8456" t="s">
        <v>34446</v>
      </c>
      <c r="AI8456" t="s">
        <v>51005</v>
      </c>
    </row>
    <row r="8457" spans="2:35" ht="180">
      <c r="B8457" s="1">
        <v>45021</v>
      </c>
      <c r="C8457" s="4">
        <v>45015.604861111111</v>
      </c>
      <c r="D8457" t="s">
        <v>795</v>
      </c>
      <c r="E8457" t="s">
        <v>38647</v>
      </c>
      <c r="F8457" t="s">
        <v>148</v>
      </c>
      <c r="G8457" t="s">
        <v>406</v>
      </c>
      <c r="H8457" t="s">
        <v>39</v>
      </c>
      <c r="I8457" t="s">
        <v>40</v>
      </c>
      <c r="J8457" s="2" t="s">
        <v>41</v>
      </c>
      <c r="K8457" t="s">
        <v>42</v>
      </c>
      <c r="L8457" t="s">
        <v>43</v>
      </c>
      <c r="Q8457">
        <v>24124</v>
      </c>
      <c r="R8457" t="s">
        <v>45</v>
      </c>
      <c r="S8457" t="s">
        <v>32878</v>
      </c>
      <c r="T8457">
        <v>25</v>
      </c>
      <c r="U8457" s="2" t="s">
        <v>51006</v>
      </c>
      <c r="V8457" s="1">
        <v>45012</v>
      </c>
      <c r="W8457" t="s">
        <v>9792</v>
      </c>
      <c r="X8457">
        <v>807452</v>
      </c>
      <c r="Y8457" t="s">
        <v>51007</v>
      </c>
      <c r="Z8457" t="s">
        <v>48004</v>
      </c>
      <c r="AA8457" s="2" t="s">
        <v>51008</v>
      </c>
      <c r="AB8457" t="s">
        <v>51009</v>
      </c>
      <c r="AD8457" t="s">
        <v>51010</v>
      </c>
      <c r="AE8457" t="s">
        <v>54</v>
      </c>
      <c r="AG8457" t="s">
        <v>51011</v>
      </c>
      <c r="AH8457" t="s">
        <v>38651</v>
      </c>
      <c r="AI8457" t="s">
        <v>51012</v>
      </c>
    </row>
    <row r="8458" spans="2:35" ht="285">
      <c r="B8458" s="1">
        <v>45021</v>
      </c>
      <c r="C8458" s="4">
        <v>45016.595138888886</v>
      </c>
      <c r="D8458" t="s">
        <v>4197</v>
      </c>
      <c r="E8458" t="s">
        <v>51013</v>
      </c>
      <c r="F8458" t="s">
        <v>37</v>
      </c>
      <c r="G8458" t="s">
        <v>38</v>
      </c>
      <c r="H8458" t="s">
        <v>39</v>
      </c>
      <c r="I8458" t="s">
        <v>40</v>
      </c>
      <c r="J8458" s="2" t="s">
        <v>41</v>
      </c>
      <c r="K8458" t="s">
        <v>42</v>
      </c>
      <c r="L8458" t="s">
        <v>43</v>
      </c>
      <c r="Q8458">
        <v>24127</v>
      </c>
      <c r="R8458" t="s">
        <v>119</v>
      </c>
      <c r="S8458" t="s">
        <v>50992</v>
      </c>
      <c r="T8458">
        <v>25</v>
      </c>
      <c r="U8458" s="2" t="s">
        <v>51014</v>
      </c>
      <c r="V8458" s="1">
        <v>45012</v>
      </c>
      <c r="W8458" t="s">
        <v>9792</v>
      </c>
      <c r="X8458">
        <v>831623</v>
      </c>
      <c r="Y8458" t="s">
        <v>559</v>
      </c>
      <c r="Z8458" t="s">
        <v>40723</v>
      </c>
      <c r="AA8458" s="2" t="s">
        <v>43527</v>
      </c>
      <c r="AB8458" t="s">
        <v>88</v>
      </c>
      <c r="AD8458" s="2" t="s">
        <v>51015</v>
      </c>
      <c r="AE8458" t="s">
        <v>51016</v>
      </c>
      <c r="AG8458" t="s">
        <v>51017</v>
      </c>
      <c r="AH8458" t="s">
        <v>117</v>
      </c>
      <c r="AI8458" t="s">
        <v>51018</v>
      </c>
    </row>
    <row r="8459" spans="2:35" ht="180">
      <c r="B8459" s="1">
        <v>45021</v>
      </c>
      <c r="C8459" s="4">
        <v>45016.40902777778</v>
      </c>
      <c r="D8459" t="s">
        <v>1081</v>
      </c>
      <c r="E8459" t="s">
        <v>27369</v>
      </c>
      <c r="F8459" t="s">
        <v>148</v>
      </c>
      <c r="G8459" t="s">
        <v>785</v>
      </c>
      <c r="H8459" t="s">
        <v>39</v>
      </c>
      <c r="I8459" t="s">
        <v>40</v>
      </c>
      <c r="J8459" t="s">
        <v>1422</v>
      </c>
      <c r="K8459" t="s">
        <v>42</v>
      </c>
      <c r="L8459" t="s">
        <v>43</v>
      </c>
      <c r="Q8459">
        <v>24125</v>
      </c>
      <c r="R8459" t="s">
        <v>95</v>
      </c>
      <c r="S8459" t="s">
        <v>2016</v>
      </c>
      <c r="T8459">
        <v>26</v>
      </c>
      <c r="W8459" t="s">
        <v>5136</v>
      </c>
      <c r="X8459">
        <v>110015767</v>
      </c>
      <c r="Y8459" t="s">
        <v>4709</v>
      </c>
      <c r="Z8459" t="s">
        <v>16144</v>
      </c>
      <c r="AA8459" s="2" t="s">
        <v>51019</v>
      </c>
      <c r="AB8459" t="s">
        <v>88</v>
      </c>
      <c r="AG8459" t="s">
        <v>51020</v>
      </c>
      <c r="AH8459" t="s">
        <v>51021</v>
      </c>
      <c r="AI8459" t="s">
        <v>51022</v>
      </c>
    </row>
    <row r="8460" spans="2:35" ht="180">
      <c r="B8460" s="1">
        <v>45021</v>
      </c>
      <c r="C8460" s="4">
        <v>45014.566666666666</v>
      </c>
      <c r="D8460" t="s">
        <v>1686</v>
      </c>
      <c r="E8460" t="s">
        <v>27015</v>
      </c>
      <c r="F8460" t="s">
        <v>148</v>
      </c>
      <c r="G8460" t="s">
        <v>785</v>
      </c>
      <c r="H8460" t="s">
        <v>39</v>
      </c>
      <c r="I8460" t="s">
        <v>40</v>
      </c>
      <c r="J8460" s="2" t="s">
        <v>41</v>
      </c>
      <c r="K8460" t="s">
        <v>42</v>
      </c>
      <c r="L8460" t="s">
        <v>43</v>
      </c>
      <c r="Q8460">
        <v>24123</v>
      </c>
      <c r="R8460" t="s">
        <v>45</v>
      </c>
      <c r="S8460" t="s">
        <v>1688</v>
      </c>
      <c r="T8460">
        <v>22</v>
      </c>
      <c r="U8460" s="2" t="s">
        <v>51023</v>
      </c>
      <c r="V8460" s="1">
        <v>45012</v>
      </c>
      <c r="W8460" t="s">
        <v>9792</v>
      </c>
      <c r="X8460">
        <v>838898</v>
      </c>
      <c r="Y8460" t="s">
        <v>2165</v>
      </c>
      <c r="Z8460" t="s">
        <v>40723</v>
      </c>
      <c r="AA8460" s="2" t="s">
        <v>38682</v>
      </c>
      <c r="AB8460" t="s">
        <v>51024</v>
      </c>
      <c r="AC8460" t="s">
        <v>51025</v>
      </c>
      <c r="AD8460" s="2" t="s">
        <v>51026</v>
      </c>
      <c r="AE8460" t="s">
        <v>54</v>
      </c>
      <c r="AG8460" t="s">
        <v>51027</v>
      </c>
      <c r="AH8460" t="s">
        <v>30927</v>
      </c>
      <c r="AI8460" t="s">
        <v>51028</v>
      </c>
    </row>
    <row r="8461" spans="2:35" ht="409.5">
      <c r="B8461" s="1">
        <v>45021</v>
      </c>
      <c r="C8461" s="4">
        <v>45014.436805555553</v>
      </c>
      <c r="D8461" t="s">
        <v>1081</v>
      </c>
      <c r="E8461" t="s">
        <v>27369</v>
      </c>
      <c r="F8461" t="s">
        <v>148</v>
      </c>
      <c r="G8461" t="s">
        <v>785</v>
      </c>
      <c r="H8461" t="s">
        <v>662</v>
      </c>
      <c r="I8461" t="s">
        <v>40</v>
      </c>
      <c r="J8461" s="2" t="s">
        <v>190</v>
      </c>
      <c r="K8461" t="s">
        <v>42</v>
      </c>
      <c r="L8461" t="s">
        <v>43</v>
      </c>
      <c r="Q8461">
        <v>24122</v>
      </c>
      <c r="R8461" t="s">
        <v>95</v>
      </c>
      <c r="S8461" t="s">
        <v>2016</v>
      </c>
      <c r="T8461">
        <v>29</v>
      </c>
      <c r="U8461" s="2" t="s">
        <v>51029</v>
      </c>
      <c r="W8461" t="s">
        <v>5136</v>
      </c>
      <c r="X8461">
        <v>110015767</v>
      </c>
      <c r="Y8461" t="s">
        <v>51030</v>
      </c>
      <c r="Z8461" t="s">
        <v>15934</v>
      </c>
      <c r="AA8461" s="2" t="s">
        <v>51031</v>
      </c>
      <c r="AB8461" t="s">
        <v>51032</v>
      </c>
      <c r="AG8461" t="s">
        <v>51033</v>
      </c>
      <c r="AH8461" t="s">
        <v>51034</v>
      </c>
      <c r="AI8461" t="s">
        <v>51035</v>
      </c>
    </row>
    <row r="8462" spans="2:35" ht="180">
      <c r="B8462" s="1">
        <v>45021</v>
      </c>
      <c r="C8462" s="4">
        <v>45015.494444444441</v>
      </c>
      <c r="D8462" t="s">
        <v>31758</v>
      </c>
      <c r="E8462" t="s">
        <v>39244</v>
      </c>
      <c r="F8462" t="s">
        <v>148</v>
      </c>
      <c r="G8462" t="s">
        <v>406</v>
      </c>
      <c r="H8462" t="s">
        <v>39</v>
      </c>
      <c r="I8462" t="s">
        <v>40</v>
      </c>
      <c r="J8462" s="2" t="s">
        <v>41</v>
      </c>
      <c r="K8462" t="s">
        <v>42</v>
      </c>
      <c r="L8462" t="s">
        <v>43</v>
      </c>
      <c r="Q8462">
        <v>24121</v>
      </c>
      <c r="R8462" t="s">
        <v>45</v>
      </c>
      <c r="S8462" t="s">
        <v>31748</v>
      </c>
      <c r="T8462">
        <v>28</v>
      </c>
      <c r="U8462" s="2" t="s">
        <v>51036</v>
      </c>
      <c r="V8462" s="1">
        <v>45012</v>
      </c>
      <c r="W8462" t="s">
        <v>9792</v>
      </c>
      <c r="X8462">
        <v>804702</v>
      </c>
      <c r="Y8462" t="s">
        <v>559</v>
      </c>
      <c r="Z8462" t="s">
        <v>335</v>
      </c>
      <c r="AA8462" s="2" t="s">
        <v>38682</v>
      </c>
      <c r="AB8462" t="s">
        <v>16412</v>
      </c>
      <c r="AD8462" s="2" t="s">
        <v>51037</v>
      </c>
      <c r="AE8462" t="s">
        <v>54</v>
      </c>
      <c r="AG8462" t="s">
        <v>51038</v>
      </c>
      <c r="AH8462" t="s">
        <v>34883</v>
      </c>
      <c r="AI8462" t="s">
        <v>51039</v>
      </c>
    </row>
    <row r="8463" spans="2:35" ht="180">
      <c r="B8463" s="1">
        <v>45021</v>
      </c>
      <c r="C8463" s="4">
        <v>45014.646527777775</v>
      </c>
      <c r="D8463" t="s">
        <v>4814</v>
      </c>
      <c r="E8463" t="s">
        <v>51040</v>
      </c>
      <c r="F8463" t="s">
        <v>148</v>
      </c>
      <c r="G8463" t="s">
        <v>785</v>
      </c>
      <c r="H8463" t="s">
        <v>39</v>
      </c>
      <c r="I8463" t="s">
        <v>40</v>
      </c>
      <c r="J8463" s="2" t="s">
        <v>41</v>
      </c>
      <c r="K8463" t="s">
        <v>42</v>
      </c>
      <c r="L8463" t="s">
        <v>43</v>
      </c>
      <c r="Q8463">
        <v>24119</v>
      </c>
      <c r="R8463" t="s">
        <v>45</v>
      </c>
      <c r="S8463" t="s">
        <v>51041</v>
      </c>
      <c r="T8463">
        <v>25</v>
      </c>
      <c r="U8463" s="2" t="s">
        <v>51042</v>
      </c>
      <c r="V8463" s="1">
        <v>45012</v>
      </c>
      <c r="W8463" t="s">
        <v>9792</v>
      </c>
      <c r="X8463">
        <v>814163</v>
      </c>
      <c r="Y8463" t="s">
        <v>51043</v>
      </c>
      <c r="Z8463" t="s">
        <v>40723</v>
      </c>
      <c r="AA8463" s="2" t="s">
        <v>43527</v>
      </c>
      <c r="AB8463" t="s">
        <v>88</v>
      </c>
      <c r="AD8463" s="2" t="s">
        <v>51044</v>
      </c>
      <c r="AE8463" t="s">
        <v>54</v>
      </c>
      <c r="AG8463" t="s">
        <v>51045</v>
      </c>
      <c r="AH8463" t="s">
        <v>46401</v>
      </c>
      <c r="AI8463" t="s">
        <v>51046</v>
      </c>
    </row>
    <row r="8464" spans="2:35">
      <c r="B8464" s="1">
        <v>45021</v>
      </c>
      <c r="C8464" s="4">
        <v>45014.440972222219</v>
      </c>
      <c r="D8464" t="s">
        <v>1081</v>
      </c>
      <c r="E8464" t="s">
        <v>27369</v>
      </c>
      <c r="F8464" t="s">
        <v>148</v>
      </c>
      <c r="G8464" t="s">
        <v>785</v>
      </c>
      <c r="H8464" t="s">
        <v>662</v>
      </c>
      <c r="I8464" t="s">
        <v>40</v>
      </c>
      <c r="J8464" t="s">
        <v>16223</v>
      </c>
      <c r="K8464" t="s">
        <v>42</v>
      </c>
      <c r="L8464" t="s">
        <v>43</v>
      </c>
      <c r="Q8464">
        <v>24120</v>
      </c>
      <c r="R8464" t="s">
        <v>95</v>
      </c>
      <c r="S8464" t="s">
        <v>2016</v>
      </c>
      <c r="T8464">
        <v>29</v>
      </c>
      <c r="W8464" t="s">
        <v>41381</v>
      </c>
      <c r="X8464">
        <v>802117</v>
      </c>
      <c r="Y8464" t="s">
        <v>4768</v>
      </c>
      <c r="Z8464" t="s">
        <v>51047</v>
      </c>
      <c r="AA8464" t="s">
        <v>51048</v>
      </c>
      <c r="AB8464" t="s">
        <v>88</v>
      </c>
      <c r="AG8464" t="s">
        <v>51049</v>
      </c>
      <c r="AH8464" t="s">
        <v>36859</v>
      </c>
      <c r="AI8464" t="s">
        <v>51050</v>
      </c>
    </row>
    <row r="8465" spans="2:35" ht="409.5">
      <c r="B8465" s="1">
        <v>45021</v>
      </c>
      <c r="C8465" s="4">
        <v>45021.303472222222</v>
      </c>
      <c r="D8465" t="s">
        <v>16716</v>
      </c>
      <c r="E8465" t="s">
        <v>1128</v>
      </c>
      <c r="F8465">
        <v>8</v>
      </c>
      <c r="G8465" t="s">
        <v>342</v>
      </c>
      <c r="H8465" t="s">
        <v>1498</v>
      </c>
      <c r="I8465" t="s">
        <v>40</v>
      </c>
      <c r="J8465" s="2" t="s">
        <v>41</v>
      </c>
      <c r="K8465" t="s">
        <v>42</v>
      </c>
      <c r="L8465" t="s">
        <v>259</v>
      </c>
      <c r="Q8465">
        <v>24118</v>
      </c>
      <c r="R8465" t="s">
        <v>119</v>
      </c>
      <c r="S8465" t="s">
        <v>23172</v>
      </c>
      <c r="T8465">
        <v>26</v>
      </c>
      <c r="V8465" s="1">
        <v>45021</v>
      </c>
      <c r="W8465" t="s">
        <v>84</v>
      </c>
      <c r="X8465">
        <v>838421</v>
      </c>
      <c r="Y8465" t="e">
        <f ca="1">- module B2 _xludf.and B3 _xludf.For Replacement</f>
        <v>#NAME?</v>
      </c>
      <c r="Z8465" s="2" t="s">
        <v>51051</v>
      </c>
      <c r="AA8465" t="e">
        <f ca="1">- module Replacement
- Preventive Maintenance</f>
        <v>#NAME?</v>
      </c>
      <c r="AB8465" t="s">
        <v>51052</v>
      </c>
      <c r="AD8465" t="s">
        <v>51053</v>
      </c>
      <c r="AE8465" t="s">
        <v>119</v>
      </c>
      <c r="AG8465" t="s">
        <v>51054</v>
      </c>
      <c r="AH8465" t="s">
        <v>50193</v>
      </c>
      <c r="AI8465" t="s">
        <v>51055</v>
      </c>
    </row>
    <row r="8466" spans="2:35" ht="90">
      <c r="B8466" s="1">
        <v>45021</v>
      </c>
      <c r="C8466" s="4">
        <v>45015.582638888889</v>
      </c>
      <c r="D8466" t="s">
        <v>3067</v>
      </c>
      <c r="E8466" t="s">
        <v>51056</v>
      </c>
      <c r="F8466" t="s">
        <v>148</v>
      </c>
      <c r="G8466" t="s">
        <v>447</v>
      </c>
      <c r="H8466" t="s">
        <v>39</v>
      </c>
      <c r="I8466" t="s">
        <v>40</v>
      </c>
      <c r="J8466" t="s">
        <v>79</v>
      </c>
      <c r="K8466" t="s">
        <v>42</v>
      </c>
      <c r="L8466" t="s">
        <v>175</v>
      </c>
      <c r="Q8466">
        <v>24117</v>
      </c>
      <c r="R8466" t="s">
        <v>45</v>
      </c>
      <c r="S8466" t="s">
        <v>3069</v>
      </c>
      <c r="T8466">
        <v>25</v>
      </c>
      <c r="U8466" s="2" t="s">
        <v>50962</v>
      </c>
      <c r="V8466" s="1">
        <v>45015</v>
      </c>
      <c r="W8466" t="s">
        <v>84</v>
      </c>
      <c r="X8466">
        <v>803089</v>
      </c>
      <c r="Y8466" t="s">
        <v>51057</v>
      </c>
      <c r="Z8466" t="e">
        <f ca="1">- replaced modules A3, A4
- checked GX _xludf.filter
- generated reports</f>
        <v>#NAME?</v>
      </c>
      <c r="AA8466" t="s">
        <v>39332</v>
      </c>
      <c r="AB8466" t="s">
        <v>88</v>
      </c>
      <c r="AD8466" s="2" t="s">
        <v>51058</v>
      </c>
      <c r="AE8466" t="s">
        <v>103</v>
      </c>
      <c r="AG8466" t="s">
        <v>51059</v>
      </c>
      <c r="AH8466" t="s">
        <v>23675</v>
      </c>
      <c r="AI8466" t="s">
        <v>51060</v>
      </c>
    </row>
    <row r="8467" spans="2:35" ht="270">
      <c r="B8467" s="1">
        <v>45020</v>
      </c>
      <c r="C8467" s="4">
        <v>45020.520138888889</v>
      </c>
      <c r="D8467" t="s">
        <v>4183</v>
      </c>
      <c r="E8467" t="s">
        <v>20596</v>
      </c>
      <c r="F8467">
        <v>3</v>
      </c>
      <c r="G8467" t="s">
        <v>134</v>
      </c>
      <c r="H8467" t="s">
        <v>40320</v>
      </c>
      <c r="I8467" t="s">
        <v>40</v>
      </c>
      <c r="J8467" t="s">
        <v>79</v>
      </c>
      <c r="K8467" t="s">
        <v>42</v>
      </c>
      <c r="L8467" t="s">
        <v>175</v>
      </c>
      <c r="Q8467">
        <v>24116</v>
      </c>
      <c r="R8467" t="s">
        <v>95</v>
      </c>
      <c r="S8467" t="s">
        <v>9328</v>
      </c>
      <c r="T8467">
        <v>25</v>
      </c>
      <c r="U8467" s="2" t="s">
        <v>51061</v>
      </c>
      <c r="V8467" s="1">
        <v>45019</v>
      </c>
      <c r="W8467" t="s">
        <v>84</v>
      </c>
      <c r="X8467">
        <v>812571</v>
      </c>
      <c r="Y8467" t="s">
        <v>51062</v>
      </c>
      <c r="Z8467" t="e">
        <f ca="1">- replaced A2
- generated reports
- performed functionality test</f>
        <v>#NAME?</v>
      </c>
      <c r="AA8467" t="s">
        <v>39929</v>
      </c>
      <c r="AB8467" t="s">
        <v>88</v>
      </c>
      <c r="AD8467" s="2" t="s">
        <v>51063</v>
      </c>
      <c r="AE8467">
        <v>9869</v>
      </c>
      <c r="AG8467" t="s">
        <v>51064</v>
      </c>
      <c r="AH8467" t="s">
        <v>14739</v>
      </c>
      <c r="AI8467" t="s">
        <v>51065</v>
      </c>
    </row>
    <row r="8468" spans="2:35" ht="285">
      <c r="B8468" s="1">
        <v>45020</v>
      </c>
      <c r="C8468" s="4">
        <v>45020.613194444442</v>
      </c>
      <c r="D8468" t="s">
        <v>10967</v>
      </c>
      <c r="E8468" t="s">
        <v>14481</v>
      </c>
      <c r="F8468">
        <v>7</v>
      </c>
      <c r="G8468" t="s">
        <v>432</v>
      </c>
      <c r="H8468" t="s">
        <v>10969</v>
      </c>
      <c r="I8468" t="s">
        <v>40</v>
      </c>
      <c r="J8468" s="2" t="s">
        <v>41</v>
      </c>
      <c r="K8468" t="s">
        <v>42</v>
      </c>
      <c r="L8468" t="s">
        <v>1288</v>
      </c>
      <c r="Q8468">
        <v>24114</v>
      </c>
      <c r="R8468" t="s">
        <v>119</v>
      </c>
      <c r="S8468" t="s">
        <v>33292</v>
      </c>
      <c r="T8468">
        <v>27</v>
      </c>
      <c r="U8468" s="2" t="s">
        <v>51066</v>
      </c>
      <c r="V8468" s="1">
        <v>45009</v>
      </c>
      <c r="W8468" t="s">
        <v>1292</v>
      </c>
      <c r="X8468">
        <v>838508</v>
      </c>
      <c r="Y8468" t="s">
        <v>16599</v>
      </c>
      <c r="Z8468" t="e">
        <f ca="1">-COLLECT IQR , system _xludf.Log _xludf.and Assay</f>
        <v>#NAME?</v>
      </c>
      <c r="AA8468" s="2" t="s">
        <v>51067</v>
      </c>
      <c r="AB8468" t="s">
        <v>1293</v>
      </c>
      <c r="AC8468" t="e">
        <f ca="1">-module B1 _xludf.For Observation</f>
        <v>#NAME?</v>
      </c>
      <c r="AD8468" t="s">
        <v>43740</v>
      </c>
      <c r="AE8468">
        <v>9790</v>
      </c>
      <c r="AG8468" t="s">
        <v>51068</v>
      </c>
      <c r="AH8468" t="s">
        <v>507</v>
      </c>
      <c r="AI8468" t="s">
        <v>51069</v>
      </c>
    </row>
    <row r="8469" spans="2:35" ht="285">
      <c r="B8469" s="1">
        <v>45020</v>
      </c>
      <c r="C8469" s="4">
        <v>45020.609722222223</v>
      </c>
      <c r="D8469" t="s">
        <v>10967</v>
      </c>
      <c r="E8469" t="s">
        <v>14481</v>
      </c>
      <c r="F8469">
        <v>7</v>
      </c>
      <c r="G8469" t="s">
        <v>432</v>
      </c>
      <c r="H8469" t="s">
        <v>10969</v>
      </c>
      <c r="I8469" t="s">
        <v>40</v>
      </c>
      <c r="J8469" t="s">
        <v>321</v>
      </c>
      <c r="K8469" t="s">
        <v>42</v>
      </c>
      <c r="L8469" t="s">
        <v>1288</v>
      </c>
      <c r="Q8469">
        <v>24113</v>
      </c>
      <c r="R8469" t="s">
        <v>45</v>
      </c>
      <c r="S8469" t="s">
        <v>33292</v>
      </c>
      <c r="T8469">
        <v>27</v>
      </c>
      <c r="U8469" s="2" t="s">
        <v>51066</v>
      </c>
      <c r="W8469" t="s">
        <v>1292</v>
      </c>
      <c r="X8469">
        <v>815275</v>
      </c>
      <c r="Y8469" t="s">
        <v>51070</v>
      </c>
      <c r="Z8469" t="e">
        <f ca="1">-COLLECT IQR _xludf.and Data</f>
        <v>#NAME?</v>
      </c>
      <c r="AA8469" t="e">
        <f ca="1">-_xludf.Replace defective monitor with new monitor SN : V5FRL039</f>
        <v>#NAME?</v>
      </c>
      <c r="AB8469" t="s">
        <v>1293</v>
      </c>
      <c r="AG8469" t="s">
        <v>51071</v>
      </c>
      <c r="AH8469" t="s">
        <v>507</v>
      </c>
      <c r="AI8469" t="s">
        <v>51072</v>
      </c>
    </row>
    <row r="8470" spans="2:35" ht="409.5">
      <c r="B8470" s="1">
        <v>45020</v>
      </c>
      <c r="C8470" s="4">
        <v>45020.618055555555</v>
      </c>
      <c r="D8470" t="s">
        <v>10967</v>
      </c>
      <c r="E8470" t="s">
        <v>14481</v>
      </c>
      <c r="F8470">
        <v>7</v>
      </c>
      <c r="G8470" t="s">
        <v>432</v>
      </c>
      <c r="H8470" t="s">
        <v>10969</v>
      </c>
      <c r="I8470" t="s">
        <v>40</v>
      </c>
      <c r="J8470" s="2" t="s">
        <v>41</v>
      </c>
      <c r="K8470" t="s">
        <v>42</v>
      </c>
      <c r="L8470" t="s">
        <v>1288</v>
      </c>
      <c r="Q8470">
        <v>24115</v>
      </c>
      <c r="R8470" t="s">
        <v>119</v>
      </c>
      <c r="S8470" t="s">
        <v>33292</v>
      </c>
      <c r="T8470">
        <v>27</v>
      </c>
      <c r="U8470" s="2" t="s">
        <v>51066</v>
      </c>
      <c r="V8470" s="1">
        <v>45013</v>
      </c>
      <c r="W8470" t="s">
        <v>1292</v>
      </c>
      <c r="X8470">
        <v>838510</v>
      </c>
      <c r="Y8470" t="s">
        <v>51073</v>
      </c>
      <c r="Z8470" t="e">
        <f ca="1">-COLLECT IQR , system _xludf.Log, _xludf.and Assay</f>
        <v>#NAME?</v>
      </c>
      <c r="AA8470" s="2" t="s">
        <v>51074</v>
      </c>
      <c r="AB8470" t="s">
        <v>1293</v>
      </c>
      <c r="AC8470" t="s">
        <v>51075</v>
      </c>
      <c r="AD8470" t="s">
        <v>43740</v>
      </c>
      <c r="AE8470" t="s">
        <v>51076</v>
      </c>
      <c r="AG8470" t="s">
        <v>51077</v>
      </c>
      <c r="AH8470" t="s">
        <v>507</v>
      </c>
      <c r="AI8470" t="s">
        <v>51078</v>
      </c>
    </row>
    <row r="8471" spans="2:35" ht="409.5">
      <c r="B8471" s="1">
        <v>45020</v>
      </c>
      <c r="C8471" s="4">
        <v>45020.609027777777</v>
      </c>
      <c r="D8471" t="s">
        <v>21845</v>
      </c>
      <c r="E8471" t="s">
        <v>51079</v>
      </c>
      <c r="F8471">
        <v>3</v>
      </c>
      <c r="G8471" t="s">
        <v>219</v>
      </c>
      <c r="H8471" t="s">
        <v>39</v>
      </c>
      <c r="I8471" t="s">
        <v>40</v>
      </c>
      <c r="J8471" s="2" t="s">
        <v>1309</v>
      </c>
      <c r="K8471" t="s">
        <v>42</v>
      </c>
      <c r="L8471" t="s">
        <v>135</v>
      </c>
      <c r="Q8471">
        <v>24112</v>
      </c>
      <c r="R8471" t="s">
        <v>119</v>
      </c>
      <c r="S8471" t="s">
        <v>21847</v>
      </c>
      <c r="T8471">
        <v>26.5</v>
      </c>
      <c r="U8471" s="2" t="s">
        <v>51080</v>
      </c>
      <c r="V8471" s="1">
        <v>44958</v>
      </c>
      <c r="W8471" t="s">
        <v>2680</v>
      </c>
      <c r="X8471">
        <v>831608</v>
      </c>
      <c r="Y8471" s="2" t="s">
        <v>51081</v>
      </c>
      <c r="Z8471" s="2" t="s">
        <v>50630</v>
      </c>
      <c r="AA8471" s="2" t="s">
        <v>51082</v>
      </c>
      <c r="AB8471" t="s">
        <v>181</v>
      </c>
      <c r="AC8471" t="s">
        <v>34421</v>
      </c>
      <c r="AD8471" t="s">
        <v>51083</v>
      </c>
      <c r="AE8471" t="s">
        <v>51084</v>
      </c>
      <c r="AG8471" t="s">
        <v>51085</v>
      </c>
      <c r="AH8471" t="s">
        <v>26191</v>
      </c>
      <c r="AI8471" t="s">
        <v>51086</v>
      </c>
    </row>
    <row r="8472" spans="2:35" ht="255">
      <c r="B8472" s="1">
        <v>45020</v>
      </c>
      <c r="C8472" s="4">
        <v>45020.595833333333</v>
      </c>
      <c r="D8472" t="s">
        <v>26574</v>
      </c>
      <c r="E8472" t="s">
        <v>51087</v>
      </c>
      <c r="F8472" t="s">
        <v>148</v>
      </c>
      <c r="G8472" t="s">
        <v>310</v>
      </c>
      <c r="H8472" t="s">
        <v>39</v>
      </c>
      <c r="I8472" t="s">
        <v>40</v>
      </c>
      <c r="J8472" s="2" t="s">
        <v>62</v>
      </c>
      <c r="K8472" t="s">
        <v>42</v>
      </c>
      <c r="L8472" t="s">
        <v>1943</v>
      </c>
      <c r="Q8472">
        <v>24111</v>
      </c>
      <c r="R8472" t="s">
        <v>45</v>
      </c>
      <c r="S8472" t="s">
        <v>29418</v>
      </c>
      <c r="T8472">
        <v>25</v>
      </c>
      <c r="U8472" s="2" t="s">
        <v>51088</v>
      </c>
      <c r="V8472" s="1">
        <v>45020</v>
      </c>
      <c r="W8472" t="s">
        <v>84</v>
      </c>
      <c r="X8472">
        <v>805111</v>
      </c>
      <c r="Y8472" s="2" t="s">
        <v>23659</v>
      </c>
      <c r="Z8472" s="2" t="s">
        <v>51089</v>
      </c>
      <c r="AA8472" t="s">
        <v>23660</v>
      </c>
      <c r="AB8472" t="s">
        <v>51090</v>
      </c>
      <c r="AD8472" t="s">
        <v>948</v>
      </c>
      <c r="AE8472" t="s">
        <v>1716</v>
      </c>
      <c r="AG8472" t="s">
        <v>51091</v>
      </c>
      <c r="AH8472" t="s">
        <v>29421</v>
      </c>
      <c r="AI8472" t="s">
        <v>51092</v>
      </c>
    </row>
    <row r="8473" spans="2:35" ht="285">
      <c r="B8473" s="1">
        <v>45020</v>
      </c>
      <c r="C8473" s="4">
        <v>45020.371527777781</v>
      </c>
      <c r="D8473" t="s">
        <v>26581</v>
      </c>
      <c r="E8473" t="s">
        <v>51093</v>
      </c>
      <c r="F8473" t="s">
        <v>37</v>
      </c>
      <c r="G8473" t="s">
        <v>310</v>
      </c>
      <c r="H8473" t="s">
        <v>39</v>
      </c>
      <c r="I8473" t="s">
        <v>40</v>
      </c>
      <c r="J8473" s="2" t="s">
        <v>62</v>
      </c>
      <c r="K8473" t="s">
        <v>42</v>
      </c>
      <c r="L8473" t="s">
        <v>1943</v>
      </c>
      <c r="Q8473">
        <v>24110</v>
      </c>
      <c r="R8473" t="s">
        <v>45</v>
      </c>
      <c r="S8473" t="s">
        <v>26576</v>
      </c>
      <c r="T8473">
        <v>25</v>
      </c>
      <c r="U8473" s="2" t="s">
        <v>51094</v>
      </c>
      <c r="V8473" s="1">
        <v>45020</v>
      </c>
      <c r="W8473" t="s">
        <v>84</v>
      </c>
      <c r="X8473">
        <v>707072</v>
      </c>
      <c r="Y8473" s="2" t="s">
        <v>23659</v>
      </c>
      <c r="Z8473" s="2" t="s">
        <v>32801</v>
      </c>
      <c r="AA8473" t="s">
        <v>23660</v>
      </c>
      <c r="AB8473" t="s">
        <v>51095</v>
      </c>
      <c r="AD8473" t="s">
        <v>948</v>
      </c>
      <c r="AE8473" t="s">
        <v>54</v>
      </c>
      <c r="AG8473" t="s">
        <v>51096</v>
      </c>
      <c r="AH8473" t="s">
        <v>51097</v>
      </c>
      <c r="AI8473" t="s">
        <v>51098</v>
      </c>
    </row>
    <row r="8474" spans="2:35">
      <c r="B8474" s="1">
        <v>45020</v>
      </c>
      <c r="C8474" s="4">
        <v>45020.458333333336</v>
      </c>
      <c r="D8474" t="s">
        <v>27644</v>
      </c>
      <c r="E8474" t="s">
        <v>1653</v>
      </c>
      <c r="F8474">
        <v>8</v>
      </c>
      <c r="G8474" t="s">
        <v>342</v>
      </c>
      <c r="H8474" t="s">
        <v>386</v>
      </c>
      <c r="I8474" t="s">
        <v>40</v>
      </c>
      <c r="J8474" t="s">
        <v>79</v>
      </c>
      <c r="K8474" t="s">
        <v>387</v>
      </c>
      <c r="L8474" t="s">
        <v>343</v>
      </c>
      <c r="Q8474">
        <v>24109</v>
      </c>
      <c r="R8474" t="s">
        <v>95</v>
      </c>
      <c r="S8474" t="s">
        <v>6984</v>
      </c>
      <c r="T8474">
        <v>20</v>
      </c>
      <c r="W8474" t="s">
        <v>390</v>
      </c>
      <c r="X8474" t="s">
        <v>6986</v>
      </c>
      <c r="Y8474" t="s">
        <v>51099</v>
      </c>
      <c r="Z8474" t="s">
        <v>51100</v>
      </c>
      <c r="AA8474" t="s">
        <v>51100</v>
      </c>
      <c r="AB8474" t="s">
        <v>88</v>
      </c>
      <c r="AC8474" t="s">
        <v>51101</v>
      </c>
      <c r="AG8474" t="s">
        <v>51102</v>
      </c>
      <c r="AH8474" t="s">
        <v>6988</v>
      </c>
      <c r="AI8474" t="s">
        <v>51103</v>
      </c>
    </row>
    <row r="8475" spans="2:35">
      <c r="B8475" s="1">
        <v>45020</v>
      </c>
      <c r="C8475" s="4">
        <v>45020.458333333336</v>
      </c>
      <c r="D8475" t="s">
        <v>27644</v>
      </c>
      <c r="E8475" t="s">
        <v>1653</v>
      </c>
      <c r="F8475">
        <v>8</v>
      </c>
      <c r="G8475" t="s">
        <v>342</v>
      </c>
      <c r="H8475" t="s">
        <v>386</v>
      </c>
      <c r="I8475" t="s">
        <v>40</v>
      </c>
      <c r="J8475" t="s">
        <v>79</v>
      </c>
      <c r="K8475" t="s">
        <v>387</v>
      </c>
      <c r="L8475" t="s">
        <v>343</v>
      </c>
      <c r="Q8475">
        <v>24108</v>
      </c>
      <c r="R8475" t="s">
        <v>95</v>
      </c>
      <c r="S8475" t="s">
        <v>6984</v>
      </c>
      <c r="T8475">
        <v>20</v>
      </c>
      <c r="W8475" t="s">
        <v>390</v>
      </c>
      <c r="X8475" t="s">
        <v>6986</v>
      </c>
      <c r="Y8475" t="s">
        <v>51099</v>
      </c>
      <c r="Z8475" t="s">
        <v>51100</v>
      </c>
      <c r="AA8475" t="s">
        <v>51100</v>
      </c>
      <c r="AB8475" t="s">
        <v>88</v>
      </c>
      <c r="AC8475" t="s">
        <v>51101</v>
      </c>
      <c r="AG8475" t="s">
        <v>51104</v>
      </c>
      <c r="AH8475" t="s">
        <v>6988</v>
      </c>
      <c r="AI8475" t="s">
        <v>51105</v>
      </c>
    </row>
    <row r="8476" spans="2:35" ht="180">
      <c r="B8476" s="1">
        <v>45020</v>
      </c>
      <c r="C8476" s="4">
        <v>45020.44027777778</v>
      </c>
      <c r="D8476" t="s">
        <v>46655</v>
      </c>
      <c r="E8476" t="s">
        <v>51106</v>
      </c>
      <c r="F8476">
        <v>5</v>
      </c>
      <c r="G8476" t="s">
        <v>839</v>
      </c>
      <c r="H8476" t="s">
        <v>39</v>
      </c>
      <c r="I8476" t="s">
        <v>40</v>
      </c>
      <c r="J8476" s="2" t="s">
        <v>41</v>
      </c>
      <c r="K8476" t="s">
        <v>42</v>
      </c>
      <c r="L8476" t="s">
        <v>448</v>
      </c>
      <c r="Q8476">
        <v>24106</v>
      </c>
      <c r="R8476" t="s">
        <v>45</v>
      </c>
      <c r="S8476" t="s">
        <v>31839</v>
      </c>
      <c r="T8476">
        <v>25</v>
      </c>
      <c r="U8476" s="2" t="s">
        <v>51107</v>
      </c>
      <c r="W8476" t="s">
        <v>4904</v>
      </c>
      <c r="X8476">
        <v>834808</v>
      </c>
      <c r="Y8476" t="s">
        <v>51108</v>
      </c>
      <c r="Z8476" t="s">
        <v>51109</v>
      </c>
      <c r="AA8476" t="s">
        <v>20643</v>
      </c>
      <c r="AB8476" t="s">
        <v>486</v>
      </c>
      <c r="AG8476" t="s">
        <v>51110</v>
      </c>
      <c r="AH8476" t="s">
        <v>51111</v>
      </c>
      <c r="AI8476" t="s">
        <v>51112</v>
      </c>
    </row>
    <row r="8477" spans="2:35" ht="60">
      <c r="B8477" s="1">
        <v>45020</v>
      </c>
      <c r="C8477" s="4">
        <v>45015.399305555555</v>
      </c>
      <c r="D8477" t="s">
        <v>51113</v>
      </c>
      <c r="E8477" t="s">
        <v>51114</v>
      </c>
      <c r="F8477" t="s">
        <v>148</v>
      </c>
      <c r="G8477" t="s">
        <v>447</v>
      </c>
      <c r="H8477" t="s">
        <v>39</v>
      </c>
      <c r="I8477" t="s">
        <v>40</v>
      </c>
      <c r="J8477" s="2" t="s">
        <v>62</v>
      </c>
      <c r="K8477" t="s">
        <v>42</v>
      </c>
      <c r="L8477" t="s">
        <v>448</v>
      </c>
      <c r="Q8477">
        <v>24107</v>
      </c>
      <c r="R8477" t="s">
        <v>703</v>
      </c>
      <c r="S8477" t="s">
        <v>28440</v>
      </c>
      <c r="T8477">
        <v>28</v>
      </c>
      <c r="V8477" s="1">
        <v>45013</v>
      </c>
      <c r="W8477" t="s">
        <v>360</v>
      </c>
      <c r="X8477">
        <v>835603</v>
      </c>
      <c r="Y8477" t="s">
        <v>50865</v>
      </c>
      <c r="Z8477" t="s">
        <v>51115</v>
      </c>
      <c r="AA8477" t="s">
        <v>28936</v>
      </c>
      <c r="AB8477" t="s">
        <v>51116</v>
      </c>
      <c r="AD8477" t="s">
        <v>32042</v>
      </c>
      <c r="AE8477">
        <v>9817</v>
      </c>
      <c r="AG8477" t="s">
        <v>51117</v>
      </c>
      <c r="AH8477" t="s">
        <v>51118</v>
      </c>
      <c r="AI8477" t="s">
        <v>51119</v>
      </c>
    </row>
    <row r="8478" spans="2:35" ht="180">
      <c r="B8478" s="1">
        <v>45020</v>
      </c>
      <c r="C8478" s="4">
        <v>45020.44027777778</v>
      </c>
      <c r="D8478" t="s">
        <v>46655</v>
      </c>
      <c r="E8478" t="s">
        <v>51106</v>
      </c>
      <c r="F8478">
        <v>5</v>
      </c>
      <c r="G8478" t="s">
        <v>839</v>
      </c>
      <c r="H8478" t="s">
        <v>39</v>
      </c>
      <c r="I8478" t="s">
        <v>40</v>
      </c>
      <c r="J8478" s="2" t="s">
        <v>41</v>
      </c>
      <c r="K8478" t="s">
        <v>42</v>
      </c>
      <c r="L8478" t="s">
        <v>448</v>
      </c>
      <c r="Q8478">
        <v>24105</v>
      </c>
      <c r="R8478" t="s">
        <v>45</v>
      </c>
      <c r="S8478" t="s">
        <v>31839</v>
      </c>
      <c r="T8478">
        <v>25</v>
      </c>
      <c r="U8478" s="2" t="s">
        <v>51107</v>
      </c>
      <c r="W8478" t="s">
        <v>4904</v>
      </c>
      <c r="X8478">
        <v>834808</v>
      </c>
      <c r="Y8478" t="s">
        <v>51108</v>
      </c>
      <c r="Z8478" t="s">
        <v>51109</v>
      </c>
      <c r="AA8478" t="s">
        <v>20643</v>
      </c>
      <c r="AB8478" t="s">
        <v>486</v>
      </c>
      <c r="AG8478" t="s">
        <v>51120</v>
      </c>
      <c r="AH8478" t="s">
        <v>51111</v>
      </c>
      <c r="AI8478" t="s">
        <v>51121</v>
      </c>
    </row>
    <row r="8479" spans="2:35" ht="60">
      <c r="B8479" s="1">
        <v>45020</v>
      </c>
      <c r="C8479" s="4">
        <v>45015.399305555555</v>
      </c>
      <c r="D8479" t="s">
        <v>51113</v>
      </c>
      <c r="E8479" t="s">
        <v>51114</v>
      </c>
      <c r="F8479" t="s">
        <v>148</v>
      </c>
      <c r="G8479" t="s">
        <v>447</v>
      </c>
      <c r="H8479" t="s">
        <v>39</v>
      </c>
      <c r="I8479" t="s">
        <v>40</v>
      </c>
      <c r="J8479" s="2" t="s">
        <v>62</v>
      </c>
      <c r="K8479" t="s">
        <v>42</v>
      </c>
      <c r="L8479" t="s">
        <v>448</v>
      </c>
      <c r="Q8479">
        <v>24104</v>
      </c>
      <c r="R8479" t="s">
        <v>703</v>
      </c>
      <c r="S8479" t="s">
        <v>28440</v>
      </c>
      <c r="T8479">
        <v>28</v>
      </c>
      <c r="V8479" s="1">
        <v>45013</v>
      </c>
      <c r="W8479" t="s">
        <v>360</v>
      </c>
      <c r="X8479">
        <v>835603</v>
      </c>
      <c r="Y8479" t="s">
        <v>50865</v>
      </c>
      <c r="Z8479" t="s">
        <v>51115</v>
      </c>
      <c r="AA8479" t="s">
        <v>28936</v>
      </c>
      <c r="AB8479" t="s">
        <v>51116</v>
      </c>
      <c r="AD8479" t="s">
        <v>32042</v>
      </c>
      <c r="AE8479">
        <v>9817</v>
      </c>
      <c r="AG8479" t="s">
        <v>51122</v>
      </c>
      <c r="AH8479" t="s">
        <v>51118</v>
      </c>
      <c r="AI8479" t="s">
        <v>51123</v>
      </c>
    </row>
    <row r="8480" spans="2:35" ht="60">
      <c r="B8480" s="1">
        <v>45020</v>
      </c>
      <c r="C8480" s="4">
        <v>45015.399305555555</v>
      </c>
      <c r="D8480" t="s">
        <v>51113</v>
      </c>
      <c r="E8480" t="s">
        <v>51114</v>
      </c>
      <c r="F8480" t="s">
        <v>148</v>
      </c>
      <c r="G8480" t="s">
        <v>447</v>
      </c>
      <c r="H8480" t="s">
        <v>39</v>
      </c>
      <c r="I8480" t="s">
        <v>40</v>
      </c>
      <c r="J8480" s="2" t="s">
        <v>62</v>
      </c>
      <c r="K8480" t="s">
        <v>42</v>
      </c>
      <c r="L8480" t="s">
        <v>448</v>
      </c>
      <c r="Q8480">
        <v>24102</v>
      </c>
      <c r="R8480" t="s">
        <v>703</v>
      </c>
      <c r="S8480" t="s">
        <v>28440</v>
      </c>
      <c r="T8480">
        <v>28</v>
      </c>
      <c r="V8480" s="1">
        <v>45013</v>
      </c>
      <c r="W8480" t="s">
        <v>360</v>
      </c>
      <c r="X8480">
        <v>835603</v>
      </c>
      <c r="Y8480" t="s">
        <v>50865</v>
      </c>
      <c r="Z8480" t="s">
        <v>51115</v>
      </c>
      <c r="AA8480" t="s">
        <v>28936</v>
      </c>
      <c r="AB8480" t="s">
        <v>51116</v>
      </c>
      <c r="AD8480" t="s">
        <v>32042</v>
      </c>
      <c r="AE8480">
        <v>9817</v>
      </c>
      <c r="AG8480" t="s">
        <v>51124</v>
      </c>
      <c r="AH8480" t="s">
        <v>51118</v>
      </c>
      <c r="AI8480" t="s">
        <v>51125</v>
      </c>
    </row>
    <row r="8481" spans="2:35" ht="180">
      <c r="B8481" s="1">
        <v>45020</v>
      </c>
      <c r="C8481" s="4">
        <v>45020.44027777778</v>
      </c>
      <c r="D8481" t="s">
        <v>46655</v>
      </c>
      <c r="E8481" t="s">
        <v>51106</v>
      </c>
      <c r="F8481">
        <v>5</v>
      </c>
      <c r="G8481" t="s">
        <v>839</v>
      </c>
      <c r="H8481" t="s">
        <v>39</v>
      </c>
      <c r="I8481" t="s">
        <v>40</v>
      </c>
      <c r="J8481" s="2" t="s">
        <v>41</v>
      </c>
      <c r="K8481" t="s">
        <v>42</v>
      </c>
      <c r="L8481" t="s">
        <v>448</v>
      </c>
      <c r="Q8481">
        <v>24103</v>
      </c>
      <c r="R8481" t="s">
        <v>45</v>
      </c>
      <c r="S8481" t="s">
        <v>31839</v>
      </c>
      <c r="T8481">
        <v>25</v>
      </c>
      <c r="U8481" s="2" t="s">
        <v>51107</v>
      </c>
      <c r="W8481" t="s">
        <v>4904</v>
      </c>
      <c r="X8481">
        <v>834808</v>
      </c>
      <c r="Y8481" t="s">
        <v>51108</v>
      </c>
      <c r="Z8481" t="s">
        <v>51109</v>
      </c>
      <c r="AA8481" t="s">
        <v>20643</v>
      </c>
      <c r="AB8481" t="s">
        <v>486</v>
      </c>
      <c r="AG8481" t="s">
        <v>51126</v>
      </c>
      <c r="AH8481" t="s">
        <v>51111</v>
      </c>
      <c r="AI8481" t="s">
        <v>51127</v>
      </c>
    </row>
    <row r="8482" spans="2:35" ht="405">
      <c r="B8482" s="1">
        <v>45020</v>
      </c>
      <c r="C8482" s="4">
        <v>45020.564583333333</v>
      </c>
      <c r="D8482" t="s">
        <v>4694</v>
      </c>
      <c r="E8482" t="s">
        <v>51128</v>
      </c>
      <c r="F8482">
        <v>12</v>
      </c>
      <c r="G8482" t="s">
        <v>2137</v>
      </c>
      <c r="H8482" t="s">
        <v>202</v>
      </c>
      <c r="I8482" t="s">
        <v>40</v>
      </c>
      <c r="J8482" s="2" t="s">
        <v>190</v>
      </c>
      <c r="K8482" t="s">
        <v>42</v>
      </c>
      <c r="L8482" t="s">
        <v>204</v>
      </c>
      <c r="Q8482">
        <v>24101</v>
      </c>
      <c r="R8482" t="s">
        <v>119</v>
      </c>
      <c r="S8482" t="s">
        <v>43150</v>
      </c>
      <c r="T8482">
        <v>25.9</v>
      </c>
      <c r="U8482" s="2" t="s">
        <v>51129</v>
      </c>
      <c r="W8482" t="s">
        <v>24154</v>
      </c>
      <c r="X8482">
        <v>838545</v>
      </c>
      <c r="Y8482" t="s">
        <v>51130</v>
      </c>
      <c r="Z8482" s="2" t="s">
        <v>51131</v>
      </c>
      <c r="AA8482" t="s">
        <v>51132</v>
      </c>
      <c r="AB8482" t="s">
        <v>51133</v>
      </c>
      <c r="AG8482" t="s">
        <v>51134</v>
      </c>
      <c r="AH8482" t="s">
        <v>19975</v>
      </c>
      <c r="AI8482" t="s">
        <v>51135</v>
      </c>
    </row>
    <row r="8483" spans="2:35" ht="180">
      <c r="B8483" s="1">
        <v>45020</v>
      </c>
      <c r="C8483" s="4">
        <v>45020.474305555559</v>
      </c>
      <c r="D8483" t="s">
        <v>9725</v>
      </c>
      <c r="E8483" t="s">
        <v>51136</v>
      </c>
      <c r="F8483">
        <v>10</v>
      </c>
      <c r="G8483" t="s">
        <v>1395</v>
      </c>
      <c r="H8483" t="s">
        <v>1047</v>
      </c>
      <c r="I8483" t="s">
        <v>40</v>
      </c>
      <c r="J8483" s="2" t="s">
        <v>1808</v>
      </c>
      <c r="K8483" t="s">
        <v>42</v>
      </c>
      <c r="L8483" t="s">
        <v>43100</v>
      </c>
      <c r="Q8483">
        <v>24100</v>
      </c>
      <c r="R8483" t="s">
        <v>119</v>
      </c>
      <c r="S8483" t="s">
        <v>16230</v>
      </c>
      <c r="T8483">
        <v>27</v>
      </c>
      <c r="U8483" s="2" t="s">
        <v>2268</v>
      </c>
      <c r="V8483" s="1">
        <v>45013</v>
      </c>
      <c r="W8483" t="s">
        <v>43102</v>
      </c>
      <c r="X8483">
        <v>838562</v>
      </c>
      <c r="Y8483" t="s">
        <v>51137</v>
      </c>
      <c r="Z8483" s="2" t="s">
        <v>51138</v>
      </c>
      <c r="AA8483" s="2" t="s">
        <v>51139</v>
      </c>
      <c r="AB8483" t="s">
        <v>486</v>
      </c>
      <c r="AD8483" t="s">
        <v>51140</v>
      </c>
      <c r="AE8483" t="s">
        <v>10783</v>
      </c>
      <c r="AG8483" t="s">
        <v>51141</v>
      </c>
      <c r="AH8483" t="s">
        <v>10746</v>
      </c>
      <c r="AI8483" t="s">
        <v>51142</v>
      </c>
    </row>
    <row r="8484" spans="2:35" ht="300">
      <c r="B8484" s="1">
        <v>45020</v>
      </c>
      <c r="C8484" s="4">
        <v>45020.413194444445</v>
      </c>
      <c r="D8484" t="s">
        <v>42265</v>
      </c>
      <c r="E8484" t="s">
        <v>42266</v>
      </c>
      <c r="F8484">
        <v>3</v>
      </c>
      <c r="G8484" t="s">
        <v>1722</v>
      </c>
      <c r="H8484" t="s">
        <v>39</v>
      </c>
      <c r="I8484" t="s">
        <v>40</v>
      </c>
      <c r="J8484" s="2" t="s">
        <v>1157</v>
      </c>
      <c r="K8484" t="s">
        <v>42</v>
      </c>
      <c r="L8484" t="s">
        <v>63</v>
      </c>
      <c r="Q8484">
        <v>24099</v>
      </c>
      <c r="R8484" t="s">
        <v>45</v>
      </c>
      <c r="S8484" t="s">
        <v>42267</v>
      </c>
      <c r="T8484">
        <v>27</v>
      </c>
      <c r="U8484" s="2" t="s">
        <v>51143</v>
      </c>
      <c r="V8484" s="1">
        <v>45020</v>
      </c>
      <c r="W8484" t="s">
        <v>26915</v>
      </c>
      <c r="X8484">
        <v>846042</v>
      </c>
      <c r="Y8484" t="s">
        <v>37689</v>
      </c>
      <c r="Z8484" t="s">
        <v>11377</v>
      </c>
      <c r="AA8484" s="2" t="s">
        <v>51144</v>
      </c>
      <c r="AB8484" t="s">
        <v>70</v>
      </c>
      <c r="AC8484" t="s">
        <v>38901</v>
      </c>
      <c r="AD8484" t="s">
        <v>51145</v>
      </c>
      <c r="AE8484" t="s">
        <v>1716</v>
      </c>
      <c r="AG8484" t="s">
        <v>51146</v>
      </c>
      <c r="AH8484" t="s">
        <v>51147</v>
      </c>
      <c r="AI8484" t="s">
        <v>51148</v>
      </c>
    </row>
    <row r="8485" spans="2:35" ht="409.5">
      <c r="B8485" s="1">
        <v>45020</v>
      </c>
      <c r="C8485" s="4">
        <v>45020.436111111114</v>
      </c>
      <c r="D8485" t="s">
        <v>51149</v>
      </c>
      <c r="E8485" t="s">
        <v>51150</v>
      </c>
      <c r="F8485">
        <v>3</v>
      </c>
      <c r="G8485" t="s">
        <v>219</v>
      </c>
      <c r="H8485" t="s">
        <v>39</v>
      </c>
      <c r="I8485" t="s">
        <v>40</v>
      </c>
      <c r="J8485" s="2" t="s">
        <v>62</v>
      </c>
      <c r="K8485" t="s">
        <v>42</v>
      </c>
      <c r="L8485" t="s">
        <v>135</v>
      </c>
      <c r="Q8485">
        <v>24098</v>
      </c>
      <c r="R8485" t="s">
        <v>45</v>
      </c>
      <c r="S8485" t="s">
        <v>51151</v>
      </c>
      <c r="T8485">
        <v>30</v>
      </c>
      <c r="U8485" s="2" t="s">
        <v>51152</v>
      </c>
      <c r="V8485" s="1">
        <v>44995</v>
      </c>
      <c r="W8485" t="s">
        <v>2680</v>
      </c>
      <c r="X8485">
        <v>814377</v>
      </c>
      <c r="Y8485" t="s">
        <v>1751</v>
      </c>
      <c r="Z8485" s="2" t="s">
        <v>28886</v>
      </c>
      <c r="AA8485" s="2" t="s">
        <v>31375</v>
      </c>
      <c r="AB8485" t="s">
        <v>181</v>
      </c>
      <c r="AC8485" t="s">
        <v>34421</v>
      </c>
      <c r="AD8485" t="s">
        <v>51153</v>
      </c>
      <c r="AE8485">
        <v>39477</v>
      </c>
      <c r="AG8485" t="s">
        <v>51154</v>
      </c>
      <c r="AH8485" t="s">
        <v>51155</v>
      </c>
      <c r="AI8485" t="s">
        <v>51156</v>
      </c>
    </row>
    <row r="8486" spans="2:35" ht="255">
      <c r="B8486" s="1">
        <v>45020</v>
      </c>
      <c r="C8486" s="4">
        <v>45020.417361111111</v>
      </c>
      <c r="D8486" t="s">
        <v>51157</v>
      </c>
      <c r="E8486" t="s">
        <v>51158</v>
      </c>
      <c r="F8486" t="s">
        <v>1255</v>
      </c>
      <c r="G8486" t="s">
        <v>1887</v>
      </c>
      <c r="H8486" t="s">
        <v>39</v>
      </c>
      <c r="I8486" t="s">
        <v>94</v>
      </c>
      <c r="J8486" s="2" t="s">
        <v>41</v>
      </c>
      <c r="K8486" t="s">
        <v>42</v>
      </c>
      <c r="L8486" t="s">
        <v>296</v>
      </c>
      <c r="Q8486">
        <v>24097</v>
      </c>
      <c r="R8486" t="s">
        <v>45</v>
      </c>
      <c r="S8486" t="s">
        <v>51159</v>
      </c>
      <c r="T8486">
        <v>26</v>
      </c>
      <c r="U8486" s="2" t="s">
        <v>51160</v>
      </c>
      <c r="V8486" s="1">
        <v>45020</v>
      </c>
      <c r="W8486" t="s">
        <v>23049</v>
      </c>
      <c r="X8486">
        <v>838135</v>
      </c>
      <c r="Y8486" t="s">
        <v>28230</v>
      </c>
      <c r="Z8486" s="2" t="s">
        <v>51161</v>
      </c>
      <c r="AA8486" s="2" t="s">
        <v>51161</v>
      </c>
      <c r="AB8486" t="s">
        <v>972</v>
      </c>
      <c r="AD8486" t="s">
        <v>49638</v>
      </c>
      <c r="AE8486" t="s">
        <v>10783</v>
      </c>
      <c r="AG8486" t="s">
        <v>51162</v>
      </c>
      <c r="AH8486" t="s">
        <v>51163</v>
      </c>
      <c r="AI8486" t="s">
        <v>51164</v>
      </c>
    </row>
    <row r="8487" spans="2:35" ht="375">
      <c r="B8487" s="1">
        <v>45020</v>
      </c>
      <c r="C8487" s="4">
        <v>45020.390972222223</v>
      </c>
      <c r="D8487" t="s">
        <v>8592</v>
      </c>
      <c r="E8487" t="s">
        <v>1555</v>
      </c>
      <c r="F8487">
        <v>7</v>
      </c>
      <c r="G8487" t="s">
        <v>432</v>
      </c>
      <c r="H8487" t="s">
        <v>39</v>
      </c>
      <c r="I8487" t="s">
        <v>94</v>
      </c>
      <c r="J8487" s="2" t="s">
        <v>1370</v>
      </c>
      <c r="K8487" t="s">
        <v>42</v>
      </c>
      <c r="L8487" t="s">
        <v>433</v>
      </c>
      <c r="Q8487">
        <v>24096</v>
      </c>
      <c r="R8487" t="s">
        <v>119</v>
      </c>
      <c r="S8487" t="s">
        <v>1818</v>
      </c>
      <c r="T8487">
        <v>20</v>
      </c>
      <c r="U8487" s="2" t="s">
        <v>51165</v>
      </c>
      <c r="W8487" t="s">
        <v>84</v>
      </c>
      <c r="X8487">
        <v>838263</v>
      </c>
      <c r="Y8487" t="s">
        <v>21695</v>
      </c>
      <c r="Z8487" t="s">
        <v>51166</v>
      </c>
      <c r="AA8487" t="s">
        <v>51166</v>
      </c>
      <c r="AB8487" t="s">
        <v>1011</v>
      </c>
      <c r="AG8487" t="s">
        <v>51167</v>
      </c>
      <c r="AH8487" t="s">
        <v>47357</v>
      </c>
      <c r="AI8487" t="s">
        <v>51168</v>
      </c>
    </row>
    <row r="8488" spans="2:35" ht="360">
      <c r="B8488" s="1">
        <v>45020</v>
      </c>
      <c r="C8488" s="4">
        <v>45020.362500000003</v>
      </c>
      <c r="D8488" t="s">
        <v>2489</v>
      </c>
      <c r="E8488" t="s">
        <v>51169</v>
      </c>
      <c r="F8488">
        <v>8</v>
      </c>
      <c r="G8488" t="s">
        <v>342</v>
      </c>
      <c r="H8488" t="s">
        <v>12698</v>
      </c>
      <c r="I8488" t="s">
        <v>40</v>
      </c>
      <c r="J8488" s="2" t="s">
        <v>2170</v>
      </c>
      <c r="K8488" t="s">
        <v>42</v>
      </c>
      <c r="L8488" t="s">
        <v>259</v>
      </c>
      <c r="Q8488">
        <v>24095</v>
      </c>
      <c r="R8488" t="s">
        <v>45</v>
      </c>
      <c r="S8488" t="s">
        <v>2492</v>
      </c>
      <c r="T8488">
        <v>26</v>
      </c>
      <c r="U8488" s="2" t="s">
        <v>51170</v>
      </c>
      <c r="V8488" s="1">
        <v>45020</v>
      </c>
      <c r="W8488" t="s">
        <v>84</v>
      </c>
      <c r="X8488">
        <v>838143</v>
      </c>
      <c r="Y8488" t="e">
        <f ca="1">- module B2 _xludf.For Replacement
- module B1 _xludf.For CALIBRATION</f>
        <v>#NAME?</v>
      </c>
      <c r="Z8488" s="2" t="s">
        <v>51171</v>
      </c>
      <c r="AA8488" t="e">
        <f ca="1">- module Replacement
- CALIBRATION
- Preventive Maintenance</f>
        <v>#NAME?</v>
      </c>
      <c r="AB8488" t="s">
        <v>70</v>
      </c>
      <c r="AC8488" t="e">
        <f ca="1">- module B1 service required</f>
        <v>#NAME?</v>
      </c>
      <c r="AD8488" s="2" t="s">
        <v>51172</v>
      </c>
      <c r="AE8488" t="s">
        <v>45</v>
      </c>
      <c r="AG8488" t="s">
        <v>51173</v>
      </c>
      <c r="AH8488" t="s">
        <v>2495</v>
      </c>
      <c r="AI8488" t="s">
        <v>51174</v>
      </c>
    </row>
    <row r="8489" spans="2:35" ht="300">
      <c r="B8489" s="1">
        <v>45020</v>
      </c>
      <c r="C8489" s="4">
        <v>45020.341666666667</v>
      </c>
      <c r="D8489" t="s">
        <v>217</v>
      </c>
      <c r="E8489" t="s">
        <v>50091</v>
      </c>
      <c r="F8489">
        <v>3</v>
      </c>
      <c r="G8489" t="s">
        <v>219</v>
      </c>
      <c r="H8489" t="s">
        <v>39</v>
      </c>
      <c r="I8489" t="s">
        <v>40</v>
      </c>
      <c r="J8489" s="2" t="s">
        <v>1157</v>
      </c>
      <c r="K8489" t="s">
        <v>42</v>
      </c>
      <c r="L8489" t="s">
        <v>135</v>
      </c>
      <c r="Q8489">
        <v>24094</v>
      </c>
      <c r="R8489" t="s">
        <v>45</v>
      </c>
      <c r="S8489" t="s">
        <v>47575</v>
      </c>
      <c r="T8489">
        <v>29</v>
      </c>
      <c r="W8489" t="s">
        <v>2680</v>
      </c>
      <c r="X8489">
        <v>804700</v>
      </c>
      <c r="Y8489" s="2" t="s">
        <v>51175</v>
      </c>
      <c r="Z8489" s="2" t="s">
        <v>51176</v>
      </c>
      <c r="AA8489" s="2" t="s">
        <v>51177</v>
      </c>
      <c r="AB8489" t="s">
        <v>51178</v>
      </c>
      <c r="AC8489" t="s">
        <v>4800</v>
      </c>
      <c r="AG8489" t="s">
        <v>51179</v>
      </c>
      <c r="AH8489" t="s">
        <v>32312</v>
      </c>
      <c r="AI8489" t="s">
        <v>51180</v>
      </c>
    </row>
    <row r="8490" spans="2:35" ht="255">
      <c r="B8490" s="1">
        <v>45019</v>
      </c>
      <c r="C8490" s="4">
        <v>45019.611111111109</v>
      </c>
      <c r="D8490" t="s">
        <v>1885</v>
      </c>
      <c r="E8490" t="s">
        <v>5652</v>
      </c>
      <c r="F8490" t="s">
        <v>1255</v>
      </c>
      <c r="G8490" t="s">
        <v>1887</v>
      </c>
      <c r="H8490" t="s">
        <v>295</v>
      </c>
      <c r="I8490" t="s">
        <v>94</v>
      </c>
      <c r="J8490" s="2" t="s">
        <v>41</v>
      </c>
      <c r="K8490" t="s">
        <v>42</v>
      </c>
      <c r="L8490" t="s">
        <v>296</v>
      </c>
      <c r="Q8490">
        <v>24093</v>
      </c>
      <c r="R8490" t="s">
        <v>45</v>
      </c>
      <c r="S8490" t="s">
        <v>25655</v>
      </c>
      <c r="T8490">
        <v>22.8</v>
      </c>
      <c r="U8490" s="2" t="s">
        <v>51181</v>
      </c>
      <c r="V8490" s="1">
        <v>45019</v>
      </c>
      <c r="W8490" t="s">
        <v>23049</v>
      </c>
      <c r="X8490">
        <v>834442</v>
      </c>
      <c r="Y8490" t="s">
        <v>19089</v>
      </c>
      <c r="Z8490" s="2" t="s">
        <v>51182</v>
      </c>
      <c r="AA8490" s="2" t="s">
        <v>51182</v>
      </c>
      <c r="AB8490" t="s">
        <v>1480</v>
      </c>
      <c r="AD8490" t="s">
        <v>49638</v>
      </c>
      <c r="AE8490" t="s">
        <v>10783</v>
      </c>
      <c r="AG8490" t="s">
        <v>51183</v>
      </c>
      <c r="AH8490" t="s">
        <v>23213</v>
      </c>
      <c r="AI8490" t="s">
        <v>51184</v>
      </c>
    </row>
    <row r="8491" spans="2:35" ht="180">
      <c r="B8491" s="1">
        <v>45019</v>
      </c>
      <c r="C8491" s="4">
        <v>45016.616666666669</v>
      </c>
      <c r="D8491" t="s">
        <v>1731</v>
      </c>
      <c r="E8491" t="s">
        <v>32468</v>
      </c>
      <c r="F8491" t="s">
        <v>148</v>
      </c>
      <c r="G8491" t="s">
        <v>371</v>
      </c>
      <c r="H8491" t="s">
        <v>39</v>
      </c>
      <c r="I8491" t="s">
        <v>40</v>
      </c>
      <c r="J8491" s="2" t="s">
        <v>41</v>
      </c>
      <c r="K8491" t="s">
        <v>42</v>
      </c>
      <c r="L8491" t="s">
        <v>175</v>
      </c>
      <c r="Q8491">
        <v>24092</v>
      </c>
      <c r="R8491" t="s">
        <v>45</v>
      </c>
      <c r="S8491" t="s">
        <v>32469</v>
      </c>
      <c r="T8491">
        <v>25</v>
      </c>
      <c r="U8491" s="2" t="s">
        <v>51185</v>
      </c>
      <c r="V8491" s="1">
        <v>45016</v>
      </c>
      <c r="W8491" t="s">
        <v>84</v>
      </c>
      <c r="X8491">
        <v>838873</v>
      </c>
      <c r="Y8491" t="s">
        <v>51186</v>
      </c>
      <c r="Z8491" t="e">
        <f ca="1">- replaced module B1
- generated reports
- checked cartridge bay, plunger rod, _xludf.filter</f>
        <v>#NAME?</v>
      </c>
      <c r="AA8491" t="s">
        <v>8035</v>
      </c>
      <c r="AB8491" t="s">
        <v>88</v>
      </c>
      <c r="AD8491" s="2" t="s">
        <v>51187</v>
      </c>
      <c r="AE8491" t="s">
        <v>103</v>
      </c>
      <c r="AG8491" t="s">
        <v>51188</v>
      </c>
      <c r="AH8491" t="s">
        <v>32475</v>
      </c>
      <c r="AI8491" t="s">
        <v>51189</v>
      </c>
    </row>
    <row r="8492" spans="2:35" ht="180">
      <c r="B8492" s="1">
        <v>45019</v>
      </c>
      <c r="C8492" s="4">
        <v>45016.478472222225</v>
      </c>
      <c r="D8492" t="s">
        <v>51190</v>
      </c>
      <c r="E8492" t="s">
        <v>22764</v>
      </c>
      <c r="F8492" t="s">
        <v>148</v>
      </c>
      <c r="G8492" t="s">
        <v>22765</v>
      </c>
      <c r="H8492" t="s">
        <v>39</v>
      </c>
      <c r="I8492" t="s">
        <v>40</v>
      </c>
      <c r="J8492" s="2" t="s">
        <v>41</v>
      </c>
      <c r="K8492" t="s">
        <v>42</v>
      </c>
      <c r="L8492" t="s">
        <v>175</v>
      </c>
      <c r="Q8492">
        <v>24089</v>
      </c>
      <c r="R8492" t="s">
        <v>45</v>
      </c>
      <c r="S8492" t="s">
        <v>51191</v>
      </c>
      <c r="T8492">
        <v>25</v>
      </c>
      <c r="U8492" s="2" t="s">
        <v>51192</v>
      </c>
      <c r="V8492" s="1">
        <v>45016</v>
      </c>
      <c r="W8492" t="s">
        <v>84</v>
      </c>
      <c r="X8492">
        <v>805009</v>
      </c>
      <c r="Y8492" t="s">
        <v>51193</v>
      </c>
      <c r="Z8492" t="e">
        <f ca="1">- replaced B1
- checked _xludf.and cleaned cartridge bay, plunger rod, _xludf.filter
- generated reports</f>
        <v>#NAME?</v>
      </c>
      <c r="AA8492" t="s">
        <v>8035</v>
      </c>
      <c r="AB8492" t="s">
        <v>88</v>
      </c>
      <c r="AD8492" s="2" t="s">
        <v>51194</v>
      </c>
      <c r="AE8492" t="s">
        <v>51195</v>
      </c>
      <c r="AG8492" t="s">
        <v>51196</v>
      </c>
      <c r="AH8492" t="s">
        <v>51197</v>
      </c>
      <c r="AI8492" t="s">
        <v>51198</v>
      </c>
    </row>
    <row r="8493" spans="2:35" ht="285">
      <c r="B8493" s="1">
        <v>45019</v>
      </c>
      <c r="C8493" s="4">
        <v>45014.495138888888</v>
      </c>
      <c r="D8493" t="s">
        <v>228</v>
      </c>
      <c r="E8493" t="s">
        <v>9436</v>
      </c>
      <c r="F8493" t="s">
        <v>148</v>
      </c>
      <c r="G8493" t="s">
        <v>230</v>
      </c>
      <c r="H8493" t="s">
        <v>39</v>
      </c>
      <c r="I8493" t="s">
        <v>40</v>
      </c>
      <c r="J8493" t="s">
        <v>79</v>
      </c>
      <c r="K8493" t="s">
        <v>42</v>
      </c>
      <c r="L8493" t="s">
        <v>175</v>
      </c>
      <c r="Q8493">
        <v>24090</v>
      </c>
      <c r="R8493" t="s">
        <v>45</v>
      </c>
      <c r="S8493" t="s">
        <v>23986</v>
      </c>
      <c r="T8493">
        <v>25</v>
      </c>
      <c r="U8493" s="2" t="s">
        <v>51199</v>
      </c>
      <c r="V8493" s="1">
        <v>45014</v>
      </c>
      <c r="W8493" t="s">
        <v>84</v>
      </c>
      <c r="X8493">
        <v>805062</v>
      </c>
      <c r="Y8493" t="s">
        <v>51200</v>
      </c>
      <c r="Z8493" t="e">
        <f ca="1">- replaced module A1
- checked _xludf.and cleaned cartridge bay, plunger rod, _xludf.filter
- generated reports</f>
        <v>#NAME?</v>
      </c>
      <c r="AA8493" t="s">
        <v>41183</v>
      </c>
      <c r="AB8493" t="s">
        <v>88</v>
      </c>
      <c r="AD8493" s="2" t="s">
        <v>51201</v>
      </c>
      <c r="AE8493" t="s">
        <v>103</v>
      </c>
      <c r="AG8493" t="s">
        <v>51202</v>
      </c>
      <c r="AH8493" t="s">
        <v>33059</v>
      </c>
      <c r="AI8493" t="s">
        <v>51203</v>
      </c>
    </row>
    <row r="8494" spans="2:35" ht="180">
      <c r="B8494" s="1">
        <v>45019</v>
      </c>
      <c r="C8494" s="4">
        <v>45016.419444444444</v>
      </c>
      <c r="D8494" t="s">
        <v>20529</v>
      </c>
      <c r="E8494" t="s">
        <v>370</v>
      </c>
      <c r="F8494" t="s">
        <v>148</v>
      </c>
      <c r="G8494" t="s">
        <v>371</v>
      </c>
      <c r="H8494" t="s">
        <v>39</v>
      </c>
      <c r="I8494" t="s">
        <v>40</v>
      </c>
      <c r="J8494" t="s">
        <v>79</v>
      </c>
      <c r="K8494" t="s">
        <v>42</v>
      </c>
      <c r="L8494" t="s">
        <v>175</v>
      </c>
      <c r="Q8494">
        <v>24091</v>
      </c>
      <c r="R8494" t="s">
        <v>119</v>
      </c>
      <c r="S8494" t="s">
        <v>20530</v>
      </c>
      <c r="T8494">
        <v>25</v>
      </c>
      <c r="U8494" s="2" t="s">
        <v>51204</v>
      </c>
      <c r="V8494" s="1">
        <v>45005</v>
      </c>
      <c r="W8494" t="s">
        <v>84</v>
      </c>
      <c r="X8494">
        <v>831906</v>
      </c>
      <c r="Y8494" t="s">
        <v>51205</v>
      </c>
      <c r="Z8494" t="e">
        <f ca="1">- replaced module A3
- checked _xludf.and cleaned cartridge bay, _xludf.filter, plunger rod
- generated reports</f>
        <v>#NAME?</v>
      </c>
      <c r="AA8494" t="s">
        <v>22674</v>
      </c>
      <c r="AB8494" t="s">
        <v>88</v>
      </c>
      <c r="AD8494" s="2" t="s">
        <v>51206</v>
      </c>
      <c r="AE8494">
        <v>9706</v>
      </c>
      <c r="AG8494" t="s">
        <v>51207</v>
      </c>
      <c r="AH8494" t="s">
        <v>28277</v>
      </c>
      <c r="AI8494" t="s">
        <v>51208</v>
      </c>
    </row>
    <row r="8495" spans="2:35" ht="285">
      <c r="B8495" s="1">
        <v>45019</v>
      </c>
      <c r="C8495" s="4">
        <v>45014.598611111112</v>
      </c>
      <c r="D8495" t="s">
        <v>1155</v>
      </c>
      <c r="E8495" t="s">
        <v>8331</v>
      </c>
      <c r="F8495" t="s">
        <v>148</v>
      </c>
      <c r="G8495" t="s">
        <v>230</v>
      </c>
      <c r="H8495" t="s">
        <v>39</v>
      </c>
      <c r="I8495" t="s">
        <v>40</v>
      </c>
      <c r="J8495" s="2" t="s">
        <v>41</v>
      </c>
      <c r="K8495" t="s">
        <v>42</v>
      </c>
      <c r="L8495" t="s">
        <v>175</v>
      </c>
      <c r="Q8495">
        <v>24087</v>
      </c>
      <c r="R8495" t="s">
        <v>45</v>
      </c>
      <c r="S8495" t="s">
        <v>51209</v>
      </c>
      <c r="T8495">
        <v>30</v>
      </c>
      <c r="U8495" s="2" t="s">
        <v>51210</v>
      </c>
      <c r="V8495" s="1">
        <v>45014</v>
      </c>
      <c r="W8495" t="s">
        <v>84</v>
      </c>
      <c r="X8495">
        <v>808649</v>
      </c>
      <c r="Y8495" t="s">
        <v>51211</v>
      </c>
      <c r="Z8495" t="e">
        <f ca="1">- replaced B1
- checked _xludf.and cleaned cartridge bay, plunger rod, _xludf.filter
- generated reports</f>
        <v>#NAME?</v>
      </c>
      <c r="AA8495" t="s">
        <v>179</v>
      </c>
      <c r="AB8495" t="s">
        <v>88</v>
      </c>
      <c r="AD8495" s="2" t="s">
        <v>51212</v>
      </c>
      <c r="AE8495" t="s">
        <v>103</v>
      </c>
      <c r="AG8495" t="s">
        <v>51213</v>
      </c>
      <c r="AH8495" t="s">
        <v>32794</v>
      </c>
      <c r="AI8495" t="s">
        <v>51214</v>
      </c>
    </row>
    <row r="8496" spans="2:35" ht="180">
      <c r="B8496" s="1">
        <v>45019</v>
      </c>
      <c r="C8496" s="4">
        <v>45014.445833333331</v>
      </c>
      <c r="D8496" t="s">
        <v>25555</v>
      </c>
      <c r="E8496" t="s">
        <v>24319</v>
      </c>
      <c r="F8496" t="s">
        <v>148</v>
      </c>
      <c r="G8496" t="s">
        <v>310</v>
      </c>
      <c r="H8496" t="s">
        <v>39</v>
      </c>
      <c r="I8496" t="s">
        <v>40</v>
      </c>
      <c r="J8496" s="2" t="s">
        <v>41</v>
      </c>
      <c r="K8496" t="s">
        <v>42</v>
      </c>
      <c r="L8496" t="s">
        <v>175</v>
      </c>
      <c r="Q8496">
        <v>24088</v>
      </c>
      <c r="R8496" t="s">
        <v>45</v>
      </c>
      <c r="S8496" t="s">
        <v>25556</v>
      </c>
      <c r="T8496">
        <v>25</v>
      </c>
      <c r="U8496" s="2" t="s">
        <v>51215</v>
      </c>
      <c r="V8496" s="1">
        <v>45014</v>
      </c>
      <c r="W8496" t="s">
        <v>84</v>
      </c>
      <c r="X8496">
        <v>805067</v>
      </c>
      <c r="Y8496" t="s">
        <v>51216</v>
      </c>
      <c r="Z8496" t="e">
        <f ca="1">- replaced modules A3 _xludf.and A4
- checked _xludf.and cleaned cartridge bay, plunger rod, _xludf.filter
- generated reports</f>
        <v>#NAME?</v>
      </c>
      <c r="AA8496" t="s">
        <v>29267</v>
      </c>
      <c r="AB8496" t="s">
        <v>88</v>
      </c>
      <c r="AD8496" t="s">
        <v>182</v>
      </c>
      <c r="AE8496" t="s">
        <v>103</v>
      </c>
      <c r="AG8496" t="s">
        <v>51217</v>
      </c>
      <c r="AH8496" t="s">
        <v>25560</v>
      </c>
      <c r="AI8496" t="s">
        <v>51218</v>
      </c>
    </row>
    <row r="8497" spans="2:35" ht="315">
      <c r="B8497" s="1">
        <v>45019</v>
      </c>
      <c r="C8497" s="4">
        <v>45019.578472222223</v>
      </c>
      <c r="D8497" t="s">
        <v>1351</v>
      </c>
      <c r="E8497" t="s">
        <v>51219</v>
      </c>
      <c r="F8497">
        <v>3</v>
      </c>
      <c r="G8497" t="s">
        <v>284</v>
      </c>
      <c r="H8497" t="s">
        <v>39</v>
      </c>
      <c r="I8497" t="s">
        <v>40</v>
      </c>
      <c r="J8497" s="2" t="s">
        <v>41</v>
      </c>
      <c r="K8497" t="s">
        <v>42</v>
      </c>
      <c r="L8497" t="s">
        <v>135</v>
      </c>
      <c r="Q8497">
        <v>24086</v>
      </c>
      <c r="R8497" t="s">
        <v>119</v>
      </c>
      <c r="S8497" t="s">
        <v>285</v>
      </c>
      <c r="T8497">
        <v>28</v>
      </c>
      <c r="U8497" s="2" t="s">
        <v>51220</v>
      </c>
      <c r="V8497" s="1">
        <v>45007</v>
      </c>
      <c r="W8497" t="s">
        <v>2680</v>
      </c>
      <c r="X8497">
        <v>831878</v>
      </c>
      <c r="Y8497" t="s">
        <v>51221</v>
      </c>
      <c r="Z8497" s="2" t="s">
        <v>42016</v>
      </c>
      <c r="AA8497" s="2" t="s">
        <v>51222</v>
      </c>
      <c r="AB8497" t="s">
        <v>181</v>
      </c>
      <c r="AD8497" t="s">
        <v>22730</v>
      </c>
      <c r="AE8497">
        <v>9754</v>
      </c>
      <c r="AG8497" t="s">
        <v>51223</v>
      </c>
      <c r="AH8497" t="s">
        <v>290</v>
      </c>
      <c r="AI8497" t="s">
        <v>51224</v>
      </c>
    </row>
    <row r="8498" spans="2:35" ht="315">
      <c r="B8498" s="1">
        <v>45019</v>
      </c>
      <c r="C8498" s="4">
        <v>45019.51458333333</v>
      </c>
      <c r="D8498" t="s">
        <v>51225</v>
      </c>
      <c r="E8498" t="s">
        <v>51226</v>
      </c>
      <c r="F8498">
        <v>3</v>
      </c>
      <c r="G8498" t="s">
        <v>284</v>
      </c>
      <c r="H8498" t="s">
        <v>39</v>
      </c>
      <c r="I8498" t="s">
        <v>40</v>
      </c>
      <c r="J8498" s="2" t="s">
        <v>41</v>
      </c>
      <c r="K8498" t="s">
        <v>42</v>
      </c>
      <c r="L8498" t="s">
        <v>135</v>
      </c>
      <c r="Q8498">
        <v>24085</v>
      </c>
      <c r="R8498" t="s">
        <v>119</v>
      </c>
      <c r="S8498" t="s">
        <v>28621</v>
      </c>
      <c r="T8498">
        <v>30</v>
      </c>
      <c r="U8498" s="2" t="s">
        <v>51227</v>
      </c>
      <c r="V8498" s="1">
        <v>45007</v>
      </c>
      <c r="W8498" t="s">
        <v>2680</v>
      </c>
      <c r="X8498">
        <v>831729</v>
      </c>
      <c r="Y8498" t="s">
        <v>51228</v>
      </c>
      <c r="Z8498" s="2" t="s">
        <v>29539</v>
      </c>
      <c r="AA8498" s="2" t="s">
        <v>51229</v>
      </c>
      <c r="AB8498" t="s">
        <v>181</v>
      </c>
      <c r="AD8498" t="s">
        <v>22730</v>
      </c>
      <c r="AE8498">
        <v>9755</v>
      </c>
      <c r="AG8498" t="s">
        <v>51230</v>
      </c>
      <c r="AH8498" t="s">
        <v>51231</v>
      </c>
      <c r="AI8498" t="s">
        <v>51232</v>
      </c>
    </row>
    <row r="8499" spans="2:35" ht="225">
      <c r="B8499" s="1">
        <v>45019</v>
      </c>
      <c r="C8499" s="4">
        <v>45019.477083333331</v>
      </c>
      <c r="D8499" t="s">
        <v>3279</v>
      </c>
      <c r="E8499" t="s">
        <v>51233</v>
      </c>
      <c r="F8499">
        <v>3</v>
      </c>
      <c r="G8499" t="s">
        <v>1722</v>
      </c>
      <c r="H8499" t="s">
        <v>39</v>
      </c>
      <c r="I8499" t="s">
        <v>40</v>
      </c>
      <c r="J8499" s="2" t="s">
        <v>62</v>
      </c>
      <c r="K8499" t="s">
        <v>42</v>
      </c>
      <c r="L8499" t="s">
        <v>63</v>
      </c>
      <c r="Q8499">
        <v>24083</v>
      </c>
      <c r="R8499" t="s">
        <v>119</v>
      </c>
      <c r="S8499" t="s">
        <v>51234</v>
      </c>
      <c r="T8499">
        <v>29</v>
      </c>
      <c r="U8499" s="2" t="s">
        <v>51235</v>
      </c>
      <c r="V8499" s="1">
        <v>44964</v>
      </c>
      <c r="W8499" t="s">
        <v>26915</v>
      </c>
      <c r="X8499">
        <v>831672</v>
      </c>
      <c r="Y8499" t="s">
        <v>51236</v>
      </c>
      <c r="Z8499" t="s">
        <v>34204</v>
      </c>
      <c r="AA8499" s="2" t="s">
        <v>47981</v>
      </c>
      <c r="AB8499" t="s">
        <v>70</v>
      </c>
      <c r="AC8499" t="s">
        <v>51237</v>
      </c>
      <c r="AD8499" t="s">
        <v>31742</v>
      </c>
      <c r="AE8499">
        <v>9594</v>
      </c>
      <c r="AG8499" t="s">
        <v>51238</v>
      </c>
      <c r="AH8499" t="s">
        <v>51239</v>
      </c>
      <c r="AI8499" t="s">
        <v>51240</v>
      </c>
    </row>
    <row r="8500" spans="2:35" ht="270">
      <c r="B8500" s="1">
        <v>45019</v>
      </c>
      <c r="C8500" s="4">
        <v>45016.55</v>
      </c>
      <c r="D8500" t="s">
        <v>36408</v>
      </c>
      <c r="E8500" t="s">
        <v>51241</v>
      </c>
      <c r="F8500">
        <v>3</v>
      </c>
      <c r="G8500" t="s">
        <v>134</v>
      </c>
      <c r="H8500" t="s">
        <v>39</v>
      </c>
      <c r="I8500" t="s">
        <v>40</v>
      </c>
      <c r="J8500" s="2" t="s">
        <v>1592</v>
      </c>
      <c r="K8500" t="s">
        <v>42</v>
      </c>
      <c r="L8500" t="s">
        <v>63</v>
      </c>
      <c r="Q8500">
        <v>24084</v>
      </c>
      <c r="R8500" t="s">
        <v>119</v>
      </c>
      <c r="S8500" t="s">
        <v>26589</v>
      </c>
      <c r="T8500">
        <v>26</v>
      </c>
      <c r="U8500" s="2" t="s">
        <v>50079</v>
      </c>
      <c r="V8500" s="1">
        <v>45007</v>
      </c>
      <c r="W8500" t="s">
        <v>26915</v>
      </c>
      <c r="X8500">
        <v>831877</v>
      </c>
      <c r="Y8500" t="s">
        <v>51242</v>
      </c>
      <c r="Z8500" t="s">
        <v>51243</v>
      </c>
      <c r="AA8500" s="2" t="s">
        <v>51244</v>
      </c>
      <c r="AB8500" t="s">
        <v>70</v>
      </c>
      <c r="AC8500" t="s">
        <v>51245</v>
      </c>
      <c r="AD8500" t="s">
        <v>51246</v>
      </c>
      <c r="AE8500">
        <v>9766</v>
      </c>
      <c r="AG8500" t="s">
        <v>51247</v>
      </c>
      <c r="AH8500" t="s">
        <v>26591</v>
      </c>
      <c r="AI8500" t="s">
        <v>51248</v>
      </c>
    </row>
    <row r="8501" spans="2:35" ht="225">
      <c r="B8501" s="1">
        <v>45019</v>
      </c>
      <c r="C8501" s="4">
        <v>45015.572222222225</v>
      </c>
      <c r="D8501" t="s">
        <v>29785</v>
      </c>
      <c r="E8501" t="s">
        <v>51249</v>
      </c>
      <c r="F8501">
        <v>3</v>
      </c>
      <c r="G8501" t="s">
        <v>1722</v>
      </c>
      <c r="H8501" t="s">
        <v>39</v>
      </c>
      <c r="I8501" t="s">
        <v>40</v>
      </c>
      <c r="J8501" s="2" t="s">
        <v>62</v>
      </c>
      <c r="K8501" t="s">
        <v>42</v>
      </c>
      <c r="L8501" t="s">
        <v>63</v>
      </c>
      <c r="Q8501">
        <v>24080</v>
      </c>
      <c r="R8501" t="s">
        <v>45</v>
      </c>
      <c r="S8501" t="s">
        <v>29787</v>
      </c>
      <c r="T8501">
        <v>25</v>
      </c>
      <c r="U8501" s="2" t="s">
        <v>51250</v>
      </c>
      <c r="V8501" s="1">
        <v>45015</v>
      </c>
      <c r="W8501" t="s">
        <v>26915</v>
      </c>
      <c r="X8501">
        <v>834691</v>
      </c>
      <c r="Y8501" t="s">
        <v>1716</v>
      </c>
      <c r="Z8501" t="s">
        <v>1716</v>
      </c>
      <c r="AA8501" s="2" t="s">
        <v>38119</v>
      </c>
      <c r="AB8501" t="s">
        <v>70</v>
      </c>
      <c r="AC8501" t="s">
        <v>38901</v>
      </c>
      <c r="AD8501" t="s">
        <v>948</v>
      </c>
      <c r="AE8501" t="s">
        <v>1716</v>
      </c>
      <c r="AG8501" t="s">
        <v>51251</v>
      </c>
      <c r="AH8501" t="s">
        <v>29791</v>
      </c>
      <c r="AI8501" t="s">
        <v>51252</v>
      </c>
    </row>
    <row r="8502" spans="2:35" ht="315">
      <c r="B8502" s="1">
        <v>45019</v>
      </c>
      <c r="C8502" s="4">
        <v>45015.656944444447</v>
      </c>
      <c r="D8502" t="s">
        <v>26865</v>
      </c>
      <c r="E8502" t="s">
        <v>51253</v>
      </c>
      <c r="F8502">
        <v>3</v>
      </c>
      <c r="G8502" t="s">
        <v>1722</v>
      </c>
      <c r="H8502" t="s">
        <v>39</v>
      </c>
      <c r="I8502" t="s">
        <v>40</v>
      </c>
      <c r="J8502" s="2" t="s">
        <v>41</v>
      </c>
      <c r="K8502" t="s">
        <v>42</v>
      </c>
      <c r="L8502" t="s">
        <v>63</v>
      </c>
      <c r="Q8502">
        <v>24082</v>
      </c>
      <c r="R8502" t="s">
        <v>119</v>
      </c>
      <c r="S8502" t="s">
        <v>26867</v>
      </c>
      <c r="T8502">
        <v>29</v>
      </c>
      <c r="U8502" s="2" t="s">
        <v>51254</v>
      </c>
      <c r="V8502" s="1">
        <v>45006</v>
      </c>
      <c r="W8502" t="s">
        <v>26915</v>
      </c>
      <c r="X8502">
        <v>831562</v>
      </c>
      <c r="Y8502" t="s">
        <v>1716</v>
      </c>
      <c r="Z8502" t="s">
        <v>1716</v>
      </c>
      <c r="AA8502" s="2" t="s">
        <v>51255</v>
      </c>
      <c r="AB8502" t="s">
        <v>70</v>
      </c>
      <c r="AC8502" t="s">
        <v>1716</v>
      </c>
      <c r="AD8502" t="s">
        <v>51256</v>
      </c>
      <c r="AE8502" t="s">
        <v>51257</v>
      </c>
      <c r="AG8502" t="s">
        <v>51258</v>
      </c>
      <c r="AH8502" t="s">
        <v>36367</v>
      </c>
      <c r="AI8502" t="s">
        <v>51259</v>
      </c>
    </row>
    <row r="8503" spans="2:35" ht="315">
      <c r="B8503" s="1">
        <v>45019</v>
      </c>
      <c r="C8503" s="4">
        <v>45013.569444444445</v>
      </c>
      <c r="D8503" t="s">
        <v>23687</v>
      </c>
      <c r="E8503" t="s">
        <v>27966</v>
      </c>
      <c r="F8503">
        <v>3</v>
      </c>
      <c r="G8503" t="s">
        <v>1722</v>
      </c>
      <c r="H8503" t="s">
        <v>39</v>
      </c>
      <c r="I8503" t="s">
        <v>40</v>
      </c>
      <c r="J8503" s="2" t="s">
        <v>41</v>
      </c>
      <c r="K8503" t="s">
        <v>42</v>
      </c>
      <c r="L8503" t="s">
        <v>63</v>
      </c>
      <c r="Q8503">
        <v>24081</v>
      </c>
      <c r="R8503" t="s">
        <v>119</v>
      </c>
      <c r="S8503" t="s">
        <v>23689</v>
      </c>
      <c r="T8503">
        <v>29</v>
      </c>
      <c r="U8503" s="2" t="s">
        <v>51260</v>
      </c>
      <c r="V8503" s="1">
        <v>45007</v>
      </c>
      <c r="W8503" t="s">
        <v>26915</v>
      </c>
      <c r="X8503">
        <v>831592</v>
      </c>
      <c r="Y8503" t="s">
        <v>1716</v>
      </c>
      <c r="Z8503" t="s">
        <v>1716</v>
      </c>
      <c r="AA8503" s="2" t="s">
        <v>51261</v>
      </c>
      <c r="AB8503" t="s">
        <v>70</v>
      </c>
      <c r="AC8503" t="s">
        <v>1716</v>
      </c>
      <c r="AD8503" t="s">
        <v>51262</v>
      </c>
      <c r="AE8503">
        <v>9767</v>
      </c>
      <c r="AG8503" t="s">
        <v>51263</v>
      </c>
      <c r="AH8503" t="s">
        <v>51264</v>
      </c>
      <c r="AI8503" t="s">
        <v>51265</v>
      </c>
    </row>
    <row r="8504" spans="2:35" ht="285">
      <c r="B8504" s="1">
        <v>45019</v>
      </c>
      <c r="C8504" s="4">
        <v>45019.48333333333</v>
      </c>
      <c r="D8504" t="s">
        <v>1787</v>
      </c>
      <c r="E8504" t="s">
        <v>1788</v>
      </c>
      <c r="F8504">
        <v>8</v>
      </c>
      <c r="G8504" t="s">
        <v>1789</v>
      </c>
      <c r="H8504" t="s">
        <v>11433</v>
      </c>
      <c r="I8504" t="s">
        <v>94</v>
      </c>
      <c r="J8504" t="s">
        <v>79</v>
      </c>
      <c r="K8504" t="s">
        <v>42</v>
      </c>
      <c r="L8504" t="s">
        <v>343</v>
      </c>
      <c r="Q8504">
        <v>24079</v>
      </c>
      <c r="R8504" t="s">
        <v>45</v>
      </c>
      <c r="S8504" t="s">
        <v>1790</v>
      </c>
      <c r="T8504">
        <v>26</v>
      </c>
      <c r="U8504" s="2" t="s">
        <v>51266</v>
      </c>
      <c r="V8504" s="1">
        <v>45019</v>
      </c>
      <c r="W8504" t="s">
        <v>360</v>
      </c>
      <c r="X8504">
        <v>815273</v>
      </c>
      <c r="Y8504" t="s">
        <v>19239</v>
      </c>
      <c r="Z8504" t="s">
        <v>51267</v>
      </c>
      <c r="AA8504" t="e">
        <f ca="1">-module Replacement</f>
        <v>#NAME?</v>
      </c>
      <c r="AB8504" t="s">
        <v>9638</v>
      </c>
      <c r="AC8504" t="s">
        <v>51268</v>
      </c>
      <c r="AD8504" t="s">
        <v>51269</v>
      </c>
      <c r="AE8504" t="s">
        <v>45</v>
      </c>
      <c r="AG8504" t="s">
        <v>51270</v>
      </c>
      <c r="AH8504" t="s">
        <v>1797</v>
      </c>
      <c r="AI8504" t="s">
        <v>51271</v>
      </c>
    </row>
    <row r="8505" spans="2:35" ht="180">
      <c r="B8505" s="1">
        <v>45019</v>
      </c>
      <c r="C8505" s="4">
        <v>45019.393750000003</v>
      </c>
      <c r="D8505" t="s">
        <v>8357</v>
      </c>
      <c r="E8505" t="s">
        <v>48242</v>
      </c>
      <c r="F8505">
        <v>10</v>
      </c>
      <c r="G8505" t="s">
        <v>1395</v>
      </c>
      <c r="H8505" t="s">
        <v>1047</v>
      </c>
      <c r="I8505" t="s">
        <v>40</v>
      </c>
      <c r="J8505" t="s">
        <v>321</v>
      </c>
      <c r="K8505" t="s">
        <v>42</v>
      </c>
      <c r="L8505" t="s">
        <v>43100</v>
      </c>
      <c r="Q8505">
        <v>24078</v>
      </c>
      <c r="R8505" t="s">
        <v>119</v>
      </c>
      <c r="S8505" t="s">
        <v>17682</v>
      </c>
      <c r="T8505">
        <v>25</v>
      </c>
      <c r="U8505" s="2" t="s">
        <v>51272</v>
      </c>
      <c r="V8505" s="1">
        <v>45013</v>
      </c>
      <c r="W8505" t="s">
        <v>43102</v>
      </c>
      <c r="X8505">
        <v>838566</v>
      </c>
      <c r="Y8505" t="s">
        <v>51273</v>
      </c>
      <c r="Z8505" t="s">
        <v>48932</v>
      </c>
      <c r="AA8505" s="2" t="s">
        <v>51274</v>
      </c>
      <c r="AB8505" t="s">
        <v>486</v>
      </c>
      <c r="AD8505" s="2" t="s">
        <v>51275</v>
      </c>
      <c r="AE8505" t="s">
        <v>10783</v>
      </c>
      <c r="AG8505" t="s">
        <v>51276</v>
      </c>
      <c r="AH8505" t="s">
        <v>51277</v>
      </c>
      <c r="AI8505" t="s">
        <v>51278</v>
      </c>
    </row>
    <row r="8506" spans="2:35" ht="270">
      <c r="B8506" s="1">
        <v>45019</v>
      </c>
      <c r="C8506" s="4">
        <v>45015.53125</v>
      </c>
      <c r="D8506" t="s">
        <v>38263</v>
      </c>
      <c r="E8506" t="s">
        <v>51279</v>
      </c>
      <c r="F8506" t="s">
        <v>37</v>
      </c>
      <c r="G8506" t="s">
        <v>189</v>
      </c>
      <c r="H8506" t="s">
        <v>39</v>
      </c>
      <c r="I8506" t="s">
        <v>40</v>
      </c>
      <c r="J8506" s="2" t="s">
        <v>190</v>
      </c>
      <c r="K8506" t="s">
        <v>42</v>
      </c>
      <c r="L8506" t="s">
        <v>1028</v>
      </c>
      <c r="Q8506">
        <v>24076</v>
      </c>
      <c r="R8506" t="s">
        <v>45</v>
      </c>
      <c r="S8506" t="s">
        <v>38265</v>
      </c>
      <c r="T8506">
        <v>28</v>
      </c>
      <c r="U8506" s="2" t="s">
        <v>9488</v>
      </c>
      <c r="W8506" t="s">
        <v>2680</v>
      </c>
      <c r="X8506">
        <v>807581</v>
      </c>
      <c r="Y8506" t="s">
        <v>48064</v>
      </c>
      <c r="Z8506" t="s">
        <v>51280</v>
      </c>
      <c r="AA8506" s="2" t="s">
        <v>51281</v>
      </c>
      <c r="AB8506" t="s">
        <v>50244</v>
      </c>
      <c r="AG8506" t="s">
        <v>51282</v>
      </c>
      <c r="AH8506" t="s">
        <v>38268</v>
      </c>
      <c r="AI8506" t="s">
        <v>51283</v>
      </c>
    </row>
    <row r="8507" spans="2:35" ht="285">
      <c r="B8507" s="1">
        <v>45019</v>
      </c>
      <c r="C8507" s="4">
        <v>45016.429166666669</v>
      </c>
      <c r="D8507" t="s">
        <v>31460</v>
      </c>
      <c r="E8507" t="s">
        <v>51284</v>
      </c>
      <c r="F8507" t="s">
        <v>37</v>
      </c>
      <c r="G8507" t="s">
        <v>748</v>
      </c>
      <c r="H8507" t="s">
        <v>39</v>
      </c>
      <c r="I8507" t="s">
        <v>40</v>
      </c>
      <c r="J8507" s="2" t="s">
        <v>41</v>
      </c>
      <c r="K8507" t="s">
        <v>42</v>
      </c>
      <c r="L8507" t="s">
        <v>1028</v>
      </c>
      <c r="Q8507">
        <v>24077</v>
      </c>
      <c r="R8507" t="s">
        <v>45</v>
      </c>
      <c r="S8507" t="s">
        <v>31462</v>
      </c>
      <c r="T8507">
        <v>23</v>
      </c>
      <c r="U8507" s="2" t="s">
        <v>51285</v>
      </c>
      <c r="W8507" t="s">
        <v>2680</v>
      </c>
      <c r="X8507">
        <v>838893</v>
      </c>
      <c r="Y8507" t="s">
        <v>34753</v>
      </c>
      <c r="Z8507" t="s">
        <v>2129</v>
      </c>
      <c r="AA8507" s="2" t="s">
        <v>51286</v>
      </c>
      <c r="AB8507" t="s">
        <v>3063</v>
      </c>
      <c r="AC8507" t="s">
        <v>51287</v>
      </c>
      <c r="AG8507" t="s">
        <v>51288</v>
      </c>
      <c r="AH8507" t="s">
        <v>51289</v>
      </c>
      <c r="AI8507" t="s">
        <v>51290</v>
      </c>
    </row>
    <row r="8508" spans="2:35" ht="180">
      <c r="B8508" s="1">
        <v>45019</v>
      </c>
      <c r="C8508" s="4">
        <v>45014.396527777775</v>
      </c>
      <c r="D8508" t="s">
        <v>772</v>
      </c>
      <c r="E8508" t="s">
        <v>51291</v>
      </c>
      <c r="F8508" t="s">
        <v>148</v>
      </c>
      <c r="G8508" t="s">
        <v>774</v>
      </c>
      <c r="H8508" t="s">
        <v>39</v>
      </c>
      <c r="I8508" t="s">
        <v>40</v>
      </c>
      <c r="J8508" s="2" t="s">
        <v>41</v>
      </c>
      <c r="K8508" t="s">
        <v>42</v>
      </c>
      <c r="L8508" t="s">
        <v>1028</v>
      </c>
      <c r="Q8508">
        <v>24073</v>
      </c>
      <c r="R8508" t="s">
        <v>119</v>
      </c>
      <c r="S8508" t="s">
        <v>775</v>
      </c>
      <c r="T8508">
        <v>25</v>
      </c>
      <c r="U8508" s="2" t="s">
        <v>51292</v>
      </c>
      <c r="V8508" s="1">
        <v>45012</v>
      </c>
      <c r="W8508" t="s">
        <v>2680</v>
      </c>
      <c r="X8508">
        <v>831913</v>
      </c>
      <c r="Y8508" t="s">
        <v>34753</v>
      </c>
      <c r="Z8508" t="s">
        <v>2129</v>
      </c>
      <c r="AA8508" s="2" t="s">
        <v>49860</v>
      </c>
      <c r="AB8508" t="s">
        <v>3063</v>
      </c>
      <c r="AC8508" t="s">
        <v>51293</v>
      </c>
      <c r="AD8508" t="s">
        <v>31932</v>
      </c>
      <c r="AE8508">
        <v>9812</v>
      </c>
      <c r="AG8508" t="s">
        <v>51294</v>
      </c>
      <c r="AH8508" t="s">
        <v>51295</v>
      </c>
      <c r="AI8508" t="s">
        <v>51296</v>
      </c>
    </row>
    <row r="8509" spans="2:35" ht="210">
      <c r="B8509" s="1">
        <v>45019</v>
      </c>
      <c r="C8509" s="4">
        <v>45013.351388888892</v>
      </c>
      <c r="D8509" t="s">
        <v>27463</v>
      </c>
      <c r="E8509" t="s">
        <v>51297</v>
      </c>
      <c r="F8509" t="s">
        <v>148</v>
      </c>
      <c r="G8509" t="s">
        <v>310</v>
      </c>
      <c r="H8509" t="s">
        <v>39</v>
      </c>
      <c r="I8509" t="s">
        <v>40</v>
      </c>
      <c r="J8509" s="2" t="s">
        <v>1309</v>
      </c>
      <c r="K8509" t="s">
        <v>42</v>
      </c>
      <c r="L8509" t="s">
        <v>1028</v>
      </c>
      <c r="Q8509">
        <v>24075</v>
      </c>
      <c r="R8509" t="s">
        <v>119</v>
      </c>
      <c r="S8509" t="s">
        <v>27465</v>
      </c>
      <c r="T8509">
        <v>28</v>
      </c>
      <c r="U8509" s="2" t="s">
        <v>51298</v>
      </c>
      <c r="V8509" s="1">
        <v>45012</v>
      </c>
      <c r="W8509" t="s">
        <v>2680</v>
      </c>
      <c r="X8509">
        <v>831843</v>
      </c>
      <c r="Y8509" s="2" t="s">
        <v>51299</v>
      </c>
      <c r="Z8509" s="2" t="s">
        <v>31928</v>
      </c>
      <c r="AA8509" s="2" t="s">
        <v>51300</v>
      </c>
      <c r="AB8509" t="s">
        <v>51301</v>
      </c>
      <c r="AC8509" t="s">
        <v>51302</v>
      </c>
      <c r="AD8509" t="s">
        <v>40913</v>
      </c>
      <c r="AE8509">
        <v>9804</v>
      </c>
      <c r="AG8509" t="s">
        <v>51303</v>
      </c>
      <c r="AH8509" t="s">
        <v>51304</v>
      </c>
      <c r="AI8509" t="s">
        <v>51305</v>
      </c>
    </row>
    <row r="8510" spans="2:35" ht="210">
      <c r="B8510" s="1">
        <v>45019</v>
      </c>
      <c r="C8510" s="4">
        <v>45013.419444444444</v>
      </c>
      <c r="D8510" t="s">
        <v>25418</v>
      </c>
      <c r="E8510" t="s">
        <v>51306</v>
      </c>
      <c r="F8510" t="s">
        <v>148</v>
      </c>
      <c r="G8510" t="s">
        <v>310</v>
      </c>
      <c r="H8510" t="s">
        <v>39</v>
      </c>
      <c r="I8510" t="s">
        <v>40</v>
      </c>
      <c r="J8510" s="2" t="s">
        <v>1309</v>
      </c>
      <c r="K8510" t="s">
        <v>42</v>
      </c>
      <c r="L8510" t="s">
        <v>1028</v>
      </c>
      <c r="Q8510">
        <v>24071</v>
      </c>
      <c r="R8510" t="s">
        <v>119</v>
      </c>
      <c r="S8510" t="s">
        <v>40103</v>
      </c>
      <c r="T8510">
        <v>25</v>
      </c>
      <c r="U8510" s="2" t="s">
        <v>51307</v>
      </c>
      <c r="V8510" s="1">
        <v>45012</v>
      </c>
      <c r="W8510" t="s">
        <v>2680</v>
      </c>
      <c r="X8510">
        <v>831684</v>
      </c>
      <c r="Y8510" s="2" t="s">
        <v>51308</v>
      </c>
      <c r="Z8510" s="2" t="s">
        <v>31928</v>
      </c>
      <c r="AA8510" s="2" t="s">
        <v>51309</v>
      </c>
      <c r="AB8510" t="s">
        <v>51301</v>
      </c>
      <c r="AC8510" t="s">
        <v>51310</v>
      </c>
      <c r="AD8510" t="s">
        <v>31932</v>
      </c>
      <c r="AE8510">
        <v>9797</v>
      </c>
      <c r="AG8510" t="s">
        <v>51311</v>
      </c>
      <c r="AH8510" t="s">
        <v>51312</v>
      </c>
      <c r="AI8510" t="s">
        <v>51313</v>
      </c>
    </row>
    <row r="8511" spans="2:35" ht="210">
      <c r="B8511" s="1">
        <v>45019</v>
      </c>
      <c r="C8511" s="4">
        <v>45015.448611111111</v>
      </c>
      <c r="D8511" t="s">
        <v>49044</v>
      </c>
      <c r="E8511" t="s">
        <v>51314</v>
      </c>
      <c r="F8511" t="s">
        <v>37</v>
      </c>
      <c r="G8511" t="s">
        <v>189</v>
      </c>
      <c r="H8511" t="s">
        <v>39</v>
      </c>
      <c r="I8511" t="s">
        <v>40</v>
      </c>
      <c r="J8511" s="2" t="s">
        <v>1309</v>
      </c>
      <c r="K8511" t="s">
        <v>42</v>
      </c>
      <c r="L8511" t="s">
        <v>1028</v>
      </c>
      <c r="Q8511">
        <v>24072</v>
      </c>
      <c r="R8511" t="s">
        <v>45</v>
      </c>
      <c r="S8511" t="s">
        <v>49046</v>
      </c>
      <c r="T8511">
        <v>26</v>
      </c>
      <c r="U8511" s="2" t="s">
        <v>9444</v>
      </c>
      <c r="W8511" t="s">
        <v>2680</v>
      </c>
      <c r="X8511">
        <v>838179</v>
      </c>
      <c r="Y8511" s="2" t="s">
        <v>51315</v>
      </c>
      <c r="Z8511" s="2" t="s">
        <v>31928</v>
      </c>
      <c r="AA8511" s="2" t="s">
        <v>51309</v>
      </c>
      <c r="AB8511" t="s">
        <v>51316</v>
      </c>
      <c r="AC8511" t="s">
        <v>51317</v>
      </c>
      <c r="AG8511" t="s">
        <v>51318</v>
      </c>
      <c r="AH8511" t="s">
        <v>51319</v>
      </c>
      <c r="AI8511" t="s">
        <v>51320</v>
      </c>
    </row>
    <row r="8512" spans="2:35" ht="180">
      <c r="B8512" s="1">
        <v>45019</v>
      </c>
      <c r="C8512" s="4">
        <v>45014.336805555555</v>
      </c>
      <c r="D8512" t="s">
        <v>27811</v>
      </c>
      <c r="E8512" t="s">
        <v>51321</v>
      </c>
      <c r="F8512" t="s">
        <v>148</v>
      </c>
      <c r="G8512" t="s">
        <v>310</v>
      </c>
      <c r="H8512" t="s">
        <v>39</v>
      </c>
      <c r="I8512" t="s">
        <v>40</v>
      </c>
      <c r="J8512" s="2" t="s">
        <v>41</v>
      </c>
      <c r="K8512" t="s">
        <v>42</v>
      </c>
      <c r="L8512" t="s">
        <v>1028</v>
      </c>
      <c r="Q8512">
        <v>24074</v>
      </c>
      <c r="R8512" t="s">
        <v>119</v>
      </c>
      <c r="S8512" t="s">
        <v>27813</v>
      </c>
      <c r="T8512">
        <v>27</v>
      </c>
      <c r="U8512" s="2" t="s">
        <v>5251</v>
      </c>
      <c r="V8512" s="1">
        <v>45012</v>
      </c>
      <c r="W8512" t="s">
        <v>2680</v>
      </c>
      <c r="X8512">
        <v>831694</v>
      </c>
      <c r="Y8512" t="s">
        <v>47142</v>
      </c>
      <c r="Z8512" t="s">
        <v>2129</v>
      </c>
      <c r="AA8512" s="2" t="s">
        <v>51322</v>
      </c>
      <c r="AB8512" t="s">
        <v>51323</v>
      </c>
      <c r="AC8512" t="s">
        <v>51324</v>
      </c>
      <c r="AD8512" t="s">
        <v>31932</v>
      </c>
      <c r="AE8512">
        <v>9793</v>
      </c>
      <c r="AG8512" t="s">
        <v>51325</v>
      </c>
      <c r="AH8512" t="s">
        <v>40438</v>
      </c>
      <c r="AI8512" t="s">
        <v>51326</v>
      </c>
    </row>
    <row r="8513" spans="2:35" ht="180">
      <c r="B8513" s="1">
        <v>45018</v>
      </c>
      <c r="C8513" s="4">
        <v>45015.395138888889</v>
      </c>
      <c r="D8513" t="s">
        <v>7465</v>
      </c>
      <c r="E8513" t="s">
        <v>7466</v>
      </c>
      <c r="F8513">
        <v>8</v>
      </c>
      <c r="G8513" t="s">
        <v>342</v>
      </c>
      <c r="H8513" t="s">
        <v>12698</v>
      </c>
      <c r="I8513" t="s">
        <v>40</v>
      </c>
      <c r="J8513" t="s">
        <v>109</v>
      </c>
      <c r="K8513" t="s">
        <v>42</v>
      </c>
      <c r="L8513" t="s">
        <v>259</v>
      </c>
      <c r="Q8513">
        <v>24070</v>
      </c>
      <c r="R8513" t="s">
        <v>119</v>
      </c>
      <c r="S8513" t="s">
        <v>16053</v>
      </c>
      <c r="T8513">
        <v>28</v>
      </c>
      <c r="U8513" s="2" t="s">
        <v>51327</v>
      </c>
      <c r="V8513" s="1">
        <v>45015</v>
      </c>
      <c r="W8513" t="s">
        <v>84</v>
      </c>
      <c r="X8513">
        <v>838551</v>
      </c>
      <c r="Y8513" t="s">
        <v>1716</v>
      </c>
      <c r="Z8513" t="e">
        <f ca="1">-performed Preventive Maintenance
-performed functionality test
-Generate reports</f>
        <v>#NAME?</v>
      </c>
      <c r="AA8513" t="s">
        <v>3128</v>
      </c>
      <c r="AB8513" t="s">
        <v>486</v>
      </c>
      <c r="AG8513" t="s">
        <v>51328</v>
      </c>
      <c r="AH8513" t="s">
        <v>51329</v>
      </c>
      <c r="AI8513" t="s">
        <v>51330</v>
      </c>
    </row>
    <row r="8514" spans="2:35" ht="180">
      <c r="B8514" s="1">
        <v>45018</v>
      </c>
      <c r="C8514" s="4">
        <v>45016.419444444444</v>
      </c>
      <c r="D8514" t="s">
        <v>20529</v>
      </c>
      <c r="E8514" t="s">
        <v>370</v>
      </c>
      <c r="F8514" t="s">
        <v>148</v>
      </c>
      <c r="G8514" t="s">
        <v>371</v>
      </c>
      <c r="H8514" t="s">
        <v>39</v>
      </c>
      <c r="I8514" t="s">
        <v>40</v>
      </c>
      <c r="J8514" t="s">
        <v>79</v>
      </c>
      <c r="K8514" t="s">
        <v>42</v>
      </c>
      <c r="L8514" t="s">
        <v>175</v>
      </c>
      <c r="Q8514">
        <v>24068</v>
      </c>
      <c r="R8514" t="s">
        <v>119</v>
      </c>
      <c r="S8514" t="s">
        <v>20530</v>
      </c>
      <c r="T8514">
        <v>25</v>
      </c>
      <c r="U8514" s="2" t="s">
        <v>51204</v>
      </c>
      <c r="V8514" s="1">
        <v>45005</v>
      </c>
      <c r="W8514" t="s">
        <v>84</v>
      </c>
      <c r="X8514">
        <v>831906</v>
      </c>
      <c r="Y8514" t="s">
        <v>51205</v>
      </c>
      <c r="Z8514" t="e">
        <f ca="1">- replaced module A3
- checked _xludf.and cleaned cartridge bay, _xludf.filter, plunger rod
- generated reports</f>
        <v>#NAME?</v>
      </c>
      <c r="AA8514" t="s">
        <v>22674</v>
      </c>
      <c r="AB8514" t="s">
        <v>88</v>
      </c>
      <c r="AD8514" s="2" t="s">
        <v>51206</v>
      </c>
      <c r="AE8514">
        <v>9706</v>
      </c>
      <c r="AG8514" t="s">
        <v>51331</v>
      </c>
      <c r="AH8514" t="s">
        <v>28277</v>
      </c>
      <c r="AI8514" t="s">
        <v>51332</v>
      </c>
    </row>
    <row r="8515" spans="2:35" ht="180">
      <c r="B8515" s="1">
        <v>45018</v>
      </c>
      <c r="C8515" s="4">
        <v>45014.445833333331</v>
      </c>
      <c r="D8515" t="s">
        <v>25555</v>
      </c>
      <c r="E8515" t="s">
        <v>24319</v>
      </c>
      <c r="F8515" t="s">
        <v>148</v>
      </c>
      <c r="G8515" t="s">
        <v>310</v>
      </c>
      <c r="H8515" t="s">
        <v>39</v>
      </c>
      <c r="I8515" t="s">
        <v>40</v>
      </c>
      <c r="J8515" s="2" t="s">
        <v>41</v>
      </c>
      <c r="K8515" t="s">
        <v>42</v>
      </c>
      <c r="L8515" t="s">
        <v>175</v>
      </c>
      <c r="Q8515">
        <v>24067</v>
      </c>
      <c r="R8515" t="s">
        <v>45</v>
      </c>
      <c r="S8515" t="s">
        <v>25556</v>
      </c>
      <c r="T8515">
        <v>25</v>
      </c>
      <c r="U8515" s="2" t="s">
        <v>51215</v>
      </c>
      <c r="V8515" s="1">
        <v>45014</v>
      </c>
      <c r="W8515" t="s">
        <v>84</v>
      </c>
      <c r="X8515">
        <v>805067</v>
      </c>
      <c r="Y8515" t="s">
        <v>51216</v>
      </c>
      <c r="Z8515" t="e">
        <f ca="1">- replaced modules A3 _xludf.and A4
- checked _xludf.and cleaned cartridge bay, plunger rod, _xludf.filter
- generated reports</f>
        <v>#NAME?</v>
      </c>
      <c r="AA8515" t="s">
        <v>29267</v>
      </c>
      <c r="AB8515" t="s">
        <v>88</v>
      </c>
      <c r="AD8515" t="s">
        <v>182</v>
      </c>
      <c r="AE8515" t="s">
        <v>103</v>
      </c>
      <c r="AG8515" t="s">
        <v>51333</v>
      </c>
      <c r="AH8515" t="s">
        <v>25560</v>
      </c>
      <c r="AI8515" t="s">
        <v>51334</v>
      </c>
    </row>
    <row r="8516" spans="2:35" ht="180">
      <c r="B8516" s="1">
        <v>45018</v>
      </c>
      <c r="C8516" s="4">
        <v>45016.478472222225</v>
      </c>
      <c r="D8516" t="s">
        <v>51190</v>
      </c>
      <c r="E8516" t="s">
        <v>22764</v>
      </c>
      <c r="F8516" t="s">
        <v>148</v>
      </c>
      <c r="G8516" t="s">
        <v>22765</v>
      </c>
      <c r="H8516" t="s">
        <v>39</v>
      </c>
      <c r="I8516" t="s">
        <v>40</v>
      </c>
      <c r="J8516" s="2" t="s">
        <v>41</v>
      </c>
      <c r="K8516" t="s">
        <v>42</v>
      </c>
      <c r="L8516" t="s">
        <v>175</v>
      </c>
      <c r="Q8516">
        <v>24069</v>
      </c>
      <c r="R8516" t="s">
        <v>45</v>
      </c>
      <c r="S8516" t="s">
        <v>51191</v>
      </c>
      <c r="T8516">
        <v>25</v>
      </c>
      <c r="U8516" s="2" t="s">
        <v>51192</v>
      </c>
      <c r="V8516" s="1">
        <v>45016</v>
      </c>
      <c r="W8516" t="s">
        <v>84</v>
      </c>
      <c r="X8516">
        <v>805009</v>
      </c>
      <c r="Y8516" t="s">
        <v>51193</v>
      </c>
      <c r="Z8516" t="e">
        <f ca="1">- replaced B1
- checked _xludf.and cleaned cartridge bay, plunger rod, _xludf.filter
- generated reports</f>
        <v>#NAME?</v>
      </c>
      <c r="AA8516" t="s">
        <v>8035</v>
      </c>
      <c r="AB8516" t="s">
        <v>88</v>
      </c>
      <c r="AD8516" s="2" t="s">
        <v>51194</v>
      </c>
      <c r="AE8516" t="s">
        <v>51195</v>
      </c>
      <c r="AG8516" t="s">
        <v>51335</v>
      </c>
      <c r="AH8516" t="s">
        <v>51197</v>
      </c>
      <c r="AI8516" t="s">
        <v>51336</v>
      </c>
    </row>
    <row r="8517" spans="2:35" ht="285">
      <c r="B8517" s="1">
        <v>45018</v>
      </c>
      <c r="C8517" s="4">
        <v>45014.598611111112</v>
      </c>
      <c r="D8517" t="s">
        <v>1155</v>
      </c>
      <c r="E8517" t="s">
        <v>8331</v>
      </c>
      <c r="F8517" t="s">
        <v>148</v>
      </c>
      <c r="G8517" t="s">
        <v>230</v>
      </c>
      <c r="H8517" t="s">
        <v>39</v>
      </c>
      <c r="I8517" t="s">
        <v>40</v>
      </c>
      <c r="J8517" s="2" t="s">
        <v>41</v>
      </c>
      <c r="K8517" t="s">
        <v>42</v>
      </c>
      <c r="L8517" t="s">
        <v>175</v>
      </c>
      <c r="Q8517">
        <v>24067</v>
      </c>
      <c r="R8517" t="s">
        <v>45</v>
      </c>
      <c r="S8517" t="s">
        <v>51209</v>
      </c>
      <c r="T8517">
        <v>30</v>
      </c>
      <c r="U8517" s="2" t="s">
        <v>51210</v>
      </c>
      <c r="V8517" s="1">
        <v>45014</v>
      </c>
      <c r="W8517" t="s">
        <v>84</v>
      </c>
      <c r="X8517">
        <v>808649</v>
      </c>
      <c r="Y8517" t="s">
        <v>51211</v>
      </c>
      <c r="Z8517" t="e">
        <f ca="1">- replaced B1
- checked _xludf.and cleaned cartridge bay, plunger rod, _xludf.filter
- generated reports</f>
        <v>#NAME?</v>
      </c>
      <c r="AA8517" t="s">
        <v>179</v>
      </c>
      <c r="AB8517" t="s">
        <v>88</v>
      </c>
      <c r="AD8517" s="2" t="s">
        <v>51212</v>
      </c>
      <c r="AE8517" t="s">
        <v>103</v>
      </c>
      <c r="AG8517" t="s">
        <v>51337</v>
      </c>
      <c r="AH8517" t="s">
        <v>32794</v>
      </c>
      <c r="AI8517" t="s">
        <v>51338</v>
      </c>
    </row>
    <row r="8518" spans="2:35" ht="285">
      <c r="B8518" s="1">
        <v>45018</v>
      </c>
      <c r="C8518" s="4">
        <v>45014.495138888888</v>
      </c>
      <c r="D8518" t="s">
        <v>228</v>
      </c>
      <c r="E8518" t="s">
        <v>9436</v>
      </c>
      <c r="F8518" t="s">
        <v>148</v>
      </c>
      <c r="G8518" t="s">
        <v>230</v>
      </c>
      <c r="H8518" t="s">
        <v>39</v>
      </c>
      <c r="I8518" t="s">
        <v>40</v>
      </c>
      <c r="J8518" t="s">
        <v>79</v>
      </c>
      <c r="K8518" t="s">
        <v>42</v>
      </c>
      <c r="L8518" t="s">
        <v>175</v>
      </c>
      <c r="Q8518">
        <v>24067</v>
      </c>
      <c r="R8518" t="s">
        <v>45</v>
      </c>
      <c r="S8518" t="s">
        <v>23986</v>
      </c>
      <c r="T8518">
        <v>25</v>
      </c>
      <c r="U8518" s="2" t="s">
        <v>51199</v>
      </c>
      <c r="V8518" s="1">
        <v>45014</v>
      </c>
      <c r="W8518" t="s">
        <v>84</v>
      </c>
      <c r="X8518">
        <v>805062</v>
      </c>
      <c r="Y8518" t="s">
        <v>51200</v>
      </c>
      <c r="Z8518" t="e">
        <f ca="1">- replaced module A1
- checked _xludf.and cleaned cartridge bay, plunger rod, _xludf.filter
- generated reports</f>
        <v>#NAME?</v>
      </c>
      <c r="AA8518" t="s">
        <v>41183</v>
      </c>
      <c r="AB8518" t="s">
        <v>88</v>
      </c>
      <c r="AD8518" s="2" t="s">
        <v>51201</v>
      </c>
      <c r="AE8518" t="s">
        <v>103</v>
      </c>
      <c r="AG8518" t="s">
        <v>51339</v>
      </c>
      <c r="AH8518" t="s">
        <v>33059</v>
      </c>
      <c r="AI8518" t="s">
        <v>51340</v>
      </c>
    </row>
    <row r="8519" spans="2:35" ht="240">
      <c r="B8519" s="1">
        <v>45017</v>
      </c>
      <c r="C8519" s="4">
        <v>45016.578472222223</v>
      </c>
      <c r="D8519" t="s">
        <v>5783</v>
      </c>
      <c r="E8519" t="s">
        <v>51341</v>
      </c>
      <c r="F8519">
        <v>12</v>
      </c>
      <c r="G8519" t="s">
        <v>5785</v>
      </c>
      <c r="H8519" t="s">
        <v>202</v>
      </c>
      <c r="I8519" t="s">
        <v>40</v>
      </c>
      <c r="J8519" s="2" t="s">
        <v>760</v>
      </c>
      <c r="K8519" t="s">
        <v>42</v>
      </c>
      <c r="L8519" t="s">
        <v>204</v>
      </c>
      <c r="Q8519">
        <v>24066</v>
      </c>
      <c r="R8519" t="s">
        <v>119</v>
      </c>
      <c r="S8519" t="s">
        <v>5787</v>
      </c>
      <c r="T8519">
        <v>25.8</v>
      </c>
      <c r="W8519" t="s">
        <v>51342</v>
      </c>
      <c r="X8519">
        <v>838546</v>
      </c>
      <c r="Y8519" t="s">
        <v>51343</v>
      </c>
      <c r="Z8519" s="2" t="s">
        <v>51344</v>
      </c>
      <c r="AA8519" t="s">
        <v>51345</v>
      </c>
      <c r="AB8519" t="s">
        <v>51346</v>
      </c>
      <c r="AC8519" t="s">
        <v>51347</v>
      </c>
      <c r="AG8519" t="s">
        <v>51348</v>
      </c>
      <c r="AH8519" t="s">
        <v>5791</v>
      </c>
      <c r="AI8519" t="s">
        <v>51349</v>
      </c>
    </row>
    <row r="8520" spans="2:35" ht="240">
      <c r="B8520" s="1">
        <v>45017</v>
      </c>
      <c r="C8520" s="4">
        <v>45016.578472222223</v>
      </c>
      <c r="D8520" t="s">
        <v>5783</v>
      </c>
      <c r="E8520" t="s">
        <v>51341</v>
      </c>
      <c r="F8520">
        <v>12</v>
      </c>
      <c r="G8520" t="s">
        <v>5785</v>
      </c>
      <c r="H8520" t="s">
        <v>202</v>
      </c>
      <c r="I8520" t="s">
        <v>40</v>
      </c>
      <c r="J8520" s="2" t="s">
        <v>760</v>
      </c>
      <c r="K8520" t="s">
        <v>42</v>
      </c>
      <c r="L8520" t="s">
        <v>204</v>
      </c>
      <c r="Q8520">
        <v>24065</v>
      </c>
      <c r="R8520" t="s">
        <v>119</v>
      </c>
      <c r="S8520" t="s">
        <v>5787</v>
      </c>
      <c r="T8520">
        <v>25.8</v>
      </c>
      <c r="W8520" t="s">
        <v>51342</v>
      </c>
      <c r="X8520">
        <v>838546</v>
      </c>
      <c r="Y8520" t="s">
        <v>51343</v>
      </c>
      <c r="Z8520" s="2" t="s">
        <v>51344</v>
      </c>
      <c r="AA8520" t="s">
        <v>51345</v>
      </c>
      <c r="AB8520" t="s">
        <v>51346</v>
      </c>
      <c r="AC8520" t="s">
        <v>51347</v>
      </c>
      <c r="AG8520" t="s">
        <v>51350</v>
      </c>
      <c r="AH8520" t="s">
        <v>5791</v>
      </c>
      <c r="AI8520" t="s">
        <v>51351</v>
      </c>
    </row>
    <row r="8521" spans="2:35" ht="409.5">
      <c r="B8521" s="1">
        <v>45016</v>
      </c>
      <c r="C8521" s="4">
        <v>45016.632638888892</v>
      </c>
      <c r="D8521" t="s">
        <v>728</v>
      </c>
      <c r="E8521" t="s">
        <v>51352</v>
      </c>
      <c r="F8521">
        <v>3</v>
      </c>
      <c r="G8521" t="s">
        <v>730</v>
      </c>
      <c r="H8521" t="s">
        <v>39</v>
      </c>
      <c r="I8521" t="s">
        <v>40</v>
      </c>
      <c r="J8521" s="2" t="s">
        <v>1157</v>
      </c>
      <c r="K8521" t="s">
        <v>42</v>
      </c>
      <c r="L8521" t="s">
        <v>135</v>
      </c>
      <c r="Q8521">
        <v>24064</v>
      </c>
      <c r="R8521" t="s">
        <v>119</v>
      </c>
      <c r="S8521" t="s">
        <v>731</v>
      </c>
      <c r="T8521">
        <v>28</v>
      </c>
      <c r="U8521" s="2" t="s">
        <v>51353</v>
      </c>
      <c r="W8521" t="s">
        <v>2680</v>
      </c>
      <c r="X8521">
        <v>831721</v>
      </c>
      <c r="Y8521" s="2" t="s">
        <v>51354</v>
      </c>
      <c r="Z8521" s="2" t="s">
        <v>51355</v>
      </c>
      <c r="AA8521" s="2" t="s">
        <v>51356</v>
      </c>
      <c r="AB8521" t="s">
        <v>181</v>
      </c>
      <c r="AC8521" t="s">
        <v>51357</v>
      </c>
      <c r="AG8521" t="s">
        <v>51358</v>
      </c>
      <c r="AH8521" t="s">
        <v>735</v>
      </c>
      <c r="AI8521" t="s">
        <v>51359</v>
      </c>
    </row>
    <row r="8522" spans="2:35">
      <c r="B8522" s="1">
        <v>45016</v>
      </c>
      <c r="C8522" s="4">
        <v>45016.474305555559</v>
      </c>
      <c r="D8522" t="s">
        <v>1420</v>
      </c>
      <c r="E8522" t="s">
        <v>1456</v>
      </c>
      <c r="F8522" t="s">
        <v>511</v>
      </c>
      <c r="G8522" t="s">
        <v>512</v>
      </c>
      <c r="H8522" t="s">
        <v>39</v>
      </c>
      <c r="I8522" t="s">
        <v>40</v>
      </c>
      <c r="J8522" t="s">
        <v>51360</v>
      </c>
      <c r="K8522" t="s">
        <v>42</v>
      </c>
      <c r="L8522" t="s">
        <v>80</v>
      </c>
      <c r="Q8522">
        <v>24063</v>
      </c>
      <c r="R8522" t="s">
        <v>45</v>
      </c>
      <c r="S8522" t="s">
        <v>1423</v>
      </c>
      <c r="T8522">
        <v>30</v>
      </c>
      <c r="V8522" s="1">
        <v>45016</v>
      </c>
      <c r="W8522" t="s">
        <v>502</v>
      </c>
      <c r="X8522">
        <v>807621</v>
      </c>
      <c r="Y8522" t="s">
        <v>776</v>
      </c>
      <c r="Z8522" t="s">
        <v>51361</v>
      </c>
      <c r="AA8522" t="s">
        <v>51362</v>
      </c>
      <c r="AB8522" t="s">
        <v>32359</v>
      </c>
      <c r="AD8522" t="s">
        <v>51363</v>
      </c>
      <c r="AE8522" t="s">
        <v>54</v>
      </c>
      <c r="AG8522" t="s">
        <v>51364</v>
      </c>
      <c r="AH8522" t="s">
        <v>20477</v>
      </c>
      <c r="AI8522" t="s">
        <v>51365</v>
      </c>
    </row>
    <row r="8523" spans="2:35" ht="180">
      <c r="B8523" s="1">
        <v>45016</v>
      </c>
      <c r="C8523" s="4">
        <v>45016.463888888888</v>
      </c>
      <c r="D8523" t="s">
        <v>14503</v>
      </c>
      <c r="E8523" t="s">
        <v>51366</v>
      </c>
      <c r="F8523">
        <v>13</v>
      </c>
      <c r="G8523" t="s">
        <v>4484</v>
      </c>
      <c r="H8523" t="s">
        <v>2125</v>
      </c>
      <c r="I8523" t="s">
        <v>40</v>
      </c>
      <c r="J8523" t="s">
        <v>996</v>
      </c>
      <c r="K8523" t="s">
        <v>42</v>
      </c>
      <c r="L8523" t="s">
        <v>933</v>
      </c>
      <c r="Q8523">
        <v>24062</v>
      </c>
      <c r="R8523" t="s">
        <v>119</v>
      </c>
      <c r="S8523" t="s">
        <v>14505</v>
      </c>
      <c r="T8523">
        <v>26.5</v>
      </c>
      <c r="U8523" s="2" t="s">
        <v>51367</v>
      </c>
      <c r="W8523" t="s">
        <v>3662</v>
      </c>
      <c r="X8523">
        <v>838550</v>
      </c>
      <c r="Y8523" t="s">
        <v>51368</v>
      </c>
      <c r="Z8523" t="s">
        <v>301</v>
      </c>
      <c r="AA8523" t="s">
        <v>1560</v>
      </c>
      <c r="AB8523" t="s">
        <v>22206</v>
      </c>
      <c r="AG8523" t="s">
        <v>51369</v>
      </c>
      <c r="AH8523" t="s">
        <v>14508</v>
      </c>
      <c r="AI8523" t="s">
        <v>51370</v>
      </c>
    </row>
    <row r="8524" spans="2:35" ht="255">
      <c r="B8524" s="1">
        <v>45016</v>
      </c>
      <c r="C8524" s="4">
        <v>45016.440972222219</v>
      </c>
      <c r="D8524" t="s">
        <v>1484</v>
      </c>
      <c r="E8524" t="s">
        <v>47249</v>
      </c>
      <c r="F8524">
        <v>12</v>
      </c>
      <c r="G8524" t="s">
        <v>978</v>
      </c>
      <c r="H8524" t="s">
        <v>39</v>
      </c>
      <c r="I8524" t="s">
        <v>94</v>
      </c>
      <c r="J8524" s="2" t="s">
        <v>41</v>
      </c>
      <c r="K8524" t="s">
        <v>42</v>
      </c>
      <c r="L8524" t="s">
        <v>296</v>
      </c>
      <c r="Q8524">
        <v>24061</v>
      </c>
      <c r="R8524" t="s">
        <v>45</v>
      </c>
      <c r="S8524" t="s">
        <v>1486</v>
      </c>
      <c r="T8524">
        <v>26</v>
      </c>
      <c r="U8524" s="2" t="s">
        <v>51371</v>
      </c>
      <c r="V8524" s="1">
        <v>45016</v>
      </c>
      <c r="W8524" t="s">
        <v>23049</v>
      </c>
      <c r="X8524">
        <v>815432</v>
      </c>
      <c r="Y8524" t="s">
        <v>51372</v>
      </c>
      <c r="Z8524" s="2" t="s">
        <v>51373</v>
      </c>
      <c r="AA8524" s="2" t="s">
        <v>51373</v>
      </c>
      <c r="AB8524" t="s">
        <v>972</v>
      </c>
      <c r="AD8524" t="s">
        <v>22232</v>
      </c>
      <c r="AE8524">
        <v>614553</v>
      </c>
      <c r="AG8524" t="s">
        <v>51374</v>
      </c>
      <c r="AH8524" t="s">
        <v>51375</v>
      </c>
      <c r="AI8524" t="s">
        <v>51376</v>
      </c>
    </row>
    <row r="8525" spans="2:35" ht="285">
      <c r="B8525" s="1">
        <v>45016</v>
      </c>
      <c r="C8525" s="4">
        <v>45016.4</v>
      </c>
      <c r="D8525" t="s">
        <v>51377</v>
      </c>
      <c r="E8525" t="s">
        <v>51378</v>
      </c>
      <c r="F8525" t="s">
        <v>148</v>
      </c>
      <c r="G8525" t="s">
        <v>78</v>
      </c>
      <c r="H8525" t="s">
        <v>39</v>
      </c>
      <c r="I8525" t="s">
        <v>40</v>
      </c>
      <c r="J8525" s="2" t="s">
        <v>41</v>
      </c>
      <c r="K8525" t="s">
        <v>42</v>
      </c>
      <c r="L8525" t="s">
        <v>1943</v>
      </c>
      <c r="Q8525">
        <v>24060</v>
      </c>
      <c r="R8525" t="s">
        <v>119</v>
      </c>
      <c r="S8525" t="s">
        <v>28030</v>
      </c>
      <c r="T8525">
        <v>28</v>
      </c>
      <c r="U8525" s="2" t="s">
        <v>51379</v>
      </c>
      <c r="V8525" s="1">
        <v>45012</v>
      </c>
      <c r="W8525" t="s">
        <v>84</v>
      </c>
      <c r="X8525">
        <v>821189</v>
      </c>
      <c r="Y8525" s="2" t="s">
        <v>51380</v>
      </c>
      <c r="Z8525" s="2" t="s">
        <v>51381</v>
      </c>
      <c r="AA8525" t="s">
        <v>22330</v>
      </c>
      <c r="AB8525" t="s">
        <v>88</v>
      </c>
      <c r="AD8525" t="s">
        <v>51382</v>
      </c>
      <c r="AE8525" t="s">
        <v>51383</v>
      </c>
      <c r="AG8525" t="s">
        <v>51384</v>
      </c>
      <c r="AH8525" t="s">
        <v>51385</v>
      </c>
      <c r="AI8525" t="s">
        <v>51386</v>
      </c>
    </row>
    <row r="8526" spans="2:35" ht="255">
      <c r="B8526" s="1">
        <v>45016</v>
      </c>
      <c r="C8526" s="4">
        <v>45016.356944444444</v>
      </c>
      <c r="D8526" t="s">
        <v>41830</v>
      </c>
      <c r="E8526" t="s">
        <v>51387</v>
      </c>
      <c r="F8526" t="s">
        <v>511</v>
      </c>
      <c r="G8526" t="s">
        <v>512</v>
      </c>
      <c r="H8526" t="s">
        <v>39</v>
      </c>
      <c r="I8526" t="s">
        <v>40</v>
      </c>
      <c r="J8526" s="2" t="s">
        <v>41</v>
      </c>
      <c r="K8526" t="s">
        <v>42</v>
      </c>
      <c r="L8526" t="s">
        <v>80</v>
      </c>
      <c r="Q8526">
        <v>24059</v>
      </c>
      <c r="R8526" t="s">
        <v>45</v>
      </c>
      <c r="S8526" t="s">
        <v>29628</v>
      </c>
      <c r="T8526">
        <v>23</v>
      </c>
      <c r="U8526" s="2" t="s">
        <v>51388</v>
      </c>
      <c r="V8526" s="1">
        <v>45016</v>
      </c>
      <c r="W8526" t="s">
        <v>502</v>
      </c>
      <c r="X8526">
        <v>805212</v>
      </c>
      <c r="Y8526" s="2" t="s">
        <v>51389</v>
      </c>
      <c r="Z8526" t="s">
        <v>51390</v>
      </c>
      <c r="AA8526" t="s">
        <v>51391</v>
      </c>
      <c r="AB8526" t="s">
        <v>32359</v>
      </c>
      <c r="AD8526" t="s">
        <v>51392</v>
      </c>
      <c r="AE8526" t="s">
        <v>103</v>
      </c>
      <c r="AG8526" t="s">
        <v>51393</v>
      </c>
      <c r="AH8526" t="s">
        <v>29632</v>
      </c>
      <c r="AI8526" t="s">
        <v>51394</v>
      </c>
    </row>
    <row r="8527" spans="2:35" ht="150">
      <c r="B8527" s="1">
        <v>45016</v>
      </c>
      <c r="C8527" s="4">
        <v>45015.556944444441</v>
      </c>
      <c r="D8527" t="s">
        <v>23635</v>
      </c>
      <c r="E8527" t="s">
        <v>51395</v>
      </c>
      <c r="F8527" t="s">
        <v>148</v>
      </c>
      <c r="G8527" t="s">
        <v>310</v>
      </c>
      <c r="H8527" t="s">
        <v>39</v>
      </c>
      <c r="I8527" t="s">
        <v>40</v>
      </c>
      <c r="J8527" s="2" t="s">
        <v>41</v>
      </c>
      <c r="K8527" t="s">
        <v>42</v>
      </c>
      <c r="L8527" t="s">
        <v>1943</v>
      </c>
      <c r="Q8527">
        <v>24057</v>
      </c>
      <c r="R8527" t="s">
        <v>119</v>
      </c>
      <c r="S8527" t="s">
        <v>47898</v>
      </c>
      <c r="T8527">
        <v>25</v>
      </c>
      <c r="V8527" s="1">
        <v>45012</v>
      </c>
      <c r="W8527" t="s">
        <v>84</v>
      </c>
      <c r="X8527">
        <v>831620</v>
      </c>
      <c r="Y8527" s="2" t="s">
        <v>49213</v>
      </c>
      <c r="Z8527" s="2" t="s">
        <v>51396</v>
      </c>
      <c r="AA8527" t="s">
        <v>22330</v>
      </c>
      <c r="AB8527" t="s">
        <v>88</v>
      </c>
      <c r="AD8527" t="s">
        <v>51397</v>
      </c>
      <c r="AE8527" t="s">
        <v>51398</v>
      </c>
      <c r="AG8527" t="s">
        <v>51399</v>
      </c>
      <c r="AH8527" t="s">
        <v>51400</v>
      </c>
      <c r="AI8527" t="s">
        <v>51401</v>
      </c>
    </row>
    <row r="8528" spans="2:35" ht="165">
      <c r="B8528" s="1">
        <v>45016</v>
      </c>
      <c r="C8528" s="4">
        <v>45015.578472222223</v>
      </c>
      <c r="D8528" t="s">
        <v>3719</v>
      </c>
      <c r="E8528" t="s">
        <v>51395</v>
      </c>
      <c r="F8528" t="s">
        <v>148</v>
      </c>
      <c r="G8528" t="s">
        <v>310</v>
      </c>
      <c r="H8528" t="s">
        <v>39</v>
      </c>
      <c r="I8528" t="s">
        <v>40</v>
      </c>
      <c r="J8528" s="2" t="s">
        <v>41</v>
      </c>
      <c r="K8528" t="s">
        <v>42</v>
      </c>
      <c r="L8528" t="s">
        <v>1943</v>
      </c>
      <c r="Q8528">
        <v>24058</v>
      </c>
      <c r="R8528" t="s">
        <v>119</v>
      </c>
      <c r="S8528" t="s">
        <v>3721</v>
      </c>
      <c r="T8528">
        <v>28</v>
      </c>
      <c r="V8528" s="1">
        <v>45012</v>
      </c>
      <c r="W8528" t="s">
        <v>84</v>
      </c>
      <c r="X8528">
        <v>831644</v>
      </c>
      <c r="Y8528" s="2" t="s">
        <v>33800</v>
      </c>
      <c r="Z8528" s="2" t="s">
        <v>45248</v>
      </c>
      <c r="AA8528" t="s">
        <v>22330</v>
      </c>
      <c r="AB8528" t="s">
        <v>88</v>
      </c>
      <c r="AD8528" t="s">
        <v>51402</v>
      </c>
      <c r="AE8528" t="s">
        <v>51403</v>
      </c>
      <c r="AG8528" t="s">
        <v>51404</v>
      </c>
      <c r="AH8528" t="s">
        <v>51405</v>
      </c>
      <c r="AI8528" t="s">
        <v>51406</v>
      </c>
    </row>
    <row r="8529" spans="2:35" ht="75">
      <c r="B8529" s="1">
        <v>45015</v>
      </c>
      <c r="C8529" s="4">
        <v>45015.522916666669</v>
      </c>
      <c r="D8529" t="s">
        <v>8539</v>
      </c>
      <c r="E8529" t="s">
        <v>51407</v>
      </c>
      <c r="F8529">
        <v>9</v>
      </c>
      <c r="G8529" t="s">
        <v>2197</v>
      </c>
      <c r="H8529" t="s">
        <v>39</v>
      </c>
      <c r="I8529" t="s">
        <v>40</v>
      </c>
      <c r="J8529" s="2" t="s">
        <v>1808</v>
      </c>
      <c r="K8529" t="s">
        <v>42</v>
      </c>
      <c r="L8529" t="s">
        <v>1257</v>
      </c>
      <c r="Q8529">
        <v>24055</v>
      </c>
      <c r="R8529" t="s">
        <v>45</v>
      </c>
      <c r="S8529" t="s">
        <v>8542</v>
      </c>
      <c r="T8529">
        <v>25</v>
      </c>
      <c r="U8529" s="2" t="s">
        <v>29810</v>
      </c>
      <c r="V8529" s="1">
        <v>45015</v>
      </c>
      <c r="W8529" t="s">
        <v>2384</v>
      </c>
      <c r="X8529">
        <v>838533</v>
      </c>
      <c r="Y8529" t="s">
        <v>51408</v>
      </c>
      <c r="Z8529" t="s">
        <v>47639</v>
      </c>
      <c r="AA8529" t="s">
        <v>51409</v>
      </c>
      <c r="AB8529" t="s">
        <v>51410</v>
      </c>
      <c r="AC8529" t="s">
        <v>301</v>
      </c>
      <c r="AD8529" t="s">
        <v>54</v>
      </c>
      <c r="AE8529" t="s">
        <v>54</v>
      </c>
      <c r="AG8529" t="s">
        <v>51411</v>
      </c>
      <c r="AH8529" t="s">
        <v>51412</v>
      </c>
      <c r="AI8529" t="s">
        <v>51413</v>
      </c>
    </row>
    <row r="8530" spans="2:35" ht="210">
      <c r="B8530" s="1">
        <v>45015</v>
      </c>
      <c r="C8530" s="4">
        <v>45015.638888888891</v>
      </c>
      <c r="D8530" t="s">
        <v>51414</v>
      </c>
      <c r="E8530" t="s">
        <v>51415</v>
      </c>
      <c r="F8530">
        <v>9</v>
      </c>
      <c r="G8530" t="s">
        <v>2197</v>
      </c>
      <c r="H8530" t="s">
        <v>39</v>
      </c>
      <c r="I8530" t="s">
        <v>40</v>
      </c>
      <c r="J8530" s="2" t="s">
        <v>190</v>
      </c>
      <c r="K8530" t="s">
        <v>42</v>
      </c>
      <c r="L8530" t="s">
        <v>1257</v>
      </c>
      <c r="Q8530">
        <v>24056</v>
      </c>
      <c r="R8530" t="s">
        <v>119</v>
      </c>
      <c r="S8530" t="s">
        <v>2224</v>
      </c>
      <c r="T8530">
        <v>28</v>
      </c>
      <c r="U8530" s="2" t="s">
        <v>51416</v>
      </c>
      <c r="V8530" s="1">
        <v>45015</v>
      </c>
      <c r="W8530" t="s">
        <v>2384</v>
      </c>
      <c r="X8530">
        <v>838204</v>
      </c>
      <c r="Y8530" t="s">
        <v>38529</v>
      </c>
      <c r="Z8530" t="s">
        <v>51417</v>
      </c>
      <c r="AA8530" t="s">
        <v>51418</v>
      </c>
      <c r="AB8530" t="s">
        <v>51419</v>
      </c>
      <c r="AC8530" t="s">
        <v>301</v>
      </c>
      <c r="AD8530" t="s">
        <v>54</v>
      </c>
      <c r="AE8530" t="s">
        <v>54</v>
      </c>
      <c r="AG8530" t="s">
        <v>51420</v>
      </c>
      <c r="AH8530" t="s">
        <v>2231</v>
      </c>
      <c r="AI8530" t="s">
        <v>51421</v>
      </c>
    </row>
    <row r="8531" spans="2:35" ht="315">
      <c r="B8531" s="1">
        <v>45015</v>
      </c>
      <c r="C8531" s="4">
        <v>45015.588888888888</v>
      </c>
      <c r="D8531" t="s">
        <v>27250</v>
      </c>
      <c r="E8531" t="s">
        <v>27251</v>
      </c>
      <c r="F8531">
        <v>3</v>
      </c>
      <c r="G8531" t="s">
        <v>134</v>
      </c>
      <c r="H8531" t="s">
        <v>39</v>
      </c>
      <c r="I8531" t="s">
        <v>40</v>
      </c>
      <c r="J8531" s="2" t="s">
        <v>41</v>
      </c>
      <c r="K8531" t="s">
        <v>42</v>
      </c>
      <c r="L8531" t="s">
        <v>135</v>
      </c>
      <c r="Q8531">
        <v>24054</v>
      </c>
      <c r="R8531" t="s">
        <v>119</v>
      </c>
      <c r="S8531" t="s">
        <v>27252</v>
      </c>
      <c r="T8531">
        <v>25</v>
      </c>
      <c r="U8531" s="2" t="s">
        <v>51422</v>
      </c>
      <c r="V8531" s="1">
        <v>45007</v>
      </c>
      <c r="W8531" t="s">
        <v>2680</v>
      </c>
      <c r="X8531">
        <v>831893</v>
      </c>
      <c r="Y8531" t="s">
        <v>46312</v>
      </c>
      <c r="Z8531" s="2" t="s">
        <v>42016</v>
      </c>
      <c r="AA8531" s="2" t="s">
        <v>47997</v>
      </c>
      <c r="AB8531" t="s">
        <v>181</v>
      </c>
      <c r="AD8531" t="s">
        <v>51423</v>
      </c>
      <c r="AE8531" t="s">
        <v>51424</v>
      </c>
      <c r="AG8531" t="s">
        <v>51425</v>
      </c>
      <c r="AH8531" t="s">
        <v>51426</v>
      </c>
      <c r="AI8531" t="s">
        <v>51427</v>
      </c>
    </row>
    <row r="8532" spans="2:35" ht="315">
      <c r="B8532" s="1">
        <v>45015</v>
      </c>
      <c r="C8532" s="4">
        <v>45015.588888888888</v>
      </c>
      <c r="D8532" t="s">
        <v>27250</v>
      </c>
      <c r="E8532" t="s">
        <v>27251</v>
      </c>
      <c r="F8532">
        <v>3</v>
      </c>
      <c r="G8532" t="s">
        <v>134</v>
      </c>
      <c r="H8532" t="s">
        <v>39</v>
      </c>
      <c r="I8532" t="s">
        <v>40</v>
      </c>
      <c r="J8532" s="2" t="s">
        <v>41</v>
      </c>
      <c r="K8532" t="s">
        <v>42</v>
      </c>
      <c r="L8532" t="s">
        <v>135</v>
      </c>
      <c r="Q8532">
        <v>24053</v>
      </c>
      <c r="R8532" t="s">
        <v>119</v>
      </c>
      <c r="S8532" t="s">
        <v>27252</v>
      </c>
      <c r="T8532">
        <v>25</v>
      </c>
      <c r="U8532" s="2" t="s">
        <v>51422</v>
      </c>
      <c r="V8532" s="1">
        <v>45007</v>
      </c>
      <c r="W8532" t="s">
        <v>2680</v>
      </c>
      <c r="X8532">
        <v>831893</v>
      </c>
      <c r="Y8532" t="s">
        <v>46312</v>
      </c>
      <c r="Z8532" s="2" t="s">
        <v>42016</v>
      </c>
      <c r="AA8532" s="2" t="s">
        <v>47997</v>
      </c>
      <c r="AB8532" t="s">
        <v>181</v>
      </c>
      <c r="AD8532" t="s">
        <v>51423</v>
      </c>
      <c r="AE8532" t="s">
        <v>51424</v>
      </c>
      <c r="AG8532" t="s">
        <v>51428</v>
      </c>
      <c r="AH8532" t="s">
        <v>51426</v>
      </c>
      <c r="AI8532" t="s">
        <v>51429</v>
      </c>
    </row>
    <row r="8533" spans="2:35" ht="270">
      <c r="B8533" s="1">
        <v>45015</v>
      </c>
      <c r="C8533" s="4">
        <v>45015.588194444441</v>
      </c>
      <c r="D8533" t="s">
        <v>5546</v>
      </c>
      <c r="E8533" t="s">
        <v>1555</v>
      </c>
      <c r="F8533">
        <v>7</v>
      </c>
      <c r="G8533" t="s">
        <v>432</v>
      </c>
      <c r="H8533" t="s">
        <v>39</v>
      </c>
      <c r="I8533" t="s">
        <v>40</v>
      </c>
      <c r="J8533" t="s">
        <v>109</v>
      </c>
      <c r="K8533" t="s">
        <v>42</v>
      </c>
      <c r="L8533" t="s">
        <v>433</v>
      </c>
      <c r="Q8533">
        <v>24052</v>
      </c>
      <c r="R8533" t="s">
        <v>119</v>
      </c>
      <c r="S8533" t="s">
        <v>12211</v>
      </c>
      <c r="T8533">
        <v>29</v>
      </c>
      <c r="U8533" s="2" t="s">
        <v>51430</v>
      </c>
      <c r="W8533" t="s">
        <v>6776</v>
      </c>
      <c r="X8533">
        <v>838527</v>
      </c>
      <c r="Y8533" t="s">
        <v>51431</v>
      </c>
      <c r="Z8533" t="s">
        <v>51432</v>
      </c>
      <c r="AA8533" t="s">
        <v>14513</v>
      </c>
      <c r="AB8533" t="s">
        <v>51433</v>
      </c>
      <c r="AG8533" t="s">
        <v>51434</v>
      </c>
      <c r="AH8533" t="s">
        <v>12214</v>
      </c>
      <c r="AI8533" t="s">
        <v>51435</v>
      </c>
    </row>
    <row r="8534" spans="2:35" ht="285">
      <c r="B8534" s="1">
        <v>45015</v>
      </c>
      <c r="C8534" s="4">
        <v>45015.587500000001</v>
      </c>
      <c r="D8534" t="s">
        <v>30763</v>
      </c>
      <c r="E8534" t="s">
        <v>49319</v>
      </c>
      <c r="F8534">
        <v>13</v>
      </c>
      <c r="G8534" t="s">
        <v>7763</v>
      </c>
      <c r="H8534" t="s">
        <v>2125</v>
      </c>
      <c r="I8534" t="s">
        <v>40</v>
      </c>
      <c r="J8534" t="s">
        <v>79</v>
      </c>
      <c r="K8534" t="s">
        <v>42</v>
      </c>
      <c r="L8534" t="s">
        <v>933</v>
      </c>
      <c r="Q8534">
        <v>24051</v>
      </c>
      <c r="R8534" t="s">
        <v>45</v>
      </c>
      <c r="S8534" t="s">
        <v>40099</v>
      </c>
      <c r="T8534">
        <v>21.65</v>
      </c>
      <c r="U8534" s="2" t="s">
        <v>51436</v>
      </c>
      <c r="W8534" t="s">
        <v>3662</v>
      </c>
      <c r="X8534">
        <v>805335</v>
      </c>
      <c r="Y8534" s="2" t="s">
        <v>51437</v>
      </c>
      <c r="Z8534" t="s">
        <v>301</v>
      </c>
      <c r="AA8534" s="2" t="s">
        <v>51438</v>
      </c>
      <c r="AB8534" s="2" t="s">
        <v>51439</v>
      </c>
      <c r="AG8534" t="s">
        <v>51440</v>
      </c>
      <c r="AH8534" t="s">
        <v>30769</v>
      </c>
      <c r="AI8534" t="s">
        <v>51441</v>
      </c>
    </row>
    <row r="8535" spans="2:35" ht="105">
      <c r="B8535" s="1">
        <v>45015</v>
      </c>
      <c r="C8535" s="4">
        <v>45015.586111111108</v>
      </c>
      <c r="D8535" t="s">
        <v>51442</v>
      </c>
      <c r="E8535" t="s">
        <v>51443</v>
      </c>
      <c r="F8535">
        <v>7</v>
      </c>
      <c r="G8535" t="s">
        <v>1234</v>
      </c>
      <c r="H8535" t="s">
        <v>2290</v>
      </c>
      <c r="I8535" t="s">
        <v>94</v>
      </c>
      <c r="J8535" t="s">
        <v>109</v>
      </c>
      <c r="K8535" t="s">
        <v>42</v>
      </c>
      <c r="L8535" t="s">
        <v>610</v>
      </c>
      <c r="Q8535">
        <v>24050</v>
      </c>
      <c r="R8535" t="s">
        <v>119</v>
      </c>
      <c r="S8535" t="s">
        <v>19064</v>
      </c>
      <c r="T8535">
        <v>29</v>
      </c>
      <c r="U8535" s="2" t="s">
        <v>8082</v>
      </c>
      <c r="W8535" t="s">
        <v>502</v>
      </c>
      <c r="X8535">
        <v>838523</v>
      </c>
      <c r="Y8535" t="s">
        <v>51444</v>
      </c>
      <c r="Z8535" t="s">
        <v>47849</v>
      </c>
      <c r="AA8535" t="s">
        <v>51445</v>
      </c>
      <c r="AB8535" t="s">
        <v>51446</v>
      </c>
      <c r="AG8535" t="s">
        <v>51447</v>
      </c>
      <c r="AH8535" t="s">
        <v>21020</v>
      </c>
      <c r="AI8535" t="s">
        <v>51448</v>
      </c>
    </row>
    <row r="8536" spans="2:35" ht="315">
      <c r="B8536" s="1">
        <v>45015</v>
      </c>
      <c r="C8536" s="4">
        <v>45015.523611111108</v>
      </c>
      <c r="D8536" t="s">
        <v>132</v>
      </c>
      <c r="E8536" t="s">
        <v>27259</v>
      </c>
      <c r="F8536">
        <v>3</v>
      </c>
      <c r="G8536" t="s">
        <v>134</v>
      </c>
      <c r="H8536" t="s">
        <v>39</v>
      </c>
      <c r="I8536" t="s">
        <v>40</v>
      </c>
      <c r="J8536" s="2" t="s">
        <v>41</v>
      </c>
      <c r="K8536" t="s">
        <v>42</v>
      </c>
      <c r="L8536" t="s">
        <v>135</v>
      </c>
      <c r="Q8536">
        <v>24049</v>
      </c>
      <c r="R8536" t="s">
        <v>119</v>
      </c>
      <c r="S8536" t="s">
        <v>137</v>
      </c>
      <c r="T8536">
        <v>30</v>
      </c>
      <c r="U8536" s="2" t="s">
        <v>51449</v>
      </c>
      <c r="V8536" s="1">
        <v>45007</v>
      </c>
      <c r="W8536" t="s">
        <v>2680</v>
      </c>
      <c r="X8536">
        <v>831900</v>
      </c>
      <c r="Y8536" t="s">
        <v>51450</v>
      </c>
      <c r="Z8536" s="2" t="s">
        <v>42016</v>
      </c>
      <c r="AA8536" s="2" t="s">
        <v>47997</v>
      </c>
      <c r="AB8536" t="s">
        <v>181</v>
      </c>
      <c r="AD8536" t="s">
        <v>51423</v>
      </c>
      <c r="AE8536" t="s">
        <v>51451</v>
      </c>
      <c r="AG8536" t="s">
        <v>51452</v>
      </c>
      <c r="AH8536" t="s">
        <v>27265</v>
      </c>
      <c r="AI8536" t="s">
        <v>51453</v>
      </c>
    </row>
    <row r="8537" spans="2:35" ht="180">
      <c r="B8537" s="1">
        <v>45015</v>
      </c>
      <c r="C8537" s="4">
        <v>45015.574999999997</v>
      </c>
      <c r="D8537" t="s">
        <v>16304</v>
      </c>
      <c r="E8537" t="s">
        <v>18002</v>
      </c>
      <c r="F8537">
        <v>7</v>
      </c>
      <c r="G8537" t="s">
        <v>432</v>
      </c>
      <c r="H8537" t="s">
        <v>1047</v>
      </c>
      <c r="I8537" t="s">
        <v>40</v>
      </c>
      <c r="J8537" s="2" t="s">
        <v>609</v>
      </c>
      <c r="K8537" t="s">
        <v>42</v>
      </c>
      <c r="L8537" t="s">
        <v>1288</v>
      </c>
      <c r="Q8537">
        <v>24048</v>
      </c>
      <c r="R8537" t="s">
        <v>119</v>
      </c>
      <c r="S8537" t="s">
        <v>16307</v>
      </c>
      <c r="T8537">
        <v>27</v>
      </c>
      <c r="U8537" s="2" t="s">
        <v>51454</v>
      </c>
      <c r="W8537" t="s">
        <v>1292</v>
      </c>
      <c r="X8537">
        <v>837661</v>
      </c>
      <c r="Y8537" t="s">
        <v>51455</v>
      </c>
      <c r="Z8537" t="e">
        <f ca="1">-COLLECT IQR,system _xludf.Log, _xludf.and ARCHIVE</f>
        <v>#NAME?</v>
      </c>
      <c r="AA8537" t="e">
        <f ca="1">-PERFORM self test _xludf.and initial Troubleshooting
-PERFORM Cleaning of GX EQUIPMENT</f>
        <v>#NAME?</v>
      </c>
      <c r="AB8537" t="s">
        <v>1293</v>
      </c>
      <c r="AC8537" t="e">
        <f ca="1">-module A2 &amp; A3 is disabled</f>
        <v>#NAME?</v>
      </c>
      <c r="AG8537" t="s">
        <v>51456</v>
      </c>
      <c r="AH8537" t="s">
        <v>14408</v>
      </c>
      <c r="AI8537" t="s">
        <v>51457</v>
      </c>
    </row>
    <row r="8538" spans="2:35">
      <c r="B8538" s="1">
        <v>45015</v>
      </c>
      <c r="C8538" s="4">
        <v>45015.390277777777</v>
      </c>
      <c r="D8538" t="s">
        <v>51458</v>
      </c>
      <c r="E8538" t="s">
        <v>51459</v>
      </c>
      <c r="F8538">
        <v>3</v>
      </c>
      <c r="G8538" t="s">
        <v>174</v>
      </c>
      <c r="H8538" t="s">
        <v>39</v>
      </c>
      <c r="I8538" t="s">
        <v>40</v>
      </c>
      <c r="J8538" t="s">
        <v>51460</v>
      </c>
      <c r="K8538" t="s">
        <v>42</v>
      </c>
      <c r="L8538" t="s">
        <v>80</v>
      </c>
      <c r="Q8538">
        <v>24047</v>
      </c>
      <c r="R8538" t="s">
        <v>45</v>
      </c>
      <c r="S8538" t="s">
        <v>29772</v>
      </c>
      <c r="T8538">
        <v>28</v>
      </c>
      <c r="V8538" s="1">
        <v>45014</v>
      </c>
      <c r="W8538" t="s">
        <v>502</v>
      </c>
      <c r="X8538">
        <v>838872</v>
      </c>
      <c r="Y8538" t="s">
        <v>51461</v>
      </c>
      <c r="Z8538" t="s">
        <v>51462</v>
      </c>
      <c r="AA8538" t="s">
        <v>51463</v>
      </c>
      <c r="AB8538" t="s">
        <v>32359</v>
      </c>
      <c r="AD8538" t="s">
        <v>46823</v>
      </c>
      <c r="AE8538" t="s">
        <v>51464</v>
      </c>
      <c r="AG8538" t="s">
        <v>51465</v>
      </c>
      <c r="AH8538" t="s">
        <v>51466</v>
      </c>
      <c r="AI8538" t="s">
        <v>51467</v>
      </c>
    </row>
    <row r="8539" spans="2:35" ht="270">
      <c r="B8539" s="1">
        <v>45015</v>
      </c>
      <c r="C8539" s="4">
        <v>45015.572916666664</v>
      </c>
      <c r="D8539" t="s">
        <v>47298</v>
      </c>
      <c r="E8539" t="s">
        <v>47299</v>
      </c>
      <c r="F8539">
        <v>12</v>
      </c>
      <c r="G8539" t="s">
        <v>294</v>
      </c>
      <c r="H8539" t="s">
        <v>39</v>
      </c>
      <c r="I8539" t="s">
        <v>94</v>
      </c>
      <c r="J8539" s="2" t="s">
        <v>41</v>
      </c>
      <c r="K8539" t="s">
        <v>42</v>
      </c>
      <c r="L8539" t="s">
        <v>296</v>
      </c>
      <c r="Q8539">
        <v>24046</v>
      </c>
      <c r="R8539" t="s">
        <v>45</v>
      </c>
      <c r="S8539" t="s">
        <v>45352</v>
      </c>
      <c r="T8539">
        <v>27</v>
      </c>
      <c r="U8539" s="2" t="s">
        <v>51468</v>
      </c>
      <c r="V8539" s="1">
        <v>45015</v>
      </c>
      <c r="W8539" t="s">
        <v>23049</v>
      </c>
      <c r="X8539">
        <v>807405</v>
      </c>
      <c r="Y8539" t="s">
        <v>15200</v>
      </c>
      <c r="Z8539" s="2" t="s">
        <v>51469</v>
      </c>
      <c r="AA8539" s="2" t="s">
        <v>51469</v>
      </c>
      <c r="AB8539" t="s">
        <v>972</v>
      </c>
      <c r="AD8539" t="s">
        <v>37959</v>
      </c>
      <c r="AE8539" t="s">
        <v>10783</v>
      </c>
      <c r="AG8539" t="s">
        <v>51470</v>
      </c>
      <c r="AH8539" t="s">
        <v>45356</v>
      </c>
      <c r="AI8539" t="s">
        <v>51471</v>
      </c>
    </row>
    <row r="8540" spans="2:35" ht="409.5">
      <c r="B8540" s="1">
        <v>45015</v>
      </c>
      <c r="C8540" s="4">
        <v>45015.544444444444</v>
      </c>
      <c r="D8540" t="s">
        <v>33023</v>
      </c>
      <c r="E8540" t="s">
        <v>51472</v>
      </c>
      <c r="F8540">
        <v>11</v>
      </c>
      <c r="G8540" t="s">
        <v>1759</v>
      </c>
      <c r="H8540" t="s">
        <v>28951</v>
      </c>
      <c r="I8540" t="s">
        <v>40</v>
      </c>
      <c r="J8540" s="2" t="s">
        <v>51473</v>
      </c>
      <c r="K8540" t="s">
        <v>42</v>
      </c>
      <c r="L8540" t="s">
        <v>204</v>
      </c>
      <c r="Q8540">
        <v>24045</v>
      </c>
      <c r="R8540" t="s">
        <v>45</v>
      </c>
      <c r="S8540" t="s">
        <v>33026</v>
      </c>
      <c r="T8540">
        <v>25.7</v>
      </c>
      <c r="U8540" s="2" t="s">
        <v>51474</v>
      </c>
      <c r="W8540" t="s">
        <v>23237</v>
      </c>
      <c r="X8540">
        <v>807360</v>
      </c>
      <c r="Y8540" s="2" t="s">
        <v>51475</v>
      </c>
      <c r="Z8540" s="2" t="s">
        <v>51476</v>
      </c>
      <c r="AA8540" s="2" t="s">
        <v>51477</v>
      </c>
      <c r="AB8540" s="2" t="s">
        <v>51478</v>
      </c>
      <c r="AC8540" t="s">
        <v>51479</v>
      </c>
      <c r="AG8540" t="s">
        <v>51480</v>
      </c>
      <c r="AH8540" t="s">
        <v>51481</v>
      </c>
      <c r="AI8540" t="s">
        <v>51482</v>
      </c>
    </row>
    <row r="8541" spans="2:35" ht="180">
      <c r="B8541" s="1">
        <v>45015</v>
      </c>
      <c r="C8541" s="4">
        <v>45015.479166666664</v>
      </c>
      <c r="D8541" t="s">
        <v>23619</v>
      </c>
      <c r="E8541" t="s">
        <v>51483</v>
      </c>
      <c r="F8541" t="s">
        <v>148</v>
      </c>
      <c r="G8541" t="s">
        <v>23621</v>
      </c>
      <c r="H8541" t="s">
        <v>39</v>
      </c>
      <c r="I8541" t="s">
        <v>40</v>
      </c>
      <c r="J8541" s="2" t="s">
        <v>41</v>
      </c>
      <c r="K8541" t="s">
        <v>42</v>
      </c>
      <c r="L8541" t="s">
        <v>1943</v>
      </c>
      <c r="Q8541">
        <v>24044</v>
      </c>
      <c r="R8541" t="s">
        <v>45</v>
      </c>
      <c r="S8541" t="s">
        <v>51484</v>
      </c>
      <c r="T8541">
        <v>25</v>
      </c>
      <c r="U8541" s="2" t="s">
        <v>51485</v>
      </c>
      <c r="V8541" s="1">
        <v>45012</v>
      </c>
      <c r="W8541" t="s">
        <v>84</v>
      </c>
      <c r="X8541">
        <v>807592</v>
      </c>
      <c r="Y8541" s="2" t="s">
        <v>37579</v>
      </c>
      <c r="Z8541" s="2" t="s">
        <v>43790</v>
      </c>
      <c r="AA8541" t="s">
        <v>22330</v>
      </c>
      <c r="AB8541" t="s">
        <v>88</v>
      </c>
      <c r="AD8541" t="s">
        <v>51486</v>
      </c>
      <c r="AE8541" t="s">
        <v>8904</v>
      </c>
      <c r="AG8541" t="s">
        <v>51487</v>
      </c>
      <c r="AH8541" t="s">
        <v>51488</v>
      </c>
      <c r="AI8541" t="s">
        <v>51489</v>
      </c>
    </row>
    <row r="8542" spans="2:35" ht="75">
      <c r="B8542" s="1">
        <v>45015</v>
      </c>
      <c r="C8542" s="4">
        <v>45015.522916666669</v>
      </c>
      <c r="D8542" t="s">
        <v>8539</v>
      </c>
      <c r="E8542" t="s">
        <v>51407</v>
      </c>
      <c r="F8542">
        <v>9</v>
      </c>
      <c r="G8542" t="s">
        <v>2197</v>
      </c>
      <c r="H8542" t="s">
        <v>39</v>
      </c>
      <c r="I8542" t="s">
        <v>40</v>
      </c>
      <c r="J8542" s="2" t="s">
        <v>1808</v>
      </c>
      <c r="K8542" t="s">
        <v>42</v>
      </c>
      <c r="L8542" t="s">
        <v>1257</v>
      </c>
      <c r="Q8542">
        <v>24043</v>
      </c>
      <c r="R8542" t="s">
        <v>45</v>
      </c>
      <c r="S8542" t="s">
        <v>8542</v>
      </c>
      <c r="T8542">
        <v>25</v>
      </c>
      <c r="U8542" s="2" t="s">
        <v>29810</v>
      </c>
      <c r="V8542" s="1">
        <v>45015</v>
      </c>
      <c r="W8542" t="s">
        <v>2384</v>
      </c>
      <c r="X8542">
        <v>838533</v>
      </c>
      <c r="Y8542" t="s">
        <v>51408</v>
      </c>
      <c r="Z8542" t="s">
        <v>47639</v>
      </c>
      <c r="AA8542" t="s">
        <v>51409</v>
      </c>
      <c r="AB8542" t="s">
        <v>51410</v>
      </c>
      <c r="AC8542" t="s">
        <v>301</v>
      </c>
      <c r="AD8542" t="s">
        <v>54</v>
      </c>
      <c r="AE8542" t="s">
        <v>54</v>
      </c>
      <c r="AG8542" t="s">
        <v>51490</v>
      </c>
      <c r="AH8542" t="s">
        <v>51412</v>
      </c>
      <c r="AI8542" t="s">
        <v>51491</v>
      </c>
    </row>
    <row r="8543" spans="2:35" ht="315">
      <c r="B8543" s="1">
        <v>45015</v>
      </c>
      <c r="C8543" s="4">
        <v>45014.584722222222</v>
      </c>
      <c r="D8543" t="s">
        <v>3357</v>
      </c>
      <c r="E8543" t="s">
        <v>51492</v>
      </c>
      <c r="F8543">
        <v>3</v>
      </c>
      <c r="G8543" t="s">
        <v>134</v>
      </c>
      <c r="H8543" t="s">
        <v>39</v>
      </c>
      <c r="I8543" t="s">
        <v>40</v>
      </c>
      <c r="J8543" s="2" t="s">
        <v>41</v>
      </c>
      <c r="K8543" t="s">
        <v>42</v>
      </c>
      <c r="L8543" t="s">
        <v>135</v>
      </c>
      <c r="Q8543">
        <v>24042</v>
      </c>
      <c r="R8543" t="s">
        <v>119</v>
      </c>
      <c r="S8543" t="s">
        <v>3359</v>
      </c>
      <c r="T8543">
        <v>25</v>
      </c>
      <c r="U8543" s="2" t="s">
        <v>51493</v>
      </c>
      <c r="V8543" s="1">
        <v>45007</v>
      </c>
      <c r="W8543" t="s">
        <v>2680</v>
      </c>
      <c r="X8543">
        <v>831812</v>
      </c>
      <c r="Y8543" t="s">
        <v>41058</v>
      </c>
      <c r="Z8543" s="2" t="s">
        <v>42016</v>
      </c>
      <c r="AA8543" s="2" t="s">
        <v>47997</v>
      </c>
      <c r="AB8543" t="s">
        <v>38607</v>
      </c>
      <c r="AD8543" t="s">
        <v>13225</v>
      </c>
      <c r="AE8543">
        <v>9765</v>
      </c>
      <c r="AG8543" t="s">
        <v>51494</v>
      </c>
      <c r="AH8543" t="s">
        <v>44180</v>
      </c>
      <c r="AI8543" t="s">
        <v>51495</v>
      </c>
    </row>
    <row r="8544" spans="2:35" ht="75">
      <c r="B8544" s="1">
        <v>45015</v>
      </c>
      <c r="C8544" s="4">
        <v>45015.507638888892</v>
      </c>
      <c r="D8544" t="s">
        <v>8539</v>
      </c>
      <c r="E8544" t="s">
        <v>51407</v>
      </c>
      <c r="F8544">
        <v>9</v>
      </c>
      <c r="G8544" t="s">
        <v>2197</v>
      </c>
      <c r="H8544" t="s">
        <v>39</v>
      </c>
      <c r="I8544" t="s">
        <v>40</v>
      </c>
      <c r="J8544" t="s">
        <v>321</v>
      </c>
      <c r="K8544" t="s">
        <v>42</v>
      </c>
      <c r="L8544" t="s">
        <v>1257</v>
      </c>
      <c r="Q8544">
        <v>24041</v>
      </c>
      <c r="R8544" t="s">
        <v>45</v>
      </c>
      <c r="S8544" t="s">
        <v>8542</v>
      </c>
      <c r="T8544">
        <v>25</v>
      </c>
      <c r="U8544" s="2" t="s">
        <v>29810</v>
      </c>
      <c r="V8544" s="1">
        <v>45015</v>
      </c>
      <c r="W8544" t="s">
        <v>51496</v>
      </c>
      <c r="X8544" t="s">
        <v>51497</v>
      </c>
      <c r="Y8544" t="s">
        <v>51498</v>
      </c>
      <c r="Z8544" t="s">
        <v>51499</v>
      </c>
      <c r="AA8544" t="s">
        <v>51499</v>
      </c>
      <c r="AB8544" t="s">
        <v>51410</v>
      </c>
      <c r="AC8544" t="s">
        <v>301</v>
      </c>
      <c r="AD8544" t="s">
        <v>54</v>
      </c>
      <c r="AE8544" t="s">
        <v>54</v>
      </c>
      <c r="AG8544" t="s">
        <v>51500</v>
      </c>
      <c r="AH8544" t="s">
        <v>16405</v>
      </c>
      <c r="AI8544" t="s">
        <v>51501</v>
      </c>
    </row>
    <row r="8545" spans="2:35" ht="180">
      <c r="B8545" s="1">
        <v>45015</v>
      </c>
      <c r="C8545" s="4">
        <v>45015.464583333334</v>
      </c>
      <c r="D8545" t="s">
        <v>11880</v>
      </c>
      <c r="E8545" t="s">
        <v>11881</v>
      </c>
      <c r="F8545">
        <v>6</v>
      </c>
      <c r="G8545" t="s">
        <v>1234</v>
      </c>
      <c r="H8545" t="s">
        <v>34104</v>
      </c>
      <c r="I8545" t="s">
        <v>94</v>
      </c>
      <c r="J8545" t="s">
        <v>996</v>
      </c>
      <c r="K8545" t="s">
        <v>42</v>
      </c>
      <c r="L8545" t="s">
        <v>23958</v>
      </c>
      <c r="Q8545">
        <v>24040</v>
      </c>
      <c r="R8545" t="s">
        <v>119</v>
      </c>
      <c r="S8545" t="s">
        <v>35274</v>
      </c>
      <c r="T8545">
        <v>4</v>
      </c>
      <c r="U8545" s="2" t="s">
        <v>51502</v>
      </c>
      <c r="W8545" t="s">
        <v>2384</v>
      </c>
      <c r="X8545">
        <v>838477</v>
      </c>
      <c r="Y8545" t="s">
        <v>51503</v>
      </c>
      <c r="Z8545" t="s">
        <v>51504</v>
      </c>
      <c r="AA8545" t="s">
        <v>51505</v>
      </c>
      <c r="AB8545" t="s">
        <v>51506</v>
      </c>
      <c r="AG8545" t="s">
        <v>51507</v>
      </c>
      <c r="AH8545" t="s">
        <v>51508</v>
      </c>
      <c r="AI8545" t="s">
        <v>51509</v>
      </c>
    </row>
    <row r="8546" spans="2:35">
      <c r="B8546" s="1">
        <v>45015</v>
      </c>
      <c r="C8546" s="4">
        <v>45015.390277777777</v>
      </c>
      <c r="D8546" t="s">
        <v>51458</v>
      </c>
      <c r="E8546" t="s">
        <v>51459</v>
      </c>
      <c r="F8546">
        <v>3</v>
      </c>
      <c r="G8546" t="s">
        <v>174</v>
      </c>
      <c r="H8546" t="s">
        <v>39</v>
      </c>
      <c r="I8546" t="s">
        <v>40</v>
      </c>
      <c r="J8546" t="s">
        <v>51460</v>
      </c>
      <c r="K8546" t="s">
        <v>42</v>
      </c>
      <c r="L8546" t="s">
        <v>80</v>
      </c>
      <c r="Q8546">
        <v>24039</v>
      </c>
      <c r="R8546" t="s">
        <v>45</v>
      </c>
      <c r="S8546" t="s">
        <v>29772</v>
      </c>
      <c r="T8546">
        <v>28</v>
      </c>
      <c r="V8546" s="1">
        <v>45014</v>
      </c>
      <c r="W8546" t="s">
        <v>502</v>
      </c>
      <c r="X8546">
        <v>838872</v>
      </c>
      <c r="Y8546" t="s">
        <v>51461</v>
      </c>
      <c r="Z8546" t="s">
        <v>51462</v>
      </c>
      <c r="AA8546" t="s">
        <v>51463</v>
      </c>
      <c r="AB8546" t="s">
        <v>32359</v>
      </c>
      <c r="AD8546" t="s">
        <v>46823</v>
      </c>
      <c r="AE8546" t="s">
        <v>51464</v>
      </c>
      <c r="AG8546" t="s">
        <v>51510</v>
      </c>
      <c r="AH8546" t="s">
        <v>51466</v>
      </c>
      <c r="AI8546" t="s">
        <v>51511</v>
      </c>
    </row>
    <row r="8547" spans="2:35" ht="345">
      <c r="B8547" s="1">
        <v>45015</v>
      </c>
      <c r="C8547" s="4">
        <v>45015.353472222225</v>
      </c>
      <c r="D8547" t="s">
        <v>3912</v>
      </c>
      <c r="E8547" t="s">
        <v>51512</v>
      </c>
      <c r="F8547">
        <v>7</v>
      </c>
      <c r="G8547" t="s">
        <v>1234</v>
      </c>
      <c r="H8547" t="s">
        <v>2290</v>
      </c>
      <c r="I8547" t="s">
        <v>94</v>
      </c>
      <c r="J8547" t="s">
        <v>79</v>
      </c>
      <c r="K8547" t="s">
        <v>42</v>
      </c>
      <c r="L8547" t="s">
        <v>610</v>
      </c>
      <c r="Q8547">
        <v>24038</v>
      </c>
      <c r="R8547" t="s">
        <v>119</v>
      </c>
      <c r="S8547" t="s">
        <v>51513</v>
      </c>
      <c r="T8547">
        <v>22</v>
      </c>
      <c r="U8547" s="2" t="s">
        <v>8573</v>
      </c>
      <c r="V8547" s="1">
        <v>45015</v>
      </c>
      <c r="W8547" t="s">
        <v>502</v>
      </c>
      <c r="X8547">
        <v>807614</v>
      </c>
      <c r="Y8547" t="s">
        <v>51514</v>
      </c>
      <c r="Z8547" t="s">
        <v>51515</v>
      </c>
      <c r="AA8547" s="2" t="s">
        <v>51516</v>
      </c>
      <c r="AB8547" t="s">
        <v>51517</v>
      </c>
      <c r="AD8547" t="s">
        <v>48920</v>
      </c>
      <c r="AE8547" t="s">
        <v>4448</v>
      </c>
      <c r="AG8547" t="s">
        <v>51518</v>
      </c>
      <c r="AH8547" t="s">
        <v>51519</v>
      </c>
      <c r="AI8547" t="s">
        <v>51520</v>
      </c>
    </row>
    <row r="8548" spans="2:35">
      <c r="B8548" s="1">
        <v>45014</v>
      </c>
      <c r="C8548" s="4">
        <v>45014.73333333333</v>
      </c>
      <c r="D8548" t="s">
        <v>3241</v>
      </c>
      <c r="E8548" t="s">
        <v>23379</v>
      </c>
      <c r="F8548">
        <v>7</v>
      </c>
      <c r="G8548" t="s">
        <v>432</v>
      </c>
      <c r="H8548" t="s">
        <v>39</v>
      </c>
      <c r="I8548" t="s">
        <v>94</v>
      </c>
      <c r="J8548" t="s">
        <v>996</v>
      </c>
      <c r="K8548" t="s">
        <v>42</v>
      </c>
      <c r="L8548" t="s">
        <v>594</v>
      </c>
      <c r="Q8548">
        <v>24037</v>
      </c>
      <c r="R8548" t="s">
        <v>45</v>
      </c>
      <c r="S8548" t="s">
        <v>51521</v>
      </c>
      <c r="T8548">
        <v>23</v>
      </c>
      <c r="V8548" s="1">
        <v>45014</v>
      </c>
      <c r="W8548" t="s">
        <v>502</v>
      </c>
      <c r="X8548">
        <v>808640</v>
      </c>
      <c r="Y8548" t="s">
        <v>2060</v>
      </c>
      <c r="Z8548" t="s">
        <v>31912</v>
      </c>
      <c r="AA8548" t="s">
        <v>31912</v>
      </c>
      <c r="AB8548" t="s">
        <v>51522</v>
      </c>
      <c r="AC8548" t="s">
        <v>51523</v>
      </c>
      <c r="AG8548" t="s">
        <v>51524</v>
      </c>
      <c r="AH8548" t="s">
        <v>3250</v>
      </c>
      <c r="AI8548" t="s">
        <v>51525</v>
      </c>
    </row>
    <row r="8549" spans="2:35" ht="60">
      <c r="B8549" s="1">
        <v>45014</v>
      </c>
      <c r="C8549" s="4">
        <v>45014.624305555553</v>
      </c>
      <c r="D8549" t="s">
        <v>1554</v>
      </c>
      <c r="E8549" t="s">
        <v>1555</v>
      </c>
      <c r="F8549">
        <v>7</v>
      </c>
      <c r="G8549" t="s">
        <v>432</v>
      </c>
      <c r="H8549" t="s">
        <v>386</v>
      </c>
      <c r="I8549" t="s">
        <v>40</v>
      </c>
      <c r="J8549" s="2" t="s">
        <v>62</v>
      </c>
      <c r="K8549" t="s">
        <v>387</v>
      </c>
      <c r="L8549" t="s">
        <v>433</v>
      </c>
      <c r="Q8549">
        <v>24036</v>
      </c>
      <c r="R8549" t="s">
        <v>95</v>
      </c>
      <c r="S8549" t="s">
        <v>1556</v>
      </c>
      <c r="T8549">
        <v>22</v>
      </c>
      <c r="W8549" t="s">
        <v>51526</v>
      </c>
      <c r="X8549" t="s">
        <v>51527</v>
      </c>
      <c r="Y8549" t="s">
        <v>51528</v>
      </c>
      <c r="Z8549" t="s">
        <v>51529</v>
      </c>
      <c r="AA8549" t="s">
        <v>51529</v>
      </c>
      <c r="AB8549" t="s">
        <v>441</v>
      </c>
      <c r="AG8549" t="s">
        <v>51530</v>
      </c>
      <c r="AH8549" t="s">
        <v>22511</v>
      </c>
      <c r="AI8549" t="s">
        <v>51531</v>
      </c>
    </row>
    <row r="8550" spans="2:35" ht="60">
      <c r="B8550" s="1">
        <v>45014</v>
      </c>
      <c r="C8550" s="4">
        <v>45014.625</v>
      </c>
      <c r="D8550" t="s">
        <v>12016</v>
      </c>
      <c r="E8550" t="s">
        <v>12017</v>
      </c>
      <c r="F8550">
        <v>7</v>
      </c>
      <c r="G8550" t="s">
        <v>432</v>
      </c>
      <c r="H8550" t="s">
        <v>12018</v>
      </c>
      <c r="I8550" t="s">
        <v>40</v>
      </c>
      <c r="J8550" s="2" t="s">
        <v>62</v>
      </c>
      <c r="K8550" t="s">
        <v>387</v>
      </c>
      <c r="L8550" t="s">
        <v>1288</v>
      </c>
      <c r="Q8550">
        <v>24035</v>
      </c>
      <c r="R8550" t="s">
        <v>95</v>
      </c>
      <c r="S8550" t="s">
        <v>1556</v>
      </c>
      <c r="T8550">
        <v>22</v>
      </c>
      <c r="W8550" t="s">
        <v>390</v>
      </c>
      <c r="X8550" t="s">
        <v>1557</v>
      </c>
      <c r="Y8550" t="s">
        <v>13756</v>
      </c>
      <c r="Z8550" t="e">
        <f ca="1">-COLLECT CALIBRATION Data</f>
        <v>#NAME?</v>
      </c>
      <c r="AA8550" t="e">
        <f ca="1">-PERFORM CALIBRATION _xludf.and DIAGNOSIS of MCS EQUIPMENT, passed
-PERFORM Cycle tests</f>
        <v>#NAME?</v>
      </c>
      <c r="AB8550" t="s">
        <v>1293</v>
      </c>
      <c r="AG8550" t="s">
        <v>51532</v>
      </c>
      <c r="AH8550" t="s">
        <v>22511</v>
      </c>
      <c r="AI8550" t="s">
        <v>51533</v>
      </c>
    </row>
    <row r="8551" spans="2:35" ht="225">
      <c r="B8551" s="1">
        <v>45014</v>
      </c>
      <c r="C8551" s="4">
        <v>45014.601388888892</v>
      </c>
      <c r="D8551" t="s">
        <v>1941</v>
      </c>
      <c r="E8551" t="s">
        <v>35258</v>
      </c>
      <c r="F8551" t="s">
        <v>148</v>
      </c>
      <c r="G8551" t="s">
        <v>310</v>
      </c>
      <c r="H8551" t="s">
        <v>39</v>
      </c>
      <c r="I8551" t="s">
        <v>40</v>
      </c>
      <c r="J8551" s="2" t="s">
        <v>1309</v>
      </c>
      <c r="K8551" t="s">
        <v>42</v>
      </c>
      <c r="L8551" t="s">
        <v>1943</v>
      </c>
      <c r="Q8551">
        <v>24034</v>
      </c>
      <c r="R8551" t="s">
        <v>45</v>
      </c>
      <c r="S8551" t="s">
        <v>23643</v>
      </c>
      <c r="T8551">
        <v>25</v>
      </c>
      <c r="U8551" s="2" t="s">
        <v>44050</v>
      </c>
      <c r="V8551" s="1">
        <v>45012</v>
      </c>
      <c r="W8551" t="s">
        <v>84</v>
      </c>
      <c r="X8551">
        <v>805060</v>
      </c>
      <c r="Y8551" s="2" t="s">
        <v>51534</v>
      </c>
      <c r="Z8551" s="2" t="s">
        <v>51535</v>
      </c>
      <c r="AA8551" t="s">
        <v>28978</v>
      </c>
      <c r="AB8551" t="s">
        <v>51536</v>
      </c>
      <c r="AD8551" s="2" t="s">
        <v>51537</v>
      </c>
      <c r="AE8551" t="s">
        <v>8904</v>
      </c>
      <c r="AG8551" t="s">
        <v>51538</v>
      </c>
      <c r="AH8551" t="s">
        <v>1951</v>
      </c>
      <c r="AI8551" t="s">
        <v>51539</v>
      </c>
    </row>
    <row r="8552" spans="2:35" ht="315">
      <c r="B8552" s="1">
        <v>45014</v>
      </c>
      <c r="C8552" s="4">
        <v>45014.511805555558</v>
      </c>
      <c r="D8552" t="s">
        <v>27215</v>
      </c>
      <c r="E8552" t="s">
        <v>51540</v>
      </c>
      <c r="F8552">
        <v>3</v>
      </c>
      <c r="G8552" t="s">
        <v>134</v>
      </c>
      <c r="H8552" t="s">
        <v>39</v>
      </c>
      <c r="I8552" t="s">
        <v>40</v>
      </c>
      <c r="J8552" s="2" t="s">
        <v>41</v>
      </c>
      <c r="K8552" t="s">
        <v>42</v>
      </c>
      <c r="L8552" t="s">
        <v>135</v>
      </c>
      <c r="Q8552">
        <v>24033</v>
      </c>
      <c r="R8552" t="s">
        <v>119</v>
      </c>
      <c r="S8552" t="s">
        <v>27217</v>
      </c>
      <c r="T8552">
        <v>25</v>
      </c>
      <c r="U8552" s="2" t="s">
        <v>51541</v>
      </c>
      <c r="V8552" s="1">
        <v>45007</v>
      </c>
      <c r="W8552" t="s">
        <v>2680</v>
      </c>
      <c r="X8552">
        <v>831911</v>
      </c>
      <c r="Y8552" t="s">
        <v>51542</v>
      </c>
      <c r="Z8552" s="2" t="s">
        <v>42016</v>
      </c>
      <c r="AA8552" s="2" t="s">
        <v>47997</v>
      </c>
      <c r="AB8552" t="s">
        <v>181</v>
      </c>
      <c r="AD8552" t="s">
        <v>51543</v>
      </c>
      <c r="AE8552" t="s">
        <v>51544</v>
      </c>
      <c r="AG8552" t="s">
        <v>51545</v>
      </c>
      <c r="AH8552" t="s">
        <v>27222</v>
      </c>
      <c r="AI8552" t="s">
        <v>51546</v>
      </c>
    </row>
    <row r="8553" spans="2:35" ht="105">
      <c r="B8553" s="1">
        <v>45014</v>
      </c>
      <c r="C8553" s="4">
        <v>45014.436111111114</v>
      </c>
      <c r="D8553" t="s">
        <v>11901</v>
      </c>
      <c r="E8553" t="s">
        <v>7772</v>
      </c>
      <c r="F8553">
        <v>6</v>
      </c>
      <c r="G8553" t="s">
        <v>1234</v>
      </c>
      <c r="H8553" t="s">
        <v>202</v>
      </c>
      <c r="I8553" t="s">
        <v>94</v>
      </c>
      <c r="J8553" t="s">
        <v>996</v>
      </c>
      <c r="K8553" t="s">
        <v>42</v>
      </c>
      <c r="L8553" t="s">
        <v>23958</v>
      </c>
      <c r="Q8553">
        <v>24032</v>
      </c>
      <c r="R8553" t="s">
        <v>45</v>
      </c>
      <c r="S8553" t="s">
        <v>34236</v>
      </c>
      <c r="T8553">
        <v>24</v>
      </c>
      <c r="U8553" s="2" t="s">
        <v>51547</v>
      </c>
      <c r="V8553" s="1">
        <v>45044</v>
      </c>
      <c r="W8553" t="s">
        <v>360</v>
      </c>
      <c r="X8553">
        <v>812020</v>
      </c>
      <c r="Y8553" t="s">
        <v>301</v>
      </c>
      <c r="Z8553" t="s">
        <v>51548</v>
      </c>
      <c r="AA8553" t="s">
        <v>42843</v>
      </c>
      <c r="AB8553" t="s">
        <v>42687</v>
      </c>
      <c r="AE8553" t="s">
        <v>32095</v>
      </c>
      <c r="AG8553" t="s">
        <v>51549</v>
      </c>
      <c r="AH8553" t="s">
        <v>36973</v>
      </c>
      <c r="AI8553" t="s">
        <v>51550</v>
      </c>
    </row>
    <row r="8554" spans="2:35" ht="105">
      <c r="B8554" s="1">
        <v>45014</v>
      </c>
      <c r="C8554" s="4">
        <v>45014.431250000001</v>
      </c>
      <c r="D8554" t="s">
        <v>11901</v>
      </c>
      <c r="E8554" t="s">
        <v>7772</v>
      </c>
      <c r="F8554">
        <v>6</v>
      </c>
      <c r="G8554" t="s">
        <v>1234</v>
      </c>
      <c r="H8554" t="s">
        <v>1047</v>
      </c>
      <c r="I8554" t="s">
        <v>94</v>
      </c>
      <c r="J8554" t="s">
        <v>996</v>
      </c>
      <c r="K8554" t="s">
        <v>42</v>
      </c>
      <c r="L8554" t="s">
        <v>23958</v>
      </c>
      <c r="Q8554">
        <v>24031</v>
      </c>
      <c r="R8554" t="s">
        <v>45</v>
      </c>
      <c r="S8554" t="s">
        <v>34236</v>
      </c>
      <c r="T8554">
        <v>24</v>
      </c>
      <c r="U8554" s="2" t="s">
        <v>51547</v>
      </c>
      <c r="W8554" t="s">
        <v>360</v>
      </c>
      <c r="X8554">
        <v>804267</v>
      </c>
      <c r="Y8554" t="s">
        <v>51551</v>
      </c>
      <c r="Z8554" t="s">
        <v>51552</v>
      </c>
      <c r="AA8554" t="s">
        <v>42740</v>
      </c>
      <c r="AB8554" t="s">
        <v>51553</v>
      </c>
      <c r="AG8554" t="s">
        <v>51554</v>
      </c>
      <c r="AH8554" t="s">
        <v>36973</v>
      </c>
      <c r="AI8554" t="s">
        <v>51555</v>
      </c>
    </row>
    <row r="8555" spans="2:35" ht="105">
      <c r="B8555" s="1">
        <v>45014</v>
      </c>
      <c r="C8555" s="4">
        <v>45014.431250000001</v>
      </c>
      <c r="D8555" t="s">
        <v>11901</v>
      </c>
      <c r="E8555" t="s">
        <v>7772</v>
      </c>
      <c r="F8555">
        <v>6</v>
      </c>
      <c r="G8555" t="s">
        <v>1234</v>
      </c>
      <c r="H8555" t="s">
        <v>1047</v>
      </c>
      <c r="I8555" t="s">
        <v>94</v>
      </c>
      <c r="J8555" t="s">
        <v>996</v>
      </c>
      <c r="K8555" t="s">
        <v>42</v>
      </c>
      <c r="L8555" t="s">
        <v>23958</v>
      </c>
      <c r="Q8555">
        <v>24030</v>
      </c>
      <c r="R8555" t="s">
        <v>45</v>
      </c>
      <c r="S8555" t="s">
        <v>34236</v>
      </c>
      <c r="T8555">
        <v>24</v>
      </c>
      <c r="U8555" s="2" t="s">
        <v>51547</v>
      </c>
      <c r="W8555" t="s">
        <v>360</v>
      </c>
      <c r="X8555">
        <v>804267</v>
      </c>
      <c r="Y8555" t="s">
        <v>51551</v>
      </c>
      <c r="Z8555" t="s">
        <v>51552</v>
      </c>
      <c r="AA8555" t="s">
        <v>42740</v>
      </c>
      <c r="AB8555" t="s">
        <v>51553</v>
      </c>
      <c r="AG8555" t="s">
        <v>51556</v>
      </c>
      <c r="AH8555" t="s">
        <v>36973</v>
      </c>
      <c r="AI8555" t="s">
        <v>51557</v>
      </c>
    </row>
    <row r="8556" spans="2:35" ht="225">
      <c r="B8556" s="1">
        <v>45014</v>
      </c>
      <c r="C8556" s="4">
        <v>45014.402777777781</v>
      </c>
      <c r="D8556" t="s">
        <v>22353</v>
      </c>
      <c r="E8556" t="s">
        <v>22354</v>
      </c>
      <c r="F8556" t="s">
        <v>1255</v>
      </c>
      <c r="G8556" t="s">
        <v>1887</v>
      </c>
      <c r="H8556" t="s">
        <v>39</v>
      </c>
      <c r="I8556" t="s">
        <v>94</v>
      </c>
      <c r="J8556" s="2" t="s">
        <v>62</v>
      </c>
      <c r="K8556" t="s">
        <v>42</v>
      </c>
      <c r="L8556" t="s">
        <v>296</v>
      </c>
      <c r="Q8556">
        <v>24029</v>
      </c>
      <c r="R8556" t="s">
        <v>45</v>
      </c>
      <c r="S8556" t="s">
        <v>22355</v>
      </c>
      <c r="T8556">
        <v>28</v>
      </c>
      <c r="U8556" s="2" t="s">
        <v>51558</v>
      </c>
      <c r="V8556" s="1">
        <v>45014</v>
      </c>
      <c r="W8556" t="s">
        <v>23049</v>
      </c>
      <c r="X8556">
        <v>815490</v>
      </c>
      <c r="Y8556" t="s">
        <v>51559</v>
      </c>
      <c r="Z8556" s="2" t="s">
        <v>51560</v>
      </c>
      <c r="AA8556" s="2" t="s">
        <v>51560</v>
      </c>
      <c r="AB8556" t="s">
        <v>1480</v>
      </c>
      <c r="AD8556" t="s">
        <v>46458</v>
      </c>
      <c r="AE8556">
        <v>1000378669</v>
      </c>
      <c r="AG8556" t="s">
        <v>51561</v>
      </c>
      <c r="AH8556" t="s">
        <v>51562</v>
      </c>
      <c r="AI8556" t="s">
        <v>51563</v>
      </c>
    </row>
    <row r="8557" spans="2:35" ht="270">
      <c r="B8557" s="1">
        <v>45014</v>
      </c>
      <c r="C8557" s="4">
        <v>45014.387499999997</v>
      </c>
      <c r="D8557" t="s">
        <v>23134</v>
      </c>
      <c r="E8557" t="s">
        <v>51564</v>
      </c>
      <c r="F8557" t="s">
        <v>148</v>
      </c>
      <c r="G8557" t="s">
        <v>310</v>
      </c>
      <c r="H8557" t="s">
        <v>51565</v>
      </c>
      <c r="I8557" t="s">
        <v>40</v>
      </c>
      <c r="J8557" s="2" t="s">
        <v>41</v>
      </c>
      <c r="K8557" t="s">
        <v>42</v>
      </c>
      <c r="L8557" t="s">
        <v>1943</v>
      </c>
      <c r="Q8557">
        <v>24028</v>
      </c>
      <c r="R8557" t="s">
        <v>45</v>
      </c>
      <c r="S8557" t="s">
        <v>23136</v>
      </c>
      <c r="T8557">
        <v>28</v>
      </c>
      <c r="U8557" s="2" t="s">
        <v>51566</v>
      </c>
      <c r="V8557" s="1">
        <v>45012</v>
      </c>
      <c r="W8557" t="s">
        <v>84</v>
      </c>
      <c r="X8557">
        <v>844121</v>
      </c>
      <c r="Y8557" s="2" t="s">
        <v>51567</v>
      </c>
      <c r="Z8557" s="2" t="s">
        <v>43790</v>
      </c>
      <c r="AA8557" t="s">
        <v>22330</v>
      </c>
      <c r="AB8557" t="s">
        <v>51568</v>
      </c>
      <c r="AD8557" t="s">
        <v>51569</v>
      </c>
      <c r="AE8557" t="s">
        <v>8904</v>
      </c>
      <c r="AG8557" t="s">
        <v>51570</v>
      </c>
      <c r="AH8557" t="s">
        <v>51571</v>
      </c>
      <c r="AI8557" t="s">
        <v>51572</v>
      </c>
    </row>
    <row r="8558" spans="2:35" ht="270">
      <c r="B8558" s="1">
        <v>45014</v>
      </c>
      <c r="C8558" s="4">
        <v>45014.364583333336</v>
      </c>
      <c r="D8558" t="s">
        <v>23134</v>
      </c>
      <c r="E8558" t="s">
        <v>51564</v>
      </c>
      <c r="F8558" t="s">
        <v>148</v>
      </c>
      <c r="G8558" t="s">
        <v>310</v>
      </c>
      <c r="H8558" t="s">
        <v>51565</v>
      </c>
      <c r="I8558" t="s">
        <v>40</v>
      </c>
      <c r="J8558" s="2" t="s">
        <v>41</v>
      </c>
      <c r="K8558" t="s">
        <v>42</v>
      </c>
      <c r="L8558" t="s">
        <v>1943</v>
      </c>
      <c r="Q8558">
        <v>24027</v>
      </c>
      <c r="R8558" t="s">
        <v>119</v>
      </c>
      <c r="S8558" t="s">
        <v>23136</v>
      </c>
      <c r="T8558">
        <v>28</v>
      </c>
      <c r="U8558" s="2" t="s">
        <v>51573</v>
      </c>
      <c r="V8558" s="1">
        <v>45012</v>
      </c>
      <c r="W8558" t="s">
        <v>84</v>
      </c>
      <c r="X8558">
        <v>831872</v>
      </c>
      <c r="Y8558" s="2" t="s">
        <v>51574</v>
      </c>
      <c r="Z8558" s="2" t="s">
        <v>44131</v>
      </c>
      <c r="AA8558" t="s">
        <v>22330</v>
      </c>
      <c r="AB8558" t="s">
        <v>88</v>
      </c>
      <c r="AD8558" t="s">
        <v>51575</v>
      </c>
      <c r="AE8558" t="s">
        <v>51576</v>
      </c>
      <c r="AG8558" t="s">
        <v>51577</v>
      </c>
      <c r="AH8558" t="s">
        <v>51578</v>
      </c>
      <c r="AI8558" t="s">
        <v>51579</v>
      </c>
    </row>
    <row r="8559" spans="2:35" ht="409.5">
      <c r="B8559" s="1">
        <v>45014</v>
      </c>
      <c r="C8559" s="4">
        <v>45009.95</v>
      </c>
      <c r="D8559" t="s">
        <v>51580</v>
      </c>
      <c r="E8559" t="s">
        <v>51581</v>
      </c>
      <c r="F8559">
        <v>11</v>
      </c>
      <c r="G8559" t="s">
        <v>1205</v>
      </c>
      <c r="H8559" t="s">
        <v>1047</v>
      </c>
      <c r="I8559" t="s">
        <v>40</v>
      </c>
      <c r="J8559" t="s">
        <v>79</v>
      </c>
      <c r="K8559" t="s">
        <v>42</v>
      </c>
      <c r="L8559" t="s">
        <v>204</v>
      </c>
      <c r="Q8559">
        <v>24026</v>
      </c>
      <c r="R8559" t="s">
        <v>45</v>
      </c>
      <c r="S8559" t="s">
        <v>51582</v>
      </c>
      <c r="T8559">
        <v>25.9</v>
      </c>
      <c r="V8559" s="1">
        <v>45008</v>
      </c>
      <c r="W8559" t="s">
        <v>23237</v>
      </c>
      <c r="X8559">
        <v>807464</v>
      </c>
      <c r="Y8559" t="s">
        <v>51583</v>
      </c>
      <c r="Z8559" s="2" t="s">
        <v>51584</v>
      </c>
      <c r="AA8559" t="s">
        <v>12182</v>
      </c>
      <c r="AB8559" t="s">
        <v>9590</v>
      </c>
      <c r="AD8559" t="s">
        <v>10253</v>
      </c>
      <c r="AE8559" t="s">
        <v>1716</v>
      </c>
      <c r="AG8559" t="s">
        <v>51585</v>
      </c>
      <c r="AH8559" t="s">
        <v>51586</v>
      </c>
      <c r="AI8559" t="s">
        <v>51587</v>
      </c>
    </row>
    <row r="8560" spans="2:35" ht="409.5">
      <c r="B8560" s="1">
        <v>45014</v>
      </c>
      <c r="C8560" s="4">
        <v>45009.95</v>
      </c>
      <c r="D8560" t="s">
        <v>51580</v>
      </c>
      <c r="E8560" t="s">
        <v>51581</v>
      </c>
      <c r="F8560">
        <v>11</v>
      </c>
      <c r="G8560" t="s">
        <v>1205</v>
      </c>
      <c r="H8560" t="s">
        <v>1047</v>
      </c>
      <c r="I8560" t="s">
        <v>40</v>
      </c>
      <c r="J8560" t="s">
        <v>79</v>
      </c>
      <c r="K8560" t="s">
        <v>42</v>
      </c>
      <c r="L8560" t="s">
        <v>204</v>
      </c>
      <c r="Q8560">
        <v>24025</v>
      </c>
      <c r="R8560" t="s">
        <v>45</v>
      </c>
      <c r="S8560" t="s">
        <v>51582</v>
      </c>
      <c r="T8560">
        <v>25.9</v>
      </c>
      <c r="V8560" s="1">
        <v>45008</v>
      </c>
      <c r="W8560" t="s">
        <v>23237</v>
      </c>
      <c r="X8560">
        <v>807464</v>
      </c>
      <c r="Y8560" t="s">
        <v>51583</v>
      </c>
      <c r="Z8560" s="2" t="s">
        <v>51584</v>
      </c>
      <c r="AA8560" t="s">
        <v>12182</v>
      </c>
      <c r="AB8560" t="s">
        <v>9590</v>
      </c>
      <c r="AD8560" t="s">
        <v>10253</v>
      </c>
      <c r="AE8560" t="s">
        <v>1716</v>
      </c>
      <c r="AG8560" t="s">
        <v>51588</v>
      </c>
      <c r="AH8560" t="s">
        <v>51586</v>
      </c>
      <c r="AI8560" t="s">
        <v>51589</v>
      </c>
    </row>
    <row r="8561" spans="2:35" ht="285">
      <c r="B8561" s="1">
        <v>45014</v>
      </c>
      <c r="C8561" s="4">
        <v>45013.541666666664</v>
      </c>
      <c r="D8561" t="s">
        <v>2024</v>
      </c>
      <c r="E8561" t="s">
        <v>51590</v>
      </c>
      <c r="F8561">
        <v>8</v>
      </c>
      <c r="G8561" t="s">
        <v>630</v>
      </c>
      <c r="H8561" t="s">
        <v>39</v>
      </c>
      <c r="I8561" t="s">
        <v>40</v>
      </c>
      <c r="J8561" t="s">
        <v>109</v>
      </c>
      <c r="K8561" t="s">
        <v>42</v>
      </c>
      <c r="L8561" t="s">
        <v>259</v>
      </c>
      <c r="Q8561">
        <v>24024</v>
      </c>
      <c r="R8561" t="s">
        <v>45</v>
      </c>
      <c r="S8561" t="s">
        <v>51591</v>
      </c>
      <c r="T8561">
        <v>29</v>
      </c>
      <c r="U8561" s="2" t="s">
        <v>51592</v>
      </c>
      <c r="V8561" s="1">
        <v>45013</v>
      </c>
      <c r="W8561" t="s">
        <v>84</v>
      </c>
      <c r="X8561">
        <v>815271</v>
      </c>
      <c r="Y8561" t="s">
        <v>1716</v>
      </c>
      <c r="Z8561" t="e">
        <f ca="1">-performed Preventive Maintenance
-Generate reports
-performed functionality test</f>
        <v>#NAME?</v>
      </c>
      <c r="AA8561" t="s">
        <v>3128</v>
      </c>
      <c r="AB8561" t="s">
        <v>70</v>
      </c>
      <c r="AG8561" t="s">
        <v>51593</v>
      </c>
      <c r="AH8561" t="s">
        <v>51594</v>
      </c>
      <c r="AI8561" t="s">
        <v>51595</v>
      </c>
    </row>
    <row r="8562" spans="2:35" ht="180">
      <c r="B8562" s="1">
        <v>45013</v>
      </c>
      <c r="C8562" s="4">
        <v>45013.560416666667</v>
      </c>
      <c r="D8562" t="s">
        <v>3569</v>
      </c>
      <c r="E8562" t="s">
        <v>3570</v>
      </c>
      <c r="F8562">
        <v>3</v>
      </c>
      <c r="G8562" t="s">
        <v>174</v>
      </c>
      <c r="H8562" t="s">
        <v>39</v>
      </c>
      <c r="I8562" t="s">
        <v>40</v>
      </c>
      <c r="J8562" s="2" t="s">
        <v>62</v>
      </c>
      <c r="K8562" t="s">
        <v>42</v>
      </c>
      <c r="L8562" t="s">
        <v>175</v>
      </c>
      <c r="Q8562">
        <v>24023</v>
      </c>
      <c r="R8562" t="s">
        <v>45</v>
      </c>
      <c r="S8562" t="s">
        <v>535</v>
      </c>
      <c r="T8562">
        <v>29.1</v>
      </c>
      <c r="U8562" s="2" t="s">
        <v>51596</v>
      </c>
      <c r="W8562" t="s">
        <v>84</v>
      </c>
      <c r="X8562">
        <v>807624</v>
      </c>
      <c r="Y8562" t="s">
        <v>998</v>
      </c>
      <c r="Z8562" t="e">
        <f ca="1">- checked _xludf.and cleaned cartridge bay, plunger rod, icore slot, _xludf.filter
- performed XpertCheck
- generated reports</f>
        <v>#NAME?</v>
      </c>
      <c r="AA8562" t="s">
        <v>34204</v>
      </c>
      <c r="AB8562" s="2" t="s">
        <v>51597</v>
      </c>
      <c r="AG8562" t="s">
        <v>51598</v>
      </c>
      <c r="AH8562" t="s">
        <v>540</v>
      </c>
      <c r="AI8562" t="s">
        <v>51599</v>
      </c>
    </row>
    <row r="8563" spans="2:35" ht="210">
      <c r="B8563" s="1">
        <v>45013</v>
      </c>
      <c r="C8563" s="4">
        <v>45013.464583333334</v>
      </c>
      <c r="D8563" t="s">
        <v>51600</v>
      </c>
      <c r="E8563" t="s">
        <v>3570</v>
      </c>
      <c r="F8563">
        <v>3</v>
      </c>
      <c r="G8563" t="s">
        <v>174</v>
      </c>
      <c r="H8563" t="s">
        <v>39</v>
      </c>
      <c r="I8563" t="s">
        <v>40</v>
      </c>
      <c r="J8563" t="s">
        <v>79</v>
      </c>
      <c r="K8563" t="s">
        <v>42</v>
      </c>
      <c r="L8563" t="s">
        <v>175</v>
      </c>
      <c r="Q8563">
        <v>24022</v>
      </c>
      <c r="R8563" t="s">
        <v>45</v>
      </c>
      <c r="S8563" t="s">
        <v>51601</v>
      </c>
      <c r="T8563">
        <v>25</v>
      </c>
      <c r="U8563" s="2" t="s">
        <v>51602</v>
      </c>
      <c r="W8563" t="s">
        <v>84</v>
      </c>
      <c r="X8563">
        <v>814161</v>
      </c>
      <c r="Y8563" t="s">
        <v>998</v>
      </c>
      <c r="Z8563" t="e">
        <f ca="1">- checked _xludf.and cleaned icore slot, _xludf.filter
- performed XpertCheck
- generated reports</f>
        <v>#NAME?</v>
      </c>
      <c r="AA8563" t="s">
        <v>34204</v>
      </c>
      <c r="AB8563" s="2" t="s">
        <v>51603</v>
      </c>
      <c r="AG8563" t="s">
        <v>51604</v>
      </c>
      <c r="AH8563" t="s">
        <v>26465</v>
      </c>
      <c r="AI8563" t="s">
        <v>51605</v>
      </c>
    </row>
    <row r="8564" spans="2:35" ht="285">
      <c r="B8564" s="1">
        <v>45013</v>
      </c>
      <c r="C8564" s="4">
        <v>45013.459722222222</v>
      </c>
      <c r="D8564" t="s">
        <v>26467</v>
      </c>
      <c r="E8564" t="s">
        <v>3570</v>
      </c>
      <c r="F8564">
        <v>3</v>
      </c>
      <c r="G8564" t="s">
        <v>174</v>
      </c>
      <c r="H8564" t="s">
        <v>39</v>
      </c>
      <c r="I8564" t="s">
        <v>40</v>
      </c>
      <c r="J8564" t="s">
        <v>996</v>
      </c>
      <c r="K8564" t="s">
        <v>42</v>
      </c>
      <c r="L8564" t="s">
        <v>175</v>
      </c>
      <c r="Q8564">
        <v>24021</v>
      </c>
      <c r="R8564" t="s">
        <v>45</v>
      </c>
      <c r="S8564" t="s">
        <v>51601</v>
      </c>
      <c r="T8564">
        <v>25</v>
      </c>
      <c r="U8564" s="2" t="s">
        <v>51606</v>
      </c>
      <c r="W8564" t="s">
        <v>84</v>
      </c>
      <c r="X8564">
        <v>807620</v>
      </c>
      <c r="Y8564" t="s">
        <v>998</v>
      </c>
      <c r="Z8564" t="e">
        <f ca="1">- checked _xludf.and cleaned icore slot, _xludf.filter
- performed XpertCheck
- generated reports</f>
        <v>#NAME?</v>
      </c>
      <c r="AA8564" t="s">
        <v>34204</v>
      </c>
      <c r="AB8564" s="2" t="s">
        <v>51607</v>
      </c>
      <c r="AG8564" t="s">
        <v>51608</v>
      </c>
      <c r="AH8564" t="s">
        <v>26465</v>
      </c>
      <c r="AI8564" t="s">
        <v>51609</v>
      </c>
    </row>
    <row r="8565" spans="2:35" ht="285">
      <c r="B8565" s="1">
        <v>45013</v>
      </c>
      <c r="C8565" s="4">
        <v>45013.602777777778</v>
      </c>
      <c r="D8565" t="s">
        <v>10967</v>
      </c>
      <c r="E8565" t="s">
        <v>14481</v>
      </c>
      <c r="F8565">
        <v>7</v>
      </c>
      <c r="G8565" t="s">
        <v>432</v>
      </c>
      <c r="H8565" t="s">
        <v>10969</v>
      </c>
      <c r="I8565" t="s">
        <v>40</v>
      </c>
      <c r="J8565" s="2" t="s">
        <v>41</v>
      </c>
      <c r="K8565" t="s">
        <v>42</v>
      </c>
      <c r="L8565" t="s">
        <v>1288</v>
      </c>
      <c r="Q8565">
        <v>24020</v>
      </c>
      <c r="R8565" t="s">
        <v>45</v>
      </c>
      <c r="S8565" t="s">
        <v>33292</v>
      </c>
      <c r="T8565">
        <v>27</v>
      </c>
      <c r="U8565" s="2" t="s">
        <v>51610</v>
      </c>
      <c r="W8565" t="s">
        <v>1292</v>
      </c>
      <c r="X8565">
        <v>815275</v>
      </c>
      <c r="Y8565" t="s">
        <v>51611</v>
      </c>
      <c r="Z8565" t="e">
        <f ca="1">-COLLECT IQR,system _xludf.Log, _xludf.and ARCHIVE</f>
        <v>#NAME?</v>
      </c>
      <c r="AA8565" s="2" t="s">
        <v>51612</v>
      </c>
      <c r="AB8565" t="s">
        <v>1293</v>
      </c>
      <c r="AG8565" t="s">
        <v>51613</v>
      </c>
      <c r="AH8565" t="s">
        <v>507</v>
      </c>
      <c r="AI8565" t="s">
        <v>51614</v>
      </c>
    </row>
    <row r="8566" spans="2:35" ht="180">
      <c r="B8566" s="1">
        <v>45013</v>
      </c>
      <c r="C8566" s="4">
        <v>45013.560416666667</v>
      </c>
      <c r="D8566" t="s">
        <v>32260</v>
      </c>
      <c r="E8566" t="s">
        <v>51615</v>
      </c>
      <c r="F8566" t="s">
        <v>148</v>
      </c>
      <c r="G8566" t="s">
        <v>371</v>
      </c>
      <c r="H8566" t="s">
        <v>39</v>
      </c>
      <c r="I8566" t="s">
        <v>40</v>
      </c>
      <c r="J8566" s="2" t="s">
        <v>62</v>
      </c>
      <c r="K8566" t="s">
        <v>42</v>
      </c>
      <c r="L8566" t="s">
        <v>1943</v>
      </c>
      <c r="Q8566">
        <v>24019</v>
      </c>
      <c r="R8566" t="s">
        <v>45</v>
      </c>
      <c r="S8566" t="s">
        <v>32262</v>
      </c>
      <c r="T8566">
        <v>27</v>
      </c>
      <c r="U8566" s="2" t="s">
        <v>51616</v>
      </c>
      <c r="V8566" s="1">
        <v>45013</v>
      </c>
      <c r="W8566" t="s">
        <v>84</v>
      </c>
      <c r="X8566">
        <v>838884</v>
      </c>
      <c r="Y8566" s="2" t="s">
        <v>23659</v>
      </c>
      <c r="Z8566" s="2" t="s">
        <v>51617</v>
      </c>
      <c r="AA8566" t="s">
        <v>23660</v>
      </c>
      <c r="AB8566" t="s">
        <v>51618</v>
      </c>
      <c r="AD8566" t="s">
        <v>11518</v>
      </c>
      <c r="AE8566" t="s">
        <v>54</v>
      </c>
      <c r="AG8566" t="s">
        <v>51619</v>
      </c>
      <c r="AH8566" t="s">
        <v>51620</v>
      </c>
      <c r="AI8566" t="s">
        <v>51621</v>
      </c>
    </row>
    <row r="8567" spans="2:35" ht="165">
      <c r="B8567" s="1">
        <v>45013</v>
      </c>
      <c r="C8567" s="4">
        <v>45013.561805555553</v>
      </c>
      <c r="D8567" t="s">
        <v>51622</v>
      </c>
      <c r="E8567" t="s">
        <v>51623</v>
      </c>
      <c r="F8567">
        <v>7</v>
      </c>
      <c r="G8567" t="s">
        <v>432</v>
      </c>
      <c r="H8567" t="s">
        <v>2581</v>
      </c>
      <c r="I8567" t="s">
        <v>94</v>
      </c>
      <c r="J8567" t="s">
        <v>109</v>
      </c>
      <c r="K8567" t="s">
        <v>42</v>
      </c>
      <c r="L8567" t="s">
        <v>610</v>
      </c>
      <c r="Q8567">
        <v>24018</v>
      </c>
      <c r="R8567" t="s">
        <v>119</v>
      </c>
      <c r="S8567" t="s">
        <v>16540</v>
      </c>
      <c r="T8567">
        <v>22</v>
      </c>
      <c r="U8567" s="2" t="s">
        <v>49691</v>
      </c>
      <c r="V8567" s="1">
        <v>45013</v>
      </c>
      <c r="W8567" t="s">
        <v>502</v>
      </c>
      <c r="X8567">
        <v>838283</v>
      </c>
      <c r="Y8567" t="s">
        <v>51624</v>
      </c>
      <c r="Z8567" s="2" t="s">
        <v>51625</v>
      </c>
      <c r="AA8567" t="s">
        <v>51626</v>
      </c>
      <c r="AB8567" t="s">
        <v>51627</v>
      </c>
      <c r="AG8567" t="s">
        <v>51628</v>
      </c>
      <c r="AH8567" t="s">
        <v>44440</v>
      </c>
      <c r="AI8567" t="s">
        <v>51629</v>
      </c>
    </row>
    <row r="8568" spans="2:35" ht="105">
      <c r="B8568" s="1">
        <v>45013</v>
      </c>
      <c r="C8568" s="4">
        <v>45013.556250000001</v>
      </c>
      <c r="D8568" t="s">
        <v>24550</v>
      </c>
      <c r="E8568" t="s">
        <v>51630</v>
      </c>
      <c r="F8568">
        <v>13</v>
      </c>
      <c r="G8568" t="s">
        <v>4484</v>
      </c>
      <c r="H8568" t="s">
        <v>2125</v>
      </c>
      <c r="I8568" t="s">
        <v>40</v>
      </c>
      <c r="J8568" s="2" t="s">
        <v>760</v>
      </c>
      <c r="K8568" t="s">
        <v>42</v>
      </c>
      <c r="L8568" t="s">
        <v>933</v>
      </c>
      <c r="Q8568">
        <v>24017</v>
      </c>
      <c r="R8568" t="s">
        <v>719</v>
      </c>
      <c r="S8568" t="s">
        <v>51631</v>
      </c>
      <c r="T8568">
        <v>25.3</v>
      </c>
      <c r="U8568" s="2" t="s">
        <v>51632</v>
      </c>
      <c r="W8568" t="s">
        <v>1292</v>
      </c>
      <c r="X8568">
        <v>847338</v>
      </c>
      <c r="Y8568" t="s">
        <v>51633</v>
      </c>
      <c r="Z8568" t="s">
        <v>301</v>
      </c>
      <c r="AA8568" t="s">
        <v>51634</v>
      </c>
      <c r="AB8568" t="s">
        <v>51635</v>
      </c>
      <c r="AG8568" t="s">
        <v>51636</v>
      </c>
      <c r="AH8568" t="s">
        <v>51637</v>
      </c>
      <c r="AI8568" t="s">
        <v>51638</v>
      </c>
    </row>
    <row r="8569" spans="2:35" ht="285">
      <c r="B8569" s="1">
        <v>45013</v>
      </c>
      <c r="C8569" s="4">
        <v>45013.53402777778</v>
      </c>
      <c r="D8569" t="s">
        <v>3050</v>
      </c>
      <c r="E8569" t="s">
        <v>51639</v>
      </c>
      <c r="F8569" t="s">
        <v>148</v>
      </c>
      <c r="G8569" t="s">
        <v>371</v>
      </c>
      <c r="H8569" t="s">
        <v>39</v>
      </c>
      <c r="I8569" t="s">
        <v>40</v>
      </c>
      <c r="J8569" s="2" t="s">
        <v>41</v>
      </c>
      <c r="K8569" t="s">
        <v>42</v>
      </c>
      <c r="L8569" t="s">
        <v>1943</v>
      </c>
      <c r="Q8569">
        <v>24016</v>
      </c>
      <c r="R8569" t="s">
        <v>45</v>
      </c>
      <c r="S8569" t="s">
        <v>39588</v>
      </c>
      <c r="T8569">
        <v>28</v>
      </c>
      <c r="U8569" s="2" t="s">
        <v>51640</v>
      </c>
      <c r="V8569" s="1">
        <v>45012</v>
      </c>
      <c r="W8569" t="s">
        <v>84</v>
      </c>
      <c r="X8569">
        <v>805271</v>
      </c>
      <c r="Y8569" s="2" t="s">
        <v>22329</v>
      </c>
      <c r="Z8569" s="2" t="s">
        <v>51641</v>
      </c>
      <c r="AA8569" t="s">
        <v>22330</v>
      </c>
      <c r="AB8569" t="s">
        <v>88</v>
      </c>
      <c r="AD8569" t="s">
        <v>51642</v>
      </c>
      <c r="AE8569" t="s">
        <v>8904</v>
      </c>
      <c r="AG8569" t="s">
        <v>51643</v>
      </c>
      <c r="AH8569" t="s">
        <v>25468</v>
      </c>
      <c r="AI8569" t="s">
        <v>51644</v>
      </c>
    </row>
    <row r="8570" spans="2:35" ht="165">
      <c r="B8570" s="1">
        <v>45013</v>
      </c>
      <c r="C8570" s="4">
        <v>45013.505555555559</v>
      </c>
      <c r="D8570" t="s">
        <v>9995</v>
      </c>
      <c r="E8570" t="s">
        <v>15284</v>
      </c>
      <c r="F8570">
        <v>10</v>
      </c>
      <c r="G8570" t="s">
        <v>1395</v>
      </c>
      <c r="H8570" t="s">
        <v>1047</v>
      </c>
      <c r="I8570" t="s">
        <v>40</v>
      </c>
      <c r="J8570" t="s">
        <v>109</v>
      </c>
      <c r="K8570" t="s">
        <v>42</v>
      </c>
      <c r="L8570" t="s">
        <v>43100</v>
      </c>
      <c r="Q8570">
        <v>24015</v>
      </c>
      <c r="R8570" t="s">
        <v>119</v>
      </c>
      <c r="S8570" t="s">
        <v>15285</v>
      </c>
      <c r="T8570">
        <v>25</v>
      </c>
      <c r="U8570" s="2" t="s">
        <v>6812</v>
      </c>
      <c r="W8570" t="s">
        <v>43102</v>
      </c>
      <c r="X8570">
        <v>838442</v>
      </c>
      <c r="Y8570" t="s">
        <v>301</v>
      </c>
      <c r="Z8570" t="s">
        <v>301</v>
      </c>
      <c r="AA8570" s="2" t="s">
        <v>51645</v>
      </c>
      <c r="AB8570" t="s">
        <v>486</v>
      </c>
      <c r="AG8570" t="s">
        <v>51646</v>
      </c>
      <c r="AH8570" t="s">
        <v>47367</v>
      </c>
      <c r="AI8570" t="s">
        <v>51647</v>
      </c>
    </row>
    <row r="8571" spans="2:35" ht="240">
      <c r="B8571" s="1">
        <v>45013</v>
      </c>
      <c r="C8571" s="4">
        <v>45013.496527777781</v>
      </c>
      <c r="D8571" t="s">
        <v>13856</v>
      </c>
      <c r="E8571" t="s">
        <v>17759</v>
      </c>
      <c r="F8571">
        <v>12</v>
      </c>
      <c r="G8571" t="s">
        <v>1887</v>
      </c>
      <c r="H8571" t="s">
        <v>39</v>
      </c>
      <c r="I8571" t="s">
        <v>94</v>
      </c>
      <c r="J8571" s="2" t="s">
        <v>1157</v>
      </c>
      <c r="K8571" t="s">
        <v>42</v>
      </c>
      <c r="L8571" t="s">
        <v>296</v>
      </c>
      <c r="Q8571">
        <v>24014</v>
      </c>
      <c r="R8571" t="s">
        <v>119</v>
      </c>
      <c r="S8571" t="s">
        <v>13858</v>
      </c>
      <c r="T8571">
        <v>28</v>
      </c>
      <c r="U8571" s="2" t="s">
        <v>51648</v>
      </c>
      <c r="W8571" t="s">
        <v>23049</v>
      </c>
      <c r="X8571">
        <v>838205</v>
      </c>
      <c r="Y8571" s="2" t="s">
        <v>51649</v>
      </c>
      <c r="Z8571" s="2" t="s">
        <v>51650</v>
      </c>
      <c r="AA8571" s="2" t="s">
        <v>51650</v>
      </c>
      <c r="AB8571" t="s">
        <v>16070</v>
      </c>
      <c r="AG8571" t="s">
        <v>51651</v>
      </c>
      <c r="AH8571" t="s">
        <v>13861</v>
      </c>
      <c r="AI8571" t="s">
        <v>51652</v>
      </c>
    </row>
    <row r="8572" spans="2:35" ht="180">
      <c r="B8572" s="1">
        <v>45013</v>
      </c>
      <c r="C8572" s="4">
        <v>45013.470138888886</v>
      </c>
      <c r="D8572" t="s">
        <v>308</v>
      </c>
      <c r="E8572" t="s">
        <v>41354</v>
      </c>
      <c r="F8572" t="s">
        <v>148</v>
      </c>
      <c r="G8572" t="s">
        <v>310</v>
      </c>
      <c r="H8572" t="s">
        <v>39</v>
      </c>
      <c r="I8572" t="s">
        <v>40</v>
      </c>
      <c r="J8572" s="2" t="s">
        <v>41</v>
      </c>
      <c r="K8572" t="s">
        <v>42</v>
      </c>
      <c r="L8572" t="s">
        <v>1943</v>
      </c>
      <c r="Q8572">
        <v>24013</v>
      </c>
      <c r="R8572" t="s">
        <v>119</v>
      </c>
      <c r="S8572" t="s">
        <v>311</v>
      </c>
      <c r="T8572">
        <v>28</v>
      </c>
      <c r="U8572" s="2" t="s">
        <v>51653</v>
      </c>
      <c r="V8572" s="1">
        <v>45012</v>
      </c>
      <c r="W8572" t="s">
        <v>84</v>
      </c>
      <c r="X8572">
        <v>831534</v>
      </c>
      <c r="Y8572" s="2" t="s">
        <v>45942</v>
      </c>
      <c r="Z8572" s="2" t="s">
        <v>48122</v>
      </c>
      <c r="AA8572" t="s">
        <v>51654</v>
      </c>
      <c r="AB8572" t="s">
        <v>88</v>
      </c>
      <c r="AD8572" t="s">
        <v>51655</v>
      </c>
      <c r="AE8572" t="s">
        <v>51656</v>
      </c>
      <c r="AG8572" t="s">
        <v>51657</v>
      </c>
      <c r="AH8572" t="s">
        <v>317</v>
      </c>
      <c r="AI8572" t="s">
        <v>51658</v>
      </c>
    </row>
    <row r="8573" spans="2:35" ht="225">
      <c r="B8573" s="1">
        <v>45013</v>
      </c>
      <c r="C8573" s="4">
        <v>45012.54583333333</v>
      </c>
      <c r="D8573" t="s">
        <v>23423</v>
      </c>
      <c r="E8573" t="s">
        <v>46618</v>
      </c>
      <c r="F8573">
        <v>3</v>
      </c>
      <c r="G8573" t="s">
        <v>134</v>
      </c>
      <c r="H8573" t="s">
        <v>39</v>
      </c>
      <c r="I8573" t="s">
        <v>40</v>
      </c>
      <c r="J8573" s="2" t="s">
        <v>62</v>
      </c>
      <c r="K8573" t="s">
        <v>42</v>
      </c>
      <c r="L8573" t="s">
        <v>63</v>
      </c>
      <c r="Q8573">
        <v>24012</v>
      </c>
      <c r="R8573" t="s">
        <v>119</v>
      </c>
      <c r="S8573" t="s">
        <v>27447</v>
      </c>
      <c r="T8573">
        <v>29</v>
      </c>
      <c r="U8573" s="2" t="s">
        <v>51659</v>
      </c>
      <c r="V8573" s="1">
        <v>44964</v>
      </c>
      <c r="W8573" t="s">
        <v>26915</v>
      </c>
      <c r="X8573">
        <v>831714</v>
      </c>
      <c r="Y8573" t="s">
        <v>1716</v>
      </c>
      <c r="Z8573" t="s">
        <v>1716</v>
      </c>
      <c r="AA8573" s="2" t="s">
        <v>38119</v>
      </c>
      <c r="AB8573" t="s">
        <v>70</v>
      </c>
      <c r="AC8573" t="s">
        <v>51660</v>
      </c>
      <c r="AD8573" t="s">
        <v>46113</v>
      </c>
      <c r="AE8573">
        <v>9585</v>
      </c>
      <c r="AG8573" t="s">
        <v>51661</v>
      </c>
      <c r="AH8573" t="s">
        <v>51662</v>
      </c>
      <c r="AI8573" t="s">
        <v>51663</v>
      </c>
    </row>
    <row r="8574" spans="2:35" ht="409.5">
      <c r="B8574" s="1">
        <v>45013</v>
      </c>
      <c r="C8574" s="4">
        <v>45012.46875</v>
      </c>
      <c r="D8574" t="s">
        <v>27474</v>
      </c>
      <c r="E8574" t="s">
        <v>27475</v>
      </c>
      <c r="F8574">
        <v>3</v>
      </c>
      <c r="G8574" t="s">
        <v>134</v>
      </c>
      <c r="H8574" t="s">
        <v>39</v>
      </c>
      <c r="I8574" t="s">
        <v>40</v>
      </c>
      <c r="J8574" s="2" t="s">
        <v>1309</v>
      </c>
      <c r="K8574" t="s">
        <v>42</v>
      </c>
      <c r="L8574" t="s">
        <v>63</v>
      </c>
      <c r="Q8574">
        <v>24011</v>
      </c>
      <c r="R8574" t="s">
        <v>119</v>
      </c>
      <c r="S8574" t="s">
        <v>27476</v>
      </c>
      <c r="T8574">
        <v>29</v>
      </c>
      <c r="U8574" s="2" t="s">
        <v>51664</v>
      </c>
      <c r="V8574" s="1">
        <v>45007</v>
      </c>
      <c r="W8574" t="s">
        <v>26915</v>
      </c>
      <c r="X8574">
        <v>831873</v>
      </c>
      <c r="Y8574" t="s">
        <v>51665</v>
      </c>
      <c r="Z8574" t="s">
        <v>51666</v>
      </c>
      <c r="AA8574" s="2" t="s">
        <v>51667</v>
      </c>
      <c r="AB8574" t="s">
        <v>70</v>
      </c>
      <c r="AC8574" t="s">
        <v>51668</v>
      </c>
      <c r="AD8574" t="s">
        <v>51669</v>
      </c>
      <c r="AE8574" t="s">
        <v>51670</v>
      </c>
      <c r="AG8574" t="s">
        <v>51671</v>
      </c>
      <c r="AH8574" t="s">
        <v>51672</v>
      </c>
      <c r="AI8574" t="s">
        <v>51673</v>
      </c>
    </row>
    <row r="8575" spans="2:35" ht="225">
      <c r="B8575" s="1">
        <v>45012</v>
      </c>
      <c r="C8575" s="4">
        <v>45009.56527777778</v>
      </c>
      <c r="D8575" t="s">
        <v>23735</v>
      </c>
      <c r="E8575" t="s">
        <v>51674</v>
      </c>
      <c r="F8575" t="s">
        <v>37</v>
      </c>
      <c r="G8575" t="s">
        <v>78</v>
      </c>
      <c r="H8575" t="s">
        <v>2274</v>
      </c>
      <c r="I8575" t="s">
        <v>40</v>
      </c>
      <c r="J8575" s="2" t="s">
        <v>1309</v>
      </c>
      <c r="K8575" t="s">
        <v>387</v>
      </c>
      <c r="L8575" t="s">
        <v>43</v>
      </c>
      <c r="Q8575">
        <v>24010</v>
      </c>
      <c r="R8575" t="s">
        <v>322</v>
      </c>
      <c r="S8575" t="s">
        <v>23737</v>
      </c>
      <c r="T8575">
        <v>26</v>
      </c>
      <c r="V8575" s="1">
        <v>45009</v>
      </c>
      <c r="W8575" t="s">
        <v>390</v>
      </c>
      <c r="X8575" t="s">
        <v>5954</v>
      </c>
      <c r="Y8575" t="s">
        <v>51675</v>
      </c>
      <c r="Z8575" t="s">
        <v>51676</v>
      </c>
      <c r="AA8575" s="2" t="s">
        <v>51677</v>
      </c>
      <c r="AB8575" t="s">
        <v>88</v>
      </c>
      <c r="AC8575" t="s">
        <v>51678</v>
      </c>
      <c r="AD8575" t="s">
        <v>51679</v>
      </c>
      <c r="AE8575" t="s">
        <v>51680</v>
      </c>
      <c r="AG8575" t="s">
        <v>51681</v>
      </c>
      <c r="AH8575" t="s">
        <v>23742</v>
      </c>
      <c r="AI8575" t="s">
        <v>51682</v>
      </c>
    </row>
    <row r="8576" spans="2:35" ht="180">
      <c r="B8576" s="1">
        <v>45012</v>
      </c>
      <c r="C8576" s="4">
        <v>45007.402777777781</v>
      </c>
      <c r="D8576" t="s">
        <v>542</v>
      </c>
      <c r="E8576" t="s">
        <v>30872</v>
      </c>
      <c r="F8576" t="s">
        <v>148</v>
      </c>
      <c r="G8576" t="s">
        <v>544</v>
      </c>
      <c r="H8576" t="s">
        <v>39</v>
      </c>
      <c r="I8576" t="s">
        <v>40</v>
      </c>
      <c r="J8576" s="2" t="s">
        <v>41</v>
      </c>
      <c r="K8576" t="s">
        <v>42</v>
      </c>
      <c r="L8576" t="s">
        <v>43</v>
      </c>
      <c r="Q8576">
        <v>24008</v>
      </c>
      <c r="R8576" t="s">
        <v>119</v>
      </c>
      <c r="S8576" t="s">
        <v>15929</v>
      </c>
      <c r="T8576">
        <v>25</v>
      </c>
      <c r="U8576" s="2" t="s">
        <v>51683</v>
      </c>
      <c r="V8576" s="1">
        <v>45005</v>
      </c>
      <c r="W8576" t="s">
        <v>9792</v>
      </c>
      <c r="X8576">
        <v>831588</v>
      </c>
      <c r="Y8576" t="s">
        <v>51684</v>
      </c>
      <c r="Z8576" t="s">
        <v>7399</v>
      </c>
      <c r="AA8576" s="2" t="s">
        <v>11546</v>
      </c>
      <c r="AB8576" t="s">
        <v>51685</v>
      </c>
      <c r="AD8576" s="2" t="s">
        <v>51686</v>
      </c>
      <c r="AE8576" t="s">
        <v>51687</v>
      </c>
      <c r="AG8576" t="s">
        <v>51688</v>
      </c>
      <c r="AH8576" t="s">
        <v>15931</v>
      </c>
      <c r="AI8576" t="s">
        <v>51689</v>
      </c>
    </row>
    <row r="8577" spans="2:35" ht="180">
      <c r="B8577" s="1">
        <v>45012</v>
      </c>
      <c r="C8577" s="4">
        <v>45008.631944444445</v>
      </c>
      <c r="D8577" t="s">
        <v>25324</v>
      </c>
      <c r="E8577" t="s">
        <v>27738</v>
      </c>
      <c r="F8577" t="s">
        <v>37</v>
      </c>
      <c r="G8577" t="s">
        <v>78</v>
      </c>
      <c r="H8577" t="s">
        <v>39</v>
      </c>
      <c r="I8577" t="s">
        <v>40</v>
      </c>
      <c r="J8577" s="2" t="s">
        <v>41</v>
      </c>
      <c r="K8577" t="s">
        <v>42</v>
      </c>
      <c r="L8577" t="s">
        <v>43</v>
      </c>
      <c r="Q8577">
        <v>24009</v>
      </c>
      <c r="R8577" t="s">
        <v>119</v>
      </c>
      <c r="S8577" t="s">
        <v>51690</v>
      </c>
      <c r="T8577">
        <v>25</v>
      </c>
      <c r="U8577" s="2" t="s">
        <v>51691</v>
      </c>
      <c r="V8577" s="1">
        <v>45005</v>
      </c>
      <c r="W8577" t="s">
        <v>9792</v>
      </c>
      <c r="X8577">
        <v>821292</v>
      </c>
      <c r="Y8577" t="s">
        <v>2514</v>
      </c>
      <c r="Z8577" t="s">
        <v>40723</v>
      </c>
      <c r="AA8577" s="2" t="s">
        <v>43527</v>
      </c>
      <c r="AB8577" t="s">
        <v>51692</v>
      </c>
      <c r="AD8577" s="2" t="s">
        <v>51693</v>
      </c>
      <c r="AE8577" t="s">
        <v>51694</v>
      </c>
      <c r="AG8577" t="s">
        <v>51695</v>
      </c>
      <c r="AH8577" t="s">
        <v>51696</v>
      </c>
      <c r="AI8577" t="s">
        <v>51697</v>
      </c>
    </row>
    <row r="8578" spans="2:35" ht="180">
      <c r="B8578" s="1">
        <v>45012</v>
      </c>
      <c r="C8578" s="4">
        <v>45007.564583333333</v>
      </c>
      <c r="D8578" t="s">
        <v>22809</v>
      </c>
      <c r="E8578" t="s">
        <v>40154</v>
      </c>
      <c r="F8578" t="s">
        <v>148</v>
      </c>
      <c r="G8578" t="s">
        <v>544</v>
      </c>
      <c r="H8578" t="s">
        <v>39</v>
      </c>
      <c r="I8578" t="s">
        <v>40</v>
      </c>
      <c r="J8578" s="2" t="s">
        <v>41</v>
      </c>
      <c r="K8578" t="s">
        <v>42</v>
      </c>
      <c r="L8578" t="s">
        <v>43</v>
      </c>
      <c r="Q8578">
        <v>24006</v>
      </c>
      <c r="R8578" t="s">
        <v>45</v>
      </c>
      <c r="S8578" t="s">
        <v>51698</v>
      </c>
      <c r="T8578">
        <v>28</v>
      </c>
      <c r="U8578" s="2" t="s">
        <v>51699</v>
      </c>
      <c r="V8578" s="1">
        <v>45005</v>
      </c>
      <c r="W8578" t="s">
        <v>9792</v>
      </c>
      <c r="X8578">
        <v>807982</v>
      </c>
      <c r="Y8578" t="s">
        <v>424</v>
      </c>
      <c r="Z8578" t="s">
        <v>51700</v>
      </c>
      <c r="AA8578" s="2" t="s">
        <v>51701</v>
      </c>
      <c r="AB8578" t="s">
        <v>16412</v>
      </c>
      <c r="AD8578" s="2" t="s">
        <v>51702</v>
      </c>
      <c r="AE8578" t="s">
        <v>51703</v>
      </c>
      <c r="AG8578" t="s">
        <v>51704</v>
      </c>
      <c r="AH8578" t="s">
        <v>26399</v>
      </c>
      <c r="AI8578" t="s">
        <v>51705</v>
      </c>
    </row>
    <row r="8579" spans="2:35" ht="180">
      <c r="B8579" s="1">
        <v>45012</v>
      </c>
      <c r="C8579" s="4">
        <v>45008.5625</v>
      </c>
      <c r="D8579" t="s">
        <v>30287</v>
      </c>
      <c r="E8579" t="s">
        <v>51706</v>
      </c>
      <c r="F8579" t="s">
        <v>37</v>
      </c>
      <c r="G8579" t="s">
        <v>78</v>
      </c>
      <c r="H8579" t="s">
        <v>39</v>
      </c>
      <c r="I8579" t="s">
        <v>40</v>
      </c>
      <c r="J8579" s="2" t="s">
        <v>41</v>
      </c>
      <c r="K8579" t="s">
        <v>42</v>
      </c>
      <c r="L8579" t="s">
        <v>43</v>
      </c>
      <c r="Q8579">
        <v>24007</v>
      </c>
      <c r="R8579" t="s">
        <v>45</v>
      </c>
      <c r="S8579" t="s">
        <v>51707</v>
      </c>
      <c r="T8579">
        <v>28</v>
      </c>
      <c r="U8579" s="2" t="s">
        <v>51708</v>
      </c>
      <c r="V8579" s="1">
        <v>45005</v>
      </c>
      <c r="W8579" t="s">
        <v>9792</v>
      </c>
      <c r="X8579">
        <v>838148</v>
      </c>
      <c r="Y8579" t="s">
        <v>424</v>
      </c>
      <c r="Z8579" t="s">
        <v>40723</v>
      </c>
      <c r="AA8579" s="2" t="s">
        <v>38682</v>
      </c>
      <c r="AB8579" t="s">
        <v>16412</v>
      </c>
      <c r="AD8579" s="2" t="s">
        <v>51709</v>
      </c>
      <c r="AE8579" t="s">
        <v>54</v>
      </c>
      <c r="AG8579" t="s">
        <v>51710</v>
      </c>
      <c r="AH8579" t="s">
        <v>51711</v>
      </c>
      <c r="AI8579" t="s">
        <v>51712</v>
      </c>
    </row>
    <row r="8580" spans="2:35" ht="195">
      <c r="B8580" s="1">
        <v>45012</v>
      </c>
      <c r="C8580" s="4">
        <v>45008.436805555553</v>
      </c>
      <c r="D8580" t="s">
        <v>7600</v>
      </c>
      <c r="E8580" t="s">
        <v>51713</v>
      </c>
      <c r="F8580" t="s">
        <v>37</v>
      </c>
      <c r="G8580" t="s">
        <v>78</v>
      </c>
      <c r="H8580" t="s">
        <v>39</v>
      </c>
      <c r="I8580" t="s">
        <v>40</v>
      </c>
      <c r="J8580" s="2" t="s">
        <v>41</v>
      </c>
      <c r="K8580" t="s">
        <v>42</v>
      </c>
      <c r="L8580" t="s">
        <v>43</v>
      </c>
      <c r="Q8580">
        <v>24005</v>
      </c>
      <c r="R8580" t="s">
        <v>119</v>
      </c>
      <c r="S8580" t="s">
        <v>51714</v>
      </c>
      <c r="T8580">
        <v>24</v>
      </c>
      <c r="U8580" s="2" t="s">
        <v>51715</v>
      </c>
      <c r="V8580" s="1">
        <v>45005</v>
      </c>
      <c r="W8580" t="s">
        <v>9792</v>
      </c>
      <c r="X8580">
        <v>820229</v>
      </c>
      <c r="Y8580" t="s">
        <v>40346</v>
      </c>
      <c r="Z8580" t="s">
        <v>51716</v>
      </c>
      <c r="AA8580" s="2" t="s">
        <v>51717</v>
      </c>
      <c r="AB8580" t="s">
        <v>51718</v>
      </c>
      <c r="AD8580" s="2" t="s">
        <v>51719</v>
      </c>
      <c r="AE8580" t="s">
        <v>51720</v>
      </c>
      <c r="AG8580" t="s">
        <v>51721</v>
      </c>
      <c r="AH8580" t="s">
        <v>27762</v>
      </c>
      <c r="AI8580" t="s">
        <v>51722</v>
      </c>
    </row>
    <row r="8581" spans="2:35" ht="315">
      <c r="B8581" s="1">
        <v>45012</v>
      </c>
      <c r="C8581" s="4">
        <v>45012.584722222222</v>
      </c>
      <c r="D8581" t="s">
        <v>1015</v>
      </c>
      <c r="E8581" t="s">
        <v>47562</v>
      </c>
      <c r="F8581">
        <v>3</v>
      </c>
      <c r="G8581" t="s">
        <v>730</v>
      </c>
      <c r="H8581" t="s">
        <v>39</v>
      </c>
      <c r="I8581" t="s">
        <v>40</v>
      </c>
      <c r="J8581" s="2" t="s">
        <v>41</v>
      </c>
      <c r="K8581" t="s">
        <v>42</v>
      </c>
      <c r="L8581" t="s">
        <v>135</v>
      </c>
      <c r="Q8581">
        <v>24004</v>
      </c>
      <c r="R8581" t="s">
        <v>119</v>
      </c>
      <c r="S8581" t="s">
        <v>1018</v>
      </c>
      <c r="T8581">
        <v>28.5</v>
      </c>
      <c r="U8581" s="2" t="s">
        <v>51723</v>
      </c>
      <c r="V8581" s="1">
        <v>45007</v>
      </c>
      <c r="W8581" t="s">
        <v>2680</v>
      </c>
      <c r="X8581">
        <v>831587</v>
      </c>
      <c r="Y8581" t="s">
        <v>51724</v>
      </c>
      <c r="Z8581" s="2" t="s">
        <v>51725</v>
      </c>
      <c r="AA8581" s="2" t="s">
        <v>47997</v>
      </c>
      <c r="AB8581" t="s">
        <v>181</v>
      </c>
      <c r="AD8581" t="s">
        <v>51423</v>
      </c>
      <c r="AE8581" t="s">
        <v>51726</v>
      </c>
      <c r="AG8581" t="s">
        <v>51727</v>
      </c>
      <c r="AH8581" t="s">
        <v>1024</v>
      </c>
      <c r="AI8581" t="s">
        <v>51728</v>
      </c>
    </row>
    <row r="8582" spans="2:35" ht="285">
      <c r="B8582" s="1">
        <v>45012</v>
      </c>
      <c r="C8582" s="4">
        <v>45012.502083333333</v>
      </c>
      <c r="D8582" t="s">
        <v>2408</v>
      </c>
      <c r="E8582" t="s">
        <v>51729</v>
      </c>
      <c r="F8582">
        <v>3</v>
      </c>
      <c r="G8582" t="s">
        <v>730</v>
      </c>
      <c r="H8582" t="s">
        <v>39</v>
      </c>
      <c r="I8582" t="s">
        <v>40</v>
      </c>
      <c r="J8582" s="2" t="s">
        <v>190</v>
      </c>
      <c r="K8582" t="s">
        <v>42</v>
      </c>
      <c r="L8582" t="s">
        <v>135</v>
      </c>
      <c r="Q8582">
        <v>24003</v>
      </c>
      <c r="R8582" t="s">
        <v>45</v>
      </c>
      <c r="S8582" t="s">
        <v>51730</v>
      </c>
      <c r="T8582">
        <v>26.6</v>
      </c>
      <c r="U8582" s="2" t="s">
        <v>51731</v>
      </c>
      <c r="W8582" t="s">
        <v>2680</v>
      </c>
      <c r="X8582">
        <v>807562</v>
      </c>
      <c r="Y8582" t="s">
        <v>51732</v>
      </c>
      <c r="Z8582" s="2" t="s">
        <v>51733</v>
      </c>
      <c r="AA8582" s="2" t="s">
        <v>51734</v>
      </c>
      <c r="AB8582" t="s">
        <v>51735</v>
      </c>
      <c r="AG8582" t="s">
        <v>51736</v>
      </c>
      <c r="AH8582" t="s">
        <v>51737</v>
      </c>
      <c r="AI8582" t="s">
        <v>51738</v>
      </c>
    </row>
    <row r="8583" spans="2:35" ht="285">
      <c r="B8583" s="1">
        <v>45012</v>
      </c>
      <c r="C8583" s="4">
        <v>45012.502083333333</v>
      </c>
      <c r="D8583" t="s">
        <v>2408</v>
      </c>
      <c r="E8583" t="s">
        <v>51729</v>
      </c>
      <c r="F8583">
        <v>3</v>
      </c>
      <c r="G8583" t="s">
        <v>730</v>
      </c>
      <c r="H8583" t="s">
        <v>39</v>
      </c>
      <c r="I8583" t="s">
        <v>40</v>
      </c>
      <c r="J8583" s="2" t="s">
        <v>190</v>
      </c>
      <c r="K8583" t="s">
        <v>42</v>
      </c>
      <c r="L8583" t="s">
        <v>135</v>
      </c>
      <c r="Q8583">
        <v>24002</v>
      </c>
      <c r="R8583" t="s">
        <v>45</v>
      </c>
      <c r="S8583" t="s">
        <v>51730</v>
      </c>
      <c r="T8583">
        <v>26.6</v>
      </c>
      <c r="U8583" s="2" t="s">
        <v>51731</v>
      </c>
      <c r="W8583" t="s">
        <v>2680</v>
      </c>
      <c r="X8583">
        <v>807562</v>
      </c>
      <c r="Y8583" t="s">
        <v>51732</v>
      </c>
      <c r="Z8583" s="2" t="s">
        <v>51733</v>
      </c>
      <c r="AA8583" s="2" t="s">
        <v>51734</v>
      </c>
      <c r="AB8583" t="s">
        <v>51735</v>
      </c>
      <c r="AG8583" t="s">
        <v>51739</v>
      </c>
      <c r="AH8583" t="s">
        <v>51737</v>
      </c>
      <c r="AI8583" t="s">
        <v>51740</v>
      </c>
    </row>
    <row r="8584" spans="2:35" ht="105">
      <c r="B8584" s="1">
        <v>45012</v>
      </c>
      <c r="C8584" s="4">
        <v>45012.506249999999</v>
      </c>
      <c r="D8584" t="s">
        <v>51741</v>
      </c>
      <c r="E8584" t="s">
        <v>51742</v>
      </c>
      <c r="F8584">
        <v>9</v>
      </c>
      <c r="G8584" t="s">
        <v>2197</v>
      </c>
      <c r="H8584" t="s">
        <v>39</v>
      </c>
      <c r="I8584" t="s">
        <v>40</v>
      </c>
      <c r="J8584" t="s">
        <v>109</v>
      </c>
      <c r="K8584" t="s">
        <v>42</v>
      </c>
      <c r="L8584" t="s">
        <v>1257</v>
      </c>
      <c r="Q8584">
        <v>24001</v>
      </c>
      <c r="R8584" t="s">
        <v>95</v>
      </c>
      <c r="S8584" t="s">
        <v>51743</v>
      </c>
      <c r="T8584">
        <v>21</v>
      </c>
      <c r="U8584" s="2" t="s">
        <v>51744</v>
      </c>
      <c r="V8584" s="1">
        <v>45012</v>
      </c>
      <c r="W8584" t="s">
        <v>2384</v>
      </c>
      <c r="X8584">
        <v>834112</v>
      </c>
      <c r="Y8584" t="s">
        <v>51745</v>
      </c>
      <c r="Z8584" t="s">
        <v>51746</v>
      </c>
      <c r="AA8584" t="s">
        <v>2129</v>
      </c>
      <c r="AB8584" t="s">
        <v>51747</v>
      </c>
      <c r="AC8584" t="s">
        <v>301</v>
      </c>
      <c r="AD8584" t="s">
        <v>54</v>
      </c>
      <c r="AE8584" t="s">
        <v>54</v>
      </c>
      <c r="AG8584" t="s">
        <v>51748</v>
      </c>
      <c r="AH8584" t="s">
        <v>51749</v>
      </c>
      <c r="AI8584" t="s">
        <v>51750</v>
      </c>
    </row>
    <row r="8585" spans="2:35" ht="210">
      <c r="B8585" s="1">
        <v>45012</v>
      </c>
      <c r="C8585" s="4">
        <v>45008.540972222225</v>
      </c>
      <c r="D8585" t="s">
        <v>6619</v>
      </c>
      <c r="E8585" t="s">
        <v>51751</v>
      </c>
      <c r="F8585" t="s">
        <v>37</v>
      </c>
      <c r="G8585" t="s">
        <v>748</v>
      </c>
      <c r="H8585" t="s">
        <v>39</v>
      </c>
      <c r="I8585" t="s">
        <v>40</v>
      </c>
      <c r="J8585" s="2" t="s">
        <v>49842</v>
      </c>
      <c r="K8585" t="s">
        <v>42</v>
      </c>
      <c r="L8585" t="s">
        <v>1028</v>
      </c>
      <c r="Q8585">
        <v>23998</v>
      </c>
      <c r="R8585" t="s">
        <v>119</v>
      </c>
      <c r="S8585" t="s">
        <v>5176</v>
      </c>
      <c r="T8585">
        <v>27</v>
      </c>
      <c r="U8585" s="2" t="s">
        <v>51752</v>
      </c>
      <c r="V8585" s="1">
        <v>45005</v>
      </c>
      <c r="W8585" t="s">
        <v>2680</v>
      </c>
      <c r="X8585">
        <v>838535</v>
      </c>
      <c r="Y8585" t="s">
        <v>51753</v>
      </c>
      <c r="Z8585" t="s">
        <v>2129</v>
      </c>
      <c r="AA8585" s="2" t="s">
        <v>51754</v>
      </c>
      <c r="AB8585" t="s">
        <v>28920</v>
      </c>
      <c r="AC8585" t="s">
        <v>51755</v>
      </c>
      <c r="AD8585" t="s">
        <v>31932</v>
      </c>
      <c r="AE8585" t="s">
        <v>51756</v>
      </c>
      <c r="AG8585" t="s">
        <v>51757</v>
      </c>
      <c r="AH8585" t="s">
        <v>51758</v>
      </c>
      <c r="AI8585" t="s">
        <v>51759</v>
      </c>
    </row>
    <row r="8586" spans="2:35" ht="195">
      <c r="B8586" s="1">
        <v>45012</v>
      </c>
      <c r="C8586" s="4">
        <v>45008.462500000001</v>
      </c>
      <c r="D8586" t="s">
        <v>25923</v>
      </c>
      <c r="E8586" t="s">
        <v>51760</v>
      </c>
      <c r="F8586" t="s">
        <v>37</v>
      </c>
      <c r="G8586" t="s">
        <v>748</v>
      </c>
      <c r="H8586" t="s">
        <v>39</v>
      </c>
      <c r="I8586" t="s">
        <v>40</v>
      </c>
      <c r="J8586" s="2" t="s">
        <v>33238</v>
      </c>
      <c r="K8586" t="s">
        <v>42</v>
      </c>
      <c r="L8586" t="s">
        <v>1028</v>
      </c>
      <c r="Q8586">
        <v>23997</v>
      </c>
      <c r="R8586" t="s">
        <v>119</v>
      </c>
      <c r="S8586" t="s">
        <v>25925</v>
      </c>
      <c r="T8586">
        <v>24</v>
      </c>
      <c r="U8586" s="2" t="s">
        <v>15020</v>
      </c>
      <c r="W8586" t="s">
        <v>2680</v>
      </c>
      <c r="X8586">
        <v>821284</v>
      </c>
      <c r="Y8586" t="s">
        <v>51761</v>
      </c>
      <c r="Z8586" t="s">
        <v>33241</v>
      </c>
      <c r="AA8586" s="2" t="s">
        <v>51762</v>
      </c>
      <c r="AB8586" t="s">
        <v>28920</v>
      </c>
      <c r="AC8586" t="s">
        <v>51763</v>
      </c>
      <c r="AG8586" t="s">
        <v>51764</v>
      </c>
      <c r="AH8586" t="s">
        <v>25928</v>
      </c>
      <c r="AI8586" t="s">
        <v>51765</v>
      </c>
    </row>
    <row r="8587" spans="2:35" ht="180">
      <c r="B8587" s="1">
        <v>45012</v>
      </c>
      <c r="C8587" s="4">
        <v>45009.401388888888</v>
      </c>
      <c r="D8587" t="s">
        <v>23772</v>
      </c>
      <c r="E8587" t="s">
        <v>51766</v>
      </c>
      <c r="F8587" t="s">
        <v>37</v>
      </c>
      <c r="G8587" t="s">
        <v>748</v>
      </c>
      <c r="H8587" t="s">
        <v>39</v>
      </c>
      <c r="I8587" t="s">
        <v>40</v>
      </c>
      <c r="J8587" s="2" t="s">
        <v>41</v>
      </c>
      <c r="K8587" t="s">
        <v>42</v>
      </c>
      <c r="L8587" t="s">
        <v>1028</v>
      </c>
      <c r="Q8587">
        <v>23999</v>
      </c>
      <c r="R8587" t="s">
        <v>119</v>
      </c>
      <c r="S8587" t="s">
        <v>30203</v>
      </c>
      <c r="T8587">
        <v>27</v>
      </c>
      <c r="U8587" s="2" t="s">
        <v>4094</v>
      </c>
      <c r="V8587" s="1">
        <v>45005</v>
      </c>
      <c r="W8587" t="s">
        <v>2680</v>
      </c>
      <c r="X8587">
        <v>821279</v>
      </c>
      <c r="Y8587" t="s">
        <v>51767</v>
      </c>
      <c r="Z8587" t="s">
        <v>2129</v>
      </c>
      <c r="AA8587" s="2" t="s">
        <v>51768</v>
      </c>
      <c r="AB8587" t="s">
        <v>3063</v>
      </c>
      <c r="AC8587" t="s">
        <v>51769</v>
      </c>
      <c r="AD8587" t="s">
        <v>31932</v>
      </c>
      <c r="AE8587" t="s">
        <v>51770</v>
      </c>
      <c r="AG8587" t="s">
        <v>51771</v>
      </c>
      <c r="AH8587" t="s">
        <v>30209</v>
      </c>
      <c r="AI8587" t="s">
        <v>51772</v>
      </c>
    </row>
    <row r="8588" spans="2:35" ht="165">
      <c r="B8588" s="1">
        <v>45012</v>
      </c>
      <c r="C8588" s="4">
        <v>45009.472222222219</v>
      </c>
      <c r="D8588" t="s">
        <v>5097</v>
      </c>
      <c r="E8588" t="s">
        <v>51773</v>
      </c>
      <c r="F8588" t="s">
        <v>37</v>
      </c>
      <c r="G8588" t="s">
        <v>748</v>
      </c>
      <c r="H8588" t="s">
        <v>39</v>
      </c>
      <c r="I8588" t="s">
        <v>40</v>
      </c>
      <c r="J8588" s="2" t="s">
        <v>41</v>
      </c>
      <c r="K8588" t="s">
        <v>42</v>
      </c>
      <c r="L8588" t="s">
        <v>1028</v>
      </c>
      <c r="Q8588">
        <v>24000</v>
      </c>
      <c r="R8588" t="s">
        <v>119</v>
      </c>
      <c r="S8588" t="s">
        <v>33902</v>
      </c>
      <c r="T8588">
        <v>26.5</v>
      </c>
      <c r="U8588" s="2" t="s">
        <v>21983</v>
      </c>
      <c r="V8588" s="1">
        <v>45005</v>
      </c>
      <c r="W8588" t="s">
        <v>2680</v>
      </c>
      <c r="X8588">
        <v>820708</v>
      </c>
      <c r="Y8588" t="s">
        <v>51774</v>
      </c>
      <c r="Z8588" t="s">
        <v>2129</v>
      </c>
      <c r="AA8588" s="2" t="s">
        <v>51775</v>
      </c>
      <c r="AB8588" t="s">
        <v>3063</v>
      </c>
      <c r="AC8588" t="s">
        <v>51776</v>
      </c>
      <c r="AD8588" t="s">
        <v>31932</v>
      </c>
      <c r="AE8588" t="s">
        <v>51777</v>
      </c>
      <c r="AG8588" t="s">
        <v>51778</v>
      </c>
      <c r="AH8588" t="s">
        <v>24750</v>
      </c>
      <c r="AI8588" t="s">
        <v>51779</v>
      </c>
    </row>
    <row r="8589" spans="2:35" ht="210">
      <c r="B8589" s="1">
        <v>45012</v>
      </c>
      <c r="C8589" s="4">
        <v>45006.411111111112</v>
      </c>
      <c r="D8589" t="s">
        <v>3782</v>
      </c>
      <c r="E8589" t="s">
        <v>42979</v>
      </c>
      <c r="F8589" t="s">
        <v>37</v>
      </c>
      <c r="G8589" t="s">
        <v>748</v>
      </c>
      <c r="H8589" t="s">
        <v>39</v>
      </c>
      <c r="I8589" t="s">
        <v>40</v>
      </c>
      <c r="J8589" s="2" t="s">
        <v>49842</v>
      </c>
      <c r="K8589" t="s">
        <v>42</v>
      </c>
      <c r="L8589" t="s">
        <v>1028</v>
      </c>
      <c r="Q8589">
        <v>23993</v>
      </c>
      <c r="R8589" t="s">
        <v>119</v>
      </c>
      <c r="S8589" t="s">
        <v>3784</v>
      </c>
      <c r="T8589">
        <v>25</v>
      </c>
      <c r="U8589" s="2" t="s">
        <v>51780</v>
      </c>
      <c r="V8589" s="1">
        <v>45005</v>
      </c>
      <c r="W8589" t="s">
        <v>2680</v>
      </c>
      <c r="X8589">
        <v>821340</v>
      </c>
      <c r="Y8589" t="s">
        <v>51781</v>
      </c>
      <c r="Z8589" t="s">
        <v>2129</v>
      </c>
      <c r="AA8589" s="2" t="s">
        <v>51782</v>
      </c>
      <c r="AB8589" t="s">
        <v>51783</v>
      </c>
      <c r="AC8589" t="s">
        <v>51784</v>
      </c>
      <c r="AD8589" t="s">
        <v>51785</v>
      </c>
      <c r="AE8589" t="s">
        <v>51786</v>
      </c>
      <c r="AG8589" t="s">
        <v>51787</v>
      </c>
      <c r="AH8589" t="s">
        <v>8229</v>
      </c>
      <c r="AI8589" t="s">
        <v>51788</v>
      </c>
    </row>
    <row r="8590" spans="2:35" ht="165">
      <c r="B8590" s="1">
        <v>45012</v>
      </c>
      <c r="C8590" s="4">
        <v>45006.488194444442</v>
      </c>
      <c r="D8590" t="s">
        <v>30233</v>
      </c>
      <c r="E8590" t="s">
        <v>39047</v>
      </c>
      <c r="F8590" t="s">
        <v>37</v>
      </c>
      <c r="G8590" t="s">
        <v>748</v>
      </c>
      <c r="H8590" t="s">
        <v>39</v>
      </c>
      <c r="I8590" t="s">
        <v>40</v>
      </c>
      <c r="J8590" s="2" t="s">
        <v>62</v>
      </c>
      <c r="K8590" t="s">
        <v>42</v>
      </c>
      <c r="L8590" t="s">
        <v>1028</v>
      </c>
      <c r="Q8590">
        <v>23994</v>
      </c>
      <c r="R8590" t="s">
        <v>45</v>
      </c>
      <c r="S8590" t="s">
        <v>37309</v>
      </c>
      <c r="T8590">
        <v>25</v>
      </c>
      <c r="W8590" t="s">
        <v>2680</v>
      </c>
      <c r="X8590">
        <v>838162</v>
      </c>
      <c r="Y8590" t="s">
        <v>18140</v>
      </c>
      <c r="Z8590" t="s">
        <v>21244</v>
      </c>
      <c r="AA8590" s="2" t="s">
        <v>31300</v>
      </c>
      <c r="AB8590" t="s">
        <v>30197</v>
      </c>
      <c r="AC8590" t="s">
        <v>51789</v>
      </c>
      <c r="AG8590" t="s">
        <v>51790</v>
      </c>
      <c r="AH8590" t="s">
        <v>39050</v>
      </c>
      <c r="AI8590" t="s">
        <v>51791</v>
      </c>
    </row>
    <row r="8591" spans="2:35" ht="210">
      <c r="B8591" s="1">
        <v>45012</v>
      </c>
      <c r="C8591" s="4">
        <v>45006.477083333331</v>
      </c>
      <c r="D8591" t="s">
        <v>30233</v>
      </c>
      <c r="E8591" t="s">
        <v>39047</v>
      </c>
      <c r="F8591" t="s">
        <v>37</v>
      </c>
      <c r="G8591" t="s">
        <v>748</v>
      </c>
      <c r="H8591" t="s">
        <v>39</v>
      </c>
      <c r="I8591" t="s">
        <v>40</v>
      </c>
      <c r="J8591" s="2" t="s">
        <v>62</v>
      </c>
      <c r="K8591" t="s">
        <v>42</v>
      </c>
      <c r="L8591" t="s">
        <v>1028</v>
      </c>
      <c r="Q8591">
        <v>23996</v>
      </c>
      <c r="R8591" t="s">
        <v>45</v>
      </c>
      <c r="S8591" t="s">
        <v>37309</v>
      </c>
      <c r="T8591">
        <v>25</v>
      </c>
      <c r="V8591" s="1">
        <v>45005</v>
      </c>
      <c r="W8591" t="s">
        <v>2680</v>
      </c>
      <c r="X8591">
        <v>812835</v>
      </c>
      <c r="Y8591" t="s">
        <v>51792</v>
      </c>
      <c r="Z8591" s="2" t="s">
        <v>51793</v>
      </c>
      <c r="AA8591" s="2" t="s">
        <v>51794</v>
      </c>
      <c r="AB8591" t="s">
        <v>51795</v>
      </c>
      <c r="AC8591" t="s">
        <v>51796</v>
      </c>
      <c r="AD8591" t="s">
        <v>51797</v>
      </c>
      <c r="AE8591" t="s">
        <v>51798</v>
      </c>
      <c r="AG8591" t="s">
        <v>51799</v>
      </c>
      <c r="AH8591" t="s">
        <v>39050</v>
      </c>
      <c r="AI8591" t="s">
        <v>51800</v>
      </c>
    </row>
    <row r="8592" spans="2:35" ht="165">
      <c r="B8592" s="1">
        <v>45012</v>
      </c>
      <c r="C8592" s="4">
        <v>45007.396527777775</v>
      </c>
      <c r="D8592" t="s">
        <v>23439</v>
      </c>
      <c r="E8592" t="s">
        <v>51801</v>
      </c>
      <c r="F8592" t="s">
        <v>37</v>
      </c>
      <c r="G8592" t="s">
        <v>189</v>
      </c>
      <c r="H8592" t="s">
        <v>202</v>
      </c>
      <c r="I8592" t="s">
        <v>40</v>
      </c>
      <c r="J8592" s="2" t="s">
        <v>62</v>
      </c>
      <c r="K8592" t="s">
        <v>42</v>
      </c>
      <c r="L8592" t="s">
        <v>1028</v>
      </c>
      <c r="Q8592">
        <v>23995</v>
      </c>
      <c r="R8592" t="s">
        <v>45</v>
      </c>
      <c r="S8592" t="s">
        <v>23441</v>
      </c>
      <c r="T8592">
        <v>27</v>
      </c>
      <c r="U8592" s="2" t="s">
        <v>18086</v>
      </c>
      <c r="W8592" t="s">
        <v>2680</v>
      </c>
      <c r="X8592">
        <v>838451</v>
      </c>
      <c r="Y8592" t="s">
        <v>18140</v>
      </c>
      <c r="Z8592" t="s">
        <v>21244</v>
      </c>
      <c r="AA8592" s="2" t="s">
        <v>31300</v>
      </c>
      <c r="AB8592" t="s">
        <v>51802</v>
      </c>
      <c r="AC8592" t="s">
        <v>51803</v>
      </c>
      <c r="AG8592" t="s">
        <v>51804</v>
      </c>
      <c r="AH8592" t="s">
        <v>51805</v>
      </c>
      <c r="AI8592" t="s">
        <v>51806</v>
      </c>
    </row>
    <row r="8593" spans="2:35" ht="210">
      <c r="B8593" s="1">
        <v>45012</v>
      </c>
      <c r="C8593" s="4">
        <v>45007.356249999997</v>
      </c>
      <c r="D8593" t="s">
        <v>24718</v>
      </c>
      <c r="E8593" t="s">
        <v>51807</v>
      </c>
      <c r="F8593" t="s">
        <v>37</v>
      </c>
      <c r="G8593" t="s">
        <v>189</v>
      </c>
      <c r="H8593" t="s">
        <v>39</v>
      </c>
      <c r="I8593" t="s">
        <v>40</v>
      </c>
      <c r="J8593" s="2" t="s">
        <v>1309</v>
      </c>
      <c r="K8593" t="s">
        <v>42</v>
      </c>
      <c r="L8593" t="s">
        <v>1028</v>
      </c>
      <c r="Q8593">
        <v>23995</v>
      </c>
      <c r="R8593" t="s">
        <v>119</v>
      </c>
      <c r="S8593" t="s">
        <v>27386</v>
      </c>
      <c r="T8593">
        <v>26</v>
      </c>
      <c r="U8593" s="2" t="s">
        <v>51808</v>
      </c>
      <c r="V8593" s="1">
        <v>45005</v>
      </c>
      <c r="W8593" t="s">
        <v>2680</v>
      </c>
      <c r="X8593">
        <v>821300</v>
      </c>
      <c r="Y8593" s="2" t="s">
        <v>51809</v>
      </c>
      <c r="Z8593" s="2" t="s">
        <v>51810</v>
      </c>
      <c r="AA8593" s="2" t="s">
        <v>51811</v>
      </c>
      <c r="AB8593" t="s">
        <v>32332</v>
      </c>
      <c r="AC8593" t="s">
        <v>51812</v>
      </c>
      <c r="AD8593" t="s">
        <v>31932</v>
      </c>
      <c r="AE8593">
        <v>9731</v>
      </c>
      <c r="AG8593" t="s">
        <v>51813</v>
      </c>
      <c r="AH8593" t="s">
        <v>51814</v>
      </c>
      <c r="AI8593" t="s">
        <v>51815</v>
      </c>
    </row>
    <row r="8594" spans="2:35" ht="255">
      <c r="B8594" s="1">
        <v>45012</v>
      </c>
      <c r="C8594" s="4">
        <v>45012.42083333333</v>
      </c>
      <c r="D8594" t="s">
        <v>25068</v>
      </c>
      <c r="E8594" t="s">
        <v>51816</v>
      </c>
      <c r="F8594">
        <v>3</v>
      </c>
      <c r="G8594" t="s">
        <v>730</v>
      </c>
      <c r="H8594" t="s">
        <v>39</v>
      </c>
      <c r="I8594" t="s">
        <v>40</v>
      </c>
      <c r="J8594" s="2" t="s">
        <v>41</v>
      </c>
      <c r="K8594" t="s">
        <v>42</v>
      </c>
      <c r="L8594" t="s">
        <v>135</v>
      </c>
      <c r="Q8594">
        <v>23992</v>
      </c>
      <c r="R8594" t="s">
        <v>119</v>
      </c>
      <c r="S8594" t="s">
        <v>25070</v>
      </c>
      <c r="T8594">
        <v>30</v>
      </c>
      <c r="U8594" s="2" t="s">
        <v>51817</v>
      </c>
      <c r="V8594" s="1">
        <v>45006</v>
      </c>
      <c r="W8594" t="s">
        <v>2680</v>
      </c>
      <c r="X8594">
        <v>831591</v>
      </c>
      <c r="Y8594" t="s">
        <v>51818</v>
      </c>
      <c r="Z8594" s="2" t="s">
        <v>42016</v>
      </c>
      <c r="AA8594" s="2" t="s">
        <v>51819</v>
      </c>
      <c r="AB8594" t="s">
        <v>181</v>
      </c>
      <c r="AD8594" t="s">
        <v>51423</v>
      </c>
      <c r="AE8594" t="s">
        <v>51820</v>
      </c>
      <c r="AG8594" t="s">
        <v>51821</v>
      </c>
      <c r="AH8594" t="s">
        <v>25073</v>
      </c>
      <c r="AI8594" t="s">
        <v>51822</v>
      </c>
    </row>
    <row r="8595" spans="2:35" ht="360">
      <c r="B8595" s="1">
        <v>45011</v>
      </c>
      <c r="C8595" s="4">
        <v>45009.439583333333</v>
      </c>
      <c r="D8595" t="s">
        <v>26102</v>
      </c>
      <c r="E8595" t="s">
        <v>51823</v>
      </c>
      <c r="F8595" t="s">
        <v>37</v>
      </c>
      <c r="G8595" t="s">
        <v>78</v>
      </c>
      <c r="H8595" t="s">
        <v>39</v>
      </c>
      <c r="I8595" t="s">
        <v>40</v>
      </c>
      <c r="J8595" s="2" t="s">
        <v>41</v>
      </c>
      <c r="K8595" t="s">
        <v>42</v>
      </c>
      <c r="L8595" t="s">
        <v>1943</v>
      </c>
      <c r="Q8595">
        <v>23991</v>
      </c>
      <c r="R8595" t="s">
        <v>119</v>
      </c>
      <c r="S8595" t="s">
        <v>26103</v>
      </c>
      <c r="T8595">
        <v>28</v>
      </c>
      <c r="U8595" s="2" t="s">
        <v>51824</v>
      </c>
      <c r="V8595" s="1">
        <v>45005</v>
      </c>
      <c r="W8595" t="s">
        <v>84</v>
      </c>
      <c r="X8595">
        <v>821278</v>
      </c>
      <c r="Y8595" s="2" t="s">
        <v>51825</v>
      </c>
      <c r="Z8595" s="2" t="s">
        <v>51826</v>
      </c>
      <c r="AA8595" t="s">
        <v>1947</v>
      </c>
      <c r="AB8595" t="s">
        <v>51827</v>
      </c>
      <c r="AD8595" t="s">
        <v>51828</v>
      </c>
      <c r="AE8595" t="s">
        <v>20898</v>
      </c>
      <c r="AG8595" t="s">
        <v>51829</v>
      </c>
      <c r="AH8595" t="s">
        <v>34066</v>
      </c>
      <c r="AI8595" t="s">
        <v>51830</v>
      </c>
    </row>
    <row r="8596" spans="2:35" ht="225">
      <c r="B8596" s="1">
        <v>45011</v>
      </c>
      <c r="C8596" s="4">
        <v>45008.51458333333</v>
      </c>
      <c r="D8596" t="s">
        <v>6682</v>
      </c>
      <c r="E8596" t="s">
        <v>43788</v>
      </c>
      <c r="F8596" t="s">
        <v>37</v>
      </c>
      <c r="G8596" t="s">
        <v>78</v>
      </c>
      <c r="H8596" t="s">
        <v>39</v>
      </c>
      <c r="I8596" t="s">
        <v>40</v>
      </c>
      <c r="J8596" s="2" t="s">
        <v>41</v>
      </c>
      <c r="K8596" t="s">
        <v>42</v>
      </c>
      <c r="L8596" t="s">
        <v>1943</v>
      </c>
      <c r="Q8596">
        <v>23990</v>
      </c>
      <c r="R8596" t="s">
        <v>119</v>
      </c>
      <c r="S8596" t="s">
        <v>43789</v>
      </c>
      <c r="T8596">
        <v>28</v>
      </c>
      <c r="U8596" s="2" t="s">
        <v>51831</v>
      </c>
      <c r="V8596" s="1">
        <v>45005</v>
      </c>
      <c r="W8596" t="s">
        <v>84</v>
      </c>
      <c r="X8596">
        <v>838225</v>
      </c>
      <c r="Y8596" s="2" t="s">
        <v>13309</v>
      </c>
      <c r="Z8596" s="2" t="s">
        <v>51832</v>
      </c>
      <c r="AA8596" t="s">
        <v>1947</v>
      </c>
      <c r="AB8596" t="s">
        <v>88</v>
      </c>
      <c r="AD8596" t="s">
        <v>51833</v>
      </c>
      <c r="AE8596" t="s">
        <v>51834</v>
      </c>
      <c r="AG8596" t="s">
        <v>51835</v>
      </c>
      <c r="AH8596" t="s">
        <v>51836</v>
      </c>
      <c r="AI8596" t="s">
        <v>51837</v>
      </c>
    </row>
    <row r="8597" spans="2:35" ht="255">
      <c r="B8597" s="1">
        <v>45011</v>
      </c>
      <c r="C8597" s="4">
        <v>45008.509722222225</v>
      </c>
      <c r="D8597" t="s">
        <v>6682</v>
      </c>
      <c r="E8597" t="s">
        <v>43788</v>
      </c>
      <c r="F8597" t="s">
        <v>37</v>
      </c>
      <c r="G8597" t="s">
        <v>78</v>
      </c>
      <c r="H8597" t="s">
        <v>39</v>
      </c>
      <c r="I8597" t="s">
        <v>40</v>
      </c>
      <c r="J8597" s="2" t="s">
        <v>41</v>
      </c>
      <c r="K8597" t="s">
        <v>42</v>
      </c>
      <c r="L8597" t="s">
        <v>1943</v>
      </c>
      <c r="Q8597">
        <v>23989</v>
      </c>
      <c r="R8597" t="s">
        <v>45</v>
      </c>
      <c r="S8597" t="s">
        <v>43789</v>
      </c>
      <c r="T8597">
        <v>28</v>
      </c>
      <c r="U8597" s="2" t="s">
        <v>47291</v>
      </c>
      <c r="V8597" s="1">
        <v>45005</v>
      </c>
      <c r="W8597" t="s">
        <v>84</v>
      </c>
      <c r="X8597">
        <v>807570</v>
      </c>
      <c r="Y8597" s="2" t="s">
        <v>51838</v>
      </c>
      <c r="Z8597" s="2" t="s">
        <v>51839</v>
      </c>
      <c r="AA8597" t="s">
        <v>1947</v>
      </c>
      <c r="AB8597" t="s">
        <v>88</v>
      </c>
      <c r="AD8597" t="s">
        <v>51840</v>
      </c>
      <c r="AE8597" t="s">
        <v>8904</v>
      </c>
      <c r="AG8597" t="s">
        <v>51841</v>
      </c>
      <c r="AH8597" t="s">
        <v>51836</v>
      </c>
      <c r="AI8597" t="s">
        <v>51842</v>
      </c>
    </row>
    <row r="8598" spans="2:35" ht="210">
      <c r="B8598" s="1">
        <v>45011</v>
      </c>
      <c r="C8598" s="4">
        <v>45008.679861111108</v>
      </c>
      <c r="D8598" t="s">
        <v>2638</v>
      </c>
      <c r="E8598" t="s">
        <v>51843</v>
      </c>
      <c r="F8598" t="s">
        <v>37</v>
      </c>
      <c r="G8598" t="s">
        <v>78</v>
      </c>
      <c r="H8598" t="s">
        <v>39</v>
      </c>
      <c r="I8598" t="s">
        <v>40</v>
      </c>
      <c r="J8598" s="2" t="s">
        <v>41</v>
      </c>
      <c r="K8598" t="s">
        <v>42</v>
      </c>
      <c r="L8598" t="s">
        <v>1943</v>
      </c>
      <c r="Q8598">
        <v>23988</v>
      </c>
      <c r="R8598" t="s">
        <v>45</v>
      </c>
      <c r="S8598" t="s">
        <v>46584</v>
      </c>
      <c r="T8598">
        <v>28</v>
      </c>
      <c r="U8598" s="2" t="s">
        <v>51844</v>
      </c>
      <c r="V8598" s="1">
        <v>45005</v>
      </c>
      <c r="W8598" t="s">
        <v>84</v>
      </c>
      <c r="X8598">
        <v>804716</v>
      </c>
      <c r="Y8598" s="2" t="s">
        <v>13309</v>
      </c>
      <c r="Z8598" s="2" t="s">
        <v>51845</v>
      </c>
      <c r="AA8598" t="s">
        <v>1947</v>
      </c>
      <c r="AB8598" t="s">
        <v>88</v>
      </c>
      <c r="AD8598" t="s">
        <v>51846</v>
      </c>
      <c r="AE8598" t="s">
        <v>8904</v>
      </c>
      <c r="AG8598" t="s">
        <v>51847</v>
      </c>
      <c r="AH8598" t="s">
        <v>2643</v>
      </c>
      <c r="AI8598" t="s">
        <v>51848</v>
      </c>
    </row>
    <row r="8599" spans="2:35" ht="240">
      <c r="B8599" s="1">
        <v>45011</v>
      </c>
      <c r="C8599" s="4">
        <v>45007.536111111112</v>
      </c>
      <c r="D8599" t="s">
        <v>32367</v>
      </c>
      <c r="E8599" t="s">
        <v>51849</v>
      </c>
      <c r="F8599" t="s">
        <v>37</v>
      </c>
      <c r="G8599" t="s">
        <v>189</v>
      </c>
      <c r="H8599" t="s">
        <v>39</v>
      </c>
      <c r="I8599" t="s">
        <v>40</v>
      </c>
      <c r="J8599" s="2" t="s">
        <v>41</v>
      </c>
      <c r="K8599" t="s">
        <v>42</v>
      </c>
      <c r="L8599" t="s">
        <v>1943</v>
      </c>
      <c r="Q8599">
        <v>23987</v>
      </c>
      <c r="R8599" t="s">
        <v>45</v>
      </c>
      <c r="S8599" t="s">
        <v>32369</v>
      </c>
      <c r="T8599">
        <v>25</v>
      </c>
      <c r="U8599" s="2" t="s">
        <v>38627</v>
      </c>
      <c r="V8599" s="1">
        <v>45005</v>
      </c>
      <c r="W8599" t="s">
        <v>84</v>
      </c>
      <c r="X8599">
        <v>838867</v>
      </c>
      <c r="Y8599" s="2" t="s">
        <v>5842</v>
      </c>
      <c r="Z8599" s="2" t="s">
        <v>51850</v>
      </c>
      <c r="AA8599" t="s">
        <v>1947</v>
      </c>
      <c r="AB8599" t="s">
        <v>181</v>
      </c>
      <c r="AD8599" t="s">
        <v>51851</v>
      </c>
      <c r="AE8599" t="s">
        <v>8904</v>
      </c>
      <c r="AG8599" t="s">
        <v>51852</v>
      </c>
      <c r="AH8599" t="s">
        <v>32372</v>
      </c>
      <c r="AI8599" t="s">
        <v>51853</v>
      </c>
    </row>
    <row r="8600" spans="2:35" ht="210">
      <c r="B8600" s="1">
        <v>45011</v>
      </c>
      <c r="C8600" s="4">
        <v>45008.478472222225</v>
      </c>
      <c r="D8600" t="s">
        <v>32619</v>
      </c>
      <c r="E8600" t="s">
        <v>51854</v>
      </c>
      <c r="F8600" t="s">
        <v>37</v>
      </c>
      <c r="G8600" t="s">
        <v>78</v>
      </c>
      <c r="H8600" t="s">
        <v>39</v>
      </c>
      <c r="I8600" t="s">
        <v>40</v>
      </c>
      <c r="J8600" s="2" t="s">
        <v>41</v>
      </c>
      <c r="K8600" t="s">
        <v>42</v>
      </c>
      <c r="L8600" t="s">
        <v>1943</v>
      </c>
      <c r="Q8600">
        <v>23987</v>
      </c>
      <c r="R8600" t="s">
        <v>45</v>
      </c>
      <c r="S8600" t="s">
        <v>32622</v>
      </c>
      <c r="T8600">
        <v>28</v>
      </c>
      <c r="U8600" s="2" t="s">
        <v>51855</v>
      </c>
      <c r="V8600" s="1">
        <v>45005</v>
      </c>
      <c r="W8600" t="s">
        <v>84</v>
      </c>
      <c r="X8600">
        <v>838132</v>
      </c>
      <c r="Y8600" s="2" t="s">
        <v>51856</v>
      </c>
      <c r="Z8600" s="2" t="s">
        <v>51845</v>
      </c>
      <c r="AA8600" t="s">
        <v>1947</v>
      </c>
      <c r="AB8600" t="s">
        <v>88</v>
      </c>
      <c r="AD8600" t="s">
        <v>51857</v>
      </c>
      <c r="AE8600" t="s">
        <v>8904</v>
      </c>
      <c r="AG8600" t="s">
        <v>51858</v>
      </c>
      <c r="AH8600" t="s">
        <v>51859</v>
      </c>
      <c r="AI8600" t="s">
        <v>51860</v>
      </c>
    </row>
    <row r="8601" spans="2:35" ht="255">
      <c r="B8601" s="1">
        <v>45011</v>
      </c>
      <c r="C8601" s="4">
        <v>45007.354166666664</v>
      </c>
      <c r="D8601" t="s">
        <v>1941</v>
      </c>
      <c r="E8601" t="s">
        <v>27716</v>
      </c>
      <c r="F8601" t="s">
        <v>148</v>
      </c>
      <c r="G8601" t="s">
        <v>310</v>
      </c>
      <c r="H8601" t="s">
        <v>39</v>
      </c>
      <c r="I8601" t="s">
        <v>40</v>
      </c>
      <c r="J8601" s="2" t="s">
        <v>41</v>
      </c>
      <c r="K8601" t="s">
        <v>42</v>
      </c>
      <c r="L8601" t="s">
        <v>1943</v>
      </c>
      <c r="Q8601">
        <v>23987</v>
      </c>
      <c r="R8601" t="s">
        <v>45</v>
      </c>
      <c r="S8601" t="s">
        <v>23643</v>
      </c>
      <c r="T8601">
        <v>28</v>
      </c>
      <c r="U8601" s="2" t="s">
        <v>51861</v>
      </c>
      <c r="V8601" s="1">
        <v>45005</v>
      </c>
      <c r="W8601" t="s">
        <v>84</v>
      </c>
      <c r="X8601">
        <v>805060</v>
      </c>
      <c r="Y8601" s="2" t="s">
        <v>13309</v>
      </c>
      <c r="Z8601" s="2" t="s">
        <v>51862</v>
      </c>
      <c r="AA8601" t="s">
        <v>1947</v>
      </c>
      <c r="AB8601" t="s">
        <v>88</v>
      </c>
      <c r="AD8601" t="s">
        <v>51863</v>
      </c>
      <c r="AE8601" t="s">
        <v>8904</v>
      </c>
      <c r="AG8601" t="s">
        <v>51864</v>
      </c>
      <c r="AH8601" t="s">
        <v>1951</v>
      </c>
      <c r="AI8601" t="s">
        <v>51865</v>
      </c>
    </row>
    <row r="8602" spans="2:35" ht="240">
      <c r="B8602" s="1">
        <v>45011</v>
      </c>
      <c r="C8602" s="4">
        <v>45009.37777777778</v>
      </c>
      <c r="D8602" t="s">
        <v>24830</v>
      </c>
      <c r="E8602" t="s">
        <v>51866</v>
      </c>
      <c r="F8602" t="s">
        <v>37</v>
      </c>
      <c r="G8602" t="s">
        <v>78</v>
      </c>
      <c r="H8602" t="s">
        <v>39</v>
      </c>
      <c r="I8602" t="s">
        <v>40</v>
      </c>
      <c r="J8602" s="2" t="s">
        <v>41</v>
      </c>
      <c r="K8602" t="s">
        <v>42</v>
      </c>
      <c r="L8602" t="s">
        <v>1943</v>
      </c>
      <c r="Q8602">
        <v>23987</v>
      </c>
      <c r="R8602" t="s">
        <v>45</v>
      </c>
      <c r="S8602" t="s">
        <v>30685</v>
      </c>
      <c r="T8602">
        <v>28</v>
      </c>
      <c r="U8602" s="2" t="s">
        <v>51867</v>
      </c>
      <c r="V8602" s="1">
        <v>45005</v>
      </c>
      <c r="W8602" t="s">
        <v>84</v>
      </c>
      <c r="X8602">
        <v>812780</v>
      </c>
      <c r="Y8602" s="2" t="s">
        <v>13309</v>
      </c>
      <c r="Z8602" s="2" t="s">
        <v>51868</v>
      </c>
      <c r="AA8602" t="s">
        <v>1947</v>
      </c>
      <c r="AB8602" t="s">
        <v>88</v>
      </c>
      <c r="AD8602" t="s">
        <v>51869</v>
      </c>
      <c r="AE8602" t="s">
        <v>8904</v>
      </c>
      <c r="AG8602" t="s">
        <v>51870</v>
      </c>
      <c r="AH8602" t="s">
        <v>32189</v>
      </c>
      <c r="AI8602" t="s">
        <v>51871</v>
      </c>
    </row>
    <row r="8603" spans="2:35" ht="180">
      <c r="B8603" s="1">
        <v>45010</v>
      </c>
      <c r="C8603" s="4">
        <v>45009.344444444447</v>
      </c>
      <c r="D8603" t="s">
        <v>16716</v>
      </c>
      <c r="E8603" t="s">
        <v>1128</v>
      </c>
      <c r="F8603">
        <v>8</v>
      </c>
      <c r="G8603" t="s">
        <v>342</v>
      </c>
      <c r="H8603" t="s">
        <v>12698</v>
      </c>
      <c r="I8603" t="s">
        <v>40</v>
      </c>
      <c r="J8603" t="s">
        <v>109</v>
      </c>
      <c r="K8603" t="s">
        <v>42</v>
      </c>
      <c r="L8603" t="s">
        <v>259</v>
      </c>
      <c r="Q8603">
        <v>23986</v>
      </c>
      <c r="R8603" t="s">
        <v>119</v>
      </c>
      <c r="S8603" t="s">
        <v>17749</v>
      </c>
      <c r="T8603">
        <v>26</v>
      </c>
      <c r="U8603" s="2" t="s">
        <v>51872</v>
      </c>
      <c r="V8603" s="1">
        <v>45009</v>
      </c>
      <c r="W8603" t="s">
        <v>84</v>
      </c>
      <c r="X8603">
        <v>838421</v>
      </c>
      <c r="Y8603" t="s">
        <v>54</v>
      </c>
      <c r="Z8603" t="e">
        <f ca="1">-performed Preventive Maintenance
-Generate reports</f>
        <v>#NAME?</v>
      </c>
      <c r="AA8603" t="s">
        <v>3128</v>
      </c>
      <c r="AB8603" t="s">
        <v>486</v>
      </c>
      <c r="AG8603" t="s">
        <v>51873</v>
      </c>
      <c r="AH8603" t="s">
        <v>41925</v>
      </c>
      <c r="AI8603" t="s">
        <v>51874</v>
      </c>
    </row>
    <row r="8604" spans="2:35" ht="409.5">
      <c r="B8604" s="1">
        <v>45010</v>
      </c>
      <c r="C8604" s="4">
        <v>45010.431250000001</v>
      </c>
      <c r="D8604" t="s">
        <v>2272</v>
      </c>
      <c r="E8604" t="s">
        <v>51875</v>
      </c>
      <c r="F8604" t="s">
        <v>148</v>
      </c>
      <c r="G8604" t="s">
        <v>310</v>
      </c>
      <c r="H8604" t="s">
        <v>39</v>
      </c>
      <c r="I8604" t="s">
        <v>94</v>
      </c>
      <c r="J8604" s="2" t="s">
        <v>1309</v>
      </c>
      <c r="K8604" t="s">
        <v>42</v>
      </c>
      <c r="L8604" t="s">
        <v>80</v>
      </c>
      <c r="Q8604">
        <v>23985</v>
      </c>
      <c r="R8604" t="s">
        <v>703</v>
      </c>
      <c r="S8604" t="s">
        <v>51876</v>
      </c>
      <c r="T8604">
        <v>25</v>
      </c>
      <c r="U8604" s="2" t="s">
        <v>51877</v>
      </c>
      <c r="V8604" s="1">
        <v>45005</v>
      </c>
      <c r="W8604" t="s">
        <v>502</v>
      </c>
      <c r="X8604">
        <v>835604</v>
      </c>
      <c r="Y8604" t="s">
        <v>51878</v>
      </c>
      <c r="Z8604" s="2" t="s">
        <v>51879</v>
      </c>
      <c r="AA8604" s="2" t="s">
        <v>51880</v>
      </c>
      <c r="AB8604" t="s">
        <v>1188</v>
      </c>
      <c r="AC8604" t="s">
        <v>51881</v>
      </c>
      <c r="AD8604" t="s">
        <v>51882</v>
      </c>
      <c r="AE8604" t="s">
        <v>51883</v>
      </c>
      <c r="AG8604" t="s">
        <v>51884</v>
      </c>
      <c r="AH8604" t="s">
        <v>51885</v>
      </c>
      <c r="AI8604" t="s">
        <v>51886</v>
      </c>
    </row>
    <row r="8605" spans="2:35" ht="270">
      <c r="B8605" s="1">
        <v>45010</v>
      </c>
      <c r="C8605" s="4">
        <v>45010.395833333336</v>
      </c>
      <c r="D8605" t="s">
        <v>7449</v>
      </c>
      <c r="E8605" t="s">
        <v>51887</v>
      </c>
      <c r="F8605" t="s">
        <v>148</v>
      </c>
      <c r="G8605" t="s">
        <v>447</v>
      </c>
      <c r="H8605" t="s">
        <v>61</v>
      </c>
      <c r="I8605" t="s">
        <v>94</v>
      </c>
      <c r="J8605" s="2" t="s">
        <v>41</v>
      </c>
      <c r="K8605" t="s">
        <v>42</v>
      </c>
      <c r="L8605" t="s">
        <v>80</v>
      </c>
      <c r="Q8605">
        <v>23984</v>
      </c>
      <c r="R8605" t="s">
        <v>703</v>
      </c>
      <c r="S8605" t="s">
        <v>3698</v>
      </c>
      <c r="T8605">
        <v>27</v>
      </c>
      <c r="U8605" s="2" t="s">
        <v>51888</v>
      </c>
      <c r="V8605" s="1">
        <v>45009</v>
      </c>
      <c r="W8605" t="s">
        <v>41038</v>
      </c>
      <c r="X8605">
        <v>835602</v>
      </c>
      <c r="Y8605" t="s">
        <v>570</v>
      </c>
      <c r="Z8605" t="s">
        <v>571</v>
      </c>
      <c r="AA8605" s="2" t="s">
        <v>51889</v>
      </c>
      <c r="AB8605" t="s">
        <v>1188</v>
      </c>
      <c r="AC8605" t="s">
        <v>51890</v>
      </c>
      <c r="AD8605" t="s">
        <v>51891</v>
      </c>
      <c r="AE8605" t="s">
        <v>51892</v>
      </c>
      <c r="AG8605" t="s">
        <v>51893</v>
      </c>
      <c r="AH8605" t="s">
        <v>21504</v>
      </c>
      <c r="AI8605" t="s">
        <v>51894</v>
      </c>
    </row>
    <row r="8606" spans="2:35" ht="270">
      <c r="B8606" s="1">
        <v>45010</v>
      </c>
      <c r="C8606" s="4">
        <v>45010.39166666667</v>
      </c>
      <c r="D8606" t="s">
        <v>7449</v>
      </c>
      <c r="E8606" t="s">
        <v>51895</v>
      </c>
      <c r="F8606" t="s">
        <v>148</v>
      </c>
      <c r="G8606" t="s">
        <v>447</v>
      </c>
      <c r="H8606" t="s">
        <v>61</v>
      </c>
      <c r="I8606" t="s">
        <v>94</v>
      </c>
      <c r="J8606" s="2" t="s">
        <v>41</v>
      </c>
      <c r="K8606" t="s">
        <v>42</v>
      </c>
      <c r="L8606" t="s">
        <v>80</v>
      </c>
      <c r="Q8606">
        <v>23983</v>
      </c>
      <c r="R8606" t="s">
        <v>703</v>
      </c>
      <c r="S8606" t="s">
        <v>3698</v>
      </c>
      <c r="T8606">
        <v>27</v>
      </c>
      <c r="U8606" s="2" t="s">
        <v>51896</v>
      </c>
      <c r="V8606" s="1">
        <v>45009</v>
      </c>
      <c r="W8606" t="s">
        <v>41038</v>
      </c>
      <c r="X8606">
        <v>835601</v>
      </c>
      <c r="Y8606" t="s">
        <v>51897</v>
      </c>
      <c r="Z8606" t="s">
        <v>51898</v>
      </c>
      <c r="AA8606" s="2" t="s">
        <v>51899</v>
      </c>
      <c r="AB8606" t="s">
        <v>51900</v>
      </c>
      <c r="AC8606" t="s">
        <v>51901</v>
      </c>
      <c r="AD8606" t="s">
        <v>51902</v>
      </c>
      <c r="AE8606" t="s">
        <v>51892</v>
      </c>
      <c r="AG8606" t="s">
        <v>51903</v>
      </c>
      <c r="AH8606" t="s">
        <v>21504</v>
      </c>
      <c r="AI8606" t="s">
        <v>51904</v>
      </c>
    </row>
    <row r="8607" spans="2:35" ht="180">
      <c r="B8607" s="1">
        <v>45009</v>
      </c>
      <c r="C8607" s="4">
        <v>45009.612500000003</v>
      </c>
      <c r="D8607" t="s">
        <v>172</v>
      </c>
      <c r="E8607" t="s">
        <v>1308</v>
      </c>
      <c r="F8607">
        <v>3</v>
      </c>
      <c r="G8607" t="s">
        <v>174</v>
      </c>
      <c r="H8607" t="s">
        <v>39</v>
      </c>
      <c r="I8607" t="s">
        <v>40</v>
      </c>
      <c r="J8607" s="2" t="s">
        <v>62</v>
      </c>
      <c r="K8607" t="s">
        <v>42</v>
      </c>
      <c r="L8607" t="s">
        <v>175</v>
      </c>
      <c r="Q8607">
        <v>23982</v>
      </c>
      <c r="R8607" t="s">
        <v>119</v>
      </c>
      <c r="S8607" t="s">
        <v>51905</v>
      </c>
      <c r="T8607">
        <v>25</v>
      </c>
      <c r="U8607" s="2" t="s">
        <v>51906</v>
      </c>
      <c r="V8607" s="1">
        <v>44945</v>
      </c>
      <c r="W8607" t="s">
        <v>84</v>
      </c>
      <c r="X8607">
        <v>831692</v>
      </c>
      <c r="Y8607" t="s">
        <v>998</v>
      </c>
      <c r="Z8607" t="e">
        <f ca="1">- checked _xludf.and cleaned cartridge bay, plunger rod, icore slot, _xludf.filter
- performed XpertCheck
- generated reports</f>
        <v>#NAME?</v>
      </c>
      <c r="AA8607" t="s">
        <v>34204</v>
      </c>
      <c r="AB8607" s="2" t="s">
        <v>51907</v>
      </c>
      <c r="AD8607" t="s">
        <v>948</v>
      </c>
      <c r="AE8607">
        <v>831692</v>
      </c>
      <c r="AG8607" t="s">
        <v>51908</v>
      </c>
      <c r="AH8607" t="s">
        <v>51909</v>
      </c>
      <c r="AI8607" t="s">
        <v>51910</v>
      </c>
    </row>
    <row r="8608" spans="2:35" ht="285">
      <c r="B8608" s="1">
        <v>45009</v>
      </c>
      <c r="C8608" s="4">
        <v>45009.623611111114</v>
      </c>
      <c r="D8608" t="s">
        <v>1203</v>
      </c>
      <c r="E8608" t="s">
        <v>2547</v>
      </c>
      <c r="F8608">
        <v>11</v>
      </c>
      <c r="G8608" t="s">
        <v>1205</v>
      </c>
      <c r="H8608" t="s">
        <v>1317</v>
      </c>
      <c r="I8608" t="s">
        <v>40</v>
      </c>
      <c r="J8608" t="s">
        <v>109</v>
      </c>
      <c r="K8608" t="s">
        <v>42</v>
      </c>
      <c r="L8608" t="s">
        <v>204</v>
      </c>
      <c r="Q8608">
        <v>23981</v>
      </c>
      <c r="R8608" t="s">
        <v>322</v>
      </c>
      <c r="S8608" t="s">
        <v>1206</v>
      </c>
      <c r="T8608">
        <v>25.7</v>
      </c>
      <c r="W8608" t="s">
        <v>23237</v>
      </c>
      <c r="X8608">
        <v>839152</v>
      </c>
      <c r="Y8608" t="s">
        <v>1052</v>
      </c>
      <c r="Z8608" s="2" t="s">
        <v>51911</v>
      </c>
      <c r="AA8608" t="s">
        <v>2551</v>
      </c>
      <c r="AB8608" t="s">
        <v>9590</v>
      </c>
      <c r="AG8608" t="s">
        <v>51912</v>
      </c>
      <c r="AH8608" t="s">
        <v>51913</v>
      </c>
      <c r="AI8608" t="s">
        <v>51914</v>
      </c>
    </row>
    <row r="8609" spans="2:35" ht="255">
      <c r="B8609" s="1">
        <v>45009</v>
      </c>
      <c r="C8609" s="4">
        <v>45009.568749999999</v>
      </c>
      <c r="D8609" t="s">
        <v>1071</v>
      </c>
      <c r="E8609" t="s">
        <v>1555</v>
      </c>
      <c r="F8609">
        <v>7</v>
      </c>
      <c r="G8609" t="s">
        <v>432</v>
      </c>
      <c r="H8609" t="s">
        <v>150</v>
      </c>
      <c r="I8609" t="s">
        <v>40</v>
      </c>
      <c r="J8609" t="s">
        <v>109</v>
      </c>
      <c r="K8609" t="s">
        <v>42</v>
      </c>
      <c r="L8609" t="s">
        <v>343</v>
      </c>
      <c r="Q8609">
        <v>23980</v>
      </c>
      <c r="R8609" t="s">
        <v>119</v>
      </c>
      <c r="S8609" t="s">
        <v>8679</v>
      </c>
      <c r="T8609">
        <v>24</v>
      </c>
      <c r="U8609" s="2" t="s">
        <v>51915</v>
      </c>
      <c r="W8609" t="s">
        <v>360</v>
      </c>
      <c r="X8609">
        <v>838285</v>
      </c>
      <c r="Y8609" t="s">
        <v>301</v>
      </c>
      <c r="Z8609" t="s">
        <v>301</v>
      </c>
      <c r="AA8609" t="e">
        <f ca="1">-Preventive Maintenance</f>
        <v>#NAME?</v>
      </c>
      <c r="AB8609" t="s">
        <v>51916</v>
      </c>
      <c r="AC8609" t="s">
        <v>51917</v>
      </c>
      <c r="AG8609" t="s">
        <v>51918</v>
      </c>
      <c r="AH8609" t="s">
        <v>16851</v>
      </c>
      <c r="AI8609" t="s">
        <v>51919</v>
      </c>
    </row>
    <row r="8610" spans="2:35" ht="255">
      <c r="B8610" s="1">
        <v>45009</v>
      </c>
      <c r="C8610" s="4">
        <v>45009.570833333331</v>
      </c>
      <c r="D8610" t="s">
        <v>1071</v>
      </c>
      <c r="E8610" t="s">
        <v>1555</v>
      </c>
      <c r="F8610">
        <v>7</v>
      </c>
      <c r="G8610" t="s">
        <v>432</v>
      </c>
      <c r="H8610" t="s">
        <v>150</v>
      </c>
      <c r="I8610" t="s">
        <v>40</v>
      </c>
      <c r="J8610" t="s">
        <v>109</v>
      </c>
      <c r="K8610" t="s">
        <v>42</v>
      </c>
      <c r="L8610" t="s">
        <v>343</v>
      </c>
      <c r="Q8610">
        <v>23979</v>
      </c>
      <c r="R8610" t="s">
        <v>119</v>
      </c>
      <c r="S8610" t="s">
        <v>8679</v>
      </c>
      <c r="T8610">
        <v>24</v>
      </c>
      <c r="U8610" s="2" t="s">
        <v>51920</v>
      </c>
      <c r="W8610" t="s">
        <v>360</v>
      </c>
      <c r="X8610">
        <v>820206</v>
      </c>
      <c r="Y8610" t="s">
        <v>301</v>
      </c>
      <c r="Z8610" t="s">
        <v>301</v>
      </c>
      <c r="AA8610" t="s">
        <v>3128</v>
      </c>
      <c r="AB8610" t="s">
        <v>51916</v>
      </c>
      <c r="AC8610" t="s">
        <v>51921</v>
      </c>
      <c r="AG8610" t="s">
        <v>51922</v>
      </c>
      <c r="AH8610" t="s">
        <v>16851</v>
      </c>
      <c r="AI8610" t="s">
        <v>51923</v>
      </c>
    </row>
    <row r="8611" spans="2:35" ht="255">
      <c r="B8611" s="1">
        <v>45009</v>
      </c>
      <c r="C8611" s="4">
        <v>45009.486805555556</v>
      </c>
      <c r="D8611" t="s">
        <v>2910</v>
      </c>
      <c r="E8611" t="s">
        <v>49405</v>
      </c>
      <c r="F8611" t="s">
        <v>148</v>
      </c>
      <c r="G8611" t="s">
        <v>310</v>
      </c>
      <c r="H8611" t="s">
        <v>39</v>
      </c>
      <c r="I8611" t="s">
        <v>40</v>
      </c>
      <c r="J8611" s="2" t="s">
        <v>2170</v>
      </c>
      <c r="K8611" t="s">
        <v>42</v>
      </c>
      <c r="L8611" t="s">
        <v>29119</v>
      </c>
      <c r="Q8611">
        <v>23978</v>
      </c>
      <c r="R8611" t="s">
        <v>703</v>
      </c>
      <c r="S8611" t="s">
        <v>13996</v>
      </c>
      <c r="T8611">
        <v>28</v>
      </c>
      <c r="U8611" s="2" t="s">
        <v>51924</v>
      </c>
      <c r="V8611" s="1">
        <v>45005</v>
      </c>
      <c r="W8611" t="s">
        <v>84</v>
      </c>
      <c r="X8611">
        <v>835540</v>
      </c>
      <c r="Y8611" s="2" t="s">
        <v>51925</v>
      </c>
      <c r="Z8611" s="2" t="s">
        <v>51926</v>
      </c>
      <c r="AA8611" s="2" t="s">
        <v>51927</v>
      </c>
      <c r="AB8611" s="2" t="s">
        <v>51928</v>
      </c>
      <c r="AC8611" t="s">
        <v>51929</v>
      </c>
      <c r="AD8611" t="s">
        <v>47671</v>
      </c>
      <c r="AE8611">
        <v>9720</v>
      </c>
      <c r="AG8611" t="s">
        <v>51930</v>
      </c>
      <c r="AH8611" t="s">
        <v>51931</v>
      </c>
      <c r="AI8611" t="s">
        <v>51932</v>
      </c>
    </row>
    <row r="8612" spans="2:35" ht="255">
      <c r="B8612" s="1">
        <v>45009</v>
      </c>
      <c r="C8612" s="4">
        <v>45009.486805555556</v>
      </c>
      <c r="D8612" t="s">
        <v>2910</v>
      </c>
      <c r="E8612" t="s">
        <v>49405</v>
      </c>
      <c r="F8612" t="s">
        <v>148</v>
      </c>
      <c r="G8612" t="s">
        <v>310</v>
      </c>
      <c r="H8612" t="s">
        <v>39</v>
      </c>
      <c r="I8612" t="s">
        <v>40</v>
      </c>
      <c r="J8612" s="2" t="s">
        <v>2170</v>
      </c>
      <c r="K8612" t="s">
        <v>42</v>
      </c>
      <c r="L8612" t="s">
        <v>29119</v>
      </c>
      <c r="Q8612">
        <v>23977</v>
      </c>
      <c r="R8612" t="s">
        <v>703</v>
      </c>
      <c r="S8612" t="s">
        <v>13996</v>
      </c>
      <c r="T8612">
        <v>28</v>
      </c>
      <c r="U8612" s="2" t="s">
        <v>51924</v>
      </c>
      <c r="V8612" s="1">
        <v>45005</v>
      </c>
      <c r="W8612" t="s">
        <v>84</v>
      </c>
      <c r="X8612">
        <v>835540</v>
      </c>
      <c r="Y8612" s="2" t="s">
        <v>51925</v>
      </c>
      <c r="Z8612" s="2" t="s">
        <v>51926</v>
      </c>
      <c r="AA8612" s="2" t="s">
        <v>51927</v>
      </c>
      <c r="AB8612" s="2" t="s">
        <v>51933</v>
      </c>
      <c r="AC8612" t="s">
        <v>51929</v>
      </c>
      <c r="AD8612" t="s">
        <v>47671</v>
      </c>
      <c r="AE8612">
        <v>9720</v>
      </c>
      <c r="AG8612" t="s">
        <v>51934</v>
      </c>
      <c r="AH8612" t="s">
        <v>51931</v>
      </c>
      <c r="AI8612" t="s">
        <v>51935</v>
      </c>
    </row>
    <row r="8613" spans="2:35" ht="345">
      <c r="B8613" s="1">
        <v>45009</v>
      </c>
      <c r="C8613" s="4">
        <v>45009.488194444442</v>
      </c>
      <c r="D8613" t="s">
        <v>5089</v>
      </c>
      <c r="E8613" t="s">
        <v>51936</v>
      </c>
      <c r="F8613">
        <v>3</v>
      </c>
      <c r="G8613" t="s">
        <v>1722</v>
      </c>
      <c r="H8613" t="s">
        <v>39</v>
      </c>
      <c r="I8613" t="s">
        <v>40</v>
      </c>
      <c r="J8613" s="2" t="s">
        <v>62</v>
      </c>
      <c r="K8613" t="s">
        <v>42</v>
      </c>
      <c r="L8613" t="s">
        <v>63</v>
      </c>
      <c r="Q8613">
        <v>23976</v>
      </c>
      <c r="R8613" t="s">
        <v>45</v>
      </c>
      <c r="S8613" t="s">
        <v>15318</v>
      </c>
      <c r="T8613">
        <v>27</v>
      </c>
      <c r="V8613" s="1">
        <v>45009</v>
      </c>
      <c r="W8613" t="s">
        <v>29795</v>
      </c>
      <c r="X8613">
        <v>844111</v>
      </c>
      <c r="Y8613" t="s">
        <v>1716</v>
      </c>
      <c r="Z8613" t="s">
        <v>1716</v>
      </c>
      <c r="AA8613" s="2" t="s">
        <v>51937</v>
      </c>
      <c r="AB8613" t="s">
        <v>70</v>
      </c>
      <c r="AC8613" t="s">
        <v>51938</v>
      </c>
      <c r="AD8613" t="s">
        <v>51939</v>
      </c>
      <c r="AE8613" t="s">
        <v>1716</v>
      </c>
      <c r="AG8613" t="s">
        <v>51940</v>
      </c>
      <c r="AH8613" t="s">
        <v>21706</v>
      </c>
      <c r="AI8613" t="s">
        <v>51941</v>
      </c>
    </row>
    <row r="8614" spans="2:35" ht="285">
      <c r="B8614" s="1">
        <v>45009</v>
      </c>
      <c r="C8614" s="4">
        <v>45008.504166666666</v>
      </c>
      <c r="D8614" t="s">
        <v>33813</v>
      </c>
      <c r="E8614" t="s">
        <v>51942</v>
      </c>
      <c r="F8614">
        <v>3</v>
      </c>
      <c r="G8614" t="s">
        <v>1722</v>
      </c>
      <c r="H8614" t="s">
        <v>39</v>
      </c>
      <c r="I8614" t="s">
        <v>40</v>
      </c>
      <c r="J8614" s="2" t="s">
        <v>51943</v>
      </c>
      <c r="K8614" t="s">
        <v>42</v>
      </c>
      <c r="L8614" t="s">
        <v>63</v>
      </c>
      <c r="Q8614">
        <v>23975</v>
      </c>
      <c r="R8614" t="s">
        <v>45</v>
      </c>
      <c r="S8614" t="s">
        <v>33815</v>
      </c>
      <c r="T8614">
        <v>29</v>
      </c>
      <c r="U8614" s="2" t="s">
        <v>51944</v>
      </c>
      <c r="V8614" s="1">
        <v>45008</v>
      </c>
      <c r="W8614" t="s">
        <v>26915</v>
      </c>
      <c r="X8614">
        <v>804560</v>
      </c>
      <c r="Y8614" s="2" t="s">
        <v>51945</v>
      </c>
      <c r="Z8614" t="s">
        <v>11377</v>
      </c>
      <c r="AA8614" s="2" t="s">
        <v>51946</v>
      </c>
      <c r="AB8614" t="s">
        <v>70</v>
      </c>
      <c r="AC8614" t="s">
        <v>11378</v>
      </c>
      <c r="AD8614" t="s">
        <v>32127</v>
      </c>
      <c r="AE8614" t="s">
        <v>1716</v>
      </c>
      <c r="AG8614" t="s">
        <v>51947</v>
      </c>
      <c r="AH8614" t="s">
        <v>49200</v>
      </c>
      <c r="AI8614" t="s">
        <v>51948</v>
      </c>
    </row>
    <row r="8615" spans="2:35" ht="180">
      <c r="B8615" s="1">
        <v>45009</v>
      </c>
      <c r="C8615" s="4">
        <v>45009.460416666669</v>
      </c>
      <c r="D8615" t="s">
        <v>976</v>
      </c>
      <c r="E8615" t="s">
        <v>977</v>
      </c>
      <c r="F8615">
        <v>12</v>
      </c>
      <c r="G8615" t="s">
        <v>978</v>
      </c>
      <c r="H8615" t="s">
        <v>39</v>
      </c>
      <c r="I8615" t="s">
        <v>94</v>
      </c>
      <c r="J8615" t="s">
        <v>109</v>
      </c>
      <c r="K8615" t="s">
        <v>42</v>
      </c>
      <c r="L8615" t="s">
        <v>296</v>
      </c>
      <c r="Q8615">
        <v>23974</v>
      </c>
      <c r="R8615" t="s">
        <v>119</v>
      </c>
      <c r="S8615" t="s">
        <v>51949</v>
      </c>
      <c r="T8615">
        <v>25.3</v>
      </c>
      <c r="U8615" s="2" t="s">
        <v>51950</v>
      </c>
      <c r="W8615" t="s">
        <v>29018</v>
      </c>
      <c r="X8615">
        <v>838543</v>
      </c>
      <c r="Y8615" t="s">
        <v>54</v>
      </c>
      <c r="Z8615" t="s">
        <v>9161</v>
      </c>
      <c r="AA8615" t="s">
        <v>9161</v>
      </c>
      <c r="AB8615" t="s">
        <v>972</v>
      </c>
      <c r="AG8615" t="s">
        <v>51951</v>
      </c>
      <c r="AH8615" t="s">
        <v>51952</v>
      </c>
      <c r="AI8615" t="s">
        <v>51953</v>
      </c>
    </row>
    <row r="8616" spans="2:35" ht="180">
      <c r="B8616" s="1">
        <v>45009</v>
      </c>
      <c r="C8616" s="4">
        <v>45008.590277777781</v>
      </c>
      <c r="D8616" t="s">
        <v>13660</v>
      </c>
      <c r="E8616" t="s">
        <v>18685</v>
      </c>
      <c r="F8616" t="s">
        <v>148</v>
      </c>
      <c r="G8616" t="s">
        <v>310</v>
      </c>
      <c r="H8616" t="s">
        <v>39</v>
      </c>
      <c r="I8616" t="s">
        <v>40</v>
      </c>
      <c r="J8616" s="2" t="s">
        <v>62</v>
      </c>
      <c r="K8616" t="s">
        <v>42</v>
      </c>
      <c r="L8616" t="s">
        <v>175</v>
      </c>
      <c r="Q8616">
        <v>23973</v>
      </c>
      <c r="R8616" t="s">
        <v>703</v>
      </c>
      <c r="S8616" t="s">
        <v>51954</v>
      </c>
      <c r="T8616">
        <v>25</v>
      </c>
      <c r="U8616" s="2" t="s">
        <v>51955</v>
      </c>
      <c r="V8616" s="1">
        <v>45005</v>
      </c>
      <c r="W8616" t="s">
        <v>84</v>
      </c>
      <c r="X8616">
        <v>840974</v>
      </c>
      <c r="Y8616" t="s">
        <v>998</v>
      </c>
      <c r="Z8616" t="e">
        <f ca="1">- checked _xludf.and cleaned cartridge bay, plunger rod, icore slot, _xludf.filter
- performed XpertCheck
- generated reports</f>
        <v>#NAME?</v>
      </c>
      <c r="AA8616" t="s">
        <v>34204</v>
      </c>
      <c r="AB8616" s="2" t="s">
        <v>36900</v>
      </c>
      <c r="AD8616" t="s">
        <v>948</v>
      </c>
      <c r="AE8616">
        <v>9717</v>
      </c>
      <c r="AG8616" t="s">
        <v>51956</v>
      </c>
      <c r="AH8616" t="s">
        <v>4110</v>
      </c>
      <c r="AI8616" t="s">
        <v>51957</v>
      </c>
    </row>
    <row r="8617" spans="2:35" ht="195">
      <c r="B8617" s="1">
        <v>45009</v>
      </c>
      <c r="C8617" s="4">
        <v>45007.595833333333</v>
      </c>
      <c r="D8617" t="s">
        <v>30106</v>
      </c>
      <c r="E8617" t="s">
        <v>30107</v>
      </c>
      <c r="F8617">
        <v>3</v>
      </c>
      <c r="G8617" t="s">
        <v>174</v>
      </c>
      <c r="H8617" t="s">
        <v>39</v>
      </c>
      <c r="I8617" t="s">
        <v>40</v>
      </c>
      <c r="J8617" s="2" t="s">
        <v>62</v>
      </c>
      <c r="K8617" t="s">
        <v>42</v>
      </c>
      <c r="L8617" t="s">
        <v>175</v>
      </c>
      <c r="Q8617">
        <v>23971</v>
      </c>
      <c r="R8617" t="s">
        <v>719</v>
      </c>
      <c r="S8617" t="s">
        <v>30108</v>
      </c>
      <c r="T8617">
        <v>25</v>
      </c>
      <c r="U8617" s="2" t="s">
        <v>51958</v>
      </c>
      <c r="W8617" t="s">
        <v>84</v>
      </c>
      <c r="X8617">
        <v>838883</v>
      </c>
      <c r="Y8617" t="s">
        <v>50967</v>
      </c>
      <c r="Z8617" t="e">
        <f ca="1">- checked _xludf.and cleaned cartridge bay, plunger rod, _xludf.filter, icore slot
- performed XpertCheck
- generated reports</f>
        <v>#NAME?</v>
      </c>
      <c r="AA8617" t="s">
        <v>34204</v>
      </c>
      <c r="AB8617" s="2" t="s">
        <v>51959</v>
      </c>
      <c r="AG8617" t="s">
        <v>51960</v>
      </c>
      <c r="AH8617" t="s">
        <v>30111</v>
      </c>
      <c r="AI8617" t="s">
        <v>51961</v>
      </c>
    </row>
    <row r="8618" spans="2:35" ht="285">
      <c r="B8618" s="1">
        <v>45009</v>
      </c>
      <c r="C8618" s="4">
        <v>45008.428472222222</v>
      </c>
      <c r="D8618" t="s">
        <v>6347</v>
      </c>
      <c r="E8618" t="s">
        <v>51962</v>
      </c>
      <c r="F8618" t="s">
        <v>148</v>
      </c>
      <c r="G8618" t="s">
        <v>230</v>
      </c>
      <c r="H8618" t="s">
        <v>40320</v>
      </c>
      <c r="I8618" t="s">
        <v>40</v>
      </c>
      <c r="J8618" s="2" t="s">
        <v>62</v>
      </c>
      <c r="K8618" t="s">
        <v>42</v>
      </c>
      <c r="L8618" t="s">
        <v>175</v>
      </c>
      <c r="Q8618">
        <v>23969</v>
      </c>
      <c r="R8618" t="s">
        <v>703</v>
      </c>
      <c r="S8618" t="s">
        <v>14741</v>
      </c>
      <c r="T8618">
        <v>25</v>
      </c>
      <c r="U8618" s="2" t="s">
        <v>51963</v>
      </c>
      <c r="V8618" s="1">
        <v>45005</v>
      </c>
      <c r="W8618" t="s">
        <v>84</v>
      </c>
      <c r="X8618">
        <v>835600</v>
      </c>
      <c r="Y8618" t="s">
        <v>998</v>
      </c>
      <c r="Z8618" t="e">
        <f ca="1">- checked _xludf.and cleaned cartridge bay, plunger rod, icore slot, _xludf.filter
- performed XpertCheck
- generated reports</f>
        <v>#NAME?</v>
      </c>
      <c r="AA8618" t="s">
        <v>34204</v>
      </c>
      <c r="AB8618" s="2" t="s">
        <v>51964</v>
      </c>
      <c r="AD8618" t="s">
        <v>948</v>
      </c>
      <c r="AE8618">
        <v>9715</v>
      </c>
      <c r="AG8618" t="s">
        <v>51965</v>
      </c>
      <c r="AH8618" t="s">
        <v>14746</v>
      </c>
      <c r="AI8618" t="s">
        <v>51966</v>
      </c>
    </row>
    <row r="8619" spans="2:35" ht="180">
      <c r="B8619" s="1">
        <v>45009</v>
      </c>
      <c r="C8619" s="4">
        <v>45007.535416666666</v>
      </c>
      <c r="D8619" t="s">
        <v>1216</v>
      </c>
      <c r="E8619" t="s">
        <v>26986</v>
      </c>
      <c r="F8619">
        <v>3</v>
      </c>
      <c r="G8619" t="s">
        <v>174</v>
      </c>
      <c r="H8619" t="s">
        <v>39</v>
      </c>
      <c r="I8619" t="s">
        <v>40</v>
      </c>
      <c r="J8619" s="2" t="s">
        <v>41</v>
      </c>
      <c r="K8619" t="s">
        <v>42</v>
      </c>
      <c r="L8619" t="s">
        <v>175</v>
      </c>
      <c r="Q8619">
        <v>23972</v>
      </c>
      <c r="R8619" t="s">
        <v>119</v>
      </c>
      <c r="S8619" t="s">
        <v>1218</v>
      </c>
      <c r="T8619">
        <v>25</v>
      </c>
      <c r="U8619" s="2" t="s">
        <v>51967</v>
      </c>
      <c r="V8619" s="1">
        <v>45005</v>
      </c>
      <c r="W8619" t="s">
        <v>84</v>
      </c>
      <c r="X8619">
        <v>831874</v>
      </c>
      <c r="Y8619" t="s">
        <v>51968</v>
      </c>
      <c r="Z8619" t="e">
        <f ca="1">- replaced module B4
- checked _xludf.and cleaned cartridge bay, plunger rod, _xludf.filter
- generated reports</f>
        <v>#NAME?</v>
      </c>
      <c r="AA8619" t="s">
        <v>2166</v>
      </c>
      <c r="AB8619" t="s">
        <v>88</v>
      </c>
      <c r="AD8619" s="2" t="s">
        <v>51969</v>
      </c>
      <c r="AE8619">
        <v>9734</v>
      </c>
      <c r="AG8619" t="s">
        <v>51970</v>
      </c>
      <c r="AH8619" t="s">
        <v>1220</v>
      </c>
      <c r="AI8619" t="s">
        <v>51971</v>
      </c>
    </row>
    <row r="8620" spans="2:35" ht="405">
      <c r="B8620" s="1">
        <v>45009</v>
      </c>
      <c r="C8620" s="4">
        <v>45008.538194444445</v>
      </c>
      <c r="D8620" t="s">
        <v>51972</v>
      </c>
      <c r="E8620" t="s">
        <v>7442</v>
      </c>
      <c r="F8620" t="s">
        <v>148</v>
      </c>
      <c r="G8620" t="s">
        <v>447</v>
      </c>
      <c r="H8620" t="s">
        <v>39</v>
      </c>
      <c r="I8620" t="s">
        <v>40</v>
      </c>
      <c r="J8620" s="2" t="s">
        <v>62</v>
      </c>
      <c r="K8620" t="s">
        <v>42</v>
      </c>
      <c r="L8620" t="s">
        <v>175</v>
      </c>
      <c r="Q8620">
        <v>23969</v>
      </c>
      <c r="R8620" t="s">
        <v>703</v>
      </c>
      <c r="S8620" t="s">
        <v>51973</v>
      </c>
      <c r="T8620">
        <v>25</v>
      </c>
      <c r="U8620" s="2" t="s">
        <v>51974</v>
      </c>
      <c r="V8620" s="1">
        <v>45005</v>
      </c>
      <c r="W8620" t="s">
        <v>84</v>
      </c>
      <c r="X8620">
        <v>847578</v>
      </c>
      <c r="Y8620" t="s">
        <v>50967</v>
      </c>
      <c r="Z8620" t="e">
        <f ca="1">- checked _xludf.and cleaned cartridge bay, plunger rod, icore slot, _xludf.filter
- performed XpertCheck
- generated reports</f>
        <v>#NAME?</v>
      </c>
      <c r="AA8620" t="s">
        <v>51975</v>
      </c>
      <c r="AB8620" s="2" t="s">
        <v>36900</v>
      </c>
      <c r="AD8620" t="s">
        <v>948</v>
      </c>
      <c r="AE8620">
        <v>9716</v>
      </c>
      <c r="AG8620" t="s">
        <v>51976</v>
      </c>
      <c r="AH8620" t="s">
        <v>51977</v>
      </c>
      <c r="AI8620" t="s">
        <v>51978</v>
      </c>
    </row>
    <row r="8621" spans="2:35" ht="285">
      <c r="B8621" s="1">
        <v>45009</v>
      </c>
      <c r="C8621" s="4">
        <v>45007.436805555553</v>
      </c>
      <c r="D8621" t="s">
        <v>25980</v>
      </c>
      <c r="E8621" t="s">
        <v>3234</v>
      </c>
      <c r="F8621">
        <v>3</v>
      </c>
      <c r="G8621" t="s">
        <v>174</v>
      </c>
      <c r="H8621" t="s">
        <v>39</v>
      </c>
      <c r="I8621" t="s">
        <v>40</v>
      </c>
      <c r="J8621" s="2" t="s">
        <v>41</v>
      </c>
      <c r="K8621" t="s">
        <v>42</v>
      </c>
      <c r="L8621" t="s">
        <v>175</v>
      </c>
      <c r="Q8621">
        <v>23970</v>
      </c>
      <c r="R8621" t="s">
        <v>119</v>
      </c>
      <c r="S8621" t="s">
        <v>3235</v>
      </c>
      <c r="T8621">
        <v>25</v>
      </c>
      <c r="U8621" s="2" t="s">
        <v>51979</v>
      </c>
      <c r="V8621" s="1">
        <v>45005</v>
      </c>
      <c r="W8621" t="s">
        <v>84</v>
      </c>
      <c r="X8621">
        <v>831904</v>
      </c>
      <c r="Y8621" t="s">
        <v>51980</v>
      </c>
      <c r="Z8621" s="2" t="s">
        <v>51981</v>
      </c>
      <c r="AA8621" t="s">
        <v>22674</v>
      </c>
      <c r="AB8621" t="s">
        <v>88</v>
      </c>
      <c r="AD8621" s="2" t="s">
        <v>51982</v>
      </c>
      <c r="AE8621">
        <v>9714</v>
      </c>
      <c r="AG8621" t="s">
        <v>51983</v>
      </c>
      <c r="AH8621" t="s">
        <v>3239</v>
      </c>
      <c r="AI8621" t="s">
        <v>51984</v>
      </c>
    </row>
    <row r="8622" spans="2:35" ht="180">
      <c r="B8622" s="1">
        <v>45009</v>
      </c>
      <c r="C8622" s="4">
        <v>45008.682638888888</v>
      </c>
      <c r="D8622" t="s">
        <v>51985</v>
      </c>
      <c r="E8622" t="s">
        <v>51986</v>
      </c>
      <c r="F8622" t="s">
        <v>148</v>
      </c>
      <c r="G8622" t="s">
        <v>447</v>
      </c>
      <c r="H8622" t="s">
        <v>39</v>
      </c>
      <c r="I8622" t="s">
        <v>40</v>
      </c>
      <c r="J8622" t="s">
        <v>79</v>
      </c>
      <c r="K8622" t="s">
        <v>42</v>
      </c>
      <c r="L8622" t="s">
        <v>448</v>
      </c>
      <c r="Q8622">
        <v>23968</v>
      </c>
      <c r="R8622" t="s">
        <v>119</v>
      </c>
      <c r="S8622" t="s">
        <v>51987</v>
      </c>
      <c r="T8622">
        <v>27</v>
      </c>
      <c r="U8622" s="2" t="s">
        <v>51988</v>
      </c>
      <c r="V8622" s="1">
        <v>45007</v>
      </c>
      <c r="W8622" t="s">
        <v>360</v>
      </c>
      <c r="X8622">
        <v>831901</v>
      </c>
      <c r="Y8622" t="s">
        <v>51989</v>
      </c>
      <c r="Z8622" t="s">
        <v>51990</v>
      </c>
      <c r="AA8622" t="s">
        <v>51991</v>
      </c>
      <c r="AB8622" t="s">
        <v>51992</v>
      </c>
      <c r="AD8622" t="s">
        <v>10253</v>
      </c>
      <c r="AE8622">
        <v>9752</v>
      </c>
      <c r="AG8622" t="s">
        <v>51993</v>
      </c>
      <c r="AH8622" t="s">
        <v>44474</v>
      </c>
      <c r="AI8622" t="s">
        <v>51994</v>
      </c>
    </row>
    <row r="8623" spans="2:35" ht="180">
      <c r="B8623" s="1">
        <v>45009</v>
      </c>
      <c r="C8623" s="4">
        <v>45008.682638888888</v>
      </c>
      <c r="D8623" t="s">
        <v>51985</v>
      </c>
      <c r="E8623" t="s">
        <v>51986</v>
      </c>
      <c r="F8623" t="s">
        <v>148</v>
      </c>
      <c r="G8623" t="s">
        <v>447</v>
      </c>
      <c r="H8623" t="s">
        <v>39</v>
      </c>
      <c r="I8623" t="s">
        <v>40</v>
      </c>
      <c r="J8623" t="s">
        <v>79</v>
      </c>
      <c r="K8623" t="s">
        <v>42</v>
      </c>
      <c r="L8623" t="s">
        <v>448</v>
      </c>
      <c r="Q8623">
        <v>23967</v>
      </c>
      <c r="R8623" t="s">
        <v>119</v>
      </c>
      <c r="S8623" t="s">
        <v>51987</v>
      </c>
      <c r="T8623">
        <v>27</v>
      </c>
      <c r="U8623" s="2" t="s">
        <v>51988</v>
      </c>
      <c r="V8623" s="1">
        <v>45007</v>
      </c>
      <c r="W8623" t="s">
        <v>360</v>
      </c>
      <c r="X8623">
        <v>831901</v>
      </c>
      <c r="Y8623" t="s">
        <v>51989</v>
      </c>
      <c r="Z8623" t="s">
        <v>51990</v>
      </c>
      <c r="AA8623" t="s">
        <v>51991</v>
      </c>
      <c r="AB8623" t="s">
        <v>51992</v>
      </c>
      <c r="AD8623" t="s">
        <v>10253</v>
      </c>
      <c r="AE8623">
        <v>9752</v>
      </c>
      <c r="AG8623" t="s">
        <v>51995</v>
      </c>
      <c r="AH8623" t="s">
        <v>44474</v>
      </c>
      <c r="AI8623" t="s">
        <v>51996</v>
      </c>
    </row>
    <row r="8624" spans="2:35" ht="180">
      <c r="B8624" s="1">
        <v>45009</v>
      </c>
      <c r="C8624" s="4">
        <v>45008.538194444445</v>
      </c>
      <c r="D8624" t="s">
        <v>8654</v>
      </c>
      <c r="E8624" t="s">
        <v>8655</v>
      </c>
      <c r="F8624">
        <v>8</v>
      </c>
      <c r="G8624" t="s">
        <v>257</v>
      </c>
      <c r="H8624" t="s">
        <v>12698</v>
      </c>
      <c r="I8624" t="s">
        <v>40</v>
      </c>
      <c r="J8624" t="s">
        <v>109</v>
      </c>
      <c r="K8624" t="s">
        <v>42</v>
      </c>
      <c r="L8624" t="s">
        <v>259</v>
      </c>
      <c r="Q8624">
        <v>23966</v>
      </c>
      <c r="R8624" t="s">
        <v>119</v>
      </c>
      <c r="S8624" t="s">
        <v>41442</v>
      </c>
      <c r="T8624">
        <v>26</v>
      </c>
      <c r="U8624" s="2" t="s">
        <v>51997</v>
      </c>
      <c r="V8624" s="1">
        <v>45008</v>
      </c>
      <c r="W8624" t="s">
        <v>84</v>
      </c>
      <c r="X8624">
        <v>838409</v>
      </c>
      <c r="Y8624" t="e">
        <f ca="1">- _xludf.n/a</f>
        <v>#NAME?</v>
      </c>
      <c r="Z8624" t="e">
        <f ca="1">-performed Preventive Maintenance
-performed functionality test
-Generate reports</f>
        <v>#NAME?</v>
      </c>
      <c r="AA8624" t="e">
        <f ca="1">- Preventive Maintenance</f>
        <v>#NAME?</v>
      </c>
      <c r="AB8624" t="s">
        <v>70</v>
      </c>
      <c r="AG8624" t="s">
        <v>51998</v>
      </c>
      <c r="AH8624" t="s">
        <v>45398</v>
      </c>
      <c r="AI8624" t="s">
        <v>51999</v>
      </c>
    </row>
    <row r="8625" spans="2:35" ht="180">
      <c r="B8625" s="1">
        <v>45009</v>
      </c>
      <c r="C8625" s="4">
        <v>45008.682638888888</v>
      </c>
      <c r="D8625" t="s">
        <v>51985</v>
      </c>
      <c r="E8625" t="s">
        <v>51986</v>
      </c>
      <c r="F8625" t="s">
        <v>148</v>
      </c>
      <c r="G8625" t="s">
        <v>447</v>
      </c>
      <c r="H8625" t="s">
        <v>39</v>
      </c>
      <c r="I8625" t="s">
        <v>40</v>
      </c>
      <c r="J8625" t="s">
        <v>79</v>
      </c>
      <c r="K8625" t="s">
        <v>42</v>
      </c>
      <c r="L8625" t="s">
        <v>448</v>
      </c>
      <c r="Q8625">
        <v>23965</v>
      </c>
      <c r="R8625" t="s">
        <v>119</v>
      </c>
      <c r="S8625" t="s">
        <v>51987</v>
      </c>
      <c r="T8625">
        <v>27</v>
      </c>
      <c r="U8625" s="2" t="s">
        <v>51988</v>
      </c>
      <c r="V8625" s="1">
        <v>45007</v>
      </c>
      <c r="W8625" t="s">
        <v>360</v>
      </c>
      <c r="X8625">
        <v>831901</v>
      </c>
      <c r="Y8625" t="s">
        <v>51989</v>
      </c>
      <c r="Z8625" t="s">
        <v>51990</v>
      </c>
      <c r="AA8625" t="s">
        <v>51991</v>
      </c>
      <c r="AB8625" t="s">
        <v>51992</v>
      </c>
      <c r="AD8625" t="s">
        <v>10253</v>
      </c>
      <c r="AE8625">
        <v>9752</v>
      </c>
      <c r="AG8625" t="s">
        <v>52000</v>
      </c>
      <c r="AH8625" t="s">
        <v>44474</v>
      </c>
      <c r="AI8625" t="s">
        <v>52001</v>
      </c>
    </row>
    <row r="8626" spans="2:35" ht="255">
      <c r="B8626" s="1">
        <v>45009</v>
      </c>
      <c r="C8626" s="4">
        <v>45008.588194444441</v>
      </c>
      <c r="D8626" t="s">
        <v>52002</v>
      </c>
      <c r="E8626" t="s">
        <v>52003</v>
      </c>
      <c r="F8626" t="s">
        <v>148</v>
      </c>
      <c r="G8626" t="s">
        <v>447</v>
      </c>
      <c r="H8626" t="s">
        <v>39</v>
      </c>
      <c r="I8626" t="s">
        <v>40</v>
      </c>
      <c r="J8626" t="s">
        <v>79</v>
      </c>
      <c r="K8626" t="s">
        <v>42</v>
      </c>
      <c r="L8626" t="s">
        <v>448</v>
      </c>
      <c r="Q8626">
        <v>23964</v>
      </c>
      <c r="R8626" t="s">
        <v>119</v>
      </c>
      <c r="S8626" t="s">
        <v>24625</v>
      </c>
      <c r="T8626">
        <v>29</v>
      </c>
      <c r="U8626" s="2" t="s">
        <v>52004</v>
      </c>
      <c r="V8626" s="1">
        <v>45005</v>
      </c>
      <c r="W8626" t="s">
        <v>360</v>
      </c>
      <c r="X8626">
        <v>831615</v>
      </c>
      <c r="Y8626" t="s">
        <v>52005</v>
      </c>
      <c r="Z8626" t="s">
        <v>52006</v>
      </c>
      <c r="AA8626" t="s">
        <v>52007</v>
      </c>
      <c r="AB8626" t="s">
        <v>52008</v>
      </c>
      <c r="AD8626" t="s">
        <v>10253</v>
      </c>
      <c r="AE8626">
        <v>9729</v>
      </c>
      <c r="AG8626" t="s">
        <v>52009</v>
      </c>
      <c r="AH8626" t="s">
        <v>46307</v>
      </c>
      <c r="AI8626" t="s">
        <v>52010</v>
      </c>
    </row>
    <row r="8627" spans="2:35" ht="255">
      <c r="B8627" s="1">
        <v>45009</v>
      </c>
      <c r="C8627" s="4">
        <v>45008.588194444441</v>
      </c>
      <c r="D8627" t="s">
        <v>52002</v>
      </c>
      <c r="E8627" t="s">
        <v>52003</v>
      </c>
      <c r="F8627" t="s">
        <v>148</v>
      </c>
      <c r="G8627" t="s">
        <v>447</v>
      </c>
      <c r="H8627" t="s">
        <v>39</v>
      </c>
      <c r="I8627" t="s">
        <v>40</v>
      </c>
      <c r="J8627" t="s">
        <v>79</v>
      </c>
      <c r="K8627" t="s">
        <v>42</v>
      </c>
      <c r="L8627" t="s">
        <v>448</v>
      </c>
      <c r="Q8627">
        <v>23963</v>
      </c>
      <c r="R8627" t="s">
        <v>119</v>
      </c>
      <c r="S8627" t="s">
        <v>24625</v>
      </c>
      <c r="T8627">
        <v>29</v>
      </c>
      <c r="U8627" s="2" t="s">
        <v>52004</v>
      </c>
      <c r="V8627" s="1">
        <v>45005</v>
      </c>
      <c r="W8627" t="s">
        <v>360</v>
      </c>
      <c r="X8627">
        <v>831615</v>
      </c>
      <c r="Y8627" t="s">
        <v>52005</v>
      </c>
      <c r="Z8627" t="s">
        <v>52006</v>
      </c>
      <c r="AA8627" t="s">
        <v>52007</v>
      </c>
      <c r="AB8627" t="s">
        <v>52008</v>
      </c>
      <c r="AD8627" t="s">
        <v>10253</v>
      </c>
      <c r="AE8627">
        <v>9729</v>
      </c>
      <c r="AG8627" t="s">
        <v>52011</v>
      </c>
      <c r="AH8627" t="s">
        <v>46307</v>
      </c>
      <c r="AI8627" t="s">
        <v>52012</v>
      </c>
    </row>
    <row r="8628" spans="2:35" ht="120">
      <c r="B8628" s="1">
        <v>45008</v>
      </c>
      <c r="C8628" s="4">
        <v>45008.634027777778</v>
      </c>
      <c r="D8628" t="s">
        <v>52013</v>
      </c>
      <c r="E8628" t="s">
        <v>52014</v>
      </c>
      <c r="F8628">
        <v>10</v>
      </c>
      <c r="G8628" t="s">
        <v>2392</v>
      </c>
      <c r="H8628" t="s">
        <v>1047</v>
      </c>
      <c r="I8628" t="s">
        <v>40</v>
      </c>
      <c r="J8628" s="2" t="s">
        <v>6210</v>
      </c>
      <c r="K8628" t="s">
        <v>42</v>
      </c>
      <c r="L8628" t="s">
        <v>43100</v>
      </c>
      <c r="Q8628">
        <v>23962</v>
      </c>
      <c r="R8628" t="s">
        <v>45</v>
      </c>
      <c r="S8628" t="s">
        <v>52015</v>
      </c>
      <c r="T8628">
        <v>30</v>
      </c>
      <c r="W8628" t="s">
        <v>43102</v>
      </c>
      <c r="X8628">
        <v>838193</v>
      </c>
      <c r="Y8628" t="s">
        <v>301</v>
      </c>
      <c r="Z8628" t="s">
        <v>301</v>
      </c>
      <c r="AA8628" s="2" t="s">
        <v>52016</v>
      </c>
      <c r="AB8628" t="s">
        <v>486</v>
      </c>
      <c r="AG8628" t="s">
        <v>52017</v>
      </c>
      <c r="AH8628" t="s">
        <v>52018</v>
      </c>
      <c r="AI8628" t="s">
        <v>52019</v>
      </c>
    </row>
    <row r="8629" spans="2:35">
      <c r="B8629" s="1">
        <v>45008</v>
      </c>
      <c r="C8629" s="4">
        <v>45008.488194444442</v>
      </c>
      <c r="D8629" t="s">
        <v>52020</v>
      </c>
      <c r="E8629" t="s">
        <v>52021</v>
      </c>
      <c r="F8629" t="s">
        <v>148</v>
      </c>
      <c r="G8629" t="s">
        <v>310</v>
      </c>
      <c r="H8629" t="s">
        <v>386</v>
      </c>
      <c r="I8629" t="s">
        <v>40</v>
      </c>
      <c r="J8629" t="s">
        <v>525</v>
      </c>
      <c r="K8629" t="s">
        <v>387</v>
      </c>
      <c r="L8629" t="s">
        <v>448</v>
      </c>
      <c r="Q8629">
        <v>23961</v>
      </c>
      <c r="R8629" t="s">
        <v>322</v>
      </c>
      <c r="S8629" t="s">
        <v>3824</v>
      </c>
      <c r="T8629">
        <v>28</v>
      </c>
      <c r="W8629" t="s">
        <v>476</v>
      </c>
      <c r="X8629" t="s">
        <v>20133</v>
      </c>
      <c r="Y8629" t="s">
        <v>52022</v>
      </c>
      <c r="Z8629" t="s">
        <v>52023</v>
      </c>
      <c r="AA8629" t="s">
        <v>4487</v>
      </c>
      <c r="AB8629" t="s">
        <v>486</v>
      </c>
      <c r="AG8629" t="s">
        <v>52024</v>
      </c>
      <c r="AH8629" t="s">
        <v>52025</v>
      </c>
      <c r="AI8629" t="s">
        <v>52026</v>
      </c>
    </row>
    <row r="8630" spans="2:35">
      <c r="B8630" s="1">
        <v>45008</v>
      </c>
      <c r="C8630" s="4">
        <v>45008.574999999997</v>
      </c>
      <c r="D8630" t="s">
        <v>39840</v>
      </c>
      <c r="E8630" t="s">
        <v>6691</v>
      </c>
      <c r="F8630">
        <v>7</v>
      </c>
      <c r="G8630" t="s">
        <v>432</v>
      </c>
      <c r="H8630" t="s">
        <v>39</v>
      </c>
      <c r="I8630" t="s">
        <v>94</v>
      </c>
      <c r="J8630" t="s">
        <v>79</v>
      </c>
      <c r="K8630" t="s">
        <v>42</v>
      </c>
      <c r="L8630" t="s">
        <v>594</v>
      </c>
      <c r="Q8630">
        <v>23960</v>
      </c>
      <c r="R8630" t="s">
        <v>45</v>
      </c>
      <c r="S8630" t="s">
        <v>10458</v>
      </c>
      <c r="T8630">
        <v>24</v>
      </c>
      <c r="V8630" s="1">
        <v>45007</v>
      </c>
      <c r="W8630" t="s">
        <v>502</v>
      </c>
      <c r="X8630">
        <v>805275</v>
      </c>
      <c r="Y8630" t="s">
        <v>52027</v>
      </c>
      <c r="Z8630" t="s">
        <v>52028</v>
      </c>
      <c r="AA8630" t="s">
        <v>52028</v>
      </c>
      <c r="AB8630" t="s">
        <v>52029</v>
      </c>
      <c r="AG8630" t="s">
        <v>52030</v>
      </c>
      <c r="AH8630" t="s">
        <v>50142</v>
      </c>
      <c r="AI8630" t="s">
        <v>52031</v>
      </c>
    </row>
    <row r="8631" spans="2:35">
      <c r="B8631" s="1">
        <v>45008</v>
      </c>
      <c r="C8631" s="4">
        <v>45008.556944444441</v>
      </c>
      <c r="D8631" t="s">
        <v>52032</v>
      </c>
      <c r="E8631" t="s">
        <v>52033</v>
      </c>
      <c r="F8631">
        <v>6</v>
      </c>
      <c r="G8631" t="s">
        <v>1286</v>
      </c>
      <c r="H8631" t="s">
        <v>39</v>
      </c>
      <c r="I8631" t="s">
        <v>94</v>
      </c>
      <c r="J8631" t="s">
        <v>79</v>
      </c>
      <c r="K8631" t="s">
        <v>42</v>
      </c>
      <c r="L8631" t="s">
        <v>594</v>
      </c>
      <c r="Q8631">
        <v>23959</v>
      </c>
      <c r="R8631" t="s">
        <v>45</v>
      </c>
      <c r="S8631" t="s">
        <v>31167</v>
      </c>
      <c r="T8631">
        <v>23</v>
      </c>
      <c r="V8631" s="1">
        <v>45001</v>
      </c>
      <c r="W8631" t="s">
        <v>502</v>
      </c>
      <c r="X8631">
        <v>848241</v>
      </c>
      <c r="Y8631" t="s">
        <v>52034</v>
      </c>
      <c r="Z8631" t="s">
        <v>20217</v>
      </c>
      <c r="AA8631" t="s">
        <v>52035</v>
      </c>
      <c r="AB8631" t="s">
        <v>52029</v>
      </c>
      <c r="AG8631" t="s">
        <v>52036</v>
      </c>
      <c r="AH8631" t="s">
        <v>52037</v>
      </c>
      <c r="AI8631" t="s">
        <v>52038</v>
      </c>
    </row>
    <row r="8632" spans="2:35">
      <c r="B8632" s="1">
        <v>45008</v>
      </c>
      <c r="C8632" s="4">
        <v>45008.551388888889</v>
      </c>
      <c r="D8632" t="s">
        <v>12460</v>
      </c>
      <c r="E8632" t="s">
        <v>52039</v>
      </c>
      <c r="F8632">
        <v>6</v>
      </c>
      <c r="G8632" t="s">
        <v>1286</v>
      </c>
      <c r="H8632" t="s">
        <v>39</v>
      </c>
      <c r="I8632" t="s">
        <v>94</v>
      </c>
      <c r="J8632" t="s">
        <v>79</v>
      </c>
      <c r="K8632" t="s">
        <v>42</v>
      </c>
      <c r="L8632" t="s">
        <v>594</v>
      </c>
      <c r="Q8632">
        <v>23958</v>
      </c>
      <c r="R8632" t="s">
        <v>119</v>
      </c>
      <c r="S8632" t="s">
        <v>52040</v>
      </c>
      <c r="T8632">
        <v>24</v>
      </c>
      <c r="V8632" s="1">
        <v>45000</v>
      </c>
      <c r="W8632" t="s">
        <v>502</v>
      </c>
      <c r="X8632">
        <v>838296</v>
      </c>
      <c r="Y8632" t="s">
        <v>52041</v>
      </c>
      <c r="Z8632" t="s">
        <v>20217</v>
      </c>
      <c r="AA8632" t="s">
        <v>52042</v>
      </c>
      <c r="AB8632" t="s">
        <v>52043</v>
      </c>
      <c r="AG8632" t="s">
        <v>52044</v>
      </c>
      <c r="AH8632" t="s">
        <v>52045</v>
      </c>
      <c r="AI8632" t="s">
        <v>52046</v>
      </c>
    </row>
    <row r="8633" spans="2:35">
      <c r="B8633" s="1">
        <v>45008</v>
      </c>
      <c r="C8633" s="4">
        <v>45008.488194444442</v>
      </c>
      <c r="D8633" t="s">
        <v>52020</v>
      </c>
      <c r="E8633" t="s">
        <v>52021</v>
      </c>
      <c r="F8633" t="s">
        <v>148</v>
      </c>
      <c r="G8633" t="s">
        <v>310</v>
      </c>
      <c r="H8633" t="s">
        <v>386</v>
      </c>
      <c r="I8633" t="s">
        <v>40</v>
      </c>
      <c r="J8633" t="s">
        <v>525</v>
      </c>
      <c r="K8633" t="s">
        <v>387</v>
      </c>
      <c r="L8633" t="s">
        <v>448</v>
      </c>
      <c r="Q8633">
        <v>23957</v>
      </c>
      <c r="R8633" t="s">
        <v>322</v>
      </c>
      <c r="S8633" t="s">
        <v>3824</v>
      </c>
      <c r="T8633">
        <v>28</v>
      </c>
      <c r="W8633" t="s">
        <v>476</v>
      </c>
      <c r="X8633" t="s">
        <v>20133</v>
      </c>
      <c r="Y8633" t="s">
        <v>52022</v>
      </c>
      <c r="Z8633" t="s">
        <v>52023</v>
      </c>
      <c r="AA8633" t="s">
        <v>4487</v>
      </c>
      <c r="AB8633" t="s">
        <v>486</v>
      </c>
      <c r="AG8633" t="s">
        <v>52047</v>
      </c>
      <c r="AH8633" t="s">
        <v>52025</v>
      </c>
      <c r="AI8633" t="s">
        <v>52048</v>
      </c>
    </row>
    <row r="8634" spans="2:35" ht="105">
      <c r="B8634" s="1">
        <v>45008</v>
      </c>
      <c r="C8634" s="4">
        <v>45008.480555555558</v>
      </c>
      <c r="D8634" t="s">
        <v>9642</v>
      </c>
      <c r="E8634" t="s">
        <v>52049</v>
      </c>
      <c r="F8634">
        <v>10</v>
      </c>
      <c r="G8634" t="s">
        <v>2392</v>
      </c>
      <c r="H8634" t="s">
        <v>1047</v>
      </c>
      <c r="I8634" t="s">
        <v>40</v>
      </c>
      <c r="J8634" s="2" t="s">
        <v>41</v>
      </c>
      <c r="K8634" t="s">
        <v>42</v>
      </c>
      <c r="L8634" t="s">
        <v>43100</v>
      </c>
      <c r="Q8634">
        <v>23956</v>
      </c>
      <c r="R8634" t="s">
        <v>119</v>
      </c>
      <c r="S8634" t="s">
        <v>25249</v>
      </c>
      <c r="T8634">
        <v>27</v>
      </c>
      <c r="U8634" s="2" t="s">
        <v>19629</v>
      </c>
      <c r="W8634" t="s">
        <v>43102</v>
      </c>
      <c r="X8634">
        <v>838224</v>
      </c>
      <c r="Y8634" t="s">
        <v>52050</v>
      </c>
      <c r="Z8634" s="2" t="s">
        <v>52051</v>
      </c>
      <c r="AA8634" s="2" t="s">
        <v>52052</v>
      </c>
      <c r="AB8634" t="s">
        <v>486</v>
      </c>
      <c r="AG8634" t="s">
        <v>52053</v>
      </c>
      <c r="AH8634" t="s">
        <v>52054</v>
      </c>
      <c r="AI8634" t="s">
        <v>52055</v>
      </c>
    </row>
    <row r="8635" spans="2:35" ht="180">
      <c r="B8635" s="1">
        <v>45008</v>
      </c>
      <c r="C8635" s="4">
        <v>45008.454861111109</v>
      </c>
      <c r="D8635" t="s">
        <v>12460</v>
      </c>
      <c r="E8635" t="s">
        <v>52056</v>
      </c>
      <c r="F8635">
        <v>6</v>
      </c>
      <c r="G8635" t="s">
        <v>1234</v>
      </c>
      <c r="H8635" t="s">
        <v>34104</v>
      </c>
      <c r="I8635" t="s">
        <v>94</v>
      </c>
      <c r="J8635" t="s">
        <v>996</v>
      </c>
      <c r="K8635" t="s">
        <v>42</v>
      </c>
      <c r="L8635" t="s">
        <v>23958</v>
      </c>
      <c r="Q8635">
        <v>23955</v>
      </c>
      <c r="R8635" t="s">
        <v>119</v>
      </c>
      <c r="S8635" t="s">
        <v>52057</v>
      </c>
      <c r="T8635">
        <v>29</v>
      </c>
      <c r="U8635" s="2" t="s">
        <v>52058</v>
      </c>
      <c r="W8635" t="s">
        <v>1292</v>
      </c>
      <c r="X8635">
        <v>838491</v>
      </c>
      <c r="Y8635" t="s">
        <v>52059</v>
      </c>
      <c r="Z8635" t="s">
        <v>52060</v>
      </c>
      <c r="AA8635" t="s">
        <v>52061</v>
      </c>
      <c r="AB8635" t="s">
        <v>52062</v>
      </c>
      <c r="AG8635" t="s">
        <v>52063</v>
      </c>
      <c r="AH8635" t="s">
        <v>52064</v>
      </c>
      <c r="AI8635" t="s">
        <v>52065</v>
      </c>
    </row>
    <row r="8636" spans="2:35" ht="180">
      <c r="B8636" s="1">
        <v>45008</v>
      </c>
      <c r="C8636" s="4">
        <v>45007.59375</v>
      </c>
      <c r="D8636" t="s">
        <v>24781</v>
      </c>
      <c r="E8636" t="s">
        <v>52066</v>
      </c>
      <c r="F8636">
        <v>8</v>
      </c>
      <c r="G8636" t="s">
        <v>257</v>
      </c>
      <c r="H8636" t="s">
        <v>39</v>
      </c>
      <c r="I8636" t="s">
        <v>40</v>
      </c>
      <c r="J8636" s="2" t="s">
        <v>1309</v>
      </c>
      <c r="K8636" t="s">
        <v>42</v>
      </c>
      <c r="L8636" t="s">
        <v>259</v>
      </c>
      <c r="Q8636">
        <v>23954</v>
      </c>
      <c r="R8636" t="s">
        <v>45</v>
      </c>
      <c r="S8636" t="s">
        <v>52067</v>
      </c>
      <c r="T8636">
        <v>26</v>
      </c>
      <c r="U8636" s="2" t="s">
        <v>52068</v>
      </c>
      <c r="V8636" s="1">
        <v>45007</v>
      </c>
      <c r="W8636" t="s">
        <v>84</v>
      </c>
      <c r="X8636">
        <v>838868</v>
      </c>
      <c r="Y8636" t="e">
        <f ca="1">- cartridge stuck in module B2
- Unit _xludf.For CALIBRATION _xludf.and Maintenance</f>
        <v>#NAME?</v>
      </c>
      <c r="Z8636" t="e">
        <f ca="1">- removed stuck cartridge
- performed XpertCheck
- performed Preventive Maintenance
- Generate reports</f>
        <v>#NAME?</v>
      </c>
      <c r="AA8636" t="e">
        <f ca="1">- Repair
- CALIBRATION
- Preventive Maintenance</f>
        <v>#NAME?</v>
      </c>
      <c r="AB8636" t="s">
        <v>70</v>
      </c>
      <c r="AC8636" t="e">
        <f ca="1">- module B1 Retry _xludf.and service required , module B2,B3,B4 passed</f>
        <v>#NAME?</v>
      </c>
      <c r="AD8636" t="s">
        <v>11518</v>
      </c>
      <c r="AE8636" t="s">
        <v>52069</v>
      </c>
      <c r="AG8636" t="s">
        <v>52070</v>
      </c>
      <c r="AH8636" t="s">
        <v>52071</v>
      </c>
      <c r="AI8636" t="s">
        <v>52072</v>
      </c>
    </row>
    <row r="8637" spans="2:35" ht="180">
      <c r="B8637" s="1">
        <v>45007</v>
      </c>
      <c r="C8637" s="4">
        <v>45002.429861111108</v>
      </c>
      <c r="D8637" t="s">
        <v>25030</v>
      </c>
      <c r="E8637" t="s">
        <v>52073</v>
      </c>
      <c r="F8637" t="s">
        <v>148</v>
      </c>
      <c r="G8637" t="s">
        <v>20126</v>
      </c>
      <c r="H8637" t="s">
        <v>39</v>
      </c>
      <c r="I8637" t="s">
        <v>40</v>
      </c>
      <c r="J8637" s="2" t="s">
        <v>62</v>
      </c>
      <c r="K8637" t="s">
        <v>42</v>
      </c>
      <c r="L8637" t="s">
        <v>448</v>
      </c>
      <c r="Q8637">
        <v>23953</v>
      </c>
      <c r="R8637" t="s">
        <v>119</v>
      </c>
      <c r="S8637" t="s">
        <v>33009</v>
      </c>
      <c r="T8637">
        <v>27</v>
      </c>
      <c r="U8637" s="2" t="s">
        <v>52074</v>
      </c>
      <c r="V8637" s="1">
        <v>44944</v>
      </c>
      <c r="W8637" t="s">
        <v>360</v>
      </c>
      <c r="X8637">
        <v>831700</v>
      </c>
      <c r="Y8637" t="s">
        <v>50865</v>
      </c>
      <c r="Z8637" t="s">
        <v>52075</v>
      </c>
      <c r="AA8637" t="s">
        <v>24030</v>
      </c>
      <c r="AB8637" t="s">
        <v>52076</v>
      </c>
      <c r="AC8637" t="s">
        <v>52077</v>
      </c>
      <c r="AD8637" t="s">
        <v>3628</v>
      </c>
      <c r="AE8637">
        <v>9492</v>
      </c>
      <c r="AG8637" t="s">
        <v>52078</v>
      </c>
      <c r="AH8637" t="s">
        <v>50862</v>
      </c>
      <c r="AI8637" t="s">
        <v>52079</v>
      </c>
    </row>
    <row r="8638" spans="2:35" ht="180">
      <c r="B8638" s="1">
        <v>45007</v>
      </c>
      <c r="C8638" s="4">
        <v>45002.429861111108</v>
      </c>
      <c r="D8638" t="s">
        <v>25030</v>
      </c>
      <c r="E8638" t="s">
        <v>52073</v>
      </c>
      <c r="F8638" t="s">
        <v>148</v>
      </c>
      <c r="G8638" t="s">
        <v>20126</v>
      </c>
      <c r="H8638" t="s">
        <v>39</v>
      </c>
      <c r="I8638" t="s">
        <v>40</v>
      </c>
      <c r="J8638" s="2" t="s">
        <v>62</v>
      </c>
      <c r="K8638" t="s">
        <v>42</v>
      </c>
      <c r="L8638" t="s">
        <v>448</v>
      </c>
      <c r="Q8638">
        <v>23952</v>
      </c>
      <c r="R8638" t="s">
        <v>119</v>
      </c>
      <c r="S8638" t="s">
        <v>33009</v>
      </c>
      <c r="T8638">
        <v>27</v>
      </c>
      <c r="U8638" s="2" t="s">
        <v>52074</v>
      </c>
      <c r="V8638" s="1">
        <v>44944</v>
      </c>
      <c r="W8638" t="s">
        <v>360</v>
      </c>
      <c r="X8638">
        <v>831700</v>
      </c>
      <c r="Y8638" t="s">
        <v>50865</v>
      </c>
      <c r="Z8638" t="s">
        <v>52075</v>
      </c>
      <c r="AA8638" t="s">
        <v>24030</v>
      </c>
      <c r="AB8638" t="s">
        <v>52076</v>
      </c>
      <c r="AC8638" t="s">
        <v>52077</v>
      </c>
      <c r="AD8638" t="s">
        <v>3628</v>
      </c>
      <c r="AE8638">
        <v>9492</v>
      </c>
      <c r="AG8638" t="s">
        <v>52080</v>
      </c>
      <c r="AH8638" t="s">
        <v>50862</v>
      </c>
      <c r="AI8638" t="s">
        <v>52081</v>
      </c>
    </row>
    <row r="8639" spans="2:35">
      <c r="B8639" s="1">
        <v>45007</v>
      </c>
      <c r="C8639" s="4">
        <v>45007.638888888891</v>
      </c>
      <c r="D8639" t="s">
        <v>44011</v>
      </c>
      <c r="E8639" t="s">
        <v>52082</v>
      </c>
      <c r="F8639" t="s">
        <v>148</v>
      </c>
      <c r="G8639" t="s">
        <v>447</v>
      </c>
      <c r="H8639" t="s">
        <v>21730</v>
      </c>
      <c r="I8639" t="s">
        <v>94</v>
      </c>
      <c r="J8639" t="s">
        <v>525</v>
      </c>
      <c r="K8639" t="s">
        <v>387</v>
      </c>
      <c r="L8639" t="s">
        <v>448</v>
      </c>
      <c r="Q8639">
        <v>23951</v>
      </c>
      <c r="R8639" t="s">
        <v>322</v>
      </c>
      <c r="S8639" t="s">
        <v>4140</v>
      </c>
      <c r="T8639">
        <v>28</v>
      </c>
      <c r="V8639" s="1">
        <v>44987</v>
      </c>
      <c r="W8639" t="s">
        <v>476</v>
      </c>
      <c r="X8639" t="s">
        <v>2180</v>
      </c>
      <c r="Y8639" t="s">
        <v>52083</v>
      </c>
      <c r="Z8639" t="s">
        <v>52084</v>
      </c>
      <c r="AA8639" t="s">
        <v>4487</v>
      </c>
      <c r="AB8639" t="s">
        <v>52085</v>
      </c>
      <c r="AD8639" t="s">
        <v>52086</v>
      </c>
      <c r="AE8639">
        <v>9660</v>
      </c>
      <c r="AG8639" t="s">
        <v>52087</v>
      </c>
      <c r="AH8639" t="s">
        <v>50724</v>
      </c>
      <c r="AI8639" t="s">
        <v>52088</v>
      </c>
    </row>
    <row r="8640" spans="2:35" ht="409.5">
      <c r="B8640" s="1">
        <v>45007</v>
      </c>
      <c r="C8640" s="4">
        <v>45007.609722222223</v>
      </c>
      <c r="D8640" t="s">
        <v>24888</v>
      </c>
      <c r="E8640" t="s">
        <v>27607</v>
      </c>
      <c r="F8640">
        <v>3</v>
      </c>
      <c r="G8640" t="s">
        <v>730</v>
      </c>
      <c r="H8640" t="s">
        <v>39</v>
      </c>
      <c r="I8640" t="s">
        <v>40</v>
      </c>
      <c r="J8640" s="2" t="s">
        <v>62</v>
      </c>
      <c r="K8640" t="s">
        <v>42</v>
      </c>
      <c r="L8640" t="s">
        <v>135</v>
      </c>
      <c r="Q8640">
        <v>23950</v>
      </c>
      <c r="R8640" t="s">
        <v>119</v>
      </c>
      <c r="S8640" t="s">
        <v>24890</v>
      </c>
      <c r="T8640">
        <v>23.8</v>
      </c>
      <c r="U8640" s="2" t="s">
        <v>52089</v>
      </c>
      <c r="V8640" s="1">
        <v>44958</v>
      </c>
      <c r="W8640" t="s">
        <v>52090</v>
      </c>
      <c r="X8640">
        <v>831669</v>
      </c>
      <c r="Y8640" t="s">
        <v>1751</v>
      </c>
      <c r="Z8640" s="2" t="s">
        <v>28886</v>
      </c>
      <c r="AA8640" s="2" t="s">
        <v>31375</v>
      </c>
      <c r="AB8640" t="s">
        <v>52091</v>
      </c>
      <c r="AC8640" t="s">
        <v>4800</v>
      </c>
      <c r="AD8640" t="s">
        <v>26369</v>
      </c>
      <c r="AE8640">
        <v>9566</v>
      </c>
      <c r="AG8640" t="s">
        <v>52092</v>
      </c>
      <c r="AH8640" t="s">
        <v>24893</v>
      </c>
      <c r="AI8640" t="s">
        <v>52093</v>
      </c>
    </row>
    <row r="8641" spans="2:35" ht="180">
      <c r="B8641" s="1">
        <v>45007</v>
      </c>
      <c r="C8641" s="4">
        <v>45007.633333333331</v>
      </c>
      <c r="D8641" t="s">
        <v>23687</v>
      </c>
      <c r="E8641" t="s">
        <v>27966</v>
      </c>
      <c r="F8641">
        <v>3</v>
      </c>
      <c r="G8641" t="s">
        <v>1722</v>
      </c>
      <c r="H8641" t="s">
        <v>39</v>
      </c>
      <c r="I8641" t="s">
        <v>40</v>
      </c>
      <c r="J8641" s="2" t="s">
        <v>190</v>
      </c>
      <c r="K8641" t="s">
        <v>42</v>
      </c>
      <c r="L8641" t="s">
        <v>63</v>
      </c>
      <c r="Q8641">
        <v>23949</v>
      </c>
      <c r="R8641" t="s">
        <v>119</v>
      </c>
      <c r="S8641" t="s">
        <v>23689</v>
      </c>
      <c r="T8641">
        <v>29</v>
      </c>
      <c r="U8641" s="2" t="s">
        <v>52094</v>
      </c>
      <c r="V8641" s="1">
        <v>45007</v>
      </c>
      <c r="W8641" t="s">
        <v>26915</v>
      </c>
      <c r="X8641">
        <v>831592</v>
      </c>
      <c r="Y8641" t="s">
        <v>52095</v>
      </c>
      <c r="Z8641" t="s">
        <v>52096</v>
      </c>
      <c r="AA8641" s="2" t="s">
        <v>1727</v>
      </c>
      <c r="AB8641" t="s">
        <v>70</v>
      </c>
      <c r="AC8641" t="s">
        <v>1716</v>
      </c>
      <c r="AD8641" t="s">
        <v>1716</v>
      </c>
      <c r="AE8641" t="s">
        <v>1716</v>
      </c>
      <c r="AG8641" t="s">
        <v>52097</v>
      </c>
      <c r="AH8641" t="s">
        <v>23694</v>
      </c>
      <c r="AI8641" t="s">
        <v>52098</v>
      </c>
    </row>
    <row r="8642" spans="2:35" ht="409.5">
      <c r="B8642" s="1">
        <v>45007</v>
      </c>
      <c r="C8642" s="4">
        <v>45007.609722222223</v>
      </c>
      <c r="D8642" t="s">
        <v>24888</v>
      </c>
      <c r="E8642" t="s">
        <v>27607</v>
      </c>
      <c r="F8642">
        <v>3</v>
      </c>
      <c r="G8642" t="s">
        <v>730</v>
      </c>
      <c r="H8642" t="s">
        <v>39</v>
      </c>
      <c r="I8642" t="s">
        <v>40</v>
      </c>
      <c r="J8642" s="2" t="s">
        <v>62</v>
      </c>
      <c r="K8642" t="s">
        <v>42</v>
      </c>
      <c r="L8642" t="s">
        <v>135</v>
      </c>
      <c r="Q8642">
        <v>23948</v>
      </c>
      <c r="R8642" t="s">
        <v>119</v>
      </c>
      <c r="S8642" t="s">
        <v>24890</v>
      </c>
      <c r="T8642">
        <v>23.8</v>
      </c>
      <c r="U8642" s="2" t="s">
        <v>52089</v>
      </c>
      <c r="V8642" s="1">
        <v>44958</v>
      </c>
      <c r="W8642" t="s">
        <v>52090</v>
      </c>
      <c r="X8642">
        <v>831669</v>
      </c>
      <c r="Y8642" t="s">
        <v>1751</v>
      </c>
      <c r="Z8642" s="2" t="s">
        <v>28886</v>
      </c>
      <c r="AA8642" s="2" t="s">
        <v>31375</v>
      </c>
      <c r="AB8642" t="s">
        <v>52091</v>
      </c>
      <c r="AC8642" t="s">
        <v>4800</v>
      </c>
      <c r="AD8642" t="s">
        <v>26369</v>
      </c>
      <c r="AE8642">
        <v>9566</v>
      </c>
      <c r="AG8642" t="s">
        <v>52099</v>
      </c>
      <c r="AH8642" t="s">
        <v>24893</v>
      </c>
      <c r="AI8642" t="s">
        <v>52100</v>
      </c>
    </row>
    <row r="8643" spans="2:35" ht="405">
      <c r="B8643" s="1">
        <v>45007</v>
      </c>
      <c r="C8643" s="4">
        <v>45007.6875</v>
      </c>
      <c r="D8643" t="s">
        <v>11484</v>
      </c>
      <c r="E8643" t="s">
        <v>52101</v>
      </c>
      <c r="F8643">
        <v>9</v>
      </c>
      <c r="G8643" t="s">
        <v>2197</v>
      </c>
      <c r="H8643" t="s">
        <v>39</v>
      </c>
      <c r="I8643" t="s">
        <v>94</v>
      </c>
      <c r="J8643" s="2" t="s">
        <v>190</v>
      </c>
      <c r="K8643" t="s">
        <v>42</v>
      </c>
      <c r="L8643" t="s">
        <v>1257</v>
      </c>
      <c r="Q8643">
        <v>23947</v>
      </c>
      <c r="R8643" t="s">
        <v>95</v>
      </c>
      <c r="S8643" t="s">
        <v>52102</v>
      </c>
      <c r="T8643">
        <v>26</v>
      </c>
      <c r="U8643" s="2" t="s">
        <v>52103</v>
      </c>
      <c r="V8643" s="1">
        <v>45007</v>
      </c>
      <c r="W8643" t="s">
        <v>4904</v>
      </c>
      <c r="X8643">
        <v>834128</v>
      </c>
      <c r="Y8643" t="s">
        <v>48501</v>
      </c>
      <c r="Z8643" t="s">
        <v>52104</v>
      </c>
      <c r="AA8643" t="s">
        <v>52104</v>
      </c>
      <c r="AB8643" t="s">
        <v>52105</v>
      </c>
      <c r="AC8643" t="s">
        <v>52106</v>
      </c>
      <c r="AD8643" t="s">
        <v>54</v>
      </c>
      <c r="AE8643" t="s">
        <v>54</v>
      </c>
      <c r="AG8643" t="s">
        <v>52107</v>
      </c>
      <c r="AH8643" t="s">
        <v>52108</v>
      </c>
      <c r="AI8643" t="s">
        <v>52109</v>
      </c>
    </row>
    <row r="8644" spans="2:35" ht="180">
      <c r="B8644" s="1">
        <v>45007</v>
      </c>
      <c r="C8644" s="4">
        <v>45006.662499999999</v>
      </c>
      <c r="D8644" t="s">
        <v>1713</v>
      </c>
      <c r="E8644" t="s">
        <v>52110</v>
      </c>
      <c r="F8644">
        <v>8</v>
      </c>
      <c r="G8644" t="s">
        <v>257</v>
      </c>
      <c r="H8644" t="s">
        <v>39</v>
      </c>
      <c r="I8644" t="s">
        <v>40</v>
      </c>
      <c r="J8644" t="s">
        <v>109</v>
      </c>
      <c r="K8644" t="s">
        <v>42</v>
      </c>
      <c r="L8644" t="s">
        <v>259</v>
      </c>
      <c r="Q8644">
        <v>23946</v>
      </c>
      <c r="R8644" t="s">
        <v>45</v>
      </c>
      <c r="S8644" t="s">
        <v>50592</v>
      </c>
      <c r="T8644">
        <v>28</v>
      </c>
      <c r="U8644" s="2" t="s">
        <v>52111</v>
      </c>
      <c r="V8644" s="1">
        <v>45006</v>
      </c>
      <c r="W8644" t="s">
        <v>84</v>
      </c>
      <c r="X8644">
        <v>804265</v>
      </c>
      <c r="Y8644" t="e">
        <f ca="1">- module B1 _xludf.and B4 _xludf.error</f>
        <v>#NAME?</v>
      </c>
      <c r="Z8644" t="e">
        <f ca="1">-performed Preventive Maintenance
-Generate reports
- Back up ARCHIVE _xludf.files</f>
        <v>#NAME?</v>
      </c>
      <c r="AA8644" t="e">
        <f ca="1">-Preventive Maintenance</f>
        <v>#NAME?</v>
      </c>
      <c r="AB8644" t="s">
        <v>70</v>
      </c>
      <c r="AG8644" t="s">
        <v>52112</v>
      </c>
      <c r="AH8644" t="s">
        <v>50596</v>
      </c>
      <c r="AI8644" t="s">
        <v>52113</v>
      </c>
    </row>
    <row r="8645" spans="2:35" ht="315">
      <c r="B8645" s="1">
        <v>45007</v>
      </c>
      <c r="C8645" s="4">
        <v>45007.509027777778</v>
      </c>
      <c r="D8645" t="s">
        <v>6844</v>
      </c>
      <c r="E8645" t="s">
        <v>52114</v>
      </c>
      <c r="F8645">
        <v>12</v>
      </c>
      <c r="G8645" t="s">
        <v>978</v>
      </c>
      <c r="H8645" t="s">
        <v>39</v>
      </c>
      <c r="I8645" t="s">
        <v>94</v>
      </c>
      <c r="J8645" s="2" t="s">
        <v>41</v>
      </c>
      <c r="K8645" t="s">
        <v>42</v>
      </c>
      <c r="L8645" t="s">
        <v>296</v>
      </c>
      <c r="Q8645">
        <v>23944</v>
      </c>
      <c r="R8645" t="s">
        <v>119</v>
      </c>
      <c r="S8645" t="s">
        <v>6846</v>
      </c>
      <c r="T8645">
        <v>28</v>
      </c>
      <c r="U8645" s="2" t="s">
        <v>52115</v>
      </c>
      <c r="V8645" s="1">
        <v>45007</v>
      </c>
      <c r="W8645" t="s">
        <v>23049</v>
      </c>
      <c r="X8645">
        <v>838261</v>
      </c>
      <c r="Y8645" s="2" t="s">
        <v>52116</v>
      </c>
      <c r="Z8645" s="2" t="s">
        <v>52117</v>
      </c>
      <c r="AA8645" s="2" t="s">
        <v>52117</v>
      </c>
      <c r="AB8645" t="s">
        <v>972</v>
      </c>
      <c r="AD8645" t="s">
        <v>52118</v>
      </c>
      <c r="AE8645" t="s">
        <v>52119</v>
      </c>
      <c r="AG8645" t="s">
        <v>52120</v>
      </c>
      <c r="AH8645" t="s">
        <v>52121</v>
      </c>
      <c r="AI8645" t="s">
        <v>52122</v>
      </c>
    </row>
    <row r="8646" spans="2:35" ht="285">
      <c r="B8646" s="1">
        <v>45007</v>
      </c>
      <c r="C8646" s="4">
        <v>45006.578472222223</v>
      </c>
      <c r="D8646" t="s">
        <v>7200</v>
      </c>
      <c r="E8646" t="s">
        <v>12226</v>
      </c>
      <c r="F8646">
        <v>12</v>
      </c>
      <c r="G8646" t="s">
        <v>978</v>
      </c>
      <c r="H8646" t="s">
        <v>39</v>
      </c>
      <c r="I8646" t="s">
        <v>94</v>
      </c>
      <c r="J8646" s="2" t="s">
        <v>1157</v>
      </c>
      <c r="K8646" t="s">
        <v>42</v>
      </c>
      <c r="L8646" t="s">
        <v>296</v>
      </c>
      <c r="Q8646">
        <v>23945</v>
      </c>
      <c r="R8646" t="s">
        <v>119</v>
      </c>
      <c r="S8646" t="s">
        <v>7202</v>
      </c>
      <c r="T8646">
        <v>25.8</v>
      </c>
      <c r="U8646" s="2" t="s">
        <v>52123</v>
      </c>
      <c r="W8646" t="s">
        <v>23049</v>
      </c>
      <c r="X8646">
        <v>838504</v>
      </c>
      <c r="Y8646" t="s">
        <v>46773</v>
      </c>
      <c r="Z8646" s="2" t="s">
        <v>52124</v>
      </c>
      <c r="AA8646" s="2" t="s">
        <v>52124</v>
      </c>
      <c r="AB8646" t="s">
        <v>23049</v>
      </c>
      <c r="AC8646" t="s">
        <v>52125</v>
      </c>
      <c r="AG8646" t="s">
        <v>52126</v>
      </c>
      <c r="AH8646" t="s">
        <v>32835</v>
      </c>
      <c r="AI8646" t="s">
        <v>52127</v>
      </c>
    </row>
    <row r="8647" spans="2:35">
      <c r="B8647" s="1">
        <v>45007</v>
      </c>
      <c r="C8647" s="4">
        <v>45007.490277777775</v>
      </c>
      <c r="D8647" t="s">
        <v>52128</v>
      </c>
      <c r="E8647" t="s">
        <v>52129</v>
      </c>
      <c r="F8647">
        <v>11</v>
      </c>
      <c r="G8647" t="s">
        <v>1205</v>
      </c>
      <c r="H8647" t="s">
        <v>202</v>
      </c>
      <c r="I8647" t="s">
        <v>40</v>
      </c>
      <c r="J8647" t="s">
        <v>79</v>
      </c>
      <c r="K8647" t="s">
        <v>42</v>
      </c>
      <c r="L8647" t="s">
        <v>204</v>
      </c>
      <c r="Q8647">
        <v>23943</v>
      </c>
      <c r="R8647" t="s">
        <v>45</v>
      </c>
      <c r="S8647" t="s">
        <v>52130</v>
      </c>
      <c r="T8647">
        <v>28.9</v>
      </c>
      <c r="V8647" s="1">
        <v>45006</v>
      </c>
      <c r="W8647" t="s">
        <v>23237</v>
      </c>
      <c r="X8647">
        <v>815392</v>
      </c>
      <c r="Y8647" t="s">
        <v>52131</v>
      </c>
      <c r="Z8647" t="s">
        <v>52132</v>
      </c>
      <c r="AA8647" t="s">
        <v>12182</v>
      </c>
      <c r="AB8647" t="s">
        <v>9590</v>
      </c>
      <c r="AC8647" t="s">
        <v>52133</v>
      </c>
      <c r="AD8647" t="s">
        <v>10253</v>
      </c>
      <c r="AE8647" t="s">
        <v>54</v>
      </c>
      <c r="AG8647" t="s">
        <v>52134</v>
      </c>
      <c r="AH8647" t="s">
        <v>52135</v>
      </c>
      <c r="AI8647" t="s">
        <v>52136</v>
      </c>
    </row>
    <row r="8648" spans="2:35">
      <c r="B8648" s="1">
        <v>45007</v>
      </c>
      <c r="C8648" s="4">
        <v>45007.490277777775</v>
      </c>
      <c r="D8648" t="s">
        <v>52128</v>
      </c>
      <c r="E8648" t="s">
        <v>52129</v>
      </c>
      <c r="F8648">
        <v>11</v>
      </c>
      <c r="G8648" t="s">
        <v>1205</v>
      </c>
      <c r="H8648" t="s">
        <v>202</v>
      </c>
      <c r="I8648" t="s">
        <v>40</v>
      </c>
      <c r="J8648" t="s">
        <v>79</v>
      </c>
      <c r="K8648" t="s">
        <v>42</v>
      </c>
      <c r="L8648" t="s">
        <v>204</v>
      </c>
      <c r="Q8648">
        <v>23942</v>
      </c>
      <c r="R8648" t="s">
        <v>45</v>
      </c>
      <c r="S8648" t="s">
        <v>52130</v>
      </c>
      <c r="T8648">
        <v>28.9</v>
      </c>
      <c r="V8648" s="1">
        <v>45006</v>
      </c>
      <c r="W8648" t="s">
        <v>23237</v>
      </c>
      <c r="X8648">
        <v>815392</v>
      </c>
      <c r="Y8648" t="s">
        <v>52131</v>
      </c>
      <c r="Z8648" t="s">
        <v>52132</v>
      </c>
      <c r="AA8648" t="s">
        <v>12182</v>
      </c>
      <c r="AB8648" t="s">
        <v>9590</v>
      </c>
      <c r="AC8648" t="s">
        <v>52133</v>
      </c>
      <c r="AD8648" t="s">
        <v>10253</v>
      </c>
      <c r="AE8648" t="s">
        <v>54</v>
      </c>
      <c r="AG8648" t="s">
        <v>52137</v>
      </c>
      <c r="AH8648" t="s">
        <v>52135</v>
      </c>
      <c r="AI8648" t="s">
        <v>52138</v>
      </c>
    </row>
    <row r="8649" spans="2:35" ht="300">
      <c r="B8649" s="1">
        <v>45007</v>
      </c>
      <c r="C8649" s="4">
        <v>45002.519444444442</v>
      </c>
      <c r="D8649" t="s">
        <v>3752</v>
      </c>
      <c r="E8649" t="s">
        <v>45540</v>
      </c>
      <c r="F8649" t="s">
        <v>1181</v>
      </c>
      <c r="G8649" t="s">
        <v>3753</v>
      </c>
      <c r="H8649" t="s">
        <v>39</v>
      </c>
      <c r="I8649" t="s">
        <v>40</v>
      </c>
      <c r="J8649" s="2" t="s">
        <v>41</v>
      </c>
      <c r="K8649" t="s">
        <v>42</v>
      </c>
      <c r="L8649" t="s">
        <v>43</v>
      </c>
      <c r="Q8649">
        <v>23941</v>
      </c>
      <c r="R8649" t="s">
        <v>45</v>
      </c>
      <c r="S8649" t="s">
        <v>52139</v>
      </c>
      <c r="T8649">
        <v>20</v>
      </c>
      <c r="U8649" s="2" t="s">
        <v>52140</v>
      </c>
      <c r="V8649" s="1">
        <v>44998</v>
      </c>
      <c r="W8649" t="s">
        <v>40863</v>
      </c>
      <c r="X8649">
        <v>842229</v>
      </c>
      <c r="Y8649" t="s">
        <v>52141</v>
      </c>
      <c r="Z8649" t="s">
        <v>40723</v>
      </c>
      <c r="AA8649" s="2" t="s">
        <v>38682</v>
      </c>
      <c r="AB8649" t="s">
        <v>16412</v>
      </c>
      <c r="AD8649" s="2" t="s">
        <v>52142</v>
      </c>
      <c r="AE8649" t="s">
        <v>54</v>
      </c>
      <c r="AG8649" t="s">
        <v>52143</v>
      </c>
      <c r="AH8649" t="s">
        <v>52144</v>
      </c>
      <c r="AI8649" t="s">
        <v>52145</v>
      </c>
    </row>
    <row r="8650" spans="2:35" ht="210">
      <c r="B8650" s="1">
        <v>45007</v>
      </c>
      <c r="C8650" s="4">
        <v>45006.407638888886</v>
      </c>
      <c r="D8650" t="s">
        <v>1081</v>
      </c>
      <c r="E8650" t="s">
        <v>52146</v>
      </c>
      <c r="F8650" t="s">
        <v>148</v>
      </c>
      <c r="G8650" t="s">
        <v>785</v>
      </c>
      <c r="H8650" t="s">
        <v>39</v>
      </c>
      <c r="I8650" t="s">
        <v>40</v>
      </c>
      <c r="J8650" t="s">
        <v>321</v>
      </c>
      <c r="K8650" t="s">
        <v>42</v>
      </c>
      <c r="L8650" t="s">
        <v>43</v>
      </c>
      <c r="Q8650">
        <v>23940</v>
      </c>
      <c r="R8650" t="s">
        <v>95</v>
      </c>
      <c r="S8650" t="s">
        <v>2016</v>
      </c>
      <c r="T8650">
        <v>25</v>
      </c>
      <c r="W8650" t="s">
        <v>2018</v>
      </c>
      <c r="X8650">
        <v>110015767</v>
      </c>
      <c r="Y8650" t="s">
        <v>750</v>
      </c>
      <c r="Z8650" t="s">
        <v>751</v>
      </c>
      <c r="AA8650" s="2" t="s">
        <v>52147</v>
      </c>
      <c r="AB8650" t="s">
        <v>88</v>
      </c>
      <c r="AG8650" t="s">
        <v>52148</v>
      </c>
      <c r="AH8650" t="s">
        <v>49443</v>
      </c>
      <c r="AI8650" t="s">
        <v>52149</v>
      </c>
    </row>
    <row r="8651" spans="2:35" ht="375">
      <c r="B8651" s="1">
        <v>45007</v>
      </c>
      <c r="C8651" s="4">
        <v>44999.472222222219</v>
      </c>
      <c r="D8651" t="s">
        <v>24375</v>
      </c>
      <c r="E8651" t="s">
        <v>31774</v>
      </c>
      <c r="F8651" t="s">
        <v>1181</v>
      </c>
      <c r="G8651" t="s">
        <v>7148</v>
      </c>
      <c r="H8651" t="s">
        <v>1047</v>
      </c>
      <c r="I8651" t="s">
        <v>40</v>
      </c>
      <c r="J8651" s="2" t="s">
        <v>190</v>
      </c>
      <c r="K8651" t="s">
        <v>42</v>
      </c>
      <c r="L8651" t="s">
        <v>43</v>
      </c>
      <c r="Q8651">
        <v>23939</v>
      </c>
      <c r="R8651" t="s">
        <v>45</v>
      </c>
      <c r="S8651" t="s">
        <v>48128</v>
      </c>
      <c r="T8651">
        <v>23</v>
      </c>
      <c r="U8651" s="2" t="s">
        <v>52150</v>
      </c>
      <c r="W8651" t="s">
        <v>9792</v>
      </c>
      <c r="X8651">
        <v>807987</v>
      </c>
      <c r="Y8651" s="2" t="s">
        <v>52151</v>
      </c>
      <c r="Z8651" s="2" t="s">
        <v>52152</v>
      </c>
      <c r="AA8651" s="2" t="s">
        <v>52153</v>
      </c>
      <c r="AB8651" t="s">
        <v>52154</v>
      </c>
      <c r="AC8651" t="s">
        <v>49683</v>
      </c>
      <c r="AG8651" t="s">
        <v>52155</v>
      </c>
      <c r="AH8651" t="s">
        <v>48134</v>
      </c>
      <c r="AI8651" t="s">
        <v>52156</v>
      </c>
    </row>
    <row r="8652" spans="2:35" ht="180">
      <c r="B8652" s="1">
        <v>45007</v>
      </c>
      <c r="C8652" s="4">
        <v>44999.661805555559</v>
      </c>
      <c r="D8652" t="s">
        <v>31846</v>
      </c>
      <c r="E8652" t="s">
        <v>44961</v>
      </c>
      <c r="F8652" t="s">
        <v>1181</v>
      </c>
      <c r="G8652" t="s">
        <v>7148</v>
      </c>
      <c r="H8652" t="s">
        <v>39</v>
      </c>
      <c r="I8652" t="s">
        <v>40</v>
      </c>
      <c r="J8652" s="2" t="s">
        <v>62</v>
      </c>
      <c r="K8652" t="s">
        <v>42</v>
      </c>
      <c r="L8652" t="s">
        <v>43</v>
      </c>
      <c r="Q8652">
        <v>23935</v>
      </c>
      <c r="R8652" t="s">
        <v>45</v>
      </c>
      <c r="S8652" t="s">
        <v>44962</v>
      </c>
      <c r="T8652">
        <v>25</v>
      </c>
      <c r="U8652" s="2" t="s">
        <v>52157</v>
      </c>
      <c r="W8652" t="s">
        <v>9792</v>
      </c>
      <c r="X8652">
        <v>838197</v>
      </c>
      <c r="Y8652" t="s">
        <v>1111</v>
      </c>
      <c r="Z8652" t="s">
        <v>1519</v>
      </c>
      <c r="AA8652" s="2" t="s">
        <v>52158</v>
      </c>
      <c r="AB8652" t="s">
        <v>24813</v>
      </c>
      <c r="AG8652" t="s">
        <v>52159</v>
      </c>
      <c r="AH8652" t="s">
        <v>44966</v>
      </c>
      <c r="AI8652" t="s">
        <v>52160</v>
      </c>
    </row>
    <row r="8653" spans="2:35" ht="270">
      <c r="B8653" s="1">
        <v>45007</v>
      </c>
      <c r="C8653" s="4">
        <v>44999.490277777775</v>
      </c>
      <c r="D8653" t="s">
        <v>24375</v>
      </c>
      <c r="E8653" t="s">
        <v>31774</v>
      </c>
      <c r="F8653" t="s">
        <v>1181</v>
      </c>
      <c r="G8653" t="s">
        <v>7148</v>
      </c>
      <c r="H8653" t="s">
        <v>41397</v>
      </c>
      <c r="I8653" t="s">
        <v>40</v>
      </c>
      <c r="J8653" t="s">
        <v>109</v>
      </c>
      <c r="K8653" t="s">
        <v>42</v>
      </c>
      <c r="L8653" t="s">
        <v>43</v>
      </c>
      <c r="Q8653">
        <v>23936</v>
      </c>
      <c r="R8653" t="s">
        <v>322</v>
      </c>
      <c r="S8653" t="s">
        <v>52161</v>
      </c>
      <c r="T8653">
        <v>24</v>
      </c>
      <c r="U8653" s="2" t="s">
        <v>52162</v>
      </c>
      <c r="W8653" t="s">
        <v>40863</v>
      </c>
      <c r="X8653">
        <v>845005</v>
      </c>
      <c r="Y8653" t="s">
        <v>121</v>
      </c>
      <c r="Z8653" t="s">
        <v>122</v>
      </c>
      <c r="AA8653" s="2" t="s">
        <v>52163</v>
      </c>
      <c r="AB8653" t="s">
        <v>52164</v>
      </c>
      <c r="AC8653" t="s">
        <v>52165</v>
      </c>
      <c r="AG8653" t="s">
        <v>52166</v>
      </c>
      <c r="AH8653" t="s">
        <v>52167</v>
      </c>
      <c r="AI8653" t="s">
        <v>52168</v>
      </c>
    </row>
    <row r="8654" spans="2:35" ht="270">
      <c r="B8654" s="1">
        <v>45007</v>
      </c>
      <c r="C8654" s="4">
        <v>45002.382638888892</v>
      </c>
      <c r="D8654" t="s">
        <v>52169</v>
      </c>
      <c r="E8654" t="s">
        <v>52170</v>
      </c>
      <c r="F8654" t="s">
        <v>1181</v>
      </c>
      <c r="G8654" t="s">
        <v>3753</v>
      </c>
      <c r="H8654" t="s">
        <v>61</v>
      </c>
      <c r="I8654" t="s">
        <v>40</v>
      </c>
      <c r="J8654" s="2" t="s">
        <v>62</v>
      </c>
      <c r="K8654" t="s">
        <v>42</v>
      </c>
      <c r="L8654" t="s">
        <v>43</v>
      </c>
      <c r="Q8654">
        <v>23937</v>
      </c>
      <c r="R8654" t="s">
        <v>45</v>
      </c>
      <c r="S8654" t="s">
        <v>52171</v>
      </c>
      <c r="T8654">
        <v>20</v>
      </c>
      <c r="U8654" s="2" t="s">
        <v>52172</v>
      </c>
      <c r="W8654" t="s">
        <v>52173</v>
      </c>
      <c r="X8654">
        <v>834810</v>
      </c>
      <c r="Y8654" t="s">
        <v>1111</v>
      </c>
      <c r="Z8654" t="s">
        <v>1519</v>
      </c>
      <c r="AA8654" s="2" t="s">
        <v>43553</v>
      </c>
      <c r="AB8654" t="s">
        <v>24813</v>
      </c>
      <c r="AG8654" t="s">
        <v>52174</v>
      </c>
      <c r="AH8654" t="s">
        <v>52175</v>
      </c>
      <c r="AI8654" t="s">
        <v>52176</v>
      </c>
    </row>
    <row r="8655" spans="2:35" ht="180">
      <c r="B8655" s="1">
        <v>45007</v>
      </c>
      <c r="C8655" s="4">
        <v>44999.57708333333</v>
      </c>
      <c r="D8655" t="s">
        <v>31886</v>
      </c>
      <c r="E8655" t="s">
        <v>52177</v>
      </c>
      <c r="F8655" t="s">
        <v>1181</v>
      </c>
      <c r="G8655" t="s">
        <v>7148</v>
      </c>
      <c r="H8655" t="s">
        <v>39</v>
      </c>
      <c r="I8655" t="s">
        <v>40</v>
      </c>
      <c r="J8655" t="s">
        <v>109</v>
      </c>
      <c r="K8655" t="s">
        <v>42</v>
      </c>
      <c r="L8655" t="s">
        <v>43</v>
      </c>
      <c r="Q8655">
        <v>23938</v>
      </c>
      <c r="R8655" t="s">
        <v>45</v>
      </c>
      <c r="S8655" t="s">
        <v>42657</v>
      </c>
      <c r="T8655">
        <v>25</v>
      </c>
      <c r="U8655" s="2" t="s">
        <v>52178</v>
      </c>
      <c r="W8655" t="s">
        <v>9792</v>
      </c>
      <c r="X8655">
        <v>812791</v>
      </c>
      <c r="Y8655" t="s">
        <v>121</v>
      </c>
      <c r="Z8655" t="s">
        <v>122</v>
      </c>
      <c r="AA8655" s="2" t="s">
        <v>52179</v>
      </c>
      <c r="AB8655" t="s">
        <v>16412</v>
      </c>
      <c r="AG8655" t="s">
        <v>52180</v>
      </c>
      <c r="AH8655" t="s">
        <v>42661</v>
      </c>
      <c r="AI8655" t="s">
        <v>52181</v>
      </c>
    </row>
    <row r="8656" spans="2:35" ht="255">
      <c r="B8656" s="1">
        <v>45007</v>
      </c>
      <c r="C8656" s="4">
        <v>45001.444444444445</v>
      </c>
      <c r="D8656" t="s">
        <v>42630</v>
      </c>
      <c r="E8656" t="s">
        <v>52182</v>
      </c>
      <c r="F8656">
        <v>2</v>
      </c>
      <c r="G8656" t="s">
        <v>2668</v>
      </c>
      <c r="H8656" t="s">
        <v>39</v>
      </c>
      <c r="I8656" t="s">
        <v>40</v>
      </c>
      <c r="J8656" s="2" t="s">
        <v>41</v>
      </c>
      <c r="K8656" t="s">
        <v>42</v>
      </c>
      <c r="L8656" t="s">
        <v>63</v>
      </c>
      <c r="Q8656">
        <v>23931</v>
      </c>
      <c r="R8656" t="s">
        <v>45</v>
      </c>
      <c r="S8656" t="s">
        <v>42632</v>
      </c>
      <c r="T8656">
        <v>27</v>
      </c>
      <c r="U8656" s="2" t="s">
        <v>52183</v>
      </c>
      <c r="V8656" s="1">
        <v>45001</v>
      </c>
      <c r="W8656" t="s">
        <v>26915</v>
      </c>
      <c r="X8656">
        <v>812789</v>
      </c>
      <c r="Y8656" t="s">
        <v>1716</v>
      </c>
      <c r="Z8656" t="s">
        <v>1716</v>
      </c>
      <c r="AA8656" s="2" t="s">
        <v>52184</v>
      </c>
      <c r="AB8656" t="s">
        <v>70</v>
      </c>
      <c r="AC8656" t="s">
        <v>52185</v>
      </c>
      <c r="AD8656" t="s">
        <v>52186</v>
      </c>
      <c r="AE8656" t="s">
        <v>1716</v>
      </c>
      <c r="AG8656" t="s">
        <v>52187</v>
      </c>
      <c r="AH8656" t="s">
        <v>52188</v>
      </c>
      <c r="AI8656" t="s">
        <v>52189</v>
      </c>
    </row>
    <row r="8657" spans="2:35" ht="330">
      <c r="B8657" s="1">
        <v>45007</v>
      </c>
      <c r="C8657" s="4">
        <v>45002.677777777775</v>
      </c>
      <c r="D8657" t="s">
        <v>25871</v>
      </c>
      <c r="E8657" t="s">
        <v>25872</v>
      </c>
      <c r="F8657" t="s">
        <v>511</v>
      </c>
      <c r="G8657" t="s">
        <v>25873</v>
      </c>
      <c r="H8657" t="s">
        <v>39</v>
      </c>
      <c r="I8657" t="s">
        <v>40</v>
      </c>
      <c r="J8657" s="2" t="s">
        <v>1309</v>
      </c>
      <c r="K8657" t="s">
        <v>42</v>
      </c>
      <c r="L8657" t="s">
        <v>63</v>
      </c>
      <c r="Q8657">
        <v>23933</v>
      </c>
      <c r="R8657" t="s">
        <v>45</v>
      </c>
      <c r="S8657" t="s">
        <v>52190</v>
      </c>
      <c r="T8657">
        <v>27</v>
      </c>
      <c r="U8657" s="2" t="s">
        <v>52191</v>
      </c>
      <c r="V8657" s="1">
        <v>45002</v>
      </c>
      <c r="W8657" t="s">
        <v>26915</v>
      </c>
      <c r="X8657">
        <v>807617</v>
      </c>
      <c r="Y8657" t="s">
        <v>1716</v>
      </c>
      <c r="Z8657" t="s">
        <v>1716</v>
      </c>
      <c r="AA8657" s="2" t="s">
        <v>52192</v>
      </c>
      <c r="AB8657" t="s">
        <v>70</v>
      </c>
      <c r="AC8657" t="s">
        <v>52193</v>
      </c>
      <c r="AD8657" t="s">
        <v>52194</v>
      </c>
      <c r="AE8657" t="s">
        <v>1716</v>
      </c>
      <c r="AG8657" t="s">
        <v>52195</v>
      </c>
      <c r="AH8657" t="s">
        <v>25878</v>
      </c>
      <c r="AI8657" t="s">
        <v>52196</v>
      </c>
    </row>
    <row r="8658" spans="2:35" ht="180">
      <c r="B8658" s="1">
        <v>45007</v>
      </c>
      <c r="C8658" s="4">
        <v>45006.551388888889</v>
      </c>
      <c r="D8658" t="s">
        <v>52197</v>
      </c>
      <c r="E8658" t="s">
        <v>52198</v>
      </c>
      <c r="F8658">
        <v>3</v>
      </c>
      <c r="G8658" t="s">
        <v>1722</v>
      </c>
      <c r="H8658" t="s">
        <v>39</v>
      </c>
      <c r="I8658" t="s">
        <v>40</v>
      </c>
      <c r="J8658" t="s">
        <v>109</v>
      </c>
      <c r="K8658" t="s">
        <v>42</v>
      </c>
      <c r="L8658" t="s">
        <v>63</v>
      </c>
      <c r="Q8658">
        <v>23934</v>
      </c>
      <c r="R8658" t="s">
        <v>119</v>
      </c>
      <c r="S8658" t="s">
        <v>39707</v>
      </c>
      <c r="T8658">
        <v>28</v>
      </c>
      <c r="U8658" s="2" t="s">
        <v>52199</v>
      </c>
      <c r="V8658" s="1">
        <v>45006</v>
      </c>
      <c r="W8658" t="s">
        <v>26915</v>
      </c>
      <c r="X8658">
        <v>831599</v>
      </c>
      <c r="Y8658" t="s">
        <v>1716</v>
      </c>
      <c r="Z8658" t="s">
        <v>1716</v>
      </c>
      <c r="AA8658" s="2" t="s">
        <v>1727</v>
      </c>
      <c r="AB8658" t="s">
        <v>70</v>
      </c>
      <c r="AC8658" t="s">
        <v>1716</v>
      </c>
      <c r="AD8658" t="s">
        <v>1716</v>
      </c>
      <c r="AE8658" t="s">
        <v>1716</v>
      </c>
      <c r="AG8658" t="s">
        <v>52200</v>
      </c>
      <c r="AH8658" t="s">
        <v>52201</v>
      </c>
      <c r="AI8658" t="s">
        <v>52202</v>
      </c>
    </row>
    <row r="8659" spans="2:35" ht="270">
      <c r="B8659" s="1">
        <v>45007</v>
      </c>
      <c r="C8659" s="4">
        <v>45005.595833333333</v>
      </c>
      <c r="D8659" t="s">
        <v>1462</v>
      </c>
      <c r="E8659" t="s">
        <v>31739</v>
      </c>
      <c r="F8659">
        <v>3</v>
      </c>
      <c r="G8659" t="s">
        <v>1722</v>
      </c>
      <c r="H8659" t="s">
        <v>39</v>
      </c>
      <c r="I8659" t="s">
        <v>40</v>
      </c>
      <c r="J8659" s="2" t="s">
        <v>1592</v>
      </c>
      <c r="K8659" t="s">
        <v>42</v>
      </c>
      <c r="L8659" t="s">
        <v>63</v>
      </c>
      <c r="Q8659">
        <v>23932</v>
      </c>
      <c r="R8659" t="s">
        <v>45</v>
      </c>
      <c r="S8659" t="s">
        <v>52203</v>
      </c>
      <c r="T8659">
        <v>29</v>
      </c>
      <c r="U8659" s="2" t="s">
        <v>52204</v>
      </c>
      <c r="V8659" s="1">
        <v>45005</v>
      </c>
      <c r="W8659" t="s">
        <v>26915</v>
      </c>
      <c r="X8659">
        <v>805107</v>
      </c>
      <c r="Y8659" t="s">
        <v>6973</v>
      </c>
      <c r="Z8659" s="2" t="s">
        <v>52205</v>
      </c>
      <c r="AA8659" s="2" t="s">
        <v>52206</v>
      </c>
      <c r="AB8659" t="s">
        <v>70</v>
      </c>
      <c r="AC8659" t="s">
        <v>11378</v>
      </c>
      <c r="AD8659" t="s">
        <v>52207</v>
      </c>
      <c r="AE8659" t="s">
        <v>1716</v>
      </c>
      <c r="AG8659" t="s">
        <v>52208</v>
      </c>
      <c r="AH8659" t="s">
        <v>52209</v>
      </c>
      <c r="AI8659" t="s">
        <v>52210</v>
      </c>
    </row>
    <row r="8660" spans="2:35" ht="225">
      <c r="B8660" s="1">
        <v>45007</v>
      </c>
      <c r="C8660" s="4">
        <v>45002.44027777778</v>
      </c>
      <c r="D8660" t="s">
        <v>10876</v>
      </c>
      <c r="E8660" t="s">
        <v>19879</v>
      </c>
      <c r="F8660">
        <v>2</v>
      </c>
      <c r="G8660" t="s">
        <v>10878</v>
      </c>
      <c r="H8660" t="s">
        <v>39</v>
      </c>
      <c r="I8660" t="s">
        <v>40</v>
      </c>
      <c r="J8660" s="2" t="s">
        <v>1157</v>
      </c>
      <c r="K8660" t="s">
        <v>42</v>
      </c>
      <c r="L8660" t="s">
        <v>63</v>
      </c>
      <c r="Q8660">
        <v>23931</v>
      </c>
      <c r="R8660" t="s">
        <v>119</v>
      </c>
      <c r="S8660" t="s">
        <v>10879</v>
      </c>
      <c r="T8660">
        <v>29</v>
      </c>
      <c r="U8660" s="2" t="s">
        <v>52211</v>
      </c>
      <c r="V8660" s="1">
        <v>45002</v>
      </c>
      <c r="W8660" t="s">
        <v>26915</v>
      </c>
      <c r="X8660">
        <v>838469</v>
      </c>
      <c r="Y8660" t="s">
        <v>52212</v>
      </c>
      <c r="Z8660" t="s">
        <v>52213</v>
      </c>
      <c r="AA8660" s="2" t="s">
        <v>38119</v>
      </c>
      <c r="AB8660" t="s">
        <v>70</v>
      </c>
      <c r="AC8660" t="s">
        <v>38901</v>
      </c>
      <c r="AD8660" t="s">
        <v>31742</v>
      </c>
      <c r="AE8660" t="s">
        <v>1716</v>
      </c>
      <c r="AG8660" t="s">
        <v>52214</v>
      </c>
      <c r="AH8660" t="s">
        <v>52215</v>
      </c>
      <c r="AI8660" t="s">
        <v>52216</v>
      </c>
    </row>
    <row r="8661" spans="2:35" ht="270">
      <c r="B8661" s="1">
        <v>45007</v>
      </c>
      <c r="C8661" s="4">
        <v>45005.595833333333</v>
      </c>
      <c r="D8661" t="s">
        <v>1462</v>
      </c>
      <c r="E8661" t="s">
        <v>31739</v>
      </c>
      <c r="F8661">
        <v>3</v>
      </c>
      <c r="G8661" t="s">
        <v>1722</v>
      </c>
      <c r="H8661" t="s">
        <v>39</v>
      </c>
      <c r="I8661" t="s">
        <v>40</v>
      </c>
      <c r="J8661" s="2" t="s">
        <v>1592</v>
      </c>
      <c r="K8661" t="s">
        <v>42</v>
      </c>
      <c r="L8661" t="s">
        <v>63</v>
      </c>
      <c r="Q8661">
        <v>23929</v>
      </c>
      <c r="R8661" t="s">
        <v>45</v>
      </c>
      <c r="S8661" t="s">
        <v>52203</v>
      </c>
      <c r="T8661">
        <v>29</v>
      </c>
      <c r="U8661" s="2" t="s">
        <v>52204</v>
      </c>
      <c r="V8661" s="1">
        <v>45005</v>
      </c>
      <c r="W8661" t="s">
        <v>26915</v>
      </c>
      <c r="X8661">
        <v>805107</v>
      </c>
      <c r="Y8661" t="s">
        <v>6973</v>
      </c>
      <c r="Z8661" s="2" t="s">
        <v>52205</v>
      </c>
      <c r="AA8661" s="2" t="s">
        <v>52206</v>
      </c>
      <c r="AB8661" t="s">
        <v>70</v>
      </c>
      <c r="AC8661" t="s">
        <v>11378</v>
      </c>
      <c r="AD8661" t="s">
        <v>52207</v>
      </c>
      <c r="AE8661" t="s">
        <v>1716</v>
      </c>
      <c r="AG8661" t="s">
        <v>52217</v>
      </c>
      <c r="AH8661" t="s">
        <v>52209</v>
      </c>
      <c r="AI8661" t="s">
        <v>52218</v>
      </c>
    </row>
    <row r="8662" spans="2:35" ht="330">
      <c r="B8662" s="1">
        <v>45007</v>
      </c>
      <c r="C8662" s="4">
        <v>45002.677777777775</v>
      </c>
      <c r="D8662" t="s">
        <v>25871</v>
      </c>
      <c r="E8662" t="s">
        <v>25872</v>
      </c>
      <c r="F8662" t="s">
        <v>511</v>
      </c>
      <c r="G8662" t="s">
        <v>25873</v>
      </c>
      <c r="H8662" t="s">
        <v>39</v>
      </c>
      <c r="I8662" t="s">
        <v>40</v>
      </c>
      <c r="J8662" s="2" t="s">
        <v>1309</v>
      </c>
      <c r="K8662" t="s">
        <v>42</v>
      </c>
      <c r="L8662" t="s">
        <v>63</v>
      </c>
      <c r="Q8662">
        <v>23928</v>
      </c>
      <c r="R8662" t="s">
        <v>45</v>
      </c>
      <c r="S8662" t="s">
        <v>52190</v>
      </c>
      <c r="T8662">
        <v>27</v>
      </c>
      <c r="U8662" s="2" t="s">
        <v>52191</v>
      </c>
      <c r="V8662" s="1">
        <v>45002</v>
      </c>
      <c r="W8662" t="s">
        <v>26915</v>
      </c>
      <c r="X8662">
        <v>807617</v>
      </c>
      <c r="Y8662" t="s">
        <v>1716</v>
      </c>
      <c r="Z8662" t="s">
        <v>1716</v>
      </c>
      <c r="AA8662" s="2" t="s">
        <v>52192</v>
      </c>
      <c r="AB8662" t="s">
        <v>70</v>
      </c>
      <c r="AC8662" t="s">
        <v>52193</v>
      </c>
      <c r="AD8662" t="s">
        <v>52194</v>
      </c>
      <c r="AE8662" t="s">
        <v>1716</v>
      </c>
      <c r="AG8662" t="s">
        <v>52219</v>
      </c>
      <c r="AH8662" t="s">
        <v>25878</v>
      </c>
      <c r="AI8662" t="s">
        <v>52220</v>
      </c>
    </row>
    <row r="8663" spans="2:35" ht="225">
      <c r="B8663" s="1">
        <v>45007</v>
      </c>
      <c r="C8663" s="4">
        <v>45002.44027777778</v>
      </c>
      <c r="D8663" t="s">
        <v>10876</v>
      </c>
      <c r="E8663" t="s">
        <v>19879</v>
      </c>
      <c r="F8663">
        <v>2</v>
      </c>
      <c r="G8663" t="s">
        <v>10878</v>
      </c>
      <c r="H8663" t="s">
        <v>39</v>
      </c>
      <c r="I8663" t="s">
        <v>40</v>
      </c>
      <c r="J8663" s="2" t="s">
        <v>1157</v>
      </c>
      <c r="K8663" t="s">
        <v>42</v>
      </c>
      <c r="L8663" t="s">
        <v>63</v>
      </c>
      <c r="Q8663">
        <v>23927</v>
      </c>
      <c r="R8663" t="s">
        <v>119</v>
      </c>
      <c r="S8663" t="s">
        <v>10879</v>
      </c>
      <c r="T8663">
        <v>29</v>
      </c>
      <c r="U8663" s="2" t="s">
        <v>52211</v>
      </c>
      <c r="V8663" s="1">
        <v>45002</v>
      </c>
      <c r="W8663" t="s">
        <v>26915</v>
      </c>
      <c r="X8663">
        <v>838469</v>
      </c>
      <c r="Y8663" t="s">
        <v>52212</v>
      </c>
      <c r="Z8663" t="s">
        <v>52213</v>
      </c>
      <c r="AA8663" s="2" t="s">
        <v>38119</v>
      </c>
      <c r="AB8663" t="s">
        <v>70</v>
      </c>
      <c r="AC8663" t="s">
        <v>38901</v>
      </c>
      <c r="AD8663" t="s">
        <v>31742</v>
      </c>
      <c r="AE8663" t="s">
        <v>1716</v>
      </c>
      <c r="AG8663" t="s">
        <v>52221</v>
      </c>
      <c r="AH8663" t="s">
        <v>52215</v>
      </c>
      <c r="AI8663" t="s">
        <v>52222</v>
      </c>
    </row>
    <row r="8664" spans="2:35" ht="255">
      <c r="B8664" s="1">
        <v>45007</v>
      </c>
      <c r="C8664" s="4">
        <v>45001.444444444445</v>
      </c>
      <c r="D8664" t="s">
        <v>42630</v>
      </c>
      <c r="E8664" t="s">
        <v>52182</v>
      </c>
      <c r="F8664">
        <v>2</v>
      </c>
      <c r="G8664" t="s">
        <v>2668</v>
      </c>
      <c r="H8664" t="s">
        <v>39</v>
      </c>
      <c r="I8664" t="s">
        <v>40</v>
      </c>
      <c r="J8664" s="2" t="s">
        <v>41</v>
      </c>
      <c r="K8664" t="s">
        <v>42</v>
      </c>
      <c r="L8664" t="s">
        <v>63</v>
      </c>
      <c r="Q8664">
        <v>23927</v>
      </c>
      <c r="R8664" t="s">
        <v>45</v>
      </c>
      <c r="S8664" t="s">
        <v>42632</v>
      </c>
      <c r="T8664">
        <v>27</v>
      </c>
      <c r="U8664" s="2" t="s">
        <v>52183</v>
      </c>
      <c r="V8664" s="1">
        <v>45001</v>
      </c>
      <c r="W8664" t="s">
        <v>26915</v>
      </c>
      <c r="X8664">
        <v>812789</v>
      </c>
      <c r="Y8664" t="s">
        <v>1716</v>
      </c>
      <c r="Z8664" t="s">
        <v>1716</v>
      </c>
      <c r="AA8664" s="2" t="s">
        <v>52184</v>
      </c>
      <c r="AB8664" t="s">
        <v>70</v>
      </c>
      <c r="AC8664" t="s">
        <v>52185</v>
      </c>
      <c r="AD8664" t="s">
        <v>52186</v>
      </c>
      <c r="AE8664" t="s">
        <v>1716</v>
      </c>
      <c r="AG8664" t="s">
        <v>52223</v>
      </c>
      <c r="AH8664" t="s">
        <v>52188</v>
      </c>
      <c r="AI8664" t="s">
        <v>52224</v>
      </c>
    </row>
    <row r="8665" spans="2:35" ht="180">
      <c r="B8665" s="1">
        <v>45007</v>
      </c>
      <c r="C8665" s="4">
        <v>45006.551388888889</v>
      </c>
      <c r="D8665" t="s">
        <v>52197</v>
      </c>
      <c r="E8665" t="s">
        <v>52198</v>
      </c>
      <c r="F8665">
        <v>3</v>
      </c>
      <c r="G8665" t="s">
        <v>1722</v>
      </c>
      <c r="H8665" t="s">
        <v>39</v>
      </c>
      <c r="I8665" t="s">
        <v>40</v>
      </c>
      <c r="J8665" t="s">
        <v>109</v>
      </c>
      <c r="K8665" t="s">
        <v>42</v>
      </c>
      <c r="L8665" t="s">
        <v>63</v>
      </c>
      <c r="Q8665">
        <v>23930</v>
      </c>
      <c r="R8665" t="s">
        <v>119</v>
      </c>
      <c r="S8665" t="s">
        <v>39707</v>
      </c>
      <c r="T8665">
        <v>28</v>
      </c>
      <c r="U8665" s="2" t="s">
        <v>52199</v>
      </c>
      <c r="V8665" s="1">
        <v>45006</v>
      </c>
      <c r="W8665" t="s">
        <v>26915</v>
      </c>
      <c r="X8665">
        <v>831599</v>
      </c>
      <c r="Y8665" t="s">
        <v>1716</v>
      </c>
      <c r="Z8665" t="s">
        <v>1716</v>
      </c>
      <c r="AA8665" s="2" t="s">
        <v>1727</v>
      </c>
      <c r="AB8665" t="s">
        <v>70</v>
      </c>
      <c r="AC8665" t="s">
        <v>1716</v>
      </c>
      <c r="AD8665" t="s">
        <v>1716</v>
      </c>
      <c r="AE8665" t="s">
        <v>1716</v>
      </c>
      <c r="AG8665" t="s">
        <v>52225</v>
      </c>
      <c r="AH8665" t="s">
        <v>52201</v>
      </c>
      <c r="AI8665" t="s">
        <v>52226</v>
      </c>
    </row>
    <row r="8666" spans="2:35" ht="409.5">
      <c r="B8666" s="1">
        <v>45006</v>
      </c>
      <c r="C8666" s="4">
        <v>45006.637499999997</v>
      </c>
      <c r="D8666" t="s">
        <v>15507</v>
      </c>
      <c r="E8666" t="s">
        <v>52227</v>
      </c>
      <c r="F8666">
        <v>9</v>
      </c>
      <c r="G8666" t="s">
        <v>2197</v>
      </c>
      <c r="H8666" t="s">
        <v>39</v>
      </c>
      <c r="I8666" t="s">
        <v>40</v>
      </c>
      <c r="J8666" t="s">
        <v>52228</v>
      </c>
      <c r="K8666" t="s">
        <v>42</v>
      </c>
      <c r="L8666" t="s">
        <v>1257</v>
      </c>
      <c r="Q8666">
        <v>23926</v>
      </c>
      <c r="R8666" t="s">
        <v>719</v>
      </c>
      <c r="S8666" t="s">
        <v>42491</v>
      </c>
      <c r="T8666">
        <v>25</v>
      </c>
      <c r="U8666" s="2" t="s">
        <v>52229</v>
      </c>
      <c r="V8666" s="1">
        <v>44992</v>
      </c>
      <c r="W8666" t="s">
        <v>2384</v>
      </c>
      <c r="X8666">
        <v>848250</v>
      </c>
      <c r="Y8666" t="s">
        <v>301</v>
      </c>
      <c r="Z8666" t="s">
        <v>52230</v>
      </c>
      <c r="AA8666" t="s">
        <v>52231</v>
      </c>
      <c r="AB8666" t="s">
        <v>7411</v>
      </c>
      <c r="AC8666" t="s">
        <v>301</v>
      </c>
      <c r="AD8666" t="s">
        <v>52232</v>
      </c>
      <c r="AE8666" t="s">
        <v>52233</v>
      </c>
      <c r="AG8666" t="s">
        <v>52234</v>
      </c>
      <c r="AH8666" t="s">
        <v>42496</v>
      </c>
      <c r="AI8666" t="s">
        <v>52235</v>
      </c>
    </row>
    <row r="8667" spans="2:35" ht="285">
      <c r="B8667" s="1">
        <v>45006</v>
      </c>
      <c r="C8667" s="4">
        <v>45006.642361111109</v>
      </c>
      <c r="D8667" t="s">
        <v>37565</v>
      </c>
      <c r="E8667" t="s">
        <v>25517</v>
      </c>
      <c r="F8667">
        <v>13</v>
      </c>
      <c r="G8667" t="s">
        <v>931</v>
      </c>
      <c r="H8667" t="s">
        <v>2125</v>
      </c>
      <c r="I8667" t="s">
        <v>40</v>
      </c>
      <c r="J8667" t="s">
        <v>79</v>
      </c>
      <c r="K8667" t="s">
        <v>42</v>
      </c>
      <c r="L8667" t="s">
        <v>933</v>
      </c>
      <c r="Q8667">
        <v>23925</v>
      </c>
      <c r="R8667" t="s">
        <v>45</v>
      </c>
      <c r="S8667" t="s">
        <v>25518</v>
      </c>
      <c r="T8667">
        <v>25.8</v>
      </c>
      <c r="U8667" s="2" t="s">
        <v>52236</v>
      </c>
      <c r="W8667" t="s">
        <v>3662</v>
      </c>
      <c r="X8667">
        <v>815489</v>
      </c>
      <c r="Y8667" t="s">
        <v>52237</v>
      </c>
      <c r="Z8667" t="s">
        <v>52238</v>
      </c>
      <c r="AA8667" t="s">
        <v>52239</v>
      </c>
      <c r="AB8667" t="s">
        <v>52240</v>
      </c>
      <c r="AG8667" t="s">
        <v>52241</v>
      </c>
      <c r="AH8667" t="s">
        <v>52242</v>
      </c>
      <c r="AI8667" t="s">
        <v>52243</v>
      </c>
    </row>
    <row r="8668" spans="2:35" ht="315">
      <c r="B8668" s="1">
        <v>45006</v>
      </c>
      <c r="C8668" s="4">
        <v>45006.59652777778</v>
      </c>
      <c r="D8668" t="s">
        <v>26665</v>
      </c>
      <c r="E8668" t="s">
        <v>52244</v>
      </c>
      <c r="F8668">
        <v>11</v>
      </c>
      <c r="G8668" t="s">
        <v>1205</v>
      </c>
      <c r="H8668" t="s">
        <v>202</v>
      </c>
      <c r="I8668" t="s">
        <v>40</v>
      </c>
      <c r="J8668" t="s">
        <v>79</v>
      </c>
      <c r="K8668" t="s">
        <v>42</v>
      </c>
      <c r="L8668" t="s">
        <v>204</v>
      </c>
      <c r="Q8668">
        <v>23924</v>
      </c>
      <c r="R8668" t="s">
        <v>719</v>
      </c>
      <c r="S8668" t="s">
        <v>26667</v>
      </c>
      <c r="T8668">
        <v>29.7</v>
      </c>
      <c r="V8668" s="1">
        <v>45006</v>
      </c>
      <c r="W8668" t="s">
        <v>52245</v>
      </c>
      <c r="X8668">
        <v>848248</v>
      </c>
      <c r="Y8668" t="s">
        <v>32126</v>
      </c>
      <c r="Z8668" s="2" t="s">
        <v>52246</v>
      </c>
      <c r="AA8668" t="s">
        <v>12182</v>
      </c>
      <c r="AB8668" t="s">
        <v>52247</v>
      </c>
      <c r="AD8668" t="s">
        <v>2562</v>
      </c>
      <c r="AE8668" t="s">
        <v>54</v>
      </c>
      <c r="AG8668" t="s">
        <v>52248</v>
      </c>
      <c r="AH8668" t="s">
        <v>52249</v>
      </c>
      <c r="AI8668" t="s">
        <v>52250</v>
      </c>
    </row>
    <row r="8669" spans="2:35" ht="315">
      <c r="B8669" s="1">
        <v>45006</v>
      </c>
      <c r="C8669" s="4">
        <v>45006.522222222222</v>
      </c>
      <c r="D8669" t="s">
        <v>3615</v>
      </c>
      <c r="E8669" t="s">
        <v>3616</v>
      </c>
      <c r="F8669" t="s">
        <v>148</v>
      </c>
      <c r="G8669" t="s">
        <v>174</v>
      </c>
      <c r="H8669" t="s">
        <v>39</v>
      </c>
      <c r="I8669" t="s">
        <v>40</v>
      </c>
      <c r="J8669" s="2" t="s">
        <v>41</v>
      </c>
      <c r="K8669" t="s">
        <v>42</v>
      </c>
      <c r="L8669" t="s">
        <v>175</v>
      </c>
      <c r="Q8669">
        <v>23923</v>
      </c>
      <c r="R8669" t="s">
        <v>119</v>
      </c>
      <c r="S8669" t="s">
        <v>23152</v>
      </c>
      <c r="T8669">
        <v>25</v>
      </c>
      <c r="U8669" s="2" t="s">
        <v>52251</v>
      </c>
      <c r="V8669" s="1">
        <v>45005</v>
      </c>
      <c r="W8669" t="s">
        <v>84</v>
      </c>
      <c r="X8669">
        <v>831641</v>
      </c>
      <c r="Y8669" t="s">
        <v>52252</v>
      </c>
      <c r="Z8669" s="2" t="s">
        <v>52253</v>
      </c>
      <c r="AA8669" t="s">
        <v>240</v>
      </c>
      <c r="AB8669" t="s">
        <v>88</v>
      </c>
      <c r="AD8669" t="s">
        <v>182</v>
      </c>
      <c r="AE8669" t="s">
        <v>52254</v>
      </c>
      <c r="AG8669" t="s">
        <v>52255</v>
      </c>
      <c r="AH8669" t="s">
        <v>23156</v>
      </c>
      <c r="AI8669" t="s">
        <v>52256</v>
      </c>
    </row>
    <row r="8670" spans="2:35" ht="409.5">
      <c r="B8670" s="1">
        <v>45006</v>
      </c>
      <c r="C8670" s="4">
        <v>45006.602777777778</v>
      </c>
      <c r="D8670" t="s">
        <v>728</v>
      </c>
      <c r="E8670" t="s">
        <v>52257</v>
      </c>
      <c r="F8670">
        <v>3</v>
      </c>
      <c r="G8670" t="s">
        <v>730</v>
      </c>
      <c r="H8670" t="s">
        <v>39</v>
      </c>
      <c r="I8670" t="s">
        <v>40</v>
      </c>
      <c r="J8670" s="2" t="s">
        <v>62</v>
      </c>
      <c r="K8670" t="s">
        <v>42</v>
      </c>
      <c r="L8670" t="s">
        <v>135</v>
      </c>
      <c r="Q8670">
        <v>23922</v>
      </c>
      <c r="R8670" t="s">
        <v>119</v>
      </c>
      <c r="S8670" t="s">
        <v>731</v>
      </c>
      <c r="T8670">
        <v>28</v>
      </c>
      <c r="V8670" s="1">
        <v>44958</v>
      </c>
      <c r="W8670" t="s">
        <v>2680</v>
      </c>
      <c r="X8670">
        <v>831721</v>
      </c>
      <c r="Y8670" t="s">
        <v>67</v>
      </c>
      <c r="Z8670" s="2" t="s">
        <v>52258</v>
      </c>
      <c r="AA8670" s="2" t="s">
        <v>52259</v>
      </c>
      <c r="AB8670" t="s">
        <v>52260</v>
      </c>
      <c r="AC8670" t="s">
        <v>52261</v>
      </c>
      <c r="AD8670" t="s">
        <v>52262</v>
      </c>
      <c r="AE8670">
        <v>9562</v>
      </c>
      <c r="AG8670" t="s">
        <v>52263</v>
      </c>
      <c r="AH8670" t="s">
        <v>735</v>
      </c>
      <c r="AI8670" t="s">
        <v>52264</v>
      </c>
    </row>
    <row r="8671" spans="2:35" ht="285">
      <c r="B8671" s="1">
        <v>45006</v>
      </c>
      <c r="C8671" s="4">
        <v>45006.466666666667</v>
      </c>
      <c r="D8671" t="s">
        <v>3050</v>
      </c>
      <c r="E8671" t="s">
        <v>2817</v>
      </c>
      <c r="F8671" t="s">
        <v>148</v>
      </c>
      <c r="G8671" t="s">
        <v>371</v>
      </c>
      <c r="H8671" t="s">
        <v>39</v>
      </c>
      <c r="I8671" t="s">
        <v>40</v>
      </c>
      <c r="J8671" s="2" t="s">
        <v>41</v>
      </c>
      <c r="K8671" t="s">
        <v>42</v>
      </c>
      <c r="L8671" t="s">
        <v>1943</v>
      </c>
      <c r="Q8671">
        <v>23921</v>
      </c>
      <c r="R8671" t="s">
        <v>45</v>
      </c>
      <c r="S8671" t="s">
        <v>3052</v>
      </c>
      <c r="T8671">
        <v>28</v>
      </c>
      <c r="U8671" s="2" t="s">
        <v>52265</v>
      </c>
      <c r="V8671" s="1">
        <v>45005</v>
      </c>
      <c r="W8671" t="s">
        <v>84</v>
      </c>
      <c r="X8671">
        <v>814154</v>
      </c>
      <c r="Y8671" s="2" t="s">
        <v>52266</v>
      </c>
      <c r="Z8671" s="2" t="s">
        <v>52267</v>
      </c>
      <c r="AA8671" t="s">
        <v>1947</v>
      </c>
      <c r="AB8671" t="s">
        <v>88</v>
      </c>
      <c r="AD8671" t="s">
        <v>52268</v>
      </c>
      <c r="AE8671" t="s">
        <v>8904</v>
      </c>
      <c r="AG8671" t="s">
        <v>52269</v>
      </c>
      <c r="AH8671" t="s">
        <v>40173</v>
      </c>
      <c r="AI8671" t="s">
        <v>52270</v>
      </c>
    </row>
    <row r="8672" spans="2:35" ht="409.5">
      <c r="B8672" s="1">
        <v>45006</v>
      </c>
      <c r="C8672" s="4">
        <v>45006.444444444445</v>
      </c>
      <c r="D8672" t="s">
        <v>31371</v>
      </c>
      <c r="E8672" t="s">
        <v>52271</v>
      </c>
      <c r="F8672">
        <v>3</v>
      </c>
      <c r="G8672" t="s">
        <v>730</v>
      </c>
      <c r="H8672" t="s">
        <v>39</v>
      </c>
      <c r="I8672" t="s">
        <v>40</v>
      </c>
      <c r="J8672" s="2" t="s">
        <v>62</v>
      </c>
      <c r="K8672" t="s">
        <v>42</v>
      </c>
      <c r="L8672" t="s">
        <v>135</v>
      </c>
      <c r="Q8672">
        <v>23920</v>
      </c>
      <c r="R8672" t="s">
        <v>45</v>
      </c>
      <c r="S8672" t="s">
        <v>52272</v>
      </c>
      <c r="T8672">
        <v>30.5</v>
      </c>
      <c r="U8672" s="2" t="s">
        <v>52273</v>
      </c>
      <c r="V8672" s="1">
        <v>44995</v>
      </c>
      <c r="W8672" t="s">
        <v>2680</v>
      </c>
      <c r="X8672">
        <v>808292</v>
      </c>
      <c r="Y8672" t="s">
        <v>1751</v>
      </c>
      <c r="Z8672" s="2" t="s">
        <v>28886</v>
      </c>
      <c r="AA8672" s="2" t="s">
        <v>31375</v>
      </c>
      <c r="AB8672" t="s">
        <v>181</v>
      </c>
      <c r="AD8672" t="s">
        <v>49983</v>
      </c>
      <c r="AE8672">
        <v>39468</v>
      </c>
      <c r="AG8672" t="s">
        <v>52274</v>
      </c>
      <c r="AH8672" t="s">
        <v>31377</v>
      </c>
      <c r="AI8672" t="s">
        <v>52275</v>
      </c>
    </row>
    <row r="8673" spans="2:35" ht="409.5">
      <c r="B8673" s="1">
        <v>45006</v>
      </c>
      <c r="C8673" s="4">
        <v>45006.444444444445</v>
      </c>
      <c r="D8673" t="s">
        <v>31371</v>
      </c>
      <c r="E8673" t="s">
        <v>52271</v>
      </c>
      <c r="F8673">
        <v>3</v>
      </c>
      <c r="G8673" t="s">
        <v>730</v>
      </c>
      <c r="H8673" t="s">
        <v>39</v>
      </c>
      <c r="I8673" t="s">
        <v>40</v>
      </c>
      <c r="J8673" s="2" t="s">
        <v>62</v>
      </c>
      <c r="K8673" t="s">
        <v>42</v>
      </c>
      <c r="L8673" t="s">
        <v>135</v>
      </c>
      <c r="Q8673">
        <v>23919</v>
      </c>
      <c r="R8673" t="s">
        <v>45</v>
      </c>
      <c r="S8673" t="s">
        <v>52272</v>
      </c>
      <c r="T8673">
        <v>30.5</v>
      </c>
      <c r="U8673" s="2" t="s">
        <v>52273</v>
      </c>
      <c r="V8673" s="1">
        <v>44995</v>
      </c>
      <c r="W8673" t="s">
        <v>2680</v>
      </c>
      <c r="X8673">
        <v>808292</v>
      </c>
      <c r="Y8673" t="s">
        <v>1751</v>
      </c>
      <c r="Z8673" s="2" t="s">
        <v>28886</v>
      </c>
      <c r="AA8673" s="2" t="s">
        <v>31375</v>
      </c>
      <c r="AB8673" t="s">
        <v>181</v>
      </c>
      <c r="AD8673" t="s">
        <v>49983</v>
      </c>
      <c r="AE8673">
        <v>39468</v>
      </c>
      <c r="AG8673" t="s">
        <v>52276</v>
      </c>
      <c r="AH8673" t="s">
        <v>31377</v>
      </c>
      <c r="AI8673" t="s">
        <v>52277</v>
      </c>
    </row>
    <row r="8674" spans="2:35" ht="255">
      <c r="B8674" s="1">
        <v>45006</v>
      </c>
      <c r="C8674" s="4">
        <v>45006.450694444444</v>
      </c>
      <c r="D8674" t="s">
        <v>9886</v>
      </c>
      <c r="E8674" t="s">
        <v>29011</v>
      </c>
      <c r="F8674">
        <v>12</v>
      </c>
      <c r="G8674" t="s">
        <v>5785</v>
      </c>
      <c r="H8674" t="s">
        <v>39</v>
      </c>
      <c r="I8674" t="s">
        <v>94</v>
      </c>
      <c r="J8674" s="2" t="s">
        <v>41</v>
      </c>
      <c r="K8674" t="s">
        <v>42</v>
      </c>
      <c r="L8674" t="s">
        <v>296</v>
      </c>
      <c r="Q8674">
        <v>23918</v>
      </c>
      <c r="R8674" t="s">
        <v>119</v>
      </c>
      <c r="S8674" t="s">
        <v>52278</v>
      </c>
      <c r="T8674">
        <v>25.7</v>
      </c>
      <c r="U8674" s="2" t="s">
        <v>52279</v>
      </c>
      <c r="V8674" s="1">
        <v>45006</v>
      </c>
      <c r="W8674" t="s">
        <v>23049</v>
      </c>
      <c r="X8674">
        <v>838419</v>
      </c>
      <c r="Y8674" t="s">
        <v>32830</v>
      </c>
      <c r="Z8674" s="2" t="s">
        <v>52280</v>
      </c>
      <c r="AA8674" s="2" t="s">
        <v>52280</v>
      </c>
      <c r="AB8674" t="s">
        <v>1480</v>
      </c>
      <c r="AC8674" t="s">
        <v>52281</v>
      </c>
      <c r="AD8674" t="s">
        <v>52282</v>
      </c>
      <c r="AE8674" t="s">
        <v>52283</v>
      </c>
      <c r="AG8674" t="s">
        <v>52284</v>
      </c>
      <c r="AH8674" t="s">
        <v>52285</v>
      </c>
      <c r="AI8674" t="s">
        <v>52286</v>
      </c>
    </row>
    <row r="8675" spans="2:35" ht="270">
      <c r="B8675" s="1">
        <v>45006</v>
      </c>
      <c r="C8675" s="4">
        <v>45006.433333333334</v>
      </c>
      <c r="D8675" t="s">
        <v>52287</v>
      </c>
      <c r="E8675" t="s">
        <v>52288</v>
      </c>
      <c r="F8675">
        <v>7</v>
      </c>
      <c r="G8675" t="s">
        <v>432</v>
      </c>
      <c r="H8675" t="s">
        <v>2290</v>
      </c>
      <c r="I8675" t="s">
        <v>94</v>
      </c>
      <c r="J8675" t="s">
        <v>109</v>
      </c>
      <c r="K8675" t="s">
        <v>42</v>
      </c>
      <c r="L8675" t="s">
        <v>610</v>
      </c>
      <c r="Q8675">
        <v>23917</v>
      </c>
      <c r="R8675" t="s">
        <v>119</v>
      </c>
      <c r="S8675" t="s">
        <v>13419</v>
      </c>
      <c r="T8675">
        <v>24</v>
      </c>
      <c r="U8675" s="2" t="s">
        <v>13952</v>
      </c>
      <c r="W8675" t="s">
        <v>502</v>
      </c>
      <c r="X8675">
        <v>838512</v>
      </c>
      <c r="Y8675" t="s">
        <v>52289</v>
      </c>
      <c r="Z8675" s="2" t="s">
        <v>52290</v>
      </c>
      <c r="AA8675" t="s">
        <v>52291</v>
      </c>
      <c r="AB8675" t="s">
        <v>7543</v>
      </c>
      <c r="AG8675" t="s">
        <v>52292</v>
      </c>
      <c r="AH8675" t="s">
        <v>14337</v>
      </c>
      <c r="AI8675" t="s">
        <v>52293</v>
      </c>
    </row>
    <row r="8676" spans="2:35" ht="180">
      <c r="B8676" s="1">
        <v>45006</v>
      </c>
      <c r="C8676" s="4">
        <v>45006.406944444447</v>
      </c>
      <c r="D8676" t="s">
        <v>27150</v>
      </c>
      <c r="E8676" t="s">
        <v>27151</v>
      </c>
      <c r="F8676">
        <v>3</v>
      </c>
      <c r="G8676" t="s">
        <v>174</v>
      </c>
      <c r="H8676" t="s">
        <v>39</v>
      </c>
      <c r="I8676" t="s">
        <v>40</v>
      </c>
      <c r="J8676" s="2" t="s">
        <v>62</v>
      </c>
      <c r="K8676" t="s">
        <v>42</v>
      </c>
      <c r="L8676" t="s">
        <v>175</v>
      </c>
      <c r="Q8676">
        <v>23916</v>
      </c>
      <c r="R8676" t="s">
        <v>119</v>
      </c>
      <c r="S8676" t="s">
        <v>27152</v>
      </c>
      <c r="T8676">
        <v>25</v>
      </c>
      <c r="U8676" s="2" t="s">
        <v>52294</v>
      </c>
      <c r="V8676" s="1">
        <v>45006</v>
      </c>
      <c r="W8676" t="s">
        <v>84</v>
      </c>
      <c r="X8676">
        <v>831915</v>
      </c>
      <c r="Y8676" t="s">
        <v>998</v>
      </c>
      <c r="Z8676" t="e">
        <f ca="1">- checked _xludf.and cleaned cartridge bay, plunger rod, _xludf.filter, icore slot
- performed XpertCheck
- generated reports</f>
        <v>#NAME?</v>
      </c>
      <c r="AA8676" t="s">
        <v>999</v>
      </c>
      <c r="AB8676" s="2" t="s">
        <v>52295</v>
      </c>
      <c r="AD8676" t="s">
        <v>7189</v>
      </c>
      <c r="AE8676">
        <v>9517</v>
      </c>
      <c r="AG8676" t="s">
        <v>52296</v>
      </c>
      <c r="AH8676" t="s">
        <v>43327</v>
      </c>
      <c r="AI8676" t="s">
        <v>52297</v>
      </c>
    </row>
    <row r="8677" spans="2:35" ht="180">
      <c r="B8677" s="1">
        <v>45006</v>
      </c>
      <c r="C8677" s="4">
        <v>45006.406944444447</v>
      </c>
      <c r="D8677" t="s">
        <v>27150</v>
      </c>
      <c r="E8677" t="s">
        <v>27151</v>
      </c>
      <c r="F8677">
        <v>3</v>
      </c>
      <c r="G8677" t="s">
        <v>174</v>
      </c>
      <c r="H8677" t="s">
        <v>39</v>
      </c>
      <c r="I8677" t="s">
        <v>40</v>
      </c>
      <c r="J8677" s="2" t="s">
        <v>62</v>
      </c>
      <c r="K8677" t="s">
        <v>42</v>
      </c>
      <c r="L8677" t="s">
        <v>175</v>
      </c>
      <c r="Q8677">
        <v>23915</v>
      </c>
      <c r="R8677" t="s">
        <v>119</v>
      </c>
      <c r="S8677" t="s">
        <v>27152</v>
      </c>
      <c r="T8677">
        <v>25</v>
      </c>
      <c r="U8677" s="2" t="s">
        <v>52294</v>
      </c>
      <c r="V8677" s="1">
        <v>45006</v>
      </c>
      <c r="W8677" t="s">
        <v>84</v>
      </c>
      <c r="X8677">
        <v>831915</v>
      </c>
      <c r="Y8677" t="s">
        <v>998</v>
      </c>
      <c r="Z8677" t="e">
        <f ca="1">- checked _xludf.and cleaned cartridge bay, plunger rod, _xludf.filter, icore slot
- performed XpertCheck
- generated reports</f>
        <v>#NAME?</v>
      </c>
      <c r="AA8677" t="s">
        <v>999</v>
      </c>
      <c r="AB8677" s="2" t="s">
        <v>52295</v>
      </c>
      <c r="AD8677" t="s">
        <v>7189</v>
      </c>
      <c r="AE8677">
        <v>9517</v>
      </c>
      <c r="AG8677" t="s">
        <v>52298</v>
      </c>
      <c r="AH8677" t="s">
        <v>43327</v>
      </c>
      <c r="AI8677" t="s">
        <v>52299</v>
      </c>
    </row>
    <row r="8678" spans="2:35" ht="120">
      <c r="B8678" s="1">
        <v>45006</v>
      </c>
      <c r="C8678" s="4">
        <v>45006.379166666666</v>
      </c>
      <c r="D8678" t="s">
        <v>30087</v>
      </c>
      <c r="E8678" t="s">
        <v>42894</v>
      </c>
      <c r="F8678">
        <v>10</v>
      </c>
      <c r="G8678" t="s">
        <v>5315</v>
      </c>
      <c r="H8678" t="s">
        <v>1047</v>
      </c>
      <c r="I8678" t="s">
        <v>94</v>
      </c>
      <c r="J8678" s="2" t="s">
        <v>1808</v>
      </c>
      <c r="K8678" t="s">
        <v>42</v>
      </c>
      <c r="L8678" t="s">
        <v>43100</v>
      </c>
      <c r="Q8678">
        <v>23914</v>
      </c>
      <c r="R8678" t="s">
        <v>45</v>
      </c>
      <c r="S8678" t="s">
        <v>52300</v>
      </c>
      <c r="T8678">
        <v>28</v>
      </c>
      <c r="U8678" s="2" t="s">
        <v>16717</v>
      </c>
      <c r="W8678" t="s">
        <v>43102</v>
      </c>
      <c r="X8678">
        <v>835063</v>
      </c>
      <c r="Y8678" t="s">
        <v>52301</v>
      </c>
      <c r="Z8678" s="2" t="s">
        <v>52302</v>
      </c>
      <c r="AA8678" s="2" t="s">
        <v>52303</v>
      </c>
      <c r="AB8678" t="s">
        <v>486</v>
      </c>
      <c r="AG8678" t="s">
        <v>52304</v>
      </c>
      <c r="AH8678" t="s">
        <v>52305</v>
      </c>
      <c r="AI8678" t="s">
        <v>52306</v>
      </c>
    </row>
    <row r="8679" spans="2:35" ht="105">
      <c r="B8679" s="1">
        <v>45006</v>
      </c>
      <c r="C8679" s="4">
        <v>45006.401388888888</v>
      </c>
      <c r="D8679" t="s">
        <v>16720</v>
      </c>
      <c r="E8679" t="s">
        <v>12017</v>
      </c>
      <c r="F8679">
        <v>7</v>
      </c>
      <c r="G8679" t="s">
        <v>432</v>
      </c>
      <c r="H8679" t="s">
        <v>11359</v>
      </c>
      <c r="I8679" t="s">
        <v>40</v>
      </c>
      <c r="J8679" t="s">
        <v>109</v>
      </c>
      <c r="K8679" t="s">
        <v>42</v>
      </c>
      <c r="L8679" t="s">
        <v>1288</v>
      </c>
      <c r="Q8679">
        <v>23913</v>
      </c>
      <c r="R8679" t="s">
        <v>95</v>
      </c>
      <c r="S8679" t="s">
        <v>14495</v>
      </c>
      <c r="T8679">
        <v>28</v>
      </c>
      <c r="U8679" s="2" t="s">
        <v>52307</v>
      </c>
      <c r="W8679" t="s">
        <v>16722</v>
      </c>
      <c r="X8679">
        <v>838657</v>
      </c>
      <c r="Y8679" t="s">
        <v>1529</v>
      </c>
      <c r="Z8679" t="e">
        <f ca="1">-COLLECT IQR, system _xludf.Log, Assay stat, _xludf.and ARCHIVE</f>
        <v>#NAME?</v>
      </c>
      <c r="AA8679" t="e">
        <f ca="1">-PERFORM Cleaning of GX EQUIPMENT, PERFORM PM</f>
        <v>#NAME?</v>
      </c>
      <c r="AB8679" t="e">
        <f ca="1">-module A4 H/W fail
-module A2,A4,B1,B3,B4,D1, _xludf.and D3 disabled DUE to Temp errors</f>
        <v>#NAME?</v>
      </c>
      <c r="AG8679" t="s">
        <v>52308</v>
      </c>
      <c r="AH8679" t="s">
        <v>14501</v>
      </c>
      <c r="AI8679" t="s">
        <v>52309</v>
      </c>
    </row>
    <row r="8680" spans="2:35" ht="180">
      <c r="B8680" s="1">
        <v>45006</v>
      </c>
      <c r="C8680" s="4">
        <v>45000.584722222222</v>
      </c>
      <c r="D8680" t="s">
        <v>31708</v>
      </c>
      <c r="E8680" t="s">
        <v>52310</v>
      </c>
      <c r="F8680" t="s">
        <v>1181</v>
      </c>
      <c r="G8680" t="s">
        <v>3753</v>
      </c>
      <c r="H8680" t="s">
        <v>39</v>
      </c>
      <c r="I8680" t="s">
        <v>40</v>
      </c>
      <c r="J8680" s="2" t="s">
        <v>62</v>
      </c>
      <c r="K8680" t="s">
        <v>42</v>
      </c>
      <c r="L8680" t="s">
        <v>1943</v>
      </c>
      <c r="Q8680">
        <v>23912</v>
      </c>
      <c r="R8680" t="s">
        <v>45</v>
      </c>
      <c r="S8680" t="s">
        <v>31710</v>
      </c>
      <c r="T8680">
        <v>28</v>
      </c>
      <c r="U8680" s="2" t="s">
        <v>52311</v>
      </c>
      <c r="V8680" s="1">
        <v>44998</v>
      </c>
      <c r="W8680" t="s">
        <v>9792</v>
      </c>
      <c r="X8680">
        <v>834687</v>
      </c>
      <c r="Y8680" t="s">
        <v>1111</v>
      </c>
      <c r="Z8680" t="s">
        <v>1519</v>
      </c>
      <c r="AA8680" s="2" t="s">
        <v>49787</v>
      </c>
      <c r="AB8680" t="s">
        <v>52312</v>
      </c>
      <c r="AD8680" t="s">
        <v>21244</v>
      </c>
      <c r="AE8680" t="s">
        <v>54</v>
      </c>
      <c r="AG8680" t="s">
        <v>52313</v>
      </c>
      <c r="AH8680" t="s">
        <v>31713</v>
      </c>
      <c r="AI8680" t="s">
        <v>52314</v>
      </c>
    </row>
    <row r="8681" spans="2:35" ht="180">
      <c r="B8681" s="1">
        <v>45006</v>
      </c>
      <c r="C8681" s="4">
        <v>45000.584722222222</v>
      </c>
      <c r="D8681" t="s">
        <v>31708</v>
      </c>
      <c r="E8681" t="s">
        <v>52310</v>
      </c>
      <c r="F8681" t="s">
        <v>1181</v>
      </c>
      <c r="G8681" t="s">
        <v>3753</v>
      </c>
      <c r="H8681" t="s">
        <v>39</v>
      </c>
      <c r="I8681" t="s">
        <v>40</v>
      </c>
      <c r="J8681" s="2" t="s">
        <v>62</v>
      </c>
      <c r="K8681" t="s">
        <v>42</v>
      </c>
      <c r="L8681" t="s">
        <v>1943</v>
      </c>
      <c r="Q8681">
        <v>23911</v>
      </c>
      <c r="R8681" t="s">
        <v>45</v>
      </c>
      <c r="S8681" t="s">
        <v>31710</v>
      </c>
      <c r="T8681">
        <v>28</v>
      </c>
      <c r="U8681" s="2" t="s">
        <v>52311</v>
      </c>
      <c r="V8681" s="1">
        <v>44998</v>
      </c>
      <c r="W8681" t="s">
        <v>9792</v>
      </c>
      <c r="X8681">
        <v>834687</v>
      </c>
      <c r="Y8681" t="s">
        <v>1111</v>
      </c>
      <c r="Z8681" t="s">
        <v>1519</v>
      </c>
      <c r="AA8681" s="2" t="s">
        <v>49787</v>
      </c>
      <c r="AB8681" t="s">
        <v>52312</v>
      </c>
      <c r="AD8681" t="s">
        <v>21244</v>
      </c>
      <c r="AE8681" t="s">
        <v>54</v>
      </c>
      <c r="AG8681" t="s">
        <v>52313</v>
      </c>
      <c r="AH8681" t="s">
        <v>31713</v>
      </c>
      <c r="AI8681" t="s">
        <v>52314</v>
      </c>
    </row>
    <row r="8682" spans="2:35" ht="240">
      <c r="B8682" s="1">
        <v>45006</v>
      </c>
      <c r="C8682" s="4">
        <v>45006.37777777778</v>
      </c>
      <c r="D8682" t="s">
        <v>25211</v>
      </c>
      <c r="E8682" t="s">
        <v>27716</v>
      </c>
      <c r="F8682" t="s">
        <v>148</v>
      </c>
      <c r="G8682" t="s">
        <v>310</v>
      </c>
      <c r="H8682" t="s">
        <v>39</v>
      </c>
      <c r="I8682" t="s">
        <v>40</v>
      </c>
      <c r="J8682" s="2" t="s">
        <v>41</v>
      </c>
      <c r="K8682" t="s">
        <v>42</v>
      </c>
      <c r="L8682" t="s">
        <v>1943</v>
      </c>
      <c r="Q8682">
        <v>23910</v>
      </c>
      <c r="R8682" t="s">
        <v>45</v>
      </c>
      <c r="S8682" t="s">
        <v>52315</v>
      </c>
      <c r="T8682">
        <v>25</v>
      </c>
      <c r="U8682" s="2" t="s">
        <v>52316</v>
      </c>
      <c r="V8682" s="1">
        <v>45005</v>
      </c>
      <c r="W8682" t="s">
        <v>84</v>
      </c>
      <c r="X8682">
        <v>805103</v>
      </c>
      <c r="Y8682" s="2" t="s">
        <v>52317</v>
      </c>
      <c r="Z8682" s="2" t="s">
        <v>52318</v>
      </c>
      <c r="AA8682" t="s">
        <v>1947</v>
      </c>
      <c r="AB8682" t="s">
        <v>88</v>
      </c>
      <c r="AD8682" t="s">
        <v>52319</v>
      </c>
      <c r="AE8682" t="s">
        <v>8904</v>
      </c>
      <c r="AG8682" t="s">
        <v>52320</v>
      </c>
      <c r="AH8682" t="s">
        <v>25215</v>
      </c>
      <c r="AI8682" t="s">
        <v>52321</v>
      </c>
    </row>
    <row r="8683" spans="2:35">
      <c r="B8683" s="1">
        <v>45005</v>
      </c>
      <c r="C8683" s="4">
        <v>45005.438888888886</v>
      </c>
      <c r="D8683" t="s">
        <v>4982</v>
      </c>
      <c r="E8683" t="s">
        <v>52322</v>
      </c>
      <c r="F8683">
        <v>5</v>
      </c>
      <c r="G8683" t="s">
        <v>759</v>
      </c>
      <c r="H8683" t="s">
        <v>39</v>
      </c>
      <c r="I8683" t="s">
        <v>40</v>
      </c>
      <c r="J8683" t="s">
        <v>321</v>
      </c>
      <c r="K8683" t="s">
        <v>42</v>
      </c>
      <c r="L8683" t="s">
        <v>857</v>
      </c>
      <c r="Q8683">
        <v>23909</v>
      </c>
      <c r="R8683" t="s">
        <v>45</v>
      </c>
      <c r="S8683" t="s">
        <v>4983</v>
      </c>
      <c r="T8683">
        <v>25</v>
      </c>
      <c r="W8683" t="s">
        <v>84</v>
      </c>
      <c r="X8683">
        <v>110016954</v>
      </c>
      <c r="Y8683" t="s">
        <v>8338</v>
      </c>
      <c r="Z8683" t="s">
        <v>47426</v>
      </c>
      <c r="AA8683" t="s">
        <v>47426</v>
      </c>
      <c r="AB8683" t="s">
        <v>181</v>
      </c>
      <c r="AG8683" t="s">
        <v>52323</v>
      </c>
      <c r="AH8683" t="s">
        <v>4986</v>
      </c>
      <c r="AI8683" t="s">
        <v>52324</v>
      </c>
    </row>
    <row r="8684" spans="2:35" ht="405">
      <c r="B8684" s="1">
        <v>45005</v>
      </c>
      <c r="C8684" s="4">
        <v>45005.447222222225</v>
      </c>
      <c r="D8684" t="s">
        <v>18752</v>
      </c>
      <c r="E8684" t="s">
        <v>46590</v>
      </c>
      <c r="F8684">
        <v>7</v>
      </c>
      <c r="G8684" t="s">
        <v>432</v>
      </c>
      <c r="H8684" t="s">
        <v>39</v>
      </c>
      <c r="I8684" t="s">
        <v>94</v>
      </c>
      <c r="J8684" t="s">
        <v>525</v>
      </c>
      <c r="K8684" t="s">
        <v>42</v>
      </c>
      <c r="L8684" t="s">
        <v>594</v>
      </c>
      <c r="Q8684">
        <v>23907</v>
      </c>
      <c r="R8684" t="s">
        <v>45</v>
      </c>
      <c r="S8684" t="s">
        <v>22513</v>
      </c>
      <c r="T8684">
        <v>23</v>
      </c>
      <c r="V8684" s="1">
        <v>44991</v>
      </c>
      <c r="W8684" t="s">
        <v>502</v>
      </c>
      <c r="X8684">
        <v>815485</v>
      </c>
      <c r="Y8684" t="s">
        <v>52325</v>
      </c>
      <c r="Z8684" t="s">
        <v>52326</v>
      </c>
      <c r="AA8684" s="2" t="s">
        <v>52327</v>
      </c>
      <c r="AB8684" t="s">
        <v>52328</v>
      </c>
      <c r="AG8684" t="s">
        <v>52329</v>
      </c>
      <c r="AH8684" t="s">
        <v>46595</v>
      </c>
      <c r="AI8684" t="s">
        <v>52330</v>
      </c>
    </row>
    <row r="8685" spans="2:35" ht="330">
      <c r="B8685" s="1">
        <v>45005</v>
      </c>
      <c r="C8685" s="4">
        <v>45002.677777777775</v>
      </c>
      <c r="D8685" t="s">
        <v>25871</v>
      </c>
      <c r="E8685" t="s">
        <v>25872</v>
      </c>
      <c r="F8685" t="s">
        <v>511</v>
      </c>
      <c r="G8685" t="s">
        <v>25873</v>
      </c>
      <c r="H8685" t="s">
        <v>39</v>
      </c>
      <c r="I8685" t="s">
        <v>40</v>
      </c>
      <c r="J8685" s="2" t="s">
        <v>1309</v>
      </c>
      <c r="K8685" t="s">
        <v>42</v>
      </c>
      <c r="L8685" t="s">
        <v>63</v>
      </c>
      <c r="Q8685">
        <v>23905</v>
      </c>
      <c r="R8685" t="s">
        <v>45</v>
      </c>
      <c r="S8685" t="s">
        <v>52190</v>
      </c>
      <c r="T8685">
        <v>27</v>
      </c>
      <c r="U8685" s="2" t="s">
        <v>52191</v>
      </c>
      <c r="V8685" s="1">
        <v>45002</v>
      </c>
      <c r="W8685" t="s">
        <v>26915</v>
      </c>
      <c r="X8685">
        <v>807617</v>
      </c>
      <c r="Y8685" t="s">
        <v>1716</v>
      </c>
      <c r="Z8685" t="s">
        <v>1716</v>
      </c>
      <c r="AA8685" s="2" t="s">
        <v>52192</v>
      </c>
      <c r="AB8685" t="s">
        <v>70</v>
      </c>
      <c r="AC8685" t="s">
        <v>52193</v>
      </c>
      <c r="AD8685" t="s">
        <v>52194</v>
      </c>
      <c r="AE8685" t="s">
        <v>1716</v>
      </c>
      <c r="AG8685" t="s">
        <v>52331</v>
      </c>
      <c r="AH8685" t="s">
        <v>25878</v>
      </c>
      <c r="AI8685" t="s">
        <v>52332</v>
      </c>
    </row>
    <row r="8686" spans="2:35" ht="270">
      <c r="B8686" s="1">
        <v>45005</v>
      </c>
      <c r="C8686" s="4">
        <v>45005.595833333333</v>
      </c>
      <c r="D8686" t="s">
        <v>1462</v>
      </c>
      <c r="E8686" t="s">
        <v>31739</v>
      </c>
      <c r="F8686">
        <v>3</v>
      </c>
      <c r="G8686" t="s">
        <v>1722</v>
      </c>
      <c r="H8686" t="s">
        <v>39</v>
      </c>
      <c r="I8686" t="s">
        <v>40</v>
      </c>
      <c r="J8686" s="2" t="s">
        <v>1592</v>
      </c>
      <c r="K8686" t="s">
        <v>42</v>
      </c>
      <c r="L8686" t="s">
        <v>63</v>
      </c>
      <c r="Q8686">
        <v>23906</v>
      </c>
      <c r="R8686" t="s">
        <v>45</v>
      </c>
      <c r="S8686" t="s">
        <v>52203</v>
      </c>
      <c r="T8686">
        <v>29</v>
      </c>
      <c r="U8686" s="2" t="s">
        <v>52204</v>
      </c>
      <c r="V8686" s="1">
        <v>45005</v>
      </c>
      <c r="W8686" t="s">
        <v>26915</v>
      </c>
      <c r="X8686">
        <v>805107</v>
      </c>
      <c r="Y8686" t="s">
        <v>6973</v>
      </c>
      <c r="Z8686" s="2" t="s">
        <v>52205</v>
      </c>
      <c r="AA8686" s="2" t="s">
        <v>52206</v>
      </c>
      <c r="AB8686" t="s">
        <v>70</v>
      </c>
      <c r="AC8686" t="s">
        <v>11378</v>
      </c>
      <c r="AD8686" t="s">
        <v>52207</v>
      </c>
      <c r="AE8686" t="s">
        <v>1716</v>
      </c>
      <c r="AG8686" t="s">
        <v>52333</v>
      </c>
      <c r="AH8686" t="s">
        <v>52209</v>
      </c>
      <c r="AI8686" t="s">
        <v>52334</v>
      </c>
    </row>
    <row r="8687" spans="2:35" ht="225">
      <c r="B8687" s="1">
        <v>45005</v>
      </c>
      <c r="C8687" s="4">
        <v>45002.44027777778</v>
      </c>
      <c r="D8687" t="s">
        <v>10876</v>
      </c>
      <c r="E8687" t="s">
        <v>19879</v>
      </c>
      <c r="F8687">
        <v>2</v>
      </c>
      <c r="G8687" t="s">
        <v>10878</v>
      </c>
      <c r="H8687" t="s">
        <v>39</v>
      </c>
      <c r="I8687" t="s">
        <v>40</v>
      </c>
      <c r="J8687" s="2" t="s">
        <v>1157</v>
      </c>
      <c r="K8687" t="s">
        <v>42</v>
      </c>
      <c r="L8687" t="s">
        <v>63</v>
      </c>
      <c r="Q8687">
        <v>23903</v>
      </c>
      <c r="R8687" t="s">
        <v>119</v>
      </c>
      <c r="S8687" t="s">
        <v>10879</v>
      </c>
      <c r="T8687">
        <v>29</v>
      </c>
      <c r="U8687" s="2" t="s">
        <v>52211</v>
      </c>
      <c r="V8687" s="1">
        <v>45002</v>
      </c>
      <c r="W8687" t="s">
        <v>26915</v>
      </c>
      <c r="X8687">
        <v>838469</v>
      </c>
      <c r="Y8687" t="s">
        <v>52212</v>
      </c>
      <c r="Z8687" t="s">
        <v>52213</v>
      </c>
      <c r="AA8687" s="2" t="s">
        <v>38119</v>
      </c>
      <c r="AB8687" t="s">
        <v>70</v>
      </c>
      <c r="AC8687" t="s">
        <v>38901</v>
      </c>
      <c r="AD8687" t="s">
        <v>31742</v>
      </c>
      <c r="AE8687" t="s">
        <v>1716</v>
      </c>
      <c r="AG8687" t="s">
        <v>52335</v>
      </c>
      <c r="AH8687" t="s">
        <v>52215</v>
      </c>
      <c r="AI8687" t="s">
        <v>52336</v>
      </c>
    </row>
    <row r="8688" spans="2:35" ht="255">
      <c r="B8688" s="1">
        <v>45005</v>
      </c>
      <c r="C8688" s="4">
        <v>45001.444444444445</v>
      </c>
      <c r="D8688" t="s">
        <v>42630</v>
      </c>
      <c r="E8688" t="s">
        <v>52182</v>
      </c>
      <c r="F8688">
        <v>2</v>
      </c>
      <c r="G8688" t="s">
        <v>2668</v>
      </c>
      <c r="H8688" t="s">
        <v>39</v>
      </c>
      <c r="I8688" t="s">
        <v>40</v>
      </c>
      <c r="J8688" s="2" t="s">
        <v>41</v>
      </c>
      <c r="K8688" t="s">
        <v>42</v>
      </c>
      <c r="L8688" t="s">
        <v>63</v>
      </c>
      <c r="Q8688">
        <v>23904</v>
      </c>
      <c r="R8688" t="s">
        <v>45</v>
      </c>
      <c r="S8688" t="s">
        <v>42632</v>
      </c>
      <c r="T8688">
        <v>27</v>
      </c>
      <c r="U8688" s="2" t="s">
        <v>52183</v>
      </c>
      <c r="V8688" s="1">
        <v>45001</v>
      </c>
      <c r="W8688" t="s">
        <v>26915</v>
      </c>
      <c r="X8688">
        <v>812789</v>
      </c>
      <c r="Y8688" t="s">
        <v>1716</v>
      </c>
      <c r="Z8688" t="s">
        <v>1716</v>
      </c>
      <c r="AA8688" s="2" t="s">
        <v>52184</v>
      </c>
      <c r="AB8688" t="s">
        <v>70</v>
      </c>
      <c r="AC8688" t="s">
        <v>52185</v>
      </c>
      <c r="AD8688" t="s">
        <v>52186</v>
      </c>
      <c r="AE8688" t="s">
        <v>1716</v>
      </c>
      <c r="AG8688" t="s">
        <v>52337</v>
      </c>
      <c r="AH8688" t="s">
        <v>52188</v>
      </c>
      <c r="AI8688" t="s">
        <v>52338</v>
      </c>
    </row>
    <row r="8689" spans="2:35">
      <c r="B8689" s="1">
        <v>45005</v>
      </c>
      <c r="C8689" s="4">
        <v>45005.561805555553</v>
      </c>
      <c r="D8689" t="s">
        <v>5783</v>
      </c>
      <c r="E8689" t="s">
        <v>52339</v>
      </c>
      <c r="F8689">
        <v>12</v>
      </c>
      <c r="G8689" t="s">
        <v>5785</v>
      </c>
      <c r="H8689" t="s">
        <v>39</v>
      </c>
      <c r="I8689" t="s">
        <v>94</v>
      </c>
      <c r="J8689" t="s">
        <v>525</v>
      </c>
      <c r="K8689" t="s">
        <v>42</v>
      </c>
      <c r="L8689" t="s">
        <v>296</v>
      </c>
      <c r="Q8689">
        <v>23902</v>
      </c>
      <c r="R8689" t="s">
        <v>119</v>
      </c>
      <c r="S8689" t="s">
        <v>20624</v>
      </c>
      <c r="T8689">
        <v>24</v>
      </c>
      <c r="W8689" t="s">
        <v>23049</v>
      </c>
      <c r="X8689">
        <v>838546</v>
      </c>
      <c r="Y8689" t="s">
        <v>46319</v>
      </c>
      <c r="Z8689" t="s">
        <v>52340</v>
      </c>
      <c r="AA8689" t="s">
        <v>52340</v>
      </c>
      <c r="AB8689" t="s">
        <v>52341</v>
      </c>
      <c r="AG8689" t="s">
        <v>52342</v>
      </c>
      <c r="AH8689" t="s">
        <v>5791</v>
      </c>
      <c r="AI8689" t="s">
        <v>52343</v>
      </c>
    </row>
    <row r="8690" spans="2:35" ht="330">
      <c r="B8690" s="1">
        <v>45005</v>
      </c>
      <c r="C8690" s="4">
        <v>45002.568749999999</v>
      </c>
      <c r="D8690" t="s">
        <v>26071</v>
      </c>
      <c r="E8690" t="s">
        <v>48674</v>
      </c>
      <c r="F8690" t="s">
        <v>148</v>
      </c>
      <c r="G8690" t="s">
        <v>421</v>
      </c>
      <c r="H8690" t="s">
        <v>39</v>
      </c>
      <c r="I8690" t="s">
        <v>40</v>
      </c>
      <c r="J8690" s="2" t="s">
        <v>41</v>
      </c>
      <c r="K8690" t="s">
        <v>42</v>
      </c>
      <c r="L8690" t="s">
        <v>175</v>
      </c>
      <c r="Q8690">
        <v>23899</v>
      </c>
      <c r="R8690" t="s">
        <v>45</v>
      </c>
      <c r="S8690" t="s">
        <v>47766</v>
      </c>
      <c r="T8690">
        <v>25</v>
      </c>
      <c r="U8690" s="2" t="s">
        <v>52344</v>
      </c>
      <c r="W8690" t="s">
        <v>84</v>
      </c>
      <c r="X8690">
        <v>814151</v>
      </c>
      <c r="Y8690" t="s">
        <v>570</v>
      </c>
      <c r="Z8690" s="2" t="s">
        <v>52345</v>
      </c>
      <c r="AA8690" t="s">
        <v>571</v>
      </c>
      <c r="AB8690" t="s">
        <v>88</v>
      </c>
      <c r="AG8690" t="s">
        <v>52346</v>
      </c>
      <c r="AH8690" t="s">
        <v>47764</v>
      </c>
      <c r="AI8690" t="s">
        <v>52347</v>
      </c>
    </row>
    <row r="8691" spans="2:35" ht="409.5">
      <c r="B8691" s="1">
        <v>45005</v>
      </c>
      <c r="C8691" s="4">
        <v>45002.478472222225</v>
      </c>
      <c r="D8691" t="s">
        <v>52348</v>
      </c>
      <c r="E8691" t="s">
        <v>29199</v>
      </c>
      <c r="F8691" t="s">
        <v>148</v>
      </c>
      <c r="G8691" t="s">
        <v>371</v>
      </c>
      <c r="H8691" t="s">
        <v>61</v>
      </c>
      <c r="I8691" t="s">
        <v>40</v>
      </c>
      <c r="J8691" s="2" t="s">
        <v>41</v>
      </c>
      <c r="K8691" t="s">
        <v>42</v>
      </c>
      <c r="L8691" t="s">
        <v>175</v>
      </c>
      <c r="Q8691">
        <v>23901</v>
      </c>
      <c r="R8691" t="s">
        <v>45</v>
      </c>
      <c r="S8691" t="s">
        <v>52349</v>
      </c>
      <c r="T8691">
        <v>25</v>
      </c>
      <c r="U8691" s="2" t="s">
        <v>52350</v>
      </c>
      <c r="W8691" t="s">
        <v>84</v>
      </c>
      <c r="X8691">
        <v>707523</v>
      </c>
      <c r="Y8691" t="s">
        <v>2514</v>
      </c>
      <c r="Z8691" s="2" t="s">
        <v>52351</v>
      </c>
      <c r="AA8691" t="s">
        <v>233</v>
      </c>
      <c r="AB8691" t="s">
        <v>181</v>
      </c>
      <c r="AG8691" t="s">
        <v>52352</v>
      </c>
      <c r="AH8691" t="s">
        <v>40351</v>
      </c>
      <c r="AI8691" t="s">
        <v>52353</v>
      </c>
    </row>
    <row r="8692" spans="2:35" ht="409.5">
      <c r="B8692" s="1">
        <v>45005</v>
      </c>
      <c r="C8692" s="4">
        <v>45002.475694444445</v>
      </c>
      <c r="D8692" t="s">
        <v>369</v>
      </c>
      <c r="E8692" t="s">
        <v>29199</v>
      </c>
      <c r="F8692" t="s">
        <v>148</v>
      </c>
      <c r="G8692" t="s">
        <v>371</v>
      </c>
      <c r="H8692" t="s">
        <v>61</v>
      </c>
      <c r="I8692" t="s">
        <v>40</v>
      </c>
      <c r="J8692" s="2" t="s">
        <v>41</v>
      </c>
      <c r="K8692" t="s">
        <v>42</v>
      </c>
      <c r="L8692" t="s">
        <v>175</v>
      </c>
      <c r="Q8692">
        <v>23898</v>
      </c>
      <c r="R8692" t="s">
        <v>45</v>
      </c>
      <c r="S8692" t="s">
        <v>52349</v>
      </c>
      <c r="T8692">
        <v>25</v>
      </c>
      <c r="U8692" s="2" t="s">
        <v>52354</v>
      </c>
      <c r="W8692" t="s">
        <v>84</v>
      </c>
      <c r="X8692">
        <v>814159</v>
      </c>
      <c r="Y8692" t="s">
        <v>2165</v>
      </c>
      <c r="Z8692" s="2" t="s">
        <v>52355</v>
      </c>
      <c r="AA8692" t="s">
        <v>2166</v>
      </c>
      <c r="AB8692" t="s">
        <v>88</v>
      </c>
      <c r="AG8692" t="s">
        <v>52356</v>
      </c>
      <c r="AH8692" t="s">
        <v>40351</v>
      </c>
      <c r="AI8692" t="s">
        <v>52357</v>
      </c>
    </row>
    <row r="8693" spans="2:35" ht="345">
      <c r="B8693" s="1">
        <v>45005</v>
      </c>
      <c r="C8693" s="4">
        <v>45002.470138888886</v>
      </c>
      <c r="D8693" t="s">
        <v>369</v>
      </c>
      <c r="E8693" t="s">
        <v>29199</v>
      </c>
      <c r="F8693" t="s">
        <v>148</v>
      </c>
      <c r="G8693" t="s">
        <v>371</v>
      </c>
      <c r="H8693" t="s">
        <v>61</v>
      </c>
      <c r="I8693" t="s">
        <v>40</v>
      </c>
      <c r="J8693" t="s">
        <v>79</v>
      </c>
      <c r="K8693" t="s">
        <v>42</v>
      </c>
      <c r="L8693" t="s">
        <v>175</v>
      </c>
      <c r="Q8693">
        <v>23900</v>
      </c>
      <c r="R8693" t="s">
        <v>45</v>
      </c>
      <c r="S8693" t="s">
        <v>52349</v>
      </c>
      <c r="T8693">
        <v>25</v>
      </c>
      <c r="U8693" s="2" t="s">
        <v>52358</v>
      </c>
      <c r="W8693" t="s">
        <v>84</v>
      </c>
      <c r="X8693">
        <v>834431</v>
      </c>
      <c r="Y8693" t="s">
        <v>31973</v>
      </c>
      <c r="Z8693" s="2" t="s">
        <v>52359</v>
      </c>
      <c r="AA8693" t="s">
        <v>37135</v>
      </c>
      <c r="AB8693" t="s">
        <v>88</v>
      </c>
      <c r="AG8693" t="s">
        <v>52360</v>
      </c>
      <c r="AH8693" t="s">
        <v>40351</v>
      </c>
      <c r="AI8693" t="s">
        <v>52361</v>
      </c>
    </row>
    <row r="8694" spans="2:35" ht="150">
      <c r="B8694" s="1">
        <v>45005</v>
      </c>
      <c r="C8694" s="4">
        <v>45002.591666666667</v>
      </c>
      <c r="D8694" t="s">
        <v>29597</v>
      </c>
      <c r="E8694" t="s">
        <v>52362</v>
      </c>
      <c r="F8694" t="s">
        <v>37</v>
      </c>
      <c r="G8694" t="s">
        <v>748</v>
      </c>
      <c r="H8694" t="s">
        <v>39</v>
      </c>
      <c r="I8694" t="s">
        <v>40</v>
      </c>
      <c r="J8694" s="2" t="s">
        <v>41</v>
      </c>
      <c r="K8694" t="s">
        <v>42</v>
      </c>
      <c r="L8694" t="s">
        <v>1028</v>
      </c>
      <c r="Q8694">
        <v>23897</v>
      </c>
      <c r="R8694" t="s">
        <v>45</v>
      </c>
      <c r="S8694" t="s">
        <v>29599</v>
      </c>
      <c r="T8694">
        <v>28</v>
      </c>
      <c r="U8694" s="2" t="s">
        <v>52363</v>
      </c>
      <c r="W8694" t="s">
        <v>2680</v>
      </c>
      <c r="X8694">
        <v>838166</v>
      </c>
      <c r="Y8694" t="s">
        <v>52364</v>
      </c>
      <c r="Z8694" t="s">
        <v>2129</v>
      </c>
      <c r="AA8694" s="2" t="s">
        <v>44735</v>
      </c>
      <c r="AB8694" t="s">
        <v>3063</v>
      </c>
      <c r="AC8694" t="s">
        <v>52365</v>
      </c>
      <c r="AG8694" t="s">
        <v>52366</v>
      </c>
      <c r="AH8694" t="s">
        <v>29602</v>
      </c>
      <c r="AI8694" t="s">
        <v>52367</v>
      </c>
    </row>
    <row r="8695" spans="2:35" ht="210">
      <c r="B8695" s="1">
        <v>45005</v>
      </c>
      <c r="C8695" s="4">
        <v>45002.500694444447</v>
      </c>
      <c r="D8695" t="s">
        <v>13937</v>
      </c>
      <c r="E8695" t="s">
        <v>52368</v>
      </c>
      <c r="F8695" t="s">
        <v>37</v>
      </c>
      <c r="G8695" t="s">
        <v>748</v>
      </c>
      <c r="H8695" t="s">
        <v>39</v>
      </c>
      <c r="I8695" t="s">
        <v>40</v>
      </c>
      <c r="J8695" s="2" t="s">
        <v>1309</v>
      </c>
      <c r="K8695" t="s">
        <v>42</v>
      </c>
      <c r="L8695" t="s">
        <v>1028</v>
      </c>
      <c r="Q8695">
        <v>23896</v>
      </c>
      <c r="R8695" t="s">
        <v>703</v>
      </c>
      <c r="S8695" t="s">
        <v>52369</v>
      </c>
      <c r="T8695">
        <v>26</v>
      </c>
      <c r="U8695" s="2" t="s">
        <v>1500</v>
      </c>
      <c r="V8695" s="1">
        <v>45001</v>
      </c>
      <c r="W8695" t="s">
        <v>36557</v>
      </c>
      <c r="X8695">
        <v>842166</v>
      </c>
      <c r="Y8695" s="2" t="s">
        <v>52370</v>
      </c>
      <c r="Z8695" s="2" t="s">
        <v>31928</v>
      </c>
      <c r="AA8695" s="2" t="s">
        <v>52371</v>
      </c>
      <c r="AB8695" t="s">
        <v>3300</v>
      </c>
      <c r="AC8695" t="s">
        <v>52372</v>
      </c>
      <c r="AD8695" t="s">
        <v>19920</v>
      </c>
      <c r="AE8695" t="s">
        <v>52373</v>
      </c>
      <c r="AG8695" t="s">
        <v>52374</v>
      </c>
      <c r="AH8695" t="s">
        <v>23787</v>
      </c>
      <c r="AI8695" t="s">
        <v>52375</v>
      </c>
    </row>
    <row r="8696" spans="2:35" ht="150">
      <c r="B8696" s="1">
        <v>45005</v>
      </c>
      <c r="C8696" s="4">
        <v>45000.595138888886</v>
      </c>
      <c r="D8696" t="s">
        <v>32327</v>
      </c>
      <c r="E8696" t="s">
        <v>52376</v>
      </c>
      <c r="F8696" t="s">
        <v>37</v>
      </c>
      <c r="G8696" t="s">
        <v>748</v>
      </c>
      <c r="H8696" t="s">
        <v>39</v>
      </c>
      <c r="I8696" t="s">
        <v>40</v>
      </c>
      <c r="J8696" s="2" t="s">
        <v>41</v>
      </c>
      <c r="K8696" t="s">
        <v>42</v>
      </c>
      <c r="L8696" t="s">
        <v>1028</v>
      </c>
      <c r="Q8696">
        <v>23891</v>
      </c>
      <c r="R8696" t="s">
        <v>45</v>
      </c>
      <c r="S8696" t="s">
        <v>32329</v>
      </c>
      <c r="T8696">
        <v>28</v>
      </c>
      <c r="U8696" s="2" t="s">
        <v>35234</v>
      </c>
      <c r="W8696" t="s">
        <v>2680</v>
      </c>
      <c r="X8696">
        <v>812006</v>
      </c>
      <c r="Y8696" t="s">
        <v>43630</v>
      </c>
      <c r="Z8696" t="s">
        <v>2129</v>
      </c>
      <c r="AA8696" s="2" t="s">
        <v>49048</v>
      </c>
      <c r="AB8696" t="s">
        <v>3063</v>
      </c>
      <c r="AC8696" t="s">
        <v>52377</v>
      </c>
      <c r="AG8696" t="s">
        <v>52378</v>
      </c>
      <c r="AH8696" t="s">
        <v>52379</v>
      </c>
      <c r="AI8696" t="s">
        <v>52380</v>
      </c>
    </row>
    <row r="8697" spans="2:35" ht="165">
      <c r="B8697" s="1">
        <v>45005</v>
      </c>
      <c r="C8697" s="4">
        <v>45000.593055555553</v>
      </c>
      <c r="D8697" t="s">
        <v>32327</v>
      </c>
      <c r="E8697" t="s">
        <v>52381</v>
      </c>
      <c r="F8697" t="s">
        <v>37</v>
      </c>
      <c r="G8697" t="s">
        <v>748</v>
      </c>
      <c r="H8697" t="s">
        <v>39</v>
      </c>
      <c r="I8697" t="s">
        <v>40</v>
      </c>
      <c r="J8697" s="2" t="s">
        <v>41</v>
      </c>
      <c r="K8697" t="s">
        <v>42</v>
      </c>
      <c r="L8697" t="s">
        <v>1028</v>
      </c>
      <c r="Q8697">
        <v>23893</v>
      </c>
      <c r="R8697" t="s">
        <v>45</v>
      </c>
      <c r="S8697" t="s">
        <v>32329</v>
      </c>
      <c r="T8697">
        <v>28</v>
      </c>
      <c r="U8697" s="2" t="s">
        <v>35234</v>
      </c>
      <c r="W8697" t="s">
        <v>2680</v>
      </c>
      <c r="X8697">
        <v>807567</v>
      </c>
      <c r="Y8697" t="s">
        <v>52382</v>
      </c>
      <c r="Z8697" t="s">
        <v>2129</v>
      </c>
      <c r="AA8697" s="2" t="s">
        <v>52383</v>
      </c>
      <c r="AB8697" t="s">
        <v>3063</v>
      </c>
      <c r="AC8697" t="s">
        <v>52384</v>
      </c>
      <c r="AG8697" t="s">
        <v>52385</v>
      </c>
      <c r="AH8697" t="s">
        <v>52386</v>
      </c>
      <c r="AI8697" t="s">
        <v>52387</v>
      </c>
    </row>
    <row r="8698" spans="2:35" ht="210">
      <c r="B8698" s="1">
        <v>45005</v>
      </c>
      <c r="C8698" s="4">
        <v>45001.48333333333</v>
      </c>
      <c r="D8698" t="s">
        <v>31923</v>
      </c>
      <c r="E8698" t="s">
        <v>52388</v>
      </c>
      <c r="F8698" t="s">
        <v>37</v>
      </c>
      <c r="G8698" t="s">
        <v>748</v>
      </c>
      <c r="H8698" t="s">
        <v>39</v>
      </c>
      <c r="I8698" t="s">
        <v>40</v>
      </c>
      <c r="J8698" s="2" t="s">
        <v>41</v>
      </c>
      <c r="K8698" t="s">
        <v>42</v>
      </c>
      <c r="L8698" t="s">
        <v>1028</v>
      </c>
      <c r="Q8698">
        <v>23892</v>
      </c>
      <c r="R8698" t="s">
        <v>45</v>
      </c>
      <c r="S8698" t="s">
        <v>31925</v>
      </c>
      <c r="T8698">
        <v>24</v>
      </c>
      <c r="U8698" s="2" t="s">
        <v>52389</v>
      </c>
      <c r="W8698" t="s">
        <v>2680</v>
      </c>
      <c r="X8698">
        <v>838185</v>
      </c>
      <c r="Y8698" t="s">
        <v>33229</v>
      </c>
      <c r="Z8698" t="s">
        <v>2129</v>
      </c>
      <c r="AA8698" s="2" t="s">
        <v>52390</v>
      </c>
      <c r="AB8698" t="s">
        <v>3063</v>
      </c>
      <c r="AC8698" t="s">
        <v>52391</v>
      </c>
      <c r="AG8698" t="s">
        <v>52392</v>
      </c>
      <c r="AH8698" t="s">
        <v>31935</v>
      </c>
      <c r="AI8698" t="s">
        <v>52393</v>
      </c>
    </row>
    <row r="8699" spans="2:35" ht="165">
      <c r="B8699" s="1">
        <v>45005</v>
      </c>
      <c r="C8699" s="4">
        <v>45001.445138888892</v>
      </c>
      <c r="D8699" t="s">
        <v>22263</v>
      </c>
      <c r="E8699" t="s">
        <v>52394</v>
      </c>
      <c r="F8699" t="s">
        <v>148</v>
      </c>
      <c r="G8699" t="s">
        <v>4786</v>
      </c>
      <c r="H8699" t="s">
        <v>39</v>
      </c>
      <c r="I8699" t="s">
        <v>40</v>
      </c>
      <c r="J8699" s="2" t="s">
        <v>41</v>
      </c>
      <c r="K8699" t="s">
        <v>42</v>
      </c>
      <c r="L8699" t="s">
        <v>1028</v>
      </c>
      <c r="Q8699">
        <v>23894</v>
      </c>
      <c r="R8699" t="s">
        <v>45</v>
      </c>
      <c r="S8699" t="s">
        <v>22265</v>
      </c>
      <c r="T8699">
        <v>25</v>
      </c>
      <c r="U8699" s="2" t="s">
        <v>52395</v>
      </c>
      <c r="W8699" t="s">
        <v>2680</v>
      </c>
      <c r="X8699">
        <v>838541</v>
      </c>
      <c r="Y8699" t="s">
        <v>40926</v>
      </c>
      <c r="Z8699" t="s">
        <v>2129</v>
      </c>
      <c r="AA8699" s="2" t="s">
        <v>52396</v>
      </c>
      <c r="AB8699" t="s">
        <v>3063</v>
      </c>
      <c r="AC8699" t="s">
        <v>52397</v>
      </c>
      <c r="AG8699" t="s">
        <v>52398</v>
      </c>
      <c r="AH8699" t="s">
        <v>22273</v>
      </c>
      <c r="AI8699" t="s">
        <v>52399</v>
      </c>
    </row>
    <row r="8700" spans="2:35" ht="210">
      <c r="B8700" s="1">
        <v>45005</v>
      </c>
      <c r="C8700" s="4">
        <v>45002.49722222222</v>
      </c>
      <c r="D8700" t="s">
        <v>13937</v>
      </c>
      <c r="E8700" t="s">
        <v>52368</v>
      </c>
      <c r="F8700" t="s">
        <v>37</v>
      </c>
      <c r="G8700" t="s">
        <v>748</v>
      </c>
      <c r="H8700" t="s">
        <v>39</v>
      </c>
      <c r="I8700" t="s">
        <v>40</v>
      </c>
      <c r="J8700" s="2" t="s">
        <v>1309</v>
      </c>
      <c r="K8700" t="s">
        <v>42</v>
      </c>
      <c r="L8700" t="s">
        <v>1028</v>
      </c>
      <c r="Q8700">
        <v>23895</v>
      </c>
      <c r="R8700" t="s">
        <v>703</v>
      </c>
      <c r="S8700" t="s">
        <v>52369</v>
      </c>
      <c r="T8700">
        <v>25</v>
      </c>
      <c r="U8700" s="2" t="s">
        <v>41980</v>
      </c>
      <c r="V8700" s="1">
        <v>45001</v>
      </c>
      <c r="W8700" t="s">
        <v>2680</v>
      </c>
      <c r="X8700">
        <v>812380</v>
      </c>
      <c r="Y8700" s="2" t="s">
        <v>52400</v>
      </c>
      <c r="Z8700" s="2" t="s">
        <v>31928</v>
      </c>
      <c r="AA8700" s="2" t="s">
        <v>52401</v>
      </c>
      <c r="AB8700" t="s">
        <v>52402</v>
      </c>
      <c r="AC8700" t="s">
        <v>52403</v>
      </c>
      <c r="AD8700" t="s">
        <v>19920</v>
      </c>
      <c r="AE8700" t="s">
        <v>52373</v>
      </c>
      <c r="AG8700" t="s">
        <v>52404</v>
      </c>
      <c r="AH8700" t="s">
        <v>23787</v>
      </c>
      <c r="AI8700" t="s">
        <v>52405</v>
      </c>
    </row>
    <row r="8701" spans="2:35" ht="409.5">
      <c r="B8701" s="1">
        <v>45005</v>
      </c>
      <c r="C8701" s="4">
        <v>45005.51666666667</v>
      </c>
      <c r="D8701" t="s">
        <v>1203</v>
      </c>
      <c r="E8701" t="s">
        <v>2547</v>
      </c>
      <c r="F8701">
        <v>11</v>
      </c>
      <c r="G8701" t="s">
        <v>1205</v>
      </c>
      <c r="H8701" t="s">
        <v>1317</v>
      </c>
      <c r="I8701" t="s">
        <v>40</v>
      </c>
      <c r="J8701" t="s">
        <v>79</v>
      </c>
      <c r="K8701" t="s">
        <v>42</v>
      </c>
      <c r="L8701" t="s">
        <v>204</v>
      </c>
      <c r="Q8701">
        <v>23890</v>
      </c>
      <c r="R8701" t="s">
        <v>45</v>
      </c>
      <c r="S8701" t="s">
        <v>1206</v>
      </c>
      <c r="T8701">
        <v>25.2</v>
      </c>
      <c r="U8701" s="2" t="s">
        <v>52406</v>
      </c>
      <c r="V8701" s="1">
        <v>45005</v>
      </c>
      <c r="W8701" t="s">
        <v>23237</v>
      </c>
      <c r="X8701">
        <v>808298</v>
      </c>
      <c r="Y8701" t="s">
        <v>52407</v>
      </c>
      <c r="Z8701" s="2" t="s">
        <v>52408</v>
      </c>
      <c r="AA8701" t="s">
        <v>10252</v>
      </c>
      <c r="AB8701" t="s">
        <v>52409</v>
      </c>
      <c r="AD8701" t="s">
        <v>10253</v>
      </c>
      <c r="AE8701" t="s">
        <v>54</v>
      </c>
      <c r="AG8701" t="s">
        <v>52410</v>
      </c>
      <c r="AH8701" t="s">
        <v>52411</v>
      </c>
      <c r="AI8701" t="s">
        <v>52412</v>
      </c>
    </row>
    <row r="8702" spans="2:35" ht="409.5">
      <c r="B8702" s="1">
        <v>45005</v>
      </c>
      <c r="C8702" s="4">
        <v>45005.51666666667</v>
      </c>
      <c r="D8702" t="s">
        <v>1203</v>
      </c>
      <c r="E8702" t="s">
        <v>2547</v>
      </c>
      <c r="F8702">
        <v>11</v>
      </c>
      <c r="G8702" t="s">
        <v>1205</v>
      </c>
      <c r="H8702" t="s">
        <v>1317</v>
      </c>
      <c r="I8702" t="s">
        <v>40</v>
      </c>
      <c r="J8702" t="s">
        <v>79</v>
      </c>
      <c r="K8702" t="s">
        <v>42</v>
      </c>
      <c r="L8702" t="s">
        <v>204</v>
      </c>
      <c r="Q8702">
        <v>23889</v>
      </c>
      <c r="R8702" t="s">
        <v>45</v>
      </c>
      <c r="S8702" t="s">
        <v>1206</v>
      </c>
      <c r="T8702">
        <v>25.2</v>
      </c>
      <c r="U8702" s="2" t="s">
        <v>52406</v>
      </c>
      <c r="V8702" s="1">
        <v>45005</v>
      </c>
      <c r="W8702" t="s">
        <v>23237</v>
      </c>
      <c r="X8702">
        <v>808298</v>
      </c>
      <c r="Y8702" t="s">
        <v>52407</v>
      </c>
      <c r="Z8702" s="2" t="s">
        <v>52408</v>
      </c>
      <c r="AA8702" t="s">
        <v>10252</v>
      </c>
      <c r="AB8702" t="s">
        <v>52409</v>
      </c>
      <c r="AD8702" t="s">
        <v>10253</v>
      </c>
      <c r="AE8702" t="s">
        <v>54</v>
      </c>
      <c r="AG8702" t="s">
        <v>52413</v>
      </c>
      <c r="AH8702" t="s">
        <v>52411</v>
      </c>
      <c r="AI8702" t="s">
        <v>52414</v>
      </c>
    </row>
    <row r="8703" spans="2:35" ht="255">
      <c r="B8703" s="1">
        <v>45005</v>
      </c>
      <c r="C8703" s="4">
        <v>45005.488194444442</v>
      </c>
      <c r="D8703" t="s">
        <v>29843</v>
      </c>
      <c r="E8703" t="s">
        <v>52415</v>
      </c>
      <c r="F8703">
        <v>3</v>
      </c>
      <c r="G8703" t="s">
        <v>730</v>
      </c>
      <c r="H8703" t="s">
        <v>39</v>
      </c>
      <c r="I8703" t="s">
        <v>40</v>
      </c>
      <c r="J8703" s="2" t="s">
        <v>41</v>
      </c>
      <c r="K8703" t="s">
        <v>42</v>
      </c>
      <c r="L8703" t="s">
        <v>135</v>
      </c>
      <c r="Q8703">
        <v>23888</v>
      </c>
      <c r="R8703" t="s">
        <v>45</v>
      </c>
      <c r="S8703" t="s">
        <v>29845</v>
      </c>
      <c r="T8703">
        <v>25.5</v>
      </c>
      <c r="V8703" s="1">
        <v>44981</v>
      </c>
      <c r="W8703" t="s">
        <v>2680</v>
      </c>
      <c r="X8703">
        <v>805108</v>
      </c>
      <c r="Y8703" t="s">
        <v>43225</v>
      </c>
      <c r="Z8703" s="2" t="s">
        <v>42016</v>
      </c>
      <c r="AA8703" s="2" t="s">
        <v>32304</v>
      </c>
      <c r="AB8703" t="s">
        <v>181</v>
      </c>
      <c r="AD8703" t="s">
        <v>4669</v>
      </c>
      <c r="AE8703">
        <v>39293</v>
      </c>
      <c r="AG8703" t="s">
        <v>52416</v>
      </c>
      <c r="AH8703" t="s">
        <v>52417</v>
      </c>
      <c r="AI8703" t="s">
        <v>52418</v>
      </c>
    </row>
    <row r="8704" spans="2:35" ht="255">
      <c r="B8704" s="1">
        <v>45005</v>
      </c>
      <c r="C8704" s="4">
        <v>45005.488194444442</v>
      </c>
      <c r="D8704" t="s">
        <v>29843</v>
      </c>
      <c r="E8704" t="s">
        <v>52415</v>
      </c>
      <c r="F8704">
        <v>3</v>
      </c>
      <c r="G8704" t="s">
        <v>730</v>
      </c>
      <c r="H8704" t="s">
        <v>39</v>
      </c>
      <c r="I8704" t="s">
        <v>40</v>
      </c>
      <c r="J8704" s="2" t="s">
        <v>41</v>
      </c>
      <c r="K8704" t="s">
        <v>42</v>
      </c>
      <c r="L8704" t="s">
        <v>135</v>
      </c>
      <c r="Q8704">
        <v>23887</v>
      </c>
      <c r="R8704" t="s">
        <v>45</v>
      </c>
      <c r="S8704" t="s">
        <v>29845</v>
      </c>
      <c r="T8704">
        <v>25.5</v>
      </c>
      <c r="V8704" s="1">
        <v>44981</v>
      </c>
      <c r="W8704" t="s">
        <v>2680</v>
      </c>
      <c r="X8704">
        <v>805108</v>
      </c>
      <c r="Y8704" t="s">
        <v>43225</v>
      </c>
      <c r="Z8704" s="2" t="s">
        <v>42016</v>
      </c>
      <c r="AA8704" s="2" t="s">
        <v>32304</v>
      </c>
      <c r="AB8704" t="s">
        <v>181</v>
      </c>
      <c r="AD8704" t="s">
        <v>4669</v>
      </c>
      <c r="AE8704">
        <v>39293</v>
      </c>
      <c r="AG8704" t="s">
        <v>52419</v>
      </c>
      <c r="AH8704" t="s">
        <v>52417</v>
      </c>
      <c r="AI8704" t="s">
        <v>52420</v>
      </c>
    </row>
    <row r="8705" spans="2:35">
      <c r="B8705" s="1">
        <v>45005</v>
      </c>
      <c r="C8705" s="4">
        <v>45005.438888888886</v>
      </c>
      <c r="D8705" t="s">
        <v>4982</v>
      </c>
      <c r="E8705" t="s">
        <v>52322</v>
      </c>
      <c r="F8705">
        <v>5</v>
      </c>
      <c r="G8705" t="s">
        <v>759</v>
      </c>
      <c r="H8705" t="s">
        <v>39</v>
      </c>
      <c r="I8705" t="s">
        <v>40</v>
      </c>
      <c r="J8705" t="s">
        <v>321</v>
      </c>
      <c r="K8705" t="s">
        <v>42</v>
      </c>
      <c r="L8705" t="s">
        <v>857</v>
      </c>
      <c r="Q8705">
        <v>23886</v>
      </c>
      <c r="R8705" t="s">
        <v>45</v>
      </c>
      <c r="S8705" t="s">
        <v>4983</v>
      </c>
      <c r="T8705">
        <v>25</v>
      </c>
      <c r="W8705" t="s">
        <v>84</v>
      </c>
      <c r="X8705">
        <v>110016954</v>
      </c>
      <c r="Y8705" t="s">
        <v>8338</v>
      </c>
      <c r="Z8705" t="s">
        <v>47426</v>
      </c>
      <c r="AA8705" t="s">
        <v>47426</v>
      </c>
      <c r="AB8705" t="s">
        <v>181</v>
      </c>
      <c r="AG8705" t="s">
        <v>52421</v>
      </c>
      <c r="AH8705" t="s">
        <v>4986</v>
      </c>
      <c r="AI8705" t="s">
        <v>52422</v>
      </c>
    </row>
    <row r="8706" spans="2:35" ht="409.5">
      <c r="B8706" s="1">
        <v>45005</v>
      </c>
      <c r="C8706" s="4">
        <v>45005.40902777778</v>
      </c>
      <c r="D8706" t="s">
        <v>45796</v>
      </c>
      <c r="E8706" t="s">
        <v>52423</v>
      </c>
      <c r="F8706">
        <v>3</v>
      </c>
      <c r="G8706" t="s">
        <v>730</v>
      </c>
      <c r="H8706" t="s">
        <v>39</v>
      </c>
      <c r="I8706" t="s">
        <v>40</v>
      </c>
      <c r="J8706" s="2" t="s">
        <v>62</v>
      </c>
      <c r="K8706" t="s">
        <v>42</v>
      </c>
      <c r="L8706" t="s">
        <v>135</v>
      </c>
      <c r="Q8706">
        <v>23885</v>
      </c>
      <c r="R8706" t="s">
        <v>119</v>
      </c>
      <c r="S8706" t="s">
        <v>24877</v>
      </c>
      <c r="T8706">
        <v>29.8</v>
      </c>
      <c r="U8706" s="2" t="s">
        <v>52424</v>
      </c>
      <c r="V8706" s="1">
        <v>44959</v>
      </c>
      <c r="W8706" t="s">
        <v>2680</v>
      </c>
      <c r="X8706">
        <v>831909</v>
      </c>
      <c r="Y8706" s="2" t="s">
        <v>52425</v>
      </c>
      <c r="Z8706" s="2" t="s">
        <v>2143</v>
      </c>
      <c r="AA8706" s="2" t="s">
        <v>31375</v>
      </c>
      <c r="AB8706" t="s">
        <v>181</v>
      </c>
      <c r="AC8706" t="s">
        <v>52426</v>
      </c>
      <c r="AD8706" t="s">
        <v>52427</v>
      </c>
      <c r="AE8706">
        <v>9571</v>
      </c>
      <c r="AG8706" t="s">
        <v>52428</v>
      </c>
      <c r="AH8706" t="s">
        <v>52429</v>
      </c>
      <c r="AI8706" t="s">
        <v>52430</v>
      </c>
    </row>
    <row r="8707" spans="2:35" ht="195">
      <c r="B8707" s="1">
        <v>45003</v>
      </c>
      <c r="C8707" s="4">
        <v>45002.039583333331</v>
      </c>
      <c r="D8707" t="s">
        <v>52431</v>
      </c>
      <c r="E8707" t="s">
        <v>52432</v>
      </c>
      <c r="F8707" t="s">
        <v>1181</v>
      </c>
      <c r="G8707" t="s">
        <v>3753</v>
      </c>
      <c r="H8707" t="s">
        <v>39</v>
      </c>
      <c r="I8707" t="s">
        <v>40</v>
      </c>
      <c r="J8707" s="2" t="s">
        <v>62</v>
      </c>
      <c r="K8707" t="s">
        <v>42</v>
      </c>
      <c r="L8707" t="s">
        <v>1943</v>
      </c>
      <c r="Q8707">
        <v>23884</v>
      </c>
      <c r="R8707" t="s">
        <v>119</v>
      </c>
      <c r="S8707" t="s">
        <v>20932</v>
      </c>
      <c r="T8707">
        <v>28</v>
      </c>
      <c r="U8707" s="2" t="s">
        <v>52433</v>
      </c>
      <c r="V8707" s="1">
        <v>44992</v>
      </c>
      <c r="W8707" t="s">
        <v>84</v>
      </c>
      <c r="X8707">
        <v>838226</v>
      </c>
      <c r="Y8707" s="2" t="s">
        <v>3044</v>
      </c>
      <c r="Z8707" t="s">
        <v>3045</v>
      </c>
      <c r="AA8707" s="2" t="s">
        <v>52434</v>
      </c>
      <c r="AB8707" t="s">
        <v>52435</v>
      </c>
      <c r="AC8707" t="s">
        <v>46667</v>
      </c>
      <c r="AD8707" t="s">
        <v>11518</v>
      </c>
      <c r="AE8707" t="s">
        <v>52436</v>
      </c>
      <c r="AG8707" t="s">
        <v>52437</v>
      </c>
      <c r="AH8707" t="s">
        <v>52438</v>
      </c>
      <c r="AI8707" t="s">
        <v>52439</v>
      </c>
    </row>
    <row r="8708" spans="2:35" ht="180">
      <c r="B8708" s="1">
        <v>45003</v>
      </c>
      <c r="C8708" s="4">
        <v>45000.48333333333</v>
      </c>
      <c r="D8708" t="s">
        <v>31731</v>
      </c>
      <c r="E8708" t="s">
        <v>52440</v>
      </c>
      <c r="F8708" t="s">
        <v>1181</v>
      </c>
      <c r="G8708" t="s">
        <v>3753</v>
      </c>
      <c r="H8708" t="s">
        <v>39</v>
      </c>
      <c r="I8708" t="s">
        <v>40</v>
      </c>
      <c r="J8708" s="2" t="s">
        <v>41</v>
      </c>
      <c r="K8708" t="s">
        <v>42</v>
      </c>
      <c r="L8708" t="s">
        <v>1943</v>
      </c>
      <c r="Q8708">
        <v>23880</v>
      </c>
      <c r="R8708" t="s">
        <v>45</v>
      </c>
      <c r="S8708" t="s">
        <v>31733</v>
      </c>
      <c r="T8708">
        <v>28</v>
      </c>
      <c r="U8708" s="2" t="s">
        <v>52441</v>
      </c>
      <c r="W8708" t="s">
        <v>9792</v>
      </c>
      <c r="X8708">
        <v>807590</v>
      </c>
      <c r="Y8708" t="s">
        <v>52442</v>
      </c>
      <c r="Z8708" t="s">
        <v>7399</v>
      </c>
      <c r="AA8708" s="2" t="s">
        <v>40865</v>
      </c>
      <c r="AB8708" t="s">
        <v>16412</v>
      </c>
      <c r="AG8708" t="s">
        <v>52443</v>
      </c>
      <c r="AH8708" t="s">
        <v>52444</v>
      </c>
      <c r="AI8708" t="s">
        <v>52445</v>
      </c>
    </row>
    <row r="8709" spans="2:35" ht="180">
      <c r="B8709" s="1">
        <v>45003</v>
      </c>
      <c r="C8709" s="4">
        <v>45000.584722222222</v>
      </c>
      <c r="D8709" t="s">
        <v>31767</v>
      </c>
      <c r="E8709" t="s">
        <v>52310</v>
      </c>
      <c r="F8709" t="s">
        <v>1181</v>
      </c>
      <c r="G8709" t="s">
        <v>3753</v>
      </c>
      <c r="H8709" t="s">
        <v>39</v>
      </c>
      <c r="I8709" t="s">
        <v>40</v>
      </c>
      <c r="J8709" s="2" t="s">
        <v>62</v>
      </c>
      <c r="K8709" t="s">
        <v>42</v>
      </c>
      <c r="L8709" t="s">
        <v>1943</v>
      </c>
      <c r="Q8709">
        <v>23883</v>
      </c>
      <c r="R8709" t="s">
        <v>45</v>
      </c>
      <c r="S8709" t="s">
        <v>31710</v>
      </c>
      <c r="T8709">
        <v>28</v>
      </c>
      <c r="U8709" s="2" t="s">
        <v>52311</v>
      </c>
      <c r="V8709" s="1">
        <v>44998</v>
      </c>
      <c r="W8709" t="s">
        <v>9792</v>
      </c>
      <c r="X8709">
        <v>834687</v>
      </c>
      <c r="Y8709" t="s">
        <v>1111</v>
      </c>
      <c r="Z8709" t="s">
        <v>1519</v>
      </c>
      <c r="AA8709" s="2" t="s">
        <v>49787</v>
      </c>
      <c r="AB8709" t="s">
        <v>52312</v>
      </c>
      <c r="AD8709" t="s">
        <v>21244</v>
      </c>
      <c r="AE8709" t="s">
        <v>54</v>
      </c>
      <c r="AG8709" t="s">
        <v>52446</v>
      </c>
      <c r="AH8709" t="s">
        <v>31713</v>
      </c>
      <c r="AI8709" t="s">
        <v>52447</v>
      </c>
    </row>
    <row r="8710" spans="2:35" ht="180">
      <c r="B8710" s="1">
        <v>45003</v>
      </c>
      <c r="C8710" s="4">
        <v>45001.990277777775</v>
      </c>
      <c r="D8710" t="s">
        <v>24888</v>
      </c>
      <c r="E8710" t="s">
        <v>52448</v>
      </c>
      <c r="F8710" t="s">
        <v>1181</v>
      </c>
      <c r="G8710" t="s">
        <v>3753</v>
      </c>
      <c r="H8710" t="s">
        <v>39</v>
      </c>
      <c r="I8710" t="s">
        <v>40</v>
      </c>
      <c r="J8710" t="s">
        <v>109</v>
      </c>
      <c r="K8710" t="s">
        <v>42</v>
      </c>
      <c r="L8710" t="s">
        <v>1943</v>
      </c>
      <c r="Q8710">
        <v>23881</v>
      </c>
      <c r="R8710" t="s">
        <v>45</v>
      </c>
      <c r="S8710" t="s">
        <v>49872</v>
      </c>
      <c r="T8710">
        <v>26</v>
      </c>
      <c r="U8710" s="2" t="s">
        <v>52449</v>
      </c>
      <c r="W8710" t="s">
        <v>52173</v>
      </c>
      <c r="X8710">
        <v>835178</v>
      </c>
      <c r="Y8710" t="s">
        <v>121</v>
      </c>
      <c r="Z8710" t="s">
        <v>122</v>
      </c>
      <c r="AA8710" s="2" t="s">
        <v>52450</v>
      </c>
      <c r="AB8710" t="s">
        <v>52451</v>
      </c>
      <c r="AG8710" t="s">
        <v>52452</v>
      </c>
      <c r="AH8710" t="s">
        <v>52453</v>
      </c>
      <c r="AI8710" t="s">
        <v>52454</v>
      </c>
    </row>
    <row r="8711" spans="2:35" ht="180">
      <c r="B8711" s="1">
        <v>45003</v>
      </c>
      <c r="C8711" s="4">
        <v>45001.384027777778</v>
      </c>
      <c r="D8711" t="s">
        <v>7608</v>
      </c>
      <c r="E8711" t="s">
        <v>52455</v>
      </c>
      <c r="F8711" t="s">
        <v>1181</v>
      </c>
      <c r="G8711" t="s">
        <v>3753</v>
      </c>
      <c r="H8711" t="s">
        <v>39</v>
      </c>
      <c r="I8711" t="s">
        <v>40</v>
      </c>
      <c r="J8711" s="2" t="s">
        <v>62</v>
      </c>
      <c r="K8711" t="s">
        <v>42</v>
      </c>
      <c r="L8711" t="s">
        <v>1943</v>
      </c>
      <c r="Q8711">
        <v>23882</v>
      </c>
      <c r="R8711" t="s">
        <v>119</v>
      </c>
      <c r="S8711" t="s">
        <v>21141</v>
      </c>
      <c r="T8711">
        <v>25</v>
      </c>
      <c r="U8711" s="2" t="s">
        <v>52456</v>
      </c>
      <c r="V8711" s="1">
        <v>44992</v>
      </c>
      <c r="W8711" t="s">
        <v>9792</v>
      </c>
      <c r="X8711">
        <v>838230</v>
      </c>
      <c r="Y8711" t="s">
        <v>1111</v>
      </c>
      <c r="Z8711" t="s">
        <v>1519</v>
      </c>
      <c r="AA8711" s="2" t="s">
        <v>37058</v>
      </c>
      <c r="AB8711" t="s">
        <v>52457</v>
      </c>
      <c r="AD8711" t="s">
        <v>7189</v>
      </c>
      <c r="AE8711" t="s">
        <v>52458</v>
      </c>
      <c r="AG8711" t="s">
        <v>52459</v>
      </c>
      <c r="AH8711" t="s">
        <v>42601</v>
      </c>
      <c r="AI8711" t="s">
        <v>52460</v>
      </c>
    </row>
    <row r="8712" spans="2:35" ht="180">
      <c r="B8712" s="1">
        <v>45003</v>
      </c>
      <c r="C8712" s="4">
        <v>45000.387499999997</v>
      </c>
      <c r="D8712" t="s">
        <v>52461</v>
      </c>
      <c r="E8712" t="s">
        <v>49886</v>
      </c>
      <c r="F8712" t="s">
        <v>1181</v>
      </c>
      <c r="G8712" t="s">
        <v>3753</v>
      </c>
      <c r="H8712" t="s">
        <v>39</v>
      </c>
      <c r="I8712" t="s">
        <v>40</v>
      </c>
      <c r="J8712" s="2" t="s">
        <v>62</v>
      </c>
      <c r="K8712" t="s">
        <v>42</v>
      </c>
      <c r="L8712" t="s">
        <v>1943</v>
      </c>
      <c r="Q8712">
        <v>23880</v>
      </c>
      <c r="R8712" t="s">
        <v>45</v>
      </c>
      <c r="S8712" t="s">
        <v>31769</v>
      </c>
      <c r="T8712">
        <v>25</v>
      </c>
      <c r="V8712" s="1">
        <v>45000</v>
      </c>
      <c r="W8712" t="s">
        <v>52173</v>
      </c>
      <c r="X8712">
        <v>835185</v>
      </c>
      <c r="Y8712" t="s">
        <v>1111</v>
      </c>
      <c r="Z8712" t="s">
        <v>122</v>
      </c>
      <c r="AA8712" s="2" t="s">
        <v>52462</v>
      </c>
      <c r="AB8712" t="s">
        <v>52463</v>
      </c>
      <c r="AD8712" t="s">
        <v>11518</v>
      </c>
      <c r="AE8712" t="s">
        <v>1716</v>
      </c>
      <c r="AG8712" t="s">
        <v>52464</v>
      </c>
      <c r="AH8712" t="s">
        <v>52465</v>
      </c>
      <c r="AI8712" t="s">
        <v>52466</v>
      </c>
    </row>
    <row r="8713" spans="2:35">
      <c r="B8713" s="1">
        <v>45003</v>
      </c>
      <c r="C8713" s="4">
        <v>45002.650694444441</v>
      </c>
      <c r="D8713" t="s">
        <v>25621</v>
      </c>
      <c r="E8713" t="s">
        <v>52467</v>
      </c>
      <c r="F8713" t="s">
        <v>37</v>
      </c>
      <c r="G8713" t="s">
        <v>189</v>
      </c>
      <c r="H8713" t="s">
        <v>2058</v>
      </c>
      <c r="I8713" t="s">
        <v>94</v>
      </c>
      <c r="J8713" t="s">
        <v>996</v>
      </c>
      <c r="K8713" t="s">
        <v>42</v>
      </c>
      <c r="L8713" t="s">
        <v>80</v>
      </c>
      <c r="Q8713">
        <v>23879</v>
      </c>
      <c r="R8713" t="s">
        <v>45</v>
      </c>
      <c r="S8713" t="s">
        <v>25623</v>
      </c>
      <c r="T8713">
        <v>30</v>
      </c>
      <c r="V8713" s="1">
        <v>45002</v>
      </c>
      <c r="W8713" t="s">
        <v>502</v>
      </c>
      <c r="X8713">
        <v>834627</v>
      </c>
      <c r="Y8713" t="s">
        <v>8090</v>
      </c>
      <c r="Z8713" t="s">
        <v>52468</v>
      </c>
      <c r="AA8713" t="s">
        <v>52469</v>
      </c>
      <c r="AB8713" t="s">
        <v>52470</v>
      </c>
      <c r="AC8713" t="s">
        <v>52471</v>
      </c>
      <c r="AD8713" t="s">
        <v>52472</v>
      </c>
      <c r="AE8713" t="s">
        <v>52473</v>
      </c>
      <c r="AG8713" t="s">
        <v>52474</v>
      </c>
      <c r="AH8713" t="s">
        <v>52475</v>
      </c>
      <c r="AI8713" t="s">
        <v>52476</v>
      </c>
    </row>
    <row r="8714" spans="2:35">
      <c r="B8714" s="1">
        <v>45002</v>
      </c>
      <c r="C8714" s="4">
        <v>45002.597222222219</v>
      </c>
      <c r="D8714" t="s">
        <v>42431</v>
      </c>
      <c r="E8714" t="s">
        <v>52477</v>
      </c>
      <c r="F8714" t="s">
        <v>148</v>
      </c>
      <c r="G8714" t="s">
        <v>310</v>
      </c>
      <c r="H8714" t="s">
        <v>386</v>
      </c>
      <c r="I8714" t="s">
        <v>40</v>
      </c>
      <c r="J8714" t="s">
        <v>525</v>
      </c>
      <c r="K8714" t="s">
        <v>387</v>
      </c>
      <c r="L8714" t="s">
        <v>448</v>
      </c>
      <c r="Q8714">
        <v>23878</v>
      </c>
      <c r="R8714" t="s">
        <v>322</v>
      </c>
      <c r="S8714" t="s">
        <v>41494</v>
      </c>
      <c r="T8714">
        <v>26</v>
      </c>
      <c r="W8714" t="s">
        <v>476</v>
      </c>
      <c r="X8714" t="s">
        <v>5005</v>
      </c>
      <c r="Y8714" t="s">
        <v>52478</v>
      </c>
      <c r="Z8714" t="s">
        <v>52479</v>
      </c>
      <c r="AA8714" t="s">
        <v>4487</v>
      </c>
      <c r="AB8714" t="s">
        <v>486</v>
      </c>
      <c r="AG8714" t="s">
        <v>52480</v>
      </c>
      <c r="AH8714" t="s">
        <v>5010</v>
      </c>
      <c r="AI8714" t="s">
        <v>52481</v>
      </c>
    </row>
    <row r="8715" spans="2:35">
      <c r="B8715" s="1">
        <v>45002</v>
      </c>
      <c r="C8715" s="4">
        <v>45002.600694444445</v>
      </c>
      <c r="D8715" t="s">
        <v>42431</v>
      </c>
      <c r="E8715" t="s">
        <v>48268</v>
      </c>
      <c r="F8715" t="s">
        <v>148</v>
      </c>
      <c r="G8715" t="s">
        <v>447</v>
      </c>
      <c r="H8715" t="s">
        <v>386</v>
      </c>
      <c r="I8715" t="s">
        <v>40</v>
      </c>
      <c r="J8715" t="s">
        <v>525</v>
      </c>
      <c r="K8715" t="s">
        <v>387</v>
      </c>
      <c r="L8715" t="s">
        <v>448</v>
      </c>
      <c r="Q8715">
        <v>23878</v>
      </c>
      <c r="R8715" t="s">
        <v>322</v>
      </c>
      <c r="S8715" t="s">
        <v>41494</v>
      </c>
      <c r="T8715">
        <v>26</v>
      </c>
      <c r="W8715" t="s">
        <v>476</v>
      </c>
      <c r="X8715" t="s">
        <v>7383</v>
      </c>
      <c r="Y8715" t="s">
        <v>52482</v>
      </c>
      <c r="Z8715" t="s">
        <v>52483</v>
      </c>
      <c r="AA8715" t="s">
        <v>4487</v>
      </c>
      <c r="AB8715" t="s">
        <v>486</v>
      </c>
      <c r="AG8715" t="s">
        <v>52484</v>
      </c>
      <c r="AH8715" t="s">
        <v>5010</v>
      </c>
      <c r="AI8715" t="s">
        <v>52485</v>
      </c>
    </row>
    <row r="8716" spans="2:35">
      <c r="B8716" s="1">
        <v>45002</v>
      </c>
      <c r="C8716" s="4">
        <v>45002.620833333334</v>
      </c>
      <c r="D8716" t="s">
        <v>25621</v>
      </c>
      <c r="E8716" t="s">
        <v>52467</v>
      </c>
      <c r="F8716" t="s">
        <v>37</v>
      </c>
      <c r="G8716" t="s">
        <v>189</v>
      </c>
      <c r="H8716" t="s">
        <v>1287</v>
      </c>
      <c r="I8716" t="s">
        <v>40</v>
      </c>
      <c r="J8716" t="s">
        <v>321</v>
      </c>
      <c r="K8716" t="s">
        <v>42</v>
      </c>
      <c r="L8716" t="s">
        <v>80</v>
      </c>
      <c r="Q8716">
        <v>23877</v>
      </c>
      <c r="R8716" t="s">
        <v>45</v>
      </c>
      <c r="S8716" t="s">
        <v>25623</v>
      </c>
      <c r="T8716">
        <v>29</v>
      </c>
      <c r="V8716" s="1">
        <v>45002</v>
      </c>
      <c r="W8716" t="s">
        <v>47424</v>
      </c>
      <c r="X8716">
        <v>110016955</v>
      </c>
      <c r="Y8716" t="s">
        <v>6010</v>
      </c>
      <c r="Z8716" t="s">
        <v>47426</v>
      </c>
      <c r="AA8716" t="s">
        <v>47426</v>
      </c>
      <c r="AB8716" t="s">
        <v>32359</v>
      </c>
      <c r="AD8716" t="s">
        <v>54</v>
      </c>
      <c r="AE8716" t="s">
        <v>54</v>
      </c>
      <c r="AG8716" t="s">
        <v>52486</v>
      </c>
      <c r="AH8716" t="s">
        <v>52487</v>
      </c>
      <c r="AI8716" t="s">
        <v>52488</v>
      </c>
    </row>
    <row r="8717" spans="2:35">
      <c r="B8717" s="1">
        <v>45002</v>
      </c>
      <c r="C8717" s="4">
        <v>45002.623611111114</v>
      </c>
      <c r="D8717" t="s">
        <v>25621</v>
      </c>
      <c r="E8717" t="s">
        <v>52467</v>
      </c>
      <c r="F8717" t="s">
        <v>37</v>
      </c>
      <c r="G8717" t="s">
        <v>189</v>
      </c>
      <c r="H8717" t="s">
        <v>2058</v>
      </c>
      <c r="I8717" t="s">
        <v>94</v>
      </c>
      <c r="J8717" t="s">
        <v>996</v>
      </c>
      <c r="K8717" t="s">
        <v>42</v>
      </c>
      <c r="L8717" t="s">
        <v>80</v>
      </c>
      <c r="Q8717">
        <v>23876</v>
      </c>
      <c r="R8717" t="s">
        <v>45</v>
      </c>
      <c r="S8717" t="s">
        <v>25623</v>
      </c>
      <c r="T8717">
        <v>28</v>
      </c>
      <c r="V8717" s="1">
        <v>45002</v>
      </c>
      <c r="W8717" t="s">
        <v>34318</v>
      </c>
      <c r="X8717">
        <v>844120</v>
      </c>
      <c r="Y8717" t="s">
        <v>52489</v>
      </c>
      <c r="Z8717" t="s">
        <v>28523</v>
      </c>
      <c r="AA8717" t="s">
        <v>28523</v>
      </c>
      <c r="AB8717" t="s">
        <v>52490</v>
      </c>
      <c r="AD8717" t="s">
        <v>52491</v>
      </c>
      <c r="AE8717" t="s">
        <v>45</v>
      </c>
      <c r="AG8717" t="s">
        <v>52492</v>
      </c>
      <c r="AH8717" t="s">
        <v>48588</v>
      </c>
      <c r="AI8717" t="s">
        <v>52493</v>
      </c>
    </row>
    <row r="8718" spans="2:35">
      <c r="B8718" s="1">
        <v>45002</v>
      </c>
      <c r="C8718" s="4">
        <v>45002.614583333336</v>
      </c>
      <c r="D8718" t="s">
        <v>52494</v>
      </c>
      <c r="E8718" t="s">
        <v>52495</v>
      </c>
      <c r="F8718">
        <v>5</v>
      </c>
      <c r="G8718" t="s">
        <v>759</v>
      </c>
      <c r="H8718" t="s">
        <v>39</v>
      </c>
      <c r="I8718" t="s">
        <v>40</v>
      </c>
      <c r="J8718" t="s">
        <v>79</v>
      </c>
      <c r="K8718" t="s">
        <v>42</v>
      </c>
      <c r="Q8718">
        <v>23875</v>
      </c>
      <c r="R8718" t="s">
        <v>45</v>
      </c>
      <c r="S8718" t="s">
        <v>52496</v>
      </c>
      <c r="T8718">
        <v>24</v>
      </c>
      <c r="V8718" s="1">
        <v>44993</v>
      </c>
      <c r="W8718" t="s">
        <v>84</v>
      </c>
      <c r="X8718">
        <v>835187</v>
      </c>
      <c r="Y8718" t="s">
        <v>2034</v>
      </c>
      <c r="Z8718" t="s">
        <v>52497</v>
      </c>
      <c r="AA8718" t="s">
        <v>52498</v>
      </c>
      <c r="AB8718" t="s">
        <v>181</v>
      </c>
      <c r="AD8718" t="s">
        <v>10991</v>
      </c>
      <c r="AE8718" t="s">
        <v>45</v>
      </c>
      <c r="AG8718" t="s">
        <v>52499</v>
      </c>
      <c r="AH8718" t="s">
        <v>26655</v>
      </c>
      <c r="AI8718" t="s">
        <v>52500</v>
      </c>
    </row>
    <row r="8719" spans="2:35" ht="105">
      <c r="B8719" s="1">
        <v>45002</v>
      </c>
      <c r="C8719" s="4">
        <v>45002.598611111112</v>
      </c>
      <c r="D8719" t="s">
        <v>44634</v>
      </c>
      <c r="E8719" t="s">
        <v>52501</v>
      </c>
      <c r="F8719">
        <v>9</v>
      </c>
      <c r="G8719" t="s">
        <v>2197</v>
      </c>
      <c r="H8719" t="s">
        <v>39</v>
      </c>
      <c r="I8719" t="s">
        <v>40</v>
      </c>
      <c r="J8719" t="s">
        <v>109</v>
      </c>
      <c r="K8719" t="s">
        <v>42</v>
      </c>
      <c r="L8719" t="s">
        <v>1257</v>
      </c>
      <c r="Q8719">
        <v>23874</v>
      </c>
      <c r="R8719" t="s">
        <v>119</v>
      </c>
      <c r="S8719" t="s">
        <v>2958</v>
      </c>
      <c r="T8719">
        <v>23</v>
      </c>
      <c r="U8719" s="2" t="s">
        <v>23588</v>
      </c>
      <c r="V8719" s="1">
        <v>45002</v>
      </c>
      <c r="W8719" t="s">
        <v>2384</v>
      </c>
      <c r="X8719">
        <v>821214</v>
      </c>
      <c r="Y8719" t="s">
        <v>52502</v>
      </c>
      <c r="Z8719" t="s">
        <v>12559</v>
      </c>
      <c r="AA8719" t="s">
        <v>12559</v>
      </c>
      <c r="AB8719" t="s">
        <v>52503</v>
      </c>
      <c r="AC8719" t="s">
        <v>301</v>
      </c>
      <c r="AD8719" t="s">
        <v>54</v>
      </c>
      <c r="AE8719" t="s">
        <v>54</v>
      </c>
      <c r="AG8719" t="s">
        <v>52504</v>
      </c>
      <c r="AH8719" t="s">
        <v>52505</v>
      </c>
      <c r="AI8719" t="s">
        <v>52506</v>
      </c>
    </row>
    <row r="8720" spans="2:35" ht="210">
      <c r="B8720" s="1">
        <v>45002</v>
      </c>
      <c r="C8720" s="4">
        <v>45002.600694444445</v>
      </c>
      <c r="D8720" t="s">
        <v>4795</v>
      </c>
      <c r="E8720" t="s">
        <v>9712</v>
      </c>
      <c r="F8720">
        <v>10</v>
      </c>
      <c r="G8720" t="s">
        <v>2392</v>
      </c>
      <c r="H8720" t="s">
        <v>1498</v>
      </c>
      <c r="I8720" t="s">
        <v>94</v>
      </c>
      <c r="J8720" t="s">
        <v>79</v>
      </c>
      <c r="K8720" t="s">
        <v>42</v>
      </c>
      <c r="L8720" t="s">
        <v>343</v>
      </c>
      <c r="Q8720">
        <v>23873</v>
      </c>
      <c r="R8720" t="s">
        <v>45</v>
      </c>
      <c r="S8720" t="s">
        <v>4797</v>
      </c>
      <c r="T8720">
        <v>26</v>
      </c>
      <c r="U8720" s="2" t="s">
        <v>52507</v>
      </c>
      <c r="V8720" s="1">
        <v>45002</v>
      </c>
      <c r="W8720" t="s">
        <v>6105</v>
      </c>
      <c r="X8720">
        <v>707842</v>
      </c>
      <c r="Y8720" t="s">
        <v>52508</v>
      </c>
      <c r="Z8720" t="s">
        <v>52509</v>
      </c>
      <c r="AA8720" t="e">
        <f ca="1">-Maintenance
-module Replacement</f>
        <v>#NAME?</v>
      </c>
      <c r="AB8720" t="s">
        <v>45625</v>
      </c>
      <c r="AD8720" t="s">
        <v>52510</v>
      </c>
      <c r="AE8720" t="s">
        <v>45</v>
      </c>
      <c r="AG8720" t="s">
        <v>52511</v>
      </c>
      <c r="AH8720" t="s">
        <v>4802</v>
      </c>
      <c r="AI8720" t="s">
        <v>52512</v>
      </c>
    </row>
    <row r="8721" spans="2:35" ht="180">
      <c r="B8721" s="1">
        <v>45002</v>
      </c>
      <c r="C8721" s="4">
        <v>45002.568055555559</v>
      </c>
      <c r="D8721" t="s">
        <v>26545</v>
      </c>
      <c r="E8721" t="s">
        <v>29477</v>
      </c>
      <c r="F8721">
        <v>13</v>
      </c>
      <c r="G8721" t="s">
        <v>7763</v>
      </c>
      <c r="H8721" t="s">
        <v>2125</v>
      </c>
      <c r="I8721" t="s">
        <v>40</v>
      </c>
      <c r="J8721" t="s">
        <v>79</v>
      </c>
      <c r="K8721" t="s">
        <v>42</v>
      </c>
      <c r="L8721" t="s">
        <v>933</v>
      </c>
      <c r="Q8721">
        <v>23872</v>
      </c>
      <c r="R8721" t="s">
        <v>45</v>
      </c>
      <c r="S8721" t="s">
        <v>52513</v>
      </c>
      <c r="T8721">
        <v>21.67</v>
      </c>
      <c r="U8721" s="2" t="s">
        <v>52514</v>
      </c>
      <c r="W8721" t="s">
        <v>3662</v>
      </c>
      <c r="X8721">
        <v>815391</v>
      </c>
      <c r="Y8721" t="s">
        <v>301</v>
      </c>
      <c r="Z8721" t="s">
        <v>301</v>
      </c>
      <c r="AA8721" t="s">
        <v>52515</v>
      </c>
      <c r="AB8721" t="s">
        <v>43442</v>
      </c>
      <c r="AG8721" t="s">
        <v>52516</v>
      </c>
      <c r="AH8721" t="s">
        <v>26553</v>
      </c>
      <c r="AI8721" t="s">
        <v>52517</v>
      </c>
    </row>
    <row r="8722" spans="2:35" ht="180">
      <c r="B8722" s="1">
        <v>45002</v>
      </c>
      <c r="C8722" s="4">
        <v>45001.557638888888</v>
      </c>
      <c r="D8722" t="s">
        <v>52518</v>
      </c>
      <c r="E8722" t="s">
        <v>52519</v>
      </c>
      <c r="F8722" t="s">
        <v>148</v>
      </c>
      <c r="G8722" t="s">
        <v>20126</v>
      </c>
      <c r="H8722" t="s">
        <v>39</v>
      </c>
      <c r="I8722" t="s">
        <v>40</v>
      </c>
      <c r="J8722" t="s">
        <v>79</v>
      </c>
      <c r="K8722" t="s">
        <v>42</v>
      </c>
      <c r="L8722" t="s">
        <v>448</v>
      </c>
      <c r="Q8722">
        <v>23871</v>
      </c>
      <c r="R8722" t="s">
        <v>45</v>
      </c>
      <c r="S8722" t="s">
        <v>33837</v>
      </c>
      <c r="T8722">
        <v>30</v>
      </c>
      <c r="U8722" s="2" t="s">
        <v>52520</v>
      </c>
      <c r="V8722" s="1">
        <v>45001</v>
      </c>
      <c r="W8722" t="s">
        <v>360</v>
      </c>
      <c r="X8722">
        <v>812833</v>
      </c>
      <c r="Y8722" t="s">
        <v>52521</v>
      </c>
      <c r="Z8722" t="s">
        <v>52522</v>
      </c>
      <c r="AA8722" t="s">
        <v>5712</v>
      </c>
      <c r="AB8722" t="s">
        <v>52523</v>
      </c>
      <c r="AC8722" t="s">
        <v>52524</v>
      </c>
      <c r="AD8722" t="s">
        <v>39494</v>
      </c>
      <c r="AE8722">
        <v>0</v>
      </c>
      <c r="AG8722" t="s">
        <v>52525</v>
      </c>
      <c r="AH8722" t="s">
        <v>33843</v>
      </c>
      <c r="AI8722" t="s">
        <v>52526</v>
      </c>
    </row>
    <row r="8723" spans="2:35" ht="409.5">
      <c r="B8723" s="1">
        <v>45002</v>
      </c>
      <c r="C8723" s="4">
        <v>45002.535416666666</v>
      </c>
      <c r="D8723" t="s">
        <v>36230</v>
      </c>
      <c r="E8723" t="s">
        <v>52527</v>
      </c>
      <c r="F8723">
        <v>6</v>
      </c>
      <c r="G8723" t="s">
        <v>1234</v>
      </c>
      <c r="H8723" t="s">
        <v>258</v>
      </c>
      <c r="I8723" t="s">
        <v>94</v>
      </c>
      <c r="J8723" s="2" t="s">
        <v>52528</v>
      </c>
      <c r="K8723" t="s">
        <v>42</v>
      </c>
      <c r="L8723" t="s">
        <v>270</v>
      </c>
      <c r="Q8723">
        <v>23870</v>
      </c>
      <c r="R8723" t="s">
        <v>45</v>
      </c>
      <c r="S8723" t="s">
        <v>34236</v>
      </c>
      <c r="T8723">
        <v>27</v>
      </c>
      <c r="U8723" s="2" t="s">
        <v>33554</v>
      </c>
      <c r="W8723" t="s">
        <v>1292</v>
      </c>
      <c r="X8723">
        <v>804838</v>
      </c>
      <c r="Y8723" t="s">
        <v>52529</v>
      </c>
      <c r="Z8723" t="s">
        <v>52530</v>
      </c>
      <c r="AA8723" s="2" t="s">
        <v>52531</v>
      </c>
      <c r="AB8723" s="2" t="s">
        <v>52532</v>
      </c>
      <c r="AC8723" t="s">
        <v>52533</v>
      </c>
      <c r="AG8723" t="s">
        <v>52534</v>
      </c>
      <c r="AH8723" t="s">
        <v>36235</v>
      </c>
      <c r="AI8723" t="s">
        <v>52535</v>
      </c>
    </row>
    <row r="8724" spans="2:35" ht="210">
      <c r="B8724" s="1">
        <v>45002</v>
      </c>
      <c r="C8724" s="4">
        <v>45002.477083333331</v>
      </c>
      <c r="D8724" t="s">
        <v>8529</v>
      </c>
      <c r="E8724" t="s">
        <v>52536</v>
      </c>
      <c r="F8724">
        <v>7</v>
      </c>
      <c r="G8724" t="s">
        <v>432</v>
      </c>
      <c r="H8724" t="s">
        <v>2290</v>
      </c>
      <c r="I8724" t="s">
        <v>94</v>
      </c>
      <c r="J8724" t="s">
        <v>79</v>
      </c>
      <c r="K8724" t="s">
        <v>42</v>
      </c>
      <c r="L8724" t="s">
        <v>610</v>
      </c>
      <c r="Q8724">
        <v>23869</v>
      </c>
      <c r="R8724" t="s">
        <v>119</v>
      </c>
      <c r="S8724" t="s">
        <v>8531</v>
      </c>
      <c r="T8724">
        <v>23</v>
      </c>
      <c r="U8724" s="2" t="s">
        <v>52537</v>
      </c>
      <c r="V8724" s="1">
        <v>45002</v>
      </c>
      <c r="W8724" t="s">
        <v>502</v>
      </c>
      <c r="X8724">
        <v>838279</v>
      </c>
      <c r="Y8724" t="s">
        <v>12970</v>
      </c>
      <c r="Z8724" t="s">
        <v>52538</v>
      </c>
      <c r="AA8724" s="2" t="s">
        <v>52539</v>
      </c>
      <c r="AB8724" t="s">
        <v>1263</v>
      </c>
      <c r="AG8724" t="s">
        <v>52540</v>
      </c>
      <c r="AH8724" t="s">
        <v>52541</v>
      </c>
      <c r="AI8724" t="s">
        <v>52542</v>
      </c>
    </row>
    <row r="8725" spans="2:35" ht="45">
      <c r="B8725" s="1">
        <v>45002</v>
      </c>
      <c r="C8725" s="4">
        <v>45002.45</v>
      </c>
      <c r="D8725" t="s">
        <v>41101</v>
      </c>
      <c r="E8725" t="s">
        <v>52543</v>
      </c>
      <c r="F8725">
        <v>5</v>
      </c>
      <c r="G8725" t="s">
        <v>759</v>
      </c>
      <c r="H8725" t="s">
        <v>39</v>
      </c>
      <c r="I8725" t="s">
        <v>40</v>
      </c>
      <c r="J8725" s="2" t="s">
        <v>2170</v>
      </c>
      <c r="K8725" t="s">
        <v>42</v>
      </c>
      <c r="L8725" t="s">
        <v>857</v>
      </c>
      <c r="Q8725">
        <v>23868</v>
      </c>
      <c r="R8725" t="s">
        <v>45</v>
      </c>
      <c r="S8725" t="s">
        <v>4727</v>
      </c>
      <c r="T8725">
        <v>26</v>
      </c>
      <c r="V8725" s="1">
        <v>44993</v>
      </c>
      <c r="W8725" t="s">
        <v>84</v>
      </c>
      <c r="X8725">
        <v>808280</v>
      </c>
      <c r="Y8725" t="s">
        <v>52544</v>
      </c>
      <c r="Z8725" t="s">
        <v>52545</v>
      </c>
      <c r="AA8725" t="s">
        <v>52546</v>
      </c>
      <c r="AB8725" t="s">
        <v>52547</v>
      </c>
      <c r="AD8725" t="s">
        <v>10991</v>
      </c>
      <c r="AE8725" t="s">
        <v>45</v>
      </c>
      <c r="AG8725" t="s">
        <v>52548</v>
      </c>
      <c r="AH8725" t="s">
        <v>52549</v>
      </c>
      <c r="AI8725" t="s">
        <v>52550</v>
      </c>
    </row>
    <row r="8726" spans="2:35" ht="285">
      <c r="B8726" s="1">
        <v>45001</v>
      </c>
      <c r="C8726" s="4">
        <v>45001.490972222222</v>
      </c>
      <c r="D8726" t="s">
        <v>3705</v>
      </c>
      <c r="E8726" t="s">
        <v>3706</v>
      </c>
      <c r="F8726">
        <v>3</v>
      </c>
      <c r="G8726" t="s">
        <v>174</v>
      </c>
      <c r="H8726" t="s">
        <v>39</v>
      </c>
      <c r="I8726" t="s">
        <v>40</v>
      </c>
      <c r="J8726" s="2" t="s">
        <v>62</v>
      </c>
      <c r="K8726" t="s">
        <v>42</v>
      </c>
      <c r="L8726" t="s">
        <v>175</v>
      </c>
      <c r="Q8726">
        <v>23867</v>
      </c>
      <c r="R8726" t="s">
        <v>119</v>
      </c>
      <c r="S8726" t="s">
        <v>48516</v>
      </c>
      <c r="T8726">
        <v>25</v>
      </c>
      <c r="U8726" s="2" t="s">
        <v>52551</v>
      </c>
      <c r="V8726" s="1">
        <v>44946</v>
      </c>
      <c r="W8726" t="s">
        <v>84</v>
      </c>
      <c r="X8726">
        <v>831897</v>
      </c>
      <c r="Y8726" t="s">
        <v>998</v>
      </c>
      <c r="Z8726" t="e">
        <f ca="1">- checked _xludf.and cleaned cartridge bay, plunger rod, icore slot, _xludf.filter
- performed XpertCheck
- generated reports</f>
        <v>#NAME?</v>
      </c>
      <c r="AA8726" t="s">
        <v>34204</v>
      </c>
      <c r="AB8726" s="2" t="s">
        <v>52552</v>
      </c>
      <c r="AD8726" t="s">
        <v>5056</v>
      </c>
      <c r="AE8726">
        <v>9523</v>
      </c>
      <c r="AG8726" t="s">
        <v>52553</v>
      </c>
      <c r="AH8726" t="s">
        <v>52554</v>
      </c>
      <c r="AI8726" t="s">
        <v>52555</v>
      </c>
    </row>
    <row r="8727" spans="2:35" ht="180">
      <c r="B8727" s="1">
        <v>45001</v>
      </c>
      <c r="C8727" s="4">
        <v>45001.60833333333</v>
      </c>
      <c r="D8727" t="s">
        <v>4927</v>
      </c>
      <c r="E8727" t="s">
        <v>29745</v>
      </c>
      <c r="F8727">
        <v>3</v>
      </c>
      <c r="G8727" t="s">
        <v>174</v>
      </c>
      <c r="H8727" t="s">
        <v>39</v>
      </c>
      <c r="I8727" t="s">
        <v>40</v>
      </c>
      <c r="J8727" s="2" t="s">
        <v>41</v>
      </c>
      <c r="K8727" t="s">
        <v>42</v>
      </c>
      <c r="L8727" t="s">
        <v>175</v>
      </c>
      <c r="Q8727">
        <v>23866</v>
      </c>
      <c r="R8727" t="s">
        <v>45</v>
      </c>
      <c r="S8727" t="s">
        <v>52556</v>
      </c>
      <c r="T8727">
        <v>25</v>
      </c>
      <c r="U8727" s="2" t="s">
        <v>52557</v>
      </c>
      <c r="W8727" t="s">
        <v>84</v>
      </c>
      <c r="X8727">
        <v>838866</v>
      </c>
      <c r="Y8727" t="s">
        <v>6590</v>
      </c>
      <c r="Z8727" t="e">
        <f ca="1">- replaced module B3
- generated reports
- performed functionality test
- checked _xludf.and cleaned cartridge bay, plunger rod, _xludf.filter</f>
        <v>#NAME?</v>
      </c>
      <c r="AA8727" t="s">
        <v>52558</v>
      </c>
      <c r="AB8727" t="s">
        <v>88</v>
      </c>
      <c r="AG8727" t="s">
        <v>52559</v>
      </c>
      <c r="AH8727" t="s">
        <v>52560</v>
      </c>
      <c r="AI8727" t="s">
        <v>52561</v>
      </c>
    </row>
    <row r="8728" spans="2:35" ht="285">
      <c r="B8728" s="1">
        <v>45001</v>
      </c>
      <c r="C8728" s="4">
        <v>45001.490972222222</v>
      </c>
      <c r="D8728" t="s">
        <v>3705</v>
      </c>
      <c r="E8728" t="s">
        <v>3706</v>
      </c>
      <c r="F8728">
        <v>3</v>
      </c>
      <c r="G8728" t="s">
        <v>174</v>
      </c>
      <c r="H8728" t="s">
        <v>39</v>
      </c>
      <c r="I8728" t="s">
        <v>40</v>
      </c>
      <c r="J8728" s="2" t="s">
        <v>62</v>
      </c>
      <c r="K8728" t="s">
        <v>42</v>
      </c>
      <c r="L8728" t="s">
        <v>175</v>
      </c>
      <c r="Q8728">
        <v>23865</v>
      </c>
      <c r="R8728" t="s">
        <v>119</v>
      </c>
      <c r="S8728" t="s">
        <v>48516</v>
      </c>
      <c r="T8728">
        <v>25</v>
      </c>
      <c r="U8728" s="2" t="s">
        <v>52551</v>
      </c>
      <c r="V8728" s="1">
        <v>44946</v>
      </c>
      <c r="W8728" t="s">
        <v>84</v>
      </c>
      <c r="X8728">
        <v>831897</v>
      </c>
      <c r="Y8728" t="s">
        <v>998</v>
      </c>
      <c r="Z8728" t="e">
        <f ca="1">- checked _xludf.and cleaned cartridge bay, plunger rod, icore slot, _xludf.filter
- performed XpertCheck
- generated reports</f>
        <v>#NAME?</v>
      </c>
      <c r="AA8728" t="s">
        <v>34204</v>
      </c>
      <c r="AB8728" s="2" t="s">
        <v>52552</v>
      </c>
      <c r="AD8728" t="s">
        <v>5056</v>
      </c>
      <c r="AE8728">
        <v>9523</v>
      </c>
      <c r="AG8728" t="s">
        <v>52562</v>
      </c>
      <c r="AH8728" t="s">
        <v>52554</v>
      </c>
      <c r="AI8728" t="s">
        <v>52563</v>
      </c>
    </row>
    <row r="8729" spans="2:35" ht="180">
      <c r="B8729" s="1">
        <v>45001</v>
      </c>
      <c r="C8729" s="4">
        <v>45001.60833333333</v>
      </c>
      <c r="D8729" t="s">
        <v>4927</v>
      </c>
      <c r="E8729" t="s">
        <v>29745</v>
      </c>
      <c r="F8729">
        <v>3</v>
      </c>
      <c r="G8729" t="s">
        <v>174</v>
      </c>
      <c r="H8729" t="s">
        <v>39</v>
      </c>
      <c r="I8729" t="s">
        <v>40</v>
      </c>
      <c r="J8729" s="2" t="s">
        <v>41</v>
      </c>
      <c r="K8729" t="s">
        <v>42</v>
      </c>
      <c r="L8729" t="s">
        <v>175</v>
      </c>
      <c r="Q8729">
        <v>23864</v>
      </c>
      <c r="R8729" t="s">
        <v>45</v>
      </c>
      <c r="S8729" t="s">
        <v>52556</v>
      </c>
      <c r="T8729">
        <v>25</v>
      </c>
      <c r="U8729" s="2" t="s">
        <v>52557</v>
      </c>
      <c r="W8729" t="s">
        <v>84</v>
      </c>
      <c r="X8729">
        <v>838866</v>
      </c>
      <c r="Y8729" t="s">
        <v>6590</v>
      </c>
      <c r="Z8729" t="e">
        <f ca="1">- replaced module B3
- generated reports
- performed functionality test
- checked _xludf.and cleaned cartridge bay, plunger rod, _xludf.filter</f>
        <v>#NAME?</v>
      </c>
      <c r="AA8729" t="s">
        <v>52558</v>
      </c>
      <c r="AB8729" t="s">
        <v>88</v>
      </c>
      <c r="AG8729" t="s">
        <v>52564</v>
      </c>
      <c r="AH8729" t="s">
        <v>52560</v>
      </c>
      <c r="AI8729" t="s">
        <v>52565</v>
      </c>
    </row>
    <row r="8730" spans="2:35" ht="180">
      <c r="B8730" s="1">
        <v>45001</v>
      </c>
      <c r="C8730" s="4">
        <v>45001.557638888888</v>
      </c>
      <c r="D8730" t="s">
        <v>52518</v>
      </c>
      <c r="E8730" t="s">
        <v>52519</v>
      </c>
      <c r="F8730" t="s">
        <v>148</v>
      </c>
      <c r="G8730" t="s">
        <v>20126</v>
      </c>
      <c r="H8730" t="s">
        <v>39</v>
      </c>
      <c r="I8730" t="s">
        <v>40</v>
      </c>
      <c r="J8730" t="s">
        <v>79</v>
      </c>
      <c r="K8730" t="s">
        <v>42</v>
      </c>
      <c r="L8730" t="s">
        <v>448</v>
      </c>
      <c r="Q8730">
        <v>23863</v>
      </c>
      <c r="R8730" t="s">
        <v>45</v>
      </c>
      <c r="S8730" t="s">
        <v>33837</v>
      </c>
      <c r="T8730">
        <v>30</v>
      </c>
      <c r="U8730" s="2" t="s">
        <v>52520</v>
      </c>
      <c r="V8730" s="1">
        <v>45001</v>
      </c>
      <c r="W8730" t="s">
        <v>360</v>
      </c>
      <c r="X8730">
        <v>812833</v>
      </c>
      <c r="Y8730" t="s">
        <v>52521</v>
      </c>
      <c r="Z8730" t="s">
        <v>52522</v>
      </c>
      <c r="AA8730" t="s">
        <v>5712</v>
      </c>
      <c r="AB8730" t="s">
        <v>52523</v>
      </c>
      <c r="AC8730" t="s">
        <v>52524</v>
      </c>
      <c r="AD8730" t="s">
        <v>39494</v>
      </c>
      <c r="AE8730">
        <v>0</v>
      </c>
      <c r="AG8730" t="s">
        <v>52566</v>
      </c>
      <c r="AH8730" t="s">
        <v>33843</v>
      </c>
      <c r="AI8730" t="s">
        <v>52567</v>
      </c>
    </row>
    <row r="8731" spans="2:35" ht="390">
      <c r="B8731" s="1">
        <v>45001</v>
      </c>
      <c r="C8731" s="4">
        <v>45001.709027777775</v>
      </c>
      <c r="D8731" t="s">
        <v>52568</v>
      </c>
      <c r="E8731" t="s">
        <v>52569</v>
      </c>
      <c r="F8731" t="s">
        <v>148</v>
      </c>
      <c r="G8731" t="s">
        <v>447</v>
      </c>
      <c r="H8731" t="s">
        <v>150</v>
      </c>
      <c r="I8731" t="s">
        <v>40</v>
      </c>
      <c r="J8731" t="s">
        <v>79</v>
      </c>
      <c r="K8731" t="s">
        <v>42</v>
      </c>
      <c r="L8731" t="s">
        <v>448</v>
      </c>
      <c r="Q8731">
        <v>23862</v>
      </c>
      <c r="R8731" t="s">
        <v>95</v>
      </c>
      <c r="S8731" t="s">
        <v>2809</v>
      </c>
      <c r="T8731">
        <v>30</v>
      </c>
      <c r="U8731" s="2" t="s">
        <v>52570</v>
      </c>
      <c r="V8731" s="1">
        <v>45001</v>
      </c>
      <c r="W8731" t="s">
        <v>360</v>
      </c>
      <c r="X8731">
        <v>807155</v>
      </c>
      <c r="Y8731" t="s">
        <v>52571</v>
      </c>
      <c r="Z8731" t="s">
        <v>43996</v>
      </c>
      <c r="AA8731" t="s">
        <v>5712</v>
      </c>
      <c r="AB8731" t="s">
        <v>51627</v>
      </c>
      <c r="AD8731" t="s">
        <v>19700</v>
      </c>
      <c r="AE8731">
        <v>9698</v>
      </c>
      <c r="AG8731" t="s">
        <v>52572</v>
      </c>
      <c r="AH8731" t="s">
        <v>52573</v>
      </c>
      <c r="AI8731" t="s">
        <v>52574</v>
      </c>
    </row>
    <row r="8732" spans="2:35" ht="390">
      <c r="B8732" s="1">
        <v>45001</v>
      </c>
      <c r="C8732" s="4">
        <v>45001.709027777775</v>
      </c>
      <c r="D8732" t="s">
        <v>52568</v>
      </c>
      <c r="E8732" t="s">
        <v>52569</v>
      </c>
      <c r="F8732" t="s">
        <v>148</v>
      </c>
      <c r="G8732" t="s">
        <v>447</v>
      </c>
      <c r="H8732" t="s">
        <v>150</v>
      </c>
      <c r="I8732" t="s">
        <v>40</v>
      </c>
      <c r="J8732" t="s">
        <v>79</v>
      </c>
      <c r="K8732" t="s">
        <v>42</v>
      </c>
      <c r="L8732" t="s">
        <v>448</v>
      </c>
      <c r="Q8732">
        <v>23861</v>
      </c>
      <c r="R8732" t="s">
        <v>95</v>
      </c>
      <c r="S8732" t="s">
        <v>2809</v>
      </c>
      <c r="T8732">
        <v>30</v>
      </c>
      <c r="U8732" s="2" t="s">
        <v>52570</v>
      </c>
      <c r="V8732" s="1">
        <v>45001</v>
      </c>
      <c r="W8732" t="s">
        <v>360</v>
      </c>
      <c r="X8732">
        <v>807155</v>
      </c>
      <c r="Y8732" t="s">
        <v>52571</v>
      </c>
      <c r="Z8732" t="s">
        <v>43996</v>
      </c>
      <c r="AA8732" t="s">
        <v>5712</v>
      </c>
      <c r="AB8732" t="s">
        <v>51627</v>
      </c>
      <c r="AD8732" t="s">
        <v>19700</v>
      </c>
      <c r="AE8732">
        <v>9698</v>
      </c>
      <c r="AG8732" t="s">
        <v>52575</v>
      </c>
      <c r="AH8732" t="s">
        <v>52573</v>
      </c>
      <c r="AI8732" t="s">
        <v>52576</v>
      </c>
    </row>
    <row r="8733" spans="2:35" ht="390">
      <c r="B8733" s="1">
        <v>45001</v>
      </c>
      <c r="C8733" s="4">
        <v>45001.709027777775</v>
      </c>
      <c r="D8733" t="s">
        <v>52568</v>
      </c>
      <c r="E8733" t="s">
        <v>52569</v>
      </c>
      <c r="F8733" t="s">
        <v>148</v>
      </c>
      <c r="G8733" t="s">
        <v>447</v>
      </c>
      <c r="H8733" t="s">
        <v>150</v>
      </c>
      <c r="I8733" t="s">
        <v>40</v>
      </c>
      <c r="J8733" t="s">
        <v>79</v>
      </c>
      <c r="K8733" t="s">
        <v>42</v>
      </c>
      <c r="L8733" t="s">
        <v>448</v>
      </c>
      <c r="Q8733">
        <v>23860</v>
      </c>
      <c r="R8733" t="s">
        <v>95</v>
      </c>
      <c r="S8733" t="s">
        <v>2808</v>
      </c>
      <c r="T8733">
        <v>30</v>
      </c>
      <c r="U8733" s="2" t="s">
        <v>52570</v>
      </c>
      <c r="V8733" s="1">
        <v>45001</v>
      </c>
      <c r="W8733" t="s">
        <v>360</v>
      </c>
      <c r="X8733">
        <v>807155</v>
      </c>
      <c r="Y8733" t="s">
        <v>52571</v>
      </c>
      <c r="Z8733" t="s">
        <v>43996</v>
      </c>
      <c r="AA8733" t="s">
        <v>5712</v>
      </c>
      <c r="AB8733" t="s">
        <v>51627</v>
      </c>
      <c r="AD8733" t="s">
        <v>19700</v>
      </c>
      <c r="AE8733">
        <v>9698</v>
      </c>
      <c r="AG8733" t="s">
        <v>52577</v>
      </c>
      <c r="AH8733" t="s">
        <v>52573</v>
      </c>
      <c r="AI8733" t="s">
        <v>52578</v>
      </c>
    </row>
    <row r="8734" spans="2:35" ht="390">
      <c r="B8734" s="1">
        <v>45001</v>
      </c>
      <c r="C8734" s="4">
        <v>45001.709027777775</v>
      </c>
      <c r="D8734" t="s">
        <v>52568</v>
      </c>
      <c r="E8734" t="s">
        <v>52569</v>
      </c>
      <c r="F8734" t="s">
        <v>148</v>
      </c>
      <c r="G8734" t="s">
        <v>447</v>
      </c>
      <c r="H8734" t="s">
        <v>150</v>
      </c>
      <c r="I8734" t="s">
        <v>40</v>
      </c>
      <c r="J8734" t="s">
        <v>79</v>
      </c>
      <c r="K8734" t="s">
        <v>42</v>
      </c>
      <c r="L8734" t="s">
        <v>448</v>
      </c>
      <c r="Q8734">
        <v>23859</v>
      </c>
      <c r="R8734" t="s">
        <v>95</v>
      </c>
      <c r="S8734" t="s">
        <v>2808</v>
      </c>
      <c r="T8734">
        <v>30</v>
      </c>
      <c r="U8734" s="2" t="s">
        <v>52570</v>
      </c>
      <c r="V8734" s="1">
        <v>45001</v>
      </c>
      <c r="W8734" t="s">
        <v>360</v>
      </c>
      <c r="X8734">
        <v>807155</v>
      </c>
      <c r="Y8734" t="s">
        <v>52571</v>
      </c>
      <c r="Z8734" t="s">
        <v>43996</v>
      </c>
      <c r="AA8734" t="s">
        <v>5712</v>
      </c>
      <c r="AB8734" t="s">
        <v>51627</v>
      </c>
      <c r="AD8734" t="s">
        <v>19700</v>
      </c>
      <c r="AE8734">
        <v>9698</v>
      </c>
      <c r="AG8734" t="s">
        <v>52579</v>
      </c>
      <c r="AH8734" t="s">
        <v>52573</v>
      </c>
      <c r="AI8734" t="s">
        <v>52580</v>
      </c>
    </row>
    <row r="8735" spans="2:35" ht="330">
      <c r="B8735" s="1">
        <v>45001</v>
      </c>
      <c r="C8735" s="4">
        <v>45001.430555555555</v>
      </c>
      <c r="D8735" t="s">
        <v>52581</v>
      </c>
      <c r="E8735" t="s">
        <v>52582</v>
      </c>
      <c r="F8735" t="s">
        <v>148</v>
      </c>
      <c r="G8735" t="s">
        <v>447</v>
      </c>
      <c r="H8735" t="s">
        <v>39</v>
      </c>
      <c r="I8735" t="s">
        <v>40</v>
      </c>
      <c r="J8735" s="2" t="s">
        <v>41</v>
      </c>
      <c r="K8735" t="s">
        <v>42</v>
      </c>
      <c r="L8735" t="s">
        <v>448</v>
      </c>
      <c r="Q8735">
        <v>23858</v>
      </c>
      <c r="R8735" t="s">
        <v>45</v>
      </c>
      <c r="S8735" t="s">
        <v>31541</v>
      </c>
      <c r="T8735">
        <v>24</v>
      </c>
      <c r="U8735" s="2" t="s">
        <v>52583</v>
      </c>
      <c r="V8735" s="1">
        <v>45001</v>
      </c>
      <c r="W8735" t="s">
        <v>360</v>
      </c>
      <c r="X8735">
        <v>838876</v>
      </c>
      <c r="Y8735" t="s">
        <v>52584</v>
      </c>
      <c r="Z8735" t="s">
        <v>50837</v>
      </c>
      <c r="AA8735" t="s">
        <v>20643</v>
      </c>
      <c r="AB8735" t="s">
        <v>486</v>
      </c>
      <c r="AD8735" t="s">
        <v>50896</v>
      </c>
      <c r="AE8735">
        <v>0</v>
      </c>
      <c r="AG8735" t="s">
        <v>52585</v>
      </c>
      <c r="AH8735" t="s">
        <v>52586</v>
      </c>
      <c r="AI8735" t="s">
        <v>52587</v>
      </c>
    </row>
    <row r="8736" spans="2:35" ht="210">
      <c r="B8736" s="1">
        <v>45001</v>
      </c>
      <c r="C8736" s="4">
        <v>45000.693055555559</v>
      </c>
      <c r="D8736" t="s">
        <v>52588</v>
      </c>
      <c r="E8736" t="s">
        <v>52589</v>
      </c>
      <c r="F8736" t="s">
        <v>37</v>
      </c>
      <c r="G8736" t="s">
        <v>38</v>
      </c>
      <c r="H8736" t="s">
        <v>39</v>
      </c>
      <c r="I8736" t="s">
        <v>40</v>
      </c>
      <c r="J8736" t="s">
        <v>525</v>
      </c>
      <c r="K8736" t="s">
        <v>42</v>
      </c>
      <c r="L8736" t="s">
        <v>448</v>
      </c>
      <c r="Q8736">
        <v>23856</v>
      </c>
      <c r="R8736" t="s">
        <v>45</v>
      </c>
      <c r="S8736" t="s">
        <v>29171</v>
      </c>
      <c r="T8736">
        <v>28</v>
      </c>
      <c r="U8736" s="2" t="s">
        <v>52590</v>
      </c>
      <c r="W8736" t="s">
        <v>360</v>
      </c>
      <c r="X8736">
        <v>838894</v>
      </c>
      <c r="Y8736" t="s">
        <v>52591</v>
      </c>
      <c r="Z8736" t="s">
        <v>52592</v>
      </c>
      <c r="AA8736" t="s">
        <v>4487</v>
      </c>
      <c r="AB8736" t="s">
        <v>486</v>
      </c>
      <c r="AG8736" t="s">
        <v>52593</v>
      </c>
      <c r="AH8736" t="s">
        <v>29177</v>
      </c>
      <c r="AI8736" t="s">
        <v>52594</v>
      </c>
    </row>
    <row r="8737" spans="2:35" ht="330">
      <c r="B8737" s="1">
        <v>45001</v>
      </c>
      <c r="C8737" s="4">
        <v>45000.6</v>
      </c>
      <c r="D8737" t="s">
        <v>52595</v>
      </c>
      <c r="E8737" t="s">
        <v>52596</v>
      </c>
      <c r="F8737" t="s">
        <v>148</v>
      </c>
      <c r="G8737" t="s">
        <v>447</v>
      </c>
      <c r="H8737" t="s">
        <v>39</v>
      </c>
      <c r="I8737" t="s">
        <v>40</v>
      </c>
      <c r="J8737" t="s">
        <v>79</v>
      </c>
      <c r="K8737" t="s">
        <v>42</v>
      </c>
      <c r="L8737" t="s">
        <v>448</v>
      </c>
      <c r="Q8737">
        <v>23857</v>
      </c>
      <c r="R8737" t="s">
        <v>119</v>
      </c>
      <c r="S8737" t="s">
        <v>18441</v>
      </c>
      <c r="T8737">
        <v>29</v>
      </c>
      <c r="U8737" s="2" t="s">
        <v>52597</v>
      </c>
      <c r="V8737" s="1">
        <v>44998</v>
      </c>
      <c r="W8737" t="s">
        <v>360</v>
      </c>
      <c r="X8737">
        <v>831848</v>
      </c>
      <c r="Y8737" t="s">
        <v>17908</v>
      </c>
      <c r="Z8737" t="s">
        <v>52598</v>
      </c>
      <c r="AA8737" t="s">
        <v>17793</v>
      </c>
      <c r="AB8737" t="s">
        <v>52599</v>
      </c>
      <c r="AD8737" t="s">
        <v>52600</v>
      </c>
      <c r="AE8737">
        <v>9688</v>
      </c>
      <c r="AG8737" t="s">
        <v>52601</v>
      </c>
      <c r="AH8737" t="s">
        <v>9480</v>
      </c>
      <c r="AI8737" t="s">
        <v>52602</v>
      </c>
    </row>
    <row r="8738" spans="2:35" ht="135">
      <c r="B8738" s="1">
        <v>45001</v>
      </c>
      <c r="C8738" s="4">
        <v>44999.609027777777</v>
      </c>
      <c r="D8738" t="s">
        <v>42431</v>
      </c>
      <c r="E8738" t="s">
        <v>48268</v>
      </c>
      <c r="F8738" t="s">
        <v>148</v>
      </c>
      <c r="G8738" t="s">
        <v>447</v>
      </c>
      <c r="H8738" t="s">
        <v>52603</v>
      </c>
      <c r="I8738" t="s">
        <v>40</v>
      </c>
      <c r="J8738" s="2" t="s">
        <v>41</v>
      </c>
      <c r="K8738" t="s">
        <v>42</v>
      </c>
      <c r="L8738" t="s">
        <v>448</v>
      </c>
      <c r="Q8738">
        <v>23855</v>
      </c>
      <c r="R8738" t="s">
        <v>45</v>
      </c>
      <c r="S8738" t="s">
        <v>52604</v>
      </c>
      <c r="T8738">
        <v>27</v>
      </c>
      <c r="U8738" s="2" t="s">
        <v>52605</v>
      </c>
      <c r="V8738" s="1">
        <v>44999</v>
      </c>
      <c r="W8738" t="s">
        <v>360</v>
      </c>
      <c r="X8738">
        <v>704584</v>
      </c>
      <c r="Y8738" t="s">
        <v>52606</v>
      </c>
      <c r="Z8738" t="s">
        <v>52522</v>
      </c>
      <c r="AA8738" t="s">
        <v>20643</v>
      </c>
      <c r="AB8738" t="s">
        <v>52607</v>
      </c>
      <c r="AD8738" t="s">
        <v>50911</v>
      </c>
      <c r="AE8738">
        <v>0</v>
      </c>
      <c r="AG8738" t="s">
        <v>52608</v>
      </c>
      <c r="AH8738" t="s">
        <v>52609</v>
      </c>
      <c r="AI8738" t="s">
        <v>52610</v>
      </c>
    </row>
    <row r="8739" spans="2:35" ht="240">
      <c r="B8739" s="1">
        <v>45001</v>
      </c>
      <c r="C8739" s="4">
        <v>45000.512499999997</v>
      </c>
      <c r="D8739" t="s">
        <v>52611</v>
      </c>
      <c r="E8739" t="s">
        <v>52612</v>
      </c>
      <c r="F8739" t="s">
        <v>148</v>
      </c>
      <c r="G8739" t="s">
        <v>447</v>
      </c>
      <c r="H8739" t="s">
        <v>39</v>
      </c>
      <c r="I8739" t="s">
        <v>40</v>
      </c>
      <c r="J8739" s="2" t="s">
        <v>41</v>
      </c>
      <c r="K8739" t="s">
        <v>42</v>
      </c>
      <c r="L8739" t="s">
        <v>448</v>
      </c>
      <c r="Q8739">
        <v>23854</v>
      </c>
      <c r="R8739" t="s">
        <v>322</v>
      </c>
      <c r="S8739" t="s">
        <v>42299</v>
      </c>
      <c r="T8739">
        <v>24</v>
      </c>
      <c r="U8739" s="2" t="s">
        <v>52613</v>
      </c>
      <c r="V8739" s="1">
        <v>44999</v>
      </c>
      <c r="W8739" t="s">
        <v>52614</v>
      </c>
      <c r="X8739">
        <v>110001650</v>
      </c>
      <c r="Y8739" t="s">
        <v>52615</v>
      </c>
      <c r="Z8739" t="s">
        <v>50837</v>
      </c>
      <c r="AA8739" t="s">
        <v>5712</v>
      </c>
      <c r="AB8739" t="s">
        <v>486</v>
      </c>
      <c r="AD8739" t="s">
        <v>52616</v>
      </c>
      <c r="AE8739">
        <v>9691</v>
      </c>
      <c r="AG8739" t="s">
        <v>52617</v>
      </c>
      <c r="AH8739" t="s">
        <v>52618</v>
      </c>
      <c r="AI8739" t="s">
        <v>52619</v>
      </c>
    </row>
    <row r="8740" spans="2:35" ht="180">
      <c r="B8740" s="1">
        <v>45001</v>
      </c>
      <c r="C8740" s="4">
        <v>44999.595833333333</v>
      </c>
      <c r="D8740" t="s">
        <v>42431</v>
      </c>
      <c r="E8740" t="s">
        <v>52620</v>
      </c>
      <c r="F8740" t="s">
        <v>148</v>
      </c>
      <c r="G8740" t="s">
        <v>447</v>
      </c>
      <c r="H8740" t="s">
        <v>50426</v>
      </c>
      <c r="I8740" t="s">
        <v>40</v>
      </c>
      <c r="J8740" s="2" t="s">
        <v>41</v>
      </c>
      <c r="K8740" t="s">
        <v>42</v>
      </c>
      <c r="L8740" t="s">
        <v>448</v>
      </c>
      <c r="Q8740">
        <v>23854</v>
      </c>
      <c r="R8740" t="s">
        <v>45</v>
      </c>
      <c r="S8740" t="s">
        <v>52604</v>
      </c>
      <c r="T8740">
        <v>29</v>
      </c>
      <c r="U8740" s="2" t="s">
        <v>52621</v>
      </c>
      <c r="V8740" s="1">
        <v>44999</v>
      </c>
      <c r="W8740" t="s">
        <v>360</v>
      </c>
      <c r="X8740">
        <v>707450</v>
      </c>
      <c r="Y8740" t="s">
        <v>52622</v>
      </c>
      <c r="Z8740" t="s">
        <v>52623</v>
      </c>
      <c r="AA8740" t="s">
        <v>20643</v>
      </c>
      <c r="AB8740" t="s">
        <v>486</v>
      </c>
      <c r="AD8740" t="s">
        <v>52624</v>
      </c>
      <c r="AE8740">
        <v>0</v>
      </c>
      <c r="AG8740" t="s">
        <v>52625</v>
      </c>
      <c r="AH8740" t="s">
        <v>52609</v>
      </c>
      <c r="AI8740" t="s">
        <v>52626</v>
      </c>
    </row>
    <row r="8741" spans="2:35" ht="345">
      <c r="B8741" s="1">
        <v>45001</v>
      </c>
      <c r="C8741" s="4">
        <v>45001.751388888886</v>
      </c>
      <c r="D8741" t="s">
        <v>2834</v>
      </c>
      <c r="E8741" t="s">
        <v>52627</v>
      </c>
      <c r="F8741">
        <v>11</v>
      </c>
      <c r="G8741" t="s">
        <v>2836</v>
      </c>
      <c r="H8741" t="s">
        <v>61</v>
      </c>
      <c r="I8741" t="s">
        <v>40</v>
      </c>
      <c r="J8741" t="s">
        <v>79</v>
      </c>
      <c r="K8741" t="s">
        <v>42</v>
      </c>
      <c r="L8741" t="s">
        <v>204</v>
      </c>
      <c r="Q8741">
        <v>23853</v>
      </c>
      <c r="R8741" t="s">
        <v>45</v>
      </c>
      <c r="S8741" t="s">
        <v>2837</v>
      </c>
      <c r="T8741">
        <v>23.6</v>
      </c>
      <c r="V8741" s="1">
        <v>45001</v>
      </c>
      <c r="W8741" t="s">
        <v>23237</v>
      </c>
      <c r="X8741">
        <v>834626</v>
      </c>
      <c r="Y8741" t="s">
        <v>52628</v>
      </c>
      <c r="Z8741" s="2" t="s">
        <v>52629</v>
      </c>
      <c r="AA8741" t="s">
        <v>12182</v>
      </c>
      <c r="AB8741" s="2" t="s">
        <v>52630</v>
      </c>
      <c r="AD8741" t="s">
        <v>10253</v>
      </c>
      <c r="AE8741" t="s">
        <v>54</v>
      </c>
      <c r="AG8741" t="s">
        <v>52631</v>
      </c>
      <c r="AH8741" t="s">
        <v>52632</v>
      </c>
      <c r="AI8741" t="s">
        <v>52633</v>
      </c>
    </row>
    <row r="8742" spans="2:35" ht="345">
      <c r="B8742" s="1">
        <v>45001</v>
      </c>
      <c r="C8742" s="4">
        <v>45001.751388888886</v>
      </c>
      <c r="D8742" t="s">
        <v>2834</v>
      </c>
      <c r="E8742" t="s">
        <v>52627</v>
      </c>
      <c r="F8742">
        <v>11</v>
      </c>
      <c r="G8742" t="s">
        <v>2836</v>
      </c>
      <c r="H8742" t="s">
        <v>61</v>
      </c>
      <c r="I8742" t="s">
        <v>40</v>
      </c>
      <c r="J8742" t="s">
        <v>79</v>
      </c>
      <c r="K8742" t="s">
        <v>42</v>
      </c>
      <c r="L8742" t="s">
        <v>204</v>
      </c>
      <c r="Q8742">
        <v>23852</v>
      </c>
      <c r="R8742" t="s">
        <v>45</v>
      </c>
      <c r="S8742" t="s">
        <v>2837</v>
      </c>
      <c r="T8742">
        <v>23.6</v>
      </c>
      <c r="V8742" s="1">
        <v>45001</v>
      </c>
      <c r="W8742" t="s">
        <v>23237</v>
      </c>
      <c r="X8742">
        <v>834626</v>
      </c>
      <c r="Y8742" t="s">
        <v>52628</v>
      </c>
      <c r="Z8742" s="2" t="s">
        <v>52629</v>
      </c>
      <c r="AA8742" t="s">
        <v>12182</v>
      </c>
      <c r="AB8742" s="2" t="s">
        <v>52630</v>
      </c>
      <c r="AD8742" t="s">
        <v>10253</v>
      </c>
      <c r="AE8742" t="s">
        <v>54</v>
      </c>
      <c r="AG8742" t="s">
        <v>52634</v>
      </c>
      <c r="AH8742" t="s">
        <v>52632</v>
      </c>
      <c r="AI8742" t="s">
        <v>52635</v>
      </c>
    </row>
    <row r="8743" spans="2:35">
      <c r="B8743" s="1">
        <v>45001</v>
      </c>
      <c r="C8743" s="4">
        <v>45001.756249999999</v>
      </c>
      <c r="D8743" t="s">
        <v>2834</v>
      </c>
      <c r="E8743" t="s">
        <v>2835</v>
      </c>
      <c r="F8743">
        <v>11</v>
      </c>
      <c r="G8743" t="s">
        <v>2836</v>
      </c>
      <c r="H8743" t="s">
        <v>61</v>
      </c>
      <c r="I8743" t="s">
        <v>40</v>
      </c>
      <c r="J8743" t="s">
        <v>79</v>
      </c>
      <c r="K8743" t="s">
        <v>42</v>
      </c>
      <c r="L8743" t="s">
        <v>204</v>
      </c>
      <c r="Q8743">
        <v>23851</v>
      </c>
      <c r="R8743" t="s">
        <v>45</v>
      </c>
      <c r="S8743" t="s">
        <v>2837</v>
      </c>
      <c r="T8743">
        <v>23.5</v>
      </c>
      <c r="V8743" s="1">
        <v>45001</v>
      </c>
      <c r="W8743" t="s">
        <v>24154</v>
      </c>
      <c r="X8743">
        <v>834440</v>
      </c>
      <c r="Y8743" t="s">
        <v>31973</v>
      </c>
      <c r="Z8743" t="s">
        <v>52636</v>
      </c>
      <c r="AA8743" t="s">
        <v>12182</v>
      </c>
      <c r="AB8743" t="s">
        <v>9590</v>
      </c>
      <c r="AC8743" t="s">
        <v>52637</v>
      </c>
      <c r="AD8743" t="s">
        <v>10253</v>
      </c>
      <c r="AE8743" t="s">
        <v>1716</v>
      </c>
      <c r="AG8743" t="s">
        <v>52638</v>
      </c>
      <c r="AH8743" t="s">
        <v>52632</v>
      </c>
      <c r="AI8743" t="s">
        <v>52639</v>
      </c>
    </row>
    <row r="8744" spans="2:35" ht="409.5">
      <c r="B8744" s="1">
        <v>45001</v>
      </c>
      <c r="C8744" s="4">
        <v>45001.506249999999</v>
      </c>
      <c r="D8744" t="s">
        <v>26613</v>
      </c>
      <c r="E8744" t="s">
        <v>52640</v>
      </c>
      <c r="F8744">
        <v>1</v>
      </c>
      <c r="G8744" t="s">
        <v>1046</v>
      </c>
      <c r="H8744" t="s">
        <v>39</v>
      </c>
      <c r="I8744" t="s">
        <v>40</v>
      </c>
      <c r="J8744" s="2" t="s">
        <v>62</v>
      </c>
      <c r="K8744" t="s">
        <v>42</v>
      </c>
      <c r="L8744" t="s">
        <v>135</v>
      </c>
      <c r="Q8744">
        <v>23850</v>
      </c>
      <c r="R8744" t="s">
        <v>45</v>
      </c>
      <c r="S8744" t="s">
        <v>26615</v>
      </c>
      <c r="T8744">
        <v>27.5</v>
      </c>
      <c r="U8744" s="2" t="s">
        <v>52641</v>
      </c>
      <c r="V8744" s="1">
        <v>44994</v>
      </c>
      <c r="W8744" t="s">
        <v>2680</v>
      </c>
      <c r="X8744">
        <v>834684</v>
      </c>
      <c r="Y8744" t="s">
        <v>67</v>
      </c>
      <c r="Z8744" s="2" t="s">
        <v>28886</v>
      </c>
      <c r="AA8744" s="2" t="s">
        <v>31375</v>
      </c>
      <c r="AB8744" t="s">
        <v>52642</v>
      </c>
      <c r="AC8744" t="s">
        <v>52643</v>
      </c>
      <c r="AD8744" t="s">
        <v>52644</v>
      </c>
      <c r="AE8744">
        <v>39406</v>
      </c>
      <c r="AG8744" t="s">
        <v>52645</v>
      </c>
      <c r="AH8744" t="s">
        <v>26619</v>
      </c>
      <c r="AI8744" t="s">
        <v>52646</v>
      </c>
    </row>
    <row r="8745" spans="2:35">
      <c r="B8745" s="1">
        <v>45001</v>
      </c>
      <c r="C8745" s="4">
        <v>45001.649305555555</v>
      </c>
      <c r="D8745" t="s">
        <v>4112</v>
      </c>
      <c r="E8745" t="s">
        <v>52647</v>
      </c>
      <c r="F8745">
        <v>5</v>
      </c>
      <c r="G8745" t="s">
        <v>814</v>
      </c>
      <c r="H8745" t="s">
        <v>39</v>
      </c>
      <c r="I8745" t="s">
        <v>40</v>
      </c>
      <c r="J8745" t="s">
        <v>79</v>
      </c>
      <c r="K8745" t="s">
        <v>42</v>
      </c>
      <c r="L8745" t="s">
        <v>857</v>
      </c>
      <c r="Q8745">
        <v>23849</v>
      </c>
      <c r="R8745" t="s">
        <v>45</v>
      </c>
      <c r="S8745" t="s">
        <v>31206</v>
      </c>
      <c r="T8745">
        <v>24</v>
      </c>
      <c r="V8745" s="1">
        <v>44993</v>
      </c>
      <c r="W8745" t="s">
        <v>84</v>
      </c>
      <c r="X8745">
        <v>835214</v>
      </c>
      <c r="Y8745" t="s">
        <v>2034</v>
      </c>
      <c r="Z8745" t="s">
        <v>52648</v>
      </c>
      <c r="AA8745" t="s">
        <v>52649</v>
      </c>
      <c r="AB8745" t="s">
        <v>181</v>
      </c>
      <c r="AD8745" t="s">
        <v>10991</v>
      </c>
      <c r="AE8745" t="s">
        <v>45</v>
      </c>
      <c r="AG8745" t="s">
        <v>52650</v>
      </c>
      <c r="AH8745" t="s">
        <v>31210</v>
      </c>
      <c r="AI8745" t="s">
        <v>52651</v>
      </c>
    </row>
    <row r="8746" spans="2:35" ht="285">
      <c r="B8746" s="1">
        <v>45001</v>
      </c>
      <c r="C8746" s="4">
        <v>45001.613194444442</v>
      </c>
      <c r="D8746" t="s">
        <v>43734</v>
      </c>
      <c r="E8746" t="s">
        <v>43735</v>
      </c>
      <c r="F8746">
        <v>7</v>
      </c>
      <c r="G8746" t="s">
        <v>6529</v>
      </c>
      <c r="H8746" t="s">
        <v>10969</v>
      </c>
      <c r="I8746" t="s">
        <v>40</v>
      </c>
      <c r="J8746" t="s">
        <v>109</v>
      </c>
      <c r="K8746" t="s">
        <v>42</v>
      </c>
      <c r="L8746" t="s">
        <v>1288</v>
      </c>
      <c r="Q8746">
        <v>23848</v>
      </c>
      <c r="R8746" t="s">
        <v>119</v>
      </c>
      <c r="S8746" t="s">
        <v>30507</v>
      </c>
      <c r="T8746">
        <v>25</v>
      </c>
      <c r="U8746" s="2" t="s">
        <v>52652</v>
      </c>
      <c r="W8746" t="s">
        <v>1292</v>
      </c>
      <c r="X8746">
        <v>820228</v>
      </c>
      <c r="Y8746" t="s">
        <v>1529</v>
      </c>
      <c r="Z8746" t="s">
        <v>52653</v>
      </c>
      <c r="AA8746" t="s">
        <v>52654</v>
      </c>
      <c r="AB8746" t="s">
        <v>1293</v>
      </c>
      <c r="AC8746" t="s">
        <v>52655</v>
      </c>
      <c r="AG8746" t="s">
        <v>52656</v>
      </c>
      <c r="AH8746" t="s">
        <v>52657</v>
      </c>
      <c r="AI8746" t="s">
        <v>52658</v>
      </c>
    </row>
    <row r="8747" spans="2:35">
      <c r="B8747" s="1">
        <v>45001</v>
      </c>
      <c r="C8747" s="4">
        <v>45001.615972222222</v>
      </c>
      <c r="D8747" t="s">
        <v>2834</v>
      </c>
      <c r="E8747" t="s">
        <v>2835</v>
      </c>
      <c r="F8747">
        <v>11</v>
      </c>
      <c r="G8747" t="s">
        <v>2836</v>
      </c>
      <c r="H8747" t="s">
        <v>47497</v>
      </c>
      <c r="I8747" t="s">
        <v>94</v>
      </c>
      <c r="J8747" t="s">
        <v>109</v>
      </c>
      <c r="K8747" t="s">
        <v>8838</v>
      </c>
      <c r="L8747" t="s">
        <v>204</v>
      </c>
      <c r="Q8747">
        <v>23846</v>
      </c>
      <c r="R8747" t="s">
        <v>95</v>
      </c>
      <c r="S8747" t="s">
        <v>47489</v>
      </c>
      <c r="T8747">
        <v>23</v>
      </c>
      <c r="W8747" t="s">
        <v>52659</v>
      </c>
      <c r="X8747">
        <v>11263</v>
      </c>
      <c r="Y8747" t="s">
        <v>1052</v>
      </c>
      <c r="Z8747" t="s">
        <v>52660</v>
      </c>
      <c r="AA8747" t="s">
        <v>2551</v>
      </c>
      <c r="AB8747" t="s">
        <v>52661</v>
      </c>
      <c r="AG8747" t="s">
        <v>52662</v>
      </c>
      <c r="AH8747" t="s">
        <v>52663</v>
      </c>
      <c r="AI8747" t="s">
        <v>52664</v>
      </c>
    </row>
    <row r="8748" spans="2:35" ht="285">
      <c r="B8748" s="1">
        <v>45001</v>
      </c>
      <c r="C8748" s="4">
        <v>45001.586111111108</v>
      </c>
      <c r="D8748" t="s">
        <v>43734</v>
      </c>
      <c r="E8748" t="s">
        <v>43735</v>
      </c>
      <c r="F8748">
        <v>7</v>
      </c>
      <c r="G8748" t="s">
        <v>6529</v>
      </c>
      <c r="H8748" t="s">
        <v>10969</v>
      </c>
      <c r="I8748" t="s">
        <v>40</v>
      </c>
      <c r="J8748" s="2" t="s">
        <v>41</v>
      </c>
      <c r="K8748" t="s">
        <v>42</v>
      </c>
      <c r="L8748" t="s">
        <v>1288</v>
      </c>
      <c r="Q8748">
        <v>23845</v>
      </c>
      <c r="R8748" t="s">
        <v>45</v>
      </c>
      <c r="S8748" t="s">
        <v>30507</v>
      </c>
      <c r="T8748">
        <v>25</v>
      </c>
      <c r="U8748" s="2" t="s">
        <v>52665</v>
      </c>
      <c r="W8748" t="s">
        <v>1292</v>
      </c>
      <c r="X8748">
        <v>838878</v>
      </c>
      <c r="Y8748" t="s">
        <v>36352</v>
      </c>
      <c r="Z8748" t="e">
        <f ca="1">-COLLECT IQR,system _xludf.Log _xludf.and ARCHIVE</f>
        <v>#NAME?</v>
      </c>
      <c r="AA8748" s="2" t="s">
        <v>52666</v>
      </c>
      <c r="AB8748" t="s">
        <v>1293</v>
      </c>
      <c r="AG8748" t="s">
        <v>52667</v>
      </c>
      <c r="AH8748" t="s">
        <v>36402</v>
      </c>
      <c r="AI8748" t="s">
        <v>52668</v>
      </c>
    </row>
    <row r="8749" spans="2:35">
      <c r="B8749" s="1">
        <v>45001</v>
      </c>
      <c r="C8749" s="4">
        <v>45001.54583333333</v>
      </c>
      <c r="D8749" t="s">
        <v>36174</v>
      </c>
      <c r="E8749" t="s">
        <v>52669</v>
      </c>
      <c r="F8749">
        <v>5</v>
      </c>
      <c r="G8749" t="s">
        <v>814</v>
      </c>
      <c r="H8749" t="s">
        <v>39</v>
      </c>
      <c r="I8749" t="s">
        <v>40</v>
      </c>
      <c r="J8749" t="s">
        <v>79</v>
      </c>
      <c r="K8749" t="s">
        <v>42</v>
      </c>
      <c r="L8749" t="s">
        <v>857</v>
      </c>
      <c r="Q8749">
        <v>23844</v>
      </c>
      <c r="R8749" t="s">
        <v>45</v>
      </c>
      <c r="S8749" t="s">
        <v>52670</v>
      </c>
      <c r="T8749">
        <v>26</v>
      </c>
      <c r="V8749" s="1">
        <v>44993</v>
      </c>
      <c r="W8749" t="s">
        <v>84</v>
      </c>
      <c r="X8749">
        <v>835197</v>
      </c>
      <c r="Y8749" t="s">
        <v>8731</v>
      </c>
      <c r="Z8749" t="s">
        <v>52671</v>
      </c>
      <c r="AA8749" t="s">
        <v>52672</v>
      </c>
      <c r="AB8749" t="s">
        <v>181</v>
      </c>
      <c r="AD8749" t="s">
        <v>52673</v>
      </c>
      <c r="AE8749" t="s">
        <v>45</v>
      </c>
      <c r="AG8749" t="s">
        <v>52674</v>
      </c>
      <c r="AH8749" t="s">
        <v>36181</v>
      </c>
      <c r="AI8749" t="s">
        <v>52675</v>
      </c>
    </row>
    <row r="8750" spans="2:35" ht="180">
      <c r="B8750" s="1">
        <v>45001</v>
      </c>
      <c r="C8750" s="4">
        <v>45001.497916666667</v>
      </c>
      <c r="D8750" t="s">
        <v>24983</v>
      </c>
      <c r="E8750" t="s">
        <v>24984</v>
      </c>
      <c r="F8750">
        <v>8</v>
      </c>
      <c r="G8750" t="s">
        <v>257</v>
      </c>
      <c r="H8750" t="s">
        <v>202</v>
      </c>
      <c r="I8750" t="s">
        <v>40</v>
      </c>
      <c r="J8750" s="2" t="s">
        <v>190</v>
      </c>
      <c r="K8750" t="s">
        <v>42</v>
      </c>
      <c r="L8750" t="s">
        <v>259</v>
      </c>
      <c r="Q8750">
        <v>23843</v>
      </c>
      <c r="R8750" t="s">
        <v>45</v>
      </c>
      <c r="S8750" t="s">
        <v>47805</v>
      </c>
      <c r="T8750">
        <v>27</v>
      </c>
      <c r="U8750" s="2" t="s">
        <v>52676</v>
      </c>
      <c r="V8750" s="1">
        <v>45001</v>
      </c>
      <c r="W8750" t="s">
        <v>84</v>
      </c>
      <c r="X8750">
        <v>808291</v>
      </c>
      <c r="Y8750" t="s">
        <v>7765</v>
      </c>
      <c r="Z8750" t="e">
        <f ca="1">- Check CPU
- Check the wire connection
- Reset VGA _xludf.and _xludf.Power _xludf.input
- Connect to other monitor (display successfully turn on)
- performed Preventive Maintenance
- performed functionality test
- Generate reports</f>
        <v>#NAME?</v>
      </c>
      <c r="AA8750" t="e">
        <f ca="1">- Troubleshooting
- Preventive Maintenance</f>
        <v>#NAME?</v>
      </c>
      <c r="AB8750" t="e">
        <f ca="1">- Unit is operational
 - module C2 disabled (multiple temperature _xludf.error)</f>
        <v>#NAME?</v>
      </c>
      <c r="AC8750" t="s">
        <v>52677</v>
      </c>
      <c r="AG8750" t="s">
        <v>52678</v>
      </c>
      <c r="AH8750" t="s">
        <v>52679</v>
      </c>
      <c r="AI8750" t="s">
        <v>52680</v>
      </c>
    </row>
    <row r="8751" spans="2:35" ht="409.5">
      <c r="B8751" s="1">
        <v>45001</v>
      </c>
      <c r="C8751" s="4">
        <v>45001.506249999999</v>
      </c>
      <c r="D8751" t="s">
        <v>26613</v>
      </c>
      <c r="E8751" t="s">
        <v>52640</v>
      </c>
      <c r="F8751">
        <v>1</v>
      </c>
      <c r="G8751" t="s">
        <v>1046</v>
      </c>
      <c r="H8751" t="s">
        <v>39</v>
      </c>
      <c r="I8751" t="s">
        <v>40</v>
      </c>
      <c r="J8751" s="2" t="s">
        <v>62</v>
      </c>
      <c r="K8751" t="s">
        <v>42</v>
      </c>
      <c r="L8751" t="s">
        <v>135</v>
      </c>
      <c r="Q8751">
        <v>23842</v>
      </c>
      <c r="R8751" t="s">
        <v>45</v>
      </c>
      <c r="S8751" t="s">
        <v>26615</v>
      </c>
      <c r="T8751">
        <v>27.5</v>
      </c>
      <c r="U8751" s="2" t="s">
        <v>52641</v>
      </c>
      <c r="V8751" s="1">
        <v>44994</v>
      </c>
      <c r="W8751" t="s">
        <v>2680</v>
      </c>
      <c r="X8751">
        <v>834684</v>
      </c>
      <c r="Y8751" t="s">
        <v>67</v>
      </c>
      <c r="Z8751" s="2" t="s">
        <v>28886</v>
      </c>
      <c r="AA8751" s="2" t="s">
        <v>31375</v>
      </c>
      <c r="AB8751" t="s">
        <v>52642</v>
      </c>
      <c r="AC8751" t="s">
        <v>52643</v>
      </c>
      <c r="AD8751" t="s">
        <v>52644</v>
      </c>
      <c r="AE8751">
        <v>39406</v>
      </c>
      <c r="AG8751" t="s">
        <v>52681</v>
      </c>
      <c r="AH8751" t="s">
        <v>26619</v>
      </c>
      <c r="AI8751" t="s">
        <v>52682</v>
      </c>
    </row>
    <row r="8752" spans="2:35" ht="180">
      <c r="B8752" s="1">
        <v>45001</v>
      </c>
      <c r="C8752" s="4">
        <v>45001.474999999999</v>
      </c>
      <c r="D8752" t="s">
        <v>26013</v>
      </c>
      <c r="E8752" t="s">
        <v>8124</v>
      </c>
      <c r="F8752">
        <v>13</v>
      </c>
      <c r="G8752" t="s">
        <v>4484</v>
      </c>
      <c r="H8752" t="s">
        <v>2125</v>
      </c>
      <c r="I8752" t="s">
        <v>40</v>
      </c>
      <c r="J8752" t="s">
        <v>79</v>
      </c>
      <c r="K8752" t="s">
        <v>42</v>
      </c>
      <c r="L8752" t="s">
        <v>933</v>
      </c>
      <c r="Q8752">
        <v>23841</v>
      </c>
      <c r="R8752" t="s">
        <v>45</v>
      </c>
      <c r="S8752" t="s">
        <v>26014</v>
      </c>
      <c r="T8752">
        <v>25.4</v>
      </c>
      <c r="U8752" s="2" t="s">
        <v>52683</v>
      </c>
      <c r="W8752" t="s">
        <v>3662</v>
      </c>
      <c r="X8752">
        <v>807461</v>
      </c>
      <c r="Y8752" t="s">
        <v>301</v>
      </c>
      <c r="Z8752" t="s">
        <v>301</v>
      </c>
      <c r="AA8752" t="s">
        <v>52684</v>
      </c>
      <c r="AB8752" t="s">
        <v>43442</v>
      </c>
      <c r="AG8752" t="s">
        <v>52685</v>
      </c>
      <c r="AH8752" t="s">
        <v>26017</v>
      </c>
      <c r="AI8752" t="s">
        <v>52686</v>
      </c>
    </row>
    <row r="8753" spans="2:35" ht="255">
      <c r="B8753" s="1">
        <v>45001</v>
      </c>
      <c r="C8753" s="4">
        <v>45001.432638888888</v>
      </c>
      <c r="D8753" t="s">
        <v>22964</v>
      </c>
      <c r="E8753" t="s">
        <v>52687</v>
      </c>
      <c r="F8753">
        <v>12</v>
      </c>
      <c r="G8753" t="s">
        <v>2137</v>
      </c>
      <c r="H8753" t="s">
        <v>39</v>
      </c>
      <c r="I8753" t="s">
        <v>94</v>
      </c>
      <c r="J8753" s="2" t="s">
        <v>41</v>
      </c>
      <c r="K8753" t="s">
        <v>42</v>
      </c>
      <c r="L8753" t="s">
        <v>296</v>
      </c>
      <c r="Q8753">
        <v>23840</v>
      </c>
      <c r="R8753" t="s">
        <v>45</v>
      </c>
      <c r="S8753" t="s">
        <v>22966</v>
      </c>
      <c r="T8753">
        <v>28</v>
      </c>
      <c r="U8753" s="2" t="s">
        <v>44811</v>
      </c>
      <c r="V8753" s="1">
        <v>45001</v>
      </c>
      <c r="W8753" t="s">
        <v>23049</v>
      </c>
      <c r="X8753">
        <v>815434</v>
      </c>
      <c r="Y8753" t="s">
        <v>30720</v>
      </c>
      <c r="Z8753" s="2" t="s">
        <v>52688</v>
      </c>
      <c r="AA8753" s="2" t="s">
        <v>52688</v>
      </c>
      <c r="AB8753" t="s">
        <v>972</v>
      </c>
      <c r="AD8753" t="s">
        <v>22232</v>
      </c>
      <c r="AE8753" t="s">
        <v>10783</v>
      </c>
      <c r="AG8753" t="s">
        <v>52689</v>
      </c>
      <c r="AH8753" t="s">
        <v>52690</v>
      </c>
      <c r="AI8753" t="s">
        <v>52691</v>
      </c>
    </row>
    <row r="8754" spans="2:35">
      <c r="B8754" s="1">
        <v>45001</v>
      </c>
      <c r="C8754" s="4">
        <v>45001.461111111108</v>
      </c>
      <c r="D8754" t="s">
        <v>1412</v>
      </c>
      <c r="E8754" t="s">
        <v>52692</v>
      </c>
      <c r="F8754">
        <v>5</v>
      </c>
      <c r="G8754" t="s">
        <v>814</v>
      </c>
      <c r="H8754" t="s">
        <v>39</v>
      </c>
      <c r="I8754" t="s">
        <v>40</v>
      </c>
      <c r="J8754" t="s">
        <v>79</v>
      </c>
      <c r="K8754" t="s">
        <v>42</v>
      </c>
      <c r="L8754" t="s">
        <v>857</v>
      </c>
      <c r="Q8754">
        <v>23839</v>
      </c>
      <c r="R8754" t="s">
        <v>119</v>
      </c>
      <c r="S8754" t="s">
        <v>1414</v>
      </c>
      <c r="T8754">
        <v>28</v>
      </c>
      <c r="V8754" s="1">
        <v>44993</v>
      </c>
      <c r="W8754" t="s">
        <v>84</v>
      </c>
      <c r="X8754">
        <v>807983</v>
      </c>
      <c r="Y8754" t="s">
        <v>2165</v>
      </c>
      <c r="Z8754" t="s">
        <v>52693</v>
      </c>
      <c r="AA8754" t="s">
        <v>52694</v>
      </c>
      <c r="AB8754" t="s">
        <v>181</v>
      </c>
      <c r="AD8754" t="s">
        <v>52673</v>
      </c>
      <c r="AE8754" t="s">
        <v>45</v>
      </c>
      <c r="AG8754" t="s">
        <v>52695</v>
      </c>
      <c r="AH8754" t="s">
        <v>24585</v>
      </c>
      <c r="AI8754" t="s">
        <v>52696</v>
      </c>
    </row>
    <row r="8755" spans="2:35" ht="285">
      <c r="B8755" s="1">
        <v>45001</v>
      </c>
      <c r="C8755" s="4">
        <v>45001.435416666667</v>
      </c>
      <c r="D8755" t="s">
        <v>39742</v>
      </c>
      <c r="E8755" t="s">
        <v>23296</v>
      </c>
      <c r="F8755">
        <v>3</v>
      </c>
      <c r="G8755" t="s">
        <v>174</v>
      </c>
      <c r="H8755" t="s">
        <v>39</v>
      </c>
      <c r="I8755" t="s">
        <v>40</v>
      </c>
      <c r="J8755" s="2" t="s">
        <v>190</v>
      </c>
      <c r="K8755" t="s">
        <v>42</v>
      </c>
      <c r="L8755" t="s">
        <v>175</v>
      </c>
      <c r="Q8755">
        <v>23838</v>
      </c>
      <c r="R8755" t="s">
        <v>45</v>
      </c>
      <c r="S8755" t="s">
        <v>23297</v>
      </c>
      <c r="T8755">
        <v>25</v>
      </c>
      <c r="U8755" s="2" t="s">
        <v>52697</v>
      </c>
      <c r="W8755" t="s">
        <v>84</v>
      </c>
      <c r="X8755">
        <v>814165</v>
      </c>
      <c r="Y8755" t="s">
        <v>52698</v>
      </c>
      <c r="Z8755" t="e">
        <f ca="1">- checked _xludf.and cleaned cartridge bay, plunger rod, _xludf.filter
- checked system _xludf.Log
- generated reports</f>
        <v>#NAME?</v>
      </c>
      <c r="AA8755" t="e">
        <f ca="1">- checked system _xludf.Log
- performed Maintenance</f>
        <v>#NAME?</v>
      </c>
      <c r="AB8755" s="2" t="s">
        <v>52699</v>
      </c>
      <c r="AG8755" t="s">
        <v>52700</v>
      </c>
      <c r="AH8755" t="s">
        <v>52701</v>
      </c>
      <c r="AI8755" t="s">
        <v>52702</v>
      </c>
    </row>
    <row r="8756" spans="2:35" ht="105">
      <c r="B8756" s="1">
        <v>45001</v>
      </c>
      <c r="C8756" s="4">
        <v>45001.424305555556</v>
      </c>
      <c r="D8756" t="s">
        <v>11901</v>
      </c>
      <c r="E8756" t="s">
        <v>7772</v>
      </c>
      <c r="F8756">
        <v>6</v>
      </c>
      <c r="G8756" t="s">
        <v>1234</v>
      </c>
      <c r="H8756" t="s">
        <v>39</v>
      </c>
      <c r="I8756" t="s">
        <v>40</v>
      </c>
      <c r="J8756" s="2" t="s">
        <v>220</v>
      </c>
      <c r="K8756" t="s">
        <v>42</v>
      </c>
      <c r="L8756" t="s">
        <v>433</v>
      </c>
      <c r="Q8756">
        <v>23837</v>
      </c>
      <c r="R8756" t="s">
        <v>45</v>
      </c>
      <c r="S8756" t="s">
        <v>34236</v>
      </c>
      <c r="T8756">
        <v>29</v>
      </c>
      <c r="U8756" s="2" t="s">
        <v>52703</v>
      </c>
      <c r="W8756" t="s">
        <v>6776</v>
      </c>
      <c r="X8756">
        <v>804267</v>
      </c>
      <c r="Y8756" t="s">
        <v>52704</v>
      </c>
      <c r="Z8756" t="s">
        <v>43863</v>
      </c>
      <c r="AA8756" t="s">
        <v>52705</v>
      </c>
      <c r="AB8756" t="s">
        <v>1011</v>
      </c>
      <c r="AG8756" t="s">
        <v>52706</v>
      </c>
      <c r="AH8756" t="s">
        <v>29197</v>
      </c>
      <c r="AI8756" t="s">
        <v>52707</v>
      </c>
    </row>
    <row r="8757" spans="2:35" ht="409.5">
      <c r="B8757" s="1">
        <v>45001</v>
      </c>
      <c r="C8757" s="4">
        <v>45001.375694444447</v>
      </c>
      <c r="D8757" t="s">
        <v>42394</v>
      </c>
      <c r="E8757" t="s">
        <v>42395</v>
      </c>
      <c r="F8757">
        <v>6</v>
      </c>
      <c r="G8757" t="s">
        <v>1234</v>
      </c>
      <c r="H8757" t="s">
        <v>39</v>
      </c>
      <c r="I8757" t="s">
        <v>94</v>
      </c>
      <c r="J8757" t="s">
        <v>79</v>
      </c>
      <c r="K8757" t="s">
        <v>42</v>
      </c>
      <c r="L8757" t="s">
        <v>270</v>
      </c>
      <c r="Q8757">
        <v>23836</v>
      </c>
      <c r="R8757" t="s">
        <v>45</v>
      </c>
      <c r="S8757" t="s">
        <v>42396</v>
      </c>
      <c r="T8757">
        <v>26</v>
      </c>
      <c r="U8757" s="2" t="s">
        <v>52708</v>
      </c>
      <c r="W8757" t="s">
        <v>1292</v>
      </c>
      <c r="X8757">
        <v>807594</v>
      </c>
      <c r="Y8757" t="s">
        <v>52709</v>
      </c>
      <c r="Z8757" t="s">
        <v>40723</v>
      </c>
      <c r="AA8757" s="2" t="s">
        <v>52710</v>
      </c>
      <c r="AB8757" t="s">
        <v>52711</v>
      </c>
      <c r="AG8757" t="s">
        <v>52712</v>
      </c>
      <c r="AH8757" t="s">
        <v>52713</v>
      </c>
      <c r="AI8757" t="s">
        <v>52714</v>
      </c>
    </row>
    <row r="8758" spans="2:35" ht="180">
      <c r="B8758" s="1">
        <v>45001</v>
      </c>
      <c r="C8758" s="4">
        <v>45001.370138888888</v>
      </c>
      <c r="D8758" t="s">
        <v>8067</v>
      </c>
      <c r="E8758" t="s">
        <v>8068</v>
      </c>
      <c r="F8758">
        <v>8</v>
      </c>
      <c r="G8758" t="s">
        <v>257</v>
      </c>
      <c r="H8758" t="s">
        <v>22505</v>
      </c>
      <c r="I8758" t="s">
        <v>40</v>
      </c>
      <c r="J8758" t="s">
        <v>109</v>
      </c>
      <c r="K8758" t="s">
        <v>42</v>
      </c>
      <c r="L8758" t="s">
        <v>259</v>
      </c>
      <c r="Q8758">
        <v>23835</v>
      </c>
      <c r="R8758" t="s">
        <v>119</v>
      </c>
      <c r="S8758" t="s">
        <v>9419</v>
      </c>
      <c r="T8758">
        <v>25</v>
      </c>
      <c r="U8758" s="2" t="s">
        <v>52715</v>
      </c>
      <c r="V8758" s="1">
        <v>45001</v>
      </c>
      <c r="W8758" t="s">
        <v>84</v>
      </c>
      <c r="X8758">
        <v>838406</v>
      </c>
      <c r="Y8758" t="s">
        <v>263</v>
      </c>
      <c r="Z8758" t="e">
        <f ca="1">-performed Preventive Maintenance
-Generate reports</f>
        <v>#NAME?</v>
      </c>
      <c r="AA8758" t="e">
        <f ca="1">-Preventive Maintenance</f>
        <v>#NAME?</v>
      </c>
      <c r="AB8758" t="e">
        <f ca="1">-Unit is operational
- module B3 disabled (waiting _xludf.For module Replacement)</f>
        <v>#NAME?</v>
      </c>
      <c r="AG8758" t="s">
        <v>52716</v>
      </c>
      <c r="AH8758" t="s">
        <v>52717</v>
      </c>
      <c r="AI8758" t="s">
        <v>52718</v>
      </c>
    </row>
    <row r="8759" spans="2:35" ht="180">
      <c r="B8759" s="1">
        <v>45001</v>
      </c>
      <c r="C8759" s="4">
        <v>45000.376388888886</v>
      </c>
      <c r="D8759" t="s">
        <v>255</v>
      </c>
      <c r="E8759" t="s">
        <v>52719</v>
      </c>
      <c r="F8759">
        <v>8</v>
      </c>
      <c r="G8759" t="s">
        <v>257</v>
      </c>
      <c r="H8759" t="s">
        <v>39</v>
      </c>
      <c r="I8759" t="s">
        <v>40</v>
      </c>
      <c r="J8759" s="2" t="s">
        <v>62</v>
      </c>
      <c r="K8759" t="s">
        <v>42</v>
      </c>
      <c r="L8759" t="s">
        <v>259</v>
      </c>
      <c r="Q8759">
        <v>23833</v>
      </c>
      <c r="R8759" t="s">
        <v>45</v>
      </c>
      <c r="S8759" t="s">
        <v>261</v>
      </c>
      <c r="T8759">
        <v>27</v>
      </c>
      <c r="U8759" s="2" t="s">
        <v>52720</v>
      </c>
      <c r="V8759" s="1">
        <v>45000</v>
      </c>
      <c r="W8759" t="s">
        <v>35955</v>
      </c>
      <c r="X8759">
        <v>834824</v>
      </c>
      <c r="Y8759" t="s">
        <v>52721</v>
      </c>
      <c r="Z8759" t="e">
        <f ca="1">-performed XpertCheck (B1 _xludf.and B2)
-performed Preventive Maintenance
-performed functionality test
-Generate reports</f>
        <v>#NAME?</v>
      </c>
      <c r="AA8759" t="e">
        <f ca="1">-CALIBRATION
-Preventive Maintenance</f>
        <v>#NAME?</v>
      </c>
      <c r="AB8759" t="s">
        <v>70</v>
      </c>
      <c r="AC8759" t="s">
        <v>52722</v>
      </c>
      <c r="AD8759" t="s">
        <v>39510</v>
      </c>
      <c r="AE8759" t="s">
        <v>52069</v>
      </c>
      <c r="AG8759" t="s">
        <v>52723</v>
      </c>
      <c r="AH8759" t="s">
        <v>52724</v>
      </c>
      <c r="AI8759" t="s">
        <v>52725</v>
      </c>
    </row>
    <row r="8760" spans="2:35" ht="180">
      <c r="B8760" s="1">
        <v>45001</v>
      </c>
      <c r="C8760" s="4">
        <v>45000.636805555558</v>
      </c>
      <c r="D8760" t="s">
        <v>1713</v>
      </c>
      <c r="E8760" t="s">
        <v>52110</v>
      </c>
      <c r="F8760">
        <v>8</v>
      </c>
      <c r="G8760" t="s">
        <v>257</v>
      </c>
      <c r="H8760" t="s">
        <v>39</v>
      </c>
      <c r="I8760" t="s">
        <v>40</v>
      </c>
      <c r="J8760" t="s">
        <v>109</v>
      </c>
      <c r="K8760" t="s">
        <v>42</v>
      </c>
      <c r="L8760" t="s">
        <v>259</v>
      </c>
      <c r="Q8760">
        <v>23834</v>
      </c>
      <c r="R8760" t="s">
        <v>45</v>
      </c>
      <c r="S8760" t="s">
        <v>48276</v>
      </c>
      <c r="T8760">
        <v>30</v>
      </c>
      <c r="U8760" s="2" t="s">
        <v>52726</v>
      </c>
      <c r="V8760" s="1">
        <v>45000</v>
      </c>
      <c r="W8760" t="s">
        <v>84</v>
      </c>
      <c r="X8760">
        <v>804265</v>
      </c>
      <c r="Y8760" t="s">
        <v>52727</v>
      </c>
      <c r="Z8760" t="e">
        <f ca="1">-performed Preventive Maintenance
-performed functionality test
-Generate reports</f>
        <v>#NAME?</v>
      </c>
      <c r="AA8760" t="e">
        <f ca="1">-Preventive Maintenance</f>
        <v>#NAME?</v>
      </c>
      <c r="AB8760" t="s">
        <v>50676</v>
      </c>
      <c r="AG8760" t="s">
        <v>52728</v>
      </c>
      <c r="AH8760" t="s">
        <v>52729</v>
      </c>
      <c r="AI8760" t="s">
        <v>52730</v>
      </c>
    </row>
    <row r="8761" spans="2:35" ht="409.5">
      <c r="B8761" s="1">
        <v>45000</v>
      </c>
      <c r="C8761" s="4">
        <v>45000.661805555559</v>
      </c>
      <c r="D8761" t="s">
        <v>1044</v>
      </c>
      <c r="E8761" t="s">
        <v>52731</v>
      </c>
      <c r="F8761">
        <v>1</v>
      </c>
      <c r="G8761" t="s">
        <v>1046</v>
      </c>
      <c r="H8761" t="s">
        <v>39</v>
      </c>
      <c r="I8761" t="s">
        <v>40</v>
      </c>
      <c r="J8761" s="2" t="s">
        <v>41</v>
      </c>
      <c r="K8761" t="s">
        <v>42</v>
      </c>
      <c r="L8761" t="s">
        <v>175</v>
      </c>
      <c r="Q8761">
        <v>23832</v>
      </c>
      <c r="R8761" t="s">
        <v>45</v>
      </c>
      <c r="S8761" t="s">
        <v>1050</v>
      </c>
      <c r="T8761">
        <v>25</v>
      </c>
      <c r="U8761" s="2" t="s">
        <v>52732</v>
      </c>
      <c r="W8761" t="s">
        <v>84</v>
      </c>
      <c r="X8761">
        <v>812830</v>
      </c>
      <c r="Y8761" t="s">
        <v>52733</v>
      </c>
      <c r="Z8761" s="2" t="s">
        <v>52734</v>
      </c>
      <c r="AA8761" s="2" t="s">
        <v>52735</v>
      </c>
      <c r="AB8761" t="s">
        <v>88</v>
      </c>
      <c r="AG8761" t="s">
        <v>52736</v>
      </c>
      <c r="AH8761" t="s">
        <v>52737</v>
      </c>
      <c r="AI8761" t="s">
        <v>52738</v>
      </c>
    </row>
    <row r="8762" spans="2:35" ht="180">
      <c r="B8762" s="1">
        <v>45000</v>
      </c>
      <c r="C8762" s="4">
        <v>44999.595833333333</v>
      </c>
      <c r="D8762" t="s">
        <v>42431</v>
      </c>
      <c r="E8762" t="s">
        <v>52620</v>
      </c>
      <c r="F8762" t="s">
        <v>148</v>
      </c>
      <c r="G8762" t="s">
        <v>447</v>
      </c>
      <c r="H8762" t="s">
        <v>50426</v>
      </c>
      <c r="I8762" t="s">
        <v>40</v>
      </c>
      <c r="J8762" s="2" t="s">
        <v>41</v>
      </c>
      <c r="K8762" t="s">
        <v>42</v>
      </c>
      <c r="L8762" t="s">
        <v>448</v>
      </c>
      <c r="Q8762">
        <v>23831</v>
      </c>
      <c r="R8762" t="s">
        <v>45</v>
      </c>
      <c r="S8762" t="s">
        <v>52604</v>
      </c>
      <c r="T8762">
        <v>29</v>
      </c>
      <c r="U8762" s="2" t="s">
        <v>52621</v>
      </c>
      <c r="V8762" s="1">
        <v>44999</v>
      </c>
      <c r="W8762" t="s">
        <v>360</v>
      </c>
      <c r="X8762">
        <v>707450</v>
      </c>
      <c r="Y8762" t="s">
        <v>52622</v>
      </c>
      <c r="Z8762" t="s">
        <v>52623</v>
      </c>
      <c r="AA8762" t="s">
        <v>20643</v>
      </c>
      <c r="AB8762" t="s">
        <v>486</v>
      </c>
      <c r="AD8762" t="s">
        <v>52624</v>
      </c>
      <c r="AE8762">
        <v>0</v>
      </c>
      <c r="AG8762" t="s">
        <v>52739</v>
      </c>
      <c r="AH8762" t="s">
        <v>52609</v>
      </c>
      <c r="AI8762" t="s">
        <v>52740</v>
      </c>
    </row>
    <row r="8763" spans="2:35" ht="135">
      <c r="B8763" s="1">
        <v>45000</v>
      </c>
      <c r="C8763" s="4">
        <v>44999.609027777777</v>
      </c>
      <c r="D8763" t="s">
        <v>42431</v>
      </c>
      <c r="E8763" t="s">
        <v>48268</v>
      </c>
      <c r="F8763" t="s">
        <v>148</v>
      </c>
      <c r="G8763" t="s">
        <v>447</v>
      </c>
      <c r="H8763" t="s">
        <v>52603</v>
      </c>
      <c r="I8763" t="s">
        <v>40</v>
      </c>
      <c r="J8763" s="2" t="s">
        <v>41</v>
      </c>
      <c r="K8763" t="s">
        <v>42</v>
      </c>
      <c r="L8763" t="s">
        <v>448</v>
      </c>
      <c r="Q8763">
        <v>23830</v>
      </c>
      <c r="R8763" t="s">
        <v>45</v>
      </c>
      <c r="S8763" t="s">
        <v>52604</v>
      </c>
      <c r="T8763">
        <v>27</v>
      </c>
      <c r="U8763" s="2" t="s">
        <v>52605</v>
      </c>
      <c r="V8763" s="1">
        <v>44999</v>
      </c>
      <c r="W8763" t="s">
        <v>360</v>
      </c>
      <c r="X8763">
        <v>704584</v>
      </c>
      <c r="Y8763" t="s">
        <v>52606</v>
      </c>
      <c r="Z8763" t="s">
        <v>52522</v>
      </c>
      <c r="AA8763" t="s">
        <v>20643</v>
      </c>
      <c r="AB8763" t="s">
        <v>52607</v>
      </c>
      <c r="AD8763" t="s">
        <v>50911</v>
      </c>
      <c r="AE8763">
        <v>0</v>
      </c>
      <c r="AG8763" t="s">
        <v>52741</v>
      </c>
      <c r="AH8763" t="s">
        <v>52609</v>
      </c>
      <c r="AI8763" t="s">
        <v>52742</v>
      </c>
    </row>
    <row r="8764" spans="2:35" ht="240">
      <c r="B8764" s="1">
        <v>45000</v>
      </c>
      <c r="C8764" s="4">
        <v>45000.512499999997</v>
      </c>
      <c r="D8764" t="s">
        <v>52611</v>
      </c>
      <c r="E8764" t="s">
        <v>52612</v>
      </c>
      <c r="F8764" t="s">
        <v>148</v>
      </c>
      <c r="G8764" t="s">
        <v>447</v>
      </c>
      <c r="H8764" t="s">
        <v>39</v>
      </c>
      <c r="I8764" t="s">
        <v>40</v>
      </c>
      <c r="J8764" s="2" t="s">
        <v>41</v>
      </c>
      <c r="K8764" t="s">
        <v>42</v>
      </c>
      <c r="L8764" t="s">
        <v>448</v>
      </c>
      <c r="Q8764">
        <v>23829</v>
      </c>
      <c r="R8764" t="s">
        <v>322</v>
      </c>
      <c r="S8764" t="s">
        <v>42299</v>
      </c>
      <c r="T8764">
        <v>24</v>
      </c>
      <c r="U8764" s="2" t="s">
        <v>52613</v>
      </c>
      <c r="V8764" s="1">
        <v>44999</v>
      </c>
      <c r="W8764" t="s">
        <v>52614</v>
      </c>
      <c r="X8764">
        <v>110001650</v>
      </c>
      <c r="Y8764" t="s">
        <v>52615</v>
      </c>
      <c r="Z8764" t="s">
        <v>50837</v>
      </c>
      <c r="AA8764" t="s">
        <v>5712</v>
      </c>
      <c r="AB8764" t="s">
        <v>486</v>
      </c>
      <c r="AD8764" t="s">
        <v>52616</v>
      </c>
      <c r="AE8764">
        <v>9691</v>
      </c>
      <c r="AG8764" t="s">
        <v>52743</v>
      </c>
      <c r="AH8764" t="s">
        <v>52618</v>
      </c>
      <c r="AI8764" t="s">
        <v>52744</v>
      </c>
    </row>
    <row r="8765" spans="2:35" ht="330">
      <c r="B8765" s="1">
        <v>45000</v>
      </c>
      <c r="C8765" s="4">
        <v>45000.6</v>
      </c>
      <c r="D8765" t="s">
        <v>52595</v>
      </c>
      <c r="E8765" t="s">
        <v>52596</v>
      </c>
      <c r="F8765" t="s">
        <v>148</v>
      </c>
      <c r="G8765" t="s">
        <v>447</v>
      </c>
      <c r="H8765" t="s">
        <v>39</v>
      </c>
      <c r="I8765" t="s">
        <v>40</v>
      </c>
      <c r="J8765" t="s">
        <v>79</v>
      </c>
      <c r="K8765" t="s">
        <v>42</v>
      </c>
      <c r="L8765" t="s">
        <v>448</v>
      </c>
      <c r="Q8765">
        <v>23828</v>
      </c>
      <c r="R8765" t="s">
        <v>119</v>
      </c>
      <c r="S8765" t="s">
        <v>18441</v>
      </c>
      <c r="T8765">
        <v>29</v>
      </c>
      <c r="U8765" s="2" t="s">
        <v>52597</v>
      </c>
      <c r="V8765" s="1">
        <v>44998</v>
      </c>
      <c r="W8765" t="s">
        <v>360</v>
      </c>
      <c r="X8765">
        <v>831848</v>
      </c>
      <c r="Y8765" t="s">
        <v>17908</v>
      </c>
      <c r="Z8765" t="s">
        <v>52598</v>
      </c>
      <c r="AA8765" t="s">
        <v>17793</v>
      </c>
      <c r="AB8765" t="s">
        <v>52599</v>
      </c>
      <c r="AD8765" t="s">
        <v>52600</v>
      </c>
      <c r="AE8765">
        <v>9688</v>
      </c>
      <c r="AG8765" t="s">
        <v>52745</v>
      </c>
      <c r="AH8765" t="s">
        <v>9480</v>
      </c>
      <c r="AI8765" t="s">
        <v>52746</v>
      </c>
    </row>
    <row r="8766" spans="2:35" ht="210">
      <c r="B8766" s="1">
        <v>45000</v>
      </c>
      <c r="C8766" s="4">
        <v>45000.693055555559</v>
      </c>
      <c r="D8766" t="s">
        <v>52588</v>
      </c>
      <c r="E8766" t="s">
        <v>52589</v>
      </c>
      <c r="F8766" t="s">
        <v>37</v>
      </c>
      <c r="G8766" t="s">
        <v>38</v>
      </c>
      <c r="H8766" t="s">
        <v>39</v>
      </c>
      <c r="I8766" t="s">
        <v>40</v>
      </c>
      <c r="J8766" t="s">
        <v>525</v>
      </c>
      <c r="K8766" t="s">
        <v>42</v>
      </c>
      <c r="L8766" t="s">
        <v>448</v>
      </c>
      <c r="Q8766">
        <v>23827</v>
      </c>
      <c r="R8766" t="s">
        <v>45</v>
      </c>
      <c r="S8766" t="s">
        <v>29171</v>
      </c>
      <c r="T8766">
        <v>28</v>
      </c>
      <c r="U8766" s="2" t="s">
        <v>52590</v>
      </c>
      <c r="W8766" t="s">
        <v>360</v>
      </c>
      <c r="X8766">
        <v>838894</v>
      </c>
      <c r="Y8766" t="s">
        <v>52591</v>
      </c>
      <c r="Z8766" t="s">
        <v>52592</v>
      </c>
      <c r="AA8766" t="s">
        <v>4487</v>
      </c>
      <c r="AB8766" t="s">
        <v>486</v>
      </c>
      <c r="AG8766" t="s">
        <v>52747</v>
      </c>
      <c r="AH8766" t="s">
        <v>29177</v>
      </c>
      <c r="AI8766" t="s">
        <v>52748</v>
      </c>
    </row>
    <row r="8767" spans="2:35" ht="90">
      <c r="B8767" s="1">
        <v>45000</v>
      </c>
      <c r="C8767" s="4">
        <v>45000.870138888888</v>
      </c>
      <c r="D8767" t="s">
        <v>38129</v>
      </c>
      <c r="E8767" t="s">
        <v>52749</v>
      </c>
      <c r="F8767">
        <v>7</v>
      </c>
      <c r="G8767" t="s">
        <v>1234</v>
      </c>
      <c r="H8767" t="s">
        <v>608</v>
      </c>
      <c r="I8767" t="s">
        <v>94</v>
      </c>
      <c r="J8767" t="s">
        <v>79</v>
      </c>
      <c r="K8767" t="s">
        <v>42</v>
      </c>
      <c r="L8767" t="s">
        <v>610</v>
      </c>
      <c r="Q8767">
        <v>23826</v>
      </c>
      <c r="R8767" t="s">
        <v>45</v>
      </c>
      <c r="S8767" t="s">
        <v>38131</v>
      </c>
      <c r="T8767">
        <v>23</v>
      </c>
      <c r="U8767" s="2" t="s">
        <v>52750</v>
      </c>
      <c r="V8767" s="1">
        <v>45000</v>
      </c>
      <c r="W8767" t="s">
        <v>502</v>
      </c>
      <c r="X8767">
        <v>838144</v>
      </c>
      <c r="Y8767" t="s">
        <v>52751</v>
      </c>
      <c r="Z8767" t="s">
        <v>52752</v>
      </c>
      <c r="AA8767" t="s">
        <v>52753</v>
      </c>
      <c r="AB8767" t="s">
        <v>1263</v>
      </c>
      <c r="AG8767" t="s">
        <v>52754</v>
      </c>
      <c r="AH8767" t="s">
        <v>47889</v>
      </c>
      <c r="AI8767" t="s">
        <v>52755</v>
      </c>
    </row>
    <row r="8768" spans="2:35" ht="105">
      <c r="B8768" s="1">
        <v>45000</v>
      </c>
      <c r="C8768" s="4">
        <v>45000.656944444447</v>
      </c>
      <c r="D8768" t="s">
        <v>11901</v>
      </c>
      <c r="E8768" t="s">
        <v>7772</v>
      </c>
      <c r="F8768">
        <v>6</v>
      </c>
      <c r="G8768" t="s">
        <v>1234</v>
      </c>
      <c r="H8768" t="s">
        <v>39</v>
      </c>
      <c r="I8768" t="s">
        <v>40</v>
      </c>
      <c r="J8768" s="2" t="s">
        <v>1370</v>
      </c>
      <c r="K8768" t="s">
        <v>42</v>
      </c>
      <c r="L8768" t="s">
        <v>433</v>
      </c>
      <c r="Q8768">
        <v>23825</v>
      </c>
      <c r="R8768" t="s">
        <v>95</v>
      </c>
      <c r="S8768" t="s">
        <v>34236</v>
      </c>
      <c r="T8768">
        <v>28</v>
      </c>
      <c r="U8768" s="2" t="s">
        <v>52703</v>
      </c>
      <c r="W8768" t="s">
        <v>84</v>
      </c>
      <c r="X8768">
        <v>804838</v>
      </c>
      <c r="Y8768" t="s">
        <v>52756</v>
      </c>
      <c r="Z8768" t="s">
        <v>43863</v>
      </c>
      <c r="AA8768" t="s">
        <v>52757</v>
      </c>
      <c r="AB8768" t="s">
        <v>1011</v>
      </c>
      <c r="AG8768" t="s">
        <v>52758</v>
      </c>
      <c r="AH8768" t="s">
        <v>29197</v>
      </c>
      <c r="AI8768" t="s">
        <v>52759</v>
      </c>
    </row>
    <row r="8769" spans="2:35" ht="360">
      <c r="B8769" s="1">
        <v>45000</v>
      </c>
      <c r="C8769" s="4">
        <v>45000.560416666667</v>
      </c>
      <c r="D8769" t="s">
        <v>2773</v>
      </c>
      <c r="E8769" t="s">
        <v>2774</v>
      </c>
      <c r="F8769">
        <v>2</v>
      </c>
      <c r="G8769" t="s">
        <v>2723</v>
      </c>
      <c r="H8769" t="s">
        <v>39</v>
      </c>
      <c r="I8769" t="s">
        <v>40</v>
      </c>
      <c r="J8769" s="2" t="s">
        <v>38497</v>
      </c>
      <c r="K8769" t="s">
        <v>42</v>
      </c>
      <c r="L8769" t="s">
        <v>63</v>
      </c>
      <c r="Q8769">
        <v>23824</v>
      </c>
      <c r="R8769" t="s">
        <v>119</v>
      </c>
      <c r="S8769" t="s">
        <v>29793</v>
      </c>
      <c r="T8769">
        <v>22</v>
      </c>
      <c r="U8769" s="2" t="s">
        <v>52760</v>
      </c>
      <c r="V8769" s="1">
        <v>45000</v>
      </c>
      <c r="W8769" t="s">
        <v>26915</v>
      </c>
      <c r="X8769">
        <v>831718</v>
      </c>
      <c r="Y8769" t="s">
        <v>52761</v>
      </c>
      <c r="Z8769" t="s">
        <v>52762</v>
      </c>
      <c r="AA8769" s="2" t="s">
        <v>52763</v>
      </c>
      <c r="AB8769" t="s">
        <v>70</v>
      </c>
      <c r="AC8769" t="s">
        <v>52764</v>
      </c>
      <c r="AD8769" t="s">
        <v>34999</v>
      </c>
      <c r="AE8769" t="s">
        <v>1716</v>
      </c>
      <c r="AG8769" t="s">
        <v>52765</v>
      </c>
      <c r="AH8769" t="s">
        <v>29801</v>
      </c>
      <c r="AI8769" t="s">
        <v>52766</v>
      </c>
    </row>
    <row r="8770" spans="2:35" ht="225">
      <c r="B8770" s="1">
        <v>45000</v>
      </c>
      <c r="C8770" s="4">
        <v>45000.493750000001</v>
      </c>
      <c r="D8770" t="s">
        <v>40229</v>
      </c>
      <c r="E8770" t="s">
        <v>40230</v>
      </c>
      <c r="F8770">
        <v>2</v>
      </c>
      <c r="G8770" t="s">
        <v>2723</v>
      </c>
      <c r="H8770" t="s">
        <v>39</v>
      </c>
      <c r="I8770" t="s">
        <v>40</v>
      </c>
      <c r="J8770" s="2" t="s">
        <v>3198</v>
      </c>
      <c r="K8770" t="s">
        <v>42</v>
      </c>
      <c r="L8770" t="s">
        <v>63</v>
      </c>
      <c r="Q8770">
        <v>23823</v>
      </c>
      <c r="R8770" t="s">
        <v>119</v>
      </c>
      <c r="S8770" t="s">
        <v>40231</v>
      </c>
      <c r="T8770">
        <v>27</v>
      </c>
      <c r="U8770" s="2" t="s">
        <v>52767</v>
      </c>
      <c r="V8770" s="1">
        <v>45000</v>
      </c>
      <c r="W8770" t="s">
        <v>26915</v>
      </c>
      <c r="X8770">
        <v>838531</v>
      </c>
      <c r="Y8770" t="s">
        <v>35847</v>
      </c>
      <c r="Z8770" t="s">
        <v>52768</v>
      </c>
      <c r="AA8770" s="2" t="s">
        <v>11269</v>
      </c>
      <c r="AB8770" t="s">
        <v>70</v>
      </c>
      <c r="AC8770" t="s">
        <v>52769</v>
      </c>
      <c r="AD8770" t="s">
        <v>52770</v>
      </c>
      <c r="AE8770" t="s">
        <v>1716</v>
      </c>
      <c r="AG8770" t="s">
        <v>52771</v>
      </c>
      <c r="AH8770" t="s">
        <v>40235</v>
      </c>
      <c r="AI8770" t="s">
        <v>52772</v>
      </c>
    </row>
    <row r="8771" spans="2:35" ht="180">
      <c r="B8771" s="1">
        <v>45000</v>
      </c>
      <c r="C8771" s="4">
        <v>45000.387499999997</v>
      </c>
      <c r="D8771" t="s">
        <v>52461</v>
      </c>
      <c r="E8771" t="s">
        <v>49886</v>
      </c>
      <c r="F8771" t="s">
        <v>1181</v>
      </c>
      <c r="G8771" t="s">
        <v>3753</v>
      </c>
      <c r="H8771" t="s">
        <v>39</v>
      </c>
      <c r="I8771" t="s">
        <v>40</v>
      </c>
      <c r="J8771" s="2" t="s">
        <v>62</v>
      </c>
      <c r="K8771" t="s">
        <v>42</v>
      </c>
      <c r="L8771" t="s">
        <v>1943</v>
      </c>
      <c r="Q8771">
        <v>23822</v>
      </c>
      <c r="R8771" t="s">
        <v>45</v>
      </c>
      <c r="S8771" t="s">
        <v>31769</v>
      </c>
      <c r="T8771">
        <v>25</v>
      </c>
      <c r="V8771" s="1">
        <v>45000</v>
      </c>
      <c r="W8771" t="s">
        <v>52173</v>
      </c>
      <c r="X8771">
        <v>835185</v>
      </c>
      <c r="Y8771" t="s">
        <v>1111</v>
      </c>
      <c r="Z8771" t="s">
        <v>122</v>
      </c>
      <c r="AA8771" s="2" t="s">
        <v>52462</v>
      </c>
      <c r="AB8771" t="s">
        <v>52463</v>
      </c>
      <c r="AD8771" t="s">
        <v>11518</v>
      </c>
      <c r="AE8771" t="s">
        <v>1716</v>
      </c>
      <c r="AG8771" t="s">
        <v>52773</v>
      </c>
      <c r="AH8771" t="s">
        <v>52465</v>
      </c>
      <c r="AI8771" t="s">
        <v>52774</v>
      </c>
    </row>
    <row r="8772" spans="2:35" ht="180">
      <c r="B8772" s="1">
        <v>45000</v>
      </c>
      <c r="C8772" s="4">
        <v>45000.584722222222</v>
      </c>
      <c r="D8772" t="s">
        <v>31767</v>
      </c>
      <c r="E8772" t="s">
        <v>52310</v>
      </c>
      <c r="F8772" t="s">
        <v>1181</v>
      </c>
      <c r="G8772" t="s">
        <v>3753</v>
      </c>
      <c r="H8772" t="s">
        <v>39</v>
      </c>
      <c r="I8772" t="s">
        <v>40</v>
      </c>
      <c r="J8772" s="2" t="s">
        <v>62</v>
      </c>
      <c r="K8772" t="s">
        <v>42</v>
      </c>
      <c r="L8772" t="s">
        <v>1943</v>
      </c>
      <c r="Q8772">
        <v>23821</v>
      </c>
      <c r="R8772" t="s">
        <v>45</v>
      </c>
      <c r="S8772" t="s">
        <v>31710</v>
      </c>
      <c r="T8772">
        <v>28</v>
      </c>
      <c r="U8772" s="2" t="s">
        <v>52311</v>
      </c>
      <c r="V8772" s="1">
        <v>44998</v>
      </c>
      <c r="W8772" t="s">
        <v>9792</v>
      </c>
      <c r="X8772">
        <v>834687</v>
      </c>
      <c r="Y8772" t="s">
        <v>1111</v>
      </c>
      <c r="Z8772" t="s">
        <v>1519</v>
      </c>
      <c r="AA8772" s="2" t="s">
        <v>49787</v>
      </c>
      <c r="AB8772" t="s">
        <v>52312</v>
      </c>
      <c r="AD8772" t="s">
        <v>21244</v>
      </c>
      <c r="AE8772" t="s">
        <v>54</v>
      </c>
      <c r="AG8772" t="s">
        <v>52313</v>
      </c>
      <c r="AH8772" t="s">
        <v>31713</v>
      </c>
      <c r="AI8772" t="s">
        <v>52314</v>
      </c>
    </row>
    <row r="8773" spans="2:35" ht="180">
      <c r="B8773" s="1">
        <v>45000</v>
      </c>
      <c r="C8773" s="4">
        <v>45000.48333333333</v>
      </c>
      <c r="D8773" t="s">
        <v>31731</v>
      </c>
      <c r="E8773" t="s">
        <v>52440</v>
      </c>
      <c r="F8773" t="s">
        <v>1181</v>
      </c>
      <c r="G8773" t="s">
        <v>3753</v>
      </c>
      <c r="H8773" t="s">
        <v>39</v>
      </c>
      <c r="I8773" t="s">
        <v>40</v>
      </c>
      <c r="J8773" s="2" t="s">
        <v>41</v>
      </c>
      <c r="K8773" t="s">
        <v>42</v>
      </c>
      <c r="L8773" t="s">
        <v>1943</v>
      </c>
      <c r="Q8773">
        <v>23820</v>
      </c>
      <c r="R8773" t="s">
        <v>45</v>
      </c>
      <c r="S8773" t="s">
        <v>31733</v>
      </c>
      <c r="T8773">
        <v>28</v>
      </c>
      <c r="U8773" s="2" t="s">
        <v>52441</v>
      </c>
      <c r="W8773" t="s">
        <v>9792</v>
      </c>
      <c r="X8773">
        <v>807590</v>
      </c>
      <c r="Y8773" t="s">
        <v>52442</v>
      </c>
      <c r="Z8773" t="s">
        <v>7399</v>
      </c>
      <c r="AA8773" s="2" t="s">
        <v>40865</v>
      </c>
      <c r="AB8773" t="s">
        <v>16412</v>
      </c>
      <c r="AG8773" t="s">
        <v>52775</v>
      </c>
      <c r="AH8773" t="s">
        <v>52444</v>
      </c>
      <c r="AI8773" t="s">
        <v>52776</v>
      </c>
    </row>
    <row r="8774" spans="2:35">
      <c r="B8774" s="1">
        <v>45000</v>
      </c>
      <c r="C8774" s="4">
        <v>45000.576388888891</v>
      </c>
      <c r="D8774" t="s">
        <v>52777</v>
      </c>
      <c r="E8774" t="s">
        <v>52778</v>
      </c>
      <c r="F8774">
        <v>5</v>
      </c>
      <c r="G8774" t="s">
        <v>759</v>
      </c>
      <c r="H8774" t="s">
        <v>39</v>
      </c>
      <c r="I8774" t="s">
        <v>94</v>
      </c>
      <c r="J8774" t="s">
        <v>321</v>
      </c>
      <c r="K8774" t="s">
        <v>42</v>
      </c>
      <c r="L8774" t="s">
        <v>857</v>
      </c>
      <c r="Q8774">
        <v>23819</v>
      </c>
      <c r="R8774" t="s">
        <v>95</v>
      </c>
      <c r="S8774" t="s">
        <v>52779</v>
      </c>
      <c r="T8774">
        <v>28</v>
      </c>
      <c r="V8774" s="1">
        <v>44992</v>
      </c>
      <c r="W8774" t="s">
        <v>84</v>
      </c>
      <c r="X8774">
        <v>110017942</v>
      </c>
      <c r="Y8774" t="s">
        <v>52780</v>
      </c>
      <c r="Z8774" t="s">
        <v>52781</v>
      </c>
      <c r="AA8774" t="s">
        <v>47426</v>
      </c>
      <c r="AB8774" t="s">
        <v>181</v>
      </c>
      <c r="AD8774" t="s">
        <v>52782</v>
      </c>
      <c r="AE8774" t="s">
        <v>52783</v>
      </c>
      <c r="AG8774" t="s">
        <v>52784</v>
      </c>
      <c r="AH8774" t="s">
        <v>2970</v>
      </c>
      <c r="AI8774" t="s">
        <v>52785</v>
      </c>
    </row>
    <row r="8775" spans="2:35" ht="330">
      <c r="B8775" s="1">
        <v>45000</v>
      </c>
      <c r="C8775" s="4">
        <v>45000.572916666664</v>
      </c>
      <c r="D8775" t="s">
        <v>52786</v>
      </c>
      <c r="E8775" t="s">
        <v>52787</v>
      </c>
      <c r="F8775">
        <v>11</v>
      </c>
      <c r="G8775" t="s">
        <v>1205</v>
      </c>
      <c r="H8775" t="s">
        <v>202</v>
      </c>
      <c r="I8775" t="s">
        <v>40</v>
      </c>
      <c r="J8775" s="2" t="s">
        <v>190</v>
      </c>
      <c r="K8775" t="s">
        <v>42</v>
      </c>
      <c r="L8775" t="s">
        <v>204</v>
      </c>
      <c r="Q8775">
        <v>23818</v>
      </c>
      <c r="R8775" t="s">
        <v>45</v>
      </c>
      <c r="S8775" t="s">
        <v>52788</v>
      </c>
      <c r="T8775">
        <v>28.9</v>
      </c>
      <c r="W8775" t="s">
        <v>23237</v>
      </c>
      <c r="X8775">
        <v>835220</v>
      </c>
      <c r="Y8775" t="s">
        <v>52789</v>
      </c>
      <c r="Z8775" s="2" t="s">
        <v>52790</v>
      </c>
      <c r="AA8775" t="s">
        <v>2551</v>
      </c>
      <c r="AB8775" t="s">
        <v>52791</v>
      </c>
      <c r="AC8775" t="s">
        <v>52792</v>
      </c>
      <c r="AG8775" t="s">
        <v>52793</v>
      </c>
      <c r="AH8775" t="s">
        <v>52794</v>
      </c>
      <c r="AI8775" t="s">
        <v>52795</v>
      </c>
    </row>
    <row r="8776" spans="2:35" ht="180">
      <c r="B8776" s="1">
        <v>45000</v>
      </c>
      <c r="C8776" s="4">
        <v>45000.566666666666</v>
      </c>
      <c r="D8776" t="s">
        <v>31708</v>
      </c>
      <c r="E8776" t="s">
        <v>52796</v>
      </c>
      <c r="F8776" t="s">
        <v>1181</v>
      </c>
      <c r="G8776" t="s">
        <v>3753</v>
      </c>
      <c r="H8776" t="s">
        <v>39</v>
      </c>
      <c r="I8776" t="s">
        <v>40</v>
      </c>
      <c r="J8776" s="2" t="s">
        <v>41</v>
      </c>
      <c r="K8776" t="s">
        <v>42</v>
      </c>
      <c r="L8776" t="s">
        <v>1943</v>
      </c>
      <c r="Q8776">
        <v>23817</v>
      </c>
      <c r="R8776" t="s">
        <v>45</v>
      </c>
      <c r="S8776" t="s">
        <v>31710</v>
      </c>
      <c r="T8776">
        <v>28</v>
      </c>
      <c r="V8776" s="1">
        <v>44998</v>
      </c>
      <c r="W8776" t="s">
        <v>41038</v>
      </c>
      <c r="X8776">
        <v>834811</v>
      </c>
      <c r="Y8776" s="2" t="s">
        <v>52797</v>
      </c>
      <c r="Z8776" t="s">
        <v>52798</v>
      </c>
      <c r="AA8776" s="2" t="s">
        <v>52799</v>
      </c>
      <c r="AB8776" t="s">
        <v>88</v>
      </c>
      <c r="AD8776" t="s">
        <v>1916</v>
      </c>
      <c r="AE8776" t="s">
        <v>8904</v>
      </c>
      <c r="AG8776" t="s">
        <v>52800</v>
      </c>
      <c r="AH8776" t="s">
        <v>31713</v>
      </c>
      <c r="AI8776" t="s">
        <v>52801</v>
      </c>
    </row>
    <row r="8777" spans="2:35" ht="270">
      <c r="B8777" s="1">
        <v>45000</v>
      </c>
      <c r="C8777" s="4">
        <v>45000.573611111111</v>
      </c>
      <c r="D8777" t="s">
        <v>45379</v>
      </c>
      <c r="E8777" t="s">
        <v>52802</v>
      </c>
      <c r="F8777">
        <v>6</v>
      </c>
      <c r="G8777" t="s">
        <v>1234</v>
      </c>
      <c r="H8777" t="s">
        <v>258</v>
      </c>
      <c r="I8777" t="s">
        <v>94</v>
      </c>
      <c r="J8777" s="2" t="s">
        <v>41</v>
      </c>
      <c r="K8777" t="s">
        <v>42</v>
      </c>
      <c r="L8777" t="s">
        <v>270</v>
      </c>
      <c r="Q8777">
        <v>23816</v>
      </c>
      <c r="R8777" t="s">
        <v>45</v>
      </c>
      <c r="S8777" t="s">
        <v>52803</v>
      </c>
      <c r="T8777">
        <v>24</v>
      </c>
      <c r="U8777" s="2" t="s">
        <v>52804</v>
      </c>
      <c r="W8777" t="s">
        <v>1292</v>
      </c>
      <c r="X8777">
        <v>807455</v>
      </c>
      <c r="Y8777" t="s">
        <v>52805</v>
      </c>
      <c r="Z8777" t="s">
        <v>52806</v>
      </c>
      <c r="AA8777" s="2" t="s">
        <v>52807</v>
      </c>
      <c r="AB8777" t="s">
        <v>4668</v>
      </c>
      <c r="AG8777" t="s">
        <v>52808</v>
      </c>
      <c r="AH8777" t="s">
        <v>52809</v>
      </c>
      <c r="AI8777" t="s">
        <v>52810</v>
      </c>
    </row>
    <row r="8778" spans="2:35" ht="270">
      <c r="B8778" s="1">
        <v>45000</v>
      </c>
      <c r="C8778" s="4">
        <v>45000.574305555558</v>
      </c>
      <c r="D8778" t="s">
        <v>3010</v>
      </c>
      <c r="E8778" t="s">
        <v>52811</v>
      </c>
      <c r="F8778">
        <v>1</v>
      </c>
      <c r="G8778" t="s">
        <v>1046</v>
      </c>
      <c r="H8778" t="s">
        <v>39</v>
      </c>
      <c r="I8778" t="s">
        <v>40</v>
      </c>
      <c r="J8778" s="2" t="s">
        <v>41</v>
      </c>
      <c r="K8778" t="s">
        <v>42</v>
      </c>
      <c r="L8778" t="s">
        <v>135</v>
      </c>
      <c r="Q8778">
        <v>23815</v>
      </c>
      <c r="R8778" t="s">
        <v>45</v>
      </c>
      <c r="S8778" t="s">
        <v>3012</v>
      </c>
      <c r="T8778">
        <v>26</v>
      </c>
      <c r="U8778" s="2" t="s">
        <v>52812</v>
      </c>
      <c r="V8778" s="1">
        <v>44993</v>
      </c>
      <c r="W8778" t="s">
        <v>325</v>
      </c>
      <c r="X8778">
        <v>842230</v>
      </c>
      <c r="Y8778" t="s">
        <v>52813</v>
      </c>
      <c r="Z8778" s="2" t="s">
        <v>52814</v>
      </c>
      <c r="AA8778" s="2" t="s">
        <v>52815</v>
      </c>
      <c r="AB8778" t="s">
        <v>181</v>
      </c>
      <c r="AD8778" t="s">
        <v>52262</v>
      </c>
      <c r="AE8778">
        <v>39370</v>
      </c>
      <c r="AG8778" t="s">
        <v>52816</v>
      </c>
      <c r="AH8778" t="s">
        <v>47004</v>
      </c>
      <c r="AI8778" t="s">
        <v>52817</v>
      </c>
    </row>
    <row r="8779" spans="2:35" ht="105">
      <c r="B8779" s="1">
        <v>45000</v>
      </c>
      <c r="C8779" s="4">
        <v>45000.53402777778</v>
      </c>
      <c r="D8779" t="s">
        <v>52818</v>
      </c>
      <c r="E8779" t="s">
        <v>30692</v>
      </c>
      <c r="F8779">
        <v>10</v>
      </c>
      <c r="G8779" t="s">
        <v>5571</v>
      </c>
      <c r="H8779" t="s">
        <v>61</v>
      </c>
      <c r="I8779" t="s">
        <v>94</v>
      </c>
      <c r="J8779" t="s">
        <v>109</v>
      </c>
      <c r="K8779" t="s">
        <v>42</v>
      </c>
      <c r="L8779" t="s">
        <v>43100</v>
      </c>
      <c r="Q8779">
        <v>23814</v>
      </c>
      <c r="R8779" t="s">
        <v>45</v>
      </c>
      <c r="S8779" t="s">
        <v>30693</v>
      </c>
      <c r="T8779">
        <v>29</v>
      </c>
      <c r="U8779" s="2" t="s">
        <v>52819</v>
      </c>
      <c r="W8779" t="s">
        <v>43102</v>
      </c>
      <c r="X8779">
        <v>834437</v>
      </c>
      <c r="Y8779" t="s">
        <v>301</v>
      </c>
      <c r="Z8779" t="s">
        <v>301</v>
      </c>
      <c r="AA8779" s="2" t="s">
        <v>52820</v>
      </c>
      <c r="AB8779" t="s">
        <v>486</v>
      </c>
      <c r="AG8779" t="s">
        <v>52821</v>
      </c>
      <c r="AH8779" t="s">
        <v>52822</v>
      </c>
      <c r="AI8779" t="s">
        <v>52823</v>
      </c>
    </row>
    <row r="8780" spans="2:35" ht="105">
      <c r="B8780" s="1">
        <v>45000</v>
      </c>
      <c r="C8780" s="4">
        <v>45000.53402777778</v>
      </c>
      <c r="D8780" t="s">
        <v>52818</v>
      </c>
      <c r="E8780" t="s">
        <v>30692</v>
      </c>
      <c r="F8780">
        <v>10</v>
      </c>
      <c r="G8780" t="s">
        <v>5571</v>
      </c>
      <c r="H8780" t="s">
        <v>61</v>
      </c>
      <c r="I8780" t="s">
        <v>94</v>
      </c>
      <c r="J8780" t="s">
        <v>109</v>
      </c>
      <c r="K8780" t="s">
        <v>42</v>
      </c>
      <c r="L8780" t="s">
        <v>43100</v>
      </c>
      <c r="Q8780">
        <v>23813</v>
      </c>
      <c r="R8780" t="s">
        <v>45</v>
      </c>
      <c r="S8780" t="s">
        <v>30693</v>
      </c>
      <c r="T8780">
        <v>29</v>
      </c>
      <c r="U8780" s="2" t="s">
        <v>52819</v>
      </c>
      <c r="W8780" t="s">
        <v>43102</v>
      </c>
      <c r="X8780">
        <v>834437</v>
      </c>
      <c r="Y8780" t="s">
        <v>301</v>
      </c>
      <c r="Z8780" t="s">
        <v>301</v>
      </c>
      <c r="AA8780" s="2" t="s">
        <v>52820</v>
      </c>
      <c r="AB8780" t="s">
        <v>486</v>
      </c>
      <c r="AG8780" t="s">
        <v>52824</v>
      </c>
      <c r="AH8780" t="s">
        <v>52822</v>
      </c>
      <c r="AI8780" t="s">
        <v>52825</v>
      </c>
    </row>
    <row r="8781" spans="2:35" ht="180">
      <c r="B8781" s="1">
        <v>45000</v>
      </c>
      <c r="C8781" s="4">
        <v>45000.550694444442</v>
      </c>
      <c r="D8781" t="s">
        <v>46338</v>
      </c>
      <c r="E8781" t="s">
        <v>46339</v>
      </c>
      <c r="F8781">
        <v>7</v>
      </c>
      <c r="G8781" t="s">
        <v>6529</v>
      </c>
      <c r="H8781" t="s">
        <v>1047</v>
      </c>
      <c r="I8781" t="s">
        <v>40</v>
      </c>
      <c r="J8781" s="2" t="s">
        <v>190</v>
      </c>
      <c r="K8781" t="s">
        <v>42</v>
      </c>
      <c r="L8781" t="s">
        <v>1288</v>
      </c>
      <c r="Q8781">
        <v>23812</v>
      </c>
      <c r="R8781" t="s">
        <v>45</v>
      </c>
      <c r="S8781" t="s">
        <v>12992</v>
      </c>
      <c r="T8781">
        <v>22</v>
      </c>
      <c r="U8781" s="2" t="s">
        <v>52826</v>
      </c>
      <c r="W8781" t="s">
        <v>1292</v>
      </c>
      <c r="X8781">
        <v>815431</v>
      </c>
      <c r="Y8781" t="s">
        <v>52827</v>
      </c>
      <c r="Z8781" t="e">
        <f ca="1">-COLLECT IQR , system _xludf.Log, _xludf.and ARCHIVR</f>
        <v>#NAME?</v>
      </c>
      <c r="AA8781" t="e">
        <f ca="1">-PERFORM self-test
-_xludf.Clean GX EQUIPMENT _xludf.and Inspect module B4 connection
-PREV. Maintenance</f>
        <v>#NAME?</v>
      </c>
      <c r="AB8781" t="s">
        <v>52828</v>
      </c>
      <c r="AG8781" t="s">
        <v>52829</v>
      </c>
      <c r="AH8781" t="s">
        <v>12996</v>
      </c>
      <c r="AI8781" t="s">
        <v>52830</v>
      </c>
    </row>
    <row r="8782" spans="2:35" ht="285">
      <c r="B8782" s="1">
        <v>45000</v>
      </c>
      <c r="C8782" s="4">
        <v>45000.509027777778</v>
      </c>
      <c r="D8782" t="s">
        <v>30763</v>
      </c>
      <c r="E8782" t="s">
        <v>49319</v>
      </c>
      <c r="F8782">
        <v>13</v>
      </c>
      <c r="G8782" t="s">
        <v>7763</v>
      </c>
      <c r="H8782" t="s">
        <v>2125</v>
      </c>
      <c r="I8782" t="s">
        <v>40</v>
      </c>
      <c r="J8782" t="s">
        <v>79</v>
      </c>
      <c r="K8782" t="s">
        <v>42</v>
      </c>
      <c r="L8782" t="s">
        <v>933</v>
      </c>
      <c r="Q8782">
        <v>23811</v>
      </c>
      <c r="R8782" t="s">
        <v>45</v>
      </c>
      <c r="S8782" t="s">
        <v>40099</v>
      </c>
      <c r="T8782">
        <v>20.100000000000001</v>
      </c>
      <c r="U8782" s="2" t="s">
        <v>51436</v>
      </c>
      <c r="W8782" t="s">
        <v>3662</v>
      </c>
      <c r="X8782">
        <v>805335</v>
      </c>
      <c r="Y8782" t="s">
        <v>301</v>
      </c>
      <c r="Z8782" t="s">
        <v>301</v>
      </c>
      <c r="AA8782" t="s">
        <v>52831</v>
      </c>
      <c r="AB8782" t="s">
        <v>52832</v>
      </c>
      <c r="AG8782" t="s">
        <v>52833</v>
      </c>
      <c r="AH8782" t="s">
        <v>30769</v>
      </c>
      <c r="AI8782" t="s">
        <v>52834</v>
      </c>
    </row>
    <row r="8783" spans="2:35" ht="240">
      <c r="B8783" s="1">
        <v>45000</v>
      </c>
      <c r="C8783" s="4">
        <v>45000.512499999997</v>
      </c>
      <c r="D8783" t="s">
        <v>52611</v>
      </c>
      <c r="E8783" t="s">
        <v>52612</v>
      </c>
      <c r="F8783" t="s">
        <v>148</v>
      </c>
      <c r="G8783" t="s">
        <v>447</v>
      </c>
      <c r="H8783" t="s">
        <v>39</v>
      </c>
      <c r="I8783" t="s">
        <v>40</v>
      </c>
      <c r="J8783" s="2" t="s">
        <v>41</v>
      </c>
      <c r="K8783" t="s">
        <v>42</v>
      </c>
      <c r="L8783" t="s">
        <v>448</v>
      </c>
      <c r="Q8783">
        <v>23810</v>
      </c>
      <c r="R8783" t="s">
        <v>322</v>
      </c>
      <c r="S8783" t="s">
        <v>42299</v>
      </c>
      <c r="T8783">
        <v>24</v>
      </c>
      <c r="U8783" s="2" t="s">
        <v>52613</v>
      </c>
      <c r="V8783" s="1">
        <v>44999</v>
      </c>
      <c r="W8783" t="s">
        <v>52614</v>
      </c>
      <c r="X8783">
        <v>110001650</v>
      </c>
      <c r="Y8783" t="s">
        <v>52615</v>
      </c>
      <c r="Z8783" t="s">
        <v>50837</v>
      </c>
      <c r="AA8783" t="s">
        <v>5712</v>
      </c>
      <c r="AB8783" t="s">
        <v>486</v>
      </c>
      <c r="AD8783" t="s">
        <v>52616</v>
      </c>
      <c r="AE8783">
        <v>9691</v>
      </c>
      <c r="AG8783" t="s">
        <v>52835</v>
      </c>
      <c r="AH8783" t="s">
        <v>52618</v>
      </c>
      <c r="AI8783" t="s">
        <v>52836</v>
      </c>
    </row>
    <row r="8784" spans="2:35" ht="210">
      <c r="B8784" s="1">
        <v>45000</v>
      </c>
      <c r="C8784" s="4">
        <v>44999.404861111114</v>
      </c>
      <c r="D8784" t="s">
        <v>7219</v>
      </c>
      <c r="E8784" t="s">
        <v>16273</v>
      </c>
      <c r="F8784" t="s">
        <v>148</v>
      </c>
      <c r="G8784" t="s">
        <v>310</v>
      </c>
      <c r="H8784" t="s">
        <v>39</v>
      </c>
      <c r="I8784" t="s">
        <v>40</v>
      </c>
      <c r="J8784" s="2" t="s">
        <v>33238</v>
      </c>
      <c r="K8784" t="s">
        <v>42</v>
      </c>
      <c r="L8784" t="s">
        <v>1028</v>
      </c>
      <c r="Q8784">
        <v>23809</v>
      </c>
      <c r="R8784" t="s">
        <v>45</v>
      </c>
      <c r="S8784" t="s">
        <v>35366</v>
      </c>
      <c r="T8784">
        <v>23</v>
      </c>
      <c r="U8784" s="2" t="s">
        <v>52837</v>
      </c>
      <c r="W8784" t="s">
        <v>2680</v>
      </c>
      <c r="X8784">
        <v>804766</v>
      </c>
      <c r="Y8784" t="s">
        <v>33240</v>
      </c>
      <c r="Z8784" t="s">
        <v>21244</v>
      </c>
      <c r="AA8784" s="2" t="s">
        <v>52838</v>
      </c>
      <c r="AB8784" t="s">
        <v>52839</v>
      </c>
      <c r="AG8784" t="s">
        <v>52840</v>
      </c>
      <c r="AH8784" t="s">
        <v>35371</v>
      </c>
      <c r="AI8784" t="s">
        <v>52841</v>
      </c>
    </row>
    <row r="8785" spans="2:35" ht="210">
      <c r="B8785" s="1">
        <v>45000</v>
      </c>
      <c r="C8785" s="4">
        <v>44999.4</v>
      </c>
      <c r="D8785" t="s">
        <v>7219</v>
      </c>
      <c r="E8785" t="s">
        <v>16273</v>
      </c>
      <c r="F8785" t="s">
        <v>148</v>
      </c>
      <c r="G8785" t="s">
        <v>310</v>
      </c>
      <c r="H8785" t="s">
        <v>39</v>
      </c>
      <c r="I8785" t="s">
        <v>40</v>
      </c>
      <c r="J8785" s="2" t="s">
        <v>41</v>
      </c>
      <c r="K8785" t="s">
        <v>42</v>
      </c>
      <c r="L8785" t="s">
        <v>1028</v>
      </c>
      <c r="Q8785">
        <v>23806</v>
      </c>
      <c r="R8785" t="s">
        <v>45</v>
      </c>
      <c r="S8785" t="s">
        <v>35366</v>
      </c>
      <c r="T8785">
        <v>22</v>
      </c>
      <c r="U8785" s="2" t="s">
        <v>52837</v>
      </c>
      <c r="W8785" t="s">
        <v>2680</v>
      </c>
      <c r="X8785">
        <v>707843</v>
      </c>
      <c r="Y8785" t="s">
        <v>52842</v>
      </c>
      <c r="Z8785" t="s">
        <v>2129</v>
      </c>
      <c r="AA8785" s="2" t="s">
        <v>52843</v>
      </c>
      <c r="AB8785" t="s">
        <v>52844</v>
      </c>
      <c r="AC8785" t="s">
        <v>52845</v>
      </c>
      <c r="AG8785" t="s">
        <v>52846</v>
      </c>
      <c r="AH8785" t="s">
        <v>35371</v>
      </c>
      <c r="AI8785" t="s">
        <v>52847</v>
      </c>
    </row>
    <row r="8786" spans="2:35" ht="180">
      <c r="B8786" s="1">
        <v>45000</v>
      </c>
      <c r="C8786" s="4">
        <v>45000.492361111108</v>
      </c>
      <c r="D8786" t="s">
        <v>30233</v>
      </c>
      <c r="E8786" t="s">
        <v>39047</v>
      </c>
      <c r="F8786" t="s">
        <v>37</v>
      </c>
      <c r="G8786" t="s">
        <v>748</v>
      </c>
      <c r="H8786" t="s">
        <v>39</v>
      </c>
      <c r="I8786" t="s">
        <v>40</v>
      </c>
      <c r="J8786" t="s">
        <v>525</v>
      </c>
      <c r="K8786" t="s">
        <v>42</v>
      </c>
      <c r="L8786" t="s">
        <v>1028</v>
      </c>
      <c r="Q8786">
        <v>23808</v>
      </c>
      <c r="R8786" t="s">
        <v>45</v>
      </c>
      <c r="S8786" t="s">
        <v>37309</v>
      </c>
      <c r="T8786">
        <v>25</v>
      </c>
      <c r="W8786" t="s">
        <v>2680</v>
      </c>
      <c r="X8786">
        <v>812385</v>
      </c>
      <c r="Y8786" t="s">
        <v>52848</v>
      </c>
      <c r="Z8786" t="s">
        <v>10920</v>
      </c>
      <c r="AA8786" s="2" t="s">
        <v>52849</v>
      </c>
      <c r="AB8786" t="s">
        <v>52850</v>
      </c>
      <c r="AC8786" t="s">
        <v>52851</v>
      </c>
      <c r="AG8786" t="s">
        <v>52852</v>
      </c>
      <c r="AH8786" t="s">
        <v>39050</v>
      </c>
      <c r="AI8786" t="s">
        <v>52853</v>
      </c>
    </row>
    <row r="8787" spans="2:35" ht="165">
      <c r="B8787" s="1">
        <v>45000</v>
      </c>
      <c r="C8787" s="4">
        <v>45000.438194444447</v>
      </c>
      <c r="D8787" t="s">
        <v>52854</v>
      </c>
      <c r="E8787" t="s">
        <v>43615</v>
      </c>
      <c r="F8787" t="s">
        <v>37</v>
      </c>
      <c r="G8787" t="s">
        <v>748</v>
      </c>
      <c r="H8787" t="s">
        <v>39</v>
      </c>
      <c r="I8787" t="s">
        <v>40</v>
      </c>
      <c r="J8787" s="2" t="s">
        <v>41</v>
      </c>
      <c r="K8787" t="s">
        <v>42</v>
      </c>
      <c r="L8787" t="s">
        <v>1028</v>
      </c>
      <c r="Q8787">
        <v>23807</v>
      </c>
      <c r="R8787" t="s">
        <v>45</v>
      </c>
      <c r="S8787" t="s">
        <v>43616</v>
      </c>
      <c r="T8787">
        <v>25</v>
      </c>
      <c r="U8787" s="2" t="s">
        <v>10880</v>
      </c>
      <c r="W8787" t="s">
        <v>2680</v>
      </c>
      <c r="X8787">
        <v>835186</v>
      </c>
      <c r="Y8787" t="s">
        <v>35646</v>
      </c>
      <c r="Z8787" t="s">
        <v>2129</v>
      </c>
      <c r="AA8787" s="2" t="s">
        <v>52855</v>
      </c>
      <c r="AB8787" t="s">
        <v>3063</v>
      </c>
      <c r="AC8787" t="s">
        <v>52856</v>
      </c>
      <c r="AG8787" t="s">
        <v>52857</v>
      </c>
      <c r="AH8787" t="s">
        <v>52858</v>
      </c>
      <c r="AI8787" t="s">
        <v>52859</v>
      </c>
    </row>
    <row r="8788" spans="2:35" ht="285">
      <c r="B8788" s="1">
        <v>45000</v>
      </c>
      <c r="C8788" s="4">
        <v>44999.606944444444</v>
      </c>
      <c r="D8788" t="s">
        <v>2417</v>
      </c>
      <c r="E8788" t="s">
        <v>52860</v>
      </c>
      <c r="F8788" t="s">
        <v>148</v>
      </c>
      <c r="G8788" t="s">
        <v>774</v>
      </c>
      <c r="H8788" t="s">
        <v>39</v>
      </c>
      <c r="I8788" t="s">
        <v>40</v>
      </c>
      <c r="J8788" s="2" t="s">
        <v>41</v>
      </c>
      <c r="K8788" t="s">
        <v>42</v>
      </c>
      <c r="L8788" t="s">
        <v>1028</v>
      </c>
      <c r="Q8788">
        <v>23805</v>
      </c>
      <c r="R8788" t="s">
        <v>45</v>
      </c>
      <c r="S8788" t="s">
        <v>22040</v>
      </c>
      <c r="T8788">
        <v>28</v>
      </c>
      <c r="U8788" s="2" t="s">
        <v>52861</v>
      </c>
      <c r="W8788" t="s">
        <v>2680</v>
      </c>
      <c r="X8788">
        <v>807613</v>
      </c>
      <c r="Y8788" t="s">
        <v>31464</v>
      </c>
      <c r="Z8788" t="s">
        <v>52862</v>
      </c>
      <c r="AA8788" s="2" t="s">
        <v>52863</v>
      </c>
      <c r="AB8788" t="s">
        <v>52864</v>
      </c>
      <c r="AC8788" t="s">
        <v>52865</v>
      </c>
      <c r="AG8788" t="s">
        <v>52866</v>
      </c>
      <c r="AH8788" t="s">
        <v>52867</v>
      </c>
      <c r="AI8788" t="s">
        <v>52868</v>
      </c>
    </row>
    <row r="8789" spans="2:35" ht="180">
      <c r="B8789" s="1">
        <v>45000</v>
      </c>
      <c r="C8789" s="4">
        <v>45000.48541666667</v>
      </c>
      <c r="D8789" t="s">
        <v>50606</v>
      </c>
      <c r="E8789" t="s">
        <v>30692</v>
      </c>
      <c r="F8789">
        <v>10</v>
      </c>
      <c r="G8789" t="s">
        <v>5571</v>
      </c>
      <c r="H8789" t="s">
        <v>932</v>
      </c>
      <c r="I8789" t="s">
        <v>94</v>
      </c>
      <c r="J8789" s="2" t="s">
        <v>62</v>
      </c>
      <c r="K8789" t="s">
        <v>42</v>
      </c>
      <c r="L8789" t="s">
        <v>43100</v>
      </c>
      <c r="Q8789">
        <v>23804</v>
      </c>
      <c r="R8789" t="s">
        <v>45</v>
      </c>
      <c r="S8789" t="s">
        <v>52869</v>
      </c>
      <c r="T8789">
        <v>29</v>
      </c>
      <c r="U8789" s="2" t="s">
        <v>52870</v>
      </c>
      <c r="W8789" t="s">
        <v>43102</v>
      </c>
      <c r="X8789">
        <v>804765</v>
      </c>
      <c r="Y8789" t="s">
        <v>301</v>
      </c>
      <c r="Z8789" t="s">
        <v>301</v>
      </c>
      <c r="AA8789" s="2" t="s">
        <v>52871</v>
      </c>
      <c r="AB8789" t="s">
        <v>486</v>
      </c>
      <c r="AC8789" t="s">
        <v>52872</v>
      </c>
      <c r="AG8789" t="s">
        <v>52873</v>
      </c>
      <c r="AH8789" t="s">
        <v>52874</v>
      </c>
      <c r="AI8789" t="s">
        <v>52875</v>
      </c>
    </row>
    <row r="8790" spans="2:35" ht="180">
      <c r="B8790" s="1">
        <v>45000</v>
      </c>
      <c r="C8790" s="4">
        <v>45000.48541666667</v>
      </c>
      <c r="D8790" t="s">
        <v>50606</v>
      </c>
      <c r="E8790" t="s">
        <v>30692</v>
      </c>
      <c r="F8790">
        <v>10</v>
      </c>
      <c r="G8790" t="s">
        <v>5571</v>
      </c>
      <c r="H8790" t="s">
        <v>932</v>
      </c>
      <c r="I8790" t="s">
        <v>94</v>
      </c>
      <c r="J8790" s="2" t="s">
        <v>62</v>
      </c>
      <c r="K8790" t="s">
        <v>42</v>
      </c>
      <c r="L8790" t="s">
        <v>43100</v>
      </c>
      <c r="Q8790">
        <v>23803</v>
      </c>
      <c r="R8790" t="s">
        <v>45</v>
      </c>
      <c r="S8790" t="s">
        <v>52869</v>
      </c>
      <c r="T8790">
        <v>29</v>
      </c>
      <c r="U8790" s="2" t="s">
        <v>52870</v>
      </c>
      <c r="W8790" t="s">
        <v>43102</v>
      </c>
      <c r="X8790">
        <v>804765</v>
      </c>
      <c r="Y8790" t="s">
        <v>301</v>
      </c>
      <c r="Z8790" t="s">
        <v>301</v>
      </c>
      <c r="AA8790" s="2" t="s">
        <v>52871</v>
      </c>
      <c r="AB8790" t="s">
        <v>486</v>
      </c>
      <c r="AC8790" t="s">
        <v>52872</v>
      </c>
      <c r="AG8790" t="s">
        <v>52876</v>
      </c>
      <c r="AH8790" t="s">
        <v>52874</v>
      </c>
      <c r="AI8790" t="s">
        <v>52877</v>
      </c>
    </row>
    <row r="8791" spans="2:35" ht="270">
      <c r="B8791" s="1">
        <v>45000</v>
      </c>
      <c r="C8791" s="4">
        <v>44999.461805555555</v>
      </c>
      <c r="D8791" t="s">
        <v>52878</v>
      </c>
      <c r="E8791" t="s">
        <v>52879</v>
      </c>
      <c r="F8791">
        <v>9</v>
      </c>
      <c r="G8791" t="s">
        <v>2903</v>
      </c>
      <c r="H8791" t="s">
        <v>1047</v>
      </c>
      <c r="I8791" t="s">
        <v>94</v>
      </c>
      <c r="J8791" t="s">
        <v>321</v>
      </c>
      <c r="K8791" t="s">
        <v>42</v>
      </c>
      <c r="L8791" t="s">
        <v>43100</v>
      </c>
      <c r="Q8791">
        <v>23802</v>
      </c>
      <c r="R8791" t="s">
        <v>45</v>
      </c>
      <c r="S8791" t="s">
        <v>52880</v>
      </c>
      <c r="T8791">
        <v>26</v>
      </c>
      <c r="U8791" s="2" t="s">
        <v>52881</v>
      </c>
      <c r="W8791" t="s">
        <v>43102</v>
      </c>
      <c r="X8791">
        <v>807596</v>
      </c>
      <c r="Y8791" t="s">
        <v>301</v>
      </c>
      <c r="Z8791" t="s">
        <v>52882</v>
      </c>
      <c r="AA8791" s="2" t="s">
        <v>52883</v>
      </c>
      <c r="AB8791" t="s">
        <v>486</v>
      </c>
      <c r="AG8791" t="s">
        <v>52884</v>
      </c>
      <c r="AH8791" t="s">
        <v>52885</v>
      </c>
      <c r="AI8791" t="s">
        <v>52886</v>
      </c>
    </row>
    <row r="8792" spans="2:35" ht="270">
      <c r="B8792" s="1">
        <v>45000</v>
      </c>
      <c r="C8792" s="4">
        <v>45000.426388888889</v>
      </c>
      <c r="D8792" t="s">
        <v>52887</v>
      </c>
      <c r="E8792" t="s">
        <v>2722</v>
      </c>
      <c r="F8792">
        <v>2</v>
      </c>
      <c r="G8792" t="s">
        <v>2723</v>
      </c>
      <c r="H8792" t="s">
        <v>61</v>
      </c>
      <c r="I8792" t="s">
        <v>40</v>
      </c>
      <c r="J8792" s="2" t="s">
        <v>1592</v>
      </c>
      <c r="K8792" t="s">
        <v>42</v>
      </c>
      <c r="L8792" t="s">
        <v>63</v>
      </c>
      <c r="Q8792">
        <v>23801</v>
      </c>
      <c r="R8792" t="s">
        <v>45</v>
      </c>
      <c r="S8792" t="s">
        <v>52888</v>
      </c>
      <c r="T8792">
        <v>29</v>
      </c>
      <c r="U8792" s="2" t="s">
        <v>52889</v>
      </c>
      <c r="V8792" s="1">
        <v>45000</v>
      </c>
      <c r="W8792" t="s">
        <v>29795</v>
      </c>
      <c r="X8792">
        <v>842894</v>
      </c>
      <c r="Y8792" t="s">
        <v>52890</v>
      </c>
      <c r="Z8792" t="s">
        <v>52891</v>
      </c>
      <c r="AA8792" s="2" t="s">
        <v>52892</v>
      </c>
      <c r="AB8792" t="s">
        <v>70</v>
      </c>
      <c r="AC8792" t="s">
        <v>52893</v>
      </c>
      <c r="AD8792" t="s">
        <v>52894</v>
      </c>
      <c r="AE8792" t="s">
        <v>1716</v>
      </c>
      <c r="AG8792" t="s">
        <v>52895</v>
      </c>
      <c r="AH8792" t="s">
        <v>52896</v>
      </c>
      <c r="AI8792" t="s">
        <v>52897</v>
      </c>
    </row>
    <row r="8793" spans="2:35" ht="270">
      <c r="B8793" s="1">
        <v>45000</v>
      </c>
      <c r="C8793" s="4">
        <v>45000.413888888892</v>
      </c>
      <c r="D8793" t="s">
        <v>52887</v>
      </c>
      <c r="E8793" t="s">
        <v>2722</v>
      </c>
      <c r="F8793">
        <v>2</v>
      </c>
      <c r="G8793" t="s">
        <v>2723</v>
      </c>
      <c r="H8793" t="s">
        <v>61</v>
      </c>
      <c r="I8793" t="s">
        <v>40</v>
      </c>
      <c r="J8793" s="2" t="s">
        <v>41</v>
      </c>
      <c r="K8793" t="s">
        <v>42</v>
      </c>
      <c r="L8793" t="s">
        <v>63</v>
      </c>
      <c r="Q8793">
        <v>23800</v>
      </c>
      <c r="R8793" t="s">
        <v>45</v>
      </c>
      <c r="S8793" t="s">
        <v>52888</v>
      </c>
      <c r="T8793">
        <v>29</v>
      </c>
      <c r="U8793" s="2" t="s">
        <v>52898</v>
      </c>
      <c r="V8793" s="1">
        <v>45000</v>
      </c>
      <c r="W8793" t="s">
        <v>26915</v>
      </c>
      <c r="X8793">
        <v>834434</v>
      </c>
      <c r="Y8793" t="s">
        <v>1716</v>
      </c>
      <c r="Z8793" t="s">
        <v>1716</v>
      </c>
      <c r="AA8793" s="2" t="s">
        <v>52892</v>
      </c>
      <c r="AB8793" t="s">
        <v>70</v>
      </c>
      <c r="AC8793" t="s">
        <v>52899</v>
      </c>
      <c r="AD8793" t="s">
        <v>52900</v>
      </c>
      <c r="AE8793" t="s">
        <v>1716</v>
      </c>
      <c r="AG8793" t="s">
        <v>52901</v>
      </c>
      <c r="AH8793" t="s">
        <v>52896</v>
      </c>
      <c r="AI8793" t="s">
        <v>52902</v>
      </c>
    </row>
    <row r="8794" spans="2:35" ht="225">
      <c r="B8794" s="1">
        <v>45000</v>
      </c>
      <c r="C8794" s="4">
        <v>45000.412499999999</v>
      </c>
      <c r="D8794" t="s">
        <v>51157</v>
      </c>
      <c r="E8794" t="s">
        <v>51158</v>
      </c>
      <c r="F8794" t="s">
        <v>1255</v>
      </c>
      <c r="G8794" t="s">
        <v>1887</v>
      </c>
      <c r="H8794" t="s">
        <v>39</v>
      </c>
      <c r="I8794" t="s">
        <v>94</v>
      </c>
      <c r="J8794" s="2" t="s">
        <v>62</v>
      </c>
      <c r="K8794" t="s">
        <v>42</v>
      </c>
      <c r="L8794" t="s">
        <v>296</v>
      </c>
      <c r="Q8794">
        <v>23799</v>
      </c>
      <c r="R8794" t="s">
        <v>45</v>
      </c>
      <c r="S8794" t="s">
        <v>52903</v>
      </c>
      <c r="T8794">
        <v>26</v>
      </c>
      <c r="U8794" s="2" t="s">
        <v>52904</v>
      </c>
      <c r="V8794" s="1">
        <v>45000</v>
      </c>
      <c r="W8794" t="s">
        <v>23049</v>
      </c>
      <c r="X8794">
        <v>838135</v>
      </c>
      <c r="Y8794" t="s">
        <v>28230</v>
      </c>
      <c r="Z8794" s="2" t="s">
        <v>52905</v>
      </c>
      <c r="AA8794" s="2" t="s">
        <v>52905</v>
      </c>
      <c r="AB8794" t="s">
        <v>1480</v>
      </c>
      <c r="AD8794" t="s">
        <v>52906</v>
      </c>
      <c r="AE8794" t="s">
        <v>52907</v>
      </c>
      <c r="AG8794" t="s">
        <v>52908</v>
      </c>
      <c r="AH8794" t="s">
        <v>52909</v>
      </c>
      <c r="AI8794" t="s">
        <v>52910</v>
      </c>
    </row>
    <row r="8795" spans="2:35" ht="180">
      <c r="B8795" s="1">
        <v>45000</v>
      </c>
      <c r="C8795" s="4">
        <v>45000.388194444444</v>
      </c>
      <c r="D8795" t="s">
        <v>19752</v>
      </c>
      <c r="E8795" t="s">
        <v>43902</v>
      </c>
      <c r="F8795">
        <v>7</v>
      </c>
      <c r="G8795" t="s">
        <v>6529</v>
      </c>
      <c r="H8795" t="s">
        <v>1047</v>
      </c>
      <c r="I8795" t="s">
        <v>40</v>
      </c>
      <c r="J8795" s="2" t="s">
        <v>1444</v>
      </c>
      <c r="K8795" t="s">
        <v>42</v>
      </c>
      <c r="L8795" t="s">
        <v>1288</v>
      </c>
      <c r="Q8795">
        <v>23798</v>
      </c>
      <c r="R8795" t="s">
        <v>322</v>
      </c>
      <c r="S8795" t="s">
        <v>10370</v>
      </c>
      <c r="T8795">
        <v>21</v>
      </c>
      <c r="U8795" s="2" t="s">
        <v>52911</v>
      </c>
      <c r="W8795" t="s">
        <v>1292</v>
      </c>
      <c r="X8795">
        <v>838203</v>
      </c>
      <c r="Y8795" t="e">
        <f ca="1">-module B2 _xludf.and module B3 temperature _xludf.error</f>
        <v>#NAME?</v>
      </c>
      <c r="Z8795" t="e">
        <f ca="1">-COLLECT IQR, system _xludf.Log _xludf.and Assay stat</f>
        <v>#NAME?</v>
      </c>
      <c r="AA8795" t="e">
        <f ca="1">-PERFORM XpertCheck module B2-Retry THEN passed
                                                                                                                                                                                                                                                                module B3 -_xludf.For service
-PERFORM initial Troubleshooting
-PERFORM Maintenance</f>
        <v>#NAME?</v>
      </c>
      <c r="AB8795" t="s">
        <v>52912</v>
      </c>
      <c r="AG8795" t="s">
        <v>52913</v>
      </c>
      <c r="AH8795" t="s">
        <v>46396</v>
      </c>
      <c r="AI8795" t="s">
        <v>52914</v>
      </c>
    </row>
    <row r="8796" spans="2:35" ht="360">
      <c r="B8796" s="1">
        <v>45000</v>
      </c>
      <c r="C8796" s="4">
        <v>44999.510416666664</v>
      </c>
      <c r="D8796" t="s">
        <v>48412</v>
      </c>
      <c r="E8796" t="s">
        <v>52915</v>
      </c>
      <c r="F8796" t="s">
        <v>148</v>
      </c>
      <c r="G8796" t="s">
        <v>174</v>
      </c>
      <c r="H8796" t="s">
        <v>39</v>
      </c>
      <c r="I8796" t="s">
        <v>40</v>
      </c>
      <c r="J8796" s="2" t="s">
        <v>1157</v>
      </c>
      <c r="K8796" t="s">
        <v>42</v>
      </c>
      <c r="L8796" t="s">
        <v>175</v>
      </c>
      <c r="Q8796">
        <v>23797</v>
      </c>
      <c r="R8796" t="s">
        <v>45</v>
      </c>
      <c r="S8796" t="s">
        <v>29772</v>
      </c>
      <c r="T8796">
        <v>25</v>
      </c>
      <c r="U8796" s="2" t="s">
        <v>52916</v>
      </c>
      <c r="W8796" t="s">
        <v>84</v>
      </c>
      <c r="X8796">
        <v>838872</v>
      </c>
      <c r="Y8796" t="s">
        <v>10026</v>
      </c>
      <c r="Z8796" t="e">
        <f ca="1">- unplugged monitor &amp; performed _xludf.Power - on test
- plugged other available monitor FROM Site
- checked &amp; cleaned cartridge bay, plunger rod, I CORE slot, _xludf.filter
- performed XpertCheck
- generated reports
- performed functionality test</f>
        <v>#NAME?</v>
      </c>
      <c r="AA8796" t="s">
        <v>52917</v>
      </c>
      <c r="AB8796" s="2" t="s">
        <v>52918</v>
      </c>
      <c r="AG8796" t="s">
        <v>52919</v>
      </c>
      <c r="AH8796" t="s">
        <v>48417</v>
      </c>
      <c r="AI8796" t="s">
        <v>52920</v>
      </c>
    </row>
    <row r="8797" spans="2:35" ht="360">
      <c r="B8797" s="1">
        <v>45000</v>
      </c>
      <c r="C8797" s="4">
        <v>44999.652083333334</v>
      </c>
      <c r="D8797" t="s">
        <v>3139</v>
      </c>
      <c r="E8797" t="s">
        <v>3140</v>
      </c>
      <c r="F8797">
        <v>3</v>
      </c>
      <c r="G8797" t="s">
        <v>174</v>
      </c>
      <c r="H8797" t="s">
        <v>39</v>
      </c>
      <c r="I8797" t="s">
        <v>40</v>
      </c>
      <c r="J8797" t="s">
        <v>525</v>
      </c>
      <c r="K8797" t="s">
        <v>42</v>
      </c>
      <c r="L8797" t="s">
        <v>175</v>
      </c>
      <c r="Q8797">
        <v>23797</v>
      </c>
      <c r="R8797" t="s">
        <v>45</v>
      </c>
      <c r="S8797" t="s">
        <v>14419</v>
      </c>
      <c r="T8797">
        <v>25</v>
      </c>
      <c r="U8797" s="2" t="s">
        <v>52921</v>
      </c>
      <c r="W8797" t="s">
        <v>84</v>
      </c>
      <c r="X8797">
        <v>805112</v>
      </c>
      <c r="Y8797" t="s">
        <v>52922</v>
      </c>
      <c r="Z8797" t="e">
        <f ca="1">- cleaned Computer RAM
- performed functionality test
- generated reports</f>
        <v>#NAME?</v>
      </c>
      <c r="AA8797" t="s">
        <v>52923</v>
      </c>
      <c r="AB8797" t="s">
        <v>52924</v>
      </c>
      <c r="AG8797" t="s">
        <v>52925</v>
      </c>
      <c r="AH8797" t="s">
        <v>52926</v>
      </c>
      <c r="AI8797" t="s">
        <v>52927</v>
      </c>
    </row>
    <row r="8798" spans="2:35" ht="390">
      <c r="B8798" s="1">
        <v>45000</v>
      </c>
      <c r="C8798" s="4">
        <v>44999.440972222219</v>
      </c>
      <c r="D8798" t="s">
        <v>52928</v>
      </c>
      <c r="E8798" t="s">
        <v>52929</v>
      </c>
      <c r="F8798" t="s">
        <v>148</v>
      </c>
      <c r="G8798" t="s">
        <v>447</v>
      </c>
      <c r="H8798" t="s">
        <v>150</v>
      </c>
      <c r="I8798" t="s">
        <v>40</v>
      </c>
      <c r="J8798" s="2" t="s">
        <v>190</v>
      </c>
      <c r="K8798" t="s">
        <v>42</v>
      </c>
      <c r="L8798" t="s">
        <v>448</v>
      </c>
      <c r="Q8798">
        <v>23796</v>
      </c>
      <c r="R8798" t="s">
        <v>95</v>
      </c>
      <c r="S8798" t="s">
        <v>2808</v>
      </c>
      <c r="T8798">
        <v>28</v>
      </c>
      <c r="U8798" s="2" t="s">
        <v>52930</v>
      </c>
      <c r="W8798" t="s">
        <v>360</v>
      </c>
      <c r="X8798">
        <v>807155</v>
      </c>
      <c r="Y8798" t="s">
        <v>52931</v>
      </c>
      <c r="Z8798" t="s">
        <v>40978</v>
      </c>
      <c r="AA8798" t="s">
        <v>19984</v>
      </c>
      <c r="AB8798" t="s">
        <v>52932</v>
      </c>
      <c r="AC8798" t="s">
        <v>52933</v>
      </c>
      <c r="AG8798" t="s">
        <v>52934</v>
      </c>
      <c r="AH8798" t="s">
        <v>52935</v>
      </c>
      <c r="AI8798" t="s">
        <v>52936</v>
      </c>
    </row>
    <row r="8799" spans="2:35" ht="390">
      <c r="B8799" s="1">
        <v>45000</v>
      </c>
      <c r="C8799" s="4">
        <v>44999.440972222219</v>
      </c>
      <c r="D8799" t="s">
        <v>52928</v>
      </c>
      <c r="E8799" t="s">
        <v>52929</v>
      </c>
      <c r="F8799" t="s">
        <v>148</v>
      </c>
      <c r="G8799" t="s">
        <v>447</v>
      </c>
      <c r="H8799" t="s">
        <v>150</v>
      </c>
      <c r="I8799" t="s">
        <v>40</v>
      </c>
      <c r="J8799" s="2" t="s">
        <v>190</v>
      </c>
      <c r="K8799" t="s">
        <v>42</v>
      </c>
      <c r="L8799" t="s">
        <v>448</v>
      </c>
      <c r="Q8799">
        <v>23795</v>
      </c>
      <c r="R8799" t="s">
        <v>95</v>
      </c>
      <c r="S8799" t="s">
        <v>2808</v>
      </c>
      <c r="T8799">
        <v>28</v>
      </c>
      <c r="U8799" s="2" t="s">
        <v>52930</v>
      </c>
      <c r="W8799" t="s">
        <v>360</v>
      </c>
      <c r="X8799">
        <v>807155</v>
      </c>
      <c r="Y8799" t="s">
        <v>52931</v>
      </c>
      <c r="Z8799" t="s">
        <v>40978</v>
      </c>
      <c r="AA8799" t="s">
        <v>19984</v>
      </c>
      <c r="AB8799" t="s">
        <v>52932</v>
      </c>
      <c r="AC8799" t="s">
        <v>52933</v>
      </c>
      <c r="AG8799" t="s">
        <v>52937</v>
      </c>
      <c r="AH8799" t="s">
        <v>52935</v>
      </c>
      <c r="AI8799" t="s">
        <v>52938</v>
      </c>
    </row>
    <row r="8800" spans="2:35" ht="390">
      <c r="B8800" s="1">
        <v>45000</v>
      </c>
      <c r="C8800" s="4">
        <v>44999.415972222225</v>
      </c>
      <c r="D8800" t="s">
        <v>52939</v>
      </c>
      <c r="E8800" t="s">
        <v>52940</v>
      </c>
      <c r="F8800" t="s">
        <v>148</v>
      </c>
      <c r="G8800" t="s">
        <v>447</v>
      </c>
      <c r="H8800" t="s">
        <v>150</v>
      </c>
      <c r="I8800" t="s">
        <v>94</v>
      </c>
      <c r="J8800" t="s">
        <v>525</v>
      </c>
      <c r="K8800" t="s">
        <v>42</v>
      </c>
      <c r="L8800" t="s">
        <v>448</v>
      </c>
      <c r="Q8800">
        <v>23794</v>
      </c>
      <c r="R8800" t="s">
        <v>95</v>
      </c>
      <c r="S8800" t="s">
        <v>52941</v>
      </c>
      <c r="T8800">
        <v>26</v>
      </c>
      <c r="U8800" s="2" t="s">
        <v>52942</v>
      </c>
      <c r="V8800" s="1">
        <v>44999</v>
      </c>
      <c r="W8800" t="s">
        <v>360</v>
      </c>
      <c r="X8800">
        <v>839234</v>
      </c>
      <c r="Y8800" t="s">
        <v>52943</v>
      </c>
      <c r="Z8800" t="s">
        <v>52944</v>
      </c>
      <c r="AA8800" t="s">
        <v>4487</v>
      </c>
      <c r="AB8800" t="s">
        <v>52945</v>
      </c>
      <c r="AC8800" t="s">
        <v>11545</v>
      </c>
      <c r="AD8800" t="s">
        <v>3628</v>
      </c>
      <c r="AE8800">
        <v>0</v>
      </c>
      <c r="AG8800" t="s">
        <v>52946</v>
      </c>
      <c r="AH8800" t="s">
        <v>52947</v>
      </c>
      <c r="AI8800" t="s">
        <v>52948</v>
      </c>
    </row>
    <row r="8801" spans="2:35" ht="390">
      <c r="B8801" s="1">
        <v>45000</v>
      </c>
      <c r="C8801" s="4">
        <v>44999.415972222225</v>
      </c>
      <c r="D8801" t="s">
        <v>52939</v>
      </c>
      <c r="E8801" t="s">
        <v>52940</v>
      </c>
      <c r="F8801" t="s">
        <v>148</v>
      </c>
      <c r="G8801" t="s">
        <v>447</v>
      </c>
      <c r="H8801" t="s">
        <v>150</v>
      </c>
      <c r="I8801" t="s">
        <v>94</v>
      </c>
      <c r="J8801" t="s">
        <v>525</v>
      </c>
      <c r="K8801" t="s">
        <v>42</v>
      </c>
      <c r="L8801" t="s">
        <v>448</v>
      </c>
      <c r="Q8801">
        <v>23793</v>
      </c>
      <c r="R8801" t="s">
        <v>95</v>
      </c>
      <c r="S8801" t="s">
        <v>2808</v>
      </c>
      <c r="T8801">
        <v>26</v>
      </c>
      <c r="U8801" s="2" t="s">
        <v>52942</v>
      </c>
      <c r="V8801" s="1">
        <v>44999</v>
      </c>
      <c r="W8801" t="s">
        <v>360</v>
      </c>
      <c r="X8801">
        <v>839234</v>
      </c>
      <c r="Y8801" t="s">
        <v>52943</v>
      </c>
      <c r="Z8801" t="s">
        <v>52944</v>
      </c>
      <c r="AA8801" t="s">
        <v>4487</v>
      </c>
      <c r="AB8801" t="s">
        <v>52945</v>
      </c>
      <c r="AC8801" t="s">
        <v>11545</v>
      </c>
      <c r="AD8801" t="s">
        <v>3628</v>
      </c>
      <c r="AE8801">
        <v>0</v>
      </c>
      <c r="AG8801" t="s">
        <v>52949</v>
      </c>
      <c r="AH8801" t="s">
        <v>52947</v>
      </c>
      <c r="AI8801" t="s">
        <v>52950</v>
      </c>
    </row>
    <row r="8802" spans="2:35" ht="180">
      <c r="B8802" s="1">
        <v>44999</v>
      </c>
      <c r="C8802" s="4">
        <v>44999.625694444447</v>
      </c>
      <c r="D8802" t="s">
        <v>5645</v>
      </c>
      <c r="E8802" t="s">
        <v>5652</v>
      </c>
      <c r="F8802" t="s">
        <v>1255</v>
      </c>
      <c r="G8802" t="s">
        <v>1887</v>
      </c>
      <c r="H8802" t="s">
        <v>39</v>
      </c>
      <c r="I8802" t="s">
        <v>94</v>
      </c>
      <c r="J8802" t="s">
        <v>109</v>
      </c>
      <c r="K8802" t="s">
        <v>42</v>
      </c>
      <c r="L8802" t="s">
        <v>296</v>
      </c>
      <c r="Q8802">
        <v>23792</v>
      </c>
      <c r="R8802" t="s">
        <v>119</v>
      </c>
      <c r="S8802" t="s">
        <v>52951</v>
      </c>
      <c r="T8802">
        <v>24.2</v>
      </c>
      <c r="U8802" s="2" t="s">
        <v>52952</v>
      </c>
      <c r="W8802" t="s">
        <v>23049</v>
      </c>
      <c r="X8802">
        <v>838528</v>
      </c>
      <c r="Y8802" t="s">
        <v>54</v>
      </c>
      <c r="Z8802" t="s">
        <v>9161</v>
      </c>
      <c r="AA8802" t="s">
        <v>9161</v>
      </c>
      <c r="AB8802" t="s">
        <v>972</v>
      </c>
      <c r="AG8802" t="s">
        <v>52953</v>
      </c>
      <c r="AH8802" t="s">
        <v>43438</v>
      </c>
      <c r="AI8802" t="s">
        <v>52954</v>
      </c>
    </row>
    <row r="8803" spans="2:35" ht="409.5">
      <c r="B8803" s="1">
        <v>44999</v>
      </c>
      <c r="C8803" s="4">
        <v>44999.628472222219</v>
      </c>
      <c r="D8803" t="s">
        <v>217</v>
      </c>
      <c r="E8803" t="s">
        <v>52955</v>
      </c>
      <c r="F8803">
        <v>3</v>
      </c>
      <c r="G8803" t="s">
        <v>219</v>
      </c>
      <c r="H8803" t="s">
        <v>39</v>
      </c>
      <c r="I8803" t="s">
        <v>40</v>
      </c>
      <c r="J8803" s="2" t="s">
        <v>62</v>
      </c>
      <c r="K8803" t="s">
        <v>42</v>
      </c>
      <c r="L8803" t="s">
        <v>135</v>
      </c>
      <c r="Q8803">
        <v>23791</v>
      </c>
      <c r="R8803" t="s">
        <v>45</v>
      </c>
      <c r="S8803" t="s">
        <v>47575</v>
      </c>
      <c r="T8803">
        <v>25</v>
      </c>
      <c r="U8803" s="2" t="s">
        <v>52956</v>
      </c>
      <c r="V8803" s="1">
        <v>44995</v>
      </c>
      <c r="W8803" t="s">
        <v>2680</v>
      </c>
      <c r="X8803">
        <v>804700</v>
      </c>
      <c r="Y8803" t="s">
        <v>52957</v>
      </c>
      <c r="Z8803" s="2" t="s">
        <v>2143</v>
      </c>
      <c r="AA8803" s="2" t="s">
        <v>52958</v>
      </c>
      <c r="AB8803" t="s">
        <v>52959</v>
      </c>
      <c r="AC8803" t="s">
        <v>52960</v>
      </c>
      <c r="AD8803" t="s">
        <v>34422</v>
      </c>
      <c r="AE8803">
        <v>39470</v>
      </c>
      <c r="AG8803" t="s">
        <v>52961</v>
      </c>
      <c r="AH8803" t="s">
        <v>402</v>
      </c>
      <c r="AI8803" t="s">
        <v>52962</v>
      </c>
    </row>
    <row r="8804" spans="2:35" ht="315">
      <c r="B8804" s="1">
        <v>44999</v>
      </c>
      <c r="C8804" s="4">
        <v>44999.624305555553</v>
      </c>
      <c r="D8804" t="s">
        <v>217</v>
      </c>
      <c r="E8804" t="s">
        <v>52955</v>
      </c>
      <c r="F8804">
        <v>3</v>
      </c>
      <c r="G8804" t="s">
        <v>219</v>
      </c>
      <c r="H8804" t="s">
        <v>463</v>
      </c>
      <c r="I8804" t="s">
        <v>40</v>
      </c>
      <c r="J8804" s="2" t="s">
        <v>41</v>
      </c>
      <c r="K8804" t="s">
        <v>42</v>
      </c>
      <c r="L8804" t="s">
        <v>135</v>
      </c>
      <c r="Q8804">
        <v>23790</v>
      </c>
      <c r="R8804" t="s">
        <v>45</v>
      </c>
      <c r="S8804" t="s">
        <v>47575</v>
      </c>
      <c r="T8804">
        <v>25.5</v>
      </c>
      <c r="U8804" s="2" t="s">
        <v>52963</v>
      </c>
      <c r="V8804" s="1">
        <v>44965</v>
      </c>
      <c r="W8804" t="s">
        <v>2680</v>
      </c>
      <c r="X8804">
        <v>834807</v>
      </c>
      <c r="Y8804" t="s">
        <v>52964</v>
      </c>
      <c r="Z8804" s="2" t="s">
        <v>29539</v>
      </c>
      <c r="AA8804" s="2" t="s">
        <v>47997</v>
      </c>
      <c r="AB8804" t="s">
        <v>52965</v>
      </c>
      <c r="AC8804" t="s">
        <v>52966</v>
      </c>
      <c r="AD8804" t="s">
        <v>4669</v>
      </c>
      <c r="AE8804">
        <v>39366</v>
      </c>
      <c r="AG8804" t="s">
        <v>52967</v>
      </c>
      <c r="AH8804" t="s">
        <v>402</v>
      </c>
      <c r="AI8804" t="s">
        <v>52968</v>
      </c>
    </row>
    <row r="8805" spans="2:35" ht="315">
      <c r="B8805" s="1">
        <v>44999</v>
      </c>
      <c r="C8805" s="4">
        <v>44999.619444444441</v>
      </c>
      <c r="D8805" t="s">
        <v>217</v>
      </c>
      <c r="E8805" t="s">
        <v>52969</v>
      </c>
      <c r="F8805">
        <v>3</v>
      </c>
      <c r="G8805" t="s">
        <v>219</v>
      </c>
      <c r="H8805" t="s">
        <v>463</v>
      </c>
      <c r="I8805" t="s">
        <v>40</v>
      </c>
      <c r="J8805" s="2" t="s">
        <v>41</v>
      </c>
      <c r="K8805" t="s">
        <v>42</v>
      </c>
      <c r="L8805" t="s">
        <v>135</v>
      </c>
      <c r="Q8805">
        <v>23789</v>
      </c>
      <c r="R8805" t="s">
        <v>45</v>
      </c>
      <c r="S8805" t="s">
        <v>47575</v>
      </c>
      <c r="T8805">
        <v>25</v>
      </c>
      <c r="U8805" s="2" t="s">
        <v>52956</v>
      </c>
      <c r="V8805" s="1">
        <v>44965</v>
      </c>
      <c r="W8805" t="s">
        <v>2680</v>
      </c>
      <c r="X8805">
        <v>804700</v>
      </c>
      <c r="Y8805" t="s">
        <v>52970</v>
      </c>
      <c r="Z8805" s="2" t="s">
        <v>29539</v>
      </c>
      <c r="AA8805" s="2" t="s">
        <v>47997</v>
      </c>
      <c r="AB8805" t="s">
        <v>52971</v>
      </c>
      <c r="AD8805" t="s">
        <v>4669</v>
      </c>
      <c r="AE8805">
        <v>39366</v>
      </c>
      <c r="AG8805" t="s">
        <v>52972</v>
      </c>
      <c r="AH8805" t="s">
        <v>52973</v>
      </c>
      <c r="AI8805" t="s">
        <v>52974</v>
      </c>
    </row>
    <row r="8806" spans="2:35" ht="210">
      <c r="B8806" s="1">
        <v>44999</v>
      </c>
      <c r="C8806" s="4">
        <v>44999.588888888888</v>
      </c>
      <c r="D8806" t="s">
        <v>1885</v>
      </c>
      <c r="E8806" t="s">
        <v>5652</v>
      </c>
      <c r="F8806" t="s">
        <v>1255</v>
      </c>
      <c r="G8806" t="s">
        <v>1887</v>
      </c>
      <c r="H8806" t="s">
        <v>295</v>
      </c>
      <c r="I8806" t="s">
        <v>94</v>
      </c>
      <c r="J8806" s="2" t="s">
        <v>190</v>
      </c>
      <c r="K8806" t="s">
        <v>42</v>
      </c>
      <c r="L8806" t="s">
        <v>296</v>
      </c>
      <c r="Q8806">
        <v>23788</v>
      </c>
      <c r="R8806" t="s">
        <v>45</v>
      </c>
      <c r="S8806" t="s">
        <v>25655</v>
      </c>
      <c r="T8806">
        <v>21.4</v>
      </c>
      <c r="U8806" s="2" t="s">
        <v>52975</v>
      </c>
      <c r="W8806" t="s">
        <v>23049</v>
      </c>
      <c r="X8806">
        <v>834441</v>
      </c>
      <c r="Y8806" t="s">
        <v>52976</v>
      </c>
      <c r="Z8806" s="2" t="s">
        <v>52977</v>
      </c>
      <c r="AA8806" s="2" t="s">
        <v>52978</v>
      </c>
      <c r="AB8806" t="s">
        <v>1480</v>
      </c>
      <c r="AG8806" t="s">
        <v>52979</v>
      </c>
      <c r="AH8806" t="s">
        <v>23213</v>
      </c>
      <c r="AI8806" t="s">
        <v>52980</v>
      </c>
    </row>
    <row r="8807" spans="2:35" ht="210">
      <c r="B8807" s="1">
        <v>44999</v>
      </c>
      <c r="C8807" s="4">
        <v>44999.59097222222</v>
      </c>
      <c r="D8807" t="s">
        <v>1885</v>
      </c>
      <c r="E8807" t="s">
        <v>5652</v>
      </c>
      <c r="F8807" t="s">
        <v>1255</v>
      </c>
      <c r="G8807" t="s">
        <v>1887</v>
      </c>
      <c r="H8807" t="s">
        <v>295</v>
      </c>
      <c r="I8807" t="s">
        <v>94</v>
      </c>
      <c r="J8807" s="2" t="s">
        <v>190</v>
      </c>
      <c r="K8807" t="s">
        <v>42</v>
      </c>
      <c r="L8807" t="s">
        <v>296</v>
      </c>
      <c r="Q8807">
        <v>23787</v>
      </c>
      <c r="R8807" t="s">
        <v>45</v>
      </c>
      <c r="S8807" t="s">
        <v>25655</v>
      </c>
      <c r="T8807">
        <v>22.9</v>
      </c>
      <c r="U8807" s="2" t="s">
        <v>52975</v>
      </c>
      <c r="W8807" t="s">
        <v>23049</v>
      </c>
      <c r="X8807">
        <v>834442</v>
      </c>
      <c r="Y8807" t="s">
        <v>19089</v>
      </c>
      <c r="Z8807" s="2" t="s">
        <v>52977</v>
      </c>
      <c r="AA8807" s="2" t="s">
        <v>52977</v>
      </c>
      <c r="AB8807" t="s">
        <v>16070</v>
      </c>
      <c r="AG8807" t="s">
        <v>52981</v>
      </c>
      <c r="AH8807" t="s">
        <v>23213</v>
      </c>
      <c r="AI8807" t="s">
        <v>52982</v>
      </c>
    </row>
    <row r="8808" spans="2:35" ht="285">
      <c r="B8808" s="1">
        <v>44999</v>
      </c>
      <c r="C8808" s="4">
        <v>44999.585416666669</v>
      </c>
      <c r="D8808" t="s">
        <v>1885</v>
      </c>
      <c r="E8808" t="s">
        <v>5652</v>
      </c>
      <c r="F8808" t="s">
        <v>1255</v>
      </c>
      <c r="G8808" t="s">
        <v>1887</v>
      </c>
      <c r="H8808" t="s">
        <v>6500</v>
      </c>
      <c r="I8808" t="s">
        <v>94</v>
      </c>
      <c r="J8808" s="2" t="s">
        <v>1157</v>
      </c>
      <c r="K8808" t="s">
        <v>42</v>
      </c>
      <c r="L8808" t="s">
        <v>296</v>
      </c>
      <c r="Q8808">
        <v>23786</v>
      </c>
      <c r="R8808" t="s">
        <v>119</v>
      </c>
      <c r="S8808" t="s">
        <v>25655</v>
      </c>
      <c r="T8808">
        <v>19.399999999999999</v>
      </c>
      <c r="U8808" s="2" t="s">
        <v>52975</v>
      </c>
      <c r="W8808" t="s">
        <v>23049</v>
      </c>
      <c r="X8808">
        <v>837662</v>
      </c>
      <c r="Y8808" t="s">
        <v>52983</v>
      </c>
      <c r="Z8808" s="2" t="s">
        <v>52984</v>
      </c>
      <c r="AA8808" s="2" t="s">
        <v>52984</v>
      </c>
      <c r="AB8808" t="s">
        <v>16070</v>
      </c>
      <c r="AG8808" t="s">
        <v>52985</v>
      </c>
      <c r="AH8808" t="s">
        <v>23213</v>
      </c>
      <c r="AI8808" t="s">
        <v>52986</v>
      </c>
    </row>
    <row r="8809" spans="2:35" ht="360">
      <c r="B8809" s="1">
        <v>44999</v>
      </c>
      <c r="C8809" s="4">
        <v>44999.566666666666</v>
      </c>
      <c r="D8809" t="s">
        <v>26268</v>
      </c>
      <c r="E8809" t="s">
        <v>52987</v>
      </c>
      <c r="F8809">
        <v>13</v>
      </c>
      <c r="G8809" t="s">
        <v>7763</v>
      </c>
      <c r="H8809" t="s">
        <v>2125</v>
      </c>
      <c r="I8809" t="s">
        <v>40</v>
      </c>
      <c r="J8809" s="2" t="s">
        <v>760</v>
      </c>
      <c r="K8809" t="s">
        <v>42</v>
      </c>
      <c r="L8809" t="s">
        <v>933</v>
      </c>
      <c r="Q8809">
        <v>23785</v>
      </c>
      <c r="R8809" t="s">
        <v>45</v>
      </c>
      <c r="S8809" t="s">
        <v>50668</v>
      </c>
      <c r="T8809">
        <v>23.28</v>
      </c>
      <c r="U8809" s="2" t="s">
        <v>52988</v>
      </c>
      <c r="W8809" t="s">
        <v>3662</v>
      </c>
      <c r="X8809">
        <v>815436</v>
      </c>
      <c r="Y8809" t="s">
        <v>52989</v>
      </c>
      <c r="Z8809" t="s">
        <v>52990</v>
      </c>
      <c r="AA8809" s="2" t="s">
        <v>52991</v>
      </c>
      <c r="AB8809" t="s">
        <v>52992</v>
      </c>
      <c r="AC8809" t="s">
        <v>301</v>
      </c>
      <c r="AG8809" t="s">
        <v>52993</v>
      </c>
      <c r="AH8809" t="s">
        <v>50672</v>
      </c>
      <c r="AI8809" t="s">
        <v>52994</v>
      </c>
    </row>
    <row r="8810" spans="2:35" ht="105">
      <c r="B8810" s="1">
        <v>44999</v>
      </c>
      <c r="C8810" s="4">
        <v>44999.54791666667</v>
      </c>
      <c r="D8810" t="s">
        <v>3154</v>
      </c>
      <c r="E8810" t="s">
        <v>52995</v>
      </c>
      <c r="F8810">
        <v>9</v>
      </c>
      <c r="G8810" t="s">
        <v>2197</v>
      </c>
      <c r="H8810" t="s">
        <v>35243</v>
      </c>
      <c r="I8810" t="s">
        <v>40</v>
      </c>
      <c r="J8810" s="2" t="s">
        <v>17375</v>
      </c>
      <c r="K8810" t="s">
        <v>42</v>
      </c>
      <c r="L8810" t="s">
        <v>1257</v>
      </c>
      <c r="Q8810">
        <v>23784</v>
      </c>
      <c r="R8810" t="s">
        <v>45</v>
      </c>
      <c r="S8810" t="s">
        <v>52996</v>
      </c>
      <c r="T8810">
        <v>27</v>
      </c>
      <c r="U8810" s="2" t="s">
        <v>2894</v>
      </c>
      <c r="V8810" s="1">
        <v>44999</v>
      </c>
      <c r="W8810" t="s">
        <v>2384</v>
      </c>
      <c r="X8810">
        <v>838128</v>
      </c>
      <c r="Y8810" t="s">
        <v>301</v>
      </c>
      <c r="Z8810" t="s">
        <v>52997</v>
      </c>
      <c r="AA8810" t="s">
        <v>52997</v>
      </c>
      <c r="AB8810" t="s">
        <v>7411</v>
      </c>
      <c r="AC8810" t="s">
        <v>301</v>
      </c>
      <c r="AD8810" t="s">
        <v>54</v>
      </c>
      <c r="AE8810" t="s">
        <v>54</v>
      </c>
      <c r="AG8810" t="s">
        <v>52998</v>
      </c>
      <c r="AH8810" t="s">
        <v>52999</v>
      </c>
      <c r="AI8810" t="s">
        <v>53000</v>
      </c>
    </row>
    <row r="8811" spans="2:35">
      <c r="B8811" s="1">
        <v>44999</v>
      </c>
      <c r="C8811" s="4">
        <v>44999.497916666667</v>
      </c>
      <c r="D8811" t="s">
        <v>8160</v>
      </c>
      <c r="E8811" t="s">
        <v>15636</v>
      </c>
      <c r="F8811">
        <v>11</v>
      </c>
      <c r="G8811" t="s">
        <v>1205</v>
      </c>
      <c r="H8811" t="s">
        <v>202</v>
      </c>
      <c r="I8811" t="s">
        <v>40</v>
      </c>
      <c r="J8811" t="s">
        <v>109</v>
      </c>
      <c r="K8811" t="s">
        <v>42</v>
      </c>
      <c r="L8811" t="s">
        <v>204</v>
      </c>
      <c r="Q8811">
        <v>23783</v>
      </c>
      <c r="R8811" t="s">
        <v>119</v>
      </c>
      <c r="S8811" t="s">
        <v>8162</v>
      </c>
      <c r="T8811">
        <v>27.3</v>
      </c>
      <c r="W8811" t="s">
        <v>23237</v>
      </c>
      <c r="X8811">
        <v>838401</v>
      </c>
      <c r="Y8811" t="s">
        <v>1052</v>
      </c>
      <c r="Z8811" t="s">
        <v>53001</v>
      </c>
      <c r="AA8811" t="s">
        <v>2551</v>
      </c>
      <c r="AB8811" t="s">
        <v>9590</v>
      </c>
      <c r="AG8811" t="s">
        <v>53002</v>
      </c>
      <c r="AH8811" t="s">
        <v>19818</v>
      </c>
      <c r="AI8811" t="s">
        <v>53003</v>
      </c>
    </row>
    <row r="8812" spans="2:35" ht="409.5">
      <c r="B8812" s="1">
        <v>44999</v>
      </c>
      <c r="C8812" s="4">
        <v>44999.478472222225</v>
      </c>
      <c r="D8812" t="s">
        <v>1222</v>
      </c>
      <c r="E8812" t="s">
        <v>53004</v>
      </c>
      <c r="F8812">
        <v>3</v>
      </c>
      <c r="G8812" t="s">
        <v>284</v>
      </c>
      <c r="H8812" t="s">
        <v>39</v>
      </c>
      <c r="I8812" t="s">
        <v>40</v>
      </c>
      <c r="J8812" s="2" t="s">
        <v>62</v>
      </c>
      <c r="K8812" t="s">
        <v>42</v>
      </c>
      <c r="L8812" t="s">
        <v>135</v>
      </c>
      <c r="Q8812">
        <v>23782</v>
      </c>
      <c r="R8812" t="s">
        <v>119</v>
      </c>
      <c r="S8812" t="s">
        <v>29068</v>
      </c>
      <c r="T8812">
        <v>27.7</v>
      </c>
      <c r="U8812" s="2" t="s">
        <v>53005</v>
      </c>
      <c r="V8812" s="1">
        <v>44964</v>
      </c>
      <c r="W8812" t="s">
        <v>2680</v>
      </c>
      <c r="X8812">
        <v>831607</v>
      </c>
      <c r="Y8812" t="s">
        <v>53006</v>
      </c>
      <c r="Z8812" s="2" t="s">
        <v>2143</v>
      </c>
      <c r="AA8812" s="2" t="s">
        <v>53007</v>
      </c>
      <c r="AB8812" t="s">
        <v>53008</v>
      </c>
      <c r="AC8812" t="s">
        <v>53009</v>
      </c>
      <c r="AD8812" t="s">
        <v>53010</v>
      </c>
      <c r="AE8812">
        <v>9596</v>
      </c>
      <c r="AG8812" t="s">
        <v>53011</v>
      </c>
      <c r="AH8812" t="s">
        <v>53012</v>
      </c>
      <c r="AI8812" t="s">
        <v>53013</v>
      </c>
    </row>
    <row r="8813" spans="2:35" ht="270">
      <c r="B8813" s="1">
        <v>44999</v>
      </c>
      <c r="C8813" s="4">
        <v>44999.461805555555</v>
      </c>
      <c r="D8813" t="s">
        <v>52878</v>
      </c>
      <c r="E8813" t="s">
        <v>52879</v>
      </c>
      <c r="F8813">
        <v>9</v>
      </c>
      <c r="G8813" t="s">
        <v>2903</v>
      </c>
      <c r="H8813" t="s">
        <v>1047</v>
      </c>
      <c r="I8813" t="s">
        <v>94</v>
      </c>
      <c r="J8813" t="s">
        <v>321</v>
      </c>
      <c r="K8813" t="s">
        <v>42</v>
      </c>
      <c r="L8813" t="s">
        <v>43100</v>
      </c>
      <c r="Q8813">
        <v>23781</v>
      </c>
      <c r="R8813" t="s">
        <v>45</v>
      </c>
      <c r="S8813" t="s">
        <v>52880</v>
      </c>
      <c r="T8813">
        <v>26</v>
      </c>
      <c r="U8813" s="2" t="s">
        <v>52881</v>
      </c>
      <c r="W8813" t="s">
        <v>43102</v>
      </c>
      <c r="X8813">
        <v>807596</v>
      </c>
      <c r="Y8813" t="s">
        <v>301</v>
      </c>
      <c r="Z8813" t="s">
        <v>52882</v>
      </c>
      <c r="AA8813" s="2" t="s">
        <v>52883</v>
      </c>
      <c r="AB8813" t="s">
        <v>486</v>
      </c>
      <c r="AG8813" t="s">
        <v>53014</v>
      </c>
      <c r="AH8813" t="s">
        <v>52885</v>
      </c>
      <c r="AI8813" t="s">
        <v>53015</v>
      </c>
    </row>
    <row r="8814" spans="2:35" ht="360">
      <c r="B8814" s="1">
        <v>44999</v>
      </c>
      <c r="C8814" s="4">
        <v>44999.456250000003</v>
      </c>
      <c r="D8814" t="s">
        <v>1885</v>
      </c>
      <c r="E8814" t="s">
        <v>5652</v>
      </c>
      <c r="F8814" t="s">
        <v>1255</v>
      </c>
      <c r="G8814" t="s">
        <v>1887</v>
      </c>
      <c r="H8814" t="s">
        <v>53016</v>
      </c>
      <c r="I8814" t="s">
        <v>94</v>
      </c>
      <c r="J8814" t="s">
        <v>109</v>
      </c>
      <c r="K8814" t="s">
        <v>42</v>
      </c>
      <c r="L8814" t="s">
        <v>296</v>
      </c>
      <c r="Q8814">
        <v>23780</v>
      </c>
      <c r="R8814" t="s">
        <v>45</v>
      </c>
      <c r="S8814" t="s">
        <v>25655</v>
      </c>
      <c r="T8814">
        <v>19.3</v>
      </c>
      <c r="U8814" s="2" t="s">
        <v>53017</v>
      </c>
      <c r="W8814" t="s">
        <v>23049</v>
      </c>
      <c r="X8814">
        <v>807463</v>
      </c>
      <c r="Y8814" t="s">
        <v>54</v>
      </c>
      <c r="Z8814" t="s">
        <v>9161</v>
      </c>
      <c r="AA8814" t="s">
        <v>9161</v>
      </c>
      <c r="AB8814" t="s">
        <v>972</v>
      </c>
      <c r="AG8814" t="s">
        <v>53018</v>
      </c>
      <c r="AH8814" t="s">
        <v>23213</v>
      </c>
      <c r="AI8814" t="s">
        <v>53019</v>
      </c>
    </row>
    <row r="8815" spans="2:35" ht="360">
      <c r="B8815" s="1">
        <v>44999</v>
      </c>
      <c r="C8815" s="4">
        <v>44999.456250000003</v>
      </c>
      <c r="D8815" t="s">
        <v>1885</v>
      </c>
      <c r="E8815" t="s">
        <v>5652</v>
      </c>
      <c r="F8815" t="s">
        <v>1255</v>
      </c>
      <c r="G8815" t="s">
        <v>1887</v>
      </c>
      <c r="H8815" t="s">
        <v>53016</v>
      </c>
      <c r="I8815" t="s">
        <v>94</v>
      </c>
      <c r="J8815" t="s">
        <v>109</v>
      </c>
      <c r="K8815" t="s">
        <v>42</v>
      </c>
      <c r="L8815" t="s">
        <v>296</v>
      </c>
      <c r="Q8815">
        <v>23779</v>
      </c>
      <c r="R8815" t="s">
        <v>45</v>
      </c>
      <c r="S8815" t="s">
        <v>25655</v>
      </c>
      <c r="T8815">
        <v>19.3</v>
      </c>
      <c r="U8815" s="2" t="s">
        <v>53017</v>
      </c>
      <c r="W8815" t="s">
        <v>23049</v>
      </c>
      <c r="X8815">
        <v>807463</v>
      </c>
      <c r="Y8815" t="s">
        <v>54</v>
      </c>
      <c r="Z8815" t="s">
        <v>9161</v>
      </c>
      <c r="AA8815" t="s">
        <v>9161</v>
      </c>
      <c r="AB8815" t="s">
        <v>972</v>
      </c>
      <c r="AG8815" t="s">
        <v>53020</v>
      </c>
      <c r="AH8815" t="s">
        <v>23213</v>
      </c>
      <c r="AI8815" t="s">
        <v>53021</v>
      </c>
    </row>
    <row r="8816" spans="2:35" ht="360">
      <c r="B8816" s="1">
        <v>44999</v>
      </c>
      <c r="C8816" s="4">
        <v>44999.45208333333</v>
      </c>
      <c r="D8816" t="s">
        <v>1885</v>
      </c>
      <c r="E8816" t="s">
        <v>5652</v>
      </c>
      <c r="F8816" t="s">
        <v>1255</v>
      </c>
      <c r="G8816" t="s">
        <v>1887</v>
      </c>
      <c r="H8816" t="s">
        <v>53016</v>
      </c>
      <c r="I8816" t="s">
        <v>94</v>
      </c>
      <c r="J8816" s="2" t="s">
        <v>41</v>
      </c>
      <c r="K8816" t="s">
        <v>42</v>
      </c>
      <c r="L8816" t="s">
        <v>296</v>
      </c>
      <c r="Q8816">
        <v>23778</v>
      </c>
      <c r="R8816" t="s">
        <v>45</v>
      </c>
      <c r="S8816" t="s">
        <v>25655</v>
      </c>
      <c r="T8816">
        <v>19.8</v>
      </c>
      <c r="U8816" s="2" t="s">
        <v>53017</v>
      </c>
      <c r="V8816" s="1">
        <v>44999</v>
      </c>
      <c r="W8816" t="s">
        <v>23049</v>
      </c>
      <c r="X8816">
        <v>807607</v>
      </c>
      <c r="Y8816" t="s">
        <v>54</v>
      </c>
      <c r="Z8816" s="2" t="s">
        <v>53022</v>
      </c>
      <c r="AA8816" s="2" t="s">
        <v>53022</v>
      </c>
      <c r="AB8816" t="s">
        <v>972</v>
      </c>
      <c r="AD8816" t="s">
        <v>53023</v>
      </c>
      <c r="AE8816" t="s">
        <v>53024</v>
      </c>
      <c r="AG8816" t="s">
        <v>53025</v>
      </c>
      <c r="AH8816" t="s">
        <v>23213</v>
      </c>
      <c r="AI8816" t="s">
        <v>53026</v>
      </c>
    </row>
    <row r="8817" spans="2:35" ht="409.5">
      <c r="B8817" s="1">
        <v>44999</v>
      </c>
      <c r="C8817" s="4">
        <v>44999.443055555559</v>
      </c>
      <c r="D8817" t="s">
        <v>1885</v>
      </c>
      <c r="E8817" t="s">
        <v>5652</v>
      </c>
      <c r="F8817" t="s">
        <v>1255</v>
      </c>
      <c r="G8817" t="s">
        <v>1887</v>
      </c>
      <c r="H8817" t="s">
        <v>53016</v>
      </c>
      <c r="I8817" t="s">
        <v>94</v>
      </c>
      <c r="J8817" s="2" t="s">
        <v>62</v>
      </c>
      <c r="K8817" t="s">
        <v>42</v>
      </c>
      <c r="L8817" t="s">
        <v>296</v>
      </c>
      <c r="Q8817">
        <v>23777</v>
      </c>
      <c r="R8817" t="s">
        <v>45</v>
      </c>
      <c r="S8817" t="s">
        <v>25655</v>
      </c>
      <c r="T8817">
        <v>25.8</v>
      </c>
      <c r="U8817" s="2" t="s">
        <v>53027</v>
      </c>
      <c r="V8817" s="1">
        <v>44999</v>
      </c>
      <c r="W8817" t="s">
        <v>12540</v>
      </c>
      <c r="X8817">
        <v>839307</v>
      </c>
      <c r="Y8817" t="s">
        <v>54</v>
      </c>
      <c r="Z8817" s="2" t="s">
        <v>52905</v>
      </c>
      <c r="AA8817" s="2" t="s">
        <v>52905</v>
      </c>
      <c r="AB8817" t="s">
        <v>25660</v>
      </c>
      <c r="AC8817" t="s">
        <v>53028</v>
      </c>
      <c r="AD8817" t="s">
        <v>46458</v>
      </c>
      <c r="AE8817" t="s">
        <v>52907</v>
      </c>
      <c r="AG8817" t="s">
        <v>53029</v>
      </c>
      <c r="AH8817" t="s">
        <v>23213</v>
      </c>
      <c r="AI8817" t="s">
        <v>53030</v>
      </c>
    </row>
    <row r="8818" spans="2:35">
      <c r="B8818" s="1">
        <v>44999</v>
      </c>
      <c r="C8818" s="4">
        <v>44999.446527777778</v>
      </c>
      <c r="D8818" t="s">
        <v>1825</v>
      </c>
      <c r="E8818" t="s">
        <v>1555</v>
      </c>
      <c r="F8818">
        <v>7</v>
      </c>
      <c r="G8818" t="s">
        <v>432</v>
      </c>
      <c r="H8818" t="s">
        <v>39</v>
      </c>
      <c r="I8818" t="s">
        <v>94</v>
      </c>
      <c r="J8818" t="s">
        <v>321</v>
      </c>
      <c r="K8818" t="s">
        <v>42</v>
      </c>
      <c r="L8818" t="s">
        <v>433</v>
      </c>
      <c r="Q8818">
        <v>23776</v>
      </c>
      <c r="R8818" t="s">
        <v>45</v>
      </c>
      <c r="S8818" t="s">
        <v>53031</v>
      </c>
      <c r="T8818">
        <v>25</v>
      </c>
      <c r="V8818" s="1">
        <v>44999</v>
      </c>
      <c r="W8818" t="s">
        <v>84</v>
      </c>
      <c r="X8818">
        <v>838882</v>
      </c>
      <c r="Y8818" t="s">
        <v>13546</v>
      </c>
      <c r="Z8818" t="s">
        <v>53032</v>
      </c>
      <c r="AA8818" t="s">
        <v>53032</v>
      </c>
      <c r="AB8818" t="s">
        <v>1011</v>
      </c>
      <c r="AC8818" t="s">
        <v>53033</v>
      </c>
      <c r="AD8818" t="s">
        <v>53034</v>
      </c>
      <c r="AE8818" t="s">
        <v>53035</v>
      </c>
      <c r="AG8818" t="s">
        <v>53036</v>
      </c>
      <c r="AH8818" t="s">
        <v>53037</v>
      </c>
      <c r="AI8818" t="s">
        <v>53038</v>
      </c>
    </row>
    <row r="8819" spans="2:35" ht="409.5">
      <c r="B8819" s="1">
        <v>44999</v>
      </c>
      <c r="C8819" s="4">
        <v>44999.368055555555</v>
      </c>
      <c r="D8819" t="s">
        <v>1885</v>
      </c>
      <c r="E8819" t="s">
        <v>5652</v>
      </c>
      <c r="F8819" t="s">
        <v>1255</v>
      </c>
      <c r="G8819" t="s">
        <v>1887</v>
      </c>
      <c r="H8819" t="s">
        <v>53039</v>
      </c>
      <c r="I8819" t="s">
        <v>94</v>
      </c>
      <c r="J8819" t="s">
        <v>321</v>
      </c>
      <c r="K8819" t="s">
        <v>42</v>
      </c>
      <c r="L8819" t="s">
        <v>296</v>
      </c>
      <c r="Q8819">
        <v>23775</v>
      </c>
      <c r="R8819" t="s">
        <v>45</v>
      </c>
      <c r="S8819" t="s">
        <v>53040</v>
      </c>
      <c r="T8819">
        <v>26</v>
      </c>
      <c r="W8819" t="s">
        <v>22426</v>
      </c>
      <c r="X8819">
        <v>110016958</v>
      </c>
      <c r="Y8819" t="s">
        <v>54</v>
      </c>
      <c r="Z8819" s="2" t="s">
        <v>53041</v>
      </c>
      <c r="AA8819" t="s">
        <v>9387</v>
      </c>
      <c r="AB8819" t="s">
        <v>972</v>
      </c>
      <c r="AC8819" t="s">
        <v>53042</v>
      </c>
      <c r="AG8819" t="s">
        <v>53043</v>
      </c>
      <c r="AH8819" t="s">
        <v>49640</v>
      </c>
      <c r="AI8819" t="s">
        <v>53044</v>
      </c>
    </row>
    <row r="8820" spans="2:35" ht="330">
      <c r="B8820" s="1">
        <v>44998</v>
      </c>
      <c r="C8820" s="4">
        <v>44998.617361111108</v>
      </c>
      <c r="D8820" t="s">
        <v>2408</v>
      </c>
      <c r="E8820" t="s">
        <v>53045</v>
      </c>
      <c r="F8820">
        <v>3</v>
      </c>
      <c r="G8820" t="s">
        <v>730</v>
      </c>
      <c r="H8820" t="s">
        <v>39</v>
      </c>
      <c r="I8820" t="s">
        <v>40</v>
      </c>
      <c r="J8820" s="2" t="s">
        <v>41</v>
      </c>
      <c r="K8820" t="s">
        <v>42</v>
      </c>
      <c r="L8820" t="s">
        <v>135</v>
      </c>
      <c r="Q8820">
        <v>23774</v>
      </c>
      <c r="R8820" t="s">
        <v>45</v>
      </c>
      <c r="S8820" t="s">
        <v>2410</v>
      </c>
      <c r="T8820">
        <v>25</v>
      </c>
      <c r="U8820" s="2" t="s">
        <v>53046</v>
      </c>
      <c r="V8820" s="1">
        <v>44993</v>
      </c>
      <c r="W8820" t="s">
        <v>2680</v>
      </c>
      <c r="X8820">
        <v>807562</v>
      </c>
      <c r="Y8820" s="2" t="s">
        <v>53047</v>
      </c>
      <c r="Z8820" s="2" t="s">
        <v>53048</v>
      </c>
      <c r="AA8820" s="2" t="s">
        <v>53049</v>
      </c>
      <c r="AB8820" t="s">
        <v>53050</v>
      </c>
      <c r="AC8820" t="s">
        <v>53051</v>
      </c>
      <c r="AD8820" t="s">
        <v>4669</v>
      </c>
      <c r="AE8820">
        <v>39359</v>
      </c>
      <c r="AG8820" t="s">
        <v>53052</v>
      </c>
      <c r="AH8820" t="s">
        <v>51737</v>
      </c>
      <c r="AI8820" t="s">
        <v>53053</v>
      </c>
    </row>
    <row r="8821" spans="2:35" ht="409.5">
      <c r="B8821" s="1">
        <v>44998</v>
      </c>
      <c r="C8821" s="4">
        <v>44998.549305555556</v>
      </c>
      <c r="D8821" t="s">
        <v>25068</v>
      </c>
      <c r="E8821" t="s">
        <v>53054</v>
      </c>
      <c r="F8821">
        <v>3</v>
      </c>
      <c r="G8821" t="s">
        <v>730</v>
      </c>
      <c r="H8821" t="s">
        <v>39</v>
      </c>
      <c r="I8821" t="s">
        <v>40</v>
      </c>
      <c r="J8821" s="2" t="s">
        <v>62</v>
      </c>
      <c r="K8821" t="s">
        <v>42</v>
      </c>
      <c r="L8821" t="s">
        <v>135</v>
      </c>
      <c r="Q8821">
        <v>23773</v>
      </c>
      <c r="R8821" t="s">
        <v>119</v>
      </c>
      <c r="S8821" t="s">
        <v>25070</v>
      </c>
      <c r="T8821">
        <v>31</v>
      </c>
      <c r="U8821" s="2" t="s">
        <v>53055</v>
      </c>
      <c r="V8821" s="1">
        <v>44958</v>
      </c>
      <c r="W8821" t="s">
        <v>2680</v>
      </c>
      <c r="X8821">
        <v>831591</v>
      </c>
      <c r="Y8821" s="2" t="s">
        <v>53056</v>
      </c>
      <c r="Z8821" s="2" t="s">
        <v>53057</v>
      </c>
      <c r="AA8821" s="2" t="s">
        <v>53058</v>
      </c>
      <c r="AB8821" t="s">
        <v>53059</v>
      </c>
      <c r="AC8821" t="s">
        <v>53060</v>
      </c>
      <c r="AD8821" t="s">
        <v>53061</v>
      </c>
      <c r="AE8821">
        <v>9564</v>
      </c>
      <c r="AG8821" t="s">
        <v>53062</v>
      </c>
      <c r="AH8821" t="s">
        <v>53063</v>
      </c>
      <c r="AI8821" t="s">
        <v>53064</v>
      </c>
    </row>
    <row r="8822" spans="2:35">
      <c r="B8822" s="1">
        <v>44998</v>
      </c>
      <c r="C8822" s="4">
        <v>44998.718055555553</v>
      </c>
      <c r="D8822" t="s">
        <v>1885</v>
      </c>
      <c r="E8822" t="s">
        <v>5652</v>
      </c>
      <c r="F8822" t="s">
        <v>1255</v>
      </c>
      <c r="G8822" t="s">
        <v>1887</v>
      </c>
      <c r="H8822" t="s">
        <v>44882</v>
      </c>
      <c r="I8822" t="s">
        <v>94</v>
      </c>
      <c r="J8822" t="s">
        <v>321</v>
      </c>
      <c r="K8822" t="s">
        <v>42</v>
      </c>
      <c r="L8822" t="s">
        <v>296</v>
      </c>
      <c r="Q8822">
        <v>23772</v>
      </c>
      <c r="R8822" t="s">
        <v>45</v>
      </c>
      <c r="S8822" t="s">
        <v>25655</v>
      </c>
      <c r="T8822">
        <v>26</v>
      </c>
      <c r="W8822" t="s">
        <v>22426</v>
      </c>
      <c r="X8822">
        <v>110016958</v>
      </c>
      <c r="Y8822" t="s">
        <v>54</v>
      </c>
      <c r="Z8822" t="s">
        <v>47737</v>
      </c>
      <c r="AA8822" t="s">
        <v>47737</v>
      </c>
      <c r="AB8822" t="s">
        <v>972</v>
      </c>
      <c r="AG8822" t="s">
        <v>53065</v>
      </c>
      <c r="AH8822" t="s">
        <v>23213</v>
      </c>
      <c r="AI8822" t="s">
        <v>53066</v>
      </c>
    </row>
    <row r="8823" spans="2:35" ht="345">
      <c r="B8823" s="1">
        <v>44998</v>
      </c>
      <c r="C8823" s="4">
        <v>44995.538888888892</v>
      </c>
      <c r="D8823" t="s">
        <v>38263</v>
      </c>
      <c r="E8823" t="s">
        <v>53067</v>
      </c>
      <c r="F8823" t="s">
        <v>37</v>
      </c>
      <c r="G8823" t="s">
        <v>189</v>
      </c>
      <c r="H8823" t="s">
        <v>39</v>
      </c>
      <c r="I8823" t="s">
        <v>40</v>
      </c>
      <c r="J8823" s="2" t="s">
        <v>190</v>
      </c>
      <c r="K8823" t="s">
        <v>42</v>
      </c>
      <c r="L8823" t="s">
        <v>1028</v>
      </c>
      <c r="Q8823">
        <v>23771</v>
      </c>
      <c r="R8823" t="s">
        <v>45</v>
      </c>
      <c r="S8823" t="s">
        <v>38265</v>
      </c>
      <c r="T8823">
        <v>27</v>
      </c>
      <c r="U8823" s="2" t="s">
        <v>41348</v>
      </c>
      <c r="W8823" t="s">
        <v>2680</v>
      </c>
      <c r="X8823">
        <v>807581</v>
      </c>
      <c r="Y8823" t="s">
        <v>53068</v>
      </c>
      <c r="Z8823" s="2" t="s">
        <v>53069</v>
      </c>
      <c r="AA8823" s="2" t="s">
        <v>53070</v>
      </c>
      <c r="AB8823" t="s">
        <v>7886</v>
      </c>
      <c r="AC8823" t="s">
        <v>53071</v>
      </c>
      <c r="AG8823" t="s">
        <v>53072</v>
      </c>
      <c r="AH8823" t="s">
        <v>38268</v>
      </c>
      <c r="AI8823" t="s">
        <v>53073</v>
      </c>
    </row>
    <row r="8824" spans="2:35" ht="180">
      <c r="B8824" s="1">
        <v>44998</v>
      </c>
      <c r="C8824" s="4">
        <v>44998.65902777778</v>
      </c>
      <c r="D8824" t="s">
        <v>23687</v>
      </c>
      <c r="E8824" t="s">
        <v>53074</v>
      </c>
      <c r="F8824">
        <v>3</v>
      </c>
      <c r="G8824" t="s">
        <v>1722</v>
      </c>
      <c r="H8824" t="s">
        <v>39</v>
      </c>
      <c r="I8824" t="s">
        <v>40</v>
      </c>
      <c r="J8824" s="2" t="s">
        <v>3198</v>
      </c>
      <c r="K8824" t="s">
        <v>42</v>
      </c>
      <c r="L8824" t="s">
        <v>63</v>
      </c>
      <c r="Q8824">
        <v>23770</v>
      </c>
      <c r="R8824" t="s">
        <v>119</v>
      </c>
      <c r="S8824" t="s">
        <v>23689</v>
      </c>
      <c r="T8824">
        <v>28</v>
      </c>
      <c r="U8824" s="2" t="s">
        <v>53075</v>
      </c>
      <c r="V8824" s="1">
        <v>44998</v>
      </c>
      <c r="W8824" t="s">
        <v>26915</v>
      </c>
      <c r="X8824">
        <v>831592</v>
      </c>
      <c r="Y8824" t="s">
        <v>53076</v>
      </c>
      <c r="Z8824" t="s">
        <v>53077</v>
      </c>
      <c r="AA8824" s="2" t="s">
        <v>1727</v>
      </c>
      <c r="AB8824" t="s">
        <v>70</v>
      </c>
      <c r="AC8824" t="s">
        <v>53078</v>
      </c>
      <c r="AD8824" t="s">
        <v>32127</v>
      </c>
      <c r="AE8824" t="s">
        <v>1716</v>
      </c>
      <c r="AG8824" t="s">
        <v>53079</v>
      </c>
      <c r="AH8824" t="s">
        <v>53080</v>
      </c>
      <c r="AI8824" t="s">
        <v>53081</v>
      </c>
    </row>
    <row r="8825" spans="2:35" ht="255">
      <c r="B8825" s="1">
        <v>44998</v>
      </c>
      <c r="C8825" s="4">
        <v>44998.572222222225</v>
      </c>
      <c r="D8825" t="s">
        <v>1071</v>
      </c>
      <c r="E8825" t="s">
        <v>1555</v>
      </c>
      <c r="F8825">
        <v>7</v>
      </c>
      <c r="G8825" t="s">
        <v>432</v>
      </c>
      <c r="H8825" t="s">
        <v>150</v>
      </c>
      <c r="I8825" t="s">
        <v>40</v>
      </c>
      <c r="J8825" t="s">
        <v>53082</v>
      </c>
      <c r="K8825" t="s">
        <v>42</v>
      </c>
      <c r="L8825" t="s">
        <v>343</v>
      </c>
      <c r="Q8825">
        <v>23769</v>
      </c>
      <c r="R8825" t="s">
        <v>119</v>
      </c>
      <c r="S8825" t="s">
        <v>8679</v>
      </c>
      <c r="T8825">
        <v>22.9</v>
      </c>
      <c r="U8825" s="2" t="s">
        <v>53083</v>
      </c>
      <c r="W8825" t="s">
        <v>6105</v>
      </c>
      <c r="X8825">
        <v>820206</v>
      </c>
      <c r="Y8825" t="s">
        <v>301</v>
      </c>
      <c r="Z8825" t="s">
        <v>301</v>
      </c>
      <c r="AA8825" t="s">
        <v>53084</v>
      </c>
      <c r="AB8825" t="s">
        <v>45625</v>
      </c>
      <c r="AC8825" t="s">
        <v>53085</v>
      </c>
      <c r="AG8825" t="s">
        <v>53086</v>
      </c>
      <c r="AH8825" t="s">
        <v>16851</v>
      </c>
      <c r="AI8825" t="s">
        <v>53087</v>
      </c>
    </row>
    <row r="8826" spans="2:35" ht="225">
      <c r="B8826" s="1">
        <v>44998</v>
      </c>
      <c r="C8826" s="4">
        <v>44995.5625</v>
      </c>
      <c r="D8826" t="s">
        <v>1107</v>
      </c>
      <c r="E8826" t="s">
        <v>33952</v>
      </c>
      <c r="F8826" t="s">
        <v>37</v>
      </c>
      <c r="G8826" t="s">
        <v>38</v>
      </c>
      <c r="H8826" t="s">
        <v>39</v>
      </c>
      <c r="I8826" t="s">
        <v>40</v>
      </c>
      <c r="J8826" s="2" t="s">
        <v>1444</v>
      </c>
      <c r="K8826" t="s">
        <v>42</v>
      </c>
      <c r="L8826" t="s">
        <v>43</v>
      </c>
      <c r="Q8826">
        <v>23768</v>
      </c>
      <c r="R8826" t="s">
        <v>119</v>
      </c>
      <c r="S8826" t="s">
        <v>53088</v>
      </c>
      <c r="T8826">
        <v>23</v>
      </c>
      <c r="U8826" s="2" t="s">
        <v>53089</v>
      </c>
      <c r="W8826" t="s">
        <v>9792</v>
      </c>
      <c r="X8826">
        <v>819864</v>
      </c>
      <c r="Y8826" t="s">
        <v>53090</v>
      </c>
      <c r="Z8826" t="s">
        <v>53091</v>
      </c>
      <c r="AA8826" s="2" t="s">
        <v>53092</v>
      </c>
      <c r="AB8826" t="s">
        <v>53093</v>
      </c>
      <c r="AC8826" t="s">
        <v>53094</v>
      </c>
      <c r="AG8826" t="s">
        <v>53095</v>
      </c>
      <c r="AH8826" t="s">
        <v>53096</v>
      </c>
      <c r="AI8826" t="s">
        <v>53097</v>
      </c>
    </row>
    <row r="8827" spans="2:35" ht="285">
      <c r="B8827" s="1">
        <v>44998</v>
      </c>
      <c r="C8827" s="4">
        <v>44994.592361111114</v>
      </c>
      <c r="D8827" t="s">
        <v>25524</v>
      </c>
      <c r="E8827" t="s">
        <v>32075</v>
      </c>
      <c r="F8827" t="s">
        <v>37</v>
      </c>
      <c r="G8827" t="s">
        <v>78</v>
      </c>
      <c r="H8827" t="s">
        <v>39</v>
      </c>
      <c r="I8827" t="s">
        <v>40</v>
      </c>
      <c r="J8827" s="2" t="s">
        <v>190</v>
      </c>
      <c r="K8827" t="s">
        <v>42</v>
      </c>
      <c r="L8827" t="s">
        <v>43</v>
      </c>
      <c r="Q8827">
        <v>23767</v>
      </c>
      <c r="R8827" t="s">
        <v>45</v>
      </c>
      <c r="S8827" t="s">
        <v>25534</v>
      </c>
      <c r="T8827">
        <v>23</v>
      </c>
      <c r="U8827" s="2" t="s">
        <v>53098</v>
      </c>
      <c r="W8827" t="s">
        <v>9792</v>
      </c>
      <c r="X8827">
        <v>807568</v>
      </c>
      <c r="Y8827" t="s">
        <v>53099</v>
      </c>
      <c r="Z8827" t="s">
        <v>53100</v>
      </c>
      <c r="AA8827" s="2" t="s">
        <v>53101</v>
      </c>
      <c r="AB8827" t="s">
        <v>10026</v>
      </c>
      <c r="AC8827" t="s">
        <v>53102</v>
      </c>
      <c r="AG8827" t="s">
        <v>53103</v>
      </c>
      <c r="AH8827" t="s">
        <v>25532</v>
      </c>
      <c r="AI8827" t="s">
        <v>53104</v>
      </c>
    </row>
    <row r="8828" spans="2:35" ht="180">
      <c r="B8828" s="1">
        <v>44998</v>
      </c>
      <c r="C8828" s="4">
        <v>44992.443749999999</v>
      </c>
      <c r="D8828" t="s">
        <v>1962</v>
      </c>
      <c r="E8828" t="s">
        <v>53105</v>
      </c>
      <c r="F8828" t="s">
        <v>148</v>
      </c>
      <c r="G8828" t="s">
        <v>1964</v>
      </c>
      <c r="H8828" t="s">
        <v>39</v>
      </c>
      <c r="I8828" t="s">
        <v>40</v>
      </c>
      <c r="J8828" s="2" t="s">
        <v>62</v>
      </c>
      <c r="K8828" t="s">
        <v>42</v>
      </c>
      <c r="L8828" t="s">
        <v>43</v>
      </c>
      <c r="Q8828">
        <v>23763</v>
      </c>
      <c r="R8828" t="s">
        <v>45</v>
      </c>
      <c r="S8828" t="s">
        <v>24729</v>
      </c>
      <c r="T8828">
        <v>25</v>
      </c>
      <c r="U8828" s="2" t="s">
        <v>53106</v>
      </c>
      <c r="W8828" t="s">
        <v>9792</v>
      </c>
      <c r="X8828">
        <v>805113</v>
      </c>
      <c r="Y8828" t="s">
        <v>1111</v>
      </c>
      <c r="Z8828" t="s">
        <v>1519</v>
      </c>
      <c r="AA8828" s="2" t="s">
        <v>38266</v>
      </c>
      <c r="AB8828" t="s">
        <v>24813</v>
      </c>
      <c r="AG8828" t="s">
        <v>53107</v>
      </c>
      <c r="AH8828" t="s">
        <v>24736</v>
      </c>
      <c r="AI8828" t="s">
        <v>53108</v>
      </c>
    </row>
    <row r="8829" spans="2:35" ht="270">
      <c r="B8829" s="1">
        <v>44998</v>
      </c>
      <c r="C8829" s="4">
        <v>44993.468055555553</v>
      </c>
      <c r="D8829" t="s">
        <v>5158</v>
      </c>
      <c r="E8829" t="s">
        <v>53109</v>
      </c>
      <c r="F8829" t="s">
        <v>148</v>
      </c>
      <c r="G8829" t="s">
        <v>310</v>
      </c>
      <c r="H8829" t="s">
        <v>39</v>
      </c>
      <c r="I8829" t="s">
        <v>40</v>
      </c>
      <c r="J8829" s="2" t="s">
        <v>41</v>
      </c>
      <c r="K8829" t="s">
        <v>42</v>
      </c>
      <c r="L8829" t="s">
        <v>43</v>
      </c>
      <c r="Q8829">
        <v>23764</v>
      </c>
      <c r="R8829" t="s">
        <v>322</v>
      </c>
      <c r="S8829" t="s">
        <v>53110</v>
      </c>
      <c r="T8829">
        <v>25</v>
      </c>
      <c r="U8829" s="2" t="s">
        <v>53111</v>
      </c>
      <c r="V8829" s="1">
        <v>44992</v>
      </c>
      <c r="W8829" t="s">
        <v>5136</v>
      </c>
      <c r="X8829">
        <v>110013856</v>
      </c>
      <c r="Y8829" t="s">
        <v>53112</v>
      </c>
      <c r="Z8829" t="s">
        <v>7399</v>
      </c>
      <c r="AA8829" s="2" t="s">
        <v>50824</v>
      </c>
      <c r="AB8829" t="s">
        <v>16412</v>
      </c>
      <c r="AD8829" s="2" t="s">
        <v>53113</v>
      </c>
      <c r="AE8829" t="s">
        <v>53114</v>
      </c>
      <c r="AG8829" t="s">
        <v>53115</v>
      </c>
      <c r="AH8829" t="s">
        <v>5165</v>
      </c>
      <c r="AI8829" t="s">
        <v>53116</v>
      </c>
    </row>
    <row r="8830" spans="2:35" ht="225">
      <c r="B8830" s="1">
        <v>44998</v>
      </c>
      <c r="C8830" s="4">
        <v>44992.550694444442</v>
      </c>
      <c r="D8830" t="s">
        <v>2449</v>
      </c>
      <c r="E8830" t="s">
        <v>53117</v>
      </c>
      <c r="F8830" t="s">
        <v>148</v>
      </c>
      <c r="G8830" t="s">
        <v>1964</v>
      </c>
      <c r="H8830" t="s">
        <v>39</v>
      </c>
      <c r="I8830" t="s">
        <v>40</v>
      </c>
      <c r="J8830" t="s">
        <v>109</v>
      </c>
      <c r="K8830" t="s">
        <v>42</v>
      </c>
      <c r="L8830" t="s">
        <v>43</v>
      </c>
      <c r="Q8830">
        <v>23765</v>
      </c>
      <c r="R8830" t="s">
        <v>119</v>
      </c>
      <c r="S8830" t="s">
        <v>2451</v>
      </c>
      <c r="T8830">
        <v>24</v>
      </c>
      <c r="U8830" s="2" t="s">
        <v>53118</v>
      </c>
      <c r="W8830" t="s">
        <v>9792</v>
      </c>
      <c r="X8830">
        <v>831898</v>
      </c>
      <c r="Y8830" t="s">
        <v>121</v>
      </c>
      <c r="Z8830" t="s">
        <v>122</v>
      </c>
      <c r="AA8830" s="2" t="s">
        <v>53119</v>
      </c>
      <c r="AB8830" t="s">
        <v>16412</v>
      </c>
      <c r="AG8830" t="s">
        <v>53120</v>
      </c>
      <c r="AH8830" t="s">
        <v>2458</v>
      </c>
      <c r="AI8830" t="s">
        <v>53121</v>
      </c>
    </row>
    <row r="8831" spans="2:35" ht="195">
      <c r="B8831" s="1">
        <v>44998</v>
      </c>
      <c r="C8831" s="4">
        <v>44994.552777777775</v>
      </c>
      <c r="D8831" t="s">
        <v>7600</v>
      </c>
      <c r="E8831" t="s">
        <v>27759</v>
      </c>
      <c r="F8831" t="s">
        <v>37</v>
      </c>
      <c r="G8831" t="s">
        <v>78</v>
      </c>
      <c r="H8831" t="s">
        <v>39</v>
      </c>
      <c r="I8831" t="s">
        <v>40</v>
      </c>
      <c r="J8831" s="2" t="s">
        <v>190</v>
      </c>
      <c r="K8831" t="s">
        <v>42</v>
      </c>
      <c r="L8831" t="s">
        <v>43</v>
      </c>
      <c r="Q8831">
        <v>23766</v>
      </c>
      <c r="R8831" t="s">
        <v>119</v>
      </c>
      <c r="S8831" t="s">
        <v>25546</v>
      </c>
      <c r="T8831">
        <v>23</v>
      </c>
      <c r="U8831" s="2" t="s">
        <v>53122</v>
      </c>
      <c r="W8831" t="s">
        <v>9792</v>
      </c>
      <c r="X8831">
        <v>820229</v>
      </c>
      <c r="Y8831" t="s">
        <v>53123</v>
      </c>
      <c r="Z8831" t="s">
        <v>53124</v>
      </c>
      <c r="AA8831" s="2" t="s">
        <v>53125</v>
      </c>
      <c r="AB8831" t="s">
        <v>53126</v>
      </c>
      <c r="AC8831" t="s">
        <v>53127</v>
      </c>
      <c r="AG8831" t="s">
        <v>53128</v>
      </c>
      <c r="AH8831" t="s">
        <v>27762</v>
      </c>
      <c r="AI8831" t="s">
        <v>53129</v>
      </c>
    </row>
    <row r="8832" spans="2:35" ht="285">
      <c r="B8832" s="1">
        <v>44998</v>
      </c>
      <c r="C8832" s="4">
        <v>44998.563888888886</v>
      </c>
      <c r="D8832" t="s">
        <v>42136</v>
      </c>
      <c r="E8832" t="s">
        <v>2916</v>
      </c>
      <c r="F8832">
        <v>11</v>
      </c>
      <c r="G8832" t="s">
        <v>1205</v>
      </c>
      <c r="H8832" t="s">
        <v>1317</v>
      </c>
      <c r="I8832" t="s">
        <v>40</v>
      </c>
      <c r="J8832" s="2" t="s">
        <v>190</v>
      </c>
      <c r="K8832" t="s">
        <v>42</v>
      </c>
      <c r="L8832" t="s">
        <v>204</v>
      </c>
      <c r="Q8832">
        <v>23762</v>
      </c>
      <c r="R8832" t="s">
        <v>322</v>
      </c>
      <c r="S8832" t="s">
        <v>1318</v>
      </c>
      <c r="T8832">
        <v>24.7</v>
      </c>
      <c r="W8832" t="s">
        <v>23237</v>
      </c>
      <c r="X8832">
        <v>839236</v>
      </c>
      <c r="Y8832" t="s">
        <v>53130</v>
      </c>
      <c r="Z8832" s="2" t="s">
        <v>53131</v>
      </c>
      <c r="AA8832" t="s">
        <v>2551</v>
      </c>
      <c r="AB8832" t="s">
        <v>53132</v>
      </c>
      <c r="AG8832" t="s">
        <v>53133</v>
      </c>
      <c r="AH8832" t="s">
        <v>42136</v>
      </c>
      <c r="AI8832" t="s">
        <v>53134</v>
      </c>
    </row>
    <row r="8833" spans="2:35" ht="285">
      <c r="B8833" s="1">
        <v>44998</v>
      </c>
      <c r="C8833" s="4">
        <v>44998.604166666664</v>
      </c>
      <c r="D8833" t="s">
        <v>42136</v>
      </c>
      <c r="E8833" t="s">
        <v>2916</v>
      </c>
      <c r="F8833">
        <v>11</v>
      </c>
      <c r="G8833" t="s">
        <v>1205</v>
      </c>
      <c r="H8833" t="s">
        <v>1317</v>
      </c>
      <c r="I8833" t="s">
        <v>40</v>
      </c>
      <c r="J8833" s="2" t="s">
        <v>190</v>
      </c>
      <c r="K8833" t="s">
        <v>42</v>
      </c>
      <c r="L8833" t="s">
        <v>204</v>
      </c>
      <c r="Q8833">
        <v>23761</v>
      </c>
      <c r="R8833" t="s">
        <v>119</v>
      </c>
      <c r="S8833" t="s">
        <v>1318</v>
      </c>
      <c r="T8833">
        <v>24.9</v>
      </c>
      <c r="W8833" t="s">
        <v>24154</v>
      </c>
      <c r="X8833">
        <v>838262</v>
      </c>
      <c r="Y8833" t="s">
        <v>1052</v>
      </c>
      <c r="Z8833" s="2" t="s">
        <v>53131</v>
      </c>
      <c r="AA8833" t="s">
        <v>2551</v>
      </c>
      <c r="AB8833" t="s">
        <v>53135</v>
      </c>
      <c r="AG8833" t="s">
        <v>53136</v>
      </c>
      <c r="AH8833" t="s">
        <v>42136</v>
      </c>
      <c r="AI8833" t="s">
        <v>53137</v>
      </c>
    </row>
    <row r="8834" spans="2:35" ht="285">
      <c r="B8834" s="1">
        <v>44998</v>
      </c>
      <c r="C8834" s="4">
        <v>44998.604166666664</v>
      </c>
      <c r="D8834" t="s">
        <v>42136</v>
      </c>
      <c r="E8834" t="s">
        <v>2916</v>
      </c>
      <c r="F8834">
        <v>11</v>
      </c>
      <c r="G8834" t="s">
        <v>1205</v>
      </c>
      <c r="H8834" t="s">
        <v>1317</v>
      </c>
      <c r="I8834" t="s">
        <v>40</v>
      </c>
      <c r="J8834" s="2" t="s">
        <v>190</v>
      </c>
      <c r="K8834" t="s">
        <v>42</v>
      </c>
      <c r="L8834" t="s">
        <v>204</v>
      </c>
      <c r="Q8834">
        <v>23760</v>
      </c>
      <c r="R8834" t="s">
        <v>119</v>
      </c>
      <c r="S8834" t="s">
        <v>1318</v>
      </c>
      <c r="T8834">
        <v>24.9</v>
      </c>
      <c r="W8834" t="s">
        <v>24154</v>
      </c>
      <c r="X8834">
        <v>838262</v>
      </c>
      <c r="Y8834" t="s">
        <v>1052</v>
      </c>
      <c r="Z8834" s="2" t="s">
        <v>53131</v>
      </c>
      <c r="AA8834" t="s">
        <v>2551</v>
      </c>
      <c r="AB8834" t="s">
        <v>53135</v>
      </c>
      <c r="AG8834" t="s">
        <v>53138</v>
      </c>
      <c r="AH8834" t="s">
        <v>42136</v>
      </c>
      <c r="AI8834" t="s">
        <v>53139</v>
      </c>
    </row>
    <row r="8835" spans="2:35" ht="409.5">
      <c r="B8835" s="1">
        <v>44998</v>
      </c>
      <c r="C8835" s="4">
        <v>44992.634027777778</v>
      </c>
      <c r="D8835" t="s">
        <v>38717</v>
      </c>
      <c r="E8835" t="s">
        <v>49558</v>
      </c>
      <c r="F8835" t="s">
        <v>148</v>
      </c>
      <c r="G8835" t="s">
        <v>447</v>
      </c>
      <c r="H8835" t="s">
        <v>39</v>
      </c>
      <c r="I8835" t="s">
        <v>40</v>
      </c>
      <c r="J8835" t="s">
        <v>109</v>
      </c>
      <c r="K8835" t="s">
        <v>42</v>
      </c>
      <c r="L8835" t="s">
        <v>448</v>
      </c>
      <c r="Q8835">
        <v>23759</v>
      </c>
      <c r="R8835" t="s">
        <v>322</v>
      </c>
      <c r="S8835" t="s">
        <v>5604</v>
      </c>
      <c r="T8835">
        <v>29</v>
      </c>
      <c r="U8835" s="2" t="s">
        <v>53140</v>
      </c>
      <c r="W8835" t="s">
        <v>53141</v>
      </c>
      <c r="X8835">
        <v>804476</v>
      </c>
      <c r="Y8835" t="s">
        <v>53142</v>
      </c>
      <c r="Z8835" t="s">
        <v>53143</v>
      </c>
      <c r="AA8835" t="s">
        <v>53144</v>
      </c>
      <c r="AB8835" t="s">
        <v>53145</v>
      </c>
      <c r="AG8835" t="s">
        <v>53146</v>
      </c>
      <c r="AH8835" t="s">
        <v>5609</v>
      </c>
      <c r="AI8835" t="s">
        <v>53147</v>
      </c>
    </row>
    <row r="8836" spans="2:35" ht="409.5">
      <c r="B8836" s="1">
        <v>44998</v>
      </c>
      <c r="C8836" s="4">
        <v>44992.634027777778</v>
      </c>
      <c r="D8836" t="s">
        <v>38717</v>
      </c>
      <c r="E8836" t="s">
        <v>49558</v>
      </c>
      <c r="F8836" t="s">
        <v>148</v>
      </c>
      <c r="G8836" t="s">
        <v>447</v>
      </c>
      <c r="H8836" t="s">
        <v>39</v>
      </c>
      <c r="I8836" t="s">
        <v>40</v>
      </c>
      <c r="J8836" t="s">
        <v>109</v>
      </c>
      <c r="K8836" t="s">
        <v>42</v>
      </c>
      <c r="L8836" t="s">
        <v>448</v>
      </c>
      <c r="Q8836">
        <v>23758</v>
      </c>
      <c r="R8836" t="s">
        <v>322</v>
      </c>
      <c r="S8836" t="s">
        <v>5604</v>
      </c>
      <c r="T8836">
        <v>29</v>
      </c>
      <c r="U8836" s="2" t="s">
        <v>53140</v>
      </c>
      <c r="W8836" t="s">
        <v>53141</v>
      </c>
      <c r="X8836">
        <v>804476</v>
      </c>
      <c r="Y8836" t="s">
        <v>53142</v>
      </c>
      <c r="Z8836" t="s">
        <v>53143</v>
      </c>
      <c r="AA8836" t="s">
        <v>53144</v>
      </c>
      <c r="AB8836" t="s">
        <v>53145</v>
      </c>
      <c r="AG8836" t="s">
        <v>53148</v>
      </c>
      <c r="AH8836" t="s">
        <v>5609</v>
      </c>
      <c r="AI8836" t="s">
        <v>53149</v>
      </c>
    </row>
    <row r="8837" spans="2:35" ht="409.5">
      <c r="B8837" s="1">
        <v>44998</v>
      </c>
      <c r="C8837" s="4">
        <v>44992.665277777778</v>
      </c>
      <c r="D8837" t="s">
        <v>38717</v>
      </c>
      <c r="E8837" t="s">
        <v>49558</v>
      </c>
      <c r="F8837" t="s">
        <v>148</v>
      </c>
      <c r="G8837" t="s">
        <v>447</v>
      </c>
      <c r="H8837" t="s">
        <v>662</v>
      </c>
      <c r="I8837" t="s">
        <v>40</v>
      </c>
      <c r="J8837" t="s">
        <v>109</v>
      </c>
      <c r="K8837" t="s">
        <v>42</v>
      </c>
      <c r="L8837" t="s">
        <v>448</v>
      </c>
      <c r="Q8837">
        <v>23757</v>
      </c>
      <c r="R8837" t="s">
        <v>322</v>
      </c>
      <c r="S8837" t="s">
        <v>5604</v>
      </c>
      <c r="T8837">
        <v>27</v>
      </c>
      <c r="U8837" s="2" t="s">
        <v>53150</v>
      </c>
      <c r="W8837" t="s">
        <v>325</v>
      </c>
      <c r="X8837">
        <v>110005587</v>
      </c>
      <c r="Y8837" t="s">
        <v>53151</v>
      </c>
      <c r="Z8837" t="s">
        <v>53143</v>
      </c>
      <c r="AA8837" t="s">
        <v>6997</v>
      </c>
      <c r="AB8837" t="s">
        <v>53152</v>
      </c>
      <c r="AG8837" t="s">
        <v>53153</v>
      </c>
      <c r="AH8837" t="s">
        <v>5609</v>
      </c>
      <c r="AI8837" t="s">
        <v>53154</v>
      </c>
    </row>
    <row r="8838" spans="2:35" ht="409.5">
      <c r="B8838" s="1">
        <v>44998</v>
      </c>
      <c r="C8838" s="4">
        <v>44992.665277777778</v>
      </c>
      <c r="D8838" t="s">
        <v>38717</v>
      </c>
      <c r="E8838" t="s">
        <v>49558</v>
      </c>
      <c r="F8838" t="s">
        <v>148</v>
      </c>
      <c r="G8838" t="s">
        <v>447</v>
      </c>
      <c r="H8838" t="s">
        <v>662</v>
      </c>
      <c r="I8838" t="s">
        <v>40</v>
      </c>
      <c r="J8838" t="s">
        <v>109</v>
      </c>
      <c r="K8838" t="s">
        <v>42</v>
      </c>
      <c r="L8838" t="s">
        <v>448</v>
      </c>
      <c r="Q8838">
        <v>23756</v>
      </c>
      <c r="R8838" t="s">
        <v>322</v>
      </c>
      <c r="S8838" t="s">
        <v>5604</v>
      </c>
      <c r="T8838">
        <v>27</v>
      </c>
      <c r="U8838" s="2" t="s">
        <v>53150</v>
      </c>
      <c r="W8838" t="s">
        <v>325</v>
      </c>
      <c r="X8838">
        <v>110005587</v>
      </c>
      <c r="Y8838" t="s">
        <v>53151</v>
      </c>
      <c r="Z8838" t="s">
        <v>53143</v>
      </c>
      <c r="AA8838" t="s">
        <v>6997</v>
      </c>
      <c r="AB8838" t="s">
        <v>53152</v>
      </c>
      <c r="AG8838" t="s">
        <v>53155</v>
      </c>
      <c r="AH8838" t="s">
        <v>5609</v>
      </c>
      <c r="AI8838" t="s">
        <v>53156</v>
      </c>
    </row>
    <row r="8839" spans="2:35" ht="180">
      <c r="B8839" s="1">
        <v>44998</v>
      </c>
      <c r="C8839" s="4">
        <v>44993.377083333333</v>
      </c>
      <c r="D8839" t="s">
        <v>53157</v>
      </c>
      <c r="E8839" t="s">
        <v>53158</v>
      </c>
      <c r="F8839" t="s">
        <v>37</v>
      </c>
      <c r="G8839" t="s">
        <v>38</v>
      </c>
      <c r="H8839" t="s">
        <v>39</v>
      </c>
      <c r="I8839" t="s">
        <v>40</v>
      </c>
      <c r="J8839" s="2" t="s">
        <v>62</v>
      </c>
      <c r="K8839" t="s">
        <v>42</v>
      </c>
      <c r="L8839" t="s">
        <v>448</v>
      </c>
      <c r="Q8839">
        <v>23755</v>
      </c>
      <c r="R8839" t="s">
        <v>119</v>
      </c>
      <c r="S8839" t="s">
        <v>41518</v>
      </c>
      <c r="T8839">
        <v>27</v>
      </c>
      <c r="U8839" s="2" t="s">
        <v>53159</v>
      </c>
      <c r="V8839" s="1">
        <v>44977</v>
      </c>
      <c r="W8839" t="s">
        <v>502</v>
      </c>
      <c r="X8839">
        <v>831642</v>
      </c>
      <c r="Y8839" t="s">
        <v>50865</v>
      </c>
      <c r="Z8839" t="s">
        <v>53160</v>
      </c>
      <c r="AA8839" t="s">
        <v>28936</v>
      </c>
      <c r="AB8839" t="s">
        <v>486</v>
      </c>
      <c r="AC8839" t="s">
        <v>5243</v>
      </c>
      <c r="AD8839" t="s">
        <v>3628</v>
      </c>
      <c r="AE8839">
        <v>9639</v>
      </c>
      <c r="AG8839" t="s">
        <v>53161</v>
      </c>
      <c r="AH8839" t="s">
        <v>41521</v>
      </c>
      <c r="AI8839" t="s">
        <v>53162</v>
      </c>
    </row>
    <row r="8840" spans="2:35" ht="180">
      <c r="B8840" s="1">
        <v>44998</v>
      </c>
      <c r="C8840" s="4">
        <v>44993.377083333333</v>
      </c>
      <c r="D8840" t="s">
        <v>53157</v>
      </c>
      <c r="E8840" t="s">
        <v>53158</v>
      </c>
      <c r="F8840" t="s">
        <v>37</v>
      </c>
      <c r="G8840" t="s">
        <v>38</v>
      </c>
      <c r="H8840" t="s">
        <v>39</v>
      </c>
      <c r="I8840" t="s">
        <v>40</v>
      </c>
      <c r="J8840" s="2" t="s">
        <v>62</v>
      </c>
      <c r="K8840" t="s">
        <v>42</v>
      </c>
      <c r="L8840" t="s">
        <v>448</v>
      </c>
      <c r="Q8840">
        <v>23754</v>
      </c>
      <c r="R8840" t="s">
        <v>119</v>
      </c>
      <c r="S8840" t="s">
        <v>41518</v>
      </c>
      <c r="T8840">
        <v>27</v>
      </c>
      <c r="U8840" s="2" t="s">
        <v>53159</v>
      </c>
      <c r="V8840" s="1">
        <v>44977</v>
      </c>
      <c r="W8840" t="s">
        <v>502</v>
      </c>
      <c r="X8840">
        <v>831642</v>
      </c>
      <c r="Y8840" t="s">
        <v>50865</v>
      </c>
      <c r="Z8840" t="s">
        <v>53160</v>
      </c>
      <c r="AA8840" t="s">
        <v>28936</v>
      </c>
      <c r="AB8840" t="s">
        <v>486</v>
      </c>
      <c r="AC8840" t="s">
        <v>5243</v>
      </c>
      <c r="AD8840" t="s">
        <v>3628</v>
      </c>
      <c r="AE8840">
        <v>9639</v>
      </c>
      <c r="AG8840" t="s">
        <v>53163</v>
      </c>
      <c r="AH8840" t="s">
        <v>41521</v>
      </c>
      <c r="AI8840" t="s">
        <v>53164</v>
      </c>
    </row>
    <row r="8841" spans="2:35" ht="255">
      <c r="B8841" s="1">
        <v>44998</v>
      </c>
      <c r="C8841" s="4">
        <v>44993.567361111112</v>
      </c>
      <c r="D8841" t="s">
        <v>53165</v>
      </c>
      <c r="E8841" t="s">
        <v>53166</v>
      </c>
      <c r="F8841" t="s">
        <v>148</v>
      </c>
      <c r="G8841" t="s">
        <v>310</v>
      </c>
      <c r="H8841" t="s">
        <v>39</v>
      </c>
      <c r="I8841" t="s">
        <v>40</v>
      </c>
      <c r="J8841" s="2" t="s">
        <v>62</v>
      </c>
      <c r="K8841" t="s">
        <v>42</v>
      </c>
      <c r="L8841" t="s">
        <v>448</v>
      </c>
      <c r="Q8841">
        <v>23753</v>
      </c>
      <c r="R8841" t="s">
        <v>119</v>
      </c>
      <c r="S8841" t="s">
        <v>43942</v>
      </c>
      <c r="T8841">
        <v>30</v>
      </c>
      <c r="U8841" s="2" t="s">
        <v>53167</v>
      </c>
      <c r="V8841" s="1">
        <v>44945</v>
      </c>
      <c r="W8841" t="s">
        <v>502</v>
      </c>
      <c r="X8841">
        <v>831891</v>
      </c>
      <c r="Y8841" t="s">
        <v>50865</v>
      </c>
      <c r="Z8841" t="s">
        <v>40978</v>
      </c>
      <c r="AA8841" t="s">
        <v>28936</v>
      </c>
      <c r="AB8841" t="s">
        <v>53168</v>
      </c>
      <c r="AD8841" t="s">
        <v>3628</v>
      </c>
      <c r="AE8841">
        <v>9512</v>
      </c>
      <c r="AG8841" t="s">
        <v>53169</v>
      </c>
      <c r="AH8841" t="s">
        <v>53170</v>
      </c>
      <c r="AI8841" t="s">
        <v>53171</v>
      </c>
    </row>
    <row r="8842" spans="2:35" ht="255">
      <c r="B8842" s="1">
        <v>44998</v>
      </c>
      <c r="C8842" s="4">
        <v>44993.567361111112</v>
      </c>
      <c r="D8842" t="s">
        <v>53165</v>
      </c>
      <c r="E8842" t="s">
        <v>53166</v>
      </c>
      <c r="F8842" t="s">
        <v>148</v>
      </c>
      <c r="G8842" t="s">
        <v>310</v>
      </c>
      <c r="H8842" t="s">
        <v>39</v>
      </c>
      <c r="I8842" t="s">
        <v>40</v>
      </c>
      <c r="J8842" s="2" t="s">
        <v>62</v>
      </c>
      <c r="K8842" t="s">
        <v>42</v>
      </c>
      <c r="L8842" t="s">
        <v>448</v>
      </c>
      <c r="Q8842">
        <v>23752</v>
      </c>
      <c r="R8842" t="s">
        <v>119</v>
      </c>
      <c r="S8842" t="s">
        <v>43942</v>
      </c>
      <c r="T8842">
        <v>30</v>
      </c>
      <c r="U8842" s="2" t="s">
        <v>53167</v>
      </c>
      <c r="V8842" s="1">
        <v>44945</v>
      </c>
      <c r="W8842" t="s">
        <v>502</v>
      </c>
      <c r="X8842">
        <v>831891</v>
      </c>
      <c r="Y8842" t="s">
        <v>50865</v>
      </c>
      <c r="Z8842" t="s">
        <v>40978</v>
      </c>
      <c r="AA8842" t="s">
        <v>28936</v>
      </c>
      <c r="AB8842" t="s">
        <v>53168</v>
      </c>
      <c r="AD8842" t="s">
        <v>3628</v>
      </c>
      <c r="AE8842">
        <v>9512</v>
      </c>
      <c r="AG8842" t="s">
        <v>53172</v>
      </c>
      <c r="AH8842" t="s">
        <v>53170</v>
      </c>
      <c r="AI8842" t="s">
        <v>53173</v>
      </c>
    </row>
    <row r="8843" spans="2:35" ht="180">
      <c r="B8843" s="1">
        <v>44998</v>
      </c>
      <c r="C8843" s="4">
        <v>44993.615972222222</v>
      </c>
      <c r="D8843" t="s">
        <v>50876</v>
      </c>
      <c r="E8843" t="s">
        <v>53174</v>
      </c>
      <c r="F8843" t="s">
        <v>148</v>
      </c>
      <c r="G8843" t="s">
        <v>310</v>
      </c>
      <c r="H8843" t="s">
        <v>39</v>
      </c>
      <c r="I8843" t="s">
        <v>40</v>
      </c>
      <c r="J8843" s="2" t="s">
        <v>62</v>
      </c>
      <c r="K8843" t="s">
        <v>42</v>
      </c>
      <c r="L8843" t="s">
        <v>448</v>
      </c>
      <c r="Q8843">
        <v>23751</v>
      </c>
      <c r="R8843" t="s">
        <v>119</v>
      </c>
      <c r="S8843" t="s">
        <v>34536</v>
      </c>
      <c r="T8843">
        <v>26</v>
      </c>
      <c r="U8843" s="2" t="s">
        <v>53175</v>
      </c>
      <c r="V8843" s="1">
        <v>44945</v>
      </c>
      <c r="W8843" t="s">
        <v>502</v>
      </c>
      <c r="X8843">
        <v>831527</v>
      </c>
      <c r="Y8843" t="s">
        <v>53176</v>
      </c>
      <c r="Z8843" t="s">
        <v>40978</v>
      </c>
      <c r="AA8843" t="s">
        <v>28936</v>
      </c>
      <c r="AB8843" t="s">
        <v>53177</v>
      </c>
      <c r="AC8843" t="s">
        <v>53178</v>
      </c>
      <c r="AD8843" t="s">
        <v>3628</v>
      </c>
      <c r="AE8843">
        <v>9511</v>
      </c>
      <c r="AG8843" t="s">
        <v>53179</v>
      </c>
      <c r="AH8843" t="s">
        <v>53180</v>
      </c>
      <c r="AI8843" t="s">
        <v>53181</v>
      </c>
    </row>
    <row r="8844" spans="2:35" ht="180">
      <c r="B8844" s="1">
        <v>44998</v>
      </c>
      <c r="C8844" s="4">
        <v>44993.615972222222</v>
      </c>
      <c r="D8844" t="s">
        <v>50876</v>
      </c>
      <c r="E8844" t="s">
        <v>53174</v>
      </c>
      <c r="F8844" t="s">
        <v>148</v>
      </c>
      <c r="G8844" t="s">
        <v>310</v>
      </c>
      <c r="H8844" t="s">
        <v>39</v>
      </c>
      <c r="I8844" t="s">
        <v>40</v>
      </c>
      <c r="J8844" s="2" t="s">
        <v>62</v>
      </c>
      <c r="K8844" t="s">
        <v>42</v>
      </c>
      <c r="L8844" t="s">
        <v>448</v>
      </c>
      <c r="Q8844">
        <v>23750</v>
      </c>
      <c r="R8844" t="s">
        <v>119</v>
      </c>
      <c r="S8844" t="s">
        <v>34536</v>
      </c>
      <c r="T8844">
        <v>26</v>
      </c>
      <c r="U8844" s="2" t="s">
        <v>53175</v>
      </c>
      <c r="V8844" s="1">
        <v>44945</v>
      </c>
      <c r="W8844" t="s">
        <v>502</v>
      </c>
      <c r="X8844">
        <v>831527</v>
      </c>
      <c r="Y8844" t="s">
        <v>53176</v>
      </c>
      <c r="Z8844" t="s">
        <v>40978</v>
      </c>
      <c r="AA8844" t="s">
        <v>28936</v>
      </c>
      <c r="AB8844" t="s">
        <v>53177</v>
      </c>
      <c r="AC8844" t="s">
        <v>53178</v>
      </c>
      <c r="AD8844" t="s">
        <v>3628</v>
      </c>
      <c r="AE8844">
        <v>9511</v>
      </c>
      <c r="AG8844" t="s">
        <v>53182</v>
      </c>
      <c r="AH8844" t="s">
        <v>53180</v>
      </c>
      <c r="AI8844" t="s">
        <v>53183</v>
      </c>
    </row>
    <row r="8845" spans="2:35" ht="409.5">
      <c r="B8845" s="1">
        <v>44998</v>
      </c>
      <c r="C8845" s="4">
        <v>44992.603472222225</v>
      </c>
      <c r="D8845" t="s">
        <v>38717</v>
      </c>
      <c r="E8845" t="s">
        <v>49558</v>
      </c>
      <c r="F8845" t="s">
        <v>148</v>
      </c>
      <c r="G8845" t="s">
        <v>447</v>
      </c>
      <c r="H8845" t="s">
        <v>39</v>
      </c>
      <c r="I8845" t="s">
        <v>40</v>
      </c>
      <c r="J8845" t="s">
        <v>109</v>
      </c>
      <c r="K8845" t="s">
        <v>42</v>
      </c>
      <c r="L8845" t="s">
        <v>448</v>
      </c>
      <c r="Q8845">
        <v>23749</v>
      </c>
      <c r="R8845" t="s">
        <v>322</v>
      </c>
      <c r="S8845" t="s">
        <v>5604</v>
      </c>
      <c r="T8845">
        <v>26</v>
      </c>
      <c r="U8845" s="2" t="s">
        <v>49559</v>
      </c>
      <c r="W8845" t="s">
        <v>1008</v>
      </c>
      <c r="X8845">
        <v>838524</v>
      </c>
      <c r="Y8845" t="s">
        <v>53184</v>
      </c>
      <c r="Z8845" t="s">
        <v>53143</v>
      </c>
      <c r="AA8845" t="s">
        <v>53185</v>
      </c>
      <c r="AB8845" t="s">
        <v>53186</v>
      </c>
      <c r="AC8845" t="s">
        <v>53187</v>
      </c>
      <c r="AG8845" t="s">
        <v>53188</v>
      </c>
      <c r="AH8845" t="s">
        <v>5609</v>
      </c>
      <c r="AI8845" t="s">
        <v>53189</v>
      </c>
    </row>
    <row r="8846" spans="2:35" ht="409.5">
      <c r="B8846" s="1">
        <v>44998</v>
      </c>
      <c r="C8846" s="4">
        <v>44992.603472222225</v>
      </c>
      <c r="D8846" t="s">
        <v>38717</v>
      </c>
      <c r="E8846" t="s">
        <v>49558</v>
      </c>
      <c r="F8846" t="s">
        <v>148</v>
      </c>
      <c r="G8846" t="s">
        <v>447</v>
      </c>
      <c r="H8846" t="s">
        <v>39</v>
      </c>
      <c r="I8846" t="s">
        <v>40</v>
      </c>
      <c r="J8846" t="s">
        <v>109</v>
      </c>
      <c r="K8846" t="s">
        <v>42</v>
      </c>
      <c r="L8846" t="s">
        <v>448</v>
      </c>
      <c r="Q8846">
        <v>23748</v>
      </c>
      <c r="R8846" t="s">
        <v>322</v>
      </c>
      <c r="S8846" t="s">
        <v>5604</v>
      </c>
      <c r="T8846">
        <v>26</v>
      </c>
      <c r="U8846" s="2" t="s">
        <v>49559</v>
      </c>
      <c r="W8846" t="s">
        <v>1008</v>
      </c>
      <c r="X8846">
        <v>838524</v>
      </c>
      <c r="Y8846" t="s">
        <v>53184</v>
      </c>
      <c r="Z8846" t="s">
        <v>53143</v>
      </c>
      <c r="AA8846" t="s">
        <v>53185</v>
      </c>
      <c r="AB8846" t="s">
        <v>53186</v>
      </c>
      <c r="AC8846" t="s">
        <v>53187</v>
      </c>
      <c r="AG8846" t="s">
        <v>53190</v>
      </c>
      <c r="AH8846" t="s">
        <v>5609</v>
      </c>
      <c r="AI8846" t="s">
        <v>53191</v>
      </c>
    </row>
    <row r="8847" spans="2:35" ht="409.5">
      <c r="B8847" s="1">
        <v>44998</v>
      </c>
      <c r="C8847" s="4">
        <v>44994.615972222222</v>
      </c>
      <c r="D8847" t="s">
        <v>42092</v>
      </c>
      <c r="E8847" t="s">
        <v>10433</v>
      </c>
      <c r="F8847" t="s">
        <v>148</v>
      </c>
      <c r="G8847" t="s">
        <v>447</v>
      </c>
      <c r="H8847" t="s">
        <v>39</v>
      </c>
      <c r="I8847" t="s">
        <v>40</v>
      </c>
      <c r="J8847" s="2" t="s">
        <v>62</v>
      </c>
      <c r="K8847" t="s">
        <v>42</v>
      </c>
      <c r="L8847" t="s">
        <v>448</v>
      </c>
      <c r="Q8847">
        <v>23747</v>
      </c>
      <c r="R8847" t="s">
        <v>322</v>
      </c>
      <c r="S8847" t="s">
        <v>3987</v>
      </c>
      <c r="T8847">
        <v>23</v>
      </c>
      <c r="U8847" s="2" t="s">
        <v>53192</v>
      </c>
      <c r="V8847" s="1">
        <v>44992</v>
      </c>
      <c r="W8847" t="s">
        <v>536</v>
      </c>
      <c r="X8847">
        <v>110014171</v>
      </c>
      <c r="Y8847" t="s">
        <v>53193</v>
      </c>
      <c r="Z8847" t="s">
        <v>47624</v>
      </c>
      <c r="AA8847" t="s">
        <v>20643</v>
      </c>
      <c r="AB8847" t="s">
        <v>486</v>
      </c>
      <c r="AD8847" t="s">
        <v>53194</v>
      </c>
      <c r="AE8847">
        <v>9671</v>
      </c>
      <c r="AG8847" t="s">
        <v>53195</v>
      </c>
      <c r="AH8847" t="s">
        <v>12852</v>
      </c>
      <c r="AI8847" t="s">
        <v>53196</v>
      </c>
    </row>
    <row r="8848" spans="2:35" ht="409.5">
      <c r="B8848" s="1">
        <v>44998</v>
      </c>
      <c r="C8848" s="4">
        <v>44994.615972222222</v>
      </c>
      <c r="D8848" t="s">
        <v>42092</v>
      </c>
      <c r="E8848" t="s">
        <v>10433</v>
      </c>
      <c r="F8848" t="s">
        <v>148</v>
      </c>
      <c r="G8848" t="s">
        <v>447</v>
      </c>
      <c r="H8848" t="s">
        <v>39</v>
      </c>
      <c r="I8848" t="s">
        <v>40</v>
      </c>
      <c r="J8848" s="2" t="s">
        <v>62</v>
      </c>
      <c r="K8848" t="s">
        <v>42</v>
      </c>
      <c r="L8848" t="s">
        <v>448</v>
      </c>
      <c r="Q8848">
        <v>23746</v>
      </c>
      <c r="R8848" t="s">
        <v>322</v>
      </c>
      <c r="S8848" t="s">
        <v>3987</v>
      </c>
      <c r="T8848">
        <v>23</v>
      </c>
      <c r="U8848" s="2" t="s">
        <v>53192</v>
      </c>
      <c r="V8848" s="1">
        <v>44992</v>
      </c>
      <c r="W8848" t="s">
        <v>536</v>
      </c>
      <c r="X8848">
        <v>110014171</v>
      </c>
      <c r="Y8848" t="s">
        <v>53193</v>
      </c>
      <c r="Z8848" t="s">
        <v>47624</v>
      </c>
      <c r="AA8848" t="s">
        <v>20643</v>
      </c>
      <c r="AB8848" t="s">
        <v>486</v>
      </c>
      <c r="AD8848" t="s">
        <v>53194</v>
      </c>
      <c r="AE8848">
        <v>9671</v>
      </c>
      <c r="AG8848" t="s">
        <v>53197</v>
      </c>
      <c r="AH8848" t="s">
        <v>12852</v>
      </c>
      <c r="AI8848" t="s">
        <v>53198</v>
      </c>
    </row>
    <row r="8849" spans="2:35" ht="409.5">
      <c r="B8849" s="1">
        <v>44998</v>
      </c>
      <c r="C8849" s="4">
        <v>44994.615972222222</v>
      </c>
      <c r="D8849" t="s">
        <v>42092</v>
      </c>
      <c r="E8849" t="s">
        <v>10433</v>
      </c>
      <c r="F8849" t="s">
        <v>148</v>
      </c>
      <c r="G8849" t="s">
        <v>447</v>
      </c>
      <c r="H8849" t="s">
        <v>39</v>
      </c>
      <c r="I8849" t="s">
        <v>40</v>
      </c>
      <c r="J8849" s="2" t="s">
        <v>62</v>
      </c>
      <c r="K8849" t="s">
        <v>42</v>
      </c>
      <c r="L8849" t="s">
        <v>448</v>
      </c>
      <c r="Q8849">
        <v>23745</v>
      </c>
      <c r="R8849" t="s">
        <v>322</v>
      </c>
      <c r="S8849" t="s">
        <v>3987</v>
      </c>
      <c r="T8849">
        <v>23</v>
      </c>
      <c r="U8849" s="2" t="s">
        <v>53192</v>
      </c>
      <c r="V8849" s="1">
        <v>44992</v>
      </c>
      <c r="W8849" t="s">
        <v>536</v>
      </c>
      <c r="X8849">
        <v>110014171</v>
      </c>
      <c r="Y8849" t="s">
        <v>53193</v>
      </c>
      <c r="Z8849" t="s">
        <v>47624</v>
      </c>
      <c r="AA8849" t="s">
        <v>20643</v>
      </c>
      <c r="AB8849" t="s">
        <v>486</v>
      </c>
      <c r="AD8849" t="s">
        <v>53194</v>
      </c>
      <c r="AE8849">
        <v>9671</v>
      </c>
      <c r="AG8849" t="s">
        <v>53199</v>
      </c>
      <c r="AH8849" t="s">
        <v>12852</v>
      </c>
      <c r="AI8849" t="s">
        <v>53200</v>
      </c>
    </row>
    <row r="8850" spans="2:35" ht="180">
      <c r="B8850" s="1">
        <v>44998</v>
      </c>
      <c r="C8850" s="4">
        <v>44995.407638888886</v>
      </c>
      <c r="D8850" t="s">
        <v>53201</v>
      </c>
      <c r="E8850" t="s">
        <v>53202</v>
      </c>
      <c r="F8850" t="s">
        <v>148</v>
      </c>
      <c r="G8850" t="s">
        <v>447</v>
      </c>
      <c r="H8850" t="s">
        <v>39</v>
      </c>
      <c r="I8850" t="s">
        <v>40</v>
      </c>
      <c r="J8850" t="s">
        <v>109</v>
      </c>
      <c r="K8850" t="s">
        <v>42</v>
      </c>
      <c r="L8850" t="s">
        <v>448</v>
      </c>
      <c r="Q8850">
        <v>23744</v>
      </c>
      <c r="R8850" t="s">
        <v>45</v>
      </c>
      <c r="S8850" t="s">
        <v>29952</v>
      </c>
      <c r="T8850">
        <v>29</v>
      </c>
      <c r="U8850" s="2" t="s">
        <v>53203</v>
      </c>
      <c r="V8850" s="1">
        <v>44993</v>
      </c>
      <c r="W8850" t="s">
        <v>502</v>
      </c>
      <c r="X8850">
        <v>805254</v>
      </c>
      <c r="Y8850" t="s">
        <v>53204</v>
      </c>
      <c r="Z8850" t="s">
        <v>47624</v>
      </c>
      <c r="AA8850" t="s">
        <v>20643</v>
      </c>
      <c r="AB8850" t="s">
        <v>486</v>
      </c>
      <c r="AD8850" t="s">
        <v>50839</v>
      </c>
      <c r="AE8850" t="s">
        <v>53205</v>
      </c>
      <c r="AG8850" t="s">
        <v>53206</v>
      </c>
      <c r="AH8850" t="s">
        <v>53207</v>
      </c>
      <c r="AI8850" t="s">
        <v>53208</v>
      </c>
    </row>
    <row r="8851" spans="2:35" ht="180">
      <c r="B8851" s="1">
        <v>44998</v>
      </c>
      <c r="C8851" s="4">
        <v>44995.407638888886</v>
      </c>
      <c r="D8851" t="s">
        <v>53201</v>
      </c>
      <c r="E8851" t="s">
        <v>53202</v>
      </c>
      <c r="F8851" t="s">
        <v>148</v>
      </c>
      <c r="G8851" t="s">
        <v>447</v>
      </c>
      <c r="H8851" t="s">
        <v>39</v>
      </c>
      <c r="I8851" t="s">
        <v>40</v>
      </c>
      <c r="J8851" t="s">
        <v>109</v>
      </c>
      <c r="K8851" t="s">
        <v>42</v>
      </c>
      <c r="L8851" t="s">
        <v>448</v>
      </c>
      <c r="Q8851">
        <v>23743</v>
      </c>
      <c r="R8851" t="s">
        <v>45</v>
      </c>
      <c r="S8851" t="s">
        <v>29952</v>
      </c>
      <c r="T8851">
        <v>29</v>
      </c>
      <c r="U8851" s="2" t="s">
        <v>53203</v>
      </c>
      <c r="V8851" s="1">
        <v>44993</v>
      </c>
      <c r="W8851" t="s">
        <v>502</v>
      </c>
      <c r="X8851">
        <v>805254</v>
      </c>
      <c r="Y8851" t="s">
        <v>53204</v>
      </c>
      <c r="Z8851" t="s">
        <v>47624</v>
      </c>
      <c r="AA8851" t="s">
        <v>20643</v>
      </c>
      <c r="AB8851" t="s">
        <v>486</v>
      </c>
      <c r="AD8851" t="s">
        <v>50839</v>
      </c>
      <c r="AE8851" t="s">
        <v>53205</v>
      </c>
      <c r="AG8851" t="s">
        <v>53209</v>
      </c>
      <c r="AH8851" t="s">
        <v>53207</v>
      </c>
      <c r="AI8851" t="s">
        <v>53210</v>
      </c>
    </row>
    <row r="8852" spans="2:35" ht="255">
      <c r="B8852" s="1">
        <v>44998</v>
      </c>
      <c r="C8852" s="4">
        <v>44995.482638888891</v>
      </c>
      <c r="D8852" t="s">
        <v>53211</v>
      </c>
      <c r="E8852" t="s">
        <v>53212</v>
      </c>
      <c r="F8852" t="s">
        <v>148</v>
      </c>
      <c r="G8852" t="s">
        <v>447</v>
      </c>
      <c r="H8852" t="s">
        <v>39</v>
      </c>
      <c r="I8852" t="s">
        <v>40</v>
      </c>
      <c r="J8852" s="2" t="s">
        <v>62</v>
      </c>
      <c r="K8852" t="s">
        <v>42</v>
      </c>
      <c r="L8852" t="s">
        <v>448</v>
      </c>
      <c r="Q8852">
        <v>23742</v>
      </c>
      <c r="R8852" t="s">
        <v>119</v>
      </c>
      <c r="S8852" t="s">
        <v>24896</v>
      </c>
      <c r="T8852">
        <v>27</v>
      </c>
      <c r="U8852" s="2" t="s">
        <v>53213</v>
      </c>
      <c r="V8852" s="1">
        <v>44946</v>
      </c>
      <c r="W8852" t="s">
        <v>502</v>
      </c>
      <c r="X8852">
        <v>831876</v>
      </c>
      <c r="Y8852" t="s">
        <v>50865</v>
      </c>
      <c r="Z8852" t="s">
        <v>53214</v>
      </c>
      <c r="AA8852" t="s">
        <v>28936</v>
      </c>
      <c r="AB8852" t="s">
        <v>5243</v>
      </c>
      <c r="AD8852" t="s">
        <v>11518</v>
      </c>
      <c r="AE8852">
        <v>9532</v>
      </c>
      <c r="AG8852" t="s">
        <v>53215</v>
      </c>
      <c r="AH8852" t="s">
        <v>53216</v>
      </c>
      <c r="AI8852" t="s">
        <v>53217</v>
      </c>
    </row>
    <row r="8853" spans="2:35" ht="255">
      <c r="B8853" s="1">
        <v>44998</v>
      </c>
      <c r="C8853" s="4">
        <v>44995.482638888891</v>
      </c>
      <c r="D8853" t="s">
        <v>53211</v>
      </c>
      <c r="E8853" t="s">
        <v>53212</v>
      </c>
      <c r="F8853" t="s">
        <v>148</v>
      </c>
      <c r="G8853" t="s">
        <v>447</v>
      </c>
      <c r="H8853" t="s">
        <v>39</v>
      </c>
      <c r="I8853" t="s">
        <v>40</v>
      </c>
      <c r="J8853" s="2" t="s">
        <v>62</v>
      </c>
      <c r="K8853" t="s">
        <v>42</v>
      </c>
      <c r="L8853" t="s">
        <v>448</v>
      </c>
      <c r="Q8853">
        <v>23741</v>
      </c>
      <c r="R8853" t="s">
        <v>119</v>
      </c>
      <c r="S8853" t="s">
        <v>24896</v>
      </c>
      <c r="T8853">
        <v>27</v>
      </c>
      <c r="U8853" s="2" t="s">
        <v>53213</v>
      </c>
      <c r="V8853" s="1">
        <v>44946</v>
      </c>
      <c r="W8853" t="s">
        <v>502</v>
      </c>
      <c r="X8853">
        <v>831876</v>
      </c>
      <c r="Y8853" t="s">
        <v>50865</v>
      </c>
      <c r="Z8853" t="s">
        <v>53214</v>
      </c>
      <c r="AA8853" t="s">
        <v>28936</v>
      </c>
      <c r="AB8853" t="s">
        <v>5243</v>
      </c>
      <c r="AD8853" t="s">
        <v>11518</v>
      </c>
      <c r="AE8853">
        <v>9532</v>
      </c>
      <c r="AG8853" t="s">
        <v>53218</v>
      </c>
      <c r="AH8853" t="s">
        <v>53216</v>
      </c>
      <c r="AI8853" t="s">
        <v>53219</v>
      </c>
    </row>
    <row r="8854" spans="2:35" ht="255">
      <c r="B8854" s="1">
        <v>44998</v>
      </c>
      <c r="C8854" s="4">
        <v>44992.459027777775</v>
      </c>
      <c r="D8854" t="s">
        <v>44011</v>
      </c>
      <c r="E8854" t="s">
        <v>49558</v>
      </c>
      <c r="F8854" t="s">
        <v>148</v>
      </c>
      <c r="G8854" t="s">
        <v>447</v>
      </c>
      <c r="H8854" t="s">
        <v>2581</v>
      </c>
      <c r="I8854" t="s">
        <v>40</v>
      </c>
      <c r="J8854" s="2" t="s">
        <v>41</v>
      </c>
      <c r="K8854" t="s">
        <v>42</v>
      </c>
      <c r="L8854" t="s">
        <v>448</v>
      </c>
      <c r="Q8854">
        <v>23740</v>
      </c>
      <c r="R8854" t="s">
        <v>45</v>
      </c>
      <c r="S8854" t="s">
        <v>53220</v>
      </c>
      <c r="T8854">
        <v>26</v>
      </c>
      <c r="U8854" s="2" t="s">
        <v>53221</v>
      </c>
      <c r="V8854" s="1">
        <v>44992</v>
      </c>
      <c r="W8854" t="s">
        <v>502</v>
      </c>
      <c r="X8854">
        <v>803087</v>
      </c>
      <c r="Y8854" t="s">
        <v>53222</v>
      </c>
      <c r="Z8854" t="s">
        <v>53223</v>
      </c>
      <c r="AA8854" t="s">
        <v>20643</v>
      </c>
      <c r="AB8854" t="s">
        <v>53224</v>
      </c>
      <c r="AD8854" t="s">
        <v>53225</v>
      </c>
      <c r="AE8854">
        <v>0</v>
      </c>
      <c r="AG8854" t="s">
        <v>53226</v>
      </c>
      <c r="AH8854" t="s">
        <v>53227</v>
      </c>
      <c r="AI8854" t="s">
        <v>53228</v>
      </c>
    </row>
    <row r="8855" spans="2:35" ht="255">
      <c r="B8855" s="1">
        <v>44998</v>
      </c>
      <c r="C8855" s="4">
        <v>44992.459027777775</v>
      </c>
      <c r="D8855" t="s">
        <v>44011</v>
      </c>
      <c r="E8855" t="s">
        <v>49558</v>
      </c>
      <c r="F8855" t="s">
        <v>148</v>
      </c>
      <c r="G8855" t="s">
        <v>447</v>
      </c>
      <c r="H8855" t="s">
        <v>2581</v>
      </c>
      <c r="I8855" t="s">
        <v>40</v>
      </c>
      <c r="J8855" s="2" t="s">
        <v>41</v>
      </c>
      <c r="K8855" t="s">
        <v>42</v>
      </c>
      <c r="L8855" t="s">
        <v>448</v>
      </c>
      <c r="Q8855">
        <v>23739</v>
      </c>
      <c r="R8855" t="s">
        <v>45</v>
      </c>
      <c r="S8855" t="s">
        <v>53220</v>
      </c>
      <c r="T8855">
        <v>26</v>
      </c>
      <c r="U8855" s="2" t="s">
        <v>53221</v>
      </c>
      <c r="V8855" s="1">
        <v>44992</v>
      </c>
      <c r="W8855" t="s">
        <v>502</v>
      </c>
      <c r="X8855">
        <v>803087</v>
      </c>
      <c r="Y8855" t="s">
        <v>53222</v>
      </c>
      <c r="Z8855" t="s">
        <v>53223</v>
      </c>
      <c r="AA8855" t="s">
        <v>20643</v>
      </c>
      <c r="AB8855" t="s">
        <v>53224</v>
      </c>
      <c r="AD8855" t="s">
        <v>53225</v>
      </c>
      <c r="AE8855">
        <v>0</v>
      </c>
      <c r="AG8855" t="s">
        <v>53229</v>
      </c>
      <c r="AH8855" t="s">
        <v>53227</v>
      </c>
      <c r="AI8855" t="s">
        <v>53230</v>
      </c>
    </row>
    <row r="8856" spans="2:35" ht="409.5">
      <c r="B8856" s="1">
        <v>44998</v>
      </c>
      <c r="C8856" s="4">
        <v>44995.636111111111</v>
      </c>
      <c r="D8856" t="s">
        <v>53231</v>
      </c>
      <c r="E8856" t="s">
        <v>53232</v>
      </c>
      <c r="F8856" t="s">
        <v>148</v>
      </c>
      <c r="G8856" t="s">
        <v>310</v>
      </c>
      <c r="H8856" t="s">
        <v>39</v>
      </c>
      <c r="I8856" t="s">
        <v>40</v>
      </c>
      <c r="J8856" t="s">
        <v>525</v>
      </c>
      <c r="K8856" t="s">
        <v>42</v>
      </c>
      <c r="L8856" t="s">
        <v>448</v>
      </c>
      <c r="Q8856">
        <v>23738</v>
      </c>
      <c r="R8856" t="s">
        <v>119</v>
      </c>
      <c r="S8856" t="s">
        <v>23136</v>
      </c>
      <c r="T8856">
        <v>23</v>
      </c>
      <c r="U8856" s="2" t="s">
        <v>53233</v>
      </c>
      <c r="W8856" t="s">
        <v>502</v>
      </c>
      <c r="X8856">
        <v>831872</v>
      </c>
      <c r="Y8856" t="s">
        <v>53234</v>
      </c>
      <c r="Z8856" t="s">
        <v>53235</v>
      </c>
      <c r="AA8856" t="s">
        <v>4487</v>
      </c>
      <c r="AB8856" t="s">
        <v>656</v>
      </c>
      <c r="AG8856" t="s">
        <v>53236</v>
      </c>
      <c r="AH8856" t="s">
        <v>53237</v>
      </c>
      <c r="AI8856" t="s">
        <v>53238</v>
      </c>
    </row>
    <row r="8857" spans="2:35" ht="210">
      <c r="B8857" s="1">
        <v>44996</v>
      </c>
      <c r="C8857" s="4">
        <v>44996.425694444442</v>
      </c>
      <c r="D8857" t="s">
        <v>53239</v>
      </c>
      <c r="E8857" t="s">
        <v>53240</v>
      </c>
      <c r="F8857" t="s">
        <v>148</v>
      </c>
      <c r="G8857" t="s">
        <v>230</v>
      </c>
      <c r="H8857" t="s">
        <v>39</v>
      </c>
      <c r="I8857" t="s">
        <v>40</v>
      </c>
      <c r="J8857" t="s">
        <v>53241</v>
      </c>
      <c r="K8857" t="s">
        <v>42</v>
      </c>
      <c r="L8857" t="s">
        <v>80</v>
      </c>
      <c r="Q8857">
        <v>23737</v>
      </c>
      <c r="R8857" t="s">
        <v>322</v>
      </c>
      <c r="S8857" t="s">
        <v>53242</v>
      </c>
      <c r="T8857">
        <v>30</v>
      </c>
      <c r="U8857" s="2" t="s">
        <v>53243</v>
      </c>
      <c r="V8857" s="1">
        <v>44996</v>
      </c>
      <c r="W8857" t="s">
        <v>53244</v>
      </c>
      <c r="X8857">
        <v>831895</v>
      </c>
      <c r="Y8857" t="s">
        <v>53245</v>
      </c>
      <c r="Z8857" t="s">
        <v>53246</v>
      </c>
      <c r="AA8857" t="s">
        <v>53247</v>
      </c>
      <c r="AB8857" t="s">
        <v>88</v>
      </c>
      <c r="AD8857" t="s">
        <v>54</v>
      </c>
      <c r="AE8857" t="s">
        <v>54</v>
      </c>
      <c r="AG8857" t="s">
        <v>53248</v>
      </c>
      <c r="AH8857" t="s">
        <v>53249</v>
      </c>
      <c r="AI8857" t="s">
        <v>53250</v>
      </c>
    </row>
    <row r="8858" spans="2:35">
      <c r="B8858" s="1">
        <v>44995</v>
      </c>
      <c r="C8858" s="4">
        <v>44995.722916666666</v>
      </c>
      <c r="D8858" t="s">
        <v>855</v>
      </c>
      <c r="E8858" t="s">
        <v>45473</v>
      </c>
      <c r="F8858" t="s">
        <v>148</v>
      </c>
      <c r="G8858" t="s">
        <v>310</v>
      </c>
      <c r="H8858" t="s">
        <v>39</v>
      </c>
      <c r="I8858" t="s">
        <v>40</v>
      </c>
      <c r="J8858" t="s">
        <v>79</v>
      </c>
      <c r="K8858" t="s">
        <v>42</v>
      </c>
      <c r="L8858" t="s">
        <v>857</v>
      </c>
      <c r="Q8858">
        <v>23736</v>
      </c>
      <c r="R8858" t="s">
        <v>322</v>
      </c>
      <c r="S8858" t="s">
        <v>859</v>
      </c>
      <c r="T8858">
        <v>22</v>
      </c>
      <c r="V8858" s="1">
        <v>44988</v>
      </c>
      <c r="W8858" t="s">
        <v>860</v>
      </c>
      <c r="X8858">
        <v>809643</v>
      </c>
      <c r="Y8858" t="s">
        <v>53251</v>
      </c>
      <c r="Z8858" t="s">
        <v>53252</v>
      </c>
      <c r="AA8858" t="s">
        <v>53253</v>
      </c>
      <c r="AB8858" t="s">
        <v>181</v>
      </c>
      <c r="AD8858" t="s">
        <v>53254</v>
      </c>
      <c r="AE8858" t="s">
        <v>53255</v>
      </c>
      <c r="AG8858" t="s">
        <v>53256</v>
      </c>
      <c r="AH8858" t="s">
        <v>53257</v>
      </c>
      <c r="AI8858" t="s">
        <v>53258</v>
      </c>
    </row>
    <row r="8859" spans="2:35" ht="409.5">
      <c r="B8859" s="1">
        <v>44995</v>
      </c>
      <c r="C8859" s="4">
        <v>44995.634027777778</v>
      </c>
      <c r="D8859" t="s">
        <v>27215</v>
      </c>
      <c r="E8859" t="s">
        <v>27216</v>
      </c>
      <c r="F8859">
        <v>3</v>
      </c>
      <c r="G8859" t="s">
        <v>134</v>
      </c>
      <c r="H8859" t="s">
        <v>39</v>
      </c>
      <c r="I8859" t="s">
        <v>40</v>
      </c>
      <c r="J8859" s="2" t="s">
        <v>62</v>
      </c>
      <c r="K8859" t="s">
        <v>42</v>
      </c>
      <c r="L8859" t="s">
        <v>135</v>
      </c>
      <c r="Q8859">
        <v>23735</v>
      </c>
      <c r="R8859" t="s">
        <v>119</v>
      </c>
      <c r="S8859" t="s">
        <v>27217</v>
      </c>
      <c r="T8859">
        <v>29.65</v>
      </c>
      <c r="U8859" s="2" t="s">
        <v>53259</v>
      </c>
      <c r="V8859" s="1">
        <v>44988</v>
      </c>
      <c r="W8859" t="s">
        <v>2680</v>
      </c>
      <c r="X8859">
        <v>831911</v>
      </c>
      <c r="Y8859" t="s">
        <v>1751</v>
      </c>
      <c r="Z8859" s="2" t="s">
        <v>28886</v>
      </c>
      <c r="AA8859" s="2" t="s">
        <v>31375</v>
      </c>
      <c r="AB8859" t="s">
        <v>53260</v>
      </c>
      <c r="AD8859" t="s">
        <v>34422</v>
      </c>
      <c r="AE8859">
        <v>9584</v>
      </c>
      <c r="AG8859" t="s">
        <v>53261</v>
      </c>
      <c r="AH8859" t="s">
        <v>27222</v>
      </c>
      <c r="AI8859" t="s">
        <v>53262</v>
      </c>
    </row>
    <row r="8860" spans="2:35" ht="409.5">
      <c r="B8860" s="1">
        <v>44995</v>
      </c>
      <c r="C8860" s="4">
        <v>44995.665277777778</v>
      </c>
      <c r="D8860" t="s">
        <v>33023</v>
      </c>
      <c r="E8860" t="s">
        <v>38579</v>
      </c>
      <c r="F8860">
        <v>11</v>
      </c>
      <c r="G8860" t="s">
        <v>1759</v>
      </c>
      <c r="H8860" t="s">
        <v>202</v>
      </c>
      <c r="I8860" t="s">
        <v>40</v>
      </c>
      <c r="J8860" s="2" t="s">
        <v>190</v>
      </c>
      <c r="K8860" t="s">
        <v>42</v>
      </c>
      <c r="L8860" t="s">
        <v>204</v>
      </c>
      <c r="Q8860">
        <v>23734</v>
      </c>
      <c r="R8860" t="s">
        <v>45</v>
      </c>
      <c r="S8860" t="s">
        <v>33025</v>
      </c>
      <c r="T8860">
        <v>25.8</v>
      </c>
      <c r="U8860" s="2" t="s">
        <v>53263</v>
      </c>
      <c r="W8860" t="s">
        <v>24154</v>
      </c>
      <c r="X8860">
        <v>807360</v>
      </c>
      <c r="Y8860" t="s">
        <v>1052</v>
      </c>
      <c r="Z8860" s="2" t="s">
        <v>53264</v>
      </c>
      <c r="AA8860" t="s">
        <v>2551</v>
      </c>
      <c r="AB8860" s="2" t="s">
        <v>53265</v>
      </c>
      <c r="AG8860" t="s">
        <v>53266</v>
      </c>
      <c r="AH8860" t="s">
        <v>53267</v>
      </c>
      <c r="AI8860" t="s">
        <v>53268</v>
      </c>
    </row>
    <row r="8861" spans="2:35" ht="409.5">
      <c r="B8861" s="1">
        <v>44995</v>
      </c>
      <c r="C8861" s="4">
        <v>44994.618750000001</v>
      </c>
      <c r="D8861" t="s">
        <v>3357</v>
      </c>
      <c r="E8861" t="s">
        <v>27224</v>
      </c>
      <c r="F8861">
        <v>3</v>
      </c>
      <c r="G8861" t="s">
        <v>134</v>
      </c>
      <c r="H8861" t="s">
        <v>39</v>
      </c>
      <c r="I8861" t="s">
        <v>40</v>
      </c>
      <c r="J8861" s="2" t="s">
        <v>62</v>
      </c>
      <c r="K8861" t="s">
        <v>42</v>
      </c>
      <c r="L8861" t="s">
        <v>135</v>
      </c>
      <c r="Q8861">
        <v>23731</v>
      </c>
      <c r="R8861" t="s">
        <v>45</v>
      </c>
      <c r="S8861" t="s">
        <v>3359</v>
      </c>
      <c r="T8861">
        <v>26.3</v>
      </c>
      <c r="U8861" s="2" t="s">
        <v>53269</v>
      </c>
      <c r="V8861" s="1">
        <v>44960</v>
      </c>
      <c r="W8861" t="s">
        <v>2680</v>
      </c>
      <c r="X8861">
        <v>831912</v>
      </c>
      <c r="Y8861" t="s">
        <v>67</v>
      </c>
      <c r="Z8861" s="2" t="s">
        <v>2143</v>
      </c>
      <c r="AA8861" s="2" t="s">
        <v>31375</v>
      </c>
      <c r="AB8861" t="s">
        <v>53270</v>
      </c>
      <c r="AC8861" t="s">
        <v>35076</v>
      </c>
      <c r="AD8861" t="s">
        <v>34422</v>
      </c>
      <c r="AE8861">
        <v>9582</v>
      </c>
      <c r="AG8861" t="s">
        <v>53271</v>
      </c>
      <c r="AH8861" t="s">
        <v>3362</v>
      </c>
      <c r="AI8861" t="s">
        <v>53272</v>
      </c>
    </row>
    <row r="8862" spans="2:35" ht="180">
      <c r="B8862" s="1">
        <v>44995</v>
      </c>
      <c r="C8862" s="4">
        <v>44994.502083333333</v>
      </c>
      <c r="D8862" t="s">
        <v>25607</v>
      </c>
      <c r="E8862" t="s">
        <v>30628</v>
      </c>
      <c r="F8862">
        <v>3</v>
      </c>
      <c r="G8862" t="s">
        <v>134</v>
      </c>
      <c r="H8862" t="s">
        <v>39</v>
      </c>
      <c r="I8862" t="s">
        <v>40</v>
      </c>
      <c r="J8862" s="2" t="s">
        <v>190</v>
      </c>
      <c r="K8862" t="s">
        <v>42</v>
      </c>
      <c r="L8862" t="s">
        <v>135</v>
      </c>
      <c r="Q8862">
        <v>23730</v>
      </c>
      <c r="R8862" t="s">
        <v>45</v>
      </c>
      <c r="S8862" t="s">
        <v>25609</v>
      </c>
      <c r="T8862">
        <v>30.5</v>
      </c>
      <c r="U8862" s="2" t="s">
        <v>53273</v>
      </c>
      <c r="W8862" t="s">
        <v>2680</v>
      </c>
      <c r="X8862">
        <v>834688</v>
      </c>
      <c r="Y8862" t="s">
        <v>53274</v>
      </c>
      <c r="Z8862" t="s">
        <v>4487</v>
      </c>
      <c r="AA8862" s="2" t="s">
        <v>53275</v>
      </c>
      <c r="AB8862" t="s">
        <v>53276</v>
      </c>
      <c r="AC8862" t="s">
        <v>15866</v>
      </c>
      <c r="AG8862" t="s">
        <v>53277</v>
      </c>
      <c r="AH8862" t="s">
        <v>53278</v>
      </c>
      <c r="AI8862" t="s">
        <v>53279</v>
      </c>
    </row>
    <row r="8863" spans="2:35" ht="285">
      <c r="B8863" s="1">
        <v>44995</v>
      </c>
      <c r="C8863" s="4">
        <v>44995.515277777777</v>
      </c>
      <c r="D8863" t="s">
        <v>25498</v>
      </c>
      <c r="E8863" t="s">
        <v>30137</v>
      </c>
      <c r="F8863">
        <v>3</v>
      </c>
      <c r="G8863" t="s">
        <v>1046</v>
      </c>
      <c r="H8863" t="s">
        <v>39</v>
      </c>
      <c r="I8863" t="s">
        <v>40</v>
      </c>
      <c r="J8863" s="2" t="s">
        <v>41</v>
      </c>
      <c r="K8863" t="s">
        <v>42</v>
      </c>
      <c r="L8863" t="s">
        <v>135</v>
      </c>
      <c r="Q8863">
        <v>23732</v>
      </c>
      <c r="R8863" t="s">
        <v>45</v>
      </c>
      <c r="S8863" t="s">
        <v>25500</v>
      </c>
      <c r="T8863">
        <v>23</v>
      </c>
      <c r="U8863" s="2" t="s">
        <v>53280</v>
      </c>
      <c r="V8863" s="1">
        <v>44993</v>
      </c>
      <c r="W8863" t="s">
        <v>2680</v>
      </c>
      <c r="X8863">
        <v>807564</v>
      </c>
      <c r="Y8863" t="s">
        <v>53281</v>
      </c>
      <c r="Z8863" s="2" t="s">
        <v>29539</v>
      </c>
      <c r="AA8863" s="2" t="s">
        <v>32304</v>
      </c>
      <c r="AB8863" t="s">
        <v>181</v>
      </c>
      <c r="AD8863" t="s">
        <v>43304</v>
      </c>
      <c r="AE8863">
        <v>39363</v>
      </c>
      <c r="AG8863" t="s">
        <v>53282</v>
      </c>
      <c r="AH8863" t="s">
        <v>25505</v>
      </c>
      <c r="AI8863" t="s">
        <v>53283</v>
      </c>
    </row>
    <row r="8864" spans="2:35" ht="285">
      <c r="B8864" s="1">
        <v>44995</v>
      </c>
      <c r="C8864" s="4">
        <v>44995.520138888889</v>
      </c>
      <c r="D8864" t="s">
        <v>25498</v>
      </c>
      <c r="E8864" t="s">
        <v>30137</v>
      </c>
      <c r="F8864">
        <v>3</v>
      </c>
      <c r="G8864" t="s">
        <v>134</v>
      </c>
      <c r="H8864" t="s">
        <v>39</v>
      </c>
      <c r="I8864" t="s">
        <v>40</v>
      </c>
      <c r="J8864" s="2" t="s">
        <v>41</v>
      </c>
      <c r="K8864" t="s">
        <v>42</v>
      </c>
      <c r="L8864" t="s">
        <v>135</v>
      </c>
      <c r="Q8864">
        <v>23733</v>
      </c>
      <c r="R8864" t="s">
        <v>45</v>
      </c>
      <c r="S8864" t="s">
        <v>25500</v>
      </c>
      <c r="T8864">
        <v>23.4</v>
      </c>
      <c r="U8864" s="2" t="s">
        <v>53284</v>
      </c>
      <c r="V8864" s="1">
        <v>44993</v>
      </c>
      <c r="W8864" t="s">
        <v>39407</v>
      </c>
      <c r="X8864">
        <v>835104</v>
      </c>
      <c r="Y8864" t="s">
        <v>53285</v>
      </c>
      <c r="Z8864" s="2" t="s">
        <v>53286</v>
      </c>
      <c r="AA8864" s="2" t="s">
        <v>32304</v>
      </c>
      <c r="AB8864" t="s">
        <v>181</v>
      </c>
      <c r="AD8864" t="s">
        <v>22730</v>
      </c>
      <c r="AE8864">
        <v>39363</v>
      </c>
      <c r="AG8864" t="s">
        <v>53287</v>
      </c>
      <c r="AH8864" t="s">
        <v>25505</v>
      </c>
      <c r="AI8864" t="s">
        <v>53288</v>
      </c>
    </row>
    <row r="8865" spans="2:35" ht="225">
      <c r="B8865" s="1">
        <v>44995</v>
      </c>
      <c r="C8865" s="4">
        <v>44995.48541666667</v>
      </c>
      <c r="D8865" t="s">
        <v>26865</v>
      </c>
      <c r="E8865" t="s">
        <v>26866</v>
      </c>
      <c r="F8865">
        <v>3</v>
      </c>
      <c r="G8865" t="s">
        <v>1722</v>
      </c>
      <c r="H8865" t="s">
        <v>39</v>
      </c>
      <c r="I8865" t="s">
        <v>40</v>
      </c>
      <c r="J8865" s="2" t="s">
        <v>62</v>
      </c>
      <c r="K8865" t="s">
        <v>42</v>
      </c>
      <c r="L8865" t="s">
        <v>63</v>
      </c>
      <c r="Q8865">
        <v>23729</v>
      </c>
      <c r="R8865" t="s">
        <v>119</v>
      </c>
      <c r="S8865" t="s">
        <v>53289</v>
      </c>
      <c r="T8865">
        <v>27</v>
      </c>
      <c r="U8865" s="2" t="s">
        <v>53290</v>
      </c>
      <c r="V8865" s="1">
        <v>44960</v>
      </c>
      <c r="W8865" t="s">
        <v>26915</v>
      </c>
      <c r="X8865">
        <v>831562</v>
      </c>
      <c r="Y8865" t="s">
        <v>1716</v>
      </c>
      <c r="Z8865" t="s">
        <v>1716</v>
      </c>
      <c r="AA8865" s="2" t="s">
        <v>38119</v>
      </c>
      <c r="AB8865" t="s">
        <v>70</v>
      </c>
      <c r="AC8865" t="s">
        <v>53291</v>
      </c>
      <c r="AD8865" t="s">
        <v>34999</v>
      </c>
      <c r="AE8865">
        <v>9588</v>
      </c>
      <c r="AG8865" t="s">
        <v>53292</v>
      </c>
      <c r="AH8865" t="s">
        <v>53293</v>
      </c>
      <c r="AI8865" t="s">
        <v>53294</v>
      </c>
    </row>
    <row r="8866" spans="2:35" ht="225">
      <c r="B8866" s="1">
        <v>44995</v>
      </c>
      <c r="C8866" s="4">
        <v>44995.48541666667</v>
      </c>
      <c r="D8866" t="s">
        <v>26865</v>
      </c>
      <c r="E8866" t="s">
        <v>26866</v>
      </c>
      <c r="F8866">
        <v>3</v>
      </c>
      <c r="G8866" t="s">
        <v>1722</v>
      </c>
      <c r="H8866" t="s">
        <v>39</v>
      </c>
      <c r="I8866" t="s">
        <v>40</v>
      </c>
      <c r="J8866" s="2" t="s">
        <v>62</v>
      </c>
      <c r="K8866" t="s">
        <v>42</v>
      </c>
      <c r="L8866" t="s">
        <v>63</v>
      </c>
      <c r="Q8866">
        <v>23728</v>
      </c>
      <c r="R8866" t="s">
        <v>119</v>
      </c>
      <c r="S8866" t="s">
        <v>53289</v>
      </c>
      <c r="T8866">
        <v>27</v>
      </c>
      <c r="U8866" s="2" t="s">
        <v>53290</v>
      </c>
      <c r="V8866" s="1">
        <v>44960</v>
      </c>
      <c r="W8866" t="s">
        <v>26915</v>
      </c>
      <c r="X8866">
        <v>831561</v>
      </c>
      <c r="Y8866" t="s">
        <v>1716</v>
      </c>
      <c r="Z8866" t="s">
        <v>1716</v>
      </c>
      <c r="AA8866" s="2" t="s">
        <v>38119</v>
      </c>
      <c r="AB8866" t="s">
        <v>70</v>
      </c>
      <c r="AC8866" t="s">
        <v>53291</v>
      </c>
      <c r="AD8866" t="s">
        <v>34999</v>
      </c>
      <c r="AE8866">
        <v>9588</v>
      </c>
      <c r="AG8866" t="s">
        <v>53295</v>
      </c>
      <c r="AH8866" t="s">
        <v>53293</v>
      </c>
      <c r="AI8866" t="s">
        <v>53296</v>
      </c>
    </row>
    <row r="8867" spans="2:35" ht="105">
      <c r="B8867" s="1">
        <v>44995</v>
      </c>
      <c r="C8867" s="4">
        <v>44995.495833333334</v>
      </c>
      <c r="D8867" t="s">
        <v>8539</v>
      </c>
      <c r="E8867" t="s">
        <v>53297</v>
      </c>
      <c r="F8867">
        <v>9</v>
      </c>
      <c r="G8867" t="s">
        <v>2197</v>
      </c>
      <c r="H8867" t="s">
        <v>39</v>
      </c>
      <c r="I8867" t="s">
        <v>40</v>
      </c>
      <c r="J8867" t="s">
        <v>525</v>
      </c>
      <c r="K8867" t="s">
        <v>42</v>
      </c>
      <c r="L8867" t="s">
        <v>1257</v>
      </c>
      <c r="Q8867">
        <v>23727</v>
      </c>
      <c r="R8867" t="s">
        <v>45</v>
      </c>
      <c r="S8867" t="s">
        <v>53298</v>
      </c>
      <c r="T8867">
        <v>25</v>
      </c>
      <c r="U8867" s="2" t="s">
        <v>1509</v>
      </c>
      <c r="V8867" s="1">
        <v>44995</v>
      </c>
      <c r="W8867" t="s">
        <v>1008</v>
      </c>
      <c r="X8867">
        <v>838533</v>
      </c>
      <c r="Y8867" t="s">
        <v>53299</v>
      </c>
      <c r="Z8867" t="s">
        <v>53300</v>
      </c>
      <c r="AA8867" t="s">
        <v>53301</v>
      </c>
      <c r="AB8867" t="s">
        <v>53302</v>
      </c>
      <c r="AC8867" t="s">
        <v>53303</v>
      </c>
      <c r="AD8867" t="s">
        <v>54</v>
      </c>
      <c r="AE8867" t="s">
        <v>54</v>
      </c>
      <c r="AG8867" t="s">
        <v>53304</v>
      </c>
      <c r="AH8867" t="s">
        <v>53305</v>
      </c>
      <c r="AI8867" t="s">
        <v>53306</v>
      </c>
    </row>
    <row r="8868" spans="2:35" ht="180">
      <c r="B8868" s="1">
        <v>44995</v>
      </c>
      <c r="C8868" s="4">
        <v>44995.484027777777</v>
      </c>
      <c r="D8868" t="s">
        <v>5563</v>
      </c>
      <c r="E8868" t="s">
        <v>1555</v>
      </c>
      <c r="F8868">
        <v>7</v>
      </c>
      <c r="G8868" t="s">
        <v>432</v>
      </c>
      <c r="H8868" t="s">
        <v>150</v>
      </c>
      <c r="I8868" t="s">
        <v>40</v>
      </c>
      <c r="J8868" s="2" t="s">
        <v>1444</v>
      </c>
      <c r="K8868" t="s">
        <v>42</v>
      </c>
      <c r="L8868" t="s">
        <v>343</v>
      </c>
      <c r="Q8868">
        <v>23726</v>
      </c>
      <c r="R8868" t="s">
        <v>119</v>
      </c>
      <c r="S8868" t="s">
        <v>5564</v>
      </c>
      <c r="T8868">
        <v>25.1</v>
      </c>
      <c r="U8868" s="2" t="s">
        <v>53307</v>
      </c>
      <c r="W8868" t="s">
        <v>6105</v>
      </c>
      <c r="X8868">
        <v>838561</v>
      </c>
      <c r="Y8868" t="s">
        <v>53308</v>
      </c>
      <c r="Z8868" t="e">
        <f ca="1">-Check machine surrounding _xludf.For possible airflow disruption</f>
        <v>#NAME?</v>
      </c>
      <c r="AA8868" t="e">
        <f ca="1">-Preventive Maintenance
-run Xpert Check on module B1</f>
        <v>#NAME?</v>
      </c>
      <c r="AB8868" t="s">
        <v>53309</v>
      </c>
      <c r="AC8868" t="s">
        <v>53310</v>
      </c>
      <c r="AG8868" t="s">
        <v>53311</v>
      </c>
      <c r="AH8868" t="s">
        <v>14800</v>
      </c>
      <c r="AI8868" t="s">
        <v>53312</v>
      </c>
    </row>
    <row r="8869" spans="2:35" ht="390">
      <c r="B8869" s="1">
        <v>44995</v>
      </c>
      <c r="C8869" s="4">
        <v>44994.668055555558</v>
      </c>
      <c r="D8869" t="s">
        <v>24517</v>
      </c>
      <c r="E8869" t="s">
        <v>53313</v>
      </c>
      <c r="F8869">
        <v>3</v>
      </c>
      <c r="G8869" t="s">
        <v>134</v>
      </c>
      <c r="H8869" t="s">
        <v>150</v>
      </c>
      <c r="I8869" t="s">
        <v>40</v>
      </c>
      <c r="J8869" s="2" t="s">
        <v>1808</v>
      </c>
      <c r="K8869" t="s">
        <v>42</v>
      </c>
      <c r="L8869" t="s">
        <v>63</v>
      </c>
      <c r="Q8869">
        <v>23725</v>
      </c>
      <c r="R8869" t="s">
        <v>45</v>
      </c>
      <c r="S8869" t="s">
        <v>53314</v>
      </c>
      <c r="T8869">
        <v>27</v>
      </c>
      <c r="U8869" s="2" t="s">
        <v>29810</v>
      </c>
      <c r="V8869" s="1">
        <v>44994</v>
      </c>
      <c r="W8869" t="s">
        <v>26915</v>
      </c>
      <c r="X8869">
        <v>110016957</v>
      </c>
      <c r="Y8869" t="s">
        <v>1716</v>
      </c>
      <c r="Z8869" t="s">
        <v>1716</v>
      </c>
      <c r="AA8869" s="2" t="s">
        <v>53315</v>
      </c>
      <c r="AB8869" t="s">
        <v>70</v>
      </c>
      <c r="AC8869" t="s">
        <v>1716</v>
      </c>
      <c r="AD8869" t="s">
        <v>22883</v>
      </c>
      <c r="AE8869" t="s">
        <v>1716</v>
      </c>
      <c r="AG8869" t="s">
        <v>53316</v>
      </c>
      <c r="AH8869" t="s">
        <v>53317</v>
      </c>
      <c r="AI8869" t="s">
        <v>53318</v>
      </c>
    </row>
    <row r="8870" spans="2:35" ht="345">
      <c r="B8870" s="1">
        <v>44995</v>
      </c>
      <c r="C8870" s="4">
        <v>44994.64166666667</v>
      </c>
      <c r="D8870" t="s">
        <v>24517</v>
      </c>
      <c r="E8870" t="s">
        <v>12628</v>
      </c>
      <c r="F8870">
        <v>3</v>
      </c>
      <c r="G8870" t="s">
        <v>134</v>
      </c>
      <c r="H8870" t="s">
        <v>16831</v>
      </c>
      <c r="I8870" t="s">
        <v>40</v>
      </c>
      <c r="J8870" s="2" t="s">
        <v>1592</v>
      </c>
      <c r="K8870" t="s">
        <v>42</v>
      </c>
      <c r="L8870" t="s">
        <v>63</v>
      </c>
      <c r="Q8870">
        <v>23724</v>
      </c>
      <c r="R8870" t="s">
        <v>95</v>
      </c>
      <c r="S8870" t="s">
        <v>53319</v>
      </c>
      <c r="T8870">
        <v>29</v>
      </c>
      <c r="U8870" s="2" t="s">
        <v>53320</v>
      </c>
      <c r="V8870" s="1">
        <v>44992</v>
      </c>
      <c r="W8870" t="s">
        <v>26915</v>
      </c>
      <c r="X8870">
        <v>812571</v>
      </c>
      <c r="Y8870" t="s">
        <v>53321</v>
      </c>
      <c r="Z8870" t="s">
        <v>53322</v>
      </c>
      <c r="AA8870" s="2" t="s">
        <v>39935</v>
      </c>
      <c r="AB8870" t="s">
        <v>70</v>
      </c>
      <c r="AC8870" t="s">
        <v>53323</v>
      </c>
      <c r="AD8870" t="s">
        <v>53324</v>
      </c>
      <c r="AE8870">
        <v>9673</v>
      </c>
      <c r="AG8870" t="s">
        <v>53325</v>
      </c>
      <c r="AH8870" t="s">
        <v>53326</v>
      </c>
      <c r="AI8870" t="s">
        <v>53327</v>
      </c>
    </row>
    <row r="8871" spans="2:35" ht="180">
      <c r="B8871" s="1">
        <v>44995</v>
      </c>
      <c r="C8871" s="4">
        <v>44995.47152777778</v>
      </c>
      <c r="D8871" t="s">
        <v>1004</v>
      </c>
      <c r="E8871" t="s">
        <v>1005</v>
      </c>
      <c r="F8871">
        <v>7</v>
      </c>
      <c r="G8871" t="s">
        <v>432</v>
      </c>
      <c r="H8871" t="s">
        <v>39</v>
      </c>
      <c r="I8871" t="s">
        <v>40</v>
      </c>
      <c r="J8871" s="2" t="s">
        <v>220</v>
      </c>
      <c r="K8871" t="s">
        <v>42</v>
      </c>
      <c r="L8871" t="s">
        <v>433</v>
      </c>
      <c r="Q8871">
        <v>23723</v>
      </c>
      <c r="R8871" t="s">
        <v>45</v>
      </c>
      <c r="S8871" t="s">
        <v>53328</v>
      </c>
      <c r="T8871">
        <v>23</v>
      </c>
      <c r="U8871" s="2" t="s">
        <v>53329</v>
      </c>
      <c r="W8871" t="s">
        <v>6776</v>
      </c>
      <c r="X8871">
        <v>808630</v>
      </c>
      <c r="Y8871" t="s">
        <v>53330</v>
      </c>
      <c r="Z8871" t="s">
        <v>53331</v>
      </c>
      <c r="AA8871" t="s">
        <v>53332</v>
      </c>
      <c r="AB8871" t="s">
        <v>1011</v>
      </c>
      <c r="AG8871" t="s">
        <v>53333</v>
      </c>
      <c r="AH8871" t="s">
        <v>53334</v>
      </c>
      <c r="AI8871" t="s">
        <v>53335</v>
      </c>
    </row>
    <row r="8872" spans="2:35" ht="409.5">
      <c r="B8872" s="1">
        <v>44995</v>
      </c>
      <c r="C8872" s="4">
        <v>44994.618750000001</v>
      </c>
      <c r="D8872" t="s">
        <v>3357</v>
      </c>
      <c r="E8872" t="s">
        <v>27224</v>
      </c>
      <c r="F8872">
        <v>3</v>
      </c>
      <c r="G8872" t="s">
        <v>134</v>
      </c>
      <c r="H8872" t="s">
        <v>39</v>
      </c>
      <c r="I8872" t="s">
        <v>40</v>
      </c>
      <c r="J8872" s="2" t="s">
        <v>62</v>
      </c>
      <c r="K8872" t="s">
        <v>42</v>
      </c>
      <c r="L8872" t="s">
        <v>135</v>
      </c>
      <c r="Q8872">
        <v>23722</v>
      </c>
      <c r="R8872" t="s">
        <v>45</v>
      </c>
      <c r="S8872" t="s">
        <v>3359</v>
      </c>
      <c r="T8872">
        <v>26.3</v>
      </c>
      <c r="U8872" s="2" t="s">
        <v>53269</v>
      </c>
      <c r="V8872" s="1">
        <v>44960</v>
      </c>
      <c r="W8872" t="s">
        <v>2680</v>
      </c>
      <c r="X8872">
        <v>831912</v>
      </c>
      <c r="Y8872" t="s">
        <v>67</v>
      </c>
      <c r="Z8872" s="2" t="s">
        <v>2143</v>
      </c>
      <c r="AA8872" s="2" t="s">
        <v>31375</v>
      </c>
      <c r="AB8872" t="s">
        <v>53270</v>
      </c>
      <c r="AC8872" t="s">
        <v>35076</v>
      </c>
      <c r="AD8872" t="s">
        <v>34422</v>
      </c>
      <c r="AE8872">
        <v>9582</v>
      </c>
      <c r="AG8872" t="s">
        <v>53336</v>
      </c>
      <c r="AH8872" t="s">
        <v>3362</v>
      </c>
      <c r="AI8872" t="s">
        <v>53337</v>
      </c>
    </row>
    <row r="8873" spans="2:35" ht="180">
      <c r="B8873" s="1">
        <v>44995</v>
      </c>
      <c r="C8873" s="4">
        <v>44994.502083333333</v>
      </c>
      <c r="D8873" t="s">
        <v>25607</v>
      </c>
      <c r="E8873" t="s">
        <v>30628</v>
      </c>
      <c r="F8873">
        <v>3</v>
      </c>
      <c r="G8873" t="s">
        <v>134</v>
      </c>
      <c r="H8873" t="s">
        <v>39</v>
      </c>
      <c r="I8873" t="s">
        <v>40</v>
      </c>
      <c r="J8873" s="2" t="s">
        <v>190</v>
      </c>
      <c r="K8873" t="s">
        <v>42</v>
      </c>
      <c r="L8873" t="s">
        <v>135</v>
      </c>
      <c r="Q8873">
        <v>23721</v>
      </c>
      <c r="R8873" t="s">
        <v>45</v>
      </c>
      <c r="S8873" t="s">
        <v>25609</v>
      </c>
      <c r="T8873">
        <v>30.5</v>
      </c>
      <c r="U8873" s="2" t="s">
        <v>53273</v>
      </c>
      <c r="W8873" t="s">
        <v>2680</v>
      </c>
      <c r="X8873">
        <v>834688</v>
      </c>
      <c r="Y8873" t="s">
        <v>53274</v>
      </c>
      <c r="Z8873" t="s">
        <v>4487</v>
      </c>
      <c r="AA8873" s="2" t="s">
        <v>53275</v>
      </c>
      <c r="AB8873" t="s">
        <v>53276</v>
      </c>
      <c r="AC8873" t="s">
        <v>15866</v>
      </c>
      <c r="AG8873" t="s">
        <v>53338</v>
      </c>
      <c r="AH8873" t="s">
        <v>53278</v>
      </c>
      <c r="AI8873" t="s">
        <v>53339</v>
      </c>
    </row>
    <row r="8874" spans="2:35" ht="330">
      <c r="B8874" s="1">
        <v>44994</v>
      </c>
      <c r="C8874" s="4">
        <v>44994.475694444445</v>
      </c>
      <c r="D8874" t="s">
        <v>35281</v>
      </c>
      <c r="E8874" t="s">
        <v>53340</v>
      </c>
      <c r="F8874">
        <v>8</v>
      </c>
      <c r="G8874" t="s">
        <v>1789</v>
      </c>
      <c r="H8874" t="s">
        <v>53341</v>
      </c>
      <c r="I8874" t="s">
        <v>40</v>
      </c>
      <c r="J8874" s="2" t="s">
        <v>41</v>
      </c>
      <c r="K8874" t="s">
        <v>42</v>
      </c>
      <c r="L8874" t="s">
        <v>259</v>
      </c>
      <c r="Q8874">
        <v>23720</v>
      </c>
      <c r="R8874" t="s">
        <v>45</v>
      </c>
      <c r="S8874" t="s">
        <v>1790</v>
      </c>
      <c r="T8874">
        <v>24</v>
      </c>
      <c r="U8874" s="2" t="s">
        <v>53342</v>
      </c>
      <c r="V8874" s="1">
        <v>44994</v>
      </c>
      <c r="W8874" t="s">
        <v>84</v>
      </c>
      <c r="X8874">
        <v>815273</v>
      </c>
      <c r="Y8874" t="s">
        <v>32126</v>
      </c>
      <c r="Z8874" s="2" t="s">
        <v>53343</v>
      </c>
      <c r="AA8874" t="e">
        <f ca="1">-module Replacement
-Preventive Maintenance</f>
        <v>#NAME?</v>
      </c>
      <c r="AB8874" s="2" t="s">
        <v>53344</v>
      </c>
      <c r="AD8874" t="s">
        <v>53345</v>
      </c>
      <c r="AE8874" t="s">
        <v>54</v>
      </c>
      <c r="AG8874" t="s">
        <v>53346</v>
      </c>
      <c r="AH8874" t="s">
        <v>53347</v>
      </c>
      <c r="AI8874" t="s">
        <v>53348</v>
      </c>
    </row>
    <row r="8875" spans="2:35" ht="360">
      <c r="B8875" s="1">
        <v>44994</v>
      </c>
      <c r="C8875" s="4">
        <v>44994.65347222222</v>
      </c>
      <c r="D8875" t="s">
        <v>37565</v>
      </c>
      <c r="E8875" t="s">
        <v>34324</v>
      </c>
      <c r="F8875">
        <v>13</v>
      </c>
      <c r="G8875" t="s">
        <v>931</v>
      </c>
      <c r="H8875" t="s">
        <v>2125</v>
      </c>
      <c r="I8875" t="s">
        <v>40</v>
      </c>
      <c r="J8875" t="s">
        <v>321</v>
      </c>
      <c r="K8875" t="s">
        <v>42</v>
      </c>
      <c r="L8875" t="s">
        <v>933</v>
      </c>
      <c r="Q8875">
        <v>23719</v>
      </c>
      <c r="R8875" t="s">
        <v>45</v>
      </c>
      <c r="S8875" t="s">
        <v>53349</v>
      </c>
      <c r="T8875">
        <v>18.899999999999999</v>
      </c>
      <c r="U8875" s="2" t="s">
        <v>29810</v>
      </c>
      <c r="W8875" t="s">
        <v>53350</v>
      </c>
      <c r="X8875">
        <v>110016959</v>
      </c>
      <c r="Y8875" t="s">
        <v>301</v>
      </c>
      <c r="Z8875" t="s">
        <v>301</v>
      </c>
      <c r="AA8875" t="s">
        <v>53351</v>
      </c>
      <c r="AB8875" s="2" t="s">
        <v>53352</v>
      </c>
      <c r="AG8875" t="s">
        <v>53353</v>
      </c>
      <c r="AH8875" t="s">
        <v>52242</v>
      </c>
      <c r="AI8875" t="s">
        <v>53354</v>
      </c>
    </row>
    <row r="8876" spans="2:35" ht="240">
      <c r="B8876" s="1">
        <v>44994</v>
      </c>
      <c r="C8876" s="4">
        <v>44994.659722222219</v>
      </c>
      <c r="D8876" t="s">
        <v>4149</v>
      </c>
      <c r="E8876" t="s">
        <v>4150</v>
      </c>
      <c r="F8876">
        <v>7</v>
      </c>
      <c r="G8876" t="s">
        <v>432</v>
      </c>
      <c r="H8876" t="s">
        <v>39</v>
      </c>
      <c r="I8876" t="s">
        <v>40</v>
      </c>
      <c r="J8876" s="2" t="s">
        <v>53355</v>
      </c>
      <c r="K8876" t="s">
        <v>42</v>
      </c>
      <c r="L8876" t="s">
        <v>433</v>
      </c>
      <c r="Q8876">
        <v>23718</v>
      </c>
      <c r="R8876" t="s">
        <v>45</v>
      </c>
      <c r="S8876" t="s">
        <v>4152</v>
      </c>
      <c r="T8876">
        <v>25</v>
      </c>
      <c r="U8876" s="2" t="s">
        <v>53356</v>
      </c>
      <c r="W8876" t="s">
        <v>6776</v>
      </c>
      <c r="X8876">
        <v>808286</v>
      </c>
      <c r="Y8876" t="s">
        <v>53357</v>
      </c>
      <c r="Z8876" t="s">
        <v>53358</v>
      </c>
      <c r="AA8876" t="s">
        <v>53359</v>
      </c>
      <c r="AB8876" t="s">
        <v>1011</v>
      </c>
      <c r="AG8876" t="s">
        <v>53360</v>
      </c>
      <c r="AH8876" t="s">
        <v>4156</v>
      </c>
      <c r="AI8876" t="s">
        <v>53361</v>
      </c>
    </row>
    <row r="8877" spans="2:35" ht="360">
      <c r="B8877" s="1">
        <v>44994</v>
      </c>
      <c r="C8877" s="4">
        <v>44994.444444444445</v>
      </c>
      <c r="D8877" t="s">
        <v>27679</v>
      </c>
      <c r="E8877" t="s">
        <v>53362</v>
      </c>
      <c r="F8877">
        <v>3</v>
      </c>
      <c r="G8877" t="s">
        <v>134</v>
      </c>
      <c r="H8877" t="s">
        <v>150</v>
      </c>
      <c r="I8877" t="s">
        <v>40</v>
      </c>
      <c r="J8877" s="2" t="s">
        <v>1808</v>
      </c>
      <c r="K8877" t="s">
        <v>42</v>
      </c>
      <c r="L8877" t="s">
        <v>63</v>
      </c>
      <c r="Q8877">
        <v>23716</v>
      </c>
      <c r="R8877" t="s">
        <v>322</v>
      </c>
      <c r="S8877" t="s">
        <v>53363</v>
      </c>
      <c r="T8877">
        <v>25</v>
      </c>
      <c r="U8877" s="2" t="s">
        <v>53364</v>
      </c>
      <c r="V8877" s="1">
        <v>44993</v>
      </c>
      <c r="W8877" t="s">
        <v>26915</v>
      </c>
      <c r="X8877">
        <v>110018556</v>
      </c>
      <c r="Y8877" t="s">
        <v>1716</v>
      </c>
      <c r="Z8877" t="s">
        <v>1716</v>
      </c>
      <c r="AA8877" s="2" t="s">
        <v>53365</v>
      </c>
      <c r="AB8877" t="s">
        <v>70</v>
      </c>
      <c r="AC8877" t="s">
        <v>1716</v>
      </c>
      <c r="AD8877" t="s">
        <v>53366</v>
      </c>
      <c r="AE8877">
        <v>94877</v>
      </c>
      <c r="AG8877" t="s">
        <v>53367</v>
      </c>
      <c r="AH8877" t="s">
        <v>53368</v>
      </c>
      <c r="AI8877" t="s">
        <v>53369</v>
      </c>
    </row>
    <row r="8878" spans="2:35" ht="255">
      <c r="B8878" s="1">
        <v>44994</v>
      </c>
      <c r="C8878" s="4">
        <v>44994.581250000003</v>
      </c>
      <c r="D8878" t="s">
        <v>24517</v>
      </c>
      <c r="E8878" t="s">
        <v>53370</v>
      </c>
      <c r="F8878">
        <v>3</v>
      </c>
      <c r="G8878" t="s">
        <v>134</v>
      </c>
      <c r="H8878" t="s">
        <v>39</v>
      </c>
      <c r="I8878" t="s">
        <v>40</v>
      </c>
      <c r="J8878" s="2" t="s">
        <v>41</v>
      </c>
      <c r="K8878" t="s">
        <v>42</v>
      </c>
      <c r="L8878" t="s">
        <v>63</v>
      </c>
      <c r="Q8878">
        <v>23717</v>
      </c>
      <c r="R8878" t="s">
        <v>45</v>
      </c>
      <c r="S8878" t="s">
        <v>53314</v>
      </c>
      <c r="T8878">
        <v>29</v>
      </c>
      <c r="U8878" s="2" t="s">
        <v>53371</v>
      </c>
      <c r="V8878" s="1">
        <v>44994</v>
      </c>
      <c r="W8878" t="s">
        <v>26915</v>
      </c>
      <c r="X8878">
        <v>804763</v>
      </c>
      <c r="Y8878" t="s">
        <v>1716</v>
      </c>
      <c r="Z8878" s="2" t="s">
        <v>39935</v>
      </c>
      <c r="AA8878" t="s">
        <v>10275</v>
      </c>
      <c r="AB8878" t="s">
        <v>70</v>
      </c>
      <c r="AC8878" t="s">
        <v>53372</v>
      </c>
      <c r="AD8878" t="s">
        <v>6397</v>
      </c>
      <c r="AE8878" t="s">
        <v>1716</v>
      </c>
      <c r="AG8878" t="s">
        <v>53373</v>
      </c>
      <c r="AH8878" t="s">
        <v>53374</v>
      </c>
      <c r="AI8878" t="s">
        <v>53375</v>
      </c>
    </row>
    <row r="8879" spans="2:35" ht="405">
      <c r="B8879" s="1">
        <v>44994</v>
      </c>
      <c r="C8879" s="4">
        <v>44994.543749999997</v>
      </c>
      <c r="D8879" t="s">
        <v>26413</v>
      </c>
      <c r="E8879" t="s">
        <v>53376</v>
      </c>
      <c r="F8879">
        <v>11</v>
      </c>
      <c r="G8879" t="s">
        <v>1759</v>
      </c>
      <c r="H8879" t="s">
        <v>202</v>
      </c>
      <c r="I8879" t="s">
        <v>40</v>
      </c>
      <c r="J8879" s="2" t="s">
        <v>190</v>
      </c>
      <c r="K8879" t="s">
        <v>42</v>
      </c>
      <c r="L8879" t="s">
        <v>204</v>
      </c>
      <c r="Q8879">
        <v>23715</v>
      </c>
      <c r="R8879" t="s">
        <v>719</v>
      </c>
      <c r="S8879" t="s">
        <v>53377</v>
      </c>
      <c r="T8879">
        <v>26.6</v>
      </c>
      <c r="U8879" s="2" t="s">
        <v>53378</v>
      </c>
      <c r="W8879" t="s">
        <v>1292</v>
      </c>
      <c r="X8879">
        <v>847253</v>
      </c>
      <c r="Y8879" s="2" t="s">
        <v>53379</v>
      </c>
      <c r="Z8879" s="2" t="s">
        <v>53380</v>
      </c>
      <c r="AA8879" t="s">
        <v>2551</v>
      </c>
      <c r="AB8879" s="2" t="s">
        <v>53381</v>
      </c>
      <c r="AG8879" t="s">
        <v>53382</v>
      </c>
      <c r="AH8879" t="s">
        <v>53383</v>
      </c>
      <c r="AI8879" t="s">
        <v>53384</v>
      </c>
    </row>
    <row r="8880" spans="2:35" ht="150">
      <c r="B8880" s="1">
        <v>44994</v>
      </c>
      <c r="C8880" s="4">
        <v>44994.520138888889</v>
      </c>
      <c r="D8880" t="s">
        <v>32381</v>
      </c>
      <c r="E8880" t="s">
        <v>53385</v>
      </c>
      <c r="F8880" t="s">
        <v>37</v>
      </c>
      <c r="G8880" t="s">
        <v>748</v>
      </c>
      <c r="H8880" t="s">
        <v>39</v>
      </c>
      <c r="I8880" t="s">
        <v>40</v>
      </c>
      <c r="J8880" s="2" t="s">
        <v>41</v>
      </c>
      <c r="K8880" t="s">
        <v>42</v>
      </c>
      <c r="L8880" t="s">
        <v>1028</v>
      </c>
      <c r="Q8880">
        <v>23714</v>
      </c>
      <c r="R8880" t="s">
        <v>45</v>
      </c>
      <c r="S8880" t="s">
        <v>32383</v>
      </c>
      <c r="T8880">
        <v>24</v>
      </c>
      <c r="U8880" s="2" t="s">
        <v>5590</v>
      </c>
      <c r="W8880" t="s">
        <v>2680</v>
      </c>
      <c r="X8880">
        <v>814152</v>
      </c>
      <c r="Y8880" t="s">
        <v>53386</v>
      </c>
      <c r="Z8880" t="s">
        <v>2129</v>
      </c>
      <c r="AA8880" s="2" t="s">
        <v>40936</v>
      </c>
      <c r="AB8880" t="s">
        <v>1263</v>
      </c>
      <c r="AC8880" t="s">
        <v>53387</v>
      </c>
      <c r="AG8880" t="s">
        <v>53388</v>
      </c>
      <c r="AH8880" t="s">
        <v>42964</v>
      </c>
      <c r="AI8880" t="s">
        <v>53389</v>
      </c>
    </row>
    <row r="8881" spans="2:35" ht="180">
      <c r="B8881" s="1">
        <v>44994</v>
      </c>
      <c r="C8881" s="4">
        <v>44993.5</v>
      </c>
      <c r="D8881" t="s">
        <v>53390</v>
      </c>
      <c r="E8881" t="s">
        <v>53391</v>
      </c>
      <c r="F8881" t="s">
        <v>37</v>
      </c>
      <c r="G8881" t="s">
        <v>748</v>
      </c>
      <c r="H8881" t="s">
        <v>39</v>
      </c>
      <c r="I8881" t="s">
        <v>40</v>
      </c>
      <c r="J8881" s="2" t="s">
        <v>41</v>
      </c>
      <c r="K8881" t="s">
        <v>42</v>
      </c>
      <c r="L8881" t="s">
        <v>1028</v>
      </c>
      <c r="Q8881">
        <v>23713</v>
      </c>
      <c r="R8881" t="s">
        <v>45</v>
      </c>
      <c r="S8881" t="s">
        <v>33227</v>
      </c>
      <c r="T8881">
        <v>22</v>
      </c>
      <c r="U8881" s="2" t="s">
        <v>53392</v>
      </c>
      <c r="W8881" t="s">
        <v>2680</v>
      </c>
      <c r="X8881">
        <v>838139</v>
      </c>
      <c r="Y8881" t="s">
        <v>53393</v>
      </c>
      <c r="Z8881" t="s">
        <v>2129</v>
      </c>
      <c r="AA8881" s="2" t="s">
        <v>53394</v>
      </c>
      <c r="AB8881" t="s">
        <v>1263</v>
      </c>
      <c r="AC8881" t="s">
        <v>53395</v>
      </c>
      <c r="AG8881" t="s">
        <v>53396</v>
      </c>
      <c r="AH8881" t="s">
        <v>30280</v>
      </c>
      <c r="AI8881" t="s">
        <v>53397</v>
      </c>
    </row>
    <row r="8882" spans="2:35" ht="210">
      <c r="B8882" s="1">
        <v>44994</v>
      </c>
      <c r="C8882" s="4">
        <v>44992.538194444445</v>
      </c>
      <c r="D8882" t="s">
        <v>26425</v>
      </c>
      <c r="E8882" t="s">
        <v>53398</v>
      </c>
      <c r="F8882" t="s">
        <v>148</v>
      </c>
      <c r="G8882" t="s">
        <v>4786</v>
      </c>
      <c r="H8882" t="s">
        <v>39</v>
      </c>
      <c r="I8882" t="s">
        <v>40</v>
      </c>
      <c r="J8882" s="2" t="s">
        <v>62</v>
      </c>
      <c r="K8882" t="s">
        <v>42</v>
      </c>
      <c r="L8882" t="s">
        <v>1028</v>
      </c>
      <c r="Q8882">
        <v>23712</v>
      </c>
      <c r="R8882" t="s">
        <v>119</v>
      </c>
      <c r="S8882" t="s">
        <v>53399</v>
      </c>
      <c r="T8882">
        <v>23</v>
      </c>
      <c r="U8882" s="2" t="s">
        <v>53400</v>
      </c>
      <c r="V8882" s="1">
        <v>44942</v>
      </c>
      <c r="W8882" t="s">
        <v>2680</v>
      </c>
      <c r="X8882">
        <v>831918</v>
      </c>
      <c r="Y8882" t="s">
        <v>18140</v>
      </c>
      <c r="Z8882" t="s">
        <v>21244</v>
      </c>
      <c r="AA8882" s="2" t="s">
        <v>31300</v>
      </c>
      <c r="AB8882" t="s">
        <v>53401</v>
      </c>
      <c r="AC8882" t="s">
        <v>53402</v>
      </c>
      <c r="AD8882" t="s">
        <v>20036</v>
      </c>
      <c r="AE8882" t="s">
        <v>53403</v>
      </c>
      <c r="AG8882" t="s">
        <v>53404</v>
      </c>
      <c r="AH8882" t="s">
        <v>53405</v>
      </c>
      <c r="AI8882" t="s">
        <v>53406</v>
      </c>
    </row>
    <row r="8883" spans="2:35" ht="180">
      <c r="B8883" s="1">
        <v>44994</v>
      </c>
      <c r="C8883" s="4">
        <v>44992.467361111114</v>
      </c>
      <c r="D8883" t="s">
        <v>772</v>
      </c>
      <c r="E8883" t="s">
        <v>53407</v>
      </c>
      <c r="F8883" t="s">
        <v>148</v>
      </c>
      <c r="G8883" t="s">
        <v>774</v>
      </c>
      <c r="H8883" t="s">
        <v>39</v>
      </c>
      <c r="I8883" t="s">
        <v>40</v>
      </c>
      <c r="J8883" s="2" t="s">
        <v>62</v>
      </c>
      <c r="K8883" t="s">
        <v>42</v>
      </c>
      <c r="L8883" t="s">
        <v>1028</v>
      </c>
      <c r="Q8883">
        <v>23710</v>
      </c>
      <c r="R8883" t="s">
        <v>119</v>
      </c>
      <c r="S8883" t="s">
        <v>775</v>
      </c>
      <c r="T8883">
        <v>26</v>
      </c>
      <c r="U8883" s="2" t="s">
        <v>53408</v>
      </c>
      <c r="V8883" s="1">
        <v>44942</v>
      </c>
      <c r="W8883" t="s">
        <v>2680</v>
      </c>
      <c r="X8883">
        <v>831913</v>
      </c>
      <c r="Y8883" t="s">
        <v>18140</v>
      </c>
      <c r="Z8883" t="s">
        <v>21244</v>
      </c>
      <c r="AA8883" s="2" t="s">
        <v>31300</v>
      </c>
      <c r="AB8883" t="s">
        <v>53409</v>
      </c>
      <c r="AC8883" t="s">
        <v>53410</v>
      </c>
      <c r="AD8883" t="s">
        <v>7189</v>
      </c>
      <c r="AE8883" t="s">
        <v>53411</v>
      </c>
      <c r="AG8883" t="s">
        <v>53412</v>
      </c>
      <c r="AH8883" t="s">
        <v>781</v>
      </c>
      <c r="AI8883" t="s">
        <v>53413</v>
      </c>
    </row>
    <row r="8884" spans="2:35" ht="150">
      <c r="B8884" s="1">
        <v>44994</v>
      </c>
      <c r="C8884" s="4">
        <v>44994.443055555559</v>
      </c>
      <c r="D8884" t="s">
        <v>50297</v>
      </c>
      <c r="E8884" t="s">
        <v>53414</v>
      </c>
      <c r="F8884" t="s">
        <v>37</v>
      </c>
      <c r="G8884" t="s">
        <v>748</v>
      </c>
      <c r="H8884" t="s">
        <v>39</v>
      </c>
      <c r="I8884" t="s">
        <v>40</v>
      </c>
      <c r="J8884" s="2" t="s">
        <v>41</v>
      </c>
      <c r="K8884" t="s">
        <v>42</v>
      </c>
      <c r="L8884" t="s">
        <v>1028</v>
      </c>
      <c r="Q8884">
        <v>23711</v>
      </c>
      <c r="R8884" t="s">
        <v>45</v>
      </c>
      <c r="S8884" t="s">
        <v>50299</v>
      </c>
      <c r="T8884">
        <v>28</v>
      </c>
      <c r="U8884" s="2" t="s">
        <v>13744</v>
      </c>
      <c r="W8884" t="s">
        <v>2680</v>
      </c>
      <c r="X8884">
        <v>838446</v>
      </c>
      <c r="Y8884" t="s">
        <v>53415</v>
      </c>
      <c r="Z8884" t="s">
        <v>2129</v>
      </c>
      <c r="AA8884" s="2" t="s">
        <v>53416</v>
      </c>
      <c r="AB8884" t="s">
        <v>53417</v>
      </c>
      <c r="AC8884" t="s">
        <v>53418</v>
      </c>
      <c r="AG8884" t="s">
        <v>53419</v>
      </c>
      <c r="AH8884" t="s">
        <v>50303</v>
      </c>
      <c r="AI8884" t="s">
        <v>53420</v>
      </c>
    </row>
    <row r="8885" spans="2:35" ht="165">
      <c r="B8885" s="1">
        <v>44994</v>
      </c>
      <c r="C8885" s="4">
        <v>44991.629166666666</v>
      </c>
      <c r="D8885" t="s">
        <v>27811</v>
      </c>
      <c r="E8885" t="s">
        <v>53421</v>
      </c>
      <c r="F8885" t="s">
        <v>148</v>
      </c>
      <c r="G8885" t="s">
        <v>310</v>
      </c>
      <c r="H8885" t="s">
        <v>39</v>
      </c>
      <c r="I8885" t="s">
        <v>40</v>
      </c>
      <c r="J8885" s="2" t="s">
        <v>62</v>
      </c>
      <c r="K8885" t="s">
        <v>42</v>
      </c>
      <c r="L8885" t="s">
        <v>1028</v>
      </c>
      <c r="Q8885">
        <v>23709</v>
      </c>
      <c r="R8885" t="s">
        <v>119</v>
      </c>
      <c r="S8885" t="s">
        <v>27813</v>
      </c>
      <c r="T8885">
        <v>22</v>
      </c>
      <c r="U8885" s="2" t="s">
        <v>10665</v>
      </c>
      <c r="V8885" s="1">
        <v>44942</v>
      </c>
      <c r="W8885" t="s">
        <v>2680</v>
      </c>
      <c r="X8885">
        <v>831694</v>
      </c>
      <c r="Y8885" t="s">
        <v>18140</v>
      </c>
      <c r="Z8885" s="2" t="s">
        <v>53422</v>
      </c>
      <c r="AA8885" s="2" t="s">
        <v>31300</v>
      </c>
      <c r="AB8885" t="s">
        <v>53401</v>
      </c>
      <c r="AC8885" t="s">
        <v>53423</v>
      </c>
      <c r="AD8885" t="s">
        <v>7189</v>
      </c>
      <c r="AE8885" t="s">
        <v>53424</v>
      </c>
      <c r="AG8885" t="s">
        <v>53425</v>
      </c>
      <c r="AH8885" t="s">
        <v>27819</v>
      </c>
      <c r="AI8885" t="s">
        <v>53426</v>
      </c>
    </row>
    <row r="8886" spans="2:35" ht="210">
      <c r="B8886" s="1">
        <v>44994</v>
      </c>
      <c r="C8886" s="4">
        <v>44986.455555555556</v>
      </c>
      <c r="D8886" t="s">
        <v>53427</v>
      </c>
      <c r="E8886" t="s">
        <v>53428</v>
      </c>
      <c r="F8886" t="s">
        <v>148</v>
      </c>
      <c r="G8886" t="s">
        <v>310</v>
      </c>
      <c r="H8886" t="s">
        <v>39</v>
      </c>
      <c r="I8886" t="s">
        <v>40</v>
      </c>
      <c r="J8886" s="2" t="s">
        <v>41</v>
      </c>
      <c r="K8886" t="s">
        <v>42</v>
      </c>
      <c r="L8886" t="s">
        <v>1028</v>
      </c>
      <c r="Q8886">
        <v>23708</v>
      </c>
      <c r="R8886" t="s">
        <v>322</v>
      </c>
      <c r="S8886" t="s">
        <v>1545</v>
      </c>
      <c r="T8886">
        <v>28</v>
      </c>
      <c r="U8886" s="2" t="s">
        <v>53429</v>
      </c>
      <c r="V8886" s="1">
        <v>44977</v>
      </c>
      <c r="W8886" t="s">
        <v>39469</v>
      </c>
      <c r="X8886">
        <v>848262</v>
      </c>
      <c r="Y8886" t="s">
        <v>29577</v>
      </c>
      <c r="Z8886" t="s">
        <v>53430</v>
      </c>
      <c r="AA8886" s="2" t="s">
        <v>49038</v>
      </c>
      <c r="AB8886" t="s">
        <v>1263</v>
      </c>
      <c r="AC8886" t="s">
        <v>53431</v>
      </c>
      <c r="AD8886" t="s">
        <v>53432</v>
      </c>
      <c r="AE8886" t="s">
        <v>53433</v>
      </c>
      <c r="AG8886" t="s">
        <v>53434</v>
      </c>
      <c r="AH8886" t="s">
        <v>1552</v>
      </c>
      <c r="AI8886" t="s">
        <v>53435</v>
      </c>
    </row>
    <row r="8887" spans="2:35" ht="330">
      <c r="B8887" s="1">
        <v>44994</v>
      </c>
      <c r="C8887" s="4">
        <v>44985.518055555556</v>
      </c>
      <c r="D8887" t="s">
        <v>9540</v>
      </c>
      <c r="E8887" t="s">
        <v>53436</v>
      </c>
      <c r="F8887" t="s">
        <v>148</v>
      </c>
      <c r="G8887" t="s">
        <v>4786</v>
      </c>
      <c r="H8887" t="s">
        <v>39</v>
      </c>
      <c r="I8887" t="s">
        <v>40</v>
      </c>
      <c r="J8887" s="2" t="s">
        <v>62</v>
      </c>
      <c r="K8887" t="s">
        <v>42</v>
      </c>
      <c r="L8887" t="s">
        <v>1028</v>
      </c>
      <c r="Q8887">
        <v>23705</v>
      </c>
      <c r="R8887" t="s">
        <v>95</v>
      </c>
      <c r="S8887" t="s">
        <v>10335</v>
      </c>
      <c r="T8887">
        <v>28</v>
      </c>
      <c r="U8887" s="2" t="s">
        <v>53437</v>
      </c>
      <c r="V8887" s="1">
        <v>44979</v>
      </c>
      <c r="W8887" t="s">
        <v>2680</v>
      </c>
      <c r="X8887">
        <v>831316</v>
      </c>
      <c r="Y8887" t="s">
        <v>18140</v>
      </c>
      <c r="Z8887" s="2" t="s">
        <v>46035</v>
      </c>
      <c r="AA8887" s="2" t="s">
        <v>53438</v>
      </c>
      <c r="AB8887" t="s">
        <v>3063</v>
      </c>
      <c r="AC8887" t="s">
        <v>53439</v>
      </c>
      <c r="AD8887" t="s">
        <v>7189</v>
      </c>
      <c r="AE8887" t="s">
        <v>53440</v>
      </c>
      <c r="AG8887" t="s">
        <v>53441</v>
      </c>
      <c r="AH8887" t="s">
        <v>53442</v>
      </c>
      <c r="AI8887" t="s">
        <v>53443</v>
      </c>
    </row>
    <row r="8888" spans="2:35" ht="165">
      <c r="B8888" s="1">
        <v>44994</v>
      </c>
      <c r="C8888" s="4">
        <v>44986.69027777778</v>
      </c>
      <c r="D8888" t="s">
        <v>27803</v>
      </c>
      <c r="E8888" t="s">
        <v>53444</v>
      </c>
      <c r="F8888" t="s">
        <v>148</v>
      </c>
      <c r="G8888" t="s">
        <v>310</v>
      </c>
      <c r="H8888" t="s">
        <v>39</v>
      </c>
      <c r="I8888" t="s">
        <v>40</v>
      </c>
      <c r="J8888" s="2" t="s">
        <v>62</v>
      </c>
      <c r="K8888" t="s">
        <v>42</v>
      </c>
      <c r="L8888" t="s">
        <v>1028</v>
      </c>
      <c r="Q8888">
        <v>23706</v>
      </c>
      <c r="R8888" t="s">
        <v>119</v>
      </c>
      <c r="S8888" t="s">
        <v>27805</v>
      </c>
      <c r="T8888">
        <v>28</v>
      </c>
      <c r="U8888" s="2" t="s">
        <v>53445</v>
      </c>
      <c r="V8888" s="1">
        <v>44942</v>
      </c>
      <c r="W8888" t="s">
        <v>2680</v>
      </c>
      <c r="X8888">
        <v>831618</v>
      </c>
      <c r="Y8888" t="s">
        <v>18140</v>
      </c>
      <c r="Z8888" t="s">
        <v>21244</v>
      </c>
      <c r="AA8888" s="2" t="s">
        <v>49432</v>
      </c>
      <c r="AB8888" t="s">
        <v>53446</v>
      </c>
      <c r="AC8888" t="s">
        <v>53447</v>
      </c>
      <c r="AD8888" t="s">
        <v>7189</v>
      </c>
      <c r="AE8888" t="s">
        <v>53448</v>
      </c>
      <c r="AG8888" t="s">
        <v>53449</v>
      </c>
      <c r="AH8888" t="s">
        <v>27809</v>
      </c>
      <c r="AI8888" t="s">
        <v>53450</v>
      </c>
    </row>
    <row r="8889" spans="2:35" ht="120">
      <c r="B8889" s="1">
        <v>44994</v>
      </c>
      <c r="C8889" s="4">
        <v>44985.571527777778</v>
      </c>
      <c r="D8889" t="s">
        <v>22263</v>
      </c>
      <c r="E8889" t="s">
        <v>53451</v>
      </c>
      <c r="F8889" t="s">
        <v>148</v>
      </c>
      <c r="G8889" t="s">
        <v>4786</v>
      </c>
      <c r="H8889" t="s">
        <v>39</v>
      </c>
      <c r="I8889" t="s">
        <v>40</v>
      </c>
      <c r="J8889" s="2" t="s">
        <v>41</v>
      </c>
      <c r="K8889" t="s">
        <v>42</v>
      </c>
      <c r="L8889" t="s">
        <v>1028</v>
      </c>
      <c r="Q8889">
        <v>23704</v>
      </c>
      <c r="R8889" t="s">
        <v>45</v>
      </c>
      <c r="S8889" t="s">
        <v>22265</v>
      </c>
      <c r="T8889">
        <v>28</v>
      </c>
      <c r="U8889" s="2" t="s">
        <v>8344</v>
      </c>
      <c r="W8889" t="s">
        <v>2680</v>
      </c>
      <c r="X8889">
        <v>838541</v>
      </c>
      <c r="Y8889" t="s">
        <v>7765</v>
      </c>
      <c r="Z8889" t="s">
        <v>7755</v>
      </c>
      <c r="AA8889" s="2" t="s">
        <v>53452</v>
      </c>
      <c r="AB8889" t="s">
        <v>53453</v>
      </c>
      <c r="AC8889" t="s">
        <v>53454</v>
      </c>
      <c r="AG8889" t="s">
        <v>53455</v>
      </c>
      <c r="AH8889" t="s">
        <v>22273</v>
      </c>
      <c r="AI8889" t="s">
        <v>53456</v>
      </c>
    </row>
    <row r="8890" spans="2:35" ht="150">
      <c r="B8890" s="1">
        <v>44994</v>
      </c>
      <c r="C8890" s="4">
        <v>44987.447916666664</v>
      </c>
      <c r="D8890" t="s">
        <v>53457</v>
      </c>
      <c r="E8890" t="s">
        <v>53458</v>
      </c>
      <c r="F8890" t="s">
        <v>37</v>
      </c>
      <c r="G8890" t="s">
        <v>748</v>
      </c>
      <c r="H8890" t="s">
        <v>39</v>
      </c>
      <c r="I8890" t="s">
        <v>40</v>
      </c>
      <c r="J8890" s="2" t="s">
        <v>41</v>
      </c>
      <c r="K8890" t="s">
        <v>42</v>
      </c>
      <c r="L8890" t="s">
        <v>1028</v>
      </c>
      <c r="Q8890">
        <v>23707</v>
      </c>
      <c r="R8890" t="s">
        <v>45</v>
      </c>
      <c r="S8890" t="s">
        <v>52369</v>
      </c>
      <c r="T8890">
        <v>26</v>
      </c>
      <c r="U8890" s="2" t="s">
        <v>5052</v>
      </c>
      <c r="W8890" t="s">
        <v>36116</v>
      </c>
      <c r="X8890">
        <v>707514</v>
      </c>
      <c r="Y8890" t="s">
        <v>53459</v>
      </c>
      <c r="Z8890" t="s">
        <v>2129</v>
      </c>
      <c r="AA8890" s="2" t="s">
        <v>44735</v>
      </c>
      <c r="AB8890" t="s">
        <v>1263</v>
      </c>
      <c r="AC8890" t="s">
        <v>53460</v>
      </c>
      <c r="AG8890" t="s">
        <v>53461</v>
      </c>
      <c r="AH8890" t="s">
        <v>40217</v>
      </c>
      <c r="AI8890" t="s">
        <v>53462</v>
      </c>
    </row>
    <row r="8891" spans="2:35" ht="90">
      <c r="B8891" s="1">
        <v>44994</v>
      </c>
      <c r="C8891" s="4">
        <v>44994.539583333331</v>
      </c>
      <c r="D8891" t="s">
        <v>53463</v>
      </c>
      <c r="E8891" t="s">
        <v>53464</v>
      </c>
      <c r="F8891">
        <v>7</v>
      </c>
      <c r="G8891" t="s">
        <v>432</v>
      </c>
      <c r="H8891" t="s">
        <v>608</v>
      </c>
      <c r="I8891" t="s">
        <v>94</v>
      </c>
      <c r="J8891" t="s">
        <v>79</v>
      </c>
      <c r="K8891" t="s">
        <v>42</v>
      </c>
      <c r="L8891" t="s">
        <v>610</v>
      </c>
      <c r="Q8891">
        <v>23703</v>
      </c>
      <c r="R8891" t="s">
        <v>45</v>
      </c>
      <c r="S8891" t="s">
        <v>53465</v>
      </c>
      <c r="T8891">
        <v>24</v>
      </c>
      <c r="U8891" s="2" t="s">
        <v>53466</v>
      </c>
      <c r="V8891" s="1">
        <v>44994</v>
      </c>
      <c r="W8891" t="s">
        <v>84</v>
      </c>
      <c r="X8891">
        <v>808637</v>
      </c>
      <c r="Y8891" t="s">
        <v>53467</v>
      </c>
      <c r="Z8891" t="s">
        <v>53468</v>
      </c>
      <c r="AA8891" t="s">
        <v>53469</v>
      </c>
      <c r="AB8891" t="s">
        <v>486</v>
      </c>
      <c r="AG8891" t="s">
        <v>53470</v>
      </c>
      <c r="AH8891" t="s">
        <v>14408</v>
      </c>
      <c r="AI8891" t="s">
        <v>53471</v>
      </c>
    </row>
    <row r="8892" spans="2:35" ht="330">
      <c r="B8892" s="1">
        <v>44994</v>
      </c>
      <c r="C8892" s="4">
        <v>44994.468055555553</v>
      </c>
      <c r="D8892" t="s">
        <v>159</v>
      </c>
      <c r="E8892" t="s">
        <v>5764</v>
      </c>
      <c r="F8892" t="s">
        <v>37</v>
      </c>
      <c r="G8892" t="s">
        <v>78</v>
      </c>
      <c r="H8892" t="s">
        <v>61</v>
      </c>
      <c r="I8892" t="s">
        <v>40</v>
      </c>
      <c r="J8892" t="s">
        <v>321</v>
      </c>
      <c r="K8892" t="s">
        <v>42</v>
      </c>
      <c r="L8892" t="s">
        <v>1943</v>
      </c>
      <c r="Q8892">
        <v>23702</v>
      </c>
      <c r="R8892" t="s">
        <v>95</v>
      </c>
      <c r="S8892" t="s">
        <v>53472</v>
      </c>
      <c r="T8892">
        <v>25</v>
      </c>
      <c r="U8892" s="2" t="s">
        <v>53473</v>
      </c>
      <c r="W8892" t="s">
        <v>5771</v>
      </c>
      <c r="X8892">
        <v>812916</v>
      </c>
      <c r="Y8892" t="s">
        <v>23650</v>
      </c>
      <c r="Z8892" s="2" t="s">
        <v>53474</v>
      </c>
      <c r="AA8892" t="s">
        <v>1422</v>
      </c>
      <c r="AB8892" t="s">
        <v>88</v>
      </c>
      <c r="AG8892" t="s">
        <v>53475</v>
      </c>
      <c r="AH8892" t="s">
        <v>53476</v>
      </c>
      <c r="AI8892" t="s">
        <v>53477</v>
      </c>
    </row>
    <row r="8893" spans="2:35">
      <c r="B8893" s="1">
        <v>44994</v>
      </c>
      <c r="C8893" s="4">
        <v>44992.500694444447</v>
      </c>
      <c r="D8893" t="s">
        <v>44011</v>
      </c>
      <c r="E8893" t="s">
        <v>49558</v>
      </c>
      <c r="F8893" t="s">
        <v>148</v>
      </c>
      <c r="G8893" t="s">
        <v>447</v>
      </c>
      <c r="H8893" t="s">
        <v>386</v>
      </c>
      <c r="I8893" t="s">
        <v>94</v>
      </c>
      <c r="J8893" t="s">
        <v>525</v>
      </c>
      <c r="K8893" t="s">
        <v>387</v>
      </c>
      <c r="L8893" t="s">
        <v>448</v>
      </c>
      <c r="Q8893">
        <v>23701</v>
      </c>
      <c r="R8893" t="s">
        <v>322</v>
      </c>
      <c r="S8893" t="s">
        <v>4140</v>
      </c>
      <c r="T8893">
        <v>26</v>
      </c>
      <c r="V8893" s="1">
        <v>44987</v>
      </c>
      <c r="W8893" t="s">
        <v>49610</v>
      </c>
      <c r="X8893" t="s">
        <v>2180</v>
      </c>
      <c r="Y8893" t="s">
        <v>53478</v>
      </c>
      <c r="Z8893" t="s">
        <v>53479</v>
      </c>
      <c r="AA8893" t="s">
        <v>53480</v>
      </c>
      <c r="AB8893" t="s">
        <v>4087</v>
      </c>
      <c r="AC8893" t="s">
        <v>5454</v>
      </c>
      <c r="AD8893" t="s">
        <v>53481</v>
      </c>
      <c r="AE8893">
        <v>9660</v>
      </c>
      <c r="AG8893" t="s">
        <v>53482</v>
      </c>
      <c r="AH8893" t="s">
        <v>23819</v>
      </c>
      <c r="AI8893" t="s">
        <v>53483</v>
      </c>
    </row>
    <row r="8894" spans="2:35">
      <c r="B8894" s="1">
        <v>44994</v>
      </c>
      <c r="C8894" s="4">
        <v>44992.500694444447</v>
      </c>
      <c r="D8894" t="s">
        <v>44011</v>
      </c>
      <c r="E8894" t="s">
        <v>49558</v>
      </c>
      <c r="F8894" t="s">
        <v>148</v>
      </c>
      <c r="G8894" t="s">
        <v>447</v>
      </c>
      <c r="H8894" t="s">
        <v>386</v>
      </c>
      <c r="I8894" t="s">
        <v>94</v>
      </c>
      <c r="J8894" t="s">
        <v>525</v>
      </c>
      <c r="K8894" t="s">
        <v>387</v>
      </c>
      <c r="L8894" t="s">
        <v>448</v>
      </c>
      <c r="Q8894">
        <v>23700</v>
      </c>
      <c r="R8894" t="s">
        <v>322</v>
      </c>
      <c r="S8894" t="s">
        <v>4140</v>
      </c>
      <c r="T8894">
        <v>26</v>
      </c>
      <c r="V8894" s="1">
        <v>44987</v>
      </c>
      <c r="W8894" t="s">
        <v>49610</v>
      </c>
      <c r="X8894" t="s">
        <v>2180</v>
      </c>
      <c r="Y8894" t="s">
        <v>53478</v>
      </c>
      <c r="Z8894" t="s">
        <v>53479</v>
      </c>
      <c r="AA8894" t="s">
        <v>53480</v>
      </c>
      <c r="AB8894" t="s">
        <v>4087</v>
      </c>
      <c r="AC8894" t="s">
        <v>5454</v>
      </c>
      <c r="AD8894" t="s">
        <v>53481</v>
      </c>
      <c r="AE8894">
        <v>9660</v>
      </c>
      <c r="AG8894" t="s">
        <v>53484</v>
      </c>
      <c r="AH8894" t="s">
        <v>23819</v>
      </c>
      <c r="AI8894" t="s">
        <v>53485</v>
      </c>
    </row>
    <row r="8895" spans="2:35" ht="180">
      <c r="B8895" s="1">
        <v>44994</v>
      </c>
      <c r="C8895" s="4">
        <v>44994.442361111112</v>
      </c>
      <c r="D8895" t="s">
        <v>825</v>
      </c>
      <c r="E8895" t="s">
        <v>826</v>
      </c>
      <c r="F8895">
        <v>5</v>
      </c>
      <c r="G8895" t="s">
        <v>827</v>
      </c>
      <c r="H8895" t="s">
        <v>39</v>
      </c>
      <c r="I8895" t="s">
        <v>40</v>
      </c>
      <c r="J8895" s="2" t="s">
        <v>41</v>
      </c>
      <c r="K8895" t="s">
        <v>42</v>
      </c>
      <c r="L8895" t="s">
        <v>175</v>
      </c>
      <c r="Q8895">
        <v>23699</v>
      </c>
      <c r="R8895" t="s">
        <v>45</v>
      </c>
      <c r="S8895" t="s">
        <v>828</v>
      </c>
      <c r="T8895">
        <v>25</v>
      </c>
      <c r="U8895" s="2" t="s">
        <v>53486</v>
      </c>
      <c r="V8895" s="1">
        <v>44993</v>
      </c>
      <c r="W8895" t="s">
        <v>84</v>
      </c>
      <c r="X8895">
        <v>835199</v>
      </c>
      <c r="Y8895" t="s">
        <v>40620</v>
      </c>
      <c r="Z8895" t="e">
        <f ca="1">- replaced Barcode
- performed Maintenance
- generated reports
- performed functionality test</f>
        <v>#NAME?</v>
      </c>
      <c r="AA8895" t="s">
        <v>53487</v>
      </c>
      <c r="AB8895" t="s">
        <v>181</v>
      </c>
      <c r="AD8895" t="s">
        <v>53488</v>
      </c>
      <c r="AE8895" t="s">
        <v>53489</v>
      </c>
      <c r="AG8895" t="s">
        <v>53490</v>
      </c>
      <c r="AH8895" t="s">
        <v>835</v>
      </c>
      <c r="AI8895" t="s">
        <v>53491</v>
      </c>
    </row>
    <row r="8896" spans="2:35" ht="180">
      <c r="B8896" s="1">
        <v>44994</v>
      </c>
      <c r="C8896" s="4">
        <v>44994.442361111112</v>
      </c>
      <c r="D8896" t="s">
        <v>825</v>
      </c>
      <c r="E8896" t="s">
        <v>826</v>
      </c>
      <c r="F8896">
        <v>5</v>
      </c>
      <c r="G8896" t="s">
        <v>827</v>
      </c>
      <c r="H8896" t="s">
        <v>39</v>
      </c>
      <c r="I8896" t="s">
        <v>40</v>
      </c>
      <c r="J8896" s="2" t="s">
        <v>41</v>
      </c>
      <c r="K8896" t="s">
        <v>42</v>
      </c>
      <c r="L8896" t="s">
        <v>175</v>
      </c>
      <c r="Q8896">
        <v>23698</v>
      </c>
      <c r="R8896" t="s">
        <v>45</v>
      </c>
      <c r="S8896" t="s">
        <v>828</v>
      </c>
      <c r="T8896">
        <v>25</v>
      </c>
      <c r="U8896" s="2" t="s">
        <v>53486</v>
      </c>
      <c r="V8896" s="1">
        <v>44993</v>
      </c>
      <c r="W8896" t="s">
        <v>84</v>
      </c>
      <c r="X8896">
        <v>835199</v>
      </c>
      <c r="Y8896" t="s">
        <v>40620</v>
      </c>
      <c r="Z8896" t="e">
        <f ca="1">- replaced Barcode
- performed Maintenance
- generated reports
- performed functionality test</f>
        <v>#NAME?</v>
      </c>
      <c r="AA8896" t="s">
        <v>53487</v>
      </c>
      <c r="AB8896" t="s">
        <v>181</v>
      </c>
      <c r="AD8896" t="s">
        <v>53488</v>
      </c>
      <c r="AE8896" t="s">
        <v>53489</v>
      </c>
      <c r="AG8896" t="s">
        <v>53492</v>
      </c>
      <c r="AH8896" t="s">
        <v>835</v>
      </c>
      <c r="AI8896" t="s">
        <v>53493</v>
      </c>
    </row>
    <row r="8897" spans="2:35" ht="180">
      <c r="B8897" s="1">
        <v>44994</v>
      </c>
      <c r="C8897" s="4">
        <v>44994.442361111112</v>
      </c>
      <c r="D8897" t="s">
        <v>825</v>
      </c>
      <c r="E8897" t="s">
        <v>826</v>
      </c>
      <c r="F8897">
        <v>5</v>
      </c>
      <c r="G8897" t="s">
        <v>827</v>
      </c>
      <c r="H8897" t="s">
        <v>39</v>
      </c>
      <c r="I8897" t="s">
        <v>40</v>
      </c>
      <c r="J8897" s="2" t="s">
        <v>41</v>
      </c>
      <c r="K8897" t="s">
        <v>42</v>
      </c>
      <c r="L8897" t="s">
        <v>175</v>
      </c>
      <c r="Q8897">
        <v>23697</v>
      </c>
      <c r="R8897" t="s">
        <v>45</v>
      </c>
      <c r="S8897" t="s">
        <v>828</v>
      </c>
      <c r="T8897">
        <v>25</v>
      </c>
      <c r="U8897" s="2" t="s">
        <v>53486</v>
      </c>
      <c r="V8897" s="1">
        <v>44993</v>
      </c>
      <c r="W8897" t="s">
        <v>84</v>
      </c>
      <c r="X8897">
        <v>835199</v>
      </c>
      <c r="Y8897" t="s">
        <v>40620</v>
      </c>
      <c r="Z8897" t="e">
        <f ca="1">- replaced Barcode
- performed Maintenance
- generated reports
- performed functionality test</f>
        <v>#NAME?</v>
      </c>
      <c r="AA8897" t="s">
        <v>53487</v>
      </c>
      <c r="AB8897" t="s">
        <v>181</v>
      </c>
      <c r="AD8897" t="s">
        <v>53488</v>
      </c>
      <c r="AE8897" t="s">
        <v>53489</v>
      </c>
      <c r="AG8897" t="s">
        <v>53494</v>
      </c>
      <c r="AH8897" t="s">
        <v>835</v>
      </c>
      <c r="AI8897" t="s">
        <v>53495</v>
      </c>
    </row>
    <row r="8898" spans="2:35" ht="195">
      <c r="B8898" s="1">
        <v>44993</v>
      </c>
      <c r="C8898" s="4">
        <v>44993.636111111111</v>
      </c>
      <c r="D8898" t="s">
        <v>12198</v>
      </c>
      <c r="E8898" t="s">
        <v>53496</v>
      </c>
      <c r="F8898" t="s">
        <v>148</v>
      </c>
      <c r="G8898" t="s">
        <v>310</v>
      </c>
      <c r="H8898" t="s">
        <v>61</v>
      </c>
      <c r="I8898" t="s">
        <v>40</v>
      </c>
      <c r="J8898" s="2" t="s">
        <v>190</v>
      </c>
      <c r="K8898" t="s">
        <v>42</v>
      </c>
      <c r="L8898" t="s">
        <v>1943</v>
      </c>
      <c r="N8898" t="s">
        <v>1944</v>
      </c>
      <c r="Q8898">
        <v>23696</v>
      </c>
      <c r="R8898" t="s">
        <v>322</v>
      </c>
      <c r="S8898" t="s">
        <v>12200</v>
      </c>
      <c r="T8898">
        <v>25</v>
      </c>
      <c r="U8898" s="2" t="s">
        <v>53497</v>
      </c>
      <c r="W8898" t="s">
        <v>895</v>
      </c>
      <c r="X8898">
        <v>844975</v>
      </c>
      <c r="Y8898" s="2" t="s">
        <v>53498</v>
      </c>
      <c r="Z8898" s="2" t="s">
        <v>53499</v>
      </c>
      <c r="AA8898" t="s">
        <v>4402</v>
      </c>
      <c r="AB8898" t="s">
        <v>53500</v>
      </c>
      <c r="AG8898" t="s">
        <v>53501</v>
      </c>
      <c r="AH8898" t="s">
        <v>53502</v>
      </c>
      <c r="AI8898" t="s">
        <v>53503</v>
      </c>
    </row>
    <row r="8899" spans="2:35">
      <c r="B8899" s="1">
        <v>44993</v>
      </c>
      <c r="C8899" s="4">
        <v>44993.618055555555</v>
      </c>
      <c r="D8899" t="s">
        <v>53504</v>
      </c>
      <c r="E8899" t="s">
        <v>53505</v>
      </c>
      <c r="F8899">
        <v>9</v>
      </c>
      <c r="G8899" t="s">
        <v>2197</v>
      </c>
      <c r="H8899" t="s">
        <v>53506</v>
      </c>
      <c r="I8899" t="s">
        <v>40</v>
      </c>
      <c r="J8899" t="s">
        <v>109</v>
      </c>
      <c r="K8899" t="s">
        <v>387</v>
      </c>
      <c r="L8899" t="s">
        <v>1257</v>
      </c>
      <c r="Q8899">
        <v>23695</v>
      </c>
      <c r="R8899" t="s">
        <v>95</v>
      </c>
      <c r="S8899" t="s">
        <v>7052</v>
      </c>
      <c r="T8899">
        <v>25</v>
      </c>
      <c r="V8899" s="1">
        <v>44993</v>
      </c>
      <c r="W8899" t="s">
        <v>53507</v>
      </c>
      <c r="X8899" t="s">
        <v>7053</v>
      </c>
      <c r="Y8899" t="s">
        <v>301</v>
      </c>
      <c r="Z8899" t="s">
        <v>4315</v>
      </c>
      <c r="AA8899" t="s">
        <v>4315</v>
      </c>
      <c r="AB8899" t="s">
        <v>53508</v>
      </c>
      <c r="AC8899" t="s">
        <v>301</v>
      </c>
      <c r="AD8899" t="s">
        <v>54</v>
      </c>
      <c r="AE8899" t="s">
        <v>54</v>
      </c>
      <c r="AG8899" t="s">
        <v>53509</v>
      </c>
      <c r="AH8899" t="s">
        <v>53510</v>
      </c>
      <c r="AI8899" t="s">
        <v>53511</v>
      </c>
    </row>
    <row r="8900" spans="2:35" ht="270">
      <c r="B8900" s="1">
        <v>44993</v>
      </c>
      <c r="C8900" s="4">
        <v>44993.618055555555</v>
      </c>
      <c r="D8900" t="s">
        <v>53512</v>
      </c>
      <c r="E8900" t="s">
        <v>46701</v>
      </c>
      <c r="F8900">
        <v>13</v>
      </c>
      <c r="G8900" t="s">
        <v>8524</v>
      </c>
      <c r="H8900" t="s">
        <v>2125</v>
      </c>
      <c r="I8900" t="s">
        <v>40</v>
      </c>
      <c r="J8900" s="2" t="s">
        <v>62</v>
      </c>
      <c r="K8900" t="s">
        <v>42</v>
      </c>
      <c r="L8900" t="s">
        <v>933</v>
      </c>
      <c r="Q8900">
        <v>23694</v>
      </c>
      <c r="R8900" t="s">
        <v>45</v>
      </c>
      <c r="S8900" t="s">
        <v>31190</v>
      </c>
      <c r="T8900">
        <v>24.9</v>
      </c>
      <c r="U8900" s="2" t="s">
        <v>53513</v>
      </c>
      <c r="W8900" t="s">
        <v>3662</v>
      </c>
      <c r="X8900">
        <v>804255</v>
      </c>
      <c r="Y8900" s="2" t="s">
        <v>53514</v>
      </c>
      <c r="Z8900" t="s">
        <v>4487</v>
      </c>
      <c r="AA8900" s="2" t="s">
        <v>21826</v>
      </c>
      <c r="AB8900" s="2" t="s">
        <v>53515</v>
      </c>
      <c r="AC8900" t="s">
        <v>301</v>
      </c>
      <c r="AG8900" t="s">
        <v>53516</v>
      </c>
      <c r="AH8900" t="s">
        <v>31194</v>
      </c>
      <c r="AI8900" t="s">
        <v>53517</v>
      </c>
    </row>
    <row r="8901" spans="2:35" ht="285">
      <c r="B8901" s="1">
        <v>44993</v>
      </c>
      <c r="C8901" s="4">
        <v>44993.587500000001</v>
      </c>
      <c r="D8901" t="s">
        <v>12198</v>
      </c>
      <c r="E8901" t="s">
        <v>23193</v>
      </c>
      <c r="F8901" t="s">
        <v>148</v>
      </c>
      <c r="G8901" t="s">
        <v>310</v>
      </c>
      <c r="H8901" t="s">
        <v>53518</v>
      </c>
      <c r="I8901" t="s">
        <v>40</v>
      </c>
      <c r="J8901" s="2" t="s">
        <v>190</v>
      </c>
      <c r="K8901" t="s">
        <v>42</v>
      </c>
      <c r="L8901" t="s">
        <v>1943</v>
      </c>
      <c r="Q8901">
        <v>23693</v>
      </c>
      <c r="R8901" t="s">
        <v>45</v>
      </c>
      <c r="S8901" t="s">
        <v>48760</v>
      </c>
      <c r="T8901">
        <v>25</v>
      </c>
      <c r="U8901" s="2" t="s">
        <v>53519</v>
      </c>
      <c r="V8901" s="1">
        <v>44993</v>
      </c>
      <c r="W8901" t="s">
        <v>84</v>
      </c>
      <c r="X8901">
        <v>802511</v>
      </c>
      <c r="Y8901" s="2" t="s">
        <v>3044</v>
      </c>
      <c r="Z8901" s="2" t="s">
        <v>47457</v>
      </c>
      <c r="AA8901" t="s">
        <v>3045</v>
      </c>
      <c r="AB8901" t="s">
        <v>88</v>
      </c>
      <c r="AD8901" t="s">
        <v>11518</v>
      </c>
      <c r="AE8901" t="s">
        <v>53520</v>
      </c>
      <c r="AG8901" t="s">
        <v>53521</v>
      </c>
      <c r="AH8901" t="s">
        <v>48764</v>
      </c>
      <c r="AI8901" t="s">
        <v>53522</v>
      </c>
    </row>
    <row r="8902" spans="2:35" ht="285">
      <c r="B8902" s="1">
        <v>44993</v>
      </c>
      <c r="C8902" s="4">
        <v>44993.583333333336</v>
      </c>
      <c r="D8902" t="s">
        <v>12198</v>
      </c>
      <c r="E8902" t="s">
        <v>53523</v>
      </c>
      <c r="F8902" t="s">
        <v>148</v>
      </c>
      <c r="G8902" t="s">
        <v>310</v>
      </c>
      <c r="H8902" t="s">
        <v>53524</v>
      </c>
      <c r="I8902" t="s">
        <v>40</v>
      </c>
      <c r="J8902" s="2" t="s">
        <v>62</v>
      </c>
      <c r="K8902" t="s">
        <v>42</v>
      </c>
      <c r="L8902" t="s">
        <v>1943</v>
      </c>
      <c r="Q8902">
        <v>23692</v>
      </c>
      <c r="R8902" t="s">
        <v>45</v>
      </c>
      <c r="S8902" t="s">
        <v>48760</v>
      </c>
      <c r="T8902">
        <v>25</v>
      </c>
      <c r="U8902" s="2" t="s">
        <v>53519</v>
      </c>
      <c r="V8902" s="1">
        <v>44993</v>
      </c>
      <c r="W8902" t="s">
        <v>84</v>
      </c>
      <c r="X8902">
        <v>838145</v>
      </c>
      <c r="Y8902" s="2" t="s">
        <v>53525</v>
      </c>
      <c r="Z8902" s="2" t="s">
        <v>47457</v>
      </c>
      <c r="AA8902" t="s">
        <v>3045</v>
      </c>
      <c r="AB8902" t="s">
        <v>53526</v>
      </c>
      <c r="AD8902" t="s">
        <v>11518</v>
      </c>
      <c r="AE8902" t="s">
        <v>53527</v>
      </c>
      <c r="AG8902" t="s">
        <v>53528</v>
      </c>
      <c r="AH8902" t="s">
        <v>48764</v>
      </c>
      <c r="AI8902" t="s">
        <v>53529</v>
      </c>
    </row>
    <row r="8903" spans="2:35" ht="285">
      <c r="B8903" s="1">
        <v>44993</v>
      </c>
      <c r="C8903" s="4">
        <v>44993.583333333336</v>
      </c>
      <c r="D8903" t="s">
        <v>12198</v>
      </c>
      <c r="E8903" t="s">
        <v>53523</v>
      </c>
      <c r="F8903" t="s">
        <v>148</v>
      </c>
      <c r="G8903" t="s">
        <v>310</v>
      </c>
      <c r="H8903" t="s">
        <v>53524</v>
      </c>
      <c r="I8903" t="s">
        <v>40</v>
      </c>
      <c r="J8903" s="2" t="s">
        <v>62</v>
      </c>
      <c r="K8903" t="s">
        <v>42</v>
      </c>
      <c r="L8903" t="s">
        <v>1943</v>
      </c>
      <c r="Q8903">
        <v>23691</v>
      </c>
      <c r="R8903" t="s">
        <v>45</v>
      </c>
      <c r="S8903" t="s">
        <v>48760</v>
      </c>
      <c r="T8903">
        <v>25</v>
      </c>
      <c r="U8903" s="2" t="s">
        <v>53519</v>
      </c>
      <c r="V8903" s="1">
        <v>44993</v>
      </c>
      <c r="W8903" t="s">
        <v>84</v>
      </c>
      <c r="X8903">
        <v>838145</v>
      </c>
      <c r="Y8903" s="2" t="s">
        <v>53525</v>
      </c>
      <c r="Z8903" s="2" t="s">
        <v>47457</v>
      </c>
      <c r="AA8903" t="s">
        <v>3045</v>
      </c>
      <c r="AB8903" t="s">
        <v>53526</v>
      </c>
      <c r="AD8903" t="s">
        <v>11518</v>
      </c>
      <c r="AE8903" t="s">
        <v>53527</v>
      </c>
      <c r="AG8903" t="s">
        <v>53530</v>
      </c>
      <c r="AH8903" t="s">
        <v>48764</v>
      </c>
      <c r="AI8903" t="s">
        <v>53531</v>
      </c>
    </row>
    <row r="8904" spans="2:35" ht="90">
      <c r="B8904" s="1">
        <v>44993</v>
      </c>
      <c r="C8904" s="4">
        <v>44993.5625</v>
      </c>
      <c r="D8904" t="s">
        <v>13336</v>
      </c>
      <c r="E8904" t="s">
        <v>53532</v>
      </c>
      <c r="F8904" t="s">
        <v>148</v>
      </c>
      <c r="G8904" t="s">
        <v>447</v>
      </c>
      <c r="H8904" t="s">
        <v>5452</v>
      </c>
      <c r="I8904" t="s">
        <v>40</v>
      </c>
      <c r="J8904" t="s">
        <v>525</v>
      </c>
      <c r="K8904" t="s">
        <v>42</v>
      </c>
      <c r="L8904" t="s">
        <v>175</v>
      </c>
      <c r="Q8904">
        <v>23690</v>
      </c>
      <c r="R8904" t="s">
        <v>95</v>
      </c>
      <c r="S8904" t="s">
        <v>176</v>
      </c>
      <c r="T8904">
        <v>25</v>
      </c>
      <c r="U8904" s="2" t="s">
        <v>13799</v>
      </c>
      <c r="W8904" t="s">
        <v>84</v>
      </c>
      <c r="X8904">
        <v>801889</v>
      </c>
      <c r="Y8904" t="s">
        <v>21830</v>
      </c>
      <c r="Z8904" t="e">
        <f ca="1">- performed _xludf.Power on self-test
- checked system _xludf.Log
- generated reports</f>
        <v>#NAME?</v>
      </c>
      <c r="AA8904" t="s">
        <v>37819</v>
      </c>
      <c r="AB8904" t="s">
        <v>53533</v>
      </c>
      <c r="AG8904" t="s">
        <v>53534</v>
      </c>
      <c r="AH8904" t="s">
        <v>13336</v>
      </c>
      <c r="AI8904" t="s">
        <v>53535</v>
      </c>
    </row>
    <row r="8905" spans="2:35" ht="225">
      <c r="B8905" s="1">
        <v>44993</v>
      </c>
      <c r="C8905" s="4">
        <v>44993.525000000001</v>
      </c>
      <c r="D8905" t="s">
        <v>49900</v>
      </c>
      <c r="E8905" t="s">
        <v>49901</v>
      </c>
      <c r="F8905">
        <v>12</v>
      </c>
      <c r="G8905" t="s">
        <v>294</v>
      </c>
      <c r="H8905" t="s">
        <v>39</v>
      </c>
      <c r="I8905" t="s">
        <v>94</v>
      </c>
      <c r="J8905" s="2" t="s">
        <v>62</v>
      </c>
      <c r="K8905" t="s">
        <v>42</v>
      </c>
      <c r="L8905" t="s">
        <v>296</v>
      </c>
      <c r="Q8905">
        <v>23689</v>
      </c>
      <c r="R8905" t="s">
        <v>45</v>
      </c>
      <c r="S8905" t="s">
        <v>53536</v>
      </c>
      <c r="T8905">
        <v>28</v>
      </c>
      <c r="U8905" s="2" t="s">
        <v>53537</v>
      </c>
      <c r="V8905" s="1">
        <v>44993</v>
      </c>
      <c r="W8905" t="s">
        <v>23049</v>
      </c>
      <c r="X8905">
        <v>838129</v>
      </c>
      <c r="Y8905" t="s">
        <v>53538</v>
      </c>
      <c r="Z8905" s="2" t="s">
        <v>53539</v>
      </c>
      <c r="AA8905" s="2" t="s">
        <v>53539</v>
      </c>
      <c r="AB8905" t="s">
        <v>972</v>
      </c>
      <c r="AD8905" t="s">
        <v>46458</v>
      </c>
      <c r="AE8905">
        <v>1000378669</v>
      </c>
      <c r="AG8905" t="s">
        <v>53540</v>
      </c>
      <c r="AH8905" t="s">
        <v>53541</v>
      </c>
      <c r="AI8905" t="s">
        <v>53542</v>
      </c>
    </row>
    <row r="8906" spans="2:35" ht="225">
      <c r="B8906" s="1">
        <v>44993</v>
      </c>
      <c r="C8906" s="4">
        <v>44993.480555555558</v>
      </c>
      <c r="D8906" t="s">
        <v>9204</v>
      </c>
      <c r="E8906" t="s">
        <v>53543</v>
      </c>
      <c r="F8906">
        <v>6</v>
      </c>
      <c r="G8906" t="s">
        <v>1286</v>
      </c>
      <c r="H8906" t="s">
        <v>11359</v>
      </c>
      <c r="I8906" t="s">
        <v>40</v>
      </c>
      <c r="J8906" t="s">
        <v>109</v>
      </c>
      <c r="K8906" t="s">
        <v>42</v>
      </c>
      <c r="L8906" t="s">
        <v>1288</v>
      </c>
      <c r="Q8906">
        <v>23688</v>
      </c>
      <c r="R8906" t="s">
        <v>119</v>
      </c>
      <c r="S8906" t="s">
        <v>7853</v>
      </c>
      <c r="T8906">
        <v>27</v>
      </c>
      <c r="U8906" s="2" t="s">
        <v>53544</v>
      </c>
      <c r="W8906" t="s">
        <v>1292</v>
      </c>
      <c r="X8906">
        <v>838290</v>
      </c>
      <c r="Y8906" t="s">
        <v>1529</v>
      </c>
      <c r="Z8906" t="s">
        <v>53545</v>
      </c>
      <c r="AA8906" t="s">
        <v>53546</v>
      </c>
      <c r="AB8906" t="s">
        <v>1293</v>
      </c>
      <c r="AG8906" t="s">
        <v>53547</v>
      </c>
      <c r="AH8906" t="s">
        <v>7856</v>
      </c>
      <c r="AI8906" t="s">
        <v>53548</v>
      </c>
    </row>
    <row r="8907" spans="2:35" ht="60">
      <c r="B8907" s="1">
        <v>44993</v>
      </c>
      <c r="C8907" s="4">
        <v>44993.475694444445</v>
      </c>
      <c r="D8907" t="s">
        <v>13336</v>
      </c>
      <c r="E8907" t="s">
        <v>53532</v>
      </c>
      <c r="F8907" t="s">
        <v>148</v>
      </c>
      <c r="G8907" t="s">
        <v>447</v>
      </c>
      <c r="H8907" t="s">
        <v>5452</v>
      </c>
      <c r="I8907" t="s">
        <v>40</v>
      </c>
      <c r="J8907" t="s">
        <v>79</v>
      </c>
      <c r="K8907" t="s">
        <v>408</v>
      </c>
      <c r="L8907" t="s">
        <v>175</v>
      </c>
      <c r="P8907" t="s">
        <v>1859</v>
      </c>
      <c r="Q8907">
        <v>23687</v>
      </c>
      <c r="R8907" t="s">
        <v>95</v>
      </c>
      <c r="S8907" t="s">
        <v>176</v>
      </c>
      <c r="T8907">
        <v>25</v>
      </c>
      <c r="V8907" s="1">
        <v>44992</v>
      </c>
      <c r="W8907" t="s">
        <v>53549</v>
      </c>
      <c r="X8907" t="s">
        <v>53550</v>
      </c>
      <c r="Y8907" t="s">
        <v>53551</v>
      </c>
      <c r="Z8907" t="e">
        <f ca="1">- replaced battery
- performed functionality test</f>
        <v>#NAME?</v>
      </c>
      <c r="AA8907" t="s">
        <v>14863</v>
      </c>
      <c r="AB8907" t="s">
        <v>88</v>
      </c>
      <c r="AD8907" s="2" t="s">
        <v>53552</v>
      </c>
      <c r="AE8907" t="s">
        <v>103</v>
      </c>
      <c r="AG8907" t="s">
        <v>53553</v>
      </c>
      <c r="AH8907" t="s">
        <v>13336</v>
      </c>
      <c r="AI8907" t="s">
        <v>53554</v>
      </c>
    </row>
    <row r="8908" spans="2:35" ht="60">
      <c r="B8908" s="1">
        <v>44993</v>
      </c>
      <c r="C8908" s="4">
        <v>44993.470833333333</v>
      </c>
      <c r="D8908" t="s">
        <v>13336</v>
      </c>
      <c r="E8908" t="s">
        <v>582</v>
      </c>
      <c r="F8908" t="s">
        <v>148</v>
      </c>
      <c r="G8908" t="s">
        <v>447</v>
      </c>
      <c r="H8908" t="s">
        <v>5452</v>
      </c>
      <c r="I8908" t="s">
        <v>40</v>
      </c>
      <c r="J8908" t="s">
        <v>79</v>
      </c>
      <c r="K8908" t="s">
        <v>408</v>
      </c>
      <c r="L8908" t="s">
        <v>175</v>
      </c>
      <c r="P8908" t="s">
        <v>1859</v>
      </c>
      <c r="Q8908">
        <v>23686</v>
      </c>
      <c r="R8908" t="s">
        <v>95</v>
      </c>
      <c r="S8908" t="s">
        <v>176</v>
      </c>
      <c r="T8908">
        <v>25</v>
      </c>
      <c r="V8908" s="1">
        <v>44992</v>
      </c>
      <c r="W8908" t="s">
        <v>53555</v>
      </c>
      <c r="X8908">
        <v>40024441610</v>
      </c>
      <c r="Y8908" t="s">
        <v>53551</v>
      </c>
      <c r="Z8908" t="e">
        <f ca="1">- replaced battery
- performed functionality test</f>
        <v>#NAME?</v>
      </c>
      <c r="AA8908" t="s">
        <v>14863</v>
      </c>
      <c r="AB8908" t="s">
        <v>88</v>
      </c>
      <c r="AD8908" s="2" t="s">
        <v>53556</v>
      </c>
      <c r="AE8908" t="s">
        <v>103</v>
      </c>
      <c r="AG8908" t="s">
        <v>53557</v>
      </c>
      <c r="AH8908" t="s">
        <v>22025</v>
      </c>
      <c r="AI8908" t="s">
        <v>53558</v>
      </c>
    </row>
    <row r="8909" spans="2:35" ht="180">
      <c r="B8909" s="1">
        <v>44993</v>
      </c>
      <c r="C8909" s="4">
        <v>44992.530555555553</v>
      </c>
      <c r="D8909" t="s">
        <v>4561</v>
      </c>
      <c r="E8909" t="s">
        <v>49914</v>
      </c>
      <c r="F8909" t="s">
        <v>148</v>
      </c>
      <c r="G8909" t="s">
        <v>447</v>
      </c>
      <c r="H8909" t="s">
        <v>39</v>
      </c>
      <c r="I8909" t="s">
        <v>40</v>
      </c>
      <c r="J8909" s="2" t="s">
        <v>62</v>
      </c>
      <c r="K8909" t="s">
        <v>42</v>
      </c>
      <c r="L8909" t="s">
        <v>175</v>
      </c>
      <c r="Q8909">
        <v>23685</v>
      </c>
      <c r="R8909" t="s">
        <v>45</v>
      </c>
      <c r="S8909" t="s">
        <v>53559</v>
      </c>
      <c r="T8909">
        <v>25</v>
      </c>
      <c r="U8909" s="2" t="s">
        <v>53560</v>
      </c>
      <c r="W8909" t="s">
        <v>84</v>
      </c>
      <c r="X8909">
        <v>804688</v>
      </c>
      <c r="Y8909" t="s">
        <v>998</v>
      </c>
      <c r="Z8909" t="e">
        <f ca="1">- checked &amp; cleaned cartridge bay, plunger rod, I CORE slot, _xludf.filter
- performed XpertCheck
- generated reports
- performed functionality test</f>
        <v>#NAME?</v>
      </c>
      <c r="AA8909" t="s">
        <v>34204</v>
      </c>
      <c r="AB8909" t="s">
        <v>53561</v>
      </c>
      <c r="AG8909" t="s">
        <v>53562</v>
      </c>
      <c r="AH8909" t="s">
        <v>49921</v>
      </c>
      <c r="AI8909" t="s">
        <v>53563</v>
      </c>
    </row>
    <row r="8910" spans="2:35" ht="105">
      <c r="B8910" s="1">
        <v>44993</v>
      </c>
      <c r="C8910" s="4">
        <v>44993.463194444441</v>
      </c>
      <c r="D8910" t="s">
        <v>9204</v>
      </c>
      <c r="E8910" t="s">
        <v>53564</v>
      </c>
      <c r="F8910">
        <v>6</v>
      </c>
      <c r="G8910" t="s">
        <v>1286</v>
      </c>
      <c r="H8910" t="s">
        <v>1047</v>
      </c>
      <c r="I8910" t="s">
        <v>40</v>
      </c>
      <c r="J8910" t="s">
        <v>109</v>
      </c>
      <c r="K8910" t="s">
        <v>42</v>
      </c>
      <c r="L8910" t="s">
        <v>1288</v>
      </c>
      <c r="Q8910">
        <v>23684</v>
      </c>
      <c r="R8910" t="s">
        <v>45</v>
      </c>
      <c r="S8910" t="s">
        <v>22494</v>
      </c>
      <c r="T8910">
        <v>25</v>
      </c>
      <c r="U8910" s="2" t="s">
        <v>53565</v>
      </c>
      <c r="W8910" t="s">
        <v>1292</v>
      </c>
      <c r="X8910">
        <v>707531</v>
      </c>
      <c r="Y8910" t="s">
        <v>1529</v>
      </c>
      <c r="Z8910" t="s">
        <v>53566</v>
      </c>
      <c r="AA8910" t="s">
        <v>53567</v>
      </c>
      <c r="AB8910" t="s">
        <v>1293</v>
      </c>
      <c r="AG8910" t="s">
        <v>53568</v>
      </c>
      <c r="AH8910" t="s">
        <v>22498</v>
      </c>
      <c r="AI8910" t="s">
        <v>53569</v>
      </c>
    </row>
    <row r="8911" spans="2:35" ht="105">
      <c r="B8911" s="1">
        <v>44993</v>
      </c>
      <c r="C8911" s="4">
        <v>44993.463194444441</v>
      </c>
      <c r="D8911" t="s">
        <v>9204</v>
      </c>
      <c r="E8911" t="s">
        <v>53564</v>
      </c>
      <c r="F8911">
        <v>6</v>
      </c>
      <c r="G8911" t="s">
        <v>1286</v>
      </c>
      <c r="H8911" t="s">
        <v>1047</v>
      </c>
      <c r="I8911" t="s">
        <v>40</v>
      </c>
      <c r="J8911" t="s">
        <v>109</v>
      </c>
      <c r="K8911" t="s">
        <v>42</v>
      </c>
      <c r="L8911" t="s">
        <v>1288</v>
      </c>
      <c r="Q8911">
        <v>23683</v>
      </c>
      <c r="R8911" t="s">
        <v>45</v>
      </c>
      <c r="S8911" t="s">
        <v>22494</v>
      </c>
      <c r="T8911">
        <v>25</v>
      </c>
      <c r="U8911" s="2" t="s">
        <v>53565</v>
      </c>
      <c r="W8911" t="s">
        <v>1292</v>
      </c>
      <c r="X8911">
        <v>707531</v>
      </c>
      <c r="Y8911" t="s">
        <v>1529</v>
      </c>
      <c r="Z8911" t="s">
        <v>53566</v>
      </c>
      <c r="AA8911" t="s">
        <v>53567</v>
      </c>
      <c r="AB8911" t="s">
        <v>1293</v>
      </c>
      <c r="AG8911" t="s">
        <v>53570</v>
      </c>
      <c r="AH8911" t="s">
        <v>22498</v>
      </c>
      <c r="AI8911" t="s">
        <v>53571</v>
      </c>
    </row>
    <row r="8912" spans="2:35" ht="75">
      <c r="B8912" s="1">
        <v>44993</v>
      </c>
      <c r="C8912" s="4">
        <v>44993.445833333331</v>
      </c>
      <c r="D8912" t="s">
        <v>9204</v>
      </c>
      <c r="E8912" t="s">
        <v>53564</v>
      </c>
      <c r="F8912">
        <v>6</v>
      </c>
      <c r="G8912" t="s">
        <v>1286</v>
      </c>
      <c r="H8912" t="s">
        <v>1047</v>
      </c>
      <c r="I8912" t="s">
        <v>40</v>
      </c>
      <c r="J8912" t="s">
        <v>583</v>
      </c>
      <c r="K8912" t="s">
        <v>42</v>
      </c>
      <c r="L8912" t="s">
        <v>1288</v>
      </c>
      <c r="Q8912">
        <v>23682</v>
      </c>
      <c r="R8912" t="s">
        <v>45</v>
      </c>
      <c r="S8912" t="s">
        <v>22494</v>
      </c>
      <c r="T8912">
        <v>25</v>
      </c>
      <c r="U8912" s="2" t="s">
        <v>53572</v>
      </c>
      <c r="W8912" t="s">
        <v>1292</v>
      </c>
      <c r="X8912">
        <v>804699</v>
      </c>
      <c r="Y8912" t="s">
        <v>53573</v>
      </c>
      <c r="Z8912" t="e">
        <f ca="1">-COLLECT DOCUMENTATION of Reported issue</f>
        <v>#NAME?</v>
      </c>
      <c r="AA8912" t="s">
        <v>53574</v>
      </c>
      <c r="AB8912" t="s">
        <v>53575</v>
      </c>
      <c r="AG8912" t="s">
        <v>53576</v>
      </c>
      <c r="AH8912" t="s">
        <v>22498</v>
      </c>
      <c r="AI8912" t="s">
        <v>53577</v>
      </c>
    </row>
    <row r="8913" spans="2:35" ht="105">
      <c r="B8913" s="1">
        <v>44993</v>
      </c>
      <c r="C8913" s="4">
        <v>44993.424305555556</v>
      </c>
      <c r="D8913" t="s">
        <v>10149</v>
      </c>
      <c r="E8913" t="s">
        <v>4655</v>
      </c>
      <c r="F8913">
        <v>10</v>
      </c>
      <c r="G8913" t="s">
        <v>1395</v>
      </c>
      <c r="H8913" t="s">
        <v>1047</v>
      </c>
      <c r="I8913" t="s">
        <v>40</v>
      </c>
      <c r="J8913" t="s">
        <v>109</v>
      </c>
      <c r="K8913" t="s">
        <v>42</v>
      </c>
      <c r="L8913" t="s">
        <v>43100</v>
      </c>
      <c r="Q8913">
        <v>23681</v>
      </c>
      <c r="R8913" t="s">
        <v>119</v>
      </c>
      <c r="S8913" t="s">
        <v>53578</v>
      </c>
      <c r="T8913">
        <v>28</v>
      </c>
      <c r="U8913" s="2" t="s">
        <v>19462</v>
      </c>
      <c r="W8913" t="s">
        <v>43102</v>
      </c>
      <c r="X8913">
        <v>838269</v>
      </c>
      <c r="Y8913" t="s">
        <v>301</v>
      </c>
      <c r="Z8913" t="s">
        <v>301</v>
      </c>
      <c r="AA8913" s="2" t="s">
        <v>53579</v>
      </c>
      <c r="AB8913" t="s">
        <v>486</v>
      </c>
      <c r="AG8913" t="s">
        <v>53580</v>
      </c>
      <c r="AH8913" t="s">
        <v>53581</v>
      </c>
      <c r="AI8913" t="s">
        <v>53582</v>
      </c>
    </row>
    <row r="8914" spans="2:35" ht="180">
      <c r="B8914" s="1">
        <v>44992</v>
      </c>
      <c r="C8914" s="4">
        <v>44992.563194444447</v>
      </c>
      <c r="D8914" t="s">
        <v>25059</v>
      </c>
      <c r="E8914" t="s">
        <v>25060</v>
      </c>
      <c r="F8914">
        <v>11</v>
      </c>
      <c r="G8914" t="s">
        <v>1205</v>
      </c>
      <c r="H8914" t="s">
        <v>202</v>
      </c>
      <c r="I8914" t="s">
        <v>40</v>
      </c>
      <c r="J8914" t="s">
        <v>79</v>
      </c>
      <c r="K8914" t="s">
        <v>42</v>
      </c>
      <c r="L8914" t="s">
        <v>204</v>
      </c>
      <c r="Q8914">
        <v>23680</v>
      </c>
      <c r="R8914" t="s">
        <v>45</v>
      </c>
      <c r="S8914" t="s">
        <v>53583</v>
      </c>
      <c r="T8914">
        <v>25.7</v>
      </c>
      <c r="U8914" s="2" t="s">
        <v>53584</v>
      </c>
      <c r="V8914" s="1">
        <v>44992</v>
      </c>
      <c r="W8914" t="s">
        <v>1292</v>
      </c>
      <c r="X8914">
        <v>838538</v>
      </c>
      <c r="Y8914" t="s">
        <v>34206</v>
      </c>
      <c r="Z8914" t="s">
        <v>53585</v>
      </c>
      <c r="AA8914" t="s">
        <v>12182</v>
      </c>
      <c r="AB8914" t="s">
        <v>9590</v>
      </c>
      <c r="AD8914" t="s">
        <v>10253</v>
      </c>
      <c r="AE8914" t="s">
        <v>54</v>
      </c>
      <c r="AG8914" t="s">
        <v>53586</v>
      </c>
      <c r="AH8914" t="s">
        <v>53587</v>
      </c>
      <c r="AI8914" t="s">
        <v>53588</v>
      </c>
    </row>
    <row r="8915" spans="2:35" ht="240">
      <c r="B8915" s="1">
        <v>44992</v>
      </c>
      <c r="C8915" s="4">
        <v>44992.472916666666</v>
      </c>
      <c r="D8915" t="s">
        <v>53589</v>
      </c>
      <c r="E8915" t="s">
        <v>4655</v>
      </c>
      <c r="F8915">
        <v>10</v>
      </c>
      <c r="G8915" t="s">
        <v>1395</v>
      </c>
      <c r="H8915" t="s">
        <v>513</v>
      </c>
      <c r="I8915" t="s">
        <v>94</v>
      </c>
      <c r="J8915" t="s">
        <v>79</v>
      </c>
      <c r="K8915" t="s">
        <v>387</v>
      </c>
      <c r="L8915" t="s">
        <v>43100</v>
      </c>
      <c r="Q8915">
        <v>23679</v>
      </c>
      <c r="R8915" t="s">
        <v>95</v>
      </c>
      <c r="S8915" t="s">
        <v>53590</v>
      </c>
      <c r="T8915">
        <v>29</v>
      </c>
      <c r="W8915" t="s">
        <v>390</v>
      </c>
      <c r="X8915" t="s">
        <v>17554</v>
      </c>
      <c r="Y8915" t="s">
        <v>53591</v>
      </c>
      <c r="Z8915" t="s">
        <v>301</v>
      </c>
      <c r="AA8915" s="2" t="s">
        <v>53592</v>
      </c>
      <c r="AB8915" t="s">
        <v>53593</v>
      </c>
      <c r="AC8915" t="s">
        <v>53594</v>
      </c>
      <c r="AG8915" t="s">
        <v>53595</v>
      </c>
      <c r="AH8915" t="s">
        <v>53596</v>
      </c>
      <c r="AI8915" t="s">
        <v>53597</v>
      </c>
    </row>
    <row r="8916" spans="2:35" ht="240">
      <c r="B8916" s="1">
        <v>44992</v>
      </c>
      <c r="C8916" s="4">
        <v>44992.472916666666</v>
      </c>
      <c r="D8916" t="s">
        <v>53589</v>
      </c>
      <c r="E8916" t="s">
        <v>4655</v>
      </c>
      <c r="F8916">
        <v>10</v>
      </c>
      <c r="G8916" t="s">
        <v>1395</v>
      </c>
      <c r="H8916" t="s">
        <v>513</v>
      </c>
      <c r="I8916" t="s">
        <v>94</v>
      </c>
      <c r="J8916" t="s">
        <v>79</v>
      </c>
      <c r="K8916" t="s">
        <v>387</v>
      </c>
      <c r="L8916" t="s">
        <v>43100</v>
      </c>
      <c r="Q8916">
        <v>23678</v>
      </c>
      <c r="R8916" t="s">
        <v>95</v>
      </c>
      <c r="S8916" t="s">
        <v>53590</v>
      </c>
      <c r="T8916">
        <v>29</v>
      </c>
      <c r="W8916" t="s">
        <v>390</v>
      </c>
      <c r="X8916" t="s">
        <v>17554</v>
      </c>
      <c r="Y8916" t="s">
        <v>53591</v>
      </c>
      <c r="Z8916" t="s">
        <v>301</v>
      </c>
      <c r="AA8916" s="2" t="s">
        <v>53592</v>
      </c>
      <c r="AB8916" t="s">
        <v>53593</v>
      </c>
      <c r="AC8916" t="s">
        <v>53594</v>
      </c>
      <c r="AG8916" t="s">
        <v>53598</v>
      </c>
      <c r="AH8916" t="s">
        <v>53596</v>
      </c>
      <c r="AI8916" t="s">
        <v>53599</v>
      </c>
    </row>
    <row r="8917" spans="2:35" ht="315">
      <c r="B8917" s="1">
        <v>44992</v>
      </c>
      <c r="C8917" s="4">
        <v>44992.646527777775</v>
      </c>
      <c r="D8917" t="s">
        <v>45903</v>
      </c>
      <c r="E8917" t="s">
        <v>15186</v>
      </c>
      <c r="F8917">
        <v>3</v>
      </c>
      <c r="G8917" t="s">
        <v>284</v>
      </c>
      <c r="H8917" t="s">
        <v>8015</v>
      </c>
      <c r="I8917" t="s">
        <v>40</v>
      </c>
      <c r="J8917" s="2" t="s">
        <v>41</v>
      </c>
      <c r="K8917" t="s">
        <v>42</v>
      </c>
      <c r="L8917" t="s">
        <v>135</v>
      </c>
      <c r="Q8917">
        <v>23677</v>
      </c>
      <c r="R8917" t="s">
        <v>45</v>
      </c>
      <c r="S8917" t="s">
        <v>11281</v>
      </c>
      <c r="T8917">
        <v>25.2</v>
      </c>
      <c r="U8917" s="2" t="s">
        <v>53600</v>
      </c>
      <c r="V8917" s="1">
        <v>44981</v>
      </c>
      <c r="W8917" t="s">
        <v>2680</v>
      </c>
      <c r="X8917">
        <v>834433</v>
      </c>
      <c r="Y8917" t="s">
        <v>53601</v>
      </c>
      <c r="Z8917" s="2" t="s">
        <v>53602</v>
      </c>
      <c r="AA8917" s="2" t="s">
        <v>47997</v>
      </c>
      <c r="AB8917" t="s">
        <v>181</v>
      </c>
      <c r="AD8917" t="s">
        <v>4669</v>
      </c>
      <c r="AE8917">
        <v>39289</v>
      </c>
      <c r="AG8917" t="s">
        <v>53603</v>
      </c>
      <c r="AH8917" t="s">
        <v>15193</v>
      </c>
      <c r="AI8917" t="s">
        <v>53604</v>
      </c>
    </row>
    <row r="8918" spans="2:35" ht="409.5">
      <c r="B8918" s="1">
        <v>44992</v>
      </c>
      <c r="C8918" s="4">
        <v>44992.589583333334</v>
      </c>
      <c r="D8918" t="s">
        <v>8684</v>
      </c>
      <c r="E8918" t="s">
        <v>27512</v>
      </c>
      <c r="F8918">
        <v>3</v>
      </c>
      <c r="G8918" t="s">
        <v>284</v>
      </c>
      <c r="H8918" t="s">
        <v>39</v>
      </c>
      <c r="I8918" t="s">
        <v>40</v>
      </c>
      <c r="J8918" s="2" t="s">
        <v>62</v>
      </c>
      <c r="K8918" t="s">
        <v>42</v>
      </c>
      <c r="L8918" t="s">
        <v>135</v>
      </c>
      <c r="Q8918">
        <v>23676</v>
      </c>
      <c r="R8918" t="s">
        <v>119</v>
      </c>
      <c r="S8918" t="s">
        <v>27513</v>
      </c>
      <c r="T8918">
        <v>27.7</v>
      </c>
      <c r="U8918" s="2" t="s">
        <v>53605</v>
      </c>
      <c r="V8918" s="1">
        <v>44964</v>
      </c>
      <c r="W8918" t="s">
        <v>2680</v>
      </c>
      <c r="X8918">
        <v>831613</v>
      </c>
      <c r="Y8918" t="s">
        <v>1751</v>
      </c>
      <c r="Z8918" s="2" t="s">
        <v>28886</v>
      </c>
      <c r="AA8918" s="2" t="s">
        <v>31375</v>
      </c>
      <c r="AB8918" t="s">
        <v>41636</v>
      </c>
      <c r="AC8918" t="s">
        <v>53606</v>
      </c>
      <c r="AD8918" t="s">
        <v>28115</v>
      </c>
      <c r="AE8918">
        <v>9597</v>
      </c>
      <c r="AG8918" t="s">
        <v>53607</v>
      </c>
      <c r="AH8918" t="s">
        <v>33660</v>
      </c>
      <c r="AI8918" t="s">
        <v>53608</v>
      </c>
    </row>
    <row r="8919" spans="2:35" ht="409.5">
      <c r="B8919" s="1">
        <v>44992</v>
      </c>
      <c r="C8919" s="4">
        <v>44992.654861111114</v>
      </c>
      <c r="D8919" t="s">
        <v>45903</v>
      </c>
      <c r="E8919" t="s">
        <v>15186</v>
      </c>
      <c r="F8919">
        <v>3</v>
      </c>
      <c r="G8919" t="s">
        <v>284</v>
      </c>
      <c r="H8919" t="s">
        <v>8015</v>
      </c>
      <c r="I8919" t="s">
        <v>40</v>
      </c>
      <c r="J8919" s="2" t="s">
        <v>62</v>
      </c>
      <c r="K8919" t="s">
        <v>42</v>
      </c>
      <c r="L8919" t="s">
        <v>135</v>
      </c>
      <c r="Q8919">
        <v>23675</v>
      </c>
      <c r="R8919" t="s">
        <v>45</v>
      </c>
      <c r="S8919" t="s">
        <v>11281</v>
      </c>
      <c r="T8919">
        <v>25.2</v>
      </c>
      <c r="U8919" s="2" t="s">
        <v>53600</v>
      </c>
      <c r="W8919" t="s">
        <v>2680</v>
      </c>
      <c r="X8919">
        <v>834433</v>
      </c>
      <c r="Y8919" t="s">
        <v>1751</v>
      </c>
      <c r="Z8919" s="2" t="s">
        <v>53609</v>
      </c>
      <c r="AA8919" s="2" t="s">
        <v>31375</v>
      </c>
      <c r="AB8919" t="s">
        <v>181</v>
      </c>
      <c r="AC8919" t="s">
        <v>53610</v>
      </c>
      <c r="AG8919" t="s">
        <v>53611</v>
      </c>
      <c r="AH8919" t="s">
        <v>15193</v>
      </c>
      <c r="AI8919" t="s">
        <v>53612</v>
      </c>
    </row>
    <row r="8920" spans="2:35" ht="225">
      <c r="B8920" s="1">
        <v>44992</v>
      </c>
      <c r="C8920" s="4">
        <v>44992.581944444442</v>
      </c>
      <c r="D8920" t="s">
        <v>37671</v>
      </c>
      <c r="E8920" t="s">
        <v>53613</v>
      </c>
      <c r="F8920">
        <v>3</v>
      </c>
      <c r="G8920" t="s">
        <v>1722</v>
      </c>
      <c r="H8920" t="s">
        <v>39</v>
      </c>
      <c r="I8920" t="s">
        <v>40</v>
      </c>
      <c r="J8920" s="2" t="s">
        <v>62</v>
      </c>
      <c r="K8920" t="s">
        <v>42</v>
      </c>
      <c r="L8920" t="s">
        <v>63</v>
      </c>
      <c r="Q8920">
        <v>23674</v>
      </c>
      <c r="R8920" t="s">
        <v>119</v>
      </c>
      <c r="S8920" t="s">
        <v>29077</v>
      </c>
      <c r="T8920">
        <v>27</v>
      </c>
      <c r="U8920" s="2" t="s">
        <v>53614</v>
      </c>
      <c r="V8920" s="1">
        <v>44964</v>
      </c>
      <c r="W8920" t="s">
        <v>26915</v>
      </c>
      <c r="X8920">
        <v>831582</v>
      </c>
      <c r="Y8920" t="s">
        <v>1716</v>
      </c>
      <c r="Z8920" t="s">
        <v>1716</v>
      </c>
      <c r="AA8920" s="2" t="s">
        <v>38119</v>
      </c>
      <c r="AB8920" t="s">
        <v>70</v>
      </c>
      <c r="AC8920" t="s">
        <v>53615</v>
      </c>
      <c r="AD8920" t="s">
        <v>948</v>
      </c>
      <c r="AE8920">
        <v>9595</v>
      </c>
      <c r="AG8920" t="s">
        <v>53616</v>
      </c>
      <c r="AH8920" t="s">
        <v>29083</v>
      </c>
      <c r="AI8920" t="s">
        <v>53617</v>
      </c>
    </row>
    <row r="8921" spans="2:35" ht="105">
      <c r="B8921" s="1">
        <v>44992</v>
      </c>
      <c r="C8921" s="4">
        <v>44992.575694444444</v>
      </c>
      <c r="D8921" t="s">
        <v>9139</v>
      </c>
      <c r="E8921" t="s">
        <v>53618</v>
      </c>
      <c r="F8921">
        <v>6</v>
      </c>
      <c r="G8921" t="s">
        <v>1286</v>
      </c>
      <c r="H8921" t="s">
        <v>10969</v>
      </c>
      <c r="I8921" t="s">
        <v>40</v>
      </c>
      <c r="J8921" t="s">
        <v>109</v>
      </c>
      <c r="K8921" t="s">
        <v>42</v>
      </c>
      <c r="L8921" t="s">
        <v>1288</v>
      </c>
      <c r="Q8921">
        <v>23673</v>
      </c>
      <c r="R8921" t="s">
        <v>719</v>
      </c>
      <c r="S8921" t="s">
        <v>31167</v>
      </c>
      <c r="T8921">
        <v>20</v>
      </c>
      <c r="U8921" s="2" t="s">
        <v>53619</v>
      </c>
      <c r="W8921" t="s">
        <v>9206</v>
      </c>
      <c r="X8921">
        <v>848241</v>
      </c>
      <c r="Y8921" t="s">
        <v>1529</v>
      </c>
      <c r="Z8921" t="e">
        <f ca="1">-COLLECT IQR, system _xludf.Log,Assay stat</f>
        <v>#NAME?</v>
      </c>
      <c r="AA8921" t="e">
        <f ca="1">-PERFORM Cleaning _xludf.and PM of GX EQUIPMENT</f>
        <v>#NAME?</v>
      </c>
      <c r="AB8921" t="s">
        <v>1293</v>
      </c>
      <c r="AC8921" t="s">
        <v>53620</v>
      </c>
      <c r="AG8921" t="s">
        <v>53621</v>
      </c>
      <c r="AH8921" t="s">
        <v>31171</v>
      </c>
      <c r="AI8921" t="s">
        <v>53622</v>
      </c>
    </row>
    <row r="8922" spans="2:35" ht="180">
      <c r="B8922" s="1">
        <v>44992</v>
      </c>
      <c r="C8922" s="4">
        <v>44992.571527777778</v>
      </c>
      <c r="D8922" t="s">
        <v>9139</v>
      </c>
      <c r="E8922" t="s">
        <v>53618</v>
      </c>
      <c r="F8922">
        <v>6</v>
      </c>
      <c r="G8922" t="s">
        <v>1286</v>
      </c>
      <c r="H8922" t="s">
        <v>10969</v>
      </c>
      <c r="I8922" t="s">
        <v>40</v>
      </c>
      <c r="J8922" t="s">
        <v>109</v>
      </c>
      <c r="K8922" t="s">
        <v>42</v>
      </c>
      <c r="L8922" t="s">
        <v>1288</v>
      </c>
      <c r="Q8922">
        <v>23672</v>
      </c>
      <c r="R8922" t="s">
        <v>45</v>
      </c>
      <c r="S8922" t="s">
        <v>31167</v>
      </c>
      <c r="T8922">
        <v>20</v>
      </c>
      <c r="U8922" s="2" t="s">
        <v>53623</v>
      </c>
      <c r="W8922" t="s">
        <v>16722</v>
      </c>
      <c r="X8922">
        <v>839316</v>
      </c>
      <c r="Y8922" t="s">
        <v>9143</v>
      </c>
      <c r="Z8922" t="s">
        <v>53624</v>
      </c>
      <c r="AA8922" t="s">
        <v>53625</v>
      </c>
      <c r="AB8922" t="s">
        <v>1293</v>
      </c>
      <c r="AG8922" t="s">
        <v>53626</v>
      </c>
      <c r="AH8922" t="s">
        <v>31171</v>
      </c>
      <c r="AI8922" t="s">
        <v>53627</v>
      </c>
    </row>
    <row r="8923" spans="2:35" ht="240">
      <c r="B8923" s="1">
        <v>44992</v>
      </c>
      <c r="C8923" s="4">
        <v>44992.564583333333</v>
      </c>
      <c r="D8923" t="s">
        <v>2272</v>
      </c>
      <c r="E8923" t="s">
        <v>43308</v>
      </c>
      <c r="F8923" t="s">
        <v>148</v>
      </c>
      <c r="G8923" t="s">
        <v>310</v>
      </c>
      <c r="H8923" t="s">
        <v>2274</v>
      </c>
      <c r="I8923" t="s">
        <v>40</v>
      </c>
      <c r="J8923" t="s">
        <v>109</v>
      </c>
      <c r="K8923" t="s">
        <v>387</v>
      </c>
      <c r="L8923" t="s">
        <v>1943</v>
      </c>
      <c r="Q8923">
        <v>23671</v>
      </c>
      <c r="R8923" t="s">
        <v>95</v>
      </c>
      <c r="S8923" t="s">
        <v>15791</v>
      </c>
      <c r="T8923">
        <v>25</v>
      </c>
      <c r="W8923" t="s">
        <v>390</v>
      </c>
      <c r="X8923" t="s">
        <v>2277</v>
      </c>
      <c r="Y8923" t="s">
        <v>2099</v>
      </c>
      <c r="Z8923" s="2" t="s">
        <v>47895</v>
      </c>
      <c r="AA8923" t="s">
        <v>2100</v>
      </c>
      <c r="AB8923" t="s">
        <v>88</v>
      </c>
      <c r="AG8923" t="s">
        <v>53628</v>
      </c>
      <c r="AH8923" t="s">
        <v>8409</v>
      </c>
      <c r="AI8923" t="s">
        <v>53629</v>
      </c>
    </row>
    <row r="8924" spans="2:35" ht="360">
      <c r="B8924" s="1">
        <v>44992</v>
      </c>
      <c r="C8924" s="4">
        <v>44992.563888888886</v>
      </c>
      <c r="D8924" t="s">
        <v>9139</v>
      </c>
      <c r="E8924" t="s">
        <v>53618</v>
      </c>
      <c r="F8924">
        <v>6</v>
      </c>
      <c r="G8924" t="s">
        <v>1286</v>
      </c>
      <c r="H8924" t="s">
        <v>10969</v>
      </c>
      <c r="I8924" t="s">
        <v>40</v>
      </c>
      <c r="J8924" t="s">
        <v>79</v>
      </c>
      <c r="K8924" t="s">
        <v>42</v>
      </c>
      <c r="L8924" t="s">
        <v>1288</v>
      </c>
      <c r="Q8924">
        <v>23670</v>
      </c>
      <c r="R8924" t="s">
        <v>45</v>
      </c>
      <c r="S8924" t="s">
        <v>31167</v>
      </c>
      <c r="T8924">
        <v>20</v>
      </c>
      <c r="U8924" s="2" t="s">
        <v>53630</v>
      </c>
      <c r="W8924" t="s">
        <v>3662</v>
      </c>
      <c r="X8924">
        <v>706910</v>
      </c>
      <c r="Y8924" t="s">
        <v>53631</v>
      </c>
      <c r="Z8924" t="e">
        <f ca="1">-COLLECT IQR system _xludf.Log _xludf.and Assay stat</f>
        <v>#NAME?</v>
      </c>
      <c r="AA8924" t="s">
        <v>53632</v>
      </c>
      <c r="AB8924" t="s">
        <v>1293</v>
      </c>
      <c r="AG8924" t="s">
        <v>53633</v>
      </c>
      <c r="AH8924" t="s">
        <v>31171</v>
      </c>
      <c r="AI8924" t="s">
        <v>53634</v>
      </c>
    </row>
    <row r="8925" spans="2:35" ht="409.5">
      <c r="B8925" s="1">
        <v>44992</v>
      </c>
      <c r="C8925" s="4">
        <v>44992.529166666667</v>
      </c>
      <c r="D8925" t="s">
        <v>1351</v>
      </c>
      <c r="E8925" t="s">
        <v>27934</v>
      </c>
      <c r="F8925">
        <v>3</v>
      </c>
      <c r="G8925" t="s">
        <v>284</v>
      </c>
      <c r="H8925" t="s">
        <v>39</v>
      </c>
      <c r="I8925" t="s">
        <v>40</v>
      </c>
      <c r="J8925" s="2" t="s">
        <v>62</v>
      </c>
      <c r="K8925" t="s">
        <v>42</v>
      </c>
      <c r="L8925" t="s">
        <v>135</v>
      </c>
      <c r="Q8925">
        <v>23669</v>
      </c>
      <c r="R8925" t="s">
        <v>119</v>
      </c>
      <c r="S8925" t="s">
        <v>285</v>
      </c>
      <c r="T8925">
        <v>27.7</v>
      </c>
      <c r="U8925" s="2" t="s">
        <v>53635</v>
      </c>
      <c r="V8925" s="1">
        <v>44964</v>
      </c>
      <c r="W8925" t="s">
        <v>2680</v>
      </c>
      <c r="X8925">
        <v>831878</v>
      </c>
      <c r="Y8925" t="s">
        <v>1751</v>
      </c>
      <c r="Z8925" s="2" t="s">
        <v>28886</v>
      </c>
      <c r="AA8925" s="2" t="s">
        <v>31375</v>
      </c>
      <c r="AB8925" t="s">
        <v>53636</v>
      </c>
      <c r="AC8925" t="s">
        <v>34421</v>
      </c>
      <c r="AD8925" t="s">
        <v>34422</v>
      </c>
      <c r="AE8925">
        <v>9604</v>
      </c>
      <c r="AG8925" t="s">
        <v>53637</v>
      </c>
      <c r="AH8925" t="s">
        <v>53638</v>
      </c>
      <c r="AI8925" t="s">
        <v>53639</v>
      </c>
    </row>
    <row r="8926" spans="2:35" ht="409.5">
      <c r="B8926" s="1">
        <v>44992</v>
      </c>
      <c r="C8926" s="4">
        <v>44992.531944444447</v>
      </c>
      <c r="D8926" t="s">
        <v>2272</v>
      </c>
      <c r="E8926" t="s">
        <v>43308</v>
      </c>
      <c r="F8926" t="s">
        <v>148</v>
      </c>
      <c r="G8926" t="s">
        <v>310</v>
      </c>
      <c r="H8926" t="s">
        <v>39</v>
      </c>
      <c r="I8926" t="s">
        <v>40</v>
      </c>
      <c r="J8926" s="2" t="s">
        <v>4208</v>
      </c>
      <c r="K8926" t="s">
        <v>42</v>
      </c>
      <c r="L8926" t="s">
        <v>1943</v>
      </c>
      <c r="Q8926">
        <v>23668</v>
      </c>
      <c r="R8926" t="s">
        <v>703</v>
      </c>
      <c r="S8926" t="s">
        <v>6830</v>
      </c>
      <c r="T8926">
        <v>25</v>
      </c>
      <c r="U8926" s="2" t="s">
        <v>53640</v>
      </c>
      <c r="W8926" t="s">
        <v>84</v>
      </c>
      <c r="X8926">
        <v>835604</v>
      </c>
      <c r="Y8926" s="2" t="s">
        <v>53641</v>
      </c>
      <c r="Z8926" s="2" t="s">
        <v>53642</v>
      </c>
      <c r="AA8926" t="s">
        <v>53643</v>
      </c>
      <c r="AB8926" t="s">
        <v>53644</v>
      </c>
      <c r="AG8926" t="s">
        <v>53645</v>
      </c>
      <c r="AH8926" t="s">
        <v>6833</v>
      </c>
      <c r="AI8926" t="s">
        <v>53646</v>
      </c>
    </row>
    <row r="8927" spans="2:35" ht="180">
      <c r="B8927" s="1">
        <v>44992</v>
      </c>
      <c r="C8927" s="4">
        <v>44992.497916666667</v>
      </c>
      <c r="D8927" t="s">
        <v>1484</v>
      </c>
      <c r="E8927" t="s">
        <v>47249</v>
      </c>
      <c r="F8927">
        <v>12</v>
      </c>
      <c r="G8927" t="s">
        <v>978</v>
      </c>
      <c r="H8927" t="s">
        <v>39</v>
      </c>
      <c r="I8927" t="s">
        <v>94</v>
      </c>
      <c r="J8927" t="s">
        <v>996</v>
      </c>
      <c r="K8927" t="s">
        <v>42</v>
      </c>
      <c r="L8927" t="s">
        <v>296</v>
      </c>
      <c r="Q8927">
        <v>23666</v>
      </c>
      <c r="R8927" t="s">
        <v>45</v>
      </c>
      <c r="S8927" t="s">
        <v>53647</v>
      </c>
      <c r="T8927">
        <v>24.9</v>
      </c>
      <c r="U8927" s="2" t="s">
        <v>53648</v>
      </c>
      <c r="V8927" s="1">
        <v>44992</v>
      </c>
      <c r="W8927" t="s">
        <v>23049</v>
      </c>
      <c r="X8927">
        <v>815432</v>
      </c>
      <c r="Y8927" t="s">
        <v>28862</v>
      </c>
      <c r="Z8927" t="s">
        <v>53649</v>
      </c>
      <c r="AA8927" t="s">
        <v>53649</v>
      </c>
      <c r="AB8927" t="s">
        <v>972</v>
      </c>
      <c r="AD8927" t="s">
        <v>46458</v>
      </c>
      <c r="AE8927">
        <v>1000330696</v>
      </c>
      <c r="AG8927" t="s">
        <v>53650</v>
      </c>
      <c r="AH8927" t="s">
        <v>53651</v>
      </c>
      <c r="AI8927" t="s">
        <v>53652</v>
      </c>
    </row>
    <row r="8928" spans="2:35" ht="180">
      <c r="B8928" s="1">
        <v>44992</v>
      </c>
      <c r="C8928" s="4">
        <v>44991.619444444441</v>
      </c>
      <c r="D8928" t="s">
        <v>1484</v>
      </c>
      <c r="E8928" t="s">
        <v>47249</v>
      </c>
      <c r="F8928">
        <v>12</v>
      </c>
      <c r="G8928" t="s">
        <v>978</v>
      </c>
      <c r="H8928" t="s">
        <v>39</v>
      </c>
      <c r="I8928" t="s">
        <v>94</v>
      </c>
      <c r="J8928" t="s">
        <v>79</v>
      </c>
      <c r="K8928" t="s">
        <v>42</v>
      </c>
      <c r="L8928" t="s">
        <v>296</v>
      </c>
      <c r="Q8928">
        <v>23667</v>
      </c>
      <c r="R8928" t="s">
        <v>45</v>
      </c>
      <c r="S8928" t="s">
        <v>1486</v>
      </c>
      <c r="T8928">
        <v>29.4</v>
      </c>
      <c r="U8928" s="2" t="s">
        <v>53653</v>
      </c>
      <c r="W8928" t="s">
        <v>23049</v>
      </c>
      <c r="X8928">
        <v>815432</v>
      </c>
      <c r="Y8928" t="s">
        <v>38590</v>
      </c>
      <c r="Z8928" s="2" t="s">
        <v>53654</v>
      </c>
      <c r="AA8928" s="2" t="s">
        <v>53655</v>
      </c>
      <c r="AB8928" t="s">
        <v>53656</v>
      </c>
      <c r="AG8928" t="s">
        <v>53657</v>
      </c>
      <c r="AH8928" t="s">
        <v>24276</v>
      </c>
      <c r="AI8928" t="s">
        <v>53658</v>
      </c>
    </row>
    <row r="8929" spans="2:35" ht="409.5">
      <c r="B8929" s="1">
        <v>44992</v>
      </c>
      <c r="C8929" s="4">
        <v>44992.46875</v>
      </c>
      <c r="D8929" t="s">
        <v>51225</v>
      </c>
      <c r="E8929" t="s">
        <v>3466</v>
      </c>
      <c r="F8929">
        <v>3</v>
      </c>
      <c r="G8929" t="s">
        <v>284</v>
      </c>
      <c r="H8929" t="s">
        <v>39</v>
      </c>
      <c r="I8929" t="s">
        <v>40</v>
      </c>
      <c r="J8929" s="2" t="s">
        <v>62</v>
      </c>
      <c r="K8929" t="s">
        <v>42</v>
      </c>
      <c r="L8929" t="s">
        <v>135</v>
      </c>
      <c r="Q8929">
        <v>23665</v>
      </c>
      <c r="R8929" t="s">
        <v>119</v>
      </c>
      <c r="S8929" t="s">
        <v>53659</v>
      </c>
      <c r="T8929">
        <v>27.7</v>
      </c>
      <c r="U8929" s="2" t="s">
        <v>53660</v>
      </c>
      <c r="V8929" s="1">
        <v>44964</v>
      </c>
      <c r="W8929" t="s">
        <v>2680</v>
      </c>
      <c r="X8929">
        <v>831729</v>
      </c>
      <c r="Y8929" t="s">
        <v>1751</v>
      </c>
      <c r="Z8929" s="2" t="s">
        <v>28886</v>
      </c>
      <c r="AA8929" s="2" t="s">
        <v>31375</v>
      </c>
      <c r="AB8929" t="s">
        <v>181</v>
      </c>
      <c r="AC8929" t="s">
        <v>34421</v>
      </c>
      <c r="AD8929" t="s">
        <v>28115</v>
      </c>
      <c r="AE8929">
        <v>9603</v>
      </c>
      <c r="AG8929" t="s">
        <v>53661</v>
      </c>
      <c r="AH8929" t="s">
        <v>28627</v>
      </c>
      <c r="AI8929" t="s">
        <v>53662</v>
      </c>
    </row>
    <row r="8930" spans="2:35" ht="240">
      <c r="B8930" s="1">
        <v>44992</v>
      </c>
      <c r="C8930" s="4">
        <v>44992.472916666666</v>
      </c>
      <c r="D8930" t="s">
        <v>53589</v>
      </c>
      <c r="E8930" t="s">
        <v>4655</v>
      </c>
      <c r="F8930">
        <v>10</v>
      </c>
      <c r="G8930" t="s">
        <v>1395</v>
      </c>
      <c r="H8930" t="s">
        <v>513</v>
      </c>
      <c r="I8930" t="s">
        <v>94</v>
      </c>
      <c r="J8930" t="s">
        <v>79</v>
      </c>
      <c r="K8930" t="s">
        <v>387</v>
      </c>
      <c r="L8930" t="s">
        <v>43100</v>
      </c>
      <c r="Q8930">
        <v>23664</v>
      </c>
      <c r="R8930" t="s">
        <v>95</v>
      </c>
      <c r="S8930" t="s">
        <v>53590</v>
      </c>
      <c r="T8930">
        <v>29</v>
      </c>
      <c r="W8930" t="s">
        <v>390</v>
      </c>
      <c r="X8930" t="s">
        <v>17554</v>
      </c>
      <c r="Y8930" t="s">
        <v>53591</v>
      </c>
      <c r="Z8930" t="s">
        <v>301</v>
      </c>
      <c r="AA8930" s="2" t="s">
        <v>53592</v>
      </c>
      <c r="AB8930" t="s">
        <v>53593</v>
      </c>
      <c r="AC8930" t="s">
        <v>53594</v>
      </c>
      <c r="AG8930" t="s">
        <v>53663</v>
      </c>
      <c r="AH8930" t="s">
        <v>53596</v>
      </c>
      <c r="AI8930" t="s">
        <v>53664</v>
      </c>
    </row>
    <row r="8931" spans="2:35" ht="409.5">
      <c r="B8931" s="1">
        <v>44992</v>
      </c>
      <c r="C8931" s="4">
        <v>44992.420138888891</v>
      </c>
      <c r="D8931" t="s">
        <v>25396</v>
      </c>
      <c r="E8931" t="s">
        <v>25397</v>
      </c>
      <c r="F8931">
        <v>3</v>
      </c>
      <c r="G8931" t="s">
        <v>284</v>
      </c>
      <c r="H8931" t="s">
        <v>39</v>
      </c>
      <c r="I8931" t="s">
        <v>40</v>
      </c>
      <c r="J8931" s="2" t="s">
        <v>62</v>
      </c>
      <c r="K8931" t="s">
        <v>42</v>
      </c>
      <c r="L8931" t="s">
        <v>135</v>
      </c>
      <c r="Q8931">
        <v>23663</v>
      </c>
      <c r="R8931" t="s">
        <v>119</v>
      </c>
      <c r="S8931" t="s">
        <v>25398</v>
      </c>
      <c r="T8931">
        <v>28.2</v>
      </c>
      <c r="U8931" s="2" t="s">
        <v>53665</v>
      </c>
      <c r="V8931" s="1">
        <v>44964</v>
      </c>
      <c r="W8931" t="s">
        <v>2680</v>
      </c>
      <c r="X8931">
        <v>831668</v>
      </c>
      <c r="Y8931" t="s">
        <v>1751</v>
      </c>
      <c r="Z8931" s="2" t="s">
        <v>28886</v>
      </c>
      <c r="AA8931" s="2" t="s">
        <v>31375</v>
      </c>
      <c r="AB8931" t="s">
        <v>181</v>
      </c>
      <c r="AC8931" t="s">
        <v>8019</v>
      </c>
      <c r="AD8931" t="s">
        <v>52427</v>
      </c>
      <c r="AE8931">
        <v>9602</v>
      </c>
      <c r="AG8931" t="s">
        <v>53666</v>
      </c>
      <c r="AH8931" t="s">
        <v>53667</v>
      </c>
      <c r="AI8931" t="s">
        <v>53668</v>
      </c>
    </row>
    <row r="8932" spans="2:35" ht="409.5">
      <c r="B8932" s="1">
        <v>44992</v>
      </c>
      <c r="C8932" s="4">
        <v>44992.420138888891</v>
      </c>
      <c r="D8932" t="s">
        <v>25396</v>
      </c>
      <c r="E8932" t="s">
        <v>25397</v>
      </c>
      <c r="F8932">
        <v>3</v>
      </c>
      <c r="G8932" t="s">
        <v>284</v>
      </c>
      <c r="H8932" t="s">
        <v>39</v>
      </c>
      <c r="I8932" t="s">
        <v>40</v>
      </c>
      <c r="J8932" s="2" t="s">
        <v>62</v>
      </c>
      <c r="K8932" t="s">
        <v>42</v>
      </c>
      <c r="L8932" t="s">
        <v>135</v>
      </c>
      <c r="Q8932">
        <v>23662</v>
      </c>
      <c r="R8932" t="s">
        <v>119</v>
      </c>
      <c r="S8932" t="s">
        <v>25398</v>
      </c>
      <c r="T8932">
        <v>28.2</v>
      </c>
      <c r="U8932" s="2" t="s">
        <v>53665</v>
      </c>
      <c r="V8932" s="1">
        <v>44964</v>
      </c>
      <c r="W8932" t="s">
        <v>2680</v>
      </c>
      <c r="X8932">
        <v>831668</v>
      </c>
      <c r="Y8932" t="s">
        <v>1751</v>
      </c>
      <c r="Z8932" s="2" t="s">
        <v>28886</v>
      </c>
      <c r="AA8932" s="2" t="s">
        <v>31375</v>
      </c>
      <c r="AB8932" t="s">
        <v>181</v>
      </c>
      <c r="AC8932" t="s">
        <v>8019</v>
      </c>
      <c r="AD8932" t="s">
        <v>52427</v>
      </c>
      <c r="AE8932">
        <v>9602</v>
      </c>
      <c r="AG8932" t="s">
        <v>53669</v>
      </c>
      <c r="AH8932" t="s">
        <v>53667</v>
      </c>
      <c r="AI8932" t="s">
        <v>53670</v>
      </c>
    </row>
    <row r="8933" spans="2:35" ht="409.5">
      <c r="B8933" s="1">
        <v>44992</v>
      </c>
      <c r="C8933" s="4">
        <v>44992.363888888889</v>
      </c>
      <c r="D8933" t="s">
        <v>27198</v>
      </c>
      <c r="E8933" t="s">
        <v>27199</v>
      </c>
      <c r="F8933">
        <v>3</v>
      </c>
      <c r="G8933" t="s">
        <v>284</v>
      </c>
      <c r="H8933" t="s">
        <v>39</v>
      </c>
      <c r="I8933" t="s">
        <v>40</v>
      </c>
      <c r="J8933" s="2" t="s">
        <v>62</v>
      </c>
      <c r="K8933" t="s">
        <v>42</v>
      </c>
      <c r="L8933" t="s">
        <v>135</v>
      </c>
      <c r="Q8933">
        <v>23661</v>
      </c>
      <c r="R8933" t="s">
        <v>119</v>
      </c>
      <c r="S8933" t="s">
        <v>53671</v>
      </c>
      <c r="T8933">
        <v>24.2</v>
      </c>
      <c r="U8933" s="2" t="s">
        <v>53672</v>
      </c>
      <c r="V8933" s="1">
        <v>44964</v>
      </c>
      <c r="W8933" t="s">
        <v>2680</v>
      </c>
      <c r="X8933">
        <v>831645</v>
      </c>
      <c r="Y8933" t="s">
        <v>1751</v>
      </c>
      <c r="Z8933" s="2" t="s">
        <v>28886</v>
      </c>
      <c r="AA8933" s="2" t="s">
        <v>53673</v>
      </c>
      <c r="AB8933" t="s">
        <v>53674</v>
      </c>
      <c r="AC8933" t="s">
        <v>53675</v>
      </c>
      <c r="AD8933" t="s">
        <v>53676</v>
      </c>
      <c r="AE8933">
        <v>9598</v>
      </c>
      <c r="AG8933" t="s">
        <v>53677</v>
      </c>
      <c r="AH8933" t="s">
        <v>53678</v>
      </c>
      <c r="AI8933" t="s">
        <v>53679</v>
      </c>
    </row>
    <row r="8934" spans="2:35" ht="90">
      <c r="B8934" s="1">
        <v>44992</v>
      </c>
      <c r="C8934" s="4">
        <v>44992.356944444444</v>
      </c>
      <c r="D8934" t="s">
        <v>3912</v>
      </c>
      <c r="E8934" t="s">
        <v>29506</v>
      </c>
      <c r="F8934">
        <v>7</v>
      </c>
      <c r="G8934" t="s">
        <v>1234</v>
      </c>
      <c r="H8934" t="s">
        <v>2290</v>
      </c>
      <c r="I8934" t="s">
        <v>94</v>
      </c>
      <c r="J8934" t="s">
        <v>321</v>
      </c>
      <c r="K8934" t="s">
        <v>42</v>
      </c>
      <c r="L8934" t="s">
        <v>610</v>
      </c>
      <c r="Q8934">
        <v>23660</v>
      </c>
      <c r="R8934" t="s">
        <v>95</v>
      </c>
      <c r="S8934" t="s">
        <v>3914</v>
      </c>
      <c r="T8934">
        <v>22</v>
      </c>
      <c r="U8934" s="2" t="s">
        <v>53680</v>
      </c>
      <c r="V8934" s="1">
        <v>44988</v>
      </c>
      <c r="W8934" t="s">
        <v>502</v>
      </c>
      <c r="X8934">
        <v>838499</v>
      </c>
      <c r="Y8934" t="s">
        <v>53681</v>
      </c>
      <c r="Z8934" t="s">
        <v>53682</v>
      </c>
      <c r="AA8934" t="s">
        <v>53683</v>
      </c>
      <c r="AB8934" t="s">
        <v>486</v>
      </c>
      <c r="AD8934" t="s">
        <v>53684</v>
      </c>
      <c r="AE8934" t="s">
        <v>53684</v>
      </c>
      <c r="AG8934" t="s">
        <v>53685</v>
      </c>
      <c r="AH8934" t="s">
        <v>3920</v>
      </c>
      <c r="AI8934" t="s">
        <v>53686</v>
      </c>
    </row>
    <row r="8935" spans="2:35" ht="315">
      <c r="B8935" s="1">
        <v>44991</v>
      </c>
      <c r="C8935" s="4">
        <v>44991.650694444441</v>
      </c>
      <c r="D8935" t="s">
        <v>53687</v>
      </c>
      <c r="E8935" t="s">
        <v>10433</v>
      </c>
      <c r="F8935" t="s">
        <v>148</v>
      </c>
      <c r="G8935" t="s">
        <v>447</v>
      </c>
      <c r="H8935" t="s">
        <v>150</v>
      </c>
      <c r="I8935" t="s">
        <v>94</v>
      </c>
      <c r="J8935" t="s">
        <v>525</v>
      </c>
      <c r="K8935" t="s">
        <v>42</v>
      </c>
      <c r="L8935" t="s">
        <v>448</v>
      </c>
      <c r="Q8935">
        <v>23659</v>
      </c>
      <c r="R8935" t="s">
        <v>95</v>
      </c>
      <c r="S8935" t="s">
        <v>52941</v>
      </c>
      <c r="T8935">
        <v>25</v>
      </c>
      <c r="U8935" s="2" t="s">
        <v>53688</v>
      </c>
      <c r="V8935" s="1">
        <v>44991</v>
      </c>
      <c r="W8935" t="s">
        <v>502</v>
      </c>
      <c r="X8935">
        <v>839234</v>
      </c>
      <c r="Y8935" t="s">
        <v>53689</v>
      </c>
      <c r="Z8935" t="s">
        <v>53143</v>
      </c>
      <c r="AA8935" t="s">
        <v>881</v>
      </c>
      <c r="AB8935" t="s">
        <v>53690</v>
      </c>
      <c r="AC8935" t="s">
        <v>53691</v>
      </c>
      <c r="AD8935" t="s">
        <v>11518</v>
      </c>
      <c r="AE8935">
        <v>0</v>
      </c>
      <c r="AG8935" t="s">
        <v>53692</v>
      </c>
      <c r="AH8935" t="s">
        <v>53693</v>
      </c>
      <c r="AI8935" t="s">
        <v>53694</v>
      </c>
    </row>
    <row r="8936" spans="2:35">
      <c r="B8936" s="1">
        <v>44991</v>
      </c>
      <c r="C8936" s="4">
        <v>44991.582638888889</v>
      </c>
      <c r="D8936" t="s">
        <v>53695</v>
      </c>
      <c r="E8936" t="s">
        <v>4655</v>
      </c>
      <c r="F8936">
        <v>10</v>
      </c>
      <c r="G8936" t="s">
        <v>1395</v>
      </c>
      <c r="H8936" t="s">
        <v>513</v>
      </c>
      <c r="I8936" t="s">
        <v>94</v>
      </c>
      <c r="J8936" t="s">
        <v>525</v>
      </c>
      <c r="K8936" t="s">
        <v>387</v>
      </c>
      <c r="L8936" t="s">
        <v>43100</v>
      </c>
      <c r="Q8936">
        <v>23658</v>
      </c>
      <c r="R8936" t="s">
        <v>95</v>
      </c>
      <c r="S8936" t="s">
        <v>53590</v>
      </c>
      <c r="T8936">
        <v>29</v>
      </c>
      <c r="W8936" t="s">
        <v>390</v>
      </c>
      <c r="X8936" t="s">
        <v>17554</v>
      </c>
      <c r="Y8936" t="s">
        <v>53696</v>
      </c>
      <c r="Z8936" t="s">
        <v>54</v>
      </c>
      <c r="AA8936" t="s">
        <v>53697</v>
      </c>
      <c r="AB8936" t="s">
        <v>53593</v>
      </c>
      <c r="AC8936" t="s">
        <v>53698</v>
      </c>
      <c r="AG8936" t="s">
        <v>53699</v>
      </c>
      <c r="AH8936" t="s">
        <v>53700</v>
      </c>
      <c r="AI8936" t="s">
        <v>53701</v>
      </c>
    </row>
    <row r="8937" spans="2:35">
      <c r="B8937" s="1">
        <v>44991</v>
      </c>
      <c r="C8937" s="4">
        <v>44991.582638888889</v>
      </c>
      <c r="D8937" t="s">
        <v>53695</v>
      </c>
      <c r="E8937" t="s">
        <v>4655</v>
      </c>
      <c r="F8937">
        <v>10</v>
      </c>
      <c r="G8937" t="s">
        <v>1395</v>
      </c>
      <c r="H8937" t="s">
        <v>513</v>
      </c>
      <c r="I8937" t="s">
        <v>94</v>
      </c>
      <c r="J8937" t="s">
        <v>525</v>
      </c>
      <c r="K8937" t="s">
        <v>387</v>
      </c>
      <c r="L8937" t="s">
        <v>43100</v>
      </c>
      <c r="Q8937">
        <v>23657</v>
      </c>
      <c r="R8937" t="s">
        <v>95</v>
      </c>
      <c r="S8937" t="s">
        <v>53590</v>
      </c>
      <c r="T8937">
        <v>29</v>
      </c>
      <c r="W8937" t="s">
        <v>390</v>
      </c>
      <c r="X8937" t="s">
        <v>17554</v>
      </c>
      <c r="Y8937" t="s">
        <v>53696</v>
      </c>
      <c r="Z8937" t="s">
        <v>54</v>
      </c>
      <c r="AA8937" t="s">
        <v>53697</v>
      </c>
      <c r="AB8937" t="s">
        <v>53593</v>
      </c>
      <c r="AC8937" t="s">
        <v>53698</v>
      </c>
      <c r="AG8937" t="s">
        <v>53702</v>
      </c>
      <c r="AH8937" t="s">
        <v>53700</v>
      </c>
      <c r="AI8937" t="s">
        <v>53703</v>
      </c>
    </row>
    <row r="8938" spans="2:35" ht="390">
      <c r="B8938" s="1">
        <v>44991</v>
      </c>
      <c r="C8938" s="4">
        <v>44991.52847222222</v>
      </c>
      <c r="D8938" t="s">
        <v>4206</v>
      </c>
      <c r="E8938" t="s">
        <v>53704</v>
      </c>
      <c r="F8938">
        <v>11</v>
      </c>
      <c r="G8938" t="s">
        <v>2836</v>
      </c>
      <c r="H8938" t="s">
        <v>1047</v>
      </c>
      <c r="I8938" t="s">
        <v>40</v>
      </c>
      <c r="J8938" s="2" t="s">
        <v>190</v>
      </c>
      <c r="K8938" t="s">
        <v>42</v>
      </c>
      <c r="L8938" t="s">
        <v>204</v>
      </c>
      <c r="Q8938">
        <v>23656</v>
      </c>
      <c r="R8938" t="s">
        <v>119</v>
      </c>
      <c r="S8938" t="s">
        <v>4209</v>
      </c>
      <c r="T8938">
        <v>24.7</v>
      </c>
      <c r="U8938" s="2" t="s">
        <v>44434</v>
      </c>
      <c r="V8938" s="1">
        <v>44991</v>
      </c>
      <c r="W8938" t="s">
        <v>23237</v>
      </c>
      <c r="X8938">
        <v>838295</v>
      </c>
      <c r="Y8938" s="2" t="s">
        <v>53705</v>
      </c>
      <c r="Z8938" s="2" t="s">
        <v>53706</v>
      </c>
      <c r="AA8938" s="2" t="s">
        <v>53707</v>
      </c>
      <c r="AB8938" t="s">
        <v>53708</v>
      </c>
      <c r="AG8938" t="s">
        <v>53709</v>
      </c>
      <c r="AH8938" t="s">
        <v>9631</v>
      </c>
      <c r="AI8938" t="s">
        <v>53710</v>
      </c>
    </row>
    <row r="8939" spans="2:35" ht="390">
      <c r="B8939" s="1">
        <v>44991</v>
      </c>
      <c r="C8939" s="4">
        <v>44991.52847222222</v>
      </c>
      <c r="D8939" t="s">
        <v>4206</v>
      </c>
      <c r="E8939" t="s">
        <v>53704</v>
      </c>
      <c r="F8939">
        <v>11</v>
      </c>
      <c r="G8939" t="s">
        <v>2836</v>
      </c>
      <c r="H8939" t="s">
        <v>1047</v>
      </c>
      <c r="I8939" t="s">
        <v>40</v>
      </c>
      <c r="J8939" s="2" t="s">
        <v>190</v>
      </c>
      <c r="K8939" t="s">
        <v>42</v>
      </c>
      <c r="L8939" t="s">
        <v>204</v>
      </c>
      <c r="Q8939">
        <v>23655</v>
      </c>
      <c r="R8939" t="s">
        <v>119</v>
      </c>
      <c r="S8939" t="s">
        <v>4209</v>
      </c>
      <c r="T8939">
        <v>24.7</v>
      </c>
      <c r="U8939" s="2" t="s">
        <v>44434</v>
      </c>
      <c r="V8939" s="1">
        <v>44991</v>
      </c>
      <c r="W8939" t="s">
        <v>23237</v>
      </c>
      <c r="X8939">
        <v>838295</v>
      </c>
      <c r="Y8939" s="2" t="s">
        <v>53705</v>
      </c>
      <c r="Z8939" s="2" t="s">
        <v>53706</v>
      </c>
      <c r="AA8939" s="2" t="s">
        <v>53707</v>
      </c>
      <c r="AB8939" t="s">
        <v>53708</v>
      </c>
      <c r="AG8939" t="s">
        <v>53711</v>
      </c>
      <c r="AH8939" t="s">
        <v>9631</v>
      </c>
      <c r="AI8939" t="s">
        <v>53712</v>
      </c>
    </row>
    <row r="8940" spans="2:35" ht="105">
      <c r="B8940" s="1">
        <v>44991</v>
      </c>
      <c r="C8940" s="4">
        <v>44991.550694444442</v>
      </c>
      <c r="D8940" t="s">
        <v>44864</v>
      </c>
      <c r="E8940" t="s">
        <v>37273</v>
      </c>
      <c r="F8940">
        <v>9</v>
      </c>
      <c r="G8940" t="s">
        <v>2197</v>
      </c>
      <c r="H8940" t="s">
        <v>39</v>
      </c>
      <c r="I8940" t="s">
        <v>40</v>
      </c>
      <c r="J8940" s="2" t="s">
        <v>190</v>
      </c>
      <c r="K8940" t="s">
        <v>42</v>
      </c>
      <c r="L8940" t="s">
        <v>1257</v>
      </c>
      <c r="Q8940">
        <v>23654</v>
      </c>
      <c r="R8940" t="s">
        <v>45</v>
      </c>
      <c r="S8940" t="s">
        <v>44865</v>
      </c>
      <c r="T8940">
        <v>25</v>
      </c>
      <c r="U8940" s="2" t="s">
        <v>1509</v>
      </c>
      <c r="V8940" s="1">
        <v>44991</v>
      </c>
      <c r="W8940" t="s">
        <v>2384</v>
      </c>
      <c r="X8940">
        <v>815269</v>
      </c>
      <c r="Y8940" t="s">
        <v>53713</v>
      </c>
      <c r="Z8940" t="s">
        <v>53714</v>
      </c>
      <c r="AA8940" t="s">
        <v>53715</v>
      </c>
      <c r="AB8940" t="s">
        <v>53716</v>
      </c>
      <c r="AC8940" t="s">
        <v>53717</v>
      </c>
      <c r="AD8940" t="s">
        <v>54</v>
      </c>
      <c r="AE8940" t="s">
        <v>54</v>
      </c>
      <c r="AG8940" t="s">
        <v>53718</v>
      </c>
      <c r="AH8940" t="s">
        <v>44869</v>
      </c>
      <c r="AI8940" t="s">
        <v>53719</v>
      </c>
    </row>
    <row r="8941" spans="2:35" ht="360">
      <c r="B8941" s="1">
        <v>44991</v>
      </c>
      <c r="C8941" s="4">
        <v>44991.541666666664</v>
      </c>
      <c r="D8941" t="s">
        <v>30763</v>
      </c>
      <c r="E8941" t="s">
        <v>49319</v>
      </c>
      <c r="F8941">
        <v>13</v>
      </c>
      <c r="G8941" t="s">
        <v>7763</v>
      </c>
      <c r="H8941" t="s">
        <v>202</v>
      </c>
      <c r="I8941" t="s">
        <v>40</v>
      </c>
      <c r="J8941" t="s">
        <v>79</v>
      </c>
      <c r="K8941" t="s">
        <v>42</v>
      </c>
      <c r="L8941" t="s">
        <v>933</v>
      </c>
      <c r="Q8941">
        <v>23653</v>
      </c>
      <c r="R8941" t="s">
        <v>45</v>
      </c>
      <c r="S8941" t="s">
        <v>40099</v>
      </c>
      <c r="T8941">
        <v>21.4</v>
      </c>
      <c r="U8941" s="2" t="s">
        <v>53720</v>
      </c>
      <c r="W8941" t="s">
        <v>3662</v>
      </c>
      <c r="X8941">
        <v>805335</v>
      </c>
      <c r="Y8941" t="s">
        <v>53721</v>
      </c>
      <c r="Z8941" t="s">
        <v>301</v>
      </c>
      <c r="AA8941" s="2" t="s">
        <v>53722</v>
      </c>
      <c r="AB8941" t="s">
        <v>53723</v>
      </c>
      <c r="AC8941" t="s">
        <v>53724</v>
      </c>
      <c r="AG8941" t="s">
        <v>53725</v>
      </c>
      <c r="AH8941" t="s">
        <v>30769</v>
      </c>
      <c r="AI8941" t="s">
        <v>53726</v>
      </c>
    </row>
    <row r="8942" spans="2:35" ht="409.5">
      <c r="B8942" s="1">
        <v>44991</v>
      </c>
      <c r="C8942" s="4">
        <v>44991.461111111108</v>
      </c>
      <c r="D8942" t="s">
        <v>5028</v>
      </c>
      <c r="E8942" t="s">
        <v>1472</v>
      </c>
      <c r="F8942">
        <v>12</v>
      </c>
      <c r="G8942" t="s">
        <v>978</v>
      </c>
      <c r="H8942" t="s">
        <v>39</v>
      </c>
      <c r="I8942" t="s">
        <v>94</v>
      </c>
      <c r="J8942" s="2" t="s">
        <v>41</v>
      </c>
      <c r="K8942" t="s">
        <v>42</v>
      </c>
      <c r="L8942" t="s">
        <v>296</v>
      </c>
      <c r="Q8942">
        <v>23652</v>
      </c>
      <c r="R8942" t="s">
        <v>45</v>
      </c>
      <c r="S8942" t="s">
        <v>5030</v>
      </c>
      <c r="T8942">
        <v>27.4</v>
      </c>
      <c r="U8942" s="2" t="s">
        <v>53727</v>
      </c>
      <c r="V8942" s="1">
        <v>44991</v>
      </c>
      <c r="W8942" t="s">
        <v>23049</v>
      </c>
      <c r="X8942">
        <v>815380</v>
      </c>
      <c r="Y8942" t="s">
        <v>53728</v>
      </c>
      <c r="Z8942" s="2" t="s">
        <v>53729</v>
      </c>
      <c r="AA8942" s="2" t="s">
        <v>53729</v>
      </c>
      <c r="AB8942" t="s">
        <v>972</v>
      </c>
      <c r="AD8942" t="s">
        <v>49638</v>
      </c>
      <c r="AE8942" t="s">
        <v>10783</v>
      </c>
      <c r="AG8942" t="s">
        <v>53730</v>
      </c>
      <c r="AH8942" t="s">
        <v>53731</v>
      </c>
      <c r="AI8942" t="s">
        <v>53732</v>
      </c>
    </row>
    <row r="8943" spans="2:35" ht="409.5">
      <c r="B8943" s="1">
        <v>44991</v>
      </c>
      <c r="C8943" s="4">
        <v>44991.461111111108</v>
      </c>
      <c r="D8943" t="s">
        <v>5028</v>
      </c>
      <c r="E8943" t="s">
        <v>1472</v>
      </c>
      <c r="F8943">
        <v>12</v>
      </c>
      <c r="G8943" t="s">
        <v>978</v>
      </c>
      <c r="H8943" t="s">
        <v>39</v>
      </c>
      <c r="I8943" t="s">
        <v>94</v>
      </c>
      <c r="J8943" s="2" t="s">
        <v>41</v>
      </c>
      <c r="K8943" t="s">
        <v>42</v>
      </c>
      <c r="L8943" t="s">
        <v>296</v>
      </c>
      <c r="Q8943">
        <v>23651</v>
      </c>
      <c r="R8943" t="s">
        <v>45</v>
      </c>
      <c r="S8943" t="s">
        <v>5030</v>
      </c>
      <c r="T8943">
        <v>27.4</v>
      </c>
      <c r="U8943" s="2" t="s">
        <v>53727</v>
      </c>
      <c r="V8943" s="1">
        <v>44991</v>
      </c>
      <c r="W8943" t="s">
        <v>23049</v>
      </c>
      <c r="X8943">
        <v>815380</v>
      </c>
      <c r="Y8943" t="s">
        <v>53728</v>
      </c>
      <c r="Z8943" s="2" t="s">
        <v>53729</v>
      </c>
      <c r="AA8943" s="2" t="s">
        <v>53729</v>
      </c>
      <c r="AB8943" t="s">
        <v>972</v>
      </c>
      <c r="AD8943" t="s">
        <v>49638</v>
      </c>
      <c r="AE8943" t="s">
        <v>10783</v>
      </c>
      <c r="AG8943" t="s">
        <v>53733</v>
      </c>
      <c r="AH8943" t="s">
        <v>53731</v>
      </c>
      <c r="AI8943" t="s">
        <v>53734</v>
      </c>
    </row>
    <row r="8944" spans="2:35" ht="240">
      <c r="B8944" s="1">
        <v>44991</v>
      </c>
      <c r="C8944" s="4">
        <v>44987.630555555559</v>
      </c>
      <c r="D8944" t="s">
        <v>30476</v>
      </c>
      <c r="E8944" t="s">
        <v>53735</v>
      </c>
      <c r="F8944" t="s">
        <v>37</v>
      </c>
      <c r="G8944" t="s">
        <v>78</v>
      </c>
      <c r="H8944" t="s">
        <v>39</v>
      </c>
      <c r="I8944" t="s">
        <v>40</v>
      </c>
      <c r="J8944" s="2" t="s">
        <v>41</v>
      </c>
      <c r="K8944" t="s">
        <v>42</v>
      </c>
      <c r="L8944" t="s">
        <v>1943</v>
      </c>
      <c r="Q8944">
        <v>23650</v>
      </c>
      <c r="R8944" t="s">
        <v>45</v>
      </c>
      <c r="S8944" t="s">
        <v>53736</v>
      </c>
      <c r="T8944">
        <v>28</v>
      </c>
      <c r="U8944" s="2" t="s">
        <v>53737</v>
      </c>
      <c r="V8944" s="1">
        <v>44984</v>
      </c>
      <c r="W8944" t="s">
        <v>84</v>
      </c>
      <c r="X8944">
        <v>812794</v>
      </c>
      <c r="Y8944" s="2" t="s">
        <v>13309</v>
      </c>
      <c r="Z8944" s="2" t="s">
        <v>51868</v>
      </c>
      <c r="AA8944" t="s">
        <v>1947</v>
      </c>
      <c r="AB8944" t="s">
        <v>53738</v>
      </c>
      <c r="AD8944" t="s">
        <v>53739</v>
      </c>
      <c r="AE8944" t="s">
        <v>8904</v>
      </c>
      <c r="AG8944" t="s">
        <v>53740</v>
      </c>
      <c r="AH8944" t="s">
        <v>30481</v>
      </c>
      <c r="AI8944" t="s">
        <v>53741</v>
      </c>
    </row>
    <row r="8945" spans="2:35" ht="195">
      <c r="B8945" s="1">
        <v>44991</v>
      </c>
      <c r="C8945" s="4">
        <v>44987.474305555559</v>
      </c>
      <c r="D8945" t="s">
        <v>53742</v>
      </c>
      <c r="E8945" t="s">
        <v>45252</v>
      </c>
      <c r="F8945" t="s">
        <v>37</v>
      </c>
      <c r="G8945" t="s">
        <v>78</v>
      </c>
      <c r="H8945" t="s">
        <v>39</v>
      </c>
      <c r="I8945" t="s">
        <v>40</v>
      </c>
      <c r="J8945" s="2" t="s">
        <v>62</v>
      </c>
      <c r="K8945" t="s">
        <v>42</v>
      </c>
      <c r="L8945" t="s">
        <v>1943</v>
      </c>
      <c r="Q8945">
        <v>23649</v>
      </c>
      <c r="R8945" t="s">
        <v>119</v>
      </c>
      <c r="S8945" t="s">
        <v>2245</v>
      </c>
      <c r="T8945">
        <v>25</v>
      </c>
      <c r="U8945" s="2" t="s">
        <v>53743</v>
      </c>
      <c r="V8945" s="1">
        <v>44943</v>
      </c>
      <c r="W8945" t="s">
        <v>84</v>
      </c>
      <c r="X8945">
        <v>821156</v>
      </c>
      <c r="Y8945" s="2" t="s">
        <v>3044</v>
      </c>
      <c r="Z8945" s="2" t="s">
        <v>47457</v>
      </c>
      <c r="AA8945" t="s">
        <v>3045</v>
      </c>
      <c r="AB8945" t="s">
        <v>8352</v>
      </c>
      <c r="AD8945" t="s">
        <v>11518</v>
      </c>
      <c r="AE8945" t="s">
        <v>53744</v>
      </c>
      <c r="AG8945" t="s">
        <v>53745</v>
      </c>
      <c r="AH8945" t="s">
        <v>2248</v>
      </c>
      <c r="AI8945" t="s">
        <v>53746</v>
      </c>
    </row>
    <row r="8946" spans="2:35" ht="240">
      <c r="B8946" s="1">
        <v>44991</v>
      </c>
      <c r="C8946" s="4">
        <v>44988.571527777778</v>
      </c>
      <c r="D8946" t="s">
        <v>37170</v>
      </c>
      <c r="E8946" t="s">
        <v>53747</v>
      </c>
      <c r="F8946" t="s">
        <v>37</v>
      </c>
      <c r="G8946" t="s">
        <v>189</v>
      </c>
      <c r="H8946" t="s">
        <v>39</v>
      </c>
      <c r="I8946" t="s">
        <v>40</v>
      </c>
      <c r="J8946" s="2" t="s">
        <v>41</v>
      </c>
      <c r="K8946" t="s">
        <v>42</v>
      </c>
      <c r="L8946" t="s">
        <v>1943</v>
      </c>
      <c r="Q8946">
        <v>23648</v>
      </c>
      <c r="R8946" t="s">
        <v>45</v>
      </c>
      <c r="S8946" t="s">
        <v>53748</v>
      </c>
      <c r="T8946">
        <v>25</v>
      </c>
      <c r="U8946" s="2" t="s">
        <v>53749</v>
      </c>
      <c r="V8946" s="1">
        <v>44984</v>
      </c>
      <c r="W8946" t="s">
        <v>84</v>
      </c>
      <c r="X8946">
        <v>812786</v>
      </c>
      <c r="Y8946" s="2" t="s">
        <v>51856</v>
      </c>
      <c r="Z8946" s="2" t="s">
        <v>53750</v>
      </c>
      <c r="AA8946" t="s">
        <v>1947</v>
      </c>
      <c r="AB8946" t="s">
        <v>53751</v>
      </c>
      <c r="AD8946" t="s">
        <v>53752</v>
      </c>
      <c r="AE8946" t="s">
        <v>8904</v>
      </c>
      <c r="AG8946" t="s">
        <v>53753</v>
      </c>
      <c r="AH8946" t="s">
        <v>53754</v>
      </c>
      <c r="AI8946" t="s">
        <v>53755</v>
      </c>
    </row>
    <row r="8947" spans="2:35" ht="240">
      <c r="B8947" s="1">
        <v>44991</v>
      </c>
      <c r="C8947" s="4">
        <v>44988.404861111114</v>
      </c>
      <c r="D8947" t="s">
        <v>32367</v>
      </c>
      <c r="E8947" t="s">
        <v>53756</v>
      </c>
      <c r="F8947" t="s">
        <v>37</v>
      </c>
      <c r="G8947" t="s">
        <v>189</v>
      </c>
      <c r="H8947" t="s">
        <v>39</v>
      </c>
      <c r="I8947" t="s">
        <v>40</v>
      </c>
      <c r="J8947" s="2" t="s">
        <v>41</v>
      </c>
      <c r="K8947" t="s">
        <v>42</v>
      </c>
      <c r="L8947" t="s">
        <v>1943</v>
      </c>
      <c r="Q8947">
        <v>23647</v>
      </c>
      <c r="R8947" t="s">
        <v>45</v>
      </c>
      <c r="S8947" t="s">
        <v>32369</v>
      </c>
      <c r="T8947">
        <v>25</v>
      </c>
      <c r="U8947" s="2" t="s">
        <v>53757</v>
      </c>
      <c r="V8947" s="1">
        <v>44984</v>
      </c>
      <c r="W8947" t="s">
        <v>84</v>
      </c>
      <c r="X8947">
        <v>838867</v>
      </c>
      <c r="Y8947" s="2" t="s">
        <v>52317</v>
      </c>
      <c r="Z8947" s="2" t="s">
        <v>52318</v>
      </c>
      <c r="AA8947" t="s">
        <v>1947</v>
      </c>
      <c r="AB8947" t="s">
        <v>181</v>
      </c>
      <c r="AD8947" t="s">
        <v>53758</v>
      </c>
      <c r="AE8947" t="s">
        <v>8904</v>
      </c>
      <c r="AG8947" t="s">
        <v>53759</v>
      </c>
      <c r="AH8947" t="s">
        <v>32372</v>
      </c>
      <c r="AI8947" t="s">
        <v>53760</v>
      </c>
    </row>
    <row r="8948" spans="2:35" ht="409.5">
      <c r="B8948" s="1">
        <v>44991</v>
      </c>
      <c r="C8948" s="4">
        <v>44988.513194444444</v>
      </c>
      <c r="D8948" t="s">
        <v>4523</v>
      </c>
      <c r="E8948" t="s">
        <v>53761</v>
      </c>
      <c r="F8948">
        <v>1</v>
      </c>
      <c r="G8948" t="s">
        <v>1046</v>
      </c>
      <c r="H8948" t="s">
        <v>39</v>
      </c>
      <c r="I8948" t="s">
        <v>40</v>
      </c>
      <c r="J8948" s="2" t="s">
        <v>62</v>
      </c>
      <c r="K8948" t="s">
        <v>42</v>
      </c>
      <c r="L8948" t="s">
        <v>135</v>
      </c>
      <c r="Q8948">
        <v>23646</v>
      </c>
      <c r="R8948" t="s">
        <v>119</v>
      </c>
      <c r="S8948" t="s">
        <v>7964</v>
      </c>
      <c r="T8948">
        <v>25.07</v>
      </c>
      <c r="U8948" s="2" t="s">
        <v>53762</v>
      </c>
      <c r="W8948" t="s">
        <v>2680</v>
      </c>
      <c r="X8948">
        <v>838286</v>
      </c>
      <c r="Y8948" t="s">
        <v>67</v>
      </c>
      <c r="Z8948" s="2" t="s">
        <v>53763</v>
      </c>
      <c r="AA8948" s="2" t="s">
        <v>12500</v>
      </c>
      <c r="AB8948" t="s">
        <v>181</v>
      </c>
      <c r="AC8948" t="s">
        <v>53764</v>
      </c>
      <c r="AG8948" t="s">
        <v>53765</v>
      </c>
      <c r="AH8948" t="s">
        <v>53766</v>
      </c>
      <c r="AI8948" t="s">
        <v>53767</v>
      </c>
    </row>
    <row r="8949" spans="2:35" ht="180">
      <c r="B8949" s="1">
        <v>44991</v>
      </c>
      <c r="C8949" s="4">
        <v>44988.597222222219</v>
      </c>
      <c r="D8949" t="s">
        <v>1678</v>
      </c>
      <c r="E8949" t="s">
        <v>53768</v>
      </c>
      <c r="F8949" t="s">
        <v>148</v>
      </c>
      <c r="G8949" t="s">
        <v>785</v>
      </c>
      <c r="H8949" t="s">
        <v>39</v>
      </c>
      <c r="I8949" t="s">
        <v>40</v>
      </c>
      <c r="J8949" s="2" t="s">
        <v>190</v>
      </c>
      <c r="K8949" t="s">
        <v>42</v>
      </c>
      <c r="L8949" t="s">
        <v>43</v>
      </c>
      <c r="Q8949">
        <v>23645</v>
      </c>
      <c r="R8949" t="s">
        <v>719</v>
      </c>
      <c r="S8949" t="s">
        <v>18437</v>
      </c>
      <c r="T8949">
        <v>27</v>
      </c>
      <c r="U8949" s="2" t="s">
        <v>53769</v>
      </c>
      <c r="W8949" t="s">
        <v>9792</v>
      </c>
      <c r="X8949">
        <v>843924</v>
      </c>
      <c r="Y8949" t="s">
        <v>53770</v>
      </c>
      <c r="Z8949" t="s">
        <v>53771</v>
      </c>
      <c r="AA8949" s="2" t="s">
        <v>53772</v>
      </c>
      <c r="AB8949" t="s">
        <v>53773</v>
      </c>
      <c r="AG8949" t="s">
        <v>53774</v>
      </c>
      <c r="AH8949" t="s">
        <v>14357</v>
      </c>
      <c r="AI8949" t="s">
        <v>53775</v>
      </c>
    </row>
    <row r="8950" spans="2:35" ht="225">
      <c r="B8950" s="1">
        <v>44991</v>
      </c>
      <c r="C8950" s="4">
        <v>44986.555555555555</v>
      </c>
      <c r="D8950" t="s">
        <v>1222</v>
      </c>
      <c r="E8950" t="s">
        <v>27730</v>
      </c>
      <c r="F8950" t="s">
        <v>37</v>
      </c>
      <c r="G8950" t="s">
        <v>38</v>
      </c>
      <c r="H8950" t="s">
        <v>39</v>
      </c>
      <c r="I8950" t="s">
        <v>40</v>
      </c>
      <c r="J8950" t="s">
        <v>109</v>
      </c>
      <c r="K8950" t="s">
        <v>42</v>
      </c>
      <c r="L8950" t="s">
        <v>43</v>
      </c>
      <c r="Q8950">
        <v>23640</v>
      </c>
      <c r="R8950" t="s">
        <v>119</v>
      </c>
      <c r="S8950" t="s">
        <v>27731</v>
      </c>
      <c r="T8950">
        <v>30</v>
      </c>
      <c r="U8950" s="2" t="s">
        <v>53776</v>
      </c>
      <c r="W8950" t="s">
        <v>9792</v>
      </c>
      <c r="X8950">
        <v>821213</v>
      </c>
      <c r="Y8950" t="s">
        <v>121</v>
      </c>
      <c r="Z8950" t="s">
        <v>122</v>
      </c>
      <c r="AA8950" s="2" t="s">
        <v>31987</v>
      </c>
      <c r="AB8950" t="s">
        <v>16412</v>
      </c>
      <c r="AG8950" t="s">
        <v>53777</v>
      </c>
      <c r="AH8950" t="s">
        <v>1230</v>
      </c>
      <c r="AI8950" t="s">
        <v>53778</v>
      </c>
    </row>
    <row r="8951" spans="2:35" ht="210">
      <c r="B8951" s="1">
        <v>44991</v>
      </c>
      <c r="C8951" s="4">
        <v>44986.43472222222</v>
      </c>
      <c r="D8951" t="s">
        <v>1515</v>
      </c>
      <c r="E8951" t="s">
        <v>29024</v>
      </c>
      <c r="F8951" t="s">
        <v>37</v>
      </c>
      <c r="G8951" t="s">
        <v>38</v>
      </c>
      <c r="H8951" t="s">
        <v>39</v>
      </c>
      <c r="I8951" t="s">
        <v>40</v>
      </c>
      <c r="J8951" t="s">
        <v>109</v>
      </c>
      <c r="K8951" t="s">
        <v>42</v>
      </c>
      <c r="L8951" t="s">
        <v>43</v>
      </c>
      <c r="Q8951">
        <v>23642</v>
      </c>
      <c r="R8951" t="s">
        <v>119</v>
      </c>
      <c r="S8951" t="s">
        <v>29025</v>
      </c>
      <c r="T8951">
        <v>26</v>
      </c>
      <c r="U8951" s="2" t="s">
        <v>53779</v>
      </c>
      <c r="W8951" t="s">
        <v>9792</v>
      </c>
      <c r="X8951">
        <v>821215</v>
      </c>
      <c r="Y8951" t="s">
        <v>121</v>
      </c>
      <c r="Z8951" t="s">
        <v>122</v>
      </c>
      <c r="AA8951" s="2" t="s">
        <v>43548</v>
      </c>
      <c r="AB8951" t="s">
        <v>16412</v>
      </c>
      <c r="AG8951" t="s">
        <v>53780</v>
      </c>
      <c r="AH8951" t="s">
        <v>37854</v>
      </c>
      <c r="AI8951" t="s">
        <v>53781</v>
      </c>
    </row>
    <row r="8952" spans="2:35" ht="225">
      <c r="B8952" s="1">
        <v>44991</v>
      </c>
      <c r="C8952" s="4">
        <v>44987.579861111109</v>
      </c>
      <c r="D8952" t="s">
        <v>2148</v>
      </c>
      <c r="E8952" t="s">
        <v>27753</v>
      </c>
      <c r="F8952" t="s">
        <v>37</v>
      </c>
      <c r="G8952" t="s">
        <v>38</v>
      </c>
      <c r="H8952" t="s">
        <v>39</v>
      </c>
      <c r="I8952" t="s">
        <v>40</v>
      </c>
      <c r="J8952" t="s">
        <v>109</v>
      </c>
      <c r="K8952" t="s">
        <v>42</v>
      </c>
      <c r="L8952" t="s">
        <v>43</v>
      </c>
      <c r="Q8952">
        <v>23643</v>
      </c>
      <c r="R8952" t="s">
        <v>119</v>
      </c>
      <c r="S8952" t="s">
        <v>2150</v>
      </c>
      <c r="T8952">
        <v>27</v>
      </c>
      <c r="U8952" s="2" t="s">
        <v>53782</v>
      </c>
      <c r="W8952" t="s">
        <v>9792</v>
      </c>
      <c r="X8952">
        <v>820710</v>
      </c>
      <c r="Y8952" t="s">
        <v>121</v>
      </c>
      <c r="Z8952" t="s">
        <v>122</v>
      </c>
      <c r="AA8952" s="2" t="s">
        <v>31987</v>
      </c>
      <c r="AB8952" t="s">
        <v>16412</v>
      </c>
      <c r="AG8952" t="s">
        <v>53783</v>
      </c>
      <c r="AH8952" t="s">
        <v>53784</v>
      </c>
      <c r="AI8952" t="s">
        <v>53785</v>
      </c>
    </row>
    <row r="8953" spans="2:35" ht="225">
      <c r="B8953" s="1">
        <v>44991</v>
      </c>
      <c r="C8953" s="4">
        <v>44987.45</v>
      </c>
      <c r="D8953" t="s">
        <v>28711</v>
      </c>
      <c r="E8953" t="s">
        <v>53786</v>
      </c>
      <c r="F8953" t="s">
        <v>37</v>
      </c>
      <c r="G8953" t="s">
        <v>38</v>
      </c>
      <c r="H8953" t="s">
        <v>39</v>
      </c>
      <c r="I8953" t="s">
        <v>40</v>
      </c>
      <c r="J8953" t="s">
        <v>109</v>
      </c>
      <c r="K8953" t="s">
        <v>42</v>
      </c>
      <c r="L8953" t="s">
        <v>43</v>
      </c>
      <c r="Q8953">
        <v>23641</v>
      </c>
      <c r="R8953" t="s">
        <v>119</v>
      </c>
      <c r="S8953" t="s">
        <v>53787</v>
      </c>
      <c r="T8953">
        <v>24</v>
      </c>
      <c r="U8953" s="2" t="s">
        <v>53788</v>
      </c>
      <c r="W8953" t="s">
        <v>9792</v>
      </c>
      <c r="X8953">
        <v>831896</v>
      </c>
      <c r="Y8953" t="s">
        <v>121</v>
      </c>
      <c r="Z8953" t="s">
        <v>122</v>
      </c>
      <c r="AA8953" s="2" t="s">
        <v>31987</v>
      </c>
      <c r="AB8953" t="s">
        <v>53789</v>
      </c>
      <c r="AG8953" t="s">
        <v>53790</v>
      </c>
      <c r="AH8953" t="s">
        <v>53791</v>
      </c>
      <c r="AI8953" t="s">
        <v>53792</v>
      </c>
    </row>
    <row r="8954" spans="2:35" ht="195">
      <c r="B8954" s="1">
        <v>44991</v>
      </c>
      <c r="C8954" s="4">
        <v>44988.405555555553</v>
      </c>
      <c r="D8954" t="s">
        <v>47864</v>
      </c>
      <c r="E8954" t="s">
        <v>53793</v>
      </c>
      <c r="F8954" t="s">
        <v>37</v>
      </c>
      <c r="G8954" t="s">
        <v>38</v>
      </c>
      <c r="H8954" t="s">
        <v>39</v>
      </c>
      <c r="I8954" t="s">
        <v>40</v>
      </c>
      <c r="J8954" s="2" t="s">
        <v>1309</v>
      </c>
      <c r="K8954" t="s">
        <v>42</v>
      </c>
      <c r="L8954" t="s">
        <v>43</v>
      </c>
      <c r="Q8954">
        <v>23644</v>
      </c>
      <c r="R8954" t="s">
        <v>45</v>
      </c>
      <c r="S8954" t="s">
        <v>32135</v>
      </c>
      <c r="T8954">
        <v>26</v>
      </c>
      <c r="U8954" s="2" t="s">
        <v>16417</v>
      </c>
      <c r="W8954" t="s">
        <v>9792</v>
      </c>
      <c r="X8954">
        <v>831836</v>
      </c>
      <c r="Y8954" t="s">
        <v>53794</v>
      </c>
      <c r="Z8954" t="s">
        <v>777</v>
      </c>
      <c r="AA8954" s="2" t="s">
        <v>53795</v>
      </c>
      <c r="AB8954" t="s">
        <v>53796</v>
      </c>
      <c r="AG8954" t="s">
        <v>53797</v>
      </c>
      <c r="AH8954" t="s">
        <v>53798</v>
      </c>
      <c r="AI8954" t="s">
        <v>53799</v>
      </c>
    </row>
    <row r="8955" spans="2:35" ht="405">
      <c r="B8955" s="1">
        <v>44990</v>
      </c>
      <c r="C8955" s="4">
        <v>44989.661805555559</v>
      </c>
      <c r="D8955" t="s">
        <v>53800</v>
      </c>
      <c r="E8955" t="s">
        <v>53801</v>
      </c>
      <c r="F8955" t="s">
        <v>148</v>
      </c>
      <c r="G8955" t="s">
        <v>447</v>
      </c>
      <c r="H8955" t="s">
        <v>150</v>
      </c>
      <c r="I8955" t="s">
        <v>94</v>
      </c>
      <c r="J8955" t="s">
        <v>525</v>
      </c>
      <c r="K8955" t="s">
        <v>42</v>
      </c>
      <c r="L8955" t="s">
        <v>448</v>
      </c>
      <c r="Q8955">
        <v>23639</v>
      </c>
      <c r="R8955" t="s">
        <v>95</v>
      </c>
      <c r="S8955" t="s">
        <v>2808</v>
      </c>
      <c r="T8955">
        <v>25</v>
      </c>
      <c r="U8955" s="2" t="s">
        <v>53802</v>
      </c>
      <c r="W8955" t="s">
        <v>502</v>
      </c>
      <c r="X8955">
        <v>839234</v>
      </c>
      <c r="Y8955" t="s">
        <v>53803</v>
      </c>
      <c r="Z8955" t="s">
        <v>53804</v>
      </c>
      <c r="AA8955" t="s">
        <v>4487</v>
      </c>
      <c r="AB8955" t="s">
        <v>53805</v>
      </c>
      <c r="AC8955" t="s">
        <v>53806</v>
      </c>
      <c r="AG8955" t="s">
        <v>53807</v>
      </c>
      <c r="AH8955" t="s">
        <v>52935</v>
      </c>
      <c r="AI8955" t="s">
        <v>53808</v>
      </c>
    </row>
    <row r="8956" spans="2:35" ht="105">
      <c r="B8956" s="1">
        <v>44990</v>
      </c>
      <c r="C8956" s="4">
        <v>44988.40902777778</v>
      </c>
      <c r="D8956" t="s">
        <v>46204</v>
      </c>
      <c r="E8956" t="s">
        <v>53809</v>
      </c>
      <c r="F8956" t="s">
        <v>37</v>
      </c>
      <c r="G8956" t="s">
        <v>38</v>
      </c>
      <c r="H8956" t="s">
        <v>2581</v>
      </c>
      <c r="I8956" t="s">
        <v>40</v>
      </c>
      <c r="J8956" s="2" t="s">
        <v>41</v>
      </c>
      <c r="K8956" t="s">
        <v>42</v>
      </c>
      <c r="L8956" t="s">
        <v>448</v>
      </c>
      <c r="Q8956">
        <v>23637</v>
      </c>
      <c r="R8956" t="s">
        <v>45</v>
      </c>
      <c r="S8956" t="s">
        <v>38746</v>
      </c>
      <c r="T8956">
        <v>26</v>
      </c>
      <c r="U8956" s="2" t="s">
        <v>53810</v>
      </c>
      <c r="V8956" s="1">
        <v>44988</v>
      </c>
      <c r="W8956" t="s">
        <v>1008</v>
      </c>
      <c r="X8956">
        <v>807580</v>
      </c>
      <c r="Y8956" t="s">
        <v>53811</v>
      </c>
      <c r="Z8956" t="s">
        <v>53812</v>
      </c>
      <c r="AA8956" t="s">
        <v>20643</v>
      </c>
      <c r="AB8956" t="s">
        <v>486</v>
      </c>
      <c r="AD8956" t="s">
        <v>53813</v>
      </c>
      <c r="AE8956">
        <v>0</v>
      </c>
      <c r="AG8956" t="s">
        <v>53814</v>
      </c>
      <c r="AH8956" t="s">
        <v>32210</v>
      </c>
      <c r="AI8956" t="s">
        <v>53815</v>
      </c>
    </row>
    <row r="8957" spans="2:35" ht="105">
      <c r="B8957" s="1">
        <v>44990</v>
      </c>
      <c r="C8957" s="4">
        <v>44986.472916666666</v>
      </c>
      <c r="D8957" t="s">
        <v>53816</v>
      </c>
      <c r="E8957" t="s">
        <v>16431</v>
      </c>
      <c r="F8957" t="s">
        <v>148</v>
      </c>
      <c r="G8957" t="s">
        <v>544</v>
      </c>
      <c r="H8957" t="s">
        <v>39</v>
      </c>
      <c r="I8957" t="s">
        <v>40</v>
      </c>
      <c r="J8957" t="s">
        <v>321</v>
      </c>
      <c r="K8957" t="s">
        <v>42</v>
      </c>
      <c r="L8957" t="s">
        <v>448</v>
      </c>
      <c r="Q8957">
        <v>23636</v>
      </c>
      <c r="R8957" t="s">
        <v>45</v>
      </c>
      <c r="S8957" t="s">
        <v>15929</v>
      </c>
      <c r="T8957">
        <v>28</v>
      </c>
      <c r="U8957" s="2" t="s">
        <v>1509</v>
      </c>
      <c r="W8957" t="s">
        <v>502</v>
      </c>
      <c r="X8957">
        <v>805211</v>
      </c>
      <c r="Y8957" t="s">
        <v>53817</v>
      </c>
      <c r="Z8957" t="s">
        <v>53818</v>
      </c>
      <c r="AA8957" t="s">
        <v>53819</v>
      </c>
      <c r="AB8957" t="s">
        <v>486</v>
      </c>
      <c r="AC8957" t="s">
        <v>53820</v>
      </c>
      <c r="AG8957" t="s">
        <v>53821</v>
      </c>
      <c r="AH8957" t="s">
        <v>15931</v>
      </c>
      <c r="AI8957" t="s">
        <v>53822</v>
      </c>
    </row>
    <row r="8958" spans="2:35" ht="180">
      <c r="B8958" s="1">
        <v>44990</v>
      </c>
      <c r="C8958" s="4">
        <v>44988.504166666666</v>
      </c>
      <c r="D8958" t="s">
        <v>53823</v>
      </c>
      <c r="E8958" t="s">
        <v>53824</v>
      </c>
      <c r="F8958" t="s">
        <v>148</v>
      </c>
      <c r="G8958" t="s">
        <v>447</v>
      </c>
      <c r="H8958" t="s">
        <v>39</v>
      </c>
      <c r="I8958" t="s">
        <v>40</v>
      </c>
      <c r="J8958" t="s">
        <v>109</v>
      </c>
      <c r="K8958" t="s">
        <v>42</v>
      </c>
      <c r="L8958" t="s">
        <v>448</v>
      </c>
      <c r="Q8958">
        <v>23638</v>
      </c>
      <c r="R8958" t="s">
        <v>322</v>
      </c>
      <c r="S8958" t="s">
        <v>53825</v>
      </c>
      <c r="T8958">
        <v>31</v>
      </c>
      <c r="U8958" s="2" t="s">
        <v>53826</v>
      </c>
      <c r="W8958" t="s">
        <v>502</v>
      </c>
      <c r="X8958">
        <v>839150</v>
      </c>
      <c r="Y8958" t="s">
        <v>53827</v>
      </c>
      <c r="Z8958" t="s">
        <v>53143</v>
      </c>
      <c r="AA8958" t="s">
        <v>6997</v>
      </c>
      <c r="AB8958" t="s">
        <v>486</v>
      </c>
      <c r="AC8958" t="s">
        <v>53828</v>
      </c>
      <c r="AG8958" t="s">
        <v>53829</v>
      </c>
      <c r="AH8958" t="s">
        <v>53830</v>
      </c>
      <c r="AI8958" t="s">
        <v>53831</v>
      </c>
    </row>
    <row r="8959" spans="2:35" ht="210">
      <c r="B8959" s="1">
        <v>44990</v>
      </c>
      <c r="C8959" s="4">
        <v>44988.400694444441</v>
      </c>
      <c r="D8959" t="s">
        <v>46204</v>
      </c>
      <c r="E8959" t="s">
        <v>53832</v>
      </c>
      <c r="F8959" t="s">
        <v>37</v>
      </c>
      <c r="G8959" t="s">
        <v>38</v>
      </c>
      <c r="H8959" t="s">
        <v>2581</v>
      </c>
      <c r="I8959" t="s">
        <v>40</v>
      </c>
      <c r="J8959" s="2" t="s">
        <v>41</v>
      </c>
      <c r="K8959" t="s">
        <v>42</v>
      </c>
      <c r="L8959" t="s">
        <v>448</v>
      </c>
      <c r="Q8959">
        <v>23634</v>
      </c>
      <c r="R8959" t="s">
        <v>45</v>
      </c>
      <c r="S8959" t="s">
        <v>38746</v>
      </c>
      <c r="T8959">
        <v>28</v>
      </c>
      <c r="U8959" s="2" t="s">
        <v>53833</v>
      </c>
      <c r="V8959" s="1">
        <v>44988</v>
      </c>
      <c r="W8959" t="s">
        <v>502</v>
      </c>
      <c r="X8959">
        <v>838894</v>
      </c>
      <c r="Y8959" t="s">
        <v>53834</v>
      </c>
      <c r="Z8959" t="s">
        <v>53223</v>
      </c>
      <c r="AA8959" t="s">
        <v>53835</v>
      </c>
      <c r="AB8959" t="s">
        <v>486</v>
      </c>
      <c r="AD8959" t="s">
        <v>53813</v>
      </c>
      <c r="AE8959">
        <v>0</v>
      </c>
      <c r="AG8959" t="s">
        <v>53836</v>
      </c>
      <c r="AH8959" t="s">
        <v>32210</v>
      </c>
      <c r="AI8959" t="s">
        <v>53837</v>
      </c>
    </row>
    <row r="8960" spans="2:35" ht="409.5">
      <c r="B8960" s="1">
        <v>44990</v>
      </c>
      <c r="C8960" s="4">
        <v>44985.629861111112</v>
      </c>
      <c r="D8960" t="s">
        <v>36713</v>
      </c>
      <c r="E8960" t="s">
        <v>42404</v>
      </c>
      <c r="F8960" t="s">
        <v>148</v>
      </c>
      <c r="G8960" t="s">
        <v>447</v>
      </c>
      <c r="H8960" t="s">
        <v>662</v>
      </c>
      <c r="I8960" t="s">
        <v>40</v>
      </c>
      <c r="J8960" t="s">
        <v>109</v>
      </c>
      <c r="K8960" t="s">
        <v>42</v>
      </c>
      <c r="L8960" t="s">
        <v>448</v>
      </c>
      <c r="Q8960">
        <v>23635</v>
      </c>
      <c r="R8960" t="s">
        <v>95</v>
      </c>
      <c r="S8960" t="s">
        <v>53838</v>
      </c>
      <c r="T8960">
        <v>28</v>
      </c>
      <c r="U8960" s="2" t="s">
        <v>53839</v>
      </c>
      <c r="W8960" t="s">
        <v>53840</v>
      </c>
      <c r="X8960">
        <v>110001647</v>
      </c>
      <c r="Y8960" t="s">
        <v>121</v>
      </c>
      <c r="Z8960" t="s">
        <v>53143</v>
      </c>
      <c r="AA8960" t="s">
        <v>6997</v>
      </c>
      <c r="AB8960" t="s">
        <v>486</v>
      </c>
      <c r="AG8960" t="s">
        <v>53841</v>
      </c>
      <c r="AH8960" t="s">
        <v>53842</v>
      </c>
      <c r="AI8960" t="s">
        <v>53843</v>
      </c>
    </row>
    <row r="8961" spans="2:35">
      <c r="B8961" s="1">
        <v>44989</v>
      </c>
      <c r="C8961" s="4">
        <v>44989.487500000003</v>
      </c>
      <c r="D8961" t="s">
        <v>6044</v>
      </c>
      <c r="E8961" t="s">
        <v>53844</v>
      </c>
      <c r="F8961">
        <v>7</v>
      </c>
      <c r="G8961" t="s">
        <v>432</v>
      </c>
      <c r="H8961" t="s">
        <v>386</v>
      </c>
      <c r="I8961" t="s">
        <v>94</v>
      </c>
      <c r="J8961" t="s">
        <v>79</v>
      </c>
      <c r="K8961" t="s">
        <v>387</v>
      </c>
      <c r="L8961" t="s">
        <v>610</v>
      </c>
      <c r="Q8961">
        <v>23633</v>
      </c>
      <c r="R8961" t="s">
        <v>95</v>
      </c>
      <c r="S8961" t="s">
        <v>6039</v>
      </c>
      <c r="T8961">
        <v>23</v>
      </c>
      <c r="V8961" s="1">
        <v>44989</v>
      </c>
      <c r="W8961" t="s">
        <v>436</v>
      </c>
      <c r="X8961" t="s">
        <v>6040</v>
      </c>
      <c r="Y8961" t="s">
        <v>53845</v>
      </c>
      <c r="Z8961" t="s">
        <v>53846</v>
      </c>
      <c r="AA8961" t="s">
        <v>53847</v>
      </c>
      <c r="AB8961" t="s">
        <v>486</v>
      </c>
      <c r="AD8961" t="s">
        <v>53848</v>
      </c>
      <c r="AE8961" t="s">
        <v>103</v>
      </c>
      <c r="AG8961" t="s">
        <v>53849</v>
      </c>
      <c r="AH8961" t="s">
        <v>53850</v>
      </c>
      <c r="AI8961" t="s">
        <v>53851</v>
      </c>
    </row>
    <row r="8962" spans="2:35" ht="409.5">
      <c r="B8962" s="1">
        <v>44988</v>
      </c>
      <c r="C8962" s="4">
        <v>44988.513194444444</v>
      </c>
      <c r="D8962" t="s">
        <v>4523</v>
      </c>
      <c r="E8962" t="s">
        <v>53761</v>
      </c>
      <c r="F8962">
        <v>1</v>
      </c>
      <c r="G8962" t="s">
        <v>1046</v>
      </c>
      <c r="H8962" t="s">
        <v>39</v>
      </c>
      <c r="I8962" t="s">
        <v>40</v>
      </c>
      <c r="J8962" s="2" t="s">
        <v>62</v>
      </c>
      <c r="K8962" t="s">
        <v>42</v>
      </c>
      <c r="L8962" t="s">
        <v>135</v>
      </c>
      <c r="Q8962">
        <v>23632</v>
      </c>
      <c r="R8962" t="s">
        <v>119</v>
      </c>
      <c r="S8962" t="s">
        <v>7964</v>
      </c>
      <c r="T8962">
        <v>25.07</v>
      </c>
      <c r="U8962" s="2" t="s">
        <v>53762</v>
      </c>
      <c r="W8962" t="s">
        <v>2680</v>
      </c>
      <c r="X8962">
        <v>838286</v>
      </c>
      <c r="Y8962" t="s">
        <v>67</v>
      </c>
      <c r="Z8962" s="2" t="s">
        <v>53763</v>
      </c>
      <c r="AA8962" s="2" t="s">
        <v>12500</v>
      </c>
      <c r="AB8962" t="s">
        <v>181</v>
      </c>
      <c r="AC8962" t="s">
        <v>53764</v>
      </c>
      <c r="AG8962" t="s">
        <v>53852</v>
      </c>
      <c r="AH8962" t="s">
        <v>53766</v>
      </c>
      <c r="AI8962" t="s">
        <v>53853</v>
      </c>
    </row>
    <row r="8963" spans="2:35" ht="225">
      <c r="B8963" s="1">
        <v>44988</v>
      </c>
      <c r="C8963" s="4">
        <v>44988.628472222219</v>
      </c>
      <c r="D8963" t="s">
        <v>53854</v>
      </c>
      <c r="E8963" t="s">
        <v>23602</v>
      </c>
      <c r="F8963">
        <v>3</v>
      </c>
      <c r="G8963" t="s">
        <v>134</v>
      </c>
      <c r="H8963" t="s">
        <v>39</v>
      </c>
      <c r="I8963" t="s">
        <v>40</v>
      </c>
      <c r="J8963" s="2" t="s">
        <v>62</v>
      </c>
      <c r="K8963" t="s">
        <v>42</v>
      </c>
      <c r="L8963" t="s">
        <v>63</v>
      </c>
      <c r="Q8963">
        <v>23631</v>
      </c>
      <c r="R8963" t="s">
        <v>119</v>
      </c>
      <c r="S8963" t="s">
        <v>23603</v>
      </c>
      <c r="T8963">
        <v>27</v>
      </c>
      <c r="U8963" s="2" t="s">
        <v>50079</v>
      </c>
      <c r="V8963" s="1">
        <v>44988</v>
      </c>
      <c r="W8963" t="s">
        <v>26915</v>
      </c>
      <c r="X8963">
        <v>831902</v>
      </c>
      <c r="Y8963" t="s">
        <v>1716</v>
      </c>
      <c r="Z8963" t="s">
        <v>1716</v>
      </c>
      <c r="AA8963" s="2" t="s">
        <v>38119</v>
      </c>
      <c r="AB8963" t="s">
        <v>70</v>
      </c>
      <c r="AC8963" t="s">
        <v>53855</v>
      </c>
      <c r="AD8963" t="s">
        <v>948</v>
      </c>
      <c r="AE8963">
        <v>9583</v>
      </c>
      <c r="AG8963" t="s">
        <v>53856</v>
      </c>
      <c r="AH8963" t="s">
        <v>23608</v>
      </c>
      <c r="AI8963" t="s">
        <v>53857</v>
      </c>
    </row>
    <row r="8964" spans="2:35" ht="225">
      <c r="B8964" s="1">
        <v>44988</v>
      </c>
      <c r="C8964" s="4">
        <v>44988.628472222219</v>
      </c>
      <c r="D8964" t="s">
        <v>53854</v>
      </c>
      <c r="E8964" t="s">
        <v>23602</v>
      </c>
      <c r="F8964">
        <v>3</v>
      </c>
      <c r="G8964" t="s">
        <v>134</v>
      </c>
      <c r="H8964" t="s">
        <v>39</v>
      </c>
      <c r="I8964" t="s">
        <v>40</v>
      </c>
      <c r="J8964" s="2" t="s">
        <v>62</v>
      </c>
      <c r="K8964" t="s">
        <v>42</v>
      </c>
      <c r="L8964" t="s">
        <v>63</v>
      </c>
      <c r="Q8964">
        <v>23630</v>
      </c>
      <c r="R8964" t="s">
        <v>119</v>
      </c>
      <c r="S8964" t="s">
        <v>23603</v>
      </c>
      <c r="T8964">
        <v>27</v>
      </c>
      <c r="U8964" s="2" t="s">
        <v>50079</v>
      </c>
      <c r="V8964" s="1">
        <v>44988</v>
      </c>
      <c r="W8964" t="s">
        <v>26915</v>
      </c>
      <c r="X8964">
        <v>831902</v>
      </c>
      <c r="Y8964" t="s">
        <v>1716</v>
      </c>
      <c r="Z8964" t="s">
        <v>1716</v>
      </c>
      <c r="AA8964" s="2" t="s">
        <v>38119</v>
      </c>
      <c r="AB8964" t="s">
        <v>70</v>
      </c>
      <c r="AC8964" t="s">
        <v>53855</v>
      </c>
      <c r="AD8964" t="s">
        <v>948</v>
      </c>
      <c r="AE8964">
        <v>9583</v>
      </c>
      <c r="AG8964" t="s">
        <v>53858</v>
      </c>
      <c r="AH8964" t="s">
        <v>23608</v>
      </c>
      <c r="AI8964" t="s">
        <v>53859</v>
      </c>
    </row>
    <row r="8965" spans="2:35" ht="285">
      <c r="B8965" s="1">
        <v>44988</v>
      </c>
      <c r="C8965" s="4">
        <v>44988.613194444442</v>
      </c>
      <c r="D8965" t="s">
        <v>1335</v>
      </c>
      <c r="E8965" t="s">
        <v>53860</v>
      </c>
      <c r="F8965" t="s">
        <v>148</v>
      </c>
      <c r="G8965" t="s">
        <v>447</v>
      </c>
      <c r="H8965" t="s">
        <v>39</v>
      </c>
      <c r="I8965" t="s">
        <v>40</v>
      </c>
      <c r="J8965" s="2" t="s">
        <v>62</v>
      </c>
      <c r="K8965" t="s">
        <v>42</v>
      </c>
      <c r="L8965" t="s">
        <v>175</v>
      </c>
      <c r="Q8965">
        <v>23629</v>
      </c>
      <c r="R8965" t="s">
        <v>45</v>
      </c>
      <c r="S8965" t="s">
        <v>1336</v>
      </c>
      <c r="T8965">
        <v>25</v>
      </c>
      <c r="U8965" s="2" t="s">
        <v>53861</v>
      </c>
      <c r="W8965" t="s">
        <v>84</v>
      </c>
      <c r="X8965">
        <v>808618</v>
      </c>
      <c r="Y8965" t="s">
        <v>998</v>
      </c>
      <c r="Z8965" t="e">
        <f ca="1">- checked _xludf.and cleaned cartridhe bay, plunger rod, icore, _xludf.filter
- performed XpertCheck
- generated reports
- performed functionality test</f>
        <v>#NAME?</v>
      </c>
      <c r="AA8965" t="s">
        <v>999</v>
      </c>
      <c r="AB8965" t="s">
        <v>1521</v>
      </c>
      <c r="AG8965" t="s">
        <v>53862</v>
      </c>
      <c r="AH8965" t="s">
        <v>53863</v>
      </c>
      <c r="AI8965" t="s">
        <v>53864</v>
      </c>
    </row>
    <row r="8966" spans="2:35" ht="180">
      <c r="B8966" s="1">
        <v>44988</v>
      </c>
      <c r="C8966" s="4">
        <v>44988.561805555553</v>
      </c>
      <c r="D8966" t="s">
        <v>34336</v>
      </c>
      <c r="E8966" t="s">
        <v>34337</v>
      </c>
      <c r="F8966">
        <v>6</v>
      </c>
      <c r="G8966" t="s">
        <v>1234</v>
      </c>
      <c r="H8966" t="s">
        <v>1047</v>
      </c>
      <c r="I8966" t="s">
        <v>94</v>
      </c>
      <c r="J8966" t="s">
        <v>996</v>
      </c>
      <c r="K8966" t="s">
        <v>42</v>
      </c>
      <c r="L8966" t="s">
        <v>23958</v>
      </c>
      <c r="Q8966">
        <v>23628</v>
      </c>
      <c r="R8966" t="s">
        <v>45</v>
      </c>
      <c r="S8966" t="s">
        <v>53865</v>
      </c>
      <c r="T8966">
        <v>25</v>
      </c>
      <c r="U8966" s="2" t="s">
        <v>53866</v>
      </c>
      <c r="V8966" s="1">
        <v>65594</v>
      </c>
      <c r="W8966" t="s">
        <v>6776</v>
      </c>
      <c r="X8966">
        <v>815283</v>
      </c>
      <c r="Y8966" t="s">
        <v>53867</v>
      </c>
      <c r="Z8966" t="s">
        <v>53868</v>
      </c>
      <c r="AA8966" t="s">
        <v>42843</v>
      </c>
      <c r="AB8966" t="s">
        <v>53869</v>
      </c>
      <c r="AC8966" t="s">
        <v>53870</v>
      </c>
      <c r="AD8966" t="s">
        <v>53871</v>
      </c>
      <c r="AE8966" t="s">
        <v>53872</v>
      </c>
      <c r="AG8966" t="s">
        <v>53873</v>
      </c>
      <c r="AH8966" t="s">
        <v>53874</v>
      </c>
      <c r="AI8966" t="s">
        <v>53875</v>
      </c>
    </row>
    <row r="8967" spans="2:35" ht="105">
      <c r="B8967" s="1">
        <v>44988</v>
      </c>
      <c r="C8967" s="4">
        <v>44988.449305555558</v>
      </c>
      <c r="D8967" t="s">
        <v>3067</v>
      </c>
      <c r="E8967" t="s">
        <v>25953</v>
      </c>
      <c r="F8967" t="s">
        <v>148</v>
      </c>
      <c r="G8967" t="s">
        <v>447</v>
      </c>
      <c r="H8967" t="s">
        <v>39</v>
      </c>
      <c r="I8967" t="s">
        <v>40</v>
      </c>
      <c r="J8967" t="s">
        <v>525</v>
      </c>
      <c r="K8967" t="s">
        <v>42</v>
      </c>
      <c r="L8967" t="s">
        <v>175</v>
      </c>
      <c r="Q8967">
        <v>23627</v>
      </c>
      <c r="R8967" t="s">
        <v>45</v>
      </c>
      <c r="S8967" t="s">
        <v>3069</v>
      </c>
      <c r="T8967">
        <v>25</v>
      </c>
      <c r="U8967" s="2" t="s">
        <v>1509</v>
      </c>
      <c r="W8967" t="s">
        <v>84</v>
      </c>
      <c r="X8967">
        <v>803089</v>
      </c>
      <c r="Y8967" t="s">
        <v>22947</v>
      </c>
      <c r="Z8967" t="e">
        <f ca="1">- checked Computer
- cleaned RAM
- generated reports
- performed functionality test</f>
        <v>#NAME?</v>
      </c>
      <c r="AA8967" t="s">
        <v>53876</v>
      </c>
      <c r="AB8967" t="s">
        <v>32883</v>
      </c>
      <c r="AG8967" t="s">
        <v>53877</v>
      </c>
      <c r="AH8967" t="s">
        <v>23675</v>
      </c>
      <c r="AI8967" t="s">
        <v>53878</v>
      </c>
    </row>
    <row r="8968" spans="2:35" ht="105">
      <c r="B8968" s="1">
        <v>44988</v>
      </c>
      <c r="C8968" s="4">
        <v>44988.449305555558</v>
      </c>
      <c r="D8968" t="s">
        <v>3067</v>
      </c>
      <c r="E8968" t="s">
        <v>25953</v>
      </c>
      <c r="F8968" t="s">
        <v>148</v>
      </c>
      <c r="G8968" t="s">
        <v>447</v>
      </c>
      <c r="H8968" t="s">
        <v>39</v>
      </c>
      <c r="I8968" t="s">
        <v>40</v>
      </c>
      <c r="J8968" t="s">
        <v>525</v>
      </c>
      <c r="K8968" t="s">
        <v>42</v>
      </c>
      <c r="L8968" t="s">
        <v>175</v>
      </c>
      <c r="Q8968">
        <v>23626</v>
      </c>
      <c r="R8968" t="s">
        <v>45</v>
      </c>
      <c r="S8968" t="s">
        <v>3069</v>
      </c>
      <c r="T8968">
        <v>25</v>
      </c>
      <c r="U8968" s="2" t="s">
        <v>1509</v>
      </c>
      <c r="W8968" t="s">
        <v>84</v>
      </c>
      <c r="X8968">
        <v>803089</v>
      </c>
      <c r="Y8968" t="s">
        <v>22947</v>
      </c>
      <c r="Z8968" t="e">
        <f ca="1">- checked Computer
- cleaned RAM
- generated reports
- performed functionality test</f>
        <v>#NAME?</v>
      </c>
      <c r="AA8968" t="s">
        <v>53876</v>
      </c>
      <c r="AB8968" t="s">
        <v>32883</v>
      </c>
      <c r="AG8968" t="s">
        <v>53879</v>
      </c>
      <c r="AH8968" t="s">
        <v>23675</v>
      </c>
      <c r="AI8968" t="s">
        <v>53880</v>
      </c>
    </row>
    <row r="8969" spans="2:35" ht="105">
      <c r="B8969" s="1">
        <v>44988</v>
      </c>
      <c r="C8969" s="4">
        <v>44988.449305555558</v>
      </c>
      <c r="D8969" t="s">
        <v>3067</v>
      </c>
      <c r="E8969" t="s">
        <v>25953</v>
      </c>
      <c r="F8969" t="s">
        <v>148</v>
      </c>
      <c r="G8969" t="s">
        <v>447</v>
      </c>
      <c r="H8969" t="s">
        <v>39</v>
      </c>
      <c r="I8969" t="s">
        <v>40</v>
      </c>
      <c r="J8969" t="s">
        <v>525</v>
      </c>
      <c r="K8969" t="s">
        <v>42</v>
      </c>
      <c r="L8969" t="s">
        <v>175</v>
      </c>
      <c r="Q8969">
        <v>23625</v>
      </c>
      <c r="R8969" t="s">
        <v>45</v>
      </c>
      <c r="S8969" t="s">
        <v>3069</v>
      </c>
      <c r="T8969">
        <v>25</v>
      </c>
      <c r="U8969" s="2" t="s">
        <v>1509</v>
      </c>
      <c r="W8969" t="s">
        <v>84</v>
      </c>
      <c r="X8969">
        <v>803089</v>
      </c>
      <c r="Y8969" t="s">
        <v>22947</v>
      </c>
      <c r="Z8969" t="e">
        <f ca="1">- checked Computer
- cleaned RAM
- generated reports
- performed functionality test</f>
        <v>#NAME?</v>
      </c>
      <c r="AA8969" t="s">
        <v>53876</v>
      </c>
      <c r="AB8969" t="s">
        <v>32883</v>
      </c>
      <c r="AG8969" t="s">
        <v>53881</v>
      </c>
      <c r="AH8969" t="s">
        <v>23675</v>
      </c>
      <c r="AI8969" t="s">
        <v>53882</v>
      </c>
    </row>
    <row r="8970" spans="2:35" ht="105">
      <c r="B8970" s="1">
        <v>44988</v>
      </c>
      <c r="C8970" s="4">
        <v>44988.449305555558</v>
      </c>
      <c r="D8970" t="s">
        <v>3067</v>
      </c>
      <c r="E8970" t="s">
        <v>25953</v>
      </c>
      <c r="F8970" t="s">
        <v>148</v>
      </c>
      <c r="G8970" t="s">
        <v>447</v>
      </c>
      <c r="H8970" t="s">
        <v>39</v>
      </c>
      <c r="I8970" t="s">
        <v>40</v>
      </c>
      <c r="J8970" t="s">
        <v>525</v>
      </c>
      <c r="K8970" t="s">
        <v>42</v>
      </c>
      <c r="L8970" t="s">
        <v>175</v>
      </c>
      <c r="Q8970">
        <v>23624</v>
      </c>
      <c r="R8970" t="s">
        <v>45</v>
      </c>
      <c r="S8970" t="s">
        <v>3069</v>
      </c>
      <c r="T8970">
        <v>25</v>
      </c>
      <c r="U8970" s="2" t="s">
        <v>24107</v>
      </c>
      <c r="W8970" t="s">
        <v>84</v>
      </c>
      <c r="X8970">
        <v>803089</v>
      </c>
      <c r="Y8970" t="s">
        <v>22947</v>
      </c>
      <c r="Z8970" t="e">
        <f ca="1">- checked Computer
- cleaned RAM
- generated reports
- performed functionality test</f>
        <v>#NAME?</v>
      </c>
      <c r="AA8970" t="s">
        <v>53876</v>
      </c>
      <c r="AB8970" t="s">
        <v>32883</v>
      </c>
      <c r="AG8970" t="s">
        <v>53883</v>
      </c>
      <c r="AH8970" t="s">
        <v>23675</v>
      </c>
      <c r="AI8970" t="s">
        <v>53884</v>
      </c>
    </row>
    <row r="8971" spans="2:35" ht="240">
      <c r="B8971" s="1">
        <v>44988</v>
      </c>
      <c r="C8971" s="4">
        <v>44986.563194444447</v>
      </c>
      <c r="D8971" t="s">
        <v>30119</v>
      </c>
      <c r="E8971" t="s">
        <v>53885</v>
      </c>
      <c r="F8971">
        <v>12</v>
      </c>
      <c r="G8971" t="s">
        <v>294</v>
      </c>
      <c r="H8971" t="s">
        <v>39</v>
      </c>
      <c r="I8971" t="s">
        <v>94</v>
      </c>
      <c r="J8971" s="2" t="s">
        <v>190</v>
      </c>
      <c r="K8971" t="s">
        <v>42</v>
      </c>
      <c r="L8971" t="s">
        <v>296</v>
      </c>
      <c r="Q8971">
        <v>23623</v>
      </c>
      <c r="R8971" t="s">
        <v>719</v>
      </c>
      <c r="S8971" t="s">
        <v>48460</v>
      </c>
      <c r="T8971">
        <v>21.3</v>
      </c>
      <c r="U8971" s="2" t="s">
        <v>53886</v>
      </c>
      <c r="W8971" t="s">
        <v>53887</v>
      </c>
      <c r="X8971">
        <v>847257</v>
      </c>
      <c r="Y8971" t="s">
        <v>53888</v>
      </c>
      <c r="Z8971" s="2" t="s">
        <v>53889</v>
      </c>
      <c r="AA8971" s="2" t="s">
        <v>53890</v>
      </c>
      <c r="AB8971" t="s">
        <v>1480</v>
      </c>
      <c r="AC8971" t="s">
        <v>53891</v>
      </c>
      <c r="AG8971" t="s">
        <v>53892</v>
      </c>
      <c r="AH8971" t="s">
        <v>53893</v>
      </c>
      <c r="AI8971" t="s">
        <v>53894</v>
      </c>
    </row>
    <row r="8972" spans="2:35" ht="345">
      <c r="B8972" s="1">
        <v>44988</v>
      </c>
      <c r="C8972" s="4">
        <v>44987.587500000001</v>
      </c>
      <c r="D8972" t="s">
        <v>29639</v>
      </c>
      <c r="E8972" t="s">
        <v>29640</v>
      </c>
      <c r="F8972">
        <v>1</v>
      </c>
      <c r="G8972" t="s">
        <v>1909</v>
      </c>
      <c r="H8972" t="s">
        <v>53895</v>
      </c>
      <c r="I8972" t="s">
        <v>40</v>
      </c>
      <c r="J8972" s="2" t="s">
        <v>1309</v>
      </c>
      <c r="K8972" t="s">
        <v>42</v>
      </c>
      <c r="L8972" t="s">
        <v>175</v>
      </c>
      <c r="Q8972">
        <v>23622</v>
      </c>
      <c r="R8972" t="s">
        <v>45</v>
      </c>
      <c r="S8972" t="s">
        <v>29641</v>
      </c>
      <c r="T8972">
        <v>25</v>
      </c>
      <c r="U8972" s="2" t="s">
        <v>1509</v>
      </c>
      <c r="V8972" s="1">
        <v>44987</v>
      </c>
      <c r="W8972" t="s">
        <v>84</v>
      </c>
      <c r="X8972">
        <v>815396</v>
      </c>
      <c r="Y8972" t="s">
        <v>962</v>
      </c>
      <c r="Z8972" s="2" t="s">
        <v>53896</v>
      </c>
      <c r="AA8972" t="e">
        <f ca="1">- replaced CPU
- performed XpertCheck</f>
        <v>#NAME?</v>
      </c>
      <c r="AB8972" t="s">
        <v>1521</v>
      </c>
      <c r="AD8972" t="s">
        <v>53897</v>
      </c>
      <c r="AE8972" t="s">
        <v>103</v>
      </c>
      <c r="AG8972" t="s">
        <v>53898</v>
      </c>
      <c r="AH8972" t="s">
        <v>53899</v>
      </c>
      <c r="AI8972" t="s">
        <v>53900</v>
      </c>
    </row>
    <row r="8973" spans="2:35" ht="390">
      <c r="B8973" s="1">
        <v>44987</v>
      </c>
      <c r="C8973" s="4">
        <v>44987.728472222225</v>
      </c>
      <c r="D8973" t="s">
        <v>3010</v>
      </c>
      <c r="E8973" t="s">
        <v>53761</v>
      </c>
      <c r="F8973">
        <v>1</v>
      </c>
      <c r="G8973" t="s">
        <v>1046</v>
      </c>
      <c r="H8973" t="s">
        <v>39</v>
      </c>
      <c r="I8973" t="s">
        <v>40</v>
      </c>
      <c r="J8973" s="2" t="s">
        <v>41</v>
      </c>
      <c r="K8973" t="s">
        <v>42</v>
      </c>
      <c r="L8973" t="s">
        <v>135</v>
      </c>
      <c r="Q8973">
        <v>23621</v>
      </c>
      <c r="R8973" t="s">
        <v>45</v>
      </c>
      <c r="S8973" t="s">
        <v>3012</v>
      </c>
      <c r="T8973">
        <v>25</v>
      </c>
      <c r="U8973" s="2" t="s">
        <v>53901</v>
      </c>
      <c r="V8973" s="1">
        <v>44981</v>
      </c>
      <c r="W8973" t="s">
        <v>2680</v>
      </c>
      <c r="X8973">
        <v>804726</v>
      </c>
      <c r="Y8973" t="s">
        <v>53902</v>
      </c>
      <c r="Z8973" s="2" t="s">
        <v>53903</v>
      </c>
      <c r="AA8973" s="2" t="s">
        <v>29539</v>
      </c>
      <c r="AB8973" t="s">
        <v>181</v>
      </c>
      <c r="AD8973" t="s">
        <v>53904</v>
      </c>
      <c r="AE8973">
        <v>39310</v>
      </c>
      <c r="AG8973" t="s">
        <v>53905</v>
      </c>
      <c r="AH8973" t="s">
        <v>47004</v>
      </c>
      <c r="AI8973" t="s">
        <v>53906</v>
      </c>
    </row>
    <row r="8974" spans="2:35" ht="409.5">
      <c r="B8974" s="1">
        <v>44987</v>
      </c>
      <c r="C8974" s="4">
        <v>44987.612500000003</v>
      </c>
      <c r="D8974" t="s">
        <v>3010</v>
      </c>
      <c r="E8974" t="s">
        <v>53761</v>
      </c>
      <c r="F8974">
        <v>1</v>
      </c>
      <c r="G8974" t="s">
        <v>1046</v>
      </c>
      <c r="H8974" t="s">
        <v>39</v>
      </c>
      <c r="I8974" t="s">
        <v>40</v>
      </c>
      <c r="J8974" s="2" t="s">
        <v>41</v>
      </c>
      <c r="K8974" t="s">
        <v>42</v>
      </c>
      <c r="L8974" t="s">
        <v>135</v>
      </c>
      <c r="Q8974">
        <v>23620</v>
      </c>
      <c r="R8974" t="s">
        <v>45</v>
      </c>
      <c r="S8974" t="s">
        <v>3012</v>
      </c>
      <c r="T8974">
        <v>25.4</v>
      </c>
      <c r="U8974" s="2" t="s">
        <v>53907</v>
      </c>
      <c r="V8974" s="1">
        <v>44981</v>
      </c>
      <c r="W8974" t="s">
        <v>38524</v>
      </c>
      <c r="X8974">
        <v>738529</v>
      </c>
      <c r="Y8974" t="s">
        <v>53908</v>
      </c>
      <c r="Z8974" s="2" t="s">
        <v>53909</v>
      </c>
      <c r="AA8974" s="2" t="s">
        <v>53910</v>
      </c>
      <c r="AB8974" t="s">
        <v>181</v>
      </c>
      <c r="AD8974" t="s">
        <v>53911</v>
      </c>
      <c r="AE8974">
        <v>39294</v>
      </c>
      <c r="AG8974" t="s">
        <v>53912</v>
      </c>
      <c r="AH8974" t="s">
        <v>47004</v>
      </c>
      <c r="AI8974" t="s">
        <v>53913</v>
      </c>
    </row>
    <row r="8975" spans="2:35" ht="409.5">
      <c r="B8975" s="1">
        <v>44987</v>
      </c>
      <c r="C8975" s="4">
        <v>44987.612500000003</v>
      </c>
      <c r="D8975" t="s">
        <v>3010</v>
      </c>
      <c r="E8975" t="s">
        <v>53761</v>
      </c>
      <c r="F8975">
        <v>1</v>
      </c>
      <c r="G8975" t="s">
        <v>1046</v>
      </c>
      <c r="H8975" t="s">
        <v>39</v>
      </c>
      <c r="I8975" t="s">
        <v>40</v>
      </c>
      <c r="J8975" s="2" t="s">
        <v>41</v>
      </c>
      <c r="K8975" t="s">
        <v>42</v>
      </c>
      <c r="L8975" t="s">
        <v>135</v>
      </c>
      <c r="Q8975">
        <v>23619</v>
      </c>
      <c r="R8975" t="s">
        <v>45</v>
      </c>
      <c r="S8975" t="s">
        <v>3012</v>
      </c>
      <c r="T8975">
        <v>25.4</v>
      </c>
      <c r="U8975" s="2" t="s">
        <v>53907</v>
      </c>
      <c r="V8975" s="1">
        <v>44981</v>
      </c>
      <c r="W8975" t="s">
        <v>38524</v>
      </c>
      <c r="X8975">
        <v>842230</v>
      </c>
      <c r="Y8975" t="s">
        <v>53908</v>
      </c>
      <c r="Z8975" s="2" t="s">
        <v>53909</v>
      </c>
      <c r="AA8975" s="2" t="s">
        <v>53910</v>
      </c>
      <c r="AB8975" t="s">
        <v>181</v>
      </c>
      <c r="AD8975" t="s">
        <v>53914</v>
      </c>
      <c r="AE8975">
        <v>39294</v>
      </c>
      <c r="AG8975" t="s">
        <v>53915</v>
      </c>
      <c r="AH8975" t="s">
        <v>47004</v>
      </c>
      <c r="AI8975" t="s">
        <v>53916</v>
      </c>
    </row>
    <row r="8976" spans="2:35" ht="105">
      <c r="B8976" s="1">
        <v>44987</v>
      </c>
      <c r="C8976" s="4">
        <v>44987.519444444442</v>
      </c>
      <c r="D8976" t="s">
        <v>1652</v>
      </c>
      <c r="E8976" t="s">
        <v>1653</v>
      </c>
      <c r="F8976">
        <v>8</v>
      </c>
      <c r="G8976" t="s">
        <v>342</v>
      </c>
      <c r="H8976" t="s">
        <v>1498</v>
      </c>
      <c r="I8976" t="s">
        <v>40</v>
      </c>
      <c r="J8976" t="s">
        <v>583</v>
      </c>
      <c r="K8976" t="s">
        <v>42</v>
      </c>
      <c r="L8976" t="s">
        <v>343</v>
      </c>
      <c r="Q8976">
        <v>23618</v>
      </c>
      <c r="R8976" t="s">
        <v>45</v>
      </c>
      <c r="S8976" t="s">
        <v>53917</v>
      </c>
      <c r="T8976">
        <v>31</v>
      </c>
      <c r="U8976" s="2" t="s">
        <v>53918</v>
      </c>
      <c r="W8976" t="s">
        <v>6105</v>
      </c>
      <c r="X8976">
        <v>804253</v>
      </c>
      <c r="Y8976" t="s">
        <v>53919</v>
      </c>
      <c r="Z8976" t="s">
        <v>301</v>
      </c>
      <c r="AA8976" t="e">
        <f ca="1">-Troubleshoot module B2
-Enable module B2 _xludf.For Specimen running</f>
        <v>#NAME?</v>
      </c>
      <c r="AB8976" t="s">
        <v>1364</v>
      </c>
      <c r="AC8976" t="s">
        <v>53920</v>
      </c>
      <c r="AG8976" t="s">
        <v>53921</v>
      </c>
      <c r="AH8976" t="s">
        <v>42695</v>
      </c>
      <c r="AI8976" t="s">
        <v>53922</v>
      </c>
    </row>
    <row r="8977" spans="2:35" ht="285">
      <c r="B8977" s="1">
        <v>44987</v>
      </c>
      <c r="C8977" s="4">
        <v>44987.574999999997</v>
      </c>
      <c r="D8977" t="s">
        <v>53923</v>
      </c>
      <c r="E8977" t="s">
        <v>53924</v>
      </c>
      <c r="F8977">
        <v>3</v>
      </c>
      <c r="G8977" t="s">
        <v>134</v>
      </c>
      <c r="H8977" t="s">
        <v>39</v>
      </c>
      <c r="I8977" t="s">
        <v>40</v>
      </c>
      <c r="J8977" s="2" t="s">
        <v>41</v>
      </c>
      <c r="K8977" t="s">
        <v>42</v>
      </c>
      <c r="L8977" t="s">
        <v>63</v>
      </c>
      <c r="Q8977">
        <v>23617</v>
      </c>
      <c r="R8977" t="s">
        <v>45</v>
      </c>
      <c r="S8977" t="s">
        <v>25500</v>
      </c>
      <c r="T8977">
        <v>26</v>
      </c>
      <c r="U8977" s="2" t="s">
        <v>53925</v>
      </c>
      <c r="V8977" s="1">
        <v>44987</v>
      </c>
      <c r="W8977" t="s">
        <v>26915</v>
      </c>
      <c r="X8977">
        <v>807564</v>
      </c>
      <c r="Y8977" t="s">
        <v>1716</v>
      </c>
      <c r="Z8977" t="s">
        <v>1716</v>
      </c>
      <c r="AA8977" s="2" t="s">
        <v>39935</v>
      </c>
      <c r="AB8977" t="s">
        <v>70</v>
      </c>
      <c r="AC8977" t="s">
        <v>53926</v>
      </c>
      <c r="AD8977" t="s">
        <v>53927</v>
      </c>
      <c r="AE8977" t="s">
        <v>1716</v>
      </c>
      <c r="AG8977" t="s">
        <v>53928</v>
      </c>
      <c r="AH8977" t="s">
        <v>53929</v>
      </c>
      <c r="AI8977" t="s">
        <v>53930</v>
      </c>
    </row>
    <row r="8978" spans="2:35" ht="285">
      <c r="B8978" s="1">
        <v>44987</v>
      </c>
      <c r="C8978" s="4">
        <v>44987.574999999997</v>
      </c>
      <c r="D8978" t="s">
        <v>53923</v>
      </c>
      <c r="E8978" t="s">
        <v>53924</v>
      </c>
      <c r="F8978">
        <v>3</v>
      </c>
      <c r="G8978" t="s">
        <v>134</v>
      </c>
      <c r="H8978" t="s">
        <v>39</v>
      </c>
      <c r="I8978" t="s">
        <v>40</v>
      </c>
      <c r="J8978" s="2" t="s">
        <v>41</v>
      </c>
      <c r="K8978" t="s">
        <v>42</v>
      </c>
      <c r="L8978" t="s">
        <v>63</v>
      </c>
      <c r="Q8978">
        <v>23616</v>
      </c>
      <c r="R8978" t="s">
        <v>45</v>
      </c>
      <c r="S8978" t="s">
        <v>25500</v>
      </c>
      <c r="T8978">
        <v>26</v>
      </c>
      <c r="U8978" s="2" t="s">
        <v>53925</v>
      </c>
      <c r="V8978" s="1">
        <v>44987</v>
      </c>
      <c r="W8978" t="s">
        <v>26915</v>
      </c>
      <c r="X8978">
        <v>807564</v>
      </c>
      <c r="Y8978" t="s">
        <v>1716</v>
      </c>
      <c r="Z8978" t="s">
        <v>1716</v>
      </c>
      <c r="AA8978" s="2" t="s">
        <v>39935</v>
      </c>
      <c r="AB8978" t="s">
        <v>70</v>
      </c>
      <c r="AC8978" t="s">
        <v>53926</v>
      </c>
      <c r="AD8978" t="s">
        <v>53927</v>
      </c>
      <c r="AE8978" t="s">
        <v>1716</v>
      </c>
      <c r="AG8978" t="s">
        <v>53931</v>
      </c>
      <c r="AH8978" t="s">
        <v>53929</v>
      </c>
      <c r="AI8978" t="s">
        <v>53932</v>
      </c>
    </row>
    <row r="8979" spans="2:35" ht="285">
      <c r="B8979" s="1">
        <v>44987</v>
      </c>
      <c r="C8979" s="4">
        <v>44987.574999999997</v>
      </c>
      <c r="D8979" t="s">
        <v>53923</v>
      </c>
      <c r="E8979" t="s">
        <v>53924</v>
      </c>
      <c r="F8979">
        <v>3</v>
      </c>
      <c r="G8979" t="s">
        <v>134</v>
      </c>
      <c r="H8979" t="s">
        <v>39</v>
      </c>
      <c r="I8979" t="s">
        <v>40</v>
      </c>
      <c r="J8979" s="2" t="s">
        <v>41</v>
      </c>
      <c r="K8979" t="s">
        <v>42</v>
      </c>
      <c r="L8979" t="s">
        <v>63</v>
      </c>
      <c r="Q8979">
        <v>23615</v>
      </c>
      <c r="R8979" t="s">
        <v>45</v>
      </c>
      <c r="S8979" t="s">
        <v>25500</v>
      </c>
      <c r="T8979">
        <v>26</v>
      </c>
      <c r="U8979" s="2" t="s">
        <v>53925</v>
      </c>
      <c r="V8979" s="1">
        <v>44987</v>
      </c>
      <c r="W8979" t="s">
        <v>26915</v>
      </c>
      <c r="X8979">
        <v>807564</v>
      </c>
      <c r="Y8979" t="s">
        <v>1716</v>
      </c>
      <c r="Z8979" t="s">
        <v>1716</v>
      </c>
      <c r="AA8979" s="2" t="s">
        <v>39935</v>
      </c>
      <c r="AB8979" t="s">
        <v>70</v>
      </c>
      <c r="AC8979" t="s">
        <v>53926</v>
      </c>
      <c r="AD8979" t="s">
        <v>53927</v>
      </c>
      <c r="AE8979" t="s">
        <v>1716</v>
      </c>
      <c r="AG8979" t="s">
        <v>53933</v>
      </c>
      <c r="AH8979" t="s">
        <v>53929</v>
      </c>
      <c r="AI8979" t="s">
        <v>53934</v>
      </c>
    </row>
    <row r="8980" spans="2:35" ht="180">
      <c r="B8980" s="1">
        <v>44987</v>
      </c>
      <c r="C8980" s="4">
        <v>44987.604166666664</v>
      </c>
      <c r="D8980" t="s">
        <v>53935</v>
      </c>
      <c r="E8980" t="s">
        <v>53936</v>
      </c>
      <c r="F8980">
        <v>7</v>
      </c>
      <c r="G8980" t="s">
        <v>269</v>
      </c>
      <c r="H8980" t="s">
        <v>258</v>
      </c>
      <c r="I8980" t="s">
        <v>40</v>
      </c>
      <c r="J8980" s="2" t="s">
        <v>62</v>
      </c>
      <c r="K8980" t="s">
        <v>42</v>
      </c>
      <c r="L8980" t="s">
        <v>270</v>
      </c>
      <c r="Q8980">
        <v>23614</v>
      </c>
      <c r="R8980" t="s">
        <v>119</v>
      </c>
      <c r="S8980" t="s">
        <v>11067</v>
      </c>
      <c r="T8980">
        <v>23</v>
      </c>
      <c r="U8980" s="2" t="s">
        <v>53937</v>
      </c>
      <c r="W8980" t="s">
        <v>1292</v>
      </c>
      <c r="X8980">
        <v>838481</v>
      </c>
      <c r="Y8980" t="s">
        <v>53938</v>
      </c>
      <c r="Z8980" t="s">
        <v>53939</v>
      </c>
      <c r="AA8980" t="s">
        <v>53940</v>
      </c>
      <c r="AB8980" t="s">
        <v>53941</v>
      </c>
      <c r="AG8980" t="s">
        <v>53942</v>
      </c>
      <c r="AH8980" t="s">
        <v>53943</v>
      </c>
      <c r="AI8980" t="s">
        <v>53944</v>
      </c>
    </row>
    <row r="8981" spans="2:35" ht="135">
      <c r="B8981" s="1">
        <v>44987</v>
      </c>
      <c r="C8981" s="4">
        <v>44987.600694444445</v>
      </c>
      <c r="D8981" t="s">
        <v>23158</v>
      </c>
      <c r="E8981" t="s">
        <v>53945</v>
      </c>
      <c r="F8981">
        <v>6</v>
      </c>
      <c r="G8981" t="s">
        <v>1234</v>
      </c>
      <c r="H8981" t="s">
        <v>608</v>
      </c>
      <c r="I8981" t="s">
        <v>94</v>
      </c>
      <c r="J8981" t="s">
        <v>79</v>
      </c>
      <c r="K8981" t="s">
        <v>42</v>
      </c>
      <c r="L8981" t="s">
        <v>610</v>
      </c>
      <c r="Q8981">
        <v>23613</v>
      </c>
      <c r="R8981" t="s">
        <v>45</v>
      </c>
      <c r="S8981" t="s">
        <v>25372</v>
      </c>
      <c r="T8981">
        <v>24</v>
      </c>
      <c r="U8981" s="2" t="s">
        <v>53946</v>
      </c>
      <c r="W8981" t="s">
        <v>502</v>
      </c>
      <c r="X8981">
        <v>838141</v>
      </c>
      <c r="Y8981" t="s">
        <v>53947</v>
      </c>
      <c r="Z8981" s="2" t="s">
        <v>53948</v>
      </c>
      <c r="AA8981" t="s">
        <v>53949</v>
      </c>
      <c r="AB8981" t="s">
        <v>486</v>
      </c>
      <c r="AG8981" t="s">
        <v>53950</v>
      </c>
      <c r="AH8981" t="s">
        <v>53951</v>
      </c>
      <c r="AI8981" t="s">
        <v>53952</v>
      </c>
    </row>
    <row r="8982" spans="2:35" ht="409.5">
      <c r="B8982" s="1">
        <v>44987</v>
      </c>
      <c r="C8982" s="4">
        <v>44987.550694444442</v>
      </c>
      <c r="D8982" t="s">
        <v>47402</v>
      </c>
      <c r="E8982" t="s">
        <v>29968</v>
      </c>
      <c r="F8982">
        <v>11</v>
      </c>
      <c r="G8982" t="s">
        <v>1205</v>
      </c>
      <c r="H8982" t="s">
        <v>202</v>
      </c>
      <c r="I8982" t="s">
        <v>40</v>
      </c>
      <c r="J8982" t="s">
        <v>79</v>
      </c>
      <c r="K8982" t="s">
        <v>42</v>
      </c>
      <c r="L8982" t="s">
        <v>204</v>
      </c>
      <c r="Q8982">
        <v>23612</v>
      </c>
      <c r="R8982" t="s">
        <v>45</v>
      </c>
      <c r="S8982" t="s">
        <v>29969</v>
      </c>
      <c r="T8982">
        <v>26.8</v>
      </c>
      <c r="U8982" s="2" t="s">
        <v>53953</v>
      </c>
      <c r="V8982" s="1">
        <v>44987</v>
      </c>
      <c r="W8982" t="s">
        <v>1292</v>
      </c>
      <c r="X8982">
        <v>838889</v>
      </c>
      <c r="Y8982" t="s">
        <v>53954</v>
      </c>
      <c r="Z8982" s="2" t="s">
        <v>53955</v>
      </c>
      <c r="AA8982" t="s">
        <v>12182</v>
      </c>
      <c r="AB8982" t="s">
        <v>9590</v>
      </c>
      <c r="AC8982" t="s">
        <v>54</v>
      </c>
      <c r="AD8982" t="s">
        <v>10253</v>
      </c>
      <c r="AE8982" t="s">
        <v>1716</v>
      </c>
      <c r="AG8982" t="s">
        <v>53956</v>
      </c>
      <c r="AH8982" t="s">
        <v>53957</v>
      </c>
      <c r="AI8982" t="s">
        <v>53958</v>
      </c>
    </row>
    <row r="8983" spans="2:35" ht="409.5">
      <c r="B8983" s="1">
        <v>44987</v>
      </c>
      <c r="C8983" s="4">
        <v>44987.550694444442</v>
      </c>
      <c r="D8983" t="s">
        <v>47402</v>
      </c>
      <c r="E8983" t="s">
        <v>29968</v>
      </c>
      <c r="F8983">
        <v>11</v>
      </c>
      <c r="G8983" t="s">
        <v>1205</v>
      </c>
      <c r="H8983" t="s">
        <v>202</v>
      </c>
      <c r="I8983" t="s">
        <v>40</v>
      </c>
      <c r="J8983" t="s">
        <v>79</v>
      </c>
      <c r="K8983" t="s">
        <v>42</v>
      </c>
      <c r="L8983" t="s">
        <v>204</v>
      </c>
      <c r="Q8983">
        <v>23611</v>
      </c>
      <c r="R8983" t="s">
        <v>45</v>
      </c>
      <c r="S8983" t="s">
        <v>29969</v>
      </c>
      <c r="T8983">
        <v>26.8</v>
      </c>
      <c r="U8983" s="2" t="s">
        <v>53953</v>
      </c>
      <c r="V8983" s="1">
        <v>44987</v>
      </c>
      <c r="W8983" t="s">
        <v>1292</v>
      </c>
      <c r="X8983">
        <v>838889</v>
      </c>
      <c r="Y8983" t="s">
        <v>53954</v>
      </c>
      <c r="Z8983" s="2" t="s">
        <v>53955</v>
      </c>
      <c r="AA8983" t="s">
        <v>12182</v>
      </c>
      <c r="AB8983" t="s">
        <v>9590</v>
      </c>
      <c r="AC8983" t="s">
        <v>54</v>
      </c>
      <c r="AD8983" t="s">
        <v>10253</v>
      </c>
      <c r="AE8983" t="s">
        <v>1716</v>
      </c>
      <c r="AG8983" t="s">
        <v>53959</v>
      </c>
      <c r="AH8983" t="s">
        <v>53957</v>
      </c>
      <c r="AI8983" t="s">
        <v>53960</v>
      </c>
    </row>
    <row r="8984" spans="2:35" ht="409.5">
      <c r="B8984" s="1">
        <v>44987</v>
      </c>
      <c r="C8984" s="4">
        <v>44987.550694444442</v>
      </c>
      <c r="D8984" t="s">
        <v>47402</v>
      </c>
      <c r="E8984" t="s">
        <v>29968</v>
      </c>
      <c r="F8984">
        <v>11</v>
      </c>
      <c r="G8984" t="s">
        <v>1205</v>
      </c>
      <c r="H8984" t="s">
        <v>202</v>
      </c>
      <c r="I8984" t="s">
        <v>40</v>
      </c>
      <c r="J8984" t="s">
        <v>79</v>
      </c>
      <c r="K8984" t="s">
        <v>42</v>
      </c>
      <c r="L8984" t="s">
        <v>204</v>
      </c>
      <c r="Q8984">
        <v>23610</v>
      </c>
      <c r="R8984" t="s">
        <v>45</v>
      </c>
      <c r="S8984" t="s">
        <v>29969</v>
      </c>
      <c r="T8984">
        <v>26.8</v>
      </c>
      <c r="U8984" s="2" t="s">
        <v>53953</v>
      </c>
      <c r="V8984" s="1">
        <v>44987</v>
      </c>
      <c r="W8984" t="s">
        <v>1292</v>
      </c>
      <c r="X8984">
        <v>838889</v>
      </c>
      <c r="Y8984" t="s">
        <v>53954</v>
      </c>
      <c r="Z8984" s="2" t="s">
        <v>53955</v>
      </c>
      <c r="AA8984" t="s">
        <v>12182</v>
      </c>
      <c r="AB8984" t="s">
        <v>9590</v>
      </c>
      <c r="AC8984" t="s">
        <v>54</v>
      </c>
      <c r="AD8984" t="s">
        <v>10253</v>
      </c>
      <c r="AE8984" t="s">
        <v>1716</v>
      </c>
      <c r="AG8984" t="s">
        <v>53961</v>
      </c>
      <c r="AH8984" t="s">
        <v>53957</v>
      </c>
      <c r="AI8984" t="s">
        <v>53962</v>
      </c>
    </row>
    <row r="8985" spans="2:35" ht="180">
      <c r="B8985" s="1">
        <v>44987</v>
      </c>
      <c r="C8985" s="4">
        <v>44987.518055555556</v>
      </c>
      <c r="D8985" t="s">
        <v>340</v>
      </c>
      <c r="E8985" t="s">
        <v>341</v>
      </c>
      <c r="F8985">
        <v>8</v>
      </c>
      <c r="G8985" t="s">
        <v>342</v>
      </c>
      <c r="H8985" t="s">
        <v>1498</v>
      </c>
      <c r="I8985" t="s">
        <v>40</v>
      </c>
      <c r="J8985" t="s">
        <v>109</v>
      </c>
      <c r="K8985" t="s">
        <v>42</v>
      </c>
      <c r="L8985" t="s">
        <v>343</v>
      </c>
      <c r="Q8985">
        <v>23609</v>
      </c>
      <c r="R8985" t="s">
        <v>119</v>
      </c>
      <c r="S8985" t="s">
        <v>345</v>
      </c>
      <c r="T8985">
        <v>24.3</v>
      </c>
      <c r="U8985" s="2" t="s">
        <v>53963</v>
      </c>
      <c r="W8985" t="s">
        <v>6105</v>
      </c>
      <c r="X8985">
        <v>838555</v>
      </c>
      <c r="Y8985" t="s">
        <v>301</v>
      </c>
      <c r="Z8985" t="s">
        <v>301</v>
      </c>
      <c r="AA8985" t="e">
        <f ca="1">-Preventive Maintenance</f>
        <v>#NAME?</v>
      </c>
      <c r="AB8985" t="s">
        <v>7886</v>
      </c>
      <c r="AG8985" t="s">
        <v>53964</v>
      </c>
      <c r="AH8985" t="s">
        <v>8455</v>
      </c>
      <c r="AI8985" t="s">
        <v>53965</v>
      </c>
    </row>
    <row r="8986" spans="2:35" ht="180">
      <c r="B8986" s="1">
        <v>44987</v>
      </c>
      <c r="C8986" s="4">
        <v>44987.518055555556</v>
      </c>
      <c r="D8986" t="s">
        <v>340</v>
      </c>
      <c r="E8986" t="s">
        <v>341</v>
      </c>
      <c r="F8986">
        <v>8</v>
      </c>
      <c r="G8986" t="s">
        <v>342</v>
      </c>
      <c r="H8986" t="s">
        <v>1498</v>
      </c>
      <c r="I8986" t="s">
        <v>40</v>
      </c>
      <c r="J8986" t="s">
        <v>109</v>
      </c>
      <c r="K8986" t="s">
        <v>42</v>
      </c>
      <c r="L8986" t="s">
        <v>343</v>
      </c>
      <c r="Q8986">
        <v>23608</v>
      </c>
      <c r="R8986" t="s">
        <v>119</v>
      </c>
      <c r="S8986" t="s">
        <v>345</v>
      </c>
      <c r="T8986">
        <v>24.3</v>
      </c>
      <c r="U8986" s="2" t="s">
        <v>53963</v>
      </c>
      <c r="W8986" t="s">
        <v>6105</v>
      </c>
      <c r="X8986">
        <v>838555</v>
      </c>
      <c r="Y8986" t="s">
        <v>301</v>
      </c>
      <c r="Z8986" t="s">
        <v>301</v>
      </c>
      <c r="AA8986" t="e">
        <f ca="1">-Preventive Maintenance</f>
        <v>#NAME?</v>
      </c>
      <c r="AB8986" t="s">
        <v>7886</v>
      </c>
      <c r="AG8986" t="s">
        <v>53966</v>
      </c>
      <c r="AH8986" t="s">
        <v>8455</v>
      </c>
      <c r="AI8986" t="s">
        <v>53967</v>
      </c>
    </row>
    <row r="8987" spans="2:35" ht="330">
      <c r="B8987" s="1">
        <v>44987</v>
      </c>
      <c r="C8987" s="4">
        <v>44987.435416666667</v>
      </c>
      <c r="D8987" t="s">
        <v>2489</v>
      </c>
      <c r="E8987" t="s">
        <v>51169</v>
      </c>
      <c r="F8987">
        <v>8</v>
      </c>
      <c r="G8987" t="s">
        <v>342</v>
      </c>
      <c r="H8987" t="s">
        <v>12698</v>
      </c>
      <c r="I8987" t="s">
        <v>40</v>
      </c>
      <c r="J8987" s="2" t="s">
        <v>41</v>
      </c>
      <c r="K8987" t="s">
        <v>42</v>
      </c>
      <c r="L8987" t="s">
        <v>259</v>
      </c>
      <c r="Q8987">
        <v>23607</v>
      </c>
      <c r="R8987" t="s">
        <v>45</v>
      </c>
      <c r="S8987" t="s">
        <v>2492</v>
      </c>
      <c r="T8987">
        <v>23</v>
      </c>
      <c r="U8987" s="2" t="s">
        <v>53968</v>
      </c>
      <c r="V8987" s="1">
        <v>44987</v>
      </c>
      <c r="W8987" t="s">
        <v>84</v>
      </c>
      <c r="X8987">
        <v>838143</v>
      </c>
      <c r="Y8987" t="s">
        <v>43116</v>
      </c>
      <c r="Z8987" s="2" t="s">
        <v>53969</v>
      </c>
      <c r="AA8987" t="e">
        <f ca="1">-module Replacement
-Preventive Maintenance</f>
        <v>#NAME?</v>
      </c>
      <c r="AB8987" t="s">
        <v>53970</v>
      </c>
      <c r="AD8987" t="s">
        <v>53971</v>
      </c>
      <c r="AE8987" t="s">
        <v>54</v>
      </c>
      <c r="AG8987" t="s">
        <v>53972</v>
      </c>
      <c r="AH8987" t="s">
        <v>53973</v>
      </c>
      <c r="AI8987" t="s">
        <v>53974</v>
      </c>
    </row>
    <row r="8988" spans="2:35" ht="180">
      <c r="B8988" s="1">
        <v>44987</v>
      </c>
      <c r="C8988" s="4">
        <v>44987.429861111108</v>
      </c>
      <c r="D8988" t="s">
        <v>30145</v>
      </c>
      <c r="E8988" t="s">
        <v>30146</v>
      </c>
      <c r="F8988">
        <v>12</v>
      </c>
      <c r="G8988" t="s">
        <v>5785</v>
      </c>
      <c r="H8988" t="s">
        <v>39</v>
      </c>
      <c r="I8988" t="s">
        <v>94</v>
      </c>
      <c r="J8988" t="s">
        <v>109</v>
      </c>
      <c r="K8988" t="s">
        <v>42</v>
      </c>
      <c r="L8988" t="s">
        <v>296</v>
      </c>
      <c r="Q8988">
        <v>23606</v>
      </c>
      <c r="R8988" t="s">
        <v>45</v>
      </c>
      <c r="S8988" t="s">
        <v>30147</v>
      </c>
      <c r="T8988">
        <v>28</v>
      </c>
      <c r="U8988" s="2" t="s">
        <v>53975</v>
      </c>
      <c r="W8988" t="s">
        <v>53976</v>
      </c>
      <c r="X8988">
        <v>835075</v>
      </c>
      <c r="Y8988" t="s">
        <v>54</v>
      </c>
      <c r="Z8988" t="s">
        <v>9161</v>
      </c>
      <c r="AA8988" t="s">
        <v>9161</v>
      </c>
      <c r="AB8988" t="s">
        <v>16070</v>
      </c>
      <c r="AG8988" t="s">
        <v>53977</v>
      </c>
      <c r="AH8988" t="s">
        <v>53978</v>
      </c>
      <c r="AI8988" t="s">
        <v>53979</v>
      </c>
    </row>
    <row r="8989" spans="2:35" ht="409.5">
      <c r="B8989" s="1">
        <v>44987</v>
      </c>
      <c r="C8989" s="4">
        <v>44987.402083333334</v>
      </c>
      <c r="D8989" t="s">
        <v>22431</v>
      </c>
      <c r="E8989" t="s">
        <v>28472</v>
      </c>
      <c r="F8989">
        <v>3</v>
      </c>
      <c r="G8989" t="s">
        <v>730</v>
      </c>
      <c r="H8989" t="s">
        <v>39</v>
      </c>
      <c r="I8989" t="s">
        <v>40</v>
      </c>
      <c r="J8989" s="2" t="s">
        <v>62</v>
      </c>
      <c r="K8989" t="s">
        <v>42</v>
      </c>
      <c r="L8989" t="s">
        <v>135</v>
      </c>
      <c r="Q8989">
        <v>23605</v>
      </c>
      <c r="R8989" t="s">
        <v>119</v>
      </c>
      <c r="S8989" t="s">
        <v>53980</v>
      </c>
      <c r="T8989">
        <v>28.125</v>
      </c>
      <c r="U8989" s="2" t="s">
        <v>53981</v>
      </c>
      <c r="V8989" s="1">
        <v>44959</v>
      </c>
      <c r="W8989" t="s">
        <v>2680</v>
      </c>
      <c r="X8989">
        <v>831917</v>
      </c>
      <c r="Y8989" t="s">
        <v>1751</v>
      </c>
      <c r="Z8989" s="2" t="s">
        <v>53982</v>
      </c>
      <c r="AA8989" s="2" t="s">
        <v>28886</v>
      </c>
      <c r="AB8989" t="s">
        <v>53983</v>
      </c>
      <c r="AC8989" t="s">
        <v>34421</v>
      </c>
      <c r="AD8989" t="s">
        <v>53984</v>
      </c>
      <c r="AE8989">
        <v>9572</v>
      </c>
      <c r="AG8989" t="s">
        <v>53985</v>
      </c>
      <c r="AH8989" t="s">
        <v>25092</v>
      </c>
      <c r="AI8989" t="s">
        <v>53986</v>
      </c>
    </row>
    <row r="8990" spans="2:35" ht="360">
      <c r="B8990" s="1">
        <v>44987</v>
      </c>
      <c r="C8990" s="4">
        <v>44986.587500000001</v>
      </c>
      <c r="D8990" t="s">
        <v>29843</v>
      </c>
      <c r="E8990" t="s">
        <v>33877</v>
      </c>
      <c r="F8990">
        <v>3</v>
      </c>
      <c r="G8990" t="s">
        <v>730</v>
      </c>
      <c r="H8990" t="s">
        <v>61</v>
      </c>
      <c r="I8990" t="s">
        <v>40</v>
      </c>
      <c r="J8990" s="2" t="s">
        <v>41</v>
      </c>
      <c r="K8990" t="s">
        <v>42</v>
      </c>
      <c r="L8990" t="s">
        <v>135</v>
      </c>
      <c r="Q8990">
        <v>23604</v>
      </c>
      <c r="R8990" t="s">
        <v>45</v>
      </c>
      <c r="S8990" t="s">
        <v>29845</v>
      </c>
      <c r="T8990">
        <v>27.3</v>
      </c>
      <c r="U8990" s="2" t="s">
        <v>20717</v>
      </c>
      <c r="V8990" s="1">
        <v>44986</v>
      </c>
      <c r="W8990" t="s">
        <v>2680</v>
      </c>
      <c r="X8990">
        <v>805108</v>
      </c>
      <c r="Y8990" t="s">
        <v>9298</v>
      </c>
      <c r="Z8990" s="2" t="s">
        <v>53987</v>
      </c>
      <c r="AA8990" s="2" t="s">
        <v>53988</v>
      </c>
      <c r="AB8990" t="s">
        <v>53989</v>
      </c>
      <c r="AD8990" t="s">
        <v>19828</v>
      </c>
      <c r="AE8990">
        <v>39293</v>
      </c>
      <c r="AG8990" t="s">
        <v>53990</v>
      </c>
      <c r="AH8990" t="s">
        <v>47740</v>
      </c>
      <c r="AI8990" t="s">
        <v>53991</v>
      </c>
    </row>
    <row r="8991" spans="2:35" ht="255">
      <c r="B8991" s="1">
        <v>44987</v>
      </c>
      <c r="C8991" s="4">
        <v>44985.452777777777</v>
      </c>
      <c r="D8991" t="s">
        <v>23635</v>
      </c>
      <c r="E8991" t="s">
        <v>27716</v>
      </c>
      <c r="F8991" t="s">
        <v>148</v>
      </c>
      <c r="G8991" t="s">
        <v>310</v>
      </c>
      <c r="H8991" t="s">
        <v>39</v>
      </c>
      <c r="I8991" t="s">
        <v>40</v>
      </c>
      <c r="J8991" s="2" t="s">
        <v>62</v>
      </c>
      <c r="K8991" t="s">
        <v>42</v>
      </c>
      <c r="L8991" t="s">
        <v>1943</v>
      </c>
      <c r="Q8991">
        <v>23602</v>
      </c>
      <c r="R8991" t="s">
        <v>119</v>
      </c>
      <c r="S8991" t="s">
        <v>47898</v>
      </c>
      <c r="T8991">
        <v>25</v>
      </c>
      <c r="U8991" s="2" t="s">
        <v>53992</v>
      </c>
      <c r="V8991" s="1">
        <v>44943</v>
      </c>
      <c r="W8991" t="s">
        <v>84</v>
      </c>
      <c r="X8991">
        <v>831620</v>
      </c>
      <c r="Y8991" s="2" t="s">
        <v>3044</v>
      </c>
      <c r="Z8991" s="2" t="s">
        <v>47457</v>
      </c>
      <c r="AA8991" t="s">
        <v>53993</v>
      </c>
      <c r="AB8991" t="s">
        <v>53994</v>
      </c>
      <c r="AE8991" t="s">
        <v>20898</v>
      </c>
      <c r="AG8991" t="s">
        <v>53995</v>
      </c>
      <c r="AH8991" t="s">
        <v>53996</v>
      </c>
      <c r="AI8991" t="s">
        <v>53997</v>
      </c>
    </row>
    <row r="8992" spans="2:35" ht="409.5">
      <c r="B8992" s="1">
        <v>44987</v>
      </c>
      <c r="C8992" s="4">
        <v>44987.377083333333</v>
      </c>
      <c r="D8992" t="s">
        <v>92</v>
      </c>
      <c r="E8992" t="s">
        <v>45252</v>
      </c>
      <c r="F8992" t="s">
        <v>37</v>
      </c>
      <c r="G8992" t="s">
        <v>78</v>
      </c>
      <c r="H8992" t="s">
        <v>61</v>
      </c>
      <c r="I8992" t="s">
        <v>40</v>
      </c>
      <c r="J8992" s="2" t="s">
        <v>62</v>
      </c>
      <c r="K8992" t="s">
        <v>42</v>
      </c>
      <c r="L8992" t="s">
        <v>1943</v>
      </c>
      <c r="Q8992">
        <v>23603</v>
      </c>
      <c r="R8992" t="s">
        <v>95</v>
      </c>
      <c r="S8992" t="s">
        <v>96</v>
      </c>
      <c r="T8992">
        <v>25</v>
      </c>
      <c r="U8992" s="2" t="s">
        <v>53998</v>
      </c>
      <c r="V8992" s="1">
        <v>44984</v>
      </c>
      <c r="W8992" t="s">
        <v>84</v>
      </c>
      <c r="X8992">
        <v>839233</v>
      </c>
      <c r="Y8992" s="2" t="s">
        <v>3044</v>
      </c>
      <c r="Z8992" s="2" t="s">
        <v>53999</v>
      </c>
      <c r="AA8992" t="s">
        <v>3045</v>
      </c>
      <c r="AB8992" t="s">
        <v>54000</v>
      </c>
      <c r="AD8992" t="s">
        <v>11518</v>
      </c>
      <c r="AE8992" t="s">
        <v>54</v>
      </c>
      <c r="AG8992" t="s">
        <v>54001</v>
      </c>
      <c r="AH8992" t="s">
        <v>54002</v>
      </c>
      <c r="AI8992" t="s">
        <v>54003</v>
      </c>
    </row>
    <row r="8993" spans="2:35" ht="270">
      <c r="B8993" s="1">
        <v>44987</v>
      </c>
      <c r="C8993" s="4">
        <v>44985.538194444445</v>
      </c>
      <c r="D8993" t="s">
        <v>54004</v>
      </c>
      <c r="E8993" t="s">
        <v>54005</v>
      </c>
      <c r="F8993" t="s">
        <v>148</v>
      </c>
      <c r="G8993" t="s">
        <v>23621</v>
      </c>
      <c r="H8993" t="s">
        <v>39</v>
      </c>
      <c r="I8993" t="s">
        <v>40</v>
      </c>
      <c r="J8993" s="2" t="s">
        <v>41</v>
      </c>
      <c r="K8993" t="s">
        <v>42</v>
      </c>
      <c r="L8993" t="s">
        <v>1943</v>
      </c>
      <c r="Q8993">
        <v>23601</v>
      </c>
      <c r="R8993" t="s">
        <v>45</v>
      </c>
      <c r="S8993" t="s">
        <v>23622</v>
      </c>
      <c r="T8993">
        <v>25</v>
      </c>
      <c r="U8993" s="2" t="s">
        <v>54006</v>
      </c>
      <c r="V8993" s="1">
        <v>44985</v>
      </c>
      <c r="W8993" t="s">
        <v>84</v>
      </c>
      <c r="X8993">
        <v>807592</v>
      </c>
      <c r="Y8993" s="2" t="s">
        <v>54007</v>
      </c>
      <c r="Z8993" s="2" t="s">
        <v>51868</v>
      </c>
      <c r="AA8993" t="s">
        <v>1947</v>
      </c>
      <c r="AB8993" t="s">
        <v>54008</v>
      </c>
      <c r="AD8993" t="s">
        <v>54009</v>
      </c>
      <c r="AE8993" t="s">
        <v>8904</v>
      </c>
      <c r="AG8993" t="s">
        <v>54010</v>
      </c>
      <c r="AH8993" t="s">
        <v>23626</v>
      </c>
      <c r="AI8993" t="s">
        <v>54011</v>
      </c>
    </row>
    <row r="8994" spans="2:35" ht="225">
      <c r="B8994" s="1">
        <v>44987</v>
      </c>
      <c r="C8994" s="4">
        <v>44985.541666666664</v>
      </c>
      <c r="D8994" t="s">
        <v>23619</v>
      </c>
      <c r="E8994" t="s">
        <v>54005</v>
      </c>
      <c r="F8994" t="s">
        <v>148</v>
      </c>
      <c r="G8994" t="s">
        <v>23621</v>
      </c>
      <c r="H8994" t="s">
        <v>39</v>
      </c>
      <c r="I8994" t="s">
        <v>40</v>
      </c>
      <c r="J8994" s="2" t="s">
        <v>62</v>
      </c>
      <c r="K8994" t="s">
        <v>42</v>
      </c>
      <c r="L8994" t="s">
        <v>1943</v>
      </c>
      <c r="Q8994">
        <v>23600</v>
      </c>
      <c r="R8994" t="s">
        <v>119</v>
      </c>
      <c r="S8994" t="s">
        <v>23622</v>
      </c>
      <c r="T8994">
        <v>25</v>
      </c>
      <c r="U8994" s="2" t="s">
        <v>54006</v>
      </c>
      <c r="W8994" t="s">
        <v>84</v>
      </c>
      <c r="X8994">
        <v>831626</v>
      </c>
      <c r="Y8994" s="2" t="s">
        <v>54012</v>
      </c>
      <c r="Z8994" s="2" t="s">
        <v>54013</v>
      </c>
      <c r="AA8994" t="s">
        <v>3045</v>
      </c>
      <c r="AB8994" t="s">
        <v>54014</v>
      </c>
      <c r="AC8994" t="s">
        <v>46667</v>
      </c>
      <c r="AG8994" t="s">
        <v>54015</v>
      </c>
      <c r="AH8994" t="s">
        <v>23626</v>
      </c>
      <c r="AI8994" t="s">
        <v>54016</v>
      </c>
    </row>
    <row r="8995" spans="2:35" ht="180">
      <c r="B8995" s="1">
        <v>44987</v>
      </c>
      <c r="C8995" s="4">
        <v>44986.461111111108</v>
      </c>
      <c r="D8995" t="s">
        <v>1496</v>
      </c>
      <c r="E8995" t="s">
        <v>1497</v>
      </c>
      <c r="F8995">
        <v>8</v>
      </c>
      <c r="G8995" t="s">
        <v>342</v>
      </c>
      <c r="H8995" t="s">
        <v>1498</v>
      </c>
      <c r="I8995" t="s">
        <v>40</v>
      </c>
      <c r="J8995" t="s">
        <v>109</v>
      </c>
      <c r="K8995" t="s">
        <v>42</v>
      </c>
      <c r="L8995" t="s">
        <v>343</v>
      </c>
      <c r="Q8995">
        <v>23599</v>
      </c>
      <c r="R8995" t="s">
        <v>119</v>
      </c>
      <c r="S8995" t="s">
        <v>7820</v>
      </c>
      <c r="T8995">
        <v>28.5</v>
      </c>
      <c r="U8995" s="2" t="s">
        <v>54017</v>
      </c>
      <c r="W8995" t="s">
        <v>6105</v>
      </c>
      <c r="X8995">
        <v>838297</v>
      </c>
      <c r="Y8995" t="s">
        <v>301</v>
      </c>
      <c r="Z8995" t="s">
        <v>301</v>
      </c>
      <c r="AA8995" t="e">
        <f ca="1">-Preventive Maintenance</f>
        <v>#NAME?</v>
      </c>
      <c r="AB8995" t="s">
        <v>45625</v>
      </c>
      <c r="AG8995" t="s">
        <v>54018</v>
      </c>
      <c r="AH8995" t="s">
        <v>12926</v>
      </c>
      <c r="AI8995" t="s">
        <v>54019</v>
      </c>
    </row>
    <row r="8996" spans="2:35" ht="105">
      <c r="B8996" s="1">
        <v>44986</v>
      </c>
      <c r="C8996" s="4">
        <v>44986.455555555556</v>
      </c>
      <c r="D8996" t="s">
        <v>38791</v>
      </c>
      <c r="E8996" t="s">
        <v>8331</v>
      </c>
      <c r="F8996" t="s">
        <v>148</v>
      </c>
      <c r="G8996" t="s">
        <v>230</v>
      </c>
      <c r="H8996" t="s">
        <v>39</v>
      </c>
      <c r="I8996" t="s">
        <v>40</v>
      </c>
      <c r="J8996" t="s">
        <v>321</v>
      </c>
      <c r="K8996" t="s">
        <v>42</v>
      </c>
      <c r="L8996" t="s">
        <v>175</v>
      </c>
      <c r="Q8996">
        <v>23598</v>
      </c>
      <c r="R8996" t="s">
        <v>95</v>
      </c>
      <c r="S8996" t="s">
        <v>54020</v>
      </c>
      <c r="T8996">
        <v>25</v>
      </c>
      <c r="U8996" s="2" t="s">
        <v>54021</v>
      </c>
      <c r="W8996" t="s">
        <v>84</v>
      </c>
      <c r="X8996">
        <v>110018312</v>
      </c>
      <c r="Y8996" t="s">
        <v>23623</v>
      </c>
      <c r="Z8996" t="e">
        <f ca="1">- installed Unit
- installed SARS CoV, MTB Rif ultra Assay
- generated report</f>
        <v>#NAME?</v>
      </c>
      <c r="AA8996" t="s">
        <v>9374</v>
      </c>
      <c r="AB8996" t="s">
        <v>88</v>
      </c>
      <c r="AG8996" t="s">
        <v>54022</v>
      </c>
      <c r="AH8996" t="s">
        <v>14674</v>
      </c>
      <c r="AI8996" t="s">
        <v>54023</v>
      </c>
    </row>
    <row r="8997" spans="2:35" ht="180">
      <c r="B8997" s="1">
        <v>44986</v>
      </c>
      <c r="C8997" s="4">
        <v>44986.640277777777</v>
      </c>
      <c r="D8997" t="s">
        <v>20098</v>
      </c>
      <c r="E8997" t="s">
        <v>4456</v>
      </c>
      <c r="F8997">
        <v>6</v>
      </c>
      <c r="G8997" t="s">
        <v>4457</v>
      </c>
      <c r="H8997" t="s">
        <v>258</v>
      </c>
      <c r="I8997" t="s">
        <v>40</v>
      </c>
      <c r="J8997" s="2" t="s">
        <v>62</v>
      </c>
      <c r="K8997" t="s">
        <v>42</v>
      </c>
      <c r="L8997" t="s">
        <v>270</v>
      </c>
      <c r="Q8997">
        <v>23597</v>
      </c>
      <c r="R8997" t="s">
        <v>119</v>
      </c>
      <c r="S8997" t="s">
        <v>4458</v>
      </c>
      <c r="T8997">
        <v>26</v>
      </c>
      <c r="U8997" s="2" t="s">
        <v>54024</v>
      </c>
      <c r="W8997" t="s">
        <v>1292</v>
      </c>
      <c r="X8997">
        <v>838540</v>
      </c>
      <c r="Y8997" t="s">
        <v>54025</v>
      </c>
      <c r="Z8997" t="s">
        <v>53939</v>
      </c>
      <c r="AA8997" t="s">
        <v>54026</v>
      </c>
      <c r="AB8997" t="s">
        <v>40501</v>
      </c>
      <c r="AG8997" t="s">
        <v>54027</v>
      </c>
      <c r="AH8997" t="s">
        <v>17634</v>
      </c>
      <c r="AI8997" t="s">
        <v>54028</v>
      </c>
    </row>
    <row r="8998" spans="2:35" ht="409.5">
      <c r="B8998" s="1">
        <v>44986</v>
      </c>
      <c r="C8998" s="4">
        <v>44986.633333333331</v>
      </c>
      <c r="D8998" t="s">
        <v>12016</v>
      </c>
      <c r="E8998" t="s">
        <v>12017</v>
      </c>
      <c r="F8998">
        <v>7</v>
      </c>
      <c r="G8998" t="s">
        <v>432</v>
      </c>
      <c r="H8998" t="s">
        <v>10969</v>
      </c>
      <c r="I8998" t="s">
        <v>40</v>
      </c>
      <c r="J8998" t="s">
        <v>54029</v>
      </c>
      <c r="K8998" t="s">
        <v>42</v>
      </c>
      <c r="L8998" t="s">
        <v>1288</v>
      </c>
      <c r="Q8998">
        <v>23596</v>
      </c>
      <c r="R8998" t="s">
        <v>95</v>
      </c>
      <c r="S8998" t="s">
        <v>1556</v>
      </c>
      <c r="T8998">
        <v>26</v>
      </c>
      <c r="U8998" s="2" t="s">
        <v>54030</v>
      </c>
      <c r="W8998" t="s">
        <v>4775</v>
      </c>
      <c r="X8998">
        <v>802314</v>
      </c>
      <c r="Y8998" t="s">
        <v>54031</v>
      </c>
      <c r="Z8998" t="e">
        <f ca="1">-COLLECT GX _xludf.and ACCESORIES _xludf.info</f>
        <v>#NAME?</v>
      </c>
      <c r="AA8998" s="2" t="s">
        <v>54032</v>
      </c>
      <c r="AB8998" t="s">
        <v>54033</v>
      </c>
      <c r="AG8998" t="s">
        <v>54034</v>
      </c>
      <c r="AH8998" t="s">
        <v>54035</v>
      </c>
      <c r="AI8998" t="s">
        <v>54036</v>
      </c>
    </row>
    <row r="8999" spans="2:35" ht="390">
      <c r="B8999" s="1">
        <v>44986</v>
      </c>
      <c r="C8999" s="4">
        <v>44986.625</v>
      </c>
      <c r="D8999" t="s">
        <v>40257</v>
      </c>
      <c r="E8999" t="s">
        <v>40258</v>
      </c>
      <c r="F8999">
        <v>8</v>
      </c>
      <c r="G8999" t="s">
        <v>342</v>
      </c>
      <c r="H8999" t="s">
        <v>12698</v>
      </c>
      <c r="I8999" t="s">
        <v>40</v>
      </c>
      <c r="J8999" s="2" t="s">
        <v>41</v>
      </c>
      <c r="K8999" t="s">
        <v>42</v>
      </c>
      <c r="L8999" t="s">
        <v>259</v>
      </c>
      <c r="Q8999">
        <v>23595</v>
      </c>
      <c r="R8999" t="s">
        <v>45</v>
      </c>
      <c r="S8999" t="s">
        <v>50956</v>
      </c>
      <c r="T8999">
        <v>23</v>
      </c>
      <c r="U8999" s="2" t="s">
        <v>54037</v>
      </c>
      <c r="V8999" s="1">
        <v>44986</v>
      </c>
      <c r="W8999" t="s">
        <v>84</v>
      </c>
      <c r="X8999">
        <v>807619</v>
      </c>
      <c r="Y8999" t="s">
        <v>54038</v>
      </c>
      <c r="Z8999" s="2" t="s">
        <v>54039</v>
      </c>
      <c r="AA8999" t="e">
        <f ca="1">-module Replacement
-Preventive Maintenance</f>
        <v>#NAME?</v>
      </c>
      <c r="AB8999" s="2" t="s">
        <v>54040</v>
      </c>
      <c r="AD8999" t="s">
        <v>54041</v>
      </c>
      <c r="AE8999" t="s">
        <v>54042</v>
      </c>
      <c r="AG8999" t="s">
        <v>54043</v>
      </c>
      <c r="AH8999" t="s">
        <v>54044</v>
      </c>
      <c r="AI8999" t="s">
        <v>54045</v>
      </c>
    </row>
    <row r="9000" spans="2:35" ht="120">
      <c r="B9000" s="1">
        <v>44986</v>
      </c>
      <c r="C9000" s="4">
        <v>44986.607638888891</v>
      </c>
      <c r="D9000" t="s">
        <v>1155</v>
      </c>
      <c r="E9000" t="s">
        <v>8331</v>
      </c>
      <c r="F9000" t="s">
        <v>148</v>
      </c>
      <c r="G9000" t="s">
        <v>230</v>
      </c>
      <c r="H9000" t="s">
        <v>39</v>
      </c>
      <c r="I9000" t="s">
        <v>40</v>
      </c>
      <c r="J9000" s="2" t="s">
        <v>62</v>
      </c>
      <c r="K9000" t="s">
        <v>42</v>
      </c>
      <c r="L9000" t="s">
        <v>175</v>
      </c>
      <c r="Q9000">
        <v>23594</v>
      </c>
      <c r="R9000" t="s">
        <v>45</v>
      </c>
      <c r="S9000" t="s">
        <v>1159</v>
      </c>
      <c r="T9000">
        <v>25</v>
      </c>
      <c r="U9000" s="2" t="s">
        <v>40801</v>
      </c>
      <c r="W9000" t="s">
        <v>84</v>
      </c>
      <c r="X9000">
        <v>808649</v>
      </c>
      <c r="Y9000" t="s">
        <v>998</v>
      </c>
      <c r="Z9000" t="e">
        <f ca="1">- checked _xludf.and cleaned, cartridge bay, plunger rod, I CORE slot, _xludf.filter
- performed XpertCheck
- generated reports</f>
        <v>#NAME?</v>
      </c>
      <c r="AA9000" t="s">
        <v>999</v>
      </c>
      <c r="AB9000" t="s">
        <v>54046</v>
      </c>
      <c r="AG9000" t="s">
        <v>54047</v>
      </c>
      <c r="AH9000" t="s">
        <v>54048</v>
      </c>
      <c r="AI9000" t="s">
        <v>54049</v>
      </c>
    </row>
    <row r="9001" spans="2:35" ht="409.5">
      <c r="B9001" s="1">
        <v>44986</v>
      </c>
      <c r="C9001" s="4">
        <v>44986.617361111108</v>
      </c>
      <c r="D9001" t="s">
        <v>25184</v>
      </c>
      <c r="E9001" t="s">
        <v>54050</v>
      </c>
      <c r="F9001">
        <v>11</v>
      </c>
      <c r="G9001" t="s">
        <v>1205</v>
      </c>
      <c r="H9001" t="s">
        <v>202</v>
      </c>
      <c r="I9001" t="s">
        <v>40</v>
      </c>
      <c r="J9001" t="s">
        <v>79</v>
      </c>
      <c r="K9001" t="s">
        <v>42</v>
      </c>
      <c r="L9001" t="s">
        <v>204</v>
      </c>
      <c r="Q9001">
        <v>23593</v>
      </c>
      <c r="R9001" t="s">
        <v>45</v>
      </c>
      <c r="S9001" t="s">
        <v>25186</v>
      </c>
      <c r="T9001">
        <v>24.7</v>
      </c>
      <c r="U9001" s="2" t="s">
        <v>54051</v>
      </c>
      <c r="V9001" s="1">
        <v>44986</v>
      </c>
      <c r="W9001" t="s">
        <v>1292</v>
      </c>
      <c r="X9001">
        <v>838865</v>
      </c>
      <c r="Y9001" t="s">
        <v>54052</v>
      </c>
      <c r="Z9001" s="2" t="s">
        <v>54053</v>
      </c>
      <c r="AA9001" t="s">
        <v>54054</v>
      </c>
      <c r="AB9001" t="s">
        <v>9590</v>
      </c>
      <c r="AC9001" t="s">
        <v>54</v>
      </c>
      <c r="AD9001" t="s">
        <v>10253</v>
      </c>
      <c r="AE9001" t="s">
        <v>54</v>
      </c>
      <c r="AG9001" t="s">
        <v>54055</v>
      </c>
      <c r="AH9001" t="s">
        <v>54056</v>
      </c>
      <c r="AI9001" t="s">
        <v>54057</v>
      </c>
    </row>
    <row r="9002" spans="2:35" ht="409.5">
      <c r="B9002" s="1">
        <v>44986</v>
      </c>
      <c r="C9002" s="4">
        <v>44986.617361111108</v>
      </c>
      <c r="D9002" t="s">
        <v>25184</v>
      </c>
      <c r="E9002" t="s">
        <v>54050</v>
      </c>
      <c r="F9002">
        <v>11</v>
      </c>
      <c r="G9002" t="s">
        <v>1205</v>
      </c>
      <c r="H9002" t="s">
        <v>202</v>
      </c>
      <c r="I9002" t="s">
        <v>40</v>
      </c>
      <c r="J9002" t="s">
        <v>79</v>
      </c>
      <c r="K9002" t="s">
        <v>42</v>
      </c>
      <c r="L9002" t="s">
        <v>204</v>
      </c>
      <c r="Q9002">
        <v>23592</v>
      </c>
      <c r="R9002" t="s">
        <v>45</v>
      </c>
      <c r="S9002" t="s">
        <v>25186</v>
      </c>
      <c r="T9002">
        <v>24.7</v>
      </c>
      <c r="U9002" s="2" t="s">
        <v>54051</v>
      </c>
      <c r="V9002" s="1">
        <v>44986</v>
      </c>
      <c r="W9002" t="s">
        <v>1292</v>
      </c>
      <c r="X9002">
        <v>838865</v>
      </c>
      <c r="Y9002" t="s">
        <v>54052</v>
      </c>
      <c r="Z9002" s="2" t="s">
        <v>54053</v>
      </c>
      <c r="AA9002" t="s">
        <v>54054</v>
      </c>
      <c r="AB9002" t="s">
        <v>9590</v>
      </c>
      <c r="AC9002" t="s">
        <v>54</v>
      </c>
      <c r="AD9002" t="s">
        <v>10253</v>
      </c>
      <c r="AE9002" t="s">
        <v>54</v>
      </c>
      <c r="AG9002" t="s">
        <v>54058</v>
      </c>
      <c r="AH9002" t="s">
        <v>54056</v>
      </c>
      <c r="AI9002" t="s">
        <v>54059</v>
      </c>
    </row>
    <row r="9003" spans="2:35" ht="360">
      <c r="B9003" s="1">
        <v>44986</v>
      </c>
      <c r="C9003" s="4">
        <v>44986.587500000001</v>
      </c>
      <c r="D9003" t="s">
        <v>29843</v>
      </c>
      <c r="E9003" t="s">
        <v>33877</v>
      </c>
      <c r="F9003">
        <v>3</v>
      </c>
      <c r="G9003" t="s">
        <v>730</v>
      </c>
      <c r="H9003" t="s">
        <v>61</v>
      </c>
      <c r="I9003" t="s">
        <v>40</v>
      </c>
      <c r="J9003" s="2" t="s">
        <v>41</v>
      </c>
      <c r="K9003" t="s">
        <v>42</v>
      </c>
      <c r="L9003" t="s">
        <v>135</v>
      </c>
      <c r="Q9003">
        <v>23591</v>
      </c>
      <c r="R9003" t="s">
        <v>45</v>
      </c>
      <c r="S9003" t="s">
        <v>29845</v>
      </c>
      <c r="T9003">
        <v>27.3</v>
      </c>
      <c r="U9003" s="2" t="s">
        <v>20717</v>
      </c>
      <c r="V9003" s="1">
        <v>44986</v>
      </c>
      <c r="W9003" t="s">
        <v>2680</v>
      </c>
      <c r="X9003">
        <v>805108</v>
      </c>
      <c r="Y9003" t="s">
        <v>9298</v>
      </c>
      <c r="Z9003" s="2" t="s">
        <v>53987</v>
      </c>
      <c r="AA9003" s="2" t="s">
        <v>53988</v>
      </c>
      <c r="AB9003" t="s">
        <v>53989</v>
      </c>
      <c r="AD9003" t="s">
        <v>19828</v>
      </c>
      <c r="AE9003">
        <v>39293</v>
      </c>
      <c r="AG9003" t="s">
        <v>54060</v>
      </c>
      <c r="AH9003" t="s">
        <v>47740</v>
      </c>
      <c r="AI9003" t="s">
        <v>54061</v>
      </c>
    </row>
    <row r="9004" spans="2:35" ht="120">
      <c r="B9004" s="1">
        <v>44986</v>
      </c>
      <c r="C9004" s="4">
        <v>44986.607638888891</v>
      </c>
      <c r="D9004" t="s">
        <v>1155</v>
      </c>
      <c r="E9004" t="s">
        <v>8331</v>
      </c>
      <c r="F9004" t="s">
        <v>148</v>
      </c>
      <c r="G9004" t="s">
        <v>230</v>
      </c>
      <c r="H9004" t="s">
        <v>39</v>
      </c>
      <c r="I9004" t="s">
        <v>40</v>
      </c>
      <c r="J9004" s="2" t="s">
        <v>62</v>
      </c>
      <c r="K9004" t="s">
        <v>42</v>
      </c>
      <c r="L9004" t="s">
        <v>175</v>
      </c>
      <c r="Q9004">
        <v>23590</v>
      </c>
      <c r="R9004" t="s">
        <v>45</v>
      </c>
      <c r="S9004" t="s">
        <v>1159</v>
      </c>
      <c r="T9004">
        <v>25</v>
      </c>
      <c r="U9004" s="2" t="s">
        <v>40801</v>
      </c>
      <c r="W9004" t="s">
        <v>84</v>
      </c>
      <c r="X9004">
        <v>808649</v>
      </c>
      <c r="Y9004" t="s">
        <v>998</v>
      </c>
      <c r="Z9004" t="e">
        <f ca="1">- checked _xludf.and cleaned, cartridge bay, plunger rod, I CORE slot, _xludf.filter
- performed XpertCheck
- generated reports</f>
        <v>#NAME?</v>
      </c>
      <c r="AA9004" t="s">
        <v>999</v>
      </c>
      <c r="AB9004" t="s">
        <v>54046</v>
      </c>
      <c r="AG9004" t="s">
        <v>54062</v>
      </c>
      <c r="AH9004" t="s">
        <v>54048</v>
      </c>
      <c r="AI9004" t="s">
        <v>54063</v>
      </c>
    </row>
    <row r="9005" spans="2:35" ht="180">
      <c r="B9005" s="1">
        <v>44986</v>
      </c>
      <c r="C9005" s="4">
        <v>44986.585416666669</v>
      </c>
      <c r="D9005" t="s">
        <v>8464</v>
      </c>
      <c r="E9005" t="s">
        <v>54064</v>
      </c>
      <c r="F9005">
        <v>7</v>
      </c>
      <c r="G9005" t="s">
        <v>432</v>
      </c>
      <c r="H9005" t="s">
        <v>39</v>
      </c>
      <c r="I9005" t="s">
        <v>94</v>
      </c>
      <c r="J9005" s="2" t="s">
        <v>1006</v>
      </c>
      <c r="K9005" t="s">
        <v>42</v>
      </c>
      <c r="L9005" t="s">
        <v>433</v>
      </c>
      <c r="Q9005">
        <v>23589</v>
      </c>
      <c r="R9005" t="s">
        <v>119</v>
      </c>
      <c r="S9005" t="s">
        <v>54065</v>
      </c>
      <c r="T9005">
        <v>27</v>
      </c>
      <c r="U9005" s="2" t="s">
        <v>54066</v>
      </c>
      <c r="W9005" t="s">
        <v>84</v>
      </c>
      <c r="X9005">
        <v>838509</v>
      </c>
      <c r="Y9005" t="s">
        <v>54067</v>
      </c>
      <c r="Z9005" t="s">
        <v>54068</v>
      </c>
      <c r="AA9005" t="s">
        <v>54068</v>
      </c>
      <c r="AB9005" t="s">
        <v>54069</v>
      </c>
      <c r="AG9005" t="s">
        <v>54070</v>
      </c>
      <c r="AH9005" t="s">
        <v>54071</v>
      </c>
      <c r="AI9005" t="s">
        <v>54072</v>
      </c>
    </row>
    <row r="9006" spans="2:35" ht="409.5">
      <c r="B9006" s="1">
        <v>44986</v>
      </c>
      <c r="C9006" s="4">
        <v>44986.447916666664</v>
      </c>
      <c r="D9006" t="s">
        <v>54073</v>
      </c>
      <c r="E9006" t="s">
        <v>54074</v>
      </c>
      <c r="F9006">
        <v>1</v>
      </c>
      <c r="G9006" t="s">
        <v>1046</v>
      </c>
      <c r="H9006" t="s">
        <v>39</v>
      </c>
      <c r="I9006" t="s">
        <v>40</v>
      </c>
      <c r="J9006" s="2" t="s">
        <v>41</v>
      </c>
      <c r="K9006" t="s">
        <v>42</v>
      </c>
      <c r="L9006" t="s">
        <v>135</v>
      </c>
      <c r="Q9006">
        <v>23588</v>
      </c>
      <c r="R9006" t="s">
        <v>45</v>
      </c>
      <c r="S9006" t="s">
        <v>30973</v>
      </c>
      <c r="T9006">
        <v>28.6</v>
      </c>
      <c r="U9006" s="2" t="s">
        <v>54075</v>
      </c>
      <c r="V9006" s="1">
        <v>44981</v>
      </c>
      <c r="W9006" t="s">
        <v>2680</v>
      </c>
      <c r="X9006">
        <v>805109</v>
      </c>
      <c r="Y9006" t="s">
        <v>38525</v>
      </c>
      <c r="Z9006" s="2" t="s">
        <v>54076</v>
      </c>
      <c r="AA9006" s="2" t="s">
        <v>54077</v>
      </c>
      <c r="AB9006" t="s">
        <v>49896</v>
      </c>
      <c r="AD9006" t="s">
        <v>19828</v>
      </c>
      <c r="AE9006">
        <v>39295</v>
      </c>
      <c r="AG9006" t="s">
        <v>54078</v>
      </c>
      <c r="AH9006" t="s">
        <v>30976</v>
      </c>
      <c r="AI9006" t="s">
        <v>54079</v>
      </c>
    </row>
    <row r="9007" spans="2:35" ht="360">
      <c r="B9007" s="1">
        <v>44986</v>
      </c>
      <c r="C9007" s="4">
        <v>44986.48333333333</v>
      </c>
      <c r="D9007" t="s">
        <v>54080</v>
      </c>
      <c r="E9007" t="s">
        <v>23611</v>
      </c>
      <c r="F9007">
        <v>3</v>
      </c>
      <c r="G9007" t="s">
        <v>134</v>
      </c>
      <c r="H9007" t="s">
        <v>39</v>
      </c>
      <c r="I9007" t="s">
        <v>40</v>
      </c>
      <c r="J9007" s="2" t="s">
        <v>41</v>
      </c>
      <c r="K9007" t="s">
        <v>42</v>
      </c>
      <c r="L9007" t="s">
        <v>63</v>
      </c>
      <c r="Q9007">
        <v>23587</v>
      </c>
      <c r="R9007" t="s">
        <v>45</v>
      </c>
      <c r="S9007" t="s">
        <v>54081</v>
      </c>
      <c r="T9007">
        <v>29</v>
      </c>
      <c r="U9007" s="2" t="s">
        <v>54082</v>
      </c>
      <c r="V9007" s="1">
        <v>44986</v>
      </c>
      <c r="W9007" t="s">
        <v>26915</v>
      </c>
      <c r="X9007">
        <v>812790</v>
      </c>
      <c r="Y9007" t="s">
        <v>1716</v>
      </c>
      <c r="Z9007" t="s">
        <v>1716</v>
      </c>
      <c r="AA9007" s="2" t="s">
        <v>54083</v>
      </c>
      <c r="AB9007" t="s">
        <v>70</v>
      </c>
      <c r="AC9007" t="s">
        <v>1716</v>
      </c>
      <c r="AD9007" t="s">
        <v>54084</v>
      </c>
      <c r="AE9007" t="s">
        <v>1716</v>
      </c>
      <c r="AG9007" t="s">
        <v>54085</v>
      </c>
      <c r="AH9007" t="s">
        <v>46115</v>
      </c>
      <c r="AI9007" t="s">
        <v>54086</v>
      </c>
    </row>
    <row r="9008" spans="2:35" ht="180">
      <c r="B9008" s="1">
        <v>44986</v>
      </c>
      <c r="C9008" s="4">
        <v>44986.461111111108</v>
      </c>
      <c r="D9008" t="s">
        <v>1496</v>
      </c>
      <c r="E9008" t="s">
        <v>1497</v>
      </c>
      <c r="F9008">
        <v>8</v>
      </c>
      <c r="G9008" t="s">
        <v>342</v>
      </c>
      <c r="H9008" t="s">
        <v>1498</v>
      </c>
      <c r="I9008" t="s">
        <v>40</v>
      </c>
      <c r="J9008" t="s">
        <v>109</v>
      </c>
      <c r="K9008" t="s">
        <v>42</v>
      </c>
      <c r="L9008" t="s">
        <v>343</v>
      </c>
      <c r="Q9008">
        <v>23586</v>
      </c>
      <c r="R9008" t="s">
        <v>119</v>
      </c>
      <c r="S9008" t="s">
        <v>7820</v>
      </c>
      <c r="T9008">
        <v>28.5</v>
      </c>
      <c r="U9008" s="2" t="s">
        <v>54017</v>
      </c>
      <c r="W9008" t="s">
        <v>6105</v>
      </c>
      <c r="X9008">
        <v>838297</v>
      </c>
      <c r="Y9008" t="s">
        <v>301</v>
      </c>
      <c r="Z9008" t="s">
        <v>301</v>
      </c>
      <c r="AA9008" t="e">
        <f ca="1">-Preventive Maintenance</f>
        <v>#NAME?</v>
      </c>
      <c r="AB9008" t="s">
        <v>45625</v>
      </c>
      <c r="AG9008" t="s">
        <v>54087</v>
      </c>
      <c r="AH9008" t="s">
        <v>12926</v>
      </c>
      <c r="AI9008" t="s">
        <v>54088</v>
      </c>
    </row>
    <row r="9009" spans="2:35" ht="180">
      <c r="B9009" s="1">
        <v>44986</v>
      </c>
      <c r="C9009" s="4">
        <v>44986.461111111108</v>
      </c>
      <c r="D9009" t="s">
        <v>1496</v>
      </c>
      <c r="E9009" t="s">
        <v>1497</v>
      </c>
      <c r="F9009">
        <v>8</v>
      </c>
      <c r="G9009" t="s">
        <v>342</v>
      </c>
      <c r="H9009" t="s">
        <v>1498</v>
      </c>
      <c r="I9009" t="s">
        <v>40</v>
      </c>
      <c r="J9009" t="s">
        <v>109</v>
      </c>
      <c r="K9009" t="s">
        <v>42</v>
      </c>
      <c r="L9009" t="s">
        <v>343</v>
      </c>
      <c r="Q9009">
        <v>23585</v>
      </c>
      <c r="R9009" t="s">
        <v>119</v>
      </c>
      <c r="S9009" t="s">
        <v>7820</v>
      </c>
      <c r="T9009">
        <v>28.5</v>
      </c>
      <c r="U9009" s="2" t="s">
        <v>54017</v>
      </c>
      <c r="W9009" t="s">
        <v>6105</v>
      </c>
      <c r="X9009">
        <v>838297</v>
      </c>
      <c r="Y9009" t="s">
        <v>301</v>
      </c>
      <c r="Z9009" t="s">
        <v>301</v>
      </c>
      <c r="AA9009" t="e">
        <f ca="1">-Preventive Maintenance</f>
        <v>#NAME?</v>
      </c>
      <c r="AB9009" t="s">
        <v>45625</v>
      </c>
      <c r="AG9009" t="s">
        <v>54089</v>
      </c>
      <c r="AH9009" t="s">
        <v>12926</v>
      </c>
      <c r="AI9009" t="s">
        <v>54090</v>
      </c>
    </row>
    <row r="9010" spans="2:35" ht="180">
      <c r="B9010" s="1">
        <v>44986</v>
      </c>
      <c r="C9010" s="4">
        <v>44986.461111111108</v>
      </c>
      <c r="D9010" t="s">
        <v>1496</v>
      </c>
      <c r="E9010" t="s">
        <v>1497</v>
      </c>
      <c r="F9010">
        <v>8</v>
      </c>
      <c r="G9010" t="s">
        <v>342</v>
      </c>
      <c r="H9010" t="s">
        <v>1498</v>
      </c>
      <c r="I9010" t="s">
        <v>40</v>
      </c>
      <c r="J9010" t="s">
        <v>109</v>
      </c>
      <c r="K9010" t="s">
        <v>42</v>
      </c>
      <c r="L9010" t="s">
        <v>343</v>
      </c>
      <c r="Q9010">
        <v>23584</v>
      </c>
      <c r="R9010" t="s">
        <v>119</v>
      </c>
      <c r="S9010" t="s">
        <v>7820</v>
      </c>
      <c r="T9010">
        <v>28.5</v>
      </c>
      <c r="U9010" s="2" t="s">
        <v>54017</v>
      </c>
      <c r="W9010" t="s">
        <v>6105</v>
      </c>
      <c r="X9010">
        <v>838297</v>
      </c>
      <c r="Y9010" t="s">
        <v>301</v>
      </c>
      <c r="Z9010" t="s">
        <v>301</v>
      </c>
      <c r="AA9010" t="e">
        <f ca="1">-Preventive Maintenance</f>
        <v>#NAME?</v>
      </c>
      <c r="AB9010" t="s">
        <v>45625</v>
      </c>
      <c r="AG9010" t="s">
        <v>54091</v>
      </c>
      <c r="AH9010" t="s">
        <v>12926</v>
      </c>
      <c r="AI9010" t="s">
        <v>54092</v>
      </c>
    </row>
    <row r="9011" spans="2:35" ht="165">
      <c r="B9011" s="1">
        <v>44985</v>
      </c>
      <c r="C9011" s="4">
        <v>44985.643055555556</v>
      </c>
      <c r="D9011" t="s">
        <v>54093</v>
      </c>
      <c r="E9011" t="s">
        <v>32117</v>
      </c>
      <c r="F9011">
        <v>3</v>
      </c>
      <c r="G9011" t="s">
        <v>174</v>
      </c>
      <c r="H9011" t="s">
        <v>39</v>
      </c>
      <c r="I9011" t="s">
        <v>40</v>
      </c>
      <c r="J9011" s="2" t="s">
        <v>62</v>
      </c>
      <c r="K9011" t="s">
        <v>42</v>
      </c>
      <c r="L9011" t="s">
        <v>175</v>
      </c>
      <c r="Q9011">
        <v>23583</v>
      </c>
      <c r="R9011" t="s">
        <v>719</v>
      </c>
      <c r="S9011" t="s">
        <v>54094</v>
      </c>
      <c r="T9011">
        <v>25</v>
      </c>
      <c r="U9011" s="2" t="s">
        <v>54095</v>
      </c>
      <c r="V9011" s="1">
        <v>44985</v>
      </c>
      <c r="W9011" t="s">
        <v>84</v>
      </c>
      <c r="X9011">
        <v>846037</v>
      </c>
      <c r="Y9011" t="s">
        <v>998</v>
      </c>
      <c r="Z9011" t="e">
        <f ca="1">- checked &amp; cleaned cartridge bay, plunger rod, I CORE slot, _xludf.filter
- performed XpertCheck
- generated reports
- performed functionality test</f>
        <v>#NAME?</v>
      </c>
      <c r="AA9011" t="s">
        <v>34204</v>
      </c>
      <c r="AB9011" t="s">
        <v>54096</v>
      </c>
      <c r="AD9011" t="s">
        <v>5056</v>
      </c>
      <c r="AE9011">
        <v>9653</v>
      </c>
      <c r="AG9011" t="s">
        <v>54097</v>
      </c>
      <c r="AH9011" t="s">
        <v>54098</v>
      </c>
      <c r="AI9011" t="s">
        <v>54099</v>
      </c>
    </row>
    <row r="9012" spans="2:35" ht="345">
      <c r="B9012" s="1">
        <v>44985</v>
      </c>
      <c r="C9012" s="4">
        <v>44985.536805555559</v>
      </c>
      <c r="D9012" t="s">
        <v>1769</v>
      </c>
      <c r="E9012" t="s">
        <v>54100</v>
      </c>
      <c r="F9012">
        <v>3</v>
      </c>
      <c r="G9012" t="s">
        <v>174</v>
      </c>
      <c r="H9012" t="s">
        <v>39</v>
      </c>
      <c r="I9012" t="s">
        <v>40</v>
      </c>
      <c r="J9012" s="2" t="s">
        <v>62</v>
      </c>
      <c r="K9012" t="s">
        <v>42</v>
      </c>
      <c r="L9012" t="s">
        <v>175</v>
      </c>
      <c r="Q9012">
        <v>23583</v>
      </c>
      <c r="R9012" t="s">
        <v>45</v>
      </c>
      <c r="S9012" t="s">
        <v>1771</v>
      </c>
      <c r="T9012">
        <v>25</v>
      </c>
      <c r="U9012" s="2" t="s">
        <v>54101</v>
      </c>
      <c r="V9012" s="1">
        <v>44985</v>
      </c>
      <c r="W9012" t="s">
        <v>84</v>
      </c>
      <c r="X9012">
        <v>838167</v>
      </c>
      <c r="Y9012" t="s">
        <v>424</v>
      </c>
      <c r="Z9012" s="2" t="s">
        <v>54102</v>
      </c>
      <c r="AA9012" t="s">
        <v>425</v>
      </c>
      <c r="AB9012" t="s">
        <v>88</v>
      </c>
      <c r="AD9012" t="s">
        <v>4669</v>
      </c>
      <c r="AE9012" t="s">
        <v>103</v>
      </c>
      <c r="AG9012" t="s">
        <v>54103</v>
      </c>
      <c r="AH9012" t="s">
        <v>33053</v>
      </c>
      <c r="AI9012" t="s">
        <v>54104</v>
      </c>
    </row>
    <row r="9013" spans="2:35" ht="285">
      <c r="B9013" s="1">
        <v>44985</v>
      </c>
      <c r="C9013" s="4">
        <v>44985.643055555556</v>
      </c>
      <c r="D9013" t="s">
        <v>7200</v>
      </c>
      <c r="E9013" t="s">
        <v>54105</v>
      </c>
      <c r="F9013">
        <v>12</v>
      </c>
      <c r="G9013" t="s">
        <v>978</v>
      </c>
      <c r="H9013" t="s">
        <v>39</v>
      </c>
      <c r="I9013" t="s">
        <v>94</v>
      </c>
      <c r="J9013" s="2" t="s">
        <v>190</v>
      </c>
      <c r="K9013" t="s">
        <v>42</v>
      </c>
      <c r="L9013" t="s">
        <v>296</v>
      </c>
      <c r="Q9013">
        <v>23582</v>
      </c>
      <c r="R9013" t="s">
        <v>119</v>
      </c>
      <c r="S9013" t="s">
        <v>7202</v>
      </c>
      <c r="T9013">
        <v>26.8</v>
      </c>
      <c r="U9013" s="2" t="s">
        <v>54106</v>
      </c>
      <c r="W9013" t="s">
        <v>23049</v>
      </c>
      <c r="X9013">
        <v>838504</v>
      </c>
      <c r="Y9013" t="s">
        <v>54107</v>
      </c>
      <c r="Z9013" s="2" t="s">
        <v>54108</v>
      </c>
      <c r="AA9013" s="2" t="s">
        <v>54108</v>
      </c>
      <c r="AB9013" t="s">
        <v>972</v>
      </c>
      <c r="AG9013" t="s">
        <v>54109</v>
      </c>
      <c r="AH9013" t="s">
        <v>32835</v>
      </c>
      <c r="AI9013" t="s">
        <v>54110</v>
      </c>
    </row>
    <row r="9014" spans="2:35" ht="240">
      <c r="B9014" s="1">
        <v>44985</v>
      </c>
      <c r="C9014" s="4">
        <v>44985.630555555559</v>
      </c>
      <c r="D9014" t="s">
        <v>33813</v>
      </c>
      <c r="E9014" t="s">
        <v>49194</v>
      </c>
      <c r="F9014">
        <v>3</v>
      </c>
      <c r="G9014" t="s">
        <v>1722</v>
      </c>
      <c r="H9014" t="s">
        <v>39</v>
      </c>
      <c r="I9014" t="s">
        <v>40</v>
      </c>
      <c r="J9014" s="2" t="s">
        <v>1592</v>
      </c>
      <c r="K9014" t="s">
        <v>42</v>
      </c>
      <c r="L9014" t="s">
        <v>63</v>
      </c>
      <c r="Q9014">
        <v>23581</v>
      </c>
      <c r="R9014" t="s">
        <v>45</v>
      </c>
      <c r="S9014" t="s">
        <v>33816</v>
      </c>
      <c r="T9014">
        <v>29</v>
      </c>
      <c r="U9014" s="2" t="s">
        <v>54111</v>
      </c>
      <c r="V9014" s="1">
        <v>44985</v>
      </c>
      <c r="W9014" t="s">
        <v>26915</v>
      </c>
      <c r="X9014">
        <v>807560</v>
      </c>
      <c r="Y9014" s="2" t="s">
        <v>54112</v>
      </c>
      <c r="Z9014" t="s">
        <v>54113</v>
      </c>
      <c r="AA9014" s="2" t="s">
        <v>39935</v>
      </c>
      <c r="AB9014" s="2" t="s">
        <v>54114</v>
      </c>
      <c r="AC9014" t="s">
        <v>54115</v>
      </c>
      <c r="AD9014" t="s">
        <v>6397</v>
      </c>
      <c r="AE9014" t="s">
        <v>1716</v>
      </c>
      <c r="AG9014" t="s">
        <v>54116</v>
      </c>
      <c r="AH9014" t="s">
        <v>49200</v>
      </c>
      <c r="AI9014" t="s">
        <v>54117</v>
      </c>
    </row>
    <row r="9015" spans="2:35" ht="240">
      <c r="B9015" s="1">
        <v>44985</v>
      </c>
      <c r="C9015" s="4">
        <v>44985.630555555559</v>
      </c>
      <c r="D9015" t="s">
        <v>33813</v>
      </c>
      <c r="E9015" t="s">
        <v>49194</v>
      </c>
      <c r="F9015">
        <v>3</v>
      </c>
      <c r="G9015" t="s">
        <v>1722</v>
      </c>
      <c r="H9015" t="s">
        <v>39</v>
      </c>
      <c r="I9015" t="s">
        <v>40</v>
      </c>
      <c r="J9015" s="2" t="s">
        <v>1592</v>
      </c>
      <c r="K9015" t="s">
        <v>42</v>
      </c>
      <c r="L9015" t="s">
        <v>63</v>
      </c>
      <c r="Q9015">
        <v>23580</v>
      </c>
      <c r="R9015" t="s">
        <v>45</v>
      </c>
      <c r="S9015" t="s">
        <v>33816</v>
      </c>
      <c r="T9015">
        <v>29</v>
      </c>
      <c r="U9015" s="2" t="s">
        <v>54111</v>
      </c>
      <c r="V9015" s="1">
        <v>44985</v>
      </c>
      <c r="W9015" t="s">
        <v>26915</v>
      </c>
      <c r="X9015">
        <v>807560</v>
      </c>
      <c r="Y9015" s="2" t="s">
        <v>54112</v>
      </c>
      <c r="Z9015" t="s">
        <v>54113</v>
      </c>
      <c r="AA9015" s="2" t="s">
        <v>39935</v>
      </c>
      <c r="AB9015" s="2" t="s">
        <v>54114</v>
      </c>
      <c r="AC9015" t="s">
        <v>54115</v>
      </c>
      <c r="AD9015" t="s">
        <v>6397</v>
      </c>
      <c r="AE9015" t="s">
        <v>1716</v>
      </c>
      <c r="AG9015" t="s">
        <v>54118</v>
      </c>
      <c r="AH9015" t="s">
        <v>49200</v>
      </c>
      <c r="AI9015" t="s">
        <v>54119</v>
      </c>
    </row>
    <row r="9016" spans="2:35" ht="180">
      <c r="B9016" s="1">
        <v>44985</v>
      </c>
      <c r="C9016" s="4">
        <v>44985.584027777775</v>
      </c>
      <c r="D9016" t="s">
        <v>34391</v>
      </c>
      <c r="E9016" t="s">
        <v>23464</v>
      </c>
      <c r="F9016">
        <v>6</v>
      </c>
      <c r="G9016" t="s">
        <v>1234</v>
      </c>
      <c r="H9016" t="s">
        <v>258</v>
      </c>
      <c r="I9016" t="s">
        <v>94</v>
      </c>
      <c r="J9016" s="2" t="s">
        <v>62</v>
      </c>
      <c r="K9016" t="s">
        <v>42</v>
      </c>
      <c r="L9016" t="s">
        <v>270</v>
      </c>
      <c r="Q9016">
        <v>23579</v>
      </c>
      <c r="R9016" t="s">
        <v>45</v>
      </c>
      <c r="S9016" t="s">
        <v>54120</v>
      </c>
      <c r="T9016">
        <v>25</v>
      </c>
      <c r="U9016" s="2" t="s">
        <v>54121</v>
      </c>
      <c r="W9016" t="s">
        <v>1292</v>
      </c>
      <c r="X9016">
        <v>838138</v>
      </c>
      <c r="Y9016" t="s">
        <v>301</v>
      </c>
      <c r="Z9016" t="s">
        <v>53939</v>
      </c>
      <c r="AA9016" t="s">
        <v>54122</v>
      </c>
      <c r="AB9016" t="s">
        <v>54123</v>
      </c>
      <c r="AG9016" t="s">
        <v>54124</v>
      </c>
      <c r="AH9016" t="s">
        <v>54125</v>
      </c>
      <c r="AI9016" t="s">
        <v>54126</v>
      </c>
    </row>
    <row r="9017" spans="2:35" ht="360">
      <c r="B9017" s="1">
        <v>44985</v>
      </c>
      <c r="C9017" s="4">
        <v>44985.549305555556</v>
      </c>
      <c r="D9017" t="s">
        <v>9302</v>
      </c>
      <c r="E9017" t="s">
        <v>33877</v>
      </c>
      <c r="F9017">
        <v>3</v>
      </c>
      <c r="G9017" t="s">
        <v>730</v>
      </c>
      <c r="H9017" t="s">
        <v>61</v>
      </c>
      <c r="I9017" t="s">
        <v>40</v>
      </c>
      <c r="J9017" s="2" t="s">
        <v>41</v>
      </c>
      <c r="K9017" t="s">
        <v>42</v>
      </c>
      <c r="L9017" t="s">
        <v>135</v>
      </c>
      <c r="Q9017">
        <v>23578</v>
      </c>
      <c r="R9017" t="s">
        <v>95</v>
      </c>
      <c r="S9017" t="s">
        <v>18459</v>
      </c>
      <c r="T9017">
        <v>22.9</v>
      </c>
      <c r="U9017" s="2" t="s">
        <v>54127</v>
      </c>
      <c r="V9017" s="1">
        <v>44984</v>
      </c>
      <c r="W9017" t="s">
        <v>2680</v>
      </c>
      <c r="X9017">
        <v>830841</v>
      </c>
      <c r="Y9017" t="s">
        <v>54128</v>
      </c>
      <c r="Z9017" s="2" t="s">
        <v>54129</v>
      </c>
      <c r="AA9017" s="2" t="s">
        <v>54130</v>
      </c>
      <c r="AB9017" t="s">
        <v>181</v>
      </c>
      <c r="AD9017" t="s">
        <v>4669</v>
      </c>
      <c r="AE9017">
        <v>9654</v>
      </c>
      <c r="AG9017" t="s">
        <v>54131</v>
      </c>
      <c r="AH9017" t="s">
        <v>18462</v>
      </c>
      <c r="AI9017" t="s">
        <v>54132</v>
      </c>
    </row>
    <row r="9018" spans="2:35" ht="180">
      <c r="B9018" s="1">
        <v>44985</v>
      </c>
      <c r="C9018" s="4">
        <v>44985.546527777777</v>
      </c>
      <c r="D9018" t="s">
        <v>1787</v>
      </c>
      <c r="E9018" t="s">
        <v>1788</v>
      </c>
      <c r="F9018">
        <v>8</v>
      </c>
      <c r="G9018" t="s">
        <v>1789</v>
      </c>
      <c r="H9018" t="s">
        <v>1498</v>
      </c>
      <c r="I9018" t="s">
        <v>94</v>
      </c>
      <c r="J9018" s="2" t="s">
        <v>1592</v>
      </c>
      <c r="K9018" t="s">
        <v>42</v>
      </c>
      <c r="L9018" t="s">
        <v>343</v>
      </c>
      <c r="Q9018">
        <v>23577</v>
      </c>
      <c r="R9018" t="s">
        <v>45</v>
      </c>
      <c r="S9018" t="s">
        <v>1790</v>
      </c>
      <c r="T9018">
        <v>24.3</v>
      </c>
      <c r="U9018" s="2" t="s">
        <v>54133</v>
      </c>
      <c r="V9018" s="1">
        <v>44985</v>
      </c>
      <c r="W9018" t="s">
        <v>6105</v>
      </c>
      <c r="X9018">
        <v>815273</v>
      </c>
      <c r="Y9018" t="e">
        <f ca="1">-module B2 defective
-monitor display</f>
        <v>#NAME?</v>
      </c>
      <c r="Z9018" t="s">
        <v>54134</v>
      </c>
      <c r="AA9018" t="e">
        <f ca="1">-Preventive Maintenance
-ARCHIVE test results
-Troubleshoot monitor, Reset Connections</f>
        <v>#NAME?</v>
      </c>
      <c r="AB9018" t="s">
        <v>54135</v>
      </c>
      <c r="AD9018" t="s">
        <v>10783</v>
      </c>
      <c r="AE9018" t="s">
        <v>103</v>
      </c>
      <c r="AG9018" t="s">
        <v>54136</v>
      </c>
      <c r="AH9018" t="s">
        <v>1797</v>
      </c>
      <c r="AI9018" t="s">
        <v>54137</v>
      </c>
    </row>
    <row r="9019" spans="2:35" ht="360">
      <c r="B9019" s="1">
        <v>44985</v>
      </c>
      <c r="C9019" s="4">
        <v>44985.481944444444</v>
      </c>
      <c r="D9019" t="s">
        <v>29843</v>
      </c>
      <c r="E9019" t="s">
        <v>33877</v>
      </c>
      <c r="F9019">
        <v>3</v>
      </c>
      <c r="G9019" t="s">
        <v>730</v>
      </c>
      <c r="H9019" t="s">
        <v>39</v>
      </c>
      <c r="I9019" t="s">
        <v>40</v>
      </c>
      <c r="J9019" t="s">
        <v>525</v>
      </c>
      <c r="K9019" t="s">
        <v>42</v>
      </c>
      <c r="L9019" t="s">
        <v>135</v>
      </c>
      <c r="Q9019">
        <v>23576</v>
      </c>
      <c r="R9019" t="s">
        <v>45</v>
      </c>
      <c r="S9019" t="s">
        <v>29845</v>
      </c>
      <c r="T9019">
        <v>24.8</v>
      </c>
      <c r="U9019" s="2" t="s">
        <v>54138</v>
      </c>
      <c r="W9019" t="s">
        <v>2680</v>
      </c>
      <c r="X9019">
        <v>805108</v>
      </c>
      <c r="Y9019" t="s">
        <v>54139</v>
      </c>
      <c r="Z9019" s="2" t="s">
        <v>54140</v>
      </c>
      <c r="AA9019" t="s">
        <v>4487</v>
      </c>
      <c r="AB9019" t="s">
        <v>54141</v>
      </c>
      <c r="AC9019" t="s">
        <v>54142</v>
      </c>
      <c r="AG9019" t="s">
        <v>54143</v>
      </c>
      <c r="AH9019" t="s">
        <v>47740</v>
      </c>
      <c r="AI9019" t="s">
        <v>54144</v>
      </c>
    </row>
    <row r="9020" spans="2:35" ht="180">
      <c r="B9020" s="1">
        <v>44985</v>
      </c>
      <c r="C9020" s="4">
        <v>44985.497916666667</v>
      </c>
      <c r="D9020" t="s">
        <v>41345</v>
      </c>
      <c r="E9020" t="s">
        <v>41346</v>
      </c>
      <c r="F9020">
        <v>13</v>
      </c>
      <c r="G9020" t="s">
        <v>8524</v>
      </c>
      <c r="H9020" t="s">
        <v>2125</v>
      </c>
      <c r="I9020" t="s">
        <v>40</v>
      </c>
      <c r="J9020" t="s">
        <v>321</v>
      </c>
      <c r="K9020" t="s">
        <v>42</v>
      </c>
      <c r="L9020" t="s">
        <v>933</v>
      </c>
      <c r="Q9020">
        <v>23575</v>
      </c>
      <c r="R9020" t="s">
        <v>45</v>
      </c>
      <c r="S9020" t="s">
        <v>54145</v>
      </c>
      <c r="T9020">
        <v>24</v>
      </c>
      <c r="U9020" s="2" t="s">
        <v>54146</v>
      </c>
      <c r="W9020" t="s">
        <v>3662</v>
      </c>
      <c r="X9020">
        <v>838877</v>
      </c>
      <c r="Y9020" t="s">
        <v>301</v>
      </c>
      <c r="Z9020" t="s">
        <v>301</v>
      </c>
      <c r="AA9020" t="s">
        <v>54147</v>
      </c>
      <c r="AB9020" t="s">
        <v>43442</v>
      </c>
      <c r="AG9020" t="s">
        <v>54148</v>
      </c>
      <c r="AH9020" t="s">
        <v>41352</v>
      </c>
      <c r="AI9020" t="s">
        <v>54149</v>
      </c>
    </row>
    <row r="9021" spans="2:35" ht="315">
      <c r="B9021" s="1">
        <v>44985</v>
      </c>
      <c r="C9021" s="4">
        <v>44985.472222222219</v>
      </c>
      <c r="D9021" t="s">
        <v>54150</v>
      </c>
      <c r="E9021" t="s">
        <v>54151</v>
      </c>
      <c r="F9021">
        <v>11</v>
      </c>
      <c r="G9021" t="s">
        <v>1205</v>
      </c>
      <c r="H9021" t="s">
        <v>202</v>
      </c>
      <c r="I9021" t="s">
        <v>40</v>
      </c>
      <c r="J9021" t="s">
        <v>109</v>
      </c>
      <c r="K9021" t="s">
        <v>42</v>
      </c>
      <c r="L9021" t="s">
        <v>204</v>
      </c>
      <c r="Q9021">
        <v>23574</v>
      </c>
      <c r="R9021" t="s">
        <v>119</v>
      </c>
      <c r="S9021" t="s">
        <v>7460</v>
      </c>
      <c r="T9021">
        <v>26.7</v>
      </c>
      <c r="U9021" s="2" t="s">
        <v>54152</v>
      </c>
      <c r="V9021" s="1">
        <v>44985</v>
      </c>
      <c r="W9021" t="s">
        <v>23237</v>
      </c>
      <c r="X9021">
        <v>838511</v>
      </c>
      <c r="Y9021" t="s">
        <v>1052</v>
      </c>
      <c r="Z9021" s="2" t="s">
        <v>1321</v>
      </c>
      <c r="AA9021" t="s">
        <v>2551</v>
      </c>
      <c r="AB9021" t="s">
        <v>9590</v>
      </c>
      <c r="AC9021" t="s">
        <v>54</v>
      </c>
      <c r="AD9021" t="s">
        <v>1716</v>
      </c>
      <c r="AE9021" t="s">
        <v>1716</v>
      </c>
      <c r="AG9021" t="s">
        <v>54153</v>
      </c>
      <c r="AH9021" t="s">
        <v>54154</v>
      </c>
      <c r="AI9021" t="s">
        <v>54155</v>
      </c>
    </row>
    <row r="9022" spans="2:35" ht="315">
      <c r="B9022" s="1">
        <v>44985</v>
      </c>
      <c r="C9022" s="4">
        <v>44985.472222222219</v>
      </c>
      <c r="D9022" t="s">
        <v>54150</v>
      </c>
      <c r="E9022" t="s">
        <v>54151</v>
      </c>
      <c r="F9022">
        <v>11</v>
      </c>
      <c r="G9022" t="s">
        <v>1205</v>
      </c>
      <c r="H9022" t="s">
        <v>202</v>
      </c>
      <c r="I9022" t="s">
        <v>40</v>
      </c>
      <c r="J9022" t="s">
        <v>109</v>
      </c>
      <c r="K9022" t="s">
        <v>42</v>
      </c>
      <c r="L9022" t="s">
        <v>204</v>
      </c>
      <c r="Q9022">
        <v>23573</v>
      </c>
      <c r="R9022" t="s">
        <v>119</v>
      </c>
      <c r="S9022" t="s">
        <v>7460</v>
      </c>
      <c r="T9022">
        <v>26.7</v>
      </c>
      <c r="U9022" s="2" t="s">
        <v>54152</v>
      </c>
      <c r="V9022" s="1">
        <v>44985</v>
      </c>
      <c r="W9022" t="s">
        <v>23237</v>
      </c>
      <c r="X9022">
        <v>838511</v>
      </c>
      <c r="Y9022" t="s">
        <v>1052</v>
      </c>
      <c r="Z9022" s="2" t="s">
        <v>1321</v>
      </c>
      <c r="AA9022" t="s">
        <v>2551</v>
      </c>
      <c r="AB9022" t="s">
        <v>9590</v>
      </c>
      <c r="AC9022" t="s">
        <v>54</v>
      </c>
      <c r="AD9022" t="s">
        <v>1716</v>
      </c>
      <c r="AE9022" t="s">
        <v>1716</v>
      </c>
      <c r="AG9022" t="s">
        <v>54156</v>
      </c>
      <c r="AH9022" t="s">
        <v>54154</v>
      </c>
      <c r="AI9022" t="s">
        <v>54157</v>
      </c>
    </row>
    <row r="9023" spans="2:35" ht="90">
      <c r="B9023" s="1">
        <v>44985</v>
      </c>
      <c r="C9023" s="4">
        <v>44985.461111111108</v>
      </c>
      <c r="D9023" t="s">
        <v>1004</v>
      </c>
      <c r="E9023" t="s">
        <v>54158</v>
      </c>
      <c r="F9023">
        <v>7</v>
      </c>
      <c r="G9023" t="s">
        <v>432</v>
      </c>
      <c r="H9023" t="s">
        <v>2290</v>
      </c>
      <c r="I9023" t="s">
        <v>94</v>
      </c>
      <c r="J9023" s="2" t="s">
        <v>41</v>
      </c>
      <c r="K9023" t="s">
        <v>42</v>
      </c>
      <c r="L9023" t="s">
        <v>610</v>
      </c>
      <c r="Q9023">
        <v>23572</v>
      </c>
      <c r="R9023" t="s">
        <v>45</v>
      </c>
      <c r="S9023" t="s">
        <v>1007</v>
      </c>
      <c r="T9023">
        <v>25</v>
      </c>
      <c r="U9023" s="2" t="s">
        <v>54159</v>
      </c>
      <c r="V9023" s="1">
        <v>44985</v>
      </c>
      <c r="W9023" t="s">
        <v>502</v>
      </c>
      <c r="X9023">
        <v>808630</v>
      </c>
      <c r="Y9023" t="s">
        <v>54160</v>
      </c>
      <c r="Z9023" t="s">
        <v>54161</v>
      </c>
      <c r="AA9023" t="s">
        <v>54162</v>
      </c>
      <c r="AB9023" t="s">
        <v>1263</v>
      </c>
      <c r="AD9023" t="s">
        <v>54163</v>
      </c>
      <c r="AE9023" t="s">
        <v>4448</v>
      </c>
      <c r="AG9023" t="s">
        <v>54164</v>
      </c>
      <c r="AH9023" t="s">
        <v>43841</v>
      </c>
      <c r="AI9023" t="s">
        <v>54165</v>
      </c>
    </row>
    <row r="9024" spans="2:35">
      <c r="B9024" s="1">
        <v>44984</v>
      </c>
      <c r="C9024" s="4">
        <v>44984.856944444444</v>
      </c>
      <c r="D9024" t="s">
        <v>6044</v>
      </c>
      <c r="E9024" t="s">
        <v>54166</v>
      </c>
      <c r="F9024">
        <v>7</v>
      </c>
      <c r="G9024" t="s">
        <v>432</v>
      </c>
      <c r="H9024" t="s">
        <v>386</v>
      </c>
      <c r="I9024" t="s">
        <v>94</v>
      </c>
      <c r="J9024" t="s">
        <v>79</v>
      </c>
      <c r="K9024" t="s">
        <v>387</v>
      </c>
      <c r="L9024" t="s">
        <v>610</v>
      </c>
      <c r="Q9024">
        <v>23571</v>
      </c>
      <c r="R9024" t="s">
        <v>95</v>
      </c>
      <c r="S9024" t="s">
        <v>6039</v>
      </c>
      <c r="T9024">
        <v>22</v>
      </c>
      <c r="V9024" s="1">
        <v>44984</v>
      </c>
      <c r="W9024" t="s">
        <v>436</v>
      </c>
      <c r="X9024" t="s">
        <v>11975</v>
      </c>
      <c r="Y9024" t="s">
        <v>54167</v>
      </c>
      <c r="Z9024" t="s">
        <v>54168</v>
      </c>
      <c r="AA9024" t="s">
        <v>54168</v>
      </c>
      <c r="AB9024" t="s">
        <v>486</v>
      </c>
      <c r="AG9024" t="s">
        <v>54169</v>
      </c>
      <c r="AH9024" t="s">
        <v>54170</v>
      </c>
      <c r="AI9024" t="s">
        <v>54171</v>
      </c>
    </row>
    <row r="9025" spans="2:35" ht="225">
      <c r="B9025" s="1">
        <v>44984</v>
      </c>
      <c r="C9025" s="4">
        <v>44984.6</v>
      </c>
      <c r="D9025" t="s">
        <v>47298</v>
      </c>
      <c r="E9025" t="s">
        <v>48635</v>
      </c>
      <c r="F9025">
        <v>12</v>
      </c>
      <c r="G9025" t="s">
        <v>294</v>
      </c>
      <c r="H9025" t="s">
        <v>39</v>
      </c>
      <c r="I9025" t="s">
        <v>94</v>
      </c>
      <c r="J9025" s="2" t="s">
        <v>62</v>
      </c>
      <c r="K9025" t="s">
        <v>42</v>
      </c>
      <c r="L9025" t="s">
        <v>296</v>
      </c>
      <c r="Q9025">
        <v>23570</v>
      </c>
      <c r="R9025" t="s">
        <v>45</v>
      </c>
      <c r="S9025" t="s">
        <v>45352</v>
      </c>
      <c r="T9025">
        <v>25.8</v>
      </c>
      <c r="U9025" s="2" t="s">
        <v>54172</v>
      </c>
      <c r="V9025" s="1">
        <v>44984</v>
      </c>
      <c r="W9025" t="s">
        <v>23049</v>
      </c>
      <c r="X9025">
        <v>807405</v>
      </c>
      <c r="Y9025" t="s">
        <v>54173</v>
      </c>
      <c r="Z9025" s="2" t="s">
        <v>51560</v>
      </c>
      <c r="AA9025" s="2" t="s">
        <v>51560</v>
      </c>
      <c r="AB9025" t="s">
        <v>972</v>
      </c>
      <c r="AD9025" t="s">
        <v>46458</v>
      </c>
      <c r="AE9025" t="s">
        <v>52907</v>
      </c>
      <c r="AG9025" t="s">
        <v>54174</v>
      </c>
      <c r="AH9025" t="s">
        <v>48641</v>
      </c>
      <c r="AI9025" t="s">
        <v>54175</v>
      </c>
    </row>
    <row r="9026" spans="2:35" ht="180">
      <c r="B9026" s="1">
        <v>44984</v>
      </c>
      <c r="C9026" s="4">
        <v>44984.5625</v>
      </c>
      <c r="D9026" t="s">
        <v>11880</v>
      </c>
      <c r="E9026" t="s">
        <v>11881</v>
      </c>
      <c r="F9026">
        <v>6</v>
      </c>
      <c r="G9026" t="s">
        <v>1234</v>
      </c>
      <c r="H9026" t="s">
        <v>258</v>
      </c>
      <c r="I9026" t="s">
        <v>94</v>
      </c>
      <c r="J9026" t="s">
        <v>109</v>
      </c>
      <c r="K9026" t="s">
        <v>42</v>
      </c>
      <c r="L9026" t="s">
        <v>270</v>
      </c>
      <c r="Q9026">
        <v>23569</v>
      </c>
      <c r="R9026" t="s">
        <v>119</v>
      </c>
      <c r="S9026" t="s">
        <v>35274</v>
      </c>
      <c r="T9026">
        <v>25</v>
      </c>
      <c r="U9026" s="2" t="s">
        <v>54176</v>
      </c>
      <c r="W9026" t="s">
        <v>1292</v>
      </c>
      <c r="X9026">
        <v>838477</v>
      </c>
      <c r="Y9026" t="s">
        <v>301</v>
      </c>
      <c r="Z9026" t="s">
        <v>3128</v>
      </c>
      <c r="AA9026" t="s">
        <v>54177</v>
      </c>
      <c r="AB9026" t="s">
        <v>4668</v>
      </c>
      <c r="AG9026" t="s">
        <v>54178</v>
      </c>
      <c r="AH9026" t="s">
        <v>54179</v>
      </c>
      <c r="AI9026" t="s">
        <v>54180</v>
      </c>
    </row>
    <row r="9027" spans="2:35" ht="180">
      <c r="B9027" s="1">
        <v>44984</v>
      </c>
      <c r="C9027" s="4">
        <v>44984.5625</v>
      </c>
      <c r="D9027" t="s">
        <v>11880</v>
      </c>
      <c r="E9027" t="s">
        <v>11881</v>
      </c>
      <c r="F9027">
        <v>6</v>
      </c>
      <c r="G9027" t="s">
        <v>1234</v>
      </c>
      <c r="H9027" t="s">
        <v>258</v>
      </c>
      <c r="I9027" t="s">
        <v>94</v>
      </c>
      <c r="J9027" t="s">
        <v>109</v>
      </c>
      <c r="K9027" t="s">
        <v>42</v>
      </c>
      <c r="L9027" t="s">
        <v>270</v>
      </c>
      <c r="Q9027">
        <v>23568</v>
      </c>
      <c r="R9027" t="s">
        <v>119</v>
      </c>
      <c r="S9027" t="s">
        <v>35274</v>
      </c>
      <c r="T9027">
        <v>25</v>
      </c>
      <c r="U9027" s="2" t="s">
        <v>54176</v>
      </c>
      <c r="W9027" t="s">
        <v>1292</v>
      </c>
      <c r="X9027">
        <v>838477</v>
      </c>
      <c r="Y9027" t="s">
        <v>301</v>
      </c>
      <c r="Z9027" t="s">
        <v>3128</v>
      </c>
      <c r="AA9027" t="s">
        <v>54177</v>
      </c>
      <c r="AB9027" t="s">
        <v>4668</v>
      </c>
      <c r="AG9027" t="s">
        <v>54181</v>
      </c>
      <c r="AH9027" t="s">
        <v>54179</v>
      </c>
      <c r="AI9027" t="s">
        <v>54182</v>
      </c>
    </row>
    <row r="9028" spans="2:35" ht="270">
      <c r="B9028" s="1">
        <v>44984</v>
      </c>
      <c r="C9028" s="4">
        <v>44978.570833333331</v>
      </c>
      <c r="D9028" t="s">
        <v>5158</v>
      </c>
      <c r="E9028" t="s">
        <v>54183</v>
      </c>
      <c r="F9028" t="s">
        <v>148</v>
      </c>
      <c r="G9028" t="s">
        <v>310</v>
      </c>
      <c r="H9028" t="s">
        <v>39</v>
      </c>
      <c r="I9028" t="s">
        <v>40</v>
      </c>
      <c r="J9028" s="2" t="s">
        <v>62</v>
      </c>
      <c r="K9028" t="s">
        <v>42</v>
      </c>
      <c r="L9028" t="s">
        <v>1028</v>
      </c>
      <c r="Q9028">
        <v>23564</v>
      </c>
      <c r="R9028" t="s">
        <v>119</v>
      </c>
      <c r="S9028" t="s">
        <v>14635</v>
      </c>
      <c r="T9028">
        <v>26</v>
      </c>
      <c r="U9028" s="2" t="s">
        <v>54184</v>
      </c>
      <c r="V9028" s="1">
        <v>44942</v>
      </c>
      <c r="W9028" t="s">
        <v>54185</v>
      </c>
      <c r="X9028">
        <v>831530</v>
      </c>
      <c r="Y9028" t="s">
        <v>54186</v>
      </c>
      <c r="Z9028" t="s">
        <v>53871</v>
      </c>
      <c r="AA9028" s="2" t="s">
        <v>54187</v>
      </c>
      <c r="AB9028" t="s">
        <v>3966</v>
      </c>
      <c r="AD9028" t="s">
        <v>948</v>
      </c>
      <c r="AE9028" t="s">
        <v>54188</v>
      </c>
      <c r="AG9028" t="s">
        <v>54189</v>
      </c>
      <c r="AH9028" t="s">
        <v>5165</v>
      </c>
      <c r="AI9028" t="s">
        <v>54190</v>
      </c>
    </row>
    <row r="9029" spans="2:35" ht="165">
      <c r="B9029" s="1">
        <v>44984</v>
      </c>
      <c r="C9029" s="4">
        <v>44980.46597222222</v>
      </c>
      <c r="D9029" t="s">
        <v>50297</v>
      </c>
      <c r="E9029" t="s">
        <v>53414</v>
      </c>
      <c r="F9029" t="s">
        <v>37</v>
      </c>
      <c r="G9029" t="s">
        <v>748</v>
      </c>
      <c r="H9029" t="s">
        <v>39</v>
      </c>
      <c r="I9029" t="s">
        <v>40</v>
      </c>
      <c r="J9029" s="2" t="s">
        <v>62</v>
      </c>
      <c r="K9029" t="s">
        <v>42</v>
      </c>
      <c r="L9029" t="s">
        <v>1028</v>
      </c>
      <c r="Q9029">
        <v>23566</v>
      </c>
      <c r="R9029" t="s">
        <v>45</v>
      </c>
      <c r="S9029" t="s">
        <v>50299</v>
      </c>
      <c r="T9029">
        <v>27.5</v>
      </c>
      <c r="U9029" s="2" t="s">
        <v>16264</v>
      </c>
      <c r="W9029" t="s">
        <v>2680</v>
      </c>
      <c r="X9029">
        <v>838446</v>
      </c>
      <c r="Y9029" t="s">
        <v>18140</v>
      </c>
      <c r="Z9029" t="s">
        <v>21244</v>
      </c>
      <c r="AA9029" s="2" t="s">
        <v>31300</v>
      </c>
      <c r="AB9029" t="s">
        <v>54191</v>
      </c>
      <c r="AC9029" t="s">
        <v>54192</v>
      </c>
      <c r="AG9029" t="s">
        <v>54193</v>
      </c>
      <c r="AH9029" t="s">
        <v>50303</v>
      </c>
      <c r="AI9029" t="s">
        <v>54194</v>
      </c>
    </row>
    <row r="9030" spans="2:35" ht="180">
      <c r="B9030" s="1">
        <v>44984</v>
      </c>
      <c r="C9030" s="4">
        <v>44978.565972222219</v>
      </c>
      <c r="D9030" t="s">
        <v>5158</v>
      </c>
      <c r="E9030" t="s">
        <v>16283</v>
      </c>
      <c r="F9030" t="s">
        <v>148</v>
      </c>
      <c r="G9030" t="s">
        <v>310</v>
      </c>
      <c r="H9030" t="s">
        <v>39</v>
      </c>
      <c r="I9030" t="s">
        <v>40</v>
      </c>
      <c r="J9030" s="2" t="s">
        <v>41</v>
      </c>
      <c r="K9030" t="s">
        <v>42</v>
      </c>
      <c r="L9030" t="s">
        <v>1028</v>
      </c>
      <c r="Q9030">
        <v>23567</v>
      </c>
      <c r="R9030" t="s">
        <v>322</v>
      </c>
      <c r="S9030" t="s">
        <v>14635</v>
      </c>
      <c r="T9030">
        <v>26</v>
      </c>
      <c r="U9030" s="2" t="s">
        <v>54195</v>
      </c>
      <c r="V9030" s="1">
        <v>44977</v>
      </c>
      <c r="W9030" t="s">
        <v>54196</v>
      </c>
      <c r="X9030">
        <v>1100130856</v>
      </c>
      <c r="Y9030" t="s">
        <v>54197</v>
      </c>
      <c r="Z9030" t="s">
        <v>2129</v>
      </c>
      <c r="AA9030" s="2" t="s">
        <v>54198</v>
      </c>
      <c r="AB9030" t="s">
        <v>54199</v>
      </c>
      <c r="AC9030" t="s">
        <v>54200</v>
      </c>
      <c r="AD9030" t="s">
        <v>54201</v>
      </c>
      <c r="AE9030" t="s">
        <v>54202</v>
      </c>
      <c r="AG9030" t="s">
        <v>54203</v>
      </c>
      <c r="AH9030" t="s">
        <v>5165</v>
      </c>
      <c r="AI9030" t="s">
        <v>54204</v>
      </c>
    </row>
    <row r="9031" spans="2:35" ht="195">
      <c r="B9031" s="1">
        <v>44984</v>
      </c>
      <c r="C9031" s="4">
        <v>44979.555555555555</v>
      </c>
      <c r="D9031" t="s">
        <v>2257</v>
      </c>
      <c r="E9031" t="s">
        <v>53768</v>
      </c>
      <c r="F9031" t="s">
        <v>37</v>
      </c>
      <c r="G9031" t="s">
        <v>748</v>
      </c>
      <c r="H9031" t="s">
        <v>39</v>
      </c>
      <c r="I9031" t="s">
        <v>40</v>
      </c>
      <c r="J9031" s="2" t="s">
        <v>190</v>
      </c>
      <c r="K9031" t="s">
        <v>42</v>
      </c>
      <c r="L9031" t="s">
        <v>1028</v>
      </c>
      <c r="Q9031">
        <v>23565</v>
      </c>
      <c r="R9031" t="s">
        <v>119</v>
      </c>
      <c r="S9031" t="s">
        <v>8974</v>
      </c>
      <c r="T9031">
        <v>28</v>
      </c>
      <c r="U9031" s="2" t="s">
        <v>14527</v>
      </c>
      <c r="W9031" t="s">
        <v>2680</v>
      </c>
      <c r="X9031">
        <v>838537</v>
      </c>
      <c r="Y9031" t="s">
        <v>54205</v>
      </c>
      <c r="Z9031" s="2" t="s">
        <v>54206</v>
      </c>
      <c r="AA9031" s="2" t="s">
        <v>54207</v>
      </c>
      <c r="AB9031" t="s">
        <v>54208</v>
      </c>
      <c r="AC9031" t="s">
        <v>46037</v>
      </c>
      <c r="AG9031" t="s">
        <v>54209</v>
      </c>
      <c r="AH9031" t="s">
        <v>8978</v>
      </c>
      <c r="AI9031" t="s">
        <v>54210</v>
      </c>
    </row>
    <row r="9032" spans="2:35" ht="409.5">
      <c r="B9032" s="1">
        <v>44984</v>
      </c>
      <c r="C9032" s="4">
        <v>44981.382638888892</v>
      </c>
      <c r="D9032" t="s">
        <v>1907</v>
      </c>
      <c r="E9032" t="s">
        <v>54211</v>
      </c>
      <c r="F9032">
        <v>1</v>
      </c>
      <c r="G9032" t="s">
        <v>1909</v>
      </c>
      <c r="H9032" t="s">
        <v>39</v>
      </c>
      <c r="I9032" t="s">
        <v>40</v>
      </c>
      <c r="J9032" s="2" t="s">
        <v>41</v>
      </c>
      <c r="K9032" t="s">
        <v>42</v>
      </c>
      <c r="L9032" t="s">
        <v>135</v>
      </c>
      <c r="Q9032">
        <v>23563</v>
      </c>
      <c r="R9032" t="s">
        <v>45</v>
      </c>
      <c r="S9032" t="s">
        <v>1911</v>
      </c>
      <c r="T9032">
        <v>24.5</v>
      </c>
      <c r="U9032" s="2" t="s">
        <v>54212</v>
      </c>
      <c r="V9032" s="1">
        <v>44966</v>
      </c>
      <c r="W9032" t="s">
        <v>2680</v>
      </c>
      <c r="X9032">
        <v>848249</v>
      </c>
      <c r="Y9032" s="2" t="s">
        <v>54213</v>
      </c>
      <c r="Z9032" s="2" t="s">
        <v>54214</v>
      </c>
      <c r="AA9032" s="2" t="s">
        <v>29539</v>
      </c>
      <c r="AB9032" t="s">
        <v>26178</v>
      </c>
      <c r="AC9032" t="s">
        <v>54215</v>
      </c>
      <c r="AD9032" t="s">
        <v>51543</v>
      </c>
      <c r="AE9032">
        <v>38939</v>
      </c>
      <c r="AG9032" t="s">
        <v>54216</v>
      </c>
      <c r="AH9032" t="s">
        <v>54217</v>
      </c>
      <c r="AI9032" t="s">
        <v>54218</v>
      </c>
    </row>
    <row r="9033" spans="2:35" ht="285">
      <c r="B9033" s="1">
        <v>44984</v>
      </c>
      <c r="C9033" s="4">
        <v>44980.581944444442</v>
      </c>
      <c r="D9033" t="s">
        <v>542</v>
      </c>
      <c r="E9033" t="s">
        <v>30872</v>
      </c>
      <c r="F9033" t="s">
        <v>148</v>
      </c>
      <c r="G9033" t="s">
        <v>544</v>
      </c>
      <c r="H9033" t="s">
        <v>39</v>
      </c>
      <c r="I9033" t="s">
        <v>40</v>
      </c>
      <c r="J9033" t="s">
        <v>109</v>
      </c>
      <c r="K9033" t="s">
        <v>42</v>
      </c>
      <c r="L9033" t="s">
        <v>43</v>
      </c>
      <c r="Q9033">
        <v>23561</v>
      </c>
      <c r="R9033" t="s">
        <v>45</v>
      </c>
      <c r="S9033" t="s">
        <v>15929</v>
      </c>
      <c r="T9033">
        <v>24</v>
      </c>
      <c r="U9033" s="2" t="s">
        <v>54219</v>
      </c>
      <c r="W9033" t="s">
        <v>9792</v>
      </c>
      <c r="X9033">
        <v>804254</v>
      </c>
      <c r="Y9033" t="s">
        <v>121</v>
      </c>
      <c r="Z9033" t="s">
        <v>122</v>
      </c>
      <c r="AA9033" s="2" t="s">
        <v>54220</v>
      </c>
      <c r="AB9033" t="s">
        <v>54221</v>
      </c>
      <c r="AC9033" t="s">
        <v>54222</v>
      </c>
      <c r="AG9033" t="s">
        <v>54223</v>
      </c>
      <c r="AH9033" t="s">
        <v>54224</v>
      </c>
      <c r="AI9033" t="s">
        <v>54225</v>
      </c>
    </row>
    <row r="9034" spans="2:35" ht="285">
      <c r="B9034" s="1">
        <v>44984</v>
      </c>
      <c r="C9034" s="4">
        <v>44980.586111111108</v>
      </c>
      <c r="D9034" t="s">
        <v>542</v>
      </c>
      <c r="E9034" t="s">
        <v>30872</v>
      </c>
      <c r="F9034" t="s">
        <v>148</v>
      </c>
      <c r="G9034" t="s">
        <v>544</v>
      </c>
      <c r="H9034" t="s">
        <v>39</v>
      </c>
      <c r="I9034" t="s">
        <v>40</v>
      </c>
      <c r="J9034" s="2" t="s">
        <v>41</v>
      </c>
      <c r="K9034" t="s">
        <v>42</v>
      </c>
      <c r="L9034" t="s">
        <v>43</v>
      </c>
      <c r="Q9034">
        <v>23562</v>
      </c>
      <c r="R9034" t="s">
        <v>119</v>
      </c>
      <c r="S9034" t="s">
        <v>15929</v>
      </c>
      <c r="T9034">
        <v>24</v>
      </c>
      <c r="U9034" s="2" t="s">
        <v>54226</v>
      </c>
      <c r="V9034" s="1">
        <v>44964</v>
      </c>
      <c r="W9034" t="s">
        <v>9792</v>
      </c>
      <c r="X9034">
        <v>831888</v>
      </c>
      <c r="Y9034" t="s">
        <v>11026</v>
      </c>
      <c r="Z9034" t="s">
        <v>9395</v>
      </c>
      <c r="AA9034" s="2" t="s">
        <v>54227</v>
      </c>
      <c r="AB9034" t="s">
        <v>54228</v>
      </c>
      <c r="AD9034" t="s">
        <v>54229</v>
      </c>
      <c r="AE9034" t="s">
        <v>54230</v>
      </c>
      <c r="AG9034" t="s">
        <v>54231</v>
      </c>
      <c r="AH9034" t="s">
        <v>54224</v>
      </c>
      <c r="AI9034" t="s">
        <v>54232</v>
      </c>
    </row>
    <row r="9035" spans="2:35" ht="285">
      <c r="B9035" s="1">
        <v>44984</v>
      </c>
      <c r="C9035" s="4">
        <v>44980.431944444441</v>
      </c>
      <c r="D9035" t="s">
        <v>4197</v>
      </c>
      <c r="E9035" t="s">
        <v>50991</v>
      </c>
      <c r="F9035" t="s">
        <v>37</v>
      </c>
      <c r="G9035" t="s">
        <v>38</v>
      </c>
      <c r="H9035" t="s">
        <v>39</v>
      </c>
      <c r="I9035" t="s">
        <v>40</v>
      </c>
      <c r="J9035" s="2" t="s">
        <v>190</v>
      </c>
      <c r="K9035" t="s">
        <v>42</v>
      </c>
      <c r="L9035" t="s">
        <v>43</v>
      </c>
      <c r="Q9035">
        <v>23558</v>
      </c>
      <c r="R9035" t="s">
        <v>119</v>
      </c>
      <c r="S9035" t="s">
        <v>50992</v>
      </c>
      <c r="T9035">
        <v>25</v>
      </c>
      <c r="U9035" s="2" t="s">
        <v>54233</v>
      </c>
      <c r="W9035" t="s">
        <v>9792</v>
      </c>
      <c r="X9035">
        <v>831623</v>
      </c>
      <c r="Y9035" t="s">
        <v>54234</v>
      </c>
      <c r="Z9035" t="s">
        <v>122</v>
      </c>
      <c r="AA9035" s="2" t="s">
        <v>54235</v>
      </c>
      <c r="AB9035" t="s">
        <v>54236</v>
      </c>
      <c r="AC9035" t="s">
        <v>54237</v>
      </c>
      <c r="AG9035" t="s">
        <v>54238</v>
      </c>
      <c r="AH9035" t="s">
        <v>117</v>
      </c>
      <c r="AI9035" t="s">
        <v>54239</v>
      </c>
    </row>
    <row r="9036" spans="2:35" ht="285">
      <c r="B9036" s="1">
        <v>44984</v>
      </c>
      <c r="C9036" s="4">
        <v>44980.442361111112</v>
      </c>
      <c r="D9036" t="s">
        <v>4197</v>
      </c>
      <c r="E9036" t="s">
        <v>50991</v>
      </c>
      <c r="F9036" t="s">
        <v>37</v>
      </c>
      <c r="G9036" t="s">
        <v>38</v>
      </c>
      <c r="H9036" t="s">
        <v>39</v>
      </c>
      <c r="I9036" t="s">
        <v>40</v>
      </c>
      <c r="J9036" s="2" t="s">
        <v>190</v>
      </c>
      <c r="K9036" t="s">
        <v>42</v>
      </c>
      <c r="L9036" t="s">
        <v>43</v>
      </c>
      <c r="Q9036">
        <v>23560</v>
      </c>
      <c r="R9036" t="s">
        <v>45</v>
      </c>
      <c r="S9036" t="s">
        <v>50992</v>
      </c>
      <c r="T9036">
        <v>25</v>
      </c>
      <c r="U9036" s="2" t="s">
        <v>54240</v>
      </c>
      <c r="W9036" t="s">
        <v>9792</v>
      </c>
      <c r="X9036">
        <v>838182</v>
      </c>
      <c r="Y9036" t="s">
        <v>54241</v>
      </c>
      <c r="Z9036" t="s">
        <v>54242</v>
      </c>
      <c r="AA9036" s="2" t="s">
        <v>54243</v>
      </c>
      <c r="AB9036" t="s">
        <v>54244</v>
      </c>
      <c r="AC9036" t="s">
        <v>32032</v>
      </c>
      <c r="AG9036" t="s">
        <v>54245</v>
      </c>
      <c r="AH9036" t="s">
        <v>117</v>
      </c>
      <c r="AI9036" t="s">
        <v>54246</v>
      </c>
    </row>
    <row r="9037" spans="2:35" ht="180">
      <c r="B9037" s="1">
        <v>44984</v>
      </c>
      <c r="C9037" s="4">
        <v>44980.438888888886</v>
      </c>
      <c r="D9037" t="s">
        <v>4197</v>
      </c>
      <c r="E9037" t="s">
        <v>50991</v>
      </c>
      <c r="F9037" t="s">
        <v>37</v>
      </c>
      <c r="G9037" t="s">
        <v>38</v>
      </c>
      <c r="H9037" t="s">
        <v>39</v>
      </c>
      <c r="I9037" t="s">
        <v>40</v>
      </c>
      <c r="J9037" s="2" t="s">
        <v>609</v>
      </c>
      <c r="K9037" t="s">
        <v>42</v>
      </c>
      <c r="L9037" t="s">
        <v>43</v>
      </c>
      <c r="Q9037">
        <v>23559</v>
      </c>
      <c r="R9037" t="s">
        <v>45</v>
      </c>
      <c r="S9037" t="s">
        <v>50992</v>
      </c>
      <c r="T9037">
        <v>25</v>
      </c>
      <c r="U9037" s="2" t="s">
        <v>54247</v>
      </c>
      <c r="W9037" t="s">
        <v>9792</v>
      </c>
      <c r="X9037">
        <v>804687</v>
      </c>
      <c r="Y9037" t="s">
        <v>33830</v>
      </c>
      <c r="Z9037" t="s">
        <v>8743</v>
      </c>
      <c r="AA9037" s="2" t="s">
        <v>54248</v>
      </c>
      <c r="AB9037" t="s">
        <v>16412</v>
      </c>
      <c r="AG9037" t="s">
        <v>54249</v>
      </c>
      <c r="AH9037" t="s">
        <v>117</v>
      </c>
      <c r="AI9037" t="s">
        <v>54250</v>
      </c>
    </row>
    <row r="9038" spans="2:35" ht="409.5">
      <c r="B9038" s="1">
        <v>44984</v>
      </c>
      <c r="C9038" s="4">
        <v>44978.638194444444</v>
      </c>
      <c r="D9038" t="s">
        <v>1081</v>
      </c>
      <c r="E9038" t="s">
        <v>27369</v>
      </c>
      <c r="F9038" t="s">
        <v>148</v>
      </c>
      <c r="G9038" t="s">
        <v>785</v>
      </c>
      <c r="H9038" t="s">
        <v>39</v>
      </c>
      <c r="I9038" t="s">
        <v>40</v>
      </c>
      <c r="J9038" t="s">
        <v>109</v>
      </c>
      <c r="K9038" t="s">
        <v>42</v>
      </c>
      <c r="L9038" t="s">
        <v>43</v>
      </c>
      <c r="Q9038">
        <v>23556</v>
      </c>
      <c r="R9038" t="s">
        <v>95</v>
      </c>
      <c r="S9038" t="s">
        <v>2016</v>
      </c>
      <c r="T9038">
        <v>27</v>
      </c>
      <c r="U9038" s="2" t="s">
        <v>54251</v>
      </c>
      <c r="W9038" t="s">
        <v>41381</v>
      </c>
      <c r="X9038">
        <v>802117</v>
      </c>
      <c r="Y9038" t="s">
        <v>121</v>
      </c>
      <c r="Z9038" t="s">
        <v>122</v>
      </c>
      <c r="AA9038" s="2" t="s">
        <v>54252</v>
      </c>
      <c r="AB9038" t="s">
        <v>16412</v>
      </c>
      <c r="AG9038" t="s">
        <v>54253</v>
      </c>
      <c r="AH9038" t="s">
        <v>54254</v>
      </c>
      <c r="AI9038" t="s">
        <v>54255</v>
      </c>
    </row>
    <row r="9039" spans="2:35" ht="240">
      <c r="B9039" s="1">
        <v>44984</v>
      </c>
      <c r="C9039" s="4">
        <v>44979.472222222219</v>
      </c>
      <c r="D9039" t="s">
        <v>2176</v>
      </c>
      <c r="E9039" t="s">
        <v>54256</v>
      </c>
      <c r="F9039" t="s">
        <v>148</v>
      </c>
      <c r="G9039" t="s">
        <v>447</v>
      </c>
      <c r="H9039" t="s">
        <v>662</v>
      </c>
      <c r="I9039" t="s">
        <v>40</v>
      </c>
      <c r="J9039" s="2" t="s">
        <v>41</v>
      </c>
      <c r="K9039" t="s">
        <v>42</v>
      </c>
      <c r="L9039" t="s">
        <v>43</v>
      </c>
      <c r="Q9039">
        <v>23557</v>
      </c>
      <c r="R9039" t="s">
        <v>322</v>
      </c>
      <c r="S9039" t="s">
        <v>3086</v>
      </c>
      <c r="T9039">
        <v>24</v>
      </c>
      <c r="U9039" s="2" t="s">
        <v>54257</v>
      </c>
      <c r="V9039" s="1">
        <v>44978</v>
      </c>
      <c r="W9039" t="s">
        <v>9792</v>
      </c>
      <c r="X9039">
        <v>110014085</v>
      </c>
      <c r="Y9039" t="s">
        <v>54258</v>
      </c>
      <c r="Z9039" t="s">
        <v>40723</v>
      </c>
      <c r="AA9039" s="2" t="s">
        <v>43527</v>
      </c>
      <c r="AB9039" t="s">
        <v>16412</v>
      </c>
      <c r="AD9039" s="2" t="s">
        <v>54259</v>
      </c>
      <c r="AE9039" t="s">
        <v>54260</v>
      </c>
      <c r="AG9039" t="s">
        <v>54261</v>
      </c>
      <c r="AH9039" t="s">
        <v>54262</v>
      </c>
      <c r="AI9039" t="s">
        <v>54263</v>
      </c>
    </row>
    <row r="9040" spans="2:35" ht="409.5">
      <c r="B9040" s="1">
        <v>44984</v>
      </c>
      <c r="C9040" s="4">
        <v>44978.643055555556</v>
      </c>
      <c r="D9040" t="s">
        <v>1081</v>
      </c>
      <c r="E9040" t="s">
        <v>28527</v>
      </c>
      <c r="F9040" t="s">
        <v>148</v>
      </c>
      <c r="G9040" t="s">
        <v>785</v>
      </c>
      <c r="H9040" t="s">
        <v>39</v>
      </c>
      <c r="I9040" t="s">
        <v>40</v>
      </c>
      <c r="J9040" s="2" t="s">
        <v>190</v>
      </c>
      <c r="K9040" t="s">
        <v>42</v>
      </c>
      <c r="L9040" t="s">
        <v>43</v>
      </c>
      <c r="Q9040">
        <v>23553</v>
      </c>
      <c r="R9040" t="s">
        <v>95</v>
      </c>
      <c r="S9040" t="s">
        <v>2016</v>
      </c>
      <c r="T9040">
        <v>27</v>
      </c>
      <c r="U9040" s="2" t="s">
        <v>54264</v>
      </c>
      <c r="W9040" t="s">
        <v>41381</v>
      </c>
      <c r="X9040">
        <v>802630</v>
      </c>
      <c r="Y9040" t="s">
        <v>54265</v>
      </c>
      <c r="Z9040" t="s">
        <v>54266</v>
      </c>
      <c r="AA9040" s="2" t="s">
        <v>54267</v>
      </c>
      <c r="AB9040" t="s">
        <v>16412</v>
      </c>
      <c r="AG9040" t="s">
        <v>54268</v>
      </c>
      <c r="AH9040" t="s">
        <v>54254</v>
      </c>
      <c r="AI9040" t="s">
        <v>54269</v>
      </c>
    </row>
    <row r="9041" spans="2:35" ht="409.5">
      <c r="B9041" s="1">
        <v>44984</v>
      </c>
      <c r="C9041" s="4">
        <v>44979.599305555559</v>
      </c>
      <c r="D9041" t="s">
        <v>660</v>
      </c>
      <c r="E9041" t="s">
        <v>885</v>
      </c>
      <c r="F9041" t="s">
        <v>148</v>
      </c>
      <c r="G9041" t="s">
        <v>447</v>
      </c>
      <c r="H9041" t="s">
        <v>39</v>
      </c>
      <c r="I9041" t="s">
        <v>40</v>
      </c>
      <c r="J9041" s="2" t="s">
        <v>41</v>
      </c>
      <c r="K9041" t="s">
        <v>42</v>
      </c>
      <c r="L9041" t="s">
        <v>43</v>
      </c>
      <c r="Q9041">
        <v>23555</v>
      </c>
      <c r="R9041" t="s">
        <v>322</v>
      </c>
      <c r="S9041" t="s">
        <v>3987</v>
      </c>
      <c r="T9041">
        <v>25</v>
      </c>
      <c r="U9041" s="2" t="s">
        <v>54270</v>
      </c>
      <c r="V9041" s="1">
        <v>44978</v>
      </c>
      <c r="W9041" t="s">
        <v>40863</v>
      </c>
      <c r="X9041">
        <v>110014171</v>
      </c>
      <c r="Y9041" t="s">
        <v>54271</v>
      </c>
      <c r="Z9041" t="s">
        <v>240</v>
      </c>
      <c r="AA9041" s="2" t="s">
        <v>11546</v>
      </c>
      <c r="AB9041" t="s">
        <v>54272</v>
      </c>
      <c r="AD9041" s="2" t="s">
        <v>54273</v>
      </c>
      <c r="AE9041" t="s">
        <v>54274</v>
      </c>
      <c r="AG9041" t="s">
        <v>54275</v>
      </c>
      <c r="AH9041" t="s">
        <v>54276</v>
      </c>
      <c r="AI9041" t="s">
        <v>54277</v>
      </c>
    </row>
    <row r="9042" spans="2:35" ht="270">
      <c r="B9042" s="1">
        <v>44984</v>
      </c>
      <c r="C9042" s="4">
        <v>44979.693749999999</v>
      </c>
      <c r="D9042" t="s">
        <v>660</v>
      </c>
      <c r="E9042" t="s">
        <v>885</v>
      </c>
      <c r="F9042" t="s">
        <v>148</v>
      </c>
      <c r="G9042" t="s">
        <v>447</v>
      </c>
      <c r="H9042" t="s">
        <v>39</v>
      </c>
      <c r="I9042" t="s">
        <v>40</v>
      </c>
      <c r="J9042" t="s">
        <v>109</v>
      </c>
      <c r="K9042" t="s">
        <v>42</v>
      </c>
      <c r="L9042" t="s">
        <v>43</v>
      </c>
      <c r="Q9042">
        <v>23554</v>
      </c>
      <c r="R9042" t="s">
        <v>45</v>
      </c>
      <c r="S9042" t="s">
        <v>3987</v>
      </c>
      <c r="T9042">
        <v>25</v>
      </c>
      <c r="U9042" s="2" t="s">
        <v>54278</v>
      </c>
      <c r="W9042" t="s">
        <v>9792</v>
      </c>
      <c r="X9042">
        <v>803109</v>
      </c>
      <c r="Y9042" t="s">
        <v>121</v>
      </c>
      <c r="Z9042" t="s">
        <v>122</v>
      </c>
      <c r="AA9042" s="2" t="s">
        <v>54279</v>
      </c>
      <c r="AB9042" t="s">
        <v>16412</v>
      </c>
      <c r="AG9042" t="s">
        <v>54280</v>
      </c>
      <c r="AH9042" t="s">
        <v>54276</v>
      </c>
      <c r="AI9042" t="s">
        <v>54281</v>
      </c>
    </row>
    <row r="9043" spans="2:35" ht="409.5">
      <c r="B9043" s="1">
        <v>44984</v>
      </c>
      <c r="C9043" s="4">
        <v>44982.355555555558</v>
      </c>
      <c r="D9043" t="s">
        <v>23134</v>
      </c>
      <c r="E9043" t="s">
        <v>54282</v>
      </c>
      <c r="F9043" t="s">
        <v>148</v>
      </c>
      <c r="G9043" t="s">
        <v>310</v>
      </c>
      <c r="H9043" t="s">
        <v>47748</v>
      </c>
      <c r="I9043" t="s">
        <v>40</v>
      </c>
      <c r="J9043" s="2" t="s">
        <v>41</v>
      </c>
      <c r="K9043" t="s">
        <v>42</v>
      </c>
      <c r="L9043" t="s">
        <v>175</v>
      </c>
      <c r="Q9043">
        <v>23551</v>
      </c>
      <c r="R9043" t="s">
        <v>45</v>
      </c>
      <c r="S9043" t="s">
        <v>23136</v>
      </c>
      <c r="T9043">
        <v>25</v>
      </c>
      <c r="U9043" s="2" t="s">
        <v>54283</v>
      </c>
      <c r="V9043" s="1">
        <v>44982</v>
      </c>
      <c r="W9043" t="s">
        <v>536</v>
      </c>
      <c r="X9043">
        <v>844121</v>
      </c>
      <c r="Y9043" t="s">
        <v>11545</v>
      </c>
      <c r="Z9043" t="e">
        <f ca="1">- checked &amp; cleaned cartridge bay, plunger rod, _xludf.filter
- replaced modules
- generated reports
- performed functionality test</f>
        <v>#NAME?</v>
      </c>
      <c r="AA9043" t="s">
        <v>54284</v>
      </c>
      <c r="AB9043" t="s">
        <v>54285</v>
      </c>
      <c r="AD9043" s="2" t="s">
        <v>54286</v>
      </c>
      <c r="AE9043" t="s">
        <v>103</v>
      </c>
      <c r="AG9043" t="s">
        <v>54287</v>
      </c>
      <c r="AH9043" t="s">
        <v>54288</v>
      </c>
      <c r="AI9043" t="s">
        <v>54289</v>
      </c>
    </row>
    <row r="9044" spans="2:35" ht="375">
      <c r="B9044" s="1">
        <v>44984</v>
      </c>
      <c r="C9044" s="4">
        <v>44982.493750000001</v>
      </c>
      <c r="D9044" t="s">
        <v>3639</v>
      </c>
      <c r="E9044" t="s">
        <v>24319</v>
      </c>
      <c r="F9044" t="s">
        <v>148</v>
      </c>
      <c r="G9044" t="s">
        <v>310</v>
      </c>
      <c r="H9044" t="s">
        <v>39</v>
      </c>
      <c r="I9044" t="s">
        <v>40</v>
      </c>
      <c r="J9044" s="2" t="s">
        <v>41</v>
      </c>
      <c r="K9044" t="s">
        <v>42</v>
      </c>
      <c r="L9044" t="s">
        <v>80</v>
      </c>
      <c r="Q9044">
        <v>23552</v>
      </c>
      <c r="R9044" t="s">
        <v>45</v>
      </c>
      <c r="S9044" t="s">
        <v>54290</v>
      </c>
      <c r="T9044">
        <v>25</v>
      </c>
      <c r="U9044" s="2" t="s">
        <v>54291</v>
      </c>
      <c r="V9044" s="1">
        <v>44982</v>
      </c>
      <c r="W9044" t="s">
        <v>536</v>
      </c>
      <c r="X9044">
        <v>839292</v>
      </c>
      <c r="Y9044" t="s">
        <v>11545</v>
      </c>
      <c r="Z9044" t="e">
        <f ca="1">- checked &amp; cleaned cartridge bay, plunger rod, _xludf.filter
- replaced A1, A2, A3, A4, B4, C2, D1, D3
- generated reports</f>
        <v>#NAME?</v>
      </c>
      <c r="AA9044" t="s">
        <v>240</v>
      </c>
      <c r="AB9044" t="s">
        <v>88</v>
      </c>
      <c r="AD9044" s="2" t="s">
        <v>54292</v>
      </c>
      <c r="AE9044" t="s">
        <v>103</v>
      </c>
      <c r="AG9044" t="s">
        <v>54293</v>
      </c>
      <c r="AH9044" t="s">
        <v>54294</v>
      </c>
      <c r="AI9044" t="s">
        <v>54295</v>
      </c>
    </row>
    <row r="9045" spans="2:35" ht="195">
      <c r="B9045" s="1">
        <v>44984</v>
      </c>
      <c r="C9045" s="4">
        <v>44980.369444444441</v>
      </c>
      <c r="D9045" t="s">
        <v>2250</v>
      </c>
      <c r="E9045" t="s">
        <v>2251</v>
      </c>
      <c r="F9045" t="s">
        <v>37</v>
      </c>
      <c r="G9045" t="s">
        <v>189</v>
      </c>
      <c r="H9045" t="s">
        <v>39</v>
      </c>
      <c r="I9045" t="s">
        <v>40</v>
      </c>
      <c r="J9045" s="2" t="s">
        <v>62</v>
      </c>
      <c r="K9045" t="s">
        <v>42</v>
      </c>
      <c r="L9045" t="s">
        <v>1943</v>
      </c>
      <c r="Q9045">
        <v>23550</v>
      </c>
      <c r="R9045" t="s">
        <v>119</v>
      </c>
      <c r="S9045" t="s">
        <v>41273</v>
      </c>
      <c r="T9045">
        <v>25</v>
      </c>
      <c r="U9045" s="2" t="s">
        <v>54296</v>
      </c>
      <c r="V9045" s="1">
        <v>44943</v>
      </c>
      <c r="W9045" t="s">
        <v>84</v>
      </c>
      <c r="X9045">
        <v>820201</v>
      </c>
      <c r="Y9045" s="2" t="s">
        <v>3044</v>
      </c>
      <c r="Z9045" s="2" t="s">
        <v>47457</v>
      </c>
      <c r="AA9045" t="s">
        <v>3045</v>
      </c>
      <c r="AB9045" t="s">
        <v>54297</v>
      </c>
      <c r="AD9045" t="s">
        <v>11518</v>
      </c>
      <c r="AE9045" t="s">
        <v>54298</v>
      </c>
      <c r="AG9045" t="s">
        <v>54299</v>
      </c>
      <c r="AH9045" t="s">
        <v>2255</v>
      </c>
      <c r="AI9045" t="s">
        <v>54300</v>
      </c>
    </row>
    <row r="9046" spans="2:35" ht="195">
      <c r="B9046" s="1">
        <v>44984</v>
      </c>
      <c r="C9046" s="4">
        <v>44980.547222222223</v>
      </c>
      <c r="D9046" t="s">
        <v>50359</v>
      </c>
      <c r="E9046" t="s">
        <v>43178</v>
      </c>
      <c r="F9046" t="s">
        <v>37</v>
      </c>
      <c r="G9046" t="s">
        <v>189</v>
      </c>
      <c r="H9046" t="s">
        <v>39</v>
      </c>
      <c r="I9046" t="s">
        <v>40</v>
      </c>
      <c r="J9046" s="2" t="s">
        <v>62</v>
      </c>
      <c r="K9046" t="s">
        <v>42</v>
      </c>
      <c r="L9046" t="s">
        <v>1943</v>
      </c>
      <c r="Q9046">
        <v>23550</v>
      </c>
      <c r="R9046" t="s">
        <v>119</v>
      </c>
      <c r="S9046" t="s">
        <v>41233</v>
      </c>
      <c r="T9046">
        <v>28</v>
      </c>
      <c r="U9046" s="2" t="s">
        <v>54301</v>
      </c>
      <c r="V9046" s="1">
        <v>44943</v>
      </c>
      <c r="W9046" t="s">
        <v>84</v>
      </c>
      <c r="X9046">
        <v>821299</v>
      </c>
      <c r="Y9046" s="2" t="s">
        <v>3044</v>
      </c>
      <c r="Z9046" s="2" t="s">
        <v>47457</v>
      </c>
      <c r="AA9046" t="s">
        <v>3045</v>
      </c>
      <c r="AB9046" t="s">
        <v>88</v>
      </c>
      <c r="AD9046" t="s">
        <v>11518</v>
      </c>
      <c r="AE9046" t="s">
        <v>54302</v>
      </c>
      <c r="AG9046" t="s">
        <v>54303</v>
      </c>
      <c r="AH9046" t="s">
        <v>50368</v>
      </c>
      <c r="AI9046" t="s">
        <v>54304</v>
      </c>
    </row>
    <row r="9047" spans="2:35" ht="285">
      <c r="B9047" s="1">
        <v>44983</v>
      </c>
      <c r="C9047" s="4">
        <v>44951.411111111112</v>
      </c>
      <c r="D9047" t="s">
        <v>30022</v>
      </c>
      <c r="E9047" t="s">
        <v>54305</v>
      </c>
      <c r="F9047" t="s">
        <v>37</v>
      </c>
      <c r="G9047" t="s">
        <v>189</v>
      </c>
      <c r="H9047" t="s">
        <v>39</v>
      </c>
      <c r="I9047" t="s">
        <v>40</v>
      </c>
      <c r="J9047" s="2" t="s">
        <v>1309</v>
      </c>
      <c r="K9047" t="s">
        <v>42</v>
      </c>
      <c r="L9047" t="s">
        <v>1943</v>
      </c>
      <c r="Q9047">
        <v>23549</v>
      </c>
      <c r="R9047" t="s">
        <v>45</v>
      </c>
      <c r="S9047" t="s">
        <v>30024</v>
      </c>
      <c r="T9047">
        <v>22</v>
      </c>
      <c r="U9047" s="2" t="s">
        <v>54306</v>
      </c>
      <c r="V9047" s="1">
        <v>44949</v>
      </c>
      <c r="W9047" t="s">
        <v>84</v>
      </c>
      <c r="X9047">
        <v>838325</v>
      </c>
      <c r="Y9047" s="2" t="s">
        <v>54307</v>
      </c>
      <c r="Z9047" s="2" t="s">
        <v>54308</v>
      </c>
      <c r="AA9047" t="s">
        <v>54309</v>
      </c>
      <c r="AB9047" t="s">
        <v>88</v>
      </c>
      <c r="AD9047" t="s">
        <v>54310</v>
      </c>
      <c r="AE9047" t="s">
        <v>54311</v>
      </c>
      <c r="AG9047" t="s">
        <v>54312</v>
      </c>
      <c r="AH9047" t="s">
        <v>30027</v>
      </c>
      <c r="AI9047" t="s">
        <v>54313</v>
      </c>
    </row>
    <row r="9048" spans="2:35" ht="285">
      <c r="B9048" s="1">
        <v>44983</v>
      </c>
      <c r="C9048" s="4">
        <v>44951.411111111112</v>
      </c>
      <c r="D9048" t="s">
        <v>30022</v>
      </c>
      <c r="E9048" t="s">
        <v>54305</v>
      </c>
      <c r="F9048" t="s">
        <v>37</v>
      </c>
      <c r="G9048" t="s">
        <v>189</v>
      </c>
      <c r="H9048" t="s">
        <v>39</v>
      </c>
      <c r="I9048" t="s">
        <v>40</v>
      </c>
      <c r="J9048" s="2" t="s">
        <v>1309</v>
      </c>
      <c r="K9048" t="s">
        <v>42</v>
      </c>
      <c r="L9048" t="s">
        <v>1943</v>
      </c>
      <c r="Q9048">
        <v>23548</v>
      </c>
      <c r="R9048" t="s">
        <v>45</v>
      </c>
      <c r="S9048" t="s">
        <v>30024</v>
      </c>
      <c r="T9048">
        <v>22</v>
      </c>
      <c r="U9048" s="2" t="s">
        <v>54306</v>
      </c>
      <c r="V9048" s="1">
        <v>44949</v>
      </c>
      <c r="W9048" t="s">
        <v>84</v>
      </c>
      <c r="X9048">
        <v>838325</v>
      </c>
      <c r="Y9048" s="2" t="s">
        <v>54307</v>
      </c>
      <c r="Z9048" s="2" t="s">
        <v>54308</v>
      </c>
      <c r="AA9048" t="s">
        <v>54309</v>
      </c>
      <c r="AB9048" t="s">
        <v>88</v>
      </c>
      <c r="AD9048" t="s">
        <v>54310</v>
      </c>
      <c r="AE9048" t="s">
        <v>54311</v>
      </c>
      <c r="AG9048" t="s">
        <v>54312</v>
      </c>
      <c r="AH9048" t="s">
        <v>30027</v>
      </c>
      <c r="AI9048" t="s">
        <v>54313</v>
      </c>
    </row>
    <row r="9049" spans="2:35">
      <c r="B9049" s="1">
        <v>44982</v>
      </c>
      <c r="C9049" s="4">
        <v>44982.70208333333</v>
      </c>
      <c r="D9049" t="s">
        <v>6044</v>
      </c>
      <c r="E9049" t="s">
        <v>54314</v>
      </c>
      <c r="F9049">
        <v>7</v>
      </c>
      <c r="G9049" t="s">
        <v>432</v>
      </c>
      <c r="H9049" t="s">
        <v>386</v>
      </c>
      <c r="I9049" t="s">
        <v>94</v>
      </c>
      <c r="J9049" t="s">
        <v>79</v>
      </c>
      <c r="K9049" t="s">
        <v>387</v>
      </c>
      <c r="L9049" t="s">
        <v>610</v>
      </c>
      <c r="Q9049">
        <v>23547</v>
      </c>
      <c r="R9049" t="s">
        <v>95</v>
      </c>
      <c r="S9049" t="s">
        <v>6039</v>
      </c>
      <c r="T9049">
        <v>24</v>
      </c>
      <c r="V9049" s="1">
        <v>44982</v>
      </c>
      <c r="W9049" t="s">
        <v>436</v>
      </c>
      <c r="X9049" t="s">
        <v>11975</v>
      </c>
      <c r="Y9049" t="s">
        <v>54315</v>
      </c>
      <c r="Z9049" t="s">
        <v>54316</v>
      </c>
      <c r="AA9049" t="s">
        <v>54317</v>
      </c>
      <c r="AB9049" t="s">
        <v>486</v>
      </c>
      <c r="AD9049" t="s">
        <v>54318</v>
      </c>
      <c r="AE9049" t="s">
        <v>4448</v>
      </c>
      <c r="AG9049" t="s">
        <v>54319</v>
      </c>
      <c r="AH9049" t="s">
        <v>54320</v>
      </c>
      <c r="AI9049" t="s">
        <v>54321</v>
      </c>
    </row>
    <row r="9050" spans="2:35">
      <c r="B9050" s="1">
        <v>44981</v>
      </c>
      <c r="C9050" s="4">
        <v>44875.824305555558</v>
      </c>
      <c r="D9050" t="s">
        <v>42431</v>
      </c>
      <c r="E9050" t="s">
        <v>54322</v>
      </c>
      <c r="F9050" t="s">
        <v>148</v>
      </c>
      <c r="G9050" t="s">
        <v>447</v>
      </c>
      <c r="H9050" t="s">
        <v>386</v>
      </c>
      <c r="I9050" t="s">
        <v>40</v>
      </c>
      <c r="J9050" t="s">
        <v>109</v>
      </c>
      <c r="K9050" t="s">
        <v>387</v>
      </c>
      <c r="L9050" t="s">
        <v>448</v>
      </c>
      <c r="Q9050">
        <v>23545</v>
      </c>
      <c r="R9050" t="s">
        <v>322</v>
      </c>
      <c r="S9050" t="s">
        <v>54323</v>
      </c>
      <c r="T9050">
        <v>26</v>
      </c>
      <c r="W9050" t="s">
        <v>476</v>
      </c>
      <c r="X9050" t="s">
        <v>7383</v>
      </c>
      <c r="Y9050" t="s">
        <v>121</v>
      </c>
      <c r="Z9050" t="s">
        <v>54324</v>
      </c>
      <c r="AA9050" t="s">
        <v>6997</v>
      </c>
      <c r="AB9050" t="s">
        <v>486</v>
      </c>
      <c r="AG9050" t="s">
        <v>54325</v>
      </c>
      <c r="AH9050" t="s">
        <v>54326</v>
      </c>
      <c r="AI9050" t="s">
        <v>54327</v>
      </c>
    </row>
    <row r="9051" spans="2:35">
      <c r="B9051" s="1">
        <v>44981</v>
      </c>
      <c r="C9051" s="4">
        <v>44979.57916666667</v>
      </c>
      <c r="D9051" t="s">
        <v>54328</v>
      </c>
      <c r="E9051" t="s">
        <v>54329</v>
      </c>
      <c r="F9051">
        <v>5</v>
      </c>
      <c r="G9051" t="s">
        <v>839</v>
      </c>
      <c r="H9051" t="s">
        <v>9568</v>
      </c>
      <c r="I9051" t="s">
        <v>40</v>
      </c>
      <c r="J9051" t="s">
        <v>321</v>
      </c>
      <c r="K9051" t="s">
        <v>387</v>
      </c>
      <c r="L9051" t="s">
        <v>448</v>
      </c>
      <c r="Q9051">
        <v>23546</v>
      </c>
      <c r="R9051" t="s">
        <v>322</v>
      </c>
      <c r="S9051" t="s">
        <v>10559</v>
      </c>
      <c r="T9051">
        <v>26</v>
      </c>
      <c r="W9051" t="s">
        <v>476</v>
      </c>
      <c r="X9051" t="s">
        <v>27099</v>
      </c>
      <c r="Y9051" t="s">
        <v>750</v>
      </c>
      <c r="Z9051" t="s">
        <v>54330</v>
      </c>
      <c r="AA9051" t="s">
        <v>54331</v>
      </c>
      <c r="AB9051" t="s">
        <v>30351</v>
      </c>
      <c r="AC9051" t="s">
        <v>54332</v>
      </c>
      <c r="AG9051" t="s">
        <v>54333</v>
      </c>
      <c r="AH9051" t="s">
        <v>54334</v>
      </c>
      <c r="AI9051" t="s">
        <v>54335</v>
      </c>
    </row>
    <row r="9052" spans="2:35" ht="225">
      <c r="B9052" s="1">
        <v>44980</v>
      </c>
      <c r="C9052" s="4">
        <v>44980.652083333334</v>
      </c>
      <c r="D9052" t="s">
        <v>26587</v>
      </c>
      <c r="E9052" t="s">
        <v>54336</v>
      </c>
      <c r="F9052">
        <v>3</v>
      </c>
      <c r="G9052" t="s">
        <v>134</v>
      </c>
      <c r="H9052" t="s">
        <v>39</v>
      </c>
      <c r="I9052" t="s">
        <v>40</v>
      </c>
      <c r="J9052" s="2" t="s">
        <v>62</v>
      </c>
      <c r="K9052" t="s">
        <v>42</v>
      </c>
      <c r="L9052" t="s">
        <v>63</v>
      </c>
      <c r="Q9052">
        <v>23544</v>
      </c>
      <c r="R9052" t="s">
        <v>119</v>
      </c>
      <c r="S9052" t="s">
        <v>54337</v>
      </c>
      <c r="T9052">
        <v>27</v>
      </c>
      <c r="U9052" s="2" t="s">
        <v>54338</v>
      </c>
      <c r="V9052" s="1">
        <v>44960</v>
      </c>
      <c r="W9052" t="s">
        <v>26915</v>
      </c>
      <c r="X9052">
        <v>831877</v>
      </c>
      <c r="Y9052" t="s">
        <v>1716</v>
      </c>
      <c r="Z9052" t="s">
        <v>1716</v>
      </c>
      <c r="AA9052" s="2" t="s">
        <v>38119</v>
      </c>
      <c r="AB9052" t="s">
        <v>70</v>
      </c>
      <c r="AC9052" t="s">
        <v>53615</v>
      </c>
      <c r="AD9052" t="s">
        <v>34999</v>
      </c>
      <c r="AE9052" t="s">
        <v>1716</v>
      </c>
      <c r="AG9052" t="s">
        <v>54339</v>
      </c>
      <c r="AH9052" t="s">
        <v>54340</v>
      </c>
      <c r="AI9052" t="s">
        <v>54341</v>
      </c>
    </row>
    <row r="9053" spans="2:35" ht="409.5">
      <c r="B9053" s="1">
        <v>44980</v>
      </c>
      <c r="C9053" s="4">
        <v>44980.691666666666</v>
      </c>
      <c r="D9053" t="s">
        <v>7897</v>
      </c>
      <c r="E9053" t="s">
        <v>54342</v>
      </c>
      <c r="F9053">
        <v>12</v>
      </c>
      <c r="G9053" t="s">
        <v>2137</v>
      </c>
      <c r="H9053" t="s">
        <v>202</v>
      </c>
      <c r="I9053" t="s">
        <v>40</v>
      </c>
      <c r="J9053" s="2" t="s">
        <v>1157</v>
      </c>
      <c r="K9053" t="s">
        <v>42</v>
      </c>
      <c r="L9053" t="s">
        <v>204</v>
      </c>
      <c r="Q9053">
        <v>23543</v>
      </c>
      <c r="R9053" t="s">
        <v>119</v>
      </c>
      <c r="S9053" t="s">
        <v>39694</v>
      </c>
      <c r="T9053">
        <v>28.7</v>
      </c>
      <c r="U9053" s="2" t="s">
        <v>54343</v>
      </c>
      <c r="V9053" s="1">
        <v>44980</v>
      </c>
      <c r="W9053" t="s">
        <v>1292</v>
      </c>
      <c r="X9053">
        <v>838259</v>
      </c>
      <c r="Y9053" s="2" t="s">
        <v>54344</v>
      </c>
      <c r="Z9053" s="2" t="s">
        <v>54345</v>
      </c>
      <c r="AA9053" t="s">
        <v>54346</v>
      </c>
      <c r="AB9053" s="2" t="s">
        <v>54347</v>
      </c>
      <c r="AC9053" t="s">
        <v>54</v>
      </c>
      <c r="AD9053" t="s">
        <v>54348</v>
      </c>
      <c r="AE9053" t="s">
        <v>1716</v>
      </c>
      <c r="AG9053" t="s">
        <v>54349</v>
      </c>
      <c r="AH9053" t="s">
        <v>39697</v>
      </c>
      <c r="AI9053" t="s">
        <v>54350</v>
      </c>
    </row>
    <row r="9054" spans="2:35" ht="345">
      <c r="B9054" s="1">
        <v>44980</v>
      </c>
      <c r="C9054" s="4">
        <v>44980.649305555555</v>
      </c>
      <c r="D9054" t="s">
        <v>6919</v>
      </c>
      <c r="E9054" t="s">
        <v>54351</v>
      </c>
      <c r="F9054" t="s">
        <v>511</v>
      </c>
      <c r="G9054" t="s">
        <v>512</v>
      </c>
      <c r="H9054" t="s">
        <v>39</v>
      </c>
      <c r="I9054" t="s">
        <v>40</v>
      </c>
      <c r="J9054" s="2" t="s">
        <v>62</v>
      </c>
      <c r="K9054" t="s">
        <v>42</v>
      </c>
      <c r="L9054" t="s">
        <v>135</v>
      </c>
      <c r="Q9054">
        <v>23542</v>
      </c>
      <c r="R9054" t="s">
        <v>119</v>
      </c>
      <c r="S9054" t="s">
        <v>6920</v>
      </c>
      <c r="T9054">
        <v>18.899999999999999</v>
      </c>
      <c r="U9054" s="2" t="s">
        <v>54352</v>
      </c>
      <c r="W9054" t="s">
        <v>2680</v>
      </c>
      <c r="X9054">
        <v>838281</v>
      </c>
      <c r="Y9054" t="s">
        <v>54353</v>
      </c>
      <c r="Z9054" s="2" t="s">
        <v>54354</v>
      </c>
      <c r="AA9054" s="2" t="s">
        <v>54355</v>
      </c>
      <c r="AB9054" t="s">
        <v>49982</v>
      </c>
      <c r="AC9054" t="s">
        <v>54356</v>
      </c>
      <c r="AG9054" t="s">
        <v>54357</v>
      </c>
      <c r="AH9054" t="s">
        <v>6925</v>
      </c>
      <c r="AI9054" t="s">
        <v>54358</v>
      </c>
    </row>
    <row r="9055" spans="2:35" ht="45">
      <c r="B9055" s="1">
        <v>44980</v>
      </c>
      <c r="C9055" s="4">
        <v>44980.62222222222</v>
      </c>
      <c r="D9055" t="s">
        <v>54359</v>
      </c>
      <c r="E9055" t="s">
        <v>22026</v>
      </c>
      <c r="F9055" t="s">
        <v>148</v>
      </c>
      <c r="G9055" t="s">
        <v>447</v>
      </c>
      <c r="H9055" t="s">
        <v>54360</v>
      </c>
      <c r="I9055" t="s">
        <v>40</v>
      </c>
      <c r="J9055" t="s">
        <v>79</v>
      </c>
      <c r="K9055" t="s">
        <v>408</v>
      </c>
      <c r="L9055" t="s">
        <v>175</v>
      </c>
      <c r="P9055" t="s">
        <v>1859</v>
      </c>
      <c r="Q9055">
        <v>23541</v>
      </c>
      <c r="R9055" t="s">
        <v>95</v>
      </c>
      <c r="S9055" t="s">
        <v>54361</v>
      </c>
      <c r="T9055">
        <v>25</v>
      </c>
      <c r="V9055" s="1">
        <v>44980</v>
      </c>
      <c r="W9055" t="s">
        <v>54362</v>
      </c>
      <c r="X9055" t="s">
        <v>54363</v>
      </c>
      <c r="Y9055" t="s">
        <v>17866</v>
      </c>
      <c r="Z9055" t="e">
        <f ca="1">- replaced battery
- checked Back up _xludf.mode
- performed functionality test</f>
        <v>#NAME?</v>
      </c>
      <c r="AA9055" t="s">
        <v>14863</v>
      </c>
      <c r="AB9055" t="s">
        <v>88</v>
      </c>
      <c r="AD9055" s="2" t="s">
        <v>54364</v>
      </c>
      <c r="AE9055" t="s">
        <v>103</v>
      </c>
      <c r="AG9055" t="s">
        <v>54365</v>
      </c>
      <c r="AH9055" t="s">
        <v>54366</v>
      </c>
      <c r="AI9055" t="s">
        <v>54367</v>
      </c>
    </row>
    <row r="9056" spans="2:35" ht="255">
      <c r="B9056" s="1">
        <v>44980</v>
      </c>
      <c r="C9056" s="4">
        <v>44980.46875</v>
      </c>
      <c r="D9056" t="s">
        <v>9805</v>
      </c>
      <c r="E9056" t="s">
        <v>54368</v>
      </c>
      <c r="F9056" t="s">
        <v>511</v>
      </c>
      <c r="G9056" t="s">
        <v>512</v>
      </c>
      <c r="H9056" t="s">
        <v>662</v>
      </c>
      <c r="I9056" t="s">
        <v>40</v>
      </c>
      <c r="J9056" t="s">
        <v>321</v>
      </c>
      <c r="K9056" t="s">
        <v>42</v>
      </c>
      <c r="L9056" t="s">
        <v>135</v>
      </c>
      <c r="Q9056">
        <v>23540</v>
      </c>
      <c r="R9056" t="s">
        <v>322</v>
      </c>
      <c r="S9056" t="s">
        <v>9806</v>
      </c>
      <c r="T9056">
        <v>22.4</v>
      </c>
      <c r="U9056" s="2" t="s">
        <v>11301</v>
      </c>
      <c r="V9056" s="1">
        <v>44978</v>
      </c>
      <c r="W9056" t="s">
        <v>2680</v>
      </c>
      <c r="X9056">
        <v>110016112</v>
      </c>
      <c r="Y9056" t="s">
        <v>13110</v>
      </c>
      <c r="Z9056" t="s">
        <v>13110</v>
      </c>
      <c r="AA9056" s="2" t="s">
        <v>54369</v>
      </c>
      <c r="AB9056" t="s">
        <v>181</v>
      </c>
      <c r="AD9056" t="s">
        <v>54370</v>
      </c>
      <c r="AE9056">
        <v>9643</v>
      </c>
      <c r="AG9056" t="s">
        <v>54371</v>
      </c>
      <c r="AH9056" t="s">
        <v>45428</v>
      </c>
      <c r="AI9056" t="s">
        <v>54372</v>
      </c>
    </row>
    <row r="9057" spans="2:35" ht="105">
      <c r="B9057" s="1">
        <v>44980</v>
      </c>
      <c r="C9057" s="4">
        <v>44980.581250000003</v>
      </c>
      <c r="D9057" t="s">
        <v>54373</v>
      </c>
      <c r="E9057" t="s">
        <v>54374</v>
      </c>
      <c r="F9057">
        <v>9</v>
      </c>
      <c r="G9057" t="s">
        <v>2197</v>
      </c>
      <c r="H9057" t="s">
        <v>39</v>
      </c>
      <c r="I9057" t="s">
        <v>40</v>
      </c>
      <c r="J9057" s="2" t="s">
        <v>1808</v>
      </c>
      <c r="K9057" t="s">
        <v>42</v>
      </c>
      <c r="L9057" t="s">
        <v>1257</v>
      </c>
      <c r="Q9057">
        <v>23539</v>
      </c>
      <c r="R9057" t="s">
        <v>119</v>
      </c>
      <c r="S9057" t="s">
        <v>54375</v>
      </c>
      <c r="T9057">
        <v>25</v>
      </c>
      <c r="U9057" s="2" t="s">
        <v>46777</v>
      </c>
      <c r="V9057" s="1">
        <v>44980</v>
      </c>
      <c r="W9057" t="s">
        <v>2384</v>
      </c>
      <c r="X9057">
        <v>838568</v>
      </c>
      <c r="Y9057" t="s">
        <v>54376</v>
      </c>
      <c r="Z9057" t="s">
        <v>54377</v>
      </c>
      <c r="AA9057" t="s">
        <v>54377</v>
      </c>
      <c r="AB9057" t="s">
        <v>54378</v>
      </c>
      <c r="AC9057" t="s">
        <v>54379</v>
      </c>
      <c r="AD9057" t="s">
        <v>54</v>
      </c>
      <c r="AE9057" t="s">
        <v>54</v>
      </c>
      <c r="AG9057" t="s">
        <v>54380</v>
      </c>
      <c r="AH9057" t="s">
        <v>54381</v>
      </c>
      <c r="AI9057" t="s">
        <v>54382</v>
      </c>
    </row>
    <row r="9058" spans="2:35" ht="180">
      <c r="B9058" s="1">
        <v>44980</v>
      </c>
      <c r="C9058" s="4">
        <v>44980.561111111114</v>
      </c>
      <c r="D9058" t="s">
        <v>4995</v>
      </c>
      <c r="E9058" t="s">
        <v>54383</v>
      </c>
      <c r="F9058">
        <v>5</v>
      </c>
      <c r="G9058" t="s">
        <v>759</v>
      </c>
      <c r="H9058" t="s">
        <v>1498</v>
      </c>
      <c r="I9058" t="s">
        <v>94</v>
      </c>
      <c r="J9058" t="s">
        <v>109</v>
      </c>
      <c r="K9058" t="s">
        <v>42</v>
      </c>
      <c r="L9058" t="s">
        <v>343</v>
      </c>
      <c r="Q9058">
        <v>23538</v>
      </c>
      <c r="R9058" t="s">
        <v>719</v>
      </c>
      <c r="S9058" t="s">
        <v>23483</v>
      </c>
      <c r="T9058">
        <v>25.6</v>
      </c>
      <c r="U9058" s="2" t="s">
        <v>54384</v>
      </c>
      <c r="W9058" t="s">
        <v>6105</v>
      </c>
      <c r="X9058">
        <v>846354</v>
      </c>
      <c r="Y9058" t="s">
        <v>301</v>
      </c>
      <c r="Z9058" t="e">
        <f ca="1">-Preventive Maintenance
-ARCHIVE test results</f>
        <v>#NAME?</v>
      </c>
      <c r="AA9058" t="s">
        <v>103</v>
      </c>
      <c r="AB9058" t="s">
        <v>54385</v>
      </c>
      <c r="AC9058" t="s">
        <v>54386</v>
      </c>
      <c r="AG9058" t="s">
        <v>54387</v>
      </c>
      <c r="AH9058" t="s">
        <v>5002</v>
      </c>
      <c r="AI9058" t="s">
        <v>54388</v>
      </c>
    </row>
    <row r="9059" spans="2:35" ht="180">
      <c r="B9059" s="1">
        <v>44980</v>
      </c>
      <c r="C9059" s="4">
        <v>44980.475694444445</v>
      </c>
      <c r="D9059" t="s">
        <v>6844</v>
      </c>
      <c r="E9059" t="s">
        <v>54389</v>
      </c>
      <c r="F9059">
        <v>12</v>
      </c>
      <c r="G9059" t="s">
        <v>294</v>
      </c>
      <c r="H9059" t="s">
        <v>39</v>
      </c>
      <c r="I9059" t="s">
        <v>94</v>
      </c>
      <c r="J9059" t="s">
        <v>109</v>
      </c>
      <c r="K9059" t="s">
        <v>42</v>
      </c>
      <c r="L9059" t="s">
        <v>296</v>
      </c>
      <c r="Q9059">
        <v>23537</v>
      </c>
      <c r="R9059" t="s">
        <v>119</v>
      </c>
      <c r="S9059" t="s">
        <v>6846</v>
      </c>
      <c r="T9059">
        <v>26.8</v>
      </c>
      <c r="U9059" s="2" t="s">
        <v>54390</v>
      </c>
      <c r="W9059" t="s">
        <v>23049</v>
      </c>
      <c r="X9059">
        <v>838261</v>
      </c>
      <c r="Y9059" t="s">
        <v>54</v>
      </c>
      <c r="Z9059" t="s">
        <v>9161</v>
      </c>
      <c r="AA9059" t="s">
        <v>9161</v>
      </c>
      <c r="AB9059" t="s">
        <v>972</v>
      </c>
      <c r="AG9059" t="s">
        <v>54391</v>
      </c>
      <c r="AH9059" t="s">
        <v>19237</v>
      </c>
      <c r="AI9059" t="s">
        <v>54392</v>
      </c>
    </row>
    <row r="9060" spans="2:35" ht="165">
      <c r="B9060" s="1">
        <v>44980</v>
      </c>
      <c r="C9060" s="4">
        <v>44978.634027777778</v>
      </c>
      <c r="D9060" t="s">
        <v>1216</v>
      </c>
      <c r="E9060" t="s">
        <v>26986</v>
      </c>
      <c r="F9060">
        <v>3</v>
      </c>
      <c r="G9060" t="s">
        <v>174</v>
      </c>
      <c r="H9060" t="s">
        <v>39</v>
      </c>
      <c r="I9060" t="s">
        <v>40</v>
      </c>
      <c r="J9060" s="2" t="s">
        <v>62</v>
      </c>
      <c r="K9060" t="s">
        <v>42</v>
      </c>
      <c r="L9060" t="s">
        <v>175</v>
      </c>
      <c r="Q9060">
        <v>23535</v>
      </c>
      <c r="R9060" t="s">
        <v>119</v>
      </c>
      <c r="S9060" t="s">
        <v>1218</v>
      </c>
      <c r="T9060">
        <v>25</v>
      </c>
      <c r="U9060" s="2" t="s">
        <v>54393</v>
      </c>
      <c r="V9060" s="1">
        <v>44945</v>
      </c>
      <c r="W9060" t="s">
        <v>84</v>
      </c>
      <c r="X9060">
        <v>831874</v>
      </c>
      <c r="Y9060" t="s">
        <v>6777</v>
      </c>
      <c r="Z9060" t="e">
        <f ca="1">- checked &amp; cleaned cartridge bay, plunger rod, I CORE slot, _xludf.filter
- performed XpertCheck
- generated reports
- performed functionality test</f>
        <v>#NAME?</v>
      </c>
      <c r="AA9060" t="s">
        <v>54394</v>
      </c>
      <c r="AB9060" t="s">
        <v>54395</v>
      </c>
      <c r="AD9060" t="s">
        <v>20036</v>
      </c>
      <c r="AE9060">
        <v>9515</v>
      </c>
      <c r="AG9060" t="s">
        <v>54396</v>
      </c>
      <c r="AH9060" t="s">
        <v>1220</v>
      </c>
      <c r="AI9060" t="s">
        <v>54397</v>
      </c>
    </row>
    <row r="9061" spans="2:35" ht="285">
      <c r="B9061" s="1">
        <v>44980</v>
      </c>
      <c r="C9061" s="4">
        <v>44978.571527777778</v>
      </c>
      <c r="D9061" t="s">
        <v>4236</v>
      </c>
      <c r="E9061" t="s">
        <v>54398</v>
      </c>
      <c r="F9061">
        <v>3</v>
      </c>
      <c r="G9061" t="s">
        <v>174</v>
      </c>
      <c r="H9061" t="s">
        <v>39</v>
      </c>
      <c r="I9061" t="s">
        <v>40</v>
      </c>
      <c r="J9061" s="2" t="s">
        <v>62</v>
      </c>
      <c r="K9061" t="s">
        <v>42</v>
      </c>
      <c r="L9061" t="s">
        <v>175</v>
      </c>
      <c r="Q9061">
        <v>23534</v>
      </c>
      <c r="R9061" t="s">
        <v>45</v>
      </c>
      <c r="S9061" t="s">
        <v>4237</v>
      </c>
      <c r="T9061">
        <v>25</v>
      </c>
      <c r="U9061" s="2" t="s">
        <v>54399</v>
      </c>
      <c r="W9061" t="s">
        <v>84</v>
      </c>
      <c r="X9061">
        <v>812770</v>
      </c>
      <c r="Y9061" t="s">
        <v>998</v>
      </c>
      <c r="Z9061" t="e">
        <f ca="1">- checked &amp; cleaned cartridge bay, plunger rod, I CORE slot, _xludf.filter
- performed XpertCheck
- generated reports
- performed functionality test</f>
        <v>#NAME?</v>
      </c>
      <c r="AA9061" t="s">
        <v>34204</v>
      </c>
      <c r="AB9061" t="s">
        <v>54400</v>
      </c>
      <c r="AG9061" t="s">
        <v>54401</v>
      </c>
      <c r="AH9061" t="s">
        <v>50732</v>
      </c>
      <c r="AI9061" t="s">
        <v>54402</v>
      </c>
    </row>
    <row r="9062" spans="2:35" ht="285">
      <c r="B9062" s="1">
        <v>44980</v>
      </c>
      <c r="C9062" s="4">
        <v>44979.544444444444</v>
      </c>
      <c r="D9062" t="s">
        <v>228</v>
      </c>
      <c r="E9062" t="s">
        <v>229</v>
      </c>
      <c r="F9062" t="s">
        <v>148</v>
      </c>
      <c r="G9062" t="s">
        <v>230</v>
      </c>
      <c r="H9062" t="s">
        <v>39</v>
      </c>
      <c r="I9062" t="s">
        <v>40</v>
      </c>
      <c r="J9062" s="2" t="s">
        <v>62</v>
      </c>
      <c r="K9062" t="s">
        <v>42</v>
      </c>
      <c r="L9062" t="s">
        <v>175</v>
      </c>
      <c r="Q9062">
        <v>23536</v>
      </c>
      <c r="R9062" t="s">
        <v>119</v>
      </c>
      <c r="S9062" t="s">
        <v>23986</v>
      </c>
      <c r="T9062">
        <v>25</v>
      </c>
      <c r="U9062" s="2" t="s">
        <v>54403</v>
      </c>
      <c r="V9062" s="1">
        <v>44946</v>
      </c>
      <c r="W9062" t="s">
        <v>84</v>
      </c>
      <c r="X9062">
        <v>831596</v>
      </c>
      <c r="Y9062" t="s">
        <v>998</v>
      </c>
      <c r="Z9062" t="e">
        <f ca="1">- checked &amp; cleaned cartridge bay, plunger rod, I CORE slot, _xludf.filter
- performed Xpert Check
- generated reports
- performed functionality test</f>
        <v>#NAME?</v>
      </c>
      <c r="AA9062" t="s">
        <v>54404</v>
      </c>
      <c r="AB9062" t="s">
        <v>54405</v>
      </c>
      <c r="AD9062" t="s">
        <v>5220</v>
      </c>
      <c r="AE9062">
        <v>9536</v>
      </c>
      <c r="AG9062" t="s">
        <v>54406</v>
      </c>
      <c r="AH9062" t="s">
        <v>33059</v>
      </c>
      <c r="AI9062" t="s">
        <v>54407</v>
      </c>
    </row>
    <row r="9063" spans="2:35" ht="105">
      <c r="B9063" s="1">
        <v>44980</v>
      </c>
      <c r="C9063" s="4">
        <v>44980.412499999999</v>
      </c>
      <c r="D9063" t="s">
        <v>20104</v>
      </c>
      <c r="E9063" t="s">
        <v>54408</v>
      </c>
      <c r="F9063">
        <v>7</v>
      </c>
      <c r="G9063" t="s">
        <v>432</v>
      </c>
      <c r="H9063" t="s">
        <v>54409</v>
      </c>
      <c r="I9063" t="s">
        <v>94</v>
      </c>
      <c r="J9063" t="s">
        <v>109</v>
      </c>
      <c r="K9063" t="s">
        <v>42</v>
      </c>
      <c r="L9063" t="s">
        <v>610</v>
      </c>
      <c r="Q9063">
        <v>23533</v>
      </c>
      <c r="R9063" t="s">
        <v>119</v>
      </c>
      <c r="S9063" t="s">
        <v>45159</v>
      </c>
      <c r="T9063">
        <v>23</v>
      </c>
      <c r="U9063" s="2" t="s">
        <v>2330</v>
      </c>
      <c r="V9063" s="1">
        <v>44980</v>
      </c>
      <c r="W9063" t="s">
        <v>2384</v>
      </c>
      <c r="X9063">
        <v>838559</v>
      </c>
      <c r="Y9063" t="s">
        <v>54410</v>
      </c>
      <c r="Z9063" t="s">
        <v>54411</v>
      </c>
      <c r="AA9063" t="s">
        <v>54412</v>
      </c>
      <c r="AB9063" t="s">
        <v>1263</v>
      </c>
      <c r="AD9063" t="s">
        <v>4448</v>
      </c>
      <c r="AE9063" t="s">
        <v>4448</v>
      </c>
      <c r="AG9063" t="s">
        <v>54413</v>
      </c>
      <c r="AH9063" t="s">
        <v>54414</v>
      </c>
      <c r="AI9063" t="s">
        <v>54415</v>
      </c>
    </row>
    <row r="9064" spans="2:35" ht="180">
      <c r="B9064" s="1">
        <v>44980</v>
      </c>
      <c r="C9064" s="4">
        <v>44980.399305555555</v>
      </c>
      <c r="D9064" t="s">
        <v>8067</v>
      </c>
      <c r="E9064" t="s">
        <v>8068</v>
      </c>
      <c r="F9064">
        <v>8</v>
      </c>
      <c r="G9064" t="s">
        <v>257</v>
      </c>
      <c r="H9064" t="s">
        <v>202</v>
      </c>
      <c r="I9064" t="s">
        <v>40</v>
      </c>
      <c r="J9064" t="s">
        <v>109</v>
      </c>
      <c r="K9064" t="s">
        <v>42</v>
      </c>
      <c r="L9064" t="s">
        <v>259</v>
      </c>
      <c r="Q9064">
        <v>23532</v>
      </c>
      <c r="R9064" t="s">
        <v>119</v>
      </c>
      <c r="S9064" t="s">
        <v>9419</v>
      </c>
      <c r="T9064">
        <v>25</v>
      </c>
      <c r="U9064" s="2" t="s">
        <v>54416</v>
      </c>
      <c r="W9064" t="s">
        <v>84</v>
      </c>
      <c r="X9064">
        <v>838406</v>
      </c>
      <c r="Y9064" t="s">
        <v>43470</v>
      </c>
      <c r="Z9064" t="e">
        <f ca="1">-performed Monthly Preventive Maintenance
-cleaned FAN _xludf.filter
-Generate reports</f>
        <v>#NAME?</v>
      </c>
      <c r="AA9064" t="s">
        <v>4315</v>
      </c>
      <c r="AB9064" t="s">
        <v>54417</v>
      </c>
      <c r="AG9064" t="s">
        <v>54418</v>
      </c>
      <c r="AH9064" t="s">
        <v>54419</v>
      </c>
      <c r="AI9064" t="s">
        <v>54420</v>
      </c>
    </row>
    <row r="9065" spans="2:35" ht="409.5">
      <c r="B9065" s="1">
        <v>44980</v>
      </c>
      <c r="C9065" s="4">
        <v>44980.331944444442</v>
      </c>
      <c r="D9065" t="s">
        <v>18253</v>
      </c>
      <c r="E9065" t="s">
        <v>54421</v>
      </c>
      <c r="F9065">
        <v>6</v>
      </c>
      <c r="G9065" t="s">
        <v>1234</v>
      </c>
      <c r="H9065" t="s">
        <v>54422</v>
      </c>
      <c r="I9065" t="s">
        <v>40</v>
      </c>
      <c r="J9065" t="s">
        <v>996</v>
      </c>
      <c r="K9065" t="s">
        <v>42</v>
      </c>
      <c r="L9065" t="s">
        <v>23958</v>
      </c>
      <c r="Q9065">
        <v>23531</v>
      </c>
      <c r="R9065" t="s">
        <v>95</v>
      </c>
      <c r="S9065" t="s">
        <v>54423</v>
      </c>
      <c r="T9065">
        <v>21</v>
      </c>
      <c r="U9065" s="2" t="s">
        <v>54424</v>
      </c>
      <c r="V9065" s="1">
        <v>44980</v>
      </c>
      <c r="W9065" t="s">
        <v>6776</v>
      </c>
      <c r="X9065">
        <v>110005268</v>
      </c>
      <c r="Y9065" t="s">
        <v>54425</v>
      </c>
      <c r="Z9065" t="s">
        <v>54426</v>
      </c>
      <c r="AA9065" t="s">
        <v>54427</v>
      </c>
      <c r="AB9065" t="s">
        <v>44231</v>
      </c>
      <c r="AD9065" t="s">
        <v>54428</v>
      </c>
      <c r="AE9065" t="s">
        <v>54429</v>
      </c>
      <c r="AG9065" t="s">
        <v>54430</v>
      </c>
      <c r="AH9065" t="s">
        <v>54431</v>
      </c>
      <c r="AI9065" t="s">
        <v>54432</v>
      </c>
    </row>
    <row r="9066" spans="2:35" ht="375">
      <c r="B9066" s="1">
        <v>44979</v>
      </c>
      <c r="C9066" s="4">
        <v>44979.666666666664</v>
      </c>
      <c r="D9066" t="s">
        <v>132</v>
      </c>
      <c r="E9066" t="s">
        <v>27259</v>
      </c>
      <c r="F9066">
        <v>3</v>
      </c>
      <c r="G9066" t="s">
        <v>134</v>
      </c>
      <c r="H9066" t="s">
        <v>39</v>
      </c>
      <c r="I9066" t="s">
        <v>40</v>
      </c>
      <c r="J9066" s="2" t="s">
        <v>62</v>
      </c>
      <c r="K9066" t="s">
        <v>42</v>
      </c>
      <c r="L9066" t="s">
        <v>135</v>
      </c>
      <c r="Q9066">
        <v>23530</v>
      </c>
      <c r="R9066" t="s">
        <v>119</v>
      </c>
      <c r="S9066" t="s">
        <v>137</v>
      </c>
      <c r="T9066">
        <v>30.8</v>
      </c>
      <c r="U9066" s="2" t="s">
        <v>54433</v>
      </c>
      <c r="V9066" s="1">
        <v>44960</v>
      </c>
      <c r="W9066" t="s">
        <v>2680</v>
      </c>
      <c r="X9066">
        <v>831900</v>
      </c>
      <c r="Y9066" t="s">
        <v>1751</v>
      </c>
      <c r="Z9066" s="2" t="s">
        <v>54434</v>
      </c>
      <c r="AA9066" s="2" t="s">
        <v>12500</v>
      </c>
      <c r="AB9066" t="s">
        <v>54435</v>
      </c>
      <c r="AC9066" t="s">
        <v>54436</v>
      </c>
      <c r="AD9066" t="s">
        <v>54437</v>
      </c>
      <c r="AE9066">
        <v>9581</v>
      </c>
      <c r="AG9066" t="s">
        <v>54438</v>
      </c>
      <c r="AH9066" t="s">
        <v>42129</v>
      </c>
      <c r="AI9066" t="s">
        <v>54439</v>
      </c>
    </row>
    <row r="9067" spans="2:35" ht="375">
      <c r="B9067" s="1">
        <v>44979</v>
      </c>
      <c r="C9067" s="4">
        <v>44979.598611111112</v>
      </c>
      <c r="D9067" t="s">
        <v>27250</v>
      </c>
      <c r="E9067" t="s">
        <v>27251</v>
      </c>
      <c r="F9067">
        <v>3</v>
      </c>
      <c r="G9067" t="s">
        <v>134</v>
      </c>
      <c r="H9067" t="s">
        <v>39</v>
      </c>
      <c r="I9067" t="s">
        <v>40</v>
      </c>
      <c r="J9067" s="2" t="s">
        <v>62</v>
      </c>
      <c r="K9067" t="s">
        <v>42</v>
      </c>
      <c r="L9067" t="s">
        <v>135</v>
      </c>
      <c r="Q9067">
        <v>23529</v>
      </c>
      <c r="R9067" t="s">
        <v>119</v>
      </c>
      <c r="S9067" t="s">
        <v>27252</v>
      </c>
      <c r="T9067">
        <v>25.68</v>
      </c>
      <c r="U9067" s="2" t="s">
        <v>54440</v>
      </c>
      <c r="V9067" s="1">
        <v>44942</v>
      </c>
      <c r="W9067" t="s">
        <v>2680</v>
      </c>
      <c r="X9067">
        <v>831893</v>
      </c>
      <c r="Y9067" s="2" t="s">
        <v>54441</v>
      </c>
      <c r="Z9067" s="2" t="s">
        <v>54442</v>
      </c>
      <c r="AA9067" s="2" t="s">
        <v>28886</v>
      </c>
      <c r="AB9067" t="s">
        <v>54443</v>
      </c>
      <c r="AC9067" t="s">
        <v>34421</v>
      </c>
      <c r="AD9067" t="s">
        <v>54444</v>
      </c>
      <c r="AE9067">
        <v>9473</v>
      </c>
      <c r="AG9067" t="s">
        <v>54445</v>
      </c>
      <c r="AH9067" t="s">
        <v>51426</v>
      </c>
      <c r="AI9067" t="s">
        <v>54446</v>
      </c>
    </row>
    <row r="9068" spans="2:35" ht="345">
      <c r="B9068" s="1">
        <v>44979</v>
      </c>
      <c r="C9068" s="4">
        <v>44979.604166666664</v>
      </c>
      <c r="D9068" t="s">
        <v>24517</v>
      </c>
      <c r="E9068" t="s">
        <v>20596</v>
      </c>
      <c r="F9068">
        <v>3</v>
      </c>
      <c r="G9068" t="s">
        <v>134</v>
      </c>
      <c r="H9068" t="s">
        <v>39</v>
      </c>
      <c r="I9068" t="s">
        <v>40</v>
      </c>
      <c r="J9068" s="2" t="s">
        <v>62</v>
      </c>
      <c r="K9068" t="s">
        <v>42</v>
      </c>
      <c r="L9068" t="s">
        <v>63</v>
      </c>
      <c r="Q9068">
        <v>23528</v>
      </c>
      <c r="R9068" t="s">
        <v>95</v>
      </c>
      <c r="S9068" t="s">
        <v>53319</v>
      </c>
      <c r="T9068">
        <v>29</v>
      </c>
      <c r="U9068" s="2" t="s">
        <v>54447</v>
      </c>
      <c r="V9068" s="1">
        <v>44979</v>
      </c>
      <c r="W9068" t="s">
        <v>26915</v>
      </c>
      <c r="X9068">
        <v>812571</v>
      </c>
      <c r="Y9068" t="s">
        <v>54448</v>
      </c>
      <c r="Z9068" t="s">
        <v>54449</v>
      </c>
      <c r="AA9068" s="2" t="s">
        <v>38119</v>
      </c>
      <c r="AB9068" t="s">
        <v>70</v>
      </c>
      <c r="AC9068" t="s">
        <v>54450</v>
      </c>
      <c r="AD9068" t="s">
        <v>54451</v>
      </c>
      <c r="AE9068" t="s">
        <v>1716</v>
      </c>
      <c r="AG9068" t="s">
        <v>54452</v>
      </c>
      <c r="AH9068" t="s">
        <v>54453</v>
      </c>
      <c r="AI9068" t="s">
        <v>54454</v>
      </c>
    </row>
    <row r="9069" spans="2:35" ht="180">
      <c r="B9069" s="1">
        <v>44979</v>
      </c>
      <c r="C9069" s="4">
        <v>44979.557638888888</v>
      </c>
      <c r="D9069" t="s">
        <v>7743</v>
      </c>
      <c r="E9069" t="s">
        <v>41619</v>
      </c>
      <c r="F9069">
        <v>11</v>
      </c>
      <c r="G9069" t="s">
        <v>1205</v>
      </c>
      <c r="H9069" t="s">
        <v>202</v>
      </c>
      <c r="I9069" t="s">
        <v>40</v>
      </c>
      <c r="J9069" t="s">
        <v>109</v>
      </c>
      <c r="K9069" t="s">
        <v>42</v>
      </c>
      <c r="L9069" t="s">
        <v>204</v>
      </c>
      <c r="Q9069">
        <v>23527</v>
      </c>
      <c r="R9069" t="s">
        <v>119</v>
      </c>
      <c r="S9069" t="s">
        <v>54455</v>
      </c>
      <c r="T9069">
        <v>25.6</v>
      </c>
      <c r="U9069" s="2" t="s">
        <v>54456</v>
      </c>
      <c r="V9069" s="1">
        <v>44979</v>
      </c>
      <c r="W9069" t="s">
        <v>1292</v>
      </c>
      <c r="X9069">
        <v>838492</v>
      </c>
      <c r="Y9069" t="s">
        <v>1052</v>
      </c>
      <c r="Z9069" t="s">
        <v>54457</v>
      </c>
      <c r="AA9069" t="s">
        <v>28265</v>
      </c>
      <c r="AB9069" t="s">
        <v>9590</v>
      </c>
      <c r="AC9069" t="s">
        <v>54458</v>
      </c>
      <c r="AD9069" t="s">
        <v>1716</v>
      </c>
      <c r="AE9069" t="s">
        <v>1716</v>
      </c>
      <c r="AG9069" t="s">
        <v>54459</v>
      </c>
      <c r="AH9069" t="s">
        <v>54460</v>
      </c>
      <c r="AI9069" t="s">
        <v>54461</v>
      </c>
    </row>
    <row r="9070" spans="2:35" ht="180">
      <c r="B9070" s="1">
        <v>44979</v>
      </c>
      <c r="C9070" s="4">
        <v>44979.557638888888</v>
      </c>
      <c r="D9070" t="s">
        <v>7743</v>
      </c>
      <c r="E9070" t="s">
        <v>41619</v>
      </c>
      <c r="F9070">
        <v>11</v>
      </c>
      <c r="G9070" t="s">
        <v>1205</v>
      </c>
      <c r="H9070" t="s">
        <v>202</v>
      </c>
      <c r="I9070" t="s">
        <v>40</v>
      </c>
      <c r="J9070" t="s">
        <v>109</v>
      </c>
      <c r="K9070" t="s">
        <v>42</v>
      </c>
      <c r="L9070" t="s">
        <v>204</v>
      </c>
      <c r="Q9070">
        <v>23526</v>
      </c>
      <c r="R9070" t="s">
        <v>119</v>
      </c>
      <c r="S9070" t="s">
        <v>54455</v>
      </c>
      <c r="T9070">
        <v>25.6</v>
      </c>
      <c r="U9070" s="2" t="s">
        <v>54456</v>
      </c>
      <c r="V9070" s="1">
        <v>44979</v>
      </c>
      <c r="W9070" t="s">
        <v>1292</v>
      </c>
      <c r="X9070">
        <v>838492</v>
      </c>
      <c r="Y9070" t="s">
        <v>1052</v>
      </c>
      <c r="Z9070" t="s">
        <v>54457</v>
      </c>
      <c r="AA9070" t="s">
        <v>28265</v>
      </c>
      <c r="AB9070" t="s">
        <v>9590</v>
      </c>
      <c r="AC9070" t="s">
        <v>54458</v>
      </c>
      <c r="AD9070" t="s">
        <v>1716</v>
      </c>
      <c r="AE9070" t="s">
        <v>1716</v>
      </c>
      <c r="AG9070" t="s">
        <v>54462</v>
      </c>
      <c r="AH9070" t="s">
        <v>54460</v>
      </c>
      <c r="AI9070" t="s">
        <v>54463</v>
      </c>
    </row>
    <row r="9071" spans="2:35" ht="180">
      <c r="B9071" s="1">
        <v>44979</v>
      </c>
      <c r="C9071" s="4">
        <v>44979.491666666669</v>
      </c>
      <c r="D9071" t="s">
        <v>38327</v>
      </c>
      <c r="E9071" t="s">
        <v>54464</v>
      </c>
      <c r="F9071">
        <v>5</v>
      </c>
      <c r="G9071" t="s">
        <v>814</v>
      </c>
      <c r="H9071" t="s">
        <v>1498</v>
      </c>
      <c r="I9071" t="s">
        <v>94</v>
      </c>
      <c r="J9071" t="s">
        <v>109</v>
      </c>
      <c r="K9071" t="s">
        <v>42</v>
      </c>
      <c r="L9071" t="s">
        <v>343</v>
      </c>
      <c r="Q9071">
        <v>23525</v>
      </c>
      <c r="R9071" t="s">
        <v>45</v>
      </c>
      <c r="S9071" t="s">
        <v>52670</v>
      </c>
      <c r="T9071">
        <v>25.5</v>
      </c>
      <c r="U9071" s="2" t="s">
        <v>54465</v>
      </c>
      <c r="W9071" t="s">
        <v>35955</v>
      </c>
      <c r="X9071">
        <v>835197</v>
      </c>
      <c r="Y9071" t="s">
        <v>301</v>
      </c>
      <c r="Z9071" t="e">
        <f ca="1">-Preventive Maintenance
-ARCHIVE test results</f>
        <v>#NAME?</v>
      </c>
      <c r="AA9071" t="s">
        <v>103</v>
      </c>
      <c r="AB9071" t="s">
        <v>54466</v>
      </c>
      <c r="AC9071" t="s">
        <v>54467</v>
      </c>
      <c r="AG9071" t="s">
        <v>54468</v>
      </c>
      <c r="AH9071" t="s">
        <v>54469</v>
      </c>
      <c r="AI9071" t="s">
        <v>54470</v>
      </c>
    </row>
    <row r="9072" spans="2:35" ht="285">
      <c r="B9072" s="1">
        <v>44979</v>
      </c>
      <c r="C9072" s="4">
        <v>44979.459027777775</v>
      </c>
      <c r="D9072" t="s">
        <v>26102</v>
      </c>
      <c r="E9072" t="s">
        <v>24831</v>
      </c>
      <c r="F9072" t="s">
        <v>37</v>
      </c>
      <c r="G9072" t="s">
        <v>78</v>
      </c>
      <c r="H9072" t="s">
        <v>39</v>
      </c>
      <c r="I9072" t="s">
        <v>40</v>
      </c>
      <c r="J9072" s="2" t="s">
        <v>4151</v>
      </c>
      <c r="K9072" t="s">
        <v>42</v>
      </c>
      <c r="L9072" t="s">
        <v>1943</v>
      </c>
      <c r="Q9072">
        <v>23524</v>
      </c>
      <c r="R9072" t="s">
        <v>119</v>
      </c>
      <c r="S9072" t="s">
        <v>26103</v>
      </c>
      <c r="T9072">
        <v>28</v>
      </c>
      <c r="U9072" s="2" t="s">
        <v>54471</v>
      </c>
      <c r="V9072" s="1">
        <v>44977</v>
      </c>
      <c r="W9072" t="s">
        <v>84</v>
      </c>
      <c r="X9072">
        <v>821278</v>
      </c>
      <c r="Y9072" s="2" t="s">
        <v>54472</v>
      </c>
      <c r="Z9072" s="2" t="s">
        <v>54473</v>
      </c>
      <c r="AA9072" t="s">
        <v>54474</v>
      </c>
      <c r="AB9072" t="s">
        <v>54475</v>
      </c>
      <c r="AD9072" t="s">
        <v>54476</v>
      </c>
      <c r="AE9072" t="s">
        <v>54</v>
      </c>
      <c r="AG9072" t="s">
        <v>54477</v>
      </c>
      <c r="AH9072" t="s">
        <v>34066</v>
      </c>
      <c r="AI9072" t="s">
        <v>54478</v>
      </c>
    </row>
    <row r="9073" spans="2:35" ht="105">
      <c r="B9073" s="1">
        <v>44979</v>
      </c>
      <c r="C9073" s="4">
        <v>44979.44027777778</v>
      </c>
      <c r="D9073" t="s">
        <v>54479</v>
      </c>
      <c r="E9073" t="s">
        <v>36921</v>
      </c>
      <c r="F9073">
        <v>9</v>
      </c>
      <c r="G9073" t="s">
        <v>2197</v>
      </c>
      <c r="H9073" t="s">
        <v>39</v>
      </c>
      <c r="I9073" t="s">
        <v>40</v>
      </c>
      <c r="J9073" s="2" t="s">
        <v>1592</v>
      </c>
      <c r="K9073" t="s">
        <v>42</v>
      </c>
      <c r="L9073" t="s">
        <v>1257</v>
      </c>
      <c r="Q9073">
        <v>23523</v>
      </c>
      <c r="R9073" t="s">
        <v>45</v>
      </c>
      <c r="S9073" t="s">
        <v>54480</v>
      </c>
      <c r="T9073">
        <v>27</v>
      </c>
      <c r="U9073" s="2" t="s">
        <v>20051</v>
      </c>
      <c r="V9073" s="1">
        <v>44979</v>
      </c>
      <c r="W9073" t="s">
        <v>2384</v>
      </c>
      <c r="X9073">
        <v>815278</v>
      </c>
      <c r="Y9073" t="s">
        <v>54481</v>
      </c>
      <c r="Z9073" t="s">
        <v>54482</v>
      </c>
      <c r="AA9073" t="s">
        <v>54482</v>
      </c>
      <c r="AB9073" t="s">
        <v>7411</v>
      </c>
      <c r="AC9073" t="s">
        <v>301</v>
      </c>
      <c r="AD9073" t="s">
        <v>54</v>
      </c>
      <c r="AE9073" t="s">
        <v>54</v>
      </c>
      <c r="AG9073" t="s">
        <v>54483</v>
      </c>
      <c r="AH9073" t="s">
        <v>54484</v>
      </c>
      <c r="AI9073" t="s">
        <v>54485</v>
      </c>
    </row>
    <row r="9074" spans="2:35" ht="105">
      <c r="B9074" s="1">
        <v>44979</v>
      </c>
      <c r="C9074" s="4">
        <v>44979.44027777778</v>
      </c>
      <c r="D9074" t="s">
        <v>54479</v>
      </c>
      <c r="E9074" t="s">
        <v>36921</v>
      </c>
      <c r="F9074">
        <v>9</v>
      </c>
      <c r="G9074" t="s">
        <v>2197</v>
      </c>
      <c r="H9074" t="s">
        <v>39</v>
      </c>
      <c r="I9074" t="s">
        <v>40</v>
      </c>
      <c r="J9074" s="2" t="s">
        <v>1592</v>
      </c>
      <c r="K9074" t="s">
        <v>42</v>
      </c>
      <c r="L9074" t="s">
        <v>1257</v>
      </c>
      <c r="Q9074">
        <v>23522</v>
      </c>
      <c r="R9074" t="s">
        <v>45</v>
      </c>
      <c r="S9074" t="s">
        <v>54480</v>
      </c>
      <c r="T9074">
        <v>27</v>
      </c>
      <c r="U9074" s="2" t="s">
        <v>20051</v>
      </c>
      <c r="V9074" s="1">
        <v>44979</v>
      </c>
      <c r="W9074" t="s">
        <v>2384</v>
      </c>
      <c r="X9074">
        <v>815278</v>
      </c>
      <c r="Y9074" t="s">
        <v>54481</v>
      </c>
      <c r="Z9074" t="s">
        <v>54482</v>
      </c>
      <c r="AA9074" t="s">
        <v>54482</v>
      </c>
      <c r="AB9074" t="s">
        <v>7411</v>
      </c>
      <c r="AC9074" t="s">
        <v>301</v>
      </c>
      <c r="AD9074" t="s">
        <v>54</v>
      </c>
      <c r="AE9074" t="s">
        <v>54</v>
      </c>
      <c r="AG9074" t="s">
        <v>54483</v>
      </c>
      <c r="AH9074" t="s">
        <v>54484</v>
      </c>
      <c r="AI9074" t="s">
        <v>54485</v>
      </c>
    </row>
    <row r="9075" spans="2:35" ht="105">
      <c r="B9075" s="1">
        <v>44979</v>
      </c>
      <c r="C9075" s="4">
        <v>44979.44027777778</v>
      </c>
      <c r="D9075" t="s">
        <v>54479</v>
      </c>
      <c r="E9075" t="s">
        <v>36921</v>
      </c>
      <c r="F9075">
        <v>9</v>
      </c>
      <c r="G9075" t="s">
        <v>2197</v>
      </c>
      <c r="H9075" t="s">
        <v>39</v>
      </c>
      <c r="I9075" t="s">
        <v>40</v>
      </c>
      <c r="J9075" s="2" t="s">
        <v>1592</v>
      </c>
      <c r="K9075" t="s">
        <v>42</v>
      </c>
      <c r="L9075" t="s">
        <v>1257</v>
      </c>
      <c r="Q9075">
        <v>23521</v>
      </c>
      <c r="R9075" t="s">
        <v>45</v>
      </c>
      <c r="S9075" t="s">
        <v>54480</v>
      </c>
      <c r="T9075">
        <v>27</v>
      </c>
      <c r="U9075" s="2" t="s">
        <v>20051</v>
      </c>
      <c r="V9075" s="1">
        <v>44979</v>
      </c>
      <c r="W9075" t="s">
        <v>2384</v>
      </c>
      <c r="X9075">
        <v>815278</v>
      </c>
      <c r="Y9075" t="s">
        <v>54481</v>
      </c>
      <c r="Z9075" t="s">
        <v>54482</v>
      </c>
      <c r="AA9075" t="s">
        <v>54482</v>
      </c>
      <c r="AB9075" t="s">
        <v>7411</v>
      </c>
      <c r="AC9075" t="s">
        <v>301</v>
      </c>
      <c r="AD9075" t="s">
        <v>54</v>
      </c>
      <c r="AE9075" t="s">
        <v>54</v>
      </c>
      <c r="AG9075" t="s">
        <v>54483</v>
      </c>
      <c r="AH9075" t="s">
        <v>54484</v>
      </c>
      <c r="AI9075" t="s">
        <v>54485</v>
      </c>
    </row>
    <row r="9076" spans="2:35" ht="195">
      <c r="B9076" s="1">
        <v>44979</v>
      </c>
      <c r="C9076" s="4">
        <v>44979.386805555558</v>
      </c>
      <c r="D9076" t="s">
        <v>21170</v>
      </c>
      <c r="E9076" t="s">
        <v>2797</v>
      </c>
      <c r="F9076">
        <v>12</v>
      </c>
      <c r="G9076" t="s">
        <v>978</v>
      </c>
      <c r="H9076" t="s">
        <v>295</v>
      </c>
      <c r="I9076" t="s">
        <v>94</v>
      </c>
      <c r="J9076" t="s">
        <v>109</v>
      </c>
      <c r="K9076" t="s">
        <v>42</v>
      </c>
      <c r="L9076" t="s">
        <v>296</v>
      </c>
      <c r="Q9076">
        <v>23520</v>
      </c>
      <c r="R9076" t="s">
        <v>95</v>
      </c>
      <c r="S9076" t="s">
        <v>38300</v>
      </c>
      <c r="T9076">
        <v>19.8</v>
      </c>
      <c r="U9076" s="2" t="s">
        <v>54486</v>
      </c>
      <c r="W9076" t="s">
        <v>54487</v>
      </c>
      <c r="X9076">
        <v>831313</v>
      </c>
      <c r="Y9076" t="s">
        <v>13440</v>
      </c>
      <c r="Z9076" t="s">
        <v>9161</v>
      </c>
      <c r="AA9076" t="s">
        <v>9161</v>
      </c>
      <c r="AB9076" t="s">
        <v>1480</v>
      </c>
      <c r="AG9076" t="s">
        <v>54488</v>
      </c>
      <c r="AH9076" t="s">
        <v>44096</v>
      </c>
      <c r="AI9076" t="s">
        <v>54489</v>
      </c>
    </row>
    <row r="9077" spans="2:35" ht="195">
      <c r="B9077" s="1">
        <v>44979</v>
      </c>
      <c r="C9077" s="4">
        <v>44979.370833333334</v>
      </c>
      <c r="D9077" t="s">
        <v>21170</v>
      </c>
      <c r="E9077" t="s">
        <v>2797</v>
      </c>
      <c r="F9077">
        <v>12</v>
      </c>
      <c r="G9077" t="s">
        <v>978</v>
      </c>
      <c r="H9077" t="s">
        <v>295</v>
      </c>
      <c r="I9077" t="s">
        <v>94</v>
      </c>
      <c r="J9077" t="s">
        <v>109</v>
      </c>
      <c r="K9077" t="s">
        <v>42</v>
      </c>
      <c r="L9077" t="s">
        <v>296</v>
      </c>
      <c r="Q9077">
        <v>23519</v>
      </c>
      <c r="R9077" t="s">
        <v>95</v>
      </c>
      <c r="S9077" t="s">
        <v>38300</v>
      </c>
      <c r="T9077">
        <v>20.64</v>
      </c>
      <c r="U9077" s="2" t="s">
        <v>54490</v>
      </c>
      <c r="W9077" t="s">
        <v>54491</v>
      </c>
      <c r="X9077">
        <v>110003713</v>
      </c>
      <c r="Y9077" t="s">
        <v>54492</v>
      </c>
      <c r="Z9077" t="s">
        <v>9161</v>
      </c>
      <c r="AA9077" t="s">
        <v>9161</v>
      </c>
      <c r="AB9077" t="s">
        <v>16070</v>
      </c>
      <c r="AG9077" t="s">
        <v>54493</v>
      </c>
      <c r="AH9077" t="s">
        <v>44096</v>
      </c>
      <c r="AI9077" t="s">
        <v>54494</v>
      </c>
    </row>
    <row r="9078" spans="2:35" ht="105">
      <c r="B9078" s="1">
        <v>44979</v>
      </c>
      <c r="C9078" s="4">
        <v>44979.340277777781</v>
      </c>
      <c r="D9078" t="s">
        <v>54495</v>
      </c>
      <c r="E9078" t="s">
        <v>54496</v>
      </c>
      <c r="F9078">
        <v>5</v>
      </c>
      <c r="G9078" t="s">
        <v>814</v>
      </c>
      <c r="H9078" t="s">
        <v>1498</v>
      </c>
      <c r="I9078" t="s">
        <v>94</v>
      </c>
      <c r="J9078" s="2" t="s">
        <v>41</v>
      </c>
      <c r="K9078" t="s">
        <v>42</v>
      </c>
      <c r="L9078" t="s">
        <v>343</v>
      </c>
      <c r="Q9078">
        <v>23518</v>
      </c>
      <c r="R9078" t="s">
        <v>45</v>
      </c>
      <c r="S9078" t="s">
        <v>43115</v>
      </c>
      <c r="T9078">
        <v>26.5</v>
      </c>
      <c r="U9078" s="2" t="s">
        <v>10665</v>
      </c>
      <c r="V9078" s="1">
        <v>44979</v>
      </c>
      <c r="W9078" t="s">
        <v>38910</v>
      </c>
      <c r="X9078">
        <v>707452</v>
      </c>
      <c r="Y9078" t="s">
        <v>54497</v>
      </c>
      <c r="Z9078" t="e">
        <f ca="1">-Preventive Maintenance
-ARCHIVE test results</f>
        <v>#NAME?</v>
      </c>
      <c r="AA9078" t="s">
        <v>54498</v>
      </c>
      <c r="AB9078" t="s">
        <v>54499</v>
      </c>
      <c r="AD9078" t="s">
        <v>54500</v>
      </c>
      <c r="AE9078" t="s">
        <v>103</v>
      </c>
      <c r="AG9078" t="s">
        <v>54501</v>
      </c>
      <c r="AH9078" t="s">
        <v>43121</v>
      </c>
      <c r="AI9078" t="s">
        <v>54502</v>
      </c>
    </row>
    <row r="9079" spans="2:35" ht="409.5">
      <c r="B9079" s="1">
        <v>44979</v>
      </c>
      <c r="C9079" s="4">
        <v>44979.352083333331</v>
      </c>
      <c r="D9079" t="s">
        <v>23134</v>
      </c>
      <c r="E9079" t="s">
        <v>27716</v>
      </c>
      <c r="F9079" t="s">
        <v>148</v>
      </c>
      <c r="G9079" t="s">
        <v>310</v>
      </c>
      <c r="H9079" t="s">
        <v>34954</v>
      </c>
      <c r="I9079" t="s">
        <v>40</v>
      </c>
      <c r="J9079" t="s">
        <v>583</v>
      </c>
      <c r="K9079" t="s">
        <v>42</v>
      </c>
      <c r="L9079" t="s">
        <v>1943</v>
      </c>
      <c r="Q9079">
        <v>23517</v>
      </c>
      <c r="R9079" t="s">
        <v>45</v>
      </c>
      <c r="S9079" t="s">
        <v>23136</v>
      </c>
      <c r="T9079">
        <v>22</v>
      </c>
      <c r="U9079" s="2" t="s">
        <v>54503</v>
      </c>
      <c r="W9079" t="s">
        <v>895</v>
      </c>
      <c r="X9079">
        <v>844121</v>
      </c>
      <c r="Y9079" s="2" t="s">
        <v>54504</v>
      </c>
      <c r="Z9079" s="2" t="s">
        <v>54505</v>
      </c>
      <c r="AA9079" t="s">
        <v>54506</v>
      </c>
      <c r="AB9079" t="s">
        <v>88</v>
      </c>
      <c r="AG9079" t="s">
        <v>54507</v>
      </c>
      <c r="AH9079" t="s">
        <v>54508</v>
      </c>
      <c r="AI9079" t="s">
        <v>54509</v>
      </c>
    </row>
    <row r="9080" spans="2:35" ht="409.5">
      <c r="B9080" s="1">
        <v>44979</v>
      </c>
      <c r="C9080" s="4">
        <v>44979.352083333331</v>
      </c>
      <c r="D9080" t="s">
        <v>23134</v>
      </c>
      <c r="E9080" t="s">
        <v>27716</v>
      </c>
      <c r="F9080" t="s">
        <v>148</v>
      </c>
      <c r="G9080" t="s">
        <v>310</v>
      </c>
      <c r="H9080" t="s">
        <v>34954</v>
      </c>
      <c r="I9080" t="s">
        <v>40</v>
      </c>
      <c r="J9080" t="s">
        <v>583</v>
      </c>
      <c r="K9080" t="s">
        <v>42</v>
      </c>
      <c r="L9080" t="s">
        <v>1943</v>
      </c>
      <c r="Q9080">
        <v>23516</v>
      </c>
      <c r="R9080" t="s">
        <v>45</v>
      </c>
      <c r="S9080" t="s">
        <v>23136</v>
      </c>
      <c r="T9080">
        <v>22</v>
      </c>
      <c r="U9080" s="2" t="s">
        <v>54503</v>
      </c>
      <c r="W9080" t="s">
        <v>895</v>
      </c>
      <c r="X9080">
        <v>844121</v>
      </c>
      <c r="Y9080" s="2" t="s">
        <v>54504</v>
      </c>
      <c r="Z9080" s="2" t="s">
        <v>54505</v>
      </c>
      <c r="AA9080" t="s">
        <v>54506</v>
      </c>
      <c r="AB9080" t="s">
        <v>88</v>
      </c>
      <c r="AG9080" t="s">
        <v>54510</v>
      </c>
      <c r="AH9080" t="s">
        <v>54508</v>
      </c>
      <c r="AI9080" t="s">
        <v>54511</v>
      </c>
    </row>
    <row r="9081" spans="2:35" ht="409.5">
      <c r="B9081" s="1">
        <v>44979</v>
      </c>
      <c r="C9081" s="4">
        <v>44979.352083333331</v>
      </c>
      <c r="D9081" t="s">
        <v>23134</v>
      </c>
      <c r="E9081" t="s">
        <v>27716</v>
      </c>
      <c r="F9081" t="s">
        <v>148</v>
      </c>
      <c r="G9081" t="s">
        <v>310</v>
      </c>
      <c r="H9081" t="s">
        <v>34954</v>
      </c>
      <c r="I9081" t="s">
        <v>40</v>
      </c>
      <c r="J9081" t="s">
        <v>583</v>
      </c>
      <c r="K9081" t="s">
        <v>42</v>
      </c>
      <c r="L9081" t="s">
        <v>1943</v>
      </c>
      <c r="Q9081">
        <v>23515</v>
      </c>
      <c r="R9081" t="s">
        <v>45</v>
      </c>
      <c r="S9081" t="s">
        <v>23136</v>
      </c>
      <c r="T9081">
        <v>22</v>
      </c>
      <c r="U9081" s="2" t="s">
        <v>54503</v>
      </c>
      <c r="W9081" t="s">
        <v>895</v>
      </c>
      <c r="X9081">
        <v>844121</v>
      </c>
      <c r="Y9081" s="2" t="s">
        <v>54504</v>
      </c>
      <c r="Z9081" s="2" t="s">
        <v>54505</v>
      </c>
      <c r="AA9081" t="s">
        <v>54506</v>
      </c>
      <c r="AB9081" t="s">
        <v>88</v>
      </c>
      <c r="AG9081" t="s">
        <v>54512</v>
      </c>
      <c r="AH9081" t="s">
        <v>54508</v>
      </c>
      <c r="AI9081" t="s">
        <v>54513</v>
      </c>
    </row>
    <row r="9082" spans="2:35" ht="255">
      <c r="B9082" s="1">
        <v>44978</v>
      </c>
      <c r="C9082" s="4">
        <v>44978.394444444442</v>
      </c>
      <c r="D9082" t="s">
        <v>54514</v>
      </c>
      <c r="E9082" t="s">
        <v>54515</v>
      </c>
      <c r="F9082" t="s">
        <v>148</v>
      </c>
      <c r="G9082" t="s">
        <v>447</v>
      </c>
      <c r="H9082" t="s">
        <v>39</v>
      </c>
      <c r="I9082" t="s">
        <v>94</v>
      </c>
      <c r="J9082" s="2" t="s">
        <v>62</v>
      </c>
      <c r="K9082" t="s">
        <v>42</v>
      </c>
      <c r="L9082" t="s">
        <v>448</v>
      </c>
      <c r="Q9082">
        <v>23514</v>
      </c>
      <c r="R9082" t="s">
        <v>119</v>
      </c>
      <c r="S9082" t="s">
        <v>18441</v>
      </c>
      <c r="T9082">
        <v>25</v>
      </c>
      <c r="U9082" s="2" t="s">
        <v>54516</v>
      </c>
      <c r="V9082" s="1">
        <v>44946</v>
      </c>
      <c r="W9082" t="s">
        <v>1008</v>
      </c>
      <c r="X9082">
        <v>831848</v>
      </c>
      <c r="Y9082" t="s">
        <v>54517</v>
      </c>
      <c r="Z9082" t="s">
        <v>54518</v>
      </c>
      <c r="AA9082" t="s">
        <v>54519</v>
      </c>
      <c r="AB9082" t="s">
        <v>54520</v>
      </c>
      <c r="AC9082" t="s">
        <v>54521</v>
      </c>
      <c r="AD9082" t="s">
        <v>11518</v>
      </c>
      <c r="AE9082">
        <v>9525</v>
      </c>
      <c r="AG9082" t="s">
        <v>54522</v>
      </c>
      <c r="AH9082" t="s">
        <v>11779</v>
      </c>
      <c r="AI9082" t="s">
        <v>54523</v>
      </c>
    </row>
    <row r="9083" spans="2:35" ht="255">
      <c r="B9083" s="1">
        <v>44978</v>
      </c>
      <c r="C9083" s="4">
        <v>44978.394444444442</v>
      </c>
      <c r="D9083" t="s">
        <v>54514</v>
      </c>
      <c r="E9083" t="s">
        <v>54515</v>
      </c>
      <c r="F9083" t="s">
        <v>148</v>
      </c>
      <c r="G9083" t="s">
        <v>447</v>
      </c>
      <c r="H9083" t="s">
        <v>39</v>
      </c>
      <c r="I9083" t="s">
        <v>94</v>
      </c>
      <c r="J9083" s="2" t="s">
        <v>62</v>
      </c>
      <c r="K9083" t="s">
        <v>42</v>
      </c>
      <c r="L9083" t="s">
        <v>448</v>
      </c>
      <c r="Q9083">
        <v>23513</v>
      </c>
      <c r="R9083" t="s">
        <v>119</v>
      </c>
      <c r="S9083" t="s">
        <v>18441</v>
      </c>
      <c r="T9083">
        <v>25</v>
      </c>
      <c r="U9083" s="2" t="s">
        <v>54516</v>
      </c>
      <c r="V9083" s="1">
        <v>44946</v>
      </c>
      <c r="W9083" t="s">
        <v>1008</v>
      </c>
      <c r="X9083">
        <v>831848</v>
      </c>
      <c r="Y9083" t="s">
        <v>54517</v>
      </c>
      <c r="Z9083" t="s">
        <v>54518</v>
      </c>
      <c r="AA9083" t="s">
        <v>54519</v>
      </c>
      <c r="AB9083" t="s">
        <v>54520</v>
      </c>
      <c r="AC9083" t="s">
        <v>54521</v>
      </c>
      <c r="AD9083" t="s">
        <v>11518</v>
      </c>
      <c r="AE9083">
        <v>9525</v>
      </c>
      <c r="AG9083" t="s">
        <v>54524</v>
      </c>
      <c r="AH9083" t="s">
        <v>11779</v>
      </c>
      <c r="AI9083" t="s">
        <v>54525</v>
      </c>
    </row>
    <row r="9084" spans="2:35">
      <c r="B9084" s="1">
        <v>44978</v>
      </c>
      <c r="C9084" s="4">
        <v>44875.597916666666</v>
      </c>
      <c r="D9084" t="s">
        <v>42431</v>
      </c>
      <c r="E9084" t="s">
        <v>54526</v>
      </c>
      <c r="F9084" t="s">
        <v>148</v>
      </c>
      <c r="G9084" t="s">
        <v>447</v>
      </c>
      <c r="H9084" t="s">
        <v>386</v>
      </c>
      <c r="I9084" t="s">
        <v>40</v>
      </c>
      <c r="J9084" t="s">
        <v>109</v>
      </c>
      <c r="K9084" t="s">
        <v>387</v>
      </c>
      <c r="L9084" t="s">
        <v>448</v>
      </c>
      <c r="Q9084">
        <v>23512</v>
      </c>
      <c r="R9084" t="s">
        <v>322</v>
      </c>
      <c r="S9084" t="s">
        <v>54323</v>
      </c>
      <c r="T9084">
        <v>26</v>
      </c>
      <c r="W9084" t="s">
        <v>476</v>
      </c>
      <c r="X9084" t="s">
        <v>5005</v>
      </c>
      <c r="Y9084" t="s">
        <v>121</v>
      </c>
      <c r="Z9084" t="s">
        <v>47610</v>
      </c>
      <c r="AA9084" t="s">
        <v>6997</v>
      </c>
      <c r="AB9084" t="s">
        <v>486</v>
      </c>
      <c r="AG9084" t="s">
        <v>54527</v>
      </c>
      <c r="AH9084" t="s">
        <v>5010</v>
      </c>
      <c r="AI9084" t="s">
        <v>54528</v>
      </c>
    </row>
    <row r="9085" spans="2:35" ht="225">
      <c r="B9085" s="1">
        <v>44978</v>
      </c>
      <c r="C9085" s="4">
        <v>44978.629861111112</v>
      </c>
      <c r="D9085" t="s">
        <v>54529</v>
      </c>
      <c r="E9085" t="s">
        <v>39538</v>
      </c>
      <c r="F9085">
        <v>3</v>
      </c>
      <c r="G9085" t="s">
        <v>1722</v>
      </c>
      <c r="H9085" t="s">
        <v>39</v>
      </c>
      <c r="I9085" t="s">
        <v>40</v>
      </c>
      <c r="J9085" s="2" t="s">
        <v>62</v>
      </c>
      <c r="K9085" t="s">
        <v>42</v>
      </c>
      <c r="L9085" t="s">
        <v>63</v>
      </c>
      <c r="Q9085">
        <v>23511</v>
      </c>
      <c r="R9085" t="s">
        <v>119</v>
      </c>
      <c r="S9085" t="s">
        <v>54530</v>
      </c>
      <c r="T9085">
        <v>29</v>
      </c>
      <c r="U9085" s="2" t="s">
        <v>54531</v>
      </c>
      <c r="V9085" s="1">
        <v>44964</v>
      </c>
      <c r="W9085" t="s">
        <v>26915</v>
      </c>
      <c r="X9085">
        <v>831695</v>
      </c>
      <c r="Y9085" t="s">
        <v>1716</v>
      </c>
      <c r="Z9085" t="s">
        <v>1716</v>
      </c>
      <c r="AA9085" s="2" t="s">
        <v>38119</v>
      </c>
      <c r="AB9085" t="s">
        <v>70</v>
      </c>
      <c r="AC9085" t="s">
        <v>53615</v>
      </c>
      <c r="AD9085" t="s">
        <v>46113</v>
      </c>
      <c r="AE9085">
        <v>9590</v>
      </c>
      <c r="AG9085" t="s">
        <v>54532</v>
      </c>
      <c r="AH9085" t="s">
        <v>28743</v>
      </c>
      <c r="AI9085" t="s">
        <v>54533</v>
      </c>
    </row>
    <row r="9086" spans="2:35" ht="409.5">
      <c r="B9086" s="1">
        <v>44978</v>
      </c>
      <c r="C9086" s="4">
        <v>44978.581250000003</v>
      </c>
      <c r="D9086" t="s">
        <v>29843</v>
      </c>
      <c r="E9086" t="s">
        <v>54534</v>
      </c>
      <c r="F9086">
        <v>3</v>
      </c>
      <c r="G9086" t="s">
        <v>730</v>
      </c>
      <c r="H9086" t="s">
        <v>39</v>
      </c>
      <c r="I9086" t="s">
        <v>40</v>
      </c>
      <c r="J9086" t="s">
        <v>525</v>
      </c>
      <c r="K9086" t="s">
        <v>42</v>
      </c>
      <c r="L9086" t="s">
        <v>135</v>
      </c>
      <c r="Q9086">
        <v>23510</v>
      </c>
      <c r="R9086" t="s">
        <v>45</v>
      </c>
      <c r="S9086" t="s">
        <v>29845</v>
      </c>
      <c r="T9086">
        <v>28.15</v>
      </c>
      <c r="U9086" s="2" t="s">
        <v>54535</v>
      </c>
      <c r="W9086" t="s">
        <v>2680</v>
      </c>
      <c r="X9086">
        <v>805108</v>
      </c>
      <c r="Y9086" t="s">
        <v>54536</v>
      </c>
      <c r="Z9086" s="2" t="s">
        <v>54537</v>
      </c>
      <c r="AA9086" t="s">
        <v>54538</v>
      </c>
      <c r="AB9086" t="s">
        <v>54539</v>
      </c>
      <c r="AC9086" t="s">
        <v>54540</v>
      </c>
      <c r="AG9086" t="s">
        <v>54541</v>
      </c>
      <c r="AH9086" t="s">
        <v>47740</v>
      </c>
      <c r="AI9086" t="s">
        <v>54542</v>
      </c>
    </row>
    <row r="9087" spans="2:35" ht="180">
      <c r="B9087" s="1">
        <v>44978</v>
      </c>
      <c r="C9087" s="4">
        <v>44978.643055555556</v>
      </c>
      <c r="D9087" t="s">
        <v>54543</v>
      </c>
      <c r="E9087" t="s">
        <v>54544</v>
      </c>
      <c r="F9087">
        <v>7</v>
      </c>
      <c r="G9087" t="s">
        <v>432</v>
      </c>
      <c r="H9087" t="s">
        <v>386</v>
      </c>
      <c r="I9087" t="s">
        <v>94</v>
      </c>
      <c r="J9087" s="2" t="s">
        <v>62</v>
      </c>
      <c r="K9087" t="s">
        <v>387</v>
      </c>
      <c r="L9087" t="s">
        <v>610</v>
      </c>
      <c r="Q9087">
        <v>23509</v>
      </c>
      <c r="R9087" t="s">
        <v>95</v>
      </c>
      <c r="S9087" t="s">
        <v>54545</v>
      </c>
      <c r="T9087">
        <v>25</v>
      </c>
      <c r="V9087" s="1">
        <v>44978</v>
      </c>
      <c r="W9087" t="s">
        <v>436</v>
      </c>
      <c r="X9087" t="s">
        <v>54546</v>
      </c>
      <c r="Y9087" t="s">
        <v>67</v>
      </c>
      <c r="Z9087" t="s">
        <v>54547</v>
      </c>
      <c r="AA9087" t="s">
        <v>54548</v>
      </c>
      <c r="AB9087" s="2" t="s">
        <v>54549</v>
      </c>
      <c r="AD9087" t="s">
        <v>103</v>
      </c>
      <c r="AE9087" t="s">
        <v>103</v>
      </c>
      <c r="AG9087" t="s">
        <v>54550</v>
      </c>
      <c r="AH9087" t="s">
        <v>54551</v>
      </c>
      <c r="AI9087" t="s">
        <v>54552</v>
      </c>
    </row>
    <row r="9088" spans="2:35" ht="180">
      <c r="B9088" s="1">
        <v>44978</v>
      </c>
      <c r="C9088" s="4">
        <v>44978.613194444442</v>
      </c>
      <c r="D9088" t="s">
        <v>36157</v>
      </c>
      <c r="E9088" t="s">
        <v>26406</v>
      </c>
      <c r="F9088">
        <v>5</v>
      </c>
      <c r="G9088" t="s">
        <v>814</v>
      </c>
      <c r="H9088" t="s">
        <v>39</v>
      </c>
      <c r="I9088" t="s">
        <v>94</v>
      </c>
      <c r="J9088" s="2" t="s">
        <v>190</v>
      </c>
      <c r="K9088" t="s">
        <v>42</v>
      </c>
      <c r="L9088" t="s">
        <v>343</v>
      </c>
      <c r="Q9088">
        <v>23508</v>
      </c>
      <c r="R9088" t="s">
        <v>45</v>
      </c>
      <c r="S9088" t="s">
        <v>47463</v>
      </c>
      <c r="T9088">
        <v>22.5</v>
      </c>
      <c r="U9088" s="2" t="s">
        <v>54553</v>
      </c>
      <c r="W9088" t="s">
        <v>35955</v>
      </c>
      <c r="X9088">
        <v>835200</v>
      </c>
      <c r="Y9088" t="e">
        <f ca="1">-CPU is _xludf.not turning on
-module B1 H/W Failed</f>
        <v>#NAME?</v>
      </c>
      <c r="Z9088" t="e">
        <f ca="1">-Preventive Maintenance
-ARCHIVE test results
-COLLECT _xludf.error Data on module B1</f>
        <v>#NAME?</v>
      </c>
      <c r="AA9088" t="e">
        <f ca="1">-Reset internal memory ( RAM) of CPU
-Reset _xludf.Power SUPPLY connection of CPU</f>
        <v>#NAME?</v>
      </c>
      <c r="AB9088" t="s">
        <v>54554</v>
      </c>
      <c r="AG9088" t="s">
        <v>54555</v>
      </c>
      <c r="AH9088" t="s">
        <v>26411</v>
      </c>
      <c r="AI9088" t="s">
        <v>54556</v>
      </c>
    </row>
    <row r="9089" spans="2:35" ht="285">
      <c r="B9089" s="1">
        <v>44978</v>
      </c>
      <c r="C9089" s="4">
        <v>44978.587500000001</v>
      </c>
      <c r="D9089" t="s">
        <v>5783</v>
      </c>
      <c r="E9089" t="s">
        <v>50520</v>
      </c>
      <c r="F9089">
        <v>12</v>
      </c>
      <c r="G9089" t="s">
        <v>978</v>
      </c>
      <c r="H9089" t="s">
        <v>39</v>
      </c>
      <c r="I9089" t="s">
        <v>94</v>
      </c>
      <c r="J9089" s="2" t="s">
        <v>41</v>
      </c>
      <c r="K9089" t="s">
        <v>42</v>
      </c>
      <c r="L9089" t="s">
        <v>296</v>
      </c>
      <c r="Q9089">
        <v>23507</v>
      </c>
      <c r="R9089" t="s">
        <v>119</v>
      </c>
      <c r="S9089" t="s">
        <v>20624</v>
      </c>
      <c r="T9089">
        <v>27</v>
      </c>
      <c r="U9089" s="2" t="s">
        <v>54557</v>
      </c>
      <c r="V9089" s="1">
        <v>44978</v>
      </c>
      <c r="W9089" t="s">
        <v>23049</v>
      </c>
      <c r="X9089">
        <v>838546</v>
      </c>
      <c r="Y9089" t="s">
        <v>2291</v>
      </c>
      <c r="Z9089" s="2" t="s">
        <v>54558</v>
      </c>
      <c r="AA9089" s="2" t="s">
        <v>54558</v>
      </c>
      <c r="AB9089" t="s">
        <v>972</v>
      </c>
      <c r="AD9089" t="s">
        <v>54559</v>
      </c>
      <c r="AE9089" t="s">
        <v>54</v>
      </c>
      <c r="AG9089" t="s">
        <v>54560</v>
      </c>
      <c r="AH9089" t="s">
        <v>54561</v>
      </c>
      <c r="AI9089" t="s">
        <v>54562</v>
      </c>
    </row>
    <row r="9090" spans="2:35" ht="105">
      <c r="B9090" s="1">
        <v>44978</v>
      </c>
      <c r="C9090" s="4">
        <v>44978.571527777778</v>
      </c>
      <c r="D9090" t="s">
        <v>54563</v>
      </c>
      <c r="E9090" t="s">
        <v>54564</v>
      </c>
      <c r="F9090">
        <v>9</v>
      </c>
      <c r="G9090" t="s">
        <v>1628</v>
      </c>
      <c r="H9090" t="s">
        <v>39</v>
      </c>
      <c r="I9090" t="s">
        <v>40</v>
      </c>
      <c r="J9090" s="2" t="s">
        <v>220</v>
      </c>
      <c r="K9090" t="s">
        <v>42</v>
      </c>
      <c r="L9090" t="s">
        <v>1257</v>
      </c>
      <c r="Q9090">
        <v>23506</v>
      </c>
      <c r="R9090" t="s">
        <v>45</v>
      </c>
      <c r="S9090" t="s">
        <v>54565</v>
      </c>
      <c r="T9090">
        <v>27</v>
      </c>
      <c r="U9090" s="2" t="s">
        <v>54566</v>
      </c>
      <c r="V9090" s="1">
        <v>44978</v>
      </c>
      <c r="W9090" t="s">
        <v>2384</v>
      </c>
      <c r="X9090">
        <v>815304</v>
      </c>
      <c r="Y9090" t="s">
        <v>54567</v>
      </c>
      <c r="Z9090" t="s">
        <v>54568</v>
      </c>
      <c r="AA9090" t="s">
        <v>54568</v>
      </c>
      <c r="AB9090" t="s">
        <v>7411</v>
      </c>
      <c r="AC9090" t="s">
        <v>301</v>
      </c>
      <c r="AD9090" t="s">
        <v>54</v>
      </c>
      <c r="AE9090" t="s">
        <v>54</v>
      </c>
      <c r="AG9090" t="s">
        <v>54569</v>
      </c>
      <c r="AH9090" t="s">
        <v>54570</v>
      </c>
      <c r="AI9090" t="s">
        <v>54571</v>
      </c>
    </row>
    <row r="9091" spans="2:35" ht="315">
      <c r="B9091" s="1">
        <v>44978</v>
      </c>
      <c r="C9091" s="4">
        <v>44978.554861111108</v>
      </c>
      <c r="D9091" t="s">
        <v>21401</v>
      </c>
      <c r="E9091" t="s">
        <v>54572</v>
      </c>
      <c r="F9091">
        <v>11</v>
      </c>
      <c r="G9091" t="s">
        <v>1205</v>
      </c>
      <c r="H9091" t="s">
        <v>202</v>
      </c>
      <c r="I9091" t="s">
        <v>40</v>
      </c>
      <c r="J9091" t="s">
        <v>109</v>
      </c>
      <c r="K9091" t="s">
        <v>42</v>
      </c>
      <c r="L9091" t="s">
        <v>204</v>
      </c>
      <c r="Q9091">
        <v>23505</v>
      </c>
      <c r="R9091" t="s">
        <v>119</v>
      </c>
      <c r="S9091" t="s">
        <v>7812</v>
      </c>
      <c r="T9091">
        <v>26.8</v>
      </c>
      <c r="U9091" s="2" t="s">
        <v>54573</v>
      </c>
      <c r="V9091" s="1">
        <v>44978</v>
      </c>
      <c r="W9091" t="s">
        <v>1292</v>
      </c>
      <c r="X9091">
        <v>838232</v>
      </c>
      <c r="Y9091" t="s">
        <v>1052</v>
      </c>
      <c r="Z9091" s="2" t="s">
        <v>54574</v>
      </c>
      <c r="AA9091" t="s">
        <v>2551</v>
      </c>
      <c r="AB9091" t="s">
        <v>1428</v>
      </c>
      <c r="AC9091" t="s">
        <v>54</v>
      </c>
      <c r="AD9091" t="s">
        <v>54</v>
      </c>
      <c r="AE9091" t="s">
        <v>54</v>
      </c>
      <c r="AG9091" t="s">
        <v>54575</v>
      </c>
      <c r="AH9091" t="s">
        <v>54576</v>
      </c>
      <c r="AI9091" t="s">
        <v>54577</v>
      </c>
    </row>
    <row r="9092" spans="2:35" ht="285">
      <c r="B9092" s="1">
        <v>44978</v>
      </c>
      <c r="C9092" s="4">
        <v>44978.540972222225</v>
      </c>
      <c r="D9092" t="s">
        <v>1412</v>
      </c>
      <c r="E9092" t="s">
        <v>36162</v>
      </c>
      <c r="F9092">
        <v>5</v>
      </c>
      <c r="G9092" t="s">
        <v>814</v>
      </c>
      <c r="H9092" t="s">
        <v>1498</v>
      </c>
      <c r="I9092" t="s">
        <v>94</v>
      </c>
      <c r="J9092" s="2" t="s">
        <v>41</v>
      </c>
      <c r="K9092" t="s">
        <v>42</v>
      </c>
      <c r="L9092" t="s">
        <v>343</v>
      </c>
      <c r="Q9092">
        <v>23504</v>
      </c>
      <c r="R9092" t="s">
        <v>45</v>
      </c>
      <c r="S9092" t="s">
        <v>1414</v>
      </c>
      <c r="T9092">
        <v>20</v>
      </c>
      <c r="U9092" s="2" t="s">
        <v>54578</v>
      </c>
      <c r="V9092" s="1">
        <v>44978</v>
      </c>
      <c r="W9092" t="s">
        <v>6105</v>
      </c>
      <c r="X9092">
        <v>807983</v>
      </c>
      <c r="Y9092" s="2" t="s">
        <v>54579</v>
      </c>
      <c r="Z9092" t="e">
        <f ca="1">-Preventive Maintenance
-ARCHIVE test results</f>
        <v>#NAME?</v>
      </c>
      <c r="AA9092" s="2" t="s">
        <v>54580</v>
      </c>
      <c r="AB9092" s="2" t="s">
        <v>54581</v>
      </c>
      <c r="AD9092" t="s">
        <v>19700</v>
      </c>
      <c r="AE9092" t="s">
        <v>103</v>
      </c>
      <c r="AG9092" t="s">
        <v>54582</v>
      </c>
      <c r="AH9092" t="s">
        <v>24585</v>
      </c>
      <c r="AI9092" t="s">
        <v>54583</v>
      </c>
    </row>
    <row r="9093" spans="2:35" ht="330">
      <c r="B9093" s="1">
        <v>44978</v>
      </c>
      <c r="C9093" s="4">
        <v>44978.468055555553</v>
      </c>
      <c r="D9093" t="s">
        <v>24882</v>
      </c>
      <c r="E9093" t="s">
        <v>54584</v>
      </c>
      <c r="F9093">
        <v>3</v>
      </c>
      <c r="G9093" t="s">
        <v>730</v>
      </c>
      <c r="H9093" t="s">
        <v>39</v>
      </c>
      <c r="I9093" t="s">
        <v>40</v>
      </c>
      <c r="J9093" s="2" t="s">
        <v>62</v>
      </c>
      <c r="K9093" t="s">
        <v>42</v>
      </c>
      <c r="L9093" t="s">
        <v>135</v>
      </c>
      <c r="Q9093">
        <v>23503</v>
      </c>
      <c r="R9093" t="s">
        <v>119</v>
      </c>
      <c r="S9093" t="s">
        <v>24884</v>
      </c>
      <c r="T9093">
        <v>27.4</v>
      </c>
      <c r="U9093" s="2" t="s">
        <v>54585</v>
      </c>
      <c r="V9093" s="1">
        <v>44959</v>
      </c>
      <c r="W9093" t="s">
        <v>2680</v>
      </c>
      <c r="X9093">
        <v>831693</v>
      </c>
      <c r="Y9093" t="s">
        <v>67</v>
      </c>
      <c r="Z9093" s="2" t="s">
        <v>54586</v>
      </c>
      <c r="AA9093" t="s">
        <v>54587</v>
      </c>
      <c r="AB9093" t="s">
        <v>181</v>
      </c>
      <c r="AC9093" t="s">
        <v>34421</v>
      </c>
      <c r="AD9093" t="s">
        <v>54588</v>
      </c>
      <c r="AE9093">
        <v>9569</v>
      </c>
      <c r="AG9093" t="s">
        <v>54589</v>
      </c>
      <c r="AH9093" t="s">
        <v>28905</v>
      </c>
      <c r="AI9093" t="s">
        <v>54590</v>
      </c>
    </row>
    <row r="9094" spans="2:35" ht="255">
      <c r="B9094" s="1">
        <v>44978</v>
      </c>
      <c r="C9094" s="4">
        <v>44978.479861111111</v>
      </c>
      <c r="D9094" t="s">
        <v>308</v>
      </c>
      <c r="E9094" t="s">
        <v>3829</v>
      </c>
      <c r="F9094" t="s">
        <v>148</v>
      </c>
      <c r="G9094" t="s">
        <v>310</v>
      </c>
      <c r="H9094" t="s">
        <v>39</v>
      </c>
      <c r="I9094" t="s">
        <v>40</v>
      </c>
      <c r="J9094" s="2" t="s">
        <v>41</v>
      </c>
      <c r="K9094" t="s">
        <v>42</v>
      </c>
      <c r="L9094" t="s">
        <v>1943</v>
      </c>
      <c r="Q9094">
        <v>23502</v>
      </c>
      <c r="R9094" t="s">
        <v>45</v>
      </c>
      <c r="S9094" t="s">
        <v>311</v>
      </c>
      <c r="T9094">
        <v>25</v>
      </c>
      <c r="U9094" s="2" t="s">
        <v>54591</v>
      </c>
      <c r="V9094" s="1">
        <v>44977</v>
      </c>
      <c r="W9094" t="s">
        <v>84</v>
      </c>
      <c r="X9094">
        <v>812561</v>
      </c>
      <c r="Y9094" s="2" t="s">
        <v>54592</v>
      </c>
      <c r="Z9094" s="2" t="s">
        <v>54593</v>
      </c>
      <c r="AA9094" t="s">
        <v>54594</v>
      </c>
      <c r="AB9094" t="s">
        <v>6032</v>
      </c>
      <c r="AD9094" s="2" t="s">
        <v>54595</v>
      </c>
      <c r="AE9094" t="s">
        <v>54596</v>
      </c>
      <c r="AG9094" t="s">
        <v>54597</v>
      </c>
      <c r="AH9094" t="s">
        <v>317</v>
      </c>
      <c r="AI9094" t="s">
        <v>54598</v>
      </c>
    </row>
    <row r="9095" spans="2:35" ht="390">
      <c r="B9095" s="1">
        <v>44978</v>
      </c>
      <c r="C9095" s="4">
        <v>44978.388194444444</v>
      </c>
      <c r="D9095" t="s">
        <v>54599</v>
      </c>
      <c r="E9095" t="s">
        <v>54600</v>
      </c>
      <c r="F9095" t="s">
        <v>1181</v>
      </c>
      <c r="G9095" t="s">
        <v>1182</v>
      </c>
      <c r="H9095" t="s">
        <v>10969</v>
      </c>
      <c r="I9095" t="s">
        <v>40</v>
      </c>
      <c r="J9095" t="s">
        <v>79</v>
      </c>
      <c r="K9095" t="s">
        <v>42</v>
      </c>
      <c r="L9095" t="s">
        <v>1288</v>
      </c>
      <c r="Q9095">
        <v>23501</v>
      </c>
      <c r="R9095" t="s">
        <v>45</v>
      </c>
      <c r="S9095" t="s">
        <v>54601</v>
      </c>
      <c r="T9095">
        <v>23</v>
      </c>
      <c r="U9095" s="2" t="s">
        <v>54602</v>
      </c>
      <c r="W9095" t="s">
        <v>4775</v>
      </c>
      <c r="X9095">
        <v>835101</v>
      </c>
      <c r="Y9095" t="s">
        <v>54603</v>
      </c>
      <c r="Z9095" t="e">
        <f ca="1">-COLLECT IQR,system _xludf.Log _xludf.and ARCHIVE</f>
        <v>#NAME?</v>
      </c>
      <c r="AA9095" s="2" t="s">
        <v>54604</v>
      </c>
      <c r="AB9095" t="s">
        <v>1293</v>
      </c>
      <c r="AG9095" t="s">
        <v>54605</v>
      </c>
      <c r="AH9095" t="s">
        <v>54606</v>
      </c>
      <c r="AI9095" t="s">
        <v>54607</v>
      </c>
    </row>
    <row r="9096" spans="2:35" ht="225">
      <c r="B9096" s="1">
        <v>44978</v>
      </c>
      <c r="C9096" s="4">
        <v>44977.615277777775</v>
      </c>
      <c r="D9096" t="s">
        <v>54608</v>
      </c>
      <c r="E9096" t="s">
        <v>54609</v>
      </c>
      <c r="F9096">
        <v>3</v>
      </c>
      <c r="G9096" t="s">
        <v>1722</v>
      </c>
      <c r="H9096" t="s">
        <v>39</v>
      </c>
      <c r="I9096" t="s">
        <v>40</v>
      </c>
      <c r="J9096" s="2" t="s">
        <v>62</v>
      </c>
      <c r="K9096" t="s">
        <v>42</v>
      </c>
      <c r="L9096" t="s">
        <v>63</v>
      </c>
      <c r="Q9096">
        <v>23500</v>
      </c>
      <c r="R9096" t="s">
        <v>119</v>
      </c>
      <c r="S9096" t="s">
        <v>35461</v>
      </c>
      <c r="T9096">
        <v>26</v>
      </c>
      <c r="U9096" s="2" t="s">
        <v>54610</v>
      </c>
      <c r="V9096" s="1">
        <v>44964</v>
      </c>
      <c r="W9096" t="s">
        <v>26915</v>
      </c>
      <c r="X9096">
        <v>831673</v>
      </c>
      <c r="Y9096" t="s">
        <v>1716</v>
      </c>
      <c r="Z9096" t="s">
        <v>1716</v>
      </c>
      <c r="AA9096" s="2" t="s">
        <v>38119</v>
      </c>
      <c r="AB9096" t="s">
        <v>70</v>
      </c>
      <c r="AC9096" t="s">
        <v>8019</v>
      </c>
      <c r="AD9096" t="s">
        <v>29263</v>
      </c>
      <c r="AE9096">
        <v>9593</v>
      </c>
      <c r="AG9096" t="s">
        <v>54611</v>
      </c>
      <c r="AH9096" t="s">
        <v>54612</v>
      </c>
      <c r="AI9096" t="s">
        <v>54613</v>
      </c>
    </row>
    <row r="9097" spans="2:35" ht="180">
      <c r="B9097" s="1">
        <v>44977</v>
      </c>
      <c r="C9097" s="4">
        <v>44977.693055555559</v>
      </c>
      <c r="D9097" t="s">
        <v>54614</v>
      </c>
      <c r="E9097" t="s">
        <v>54615</v>
      </c>
      <c r="F9097" t="s">
        <v>1181</v>
      </c>
      <c r="G9097" t="s">
        <v>1182</v>
      </c>
      <c r="H9097" t="s">
        <v>202</v>
      </c>
      <c r="I9097" t="s">
        <v>40</v>
      </c>
      <c r="J9097" t="s">
        <v>109</v>
      </c>
      <c r="K9097" t="s">
        <v>42</v>
      </c>
      <c r="L9097" t="s">
        <v>1288</v>
      </c>
      <c r="Q9097">
        <v>23499</v>
      </c>
      <c r="R9097" t="s">
        <v>45</v>
      </c>
      <c r="S9097" t="s">
        <v>24350</v>
      </c>
      <c r="T9097">
        <v>27</v>
      </c>
      <c r="U9097" s="2" t="s">
        <v>54616</v>
      </c>
      <c r="W9097" t="s">
        <v>1292</v>
      </c>
      <c r="X9097">
        <v>807612</v>
      </c>
      <c r="Y9097" t="s">
        <v>1529</v>
      </c>
      <c r="Z9097" t="e">
        <f ca="1">-COLLECT IQR , sytem _xludf.Log, Assay, _xludf.and ARCHIVE
-Cleaning of GX EQUIPMENT</f>
        <v>#NAME?</v>
      </c>
      <c r="AA9097" t="e">
        <f ca="1">-PERFORM Preventive Maintenance</f>
        <v>#NAME?</v>
      </c>
      <c r="AB9097" t="s">
        <v>54617</v>
      </c>
      <c r="AG9097" t="s">
        <v>54618</v>
      </c>
      <c r="AH9097" t="s">
        <v>54619</v>
      </c>
      <c r="AI9097" t="s">
        <v>54620</v>
      </c>
    </row>
    <row r="9098" spans="2:35" ht="285">
      <c r="B9098" s="1">
        <v>44977</v>
      </c>
      <c r="C9098" s="4">
        <v>44977.583333333336</v>
      </c>
      <c r="D9098" t="s">
        <v>4149</v>
      </c>
      <c r="E9098" t="s">
        <v>4150</v>
      </c>
      <c r="F9098">
        <v>7</v>
      </c>
      <c r="G9098" t="s">
        <v>432</v>
      </c>
      <c r="H9098" t="s">
        <v>39</v>
      </c>
      <c r="I9098" t="s">
        <v>40</v>
      </c>
      <c r="J9098" s="2" t="s">
        <v>609</v>
      </c>
      <c r="K9098" t="s">
        <v>42</v>
      </c>
      <c r="L9098" t="s">
        <v>433</v>
      </c>
      <c r="Q9098">
        <v>23498</v>
      </c>
      <c r="R9098" t="s">
        <v>45</v>
      </c>
      <c r="S9098" t="s">
        <v>4152</v>
      </c>
      <c r="T9098">
        <v>28</v>
      </c>
      <c r="U9098" s="2" t="s">
        <v>54621</v>
      </c>
      <c r="W9098" t="s">
        <v>6776</v>
      </c>
      <c r="X9098">
        <v>808286</v>
      </c>
      <c r="Y9098" t="s">
        <v>54622</v>
      </c>
      <c r="Z9098" t="s">
        <v>14513</v>
      </c>
      <c r="AA9098" t="s">
        <v>54623</v>
      </c>
      <c r="AB9098" t="s">
        <v>45421</v>
      </c>
      <c r="AG9098" t="s">
        <v>54624</v>
      </c>
      <c r="AH9098" t="s">
        <v>24680</v>
      </c>
      <c r="AI9098" t="s">
        <v>54625</v>
      </c>
    </row>
    <row r="9099" spans="2:35" ht="285">
      <c r="B9099" s="1">
        <v>44977</v>
      </c>
      <c r="C9099" s="4">
        <v>44977.583333333336</v>
      </c>
      <c r="D9099" t="s">
        <v>4149</v>
      </c>
      <c r="E9099" t="s">
        <v>4150</v>
      </c>
      <c r="F9099">
        <v>7</v>
      </c>
      <c r="G9099" t="s">
        <v>432</v>
      </c>
      <c r="H9099" t="s">
        <v>39</v>
      </c>
      <c r="I9099" t="s">
        <v>40</v>
      </c>
      <c r="J9099" s="2" t="s">
        <v>609</v>
      </c>
      <c r="K9099" t="s">
        <v>42</v>
      </c>
      <c r="L9099" t="s">
        <v>433</v>
      </c>
      <c r="Q9099">
        <v>23497</v>
      </c>
      <c r="R9099" t="s">
        <v>45</v>
      </c>
      <c r="S9099" t="s">
        <v>4152</v>
      </c>
      <c r="T9099">
        <v>28</v>
      </c>
      <c r="U9099" s="2" t="s">
        <v>54621</v>
      </c>
      <c r="W9099" t="s">
        <v>6776</v>
      </c>
      <c r="X9099">
        <v>808286</v>
      </c>
      <c r="Y9099" t="s">
        <v>54622</v>
      </c>
      <c r="Z9099" t="s">
        <v>14513</v>
      </c>
      <c r="AA9099" t="s">
        <v>54623</v>
      </c>
      <c r="AB9099" t="s">
        <v>45421</v>
      </c>
      <c r="AG9099" t="s">
        <v>54626</v>
      </c>
      <c r="AH9099" t="s">
        <v>24680</v>
      </c>
      <c r="AI9099" t="s">
        <v>54627</v>
      </c>
    </row>
    <row r="9100" spans="2:35" ht="255">
      <c r="B9100" s="1">
        <v>44977</v>
      </c>
      <c r="C9100" s="4">
        <v>44977.606944444444</v>
      </c>
      <c r="D9100" t="s">
        <v>1071</v>
      </c>
      <c r="E9100" t="s">
        <v>1555</v>
      </c>
      <c r="F9100">
        <v>7</v>
      </c>
      <c r="G9100" t="s">
        <v>432</v>
      </c>
      <c r="H9100" t="s">
        <v>150</v>
      </c>
      <c r="I9100" t="s">
        <v>40</v>
      </c>
      <c r="J9100" t="s">
        <v>109</v>
      </c>
      <c r="K9100" t="s">
        <v>42</v>
      </c>
      <c r="L9100" t="s">
        <v>343</v>
      </c>
      <c r="Q9100">
        <v>23496</v>
      </c>
      <c r="R9100" t="s">
        <v>119</v>
      </c>
      <c r="S9100" t="s">
        <v>8679</v>
      </c>
      <c r="T9100">
        <v>27</v>
      </c>
      <c r="U9100" s="2" t="s">
        <v>54628</v>
      </c>
      <c r="W9100" t="s">
        <v>6105</v>
      </c>
      <c r="X9100">
        <v>838285</v>
      </c>
      <c r="Y9100" t="s">
        <v>103</v>
      </c>
      <c r="Z9100" t="e">
        <f ca="1">-Preventive Maintenance
-ARCHIVE test _xludf.result _xludf.For the past _xludf.month
-_xludf.Clean FAN _xludf.filter</f>
        <v>#NAME?</v>
      </c>
      <c r="AA9100" t="s">
        <v>103</v>
      </c>
      <c r="AB9100" t="s">
        <v>54629</v>
      </c>
      <c r="AC9100" t="s">
        <v>54630</v>
      </c>
      <c r="AG9100" t="s">
        <v>54631</v>
      </c>
      <c r="AH9100" t="s">
        <v>54632</v>
      </c>
      <c r="AI9100" t="s">
        <v>54633</v>
      </c>
    </row>
    <row r="9101" spans="2:35" ht="255">
      <c r="B9101" s="1">
        <v>44977</v>
      </c>
      <c r="C9101" s="4">
        <v>44977.61041666667</v>
      </c>
      <c r="D9101" t="s">
        <v>1071</v>
      </c>
      <c r="E9101" t="s">
        <v>1555</v>
      </c>
      <c r="F9101">
        <v>7</v>
      </c>
      <c r="G9101" t="s">
        <v>432</v>
      </c>
      <c r="H9101" t="s">
        <v>150</v>
      </c>
      <c r="I9101" t="s">
        <v>40</v>
      </c>
      <c r="J9101" t="s">
        <v>109</v>
      </c>
      <c r="K9101" t="s">
        <v>42</v>
      </c>
      <c r="L9101" t="s">
        <v>343</v>
      </c>
      <c r="Q9101">
        <v>23495</v>
      </c>
      <c r="R9101" t="s">
        <v>119</v>
      </c>
      <c r="S9101" t="s">
        <v>8679</v>
      </c>
      <c r="T9101">
        <v>27</v>
      </c>
      <c r="U9101" s="2" t="s">
        <v>54634</v>
      </c>
      <c r="W9101" t="s">
        <v>6105</v>
      </c>
      <c r="X9101">
        <v>820206</v>
      </c>
      <c r="Y9101" t="s">
        <v>103</v>
      </c>
      <c r="Z9101" t="e">
        <f ca="1">-Preventive Maintenance
-ARCHIVE test results _xludf.For the past _xludf.month
-_xludf.Clean FAN _xludf.filter</f>
        <v>#NAME?</v>
      </c>
      <c r="AA9101" t="s">
        <v>103</v>
      </c>
      <c r="AB9101" t="s">
        <v>51916</v>
      </c>
      <c r="AC9101" t="s">
        <v>54635</v>
      </c>
      <c r="AG9101" t="s">
        <v>54636</v>
      </c>
      <c r="AH9101" t="s">
        <v>23280</v>
      </c>
      <c r="AI9101" t="s">
        <v>54637</v>
      </c>
    </row>
    <row r="9102" spans="2:35" ht="375">
      <c r="B9102" s="1">
        <v>44977</v>
      </c>
      <c r="C9102" s="4">
        <v>44977.57708333333</v>
      </c>
      <c r="D9102" t="s">
        <v>4528</v>
      </c>
      <c r="E9102" t="s">
        <v>47037</v>
      </c>
      <c r="F9102">
        <v>1</v>
      </c>
      <c r="G9102" t="s">
        <v>1046</v>
      </c>
      <c r="H9102" t="s">
        <v>39</v>
      </c>
      <c r="I9102" t="s">
        <v>40</v>
      </c>
      <c r="J9102" s="2" t="s">
        <v>62</v>
      </c>
      <c r="K9102" t="s">
        <v>42</v>
      </c>
      <c r="L9102" t="s">
        <v>135</v>
      </c>
      <c r="Q9102">
        <v>23494</v>
      </c>
      <c r="R9102" t="s">
        <v>119</v>
      </c>
      <c r="S9102" t="s">
        <v>4530</v>
      </c>
      <c r="T9102">
        <v>31.5</v>
      </c>
      <c r="U9102" s="2" t="s">
        <v>54638</v>
      </c>
      <c r="V9102" s="1">
        <v>44959</v>
      </c>
      <c r="W9102" t="s">
        <v>2680</v>
      </c>
      <c r="X9102">
        <v>838472</v>
      </c>
      <c r="Y9102" t="s">
        <v>1751</v>
      </c>
      <c r="Z9102" t="s">
        <v>54639</v>
      </c>
      <c r="AA9102" s="2" t="s">
        <v>54640</v>
      </c>
      <c r="AB9102" t="s">
        <v>54641</v>
      </c>
      <c r="AC9102" t="s">
        <v>54642</v>
      </c>
      <c r="AD9102" t="s">
        <v>54643</v>
      </c>
      <c r="AE9102">
        <v>9574</v>
      </c>
      <c r="AG9102" t="s">
        <v>54644</v>
      </c>
      <c r="AH9102" t="s">
        <v>4532</v>
      </c>
      <c r="AI9102" t="s">
        <v>54645</v>
      </c>
    </row>
    <row r="9103" spans="2:35" ht="375">
      <c r="B9103" s="1">
        <v>44977</v>
      </c>
      <c r="C9103" s="4">
        <v>44977.57708333333</v>
      </c>
      <c r="D9103" t="s">
        <v>4528</v>
      </c>
      <c r="E9103" t="s">
        <v>47037</v>
      </c>
      <c r="F9103">
        <v>1</v>
      </c>
      <c r="G9103" t="s">
        <v>1046</v>
      </c>
      <c r="H9103" t="s">
        <v>39</v>
      </c>
      <c r="I9103" t="s">
        <v>40</v>
      </c>
      <c r="J9103" s="2" t="s">
        <v>62</v>
      </c>
      <c r="K9103" t="s">
        <v>42</v>
      </c>
      <c r="L9103" t="s">
        <v>135</v>
      </c>
      <c r="Q9103">
        <v>23493</v>
      </c>
      <c r="R9103" t="s">
        <v>119</v>
      </c>
      <c r="S9103" t="s">
        <v>4530</v>
      </c>
      <c r="T9103">
        <v>31.5</v>
      </c>
      <c r="U9103" s="2" t="s">
        <v>54638</v>
      </c>
      <c r="V9103" s="1">
        <v>44959</v>
      </c>
      <c r="W9103" t="s">
        <v>2680</v>
      </c>
      <c r="X9103">
        <v>838472</v>
      </c>
      <c r="Y9103" t="s">
        <v>1751</v>
      </c>
      <c r="Z9103" t="s">
        <v>54639</v>
      </c>
      <c r="AA9103" s="2" t="s">
        <v>54640</v>
      </c>
      <c r="AB9103" t="s">
        <v>54641</v>
      </c>
      <c r="AC9103" t="s">
        <v>54642</v>
      </c>
      <c r="AD9103" t="s">
        <v>54643</v>
      </c>
      <c r="AE9103">
        <v>9574</v>
      </c>
      <c r="AG9103" t="s">
        <v>54646</v>
      </c>
      <c r="AH9103" t="s">
        <v>4532</v>
      </c>
      <c r="AI9103" t="s">
        <v>54647</v>
      </c>
    </row>
    <row r="9104" spans="2:35" ht="180">
      <c r="B9104" s="1">
        <v>44977</v>
      </c>
      <c r="C9104" s="4">
        <v>44977.515277777777</v>
      </c>
      <c r="D9104" t="s">
        <v>30972</v>
      </c>
      <c r="E9104" t="s">
        <v>54074</v>
      </c>
      <c r="F9104">
        <v>1</v>
      </c>
      <c r="G9104" t="s">
        <v>1046</v>
      </c>
      <c r="H9104" t="s">
        <v>39</v>
      </c>
      <c r="I9104" t="s">
        <v>40</v>
      </c>
      <c r="J9104" s="2" t="s">
        <v>760</v>
      </c>
      <c r="K9104" t="s">
        <v>42</v>
      </c>
      <c r="L9104" t="s">
        <v>135</v>
      </c>
      <c r="Q9104">
        <v>23492</v>
      </c>
      <c r="R9104" t="s">
        <v>45</v>
      </c>
      <c r="S9104" t="s">
        <v>30973</v>
      </c>
      <c r="T9104">
        <v>29.25</v>
      </c>
      <c r="U9104" s="2" t="s">
        <v>54648</v>
      </c>
      <c r="W9104" t="s">
        <v>2680</v>
      </c>
      <c r="X9104">
        <v>805109</v>
      </c>
      <c r="Y9104" s="2" t="s">
        <v>54649</v>
      </c>
      <c r="Z9104" t="s">
        <v>4487</v>
      </c>
      <c r="AA9104" s="2" t="s">
        <v>54650</v>
      </c>
      <c r="AB9104" t="s">
        <v>54651</v>
      </c>
      <c r="AC9104" t="s">
        <v>54652</v>
      </c>
      <c r="AG9104" t="s">
        <v>54653</v>
      </c>
      <c r="AH9104" t="s">
        <v>30976</v>
      </c>
      <c r="AI9104" t="s">
        <v>54654</v>
      </c>
    </row>
    <row r="9105" spans="2:35" ht="180">
      <c r="B9105" s="1">
        <v>44977</v>
      </c>
      <c r="C9105" s="4">
        <v>44973.680555555555</v>
      </c>
      <c r="D9105" t="s">
        <v>2529</v>
      </c>
      <c r="E9105" t="s">
        <v>54655</v>
      </c>
      <c r="F9105" t="s">
        <v>37</v>
      </c>
      <c r="G9105" t="s">
        <v>2499</v>
      </c>
      <c r="H9105" t="s">
        <v>39</v>
      </c>
      <c r="I9105" t="s">
        <v>40</v>
      </c>
      <c r="J9105" s="2" t="s">
        <v>62</v>
      </c>
      <c r="K9105" t="s">
        <v>42</v>
      </c>
      <c r="L9105" t="s">
        <v>1028</v>
      </c>
      <c r="Q9105">
        <v>23489</v>
      </c>
      <c r="R9105" t="s">
        <v>45</v>
      </c>
      <c r="S9105" t="s">
        <v>36873</v>
      </c>
      <c r="T9105">
        <v>25</v>
      </c>
      <c r="U9105" s="2" t="s">
        <v>54656</v>
      </c>
      <c r="W9105" t="s">
        <v>54657</v>
      </c>
      <c r="X9105">
        <v>804692</v>
      </c>
      <c r="Y9105" t="s">
        <v>28958</v>
      </c>
      <c r="Z9105" t="s">
        <v>54658</v>
      </c>
      <c r="AA9105" s="2" t="s">
        <v>54659</v>
      </c>
      <c r="AB9105" t="s">
        <v>54660</v>
      </c>
      <c r="AG9105" t="s">
        <v>54661</v>
      </c>
      <c r="AH9105" t="s">
        <v>24043</v>
      </c>
      <c r="AI9105" t="s">
        <v>54662</v>
      </c>
    </row>
    <row r="9106" spans="2:35" ht="180">
      <c r="B9106" s="1">
        <v>44977</v>
      </c>
      <c r="C9106" s="4">
        <v>44973.491666666669</v>
      </c>
      <c r="D9106" t="s">
        <v>2825</v>
      </c>
      <c r="E9106" t="s">
        <v>54663</v>
      </c>
      <c r="F9106" t="s">
        <v>37</v>
      </c>
      <c r="G9106" t="s">
        <v>2499</v>
      </c>
      <c r="H9106" t="s">
        <v>39</v>
      </c>
      <c r="I9106" t="s">
        <v>40</v>
      </c>
      <c r="J9106" s="2" t="s">
        <v>41</v>
      </c>
      <c r="K9106" t="s">
        <v>42</v>
      </c>
      <c r="L9106" t="s">
        <v>1028</v>
      </c>
      <c r="Q9106">
        <v>23491</v>
      </c>
      <c r="R9106" t="s">
        <v>45</v>
      </c>
      <c r="S9106" t="s">
        <v>54664</v>
      </c>
      <c r="T9106">
        <v>24</v>
      </c>
      <c r="U9106" s="2" t="s">
        <v>13730</v>
      </c>
      <c r="V9106" s="1">
        <v>44970</v>
      </c>
      <c r="W9106" t="s">
        <v>54665</v>
      </c>
      <c r="X9106">
        <v>805339</v>
      </c>
      <c r="Y9106" t="s">
        <v>54666</v>
      </c>
      <c r="Z9106" t="s">
        <v>26847</v>
      </c>
      <c r="AA9106" s="2" t="s">
        <v>54667</v>
      </c>
      <c r="AB9106" t="s">
        <v>54668</v>
      </c>
      <c r="AC9106" t="s">
        <v>54669</v>
      </c>
      <c r="AG9106" t="s">
        <v>54670</v>
      </c>
      <c r="AH9106" t="s">
        <v>2832</v>
      </c>
      <c r="AI9106" t="s">
        <v>54671</v>
      </c>
    </row>
    <row r="9107" spans="2:35" ht="150">
      <c r="B9107" s="1">
        <v>44977</v>
      </c>
      <c r="C9107" s="4">
        <v>44971.438194444447</v>
      </c>
      <c r="D9107" t="s">
        <v>54672</v>
      </c>
      <c r="E9107" t="s">
        <v>54673</v>
      </c>
      <c r="F9107" t="s">
        <v>37</v>
      </c>
      <c r="G9107" t="s">
        <v>748</v>
      </c>
      <c r="H9107" t="s">
        <v>39</v>
      </c>
      <c r="I9107" t="s">
        <v>40</v>
      </c>
      <c r="J9107" s="2" t="s">
        <v>41</v>
      </c>
      <c r="K9107" t="s">
        <v>42</v>
      </c>
      <c r="L9107" t="s">
        <v>1028</v>
      </c>
      <c r="Q9107">
        <v>23490</v>
      </c>
      <c r="R9107" t="s">
        <v>45</v>
      </c>
      <c r="S9107" t="s">
        <v>54674</v>
      </c>
      <c r="T9107">
        <v>27</v>
      </c>
      <c r="U9107" s="2" t="s">
        <v>54675</v>
      </c>
      <c r="V9107" s="1">
        <v>44970</v>
      </c>
      <c r="W9107" t="s">
        <v>2680</v>
      </c>
      <c r="X9107">
        <v>707514</v>
      </c>
      <c r="Y9107" t="s">
        <v>54676</v>
      </c>
      <c r="Z9107" t="s">
        <v>2129</v>
      </c>
      <c r="AA9107" s="2" t="s">
        <v>54677</v>
      </c>
      <c r="AB9107" t="s">
        <v>54678</v>
      </c>
      <c r="AC9107" t="s">
        <v>54679</v>
      </c>
      <c r="AD9107" t="s">
        <v>54680</v>
      </c>
      <c r="AE9107" t="s">
        <v>54681</v>
      </c>
      <c r="AG9107" t="s">
        <v>54682</v>
      </c>
      <c r="AH9107" t="s">
        <v>54683</v>
      </c>
      <c r="AI9107" t="s">
        <v>54684</v>
      </c>
    </row>
    <row r="9108" spans="2:35" ht="285">
      <c r="B9108" s="1">
        <v>44977</v>
      </c>
      <c r="C9108" s="4">
        <v>44977.441666666666</v>
      </c>
      <c r="D9108" t="s">
        <v>54685</v>
      </c>
      <c r="E9108" t="s">
        <v>2797</v>
      </c>
      <c r="F9108">
        <v>12</v>
      </c>
      <c r="G9108" t="s">
        <v>978</v>
      </c>
      <c r="H9108" t="s">
        <v>39</v>
      </c>
      <c r="I9108" t="s">
        <v>94</v>
      </c>
      <c r="J9108" t="s">
        <v>109</v>
      </c>
      <c r="K9108" t="s">
        <v>42</v>
      </c>
      <c r="L9108" t="s">
        <v>296</v>
      </c>
      <c r="Q9108">
        <v>23488</v>
      </c>
      <c r="R9108" t="s">
        <v>45</v>
      </c>
      <c r="S9108" t="s">
        <v>31147</v>
      </c>
      <c r="T9108">
        <v>32.799999999999997</v>
      </c>
      <c r="U9108" s="2" t="s">
        <v>54686</v>
      </c>
      <c r="W9108" t="s">
        <v>23049</v>
      </c>
      <c r="X9108">
        <v>838130</v>
      </c>
      <c r="Y9108" s="2" t="s">
        <v>54687</v>
      </c>
      <c r="Z9108" t="s">
        <v>9161</v>
      </c>
      <c r="AA9108" t="s">
        <v>9161</v>
      </c>
      <c r="AB9108" t="s">
        <v>972</v>
      </c>
      <c r="AC9108" t="s">
        <v>54688</v>
      </c>
      <c r="AG9108" t="s">
        <v>54689</v>
      </c>
      <c r="AH9108" t="s">
        <v>31152</v>
      </c>
      <c r="AI9108" t="s">
        <v>54690</v>
      </c>
    </row>
    <row r="9109" spans="2:35" ht="240">
      <c r="B9109" s="1">
        <v>44977</v>
      </c>
      <c r="C9109" s="4">
        <v>44974.510416666664</v>
      </c>
      <c r="D9109" t="s">
        <v>25871</v>
      </c>
      <c r="E9109" t="s">
        <v>54691</v>
      </c>
      <c r="F9109" t="s">
        <v>511</v>
      </c>
      <c r="G9109" t="s">
        <v>25873</v>
      </c>
      <c r="H9109" t="s">
        <v>39</v>
      </c>
      <c r="I9109" t="s">
        <v>40</v>
      </c>
      <c r="J9109" s="2" t="s">
        <v>41</v>
      </c>
      <c r="K9109" t="s">
        <v>42</v>
      </c>
      <c r="L9109" t="s">
        <v>63</v>
      </c>
      <c r="Q9109">
        <v>23487</v>
      </c>
      <c r="R9109" t="s">
        <v>45</v>
      </c>
      <c r="S9109" t="s">
        <v>31026</v>
      </c>
      <c r="T9109">
        <v>26</v>
      </c>
      <c r="U9109" s="2" t="s">
        <v>54692</v>
      </c>
      <c r="V9109" s="1">
        <v>44974</v>
      </c>
      <c r="W9109" t="s">
        <v>26915</v>
      </c>
      <c r="X9109">
        <v>807167</v>
      </c>
      <c r="Y9109" t="s">
        <v>54693</v>
      </c>
      <c r="Z9109" t="s">
        <v>54694</v>
      </c>
      <c r="AA9109" s="2" t="s">
        <v>39935</v>
      </c>
      <c r="AB9109" t="s">
        <v>70</v>
      </c>
      <c r="AC9109" t="s">
        <v>54695</v>
      </c>
      <c r="AD9109" t="s">
        <v>54696</v>
      </c>
      <c r="AE9109" t="s">
        <v>1716</v>
      </c>
      <c r="AG9109" t="s">
        <v>54697</v>
      </c>
      <c r="AH9109" t="s">
        <v>31029</v>
      </c>
      <c r="AI9109" t="s">
        <v>54698</v>
      </c>
    </row>
    <row r="9110" spans="2:35" ht="225">
      <c r="B9110" s="1">
        <v>44977</v>
      </c>
      <c r="C9110" s="4">
        <v>44973.661111111112</v>
      </c>
      <c r="D9110" t="s">
        <v>54699</v>
      </c>
      <c r="E9110" t="s">
        <v>6393</v>
      </c>
      <c r="F9110">
        <v>2</v>
      </c>
      <c r="G9110" t="s">
        <v>2668</v>
      </c>
      <c r="H9110" t="s">
        <v>39</v>
      </c>
      <c r="I9110" t="s">
        <v>40</v>
      </c>
      <c r="J9110" s="2" t="s">
        <v>62</v>
      </c>
      <c r="K9110" t="s">
        <v>42</v>
      </c>
      <c r="L9110" t="s">
        <v>63</v>
      </c>
      <c r="Q9110">
        <v>23486</v>
      </c>
      <c r="R9110" t="s">
        <v>119</v>
      </c>
      <c r="S9110" t="s">
        <v>6394</v>
      </c>
      <c r="T9110">
        <v>29</v>
      </c>
      <c r="U9110" s="2" t="s">
        <v>54700</v>
      </c>
      <c r="V9110" s="1">
        <v>44973</v>
      </c>
      <c r="W9110" t="s">
        <v>26915</v>
      </c>
      <c r="X9110">
        <v>838484</v>
      </c>
      <c r="Y9110" t="s">
        <v>54701</v>
      </c>
      <c r="Z9110" t="s">
        <v>34204</v>
      </c>
      <c r="AA9110" s="2" t="s">
        <v>54702</v>
      </c>
      <c r="AB9110" t="s">
        <v>70</v>
      </c>
      <c r="AC9110" t="s">
        <v>54703</v>
      </c>
      <c r="AD9110" t="s">
        <v>948</v>
      </c>
      <c r="AE9110" t="s">
        <v>1716</v>
      </c>
      <c r="AG9110" t="s">
        <v>54704</v>
      </c>
      <c r="AH9110" t="s">
        <v>54705</v>
      </c>
      <c r="AI9110" t="s">
        <v>54706</v>
      </c>
    </row>
    <row r="9111" spans="2:35" ht="180">
      <c r="B9111" s="1">
        <v>44977</v>
      </c>
      <c r="C9111" s="4">
        <v>44974.603472222225</v>
      </c>
      <c r="D9111" t="s">
        <v>4927</v>
      </c>
      <c r="E9111" t="s">
        <v>32010</v>
      </c>
      <c r="F9111" t="s">
        <v>37</v>
      </c>
      <c r="G9111" t="s">
        <v>78</v>
      </c>
      <c r="H9111" t="s">
        <v>39</v>
      </c>
      <c r="I9111" t="s">
        <v>40</v>
      </c>
      <c r="J9111" s="2" t="s">
        <v>62</v>
      </c>
      <c r="K9111" t="s">
        <v>42</v>
      </c>
      <c r="L9111" t="s">
        <v>43</v>
      </c>
      <c r="Q9111">
        <v>23485</v>
      </c>
      <c r="R9111" t="s">
        <v>45</v>
      </c>
      <c r="S9111" t="s">
        <v>29665</v>
      </c>
      <c r="T9111">
        <v>24</v>
      </c>
      <c r="U9111" s="2" t="s">
        <v>54707</v>
      </c>
      <c r="W9111" t="s">
        <v>9792</v>
      </c>
      <c r="X9111">
        <v>838133</v>
      </c>
      <c r="Y9111" t="s">
        <v>1111</v>
      </c>
      <c r="Z9111" t="s">
        <v>1519</v>
      </c>
      <c r="AA9111" s="2" t="s">
        <v>38266</v>
      </c>
      <c r="AB9111" t="s">
        <v>88</v>
      </c>
      <c r="AC9111" t="s">
        <v>3966</v>
      </c>
      <c r="AG9111" t="s">
        <v>54708</v>
      </c>
      <c r="AH9111" t="s">
        <v>54709</v>
      </c>
      <c r="AI9111" t="s">
        <v>54710</v>
      </c>
    </row>
    <row r="9112" spans="2:35" ht="240">
      <c r="B9112" s="1">
        <v>44977</v>
      </c>
      <c r="C9112" s="4">
        <v>44974.506249999999</v>
      </c>
      <c r="D9112" t="s">
        <v>25952</v>
      </c>
      <c r="E9112" t="s">
        <v>25953</v>
      </c>
      <c r="F9112" t="s">
        <v>148</v>
      </c>
      <c r="G9112" t="s">
        <v>447</v>
      </c>
      <c r="H9112" t="s">
        <v>39</v>
      </c>
      <c r="I9112" t="s">
        <v>40</v>
      </c>
      <c r="J9112" s="2" t="s">
        <v>62</v>
      </c>
      <c r="K9112" t="s">
        <v>42</v>
      </c>
      <c r="L9112" t="s">
        <v>175</v>
      </c>
      <c r="Q9112">
        <v>23484</v>
      </c>
      <c r="R9112" t="s">
        <v>119</v>
      </c>
      <c r="S9112" t="s">
        <v>25954</v>
      </c>
      <c r="T9112">
        <v>25</v>
      </c>
      <c r="U9112" s="2" t="s">
        <v>54711</v>
      </c>
      <c r="V9112" s="1">
        <v>44944</v>
      </c>
      <c r="W9112" t="s">
        <v>84</v>
      </c>
      <c r="X9112">
        <v>831612</v>
      </c>
      <c r="Y9112" t="s">
        <v>54712</v>
      </c>
      <c r="Z9112" t="e">
        <f ca="1">- checked &amp; cleaned cartridge bay, plunger rod, I CORE slot, _xludf.filter
- performed XpertCheck
- generated reports
- performed functionality test</f>
        <v>#NAME?</v>
      </c>
      <c r="AA9112" t="s">
        <v>34204</v>
      </c>
      <c r="AB9112" t="s">
        <v>54713</v>
      </c>
      <c r="AD9112" t="s">
        <v>5220</v>
      </c>
      <c r="AE9112">
        <v>9499</v>
      </c>
      <c r="AG9112" t="s">
        <v>54714</v>
      </c>
      <c r="AH9112" t="s">
        <v>54715</v>
      </c>
      <c r="AI9112" t="s">
        <v>54716</v>
      </c>
    </row>
    <row r="9113" spans="2:35" ht="165">
      <c r="B9113" s="1">
        <v>44977</v>
      </c>
      <c r="C9113" s="4">
        <v>44974.625694444447</v>
      </c>
      <c r="D9113" t="s">
        <v>2176</v>
      </c>
      <c r="E9113" t="s">
        <v>46198</v>
      </c>
      <c r="F9113" t="s">
        <v>148</v>
      </c>
      <c r="G9113" t="s">
        <v>447</v>
      </c>
      <c r="H9113" t="s">
        <v>513</v>
      </c>
      <c r="I9113" t="s">
        <v>40</v>
      </c>
      <c r="J9113" s="2" t="s">
        <v>760</v>
      </c>
      <c r="K9113" t="s">
        <v>387</v>
      </c>
      <c r="L9113" t="s">
        <v>29119</v>
      </c>
      <c r="Q9113">
        <v>23483</v>
      </c>
      <c r="R9113" t="s">
        <v>95</v>
      </c>
      <c r="S9113" t="s">
        <v>54717</v>
      </c>
      <c r="T9113">
        <v>25</v>
      </c>
      <c r="V9113" s="1">
        <v>44974</v>
      </c>
      <c r="W9113" t="s">
        <v>390</v>
      </c>
      <c r="X9113" t="s">
        <v>2180</v>
      </c>
      <c r="Y9113" t="s">
        <v>54718</v>
      </c>
      <c r="Z9113" s="2" t="s">
        <v>54719</v>
      </c>
      <c r="AA9113" s="2" t="s">
        <v>54720</v>
      </c>
      <c r="AB9113" s="2" t="s">
        <v>54721</v>
      </c>
      <c r="AC9113" t="s">
        <v>54722</v>
      </c>
      <c r="AD9113" t="s">
        <v>54</v>
      </c>
      <c r="AE9113" t="s">
        <v>54</v>
      </c>
      <c r="AG9113" t="s">
        <v>54723</v>
      </c>
      <c r="AH9113" t="s">
        <v>54724</v>
      </c>
      <c r="AI9113" t="s">
        <v>54725</v>
      </c>
    </row>
    <row r="9114" spans="2:35" ht="360">
      <c r="B9114" s="1">
        <v>44977</v>
      </c>
      <c r="C9114" s="4">
        <v>44974.383333333331</v>
      </c>
      <c r="D9114" t="s">
        <v>23182</v>
      </c>
      <c r="E9114" t="s">
        <v>54726</v>
      </c>
      <c r="F9114" t="s">
        <v>37</v>
      </c>
      <c r="G9114" t="s">
        <v>78</v>
      </c>
      <c r="H9114" t="s">
        <v>39</v>
      </c>
      <c r="I9114" t="s">
        <v>40</v>
      </c>
      <c r="J9114" s="2" t="s">
        <v>62</v>
      </c>
      <c r="K9114" t="s">
        <v>42</v>
      </c>
      <c r="L9114" t="s">
        <v>1943</v>
      </c>
      <c r="Q9114">
        <v>23480</v>
      </c>
      <c r="R9114" t="s">
        <v>119</v>
      </c>
      <c r="S9114" t="s">
        <v>28030</v>
      </c>
      <c r="T9114">
        <v>25</v>
      </c>
      <c r="U9114" s="2" t="s">
        <v>54727</v>
      </c>
      <c r="V9114" s="1">
        <v>44970</v>
      </c>
      <c r="W9114" t="s">
        <v>84</v>
      </c>
      <c r="X9114">
        <v>821189</v>
      </c>
      <c r="Y9114" s="2" t="s">
        <v>3044</v>
      </c>
      <c r="Z9114" s="2" t="s">
        <v>47457</v>
      </c>
      <c r="AA9114" t="s">
        <v>3756</v>
      </c>
      <c r="AB9114" t="s">
        <v>54728</v>
      </c>
      <c r="AD9114" t="s">
        <v>54729</v>
      </c>
      <c r="AE9114" t="s">
        <v>54730</v>
      </c>
      <c r="AG9114" t="s">
        <v>54731</v>
      </c>
      <c r="AH9114" t="s">
        <v>51385</v>
      </c>
      <c r="AI9114" t="s">
        <v>54732</v>
      </c>
    </row>
    <row r="9115" spans="2:35" ht="255">
      <c r="B9115" s="1">
        <v>44977</v>
      </c>
      <c r="C9115" s="4">
        <v>44974.612500000003</v>
      </c>
      <c r="D9115" t="s">
        <v>22325</v>
      </c>
      <c r="E9115" t="s">
        <v>22326</v>
      </c>
      <c r="F9115" t="s">
        <v>37</v>
      </c>
      <c r="G9115" t="s">
        <v>78</v>
      </c>
      <c r="H9115" t="s">
        <v>39</v>
      </c>
      <c r="I9115" t="s">
        <v>40</v>
      </c>
      <c r="J9115" s="2" t="s">
        <v>62</v>
      </c>
      <c r="K9115" t="s">
        <v>42</v>
      </c>
      <c r="L9115" t="s">
        <v>1943</v>
      </c>
      <c r="Q9115">
        <v>23481</v>
      </c>
      <c r="R9115" t="s">
        <v>119</v>
      </c>
      <c r="S9115" t="s">
        <v>28021</v>
      </c>
      <c r="T9115">
        <v>26</v>
      </c>
      <c r="U9115" s="2" t="s">
        <v>54733</v>
      </c>
      <c r="V9115" s="1">
        <v>44970</v>
      </c>
      <c r="W9115" t="s">
        <v>84</v>
      </c>
      <c r="X9115">
        <v>821224</v>
      </c>
      <c r="Y9115" s="2" t="s">
        <v>3044</v>
      </c>
      <c r="Z9115" s="2" t="s">
        <v>47457</v>
      </c>
      <c r="AA9115" t="s">
        <v>3045</v>
      </c>
      <c r="AB9115" t="s">
        <v>54734</v>
      </c>
      <c r="AD9115" t="s">
        <v>11518</v>
      </c>
      <c r="AE9115" t="s">
        <v>54735</v>
      </c>
      <c r="AG9115" t="s">
        <v>54736</v>
      </c>
      <c r="AH9115" t="s">
        <v>22333</v>
      </c>
      <c r="AI9115" t="s">
        <v>54737</v>
      </c>
    </row>
    <row r="9116" spans="2:35" ht="285">
      <c r="B9116" s="1">
        <v>44977</v>
      </c>
      <c r="C9116" s="4">
        <v>44973.450694444444</v>
      </c>
      <c r="D9116" t="s">
        <v>26102</v>
      </c>
      <c r="E9116" t="s">
        <v>24831</v>
      </c>
      <c r="F9116" t="s">
        <v>37</v>
      </c>
      <c r="G9116" t="s">
        <v>78</v>
      </c>
      <c r="H9116" t="s">
        <v>39</v>
      </c>
      <c r="I9116" t="s">
        <v>40</v>
      </c>
      <c r="J9116" s="2" t="s">
        <v>62</v>
      </c>
      <c r="K9116" t="s">
        <v>42</v>
      </c>
      <c r="L9116" t="s">
        <v>1943</v>
      </c>
      <c r="Q9116">
        <v>23482</v>
      </c>
      <c r="R9116" t="s">
        <v>119</v>
      </c>
      <c r="S9116" t="s">
        <v>26103</v>
      </c>
      <c r="T9116">
        <v>25</v>
      </c>
      <c r="U9116" s="2" t="s">
        <v>54738</v>
      </c>
      <c r="V9116" s="1">
        <v>44943</v>
      </c>
      <c r="W9116" t="s">
        <v>84</v>
      </c>
      <c r="X9116">
        <v>821278</v>
      </c>
      <c r="Y9116" s="2" t="s">
        <v>3044</v>
      </c>
      <c r="Z9116" s="2" t="s">
        <v>47457</v>
      </c>
      <c r="AA9116" t="s">
        <v>3045</v>
      </c>
      <c r="AB9116" t="s">
        <v>54739</v>
      </c>
      <c r="AD9116" t="s">
        <v>11518</v>
      </c>
      <c r="AE9116" t="s">
        <v>54740</v>
      </c>
      <c r="AG9116" t="s">
        <v>54741</v>
      </c>
      <c r="AH9116" t="s">
        <v>34066</v>
      </c>
      <c r="AI9116" t="s">
        <v>54742</v>
      </c>
    </row>
    <row r="9117" spans="2:35" ht="180">
      <c r="B9117" s="1">
        <v>44977</v>
      </c>
      <c r="C9117" s="4">
        <v>44972.415277777778</v>
      </c>
      <c r="D9117" t="s">
        <v>25805</v>
      </c>
      <c r="E9117" t="s">
        <v>44767</v>
      </c>
      <c r="F9117" t="s">
        <v>148</v>
      </c>
      <c r="G9117" t="s">
        <v>774</v>
      </c>
      <c r="H9117" t="s">
        <v>39</v>
      </c>
      <c r="I9117" t="s">
        <v>40</v>
      </c>
      <c r="J9117" s="2" t="s">
        <v>41</v>
      </c>
      <c r="K9117" t="s">
        <v>42</v>
      </c>
      <c r="L9117" t="s">
        <v>1028</v>
      </c>
      <c r="Q9117">
        <v>23477</v>
      </c>
      <c r="R9117" t="s">
        <v>45</v>
      </c>
      <c r="S9117" t="s">
        <v>35661</v>
      </c>
      <c r="T9117">
        <v>27</v>
      </c>
      <c r="U9117" s="2" t="s">
        <v>54743</v>
      </c>
      <c r="V9117" s="1">
        <v>44970</v>
      </c>
      <c r="W9117" t="s">
        <v>2680</v>
      </c>
      <c r="X9117">
        <v>707512</v>
      </c>
      <c r="Y9117" t="s">
        <v>54744</v>
      </c>
      <c r="Z9117" t="s">
        <v>26847</v>
      </c>
      <c r="AA9117" s="2" t="s">
        <v>54745</v>
      </c>
      <c r="AB9117" t="s">
        <v>181</v>
      </c>
      <c r="AC9117" t="s">
        <v>54746</v>
      </c>
      <c r="AD9117" t="s">
        <v>54747</v>
      </c>
      <c r="AE9117" t="s">
        <v>54748</v>
      </c>
      <c r="AG9117" t="s">
        <v>54749</v>
      </c>
      <c r="AH9117" t="s">
        <v>35665</v>
      </c>
      <c r="AI9117" t="s">
        <v>54750</v>
      </c>
    </row>
    <row r="9118" spans="2:35" ht="165">
      <c r="B9118" s="1">
        <v>44977</v>
      </c>
      <c r="C9118" s="4">
        <v>44972.410416666666</v>
      </c>
      <c r="D9118" t="s">
        <v>25805</v>
      </c>
      <c r="E9118" t="s">
        <v>44767</v>
      </c>
      <c r="F9118" t="s">
        <v>148</v>
      </c>
      <c r="G9118" t="s">
        <v>774</v>
      </c>
      <c r="H9118" t="s">
        <v>39</v>
      </c>
      <c r="I9118" t="s">
        <v>40</v>
      </c>
      <c r="J9118" s="2" t="s">
        <v>41</v>
      </c>
      <c r="K9118" t="s">
        <v>42</v>
      </c>
      <c r="L9118" t="s">
        <v>1028</v>
      </c>
      <c r="Q9118">
        <v>23479</v>
      </c>
      <c r="R9118" t="s">
        <v>45</v>
      </c>
      <c r="S9118" t="s">
        <v>35661</v>
      </c>
      <c r="T9118">
        <v>26</v>
      </c>
      <c r="U9118" s="2" t="s">
        <v>54751</v>
      </c>
      <c r="V9118" s="1">
        <v>44970</v>
      </c>
      <c r="W9118" t="s">
        <v>1032</v>
      </c>
      <c r="X9118">
        <v>848244</v>
      </c>
      <c r="Y9118" s="2" t="s">
        <v>54752</v>
      </c>
      <c r="Z9118" t="s">
        <v>26847</v>
      </c>
      <c r="AA9118" s="2" t="s">
        <v>54753</v>
      </c>
      <c r="AB9118" t="s">
        <v>181</v>
      </c>
      <c r="AC9118" t="s">
        <v>54754</v>
      </c>
      <c r="AD9118" t="s">
        <v>9432</v>
      </c>
      <c r="AE9118" t="s">
        <v>54748</v>
      </c>
      <c r="AG9118" t="s">
        <v>54755</v>
      </c>
      <c r="AH9118" t="s">
        <v>35665</v>
      </c>
      <c r="AI9118" t="s">
        <v>54756</v>
      </c>
    </row>
    <row r="9119" spans="2:35" ht="150">
      <c r="B9119" s="1">
        <v>44977</v>
      </c>
      <c r="C9119" s="4">
        <v>44972.418749999997</v>
      </c>
      <c r="D9119" t="s">
        <v>25805</v>
      </c>
      <c r="E9119" t="s">
        <v>44767</v>
      </c>
      <c r="F9119" t="s">
        <v>148</v>
      </c>
      <c r="G9119" t="s">
        <v>774</v>
      </c>
      <c r="H9119" t="s">
        <v>39</v>
      </c>
      <c r="I9119" t="s">
        <v>40</v>
      </c>
      <c r="J9119" s="2" t="s">
        <v>41</v>
      </c>
      <c r="K9119" t="s">
        <v>42</v>
      </c>
      <c r="L9119" t="s">
        <v>1028</v>
      </c>
      <c r="Q9119">
        <v>23478</v>
      </c>
      <c r="R9119" t="s">
        <v>45</v>
      </c>
      <c r="S9119" t="s">
        <v>35661</v>
      </c>
      <c r="T9119">
        <v>26</v>
      </c>
      <c r="U9119" s="2" t="s">
        <v>54743</v>
      </c>
      <c r="V9119" s="1">
        <v>44970</v>
      </c>
      <c r="W9119" t="s">
        <v>2680</v>
      </c>
      <c r="X9119">
        <v>807606</v>
      </c>
      <c r="Y9119" t="s">
        <v>54757</v>
      </c>
      <c r="Z9119" t="s">
        <v>26847</v>
      </c>
      <c r="AA9119" s="2" t="s">
        <v>54758</v>
      </c>
      <c r="AB9119" t="s">
        <v>181</v>
      </c>
      <c r="AC9119" t="s">
        <v>54759</v>
      </c>
      <c r="AD9119" t="s">
        <v>54747</v>
      </c>
      <c r="AE9119" t="s">
        <v>54748</v>
      </c>
      <c r="AG9119" t="s">
        <v>54760</v>
      </c>
      <c r="AH9119" t="s">
        <v>35665</v>
      </c>
      <c r="AI9119" t="s">
        <v>54761</v>
      </c>
    </row>
    <row r="9120" spans="2:35" ht="409.5">
      <c r="B9120" s="1">
        <v>44974</v>
      </c>
      <c r="C9120" s="4">
        <v>44974.65</v>
      </c>
      <c r="D9120" t="s">
        <v>2834</v>
      </c>
      <c r="E9120" t="s">
        <v>2835</v>
      </c>
      <c r="F9120">
        <v>11</v>
      </c>
      <c r="G9120" t="s">
        <v>2836</v>
      </c>
      <c r="H9120" t="s">
        <v>61</v>
      </c>
      <c r="I9120" t="s">
        <v>40</v>
      </c>
      <c r="J9120" s="2" t="s">
        <v>8419</v>
      </c>
      <c r="K9120" t="s">
        <v>42</v>
      </c>
      <c r="L9120" t="s">
        <v>204</v>
      </c>
      <c r="Q9120">
        <v>23476</v>
      </c>
      <c r="R9120" t="s">
        <v>45</v>
      </c>
      <c r="S9120" t="s">
        <v>2837</v>
      </c>
      <c r="T9120">
        <v>25.8</v>
      </c>
      <c r="U9120" s="2" t="s">
        <v>54762</v>
      </c>
      <c r="V9120" s="1">
        <v>44974</v>
      </c>
      <c r="W9120" t="s">
        <v>1292</v>
      </c>
      <c r="X9120">
        <v>834236</v>
      </c>
      <c r="Y9120" t="s">
        <v>54763</v>
      </c>
      <c r="Z9120" s="2" t="s">
        <v>54764</v>
      </c>
      <c r="AA9120" t="s">
        <v>1620</v>
      </c>
      <c r="AB9120" s="2" t="s">
        <v>54765</v>
      </c>
      <c r="AC9120" t="s">
        <v>54766</v>
      </c>
      <c r="AD9120" t="s">
        <v>54767</v>
      </c>
      <c r="AE9120" t="s">
        <v>1716</v>
      </c>
      <c r="AG9120" t="s">
        <v>54768</v>
      </c>
      <c r="AH9120" t="s">
        <v>2844</v>
      </c>
      <c r="AI9120" t="s">
        <v>54769</v>
      </c>
    </row>
    <row r="9121" spans="2:35" ht="409.5">
      <c r="B9121" s="1">
        <v>44974</v>
      </c>
      <c r="C9121" s="4">
        <v>44974.65</v>
      </c>
      <c r="D9121" t="s">
        <v>2834</v>
      </c>
      <c r="E9121" t="s">
        <v>2835</v>
      </c>
      <c r="F9121">
        <v>11</v>
      </c>
      <c r="G9121" t="s">
        <v>2836</v>
      </c>
      <c r="H9121" t="s">
        <v>61</v>
      </c>
      <c r="I9121" t="s">
        <v>40</v>
      </c>
      <c r="J9121" s="2" t="s">
        <v>8419</v>
      </c>
      <c r="K9121" t="s">
        <v>42</v>
      </c>
      <c r="L9121" t="s">
        <v>204</v>
      </c>
      <c r="Q9121">
        <v>23475</v>
      </c>
      <c r="R9121" t="s">
        <v>45</v>
      </c>
      <c r="S9121" t="s">
        <v>2837</v>
      </c>
      <c r="T9121">
        <v>25.8</v>
      </c>
      <c r="U9121" s="2" t="s">
        <v>54762</v>
      </c>
      <c r="V9121" s="1">
        <v>44974</v>
      </c>
      <c r="W9121" t="s">
        <v>1292</v>
      </c>
      <c r="X9121">
        <v>834236</v>
      </c>
      <c r="Y9121" t="s">
        <v>54763</v>
      </c>
      <c r="Z9121" s="2" t="s">
        <v>54764</v>
      </c>
      <c r="AA9121" t="s">
        <v>1620</v>
      </c>
      <c r="AB9121" s="2" t="s">
        <v>54765</v>
      </c>
      <c r="AC9121" t="s">
        <v>54766</v>
      </c>
      <c r="AD9121" t="s">
        <v>54767</v>
      </c>
      <c r="AE9121" t="s">
        <v>1716</v>
      </c>
      <c r="AG9121" t="s">
        <v>54770</v>
      </c>
      <c r="AH9121" t="s">
        <v>2844</v>
      </c>
      <c r="AI9121" t="s">
        <v>54771</v>
      </c>
    </row>
    <row r="9122" spans="2:35" ht="390">
      <c r="B9122" s="1">
        <v>44974</v>
      </c>
      <c r="C9122" s="4">
        <v>44974.652777777781</v>
      </c>
      <c r="D9122" t="s">
        <v>2834</v>
      </c>
      <c r="E9122" t="s">
        <v>2835</v>
      </c>
      <c r="F9122">
        <v>11</v>
      </c>
      <c r="G9122" t="s">
        <v>2836</v>
      </c>
      <c r="H9122" t="s">
        <v>61</v>
      </c>
      <c r="I9122" t="s">
        <v>40</v>
      </c>
      <c r="J9122" s="2" t="s">
        <v>62</v>
      </c>
      <c r="K9122" t="s">
        <v>42</v>
      </c>
      <c r="L9122" t="s">
        <v>204</v>
      </c>
      <c r="Q9122">
        <v>23474</v>
      </c>
      <c r="R9122" t="s">
        <v>45</v>
      </c>
      <c r="S9122" t="s">
        <v>2837</v>
      </c>
      <c r="T9122">
        <v>25.8</v>
      </c>
      <c r="U9122" s="2" t="s">
        <v>54762</v>
      </c>
      <c r="V9122" s="1">
        <v>44974</v>
      </c>
      <c r="W9122" t="s">
        <v>1292</v>
      </c>
      <c r="X9122">
        <v>805063</v>
      </c>
      <c r="Y9122" t="s">
        <v>54763</v>
      </c>
      <c r="Z9122" s="2" t="s">
        <v>54772</v>
      </c>
      <c r="AA9122" t="s">
        <v>1620</v>
      </c>
      <c r="AB9122" t="s">
        <v>15776</v>
      </c>
      <c r="AC9122" t="s">
        <v>4448</v>
      </c>
      <c r="AD9122" t="s">
        <v>18192</v>
      </c>
      <c r="AE9122" t="s">
        <v>4448</v>
      </c>
      <c r="AG9122" t="s">
        <v>54773</v>
      </c>
      <c r="AH9122" t="s">
        <v>2844</v>
      </c>
      <c r="AI9122" t="s">
        <v>54774</v>
      </c>
    </row>
    <row r="9123" spans="2:35" ht="390">
      <c r="B9123" s="1">
        <v>44974</v>
      </c>
      <c r="C9123" s="4">
        <v>44974.652777777781</v>
      </c>
      <c r="D9123" t="s">
        <v>2834</v>
      </c>
      <c r="E9123" t="s">
        <v>2835</v>
      </c>
      <c r="F9123">
        <v>11</v>
      </c>
      <c r="G9123" t="s">
        <v>2836</v>
      </c>
      <c r="H9123" t="s">
        <v>61</v>
      </c>
      <c r="I9123" t="s">
        <v>40</v>
      </c>
      <c r="J9123" s="2" t="s">
        <v>62</v>
      </c>
      <c r="K9123" t="s">
        <v>42</v>
      </c>
      <c r="L9123" t="s">
        <v>204</v>
      </c>
      <c r="Q9123">
        <v>23473</v>
      </c>
      <c r="R9123" t="s">
        <v>45</v>
      </c>
      <c r="S9123" t="s">
        <v>2837</v>
      </c>
      <c r="T9123">
        <v>25.8</v>
      </c>
      <c r="U9123" s="2" t="s">
        <v>54762</v>
      </c>
      <c r="V9123" s="1">
        <v>44974</v>
      </c>
      <c r="W9123" t="s">
        <v>1292</v>
      </c>
      <c r="X9123">
        <v>805063</v>
      </c>
      <c r="Y9123" t="s">
        <v>54763</v>
      </c>
      <c r="Z9123" s="2" t="s">
        <v>54772</v>
      </c>
      <c r="AA9123" t="s">
        <v>1620</v>
      </c>
      <c r="AB9123" t="s">
        <v>15776</v>
      </c>
      <c r="AC9123" t="s">
        <v>4448</v>
      </c>
      <c r="AD9123" t="s">
        <v>18192</v>
      </c>
      <c r="AE9123" t="s">
        <v>4448</v>
      </c>
      <c r="AG9123" t="s">
        <v>54775</v>
      </c>
      <c r="AH9123" t="s">
        <v>2844</v>
      </c>
      <c r="AI9123" t="s">
        <v>54776</v>
      </c>
    </row>
    <row r="9124" spans="2:35" ht="270">
      <c r="B9124" s="1">
        <v>44974</v>
      </c>
      <c r="C9124" s="4">
        <v>44974.579861111109</v>
      </c>
      <c r="D9124" t="s">
        <v>54777</v>
      </c>
      <c r="E9124" t="s">
        <v>54778</v>
      </c>
      <c r="F9124">
        <v>11</v>
      </c>
      <c r="G9124" t="s">
        <v>2836</v>
      </c>
      <c r="H9124" t="s">
        <v>295</v>
      </c>
      <c r="I9124" t="s">
        <v>94</v>
      </c>
      <c r="J9124" s="2" t="s">
        <v>760</v>
      </c>
      <c r="K9124" t="s">
        <v>42</v>
      </c>
      <c r="L9124" t="s">
        <v>296</v>
      </c>
      <c r="Q9124">
        <v>23472</v>
      </c>
      <c r="R9124" t="s">
        <v>45</v>
      </c>
      <c r="S9124" t="s">
        <v>2837</v>
      </c>
      <c r="T9124">
        <v>26.3</v>
      </c>
      <c r="U9124" s="2" t="s">
        <v>54779</v>
      </c>
      <c r="V9124" s="1">
        <v>44973</v>
      </c>
      <c r="W9124" t="s">
        <v>54780</v>
      </c>
      <c r="X9124">
        <v>838756</v>
      </c>
      <c r="Y9124" t="s">
        <v>54781</v>
      </c>
      <c r="Z9124" s="2" t="s">
        <v>54782</v>
      </c>
      <c r="AA9124" s="2" t="s">
        <v>54782</v>
      </c>
      <c r="AB9124" t="s">
        <v>54783</v>
      </c>
      <c r="AC9124" t="s">
        <v>54784</v>
      </c>
      <c r="AD9124" t="s">
        <v>54785</v>
      </c>
      <c r="AE9124" t="s">
        <v>54786</v>
      </c>
      <c r="AG9124" t="s">
        <v>54787</v>
      </c>
      <c r="AH9124" t="s">
        <v>2844</v>
      </c>
      <c r="AI9124" t="s">
        <v>54788</v>
      </c>
    </row>
    <row r="9125" spans="2:35" ht="270">
      <c r="B9125" s="1">
        <v>44974</v>
      </c>
      <c r="C9125" s="4">
        <v>44974.579861111109</v>
      </c>
      <c r="D9125" t="s">
        <v>54777</v>
      </c>
      <c r="E9125" t="s">
        <v>54778</v>
      </c>
      <c r="F9125">
        <v>11</v>
      </c>
      <c r="G9125" t="s">
        <v>2836</v>
      </c>
      <c r="H9125" t="s">
        <v>295</v>
      </c>
      <c r="I9125" t="s">
        <v>94</v>
      </c>
      <c r="J9125" s="2" t="s">
        <v>760</v>
      </c>
      <c r="K9125" t="s">
        <v>42</v>
      </c>
      <c r="L9125" t="s">
        <v>296</v>
      </c>
      <c r="Q9125">
        <v>23471</v>
      </c>
      <c r="R9125" t="s">
        <v>45</v>
      </c>
      <c r="S9125" t="s">
        <v>2837</v>
      </c>
      <c r="T9125">
        <v>26.3</v>
      </c>
      <c r="U9125" s="2" t="s">
        <v>54779</v>
      </c>
      <c r="V9125" s="1">
        <v>44973</v>
      </c>
      <c r="W9125" t="s">
        <v>54780</v>
      </c>
      <c r="X9125">
        <v>838756</v>
      </c>
      <c r="Y9125" t="s">
        <v>54781</v>
      </c>
      <c r="Z9125" s="2" t="s">
        <v>54782</v>
      </c>
      <c r="AA9125" s="2" t="s">
        <v>54782</v>
      </c>
      <c r="AB9125" t="s">
        <v>54783</v>
      </c>
      <c r="AC9125" t="s">
        <v>54784</v>
      </c>
      <c r="AD9125" t="s">
        <v>54785</v>
      </c>
      <c r="AE9125" t="s">
        <v>54786</v>
      </c>
      <c r="AG9125" t="s">
        <v>54789</v>
      </c>
      <c r="AH9125" t="s">
        <v>2844</v>
      </c>
      <c r="AI9125" t="s">
        <v>54790</v>
      </c>
    </row>
    <row r="9126" spans="2:35" ht="409.5">
      <c r="B9126" s="1">
        <v>44974</v>
      </c>
      <c r="C9126" s="4">
        <v>44974.654861111114</v>
      </c>
      <c r="D9126" t="s">
        <v>2834</v>
      </c>
      <c r="E9126" t="s">
        <v>2835</v>
      </c>
      <c r="F9126">
        <v>11</v>
      </c>
      <c r="G9126" t="s">
        <v>2836</v>
      </c>
      <c r="H9126" t="s">
        <v>61</v>
      </c>
      <c r="I9126" t="s">
        <v>40</v>
      </c>
      <c r="J9126" s="2" t="s">
        <v>8419</v>
      </c>
      <c r="K9126" t="s">
        <v>42</v>
      </c>
      <c r="L9126" t="s">
        <v>204</v>
      </c>
      <c r="Q9126">
        <v>23470</v>
      </c>
      <c r="R9126" t="s">
        <v>45</v>
      </c>
      <c r="S9126" t="s">
        <v>2837</v>
      </c>
      <c r="T9126">
        <v>25.8</v>
      </c>
      <c r="U9126" s="2" t="s">
        <v>54762</v>
      </c>
      <c r="V9126" s="1">
        <v>44974</v>
      </c>
      <c r="W9126" t="s">
        <v>12212</v>
      </c>
      <c r="X9126">
        <v>834440</v>
      </c>
      <c r="Y9126" t="s">
        <v>54763</v>
      </c>
      <c r="Z9126" s="2" t="s">
        <v>54791</v>
      </c>
      <c r="AA9126" t="s">
        <v>1620</v>
      </c>
      <c r="AB9126" t="s">
        <v>54792</v>
      </c>
      <c r="AC9126" t="s">
        <v>54793</v>
      </c>
      <c r="AD9126" t="s">
        <v>18192</v>
      </c>
      <c r="AE9126" t="s">
        <v>4448</v>
      </c>
      <c r="AG9126" t="s">
        <v>54794</v>
      </c>
      <c r="AH9126" t="s">
        <v>2844</v>
      </c>
      <c r="AI9126" t="s">
        <v>54795</v>
      </c>
    </row>
    <row r="9127" spans="2:35" ht="409.5">
      <c r="B9127" s="1">
        <v>44974</v>
      </c>
      <c r="C9127" s="4">
        <v>44974.654861111114</v>
      </c>
      <c r="D9127" t="s">
        <v>2834</v>
      </c>
      <c r="E9127" t="s">
        <v>2835</v>
      </c>
      <c r="F9127">
        <v>11</v>
      </c>
      <c r="G9127" t="s">
        <v>2836</v>
      </c>
      <c r="H9127" t="s">
        <v>61</v>
      </c>
      <c r="I9127" t="s">
        <v>40</v>
      </c>
      <c r="J9127" s="2" t="s">
        <v>8419</v>
      </c>
      <c r="K9127" t="s">
        <v>42</v>
      </c>
      <c r="L9127" t="s">
        <v>204</v>
      </c>
      <c r="Q9127">
        <v>23469</v>
      </c>
      <c r="R9127" t="s">
        <v>45</v>
      </c>
      <c r="S9127" t="s">
        <v>2837</v>
      </c>
      <c r="T9127">
        <v>25.8</v>
      </c>
      <c r="U9127" s="2" t="s">
        <v>54762</v>
      </c>
      <c r="V9127" s="1">
        <v>44974</v>
      </c>
      <c r="W9127" t="s">
        <v>12212</v>
      </c>
      <c r="X9127">
        <v>834440</v>
      </c>
      <c r="Y9127" t="s">
        <v>54763</v>
      </c>
      <c r="Z9127" s="2" t="s">
        <v>54791</v>
      </c>
      <c r="AA9127" t="s">
        <v>1620</v>
      </c>
      <c r="AB9127" t="s">
        <v>54792</v>
      </c>
      <c r="AC9127" t="s">
        <v>54793</v>
      </c>
      <c r="AD9127" t="s">
        <v>18192</v>
      </c>
      <c r="AE9127" t="s">
        <v>4448</v>
      </c>
      <c r="AG9127" t="s">
        <v>54796</v>
      </c>
      <c r="AH9127" t="s">
        <v>2844</v>
      </c>
      <c r="AI9127" t="s">
        <v>54797</v>
      </c>
    </row>
    <row r="9128" spans="2:35" ht="409.5">
      <c r="B9128" s="1">
        <v>44974</v>
      </c>
      <c r="C9128" s="4">
        <v>44974.572916666664</v>
      </c>
      <c r="D9128" t="s">
        <v>25607</v>
      </c>
      <c r="E9128" t="s">
        <v>54798</v>
      </c>
      <c r="F9128">
        <v>3</v>
      </c>
      <c r="G9128" t="s">
        <v>134</v>
      </c>
      <c r="H9128" t="s">
        <v>39</v>
      </c>
      <c r="I9128" t="s">
        <v>40</v>
      </c>
      <c r="J9128" s="2" t="s">
        <v>62</v>
      </c>
      <c r="K9128" t="s">
        <v>42</v>
      </c>
      <c r="L9128" t="s">
        <v>135</v>
      </c>
      <c r="Q9128">
        <v>23468</v>
      </c>
      <c r="R9128" t="s">
        <v>45</v>
      </c>
      <c r="S9128" t="s">
        <v>25609</v>
      </c>
      <c r="T9128">
        <v>30.6</v>
      </c>
      <c r="U9128" s="2" t="s">
        <v>54799</v>
      </c>
      <c r="V9128" s="1">
        <v>44785</v>
      </c>
      <c r="W9128" t="s">
        <v>2680</v>
      </c>
      <c r="X9128">
        <v>834688</v>
      </c>
      <c r="Y9128" s="2" t="s">
        <v>54800</v>
      </c>
      <c r="Z9128" s="2" t="s">
        <v>54801</v>
      </c>
      <c r="AA9128" s="2" t="s">
        <v>54802</v>
      </c>
      <c r="AB9128" t="s">
        <v>54803</v>
      </c>
      <c r="AC9128" t="s">
        <v>54804</v>
      </c>
      <c r="AD9128" t="s">
        <v>54805</v>
      </c>
      <c r="AE9128">
        <v>3312</v>
      </c>
      <c r="AG9128" t="s">
        <v>54806</v>
      </c>
      <c r="AH9128" t="s">
        <v>30635</v>
      </c>
      <c r="AI9128" t="s">
        <v>54807</v>
      </c>
    </row>
    <row r="9129" spans="2:35" ht="285">
      <c r="B9129" s="1">
        <v>44974</v>
      </c>
      <c r="C9129" s="4">
        <v>44974.564583333333</v>
      </c>
      <c r="D9129" t="s">
        <v>54808</v>
      </c>
      <c r="E9129" t="s">
        <v>2797</v>
      </c>
      <c r="F9129">
        <v>12</v>
      </c>
      <c r="G9129" t="s">
        <v>978</v>
      </c>
      <c r="H9129" t="s">
        <v>39</v>
      </c>
      <c r="I9129" t="s">
        <v>94</v>
      </c>
      <c r="J9129" s="2" t="s">
        <v>62</v>
      </c>
      <c r="K9129" t="s">
        <v>42</v>
      </c>
      <c r="L9129" t="s">
        <v>296</v>
      </c>
      <c r="Q9129">
        <v>23467</v>
      </c>
      <c r="R9129" t="s">
        <v>45</v>
      </c>
      <c r="S9129" t="s">
        <v>31147</v>
      </c>
      <c r="T9129">
        <v>34.4</v>
      </c>
      <c r="U9129" s="2" t="s">
        <v>54809</v>
      </c>
      <c r="V9129" s="1">
        <v>44967</v>
      </c>
      <c r="W9129" t="s">
        <v>54810</v>
      </c>
      <c r="X9129">
        <v>805007</v>
      </c>
      <c r="Y9129" s="2" t="s">
        <v>54811</v>
      </c>
      <c r="Z9129" s="2" t="s">
        <v>51560</v>
      </c>
      <c r="AA9129" s="2" t="s">
        <v>51560</v>
      </c>
      <c r="AB9129" t="s">
        <v>972</v>
      </c>
      <c r="AC9129" t="s">
        <v>54812</v>
      </c>
      <c r="AG9129" t="s">
        <v>54813</v>
      </c>
      <c r="AH9129" t="s">
        <v>31152</v>
      </c>
      <c r="AI9129" t="s">
        <v>54814</v>
      </c>
    </row>
    <row r="9130" spans="2:35" ht="285">
      <c r="B9130" s="1">
        <v>44974</v>
      </c>
      <c r="C9130" s="4">
        <v>44974.564583333333</v>
      </c>
      <c r="D9130" t="s">
        <v>54808</v>
      </c>
      <c r="E9130" t="s">
        <v>2797</v>
      </c>
      <c r="F9130">
        <v>12</v>
      </c>
      <c r="G9130" t="s">
        <v>978</v>
      </c>
      <c r="H9130" t="s">
        <v>39</v>
      </c>
      <c r="I9130" t="s">
        <v>94</v>
      </c>
      <c r="J9130" s="2" t="s">
        <v>62</v>
      </c>
      <c r="K9130" t="s">
        <v>42</v>
      </c>
      <c r="L9130" t="s">
        <v>296</v>
      </c>
      <c r="Q9130">
        <v>23466</v>
      </c>
      <c r="R9130" t="s">
        <v>45</v>
      </c>
      <c r="S9130" t="s">
        <v>31147</v>
      </c>
      <c r="T9130">
        <v>34.4</v>
      </c>
      <c r="U9130" s="2" t="s">
        <v>54809</v>
      </c>
      <c r="V9130" s="1">
        <v>44967</v>
      </c>
      <c r="W9130" t="s">
        <v>54810</v>
      </c>
      <c r="X9130">
        <v>805007</v>
      </c>
      <c r="Y9130" s="2" t="s">
        <v>54811</v>
      </c>
      <c r="Z9130" s="2" t="s">
        <v>51560</v>
      </c>
      <c r="AA9130" s="2" t="s">
        <v>51560</v>
      </c>
      <c r="AB9130" t="s">
        <v>972</v>
      </c>
      <c r="AC9130" t="s">
        <v>54812</v>
      </c>
      <c r="AG9130" t="s">
        <v>54815</v>
      </c>
      <c r="AH9130" t="s">
        <v>31152</v>
      </c>
      <c r="AI9130" t="s">
        <v>54816</v>
      </c>
    </row>
    <row r="9131" spans="2:35" ht="225">
      <c r="B9131" s="1">
        <v>44974</v>
      </c>
      <c r="C9131" s="4">
        <v>44974.556944444441</v>
      </c>
      <c r="D9131" t="s">
        <v>8483</v>
      </c>
      <c r="E9131" t="s">
        <v>8484</v>
      </c>
      <c r="F9131">
        <v>10</v>
      </c>
      <c r="G9131" t="s">
        <v>1395</v>
      </c>
      <c r="H9131" t="s">
        <v>1047</v>
      </c>
      <c r="I9131" t="s">
        <v>40</v>
      </c>
      <c r="J9131" t="s">
        <v>109</v>
      </c>
      <c r="K9131" t="s">
        <v>42</v>
      </c>
      <c r="L9131" t="s">
        <v>43100</v>
      </c>
      <c r="Q9131">
        <v>23465</v>
      </c>
      <c r="R9131" t="s">
        <v>119</v>
      </c>
      <c r="S9131" t="s">
        <v>8485</v>
      </c>
      <c r="T9131">
        <v>26</v>
      </c>
      <c r="U9131" s="2" t="s">
        <v>54817</v>
      </c>
      <c r="W9131" t="s">
        <v>43102</v>
      </c>
      <c r="X9131">
        <v>838574</v>
      </c>
      <c r="Y9131" t="s">
        <v>54</v>
      </c>
      <c r="Z9131" s="2" t="s">
        <v>54818</v>
      </c>
      <c r="AA9131" t="s">
        <v>3128</v>
      </c>
      <c r="AB9131" t="s">
        <v>486</v>
      </c>
      <c r="AG9131" t="s">
        <v>54819</v>
      </c>
      <c r="AH9131" t="s">
        <v>54820</v>
      </c>
      <c r="AI9131" t="s">
        <v>54821</v>
      </c>
    </row>
    <row r="9132" spans="2:35" ht="180">
      <c r="B9132" s="1">
        <v>44974</v>
      </c>
      <c r="C9132" s="4">
        <v>44974.512499999997</v>
      </c>
      <c r="D9132" t="s">
        <v>32066</v>
      </c>
      <c r="E9132" t="s">
        <v>32067</v>
      </c>
      <c r="F9132" t="s">
        <v>37</v>
      </c>
      <c r="G9132" t="s">
        <v>78</v>
      </c>
      <c r="H9132" t="s">
        <v>39</v>
      </c>
      <c r="I9132" t="s">
        <v>40</v>
      </c>
      <c r="J9132" s="2" t="s">
        <v>1444</v>
      </c>
      <c r="K9132" t="s">
        <v>42</v>
      </c>
      <c r="L9132" t="s">
        <v>43</v>
      </c>
      <c r="Q9132">
        <v>23463</v>
      </c>
      <c r="R9132" t="s">
        <v>45</v>
      </c>
      <c r="S9132" t="s">
        <v>54822</v>
      </c>
      <c r="T9132">
        <v>26</v>
      </c>
      <c r="U9132" s="2" t="s">
        <v>54823</v>
      </c>
      <c r="W9132" t="s">
        <v>9792</v>
      </c>
      <c r="X9132">
        <v>838165</v>
      </c>
      <c r="Y9132" t="s">
        <v>54824</v>
      </c>
      <c r="Z9132" t="s">
        <v>22858</v>
      </c>
      <c r="AA9132" s="2" t="s">
        <v>54825</v>
      </c>
      <c r="AB9132" t="s">
        <v>54826</v>
      </c>
      <c r="AC9132" t="s">
        <v>54827</v>
      </c>
      <c r="AG9132" t="s">
        <v>54828</v>
      </c>
      <c r="AH9132" t="s">
        <v>54829</v>
      </c>
      <c r="AI9132" t="s">
        <v>54830</v>
      </c>
    </row>
    <row r="9133" spans="2:35" ht="180">
      <c r="B9133" s="1">
        <v>44974</v>
      </c>
      <c r="C9133" s="4">
        <v>44972.564583333333</v>
      </c>
      <c r="D9133" t="s">
        <v>30287</v>
      </c>
      <c r="E9133" t="s">
        <v>30288</v>
      </c>
      <c r="F9133" t="s">
        <v>37</v>
      </c>
      <c r="G9133" t="s">
        <v>78</v>
      </c>
      <c r="H9133" t="s">
        <v>39</v>
      </c>
      <c r="I9133" t="s">
        <v>40</v>
      </c>
      <c r="J9133" s="2" t="s">
        <v>62</v>
      </c>
      <c r="K9133" t="s">
        <v>42</v>
      </c>
      <c r="L9133" t="s">
        <v>43</v>
      </c>
      <c r="Q9133">
        <v>23463</v>
      </c>
      <c r="R9133" t="s">
        <v>45</v>
      </c>
      <c r="S9133" t="s">
        <v>54831</v>
      </c>
      <c r="T9133">
        <v>27</v>
      </c>
      <c r="U9133" s="2" t="s">
        <v>54832</v>
      </c>
      <c r="W9133" t="s">
        <v>9792</v>
      </c>
      <c r="X9133">
        <v>838148</v>
      </c>
      <c r="Y9133" t="s">
        <v>1111</v>
      </c>
      <c r="Z9133" t="s">
        <v>1519</v>
      </c>
      <c r="AA9133" s="2" t="s">
        <v>38266</v>
      </c>
      <c r="AB9133" t="s">
        <v>54833</v>
      </c>
      <c r="AC9133" t="s">
        <v>54834</v>
      </c>
      <c r="AG9133" t="s">
        <v>54835</v>
      </c>
      <c r="AH9133" t="s">
        <v>54836</v>
      </c>
      <c r="AI9133" t="s">
        <v>54837</v>
      </c>
    </row>
    <row r="9134" spans="2:35" ht="225">
      <c r="B9134" s="1">
        <v>44974</v>
      </c>
      <c r="C9134" s="4">
        <v>44973.50277777778</v>
      </c>
      <c r="D9134" t="s">
        <v>22836</v>
      </c>
      <c r="E9134" t="s">
        <v>54838</v>
      </c>
      <c r="F9134" t="s">
        <v>148</v>
      </c>
      <c r="G9134" t="s">
        <v>447</v>
      </c>
      <c r="H9134" t="s">
        <v>1498</v>
      </c>
      <c r="I9134" t="s">
        <v>40</v>
      </c>
      <c r="J9134" t="s">
        <v>79</v>
      </c>
      <c r="K9134" t="s">
        <v>42</v>
      </c>
      <c r="L9134" t="s">
        <v>43</v>
      </c>
      <c r="Q9134">
        <v>23464</v>
      </c>
      <c r="R9134" t="s">
        <v>45</v>
      </c>
      <c r="S9134" t="s">
        <v>22838</v>
      </c>
      <c r="T9134">
        <v>25</v>
      </c>
      <c r="U9134" s="2" t="s">
        <v>54839</v>
      </c>
      <c r="V9134" s="1">
        <v>44970</v>
      </c>
      <c r="W9134" t="s">
        <v>9792</v>
      </c>
      <c r="X9134">
        <v>803088</v>
      </c>
      <c r="Y9134" t="s">
        <v>54840</v>
      </c>
      <c r="Z9134" t="s">
        <v>54841</v>
      </c>
      <c r="AA9134" s="2" t="s">
        <v>54842</v>
      </c>
      <c r="AB9134" t="s">
        <v>88</v>
      </c>
      <c r="AC9134" t="s">
        <v>54843</v>
      </c>
      <c r="AD9134" t="s">
        <v>54844</v>
      </c>
      <c r="AE9134" t="s">
        <v>54845</v>
      </c>
      <c r="AG9134" t="s">
        <v>54846</v>
      </c>
      <c r="AH9134" t="s">
        <v>54847</v>
      </c>
      <c r="AI9134" t="s">
        <v>54848</v>
      </c>
    </row>
    <row r="9135" spans="2:35" ht="240">
      <c r="B9135" s="1">
        <v>44974</v>
      </c>
      <c r="C9135" s="4">
        <v>44974.506249999999</v>
      </c>
      <c r="D9135" t="s">
        <v>25952</v>
      </c>
      <c r="E9135" t="s">
        <v>25953</v>
      </c>
      <c r="F9135" t="s">
        <v>148</v>
      </c>
      <c r="G9135" t="s">
        <v>447</v>
      </c>
      <c r="H9135" t="s">
        <v>39</v>
      </c>
      <c r="I9135" t="s">
        <v>40</v>
      </c>
      <c r="J9135" s="2" t="s">
        <v>62</v>
      </c>
      <c r="K9135" t="s">
        <v>42</v>
      </c>
      <c r="L9135" t="s">
        <v>175</v>
      </c>
      <c r="Q9135">
        <v>23462</v>
      </c>
      <c r="R9135" t="s">
        <v>119</v>
      </c>
      <c r="S9135" t="s">
        <v>25954</v>
      </c>
      <c r="T9135">
        <v>25</v>
      </c>
      <c r="U9135" s="2" t="s">
        <v>54711</v>
      </c>
      <c r="V9135" s="1">
        <v>44944</v>
      </c>
      <c r="W9135" t="s">
        <v>84</v>
      </c>
      <c r="X9135">
        <v>831612</v>
      </c>
      <c r="Y9135" t="s">
        <v>54712</v>
      </c>
      <c r="Z9135" t="e">
        <f ca="1">- checked &amp; cleaned cartridge bay, plunger rod, I CORE slot, _xludf.filter
- performed XpertCheck
- generated reports
- performed functionality test</f>
        <v>#NAME?</v>
      </c>
      <c r="AA9135" t="s">
        <v>34204</v>
      </c>
      <c r="AB9135" t="s">
        <v>54713</v>
      </c>
      <c r="AD9135" t="s">
        <v>5220</v>
      </c>
      <c r="AE9135">
        <v>9499</v>
      </c>
      <c r="AG9135" t="s">
        <v>54849</v>
      </c>
      <c r="AH9135" t="s">
        <v>54715</v>
      </c>
      <c r="AI9135" t="s">
        <v>54850</v>
      </c>
    </row>
    <row r="9136" spans="2:35" ht="90">
      <c r="B9136" s="1">
        <v>44974</v>
      </c>
      <c r="C9136" s="4">
        <v>44970.65625</v>
      </c>
      <c r="D9136" t="s">
        <v>54851</v>
      </c>
      <c r="E9136" t="s">
        <v>8331</v>
      </c>
      <c r="F9136" t="s">
        <v>148</v>
      </c>
      <c r="G9136" t="s">
        <v>230</v>
      </c>
      <c r="H9136" t="s">
        <v>39</v>
      </c>
      <c r="I9136" t="s">
        <v>40</v>
      </c>
      <c r="J9136" t="s">
        <v>1422</v>
      </c>
      <c r="K9136" t="s">
        <v>42</v>
      </c>
      <c r="L9136" t="s">
        <v>175</v>
      </c>
      <c r="Q9136">
        <v>23459</v>
      </c>
      <c r="R9136" t="s">
        <v>45</v>
      </c>
      <c r="S9136" t="s">
        <v>1159</v>
      </c>
      <c r="T9136">
        <v>28</v>
      </c>
      <c r="U9136" s="2" t="s">
        <v>54852</v>
      </c>
      <c r="W9136" t="s">
        <v>84</v>
      </c>
      <c r="X9136">
        <v>808619</v>
      </c>
      <c r="Y9136" t="s">
        <v>8255</v>
      </c>
      <c r="Z9136" t="s">
        <v>20531</v>
      </c>
      <c r="AA9136" t="e">
        <f ca="1">- Relocated Unit
- generated reports</f>
        <v>#NAME?</v>
      </c>
      <c r="AB9136" t="s">
        <v>181</v>
      </c>
      <c r="AG9136" t="s">
        <v>54853</v>
      </c>
      <c r="AH9136" t="s">
        <v>54854</v>
      </c>
      <c r="AI9136" t="s">
        <v>54855</v>
      </c>
    </row>
    <row r="9137" spans="2:35" ht="90">
      <c r="B9137" s="1">
        <v>44974</v>
      </c>
      <c r="C9137" s="4">
        <v>44970.645833333336</v>
      </c>
      <c r="D9137" t="s">
        <v>1155</v>
      </c>
      <c r="E9137" t="s">
        <v>8331</v>
      </c>
      <c r="F9137" t="s">
        <v>148</v>
      </c>
      <c r="G9137" t="s">
        <v>230</v>
      </c>
      <c r="H9137" t="s">
        <v>39</v>
      </c>
      <c r="I9137" t="s">
        <v>40</v>
      </c>
      <c r="J9137" t="s">
        <v>54856</v>
      </c>
      <c r="K9137" t="s">
        <v>42</v>
      </c>
      <c r="L9137" t="s">
        <v>175</v>
      </c>
      <c r="Q9137">
        <v>23460</v>
      </c>
      <c r="R9137" t="s">
        <v>45</v>
      </c>
      <c r="S9137" t="s">
        <v>1159</v>
      </c>
      <c r="T9137">
        <v>28</v>
      </c>
      <c r="U9137" s="2" t="s">
        <v>54857</v>
      </c>
      <c r="W9137" t="s">
        <v>84</v>
      </c>
      <c r="X9137">
        <v>807956</v>
      </c>
      <c r="Y9137" t="s">
        <v>8255</v>
      </c>
      <c r="Z9137" t="s">
        <v>54858</v>
      </c>
      <c r="AA9137" t="e">
        <f ca="1">- Relocated Unit
- generated reports</f>
        <v>#NAME?</v>
      </c>
      <c r="AB9137" t="s">
        <v>88</v>
      </c>
      <c r="AG9137" t="s">
        <v>54859</v>
      </c>
      <c r="AH9137" t="s">
        <v>54854</v>
      </c>
      <c r="AI9137" t="s">
        <v>54860</v>
      </c>
    </row>
    <row r="9138" spans="2:35" ht="180">
      <c r="B9138" s="1">
        <v>44974</v>
      </c>
      <c r="C9138" s="4">
        <v>44971.438194444447</v>
      </c>
      <c r="D9138" t="s">
        <v>54861</v>
      </c>
      <c r="E9138" t="s">
        <v>25968</v>
      </c>
      <c r="F9138">
        <v>3</v>
      </c>
      <c r="G9138" t="s">
        <v>174</v>
      </c>
      <c r="H9138" t="s">
        <v>39</v>
      </c>
      <c r="I9138" t="s">
        <v>40</v>
      </c>
      <c r="J9138" t="s">
        <v>525</v>
      </c>
      <c r="K9138" t="s">
        <v>42</v>
      </c>
      <c r="L9138" t="s">
        <v>175</v>
      </c>
      <c r="Q9138">
        <v>23458</v>
      </c>
      <c r="R9138" t="s">
        <v>119</v>
      </c>
      <c r="S9138" t="s">
        <v>25969</v>
      </c>
      <c r="T9138">
        <v>25</v>
      </c>
      <c r="U9138" s="2" t="s">
        <v>54862</v>
      </c>
      <c r="W9138" t="s">
        <v>84</v>
      </c>
      <c r="X9138">
        <v>831691</v>
      </c>
      <c r="Y9138" t="s">
        <v>54863</v>
      </c>
      <c r="Z9138" t="s">
        <v>54864</v>
      </c>
      <c r="AA9138" t="e">
        <f ca="1">- performed XpertCheck on B4
- generated reports
- performed functionality test</f>
        <v>#NAME?</v>
      </c>
      <c r="AB9138" t="s">
        <v>54865</v>
      </c>
      <c r="AG9138" t="s">
        <v>54866</v>
      </c>
      <c r="AH9138" t="s">
        <v>25971</v>
      </c>
      <c r="AI9138" t="s">
        <v>54867</v>
      </c>
    </row>
    <row r="9139" spans="2:35" ht="90">
      <c r="B9139" s="1">
        <v>44974</v>
      </c>
      <c r="C9139" s="4">
        <v>44970.65347222222</v>
      </c>
      <c r="D9139" t="s">
        <v>1155</v>
      </c>
      <c r="E9139" t="s">
        <v>54868</v>
      </c>
      <c r="F9139" t="s">
        <v>148</v>
      </c>
      <c r="G9139" t="s">
        <v>230</v>
      </c>
      <c r="H9139" t="s">
        <v>39</v>
      </c>
      <c r="I9139" t="s">
        <v>40</v>
      </c>
      <c r="J9139" t="s">
        <v>1422</v>
      </c>
      <c r="K9139" t="s">
        <v>42</v>
      </c>
      <c r="L9139" t="s">
        <v>175</v>
      </c>
      <c r="Q9139">
        <v>23457</v>
      </c>
      <c r="R9139" t="s">
        <v>45</v>
      </c>
      <c r="S9139" t="s">
        <v>1159</v>
      </c>
      <c r="T9139">
        <v>28</v>
      </c>
      <c r="U9139" s="2" t="s">
        <v>54852</v>
      </c>
      <c r="W9139" t="s">
        <v>84</v>
      </c>
      <c r="X9139">
        <v>807112</v>
      </c>
      <c r="Y9139" t="s">
        <v>8255</v>
      </c>
      <c r="Z9139" t="s">
        <v>54858</v>
      </c>
      <c r="AA9139" t="e">
        <f ca="1">- Relocated Unit
- generated reports</f>
        <v>#NAME?</v>
      </c>
      <c r="AB9139" t="s">
        <v>88</v>
      </c>
      <c r="AG9139" t="s">
        <v>54869</v>
      </c>
      <c r="AH9139" t="s">
        <v>54870</v>
      </c>
      <c r="AI9139" t="s">
        <v>54871</v>
      </c>
    </row>
    <row r="9140" spans="2:35" ht="90">
      <c r="B9140" s="1">
        <v>44974</v>
      </c>
      <c r="C9140" s="4">
        <v>44970.659722222219</v>
      </c>
      <c r="D9140" t="s">
        <v>1155</v>
      </c>
      <c r="E9140" t="s">
        <v>8331</v>
      </c>
      <c r="F9140" t="s">
        <v>148</v>
      </c>
      <c r="G9140" t="s">
        <v>230</v>
      </c>
      <c r="H9140" t="s">
        <v>39</v>
      </c>
      <c r="I9140" t="s">
        <v>40</v>
      </c>
      <c r="J9140" t="s">
        <v>1422</v>
      </c>
      <c r="K9140" t="s">
        <v>42</v>
      </c>
      <c r="L9140" t="s">
        <v>175</v>
      </c>
      <c r="Q9140">
        <v>23461</v>
      </c>
      <c r="R9140" t="s">
        <v>119</v>
      </c>
      <c r="S9140" t="s">
        <v>1159</v>
      </c>
      <c r="T9140">
        <v>28</v>
      </c>
      <c r="U9140" s="2" t="s">
        <v>54872</v>
      </c>
      <c r="W9140" t="s">
        <v>84</v>
      </c>
      <c r="X9140">
        <v>831895</v>
      </c>
      <c r="Y9140" t="s">
        <v>8255</v>
      </c>
      <c r="Z9140" t="e">
        <f ca="1">- Relocated Unit</f>
        <v>#NAME?</v>
      </c>
      <c r="AA9140" t="e">
        <f ca="1">- Relocated Unit
- generated reports</f>
        <v>#NAME?</v>
      </c>
      <c r="AB9140" t="s">
        <v>7445</v>
      </c>
      <c r="AG9140" t="s">
        <v>54873</v>
      </c>
      <c r="AH9140" t="s">
        <v>54870</v>
      </c>
      <c r="AI9140" t="s">
        <v>54874</v>
      </c>
    </row>
    <row r="9141" spans="2:35" ht="409.5">
      <c r="B9141" s="1">
        <v>44974</v>
      </c>
      <c r="C9141" s="4">
        <v>44974.431944444441</v>
      </c>
      <c r="D9141" t="s">
        <v>54875</v>
      </c>
      <c r="E9141" t="s">
        <v>35184</v>
      </c>
      <c r="F9141">
        <v>6</v>
      </c>
      <c r="G9141" t="s">
        <v>1234</v>
      </c>
      <c r="H9141" t="s">
        <v>39</v>
      </c>
      <c r="I9141" t="s">
        <v>94</v>
      </c>
      <c r="J9141" s="2" t="s">
        <v>1370</v>
      </c>
      <c r="K9141" t="s">
        <v>42</v>
      </c>
      <c r="L9141" t="s">
        <v>433</v>
      </c>
      <c r="Q9141">
        <v>23456</v>
      </c>
      <c r="R9141" t="s">
        <v>95</v>
      </c>
      <c r="S9141" t="s">
        <v>54423</v>
      </c>
      <c r="T9141">
        <v>23</v>
      </c>
      <c r="U9141" s="2" t="s">
        <v>54876</v>
      </c>
      <c r="W9141" t="s">
        <v>6776</v>
      </c>
      <c r="X9141">
        <v>110005268</v>
      </c>
      <c r="Y9141" t="s">
        <v>54877</v>
      </c>
      <c r="Z9141" t="s">
        <v>54878</v>
      </c>
      <c r="AA9141" t="s">
        <v>54878</v>
      </c>
      <c r="AB9141" t="s">
        <v>1011</v>
      </c>
      <c r="AG9141" t="s">
        <v>54879</v>
      </c>
      <c r="AH9141" t="s">
        <v>54880</v>
      </c>
      <c r="AI9141" t="s">
        <v>54881</v>
      </c>
    </row>
    <row r="9142" spans="2:35" ht="150">
      <c r="B9142" s="1">
        <v>44974</v>
      </c>
      <c r="C9142" s="4">
        <v>44973.654166666667</v>
      </c>
      <c r="D9142" t="s">
        <v>54882</v>
      </c>
      <c r="E9142" t="s">
        <v>3140</v>
      </c>
      <c r="F9142">
        <v>3</v>
      </c>
      <c r="G9142" t="s">
        <v>174</v>
      </c>
      <c r="H9142" t="s">
        <v>39</v>
      </c>
      <c r="I9142" t="s">
        <v>40</v>
      </c>
      <c r="J9142" t="s">
        <v>79</v>
      </c>
      <c r="K9142" t="s">
        <v>42</v>
      </c>
      <c r="L9142" t="s">
        <v>175</v>
      </c>
      <c r="Q9142">
        <v>23455</v>
      </c>
      <c r="R9142" t="s">
        <v>45</v>
      </c>
      <c r="S9142" t="s">
        <v>14419</v>
      </c>
      <c r="T9142">
        <v>25</v>
      </c>
      <c r="U9142" s="2" t="s">
        <v>53572</v>
      </c>
      <c r="V9142" s="1">
        <v>44970</v>
      </c>
      <c r="W9142" t="s">
        <v>84</v>
      </c>
      <c r="X9142">
        <v>805112</v>
      </c>
      <c r="Y9142" t="s">
        <v>54883</v>
      </c>
      <c r="Z9142" t="e">
        <f ca="1">- replaced B2 &amp; Gateway board
- generated reports
- performed functionality test</f>
        <v>#NAME?</v>
      </c>
      <c r="AA9142" t="s">
        <v>54884</v>
      </c>
      <c r="AB9142" t="s">
        <v>88</v>
      </c>
      <c r="AD9142" s="2" t="s">
        <v>54885</v>
      </c>
      <c r="AE9142" t="s">
        <v>54886</v>
      </c>
      <c r="AG9142" t="s">
        <v>54887</v>
      </c>
      <c r="AH9142" t="s">
        <v>54888</v>
      </c>
      <c r="AI9142" t="s">
        <v>54889</v>
      </c>
    </row>
    <row r="9143" spans="2:35" ht="180">
      <c r="B9143" s="1">
        <v>44974</v>
      </c>
      <c r="C9143" s="4">
        <v>44972.609722222223</v>
      </c>
      <c r="D9143" t="s">
        <v>44661</v>
      </c>
      <c r="E9143" t="s">
        <v>3616</v>
      </c>
      <c r="F9143" t="s">
        <v>148</v>
      </c>
      <c r="G9143" t="s">
        <v>174</v>
      </c>
      <c r="H9143" t="s">
        <v>39</v>
      </c>
      <c r="I9143" t="s">
        <v>40</v>
      </c>
      <c r="J9143" s="2" t="s">
        <v>62</v>
      </c>
      <c r="K9143" t="s">
        <v>42</v>
      </c>
      <c r="L9143" t="s">
        <v>175</v>
      </c>
      <c r="Q9143">
        <v>23454</v>
      </c>
      <c r="R9143" t="s">
        <v>119</v>
      </c>
      <c r="S9143" t="s">
        <v>23152</v>
      </c>
      <c r="T9143">
        <v>25</v>
      </c>
      <c r="U9143" s="2" t="s">
        <v>54890</v>
      </c>
      <c r="V9143" s="1">
        <v>44946</v>
      </c>
      <c r="W9143" t="s">
        <v>84</v>
      </c>
      <c r="X9143">
        <v>831641</v>
      </c>
      <c r="Y9143" t="s">
        <v>6777</v>
      </c>
      <c r="Z9143" t="e">
        <f ca="1">- checked &amp; cleaned cartridge bay, plunger rod, I CORE slot, _xludf.filter
- performed XpertCheck
- generated reports
- performed functionality test</f>
        <v>#NAME?</v>
      </c>
      <c r="AA9143" t="s">
        <v>34204</v>
      </c>
      <c r="AB9143" t="s">
        <v>54891</v>
      </c>
      <c r="AD9143" t="s">
        <v>20036</v>
      </c>
      <c r="AE9143">
        <v>9526</v>
      </c>
      <c r="AG9143" t="s">
        <v>54892</v>
      </c>
      <c r="AH9143" t="s">
        <v>23156</v>
      </c>
      <c r="AI9143" t="s">
        <v>54893</v>
      </c>
    </row>
    <row r="9144" spans="2:35" ht="285">
      <c r="B9144" s="1">
        <v>44974</v>
      </c>
      <c r="C9144" s="4">
        <v>44972.479166666664</v>
      </c>
      <c r="D9144" t="s">
        <v>419</v>
      </c>
      <c r="E9144" t="s">
        <v>26072</v>
      </c>
      <c r="F9144" t="s">
        <v>148</v>
      </c>
      <c r="G9144" t="s">
        <v>421</v>
      </c>
      <c r="H9144" t="s">
        <v>39</v>
      </c>
      <c r="I9144" t="s">
        <v>40</v>
      </c>
      <c r="J9144" s="2" t="s">
        <v>62</v>
      </c>
      <c r="K9144" t="s">
        <v>42</v>
      </c>
      <c r="L9144" t="s">
        <v>175</v>
      </c>
      <c r="Q9144">
        <v>23451</v>
      </c>
      <c r="R9144" t="s">
        <v>45</v>
      </c>
      <c r="S9144" t="s">
        <v>422</v>
      </c>
      <c r="T9144">
        <v>25</v>
      </c>
      <c r="U9144" s="2" t="s">
        <v>54894</v>
      </c>
      <c r="W9144" t="s">
        <v>84</v>
      </c>
      <c r="X9144">
        <v>814151</v>
      </c>
      <c r="Y9144" t="s">
        <v>6777</v>
      </c>
      <c r="Z9144" t="e">
        <f ca="1">- checked &amp; cleaned cartridge bay, plunger rod, I CORE slot, _xludf.filter
- performed XpertCheck
- generated reports
- performed functionality test</f>
        <v>#NAME?</v>
      </c>
      <c r="AA9144" t="s">
        <v>34204</v>
      </c>
      <c r="AB9144" t="s">
        <v>54895</v>
      </c>
      <c r="AG9144" t="s">
        <v>54896</v>
      </c>
      <c r="AH9144" t="s">
        <v>428</v>
      </c>
      <c r="AI9144" t="s">
        <v>54897</v>
      </c>
    </row>
    <row r="9145" spans="2:35" ht="285">
      <c r="B9145" s="1">
        <v>44974</v>
      </c>
      <c r="C9145" s="4">
        <v>44972.484027777777</v>
      </c>
      <c r="D9145" t="s">
        <v>419</v>
      </c>
      <c r="E9145" t="s">
        <v>26072</v>
      </c>
      <c r="F9145" t="s">
        <v>148</v>
      </c>
      <c r="G9145" t="s">
        <v>421</v>
      </c>
      <c r="H9145" t="s">
        <v>39</v>
      </c>
      <c r="I9145" t="s">
        <v>40</v>
      </c>
      <c r="J9145" s="2" t="s">
        <v>62</v>
      </c>
      <c r="K9145" t="s">
        <v>42</v>
      </c>
      <c r="L9145" t="s">
        <v>175</v>
      </c>
      <c r="Q9145">
        <v>23452</v>
      </c>
      <c r="R9145" t="s">
        <v>45</v>
      </c>
      <c r="S9145" t="s">
        <v>422</v>
      </c>
      <c r="T9145">
        <v>25</v>
      </c>
      <c r="U9145" s="2" t="s">
        <v>54894</v>
      </c>
      <c r="W9145" t="s">
        <v>84</v>
      </c>
      <c r="X9145">
        <v>815381</v>
      </c>
      <c r="Y9145" t="s">
        <v>6777</v>
      </c>
      <c r="Z9145" t="e">
        <f ca="1">- checked &amp; cleaned cartridge bay, plunger rod, I CORE slot, _xludf.filter
- performed XpertCheck
- generated reports
- performed functionality test</f>
        <v>#NAME?</v>
      </c>
      <c r="AA9145" t="s">
        <v>34204</v>
      </c>
      <c r="AB9145" t="s">
        <v>1521</v>
      </c>
      <c r="AG9145" t="s">
        <v>54898</v>
      </c>
      <c r="AH9145" t="s">
        <v>428</v>
      </c>
      <c r="AI9145" t="s">
        <v>54899</v>
      </c>
    </row>
    <row r="9146" spans="2:35" ht="180">
      <c r="B9146" s="1">
        <v>44974</v>
      </c>
      <c r="C9146" s="4">
        <v>44973.573611111111</v>
      </c>
      <c r="D9146" t="s">
        <v>4927</v>
      </c>
      <c r="E9146" t="s">
        <v>29745</v>
      </c>
      <c r="F9146">
        <v>3</v>
      </c>
      <c r="G9146" t="s">
        <v>174</v>
      </c>
      <c r="H9146" t="s">
        <v>39</v>
      </c>
      <c r="I9146" t="s">
        <v>40</v>
      </c>
      <c r="J9146" s="2" t="s">
        <v>62</v>
      </c>
      <c r="K9146" t="s">
        <v>42</v>
      </c>
      <c r="L9146" t="s">
        <v>175</v>
      </c>
      <c r="Q9146">
        <v>23453</v>
      </c>
      <c r="R9146" t="s">
        <v>45</v>
      </c>
      <c r="S9146" t="s">
        <v>52556</v>
      </c>
      <c r="T9146">
        <v>25</v>
      </c>
      <c r="U9146" s="2" t="s">
        <v>54900</v>
      </c>
      <c r="W9146" t="s">
        <v>84</v>
      </c>
      <c r="X9146">
        <v>838866</v>
      </c>
      <c r="Y9146" t="s">
        <v>6777</v>
      </c>
      <c r="Z9146" t="e">
        <f ca="1">- checked &amp; cleaned cartridge bay, plunger rod, I CORE slot, _xludf.filter
- performed XpertCheck
- generated reports
- performed functionality test</f>
        <v>#NAME?</v>
      </c>
      <c r="AA9146" t="s">
        <v>54901</v>
      </c>
      <c r="AB9146" t="s">
        <v>54902</v>
      </c>
      <c r="AG9146" t="s">
        <v>54903</v>
      </c>
      <c r="AH9146" t="s">
        <v>54904</v>
      </c>
      <c r="AI9146" t="s">
        <v>54905</v>
      </c>
    </row>
    <row r="9147" spans="2:35" ht="180">
      <c r="B9147" s="1">
        <v>44974</v>
      </c>
      <c r="C9147" s="4">
        <v>44971.438194444447</v>
      </c>
      <c r="D9147" t="s">
        <v>54861</v>
      </c>
      <c r="E9147" t="s">
        <v>25968</v>
      </c>
      <c r="F9147">
        <v>3</v>
      </c>
      <c r="G9147" t="s">
        <v>174</v>
      </c>
      <c r="H9147" t="s">
        <v>39</v>
      </c>
      <c r="I9147" t="s">
        <v>40</v>
      </c>
      <c r="J9147" t="s">
        <v>525</v>
      </c>
      <c r="K9147" t="s">
        <v>42</v>
      </c>
      <c r="L9147" t="s">
        <v>175</v>
      </c>
      <c r="Q9147">
        <v>23449</v>
      </c>
      <c r="R9147" t="s">
        <v>119</v>
      </c>
      <c r="S9147" t="s">
        <v>25969</v>
      </c>
      <c r="T9147">
        <v>25</v>
      </c>
      <c r="U9147" s="2" t="s">
        <v>54862</v>
      </c>
      <c r="W9147" t="s">
        <v>84</v>
      </c>
      <c r="X9147">
        <v>831691</v>
      </c>
      <c r="Y9147" t="s">
        <v>54863</v>
      </c>
      <c r="Z9147" t="s">
        <v>54864</v>
      </c>
      <c r="AA9147" t="e">
        <f ca="1">- performed XpertCheck on B4
- generated reports
- performed functionality test</f>
        <v>#NAME?</v>
      </c>
      <c r="AB9147" t="s">
        <v>54865</v>
      </c>
      <c r="AG9147" t="s">
        <v>54906</v>
      </c>
      <c r="AH9147" t="s">
        <v>25971</v>
      </c>
      <c r="AI9147" t="s">
        <v>54907</v>
      </c>
    </row>
    <row r="9148" spans="2:35" ht="90">
      <c r="B9148" s="1">
        <v>44974</v>
      </c>
      <c r="C9148" s="4">
        <v>44970.659722222219</v>
      </c>
      <c r="D9148" t="s">
        <v>1155</v>
      </c>
      <c r="E9148" t="s">
        <v>8331</v>
      </c>
      <c r="F9148" t="s">
        <v>148</v>
      </c>
      <c r="G9148" t="s">
        <v>230</v>
      </c>
      <c r="H9148" t="s">
        <v>39</v>
      </c>
      <c r="I9148" t="s">
        <v>40</v>
      </c>
      <c r="J9148" t="s">
        <v>1422</v>
      </c>
      <c r="K9148" t="s">
        <v>42</v>
      </c>
      <c r="L9148" t="s">
        <v>175</v>
      </c>
      <c r="Q9148">
        <v>23448</v>
      </c>
      <c r="R9148" t="s">
        <v>119</v>
      </c>
      <c r="S9148" t="s">
        <v>1159</v>
      </c>
      <c r="T9148">
        <v>28</v>
      </c>
      <c r="U9148" s="2" t="s">
        <v>54872</v>
      </c>
      <c r="W9148" t="s">
        <v>84</v>
      </c>
      <c r="X9148">
        <v>831895</v>
      </c>
      <c r="Y9148" t="s">
        <v>8255</v>
      </c>
      <c r="Z9148" t="e">
        <f ca="1">- Relocated Unit</f>
        <v>#NAME?</v>
      </c>
      <c r="AA9148" t="e">
        <f ca="1">- Relocated Unit
- generated reports</f>
        <v>#NAME?</v>
      </c>
      <c r="AB9148" t="s">
        <v>7445</v>
      </c>
      <c r="AG9148" t="s">
        <v>54908</v>
      </c>
      <c r="AH9148" t="s">
        <v>54870</v>
      </c>
      <c r="AI9148" t="s">
        <v>54909</v>
      </c>
    </row>
    <row r="9149" spans="2:35" ht="90">
      <c r="B9149" s="1">
        <v>44974</v>
      </c>
      <c r="C9149" s="4">
        <v>44970.65625</v>
      </c>
      <c r="D9149" t="s">
        <v>54851</v>
      </c>
      <c r="E9149" t="s">
        <v>8331</v>
      </c>
      <c r="F9149" t="s">
        <v>148</v>
      </c>
      <c r="G9149" t="s">
        <v>230</v>
      </c>
      <c r="H9149" t="s">
        <v>39</v>
      </c>
      <c r="I9149" t="s">
        <v>40</v>
      </c>
      <c r="J9149" t="s">
        <v>1422</v>
      </c>
      <c r="K9149" t="s">
        <v>42</v>
      </c>
      <c r="L9149" t="s">
        <v>175</v>
      </c>
      <c r="Q9149">
        <v>23446</v>
      </c>
      <c r="R9149" t="s">
        <v>45</v>
      </c>
      <c r="S9149" t="s">
        <v>1159</v>
      </c>
      <c r="T9149">
        <v>28</v>
      </c>
      <c r="U9149" s="2" t="s">
        <v>54852</v>
      </c>
      <c r="W9149" t="s">
        <v>84</v>
      </c>
      <c r="X9149">
        <v>808619</v>
      </c>
      <c r="Y9149" t="s">
        <v>8255</v>
      </c>
      <c r="Z9149" t="s">
        <v>20531</v>
      </c>
      <c r="AA9149" t="e">
        <f ca="1">- Relocated Unit
- generated reports</f>
        <v>#NAME?</v>
      </c>
      <c r="AB9149" t="s">
        <v>181</v>
      </c>
      <c r="AG9149" t="s">
        <v>54910</v>
      </c>
      <c r="AH9149" t="s">
        <v>54854</v>
      </c>
      <c r="AI9149" t="s">
        <v>54911</v>
      </c>
    </row>
    <row r="9150" spans="2:35" ht="90">
      <c r="B9150" s="1">
        <v>44974</v>
      </c>
      <c r="C9150" s="4">
        <v>44970.645833333336</v>
      </c>
      <c r="D9150" t="s">
        <v>1155</v>
      </c>
      <c r="E9150" t="s">
        <v>8331</v>
      </c>
      <c r="F9150" t="s">
        <v>148</v>
      </c>
      <c r="G9150" t="s">
        <v>230</v>
      </c>
      <c r="H9150" t="s">
        <v>39</v>
      </c>
      <c r="I9150" t="s">
        <v>40</v>
      </c>
      <c r="J9150" t="s">
        <v>54856</v>
      </c>
      <c r="K9150" t="s">
        <v>42</v>
      </c>
      <c r="L9150" t="s">
        <v>175</v>
      </c>
      <c r="Q9150">
        <v>23447</v>
      </c>
      <c r="R9150" t="s">
        <v>45</v>
      </c>
      <c r="S9150" t="s">
        <v>1159</v>
      </c>
      <c r="T9150">
        <v>28</v>
      </c>
      <c r="U9150" s="2" t="s">
        <v>54857</v>
      </c>
      <c r="W9150" t="s">
        <v>84</v>
      </c>
      <c r="X9150">
        <v>807956</v>
      </c>
      <c r="Y9150" t="s">
        <v>8255</v>
      </c>
      <c r="Z9150" t="s">
        <v>54858</v>
      </c>
      <c r="AA9150" t="e">
        <f ca="1">- Relocated Unit
- generated reports</f>
        <v>#NAME?</v>
      </c>
      <c r="AB9150" t="s">
        <v>88</v>
      </c>
      <c r="AG9150" t="s">
        <v>54912</v>
      </c>
      <c r="AH9150" t="s">
        <v>54854</v>
      </c>
      <c r="AI9150" t="s">
        <v>54913</v>
      </c>
    </row>
    <row r="9151" spans="2:35" ht="90">
      <c r="B9151" s="1">
        <v>44974</v>
      </c>
      <c r="C9151" s="4">
        <v>44970.65347222222</v>
      </c>
      <c r="D9151" t="s">
        <v>1155</v>
      </c>
      <c r="E9151" t="s">
        <v>54868</v>
      </c>
      <c r="F9151" t="s">
        <v>148</v>
      </c>
      <c r="G9151" t="s">
        <v>230</v>
      </c>
      <c r="H9151" t="s">
        <v>39</v>
      </c>
      <c r="I9151" t="s">
        <v>40</v>
      </c>
      <c r="J9151" t="s">
        <v>1422</v>
      </c>
      <c r="K9151" t="s">
        <v>42</v>
      </c>
      <c r="L9151" t="s">
        <v>175</v>
      </c>
      <c r="Q9151">
        <v>23450</v>
      </c>
      <c r="R9151" t="s">
        <v>45</v>
      </c>
      <c r="S9151" t="s">
        <v>1159</v>
      </c>
      <c r="T9151">
        <v>28</v>
      </c>
      <c r="U9151" s="2" t="s">
        <v>54852</v>
      </c>
      <c r="W9151" t="s">
        <v>84</v>
      </c>
      <c r="X9151">
        <v>807112</v>
      </c>
      <c r="Y9151" t="s">
        <v>8255</v>
      </c>
      <c r="Z9151" t="s">
        <v>54858</v>
      </c>
      <c r="AA9151" t="e">
        <f ca="1">- Relocated Unit
- generated reports</f>
        <v>#NAME?</v>
      </c>
      <c r="AB9151" t="s">
        <v>88</v>
      </c>
      <c r="AG9151" t="s">
        <v>54914</v>
      </c>
      <c r="AH9151" t="s">
        <v>54870</v>
      </c>
      <c r="AI9151" t="s">
        <v>54915</v>
      </c>
    </row>
    <row r="9152" spans="2:35" ht="60">
      <c r="B9152" s="1">
        <v>44974</v>
      </c>
      <c r="C9152" s="4">
        <v>44973.745138888888</v>
      </c>
      <c r="D9152" t="s">
        <v>17854</v>
      </c>
      <c r="E9152" t="s">
        <v>54916</v>
      </c>
      <c r="F9152" t="s">
        <v>1255</v>
      </c>
      <c r="G9152" t="s">
        <v>17856</v>
      </c>
      <c r="H9152" t="s">
        <v>39</v>
      </c>
      <c r="I9152" t="s">
        <v>40</v>
      </c>
      <c r="J9152" s="2" t="s">
        <v>6210</v>
      </c>
      <c r="K9152" t="s">
        <v>42</v>
      </c>
      <c r="L9152" t="s">
        <v>1257</v>
      </c>
      <c r="Q9152">
        <v>23445</v>
      </c>
      <c r="R9152" t="s">
        <v>1268</v>
      </c>
      <c r="S9152" t="s">
        <v>17859</v>
      </c>
      <c r="T9152">
        <v>23</v>
      </c>
      <c r="U9152" s="2" t="s">
        <v>10808</v>
      </c>
      <c r="V9152" s="1">
        <v>44973</v>
      </c>
      <c r="W9152" t="s">
        <v>360</v>
      </c>
      <c r="X9152">
        <v>110008652</v>
      </c>
      <c r="Y9152" t="s">
        <v>301</v>
      </c>
      <c r="Z9152" t="s">
        <v>54917</v>
      </c>
      <c r="AA9152" t="s">
        <v>54917</v>
      </c>
      <c r="AB9152" t="s">
        <v>7411</v>
      </c>
      <c r="AC9152" t="s">
        <v>301</v>
      </c>
      <c r="AD9152" t="s">
        <v>54</v>
      </c>
      <c r="AE9152" t="s">
        <v>54</v>
      </c>
      <c r="AG9152" t="s">
        <v>54918</v>
      </c>
      <c r="AH9152" t="s">
        <v>54919</v>
      </c>
      <c r="AI9152" t="s">
        <v>54920</v>
      </c>
    </row>
    <row r="9153" spans="2:35" ht="60">
      <c r="B9153" s="1">
        <v>44974</v>
      </c>
      <c r="C9153" s="4">
        <v>44973.756249999999</v>
      </c>
      <c r="D9153" t="s">
        <v>17854</v>
      </c>
      <c r="E9153" t="s">
        <v>54921</v>
      </c>
      <c r="F9153" t="s">
        <v>1255</v>
      </c>
      <c r="G9153" t="s">
        <v>17856</v>
      </c>
      <c r="H9153" t="s">
        <v>39</v>
      </c>
      <c r="I9153" t="s">
        <v>40</v>
      </c>
      <c r="J9153" t="s">
        <v>321</v>
      </c>
      <c r="K9153" t="s">
        <v>42</v>
      </c>
      <c r="L9153" t="s">
        <v>1257</v>
      </c>
      <c r="Q9153">
        <v>23443</v>
      </c>
      <c r="R9153" t="s">
        <v>119</v>
      </c>
      <c r="S9153" t="s">
        <v>17859</v>
      </c>
      <c r="T9153">
        <v>26</v>
      </c>
      <c r="U9153" s="2" t="s">
        <v>10808</v>
      </c>
      <c r="V9153" s="1">
        <v>44973</v>
      </c>
      <c r="W9153" t="s">
        <v>2384</v>
      </c>
      <c r="X9153">
        <v>838834</v>
      </c>
      <c r="Y9153" t="s">
        <v>26149</v>
      </c>
      <c r="Z9153" t="s">
        <v>54922</v>
      </c>
      <c r="AA9153" t="s">
        <v>54922</v>
      </c>
      <c r="AB9153" t="s">
        <v>26149</v>
      </c>
      <c r="AC9153" t="s">
        <v>54923</v>
      </c>
      <c r="AD9153" t="s">
        <v>54</v>
      </c>
      <c r="AE9153" t="s">
        <v>54</v>
      </c>
      <c r="AG9153" t="s">
        <v>54924</v>
      </c>
      <c r="AH9153" t="s">
        <v>54925</v>
      </c>
      <c r="AI9153" t="s">
        <v>54926</v>
      </c>
    </row>
    <row r="9154" spans="2:35" ht="180">
      <c r="B9154" s="1">
        <v>44974</v>
      </c>
      <c r="C9154" s="4">
        <v>44973.640277777777</v>
      </c>
      <c r="D9154" t="s">
        <v>54927</v>
      </c>
      <c r="E9154" t="s">
        <v>54928</v>
      </c>
      <c r="F9154" t="s">
        <v>1255</v>
      </c>
      <c r="G9154" t="s">
        <v>17856</v>
      </c>
      <c r="H9154" t="s">
        <v>39</v>
      </c>
      <c r="I9154" t="s">
        <v>40</v>
      </c>
      <c r="J9154" t="s">
        <v>54929</v>
      </c>
      <c r="K9154" t="s">
        <v>42</v>
      </c>
      <c r="L9154" t="s">
        <v>1257</v>
      </c>
      <c r="Q9154">
        <v>23444</v>
      </c>
      <c r="R9154" t="s">
        <v>119</v>
      </c>
      <c r="S9154" t="s">
        <v>54930</v>
      </c>
      <c r="T9154">
        <v>23</v>
      </c>
      <c r="U9154" s="2" t="s">
        <v>54931</v>
      </c>
      <c r="V9154" s="1">
        <v>44973</v>
      </c>
      <c r="W9154" t="s">
        <v>2384</v>
      </c>
      <c r="X9154">
        <v>838834</v>
      </c>
      <c r="Y9154" t="s">
        <v>48501</v>
      </c>
      <c r="Z9154" t="s">
        <v>54932</v>
      </c>
      <c r="AA9154" t="s">
        <v>54933</v>
      </c>
      <c r="AB9154" t="s">
        <v>54934</v>
      </c>
      <c r="AC9154" t="s">
        <v>301</v>
      </c>
      <c r="AD9154" t="s">
        <v>54</v>
      </c>
      <c r="AE9154" t="s">
        <v>54</v>
      </c>
      <c r="AG9154" t="s">
        <v>54935</v>
      </c>
      <c r="AH9154" t="s">
        <v>54936</v>
      </c>
      <c r="AI9154" t="s">
        <v>54937</v>
      </c>
    </row>
    <row r="9155" spans="2:35" ht="180">
      <c r="B9155" s="1">
        <v>44974</v>
      </c>
      <c r="C9155" s="4">
        <v>44973.736111111109</v>
      </c>
      <c r="D9155" t="s">
        <v>54927</v>
      </c>
      <c r="E9155" t="s">
        <v>54938</v>
      </c>
      <c r="F9155" t="s">
        <v>1255</v>
      </c>
      <c r="G9155" t="s">
        <v>17856</v>
      </c>
      <c r="H9155" t="s">
        <v>39</v>
      </c>
      <c r="I9155" t="s">
        <v>40</v>
      </c>
      <c r="J9155" s="2" t="s">
        <v>62</v>
      </c>
      <c r="K9155" t="s">
        <v>42</v>
      </c>
      <c r="L9155" t="s">
        <v>1257</v>
      </c>
      <c r="Q9155">
        <v>23442</v>
      </c>
      <c r="R9155" t="s">
        <v>45</v>
      </c>
      <c r="S9155" t="s">
        <v>35584</v>
      </c>
      <c r="T9155">
        <v>23</v>
      </c>
      <c r="U9155" s="2" t="s">
        <v>54939</v>
      </c>
      <c r="V9155" s="1">
        <v>44973</v>
      </c>
      <c r="W9155" t="s">
        <v>54940</v>
      </c>
      <c r="X9155">
        <v>808643</v>
      </c>
      <c r="Y9155" t="s">
        <v>14904</v>
      </c>
      <c r="Z9155" t="s">
        <v>54941</v>
      </c>
      <c r="AA9155" t="s">
        <v>54941</v>
      </c>
      <c r="AB9155" t="s">
        <v>14904</v>
      </c>
      <c r="AC9155" t="s">
        <v>301</v>
      </c>
      <c r="AD9155" t="s">
        <v>54</v>
      </c>
      <c r="AE9155" t="s">
        <v>54</v>
      </c>
      <c r="AG9155" t="s">
        <v>54942</v>
      </c>
      <c r="AH9155" t="s">
        <v>54943</v>
      </c>
      <c r="AI9155" t="s">
        <v>54944</v>
      </c>
    </row>
    <row r="9156" spans="2:35" ht="180">
      <c r="B9156" s="1">
        <v>44974</v>
      </c>
      <c r="C9156" s="4">
        <v>44974.334722222222</v>
      </c>
      <c r="D9156" t="s">
        <v>16716</v>
      </c>
      <c r="E9156" t="s">
        <v>1128</v>
      </c>
      <c r="F9156">
        <v>8</v>
      </c>
      <c r="G9156" t="s">
        <v>342</v>
      </c>
      <c r="H9156" t="s">
        <v>202</v>
      </c>
      <c r="I9156" t="s">
        <v>40</v>
      </c>
      <c r="J9156" t="s">
        <v>109</v>
      </c>
      <c r="K9156" t="s">
        <v>42</v>
      </c>
      <c r="L9156" t="s">
        <v>259</v>
      </c>
      <c r="Q9156">
        <v>23441</v>
      </c>
      <c r="R9156" t="s">
        <v>119</v>
      </c>
      <c r="S9156" t="s">
        <v>17749</v>
      </c>
      <c r="T9156">
        <v>24</v>
      </c>
      <c r="U9156" s="2" t="s">
        <v>54945</v>
      </c>
      <c r="W9156" t="s">
        <v>84</v>
      </c>
      <c r="X9156">
        <v>838421</v>
      </c>
      <c r="Y9156" t="s">
        <v>43470</v>
      </c>
      <c r="Z9156" t="e">
        <f ca="1">- conduct Preventive Maintenance
- cleaned FAN _xludf.filter
- Back up _xludf.files
- Generate reports</f>
        <v>#NAME?</v>
      </c>
      <c r="AA9156" t="e">
        <f ca="1">-Preventive Maintenance</f>
        <v>#NAME?</v>
      </c>
      <c r="AB9156" t="s">
        <v>54946</v>
      </c>
      <c r="AG9156" t="s">
        <v>54947</v>
      </c>
      <c r="AH9156" t="s">
        <v>41925</v>
      </c>
      <c r="AI9156" t="s">
        <v>54948</v>
      </c>
    </row>
    <row r="9157" spans="2:35" ht="180">
      <c r="B9157" s="1">
        <v>44974</v>
      </c>
      <c r="C9157" s="4">
        <v>44974.334722222222</v>
      </c>
      <c r="D9157" t="s">
        <v>16716</v>
      </c>
      <c r="E9157" t="s">
        <v>1128</v>
      </c>
      <c r="F9157">
        <v>8</v>
      </c>
      <c r="G9157" t="s">
        <v>342</v>
      </c>
      <c r="H9157" t="s">
        <v>202</v>
      </c>
      <c r="I9157" t="s">
        <v>40</v>
      </c>
      <c r="J9157" t="s">
        <v>109</v>
      </c>
      <c r="K9157" t="s">
        <v>42</v>
      </c>
      <c r="L9157" t="s">
        <v>259</v>
      </c>
      <c r="Q9157">
        <v>23440</v>
      </c>
      <c r="R9157" t="s">
        <v>119</v>
      </c>
      <c r="S9157" t="s">
        <v>17749</v>
      </c>
      <c r="T9157">
        <v>24</v>
      </c>
      <c r="U9157" s="2" t="s">
        <v>54945</v>
      </c>
      <c r="W9157" t="s">
        <v>84</v>
      </c>
      <c r="X9157">
        <v>838421</v>
      </c>
      <c r="Y9157" t="s">
        <v>43470</v>
      </c>
      <c r="Z9157" t="e">
        <f ca="1">- conduct Preventive Maintenance
- cleaned FAN _xludf.filter
- Back up _xludf.files
- Generate reports</f>
        <v>#NAME?</v>
      </c>
      <c r="AA9157" t="e">
        <f ca="1">-Preventive Maintenance</f>
        <v>#NAME?</v>
      </c>
      <c r="AB9157" t="s">
        <v>54946</v>
      </c>
      <c r="AG9157" t="s">
        <v>54949</v>
      </c>
      <c r="AH9157" t="s">
        <v>41925</v>
      </c>
      <c r="AI9157" t="s">
        <v>54950</v>
      </c>
    </row>
    <row r="9158" spans="2:35" ht="409.5">
      <c r="B9158" s="1">
        <v>44973</v>
      </c>
      <c r="C9158" s="4">
        <v>44973.713888888888</v>
      </c>
      <c r="D9158" t="s">
        <v>3139</v>
      </c>
      <c r="E9158" t="s">
        <v>3140</v>
      </c>
      <c r="F9158">
        <v>3</v>
      </c>
      <c r="G9158" t="s">
        <v>174</v>
      </c>
      <c r="H9158" t="s">
        <v>61</v>
      </c>
      <c r="I9158" t="s">
        <v>40</v>
      </c>
      <c r="J9158" t="s">
        <v>996</v>
      </c>
      <c r="K9158" t="s">
        <v>42</v>
      </c>
      <c r="L9158" t="s">
        <v>175</v>
      </c>
      <c r="Q9158">
        <v>23439</v>
      </c>
      <c r="R9158" t="s">
        <v>45</v>
      </c>
      <c r="S9158" t="s">
        <v>18595</v>
      </c>
      <c r="T9158">
        <v>25</v>
      </c>
      <c r="U9158" s="2" t="s">
        <v>54951</v>
      </c>
      <c r="W9158" t="s">
        <v>84</v>
      </c>
      <c r="X9158">
        <v>834623</v>
      </c>
      <c r="Y9158" t="s">
        <v>998</v>
      </c>
      <c r="Z9158" s="2" t="s">
        <v>54952</v>
      </c>
      <c r="AA9158" t="s">
        <v>999</v>
      </c>
      <c r="AB9158" t="s">
        <v>54953</v>
      </c>
      <c r="AG9158" t="s">
        <v>54954</v>
      </c>
      <c r="AH9158" t="s">
        <v>54955</v>
      </c>
      <c r="AI9158" t="s">
        <v>54956</v>
      </c>
    </row>
    <row r="9159" spans="2:35" ht="409.5">
      <c r="B9159" s="1">
        <v>44973</v>
      </c>
      <c r="C9159" s="4">
        <v>44973.713888888888</v>
      </c>
      <c r="D9159" t="s">
        <v>3139</v>
      </c>
      <c r="E9159" t="s">
        <v>3140</v>
      </c>
      <c r="F9159">
        <v>3</v>
      </c>
      <c r="G9159" t="s">
        <v>174</v>
      </c>
      <c r="H9159" t="s">
        <v>61</v>
      </c>
      <c r="I9159" t="s">
        <v>40</v>
      </c>
      <c r="J9159" t="s">
        <v>996</v>
      </c>
      <c r="K9159" t="s">
        <v>42</v>
      </c>
      <c r="L9159" t="s">
        <v>175</v>
      </c>
      <c r="Q9159">
        <v>23438</v>
      </c>
      <c r="R9159" t="s">
        <v>45</v>
      </c>
      <c r="S9159" t="s">
        <v>18595</v>
      </c>
      <c r="T9159">
        <v>25</v>
      </c>
      <c r="U9159" s="2" t="s">
        <v>54951</v>
      </c>
      <c r="W9159" t="s">
        <v>84</v>
      </c>
      <c r="X9159">
        <v>834623</v>
      </c>
      <c r="Y9159" t="s">
        <v>998</v>
      </c>
      <c r="Z9159" s="2" t="s">
        <v>54952</v>
      </c>
      <c r="AA9159" t="s">
        <v>999</v>
      </c>
      <c r="AB9159" t="s">
        <v>54953</v>
      </c>
      <c r="AG9159" t="s">
        <v>54957</v>
      </c>
      <c r="AH9159" t="s">
        <v>54955</v>
      </c>
      <c r="AI9159" t="s">
        <v>54958</v>
      </c>
    </row>
    <row r="9160" spans="2:35" ht="240">
      <c r="B9160" s="1">
        <v>44973</v>
      </c>
      <c r="C9160" s="4">
        <v>44973.67083333333</v>
      </c>
      <c r="D9160" t="s">
        <v>13723</v>
      </c>
      <c r="E9160" t="s">
        <v>12017</v>
      </c>
      <c r="F9160">
        <v>7</v>
      </c>
      <c r="G9160" t="s">
        <v>432</v>
      </c>
      <c r="H9160" t="s">
        <v>12018</v>
      </c>
      <c r="I9160" t="s">
        <v>40</v>
      </c>
      <c r="J9160" t="s">
        <v>109</v>
      </c>
      <c r="K9160" t="s">
        <v>387</v>
      </c>
      <c r="L9160" t="s">
        <v>1288</v>
      </c>
      <c r="Q9160">
        <v>23437</v>
      </c>
      <c r="R9160" t="s">
        <v>95</v>
      </c>
      <c r="S9160" t="s">
        <v>9919</v>
      </c>
      <c r="T9160">
        <v>20</v>
      </c>
      <c r="W9160" t="s">
        <v>390</v>
      </c>
      <c r="X9160" t="s">
        <v>3425</v>
      </c>
      <c r="Y9160" t="s">
        <v>1529</v>
      </c>
      <c r="Z9160" t="e">
        <f ca="1">-PERFORM EQUIPMENT Cleaning</f>
        <v>#NAME?</v>
      </c>
      <c r="AA9160" s="2" t="s">
        <v>54959</v>
      </c>
      <c r="AB9160" t="s">
        <v>1293</v>
      </c>
      <c r="AG9160" t="s">
        <v>54960</v>
      </c>
      <c r="AH9160" t="s">
        <v>54961</v>
      </c>
      <c r="AI9160" t="s">
        <v>54962</v>
      </c>
    </row>
    <row r="9161" spans="2:35">
      <c r="B9161" s="1">
        <v>44973</v>
      </c>
      <c r="C9161" s="4">
        <v>44973.659722222219</v>
      </c>
      <c r="D9161" t="s">
        <v>13723</v>
      </c>
      <c r="E9161" t="s">
        <v>12017</v>
      </c>
      <c r="F9161">
        <v>7</v>
      </c>
      <c r="G9161" t="s">
        <v>432</v>
      </c>
      <c r="H9161" t="s">
        <v>12018</v>
      </c>
      <c r="I9161" t="s">
        <v>40</v>
      </c>
      <c r="J9161" t="s">
        <v>109</v>
      </c>
      <c r="K9161" t="s">
        <v>387</v>
      </c>
      <c r="L9161" t="s">
        <v>1288</v>
      </c>
      <c r="Q9161">
        <v>23436</v>
      </c>
      <c r="R9161" t="s">
        <v>95</v>
      </c>
      <c r="S9161" t="s">
        <v>9919</v>
      </c>
      <c r="T9161">
        <v>20</v>
      </c>
      <c r="W9161" t="s">
        <v>390</v>
      </c>
      <c r="X9161" t="s">
        <v>10711</v>
      </c>
      <c r="Y9161" t="s">
        <v>1529</v>
      </c>
      <c r="Z9161" t="e">
        <f ca="1">-PERFORM EQUIPMENT Cleaning</f>
        <v>#NAME?</v>
      </c>
      <c r="AA9161" t="e">
        <f ca="1">-Check _xludf.and Inspect rotor roller rubber
-Inspect centrifuge assembly _xludf.and SPILL DETECTOR, passed</f>
        <v>#NAME?</v>
      </c>
      <c r="AB9161" t="s">
        <v>1293</v>
      </c>
      <c r="AG9161" t="s">
        <v>54963</v>
      </c>
      <c r="AH9161" t="s">
        <v>54961</v>
      </c>
      <c r="AI9161" t="s">
        <v>54964</v>
      </c>
    </row>
    <row r="9162" spans="2:35" ht="409.5">
      <c r="B9162" s="1">
        <v>44973</v>
      </c>
      <c r="C9162" s="4">
        <v>44973.617361111108</v>
      </c>
      <c r="D9162" t="s">
        <v>37565</v>
      </c>
      <c r="E9162" t="s">
        <v>34324</v>
      </c>
      <c r="F9162">
        <v>13</v>
      </c>
      <c r="G9162" t="s">
        <v>931</v>
      </c>
      <c r="H9162" t="s">
        <v>2125</v>
      </c>
      <c r="I9162" t="s">
        <v>40</v>
      </c>
      <c r="J9162" t="s">
        <v>79</v>
      </c>
      <c r="K9162" t="s">
        <v>42</v>
      </c>
      <c r="L9162" t="s">
        <v>933</v>
      </c>
      <c r="Q9162">
        <v>23435</v>
      </c>
      <c r="R9162" t="s">
        <v>45</v>
      </c>
      <c r="S9162" t="s">
        <v>25518</v>
      </c>
      <c r="T9162">
        <v>26.1</v>
      </c>
      <c r="U9162" s="2" t="s">
        <v>54965</v>
      </c>
      <c r="W9162" t="s">
        <v>3662</v>
      </c>
      <c r="X9162">
        <v>807602</v>
      </c>
      <c r="Y9162" t="s">
        <v>54966</v>
      </c>
      <c r="Z9162" t="s">
        <v>54967</v>
      </c>
      <c r="AA9162" s="2" t="s">
        <v>54968</v>
      </c>
      <c r="AB9162" t="s">
        <v>54969</v>
      </c>
      <c r="AC9162" t="s">
        <v>54970</v>
      </c>
      <c r="AG9162" t="s">
        <v>54971</v>
      </c>
      <c r="AH9162" t="s">
        <v>52242</v>
      </c>
      <c r="AI9162" t="s">
        <v>54972</v>
      </c>
    </row>
    <row r="9163" spans="2:35" ht="240">
      <c r="B9163" s="1">
        <v>44973</v>
      </c>
      <c r="C9163" s="4">
        <v>44973.604166666664</v>
      </c>
      <c r="D9163" t="s">
        <v>8357</v>
      </c>
      <c r="E9163" t="s">
        <v>48242</v>
      </c>
      <c r="F9163">
        <v>10</v>
      </c>
      <c r="G9163" t="s">
        <v>8359</v>
      </c>
      <c r="H9163" t="s">
        <v>1047</v>
      </c>
      <c r="I9163" t="s">
        <v>40</v>
      </c>
      <c r="J9163" t="s">
        <v>109</v>
      </c>
      <c r="K9163" t="s">
        <v>42</v>
      </c>
      <c r="L9163" t="s">
        <v>43100</v>
      </c>
      <c r="Q9163">
        <v>23434</v>
      </c>
      <c r="R9163" t="s">
        <v>119</v>
      </c>
      <c r="S9163" t="s">
        <v>54973</v>
      </c>
      <c r="T9163">
        <v>25</v>
      </c>
      <c r="U9163" s="2" t="s">
        <v>54974</v>
      </c>
      <c r="W9163" t="s">
        <v>43102</v>
      </c>
      <c r="X9163">
        <v>838566</v>
      </c>
      <c r="Y9163" t="s">
        <v>301</v>
      </c>
      <c r="Z9163" s="2" t="s">
        <v>54975</v>
      </c>
      <c r="AA9163" t="s">
        <v>4315</v>
      </c>
      <c r="AB9163" t="s">
        <v>486</v>
      </c>
      <c r="AG9163" t="s">
        <v>54976</v>
      </c>
      <c r="AH9163" t="s">
        <v>54977</v>
      </c>
      <c r="AI9163" t="s">
        <v>54978</v>
      </c>
    </row>
    <row r="9164" spans="2:35" ht="105">
      <c r="B9164" s="1">
        <v>44973</v>
      </c>
      <c r="C9164" s="4">
        <v>44973.539583333331</v>
      </c>
      <c r="D9164" t="s">
        <v>54979</v>
      </c>
      <c r="E9164" t="s">
        <v>54980</v>
      </c>
      <c r="F9164">
        <v>7</v>
      </c>
      <c r="G9164" t="s">
        <v>432</v>
      </c>
      <c r="H9164" t="s">
        <v>39</v>
      </c>
      <c r="I9164" t="s">
        <v>94</v>
      </c>
      <c r="J9164" t="s">
        <v>996</v>
      </c>
      <c r="K9164" t="s">
        <v>42</v>
      </c>
      <c r="L9164" t="s">
        <v>594</v>
      </c>
      <c r="Q9164">
        <v>23433</v>
      </c>
      <c r="R9164" t="s">
        <v>45</v>
      </c>
      <c r="S9164" t="s">
        <v>37281</v>
      </c>
      <c r="T9164">
        <v>24</v>
      </c>
      <c r="U9164" s="2" t="s">
        <v>30615</v>
      </c>
      <c r="V9164" s="1">
        <v>44973</v>
      </c>
      <c r="W9164" t="s">
        <v>360</v>
      </c>
      <c r="X9164">
        <v>838892</v>
      </c>
      <c r="Y9164" t="s">
        <v>2060</v>
      </c>
      <c r="Z9164" t="s">
        <v>31912</v>
      </c>
      <c r="AA9164" t="s">
        <v>31912</v>
      </c>
      <c r="AB9164" t="s">
        <v>54981</v>
      </c>
      <c r="AG9164" t="s">
        <v>54982</v>
      </c>
      <c r="AH9164" t="s">
        <v>54983</v>
      </c>
      <c r="AI9164" t="s">
        <v>54984</v>
      </c>
    </row>
    <row r="9165" spans="2:35" ht="180">
      <c r="B9165" s="1">
        <v>44973</v>
      </c>
      <c r="C9165" s="4">
        <v>44973.575694444444</v>
      </c>
      <c r="D9165" t="s">
        <v>8654</v>
      </c>
      <c r="E9165" t="s">
        <v>8655</v>
      </c>
      <c r="F9165">
        <v>8</v>
      </c>
      <c r="G9165" t="s">
        <v>257</v>
      </c>
      <c r="H9165" t="s">
        <v>202</v>
      </c>
      <c r="I9165" t="s">
        <v>40</v>
      </c>
      <c r="J9165" t="s">
        <v>109</v>
      </c>
      <c r="K9165" t="s">
        <v>42</v>
      </c>
      <c r="L9165" t="s">
        <v>259</v>
      </c>
      <c r="Q9165">
        <v>23432</v>
      </c>
      <c r="R9165" t="s">
        <v>119</v>
      </c>
      <c r="S9165" t="s">
        <v>8656</v>
      </c>
      <c r="T9165">
        <v>25</v>
      </c>
      <c r="U9165" s="2" t="s">
        <v>54985</v>
      </c>
      <c r="W9165" t="s">
        <v>84</v>
      </c>
      <c r="X9165">
        <v>838409</v>
      </c>
      <c r="Y9165" t="s">
        <v>52727</v>
      </c>
      <c r="Z9165" t="e">
        <f ca="1">-performed Preventive Maintenance
-cleaned FAN _xludf.filter
- Back up _xludf.files
- Generate reports</f>
        <v>#NAME?</v>
      </c>
      <c r="AA9165" t="s">
        <v>4315</v>
      </c>
      <c r="AB9165" t="s">
        <v>70</v>
      </c>
      <c r="AG9165" t="s">
        <v>54986</v>
      </c>
      <c r="AH9165" t="s">
        <v>54987</v>
      </c>
      <c r="AI9165" t="s">
        <v>54988</v>
      </c>
    </row>
    <row r="9166" spans="2:35" ht="210">
      <c r="B9166" s="1">
        <v>44973</v>
      </c>
      <c r="C9166" s="4">
        <v>44973.479166666664</v>
      </c>
      <c r="D9166" t="s">
        <v>54989</v>
      </c>
      <c r="E9166" t="s">
        <v>42499</v>
      </c>
      <c r="F9166">
        <v>2</v>
      </c>
      <c r="G9166" t="s">
        <v>2668</v>
      </c>
      <c r="H9166" t="s">
        <v>39</v>
      </c>
      <c r="I9166" t="s">
        <v>40</v>
      </c>
      <c r="J9166" s="2" t="s">
        <v>190</v>
      </c>
      <c r="K9166" t="s">
        <v>42</v>
      </c>
      <c r="L9166" t="s">
        <v>63</v>
      </c>
      <c r="Q9166">
        <v>23431</v>
      </c>
      <c r="R9166" t="s">
        <v>45</v>
      </c>
      <c r="S9166" t="s">
        <v>42500</v>
      </c>
      <c r="T9166">
        <v>29</v>
      </c>
      <c r="U9166" s="2" t="s">
        <v>54990</v>
      </c>
      <c r="V9166" s="1">
        <v>44973</v>
      </c>
      <c r="W9166" t="s">
        <v>26915</v>
      </c>
      <c r="X9166">
        <v>834686</v>
      </c>
      <c r="Y9166" t="s">
        <v>41597</v>
      </c>
      <c r="Z9166" t="s">
        <v>54991</v>
      </c>
      <c r="AA9166" s="2" t="s">
        <v>54992</v>
      </c>
      <c r="AB9166" t="s">
        <v>70</v>
      </c>
      <c r="AC9166" t="s">
        <v>1716</v>
      </c>
      <c r="AD9166" t="s">
        <v>1716</v>
      </c>
      <c r="AE9166" t="s">
        <v>1716</v>
      </c>
      <c r="AG9166" t="s">
        <v>54993</v>
      </c>
      <c r="AH9166" t="s">
        <v>54994</v>
      </c>
      <c r="AI9166" t="s">
        <v>54995</v>
      </c>
    </row>
    <row r="9167" spans="2:35" ht="240">
      <c r="B9167" s="1">
        <v>44973</v>
      </c>
      <c r="C9167" s="4">
        <v>44972.609027777777</v>
      </c>
      <c r="D9167" t="s">
        <v>54996</v>
      </c>
      <c r="E9167" t="s">
        <v>2667</v>
      </c>
      <c r="F9167">
        <v>2</v>
      </c>
      <c r="G9167" t="s">
        <v>2668</v>
      </c>
      <c r="H9167" t="s">
        <v>39</v>
      </c>
      <c r="I9167" t="s">
        <v>40</v>
      </c>
      <c r="J9167" s="2" t="s">
        <v>41</v>
      </c>
      <c r="K9167" t="s">
        <v>42</v>
      </c>
      <c r="L9167" t="s">
        <v>63</v>
      </c>
      <c r="Q9167">
        <v>23430</v>
      </c>
      <c r="R9167" t="s">
        <v>45</v>
      </c>
      <c r="S9167" t="s">
        <v>2669</v>
      </c>
      <c r="T9167">
        <v>29</v>
      </c>
      <c r="U9167" s="2" t="s">
        <v>54997</v>
      </c>
      <c r="V9167" s="1">
        <v>44972</v>
      </c>
      <c r="W9167" t="s">
        <v>26915</v>
      </c>
      <c r="X9167">
        <v>808635</v>
      </c>
      <c r="Y9167" t="s">
        <v>1716</v>
      </c>
      <c r="Z9167" t="s">
        <v>1716</v>
      </c>
      <c r="AA9167" s="2" t="s">
        <v>39935</v>
      </c>
      <c r="AB9167" t="s">
        <v>70</v>
      </c>
      <c r="AC9167" t="s">
        <v>54998</v>
      </c>
      <c r="AD9167" t="s">
        <v>54999</v>
      </c>
      <c r="AE9167" t="s">
        <v>1716</v>
      </c>
      <c r="AG9167" t="s">
        <v>55000</v>
      </c>
      <c r="AH9167" t="s">
        <v>55001</v>
      </c>
      <c r="AI9167" t="s">
        <v>55002</v>
      </c>
    </row>
    <row r="9168" spans="2:35" ht="240">
      <c r="B9168" s="1">
        <v>44973</v>
      </c>
      <c r="C9168" s="4">
        <v>44972.609027777777</v>
      </c>
      <c r="D9168" t="s">
        <v>54996</v>
      </c>
      <c r="E9168" t="s">
        <v>2667</v>
      </c>
      <c r="F9168">
        <v>2</v>
      </c>
      <c r="G9168" t="s">
        <v>2668</v>
      </c>
      <c r="H9168" t="s">
        <v>39</v>
      </c>
      <c r="I9168" t="s">
        <v>40</v>
      </c>
      <c r="J9168" s="2" t="s">
        <v>41</v>
      </c>
      <c r="K9168" t="s">
        <v>42</v>
      </c>
      <c r="L9168" t="s">
        <v>63</v>
      </c>
      <c r="Q9168">
        <v>23429</v>
      </c>
      <c r="R9168" t="s">
        <v>45</v>
      </c>
      <c r="S9168" t="s">
        <v>2669</v>
      </c>
      <c r="T9168">
        <v>29</v>
      </c>
      <c r="U9168" s="2" t="s">
        <v>54997</v>
      </c>
      <c r="V9168" s="1">
        <v>44972</v>
      </c>
      <c r="W9168" t="s">
        <v>26915</v>
      </c>
      <c r="X9168">
        <v>808635</v>
      </c>
      <c r="Y9168" t="s">
        <v>1716</v>
      </c>
      <c r="Z9168" t="s">
        <v>1716</v>
      </c>
      <c r="AA9168" s="2" t="s">
        <v>39935</v>
      </c>
      <c r="AB9168" t="s">
        <v>70</v>
      </c>
      <c r="AC9168" t="s">
        <v>54998</v>
      </c>
      <c r="AD9168" t="s">
        <v>54999</v>
      </c>
      <c r="AE9168" t="s">
        <v>1716</v>
      </c>
      <c r="AG9168" t="s">
        <v>55003</v>
      </c>
      <c r="AH9168" t="s">
        <v>55001</v>
      </c>
      <c r="AI9168" t="s">
        <v>55004</v>
      </c>
    </row>
    <row r="9169" spans="2:35" ht="180">
      <c r="B9169" s="1">
        <v>44973</v>
      </c>
      <c r="C9169" s="4">
        <v>44973.443749999999</v>
      </c>
      <c r="D9169" t="s">
        <v>25369</v>
      </c>
      <c r="E9169" t="s">
        <v>55005</v>
      </c>
      <c r="F9169">
        <v>6</v>
      </c>
      <c r="G9169" t="s">
        <v>1234</v>
      </c>
      <c r="H9169" t="s">
        <v>1047</v>
      </c>
      <c r="I9169" t="s">
        <v>94</v>
      </c>
      <c r="J9169" t="s">
        <v>996</v>
      </c>
      <c r="K9169" t="s">
        <v>42</v>
      </c>
      <c r="L9169" t="s">
        <v>23958</v>
      </c>
      <c r="Q9169">
        <v>23428</v>
      </c>
      <c r="R9169" t="s">
        <v>45</v>
      </c>
      <c r="S9169" t="s">
        <v>25372</v>
      </c>
      <c r="T9169">
        <v>23</v>
      </c>
      <c r="U9169" s="2" t="s">
        <v>55006</v>
      </c>
      <c r="W9169" t="s">
        <v>360</v>
      </c>
      <c r="X9169">
        <v>838141</v>
      </c>
      <c r="Y9169" t="s">
        <v>301</v>
      </c>
      <c r="Z9169" t="s">
        <v>55007</v>
      </c>
      <c r="AA9169" t="s">
        <v>55008</v>
      </c>
      <c r="AB9169" t="s">
        <v>55009</v>
      </c>
      <c r="AG9169" t="s">
        <v>55010</v>
      </c>
      <c r="AH9169" t="s">
        <v>55011</v>
      </c>
      <c r="AI9169" t="s">
        <v>55012</v>
      </c>
    </row>
    <row r="9170" spans="2:35" ht="285">
      <c r="B9170" s="1">
        <v>44973</v>
      </c>
      <c r="C9170" s="4">
        <v>44973.404861111114</v>
      </c>
      <c r="D9170" t="s">
        <v>24830</v>
      </c>
      <c r="E9170" t="s">
        <v>24831</v>
      </c>
      <c r="F9170" t="s">
        <v>37</v>
      </c>
      <c r="G9170" t="s">
        <v>78</v>
      </c>
      <c r="H9170" t="s">
        <v>39</v>
      </c>
      <c r="I9170" t="s">
        <v>40</v>
      </c>
      <c r="J9170" s="2" t="s">
        <v>17874</v>
      </c>
      <c r="K9170" t="s">
        <v>42</v>
      </c>
      <c r="L9170" t="s">
        <v>1943</v>
      </c>
      <c r="Q9170">
        <v>23427</v>
      </c>
      <c r="R9170" t="s">
        <v>322</v>
      </c>
      <c r="S9170" t="s">
        <v>30685</v>
      </c>
      <c r="T9170">
        <v>28</v>
      </c>
      <c r="U9170" s="2" t="s">
        <v>29810</v>
      </c>
      <c r="V9170" s="1">
        <v>44970</v>
      </c>
      <c r="W9170" t="s">
        <v>84</v>
      </c>
      <c r="X9170">
        <v>812780</v>
      </c>
      <c r="Y9170" s="2" t="s">
        <v>55013</v>
      </c>
      <c r="Z9170" s="2" t="s">
        <v>55014</v>
      </c>
      <c r="AA9170" t="s">
        <v>55015</v>
      </c>
      <c r="AB9170" t="s">
        <v>55016</v>
      </c>
      <c r="AD9170" t="s">
        <v>55017</v>
      </c>
      <c r="AE9170" t="s">
        <v>55018</v>
      </c>
      <c r="AG9170" t="s">
        <v>55019</v>
      </c>
      <c r="AH9170" t="s">
        <v>32189</v>
      </c>
      <c r="AI9170" t="s">
        <v>55020</v>
      </c>
    </row>
    <row r="9171" spans="2:35" ht="285">
      <c r="B9171" s="1">
        <v>44973</v>
      </c>
      <c r="C9171" s="4">
        <v>44973.404861111114</v>
      </c>
      <c r="D9171" t="s">
        <v>24830</v>
      </c>
      <c r="E9171" t="s">
        <v>24831</v>
      </c>
      <c r="F9171" t="s">
        <v>37</v>
      </c>
      <c r="G9171" t="s">
        <v>78</v>
      </c>
      <c r="H9171" t="s">
        <v>39</v>
      </c>
      <c r="I9171" t="s">
        <v>40</v>
      </c>
      <c r="J9171" s="2" t="s">
        <v>17874</v>
      </c>
      <c r="K9171" t="s">
        <v>42</v>
      </c>
      <c r="L9171" t="s">
        <v>1943</v>
      </c>
      <c r="Q9171">
        <v>23426</v>
      </c>
      <c r="R9171" t="s">
        <v>322</v>
      </c>
      <c r="S9171" t="s">
        <v>30685</v>
      </c>
      <c r="T9171">
        <v>28</v>
      </c>
      <c r="U9171" s="2" t="s">
        <v>29810</v>
      </c>
      <c r="V9171" s="1">
        <v>44970</v>
      </c>
      <c r="W9171" t="s">
        <v>84</v>
      </c>
      <c r="X9171">
        <v>812780</v>
      </c>
      <c r="Y9171" s="2" t="s">
        <v>55013</v>
      </c>
      <c r="Z9171" s="2" t="s">
        <v>55014</v>
      </c>
      <c r="AA9171" t="s">
        <v>55015</v>
      </c>
      <c r="AB9171" t="s">
        <v>55016</v>
      </c>
      <c r="AD9171" t="s">
        <v>55017</v>
      </c>
      <c r="AE9171" t="s">
        <v>55018</v>
      </c>
      <c r="AG9171" t="s">
        <v>55021</v>
      </c>
      <c r="AH9171" t="s">
        <v>32189</v>
      </c>
      <c r="AI9171" t="s">
        <v>55022</v>
      </c>
    </row>
    <row r="9172" spans="2:35" ht="409.5">
      <c r="B9172" s="1">
        <v>44973</v>
      </c>
      <c r="C9172" s="4">
        <v>44972.593055555553</v>
      </c>
      <c r="D9172" t="s">
        <v>23635</v>
      </c>
      <c r="E9172" t="s">
        <v>27716</v>
      </c>
      <c r="F9172" t="s">
        <v>148</v>
      </c>
      <c r="G9172" t="s">
        <v>310</v>
      </c>
      <c r="H9172" t="s">
        <v>34954</v>
      </c>
      <c r="I9172" t="s">
        <v>40</v>
      </c>
      <c r="J9172" s="2" t="s">
        <v>355</v>
      </c>
      <c r="K9172" t="s">
        <v>42</v>
      </c>
      <c r="L9172" t="s">
        <v>1943</v>
      </c>
      <c r="Q9172">
        <v>23423</v>
      </c>
      <c r="R9172" t="s">
        <v>45</v>
      </c>
      <c r="S9172" t="s">
        <v>23136</v>
      </c>
      <c r="T9172">
        <v>25</v>
      </c>
      <c r="U9172" s="2" t="s">
        <v>55023</v>
      </c>
      <c r="W9172" t="s">
        <v>895</v>
      </c>
      <c r="X9172">
        <v>844121</v>
      </c>
      <c r="Y9172" s="2" t="s">
        <v>55024</v>
      </c>
      <c r="Z9172" s="2" t="s">
        <v>55025</v>
      </c>
      <c r="AA9172" t="s">
        <v>9818</v>
      </c>
      <c r="AB9172" t="s">
        <v>6032</v>
      </c>
      <c r="AG9172" t="s">
        <v>55026</v>
      </c>
      <c r="AH9172" t="s">
        <v>54508</v>
      </c>
      <c r="AI9172" t="s">
        <v>55027</v>
      </c>
    </row>
    <row r="9173" spans="2:35" ht="240">
      <c r="B9173" s="1">
        <v>44973</v>
      </c>
      <c r="C9173" s="4">
        <v>44972.915972222225</v>
      </c>
      <c r="D9173" t="s">
        <v>5207</v>
      </c>
      <c r="E9173" t="s">
        <v>5208</v>
      </c>
      <c r="F9173" t="s">
        <v>148</v>
      </c>
      <c r="G9173" t="s">
        <v>310</v>
      </c>
      <c r="H9173" t="s">
        <v>39</v>
      </c>
      <c r="I9173" t="s">
        <v>40</v>
      </c>
      <c r="J9173" t="s">
        <v>109</v>
      </c>
      <c r="K9173" t="s">
        <v>42</v>
      </c>
      <c r="L9173" t="s">
        <v>1943</v>
      </c>
      <c r="Q9173">
        <v>23425</v>
      </c>
      <c r="R9173" t="s">
        <v>322</v>
      </c>
      <c r="S9173" t="s">
        <v>28130</v>
      </c>
      <c r="T9173">
        <v>25</v>
      </c>
      <c r="U9173" s="2" t="s">
        <v>55028</v>
      </c>
      <c r="W9173" t="s">
        <v>12775</v>
      </c>
      <c r="X9173">
        <v>110001650</v>
      </c>
      <c r="Y9173" s="2" t="s">
        <v>55029</v>
      </c>
      <c r="Z9173" s="2" t="s">
        <v>55030</v>
      </c>
      <c r="AA9173" t="s">
        <v>2100</v>
      </c>
      <c r="AB9173" t="s">
        <v>55031</v>
      </c>
      <c r="AG9173" t="s">
        <v>55032</v>
      </c>
      <c r="AH9173" t="s">
        <v>28132</v>
      </c>
      <c r="AI9173" t="s">
        <v>55033</v>
      </c>
    </row>
    <row r="9174" spans="2:35" ht="135">
      <c r="B9174" s="1">
        <v>44973</v>
      </c>
      <c r="C9174" s="4">
        <v>44971.571527777778</v>
      </c>
      <c r="D9174" t="s">
        <v>14718</v>
      </c>
      <c r="E9174" t="s">
        <v>3713</v>
      </c>
      <c r="F9174" t="s">
        <v>148</v>
      </c>
      <c r="G9174" t="s">
        <v>310</v>
      </c>
      <c r="H9174" t="s">
        <v>34954</v>
      </c>
      <c r="I9174" t="s">
        <v>40</v>
      </c>
      <c r="J9174" t="s">
        <v>109</v>
      </c>
      <c r="K9174" t="s">
        <v>42</v>
      </c>
      <c r="L9174" t="s">
        <v>1943</v>
      </c>
      <c r="Q9174">
        <v>23424</v>
      </c>
      <c r="R9174" t="s">
        <v>322</v>
      </c>
      <c r="S9174" t="s">
        <v>14719</v>
      </c>
      <c r="T9174">
        <v>25</v>
      </c>
      <c r="U9174" s="2" t="s">
        <v>55034</v>
      </c>
      <c r="W9174" t="s">
        <v>895</v>
      </c>
      <c r="X9174">
        <v>844418</v>
      </c>
      <c r="Y9174" t="s">
        <v>18216</v>
      </c>
      <c r="Z9174" s="2" t="s">
        <v>47899</v>
      </c>
      <c r="AA9174" t="s">
        <v>1548</v>
      </c>
      <c r="AB9174" t="s">
        <v>88</v>
      </c>
      <c r="AG9174" t="s">
        <v>55035</v>
      </c>
      <c r="AH9174" t="s">
        <v>27282</v>
      </c>
      <c r="AI9174" t="s">
        <v>55036</v>
      </c>
    </row>
    <row r="9175" spans="2:35" ht="255">
      <c r="B9175" s="1">
        <v>44973</v>
      </c>
      <c r="C9175" s="4">
        <v>44971.415972222225</v>
      </c>
      <c r="D9175" t="s">
        <v>23635</v>
      </c>
      <c r="E9175" t="s">
        <v>33278</v>
      </c>
      <c r="F9175" t="s">
        <v>148</v>
      </c>
      <c r="G9175" t="s">
        <v>310</v>
      </c>
      <c r="H9175" t="s">
        <v>39</v>
      </c>
      <c r="I9175" t="s">
        <v>40</v>
      </c>
      <c r="J9175" t="s">
        <v>109</v>
      </c>
      <c r="K9175" t="s">
        <v>42</v>
      </c>
      <c r="L9175" t="s">
        <v>1943</v>
      </c>
      <c r="Q9175">
        <v>23423</v>
      </c>
      <c r="R9175" t="s">
        <v>119</v>
      </c>
      <c r="S9175" t="s">
        <v>47898</v>
      </c>
      <c r="T9175">
        <v>25</v>
      </c>
      <c r="U9175" s="2" t="s">
        <v>55037</v>
      </c>
      <c r="W9175" t="s">
        <v>84</v>
      </c>
      <c r="X9175">
        <v>831620</v>
      </c>
      <c r="Y9175" t="s">
        <v>2099</v>
      </c>
      <c r="Z9175" t="s">
        <v>55038</v>
      </c>
      <c r="AA9175" t="s">
        <v>2100</v>
      </c>
      <c r="AB9175" t="s">
        <v>55039</v>
      </c>
      <c r="AG9175" t="s">
        <v>55040</v>
      </c>
      <c r="AH9175" t="s">
        <v>32712</v>
      </c>
      <c r="AI9175" t="s">
        <v>55041</v>
      </c>
    </row>
    <row r="9176" spans="2:35" ht="210">
      <c r="B9176" s="1">
        <v>44972</v>
      </c>
      <c r="C9176" s="4">
        <v>44972.849305555559</v>
      </c>
      <c r="D9176" t="s">
        <v>10158</v>
      </c>
      <c r="E9176" t="s">
        <v>4655</v>
      </c>
      <c r="F9176">
        <v>10</v>
      </c>
      <c r="G9176" t="s">
        <v>1395</v>
      </c>
      <c r="H9176" t="s">
        <v>1047</v>
      </c>
      <c r="I9176" t="s">
        <v>40</v>
      </c>
      <c r="J9176" s="2" t="s">
        <v>190</v>
      </c>
      <c r="K9176" t="s">
        <v>42</v>
      </c>
      <c r="L9176" t="s">
        <v>43100</v>
      </c>
      <c r="Q9176">
        <v>23422</v>
      </c>
      <c r="R9176" t="s">
        <v>119</v>
      </c>
      <c r="S9176" t="s">
        <v>10159</v>
      </c>
      <c r="T9176">
        <v>26</v>
      </c>
      <c r="U9176" s="2" t="s">
        <v>55042</v>
      </c>
      <c r="W9176" t="s">
        <v>43102</v>
      </c>
      <c r="X9176">
        <v>838441</v>
      </c>
      <c r="Y9176" s="2" t="s">
        <v>55043</v>
      </c>
      <c r="Z9176" s="2" t="s">
        <v>55044</v>
      </c>
      <c r="AA9176" t="s">
        <v>55045</v>
      </c>
      <c r="AB9176" t="s">
        <v>486</v>
      </c>
      <c r="AG9176" t="s">
        <v>55046</v>
      </c>
      <c r="AH9176" t="s">
        <v>55047</v>
      </c>
      <c r="AI9176" t="s">
        <v>55048</v>
      </c>
    </row>
    <row r="9177" spans="2:35" ht="360">
      <c r="B9177" s="1">
        <v>44972</v>
      </c>
      <c r="C9177" s="4">
        <v>44972.594444444447</v>
      </c>
      <c r="D9177" t="s">
        <v>52128</v>
      </c>
      <c r="E9177" t="s">
        <v>55049</v>
      </c>
      <c r="F9177">
        <v>11</v>
      </c>
      <c r="G9177" t="s">
        <v>1205</v>
      </c>
      <c r="H9177" t="s">
        <v>1047</v>
      </c>
      <c r="I9177" t="s">
        <v>40</v>
      </c>
      <c r="J9177" s="2" t="s">
        <v>1444</v>
      </c>
      <c r="K9177" t="s">
        <v>42</v>
      </c>
      <c r="L9177" t="s">
        <v>204</v>
      </c>
      <c r="Q9177">
        <v>23421</v>
      </c>
      <c r="R9177" t="s">
        <v>45</v>
      </c>
      <c r="S9177" t="s">
        <v>52130</v>
      </c>
      <c r="T9177">
        <v>28.9</v>
      </c>
      <c r="U9177" s="2" t="s">
        <v>55050</v>
      </c>
      <c r="V9177" s="1">
        <v>44972</v>
      </c>
      <c r="W9177" t="s">
        <v>1292</v>
      </c>
      <c r="X9177">
        <v>815392</v>
      </c>
      <c r="Y9177" s="2" t="s">
        <v>55051</v>
      </c>
      <c r="Z9177" s="2" t="s">
        <v>55052</v>
      </c>
      <c r="AA9177" t="s">
        <v>55053</v>
      </c>
      <c r="AB9177" s="2" t="s">
        <v>55054</v>
      </c>
      <c r="AC9177" t="s">
        <v>55055</v>
      </c>
      <c r="AD9177" t="s">
        <v>18451</v>
      </c>
      <c r="AE9177" t="s">
        <v>54</v>
      </c>
      <c r="AG9177" t="s">
        <v>55056</v>
      </c>
      <c r="AH9177" t="s">
        <v>55057</v>
      </c>
      <c r="AI9177" t="s">
        <v>55058</v>
      </c>
    </row>
    <row r="9178" spans="2:35" ht="360">
      <c r="B9178" s="1">
        <v>44972</v>
      </c>
      <c r="C9178" s="4">
        <v>44972.594444444447</v>
      </c>
      <c r="D9178" t="s">
        <v>52128</v>
      </c>
      <c r="E9178" t="s">
        <v>55049</v>
      </c>
      <c r="F9178">
        <v>11</v>
      </c>
      <c r="G9178" t="s">
        <v>1205</v>
      </c>
      <c r="H9178" t="s">
        <v>1047</v>
      </c>
      <c r="I9178" t="s">
        <v>40</v>
      </c>
      <c r="J9178" s="2" t="s">
        <v>1444</v>
      </c>
      <c r="K9178" t="s">
        <v>42</v>
      </c>
      <c r="L9178" t="s">
        <v>204</v>
      </c>
      <c r="Q9178">
        <v>23420</v>
      </c>
      <c r="R9178" t="s">
        <v>45</v>
      </c>
      <c r="S9178" t="s">
        <v>52130</v>
      </c>
      <c r="T9178">
        <v>28.9</v>
      </c>
      <c r="U9178" s="2" t="s">
        <v>55050</v>
      </c>
      <c r="V9178" s="1">
        <v>44972</v>
      </c>
      <c r="W9178" t="s">
        <v>1292</v>
      </c>
      <c r="X9178">
        <v>815392</v>
      </c>
      <c r="Y9178" s="2" t="s">
        <v>55051</v>
      </c>
      <c r="Z9178" s="2" t="s">
        <v>55052</v>
      </c>
      <c r="AA9178" t="s">
        <v>55053</v>
      </c>
      <c r="AB9178" s="2" t="s">
        <v>55054</v>
      </c>
      <c r="AC9178" t="s">
        <v>55055</v>
      </c>
      <c r="AD9178" t="s">
        <v>18451</v>
      </c>
      <c r="AE9178" t="s">
        <v>54</v>
      </c>
      <c r="AG9178" t="s">
        <v>55059</v>
      </c>
      <c r="AH9178" t="s">
        <v>55057</v>
      </c>
      <c r="AI9178" t="s">
        <v>55060</v>
      </c>
    </row>
    <row r="9179" spans="2:35" ht="315">
      <c r="B9179" s="1">
        <v>44972</v>
      </c>
      <c r="C9179" s="4">
        <v>44972.606944444444</v>
      </c>
      <c r="D9179" t="s">
        <v>55061</v>
      </c>
      <c r="E9179" t="s">
        <v>55062</v>
      </c>
      <c r="F9179" t="s">
        <v>511</v>
      </c>
      <c r="G9179" t="s">
        <v>20778</v>
      </c>
      <c r="H9179" t="s">
        <v>39</v>
      </c>
      <c r="I9179" t="s">
        <v>40</v>
      </c>
      <c r="J9179" s="2" t="s">
        <v>41</v>
      </c>
      <c r="K9179" t="s">
        <v>42</v>
      </c>
      <c r="L9179" t="s">
        <v>135</v>
      </c>
      <c r="Q9179">
        <v>23419</v>
      </c>
      <c r="R9179" t="s">
        <v>45</v>
      </c>
      <c r="S9179" t="s">
        <v>29919</v>
      </c>
      <c r="T9179">
        <v>25.7</v>
      </c>
      <c r="U9179" s="2" t="s">
        <v>55063</v>
      </c>
      <c r="V9179" s="1">
        <v>44953</v>
      </c>
      <c r="W9179" t="s">
        <v>2680</v>
      </c>
      <c r="X9179">
        <v>807609</v>
      </c>
      <c r="Y9179" s="2" t="s">
        <v>55064</v>
      </c>
      <c r="Z9179" t="s">
        <v>55065</v>
      </c>
      <c r="AA9179" s="2" t="s">
        <v>55066</v>
      </c>
      <c r="AB9179" t="s">
        <v>55067</v>
      </c>
      <c r="AC9179" t="s">
        <v>55068</v>
      </c>
      <c r="AD9179" t="s">
        <v>4669</v>
      </c>
      <c r="AE9179">
        <v>38603</v>
      </c>
      <c r="AG9179" t="s">
        <v>55069</v>
      </c>
      <c r="AH9179" t="s">
        <v>55070</v>
      </c>
      <c r="AI9179" t="s">
        <v>55071</v>
      </c>
    </row>
    <row r="9180" spans="2:35" ht="360">
      <c r="B9180" s="1">
        <v>44972</v>
      </c>
      <c r="C9180" s="4">
        <v>44972.464583333334</v>
      </c>
      <c r="D9180" t="s">
        <v>2773</v>
      </c>
      <c r="E9180" t="s">
        <v>2774</v>
      </c>
      <c r="F9180">
        <v>2</v>
      </c>
      <c r="G9180" t="s">
        <v>2723</v>
      </c>
      <c r="H9180" t="s">
        <v>39</v>
      </c>
      <c r="I9180" t="s">
        <v>40</v>
      </c>
      <c r="J9180" s="2" t="s">
        <v>55072</v>
      </c>
      <c r="K9180" t="s">
        <v>42</v>
      </c>
      <c r="L9180" t="s">
        <v>63</v>
      </c>
      <c r="Q9180">
        <v>23416</v>
      </c>
      <c r="R9180" t="s">
        <v>119</v>
      </c>
      <c r="S9180" t="s">
        <v>29793</v>
      </c>
      <c r="T9180">
        <v>29</v>
      </c>
      <c r="U9180" s="2" t="s">
        <v>55073</v>
      </c>
      <c r="V9180" s="1">
        <v>44972</v>
      </c>
      <c r="W9180" t="s">
        <v>26915</v>
      </c>
      <c r="X9180">
        <v>831718</v>
      </c>
      <c r="Y9180" t="s">
        <v>55074</v>
      </c>
      <c r="Z9180" s="2" t="s">
        <v>55075</v>
      </c>
      <c r="AA9180" s="2" t="s">
        <v>1727</v>
      </c>
      <c r="AB9180" t="s">
        <v>70</v>
      </c>
      <c r="AC9180" t="s">
        <v>55076</v>
      </c>
      <c r="AD9180" t="s">
        <v>34999</v>
      </c>
      <c r="AE9180" t="s">
        <v>1716</v>
      </c>
      <c r="AG9180" t="s">
        <v>55077</v>
      </c>
      <c r="AH9180" t="s">
        <v>29801</v>
      </c>
      <c r="AI9180" t="s">
        <v>55078</v>
      </c>
    </row>
    <row r="9181" spans="2:35" ht="165">
      <c r="B9181" s="1">
        <v>44972</v>
      </c>
      <c r="C9181" s="4">
        <v>44972.418055555558</v>
      </c>
      <c r="D9181" t="s">
        <v>2773</v>
      </c>
      <c r="E9181" t="s">
        <v>55079</v>
      </c>
      <c r="F9181">
        <v>2</v>
      </c>
      <c r="G9181" t="s">
        <v>2723</v>
      </c>
      <c r="H9181" t="s">
        <v>39</v>
      </c>
      <c r="I9181" t="s">
        <v>40</v>
      </c>
      <c r="J9181" t="s">
        <v>109</v>
      </c>
      <c r="K9181" t="s">
        <v>42</v>
      </c>
      <c r="L9181" t="s">
        <v>63</v>
      </c>
      <c r="Q9181">
        <v>23417</v>
      </c>
      <c r="R9181" t="s">
        <v>322</v>
      </c>
      <c r="S9181" t="s">
        <v>2775</v>
      </c>
      <c r="T9181">
        <v>27</v>
      </c>
      <c r="U9181" s="2" t="s">
        <v>55080</v>
      </c>
      <c r="V9181" s="1">
        <v>44972</v>
      </c>
      <c r="W9181" t="s">
        <v>26915</v>
      </c>
      <c r="X9181">
        <v>110008457</v>
      </c>
      <c r="Y9181" t="s">
        <v>1716</v>
      </c>
      <c r="Z9181" t="s">
        <v>1716</v>
      </c>
      <c r="AA9181" s="2" t="s">
        <v>1727</v>
      </c>
      <c r="AB9181" t="s">
        <v>70</v>
      </c>
      <c r="AC9181" t="s">
        <v>1716</v>
      </c>
      <c r="AD9181" t="s">
        <v>1716</v>
      </c>
      <c r="AE9181" t="s">
        <v>1716</v>
      </c>
      <c r="AG9181" t="s">
        <v>55081</v>
      </c>
      <c r="AH9181" t="s">
        <v>2779</v>
      </c>
      <c r="AI9181" t="s">
        <v>55082</v>
      </c>
    </row>
    <row r="9182" spans="2:35" ht="240">
      <c r="B9182" s="1">
        <v>44972</v>
      </c>
      <c r="C9182" s="4">
        <v>44971.703472222223</v>
      </c>
      <c r="D9182" t="s">
        <v>55083</v>
      </c>
      <c r="E9182" t="s">
        <v>55084</v>
      </c>
      <c r="F9182">
        <v>2</v>
      </c>
      <c r="G9182" t="s">
        <v>60</v>
      </c>
      <c r="H9182" t="s">
        <v>39</v>
      </c>
      <c r="I9182" t="s">
        <v>40</v>
      </c>
      <c r="J9182" s="2" t="s">
        <v>62</v>
      </c>
      <c r="K9182" t="s">
        <v>42</v>
      </c>
      <c r="L9182" t="s">
        <v>63</v>
      </c>
      <c r="Q9182">
        <v>23418</v>
      </c>
      <c r="R9182" t="s">
        <v>119</v>
      </c>
      <c r="S9182" t="s">
        <v>8343</v>
      </c>
      <c r="T9182">
        <v>25</v>
      </c>
      <c r="U9182" s="2" t="s">
        <v>55085</v>
      </c>
      <c r="V9182" s="1">
        <v>44971</v>
      </c>
      <c r="W9182" t="s">
        <v>26915</v>
      </c>
      <c r="X9182">
        <v>838201</v>
      </c>
      <c r="Y9182" t="s">
        <v>55086</v>
      </c>
      <c r="Z9182" t="s">
        <v>55087</v>
      </c>
      <c r="AA9182" s="2" t="s">
        <v>55088</v>
      </c>
      <c r="AB9182" t="s">
        <v>70</v>
      </c>
      <c r="AC9182" t="s">
        <v>8019</v>
      </c>
      <c r="AD9182" t="s">
        <v>948</v>
      </c>
      <c r="AE9182" t="s">
        <v>1716</v>
      </c>
      <c r="AG9182" t="s">
        <v>55089</v>
      </c>
      <c r="AH9182" t="s">
        <v>55090</v>
      </c>
      <c r="AI9182" t="s">
        <v>55091</v>
      </c>
    </row>
    <row r="9183" spans="2:35">
      <c r="B9183" s="1">
        <v>44972</v>
      </c>
      <c r="C9183" s="4">
        <v>44972.585416666669</v>
      </c>
      <c r="D9183" t="s">
        <v>12016</v>
      </c>
      <c r="E9183" t="s">
        <v>12017</v>
      </c>
      <c r="F9183">
        <v>7</v>
      </c>
      <c r="G9183" t="s">
        <v>432</v>
      </c>
      <c r="H9183" t="s">
        <v>12018</v>
      </c>
      <c r="I9183" t="s">
        <v>40</v>
      </c>
      <c r="J9183" t="s">
        <v>109</v>
      </c>
      <c r="K9183" t="s">
        <v>387</v>
      </c>
      <c r="L9183" t="s">
        <v>1288</v>
      </c>
      <c r="Q9183">
        <v>23415</v>
      </c>
      <c r="R9183" t="s">
        <v>95</v>
      </c>
      <c r="S9183" t="s">
        <v>1556</v>
      </c>
      <c r="T9183">
        <v>23</v>
      </c>
      <c r="W9183" t="s">
        <v>55092</v>
      </c>
      <c r="X9183" t="s">
        <v>1557</v>
      </c>
      <c r="Y9183" t="e">
        <f ca="1">-_xludf.For rotor rubber checking</f>
        <v>#NAME?</v>
      </c>
      <c r="Z9183" t="e">
        <f ca="1">-PERFORM EQUIPMENT Cleaning</f>
        <v>#NAME?</v>
      </c>
      <c r="AA9183" t="e">
        <f ca="1">-Check AC Pump, transfer Pump, _xludf.and blood Pump rotor rubber</f>
        <v>#NAME?</v>
      </c>
      <c r="AB9183" t="s">
        <v>1293</v>
      </c>
      <c r="AG9183" t="s">
        <v>55093</v>
      </c>
      <c r="AH9183" t="s">
        <v>22511</v>
      </c>
      <c r="AI9183" t="s">
        <v>55094</v>
      </c>
    </row>
    <row r="9184" spans="2:35">
      <c r="B9184" s="1">
        <v>44972</v>
      </c>
      <c r="C9184" s="4">
        <v>44972.57916666667</v>
      </c>
      <c r="D9184" t="s">
        <v>12016</v>
      </c>
      <c r="E9184" t="s">
        <v>12017</v>
      </c>
      <c r="F9184">
        <v>7</v>
      </c>
      <c r="G9184" t="s">
        <v>432</v>
      </c>
      <c r="H9184" t="s">
        <v>12018</v>
      </c>
      <c r="I9184" t="s">
        <v>40</v>
      </c>
      <c r="J9184" t="s">
        <v>109</v>
      </c>
      <c r="K9184" t="s">
        <v>387</v>
      </c>
      <c r="L9184" t="s">
        <v>1288</v>
      </c>
      <c r="Q9184">
        <v>23414</v>
      </c>
      <c r="R9184" t="s">
        <v>95</v>
      </c>
      <c r="S9184" t="s">
        <v>1556</v>
      </c>
      <c r="T9184">
        <v>23</v>
      </c>
      <c r="W9184" t="s">
        <v>390</v>
      </c>
      <c r="X9184" t="s">
        <v>2402</v>
      </c>
      <c r="Y9184" t="e">
        <f ca="1">-_xludf.For rotor rubber INSPECTION</f>
        <v>#NAME?</v>
      </c>
      <c r="Z9184" t="e">
        <f ca="1">-PERFORM EQUIPMENT Cleaning</f>
        <v>#NAME?</v>
      </c>
      <c r="AA9184" t="e">
        <f ca="1">-Check AC Pump, transfer Pump, _xludf.and blood Pump rubber</f>
        <v>#NAME?</v>
      </c>
      <c r="AB9184" t="s">
        <v>1293</v>
      </c>
      <c r="AG9184" t="s">
        <v>55095</v>
      </c>
      <c r="AH9184" t="s">
        <v>22511</v>
      </c>
      <c r="AI9184" t="s">
        <v>55096</v>
      </c>
    </row>
    <row r="9185" spans="2:35" ht="195">
      <c r="B9185" s="1">
        <v>44972</v>
      </c>
      <c r="C9185" s="4">
        <v>44972.527777777781</v>
      </c>
      <c r="D9185" t="s">
        <v>26268</v>
      </c>
      <c r="E9185" t="s">
        <v>55097</v>
      </c>
      <c r="F9185">
        <v>13</v>
      </c>
      <c r="G9185" t="s">
        <v>7763</v>
      </c>
      <c r="H9185" t="s">
        <v>2125</v>
      </c>
      <c r="I9185" t="s">
        <v>40</v>
      </c>
      <c r="J9185" s="2" t="s">
        <v>2170</v>
      </c>
      <c r="K9185" t="s">
        <v>42</v>
      </c>
      <c r="L9185" t="s">
        <v>933</v>
      </c>
      <c r="Q9185">
        <v>23413</v>
      </c>
      <c r="R9185" t="s">
        <v>45</v>
      </c>
      <c r="S9185" t="s">
        <v>55098</v>
      </c>
      <c r="T9185">
        <v>24.5</v>
      </c>
      <c r="U9185" s="2" t="s">
        <v>55099</v>
      </c>
      <c r="W9185" t="s">
        <v>3662</v>
      </c>
      <c r="X9185">
        <v>815436</v>
      </c>
      <c r="Y9185" t="s">
        <v>55100</v>
      </c>
      <c r="Z9185" t="s">
        <v>55101</v>
      </c>
      <c r="AA9185" s="2" t="s">
        <v>55102</v>
      </c>
      <c r="AB9185" t="s">
        <v>55103</v>
      </c>
      <c r="AG9185" t="s">
        <v>55104</v>
      </c>
      <c r="AH9185" t="s">
        <v>55105</v>
      </c>
      <c r="AI9185" t="s">
        <v>55106</v>
      </c>
    </row>
    <row r="9186" spans="2:35" ht="195">
      <c r="B9186" s="1">
        <v>44972</v>
      </c>
      <c r="C9186" s="4">
        <v>44972.452777777777</v>
      </c>
      <c r="D9186" t="s">
        <v>25324</v>
      </c>
      <c r="E9186" t="s">
        <v>27738</v>
      </c>
      <c r="F9186" t="s">
        <v>37</v>
      </c>
      <c r="G9186" t="s">
        <v>78</v>
      </c>
      <c r="H9186" t="s">
        <v>39</v>
      </c>
      <c r="I9186" t="s">
        <v>40</v>
      </c>
      <c r="J9186" s="2" t="s">
        <v>41</v>
      </c>
      <c r="K9186" t="s">
        <v>42</v>
      </c>
      <c r="L9186" t="s">
        <v>43</v>
      </c>
      <c r="Q9186">
        <v>23411</v>
      </c>
      <c r="R9186" t="s">
        <v>119</v>
      </c>
      <c r="S9186" t="s">
        <v>55107</v>
      </c>
      <c r="T9186">
        <v>25</v>
      </c>
      <c r="U9186" s="2" t="s">
        <v>55108</v>
      </c>
      <c r="V9186" s="1">
        <v>44964</v>
      </c>
      <c r="W9186" t="s">
        <v>9792</v>
      </c>
      <c r="X9186">
        <v>821292</v>
      </c>
      <c r="Y9186" t="s">
        <v>55109</v>
      </c>
      <c r="Z9186" t="s">
        <v>55110</v>
      </c>
      <c r="AA9186" s="2" t="s">
        <v>55111</v>
      </c>
      <c r="AB9186" t="s">
        <v>55112</v>
      </c>
      <c r="AC9186" t="s">
        <v>55113</v>
      </c>
      <c r="AD9186" t="s">
        <v>55114</v>
      </c>
      <c r="AE9186" t="s">
        <v>55115</v>
      </c>
      <c r="AG9186" t="s">
        <v>55116</v>
      </c>
      <c r="AH9186" t="s">
        <v>25331</v>
      </c>
      <c r="AI9186" t="s">
        <v>55117</v>
      </c>
    </row>
    <row r="9187" spans="2:35" ht="210">
      <c r="B9187" s="1">
        <v>44972</v>
      </c>
      <c r="C9187" s="4">
        <v>44971.594444444447</v>
      </c>
      <c r="D9187" t="s">
        <v>2176</v>
      </c>
      <c r="E9187" t="s">
        <v>55118</v>
      </c>
      <c r="F9187" t="s">
        <v>148</v>
      </c>
      <c r="G9187" t="s">
        <v>447</v>
      </c>
      <c r="H9187" t="s">
        <v>39</v>
      </c>
      <c r="I9187" t="s">
        <v>40</v>
      </c>
      <c r="J9187" t="s">
        <v>525</v>
      </c>
      <c r="K9187" t="s">
        <v>387</v>
      </c>
      <c r="L9187" t="s">
        <v>43</v>
      </c>
      <c r="Q9187">
        <v>23412</v>
      </c>
      <c r="R9187" t="s">
        <v>95</v>
      </c>
      <c r="S9187" t="s">
        <v>55119</v>
      </c>
      <c r="T9187">
        <v>27</v>
      </c>
      <c r="W9187" t="s">
        <v>390</v>
      </c>
      <c r="X9187" t="s">
        <v>2180</v>
      </c>
      <c r="Y9187" t="s">
        <v>55120</v>
      </c>
      <c r="Z9187" t="s">
        <v>55121</v>
      </c>
      <c r="AA9187" s="2" t="s">
        <v>55122</v>
      </c>
      <c r="AB9187" t="s">
        <v>55123</v>
      </c>
      <c r="AG9187" t="s">
        <v>55124</v>
      </c>
      <c r="AH9187" t="s">
        <v>4147</v>
      </c>
      <c r="AI9187" t="s">
        <v>55125</v>
      </c>
    </row>
    <row r="9188" spans="2:35" ht="105">
      <c r="B9188" s="1">
        <v>44971</v>
      </c>
      <c r="C9188" s="4">
        <v>44971.654861111114</v>
      </c>
      <c r="D9188" t="s">
        <v>4206</v>
      </c>
      <c r="E9188" t="s">
        <v>55126</v>
      </c>
      <c r="F9188">
        <v>11</v>
      </c>
      <c r="G9188" t="s">
        <v>2836</v>
      </c>
      <c r="H9188" t="s">
        <v>1047</v>
      </c>
      <c r="I9188" t="s">
        <v>40</v>
      </c>
      <c r="J9188" t="s">
        <v>525</v>
      </c>
      <c r="K9188" t="s">
        <v>42</v>
      </c>
      <c r="L9188" t="s">
        <v>204</v>
      </c>
      <c r="Q9188">
        <v>23410</v>
      </c>
      <c r="R9188" t="s">
        <v>119</v>
      </c>
      <c r="S9188" t="s">
        <v>4209</v>
      </c>
      <c r="T9188">
        <v>24.7</v>
      </c>
      <c r="U9188" s="2" t="s">
        <v>13420</v>
      </c>
      <c r="V9188" s="1">
        <v>44971</v>
      </c>
      <c r="W9188" t="s">
        <v>23237</v>
      </c>
      <c r="X9188">
        <v>838295</v>
      </c>
      <c r="Y9188" t="s">
        <v>55127</v>
      </c>
      <c r="Z9188" t="s">
        <v>55128</v>
      </c>
      <c r="AA9188" t="s">
        <v>55129</v>
      </c>
      <c r="AB9188" t="s">
        <v>55130</v>
      </c>
      <c r="AC9188" t="s">
        <v>55131</v>
      </c>
      <c r="AD9188" t="s">
        <v>55132</v>
      </c>
      <c r="AE9188" t="s">
        <v>54</v>
      </c>
      <c r="AG9188" t="s">
        <v>55133</v>
      </c>
      <c r="AH9188" t="s">
        <v>55134</v>
      </c>
      <c r="AI9188" t="s">
        <v>55135</v>
      </c>
    </row>
    <row r="9189" spans="2:35" ht="105">
      <c r="B9189" s="1">
        <v>44971</v>
      </c>
      <c r="C9189" s="4">
        <v>44971.654861111114</v>
      </c>
      <c r="D9189" t="s">
        <v>4206</v>
      </c>
      <c r="E9189" t="s">
        <v>55126</v>
      </c>
      <c r="F9189">
        <v>11</v>
      </c>
      <c r="G9189" t="s">
        <v>2836</v>
      </c>
      <c r="H9189" t="s">
        <v>1047</v>
      </c>
      <c r="I9189" t="s">
        <v>40</v>
      </c>
      <c r="J9189" t="s">
        <v>525</v>
      </c>
      <c r="K9189" t="s">
        <v>42</v>
      </c>
      <c r="L9189" t="s">
        <v>204</v>
      </c>
      <c r="Q9189">
        <v>23409</v>
      </c>
      <c r="R9189" t="s">
        <v>119</v>
      </c>
      <c r="S9189" t="s">
        <v>4209</v>
      </c>
      <c r="T9189">
        <v>24.7</v>
      </c>
      <c r="U9189" s="2" t="s">
        <v>13420</v>
      </c>
      <c r="V9189" s="1">
        <v>44971</v>
      </c>
      <c r="W9189" t="s">
        <v>23237</v>
      </c>
      <c r="X9189">
        <v>838295</v>
      </c>
      <c r="Y9189" t="s">
        <v>55127</v>
      </c>
      <c r="Z9189" t="s">
        <v>55128</v>
      </c>
      <c r="AA9189" t="s">
        <v>55129</v>
      </c>
      <c r="AB9189" t="s">
        <v>55130</v>
      </c>
      <c r="AC9189" t="s">
        <v>55131</v>
      </c>
      <c r="AD9189" t="s">
        <v>55132</v>
      </c>
      <c r="AE9189" t="s">
        <v>54</v>
      </c>
      <c r="AG9189" t="s">
        <v>55136</v>
      </c>
      <c r="AH9189" t="s">
        <v>55134</v>
      </c>
      <c r="AI9189" t="s">
        <v>55137</v>
      </c>
    </row>
    <row r="9190" spans="2:35">
      <c r="B9190" s="1">
        <v>44971</v>
      </c>
      <c r="C9190" s="4">
        <v>44971.591666666667</v>
      </c>
      <c r="D9190" t="s">
        <v>16720</v>
      </c>
      <c r="E9190" t="s">
        <v>12017</v>
      </c>
      <c r="F9190">
        <v>7</v>
      </c>
      <c r="G9190" t="s">
        <v>432</v>
      </c>
      <c r="H9190" t="s">
        <v>11359</v>
      </c>
      <c r="I9190" t="s">
        <v>40</v>
      </c>
      <c r="J9190" t="s">
        <v>109</v>
      </c>
      <c r="K9190" t="s">
        <v>16933</v>
      </c>
      <c r="L9190" t="s">
        <v>1288</v>
      </c>
      <c r="Q9190">
        <v>23408</v>
      </c>
      <c r="R9190" t="s">
        <v>95</v>
      </c>
      <c r="S9190" t="s">
        <v>14495</v>
      </c>
      <c r="T9190">
        <v>22</v>
      </c>
      <c r="W9190" t="s">
        <v>55138</v>
      </c>
      <c r="X9190" t="s">
        <v>55139</v>
      </c>
      <c r="Y9190" t="s">
        <v>9143</v>
      </c>
      <c r="Z9190" t="e">
        <f ca="1">-PERFORM EQUIPMENT Cleaning
-PERFORM checking _xludf.and GREASING of O-RING
-PERFORM PISTON test</f>
        <v>#NAME?</v>
      </c>
      <c r="AA9190" t="e">
        <f ca="1">-PERFORM Preventive Maintenance</f>
        <v>#NAME?</v>
      </c>
      <c r="AB9190" t="s">
        <v>1293</v>
      </c>
      <c r="AG9190" t="s">
        <v>55140</v>
      </c>
      <c r="AH9190" t="s">
        <v>55141</v>
      </c>
      <c r="AI9190" t="s">
        <v>55142</v>
      </c>
    </row>
    <row r="9191" spans="2:35">
      <c r="B9191" s="1">
        <v>44971</v>
      </c>
      <c r="C9191" s="4">
        <v>44971.553472222222</v>
      </c>
      <c r="D9191" t="s">
        <v>16720</v>
      </c>
      <c r="E9191" t="s">
        <v>12017</v>
      </c>
      <c r="F9191">
        <v>7</v>
      </c>
      <c r="G9191" t="s">
        <v>432</v>
      </c>
      <c r="H9191" t="s">
        <v>11359</v>
      </c>
      <c r="I9191" t="s">
        <v>40</v>
      </c>
      <c r="J9191" t="s">
        <v>109</v>
      </c>
      <c r="K9191" t="s">
        <v>16933</v>
      </c>
      <c r="L9191" t="s">
        <v>1288</v>
      </c>
      <c r="Q9191">
        <v>23407</v>
      </c>
      <c r="R9191" t="s">
        <v>95</v>
      </c>
      <c r="S9191" t="s">
        <v>14495</v>
      </c>
      <c r="T9191">
        <v>22</v>
      </c>
      <c r="W9191" t="s">
        <v>55138</v>
      </c>
      <c r="X9191" t="s">
        <v>47109</v>
      </c>
      <c r="Y9191" t="s">
        <v>9143</v>
      </c>
      <c r="Z9191" t="e">
        <f ca="1">-PERFORM EQUIPMENT Cleaning
-PERFORM checking _xludf.and GREASING of O-RINGS
-PERFORM PISTON test</f>
        <v>#NAME?</v>
      </c>
      <c r="AA9191" t="e">
        <f ca="1">-PERFORM Preventive Maintenance</f>
        <v>#NAME?</v>
      </c>
      <c r="AB9191" t="e">
        <f ca="1">-EQUIPMENT is operational</f>
        <v>#NAME?</v>
      </c>
      <c r="AG9191" t="s">
        <v>55143</v>
      </c>
      <c r="AH9191" t="s">
        <v>16726</v>
      </c>
      <c r="AI9191" t="s">
        <v>55144</v>
      </c>
    </row>
    <row r="9192" spans="2:35" ht="375">
      <c r="B9192" s="1">
        <v>44971</v>
      </c>
      <c r="C9192" s="4">
        <v>44971.565972222219</v>
      </c>
      <c r="D9192" t="s">
        <v>31830</v>
      </c>
      <c r="E9192" t="s">
        <v>4655</v>
      </c>
      <c r="F9192">
        <v>10</v>
      </c>
      <c r="G9192" t="s">
        <v>1395</v>
      </c>
      <c r="H9192" t="s">
        <v>39</v>
      </c>
      <c r="I9192" t="s">
        <v>94</v>
      </c>
      <c r="J9192" t="s">
        <v>321</v>
      </c>
      <c r="K9192" t="s">
        <v>42</v>
      </c>
      <c r="L9192" t="s">
        <v>43100</v>
      </c>
      <c r="Q9192">
        <v>23406</v>
      </c>
      <c r="R9192" t="s">
        <v>45</v>
      </c>
      <c r="S9192" t="s">
        <v>31832</v>
      </c>
      <c r="T9192">
        <v>28</v>
      </c>
      <c r="U9192" s="2" t="s">
        <v>55145</v>
      </c>
      <c r="V9192" s="1">
        <v>44937</v>
      </c>
      <c r="W9192" t="s">
        <v>43102</v>
      </c>
      <c r="X9192">
        <v>844118</v>
      </c>
      <c r="Y9192" t="s">
        <v>55146</v>
      </c>
      <c r="Z9192" s="2" t="s">
        <v>55147</v>
      </c>
      <c r="AA9192" t="s">
        <v>55148</v>
      </c>
      <c r="AB9192" t="s">
        <v>486</v>
      </c>
      <c r="AD9192" t="s">
        <v>55149</v>
      </c>
      <c r="AE9192" t="s">
        <v>55150</v>
      </c>
      <c r="AG9192" t="s">
        <v>55151</v>
      </c>
      <c r="AH9192" t="s">
        <v>23377</v>
      </c>
      <c r="AI9192" t="s">
        <v>55152</v>
      </c>
    </row>
    <row r="9193" spans="2:35" ht="345">
      <c r="B9193" s="1">
        <v>44971</v>
      </c>
      <c r="C9193" s="4">
        <v>44971.531944444447</v>
      </c>
      <c r="D9193" t="s">
        <v>31371</v>
      </c>
      <c r="E9193" t="s">
        <v>31372</v>
      </c>
      <c r="F9193">
        <v>3</v>
      </c>
      <c r="G9193" t="s">
        <v>730</v>
      </c>
      <c r="H9193" t="s">
        <v>39</v>
      </c>
      <c r="I9193" t="s">
        <v>40</v>
      </c>
      <c r="J9193" s="2" t="s">
        <v>1808</v>
      </c>
      <c r="K9193" t="s">
        <v>42</v>
      </c>
      <c r="L9193" t="s">
        <v>135</v>
      </c>
      <c r="Q9193">
        <v>23405</v>
      </c>
      <c r="R9193" t="s">
        <v>45</v>
      </c>
      <c r="S9193" t="s">
        <v>55153</v>
      </c>
      <c r="T9193">
        <v>25.7</v>
      </c>
      <c r="U9193" s="2" t="s">
        <v>48752</v>
      </c>
      <c r="V9193" s="1">
        <v>44966</v>
      </c>
      <c r="W9193" t="s">
        <v>2680</v>
      </c>
      <c r="X9193">
        <v>808292</v>
      </c>
      <c r="Y9193" t="s">
        <v>776</v>
      </c>
      <c r="Z9193" s="2" t="s">
        <v>55154</v>
      </c>
      <c r="AA9193" t="s">
        <v>55155</v>
      </c>
      <c r="AB9193" t="s">
        <v>181</v>
      </c>
      <c r="AD9193" t="s">
        <v>55156</v>
      </c>
      <c r="AE9193">
        <v>38940</v>
      </c>
      <c r="AG9193" t="s">
        <v>55157</v>
      </c>
      <c r="AH9193" t="s">
        <v>31377</v>
      </c>
      <c r="AI9193" t="s">
        <v>55158</v>
      </c>
    </row>
    <row r="9194" spans="2:35" ht="120">
      <c r="B9194" s="1">
        <v>44971</v>
      </c>
      <c r="C9194" s="4">
        <v>44971.4</v>
      </c>
      <c r="D9194" t="s">
        <v>7881</v>
      </c>
      <c r="E9194" t="s">
        <v>55159</v>
      </c>
      <c r="F9194">
        <v>7</v>
      </c>
      <c r="G9194" t="s">
        <v>432</v>
      </c>
      <c r="H9194" t="s">
        <v>2290</v>
      </c>
      <c r="I9194" t="s">
        <v>94</v>
      </c>
      <c r="J9194" s="2" t="s">
        <v>4208</v>
      </c>
      <c r="K9194" t="s">
        <v>42</v>
      </c>
      <c r="L9194" t="s">
        <v>610</v>
      </c>
      <c r="Q9194">
        <v>23404</v>
      </c>
      <c r="R9194" t="s">
        <v>119</v>
      </c>
      <c r="S9194" t="s">
        <v>13419</v>
      </c>
      <c r="T9194">
        <v>25</v>
      </c>
      <c r="U9194" s="2" t="s">
        <v>55160</v>
      </c>
      <c r="V9194" s="1">
        <v>44971</v>
      </c>
      <c r="W9194" t="s">
        <v>502</v>
      </c>
      <c r="X9194">
        <v>838512</v>
      </c>
      <c r="Y9194">
        <v>5007</v>
      </c>
      <c r="Z9194" t="s">
        <v>55161</v>
      </c>
      <c r="AA9194" t="s">
        <v>55161</v>
      </c>
      <c r="AB9194" t="s">
        <v>55162</v>
      </c>
      <c r="AD9194" t="s">
        <v>103</v>
      </c>
      <c r="AE9194" t="s">
        <v>103</v>
      </c>
      <c r="AG9194" t="s">
        <v>55163</v>
      </c>
      <c r="AH9194" t="s">
        <v>13425</v>
      </c>
      <c r="AI9194" t="s">
        <v>55164</v>
      </c>
    </row>
    <row r="9195" spans="2:35" ht="285">
      <c r="B9195" s="1">
        <v>44971</v>
      </c>
      <c r="C9195" s="4">
        <v>44967.455555555556</v>
      </c>
      <c r="D9195" t="s">
        <v>24205</v>
      </c>
      <c r="E9195" t="s">
        <v>2797</v>
      </c>
      <c r="F9195">
        <v>12</v>
      </c>
      <c r="G9195" t="s">
        <v>978</v>
      </c>
      <c r="H9195" t="s">
        <v>39</v>
      </c>
      <c r="I9195" t="s">
        <v>94</v>
      </c>
      <c r="J9195" t="s">
        <v>109</v>
      </c>
      <c r="K9195" t="s">
        <v>42</v>
      </c>
      <c r="L9195" t="s">
        <v>296</v>
      </c>
      <c r="Q9195">
        <v>23402</v>
      </c>
      <c r="R9195" t="s">
        <v>45</v>
      </c>
      <c r="S9195" t="s">
        <v>31147</v>
      </c>
      <c r="T9195">
        <v>32.799999999999997</v>
      </c>
      <c r="U9195" s="2" t="s">
        <v>54686</v>
      </c>
      <c r="W9195" t="s">
        <v>55165</v>
      </c>
      <c r="X9195">
        <v>838130</v>
      </c>
      <c r="Y9195" s="2" t="s">
        <v>55166</v>
      </c>
      <c r="Z9195" t="s">
        <v>9161</v>
      </c>
      <c r="AA9195" t="s">
        <v>9161</v>
      </c>
      <c r="AB9195" t="s">
        <v>972</v>
      </c>
      <c r="AC9195" t="s">
        <v>54812</v>
      </c>
      <c r="AG9195" t="s">
        <v>55167</v>
      </c>
      <c r="AH9195" t="s">
        <v>31152</v>
      </c>
      <c r="AI9195" t="s">
        <v>55168</v>
      </c>
    </row>
    <row r="9196" spans="2:35" ht="180">
      <c r="B9196" s="1">
        <v>44970</v>
      </c>
      <c r="C9196" s="4">
        <v>44970.615277777775</v>
      </c>
      <c r="D9196" t="s">
        <v>26545</v>
      </c>
      <c r="E9196" t="s">
        <v>29477</v>
      </c>
      <c r="F9196">
        <v>13</v>
      </c>
      <c r="G9196" t="s">
        <v>7763</v>
      </c>
      <c r="H9196" t="s">
        <v>2125</v>
      </c>
      <c r="I9196" t="s">
        <v>40</v>
      </c>
      <c r="J9196" t="s">
        <v>79</v>
      </c>
      <c r="K9196" t="s">
        <v>42</v>
      </c>
      <c r="L9196" t="s">
        <v>933</v>
      </c>
      <c r="Q9196">
        <v>23401</v>
      </c>
      <c r="R9196" t="s">
        <v>45</v>
      </c>
      <c r="S9196" t="s">
        <v>52513</v>
      </c>
      <c r="T9196">
        <v>26.46</v>
      </c>
      <c r="U9196" s="2" t="s">
        <v>55169</v>
      </c>
      <c r="W9196" t="s">
        <v>10610</v>
      </c>
      <c r="X9196">
        <v>815391</v>
      </c>
      <c r="Y9196" t="s">
        <v>55170</v>
      </c>
      <c r="Z9196" t="s">
        <v>55101</v>
      </c>
      <c r="AA9196" t="s">
        <v>55171</v>
      </c>
      <c r="AB9196" t="s">
        <v>55172</v>
      </c>
      <c r="AG9196" t="s">
        <v>55173</v>
      </c>
      <c r="AH9196" t="s">
        <v>26553</v>
      </c>
      <c r="AI9196" t="s">
        <v>55174</v>
      </c>
    </row>
    <row r="9197" spans="2:35" ht="90">
      <c r="B9197" s="1">
        <v>44970</v>
      </c>
      <c r="C9197" s="4">
        <v>44970.62222222222</v>
      </c>
      <c r="D9197" t="s">
        <v>55175</v>
      </c>
      <c r="E9197" t="s">
        <v>6250</v>
      </c>
      <c r="F9197">
        <v>7</v>
      </c>
      <c r="G9197" t="s">
        <v>432</v>
      </c>
      <c r="H9197" t="s">
        <v>39</v>
      </c>
      <c r="I9197" t="s">
        <v>94</v>
      </c>
      <c r="J9197" s="2" t="s">
        <v>62</v>
      </c>
      <c r="K9197" t="s">
        <v>42</v>
      </c>
      <c r="L9197" t="s">
        <v>433</v>
      </c>
      <c r="Q9197">
        <v>23400</v>
      </c>
      <c r="R9197" t="s">
        <v>45</v>
      </c>
      <c r="S9197" t="s">
        <v>1818</v>
      </c>
      <c r="T9197">
        <v>30</v>
      </c>
      <c r="U9197" s="2" t="s">
        <v>55176</v>
      </c>
      <c r="W9197" t="s">
        <v>6776</v>
      </c>
      <c r="X9197">
        <v>838882</v>
      </c>
      <c r="Y9197" t="s">
        <v>55177</v>
      </c>
      <c r="Z9197" t="s">
        <v>39111</v>
      </c>
      <c r="AA9197" t="s">
        <v>55178</v>
      </c>
      <c r="AB9197" t="s">
        <v>1011</v>
      </c>
      <c r="AG9197" t="s">
        <v>55179</v>
      </c>
      <c r="AH9197" t="s">
        <v>1823</v>
      </c>
      <c r="AI9197" t="s">
        <v>55180</v>
      </c>
    </row>
    <row r="9198" spans="2:35" ht="105">
      <c r="B9198" s="1">
        <v>44970</v>
      </c>
      <c r="C9198" s="4">
        <v>44970.618750000001</v>
      </c>
      <c r="D9198" t="s">
        <v>55181</v>
      </c>
      <c r="E9198" t="s">
        <v>31911</v>
      </c>
      <c r="F9198">
        <v>7</v>
      </c>
      <c r="G9198" t="s">
        <v>432</v>
      </c>
      <c r="H9198" t="s">
        <v>39</v>
      </c>
      <c r="I9198" t="s">
        <v>94</v>
      </c>
      <c r="J9198" t="s">
        <v>321</v>
      </c>
      <c r="K9198" t="s">
        <v>42</v>
      </c>
      <c r="L9198" t="s">
        <v>594</v>
      </c>
      <c r="Q9198">
        <v>23399</v>
      </c>
      <c r="R9198" t="s">
        <v>45</v>
      </c>
      <c r="S9198" t="s">
        <v>51521</v>
      </c>
      <c r="T9198">
        <v>23</v>
      </c>
      <c r="U9198" s="2" t="s">
        <v>29866</v>
      </c>
      <c r="V9198" s="1">
        <v>44970</v>
      </c>
      <c r="W9198" t="s">
        <v>29835</v>
      </c>
      <c r="X9198" t="s">
        <v>55182</v>
      </c>
      <c r="Y9198" t="s">
        <v>13110</v>
      </c>
      <c r="Z9198" t="s">
        <v>55183</v>
      </c>
      <c r="AA9198" t="s">
        <v>13110</v>
      </c>
      <c r="AB9198" t="s">
        <v>55184</v>
      </c>
      <c r="AG9198" t="s">
        <v>55185</v>
      </c>
      <c r="AH9198" t="s">
        <v>3250</v>
      </c>
      <c r="AI9198" t="s">
        <v>55186</v>
      </c>
    </row>
    <row r="9199" spans="2:35" ht="105">
      <c r="B9199" s="1">
        <v>44970</v>
      </c>
      <c r="C9199" s="4">
        <v>44967.681250000001</v>
      </c>
      <c r="D9199" t="s">
        <v>49259</v>
      </c>
      <c r="E9199" t="s">
        <v>31911</v>
      </c>
      <c r="F9199">
        <v>7</v>
      </c>
      <c r="G9199" t="s">
        <v>432</v>
      </c>
      <c r="H9199" t="s">
        <v>39</v>
      </c>
      <c r="I9199" t="s">
        <v>94</v>
      </c>
      <c r="J9199" t="s">
        <v>7032</v>
      </c>
      <c r="K9199" t="s">
        <v>42</v>
      </c>
      <c r="L9199" t="s">
        <v>594</v>
      </c>
      <c r="Q9199">
        <v>23398</v>
      </c>
      <c r="R9199" t="s">
        <v>45</v>
      </c>
      <c r="S9199" t="s">
        <v>51521</v>
      </c>
      <c r="T9199">
        <v>25</v>
      </c>
      <c r="U9199" s="2" t="s">
        <v>55187</v>
      </c>
      <c r="V9199" s="1">
        <v>44967</v>
      </c>
      <c r="W9199" t="s">
        <v>29835</v>
      </c>
      <c r="X9199" t="s">
        <v>55182</v>
      </c>
      <c r="Y9199" t="s">
        <v>55188</v>
      </c>
      <c r="Z9199" t="s">
        <v>16223</v>
      </c>
      <c r="AA9199" t="s">
        <v>55189</v>
      </c>
      <c r="AB9199" t="s">
        <v>55190</v>
      </c>
      <c r="AG9199" t="s">
        <v>55191</v>
      </c>
      <c r="AH9199" t="s">
        <v>3250</v>
      </c>
      <c r="AI9199" t="s">
        <v>55192</v>
      </c>
    </row>
    <row r="9200" spans="2:35" ht="210">
      <c r="B9200" s="1">
        <v>44970</v>
      </c>
      <c r="C9200" s="4">
        <v>44970.581944444442</v>
      </c>
      <c r="D9200" t="s">
        <v>43670</v>
      </c>
      <c r="E9200" t="s">
        <v>7477</v>
      </c>
      <c r="F9200">
        <v>11</v>
      </c>
      <c r="G9200" t="s">
        <v>1205</v>
      </c>
      <c r="H9200" t="s">
        <v>202</v>
      </c>
      <c r="I9200" t="s">
        <v>40</v>
      </c>
      <c r="J9200" s="2" t="s">
        <v>190</v>
      </c>
      <c r="K9200" t="s">
        <v>42</v>
      </c>
      <c r="L9200" t="s">
        <v>204</v>
      </c>
      <c r="Q9200">
        <v>23397</v>
      </c>
      <c r="R9200" t="s">
        <v>119</v>
      </c>
      <c r="S9200" t="s">
        <v>7478</v>
      </c>
      <c r="T9200">
        <v>27.8</v>
      </c>
      <c r="U9200" s="2" t="s">
        <v>55193</v>
      </c>
      <c r="V9200" s="1">
        <v>44970</v>
      </c>
      <c r="W9200" t="s">
        <v>23237</v>
      </c>
      <c r="X9200">
        <v>838507</v>
      </c>
      <c r="Y9200" s="2" t="s">
        <v>55194</v>
      </c>
      <c r="Z9200" s="2" t="s">
        <v>55195</v>
      </c>
      <c r="AA9200" t="s">
        <v>2551</v>
      </c>
      <c r="AB9200" s="2" t="s">
        <v>55196</v>
      </c>
      <c r="AC9200" t="s">
        <v>54</v>
      </c>
      <c r="AD9200" t="s">
        <v>54</v>
      </c>
      <c r="AE9200" t="s">
        <v>1716</v>
      </c>
      <c r="AG9200" t="s">
        <v>55197</v>
      </c>
      <c r="AH9200" t="s">
        <v>55198</v>
      </c>
      <c r="AI9200" t="s">
        <v>55199</v>
      </c>
    </row>
    <row r="9201" spans="2:35" ht="180">
      <c r="B9201" s="1">
        <v>44970</v>
      </c>
      <c r="C9201" s="4">
        <v>44967.640972222223</v>
      </c>
      <c r="D9201" t="s">
        <v>29494</v>
      </c>
      <c r="E9201" t="s">
        <v>25960</v>
      </c>
      <c r="F9201">
        <v>3</v>
      </c>
      <c r="G9201" t="s">
        <v>174</v>
      </c>
      <c r="H9201" t="s">
        <v>39</v>
      </c>
      <c r="I9201" t="s">
        <v>40</v>
      </c>
      <c r="J9201" s="2" t="s">
        <v>62</v>
      </c>
      <c r="K9201" t="s">
        <v>42</v>
      </c>
      <c r="L9201" t="s">
        <v>175</v>
      </c>
      <c r="Q9201">
        <v>23396</v>
      </c>
      <c r="R9201" t="s">
        <v>119</v>
      </c>
      <c r="S9201" t="s">
        <v>55200</v>
      </c>
      <c r="T9201">
        <v>28</v>
      </c>
      <c r="U9201" s="2" t="s">
        <v>55201</v>
      </c>
      <c r="V9201" s="1">
        <v>44945</v>
      </c>
      <c r="W9201" t="s">
        <v>6776</v>
      </c>
      <c r="X9201">
        <v>831711</v>
      </c>
      <c r="Y9201" t="s">
        <v>6777</v>
      </c>
      <c r="Z9201" t="s">
        <v>875</v>
      </c>
      <c r="AA9201" t="e">
        <f ca="1">- checked &amp; cleaned cartridge bay, plunger rod, I CORE slot, _xludf.filter
- performed XpertCheck
- generated reports
- performed functionality test</f>
        <v>#NAME?</v>
      </c>
      <c r="AB9201" t="s">
        <v>54953</v>
      </c>
      <c r="AD9201" t="s">
        <v>22701</v>
      </c>
      <c r="AE9201">
        <v>9516</v>
      </c>
      <c r="AG9201" t="s">
        <v>55202</v>
      </c>
      <c r="AH9201" t="s">
        <v>29498</v>
      </c>
      <c r="AI9201" t="s">
        <v>55203</v>
      </c>
    </row>
    <row r="9202" spans="2:35" ht="180">
      <c r="B9202" s="1">
        <v>44970</v>
      </c>
      <c r="C9202" s="4">
        <v>44966.594444444447</v>
      </c>
      <c r="D9202" t="s">
        <v>23946</v>
      </c>
      <c r="E9202" t="s">
        <v>420</v>
      </c>
      <c r="F9202" t="s">
        <v>148</v>
      </c>
      <c r="G9202" t="s">
        <v>421</v>
      </c>
      <c r="H9202" t="s">
        <v>39</v>
      </c>
      <c r="I9202" t="s">
        <v>40</v>
      </c>
      <c r="J9202" s="2" t="s">
        <v>62</v>
      </c>
      <c r="K9202" t="s">
        <v>42</v>
      </c>
      <c r="L9202" t="s">
        <v>175</v>
      </c>
      <c r="Q9202">
        <v>23392</v>
      </c>
      <c r="R9202" t="s">
        <v>119</v>
      </c>
      <c r="S9202" t="s">
        <v>3747</v>
      </c>
      <c r="T9202">
        <v>25</v>
      </c>
      <c r="U9202" s="2" t="s">
        <v>55204</v>
      </c>
      <c r="V9202" s="1">
        <v>44944</v>
      </c>
      <c r="W9202" t="s">
        <v>84</v>
      </c>
      <c r="X9202">
        <v>831696</v>
      </c>
      <c r="Y9202" t="s">
        <v>6777</v>
      </c>
      <c r="Z9202" t="s">
        <v>875</v>
      </c>
      <c r="AA9202" t="e">
        <f ca="1">- checked &amp; cleaned cartridge bay, plunger rod, I CORE slot, _xludf.filter
- performed XpertCheck
- generated reports
- performed functionality test</f>
        <v>#NAME?</v>
      </c>
      <c r="AB9202" t="s">
        <v>54953</v>
      </c>
      <c r="AD9202" t="s">
        <v>5056</v>
      </c>
      <c r="AE9202">
        <v>9495</v>
      </c>
      <c r="AG9202" t="s">
        <v>55205</v>
      </c>
      <c r="AH9202" t="s">
        <v>3750</v>
      </c>
      <c r="AI9202" t="s">
        <v>55206</v>
      </c>
    </row>
    <row r="9203" spans="2:35" ht="180">
      <c r="B9203" s="1">
        <v>44970</v>
      </c>
      <c r="C9203" s="4">
        <v>44965.640277777777</v>
      </c>
      <c r="D9203" t="s">
        <v>20529</v>
      </c>
      <c r="E9203" t="s">
        <v>34013</v>
      </c>
      <c r="F9203" t="s">
        <v>148</v>
      </c>
      <c r="G9203" t="s">
        <v>371</v>
      </c>
      <c r="H9203" t="s">
        <v>39</v>
      </c>
      <c r="I9203" t="s">
        <v>40</v>
      </c>
      <c r="J9203" t="s">
        <v>583</v>
      </c>
      <c r="K9203" t="s">
        <v>42</v>
      </c>
      <c r="L9203" t="s">
        <v>175</v>
      </c>
      <c r="Q9203">
        <v>23393</v>
      </c>
      <c r="R9203" t="s">
        <v>45</v>
      </c>
      <c r="S9203" t="s">
        <v>20530</v>
      </c>
      <c r="T9203">
        <v>25</v>
      </c>
      <c r="U9203" s="2" t="s">
        <v>55207</v>
      </c>
      <c r="W9203" t="s">
        <v>84</v>
      </c>
      <c r="X9203">
        <v>831906</v>
      </c>
      <c r="Y9203" t="s">
        <v>8255</v>
      </c>
      <c r="Z9203" t="s">
        <v>55208</v>
      </c>
      <c r="AA9203" t="e">
        <f ca="1">- Relocated Unit
- performed functionality test
- generated reports
- checked UPS</f>
        <v>#NAME?</v>
      </c>
      <c r="AB9203" t="s">
        <v>55209</v>
      </c>
      <c r="AG9203" t="s">
        <v>55210</v>
      </c>
      <c r="AH9203" t="s">
        <v>28277</v>
      </c>
      <c r="AI9203" t="s">
        <v>55211</v>
      </c>
    </row>
    <row r="9204" spans="2:35" ht="180">
      <c r="B9204" s="1">
        <v>44970</v>
      </c>
      <c r="C9204" s="4">
        <v>44966.488194444442</v>
      </c>
      <c r="D9204" t="s">
        <v>27781</v>
      </c>
      <c r="E9204" t="s">
        <v>420</v>
      </c>
      <c r="F9204" t="s">
        <v>148</v>
      </c>
      <c r="G9204" t="s">
        <v>421</v>
      </c>
      <c r="H9204" t="s">
        <v>39</v>
      </c>
      <c r="I9204" t="s">
        <v>40</v>
      </c>
      <c r="J9204" s="2" t="s">
        <v>62</v>
      </c>
      <c r="K9204" t="s">
        <v>42</v>
      </c>
      <c r="L9204" t="s">
        <v>175</v>
      </c>
      <c r="Q9204">
        <v>23395</v>
      </c>
      <c r="R9204" t="s">
        <v>119</v>
      </c>
      <c r="S9204" t="s">
        <v>27782</v>
      </c>
      <c r="T9204">
        <v>25</v>
      </c>
      <c r="U9204" s="2" t="s">
        <v>55212</v>
      </c>
      <c r="V9204" s="1">
        <v>44944</v>
      </c>
      <c r="W9204" t="s">
        <v>84</v>
      </c>
      <c r="X9204">
        <v>831914</v>
      </c>
      <c r="Y9204" t="s">
        <v>6777</v>
      </c>
      <c r="Z9204" t="s">
        <v>875</v>
      </c>
      <c r="AA9204" t="e">
        <f ca="1">- checked &amp; cleaned cartridge bay, plunger rod, I CORE slot, _xludf.filter
- performed XpertCheck except on B3 since it is already Reported _xludf.For replacement.
- generated reports
- performed functionality test</f>
        <v>#NAME?</v>
      </c>
      <c r="AB9204" t="s">
        <v>55213</v>
      </c>
      <c r="AD9204" t="s">
        <v>7189</v>
      </c>
      <c r="AE9204">
        <v>9494</v>
      </c>
      <c r="AG9204" t="s">
        <v>55214</v>
      </c>
      <c r="AH9204" t="s">
        <v>27786</v>
      </c>
      <c r="AI9204" t="s">
        <v>55215</v>
      </c>
    </row>
    <row r="9205" spans="2:35" ht="180">
      <c r="B9205" s="1">
        <v>44970</v>
      </c>
      <c r="C9205" s="4">
        <v>44965.532638888886</v>
      </c>
      <c r="D9205" t="s">
        <v>1607</v>
      </c>
      <c r="E9205" t="s">
        <v>42877</v>
      </c>
      <c r="F9205" t="s">
        <v>148</v>
      </c>
      <c r="G9205" t="s">
        <v>371</v>
      </c>
      <c r="H9205" t="s">
        <v>39</v>
      </c>
      <c r="I9205" t="s">
        <v>40</v>
      </c>
      <c r="J9205" s="2" t="s">
        <v>41</v>
      </c>
      <c r="K9205" t="s">
        <v>42</v>
      </c>
      <c r="L9205" t="s">
        <v>175</v>
      </c>
      <c r="Q9205">
        <v>23394</v>
      </c>
      <c r="R9205" t="s">
        <v>45</v>
      </c>
      <c r="S9205" t="s">
        <v>1609</v>
      </c>
      <c r="T9205">
        <v>25</v>
      </c>
      <c r="U9205" s="2" t="s">
        <v>55216</v>
      </c>
      <c r="V9205" s="1">
        <v>44963</v>
      </c>
      <c r="W9205" t="s">
        <v>84</v>
      </c>
      <c r="X9205">
        <v>815395</v>
      </c>
      <c r="Y9205" t="s">
        <v>55217</v>
      </c>
      <c r="Z9205" t="s">
        <v>712</v>
      </c>
      <c r="AA9205" t="e">
        <f ca="1">- checked &amp; cleaned cartridge bay, plunger rod, I CORE slot, _xludf.filter
- replaced module B2
- generated reports
- performed functionality test</f>
        <v>#NAME?</v>
      </c>
      <c r="AB9205" t="s">
        <v>88</v>
      </c>
      <c r="AD9205" s="2" t="s">
        <v>55218</v>
      </c>
      <c r="AE9205" t="s">
        <v>55219</v>
      </c>
      <c r="AG9205" t="s">
        <v>55220</v>
      </c>
      <c r="AH9205" t="s">
        <v>55221</v>
      </c>
      <c r="AI9205" t="s">
        <v>55222</v>
      </c>
    </row>
    <row r="9206" spans="2:35" ht="409.5">
      <c r="B9206" s="1">
        <v>44970</v>
      </c>
      <c r="C9206" s="4">
        <v>44967.542361111111</v>
      </c>
      <c r="D9206" t="s">
        <v>4183</v>
      </c>
      <c r="E9206" t="s">
        <v>20596</v>
      </c>
      <c r="F9206">
        <v>3</v>
      </c>
      <c r="G9206" t="s">
        <v>134</v>
      </c>
      <c r="H9206" t="s">
        <v>55223</v>
      </c>
      <c r="I9206" t="s">
        <v>40</v>
      </c>
      <c r="J9206" s="2" t="s">
        <v>62</v>
      </c>
      <c r="K9206" t="s">
        <v>42</v>
      </c>
      <c r="L9206" t="s">
        <v>175</v>
      </c>
      <c r="Q9206">
        <v>23393</v>
      </c>
      <c r="R9206" t="s">
        <v>95</v>
      </c>
      <c r="S9206" t="s">
        <v>9328</v>
      </c>
      <c r="T9206">
        <v>25</v>
      </c>
      <c r="U9206" s="2" t="s">
        <v>55224</v>
      </c>
      <c r="V9206" s="1">
        <v>44967</v>
      </c>
      <c r="W9206" t="s">
        <v>84</v>
      </c>
      <c r="X9206">
        <v>812571</v>
      </c>
      <c r="Y9206" t="s">
        <v>6777</v>
      </c>
      <c r="Z9206" t="s">
        <v>875</v>
      </c>
      <c r="AA9206" s="2" t="s">
        <v>55225</v>
      </c>
      <c r="AB9206" t="s">
        <v>55226</v>
      </c>
      <c r="AD9206" t="s">
        <v>7189</v>
      </c>
      <c r="AE9206">
        <v>9578</v>
      </c>
      <c r="AG9206" t="s">
        <v>55227</v>
      </c>
      <c r="AH9206" t="s">
        <v>14739</v>
      </c>
      <c r="AI9206" t="s">
        <v>55228</v>
      </c>
    </row>
    <row r="9207" spans="2:35" ht="210">
      <c r="B9207" s="1">
        <v>44970</v>
      </c>
      <c r="C9207" s="4">
        <v>44967.447916666664</v>
      </c>
      <c r="D9207" t="s">
        <v>146</v>
      </c>
      <c r="E9207" t="s">
        <v>28042</v>
      </c>
      <c r="F9207" t="s">
        <v>148</v>
      </c>
      <c r="G9207" t="s">
        <v>149</v>
      </c>
      <c r="H9207" t="s">
        <v>386</v>
      </c>
      <c r="I9207" t="s">
        <v>40</v>
      </c>
      <c r="J9207" t="s">
        <v>109</v>
      </c>
      <c r="K9207" t="s">
        <v>387</v>
      </c>
      <c r="L9207" t="s">
        <v>43</v>
      </c>
      <c r="Q9207">
        <v>23390</v>
      </c>
      <c r="R9207" t="s">
        <v>95</v>
      </c>
      <c r="S9207" t="s">
        <v>17157</v>
      </c>
      <c r="T9207">
        <v>24</v>
      </c>
      <c r="W9207" t="s">
        <v>390</v>
      </c>
      <c r="X9207" t="s">
        <v>391</v>
      </c>
      <c r="Y9207" t="s">
        <v>121</v>
      </c>
      <c r="Z9207" t="s">
        <v>122</v>
      </c>
      <c r="AA9207" s="2" t="s">
        <v>55229</v>
      </c>
      <c r="AB9207" t="s">
        <v>88</v>
      </c>
      <c r="AG9207" t="s">
        <v>55230</v>
      </c>
      <c r="AH9207" t="s">
        <v>17163</v>
      </c>
      <c r="AI9207" t="s">
        <v>55231</v>
      </c>
    </row>
    <row r="9208" spans="2:35" ht="270">
      <c r="B9208" s="1">
        <v>44970</v>
      </c>
      <c r="C9208" s="4">
        <v>44967.561111111114</v>
      </c>
      <c r="D9208" t="s">
        <v>1678</v>
      </c>
      <c r="E9208" t="s">
        <v>55232</v>
      </c>
      <c r="F9208" t="s">
        <v>148</v>
      </c>
      <c r="G9208" t="s">
        <v>785</v>
      </c>
      <c r="H9208" t="s">
        <v>39</v>
      </c>
      <c r="I9208" t="s">
        <v>40</v>
      </c>
      <c r="J9208" s="2" t="s">
        <v>190</v>
      </c>
      <c r="K9208" t="s">
        <v>42</v>
      </c>
      <c r="L9208" t="s">
        <v>43</v>
      </c>
      <c r="Q9208">
        <v>23391</v>
      </c>
      <c r="R9208" t="s">
        <v>719</v>
      </c>
      <c r="S9208" t="s">
        <v>18437</v>
      </c>
      <c r="T9208">
        <v>26</v>
      </c>
      <c r="U9208" s="2" t="s">
        <v>55233</v>
      </c>
      <c r="W9208" t="s">
        <v>9792</v>
      </c>
      <c r="X9208">
        <v>843924</v>
      </c>
      <c r="Y9208" t="s">
        <v>55234</v>
      </c>
      <c r="Z9208" t="s">
        <v>55235</v>
      </c>
      <c r="AA9208" s="2" t="s">
        <v>55236</v>
      </c>
      <c r="AB9208" t="s">
        <v>55237</v>
      </c>
      <c r="AC9208" t="s">
        <v>55238</v>
      </c>
      <c r="AG9208" t="s">
        <v>55239</v>
      </c>
      <c r="AH9208" t="s">
        <v>1684</v>
      </c>
      <c r="AI9208" t="s">
        <v>55240</v>
      </c>
    </row>
    <row r="9209" spans="2:35" ht="375">
      <c r="B9209" s="1">
        <v>44970</v>
      </c>
      <c r="C9209" s="4">
        <v>44964.487500000003</v>
      </c>
      <c r="D9209" t="s">
        <v>4379</v>
      </c>
      <c r="E9209" t="s">
        <v>55241</v>
      </c>
      <c r="F9209" t="s">
        <v>148</v>
      </c>
      <c r="G9209" t="s">
        <v>785</v>
      </c>
      <c r="H9209" t="s">
        <v>39</v>
      </c>
      <c r="I9209" t="s">
        <v>40</v>
      </c>
      <c r="J9209" s="2" t="s">
        <v>41</v>
      </c>
      <c r="K9209" t="s">
        <v>42</v>
      </c>
      <c r="L9209" t="s">
        <v>43</v>
      </c>
      <c r="Q9209">
        <v>23385</v>
      </c>
      <c r="R9209" t="s">
        <v>45</v>
      </c>
      <c r="S9209" t="s">
        <v>4382</v>
      </c>
      <c r="T9209">
        <v>25</v>
      </c>
      <c r="U9209" s="2" t="s">
        <v>55242</v>
      </c>
      <c r="V9209" s="1">
        <v>44963</v>
      </c>
      <c r="W9209" t="s">
        <v>9792</v>
      </c>
      <c r="X9209">
        <v>814374</v>
      </c>
      <c r="Y9209" t="s">
        <v>42572</v>
      </c>
      <c r="Z9209" t="s">
        <v>7399</v>
      </c>
      <c r="AA9209" s="2" t="s">
        <v>11546</v>
      </c>
      <c r="AB9209" t="s">
        <v>16412</v>
      </c>
      <c r="AD9209" s="2" t="s">
        <v>55243</v>
      </c>
      <c r="AE9209" t="s">
        <v>55244</v>
      </c>
      <c r="AG9209" t="s">
        <v>55245</v>
      </c>
      <c r="AH9209" t="s">
        <v>55246</v>
      </c>
      <c r="AI9209" t="s">
        <v>55247</v>
      </c>
    </row>
    <row r="9210" spans="2:35" ht="390">
      <c r="B9210" s="1">
        <v>44970</v>
      </c>
      <c r="C9210" s="4">
        <v>44967.428472222222</v>
      </c>
      <c r="D9210" t="s">
        <v>146</v>
      </c>
      <c r="E9210" t="s">
        <v>28042</v>
      </c>
      <c r="F9210" t="s">
        <v>148</v>
      </c>
      <c r="G9210" t="s">
        <v>149</v>
      </c>
      <c r="H9210" t="s">
        <v>150</v>
      </c>
      <c r="I9210" t="s">
        <v>40</v>
      </c>
      <c r="J9210" t="s">
        <v>109</v>
      </c>
      <c r="K9210" t="s">
        <v>42</v>
      </c>
      <c r="L9210" t="s">
        <v>43</v>
      </c>
      <c r="Q9210">
        <v>23388</v>
      </c>
      <c r="R9210" t="s">
        <v>95</v>
      </c>
      <c r="S9210" t="s">
        <v>22735</v>
      </c>
      <c r="T9210">
        <v>24</v>
      </c>
      <c r="U9210" s="2" t="s">
        <v>55248</v>
      </c>
      <c r="W9210" t="s">
        <v>9792</v>
      </c>
      <c r="X9210">
        <v>110003714</v>
      </c>
      <c r="Y9210" t="s">
        <v>121</v>
      </c>
      <c r="Z9210" t="s">
        <v>122</v>
      </c>
      <c r="AA9210" s="2" t="s">
        <v>43548</v>
      </c>
      <c r="AB9210" t="s">
        <v>16412</v>
      </c>
      <c r="AG9210" t="s">
        <v>55249</v>
      </c>
      <c r="AH9210" t="s">
        <v>55250</v>
      </c>
      <c r="AI9210" t="s">
        <v>55251</v>
      </c>
    </row>
    <row r="9211" spans="2:35" ht="255">
      <c r="B9211" s="1">
        <v>44970</v>
      </c>
      <c r="C9211" s="4">
        <v>44964.53125</v>
      </c>
      <c r="D9211" t="s">
        <v>4379</v>
      </c>
      <c r="E9211" t="s">
        <v>55241</v>
      </c>
      <c r="F9211" t="s">
        <v>148</v>
      </c>
      <c r="G9211" t="s">
        <v>785</v>
      </c>
      <c r="H9211" t="s">
        <v>39</v>
      </c>
      <c r="I9211" t="s">
        <v>40</v>
      </c>
      <c r="J9211" t="s">
        <v>109</v>
      </c>
      <c r="K9211" t="s">
        <v>42</v>
      </c>
      <c r="L9211" t="s">
        <v>43</v>
      </c>
      <c r="Q9211">
        <v>23386</v>
      </c>
      <c r="R9211" t="s">
        <v>322</v>
      </c>
      <c r="S9211" t="s">
        <v>4382</v>
      </c>
      <c r="T9211">
        <v>25</v>
      </c>
      <c r="U9211" s="2" t="s">
        <v>55252</v>
      </c>
      <c r="W9211" t="s">
        <v>40863</v>
      </c>
      <c r="X9211">
        <v>838627</v>
      </c>
      <c r="Y9211" t="s">
        <v>55253</v>
      </c>
      <c r="Z9211" t="s">
        <v>55254</v>
      </c>
      <c r="AA9211" s="2" t="s">
        <v>55255</v>
      </c>
      <c r="AB9211" t="s">
        <v>55256</v>
      </c>
      <c r="AC9211" t="s">
        <v>55257</v>
      </c>
      <c r="AG9211" t="s">
        <v>55258</v>
      </c>
      <c r="AH9211" t="s">
        <v>55259</v>
      </c>
      <c r="AI9211" t="s">
        <v>55260</v>
      </c>
    </row>
    <row r="9212" spans="2:35" ht="180">
      <c r="B9212" s="1">
        <v>44970</v>
      </c>
      <c r="C9212" s="4">
        <v>44966.568055555559</v>
      </c>
      <c r="D9212" t="s">
        <v>33352</v>
      </c>
      <c r="E9212" t="s">
        <v>29043</v>
      </c>
      <c r="F9212" t="s">
        <v>37</v>
      </c>
      <c r="G9212" t="s">
        <v>2499</v>
      </c>
      <c r="H9212" t="s">
        <v>39</v>
      </c>
      <c r="I9212" t="s">
        <v>40</v>
      </c>
      <c r="J9212" s="2" t="s">
        <v>41</v>
      </c>
      <c r="K9212" t="s">
        <v>42</v>
      </c>
      <c r="L9212" t="s">
        <v>43</v>
      </c>
      <c r="Q9212">
        <v>23389</v>
      </c>
      <c r="R9212" t="s">
        <v>45</v>
      </c>
      <c r="S9212" t="s">
        <v>29044</v>
      </c>
      <c r="T9212">
        <v>25</v>
      </c>
      <c r="U9212" s="2" t="s">
        <v>55261</v>
      </c>
      <c r="W9212" t="s">
        <v>9792</v>
      </c>
      <c r="X9212">
        <v>807608</v>
      </c>
      <c r="Y9212" t="s">
        <v>55262</v>
      </c>
      <c r="Z9212" t="s">
        <v>7399</v>
      </c>
      <c r="AA9212" s="2" t="s">
        <v>50824</v>
      </c>
      <c r="AB9212" t="s">
        <v>16412</v>
      </c>
      <c r="AC9212" t="s">
        <v>55263</v>
      </c>
      <c r="AG9212" t="s">
        <v>55264</v>
      </c>
      <c r="AH9212" t="s">
        <v>35387</v>
      </c>
      <c r="AI9212" t="s">
        <v>55265</v>
      </c>
    </row>
    <row r="9213" spans="2:35" ht="285">
      <c r="B9213" s="1">
        <v>44970</v>
      </c>
      <c r="C9213" s="4">
        <v>44964.649305555555</v>
      </c>
      <c r="D9213" t="s">
        <v>4553</v>
      </c>
      <c r="E9213" t="s">
        <v>55266</v>
      </c>
      <c r="F9213" t="s">
        <v>148</v>
      </c>
      <c r="G9213" t="s">
        <v>149</v>
      </c>
      <c r="H9213" t="s">
        <v>39</v>
      </c>
      <c r="I9213" t="s">
        <v>40</v>
      </c>
      <c r="J9213" s="2" t="s">
        <v>62</v>
      </c>
      <c r="K9213" t="s">
        <v>42</v>
      </c>
      <c r="L9213" t="s">
        <v>43</v>
      </c>
      <c r="Q9213">
        <v>23387</v>
      </c>
      <c r="R9213" t="s">
        <v>119</v>
      </c>
      <c r="S9213" t="s">
        <v>4555</v>
      </c>
      <c r="T9213">
        <v>26</v>
      </c>
      <c r="U9213" s="2" t="s">
        <v>55267</v>
      </c>
      <c r="V9213" s="1">
        <v>44946</v>
      </c>
      <c r="W9213" t="s">
        <v>9792</v>
      </c>
      <c r="X9213">
        <v>831598</v>
      </c>
      <c r="Y9213" t="s">
        <v>1111</v>
      </c>
      <c r="Z9213" t="s">
        <v>999</v>
      </c>
      <c r="AA9213" s="2" t="s">
        <v>38266</v>
      </c>
      <c r="AB9213" t="s">
        <v>55268</v>
      </c>
      <c r="AC9213" t="s">
        <v>55269</v>
      </c>
      <c r="AD9213" t="s">
        <v>39229</v>
      </c>
      <c r="AE9213" t="s">
        <v>55270</v>
      </c>
      <c r="AG9213" t="s">
        <v>55271</v>
      </c>
      <c r="AH9213" t="s">
        <v>4559</v>
      </c>
      <c r="AI9213" t="s">
        <v>55272</v>
      </c>
    </row>
    <row r="9214" spans="2:35" ht="195">
      <c r="B9214" s="1">
        <v>44969</v>
      </c>
      <c r="C9214" s="4">
        <v>44969.59375</v>
      </c>
      <c r="D9214" t="s">
        <v>55273</v>
      </c>
      <c r="E9214" t="s">
        <v>55274</v>
      </c>
      <c r="F9214">
        <v>5</v>
      </c>
      <c r="G9214" t="s">
        <v>5795</v>
      </c>
      <c r="H9214" t="s">
        <v>39</v>
      </c>
      <c r="I9214" t="s">
        <v>40</v>
      </c>
      <c r="J9214" s="2" t="s">
        <v>41</v>
      </c>
      <c r="K9214" t="s">
        <v>42</v>
      </c>
      <c r="L9214" t="s">
        <v>80</v>
      </c>
      <c r="Q9214">
        <v>23384</v>
      </c>
      <c r="R9214" t="s">
        <v>45</v>
      </c>
      <c r="S9214" t="s">
        <v>37546</v>
      </c>
      <c r="T9214">
        <v>28</v>
      </c>
      <c r="U9214" s="2" t="s">
        <v>5556</v>
      </c>
      <c r="V9214" s="1">
        <v>44969</v>
      </c>
      <c r="W9214" t="s">
        <v>360</v>
      </c>
      <c r="X9214">
        <v>807600</v>
      </c>
      <c r="Y9214" s="2" t="s">
        <v>55275</v>
      </c>
      <c r="Z9214" t="s">
        <v>55276</v>
      </c>
      <c r="AA9214" s="2" t="s">
        <v>55277</v>
      </c>
      <c r="AB9214" t="s">
        <v>1188</v>
      </c>
      <c r="AD9214" t="s">
        <v>55278</v>
      </c>
      <c r="AE9214" t="s">
        <v>103</v>
      </c>
      <c r="AG9214" t="s">
        <v>55279</v>
      </c>
      <c r="AH9214" t="s">
        <v>37551</v>
      </c>
      <c r="AI9214" t="s">
        <v>55280</v>
      </c>
    </row>
    <row r="9215" spans="2:35" ht="195">
      <c r="B9215" s="1">
        <v>44968</v>
      </c>
      <c r="C9215" s="4">
        <v>44967.462500000001</v>
      </c>
      <c r="D9215" t="s">
        <v>32619</v>
      </c>
      <c r="E9215" t="s">
        <v>55281</v>
      </c>
      <c r="F9215" t="s">
        <v>37</v>
      </c>
      <c r="G9215" t="s">
        <v>78</v>
      </c>
      <c r="H9215" t="s">
        <v>39</v>
      </c>
      <c r="I9215" t="s">
        <v>40</v>
      </c>
      <c r="J9215" s="2" t="s">
        <v>62</v>
      </c>
      <c r="K9215" t="s">
        <v>42</v>
      </c>
      <c r="L9215" t="s">
        <v>1943</v>
      </c>
      <c r="Q9215">
        <v>23382</v>
      </c>
      <c r="R9215" t="s">
        <v>45</v>
      </c>
      <c r="S9215" t="s">
        <v>32621</v>
      </c>
      <c r="T9215">
        <v>26</v>
      </c>
      <c r="U9215" s="2" t="s">
        <v>55282</v>
      </c>
      <c r="V9215" s="1">
        <v>44967</v>
      </c>
      <c r="W9215" t="s">
        <v>84</v>
      </c>
      <c r="X9215">
        <v>838132</v>
      </c>
      <c r="Y9215" s="2" t="s">
        <v>3044</v>
      </c>
      <c r="Z9215" s="2" t="s">
        <v>47457</v>
      </c>
      <c r="AA9215" t="s">
        <v>3045</v>
      </c>
      <c r="AB9215" t="s">
        <v>55283</v>
      </c>
      <c r="AD9215" t="s">
        <v>11518</v>
      </c>
      <c r="AE9215" t="s">
        <v>1716</v>
      </c>
      <c r="AG9215" t="s">
        <v>55284</v>
      </c>
      <c r="AH9215" t="s">
        <v>55285</v>
      </c>
      <c r="AI9215" t="s">
        <v>55286</v>
      </c>
    </row>
    <row r="9216" spans="2:35" ht="255">
      <c r="B9216" s="1">
        <v>44968</v>
      </c>
      <c r="C9216" s="4">
        <v>44967.597222222219</v>
      </c>
      <c r="D9216" t="s">
        <v>2638</v>
      </c>
      <c r="E9216" t="s">
        <v>2639</v>
      </c>
      <c r="F9216" t="s">
        <v>37</v>
      </c>
      <c r="G9216" t="s">
        <v>78</v>
      </c>
      <c r="H9216" t="s">
        <v>39</v>
      </c>
      <c r="I9216" t="s">
        <v>40</v>
      </c>
      <c r="J9216" s="2" t="s">
        <v>4208</v>
      </c>
      <c r="K9216" t="s">
        <v>42</v>
      </c>
      <c r="L9216" t="s">
        <v>1943</v>
      </c>
      <c r="Q9216">
        <v>23383</v>
      </c>
      <c r="R9216" t="s">
        <v>45</v>
      </c>
      <c r="S9216" t="s">
        <v>46584</v>
      </c>
      <c r="T9216">
        <v>28</v>
      </c>
      <c r="U9216" s="2" t="s">
        <v>55287</v>
      </c>
      <c r="W9216" t="s">
        <v>84</v>
      </c>
      <c r="X9216">
        <v>804716</v>
      </c>
      <c r="Y9216" s="2" t="s">
        <v>55288</v>
      </c>
      <c r="Z9216" s="2" t="s">
        <v>55289</v>
      </c>
      <c r="AA9216" t="s">
        <v>55290</v>
      </c>
      <c r="AB9216" t="s">
        <v>55291</v>
      </c>
      <c r="AG9216" t="s">
        <v>55292</v>
      </c>
      <c r="AH9216" t="s">
        <v>2643</v>
      </c>
      <c r="AI9216" t="s">
        <v>55293</v>
      </c>
    </row>
    <row r="9217" spans="2:35" ht="255">
      <c r="B9217" s="1">
        <v>44968</v>
      </c>
      <c r="C9217" s="4">
        <v>44967.597222222219</v>
      </c>
      <c r="D9217" t="s">
        <v>2638</v>
      </c>
      <c r="E9217" t="s">
        <v>2639</v>
      </c>
      <c r="F9217" t="s">
        <v>37</v>
      </c>
      <c r="G9217" t="s">
        <v>78</v>
      </c>
      <c r="H9217" t="s">
        <v>39</v>
      </c>
      <c r="I9217" t="s">
        <v>40</v>
      </c>
      <c r="J9217" s="2" t="s">
        <v>4208</v>
      </c>
      <c r="K9217" t="s">
        <v>42</v>
      </c>
      <c r="L9217" t="s">
        <v>1943</v>
      </c>
      <c r="Q9217">
        <v>23380</v>
      </c>
      <c r="R9217" t="s">
        <v>45</v>
      </c>
      <c r="S9217" t="s">
        <v>46584</v>
      </c>
      <c r="T9217">
        <v>28</v>
      </c>
      <c r="U9217" s="2" t="s">
        <v>55287</v>
      </c>
      <c r="W9217" t="s">
        <v>84</v>
      </c>
      <c r="X9217">
        <v>804716</v>
      </c>
      <c r="Y9217" s="2" t="s">
        <v>55288</v>
      </c>
      <c r="Z9217" s="2" t="s">
        <v>55289</v>
      </c>
      <c r="AA9217" t="s">
        <v>55290</v>
      </c>
      <c r="AB9217" t="s">
        <v>55291</v>
      </c>
      <c r="AG9217" t="s">
        <v>55294</v>
      </c>
      <c r="AH9217" t="s">
        <v>2643</v>
      </c>
      <c r="AI9217" t="s">
        <v>55295</v>
      </c>
    </row>
    <row r="9218" spans="2:35" ht="195">
      <c r="B9218" s="1">
        <v>44968</v>
      </c>
      <c r="C9218" s="4">
        <v>44967.462500000001</v>
      </c>
      <c r="D9218" t="s">
        <v>32619</v>
      </c>
      <c r="E9218" t="s">
        <v>55281</v>
      </c>
      <c r="F9218" t="s">
        <v>37</v>
      </c>
      <c r="G9218" t="s">
        <v>78</v>
      </c>
      <c r="H9218" t="s">
        <v>39</v>
      </c>
      <c r="I9218" t="s">
        <v>40</v>
      </c>
      <c r="J9218" s="2" t="s">
        <v>62</v>
      </c>
      <c r="K9218" t="s">
        <v>42</v>
      </c>
      <c r="L9218" t="s">
        <v>1943</v>
      </c>
      <c r="Q9218">
        <v>23381</v>
      </c>
      <c r="R9218" t="s">
        <v>45</v>
      </c>
      <c r="S9218" t="s">
        <v>32621</v>
      </c>
      <c r="T9218">
        <v>26</v>
      </c>
      <c r="U9218" s="2" t="s">
        <v>55282</v>
      </c>
      <c r="V9218" s="1">
        <v>44967</v>
      </c>
      <c r="W9218" t="s">
        <v>84</v>
      </c>
      <c r="X9218">
        <v>838132</v>
      </c>
      <c r="Y9218" s="2" t="s">
        <v>3044</v>
      </c>
      <c r="Z9218" s="2" t="s">
        <v>47457</v>
      </c>
      <c r="AA9218" t="s">
        <v>3045</v>
      </c>
      <c r="AB9218" t="s">
        <v>55283</v>
      </c>
      <c r="AD9218" t="s">
        <v>11518</v>
      </c>
      <c r="AE9218" t="s">
        <v>1716</v>
      </c>
      <c r="AG9218" t="s">
        <v>55296</v>
      </c>
      <c r="AH9218" t="s">
        <v>55285</v>
      </c>
      <c r="AI9218" t="s">
        <v>55297</v>
      </c>
    </row>
    <row r="9219" spans="2:35" ht="360">
      <c r="B9219" s="1">
        <v>44967</v>
      </c>
      <c r="C9219" s="4">
        <v>44967.6</v>
      </c>
      <c r="D9219" t="s">
        <v>11265</v>
      </c>
      <c r="E9219" t="s">
        <v>32968</v>
      </c>
      <c r="F9219">
        <v>3</v>
      </c>
      <c r="G9219" t="s">
        <v>1722</v>
      </c>
      <c r="H9219" t="s">
        <v>39</v>
      </c>
      <c r="I9219" t="s">
        <v>40</v>
      </c>
      <c r="J9219" t="s">
        <v>109</v>
      </c>
      <c r="K9219" t="s">
        <v>42</v>
      </c>
      <c r="L9219" t="s">
        <v>63</v>
      </c>
      <c r="Q9219">
        <v>23379</v>
      </c>
      <c r="R9219" t="s">
        <v>322</v>
      </c>
      <c r="S9219" t="s">
        <v>55298</v>
      </c>
      <c r="T9219">
        <v>24</v>
      </c>
      <c r="U9219" s="2" t="s">
        <v>55299</v>
      </c>
      <c r="V9219" s="1">
        <v>44967</v>
      </c>
      <c r="W9219" t="s">
        <v>26915</v>
      </c>
      <c r="X9219">
        <v>110013773</v>
      </c>
      <c r="Y9219" t="s">
        <v>1716</v>
      </c>
      <c r="Z9219" t="s">
        <v>1716</v>
      </c>
      <c r="AA9219" s="2" t="s">
        <v>55300</v>
      </c>
      <c r="AB9219" t="s">
        <v>70</v>
      </c>
      <c r="AC9219" t="s">
        <v>1716</v>
      </c>
      <c r="AD9219" t="s">
        <v>1716</v>
      </c>
      <c r="AE9219" t="s">
        <v>1716</v>
      </c>
      <c r="AG9219" t="s">
        <v>55301</v>
      </c>
      <c r="AH9219" t="s">
        <v>45261</v>
      </c>
      <c r="AI9219" t="s">
        <v>55302</v>
      </c>
    </row>
    <row r="9220" spans="2:35" ht="360">
      <c r="B9220" s="1">
        <v>44967</v>
      </c>
      <c r="C9220" s="4">
        <v>44967.6</v>
      </c>
      <c r="D9220" t="s">
        <v>11265</v>
      </c>
      <c r="E9220" t="s">
        <v>32968</v>
      </c>
      <c r="F9220">
        <v>3</v>
      </c>
      <c r="G9220" t="s">
        <v>1722</v>
      </c>
      <c r="H9220" t="s">
        <v>39</v>
      </c>
      <c r="I9220" t="s">
        <v>40</v>
      </c>
      <c r="J9220" t="s">
        <v>109</v>
      </c>
      <c r="K9220" t="s">
        <v>42</v>
      </c>
      <c r="L9220" t="s">
        <v>63</v>
      </c>
      <c r="Q9220">
        <v>23378</v>
      </c>
      <c r="R9220" t="s">
        <v>322</v>
      </c>
      <c r="S9220" t="s">
        <v>55298</v>
      </c>
      <c r="T9220">
        <v>24</v>
      </c>
      <c r="U9220" s="2" t="s">
        <v>55299</v>
      </c>
      <c r="V9220" s="1">
        <v>44967</v>
      </c>
      <c r="W9220" t="s">
        <v>26915</v>
      </c>
      <c r="X9220">
        <v>110013773</v>
      </c>
      <c r="Y9220" t="s">
        <v>1716</v>
      </c>
      <c r="Z9220" t="s">
        <v>1716</v>
      </c>
      <c r="AA9220" s="2" t="s">
        <v>55300</v>
      </c>
      <c r="AB9220" t="s">
        <v>70</v>
      </c>
      <c r="AC9220" t="s">
        <v>1716</v>
      </c>
      <c r="AD9220" t="s">
        <v>1716</v>
      </c>
      <c r="AE9220" t="s">
        <v>1716</v>
      </c>
      <c r="AG9220" t="s">
        <v>55303</v>
      </c>
      <c r="AH9220" t="s">
        <v>45261</v>
      </c>
      <c r="AI9220" t="s">
        <v>55304</v>
      </c>
    </row>
    <row r="9221" spans="2:35" ht="330">
      <c r="B9221" s="1">
        <v>44967</v>
      </c>
      <c r="C9221" s="4">
        <v>44967.680555555555</v>
      </c>
      <c r="D9221" t="s">
        <v>55305</v>
      </c>
      <c r="E9221" t="s">
        <v>49558</v>
      </c>
      <c r="F9221" t="s">
        <v>148</v>
      </c>
      <c r="G9221" t="s">
        <v>447</v>
      </c>
      <c r="H9221" t="s">
        <v>662</v>
      </c>
      <c r="I9221" t="s">
        <v>40</v>
      </c>
      <c r="J9221" s="2" t="s">
        <v>41</v>
      </c>
      <c r="K9221" t="s">
        <v>42</v>
      </c>
      <c r="L9221" t="s">
        <v>448</v>
      </c>
      <c r="Q9221">
        <v>23377</v>
      </c>
      <c r="R9221" t="s">
        <v>45</v>
      </c>
      <c r="S9221" t="s">
        <v>17810</v>
      </c>
      <c r="T9221">
        <v>22</v>
      </c>
      <c r="U9221" s="2" t="s">
        <v>55306</v>
      </c>
      <c r="V9221" s="1">
        <v>44963</v>
      </c>
      <c r="W9221" t="s">
        <v>502</v>
      </c>
      <c r="X9221">
        <v>834443</v>
      </c>
      <c r="Y9221" t="s">
        <v>55307</v>
      </c>
      <c r="Z9221" t="s">
        <v>55308</v>
      </c>
      <c r="AA9221" t="s">
        <v>27527</v>
      </c>
      <c r="AB9221" t="s">
        <v>55309</v>
      </c>
      <c r="AD9221" t="s">
        <v>53813</v>
      </c>
      <c r="AE9221" t="s">
        <v>55310</v>
      </c>
      <c r="AG9221" t="s">
        <v>55311</v>
      </c>
      <c r="AH9221" t="s">
        <v>39860</v>
      </c>
      <c r="AI9221" t="s">
        <v>55312</v>
      </c>
    </row>
    <row r="9222" spans="2:35" ht="330">
      <c r="B9222" s="1">
        <v>44967</v>
      </c>
      <c r="C9222" s="4">
        <v>44967.680555555555</v>
      </c>
      <c r="D9222" t="s">
        <v>55305</v>
      </c>
      <c r="E9222" t="s">
        <v>49558</v>
      </c>
      <c r="F9222" t="s">
        <v>148</v>
      </c>
      <c r="G9222" t="s">
        <v>447</v>
      </c>
      <c r="H9222" t="s">
        <v>662</v>
      </c>
      <c r="I9222" t="s">
        <v>40</v>
      </c>
      <c r="J9222" s="2" t="s">
        <v>41</v>
      </c>
      <c r="K9222" t="s">
        <v>42</v>
      </c>
      <c r="L9222" t="s">
        <v>448</v>
      </c>
      <c r="Q9222">
        <v>23376</v>
      </c>
      <c r="R9222" t="s">
        <v>45</v>
      </c>
      <c r="S9222" t="s">
        <v>17810</v>
      </c>
      <c r="T9222">
        <v>22</v>
      </c>
      <c r="U9222" s="2" t="s">
        <v>55306</v>
      </c>
      <c r="V9222" s="1">
        <v>44963</v>
      </c>
      <c r="W9222" t="s">
        <v>502</v>
      </c>
      <c r="X9222">
        <v>834443</v>
      </c>
      <c r="Y9222" t="s">
        <v>55307</v>
      </c>
      <c r="Z9222" t="s">
        <v>55308</v>
      </c>
      <c r="AA9222" t="s">
        <v>27527</v>
      </c>
      <c r="AB9222" t="s">
        <v>55309</v>
      </c>
      <c r="AD9222" t="s">
        <v>53813</v>
      </c>
      <c r="AE9222" t="s">
        <v>55310</v>
      </c>
      <c r="AG9222" t="s">
        <v>55313</v>
      </c>
      <c r="AH9222" t="s">
        <v>39860</v>
      </c>
      <c r="AI9222" t="s">
        <v>55314</v>
      </c>
    </row>
    <row r="9223" spans="2:35" ht="330">
      <c r="B9223" s="1">
        <v>44967</v>
      </c>
      <c r="C9223" s="4">
        <v>44967.6875</v>
      </c>
      <c r="D9223" t="s">
        <v>38422</v>
      </c>
      <c r="E9223" t="s">
        <v>49558</v>
      </c>
      <c r="F9223" t="s">
        <v>148</v>
      </c>
      <c r="G9223" t="s">
        <v>447</v>
      </c>
      <c r="H9223" t="s">
        <v>662</v>
      </c>
      <c r="I9223" t="s">
        <v>40</v>
      </c>
      <c r="J9223" t="s">
        <v>109</v>
      </c>
      <c r="K9223" t="s">
        <v>42</v>
      </c>
      <c r="L9223" t="s">
        <v>448</v>
      </c>
      <c r="Q9223">
        <v>23375</v>
      </c>
      <c r="R9223" t="s">
        <v>322</v>
      </c>
      <c r="S9223" t="s">
        <v>17810</v>
      </c>
      <c r="T9223">
        <v>25</v>
      </c>
      <c r="U9223" s="2" t="s">
        <v>55306</v>
      </c>
      <c r="W9223" t="s">
        <v>502</v>
      </c>
      <c r="X9223">
        <v>804260</v>
      </c>
      <c r="Y9223" t="s">
        <v>121</v>
      </c>
      <c r="Z9223" t="s">
        <v>55308</v>
      </c>
      <c r="AA9223" t="s">
        <v>6997</v>
      </c>
      <c r="AB9223" t="s">
        <v>486</v>
      </c>
      <c r="AG9223" t="s">
        <v>55315</v>
      </c>
      <c r="AH9223" t="s">
        <v>39860</v>
      </c>
      <c r="AI9223" t="s">
        <v>55316</v>
      </c>
    </row>
    <row r="9224" spans="2:35" ht="330">
      <c r="B9224" s="1">
        <v>44967</v>
      </c>
      <c r="C9224" s="4">
        <v>44967.6875</v>
      </c>
      <c r="D9224" t="s">
        <v>38422</v>
      </c>
      <c r="E9224" t="s">
        <v>49558</v>
      </c>
      <c r="F9224" t="s">
        <v>148</v>
      </c>
      <c r="G9224" t="s">
        <v>447</v>
      </c>
      <c r="H9224" t="s">
        <v>662</v>
      </c>
      <c r="I9224" t="s">
        <v>40</v>
      </c>
      <c r="J9224" t="s">
        <v>109</v>
      </c>
      <c r="K9224" t="s">
        <v>42</v>
      </c>
      <c r="L9224" t="s">
        <v>448</v>
      </c>
      <c r="Q9224">
        <v>23374</v>
      </c>
      <c r="R9224" t="s">
        <v>322</v>
      </c>
      <c r="S9224" t="s">
        <v>17810</v>
      </c>
      <c r="T9224">
        <v>25</v>
      </c>
      <c r="U9224" s="2" t="s">
        <v>55306</v>
      </c>
      <c r="W9224" t="s">
        <v>502</v>
      </c>
      <c r="X9224">
        <v>804260</v>
      </c>
      <c r="Y9224" t="s">
        <v>121</v>
      </c>
      <c r="Z9224" t="s">
        <v>55308</v>
      </c>
      <c r="AA9224" t="s">
        <v>6997</v>
      </c>
      <c r="AB9224" t="s">
        <v>486</v>
      </c>
      <c r="AG9224" t="s">
        <v>55317</v>
      </c>
      <c r="AH9224" t="s">
        <v>39860</v>
      </c>
      <c r="AI9224" t="s">
        <v>55318</v>
      </c>
    </row>
    <row r="9225" spans="2:35" ht="240">
      <c r="B9225" s="1">
        <v>44967</v>
      </c>
      <c r="C9225" s="4">
        <v>44967.634027777778</v>
      </c>
      <c r="D9225" t="s">
        <v>17458</v>
      </c>
      <c r="E9225" t="s">
        <v>55319</v>
      </c>
      <c r="F9225">
        <v>5</v>
      </c>
      <c r="G9225" t="s">
        <v>759</v>
      </c>
      <c r="H9225" t="s">
        <v>513</v>
      </c>
      <c r="I9225" t="s">
        <v>40</v>
      </c>
      <c r="J9225" s="2" t="s">
        <v>1444</v>
      </c>
      <c r="K9225" t="s">
        <v>387</v>
      </c>
      <c r="L9225" t="s">
        <v>80</v>
      </c>
      <c r="Q9225">
        <v>23373</v>
      </c>
      <c r="R9225" t="s">
        <v>95</v>
      </c>
      <c r="S9225" t="s">
        <v>55320</v>
      </c>
      <c r="T9225">
        <v>25</v>
      </c>
      <c r="V9225" s="1">
        <v>44967</v>
      </c>
      <c r="W9225" t="s">
        <v>390</v>
      </c>
      <c r="X9225" t="s">
        <v>17461</v>
      </c>
      <c r="Y9225" t="s">
        <v>55321</v>
      </c>
      <c r="Z9225" s="2" t="s">
        <v>55322</v>
      </c>
      <c r="AA9225" s="2" t="s">
        <v>55323</v>
      </c>
      <c r="AB9225" t="s">
        <v>88</v>
      </c>
      <c r="AD9225" t="s">
        <v>103</v>
      </c>
      <c r="AE9225" t="s">
        <v>103</v>
      </c>
      <c r="AG9225" t="s">
        <v>55324</v>
      </c>
      <c r="AH9225" t="s">
        <v>17465</v>
      </c>
      <c r="AI9225" t="s">
        <v>55325</v>
      </c>
    </row>
    <row r="9226" spans="2:35" ht="285">
      <c r="B9226" s="1">
        <v>44967</v>
      </c>
      <c r="C9226" s="4">
        <v>44967.613888888889</v>
      </c>
      <c r="D9226" t="s">
        <v>55326</v>
      </c>
      <c r="E9226" t="s">
        <v>55319</v>
      </c>
      <c r="F9226">
        <v>5</v>
      </c>
      <c r="G9226" t="s">
        <v>759</v>
      </c>
      <c r="H9226" t="s">
        <v>39</v>
      </c>
      <c r="I9226" t="s">
        <v>40</v>
      </c>
      <c r="J9226" s="2" t="s">
        <v>1808</v>
      </c>
      <c r="K9226" t="s">
        <v>42</v>
      </c>
      <c r="L9226" t="s">
        <v>80</v>
      </c>
      <c r="Q9226">
        <v>23372</v>
      </c>
      <c r="R9226" t="s">
        <v>45</v>
      </c>
      <c r="S9226" t="s">
        <v>4983</v>
      </c>
      <c r="T9226">
        <v>26</v>
      </c>
      <c r="U9226" s="2" t="s">
        <v>55327</v>
      </c>
      <c r="V9226" s="1">
        <v>44967</v>
      </c>
      <c r="W9226" t="s">
        <v>502</v>
      </c>
      <c r="X9226">
        <v>808636</v>
      </c>
      <c r="Y9226" t="s">
        <v>55328</v>
      </c>
      <c r="Z9226" t="s">
        <v>55329</v>
      </c>
      <c r="AA9226" s="2" t="s">
        <v>55330</v>
      </c>
      <c r="AB9226" t="s">
        <v>32359</v>
      </c>
      <c r="AD9226" s="2" t="s">
        <v>55331</v>
      </c>
      <c r="AE9226" t="s">
        <v>103</v>
      </c>
      <c r="AG9226" t="s">
        <v>55332</v>
      </c>
      <c r="AH9226" t="s">
        <v>41876</v>
      </c>
      <c r="AI9226" t="s">
        <v>55333</v>
      </c>
    </row>
    <row r="9227" spans="2:35" ht="180">
      <c r="B9227" s="1">
        <v>44967</v>
      </c>
      <c r="C9227" s="4">
        <v>44967.557638888888</v>
      </c>
      <c r="D9227" t="s">
        <v>55334</v>
      </c>
      <c r="E9227" t="s">
        <v>15515</v>
      </c>
      <c r="F9227">
        <v>6</v>
      </c>
      <c r="G9227" t="s">
        <v>4457</v>
      </c>
      <c r="H9227" t="s">
        <v>10969</v>
      </c>
      <c r="I9227" t="s">
        <v>40</v>
      </c>
      <c r="J9227" s="2" t="s">
        <v>609</v>
      </c>
      <c r="K9227" t="s">
        <v>42</v>
      </c>
      <c r="L9227" t="s">
        <v>1288</v>
      </c>
      <c r="Q9227">
        <v>23371</v>
      </c>
      <c r="R9227" t="s">
        <v>119</v>
      </c>
      <c r="S9227" t="s">
        <v>42737</v>
      </c>
      <c r="T9227">
        <v>27</v>
      </c>
      <c r="U9227" s="2" t="s">
        <v>55335</v>
      </c>
      <c r="W9227" t="s">
        <v>1292</v>
      </c>
      <c r="X9227">
        <v>838457</v>
      </c>
      <c r="Y9227" t="e">
        <f ca="1">-PROBE Check _xludf.error
-Preventive Maintenance</f>
        <v>#NAME?</v>
      </c>
      <c r="Z9227" t="e">
        <f ca="1">-COLLECT IQR,system _xludf.Log,ARCHIVE, _xludf.and ASSAT stat</f>
        <v>#NAME?</v>
      </c>
      <c r="AA9227" t="e">
        <f ca="1">-PERFORM PM
-cartridge HANDLING</f>
        <v>#NAME?</v>
      </c>
      <c r="AB9227" t="s">
        <v>1293</v>
      </c>
      <c r="AG9227" t="s">
        <v>55336</v>
      </c>
      <c r="AH9227" t="s">
        <v>55337</v>
      </c>
      <c r="AI9227" t="s">
        <v>55338</v>
      </c>
    </row>
    <row r="9228" spans="2:35" ht="180">
      <c r="B9228" s="1">
        <v>44967</v>
      </c>
      <c r="C9228" s="4">
        <v>44966.788888888892</v>
      </c>
      <c r="D9228" t="s">
        <v>51985</v>
      </c>
      <c r="E9228" t="s">
        <v>55339</v>
      </c>
      <c r="F9228" t="s">
        <v>148</v>
      </c>
      <c r="G9228" t="s">
        <v>447</v>
      </c>
      <c r="H9228" t="s">
        <v>39</v>
      </c>
      <c r="I9228" t="s">
        <v>40</v>
      </c>
      <c r="J9228" s="2" t="s">
        <v>62</v>
      </c>
      <c r="K9228" t="s">
        <v>42</v>
      </c>
      <c r="L9228" t="s">
        <v>448</v>
      </c>
      <c r="Q9228">
        <v>23370</v>
      </c>
      <c r="R9228" t="s">
        <v>119</v>
      </c>
      <c r="S9228" t="s">
        <v>51987</v>
      </c>
      <c r="T9228">
        <v>25</v>
      </c>
      <c r="U9228" s="2" t="s">
        <v>55340</v>
      </c>
      <c r="V9228" s="1">
        <v>44946</v>
      </c>
      <c r="W9228" t="s">
        <v>502</v>
      </c>
      <c r="X9228">
        <v>831901</v>
      </c>
      <c r="Y9228" t="s">
        <v>44551</v>
      </c>
      <c r="Z9228" t="s">
        <v>55341</v>
      </c>
      <c r="AA9228" t="s">
        <v>24030</v>
      </c>
      <c r="AB9228" t="s">
        <v>55342</v>
      </c>
      <c r="AD9228" t="s">
        <v>11518</v>
      </c>
      <c r="AE9228">
        <v>9535</v>
      </c>
      <c r="AG9228" t="s">
        <v>55343</v>
      </c>
      <c r="AH9228" t="s">
        <v>22602</v>
      </c>
      <c r="AI9228" t="s">
        <v>55344</v>
      </c>
    </row>
    <row r="9229" spans="2:35" ht="180">
      <c r="B9229" s="1">
        <v>44967</v>
      </c>
      <c r="C9229" s="4">
        <v>44966.793055555558</v>
      </c>
      <c r="D9229" t="s">
        <v>55345</v>
      </c>
      <c r="E9229" t="s">
        <v>55346</v>
      </c>
      <c r="F9229" t="s">
        <v>148</v>
      </c>
      <c r="G9229" t="s">
        <v>447</v>
      </c>
      <c r="H9229" t="s">
        <v>39</v>
      </c>
      <c r="I9229" t="s">
        <v>40</v>
      </c>
      <c r="J9229" t="s">
        <v>109</v>
      </c>
      <c r="K9229" t="s">
        <v>42</v>
      </c>
      <c r="L9229" t="s">
        <v>448</v>
      </c>
      <c r="Q9229">
        <v>23369</v>
      </c>
      <c r="R9229" t="s">
        <v>703</v>
      </c>
      <c r="S9229" t="s">
        <v>50901</v>
      </c>
      <c r="T9229">
        <v>24</v>
      </c>
      <c r="U9229" s="2" t="s">
        <v>55347</v>
      </c>
      <c r="W9229" t="s">
        <v>502</v>
      </c>
      <c r="X9229">
        <v>840975</v>
      </c>
      <c r="Y9229" t="s">
        <v>121</v>
      </c>
      <c r="Z9229" t="s">
        <v>55308</v>
      </c>
      <c r="AA9229" t="s">
        <v>6997</v>
      </c>
      <c r="AB9229" t="s">
        <v>486</v>
      </c>
      <c r="AG9229" t="s">
        <v>55348</v>
      </c>
      <c r="AH9229" t="s">
        <v>50904</v>
      </c>
      <c r="AI9229" t="s">
        <v>55349</v>
      </c>
    </row>
    <row r="9230" spans="2:35" ht="150">
      <c r="B9230" s="1">
        <v>44967</v>
      </c>
      <c r="C9230" s="4">
        <v>44966.150694444441</v>
      </c>
      <c r="D9230" t="s">
        <v>55350</v>
      </c>
      <c r="E9230" t="s">
        <v>55351</v>
      </c>
      <c r="F9230" t="s">
        <v>1181</v>
      </c>
      <c r="G9230" t="s">
        <v>6612</v>
      </c>
      <c r="H9230" t="s">
        <v>39</v>
      </c>
      <c r="I9230" t="s">
        <v>40</v>
      </c>
      <c r="J9230" s="2" t="s">
        <v>41</v>
      </c>
      <c r="K9230" t="s">
        <v>42</v>
      </c>
      <c r="L9230" t="s">
        <v>1028</v>
      </c>
      <c r="Q9230">
        <v>23368</v>
      </c>
      <c r="R9230" t="s">
        <v>45</v>
      </c>
      <c r="S9230" t="s">
        <v>55352</v>
      </c>
      <c r="T9230">
        <v>26</v>
      </c>
      <c r="U9230" s="2" t="s">
        <v>8581</v>
      </c>
      <c r="W9230" t="s">
        <v>43617</v>
      </c>
      <c r="X9230">
        <v>835089</v>
      </c>
      <c r="Y9230" t="s">
        <v>33257</v>
      </c>
      <c r="Z9230" t="s">
        <v>2129</v>
      </c>
      <c r="AA9230" s="2" t="s">
        <v>55353</v>
      </c>
      <c r="AB9230" t="s">
        <v>1263</v>
      </c>
      <c r="AG9230" t="s">
        <v>55354</v>
      </c>
      <c r="AH9230" t="s">
        <v>55355</v>
      </c>
      <c r="AI9230" t="s">
        <v>55356</v>
      </c>
    </row>
    <row r="9231" spans="2:35" ht="210">
      <c r="B9231" s="1">
        <v>44967</v>
      </c>
      <c r="C9231" s="4">
        <v>44964.51458333333</v>
      </c>
      <c r="D9231" t="s">
        <v>7219</v>
      </c>
      <c r="E9231" t="s">
        <v>55357</v>
      </c>
      <c r="F9231" t="s">
        <v>148</v>
      </c>
      <c r="G9231" t="s">
        <v>310</v>
      </c>
      <c r="H9231" t="s">
        <v>39</v>
      </c>
      <c r="I9231" t="s">
        <v>40</v>
      </c>
      <c r="J9231" s="2" t="s">
        <v>62</v>
      </c>
      <c r="K9231" t="s">
        <v>42</v>
      </c>
      <c r="L9231" t="s">
        <v>1028</v>
      </c>
      <c r="Q9231">
        <v>23365</v>
      </c>
      <c r="R9231" t="s">
        <v>45</v>
      </c>
      <c r="S9231" t="s">
        <v>55358</v>
      </c>
      <c r="T9231">
        <v>24</v>
      </c>
      <c r="U9231" s="2" t="s">
        <v>55359</v>
      </c>
      <c r="W9231" t="s">
        <v>2680</v>
      </c>
      <c r="X9231">
        <v>707843</v>
      </c>
      <c r="Y9231" t="s">
        <v>18140</v>
      </c>
      <c r="Z9231" s="2" t="s">
        <v>46035</v>
      </c>
      <c r="AA9231" s="2" t="s">
        <v>55360</v>
      </c>
      <c r="AB9231" t="s">
        <v>55361</v>
      </c>
      <c r="AG9231" t="s">
        <v>55362</v>
      </c>
      <c r="AH9231" t="s">
        <v>55363</v>
      </c>
      <c r="AI9231" t="s">
        <v>55364</v>
      </c>
    </row>
    <row r="9232" spans="2:35" ht="210">
      <c r="B9232" s="1">
        <v>44967</v>
      </c>
      <c r="C9232" s="4">
        <v>44964.502083333333</v>
      </c>
      <c r="D9232" t="s">
        <v>7219</v>
      </c>
      <c r="E9232" t="s">
        <v>55357</v>
      </c>
      <c r="F9232" t="s">
        <v>148</v>
      </c>
      <c r="G9232" t="s">
        <v>310</v>
      </c>
      <c r="H9232" t="s">
        <v>39</v>
      </c>
      <c r="I9232" t="s">
        <v>40</v>
      </c>
      <c r="J9232" t="s">
        <v>79</v>
      </c>
      <c r="K9232" t="s">
        <v>42</v>
      </c>
      <c r="L9232" t="s">
        <v>1028</v>
      </c>
      <c r="Q9232">
        <v>23366</v>
      </c>
      <c r="R9232" t="s">
        <v>45</v>
      </c>
      <c r="S9232" t="s">
        <v>55358</v>
      </c>
      <c r="T9232">
        <v>23</v>
      </c>
      <c r="U9232" s="2" t="s">
        <v>55359</v>
      </c>
      <c r="V9232" s="1">
        <v>44963</v>
      </c>
      <c r="W9232" t="s">
        <v>2680</v>
      </c>
      <c r="X9232">
        <v>804766</v>
      </c>
      <c r="Y9232" t="s">
        <v>55365</v>
      </c>
      <c r="Z9232" t="s">
        <v>5712</v>
      </c>
      <c r="AA9232" s="2" t="s">
        <v>55366</v>
      </c>
      <c r="AB9232" t="s">
        <v>55367</v>
      </c>
      <c r="AC9232" t="s">
        <v>55368</v>
      </c>
      <c r="AD9232" t="s">
        <v>27381</v>
      </c>
      <c r="AE9232" t="s">
        <v>55369</v>
      </c>
      <c r="AG9232" t="s">
        <v>55370</v>
      </c>
      <c r="AH9232" t="s">
        <v>55363</v>
      </c>
      <c r="AI9232" t="s">
        <v>55371</v>
      </c>
    </row>
    <row r="9233" spans="2:35" ht="210">
      <c r="B9233" s="1">
        <v>44967</v>
      </c>
      <c r="C9233" s="4">
        <v>44964.636805555558</v>
      </c>
      <c r="D9233" t="s">
        <v>55372</v>
      </c>
      <c r="E9233" t="s">
        <v>55373</v>
      </c>
      <c r="F9233" t="s">
        <v>37</v>
      </c>
      <c r="G9233" t="s">
        <v>748</v>
      </c>
      <c r="H9233" t="s">
        <v>39</v>
      </c>
      <c r="I9233" t="s">
        <v>40</v>
      </c>
      <c r="J9233" s="2" t="s">
        <v>62</v>
      </c>
      <c r="K9233" t="s">
        <v>42</v>
      </c>
      <c r="L9233" t="s">
        <v>1028</v>
      </c>
      <c r="Q9233">
        <v>23367</v>
      </c>
      <c r="R9233" t="s">
        <v>45</v>
      </c>
      <c r="S9233" t="s">
        <v>31925</v>
      </c>
      <c r="T9233">
        <v>29</v>
      </c>
      <c r="U9233" s="2" t="s">
        <v>55374</v>
      </c>
      <c r="W9233" t="s">
        <v>2680</v>
      </c>
      <c r="X9233">
        <v>838185</v>
      </c>
      <c r="Y9233" t="s">
        <v>55375</v>
      </c>
      <c r="Z9233" t="s">
        <v>21244</v>
      </c>
      <c r="AA9233" s="2" t="s">
        <v>31300</v>
      </c>
      <c r="AB9233" t="s">
        <v>8019</v>
      </c>
      <c r="AG9233" t="s">
        <v>55376</v>
      </c>
      <c r="AH9233" t="s">
        <v>31935</v>
      </c>
      <c r="AI9233" t="s">
        <v>55377</v>
      </c>
    </row>
    <row r="9234" spans="2:35" ht="105">
      <c r="B9234" s="1">
        <v>44967</v>
      </c>
      <c r="C9234" s="4">
        <v>44960.462500000001</v>
      </c>
      <c r="D9234" t="s">
        <v>3760</v>
      </c>
      <c r="E9234" t="s">
        <v>55378</v>
      </c>
      <c r="F9234" t="s">
        <v>37</v>
      </c>
      <c r="G9234" t="s">
        <v>748</v>
      </c>
      <c r="H9234" t="s">
        <v>39</v>
      </c>
      <c r="I9234" t="s">
        <v>40</v>
      </c>
      <c r="J9234" t="s">
        <v>109</v>
      </c>
      <c r="K9234" t="s">
        <v>42</v>
      </c>
      <c r="L9234" t="s">
        <v>1028</v>
      </c>
      <c r="Q9234">
        <v>23363</v>
      </c>
      <c r="R9234" t="s">
        <v>45</v>
      </c>
      <c r="S9234" t="s">
        <v>37332</v>
      </c>
      <c r="T9234">
        <v>21</v>
      </c>
      <c r="U9234" s="2" t="s">
        <v>28895</v>
      </c>
      <c r="W9234" t="s">
        <v>2680</v>
      </c>
      <c r="X9234">
        <v>838160</v>
      </c>
      <c r="Y9234" t="s">
        <v>3127</v>
      </c>
      <c r="Z9234" t="s">
        <v>6997</v>
      </c>
      <c r="AA9234" s="2" t="s">
        <v>48085</v>
      </c>
      <c r="AB9234" t="s">
        <v>55379</v>
      </c>
      <c r="AC9234" t="s">
        <v>55380</v>
      </c>
      <c r="AG9234" t="s">
        <v>55381</v>
      </c>
      <c r="AH9234" t="s">
        <v>55382</v>
      </c>
      <c r="AI9234" t="s">
        <v>55383</v>
      </c>
    </row>
    <row r="9235" spans="2:35" ht="195">
      <c r="B9235" s="1">
        <v>44967</v>
      </c>
      <c r="C9235" s="4">
        <v>44957.373611111114</v>
      </c>
      <c r="D9235" t="s">
        <v>919</v>
      </c>
      <c r="E9235" t="s">
        <v>2902</v>
      </c>
      <c r="F9235" t="s">
        <v>148</v>
      </c>
      <c r="G9235" t="s">
        <v>310</v>
      </c>
      <c r="H9235" t="s">
        <v>39</v>
      </c>
      <c r="I9235" t="s">
        <v>40</v>
      </c>
      <c r="J9235" t="s">
        <v>109</v>
      </c>
      <c r="K9235" t="s">
        <v>42</v>
      </c>
      <c r="L9235" t="s">
        <v>1028</v>
      </c>
      <c r="Q9235">
        <v>23364</v>
      </c>
      <c r="R9235" t="s">
        <v>703</v>
      </c>
      <c r="S9235" t="s">
        <v>942</v>
      </c>
      <c r="T9235">
        <v>23</v>
      </c>
      <c r="U9235" s="2" t="s">
        <v>44811</v>
      </c>
      <c r="W9235" t="s">
        <v>2680</v>
      </c>
      <c r="X9235">
        <v>110000711</v>
      </c>
      <c r="Y9235" t="s">
        <v>3127</v>
      </c>
      <c r="Z9235" t="s">
        <v>6997</v>
      </c>
      <c r="AA9235" s="2" t="s">
        <v>55384</v>
      </c>
      <c r="AB9235" t="s">
        <v>181</v>
      </c>
      <c r="AG9235" t="s">
        <v>55385</v>
      </c>
      <c r="AH9235" t="s">
        <v>47673</v>
      </c>
      <c r="AI9235" t="s">
        <v>55386</v>
      </c>
    </row>
    <row r="9236" spans="2:35" ht="165">
      <c r="B9236" s="1">
        <v>44967</v>
      </c>
      <c r="C9236" s="4">
        <v>44959.432638888888</v>
      </c>
      <c r="D9236" t="s">
        <v>29597</v>
      </c>
      <c r="E9236" t="s">
        <v>55387</v>
      </c>
      <c r="F9236" t="s">
        <v>37</v>
      </c>
      <c r="G9236" t="s">
        <v>748</v>
      </c>
      <c r="H9236" t="s">
        <v>39</v>
      </c>
      <c r="I9236" t="s">
        <v>40</v>
      </c>
      <c r="J9236" s="2" t="s">
        <v>62</v>
      </c>
      <c r="K9236" t="s">
        <v>42</v>
      </c>
      <c r="L9236" t="s">
        <v>1028</v>
      </c>
      <c r="Q9236">
        <v>23361</v>
      </c>
      <c r="R9236" t="s">
        <v>45</v>
      </c>
      <c r="S9236" t="s">
        <v>55388</v>
      </c>
      <c r="T9236">
        <v>27</v>
      </c>
      <c r="U9236" s="2" t="s">
        <v>34919</v>
      </c>
      <c r="W9236" t="s">
        <v>2680</v>
      </c>
      <c r="X9236">
        <v>838166</v>
      </c>
      <c r="Y9236" t="s">
        <v>18140</v>
      </c>
      <c r="Z9236" t="s">
        <v>21244</v>
      </c>
      <c r="AA9236" s="2" t="s">
        <v>31300</v>
      </c>
      <c r="AB9236" t="s">
        <v>55389</v>
      </c>
      <c r="AC9236" t="s">
        <v>55390</v>
      </c>
      <c r="AG9236" t="s">
        <v>55391</v>
      </c>
      <c r="AH9236" t="s">
        <v>55392</v>
      </c>
      <c r="AI9236" t="s">
        <v>55393</v>
      </c>
    </row>
    <row r="9237" spans="2:35" ht="285">
      <c r="B9237" s="1">
        <v>44967</v>
      </c>
      <c r="C9237" s="4">
        <v>44957.476388888892</v>
      </c>
      <c r="D9237" t="s">
        <v>2417</v>
      </c>
      <c r="E9237" t="s">
        <v>55394</v>
      </c>
      <c r="F9237" t="s">
        <v>148</v>
      </c>
      <c r="G9237" t="s">
        <v>774</v>
      </c>
      <c r="H9237" t="s">
        <v>39</v>
      </c>
      <c r="I9237" t="s">
        <v>40</v>
      </c>
      <c r="J9237" s="2" t="s">
        <v>1157</v>
      </c>
      <c r="K9237" t="s">
        <v>42</v>
      </c>
      <c r="L9237" t="s">
        <v>1028</v>
      </c>
      <c r="Q9237">
        <v>23360</v>
      </c>
      <c r="R9237" t="s">
        <v>45</v>
      </c>
      <c r="S9237" t="s">
        <v>22040</v>
      </c>
      <c r="T9237">
        <v>28</v>
      </c>
      <c r="U9237" s="2" t="s">
        <v>55395</v>
      </c>
      <c r="W9237" t="s">
        <v>2680</v>
      </c>
      <c r="X9237">
        <v>807613</v>
      </c>
      <c r="Y9237" s="2" t="s">
        <v>55396</v>
      </c>
      <c r="Z9237" s="2" t="s">
        <v>55397</v>
      </c>
      <c r="AA9237" s="2" t="s">
        <v>55398</v>
      </c>
      <c r="AB9237" t="s">
        <v>29585</v>
      </c>
      <c r="AC9237" t="s">
        <v>55399</v>
      </c>
      <c r="AG9237" t="s">
        <v>55400</v>
      </c>
      <c r="AH9237" t="s">
        <v>52867</v>
      </c>
      <c r="AI9237" t="s">
        <v>55401</v>
      </c>
    </row>
    <row r="9238" spans="2:35" ht="225">
      <c r="B9238" s="1">
        <v>44967</v>
      </c>
      <c r="C9238" s="4">
        <v>44958.684027777781</v>
      </c>
      <c r="D9238" t="s">
        <v>5158</v>
      </c>
      <c r="E9238" t="s">
        <v>55402</v>
      </c>
      <c r="F9238" t="s">
        <v>148</v>
      </c>
      <c r="G9238" t="s">
        <v>310</v>
      </c>
      <c r="H9238" t="s">
        <v>39</v>
      </c>
      <c r="I9238" t="s">
        <v>40</v>
      </c>
      <c r="J9238" t="s">
        <v>525</v>
      </c>
      <c r="K9238" t="s">
        <v>42</v>
      </c>
      <c r="L9238" t="s">
        <v>1028</v>
      </c>
      <c r="Q9238">
        <v>23362</v>
      </c>
      <c r="R9238" t="s">
        <v>322</v>
      </c>
      <c r="S9238" t="s">
        <v>14635</v>
      </c>
      <c r="T9238">
        <v>26</v>
      </c>
      <c r="U9238" s="2" t="s">
        <v>55403</v>
      </c>
      <c r="W9238" t="s">
        <v>55404</v>
      </c>
      <c r="X9238">
        <v>110013856</v>
      </c>
      <c r="Y9238" t="s">
        <v>55405</v>
      </c>
      <c r="Z9238" t="s">
        <v>10920</v>
      </c>
      <c r="AA9238" s="2" t="s">
        <v>55406</v>
      </c>
      <c r="AB9238" t="s">
        <v>55407</v>
      </c>
      <c r="AG9238" t="s">
        <v>55408</v>
      </c>
      <c r="AH9238" t="s">
        <v>5165</v>
      </c>
      <c r="AI9238" t="s">
        <v>55409</v>
      </c>
    </row>
    <row r="9239" spans="2:35" ht="270">
      <c r="B9239" s="1">
        <v>44967</v>
      </c>
      <c r="C9239" s="4">
        <v>44967.450694444444</v>
      </c>
      <c r="D9239" t="s">
        <v>55410</v>
      </c>
      <c r="E9239" t="s">
        <v>55411</v>
      </c>
      <c r="F9239" t="s">
        <v>148</v>
      </c>
      <c r="G9239" t="s">
        <v>2007</v>
      </c>
      <c r="H9239" t="s">
        <v>39</v>
      </c>
      <c r="I9239" t="s">
        <v>40</v>
      </c>
      <c r="J9239" t="s">
        <v>109</v>
      </c>
      <c r="K9239" t="s">
        <v>42</v>
      </c>
      <c r="L9239" t="s">
        <v>448</v>
      </c>
      <c r="Q9239">
        <v>23359</v>
      </c>
      <c r="R9239" t="s">
        <v>95</v>
      </c>
      <c r="S9239" t="s">
        <v>28491</v>
      </c>
      <c r="T9239">
        <v>25</v>
      </c>
      <c r="U9239" s="2" t="s">
        <v>55412</v>
      </c>
      <c r="W9239" t="s">
        <v>502</v>
      </c>
      <c r="X9239">
        <v>805288</v>
      </c>
      <c r="Y9239" t="s">
        <v>55413</v>
      </c>
      <c r="Z9239" t="s">
        <v>55414</v>
      </c>
      <c r="AA9239" t="s">
        <v>55415</v>
      </c>
      <c r="AB9239" t="s">
        <v>55416</v>
      </c>
      <c r="AG9239" t="s">
        <v>55417</v>
      </c>
      <c r="AH9239" t="s">
        <v>38658</v>
      </c>
      <c r="AI9239" t="s">
        <v>55418</v>
      </c>
    </row>
    <row r="9240" spans="2:35" ht="270">
      <c r="B9240" s="1">
        <v>44967</v>
      </c>
      <c r="C9240" s="4">
        <v>44967.450694444444</v>
      </c>
      <c r="D9240" t="s">
        <v>55410</v>
      </c>
      <c r="E9240" t="s">
        <v>55411</v>
      </c>
      <c r="F9240" t="s">
        <v>148</v>
      </c>
      <c r="G9240" t="s">
        <v>2007</v>
      </c>
      <c r="H9240" t="s">
        <v>39</v>
      </c>
      <c r="I9240" t="s">
        <v>40</v>
      </c>
      <c r="J9240" t="s">
        <v>109</v>
      </c>
      <c r="K9240" t="s">
        <v>42</v>
      </c>
      <c r="L9240" t="s">
        <v>448</v>
      </c>
      <c r="Q9240">
        <v>23358</v>
      </c>
      <c r="R9240" t="s">
        <v>95</v>
      </c>
      <c r="S9240" t="s">
        <v>28491</v>
      </c>
      <c r="T9240">
        <v>25</v>
      </c>
      <c r="U9240" s="2" t="s">
        <v>55412</v>
      </c>
      <c r="W9240" t="s">
        <v>502</v>
      </c>
      <c r="X9240">
        <v>805288</v>
      </c>
      <c r="Y9240" t="s">
        <v>55413</v>
      </c>
      <c r="Z9240" t="s">
        <v>55414</v>
      </c>
      <c r="AA9240" t="s">
        <v>55415</v>
      </c>
      <c r="AB9240" t="s">
        <v>55416</v>
      </c>
      <c r="AG9240" t="s">
        <v>55419</v>
      </c>
      <c r="AH9240" t="s">
        <v>38658</v>
      </c>
      <c r="AI9240" t="s">
        <v>55420</v>
      </c>
    </row>
    <row r="9241" spans="2:35" ht="270">
      <c r="B9241" s="1">
        <v>44967</v>
      </c>
      <c r="C9241" s="4">
        <v>44967.455555555556</v>
      </c>
      <c r="D9241" t="s">
        <v>55410</v>
      </c>
      <c r="E9241" t="s">
        <v>55421</v>
      </c>
      <c r="F9241" t="s">
        <v>148</v>
      </c>
      <c r="G9241" t="s">
        <v>2007</v>
      </c>
      <c r="H9241" t="s">
        <v>35243</v>
      </c>
      <c r="I9241" t="s">
        <v>40</v>
      </c>
      <c r="J9241" t="s">
        <v>109</v>
      </c>
      <c r="K9241" t="s">
        <v>42</v>
      </c>
      <c r="L9241" t="s">
        <v>448</v>
      </c>
      <c r="Q9241">
        <v>23357</v>
      </c>
      <c r="R9241" t="s">
        <v>95</v>
      </c>
      <c r="S9241" t="s">
        <v>28491</v>
      </c>
      <c r="T9241">
        <v>28</v>
      </c>
      <c r="U9241" s="2" t="s">
        <v>55422</v>
      </c>
      <c r="W9241" t="s">
        <v>502</v>
      </c>
      <c r="X9241">
        <v>110002868</v>
      </c>
      <c r="Y9241" t="s">
        <v>55423</v>
      </c>
      <c r="Z9241" t="s">
        <v>55424</v>
      </c>
      <c r="AA9241" t="s">
        <v>55415</v>
      </c>
      <c r="AB9241" t="s">
        <v>55425</v>
      </c>
      <c r="AG9241" t="s">
        <v>55426</v>
      </c>
      <c r="AH9241" t="s">
        <v>38658</v>
      </c>
      <c r="AI9241" t="s">
        <v>55427</v>
      </c>
    </row>
    <row r="9242" spans="2:35" ht="270">
      <c r="B9242" s="1">
        <v>44967</v>
      </c>
      <c r="C9242" s="4">
        <v>44967.455555555556</v>
      </c>
      <c r="D9242" t="s">
        <v>55410</v>
      </c>
      <c r="E9242" t="s">
        <v>55421</v>
      </c>
      <c r="F9242" t="s">
        <v>148</v>
      </c>
      <c r="G9242" t="s">
        <v>2007</v>
      </c>
      <c r="H9242" t="s">
        <v>35243</v>
      </c>
      <c r="I9242" t="s">
        <v>40</v>
      </c>
      <c r="J9242" t="s">
        <v>109</v>
      </c>
      <c r="K9242" t="s">
        <v>42</v>
      </c>
      <c r="L9242" t="s">
        <v>448</v>
      </c>
      <c r="Q9242">
        <v>23356</v>
      </c>
      <c r="R9242" t="s">
        <v>95</v>
      </c>
      <c r="S9242" t="s">
        <v>28491</v>
      </c>
      <c r="T9242">
        <v>28</v>
      </c>
      <c r="U9242" s="2" t="s">
        <v>55422</v>
      </c>
      <c r="W9242" t="s">
        <v>502</v>
      </c>
      <c r="X9242">
        <v>110002868</v>
      </c>
      <c r="Y9242" t="s">
        <v>55423</v>
      </c>
      <c r="Z9242" t="s">
        <v>55424</v>
      </c>
      <c r="AA9242" t="s">
        <v>55415</v>
      </c>
      <c r="AB9242" t="s">
        <v>55425</v>
      </c>
      <c r="AG9242" t="s">
        <v>55428</v>
      </c>
      <c r="AH9242" t="s">
        <v>38658</v>
      </c>
      <c r="AI9242" t="s">
        <v>55429</v>
      </c>
    </row>
    <row r="9243" spans="2:35" ht="210">
      <c r="B9243" s="1">
        <v>44967</v>
      </c>
      <c r="C9243" s="4">
        <v>44967.480555555558</v>
      </c>
      <c r="D9243" t="s">
        <v>55410</v>
      </c>
      <c r="E9243" t="s">
        <v>55421</v>
      </c>
      <c r="F9243" t="s">
        <v>148</v>
      </c>
      <c r="G9243" t="s">
        <v>2007</v>
      </c>
      <c r="H9243" t="s">
        <v>39</v>
      </c>
      <c r="I9243" t="s">
        <v>40</v>
      </c>
      <c r="J9243" t="s">
        <v>109</v>
      </c>
      <c r="K9243" t="s">
        <v>42</v>
      </c>
      <c r="L9243" t="s">
        <v>448</v>
      </c>
      <c r="Q9243">
        <v>23355</v>
      </c>
      <c r="R9243" t="s">
        <v>95</v>
      </c>
      <c r="S9243" t="s">
        <v>28491</v>
      </c>
      <c r="T9243">
        <v>28</v>
      </c>
      <c r="U9243" s="2" t="s">
        <v>55430</v>
      </c>
      <c r="W9243" t="s">
        <v>502</v>
      </c>
      <c r="X9243">
        <v>110004816</v>
      </c>
      <c r="Y9243" t="s">
        <v>55431</v>
      </c>
      <c r="Z9243" t="s">
        <v>55432</v>
      </c>
      <c r="AA9243" t="s">
        <v>55415</v>
      </c>
      <c r="AB9243" t="s">
        <v>486</v>
      </c>
      <c r="AG9243" t="s">
        <v>55433</v>
      </c>
      <c r="AH9243" t="s">
        <v>38658</v>
      </c>
      <c r="AI9243" t="s">
        <v>55434</v>
      </c>
    </row>
    <row r="9244" spans="2:35" ht="195">
      <c r="B9244" s="1">
        <v>44967</v>
      </c>
      <c r="C9244" s="4">
        <v>44966.462500000001</v>
      </c>
      <c r="D9244" t="s">
        <v>6682</v>
      </c>
      <c r="E9244" t="s">
        <v>5764</v>
      </c>
      <c r="F9244" t="s">
        <v>37</v>
      </c>
      <c r="G9244" t="s">
        <v>78</v>
      </c>
      <c r="H9244" t="s">
        <v>39</v>
      </c>
      <c r="I9244" t="s">
        <v>40</v>
      </c>
      <c r="J9244" s="2" t="s">
        <v>62</v>
      </c>
      <c r="K9244" t="s">
        <v>42</v>
      </c>
      <c r="L9244" t="s">
        <v>1943</v>
      </c>
      <c r="Q9244">
        <v>23354</v>
      </c>
      <c r="R9244" t="s">
        <v>45</v>
      </c>
      <c r="S9244" t="s">
        <v>43789</v>
      </c>
      <c r="T9244">
        <v>28</v>
      </c>
      <c r="U9244" s="2" t="s">
        <v>55435</v>
      </c>
      <c r="V9244" s="1">
        <v>44935</v>
      </c>
      <c r="W9244" t="s">
        <v>84</v>
      </c>
      <c r="X9244">
        <v>807570</v>
      </c>
      <c r="Y9244" s="2" t="s">
        <v>3044</v>
      </c>
      <c r="Z9244" s="2" t="s">
        <v>47457</v>
      </c>
      <c r="AA9244" t="s">
        <v>3045</v>
      </c>
      <c r="AB9244" t="s">
        <v>55436</v>
      </c>
      <c r="AC9244" t="s">
        <v>55437</v>
      </c>
      <c r="AD9244" t="s">
        <v>11518</v>
      </c>
      <c r="AE9244">
        <v>37930</v>
      </c>
      <c r="AG9244" t="s">
        <v>55438</v>
      </c>
      <c r="AH9244" t="s">
        <v>51836</v>
      </c>
      <c r="AI9244" t="s">
        <v>55439</v>
      </c>
    </row>
    <row r="9245" spans="2:35" ht="195">
      <c r="B9245" s="1">
        <v>44967</v>
      </c>
      <c r="C9245" s="4">
        <v>44966.462500000001</v>
      </c>
      <c r="D9245" t="s">
        <v>6682</v>
      </c>
      <c r="E9245" t="s">
        <v>5764</v>
      </c>
      <c r="F9245" t="s">
        <v>37</v>
      </c>
      <c r="G9245" t="s">
        <v>78</v>
      </c>
      <c r="H9245" t="s">
        <v>39</v>
      </c>
      <c r="I9245" t="s">
        <v>40</v>
      </c>
      <c r="J9245" s="2" t="s">
        <v>62</v>
      </c>
      <c r="K9245" t="s">
        <v>42</v>
      </c>
      <c r="L9245" t="s">
        <v>1943</v>
      </c>
      <c r="Q9245">
        <v>23353</v>
      </c>
      <c r="R9245" t="s">
        <v>45</v>
      </c>
      <c r="S9245" t="s">
        <v>43789</v>
      </c>
      <c r="T9245">
        <v>28</v>
      </c>
      <c r="U9245" s="2" t="s">
        <v>55435</v>
      </c>
      <c r="V9245" s="1">
        <v>44935</v>
      </c>
      <c r="W9245" t="s">
        <v>84</v>
      </c>
      <c r="X9245">
        <v>807570</v>
      </c>
      <c r="Y9245" s="2" t="s">
        <v>3044</v>
      </c>
      <c r="Z9245" s="2" t="s">
        <v>47457</v>
      </c>
      <c r="AA9245" t="s">
        <v>3045</v>
      </c>
      <c r="AB9245" t="s">
        <v>55436</v>
      </c>
      <c r="AC9245" t="s">
        <v>55437</v>
      </c>
      <c r="AD9245" t="s">
        <v>11518</v>
      </c>
      <c r="AE9245">
        <v>37930</v>
      </c>
      <c r="AG9245" t="s">
        <v>55438</v>
      </c>
      <c r="AH9245" t="s">
        <v>51836</v>
      </c>
      <c r="AI9245" t="s">
        <v>55439</v>
      </c>
    </row>
    <row r="9246" spans="2:35" ht="195">
      <c r="B9246" s="1">
        <v>44967</v>
      </c>
      <c r="C9246" s="4">
        <v>44966.459027777775</v>
      </c>
      <c r="D9246" t="s">
        <v>6682</v>
      </c>
      <c r="E9246" t="s">
        <v>5764</v>
      </c>
      <c r="F9246" t="s">
        <v>37</v>
      </c>
      <c r="G9246" t="s">
        <v>78</v>
      </c>
      <c r="H9246" t="s">
        <v>39</v>
      </c>
      <c r="I9246" t="s">
        <v>40</v>
      </c>
      <c r="J9246" s="2" t="s">
        <v>62</v>
      </c>
      <c r="K9246" t="s">
        <v>42</v>
      </c>
      <c r="L9246" t="s">
        <v>1943</v>
      </c>
      <c r="Q9246">
        <v>23352</v>
      </c>
      <c r="R9246" t="s">
        <v>119</v>
      </c>
      <c r="S9246" t="s">
        <v>43789</v>
      </c>
      <c r="T9246">
        <v>28</v>
      </c>
      <c r="U9246" s="2" t="s">
        <v>55440</v>
      </c>
      <c r="V9246" s="1">
        <v>44966</v>
      </c>
      <c r="W9246" t="s">
        <v>84</v>
      </c>
      <c r="X9246">
        <v>838225</v>
      </c>
      <c r="Y9246" s="2" t="s">
        <v>3044</v>
      </c>
      <c r="Z9246" s="2" t="s">
        <v>47457</v>
      </c>
      <c r="AA9246" t="s">
        <v>3045</v>
      </c>
      <c r="AB9246" t="s">
        <v>55441</v>
      </c>
      <c r="AD9246" t="s">
        <v>55442</v>
      </c>
      <c r="AE9246" t="s">
        <v>20898</v>
      </c>
      <c r="AG9246" t="s">
        <v>55443</v>
      </c>
      <c r="AH9246" t="s">
        <v>51836</v>
      </c>
      <c r="AI9246" t="s">
        <v>55444</v>
      </c>
    </row>
    <row r="9247" spans="2:35" ht="195">
      <c r="B9247" s="1">
        <v>44967</v>
      </c>
      <c r="C9247" s="4">
        <v>44966.462500000001</v>
      </c>
      <c r="D9247" t="s">
        <v>55445</v>
      </c>
      <c r="E9247" t="s">
        <v>5764</v>
      </c>
      <c r="F9247" t="s">
        <v>37</v>
      </c>
      <c r="G9247" t="s">
        <v>78</v>
      </c>
      <c r="H9247" t="s">
        <v>39</v>
      </c>
      <c r="I9247" t="s">
        <v>40</v>
      </c>
      <c r="J9247" s="2" t="s">
        <v>62</v>
      </c>
      <c r="K9247" t="s">
        <v>42</v>
      </c>
      <c r="L9247" t="s">
        <v>1943</v>
      </c>
      <c r="Q9247">
        <v>23351</v>
      </c>
      <c r="R9247" t="s">
        <v>45</v>
      </c>
      <c r="S9247" t="s">
        <v>43789</v>
      </c>
      <c r="T9247">
        <v>28</v>
      </c>
      <c r="U9247" s="2" t="s">
        <v>55435</v>
      </c>
      <c r="V9247" s="1">
        <v>44935</v>
      </c>
      <c r="W9247" t="s">
        <v>84</v>
      </c>
      <c r="X9247">
        <v>807570</v>
      </c>
      <c r="Y9247" s="2" t="s">
        <v>3044</v>
      </c>
      <c r="Z9247" s="2" t="s">
        <v>47457</v>
      </c>
      <c r="AA9247" t="s">
        <v>3045</v>
      </c>
      <c r="AB9247" t="s">
        <v>55436</v>
      </c>
      <c r="AC9247" t="s">
        <v>55437</v>
      </c>
      <c r="AD9247" t="s">
        <v>11518</v>
      </c>
      <c r="AE9247">
        <v>37930</v>
      </c>
      <c r="AG9247" t="s">
        <v>55438</v>
      </c>
      <c r="AH9247" t="s">
        <v>51836</v>
      </c>
      <c r="AI9247" t="s">
        <v>55439</v>
      </c>
    </row>
    <row r="9248" spans="2:35" ht="315">
      <c r="B9248" s="1">
        <v>44967</v>
      </c>
      <c r="C9248" s="4">
        <v>44966.568749999999</v>
      </c>
      <c r="D9248" t="s">
        <v>30476</v>
      </c>
      <c r="E9248" t="s">
        <v>55446</v>
      </c>
      <c r="F9248" t="s">
        <v>37</v>
      </c>
      <c r="G9248" t="s">
        <v>78</v>
      </c>
      <c r="H9248" t="s">
        <v>39</v>
      </c>
      <c r="I9248" t="s">
        <v>40</v>
      </c>
      <c r="J9248" s="2" t="s">
        <v>41</v>
      </c>
      <c r="K9248" t="s">
        <v>42</v>
      </c>
      <c r="L9248" t="s">
        <v>1943</v>
      </c>
      <c r="Q9248">
        <v>23350</v>
      </c>
      <c r="R9248" t="s">
        <v>45</v>
      </c>
      <c r="S9248" t="s">
        <v>53736</v>
      </c>
      <c r="T9248">
        <v>29</v>
      </c>
      <c r="U9248" s="2" t="s">
        <v>55447</v>
      </c>
      <c r="V9248" s="1">
        <v>44963</v>
      </c>
      <c r="W9248" t="s">
        <v>84</v>
      </c>
      <c r="X9248">
        <v>812794</v>
      </c>
      <c r="Y9248" s="2" t="s">
        <v>55448</v>
      </c>
      <c r="Z9248" s="2" t="s">
        <v>55449</v>
      </c>
      <c r="AA9248" t="s">
        <v>55450</v>
      </c>
      <c r="AB9248" t="s">
        <v>55451</v>
      </c>
      <c r="AD9248" t="s">
        <v>55452</v>
      </c>
      <c r="AE9248" t="s">
        <v>8904</v>
      </c>
      <c r="AG9248" t="s">
        <v>55453</v>
      </c>
      <c r="AH9248" t="s">
        <v>30481</v>
      </c>
      <c r="AI9248" t="s">
        <v>55454</v>
      </c>
    </row>
    <row r="9249" spans="2:35" ht="105">
      <c r="B9249" s="1">
        <v>44967</v>
      </c>
      <c r="C9249" s="4">
        <v>44967.418749999997</v>
      </c>
      <c r="D9249" t="s">
        <v>9711</v>
      </c>
      <c r="E9249" t="s">
        <v>9712</v>
      </c>
      <c r="F9249">
        <v>10</v>
      </c>
      <c r="G9249" t="s">
        <v>2392</v>
      </c>
      <c r="H9249" t="s">
        <v>1498</v>
      </c>
      <c r="I9249" t="s">
        <v>40</v>
      </c>
      <c r="J9249" t="s">
        <v>109</v>
      </c>
      <c r="K9249" t="s">
        <v>42</v>
      </c>
      <c r="L9249" t="s">
        <v>343</v>
      </c>
      <c r="Q9249">
        <v>23349</v>
      </c>
      <c r="R9249" t="s">
        <v>119</v>
      </c>
      <c r="S9249" t="s">
        <v>9713</v>
      </c>
      <c r="T9249">
        <v>23</v>
      </c>
      <c r="U9249" s="2" t="s">
        <v>36709</v>
      </c>
      <c r="W9249" t="s">
        <v>6105</v>
      </c>
      <c r="X9249">
        <v>838227</v>
      </c>
      <c r="Y9249" t="s">
        <v>55455</v>
      </c>
      <c r="Z9249" t="s">
        <v>301</v>
      </c>
      <c r="AA9249" t="e">
        <f ca="1">-Preventive Maintenance
-ARCHIVE test results</f>
        <v>#NAME?</v>
      </c>
      <c r="AB9249" t="s">
        <v>49924</v>
      </c>
      <c r="AG9249" t="s">
        <v>55456</v>
      </c>
      <c r="AH9249" t="s">
        <v>10681</v>
      </c>
      <c r="AI9249" t="s">
        <v>55457</v>
      </c>
    </row>
    <row r="9250" spans="2:35" ht="105">
      <c r="B9250" s="1">
        <v>44966</v>
      </c>
      <c r="C9250" s="4">
        <v>44966.661805555559</v>
      </c>
      <c r="D9250" t="s">
        <v>10703</v>
      </c>
      <c r="E9250" t="s">
        <v>9712</v>
      </c>
      <c r="F9250">
        <v>10</v>
      </c>
      <c r="G9250" t="s">
        <v>2392</v>
      </c>
      <c r="H9250" t="s">
        <v>1498</v>
      </c>
      <c r="I9250" t="s">
        <v>40</v>
      </c>
      <c r="J9250" t="s">
        <v>109</v>
      </c>
      <c r="K9250" t="s">
        <v>42</v>
      </c>
      <c r="L9250" t="s">
        <v>343</v>
      </c>
      <c r="Q9250">
        <v>23348</v>
      </c>
      <c r="R9250" t="s">
        <v>119</v>
      </c>
      <c r="S9250" t="s">
        <v>10705</v>
      </c>
      <c r="T9250">
        <v>25</v>
      </c>
      <c r="U9250" s="2" t="s">
        <v>43197</v>
      </c>
      <c r="W9250" t="s">
        <v>6105</v>
      </c>
      <c r="X9250">
        <v>838294</v>
      </c>
      <c r="Y9250" t="s">
        <v>55458</v>
      </c>
      <c r="Z9250" t="s">
        <v>103</v>
      </c>
      <c r="AA9250" t="e">
        <f ca="1">-Preventive Maintenance
-ARCHIVE test results
-COLLECT recent report _xludf.files</f>
        <v>#NAME?</v>
      </c>
      <c r="AB9250" t="s">
        <v>54629</v>
      </c>
      <c r="AG9250" t="s">
        <v>55459</v>
      </c>
      <c r="AH9250" t="s">
        <v>10708</v>
      </c>
      <c r="AI9250" t="s">
        <v>55460</v>
      </c>
    </row>
    <row r="9251" spans="2:35" ht="60">
      <c r="B9251" s="1">
        <v>44966</v>
      </c>
      <c r="C9251" s="4">
        <v>44966.626388888886</v>
      </c>
      <c r="D9251" t="s">
        <v>55461</v>
      </c>
      <c r="E9251" t="s">
        <v>49558</v>
      </c>
      <c r="F9251" t="s">
        <v>148</v>
      </c>
      <c r="G9251" t="s">
        <v>447</v>
      </c>
      <c r="H9251" t="s">
        <v>386</v>
      </c>
      <c r="I9251" t="s">
        <v>40</v>
      </c>
      <c r="J9251" s="2" t="s">
        <v>62</v>
      </c>
      <c r="K9251" t="s">
        <v>387</v>
      </c>
      <c r="L9251" t="s">
        <v>448</v>
      </c>
      <c r="Q9251">
        <v>23346</v>
      </c>
      <c r="R9251" t="s">
        <v>322</v>
      </c>
      <c r="S9251" t="s">
        <v>41494</v>
      </c>
      <c r="T9251">
        <v>26</v>
      </c>
      <c r="W9251" t="s">
        <v>436</v>
      </c>
      <c r="X9251" t="s">
        <v>5005</v>
      </c>
      <c r="Y9251" t="s">
        <v>55462</v>
      </c>
      <c r="Z9251" t="s">
        <v>55463</v>
      </c>
      <c r="AA9251" t="s">
        <v>31104</v>
      </c>
      <c r="AB9251" t="s">
        <v>486</v>
      </c>
      <c r="AG9251" t="s">
        <v>55464</v>
      </c>
      <c r="AH9251" t="s">
        <v>5010</v>
      </c>
      <c r="AI9251" t="s">
        <v>55465</v>
      </c>
    </row>
    <row r="9252" spans="2:35" ht="60">
      <c r="B9252" s="1">
        <v>44966</v>
      </c>
      <c r="C9252" s="4">
        <v>44966.646527777775</v>
      </c>
      <c r="D9252" t="s">
        <v>55461</v>
      </c>
      <c r="E9252" t="s">
        <v>49558</v>
      </c>
      <c r="F9252" t="s">
        <v>148</v>
      </c>
      <c r="G9252" t="s">
        <v>447</v>
      </c>
      <c r="H9252" t="s">
        <v>386</v>
      </c>
      <c r="I9252" t="s">
        <v>40</v>
      </c>
      <c r="J9252" s="2" t="s">
        <v>62</v>
      </c>
      <c r="K9252" t="s">
        <v>387</v>
      </c>
      <c r="L9252" t="s">
        <v>448</v>
      </c>
      <c r="Q9252">
        <v>23347</v>
      </c>
      <c r="R9252" t="s">
        <v>322</v>
      </c>
      <c r="S9252" t="s">
        <v>41494</v>
      </c>
      <c r="T9252">
        <v>26</v>
      </c>
      <c r="W9252" t="s">
        <v>49610</v>
      </c>
      <c r="X9252" t="s">
        <v>7383</v>
      </c>
      <c r="Y9252" t="s">
        <v>55462</v>
      </c>
      <c r="Z9252" t="s">
        <v>55466</v>
      </c>
      <c r="AA9252" t="s">
        <v>31104</v>
      </c>
      <c r="AB9252" t="s">
        <v>486</v>
      </c>
      <c r="AC9252" t="s">
        <v>55467</v>
      </c>
      <c r="AG9252" t="s">
        <v>55468</v>
      </c>
      <c r="AH9252" t="s">
        <v>5010</v>
      </c>
      <c r="AI9252" t="s">
        <v>55469</v>
      </c>
    </row>
    <row r="9253" spans="2:35" ht="225">
      <c r="B9253" s="1">
        <v>44966</v>
      </c>
      <c r="C9253" s="4">
        <v>44966.620833333334</v>
      </c>
      <c r="D9253" t="s">
        <v>55470</v>
      </c>
      <c r="E9253" t="s">
        <v>55471</v>
      </c>
      <c r="F9253" t="s">
        <v>148</v>
      </c>
      <c r="G9253" t="s">
        <v>310</v>
      </c>
      <c r="H9253" t="s">
        <v>55472</v>
      </c>
      <c r="I9253" t="s">
        <v>40</v>
      </c>
      <c r="J9253" t="s">
        <v>321</v>
      </c>
      <c r="K9253" t="s">
        <v>2629</v>
      </c>
      <c r="L9253" t="s">
        <v>857</v>
      </c>
      <c r="Q9253">
        <v>23345</v>
      </c>
      <c r="R9253" t="s">
        <v>95</v>
      </c>
      <c r="S9253" t="s">
        <v>18032</v>
      </c>
      <c r="T9253">
        <v>26</v>
      </c>
      <c r="V9253" s="1">
        <v>44966</v>
      </c>
      <c r="W9253" t="s">
        <v>18040</v>
      </c>
      <c r="X9253">
        <v>3116003729</v>
      </c>
      <c r="Y9253" t="s">
        <v>55473</v>
      </c>
      <c r="Z9253" t="s">
        <v>55474</v>
      </c>
      <c r="AA9253" s="2" t="s">
        <v>55475</v>
      </c>
      <c r="AB9253" t="s">
        <v>181</v>
      </c>
      <c r="AD9253" s="2" t="s">
        <v>55476</v>
      </c>
      <c r="AE9253" t="s">
        <v>54</v>
      </c>
      <c r="AG9253" t="s">
        <v>55477</v>
      </c>
      <c r="AH9253" t="s">
        <v>55478</v>
      </c>
      <c r="AI9253" t="s">
        <v>55479</v>
      </c>
    </row>
    <row r="9254" spans="2:35" ht="225">
      <c r="B9254" s="1">
        <v>44966</v>
      </c>
      <c r="C9254" s="4">
        <v>44966.620833333334</v>
      </c>
      <c r="D9254" t="s">
        <v>55470</v>
      </c>
      <c r="E9254" t="s">
        <v>55471</v>
      </c>
      <c r="F9254" t="s">
        <v>148</v>
      </c>
      <c r="G9254" t="s">
        <v>310</v>
      </c>
      <c r="H9254" t="s">
        <v>55472</v>
      </c>
      <c r="I9254" t="s">
        <v>40</v>
      </c>
      <c r="J9254" t="s">
        <v>321</v>
      </c>
      <c r="K9254" t="s">
        <v>2629</v>
      </c>
      <c r="L9254" t="s">
        <v>857</v>
      </c>
      <c r="Q9254">
        <v>23344</v>
      </c>
      <c r="R9254" t="s">
        <v>95</v>
      </c>
      <c r="S9254" t="s">
        <v>18032</v>
      </c>
      <c r="T9254">
        <v>26</v>
      </c>
      <c r="V9254" s="1">
        <v>44966</v>
      </c>
      <c r="W9254" t="s">
        <v>18040</v>
      </c>
      <c r="X9254">
        <v>3116003729</v>
      </c>
      <c r="Y9254" t="s">
        <v>55473</v>
      </c>
      <c r="Z9254" t="s">
        <v>55474</v>
      </c>
      <c r="AA9254" s="2" t="s">
        <v>55475</v>
      </c>
      <c r="AB9254" t="s">
        <v>181</v>
      </c>
      <c r="AD9254" s="2" t="s">
        <v>55476</v>
      </c>
      <c r="AE9254" t="s">
        <v>54</v>
      </c>
      <c r="AG9254" t="s">
        <v>55480</v>
      </c>
      <c r="AH9254" t="s">
        <v>55478</v>
      </c>
      <c r="AI9254" t="s">
        <v>55481</v>
      </c>
    </row>
    <row r="9255" spans="2:35" ht="105">
      <c r="B9255" s="1">
        <v>44966</v>
      </c>
      <c r="C9255" s="4">
        <v>44966.605555555558</v>
      </c>
      <c r="D9255" t="s">
        <v>44634</v>
      </c>
      <c r="E9255" t="s">
        <v>2956</v>
      </c>
      <c r="F9255">
        <v>9</v>
      </c>
      <c r="G9255" t="s">
        <v>2197</v>
      </c>
      <c r="H9255" t="s">
        <v>39</v>
      </c>
      <c r="I9255" t="s">
        <v>40</v>
      </c>
      <c r="J9255" t="s">
        <v>109</v>
      </c>
      <c r="K9255" t="s">
        <v>42</v>
      </c>
      <c r="L9255" t="s">
        <v>1257</v>
      </c>
      <c r="Q9255">
        <v>23343</v>
      </c>
      <c r="R9255" t="s">
        <v>119</v>
      </c>
      <c r="S9255" t="s">
        <v>55482</v>
      </c>
      <c r="T9255">
        <v>19</v>
      </c>
      <c r="U9255" s="2" t="s">
        <v>55483</v>
      </c>
      <c r="V9255" s="1">
        <v>44966</v>
      </c>
      <c r="W9255" t="s">
        <v>2384</v>
      </c>
      <c r="X9255">
        <v>821214</v>
      </c>
      <c r="Y9255" t="s">
        <v>55484</v>
      </c>
      <c r="Z9255" t="s">
        <v>4315</v>
      </c>
      <c r="AA9255" t="s">
        <v>4315</v>
      </c>
      <c r="AB9255" t="s">
        <v>55485</v>
      </c>
      <c r="AC9255" t="s">
        <v>55486</v>
      </c>
      <c r="AD9255" t="s">
        <v>54</v>
      </c>
      <c r="AE9255" t="s">
        <v>54</v>
      </c>
      <c r="AG9255" t="s">
        <v>55487</v>
      </c>
      <c r="AH9255" t="s">
        <v>55488</v>
      </c>
      <c r="AI9255" t="s">
        <v>55489</v>
      </c>
    </row>
    <row r="9256" spans="2:35" ht="150">
      <c r="B9256" s="1">
        <v>44966</v>
      </c>
      <c r="C9256" s="4">
        <v>44966.539583333331</v>
      </c>
      <c r="D9256" t="s">
        <v>55490</v>
      </c>
      <c r="E9256" t="s">
        <v>55491</v>
      </c>
      <c r="F9256">
        <v>10</v>
      </c>
      <c r="G9256" t="s">
        <v>8359</v>
      </c>
      <c r="H9256" t="s">
        <v>2125</v>
      </c>
      <c r="I9256" t="s">
        <v>94</v>
      </c>
      <c r="J9256" t="s">
        <v>79</v>
      </c>
      <c r="K9256" t="s">
        <v>42</v>
      </c>
      <c r="L9256" t="s">
        <v>43100</v>
      </c>
      <c r="Q9256">
        <v>23342</v>
      </c>
      <c r="R9256" t="s">
        <v>45</v>
      </c>
      <c r="S9256" t="s">
        <v>40627</v>
      </c>
      <c r="T9256">
        <v>29</v>
      </c>
      <c r="U9256" s="2" t="s">
        <v>55492</v>
      </c>
      <c r="W9256" t="s">
        <v>43102</v>
      </c>
      <c r="X9256">
        <v>815286</v>
      </c>
      <c r="Y9256" t="s">
        <v>23859</v>
      </c>
      <c r="Z9256" t="s">
        <v>55493</v>
      </c>
      <c r="AA9256" s="2" t="s">
        <v>55494</v>
      </c>
      <c r="AB9256" t="s">
        <v>486</v>
      </c>
      <c r="AG9256" t="s">
        <v>55495</v>
      </c>
      <c r="AH9256" t="s">
        <v>40633</v>
      </c>
      <c r="AI9256" t="s">
        <v>55496</v>
      </c>
    </row>
    <row r="9257" spans="2:35" ht="180">
      <c r="B9257" s="1">
        <v>44966</v>
      </c>
      <c r="C9257" s="4">
        <v>44966.561805555553</v>
      </c>
      <c r="D9257" t="s">
        <v>29075</v>
      </c>
      <c r="E9257" t="s">
        <v>34702</v>
      </c>
      <c r="F9257">
        <v>3</v>
      </c>
      <c r="G9257" t="s">
        <v>1722</v>
      </c>
      <c r="H9257" t="s">
        <v>39</v>
      </c>
      <c r="I9257" t="s">
        <v>40</v>
      </c>
      <c r="J9257" t="s">
        <v>109</v>
      </c>
      <c r="K9257" t="s">
        <v>42</v>
      </c>
      <c r="L9257" t="s">
        <v>63</v>
      </c>
      <c r="Q9257">
        <v>23341</v>
      </c>
      <c r="R9257" t="s">
        <v>119</v>
      </c>
      <c r="S9257" t="s">
        <v>55497</v>
      </c>
      <c r="T9257">
        <v>29</v>
      </c>
      <c r="U9257" s="2" t="s">
        <v>55498</v>
      </c>
      <c r="V9257" s="1">
        <v>44966</v>
      </c>
      <c r="W9257" t="s">
        <v>26915</v>
      </c>
      <c r="X9257">
        <v>831582</v>
      </c>
      <c r="Y9257" t="s">
        <v>1716</v>
      </c>
      <c r="Z9257" t="s">
        <v>1716</v>
      </c>
      <c r="AA9257" s="2" t="s">
        <v>1727</v>
      </c>
      <c r="AB9257" t="s">
        <v>70</v>
      </c>
      <c r="AC9257" t="s">
        <v>55499</v>
      </c>
      <c r="AD9257" t="s">
        <v>1716</v>
      </c>
      <c r="AE9257" t="s">
        <v>1716</v>
      </c>
      <c r="AG9257" t="s">
        <v>55500</v>
      </c>
      <c r="AH9257" t="s">
        <v>55501</v>
      </c>
      <c r="AI9257" t="s">
        <v>55502</v>
      </c>
    </row>
    <row r="9258" spans="2:35" ht="60">
      <c r="B9258" s="1">
        <v>44966</v>
      </c>
      <c r="C9258" s="4">
        <v>44966.569444444445</v>
      </c>
      <c r="D9258" t="s">
        <v>55503</v>
      </c>
      <c r="E9258" t="s">
        <v>55346</v>
      </c>
      <c r="F9258" t="s">
        <v>148</v>
      </c>
      <c r="G9258" t="s">
        <v>447</v>
      </c>
      <c r="H9258" t="s">
        <v>39</v>
      </c>
      <c r="I9258" t="s">
        <v>40</v>
      </c>
      <c r="J9258" s="2" t="s">
        <v>62</v>
      </c>
      <c r="K9258" t="s">
        <v>387</v>
      </c>
      <c r="L9258" t="s">
        <v>448</v>
      </c>
      <c r="Q9258">
        <v>23340</v>
      </c>
      <c r="R9258" t="s">
        <v>45</v>
      </c>
      <c r="S9258" t="s">
        <v>55504</v>
      </c>
      <c r="T9258">
        <v>25</v>
      </c>
      <c r="W9258" t="s">
        <v>502</v>
      </c>
      <c r="X9258">
        <v>838876</v>
      </c>
      <c r="Y9258" t="s">
        <v>50865</v>
      </c>
      <c r="Z9258" t="s">
        <v>55505</v>
      </c>
      <c r="AA9258" t="s">
        <v>28936</v>
      </c>
      <c r="AB9258" t="s">
        <v>55506</v>
      </c>
      <c r="AG9258" t="s">
        <v>55507</v>
      </c>
      <c r="AH9258" t="s">
        <v>52586</v>
      </c>
      <c r="AI9258" t="s">
        <v>55508</v>
      </c>
    </row>
    <row r="9259" spans="2:35" ht="285">
      <c r="B9259" s="1">
        <v>44966</v>
      </c>
      <c r="C9259" s="4">
        <v>44966.54791666667</v>
      </c>
      <c r="D9259" t="s">
        <v>7751</v>
      </c>
      <c r="E9259" t="s">
        <v>7752</v>
      </c>
      <c r="F9259">
        <v>13</v>
      </c>
      <c r="G9259" t="s">
        <v>4484</v>
      </c>
      <c r="H9259" t="s">
        <v>2125</v>
      </c>
      <c r="I9259" t="s">
        <v>40</v>
      </c>
      <c r="J9259" t="s">
        <v>525</v>
      </c>
      <c r="K9259" t="s">
        <v>42</v>
      </c>
      <c r="L9259" t="s">
        <v>933</v>
      </c>
      <c r="Q9259">
        <v>23339</v>
      </c>
      <c r="R9259" t="s">
        <v>119</v>
      </c>
      <c r="S9259" t="s">
        <v>11316</v>
      </c>
      <c r="T9259">
        <v>23.774999999999999</v>
      </c>
      <c r="U9259" s="2" t="s">
        <v>55509</v>
      </c>
      <c r="W9259" t="s">
        <v>3662</v>
      </c>
      <c r="X9259">
        <v>838403</v>
      </c>
      <c r="Y9259" s="2" t="s">
        <v>55510</v>
      </c>
      <c r="Z9259" t="s">
        <v>4487</v>
      </c>
      <c r="AA9259" t="s">
        <v>18765</v>
      </c>
      <c r="AB9259" s="2" t="s">
        <v>55511</v>
      </c>
      <c r="AC9259" t="s">
        <v>55512</v>
      </c>
      <c r="AG9259" t="s">
        <v>55513</v>
      </c>
      <c r="AH9259" t="s">
        <v>11318</v>
      </c>
      <c r="AI9259" t="s">
        <v>55514</v>
      </c>
    </row>
    <row r="9260" spans="2:35" ht="345">
      <c r="B9260" s="1">
        <v>44966</v>
      </c>
      <c r="C9260" s="4">
        <v>44966.529166666667</v>
      </c>
      <c r="D9260" t="s">
        <v>5783</v>
      </c>
      <c r="E9260" t="s">
        <v>55515</v>
      </c>
      <c r="F9260">
        <v>12</v>
      </c>
      <c r="G9260" t="s">
        <v>5785</v>
      </c>
      <c r="H9260" t="s">
        <v>39</v>
      </c>
      <c r="I9260" t="s">
        <v>94</v>
      </c>
      <c r="J9260" t="s">
        <v>525</v>
      </c>
      <c r="K9260" t="s">
        <v>42</v>
      </c>
      <c r="L9260" t="s">
        <v>296</v>
      </c>
      <c r="Q9260">
        <v>23338</v>
      </c>
      <c r="R9260" t="s">
        <v>119</v>
      </c>
      <c r="S9260" t="s">
        <v>20624</v>
      </c>
      <c r="T9260">
        <v>23</v>
      </c>
      <c r="U9260" s="2" t="s">
        <v>55516</v>
      </c>
      <c r="W9260" t="s">
        <v>54487</v>
      </c>
      <c r="X9260">
        <v>838546</v>
      </c>
      <c r="Y9260" t="s">
        <v>55517</v>
      </c>
      <c r="Z9260" t="s">
        <v>55518</v>
      </c>
      <c r="AA9260" s="2" t="s">
        <v>55519</v>
      </c>
      <c r="AB9260" t="s">
        <v>55520</v>
      </c>
      <c r="AG9260" t="s">
        <v>55521</v>
      </c>
      <c r="AH9260" t="s">
        <v>5791</v>
      </c>
      <c r="AI9260" t="s">
        <v>55522</v>
      </c>
    </row>
    <row r="9261" spans="2:35" ht="345">
      <c r="B9261" s="1">
        <v>44966</v>
      </c>
      <c r="C9261" s="4">
        <v>44966.529166666667</v>
      </c>
      <c r="D9261" t="s">
        <v>5783</v>
      </c>
      <c r="E9261" t="s">
        <v>55515</v>
      </c>
      <c r="F9261">
        <v>12</v>
      </c>
      <c r="G9261" t="s">
        <v>5785</v>
      </c>
      <c r="H9261" t="s">
        <v>39</v>
      </c>
      <c r="I9261" t="s">
        <v>94</v>
      </c>
      <c r="J9261" t="s">
        <v>525</v>
      </c>
      <c r="K9261" t="s">
        <v>42</v>
      </c>
      <c r="L9261" t="s">
        <v>296</v>
      </c>
      <c r="Q9261">
        <v>23337</v>
      </c>
      <c r="R9261" t="s">
        <v>119</v>
      </c>
      <c r="S9261" t="s">
        <v>20624</v>
      </c>
      <c r="T9261">
        <v>23</v>
      </c>
      <c r="U9261" s="2" t="s">
        <v>55516</v>
      </c>
      <c r="W9261" t="s">
        <v>54487</v>
      </c>
      <c r="X9261">
        <v>838546</v>
      </c>
      <c r="Y9261" t="s">
        <v>55517</v>
      </c>
      <c r="Z9261" t="s">
        <v>55518</v>
      </c>
      <c r="AA9261" s="2" t="s">
        <v>55519</v>
      </c>
      <c r="AB9261" t="s">
        <v>55520</v>
      </c>
      <c r="AG9261" t="s">
        <v>55523</v>
      </c>
      <c r="AH9261" t="s">
        <v>5791</v>
      </c>
      <c r="AI9261" t="s">
        <v>55524</v>
      </c>
    </row>
    <row r="9262" spans="2:35" ht="195">
      <c r="B9262" s="1">
        <v>44966</v>
      </c>
      <c r="C9262" s="4">
        <v>44966.462500000001</v>
      </c>
      <c r="D9262" t="s">
        <v>6682</v>
      </c>
      <c r="E9262" t="s">
        <v>5764</v>
      </c>
      <c r="F9262" t="s">
        <v>37</v>
      </c>
      <c r="G9262" t="s">
        <v>78</v>
      </c>
      <c r="H9262" t="s">
        <v>39</v>
      </c>
      <c r="I9262" t="s">
        <v>40</v>
      </c>
      <c r="J9262" s="2" t="s">
        <v>62</v>
      </c>
      <c r="K9262" t="s">
        <v>42</v>
      </c>
      <c r="L9262" t="s">
        <v>1943</v>
      </c>
      <c r="Q9262">
        <v>23336</v>
      </c>
      <c r="R9262" t="s">
        <v>45</v>
      </c>
      <c r="S9262" t="s">
        <v>43789</v>
      </c>
      <c r="T9262">
        <v>28</v>
      </c>
      <c r="U9262" s="2" t="s">
        <v>55435</v>
      </c>
      <c r="V9262" s="1">
        <v>44935</v>
      </c>
      <c r="W9262" t="s">
        <v>84</v>
      </c>
      <c r="X9262">
        <v>807570</v>
      </c>
      <c r="Y9262" s="2" t="s">
        <v>3044</v>
      </c>
      <c r="Z9262" s="2" t="s">
        <v>47457</v>
      </c>
      <c r="AA9262" t="s">
        <v>3045</v>
      </c>
      <c r="AB9262" t="s">
        <v>55436</v>
      </c>
      <c r="AC9262" t="s">
        <v>55437</v>
      </c>
      <c r="AD9262" t="s">
        <v>11518</v>
      </c>
      <c r="AE9262">
        <v>37930</v>
      </c>
      <c r="AG9262" t="s">
        <v>55525</v>
      </c>
      <c r="AH9262" t="s">
        <v>51836</v>
      </c>
      <c r="AI9262" t="s">
        <v>55526</v>
      </c>
    </row>
    <row r="9263" spans="2:35" ht="195">
      <c r="B9263" s="1">
        <v>44966</v>
      </c>
      <c r="C9263" s="4">
        <v>44966.459027777775</v>
      </c>
      <c r="D9263" t="s">
        <v>6682</v>
      </c>
      <c r="E9263" t="s">
        <v>5764</v>
      </c>
      <c r="F9263" t="s">
        <v>37</v>
      </c>
      <c r="G9263" t="s">
        <v>78</v>
      </c>
      <c r="H9263" t="s">
        <v>39</v>
      </c>
      <c r="I9263" t="s">
        <v>40</v>
      </c>
      <c r="J9263" s="2" t="s">
        <v>62</v>
      </c>
      <c r="K9263" t="s">
        <v>42</v>
      </c>
      <c r="L9263" t="s">
        <v>1943</v>
      </c>
      <c r="Q9263">
        <v>23335</v>
      </c>
      <c r="R9263" t="s">
        <v>119</v>
      </c>
      <c r="S9263" t="s">
        <v>43789</v>
      </c>
      <c r="T9263">
        <v>28</v>
      </c>
      <c r="U9263" s="2" t="s">
        <v>55440</v>
      </c>
      <c r="V9263" s="1">
        <v>44966</v>
      </c>
      <c r="W9263" t="s">
        <v>84</v>
      </c>
      <c r="X9263">
        <v>838225</v>
      </c>
      <c r="Y9263" s="2" t="s">
        <v>3044</v>
      </c>
      <c r="Z9263" s="2" t="s">
        <v>47457</v>
      </c>
      <c r="AA9263" t="s">
        <v>3045</v>
      </c>
      <c r="AB9263" t="s">
        <v>55441</v>
      </c>
      <c r="AD9263" t="s">
        <v>55442</v>
      </c>
      <c r="AE9263" t="s">
        <v>20898</v>
      </c>
      <c r="AG9263" t="s">
        <v>55527</v>
      </c>
      <c r="AH9263" t="s">
        <v>51836</v>
      </c>
      <c r="AI9263" t="s">
        <v>55528</v>
      </c>
    </row>
    <row r="9264" spans="2:35" ht="90">
      <c r="B9264" s="1">
        <v>44966</v>
      </c>
      <c r="C9264" s="4">
        <v>44966.461805555555</v>
      </c>
      <c r="D9264" t="s">
        <v>55529</v>
      </c>
      <c r="E9264" t="s">
        <v>42787</v>
      </c>
      <c r="F9264">
        <v>6</v>
      </c>
      <c r="G9264" t="s">
        <v>4457</v>
      </c>
      <c r="H9264" t="s">
        <v>39</v>
      </c>
      <c r="I9264" t="s">
        <v>40</v>
      </c>
      <c r="J9264" s="2" t="s">
        <v>355</v>
      </c>
      <c r="K9264" t="s">
        <v>42</v>
      </c>
      <c r="L9264" t="s">
        <v>1288</v>
      </c>
      <c r="Q9264">
        <v>23334</v>
      </c>
      <c r="R9264" t="s">
        <v>45</v>
      </c>
      <c r="S9264" t="s">
        <v>49616</v>
      </c>
      <c r="T9264">
        <v>25</v>
      </c>
      <c r="U9264" s="2" t="s">
        <v>50683</v>
      </c>
      <c r="W9264" t="s">
        <v>1292</v>
      </c>
      <c r="X9264">
        <v>815387</v>
      </c>
      <c r="Y9264" t="e">
        <f ca="1">-GeneXpert SYSYEM Unit MALFUNCTION</f>
        <v>#NAME?</v>
      </c>
      <c r="Z9264" t="e">
        <f ca="1">-PERFROM system Troubleshooting _xludf.and COMPONENT ISOLATION, confirm Reported issue</f>
        <v>#NAME?</v>
      </c>
      <c r="AA9264" t="e">
        <f ca="1">-COLLECT Reported issue DOCUMENTATION</f>
        <v>#NAME?</v>
      </c>
      <c r="AB9264" t="s">
        <v>53575</v>
      </c>
      <c r="AG9264" t="s">
        <v>55530</v>
      </c>
      <c r="AH9264" t="s">
        <v>55531</v>
      </c>
      <c r="AI9264" t="s">
        <v>55532</v>
      </c>
    </row>
    <row r="9265" spans="2:35" ht="409.5">
      <c r="B9265" s="1">
        <v>44966</v>
      </c>
      <c r="C9265" s="4">
        <v>44966.443055555559</v>
      </c>
      <c r="D9265" t="s">
        <v>55533</v>
      </c>
      <c r="E9265" t="s">
        <v>55534</v>
      </c>
      <c r="F9265">
        <v>11</v>
      </c>
      <c r="G9265" t="s">
        <v>2836</v>
      </c>
      <c r="H9265" t="s">
        <v>39</v>
      </c>
      <c r="I9265" t="s">
        <v>40</v>
      </c>
      <c r="J9265" t="s">
        <v>79</v>
      </c>
      <c r="K9265" t="s">
        <v>42</v>
      </c>
      <c r="L9265" t="s">
        <v>204</v>
      </c>
      <c r="Q9265">
        <v>23333</v>
      </c>
      <c r="R9265" t="s">
        <v>45</v>
      </c>
      <c r="S9265" t="s">
        <v>55535</v>
      </c>
      <c r="T9265">
        <v>26.5</v>
      </c>
      <c r="U9265" s="2" t="s">
        <v>20971</v>
      </c>
      <c r="V9265" s="1">
        <v>44966</v>
      </c>
      <c r="W9265" t="s">
        <v>23237</v>
      </c>
      <c r="X9265">
        <v>815383</v>
      </c>
      <c r="Y9265" t="s">
        <v>55536</v>
      </c>
      <c r="Z9265" t="s">
        <v>12182</v>
      </c>
      <c r="AA9265" s="2" t="s">
        <v>55537</v>
      </c>
      <c r="AB9265" t="s">
        <v>9590</v>
      </c>
      <c r="AC9265" t="s">
        <v>54</v>
      </c>
      <c r="AD9265" t="s">
        <v>19700</v>
      </c>
      <c r="AE9265" t="s">
        <v>1716</v>
      </c>
      <c r="AG9265" t="s">
        <v>55538</v>
      </c>
      <c r="AH9265" t="s">
        <v>55539</v>
      </c>
      <c r="AI9265" t="s">
        <v>55540</v>
      </c>
    </row>
    <row r="9266" spans="2:35" ht="409.5">
      <c r="B9266" s="1">
        <v>44966</v>
      </c>
      <c r="C9266" s="4">
        <v>44966.443055555559</v>
      </c>
      <c r="D9266" t="s">
        <v>55533</v>
      </c>
      <c r="E9266" t="s">
        <v>55534</v>
      </c>
      <c r="F9266">
        <v>11</v>
      </c>
      <c r="G9266" t="s">
        <v>2836</v>
      </c>
      <c r="H9266" t="s">
        <v>39</v>
      </c>
      <c r="I9266" t="s">
        <v>40</v>
      </c>
      <c r="J9266" t="s">
        <v>79</v>
      </c>
      <c r="K9266" t="s">
        <v>42</v>
      </c>
      <c r="L9266" t="s">
        <v>204</v>
      </c>
      <c r="Q9266">
        <v>23332</v>
      </c>
      <c r="R9266" t="s">
        <v>45</v>
      </c>
      <c r="S9266" t="s">
        <v>55535</v>
      </c>
      <c r="T9266">
        <v>26.5</v>
      </c>
      <c r="U9266" s="2" t="s">
        <v>20971</v>
      </c>
      <c r="V9266" s="1">
        <v>44966</v>
      </c>
      <c r="W9266" t="s">
        <v>23237</v>
      </c>
      <c r="X9266">
        <v>815383</v>
      </c>
      <c r="Y9266" t="s">
        <v>55536</v>
      </c>
      <c r="Z9266" t="s">
        <v>12182</v>
      </c>
      <c r="AA9266" s="2" t="s">
        <v>55537</v>
      </c>
      <c r="AB9266" t="s">
        <v>9590</v>
      </c>
      <c r="AC9266" t="s">
        <v>54</v>
      </c>
      <c r="AD9266" t="s">
        <v>19700</v>
      </c>
      <c r="AE9266" t="s">
        <v>1716</v>
      </c>
      <c r="AG9266" t="s">
        <v>55541</v>
      </c>
      <c r="AH9266" t="s">
        <v>55539</v>
      </c>
      <c r="AI9266" t="s">
        <v>55542</v>
      </c>
    </row>
    <row r="9267" spans="2:35" ht="409.5">
      <c r="B9267" s="1">
        <v>44966</v>
      </c>
      <c r="C9267" s="4">
        <v>44965.600694444445</v>
      </c>
      <c r="D9267" t="s">
        <v>23473</v>
      </c>
      <c r="E9267" t="s">
        <v>55543</v>
      </c>
      <c r="F9267">
        <v>11</v>
      </c>
      <c r="G9267" t="s">
        <v>2836</v>
      </c>
      <c r="H9267" t="s">
        <v>202</v>
      </c>
      <c r="I9267" t="s">
        <v>40</v>
      </c>
      <c r="J9267" s="2" t="s">
        <v>2170</v>
      </c>
      <c r="K9267" t="s">
        <v>42</v>
      </c>
      <c r="L9267" t="s">
        <v>204</v>
      </c>
      <c r="Q9267">
        <v>23331</v>
      </c>
      <c r="R9267" t="s">
        <v>45</v>
      </c>
      <c r="S9267" t="s">
        <v>23475</v>
      </c>
      <c r="T9267">
        <v>23.7</v>
      </c>
      <c r="U9267" s="2" t="s">
        <v>55544</v>
      </c>
      <c r="V9267" s="1">
        <v>44965</v>
      </c>
      <c r="W9267" t="s">
        <v>23237</v>
      </c>
      <c r="X9267">
        <v>838859</v>
      </c>
      <c r="Y9267" s="2" t="s">
        <v>55545</v>
      </c>
      <c r="Z9267" t="s">
        <v>55546</v>
      </c>
      <c r="AA9267" s="2" t="s">
        <v>55547</v>
      </c>
      <c r="AB9267" t="s">
        <v>55548</v>
      </c>
      <c r="AC9267" t="s">
        <v>55549</v>
      </c>
      <c r="AD9267" t="s">
        <v>10253</v>
      </c>
      <c r="AE9267" t="s">
        <v>54</v>
      </c>
      <c r="AG9267" t="s">
        <v>55550</v>
      </c>
      <c r="AH9267" t="s">
        <v>55551</v>
      </c>
      <c r="AI9267" t="s">
        <v>55552</v>
      </c>
    </row>
    <row r="9268" spans="2:35" ht="105">
      <c r="B9268" s="1">
        <v>44966</v>
      </c>
      <c r="C9268" s="4">
        <v>44966.421527777777</v>
      </c>
      <c r="D9268" t="s">
        <v>4795</v>
      </c>
      <c r="E9268" t="s">
        <v>9712</v>
      </c>
      <c r="F9268">
        <v>10</v>
      </c>
      <c r="G9268" t="s">
        <v>2392</v>
      </c>
      <c r="H9268" t="s">
        <v>1498</v>
      </c>
      <c r="I9268" t="s">
        <v>94</v>
      </c>
      <c r="J9268" s="2" t="s">
        <v>62</v>
      </c>
      <c r="K9268" t="s">
        <v>42</v>
      </c>
      <c r="L9268" t="s">
        <v>343</v>
      </c>
      <c r="Q9268">
        <v>23330</v>
      </c>
      <c r="R9268" t="s">
        <v>45</v>
      </c>
      <c r="S9268" t="s">
        <v>4797</v>
      </c>
      <c r="T9268">
        <v>23</v>
      </c>
      <c r="U9268" s="2" t="s">
        <v>3505</v>
      </c>
      <c r="V9268" s="1">
        <v>44966</v>
      </c>
      <c r="W9268" t="s">
        <v>38910</v>
      </c>
      <c r="X9268">
        <v>707842</v>
      </c>
      <c r="Y9268" t="s">
        <v>1751</v>
      </c>
      <c r="Z9268" t="e">
        <f ca="1">-run XpertCheck on ALL four modules</f>
        <v>#NAME?</v>
      </c>
      <c r="AA9268" t="e">
        <f ca="1">-Preventive Maintenance</f>
        <v>#NAME?</v>
      </c>
      <c r="AB9268" t="s">
        <v>54629</v>
      </c>
      <c r="AC9268" t="s">
        <v>55553</v>
      </c>
      <c r="AD9268" t="s">
        <v>55554</v>
      </c>
      <c r="AE9268" t="s">
        <v>103</v>
      </c>
      <c r="AG9268" t="s">
        <v>55555</v>
      </c>
      <c r="AH9268" t="s">
        <v>4802</v>
      </c>
      <c r="AI9268" t="s">
        <v>55556</v>
      </c>
    </row>
    <row r="9269" spans="2:35" ht="210">
      <c r="B9269" s="1">
        <v>44966</v>
      </c>
      <c r="C9269" s="4">
        <v>44966.393750000003</v>
      </c>
      <c r="D9269" t="s">
        <v>4795</v>
      </c>
      <c r="E9269" t="s">
        <v>9712</v>
      </c>
      <c r="F9269">
        <v>10</v>
      </c>
      <c r="G9269" t="s">
        <v>2392</v>
      </c>
      <c r="H9269" t="s">
        <v>1498</v>
      </c>
      <c r="I9269" t="s">
        <v>94</v>
      </c>
      <c r="J9269" s="2" t="s">
        <v>41</v>
      </c>
      <c r="K9269" t="s">
        <v>42</v>
      </c>
      <c r="L9269" t="s">
        <v>343</v>
      </c>
      <c r="Q9269">
        <v>23329</v>
      </c>
      <c r="R9269" t="s">
        <v>45</v>
      </c>
      <c r="S9269" t="s">
        <v>4797</v>
      </c>
      <c r="T9269">
        <v>23</v>
      </c>
      <c r="U9269" s="2" t="s">
        <v>55557</v>
      </c>
      <c r="V9269" s="1">
        <v>44966</v>
      </c>
      <c r="W9269" t="s">
        <v>6105</v>
      </c>
      <c r="X9269">
        <v>805090</v>
      </c>
      <c r="Y9269" t="s">
        <v>55558</v>
      </c>
      <c r="Z9269" t="s">
        <v>55559</v>
      </c>
      <c r="AA9269" t="e">
        <f ca="1">-Preventive Maintenance
-ARCHIVE test results
-Backup database</f>
        <v>#NAME?</v>
      </c>
      <c r="AB9269" t="s">
        <v>49924</v>
      </c>
      <c r="AD9269" t="s">
        <v>10783</v>
      </c>
      <c r="AE9269" t="s">
        <v>103</v>
      </c>
      <c r="AG9269" t="s">
        <v>55560</v>
      </c>
      <c r="AH9269" t="s">
        <v>4802</v>
      </c>
      <c r="AI9269" t="s">
        <v>55561</v>
      </c>
    </row>
    <row r="9270" spans="2:35" ht="255">
      <c r="B9270" s="1">
        <v>44965</v>
      </c>
      <c r="C9270" s="4">
        <v>44965.637499999997</v>
      </c>
      <c r="D9270" t="s">
        <v>55562</v>
      </c>
      <c r="E9270" t="s">
        <v>55563</v>
      </c>
      <c r="F9270" t="s">
        <v>148</v>
      </c>
      <c r="G9270" t="s">
        <v>447</v>
      </c>
      <c r="H9270" t="s">
        <v>39</v>
      </c>
      <c r="I9270" t="s">
        <v>40</v>
      </c>
      <c r="J9270" s="2" t="s">
        <v>190</v>
      </c>
      <c r="K9270" t="s">
        <v>42</v>
      </c>
      <c r="L9270" t="s">
        <v>448</v>
      </c>
      <c r="Q9270">
        <v>23328</v>
      </c>
      <c r="R9270" t="s">
        <v>119</v>
      </c>
      <c r="S9270" t="s">
        <v>40191</v>
      </c>
      <c r="T9270">
        <v>23</v>
      </c>
      <c r="U9270" s="2" t="s">
        <v>55564</v>
      </c>
      <c r="W9270" t="s">
        <v>1008</v>
      </c>
      <c r="X9270">
        <v>831597</v>
      </c>
      <c r="Y9270" t="s">
        <v>55565</v>
      </c>
      <c r="Z9270" t="s">
        <v>55566</v>
      </c>
      <c r="AA9270" t="s">
        <v>6992</v>
      </c>
      <c r="AB9270" t="s">
        <v>55567</v>
      </c>
      <c r="AG9270" t="s">
        <v>55568</v>
      </c>
      <c r="AH9270" t="s">
        <v>40200</v>
      </c>
      <c r="AI9270" t="s">
        <v>55569</v>
      </c>
    </row>
    <row r="9271" spans="2:35" ht="255">
      <c r="B9271" s="1">
        <v>44965</v>
      </c>
      <c r="C9271" s="4">
        <v>44965.637499999997</v>
      </c>
      <c r="D9271" t="s">
        <v>55562</v>
      </c>
      <c r="E9271" t="s">
        <v>55563</v>
      </c>
      <c r="F9271" t="s">
        <v>148</v>
      </c>
      <c r="G9271" t="s">
        <v>447</v>
      </c>
      <c r="H9271" t="s">
        <v>39</v>
      </c>
      <c r="I9271" t="s">
        <v>40</v>
      </c>
      <c r="J9271" s="2" t="s">
        <v>190</v>
      </c>
      <c r="K9271" t="s">
        <v>42</v>
      </c>
      <c r="L9271" t="s">
        <v>448</v>
      </c>
      <c r="Q9271">
        <v>23327</v>
      </c>
      <c r="R9271" t="s">
        <v>119</v>
      </c>
      <c r="S9271" t="s">
        <v>40191</v>
      </c>
      <c r="T9271">
        <v>23</v>
      </c>
      <c r="U9271" s="2" t="s">
        <v>55564</v>
      </c>
      <c r="W9271" t="s">
        <v>1008</v>
      </c>
      <c r="X9271">
        <v>831597</v>
      </c>
      <c r="Y9271" t="s">
        <v>55565</v>
      </c>
      <c r="Z9271" t="s">
        <v>55566</v>
      </c>
      <c r="AA9271" t="s">
        <v>6992</v>
      </c>
      <c r="AB9271" t="s">
        <v>55567</v>
      </c>
      <c r="AG9271" t="s">
        <v>55570</v>
      </c>
      <c r="AH9271" t="s">
        <v>40200</v>
      </c>
      <c r="AI9271" t="s">
        <v>55571</v>
      </c>
    </row>
    <row r="9272" spans="2:35" ht="315">
      <c r="B9272" s="1">
        <v>44965</v>
      </c>
      <c r="C9272" s="4">
        <v>44965.395833333336</v>
      </c>
      <c r="D9272" t="s">
        <v>55572</v>
      </c>
      <c r="E9272" t="s">
        <v>55573</v>
      </c>
      <c r="F9272" t="s">
        <v>148</v>
      </c>
      <c r="G9272" t="s">
        <v>447</v>
      </c>
      <c r="H9272" t="s">
        <v>39</v>
      </c>
      <c r="I9272" t="s">
        <v>40</v>
      </c>
      <c r="J9272" t="s">
        <v>109</v>
      </c>
      <c r="K9272" t="s">
        <v>42</v>
      </c>
      <c r="L9272" t="s">
        <v>448</v>
      </c>
      <c r="Q9272">
        <v>23326</v>
      </c>
      <c r="R9272" t="s">
        <v>95</v>
      </c>
      <c r="S9272" t="s">
        <v>12054</v>
      </c>
      <c r="T9272">
        <v>33</v>
      </c>
      <c r="U9272" s="2" t="s">
        <v>55574</v>
      </c>
      <c r="W9272" t="s">
        <v>325</v>
      </c>
      <c r="X9272">
        <v>839306</v>
      </c>
      <c r="Y9272" t="s">
        <v>121</v>
      </c>
      <c r="Z9272" t="s">
        <v>55308</v>
      </c>
      <c r="AA9272" t="s">
        <v>6997</v>
      </c>
      <c r="AB9272" t="s">
        <v>486</v>
      </c>
      <c r="AG9272" t="s">
        <v>55575</v>
      </c>
      <c r="AH9272" t="s">
        <v>12059</v>
      </c>
      <c r="AI9272" t="s">
        <v>55576</v>
      </c>
    </row>
    <row r="9273" spans="2:35" ht="315">
      <c r="B9273" s="1">
        <v>44965</v>
      </c>
      <c r="C9273" s="4">
        <v>44965.395833333336</v>
      </c>
      <c r="D9273" t="s">
        <v>55572</v>
      </c>
      <c r="E9273" t="s">
        <v>55573</v>
      </c>
      <c r="F9273" t="s">
        <v>148</v>
      </c>
      <c r="G9273" t="s">
        <v>447</v>
      </c>
      <c r="H9273" t="s">
        <v>39</v>
      </c>
      <c r="I9273" t="s">
        <v>40</v>
      </c>
      <c r="J9273" t="s">
        <v>109</v>
      </c>
      <c r="K9273" t="s">
        <v>42</v>
      </c>
      <c r="L9273" t="s">
        <v>448</v>
      </c>
      <c r="Q9273">
        <v>23325</v>
      </c>
      <c r="R9273" t="s">
        <v>95</v>
      </c>
      <c r="S9273" t="s">
        <v>12054</v>
      </c>
      <c r="T9273">
        <v>33</v>
      </c>
      <c r="U9273" s="2" t="s">
        <v>55574</v>
      </c>
      <c r="W9273" t="s">
        <v>325</v>
      </c>
      <c r="X9273">
        <v>839306</v>
      </c>
      <c r="Y9273" t="s">
        <v>121</v>
      </c>
      <c r="Z9273" t="s">
        <v>55308</v>
      </c>
      <c r="AA9273" t="s">
        <v>6997</v>
      </c>
      <c r="AB9273" t="s">
        <v>486</v>
      </c>
      <c r="AG9273" t="s">
        <v>55577</v>
      </c>
      <c r="AH9273" t="s">
        <v>12059</v>
      </c>
      <c r="AI9273" t="s">
        <v>55578</v>
      </c>
    </row>
    <row r="9274" spans="2:35" ht="330">
      <c r="B9274" s="1">
        <v>44965</v>
      </c>
      <c r="C9274" s="4">
        <v>44964.665277777778</v>
      </c>
      <c r="D9274" t="s">
        <v>52568</v>
      </c>
      <c r="E9274" t="s">
        <v>10433</v>
      </c>
      <c r="F9274" t="s">
        <v>148</v>
      </c>
      <c r="G9274" t="s">
        <v>447</v>
      </c>
      <c r="H9274" t="s">
        <v>150</v>
      </c>
      <c r="I9274" t="s">
        <v>40</v>
      </c>
      <c r="J9274" s="2" t="s">
        <v>41</v>
      </c>
      <c r="K9274" t="s">
        <v>42</v>
      </c>
      <c r="L9274" t="s">
        <v>448</v>
      </c>
      <c r="Q9274">
        <v>23324</v>
      </c>
      <c r="R9274" t="s">
        <v>95</v>
      </c>
      <c r="S9274" t="s">
        <v>2809</v>
      </c>
      <c r="T9274">
        <v>27</v>
      </c>
      <c r="U9274" s="2" t="s">
        <v>55579</v>
      </c>
      <c r="W9274" t="s">
        <v>1008</v>
      </c>
      <c r="X9274">
        <v>839234</v>
      </c>
      <c r="Y9274" t="s">
        <v>55580</v>
      </c>
      <c r="Z9274" t="s">
        <v>55581</v>
      </c>
      <c r="AA9274" t="s">
        <v>55582</v>
      </c>
      <c r="AB9274" t="s">
        <v>55583</v>
      </c>
      <c r="AC9274" t="s">
        <v>55584</v>
      </c>
      <c r="AG9274" t="s">
        <v>55585</v>
      </c>
      <c r="AH9274" t="s">
        <v>11567</v>
      </c>
      <c r="AI9274" t="s">
        <v>55586</v>
      </c>
    </row>
    <row r="9275" spans="2:35" ht="345">
      <c r="B9275" s="1">
        <v>44965</v>
      </c>
      <c r="C9275" s="4">
        <v>44965.621527777781</v>
      </c>
      <c r="D9275" t="s">
        <v>24517</v>
      </c>
      <c r="E9275" t="s">
        <v>55587</v>
      </c>
      <c r="F9275">
        <v>3</v>
      </c>
      <c r="G9275" t="s">
        <v>134</v>
      </c>
      <c r="H9275" t="s">
        <v>55588</v>
      </c>
      <c r="I9275" t="s">
        <v>40</v>
      </c>
      <c r="J9275" s="2" t="s">
        <v>190</v>
      </c>
      <c r="K9275" t="s">
        <v>42</v>
      </c>
      <c r="L9275" t="s">
        <v>63</v>
      </c>
      <c r="Q9275">
        <v>23323</v>
      </c>
      <c r="R9275" t="s">
        <v>322</v>
      </c>
      <c r="S9275" t="s">
        <v>53319</v>
      </c>
      <c r="T9275">
        <v>29</v>
      </c>
      <c r="U9275" s="2" t="s">
        <v>55589</v>
      </c>
      <c r="V9275" s="1">
        <v>44965</v>
      </c>
      <c r="W9275" t="s">
        <v>26915</v>
      </c>
      <c r="X9275">
        <v>813571</v>
      </c>
      <c r="Y9275" s="2" t="s">
        <v>55590</v>
      </c>
      <c r="Z9275" s="2" t="s">
        <v>55591</v>
      </c>
      <c r="AA9275" s="2" t="s">
        <v>1727</v>
      </c>
      <c r="AB9275" t="s">
        <v>181</v>
      </c>
      <c r="AC9275" t="s">
        <v>55592</v>
      </c>
      <c r="AD9275" t="s">
        <v>1716</v>
      </c>
      <c r="AE9275" t="s">
        <v>1716</v>
      </c>
      <c r="AG9275" t="s">
        <v>55593</v>
      </c>
      <c r="AH9275" t="s">
        <v>21037</v>
      </c>
      <c r="AI9275" t="s">
        <v>55594</v>
      </c>
    </row>
    <row r="9276" spans="2:35" ht="345">
      <c r="B9276" s="1">
        <v>44965</v>
      </c>
      <c r="C9276" s="4">
        <v>44965.621527777781</v>
      </c>
      <c r="D9276" t="s">
        <v>24517</v>
      </c>
      <c r="E9276" t="s">
        <v>55587</v>
      </c>
      <c r="F9276">
        <v>3</v>
      </c>
      <c r="G9276" t="s">
        <v>134</v>
      </c>
      <c r="H9276" t="s">
        <v>55588</v>
      </c>
      <c r="I9276" t="s">
        <v>40</v>
      </c>
      <c r="J9276" s="2" t="s">
        <v>190</v>
      </c>
      <c r="K9276" t="s">
        <v>42</v>
      </c>
      <c r="L9276" t="s">
        <v>63</v>
      </c>
      <c r="Q9276">
        <v>23322</v>
      </c>
      <c r="R9276" t="s">
        <v>322</v>
      </c>
      <c r="S9276" t="s">
        <v>53319</v>
      </c>
      <c r="T9276">
        <v>29</v>
      </c>
      <c r="U9276" s="2" t="s">
        <v>55589</v>
      </c>
      <c r="V9276" s="1">
        <v>44965</v>
      </c>
      <c r="W9276" t="s">
        <v>26915</v>
      </c>
      <c r="X9276">
        <v>813571</v>
      </c>
      <c r="Y9276" s="2" t="s">
        <v>55590</v>
      </c>
      <c r="Z9276" s="2" t="s">
        <v>55591</v>
      </c>
      <c r="AA9276" s="2" t="s">
        <v>1727</v>
      </c>
      <c r="AB9276" t="s">
        <v>181</v>
      </c>
      <c r="AC9276" t="s">
        <v>55592</v>
      </c>
      <c r="AD9276" t="s">
        <v>1716</v>
      </c>
      <c r="AE9276" t="s">
        <v>1716</v>
      </c>
      <c r="AG9276" t="s">
        <v>55595</v>
      </c>
      <c r="AH9276" t="s">
        <v>21037</v>
      </c>
      <c r="AI9276" t="s">
        <v>55596</v>
      </c>
    </row>
    <row r="9277" spans="2:35" ht="345">
      <c r="B9277" s="1">
        <v>44965</v>
      </c>
      <c r="C9277" s="4">
        <v>44965.621527777781</v>
      </c>
      <c r="D9277" t="s">
        <v>24517</v>
      </c>
      <c r="E9277" t="s">
        <v>55587</v>
      </c>
      <c r="F9277">
        <v>3</v>
      </c>
      <c r="G9277" t="s">
        <v>134</v>
      </c>
      <c r="H9277" t="s">
        <v>55588</v>
      </c>
      <c r="I9277" t="s">
        <v>40</v>
      </c>
      <c r="J9277" s="2" t="s">
        <v>190</v>
      </c>
      <c r="K9277" t="s">
        <v>42</v>
      </c>
      <c r="L9277" t="s">
        <v>63</v>
      </c>
      <c r="Q9277">
        <v>23321</v>
      </c>
      <c r="R9277" t="s">
        <v>322</v>
      </c>
      <c r="S9277" t="s">
        <v>53319</v>
      </c>
      <c r="T9277">
        <v>29</v>
      </c>
      <c r="U9277" s="2" t="s">
        <v>55589</v>
      </c>
      <c r="V9277" s="1">
        <v>44965</v>
      </c>
      <c r="W9277" t="s">
        <v>26915</v>
      </c>
      <c r="X9277">
        <v>813571</v>
      </c>
      <c r="Y9277" s="2" t="s">
        <v>55590</v>
      </c>
      <c r="Z9277" s="2" t="s">
        <v>55591</v>
      </c>
      <c r="AA9277" s="2" t="s">
        <v>1727</v>
      </c>
      <c r="AB9277" t="s">
        <v>181</v>
      </c>
      <c r="AC9277" t="s">
        <v>55592</v>
      </c>
      <c r="AD9277" t="s">
        <v>1716</v>
      </c>
      <c r="AE9277" t="s">
        <v>1716</v>
      </c>
      <c r="AG9277" t="s">
        <v>55597</v>
      </c>
      <c r="AH9277" t="s">
        <v>21037</v>
      </c>
      <c r="AI9277" t="s">
        <v>55598</v>
      </c>
    </row>
    <row r="9278" spans="2:35" ht="375">
      <c r="B9278" s="1">
        <v>44965</v>
      </c>
      <c r="C9278" s="4">
        <v>44965.611111111109</v>
      </c>
      <c r="D9278" t="s">
        <v>55599</v>
      </c>
      <c r="E9278" t="s">
        <v>55600</v>
      </c>
      <c r="F9278">
        <v>9</v>
      </c>
      <c r="G9278" t="s">
        <v>2197</v>
      </c>
      <c r="H9278" t="s">
        <v>39</v>
      </c>
      <c r="I9278" t="s">
        <v>40</v>
      </c>
      <c r="J9278" t="s">
        <v>2129</v>
      </c>
      <c r="K9278" t="s">
        <v>42</v>
      </c>
      <c r="L9278" t="s">
        <v>1257</v>
      </c>
      <c r="Q9278">
        <v>23320</v>
      </c>
      <c r="R9278" t="s">
        <v>45</v>
      </c>
      <c r="S9278" t="s">
        <v>31943</v>
      </c>
      <c r="T9278">
        <v>26</v>
      </c>
      <c r="U9278" s="2" t="s">
        <v>55601</v>
      </c>
      <c r="V9278" s="1">
        <v>44965</v>
      </c>
      <c r="W9278" t="s">
        <v>2384</v>
      </c>
      <c r="X9278">
        <v>839309</v>
      </c>
      <c r="Y9278" t="s">
        <v>301</v>
      </c>
      <c r="Z9278" t="s">
        <v>2129</v>
      </c>
      <c r="AA9278" s="2" t="s">
        <v>55602</v>
      </c>
      <c r="AB9278" t="s">
        <v>55603</v>
      </c>
      <c r="AC9278" t="s">
        <v>301</v>
      </c>
      <c r="AD9278" t="s">
        <v>54</v>
      </c>
      <c r="AE9278" t="s">
        <v>54</v>
      </c>
      <c r="AG9278" t="s">
        <v>55604</v>
      </c>
      <c r="AH9278" t="s">
        <v>44973</v>
      </c>
      <c r="AI9278" t="s">
        <v>55605</v>
      </c>
    </row>
    <row r="9279" spans="2:35" ht="285">
      <c r="B9279" s="1">
        <v>44965</v>
      </c>
      <c r="C9279" s="4">
        <v>44965.529861111114</v>
      </c>
      <c r="D9279" t="s">
        <v>20160</v>
      </c>
      <c r="E9279" t="s">
        <v>49629</v>
      </c>
      <c r="F9279">
        <v>6</v>
      </c>
      <c r="G9279" t="s">
        <v>4457</v>
      </c>
      <c r="H9279" t="s">
        <v>10969</v>
      </c>
      <c r="I9279" t="s">
        <v>40</v>
      </c>
      <c r="J9279" s="2" t="s">
        <v>41</v>
      </c>
      <c r="K9279" t="s">
        <v>42</v>
      </c>
      <c r="L9279" t="s">
        <v>1288</v>
      </c>
      <c r="Q9279">
        <v>23319</v>
      </c>
      <c r="R9279" t="s">
        <v>45</v>
      </c>
      <c r="S9279" t="s">
        <v>18851</v>
      </c>
      <c r="T9279">
        <v>27</v>
      </c>
      <c r="U9279" s="2" t="s">
        <v>55606</v>
      </c>
      <c r="W9279" t="s">
        <v>1292</v>
      </c>
      <c r="X9279">
        <v>804680</v>
      </c>
      <c r="Y9279" t="s">
        <v>38210</v>
      </c>
      <c r="Z9279" t="s">
        <v>55607</v>
      </c>
      <c r="AA9279" t="e">
        <f ca="1">-COLLECT IQR ,system _xludf.Log, _xludf.and ARCHIVE
-PERFORM GX EQUIPMENT Cleaning _xludf.and PM</f>
        <v>#NAME?</v>
      </c>
      <c r="AB9279" t="e">
        <f ca="1">-EQUIPMENT is operational</f>
        <v>#NAME?</v>
      </c>
      <c r="AC9279" t="e">
        <f ca="1">-module D1 disabled, pending Gateway board</f>
        <v>#NAME?</v>
      </c>
      <c r="AG9279" t="s">
        <v>55608</v>
      </c>
      <c r="AH9279" t="s">
        <v>55609</v>
      </c>
      <c r="AI9279" t="s">
        <v>55610</v>
      </c>
    </row>
    <row r="9280" spans="2:35" ht="409.5">
      <c r="B9280" s="1">
        <v>44965</v>
      </c>
      <c r="C9280" s="4">
        <v>44965.397916666669</v>
      </c>
      <c r="D9280" t="s">
        <v>1026</v>
      </c>
      <c r="E9280" t="s">
        <v>55611</v>
      </c>
      <c r="F9280" t="s">
        <v>148</v>
      </c>
      <c r="G9280" t="s">
        <v>774</v>
      </c>
      <c r="H9280" t="s">
        <v>61</v>
      </c>
      <c r="I9280" t="s">
        <v>40</v>
      </c>
      <c r="J9280" s="2" t="s">
        <v>1808</v>
      </c>
      <c r="K9280" t="s">
        <v>42</v>
      </c>
      <c r="L9280" t="s">
        <v>1943</v>
      </c>
      <c r="Q9280">
        <v>23317</v>
      </c>
      <c r="R9280" t="s">
        <v>95</v>
      </c>
      <c r="S9280" t="s">
        <v>55612</v>
      </c>
      <c r="T9280">
        <v>25</v>
      </c>
      <c r="U9280" s="2" t="s">
        <v>55613</v>
      </c>
      <c r="V9280" s="1">
        <v>44959</v>
      </c>
      <c r="W9280" t="s">
        <v>84</v>
      </c>
      <c r="X9280">
        <v>803869</v>
      </c>
      <c r="Y9280" s="2" t="s">
        <v>55614</v>
      </c>
      <c r="Z9280" s="2" t="s">
        <v>55615</v>
      </c>
      <c r="AA9280" t="s">
        <v>55616</v>
      </c>
      <c r="AB9280" t="s">
        <v>88</v>
      </c>
      <c r="AD9280" t="s">
        <v>55617</v>
      </c>
      <c r="AE9280" t="s">
        <v>55618</v>
      </c>
      <c r="AG9280" t="s">
        <v>55619</v>
      </c>
      <c r="AH9280" t="s">
        <v>55620</v>
      </c>
      <c r="AI9280" t="s">
        <v>55621</v>
      </c>
    </row>
    <row r="9281" spans="2:35" ht="409.5">
      <c r="B9281" s="1">
        <v>44965</v>
      </c>
      <c r="C9281" s="4">
        <v>44964.385416666664</v>
      </c>
      <c r="D9281" t="s">
        <v>23134</v>
      </c>
      <c r="E9281" t="s">
        <v>27716</v>
      </c>
      <c r="F9281" t="s">
        <v>148</v>
      </c>
      <c r="G9281" t="s">
        <v>310</v>
      </c>
      <c r="H9281" t="s">
        <v>34954</v>
      </c>
      <c r="I9281" t="s">
        <v>40</v>
      </c>
      <c r="J9281" s="2" t="s">
        <v>41</v>
      </c>
      <c r="K9281" t="s">
        <v>42</v>
      </c>
      <c r="L9281" t="s">
        <v>1943</v>
      </c>
      <c r="Q9281">
        <v>23318</v>
      </c>
      <c r="R9281" t="s">
        <v>45</v>
      </c>
      <c r="S9281" t="s">
        <v>23136</v>
      </c>
      <c r="T9281">
        <v>27</v>
      </c>
      <c r="U9281" s="2" t="s">
        <v>55622</v>
      </c>
      <c r="V9281" s="1">
        <v>44963</v>
      </c>
      <c r="W9281" t="s">
        <v>895</v>
      </c>
      <c r="X9281">
        <v>844121</v>
      </c>
      <c r="Y9281" s="2" t="s">
        <v>55623</v>
      </c>
      <c r="Z9281" s="2" t="s">
        <v>51845</v>
      </c>
      <c r="AA9281" t="s">
        <v>1947</v>
      </c>
      <c r="AB9281" t="s">
        <v>88</v>
      </c>
      <c r="AD9281" t="s">
        <v>55624</v>
      </c>
      <c r="AE9281" t="s">
        <v>55625</v>
      </c>
      <c r="AG9281" t="s">
        <v>55626</v>
      </c>
      <c r="AH9281" t="s">
        <v>55627</v>
      </c>
      <c r="AI9281" t="s">
        <v>55628</v>
      </c>
    </row>
    <row r="9282" spans="2:35" ht="195">
      <c r="B9282" s="1">
        <v>44965</v>
      </c>
      <c r="C9282" s="4">
        <v>44964.582638888889</v>
      </c>
      <c r="D9282" t="s">
        <v>308</v>
      </c>
      <c r="E9282" t="s">
        <v>27716</v>
      </c>
      <c r="F9282" t="s">
        <v>148</v>
      </c>
      <c r="G9282" t="s">
        <v>310</v>
      </c>
      <c r="H9282" t="s">
        <v>39</v>
      </c>
      <c r="I9282" t="s">
        <v>40</v>
      </c>
      <c r="J9282" s="2" t="s">
        <v>62</v>
      </c>
      <c r="K9282" t="s">
        <v>42</v>
      </c>
      <c r="L9282" t="s">
        <v>1943</v>
      </c>
      <c r="Q9282">
        <v>23316</v>
      </c>
      <c r="R9282" t="s">
        <v>119</v>
      </c>
      <c r="S9282" t="s">
        <v>311</v>
      </c>
      <c r="T9282">
        <v>22</v>
      </c>
      <c r="U9282" s="2" t="s">
        <v>55629</v>
      </c>
      <c r="V9282" s="1">
        <v>44944</v>
      </c>
      <c r="W9282" t="s">
        <v>84</v>
      </c>
      <c r="X9282">
        <v>831534</v>
      </c>
      <c r="Y9282" s="2" t="s">
        <v>3044</v>
      </c>
      <c r="Z9282" s="2" t="s">
        <v>47457</v>
      </c>
      <c r="AA9282" t="s">
        <v>3045</v>
      </c>
      <c r="AB9282" t="s">
        <v>55630</v>
      </c>
      <c r="AD9282" t="s">
        <v>11518</v>
      </c>
      <c r="AE9282" t="s">
        <v>55631</v>
      </c>
      <c r="AG9282" t="s">
        <v>55632</v>
      </c>
      <c r="AH9282" t="s">
        <v>317</v>
      </c>
      <c r="AI9282" t="s">
        <v>55633</v>
      </c>
    </row>
    <row r="9283" spans="2:35" ht="180">
      <c r="B9283" s="1">
        <v>44965</v>
      </c>
      <c r="C9283" s="4">
        <v>44965.489583333336</v>
      </c>
      <c r="D9283" t="s">
        <v>55634</v>
      </c>
      <c r="E9283" t="s">
        <v>55635</v>
      </c>
      <c r="F9283">
        <v>13</v>
      </c>
      <c r="G9283" t="s">
        <v>8524</v>
      </c>
      <c r="H9283" t="s">
        <v>2125</v>
      </c>
      <c r="I9283" t="s">
        <v>40</v>
      </c>
      <c r="J9283" t="s">
        <v>996</v>
      </c>
      <c r="K9283" t="s">
        <v>42</v>
      </c>
      <c r="L9283" t="s">
        <v>933</v>
      </c>
      <c r="Q9283">
        <v>23315</v>
      </c>
      <c r="R9283" t="s">
        <v>45</v>
      </c>
      <c r="S9283" t="s">
        <v>41347</v>
      </c>
      <c r="T9283">
        <v>26.1</v>
      </c>
      <c r="U9283" s="2" t="s">
        <v>55636</v>
      </c>
      <c r="W9283" t="s">
        <v>3662</v>
      </c>
      <c r="X9283">
        <v>838877</v>
      </c>
      <c r="Y9283" t="s">
        <v>301</v>
      </c>
      <c r="Z9283" t="s">
        <v>301</v>
      </c>
      <c r="AA9283" t="s">
        <v>18765</v>
      </c>
      <c r="AB9283" t="s">
        <v>55637</v>
      </c>
      <c r="AG9283" t="s">
        <v>55638</v>
      </c>
      <c r="AH9283" t="s">
        <v>41352</v>
      </c>
      <c r="AI9283" t="s">
        <v>55639</v>
      </c>
    </row>
    <row r="9284" spans="2:35" ht="409.5">
      <c r="B9284" s="1">
        <v>44965</v>
      </c>
      <c r="C9284" s="4">
        <v>44965.40902777778</v>
      </c>
      <c r="D9284" t="s">
        <v>29932</v>
      </c>
      <c r="E9284" t="s">
        <v>55640</v>
      </c>
      <c r="F9284">
        <v>12</v>
      </c>
      <c r="G9284" t="s">
        <v>978</v>
      </c>
      <c r="H9284" t="s">
        <v>39</v>
      </c>
      <c r="I9284" t="s">
        <v>94</v>
      </c>
      <c r="J9284" s="2" t="s">
        <v>41</v>
      </c>
      <c r="K9284" t="s">
        <v>42</v>
      </c>
      <c r="L9284" t="s">
        <v>296</v>
      </c>
      <c r="Q9284">
        <v>23314</v>
      </c>
      <c r="R9284" t="s">
        <v>45</v>
      </c>
      <c r="S9284" t="s">
        <v>55641</v>
      </c>
      <c r="T9284">
        <v>26</v>
      </c>
      <c r="U9284" s="2" t="s">
        <v>55642</v>
      </c>
      <c r="V9284" s="1">
        <v>44965</v>
      </c>
      <c r="W9284" t="s">
        <v>53976</v>
      </c>
      <c r="X9284">
        <v>835183</v>
      </c>
      <c r="Y9284" s="2" t="s">
        <v>55643</v>
      </c>
      <c r="Z9284" s="2" t="s">
        <v>55644</v>
      </c>
      <c r="AA9284" s="2" t="s">
        <v>55644</v>
      </c>
      <c r="AB9284" t="s">
        <v>55645</v>
      </c>
      <c r="AD9284" t="s">
        <v>55646</v>
      </c>
      <c r="AE9284" t="s">
        <v>19700</v>
      </c>
      <c r="AG9284" t="s">
        <v>55647</v>
      </c>
      <c r="AH9284" t="s">
        <v>55648</v>
      </c>
      <c r="AI9284" t="s">
        <v>55649</v>
      </c>
    </row>
    <row r="9285" spans="2:35" ht="285">
      <c r="B9285" s="1">
        <v>44965</v>
      </c>
      <c r="C9285" s="4">
        <v>44965.464583333334</v>
      </c>
      <c r="D9285" t="s">
        <v>1015</v>
      </c>
      <c r="E9285" t="s">
        <v>47562</v>
      </c>
      <c r="F9285">
        <v>3</v>
      </c>
      <c r="G9285" t="s">
        <v>730</v>
      </c>
      <c r="H9285" t="s">
        <v>39</v>
      </c>
      <c r="I9285" t="s">
        <v>40</v>
      </c>
      <c r="J9285" s="2" t="s">
        <v>62</v>
      </c>
      <c r="K9285" t="s">
        <v>42</v>
      </c>
      <c r="L9285" t="s">
        <v>135</v>
      </c>
      <c r="Q9285">
        <v>23313</v>
      </c>
      <c r="R9285" t="s">
        <v>119</v>
      </c>
      <c r="S9285" t="s">
        <v>1018</v>
      </c>
      <c r="T9285">
        <v>28.125</v>
      </c>
      <c r="U9285" s="2" t="s">
        <v>55650</v>
      </c>
      <c r="V9285" s="1">
        <v>44958</v>
      </c>
      <c r="W9285" t="s">
        <v>2680</v>
      </c>
      <c r="X9285">
        <v>831587</v>
      </c>
      <c r="Y9285" t="s">
        <v>1751</v>
      </c>
      <c r="Z9285" s="2" t="s">
        <v>55651</v>
      </c>
      <c r="AA9285" t="s">
        <v>54639</v>
      </c>
      <c r="AB9285" t="s">
        <v>55652</v>
      </c>
      <c r="AC9285" t="s">
        <v>55653</v>
      </c>
      <c r="AD9285" t="s">
        <v>54444</v>
      </c>
      <c r="AE9285">
        <v>9563</v>
      </c>
      <c r="AG9285" t="s">
        <v>55654</v>
      </c>
      <c r="AH9285" t="s">
        <v>55655</v>
      </c>
      <c r="AI9285" t="s">
        <v>55656</v>
      </c>
    </row>
    <row r="9286" spans="2:35" ht="285">
      <c r="B9286" s="1">
        <v>44965</v>
      </c>
      <c r="C9286" s="4">
        <v>44965.464583333334</v>
      </c>
      <c r="D9286" t="s">
        <v>1015</v>
      </c>
      <c r="E9286" t="s">
        <v>47562</v>
      </c>
      <c r="F9286">
        <v>3</v>
      </c>
      <c r="G9286" t="s">
        <v>730</v>
      </c>
      <c r="H9286" t="s">
        <v>39</v>
      </c>
      <c r="I9286" t="s">
        <v>40</v>
      </c>
      <c r="J9286" s="2" t="s">
        <v>62</v>
      </c>
      <c r="K9286" t="s">
        <v>42</v>
      </c>
      <c r="L9286" t="s">
        <v>135</v>
      </c>
      <c r="Q9286">
        <v>23312</v>
      </c>
      <c r="R9286" t="s">
        <v>119</v>
      </c>
      <c r="S9286" t="s">
        <v>1018</v>
      </c>
      <c r="T9286">
        <v>28.125</v>
      </c>
      <c r="U9286" s="2" t="s">
        <v>55650</v>
      </c>
      <c r="V9286" s="1">
        <v>44958</v>
      </c>
      <c r="W9286" t="s">
        <v>2680</v>
      </c>
      <c r="X9286">
        <v>831587</v>
      </c>
      <c r="Y9286" t="s">
        <v>1751</v>
      </c>
      <c r="Z9286" s="2" t="s">
        <v>55651</v>
      </c>
      <c r="AA9286" t="s">
        <v>54639</v>
      </c>
      <c r="AB9286" t="s">
        <v>55652</v>
      </c>
      <c r="AC9286" t="s">
        <v>55653</v>
      </c>
      <c r="AD9286" t="s">
        <v>54444</v>
      </c>
      <c r="AE9286">
        <v>9563</v>
      </c>
      <c r="AG9286" t="s">
        <v>55657</v>
      </c>
      <c r="AH9286" t="s">
        <v>55655</v>
      </c>
      <c r="AI9286" t="s">
        <v>55658</v>
      </c>
    </row>
    <row r="9287" spans="2:35" ht="195">
      <c r="B9287" s="1">
        <v>44965</v>
      </c>
      <c r="C9287" s="4">
        <v>44964.654861111114</v>
      </c>
      <c r="D9287" t="s">
        <v>3139</v>
      </c>
      <c r="E9287" t="s">
        <v>3140</v>
      </c>
      <c r="F9287">
        <v>3</v>
      </c>
      <c r="G9287" t="s">
        <v>174</v>
      </c>
      <c r="H9287" t="s">
        <v>61</v>
      </c>
      <c r="I9287" t="s">
        <v>40</v>
      </c>
      <c r="J9287" s="2" t="s">
        <v>190</v>
      </c>
      <c r="K9287" t="s">
        <v>42</v>
      </c>
      <c r="L9287" t="s">
        <v>175</v>
      </c>
      <c r="Q9287">
        <v>23311</v>
      </c>
      <c r="R9287" t="s">
        <v>45</v>
      </c>
      <c r="S9287" t="s">
        <v>176</v>
      </c>
      <c r="T9287">
        <v>27</v>
      </c>
      <c r="U9287" s="2" t="s">
        <v>55659</v>
      </c>
      <c r="W9287" t="s">
        <v>84</v>
      </c>
      <c r="X9287">
        <v>834623</v>
      </c>
      <c r="Y9287" t="s">
        <v>55660</v>
      </c>
      <c r="Z9287" t="s">
        <v>55661</v>
      </c>
      <c r="AA9287" s="2" t="s">
        <v>55662</v>
      </c>
      <c r="AB9287" t="s">
        <v>55663</v>
      </c>
      <c r="AG9287" t="s">
        <v>55664</v>
      </c>
      <c r="AH9287" t="s">
        <v>55665</v>
      </c>
      <c r="AI9287" t="s">
        <v>55666</v>
      </c>
    </row>
    <row r="9288" spans="2:35" ht="135">
      <c r="B9288" s="1">
        <v>44965</v>
      </c>
      <c r="C9288" s="4">
        <v>44964.7</v>
      </c>
      <c r="D9288" t="s">
        <v>3139</v>
      </c>
      <c r="E9288" t="s">
        <v>3140</v>
      </c>
      <c r="F9288">
        <v>3</v>
      </c>
      <c r="G9288" t="s">
        <v>174</v>
      </c>
      <c r="H9288" t="s">
        <v>39</v>
      </c>
      <c r="I9288" t="s">
        <v>40</v>
      </c>
      <c r="J9288" s="2" t="s">
        <v>41</v>
      </c>
      <c r="K9288" t="s">
        <v>42</v>
      </c>
      <c r="L9288" t="s">
        <v>175</v>
      </c>
      <c r="Q9288">
        <v>23310</v>
      </c>
      <c r="R9288" t="s">
        <v>45</v>
      </c>
      <c r="S9288" t="s">
        <v>14419</v>
      </c>
      <c r="T9288">
        <v>25</v>
      </c>
      <c r="U9288" s="2" t="s">
        <v>24107</v>
      </c>
      <c r="V9288" s="1">
        <v>44963</v>
      </c>
      <c r="W9288" t="s">
        <v>84</v>
      </c>
      <c r="X9288">
        <v>805112</v>
      </c>
      <c r="Y9288" t="s">
        <v>55667</v>
      </c>
      <c r="Z9288" t="s">
        <v>55668</v>
      </c>
      <c r="AA9288" t="e">
        <f ca="1">- checked &amp; cleaned cartridge bay, plunger rod, I CORE slot, _xludf.filter
- replaced D1 &amp; D4
- generated reports
- performed functionality test</f>
        <v>#NAME?</v>
      </c>
      <c r="AB9288" t="s">
        <v>181</v>
      </c>
      <c r="AD9288" s="2" t="s">
        <v>55669</v>
      </c>
      <c r="AE9288" t="s">
        <v>55670</v>
      </c>
      <c r="AG9288" t="s">
        <v>55671</v>
      </c>
      <c r="AH9288" t="s">
        <v>54888</v>
      </c>
      <c r="AI9288" t="s">
        <v>55672</v>
      </c>
    </row>
    <row r="9289" spans="2:35" ht="360">
      <c r="B9289" s="1">
        <v>44965</v>
      </c>
      <c r="C9289" s="4">
        <v>44964.696527777778</v>
      </c>
      <c r="D9289" t="s">
        <v>3139</v>
      </c>
      <c r="E9289" t="s">
        <v>3140</v>
      </c>
      <c r="F9289">
        <v>3</v>
      </c>
      <c r="G9289" t="s">
        <v>174</v>
      </c>
      <c r="H9289" t="s">
        <v>39</v>
      </c>
      <c r="I9289" t="s">
        <v>40</v>
      </c>
      <c r="J9289" s="2" t="s">
        <v>41</v>
      </c>
      <c r="K9289" t="s">
        <v>42</v>
      </c>
      <c r="L9289" t="s">
        <v>175</v>
      </c>
      <c r="Q9289">
        <v>23309</v>
      </c>
      <c r="R9289" t="s">
        <v>45</v>
      </c>
      <c r="S9289" t="s">
        <v>14419</v>
      </c>
      <c r="T9289">
        <v>25</v>
      </c>
      <c r="U9289" s="2" t="s">
        <v>55673</v>
      </c>
      <c r="V9289" s="1">
        <v>44963</v>
      </c>
      <c r="W9289" t="s">
        <v>84</v>
      </c>
      <c r="X9289">
        <v>807466</v>
      </c>
      <c r="Y9289" t="s">
        <v>55674</v>
      </c>
      <c r="Z9289" t="s">
        <v>25549</v>
      </c>
      <c r="AA9289" t="e">
        <f ca="1">- checked &amp; cleaned cartridge bay, plunger rod, I CORE slot, _xludf.filter
- replaced module D2
- generated reports
- performed functionality test</f>
        <v>#NAME?</v>
      </c>
      <c r="AB9289" t="s">
        <v>181</v>
      </c>
      <c r="AD9289" s="2" t="s">
        <v>55675</v>
      </c>
      <c r="AE9289" t="s">
        <v>55670</v>
      </c>
      <c r="AG9289" t="s">
        <v>55676</v>
      </c>
      <c r="AH9289" t="s">
        <v>54888</v>
      </c>
      <c r="AI9289" t="s">
        <v>55677</v>
      </c>
    </row>
    <row r="9290" spans="2:35" ht="285">
      <c r="B9290" s="1">
        <v>44965</v>
      </c>
      <c r="C9290" s="4">
        <v>44964.518750000003</v>
      </c>
      <c r="D9290" t="s">
        <v>55678</v>
      </c>
      <c r="E9290" t="s">
        <v>48696</v>
      </c>
      <c r="F9290">
        <v>3</v>
      </c>
      <c r="G9290" t="s">
        <v>174</v>
      </c>
      <c r="H9290" t="s">
        <v>39</v>
      </c>
      <c r="I9290" t="s">
        <v>40</v>
      </c>
      <c r="J9290" s="2" t="s">
        <v>62</v>
      </c>
      <c r="K9290" t="s">
        <v>42</v>
      </c>
      <c r="L9290" t="s">
        <v>175</v>
      </c>
      <c r="Q9290">
        <v>23308</v>
      </c>
      <c r="R9290" t="s">
        <v>119</v>
      </c>
      <c r="S9290" t="s">
        <v>3235</v>
      </c>
      <c r="T9290">
        <v>25</v>
      </c>
      <c r="U9290" s="2" t="s">
        <v>55679</v>
      </c>
      <c r="V9290" s="1">
        <v>44946</v>
      </c>
      <c r="W9290" t="s">
        <v>84</v>
      </c>
      <c r="X9290">
        <v>831904</v>
      </c>
      <c r="Y9290" t="s">
        <v>998</v>
      </c>
      <c r="Z9290" t="s">
        <v>55680</v>
      </c>
      <c r="AA9290" t="e">
        <f ca="1">- checked &amp; cleaned cartridge bay, plunger rod, I CORE slot, _xludf.filter
- performed XpertCheck
- generated reports
- performed functionality test</f>
        <v>#NAME?</v>
      </c>
      <c r="AB9290" t="s">
        <v>55681</v>
      </c>
      <c r="AD9290" t="s">
        <v>948</v>
      </c>
      <c r="AE9290">
        <v>9524</v>
      </c>
      <c r="AG9290" t="s">
        <v>55682</v>
      </c>
      <c r="AH9290" t="s">
        <v>55683</v>
      </c>
      <c r="AI9290" t="s">
        <v>55684</v>
      </c>
    </row>
    <row r="9291" spans="2:35" ht="180">
      <c r="B9291" s="1">
        <v>44965</v>
      </c>
      <c r="C9291" s="4">
        <v>44964.621527777781</v>
      </c>
      <c r="D9291" t="s">
        <v>26865</v>
      </c>
      <c r="E9291" t="s">
        <v>26866</v>
      </c>
      <c r="F9291">
        <v>3</v>
      </c>
      <c r="G9291" t="s">
        <v>1722</v>
      </c>
      <c r="H9291" t="s">
        <v>39</v>
      </c>
      <c r="I9291" t="s">
        <v>40</v>
      </c>
      <c r="J9291" t="s">
        <v>109</v>
      </c>
      <c r="K9291" t="s">
        <v>42</v>
      </c>
      <c r="L9291" t="s">
        <v>63</v>
      </c>
      <c r="Q9291">
        <v>23307</v>
      </c>
      <c r="R9291" t="s">
        <v>119</v>
      </c>
      <c r="S9291" t="s">
        <v>53289</v>
      </c>
      <c r="T9291">
        <v>29</v>
      </c>
      <c r="U9291" s="2" t="s">
        <v>55685</v>
      </c>
      <c r="V9291" s="1">
        <v>44964</v>
      </c>
      <c r="W9291" t="s">
        <v>26915</v>
      </c>
      <c r="X9291">
        <v>831562</v>
      </c>
      <c r="Y9291" t="s">
        <v>1716</v>
      </c>
      <c r="Z9291" t="s">
        <v>1716</v>
      </c>
      <c r="AA9291" s="2" t="s">
        <v>1727</v>
      </c>
      <c r="AB9291" t="s">
        <v>181</v>
      </c>
      <c r="AC9291" t="s">
        <v>55499</v>
      </c>
      <c r="AD9291" t="s">
        <v>1716</v>
      </c>
      <c r="AE9291" t="s">
        <v>1716</v>
      </c>
      <c r="AG9291" t="s">
        <v>55686</v>
      </c>
      <c r="AH9291" t="s">
        <v>53293</v>
      </c>
      <c r="AI9291" t="s">
        <v>55687</v>
      </c>
    </row>
    <row r="9292" spans="2:35" ht="180">
      <c r="B9292" s="1">
        <v>44964</v>
      </c>
      <c r="C9292" s="4">
        <v>44964.621527777781</v>
      </c>
      <c r="D9292" t="s">
        <v>26865</v>
      </c>
      <c r="E9292" t="s">
        <v>26866</v>
      </c>
      <c r="F9292">
        <v>3</v>
      </c>
      <c r="G9292" t="s">
        <v>1722</v>
      </c>
      <c r="H9292" t="s">
        <v>39</v>
      </c>
      <c r="I9292" t="s">
        <v>40</v>
      </c>
      <c r="J9292" t="s">
        <v>109</v>
      </c>
      <c r="K9292" t="s">
        <v>42</v>
      </c>
      <c r="L9292" t="s">
        <v>63</v>
      </c>
      <c r="Q9292">
        <v>23306</v>
      </c>
      <c r="R9292" t="s">
        <v>119</v>
      </c>
      <c r="S9292" t="s">
        <v>53289</v>
      </c>
      <c r="T9292">
        <v>29</v>
      </c>
      <c r="U9292" s="2" t="s">
        <v>55685</v>
      </c>
      <c r="V9292" s="1">
        <v>44964</v>
      </c>
      <c r="W9292" t="s">
        <v>26915</v>
      </c>
      <c r="X9292">
        <v>831562</v>
      </c>
      <c r="Y9292" t="s">
        <v>1716</v>
      </c>
      <c r="Z9292" t="s">
        <v>1716</v>
      </c>
      <c r="AA9292" s="2" t="s">
        <v>1727</v>
      </c>
      <c r="AB9292" t="s">
        <v>181</v>
      </c>
      <c r="AC9292" t="s">
        <v>55499</v>
      </c>
      <c r="AD9292" t="s">
        <v>1716</v>
      </c>
      <c r="AE9292" t="s">
        <v>1716</v>
      </c>
      <c r="AG9292" t="s">
        <v>55688</v>
      </c>
      <c r="AH9292" t="s">
        <v>53293</v>
      </c>
      <c r="AI9292" t="s">
        <v>55689</v>
      </c>
    </row>
    <row r="9293" spans="2:35" ht="180">
      <c r="B9293" s="1">
        <v>44964</v>
      </c>
      <c r="C9293" s="4">
        <v>44964.621527777781</v>
      </c>
      <c r="D9293" t="s">
        <v>26865</v>
      </c>
      <c r="E9293" t="s">
        <v>26866</v>
      </c>
      <c r="F9293">
        <v>3</v>
      </c>
      <c r="G9293" t="s">
        <v>1722</v>
      </c>
      <c r="H9293" t="s">
        <v>39</v>
      </c>
      <c r="I9293" t="s">
        <v>40</v>
      </c>
      <c r="J9293" t="s">
        <v>109</v>
      </c>
      <c r="K9293" t="s">
        <v>42</v>
      </c>
      <c r="L9293" t="s">
        <v>63</v>
      </c>
      <c r="Q9293">
        <v>23305</v>
      </c>
      <c r="R9293" t="s">
        <v>119</v>
      </c>
      <c r="S9293" t="s">
        <v>53289</v>
      </c>
      <c r="T9293">
        <v>29</v>
      </c>
      <c r="U9293" s="2" t="s">
        <v>55685</v>
      </c>
      <c r="V9293" s="1">
        <v>44964</v>
      </c>
      <c r="W9293" t="s">
        <v>26915</v>
      </c>
      <c r="X9293">
        <v>831562</v>
      </c>
      <c r="Y9293" t="s">
        <v>1716</v>
      </c>
      <c r="Z9293" t="s">
        <v>1716</v>
      </c>
      <c r="AA9293" s="2" t="s">
        <v>1727</v>
      </c>
      <c r="AB9293" t="s">
        <v>181</v>
      </c>
      <c r="AC9293" t="s">
        <v>55499</v>
      </c>
      <c r="AD9293" t="s">
        <v>1716</v>
      </c>
      <c r="AE9293" t="s">
        <v>1716</v>
      </c>
      <c r="AG9293" t="s">
        <v>55690</v>
      </c>
      <c r="AH9293" t="s">
        <v>53293</v>
      </c>
      <c r="AI9293" t="s">
        <v>55691</v>
      </c>
    </row>
    <row r="9294" spans="2:35" ht="225">
      <c r="B9294" s="1">
        <v>44964</v>
      </c>
      <c r="C9294" s="4">
        <v>44963.570833333331</v>
      </c>
      <c r="D9294" t="s">
        <v>55692</v>
      </c>
      <c r="E9294" t="s">
        <v>40816</v>
      </c>
      <c r="F9294">
        <v>3</v>
      </c>
      <c r="G9294" t="s">
        <v>1722</v>
      </c>
      <c r="H9294" t="s">
        <v>39</v>
      </c>
      <c r="I9294" t="s">
        <v>40</v>
      </c>
      <c r="J9294" s="2" t="s">
        <v>62</v>
      </c>
      <c r="K9294" t="s">
        <v>42</v>
      </c>
      <c r="L9294" t="s">
        <v>63</v>
      </c>
      <c r="Q9294">
        <v>23304</v>
      </c>
      <c r="R9294" t="s">
        <v>119</v>
      </c>
      <c r="S9294" t="s">
        <v>4220</v>
      </c>
      <c r="T9294">
        <v>29</v>
      </c>
      <c r="U9294" s="2" t="s">
        <v>55693</v>
      </c>
      <c r="V9294" s="1">
        <v>44963</v>
      </c>
      <c r="W9294" t="s">
        <v>55694</v>
      </c>
      <c r="X9294">
        <v>831637</v>
      </c>
      <c r="Y9294" t="s">
        <v>1716</v>
      </c>
      <c r="Z9294" t="s">
        <v>1716</v>
      </c>
      <c r="AA9294" s="2" t="s">
        <v>38119</v>
      </c>
      <c r="AB9294" t="s">
        <v>70</v>
      </c>
      <c r="AC9294" t="s">
        <v>1716</v>
      </c>
      <c r="AD9294" t="s">
        <v>948</v>
      </c>
      <c r="AE9294" t="s">
        <v>1716</v>
      </c>
      <c r="AG9294" t="s">
        <v>55695</v>
      </c>
      <c r="AH9294" t="s">
        <v>55696</v>
      </c>
      <c r="AI9294" t="s">
        <v>55697</v>
      </c>
    </row>
    <row r="9295" spans="2:35" ht="255">
      <c r="B9295" s="1">
        <v>44964</v>
      </c>
      <c r="C9295" s="4">
        <v>44964.638888888891</v>
      </c>
      <c r="D9295" t="s">
        <v>29822</v>
      </c>
      <c r="E9295" t="s">
        <v>29823</v>
      </c>
      <c r="F9295">
        <v>12</v>
      </c>
      <c r="G9295" t="s">
        <v>2137</v>
      </c>
      <c r="H9295" t="s">
        <v>39</v>
      </c>
      <c r="I9295" t="s">
        <v>94</v>
      </c>
      <c r="J9295" s="2" t="s">
        <v>41</v>
      </c>
      <c r="K9295" t="s">
        <v>42</v>
      </c>
      <c r="L9295" t="s">
        <v>296</v>
      </c>
      <c r="Q9295">
        <v>23302</v>
      </c>
      <c r="R9295" t="s">
        <v>45</v>
      </c>
      <c r="S9295" t="s">
        <v>29824</v>
      </c>
      <c r="T9295">
        <v>28</v>
      </c>
      <c r="U9295" s="2" t="s">
        <v>39145</v>
      </c>
      <c r="V9295" s="1">
        <v>44964</v>
      </c>
      <c r="W9295" t="s">
        <v>23049</v>
      </c>
      <c r="X9295">
        <v>835181</v>
      </c>
      <c r="Y9295" t="s">
        <v>55698</v>
      </c>
      <c r="Z9295" s="2" t="s">
        <v>55699</v>
      </c>
      <c r="AA9295" s="2" t="s">
        <v>55699</v>
      </c>
      <c r="AB9295" t="s">
        <v>55645</v>
      </c>
      <c r="AD9295" t="s">
        <v>22359</v>
      </c>
      <c r="AE9295" t="s">
        <v>19700</v>
      </c>
      <c r="AG9295" t="s">
        <v>55700</v>
      </c>
      <c r="AH9295" t="s">
        <v>55701</v>
      </c>
      <c r="AI9295" t="s">
        <v>55702</v>
      </c>
    </row>
    <row r="9296" spans="2:35" ht="180">
      <c r="B9296" s="1">
        <v>44964</v>
      </c>
      <c r="C9296" s="4">
        <v>44964.57708333333</v>
      </c>
      <c r="D9296" t="s">
        <v>5563</v>
      </c>
      <c r="E9296" t="s">
        <v>1555</v>
      </c>
      <c r="F9296">
        <v>7</v>
      </c>
      <c r="G9296" t="s">
        <v>432</v>
      </c>
      <c r="H9296" t="s">
        <v>150</v>
      </c>
      <c r="I9296" t="s">
        <v>40</v>
      </c>
      <c r="J9296" t="s">
        <v>109</v>
      </c>
      <c r="K9296" t="s">
        <v>42</v>
      </c>
      <c r="L9296" t="s">
        <v>343</v>
      </c>
      <c r="Q9296">
        <v>23301</v>
      </c>
      <c r="R9296" t="s">
        <v>119</v>
      </c>
      <c r="S9296" t="s">
        <v>5564</v>
      </c>
      <c r="T9296">
        <v>24.5</v>
      </c>
      <c r="U9296" s="2" t="s">
        <v>55703</v>
      </c>
      <c r="W9296" t="s">
        <v>6105</v>
      </c>
      <c r="X9296">
        <v>838561</v>
      </c>
      <c r="Y9296" t="s">
        <v>301</v>
      </c>
      <c r="Z9296" t="s">
        <v>301</v>
      </c>
      <c r="AA9296" t="e">
        <f ca="1">-Preventive Maintenance
-ARCHIVE test results
-Check module B1 _xludf.For errors</f>
        <v>#NAME?</v>
      </c>
      <c r="AB9296" t="s">
        <v>55704</v>
      </c>
      <c r="AG9296" t="s">
        <v>55705</v>
      </c>
      <c r="AH9296" t="s">
        <v>55706</v>
      </c>
      <c r="AI9296" t="s">
        <v>55707</v>
      </c>
    </row>
    <row r="9297" spans="2:35" ht="105">
      <c r="B9297" s="1">
        <v>44964</v>
      </c>
      <c r="C9297" s="4">
        <v>44964.574305555558</v>
      </c>
      <c r="D9297" t="s">
        <v>48384</v>
      </c>
      <c r="E9297" t="s">
        <v>12017</v>
      </c>
      <c r="F9297">
        <v>7</v>
      </c>
      <c r="G9297" t="s">
        <v>432</v>
      </c>
      <c r="H9297" t="s">
        <v>11359</v>
      </c>
      <c r="I9297" t="s">
        <v>40</v>
      </c>
      <c r="J9297" s="2" t="s">
        <v>609</v>
      </c>
      <c r="K9297" t="s">
        <v>42</v>
      </c>
      <c r="L9297" t="s">
        <v>1288</v>
      </c>
      <c r="Q9297">
        <v>23300</v>
      </c>
      <c r="R9297" t="s">
        <v>95</v>
      </c>
      <c r="S9297" t="s">
        <v>4886</v>
      </c>
      <c r="T9297">
        <v>22</v>
      </c>
      <c r="U9297" s="2" t="s">
        <v>36752</v>
      </c>
      <c r="W9297" t="s">
        <v>1292</v>
      </c>
      <c r="X9297">
        <v>110008524</v>
      </c>
      <c r="Y9297" t="e">
        <f ca="1">-Preventive Maintenance
-Import new Assay</f>
        <v>#NAME?</v>
      </c>
      <c r="Z9297" t="e">
        <f ca="1">-Import Xpert BCR-ABL ultra G2, Xpert CT_NG, _xludf.and Xpert HBV VIRA Load</f>
        <v>#NAME?</v>
      </c>
      <c r="AA9297" t="e">
        <f ca="1">-PERFORM PM
-COLLECT IQR, system _xludf.Log,_xludf.and Assay</f>
        <v>#NAME?</v>
      </c>
      <c r="AB9297" t="s">
        <v>1293</v>
      </c>
      <c r="AG9297" t="s">
        <v>55708</v>
      </c>
      <c r="AH9297" t="s">
        <v>35033</v>
      </c>
      <c r="AI9297" t="s">
        <v>55709</v>
      </c>
    </row>
    <row r="9298" spans="2:35" ht="360">
      <c r="B9298" s="1">
        <v>44964</v>
      </c>
      <c r="C9298" s="4">
        <v>44964.415972222225</v>
      </c>
      <c r="D9298" t="s">
        <v>23828</v>
      </c>
      <c r="E9298" t="s">
        <v>55710</v>
      </c>
      <c r="F9298">
        <v>3</v>
      </c>
      <c r="G9298" t="s">
        <v>730</v>
      </c>
      <c r="H9298" t="s">
        <v>55711</v>
      </c>
      <c r="I9298" t="s">
        <v>40</v>
      </c>
      <c r="J9298" s="2" t="s">
        <v>62</v>
      </c>
      <c r="K9298" t="s">
        <v>42</v>
      </c>
      <c r="L9298" t="s">
        <v>135</v>
      </c>
      <c r="Q9298">
        <v>23299</v>
      </c>
      <c r="R9298" t="s">
        <v>119</v>
      </c>
      <c r="S9298" t="s">
        <v>23830</v>
      </c>
      <c r="T9298">
        <v>28.9</v>
      </c>
      <c r="U9298" s="2" t="s">
        <v>55712</v>
      </c>
      <c r="V9298" s="1">
        <v>44959</v>
      </c>
      <c r="W9298" t="s">
        <v>2680</v>
      </c>
      <c r="X9298">
        <v>831697</v>
      </c>
      <c r="Y9298" t="s">
        <v>1751</v>
      </c>
      <c r="Z9298" s="2" t="s">
        <v>55713</v>
      </c>
      <c r="AA9298" t="s">
        <v>54639</v>
      </c>
      <c r="AB9298" t="s">
        <v>181</v>
      </c>
      <c r="AC9298" t="s">
        <v>34421</v>
      </c>
      <c r="AD9298" t="s">
        <v>55714</v>
      </c>
      <c r="AE9298">
        <v>9570</v>
      </c>
      <c r="AG9298" t="s">
        <v>55715</v>
      </c>
      <c r="AH9298" t="s">
        <v>27174</v>
      </c>
      <c r="AI9298" t="s">
        <v>55716</v>
      </c>
    </row>
    <row r="9299" spans="2:35" ht="409.5">
      <c r="B9299" s="1">
        <v>44964</v>
      </c>
      <c r="C9299" s="4">
        <v>44964.557638888888</v>
      </c>
      <c r="D9299" t="s">
        <v>38215</v>
      </c>
      <c r="E9299" t="s">
        <v>55717</v>
      </c>
      <c r="F9299">
        <v>11</v>
      </c>
      <c r="G9299" t="s">
        <v>1205</v>
      </c>
      <c r="H9299" t="s">
        <v>202</v>
      </c>
      <c r="I9299" t="s">
        <v>40</v>
      </c>
      <c r="J9299" t="s">
        <v>79</v>
      </c>
      <c r="K9299" t="s">
        <v>42</v>
      </c>
      <c r="L9299" t="s">
        <v>204</v>
      </c>
      <c r="Q9299">
        <v>23298</v>
      </c>
      <c r="R9299" t="s">
        <v>45</v>
      </c>
      <c r="S9299" t="s">
        <v>38217</v>
      </c>
      <c r="T9299">
        <v>28.7</v>
      </c>
      <c r="U9299" s="2" t="s">
        <v>55718</v>
      </c>
      <c r="V9299" s="1">
        <v>44964</v>
      </c>
      <c r="W9299" t="s">
        <v>23237</v>
      </c>
      <c r="X9299">
        <v>838181</v>
      </c>
      <c r="Y9299" t="s">
        <v>55536</v>
      </c>
      <c r="Z9299" t="s">
        <v>2129</v>
      </c>
      <c r="AA9299" s="2" t="s">
        <v>55719</v>
      </c>
      <c r="AB9299" t="s">
        <v>9590</v>
      </c>
      <c r="AC9299" t="s">
        <v>54</v>
      </c>
      <c r="AD9299" t="s">
        <v>19700</v>
      </c>
      <c r="AE9299" t="s">
        <v>54</v>
      </c>
      <c r="AG9299" t="s">
        <v>55720</v>
      </c>
      <c r="AH9299" t="s">
        <v>55721</v>
      </c>
      <c r="AI9299" t="s">
        <v>55722</v>
      </c>
    </row>
    <row r="9300" spans="2:35" ht="409.5">
      <c r="B9300" s="1">
        <v>44964</v>
      </c>
      <c r="C9300" s="4">
        <v>44964.557638888888</v>
      </c>
      <c r="D9300" t="s">
        <v>38215</v>
      </c>
      <c r="E9300" t="s">
        <v>55717</v>
      </c>
      <c r="F9300">
        <v>11</v>
      </c>
      <c r="G9300" t="s">
        <v>1205</v>
      </c>
      <c r="H9300" t="s">
        <v>202</v>
      </c>
      <c r="I9300" t="s">
        <v>40</v>
      </c>
      <c r="J9300" t="s">
        <v>79</v>
      </c>
      <c r="K9300" t="s">
        <v>42</v>
      </c>
      <c r="L9300" t="s">
        <v>204</v>
      </c>
      <c r="Q9300">
        <v>23297</v>
      </c>
      <c r="R9300" t="s">
        <v>45</v>
      </c>
      <c r="S9300" t="s">
        <v>38217</v>
      </c>
      <c r="T9300">
        <v>28.7</v>
      </c>
      <c r="U9300" s="2" t="s">
        <v>55718</v>
      </c>
      <c r="V9300" s="1">
        <v>44964</v>
      </c>
      <c r="W9300" t="s">
        <v>23237</v>
      </c>
      <c r="X9300">
        <v>838181</v>
      </c>
      <c r="Y9300" t="s">
        <v>55536</v>
      </c>
      <c r="Z9300" t="s">
        <v>2129</v>
      </c>
      <c r="AA9300" s="2" t="s">
        <v>55719</v>
      </c>
      <c r="AB9300" t="s">
        <v>9590</v>
      </c>
      <c r="AC9300" t="s">
        <v>54</v>
      </c>
      <c r="AD9300" t="s">
        <v>19700</v>
      </c>
      <c r="AE9300" t="s">
        <v>54</v>
      </c>
      <c r="AG9300" t="s">
        <v>55723</v>
      </c>
      <c r="AH9300" t="s">
        <v>55721</v>
      </c>
      <c r="AI9300" t="s">
        <v>55724</v>
      </c>
    </row>
    <row r="9301" spans="2:35" ht="180">
      <c r="B9301" s="1">
        <v>44964</v>
      </c>
      <c r="C9301" s="4">
        <v>44964.488194444442</v>
      </c>
      <c r="D9301" t="s">
        <v>7076</v>
      </c>
      <c r="E9301" t="s">
        <v>55725</v>
      </c>
      <c r="F9301">
        <v>10</v>
      </c>
      <c r="G9301" t="s">
        <v>1395</v>
      </c>
      <c r="H9301" t="s">
        <v>1047</v>
      </c>
      <c r="I9301" t="s">
        <v>40</v>
      </c>
      <c r="J9301" s="2" t="s">
        <v>1309</v>
      </c>
      <c r="K9301" t="s">
        <v>42</v>
      </c>
      <c r="L9301" t="s">
        <v>43100</v>
      </c>
      <c r="Q9301">
        <v>23296</v>
      </c>
      <c r="R9301" t="s">
        <v>119</v>
      </c>
      <c r="S9301" t="s">
        <v>7078</v>
      </c>
      <c r="T9301">
        <v>22</v>
      </c>
      <c r="U9301" s="2" t="s">
        <v>55726</v>
      </c>
      <c r="W9301" t="s">
        <v>43102</v>
      </c>
      <c r="X9301">
        <v>838575</v>
      </c>
      <c r="Y9301" s="2" t="s">
        <v>55727</v>
      </c>
      <c r="Z9301" s="2" t="s">
        <v>55728</v>
      </c>
      <c r="AA9301" s="2" t="s">
        <v>55729</v>
      </c>
      <c r="AB9301" t="s">
        <v>486</v>
      </c>
      <c r="AG9301" t="s">
        <v>55730</v>
      </c>
      <c r="AH9301" t="s">
        <v>55731</v>
      </c>
      <c r="AI9301" t="s">
        <v>55732</v>
      </c>
    </row>
    <row r="9302" spans="2:35" ht="180">
      <c r="B9302" s="1">
        <v>44964</v>
      </c>
      <c r="C9302" s="4">
        <v>44964.502083333333</v>
      </c>
      <c r="D9302" t="s">
        <v>9762</v>
      </c>
      <c r="E9302" t="s">
        <v>9763</v>
      </c>
      <c r="F9302">
        <v>8</v>
      </c>
      <c r="G9302" t="s">
        <v>2945</v>
      </c>
      <c r="H9302" t="s">
        <v>39</v>
      </c>
      <c r="I9302" t="s">
        <v>40</v>
      </c>
      <c r="J9302" t="s">
        <v>109</v>
      </c>
      <c r="K9302" t="s">
        <v>42</v>
      </c>
      <c r="L9302" t="s">
        <v>259</v>
      </c>
      <c r="Q9302">
        <v>23295</v>
      </c>
      <c r="R9302" t="s">
        <v>119</v>
      </c>
      <c r="S9302" t="s">
        <v>14927</v>
      </c>
      <c r="T9302">
        <v>26</v>
      </c>
      <c r="U9302" s="2" t="s">
        <v>55733</v>
      </c>
      <c r="W9302" t="s">
        <v>84</v>
      </c>
      <c r="X9302">
        <v>838548</v>
      </c>
      <c r="Y9302" t="s">
        <v>43470</v>
      </c>
      <c r="Z9302" t="e">
        <f ca="1">-performed Preventive Maintenance
-cleaned FAN _xludf.filter
-Generate reports</f>
        <v>#NAME?</v>
      </c>
      <c r="AA9302" t="s">
        <v>3128</v>
      </c>
      <c r="AB9302" t="s">
        <v>14930</v>
      </c>
      <c r="AG9302" t="s">
        <v>55734</v>
      </c>
      <c r="AH9302" t="s">
        <v>12062</v>
      </c>
      <c r="AI9302" t="s">
        <v>55735</v>
      </c>
    </row>
    <row r="9303" spans="2:35" ht="180">
      <c r="B9303" s="1">
        <v>44964</v>
      </c>
      <c r="C9303" s="4">
        <v>44964.502083333333</v>
      </c>
      <c r="D9303" t="s">
        <v>9762</v>
      </c>
      <c r="E9303" t="s">
        <v>9763</v>
      </c>
      <c r="F9303">
        <v>8</v>
      </c>
      <c r="G9303" t="s">
        <v>2945</v>
      </c>
      <c r="H9303" t="s">
        <v>39</v>
      </c>
      <c r="I9303" t="s">
        <v>40</v>
      </c>
      <c r="J9303" t="s">
        <v>109</v>
      </c>
      <c r="K9303" t="s">
        <v>42</v>
      </c>
      <c r="L9303" t="s">
        <v>259</v>
      </c>
      <c r="Q9303">
        <v>23294</v>
      </c>
      <c r="R9303" t="s">
        <v>119</v>
      </c>
      <c r="S9303" t="s">
        <v>14927</v>
      </c>
      <c r="T9303">
        <v>26</v>
      </c>
      <c r="U9303" s="2" t="s">
        <v>55733</v>
      </c>
      <c r="W9303" t="s">
        <v>84</v>
      </c>
      <c r="X9303">
        <v>838548</v>
      </c>
      <c r="Y9303" t="s">
        <v>43470</v>
      </c>
      <c r="Z9303" t="e">
        <f ca="1">-performed Preventive Maintenance
-cleaned FAN _xludf.filter
-Generate reports</f>
        <v>#NAME?</v>
      </c>
      <c r="AA9303" t="s">
        <v>3128</v>
      </c>
      <c r="AB9303" t="s">
        <v>14930</v>
      </c>
      <c r="AG9303" t="s">
        <v>55736</v>
      </c>
      <c r="AH9303" t="s">
        <v>12062</v>
      </c>
      <c r="AI9303" t="s">
        <v>55737</v>
      </c>
    </row>
    <row r="9304" spans="2:35" ht="180">
      <c r="B9304" s="1">
        <v>44964</v>
      </c>
      <c r="C9304" s="4">
        <v>44964.469444444447</v>
      </c>
      <c r="D9304" t="s">
        <v>55738</v>
      </c>
      <c r="E9304" t="s">
        <v>55739</v>
      </c>
      <c r="F9304">
        <v>13</v>
      </c>
      <c r="G9304" t="s">
        <v>7763</v>
      </c>
      <c r="H9304" t="s">
        <v>2125</v>
      </c>
      <c r="I9304" t="s">
        <v>40</v>
      </c>
      <c r="J9304" s="2" t="s">
        <v>41</v>
      </c>
      <c r="K9304" t="s">
        <v>42</v>
      </c>
      <c r="L9304" t="s">
        <v>933</v>
      </c>
      <c r="Q9304">
        <v>23293</v>
      </c>
      <c r="R9304" t="s">
        <v>45</v>
      </c>
      <c r="S9304" t="s">
        <v>55740</v>
      </c>
      <c r="T9304">
        <v>24.4</v>
      </c>
      <c r="U9304" s="2" t="s">
        <v>55741</v>
      </c>
      <c r="W9304" t="s">
        <v>23146</v>
      </c>
      <c r="X9304">
        <v>835077</v>
      </c>
      <c r="Y9304" t="s">
        <v>301</v>
      </c>
      <c r="Z9304" t="s">
        <v>301</v>
      </c>
      <c r="AA9304" t="s">
        <v>55742</v>
      </c>
      <c r="AB9304" t="s">
        <v>52832</v>
      </c>
      <c r="AG9304" t="s">
        <v>55743</v>
      </c>
      <c r="AH9304" t="s">
        <v>55744</v>
      </c>
      <c r="AI9304" t="s">
        <v>55745</v>
      </c>
    </row>
    <row r="9305" spans="2:35" ht="409.5">
      <c r="B9305" s="1">
        <v>44964</v>
      </c>
      <c r="C9305" s="4">
        <v>44964.38958333333</v>
      </c>
      <c r="D9305" t="s">
        <v>23134</v>
      </c>
      <c r="E9305" t="s">
        <v>27716</v>
      </c>
      <c r="F9305" t="s">
        <v>148</v>
      </c>
      <c r="G9305" t="s">
        <v>310</v>
      </c>
      <c r="H9305" t="s">
        <v>34954</v>
      </c>
      <c r="I9305" t="s">
        <v>40</v>
      </c>
      <c r="J9305" s="2" t="s">
        <v>41</v>
      </c>
      <c r="K9305" t="s">
        <v>42</v>
      </c>
      <c r="L9305" t="s">
        <v>1943</v>
      </c>
      <c r="Q9305">
        <v>23292</v>
      </c>
      <c r="R9305" t="s">
        <v>45</v>
      </c>
      <c r="S9305" t="s">
        <v>23136</v>
      </c>
      <c r="T9305">
        <v>25</v>
      </c>
      <c r="U9305" s="2" t="s">
        <v>55746</v>
      </c>
      <c r="V9305" s="1">
        <v>44963</v>
      </c>
      <c r="W9305" t="s">
        <v>84</v>
      </c>
      <c r="X9305">
        <v>834430</v>
      </c>
      <c r="Y9305" s="2" t="s">
        <v>20087</v>
      </c>
      <c r="Z9305" s="2" t="s">
        <v>55747</v>
      </c>
      <c r="AA9305" t="s">
        <v>1947</v>
      </c>
      <c r="AB9305" t="s">
        <v>88</v>
      </c>
      <c r="AD9305" t="s">
        <v>55748</v>
      </c>
      <c r="AE9305" t="s">
        <v>55625</v>
      </c>
      <c r="AG9305" t="s">
        <v>55749</v>
      </c>
      <c r="AH9305" t="s">
        <v>55750</v>
      </c>
      <c r="AI9305" t="s">
        <v>55751</v>
      </c>
    </row>
    <row r="9306" spans="2:35" ht="360">
      <c r="B9306" s="1">
        <v>44963</v>
      </c>
      <c r="C9306" s="4">
        <v>44963.595138888886</v>
      </c>
      <c r="D9306" t="s">
        <v>25498</v>
      </c>
      <c r="E9306" t="s">
        <v>30137</v>
      </c>
      <c r="F9306">
        <v>3</v>
      </c>
      <c r="G9306" t="s">
        <v>730</v>
      </c>
      <c r="H9306" t="s">
        <v>39</v>
      </c>
      <c r="I9306" t="s">
        <v>40</v>
      </c>
      <c r="J9306" s="2" t="s">
        <v>62</v>
      </c>
      <c r="K9306" t="s">
        <v>42</v>
      </c>
      <c r="L9306" t="s">
        <v>135</v>
      </c>
      <c r="Q9306">
        <v>23291</v>
      </c>
      <c r="R9306" t="s">
        <v>45</v>
      </c>
      <c r="S9306" t="s">
        <v>25500</v>
      </c>
      <c r="T9306">
        <v>27.6</v>
      </c>
      <c r="U9306" s="2" t="s">
        <v>55752</v>
      </c>
      <c r="V9306" s="1">
        <v>44935</v>
      </c>
      <c r="W9306" t="s">
        <v>2680</v>
      </c>
      <c r="X9306">
        <v>807564</v>
      </c>
      <c r="Y9306" t="s">
        <v>55753</v>
      </c>
      <c r="Z9306" s="2" t="s">
        <v>55754</v>
      </c>
      <c r="AA9306" t="s">
        <v>55755</v>
      </c>
      <c r="AB9306" t="s">
        <v>13135</v>
      </c>
      <c r="AC9306" t="s">
        <v>55756</v>
      </c>
      <c r="AD9306" t="s">
        <v>55757</v>
      </c>
      <c r="AE9306">
        <v>37969</v>
      </c>
      <c r="AG9306" t="s">
        <v>55758</v>
      </c>
      <c r="AH9306" t="s">
        <v>33632</v>
      </c>
      <c r="AI9306" t="s">
        <v>55759</v>
      </c>
    </row>
    <row r="9307" spans="2:35" ht="180">
      <c r="B9307" s="1">
        <v>44963</v>
      </c>
      <c r="C9307" s="4">
        <v>44963.619444444441</v>
      </c>
      <c r="D9307" t="s">
        <v>25369</v>
      </c>
      <c r="E9307" t="s">
        <v>55760</v>
      </c>
      <c r="F9307">
        <v>6</v>
      </c>
      <c r="G9307" t="s">
        <v>1234</v>
      </c>
      <c r="H9307" t="s">
        <v>55761</v>
      </c>
      <c r="I9307" t="s">
        <v>94</v>
      </c>
      <c r="J9307" t="s">
        <v>79</v>
      </c>
      <c r="K9307" t="s">
        <v>42</v>
      </c>
      <c r="L9307" t="s">
        <v>23958</v>
      </c>
      <c r="Q9307">
        <v>23290</v>
      </c>
      <c r="R9307" t="s">
        <v>45</v>
      </c>
      <c r="S9307" t="s">
        <v>25372</v>
      </c>
      <c r="T9307">
        <v>26.9</v>
      </c>
      <c r="U9307" s="2" t="s">
        <v>55762</v>
      </c>
      <c r="W9307" t="s">
        <v>6776</v>
      </c>
      <c r="X9307">
        <v>838141</v>
      </c>
      <c r="Y9307" t="s">
        <v>55763</v>
      </c>
      <c r="Z9307" t="s">
        <v>55764</v>
      </c>
      <c r="AA9307" t="s">
        <v>55764</v>
      </c>
      <c r="AB9307" t="s">
        <v>55765</v>
      </c>
      <c r="AG9307" t="s">
        <v>55766</v>
      </c>
      <c r="AH9307" t="s">
        <v>25377</v>
      </c>
      <c r="AI9307" t="s">
        <v>55767</v>
      </c>
    </row>
    <row r="9308" spans="2:35" ht="300">
      <c r="B9308" s="1">
        <v>44963</v>
      </c>
      <c r="C9308" s="4">
        <v>44963.52847222222</v>
      </c>
      <c r="D9308" t="s">
        <v>26665</v>
      </c>
      <c r="E9308" t="s">
        <v>55768</v>
      </c>
      <c r="F9308">
        <v>11</v>
      </c>
      <c r="G9308" t="s">
        <v>1205</v>
      </c>
      <c r="H9308" t="s">
        <v>202</v>
      </c>
      <c r="I9308" t="s">
        <v>40</v>
      </c>
      <c r="J9308" t="s">
        <v>79</v>
      </c>
      <c r="K9308" t="s">
        <v>42</v>
      </c>
      <c r="L9308" t="s">
        <v>204</v>
      </c>
      <c r="Q9308">
        <v>23289</v>
      </c>
      <c r="R9308" t="s">
        <v>45</v>
      </c>
      <c r="S9308" t="s">
        <v>26667</v>
      </c>
      <c r="T9308">
        <v>25.2</v>
      </c>
      <c r="U9308" s="2" t="s">
        <v>5556</v>
      </c>
      <c r="V9308" s="1">
        <v>44963</v>
      </c>
      <c r="W9308" t="s">
        <v>55769</v>
      </c>
      <c r="X9308">
        <v>707513</v>
      </c>
      <c r="Y9308" t="s">
        <v>55770</v>
      </c>
      <c r="Z9308" t="s">
        <v>2129</v>
      </c>
      <c r="AA9308" s="2" t="s">
        <v>55771</v>
      </c>
      <c r="AB9308" t="s">
        <v>181</v>
      </c>
      <c r="AC9308" t="s">
        <v>54</v>
      </c>
      <c r="AD9308" t="s">
        <v>19700</v>
      </c>
      <c r="AE9308" t="s">
        <v>54</v>
      </c>
      <c r="AG9308" t="s">
        <v>55772</v>
      </c>
      <c r="AH9308" t="s">
        <v>26671</v>
      </c>
      <c r="AI9308" t="s">
        <v>55773</v>
      </c>
    </row>
    <row r="9309" spans="2:35" ht="300">
      <c r="B9309" s="1">
        <v>44963</v>
      </c>
      <c r="C9309" s="4">
        <v>44963.52847222222</v>
      </c>
      <c r="D9309" t="s">
        <v>26665</v>
      </c>
      <c r="E9309" t="s">
        <v>55768</v>
      </c>
      <c r="F9309">
        <v>11</v>
      </c>
      <c r="G9309" t="s">
        <v>1205</v>
      </c>
      <c r="H9309" t="s">
        <v>202</v>
      </c>
      <c r="I9309" t="s">
        <v>40</v>
      </c>
      <c r="J9309" t="s">
        <v>79</v>
      </c>
      <c r="K9309" t="s">
        <v>42</v>
      </c>
      <c r="L9309" t="s">
        <v>204</v>
      </c>
      <c r="Q9309">
        <v>23288</v>
      </c>
      <c r="R9309" t="s">
        <v>45</v>
      </c>
      <c r="S9309" t="s">
        <v>26667</v>
      </c>
      <c r="T9309">
        <v>25.2</v>
      </c>
      <c r="U9309" s="2" t="s">
        <v>5556</v>
      </c>
      <c r="V9309" s="1">
        <v>44963</v>
      </c>
      <c r="W9309" t="s">
        <v>55769</v>
      </c>
      <c r="X9309">
        <v>707513</v>
      </c>
      <c r="Y9309" t="s">
        <v>55770</v>
      </c>
      <c r="Z9309" t="s">
        <v>2129</v>
      </c>
      <c r="AA9309" s="2" t="s">
        <v>55771</v>
      </c>
      <c r="AB9309" t="s">
        <v>181</v>
      </c>
      <c r="AC9309" t="s">
        <v>54</v>
      </c>
      <c r="AD9309" t="s">
        <v>19700</v>
      </c>
      <c r="AE9309" t="s">
        <v>54</v>
      </c>
      <c r="AG9309" t="s">
        <v>55774</v>
      </c>
      <c r="AH9309" t="s">
        <v>26671</v>
      </c>
      <c r="AI9309" t="s">
        <v>55775</v>
      </c>
    </row>
    <row r="9310" spans="2:35" ht="409.5">
      <c r="B9310" s="1">
        <v>44963</v>
      </c>
      <c r="C9310" s="4">
        <v>44959.569444444445</v>
      </c>
      <c r="D9310" t="s">
        <v>369</v>
      </c>
      <c r="E9310" t="s">
        <v>29199</v>
      </c>
      <c r="F9310" t="s">
        <v>148</v>
      </c>
      <c r="G9310" t="s">
        <v>371</v>
      </c>
      <c r="H9310" t="s">
        <v>61</v>
      </c>
      <c r="I9310" t="s">
        <v>40</v>
      </c>
      <c r="J9310" s="2" t="s">
        <v>62</v>
      </c>
      <c r="K9310" t="s">
        <v>42</v>
      </c>
      <c r="L9310" t="s">
        <v>175</v>
      </c>
      <c r="Q9310">
        <v>23285</v>
      </c>
      <c r="R9310" t="s">
        <v>45</v>
      </c>
      <c r="S9310" t="s">
        <v>52349</v>
      </c>
      <c r="T9310">
        <v>25</v>
      </c>
      <c r="U9310" s="2" t="s">
        <v>55776</v>
      </c>
      <c r="W9310" t="s">
        <v>84</v>
      </c>
      <c r="X9310">
        <v>814159</v>
      </c>
      <c r="Y9310" t="s">
        <v>6777</v>
      </c>
      <c r="Z9310" t="s">
        <v>875</v>
      </c>
      <c r="AA9310" t="e">
        <f ca="1">- checked &amp; cleaned cartridge bay, plunger rod, I CORE slot, _xludf.filter
- performed XpertCheck
- generated reports
- performed functionality test</f>
        <v>#NAME?</v>
      </c>
      <c r="AB9310" t="s">
        <v>55777</v>
      </c>
      <c r="AG9310" t="s">
        <v>55778</v>
      </c>
      <c r="AH9310" t="s">
        <v>40351</v>
      </c>
      <c r="AI9310" t="s">
        <v>55779</v>
      </c>
    </row>
    <row r="9311" spans="2:35" ht="90">
      <c r="B9311" s="1">
        <v>44963</v>
      </c>
      <c r="C9311" s="4">
        <v>44960.57708333333</v>
      </c>
      <c r="D9311" t="s">
        <v>1155</v>
      </c>
      <c r="E9311" t="s">
        <v>55780</v>
      </c>
      <c r="F9311" t="s">
        <v>148</v>
      </c>
      <c r="G9311" t="s">
        <v>230</v>
      </c>
      <c r="H9311" t="s">
        <v>39</v>
      </c>
      <c r="I9311" t="s">
        <v>40</v>
      </c>
      <c r="J9311" s="2" t="s">
        <v>62</v>
      </c>
      <c r="K9311" t="s">
        <v>42</v>
      </c>
      <c r="L9311" t="s">
        <v>175</v>
      </c>
      <c r="Q9311">
        <v>23287</v>
      </c>
      <c r="R9311" t="s">
        <v>119</v>
      </c>
      <c r="S9311" t="s">
        <v>1159</v>
      </c>
      <c r="T9311">
        <v>25</v>
      </c>
      <c r="U9311" s="2" t="s">
        <v>55781</v>
      </c>
      <c r="V9311" s="1">
        <v>44946</v>
      </c>
      <c r="W9311" t="s">
        <v>84</v>
      </c>
      <c r="X9311">
        <v>831895</v>
      </c>
      <c r="Y9311" t="s">
        <v>6777</v>
      </c>
      <c r="Z9311" t="s">
        <v>875</v>
      </c>
      <c r="AA9311" t="e">
        <f ca="1">- checked &amp; cleaned cartridge bay, plunger rod, I CORE slot, _xludf.filter
- performed XpertCheck
- generated reports
- performed functionality test
- checked UPS</f>
        <v>#NAME?</v>
      </c>
      <c r="AB9311" t="s">
        <v>55782</v>
      </c>
      <c r="AD9311" t="s">
        <v>7189</v>
      </c>
      <c r="AE9311">
        <v>9530</v>
      </c>
      <c r="AG9311" t="s">
        <v>55783</v>
      </c>
      <c r="AH9311" t="s">
        <v>55784</v>
      </c>
      <c r="AI9311" t="s">
        <v>55785</v>
      </c>
    </row>
    <row r="9312" spans="2:35" ht="180">
      <c r="B9312" s="1">
        <v>44963</v>
      </c>
      <c r="C9312" s="4">
        <v>44959.665277777778</v>
      </c>
      <c r="D9312" t="s">
        <v>2816</v>
      </c>
      <c r="E9312" t="s">
        <v>28082</v>
      </c>
      <c r="F9312" t="s">
        <v>148</v>
      </c>
      <c r="G9312" t="s">
        <v>371</v>
      </c>
      <c r="H9312" t="s">
        <v>39</v>
      </c>
      <c r="I9312" t="s">
        <v>40</v>
      </c>
      <c r="J9312" s="2" t="s">
        <v>62</v>
      </c>
      <c r="K9312" t="s">
        <v>42</v>
      </c>
      <c r="L9312" t="s">
        <v>175</v>
      </c>
      <c r="Q9312">
        <v>23286</v>
      </c>
      <c r="R9312" t="s">
        <v>119</v>
      </c>
      <c r="S9312" t="s">
        <v>2818</v>
      </c>
      <c r="T9312">
        <v>25</v>
      </c>
      <c r="U9312" s="2" t="s">
        <v>55786</v>
      </c>
      <c r="V9312" s="1">
        <v>44944</v>
      </c>
      <c r="W9312" t="s">
        <v>84</v>
      </c>
      <c r="X9312">
        <v>831907</v>
      </c>
      <c r="Y9312" t="s">
        <v>6777</v>
      </c>
      <c r="Z9312" t="s">
        <v>875</v>
      </c>
      <c r="AA9312" t="e">
        <f ca="1">- checked &amp; cleaned cartridge bay, plunger rod, I CORE slot, _xludf.filter
- performed XpertCheck
- generated reports
- performed functionality test</f>
        <v>#NAME?</v>
      </c>
      <c r="AB9312" t="s">
        <v>88</v>
      </c>
      <c r="AD9312" t="s">
        <v>22701</v>
      </c>
      <c r="AE9312">
        <v>9497</v>
      </c>
      <c r="AG9312" t="s">
        <v>55787</v>
      </c>
      <c r="AH9312" t="s">
        <v>24413</v>
      </c>
      <c r="AI9312" t="s">
        <v>55788</v>
      </c>
    </row>
    <row r="9313" spans="2:35" ht="180">
      <c r="B9313" s="1">
        <v>44963</v>
      </c>
      <c r="C9313" s="4">
        <v>44958.543055555558</v>
      </c>
      <c r="D9313" t="s">
        <v>55789</v>
      </c>
      <c r="E9313" t="s">
        <v>2817</v>
      </c>
      <c r="F9313" t="s">
        <v>148</v>
      </c>
      <c r="G9313" t="s">
        <v>371</v>
      </c>
      <c r="H9313" t="s">
        <v>39</v>
      </c>
      <c r="I9313" t="s">
        <v>40</v>
      </c>
      <c r="J9313" t="s">
        <v>109</v>
      </c>
      <c r="K9313" t="s">
        <v>42</v>
      </c>
      <c r="L9313" t="s">
        <v>175</v>
      </c>
      <c r="Q9313">
        <v>23284</v>
      </c>
      <c r="R9313" t="s">
        <v>45</v>
      </c>
      <c r="S9313" t="s">
        <v>26060</v>
      </c>
      <c r="T9313">
        <v>23</v>
      </c>
      <c r="U9313" s="2" t="s">
        <v>55790</v>
      </c>
      <c r="W9313" t="s">
        <v>84</v>
      </c>
      <c r="X9313">
        <v>838856</v>
      </c>
      <c r="Y9313" t="s">
        <v>374</v>
      </c>
      <c r="Z9313" t="s">
        <v>122</v>
      </c>
      <c r="AA9313" t="e">
        <f ca="1">- checked &amp; cleaned cartridge bay, plunger rod, I CORE slot, _xludf.filter
- generated reports
- performed functionality test</f>
        <v>#NAME?</v>
      </c>
      <c r="AB9313" t="s">
        <v>181</v>
      </c>
      <c r="AG9313" t="s">
        <v>55791</v>
      </c>
      <c r="AH9313" t="s">
        <v>26064</v>
      </c>
      <c r="AI9313" t="s">
        <v>55792</v>
      </c>
    </row>
    <row r="9314" spans="2:35" ht="180">
      <c r="B9314" s="1">
        <v>44963</v>
      </c>
      <c r="C9314" s="4">
        <v>44957.572916666664</v>
      </c>
      <c r="D9314" t="s">
        <v>20529</v>
      </c>
      <c r="E9314" t="s">
        <v>2817</v>
      </c>
      <c r="F9314" t="s">
        <v>148</v>
      </c>
      <c r="G9314" t="s">
        <v>371</v>
      </c>
      <c r="H9314" t="s">
        <v>39</v>
      </c>
      <c r="I9314" t="s">
        <v>40</v>
      </c>
      <c r="J9314" s="2" t="s">
        <v>62</v>
      </c>
      <c r="K9314" t="s">
        <v>42</v>
      </c>
      <c r="L9314" t="s">
        <v>175</v>
      </c>
      <c r="Q9314">
        <v>23280</v>
      </c>
      <c r="R9314" t="s">
        <v>119</v>
      </c>
      <c r="S9314" t="s">
        <v>20530</v>
      </c>
      <c r="T9314">
        <v>38</v>
      </c>
      <c r="U9314" s="2" t="s">
        <v>55793</v>
      </c>
      <c r="V9314" s="1">
        <v>44944</v>
      </c>
      <c r="W9314" t="s">
        <v>84</v>
      </c>
      <c r="X9314">
        <v>831906</v>
      </c>
      <c r="Y9314" t="s">
        <v>998</v>
      </c>
      <c r="Z9314" t="s">
        <v>55794</v>
      </c>
      <c r="AA9314" t="e">
        <f ca="1">- checked &amp; cleaned cartridge bay, plunger rod, I CORE slot, _xludf.filter
- performed XpertCheck
- generated reports
- performed functionality test</f>
        <v>#NAME?</v>
      </c>
      <c r="AB9314" t="s">
        <v>55795</v>
      </c>
      <c r="AD9314" t="s">
        <v>22701</v>
      </c>
      <c r="AE9314">
        <v>9493</v>
      </c>
      <c r="AG9314" t="s">
        <v>55796</v>
      </c>
      <c r="AH9314" t="s">
        <v>20534</v>
      </c>
      <c r="AI9314" t="s">
        <v>55797</v>
      </c>
    </row>
    <row r="9315" spans="2:35" ht="180">
      <c r="B9315" s="1">
        <v>44963</v>
      </c>
      <c r="C9315" s="4">
        <v>44958.563194444447</v>
      </c>
      <c r="D9315" t="s">
        <v>55798</v>
      </c>
      <c r="E9315" t="s">
        <v>55799</v>
      </c>
      <c r="F9315" t="s">
        <v>148</v>
      </c>
      <c r="G9315" t="s">
        <v>371</v>
      </c>
      <c r="H9315" t="s">
        <v>39</v>
      </c>
      <c r="I9315" t="s">
        <v>40</v>
      </c>
      <c r="J9315" s="2" t="s">
        <v>62</v>
      </c>
      <c r="K9315" t="s">
        <v>42</v>
      </c>
      <c r="L9315" t="s">
        <v>175</v>
      </c>
      <c r="Q9315">
        <v>23281</v>
      </c>
      <c r="R9315" t="s">
        <v>119</v>
      </c>
      <c r="S9315" t="s">
        <v>27229</v>
      </c>
      <c r="T9315">
        <v>25</v>
      </c>
      <c r="U9315" s="2" t="s">
        <v>55800</v>
      </c>
      <c r="V9315" s="1">
        <v>44945</v>
      </c>
      <c r="W9315" t="s">
        <v>84</v>
      </c>
      <c r="X9315">
        <v>831677</v>
      </c>
      <c r="Y9315" t="s">
        <v>55801</v>
      </c>
      <c r="Z9315" t="s">
        <v>55794</v>
      </c>
      <c r="AA9315" t="e">
        <f ca="1">- checked &amp; cleaned cartridge bay, plunger rod, I CORE slot, _xludf.filter
- performed XpertCheck
- generated reports
- performed functionality test</f>
        <v>#NAME?</v>
      </c>
      <c r="AB9315" t="s">
        <v>55802</v>
      </c>
      <c r="AD9315" t="s">
        <v>20036</v>
      </c>
      <c r="AE9315">
        <v>9506</v>
      </c>
      <c r="AG9315" t="s">
        <v>55803</v>
      </c>
      <c r="AH9315" t="s">
        <v>55804</v>
      </c>
      <c r="AI9315" t="s">
        <v>55805</v>
      </c>
    </row>
    <row r="9316" spans="2:35" ht="409.5">
      <c r="B9316" s="1">
        <v>44963</v>
      </c>
      <c r="C9316" s="4">
        <v>44959.549305555556</v>
      </c>
      <c r="D9316" t="s">
        <v>369</v>
      </c>
      <c r="E9316" t="s">
        <v>29199</v>
      </c>
      <c r="F9316" t="s">
        <v>148</v>
      </c>
      <c r="G9316" t="s">
        <v>371</v>
      </c>
      <c r="H9316" t="s">
        <v>61</v>
      </c>
      <c r="I9316" t="s">
        <v>40</v>
      </c>
      <c r="J9316" s="2" t="s">
        <v>1309</v>
      </c>
      <c r="K9316" t="s">
        <v>42</v>
      </c>
      <c r="L9316" t="s">
        <v>175</v>
      </c>
      <c r="Q9316">
        <v>23282</v>
      </c>
      <c r="R9316" t="s">
        <v>45</v>
      </c>
      <c r="S9316" t="s">
        <v>52349</v>
      </c>
      <c r="T9316">
        <v>25</v>
      </c>
      <c r="U9316" s="2" t="s">
        <v>50962</v>
      </c>
      <c r="W9316" t="s">
        <v>84</v>
      </c>
      <c r="X9316">
        <v>707523</v>
      </c>
      <c r="Y9316" t="e">
        <f ca="1">- SQL _xludf.error on Laptop (Dell WINDOW xp SN: CZNKSMI)
- Unit _xludf.For XpertCheck</f>
        <v>#NAME?</v>
      </c>
      <c r="Z9316" s="2" t="s">
        <v>55806</v>
      </c>
      <c r="AA9316" s="2" t="s">
        <v>55807</v>
      </c>
      <c r="AB9316" t="s">
        <v>55808</v>
      </c>
      <c r="AG9316" t="s">
        <v>55809</v>
      </c>
      <c r="AH9316" t="s">
        <v>40351</v>
      </c>
      <c r="AI9316" t="s">
        <v>55810</v>
      </c>
    </row>
    <row r="9317" spans="2:35" ht="180">
      <c r="B9317" s="1">
        <v>44963</v>
      </c>
      <c r="C9317" s="4">
        <v>44958.568055555559</v>
      </c>
      <c r="D9317" t="s">
        <v>55798</v>
      </c>
      <c r="E9317" t="s">
        <v>26059</v>
      </c>
      <c r="F9317" t="s">
        <v>148</v>
      </c>
      <c r="G9317" t="s">
        <v>371</v>
      </c>
      <c r="H9317" t="s">
        <v>39</v>
      </c>
      <c r="I9317" t="s">
        <v>40</v>
      </c>
      <c r="J9317" s="2" t="s">
        <v>62</v>
      </c>
      <c r="K9317" t="s">
        <v>42</v>
      </c>
      <c r="L9317" t="s">
        <v>175</v>
      </c>
      <c r="Q9317">
        <v>23283</v>
      </c>
      <c r="R9317" t="s">
        <v>119</v>
      </c>
      <c r="S9317" t="s">
        <v>27229</v>
      </c>
      <c r="T9317">
        <v>23</v>
      </c>
      <c r="U9317" s="2" t="s">
        <v>55811</v>
      </c>
      <c r="V9317" s="1">
        <v>44944</v>
      </c>
      <c r="W9317" t="s">
        <v>84</v>
      </c>
      <c r="X9317">
        <v>831845</v>
      </c>
      <c r="Y9317" t="s">
        <v>998</v>
      </c>
      <c r="Z9317" t="s">
        <v>34204</v>
      </c>
      <c r="AA9317" t="e">
        <f ca="1">- checked &amp; cleaned cartridge bay, plunger rod, I CORE slot, _xludf.filter
- performed XpertCheck
- generated reports
- performed functionality test</f>
        <v>#NAME?</v>
      </c>
      <c r="AB9317" t="s">
        <v>54953</v>
      </c>
      <c r="AD9317" t="s">
        <v>20036</v>
      </c>
      <c r="AE9317">
        <v>9498</v>
      </c>
      <c r="AG9317" t="s">
        <v>55812</v>
      </c>
      <c r="AH9317" t="s">
        <v>55804</v>
      </c>
      <c r="AI9317" t="s">
        <v>55813</v>
      </c>
    </row>
    <row r="9318" spans="2:35" ht="345">
      <c r="B9318" s="1">
        <v>44963</v>
      </c>
      <c r="C9318" s="4">
        <v>44960.461111111108</v>
      </c>
      <c r="D9318" t="s">
        <v>4183</v>
      </c>
      <c r="E9318" t="s">
        <v>55814</v>
      </c>
      <c r="F9318">
        <v>3</v>
      </c>
      <c r="G9318" t="s">
        <v>134</v>
      </c>
      <c r="H9318" t="s">
        <v>39</v>
      </c>
      <c r="I9318" t="s">
        <v>40</v>
      </c>
      <c r="J9318" s="2" t="s">
        <v>1592</v>
      </c>
      <c r="K9318" t="s">
        <v>42</v>
      </c>
      <c r="L9318" t="s">
        <v>135</v>
      </c>
      <c r="Q9318">
        <v>23279</v>
      </c>
      <c r="R9318" t="s">
        <v>322</v>
      </c>
      <c r="S9318" t="s">
        <v>9328</v>
      </c>
      <c r="T9318">
        <v>34.049999999999997</v>
      </c>
      <c r="U9318" s="2" t="s">
        <v>55815</v>
      </c>
      <c r="W9318" t="s">
        <v>36116</v>
      </c>
      <c r="X9318">
        <v>812571</v>
      </c>
      <c r="Y9318" t="s">
        <v>55816</v>
      </c>
      <c r="Z9318" s="2" t="s">
        <v>55817</v>
      </c>
      <c r="AA9318" t="s">
        <v>55818</v>
      </c>
      <c r="AB9318" t="s">
        <v>181</v>
      </c>
      <c r="AG9318" t="s">
        <v>55819</v>
      </c>
      <c r="AH9318" t="s">
        <v>55820</v>
      </c>
      <c r="AI9318" t="s">
        <v>55821</v>
      </c>
    </row>
    <row r="9319" spans="2:35" ht="255">
      <c r="B9319" s="1">
        <v>44963</v>
      </c>
      <c r="C9319" s="4">
        <v>44960.480555555558</v>
      </c>
      <c r="D9319" t="s">
        <v>55822</v>
      </c>
      <c r="E9319" t="s">
        <v>55814</v>
      </c>
      <c r="F9319">
        <v>3</v>
      </c>
      <c r="G9319" t="s">
        <v>134</v>
      </c>
      <c r="H9319" t="s">
        <v>55823</v>
      </c>
      <c r="I9319" t="s">
        <v>40</v>
      </c>
      <c r="J9319" t="s">
        <v>109</v>
      </c>
      <c r="K9319" t="s">
        <v>42</v>
      </c>
      <c r="L9319" t="s">
        <v>135</v>
      </c>
      <c r="Q9319">
        <v>23278</v>
      </c>
      <c r="R9319" t="s">
        <v>45</v>
      </c>
      <c r="S9319" t="s">
        <v>55824</v>
      </c>
      <c r="T9319">
        <v>33</v>
      </c>
      <c r="U9319" s="2" t="s">
        <v>55825</v>
      </c>
      <c r="W9319" t="s">
        <v>2680</v>
      </c>
      <c r="X9319">
        <v>804763</v>
      </c>
      <c r="Y9319" s="2" t="s">
        <v>55826</v>
      </c>
      <c r="Z9319" s="2" t="s">
        <v>55827</v>
      </c>
      <c r="AA9319" t="s">
        <v>4315</v>
      </c>
      <c r="AB9319" t="s">
        <v>55828</v>
      </c>
      <c r="AC9319" t="s">
        <v>55829</v>
      </c>
      <c r="AG9319" t="s">
        <v>55830</v>
      </c>
      <c r="AH9319" t="s">
        <v>55831</v>
      </c>
      <c r="AI9319" t="s">
        <v>55832</v>
      </c>
    </row>
    <row r="9320" spans="2:35" ht="180">
      <c r="B9320" s="1">
        <v>44963</v>
      </c>
      <c r="C9320" s="4">
        <v>44959.453472222223</v>
      </c>
      <c r="D9320" t="s">
        <v>6672</v>
      </c>
      <c r="E9320" t="s">
        <v>9442</v>
      </c>
      <c r="F9320">
        <v>8</v>
      </c>
      <c r="G9320" t="s">
        <v>1663</v>
      </c>
      <c r="H9320" t="s">
        <v>39</v>
      </c>
      <c r="I9320" t="s">
        <v>40</v>
      </c>
      <c r="J9320" t="s">
        <v>109</v>
      </c>
      <c r="K9320" t="s">
        <v>42</v>
      </c>
      <c r="L9320" t="s">
        <v>259</v>
      </c>
      <c r="Q9320">
        <v>23277</v>
      </c>
      <c r="R9320" t="s">
        <v>119</v>
      </c>
      <c r="S9320" t="s">
        <v>55833</v>
      </c>
      <c r="T9320">
        <v>27</v>
      </c>
      <c r="U9320" s="2" t="s">
        <v>55834</v>
      </c>
      <c r="W9320" t="s">
        <v>84</v>
      </c>
      <c r="X9320">
        <v>838202</v>
      </c>
      <c r="Y9320" t="s">
        <v>55835</v>
      </c>
      <c r="Z9320" t="e">
        <f ca="1">-performed Preventive Maintenance
-cleaned FAN _xludf.filter
-Generate reports</f>
        <v>#NAME?</v>
      </c>
      <c r="AA9320" t="e">
        <f ca="1">-Preventive Maintenance</f>
        <v>#NAME?</v>
      </c>
      <c r="AB9320" t="s">
        <v>70</v>
      </c>
      <c r="AG9320" t="s">
        <v>55836</v>
      </c>
      <c r="AH9320" t="s">
        <v>55837</v>
      </c>
      <c r="AI9320" t="s">
        <v>55838</v>
      </c>
    </row>
    <row r="9321" spans="2:35" ht="285">
      <c r="B9321" s="1">
        <v>44963</v>
      </c>
      <c r="C9321" s="4">
        <v>44960.585416666669</v>
      </c>
      <c r="D9321" t="s">
        <v>542</v>
      </c>
      <c r="E9321" t="s">
        <v>28594</v>
      </c>
      <c r="F9321" t="s">
        <v>148</v>
      </c>
      <c r="G9321" t="s">
        <v>544</v>
      </c>
      <c r="H9321" t="s">
        <v>39</v>
      </c>
      <c r="I9321" t="s">
        <v>40</v>
      </c>
      <c r="J9321" s="2" t="s">
        <v>62</v>
      </c>
      <c r="K9321" t="s">
        <v>42</v>
      </c>
      <c r="L9321" t="s">
        <v>43</v>
      </c>
      <c r="Q9321">
        <v>23276</v>
      </c>
      <c r="R9321" t="s">
        <v>119</v>
      </c>
      <c r="S9321" t="s">
        <v>15929</v>
      </c>
      <c r="T9321">
        <v>23</v>
      </c>
      <c r="U9321" s="2" t="s">
        <v>55839</v>
      </c>
      <c r="V9321" s="1">
        <v>44942</v>
      </c>
      <c r="W9321" t="s">
        <v>9792</v>
      </c>
      <c r="X9321">
        <v>831588</v>
      </c>
      <c r="Y9321" s="2" t="s">
        <v>55840</v>
      </c>
      <c r="Z9321" t="s">
        <v>999</v>
      </c>
      <c r="AA9321" s="2" t="s">
        <v>38266</v>
      </c>
      <c r="AB9321" t="s">
        <v>55841</v>
      </c>
      <c r="AD9321" t="s">
        <v>39229</v>
      </c>
      <c r="AE9321" t="s">
        <v>55842</v>
      </c>
      <c r="AG9321" t="s">
        <v>55843</v>
      </c>
      <c r="AH9321" t="s">
        <v>19310</v>
      </c>
      <c r="AI9321" t="s">
        <v>55844</v>
      </c>
    </row>
    <row r="9322" spans="2:35" ht="285">
      <c r="B9322" s="1">
        <v>44963</v>
      </c>
      <c r="C9322" s="4">
        <v>44960.585416666669</v>
      </c>
      <c r="D9322" t="s">
        <v>542</v>
      </c>
      <c r="E9322" t="s">
        <v>28594</v>
      </c>
      <c r="F9322" t="s">
        <v>148</v>
      </c>
      <c r="G9322" t="s">
        <v>544</v>
      </c>
      <c r="H9322" t="s">
        <v>39</v>
      </c>
      <c r="I9322" t="s">
        <v>40</v>
      </c>
      <c r="J9322" s="2" t="s">
        <v>62</v>
      </c>
      <c r="K9322" t="s">
        <v>42</v>
      </c>
      <c r="L9322" t="s">
        <v>43</v>
      </c>
      <c r="Q9322">
        <v>23275</v>
      </c>
      <c r="R9322" t="s">
        <v>119</v>
      </c>
      <c r="S9322" t="s">
        <v>15929</v>
      </c>
      <c r="T9322">
        <v>23</v>
      </c>
      <c r="U9322" s="2" t="s">
        <v>55839</v>
      </c>
      <c r="V9322" s="1">
        <v>44942</v>
      </c>
      <c r="W9322" t="s">
        <v>9792</v>
      </c>
      <c r="X9322">
        <v>831588</v>
      </c>
      <c r="Y9322" s="2" t="s">
        <v>55840</v>
      </c>
      <c r="Z9322" t="s">
        <v>999</v>
      </c>
      <c r="AA9322" s="2" t="s">
        <v>38266</v>
      </c>
      <c r="AB9322" t="s">
        <v>55841</v>
      </c>
      <c r="AD9322" t="s">
        <v>39229</v>
      </c>
      <c r="AE9322" t="s">
        <v>55842</v>
      </c>
      <c r="AG9322" t="s">
        <v>55845</v>
      </c>
      <c r="AH9322" t="s">
        <v>19310</v>
      </c>
      <c r="AI9322" t="s">
        <v>55846</v>
      </c>
    </row>
    <row r="9323" spans="2:35" ht="409.5">
      <c r="B9323" s="1">
        <v>44963</v>
      </c>
      <c r="C9323" s="4">
        <v>44960.418749999997</v>
      </c>
      <c r="D9323" t="s">
        <v>92</v>
      </c>
      <c r="E9323" t="s">
        <v>14462</v>
      </c>
      <c r="F9323" t="s">
        <v>37</v>
      </c>
      <c r="G9323" t="s">
        <v>78</v>
      </c>
      <c r="H9323" t="s">
        <v>295</v>
      </c>
      <c r="I9323" t="s">
        <v>40</v>
      </c>
      <c r="J9323" t="s">
        <v>321</v>
      </c>
      <c r="K9323" t="s">
        <v>42</v>
      </c>
      <c r="L9323" t="s">
        <v>1943</v>
      </c>
      <c r="Q9323">
        <v>23273</v>
      </c>
      <c r="R9323" t="s">
        <v>95</v>
      </c>
      <c r="S9323" t="s">
        <v>96</v>
      </c>
      <c r="T9323">
        <v>25</v>
      </c>
      <c r="U9323" s="2" t="s">
        <v>55847</v>
      </c>
      <c r="W9323" t="s">
        <v>84</v>
      </c>
      <c r="X9323">
        <v>839233</v>
      </c>
      <c r="Y9323" t="s">
        <v>55848</v>
      </c>
      <c r="Z9323" s="2" t="s">
        <v>55849</v>
      </c>
      <c r="AA9323" t="s">
        <v>3764</v>
      </c>
      <c r="AB9323" t="s">
        <v>88</v>
      </c>
      <c r="AG9323" t="s">
        <v>55850</v>
      </c>
      <c r="AH9323" t="s">
        <v>50934</v>
      </c>
      <c r="AI9323" t="s">
        <v>55851</v>
      </c>
    </row>
    <row r="9324" spans="2:35" ht="285">
      <c r="B9324" s="1">
        <v>44963</v>
      </c>
      <c r="C9324" s="4">
        <v>44960.542361111111</v>
      </c>
      <c r="D9324" t="s">
        <v>3050</v>
      </c>
      <c r="E9324" t="s">
        <v>2817</v>
      </c>
      <c r="F9324" t="s">
        <v>148</v>
      </c>
      <c r="G9324" t="s">
        <v>371</v>
      </c>
      <c r="H9324" t="s">
        <v>39</v>
      </c>
      <c r="I9324" t="s">
        <v>40</v>
      </c>
      <c r="J9324" t="s">
        <v>79</v>
      </c>
      <c r="K9324" t="s">
        <v>42</v>
      </c>
      <c r="L9324" t="s">
        <v>1943</v>
      </c>
      <c r="Q9324">
        <v>23274</v>
      </c>
      <c r="R9324" t="s">
        <v>45</v>
      </c>
      <c r="S9324" t="s">
        <v>39588</v>
      </c>
      <c r="T9324">
        <v>29</v>
      </c>
      <c r="U9324" s="2" t="s">
        <v>55852</v>
      </c>
      <c r="W9324" t="s">
        <v>84</v>
      </c>
      <c r="X9324">
        <v>805271</v>
      </c>
      <c r="Y9324" t="s">
        <v>55853</v>
      </c>
      <c r="Z9324" s="2" t="s">
        <v>55854</v>
      </c>
      <c r="AA9324" t="s">
        <v>2443</v>
      </c>
      <c r="AB9324" t="s">
        <v>88</v>
      </c>
      <c r="AG9324" t="s">
        <v>55855</v>
      </c>
      <c r="AH9324" t="s">
        <v>25468</v>
      </c>
      <c r="AI9324" t="s">
        <v>55856</v>
      </c>
    </row>
    <row r="9325" spans="2:35" ht="285">
      <c r="B9325" s="1">
        <v>44963</v>
      </c>
      <c r="C9325" s="4">
        <v>44960.588194444441</v>
      </c>
      <c r="D9325" t="s">
        <v>1203</v>
      </c>
      <c r="E9325" t="s">
        <v>2547</v>
      </c>
      <c r="F9325">
        <v>11</v>
      </c>
      <c r="G9325" t="s">
        <v>1205</v>
      </c>
      <c r="H9325" t="s">
        <v>1317</v>
      </c>
      <c r="I9325" t="s">
        <v>40</v>
      </c>
      <c r="J9325" t="s">
        <v>109</v>
      </c>
      <c r="K9325" t="s">
        <v>42</v>
      </c>
      <c r="L9325" t="s">
        <v>204</v>
      </c>
      <c r="Q9325">
        <v>23272</v>
      </c>
      <c r="R9325" t="s">
        <v>95</v>
      </c>
      <c r="S9325" t="s">
        <v>1206</v>
      </c>
      <c r="T9325">
        <v>23</v>
      </c>
      <c r="U9325" s="2" t="s">
        <v>55857</v>
      </c>
      <c r="V9325" s="1">
        <v>44960</v>
      </c>
      <c r="W9325" t="s">
        <v>1292</v>
      </c>
      <c r="X9325">
        <v>839152</v>
      </c>
      <c r="Y9325" t="s">
        <v>1052</v>
      </c>
      <c r="Z9325" t="s">
        <v>2551</v>
      </c>
      <c r="AA9325" t="s">
        <v>55858</v>
      </c>
      <c r="AB9325" t="s">
        <v>55859</v>
      </c>
      <c r="AC9325" t="s">
        <v>55860</v>
      </c>
      <c r="AD9325" t="s">
        <v>1716</v>
      </c>
      <c r="AE9325" t="s">
        <v>1716</v>
      </c>
      <c r="AG9325" t="s">
        <v>55861</v>
      </c>
      <c r="AH9325" t="s">
        <v>23758</v>
      </c>
      <c r="AI9325" t="s">
        <v>55862</v>
      </c>
    </row>
    <row r="9326" spans="2:35" ht="225">
      <c r="B9326" s="1">
        <v>44962</v>
      </c>
      <c r="C9326" s="4">
        <v>44962.561111111114</v>
      </c>
      <c r="D9326" t="s">
        <v>55863</v>
      </c>
      <c r="E9326" t="s">
        <v>55864</v>
      </c>
      <c r="F9326" t="s">
        <v>511</v>
      </c>
      <c r="G9326" t="s">
        <v>31426</v>
      </c>
      <c r="H9326" t="s">
        <v>39</v>
      </c>
      <c r="I9326" t="s">
        <v>40</v>
      </c>
      <c r="J9326" t="s">
        <v>996</v>
      </c>
      <c r="K9326" t="s">
        <v>42</v>
      </c>
      <c r="L9326" t="s">
        <v>80</v>
      </c>
      <c r="Q9326">
        <v>23271</v>
      </c>
      <c r="R9326" t="s">
        <v>119</v>
      </c>
      <c r="S9326" t="s">
        <v>55865</v>
      </c>
      <c r="T9326">
        <v>37</v>
      </c>
      <c r="U9326" s="2" t="s">
        <v>42864</v>
      </c>
      <c r="V9326" s="1">
        <v>44958</v>
      </c>
      <c r="W9326" t="s">
        <v>502</v>
      </c>
      <c r="X9326">
        <v>831671</v>
      </c>
      <c r="Y9326" s="2" t="s">
        <v>55866</v>
      </c>
      <c r="Z9326" t="s">
        <v>34204</v>
      </c>
      <c r="AA9326" s="2" t="s">
        <v>55867</v>
      </c>
      <c r="AB9326" s="2" t="s">
        <v>55868</v>
      </c>
      <c r="AC9326" t="s">
        <v>55869</v>
      </c>
      <c r="AD9326" t="s">
        <v>948</v>
      </c>
      <c r="AE9326" t="s">
        <v>55870</v>
      </c>
      <c r="AG9326" t="s">
        <v>55871</v>
      </c>
      <c r="AH9326" t="s">
        <v>55872</v>
      </c>
      <c r="AI9326" t="s">
        <v>55873</v>
      </c>
    </row>
    <row r="9327" spans="2:35" ht="330">
      <c r="B9327" s="1">
        <v>44962</v>
      </c>
      <c r="C9327" s="4">
        <v>44960.413194444445</v>
      </c>
      <c r="D9327" t="s">
        <v>52568</v>
      </c>
      <c r="E9327" t="s">
        <v>10433</v>
      </c>
      <c r="F9327" t="s">
        <v>148</v>
      </c>
      <c r="G9327" t="s">
        <v>447</v>
      </c>
      <c r="H9327" t="s">
        <v>55874</v>
      </c>
      <c r="I9327" t="s">
        <v>94</v>
      </c>
      <c r="J9327" s="2" t="s">
        <v>190</v>
      </c>
      <c r="K9327" t="s">
        <v>42</v>
      </c>
      <c r="L9327" t="s">
        <v>448</v>
      </c>
      <c r="Q9327">
        <v>23270</v>
      </c>
      <c r="R9327" t="s">
        <v>95</v>
      </c>
      <c r="S9327" t="s">
        <v>2808</v>
      </c>
      <c r="T9327">
        <v>24</v>
      </c>
      <c r="U9327" s="2" t="s">
        <v>55875</v>
      </c>
      <c r="W9327" t="s">
        <v>502</v>
      </c>
      <c r="X9327">
        <v>839234</v>
      </c>
      <c r="Y9327" t="s">
        <v>55876</v>
      </c>
      <c r="Z9327" t="s">
        <v>55877</v>
      </c>
      <c r="AA9327" t="s">
        <v>6992</v>
      </c>
      <c r="AB9327" t="s">
        <v>55878</v>
      </c>
      <c r="AG9327" t="s">
        <v>55879</v>
      </c>
      <c r="AH9327" t="s">
        <v>55880</v>
      </c>
      <c r="AI9327" t="s">
        <v>55881</v>
      </c>
    </row>
    <row r="9328" spans="2:35" ht="330">
      <c r="B9328" s="1">
        <v>44962</v>
      </c>
      <c r="C9328" s="4">
        <v>44960.413194444445</v>
      </c>
      <c r="D9328" t="s">
        <v>52568</v>
      </c>
      <c r="E9328" t="s">
        <v>10433</v>
      </c>
      <c r="F9328" t="s">
        <v>148</v>
      </c>
      <c r="G9328" t="s">
        <v>447</v>
      </c>
      <c r="H9328" t="s">
        <v>55874</v>
      </c>
      <c r="I9328" t="s">
        <v>94</v>
      </c>
      <c r="J9328" s="2" t="s">
        <v>190</v>
      </c>
      <c r="K9328" t="s">
        <v>42</v>
      </c>
      <c r="L9328" t="s">
        <v>448</v>
      </c>
      <c r="Q9328">
        <v>23269</v>
      </c>
      <c r="R9328" t="s">
        <v>95</v>
      </c>
      <c r="S9328" t="s">
        <v>2808</v>
      </c>
      <c r="T9328">
        <v>24</v>
      </c>
      <c r="U9328" s="2" t="s">
        <v>55875</v>
      </c>
      <c r="W9328" t="s">
        <v>502</v>
      </c>
      <c r="X9328">
        <v>839234</v>
      </c>
      <c r="Y9328" t="s">
        <v>55876</v>
      </c>
      <c r="Z9328" t="s">
        <v>55877</v>
      </c>
      <c r="AA9328" t="s">
        <v>6992</v>
      </c>
      <c r="AB9328" t="s">
        <v>55878</v>
      </c>
      <c r="AG9328" t="s">
        <v>55882</v>
      </c>
      <c r="AH9328" t="s">
        <v>55880</v>
      </c>
      <c r="AI9328" t="s">
        <v>55883</v>
      </c>
    </row>
    <row r="9329" spans="2:35" ht="409.5">
      <c r="B9329" s="1">
        <v>44962</v>
      </c>
      <c r="C9329" s="4">
        <v>44960.654166666667</v>
      </c>
      <c r="D9329" t="s">
        <v>36713</v>
      </c>
      <c r="E9329" t="s">
        <v>42404</v>
      </c>
      <c r="F9329" t="s">
        <v>148</v>
      </c>
      <c r="G9329" t="s">
        <v>2007</v>
      </c>
      <c r="H9329" t="s">
        <v>39</v>
      </c>
      <c r="I9329" t="s">
        <v>40</v>
      </c>
      <c r="J9329" s="2" t="s">
        <v>190</v>
      </c>
      <c r="K9329" t="s">
        <v>42</v>
      </c>
      <c r="L9329" t="s">
        <v>448</v>
      </c>
      <c r="Q9329">
        <v>23268</v>
      </c>
      <c r="R9329" t="s">
        <v>95</v>
      </c>
      <c r="S9329" t="s">
        <v>55884</v>
      </c>
      <c r="T9329">
        <v>28</v>
      </c>
      <c r="U9329" s="2" t="s">
        <v>55885</v>
      </c>
      <c r="W9329" t="s">
        <v>19433</v>
      </c>
      <c r="X9329">
        <v>110001647</v>
      </c>
      <c r="Y9329" t="s">
        <v>19216</v>
      </c>
      <c r="Z9329" t="s">
        <v>55308</v>
      </c>
      <c r="AA9329" t="s">
        <v>6997</v>
      </c>
      <c r="AB9329" t="s">
        <v>486</v>
      </c>
      <c r="AG9329" t="s">
        <v>55886</v>
      </c>
      <c r="AH9329" t="s">
        <v>55887</v>
      </c>
      <c r="AI9329" t="s">
        <v>55888</v>
      </c>
    </row>
    <row r="9330" spans="2:35" ht="105">
      <c r="B9330" s="1">
        <v>44962</v>
      </c>
      <c r="C9330" s="4">
        <v>44962.441666666666</v>
      </c>
      <c r="D9330" t="s">
        <v>31424</v>
      </c>
      <c r="E9330" t="s">
        <v>55889</v>
      </c>
      <c r="F9330" t="s">
        <v>511</v>
      </c>
      <c r="G9330" t="s">
        <v>31426</v>
      </c>
      <c r="H9330" t="s">
        <v>39</v>
      </c>
      <c r="I9330" t="s">
        <v>40</v>
      </c>
      <c r="J9330" t="s">
        <v>525</v>
      </c>
      <c r="K9330" t="s">
        <v>42</v>
      </c>
      <c r="L9330" t="s">
        <v>80</v>
      </c>
      <c r="Q9330">
        <v>23267</v>
      </c>
      <c r="R9330" t="s">
        <v>45</v>
      </c>
      <c r="S9330" t="s">
        <v>55890</v>
      </c>
      <c r="T9330">
        <v>26</v>
      </c>
      <c r="U9330" s="2" t="s">
        <v>1509</v>
      </c>
      <c r="V9330" s="1">
        <v>44962</v>
      </c>
      <c r="W9330" t="s">
        <v>502</v>
      </c>
      <c r="X9330">
        <v>807582</v>
      </c>
      <c r="Y9330" t="s">
        <v>55891</v>
      </c>
      <c r="Z9330" t="s">
        <v>55892</v>
      </c>
      <c r="AA9330" t="s">
        <v>55892</v>
      </c>
      <c r="AB9330" t="s">
        <v>55893</v>
      </c>
      <c r="AC9330" t="s">
        <v>55894</v>
      </c>
      <c r="AD9330" t="s">
        <v>54</v>
      </c>
      <c r="AE9330" t="s">
        <v>54</v>
      </c>
      <c r="AG9330" t="s">
        <v>55895</v>
      </c>
      <c r="AH9330" t="s">
        <v>55896</v>
      </c>
      <c r="AI9330" t="s">
        <v>55897</v>
      </c>
    </row>
    <row r="9331" spans="2:35" ht="210">
      <c r="B9331" s="1">
        <v>44962</v>
      </c>
      <c r="C9331" s="4">
        <v>44962.404166666667</v>
      </c>
      <c r="D9331" t="s">
        <v>29447</v>
      </c>
      <c r="E9331" t="s">
        <v>55898</v>
      </c>
      <c r="F9331">
        <v>1</v>
      </c>
      <c r="G9331" t="s">
        <v>1922</v>
      </c>
      <c r="H9331" t="s">
        <v>39</v>
      </c>
      <c r="I9331" t="s">
        <v>40</v>
      </c>
      <c r="J9331" s="2" t="s">
        <v>190</v>
      </c>
      <c r="K9331" t="s">
        <v>42</v>
      </c>
      <c r="L9331" t="s">
        <v>1028</v>
      </c>
      <c r="Q9331">
        <v>23266</v>
      </c>
      <c r="R9331" t="s">
        <v>45</v>
      </c>
      <c r="S9331" t="s">
        <v>1923</v>
      </c>
      <c r="T9331">
        <v>20</v>
      </c>
      <c r="U9331" s="2" t="s">
        <v>55899</v>
      </c>
      <c r="W9331" t="s">
        <v>2680</v>
      </c>
      <c r="X9331">
        <v>807578</v>
      </c>
      <c r="Y9331" t="s">
        <v>45132</v>
      </c>
      <c r="Z9331" t="s">
        <v>10920</v>
      </c>
      <c r="AA9331" s="2" t="s">
        <v>55900</v>
      </c>
      <c r="AB9331" t="s">
        <v>55901</v>
      </c>
      <c r="AC9331" t="s">
        <v>29466</v>
      </c>
      <c r="AG9331" t="s">
        <v>55902</v>
      </c>
      <c r="AH9331" t="s">
        <v>55903</v>
      </c>
      <c r="AI9331" t="s">
        <v>55904</v>
      </c>
    </row>
    <row r="9332" spans="2:35" ht="105">
      <c r="B9332" s="1">
        <v>44961</v>
      </c>
      <c r="C9332" s="4">
        <v>44960.940972222219</v>
      </c>
      <c r="D9332" t="s">
        <v>2390</v>
      </c>
      <c r="E9332" t="s">
        <v>2391</v>
      </c>
      <c r="F9332">
        <v>10</v>
      </c>
      <c r="G9332" t="s">
        <v>2392</v>
      </c>
      <c r="H9332" t="s">
        <v>1047</v>
      </c>
      <c r="I9332" t="s">
        <v>94</v>
      </c>
      <c r="J9332" t="s">
        <v>2129</v>
      </c>
      <c r="K9332" t="s">
        <v>42</v>
      </c>
      <c r="L9332" t="s">
        <v>43100</v>
      </c>
      <c r="Q9332">
        <v>23265</v>
      </c>
      <c r="R9332" t="s">
        <v>45</v>
      </c>
      <c r="S9332" t="s">
        <v>2393</v>
      </c>
      <c r="T9332">
        <v>27</v>
      </c>
      <c r="U9332" s="2" t="s">
        <v>3348</v>
      </c>
      <c r="W9332" t="s">
        <v>43102</v>
      </c>
      <c r="X9332">
        <v>815272</v>
      </c>
      <c r="Y9332" t="s">
        <v>55905</v>
      </c>
      <c r="Z9332" t="s">
        <v>4789</v>
      </c>
      <c r="AA9332" s="2" t="s">
        <v>55906</v>
      </c>
      <c r="AB9332" t="s">
        <v>486</v>
      </c>
      <c r="AG9332" t="s">
        <v>55907</v>
      </c>
      <c r="AH9332" t="s">
        <v>2400</v>
      </c>
      <c r="AI9332" t="s">
        <v>55908</v>
      </c>
    </row>
    <row r="9333" spans="2:35" ht="120">
      <c r="B9333" s="1">
        <v>44960</v>
      </c>
      <c r="C9333" s="4">
        <v>44951.490972222222</v>
      </c>
      <c r="D9333" t="s">
        <v>9725</v>
      </c>
      <c r="E9333" t="s">
        <v>51136</v>
      </c>
      <c r="F9333">
        <v>10</v>
      </c>
      <c r="G9333" t="s">
        <v>1395</v>
      </c>
      <c r="H9333" t="s">
        <v>55909</v>
      </c>
      <c r="I9333" t="s">
        <v>40</v>
      </c>
      <c r="J9333" t="s">
        <v>996</v>
      </c>
      <c r="K9333" t="s">
        <v>42</v>
      </c>
      <c r="L9333" t="s">
        <v>43100</v>
      </c>
      <c r="Q9333">
        <v>23264</v>
      </c>
      <c r="R9333" t="s">
        <v>119</v>
      </c>
      <c r="S9333" t="s">
        <v>48340</v>
      </c>
      <c r="T9333">
        <v>28</v>
      </c>
      <c r="U9333" s="2" t="s">
        <v>16353</v>
      </c>
      <c r="W9333" t="s">
        <v>43102</v>
      </c>
      <c r="X9333">
        <v>838562</v>
      </c>
      <c r="Y9333" t="s">
        <v>55910</v>
      </c>
      <c r="Z9333" s="2" t="s">
        <v>55911</v>
      </c>
      <c r="AA9333" t="s">
        <v>55912</v>
      </c>
      <c r="AB9333" t="s">
        <v>486</v>
      </c>
      <c r="AC9333" t="s">
        <v>55913</v>
      </c>
      <c r="AG9333" t="s">
        <v>55914</v>
      </c>
      <c r="AH9333" t="s">
        <v>48342</v>
      </c>
      <c r="AI9333" t="s">
        <v>55915</v>
      </c>
    </row>
    <row r="9334" spans="2:35" ht="375">
      <c r="B9334" s="1">
        <v>44960</v>
      </c>
      <c r="C9334" s="4">
        <v>44960.611805555556</v>
      </c>
      <c r="D9334" t="s">
        <v>55916</v>
      </c>
      <c r="E9334" t="s">
        <v>27943</v>
      </c>
      <c r="F9334">
        <v>3</v>
      </c>
      <c r="G9334" t="s">
        <v>1722</v>
      </c>
      <c r="H9334" t="s">
        <v>39</v>
      </c>
      <c r="I9334" t="s">
        <v>40</v>
      </c>
      <c r="J9334" s="2" t="s">
        <v>62</v>
      </c>
      <c r="K9334" t="s">
        <v>42</v>
      </c>
      <c r="L9334" t="s">
        <v>63</v>
      </c>
      <c r="Q9334">
        <v>23263</v>
      </c>
      <c r="R9334" t="s">
        <v>119</v>
      </c>
      <c r="S9334" t="s">
        <v>55917</v>
      </c>
      <c r="T9334">
        <v>28</v>
      </c>
      <c r="U9334" s="2" t="s">
        <v>55918</v>
      </c>
      <c r="V9334" s="1">
        <v>44960</v>
      </c>
      <c r="W9334" t="s">
        <v>26915</v>
      </c>
      <c r="X9334">
        <v>831599</v>
      </c>
      <c r="Y9334" t="s">
        <v>1716</v>
      </c>
      <c r="Z9334" t="s">
        <v>1716</v>
      </c>
      <c r="AA9334" s="2" t="s">
        <v>55919</v>
      </c>
      <c r="AB9334" t="s">
        <v>70</v>
      </c>
      <c r="AC9334" t="s">
        <v>53615</v>
      </c>
      <c r="AD9334" t="s">
        <v>948</v>
      </c>
      <c r="AE9334" t="s">
        <v>1716</v>
      </c>
      <c r="AG9334" t="s">
        <v>55920</v>
      </c>
      <c r="AH9334" t="s">
        <v>55921</v>
      </c>
      <c r="AI9334" t="s">
        <v>55922</v>
      </c>
    </row>
    <row r="9335" spans="2:35" ht="375">
      <c r="B9335" s="1">
        <v>44960</v>
      </c>
      <c r="C9335" s="4">
        <v>44960.607638888891</v>
      </c>
      <c r="D9335" t="s">
        <v>55923</v>
      </c>
      <c r="E9335" t="s">
        <v>1555</v>
      </c>
      <c r="F9335">
        <v>7</v>
      </c>
      <c r="G9335" t="s">
        <v>432</v>
      </c>
      <c r="H9335" t="s">
        <v>500</v>
      </c>
      <c r="I9335" t="s">
        <v>94</v>
      </c>
      <c r="J9335" t="s">
        <v>79</v>
      </c>
      <c r="K9335" t="s">
        <v>42</v>
      </c>
      <c r="L9335" t="s">
        <v>433</v>
      </c>
      <c r="Q9335">
        <v>23262</v>
      </c>
      <c r="R9335" t="s">
        <v>45</v>
      </c>
      <c r="S9335" t="s">
        <v>1818</v>
      </c>
      <c r="T9335">
        <v>24</v>
      </c>
      <c r="U9335" s="2" t="s">
        <v>55924</v>
      </c>
      <c r="W9335" t="s">
        <v>6776</v>
      </c>
      <c r="X9335">
        <v>838882</v>
      </c>
      <c r="Y9335" t="s">
        <v>55925</v>
      </c>
      <c r="Z9335" t="s">
        <v>55926</v>
      </c>
      <c r="AA9335" t="s">
        <v>55926</v>
      </c>
      <c r="AB9335" t="s">
        <v>1011</v>
      </c>
      <c r="AG9335" t="s">
        <v>55927</v>
      </c>
      <c r="AH9335" t="s">
        <v>55928</v>
      </c>
      <c r="AI9335" t="s">
        <v>55929</v>
      </c>
    </row>
    <row r="9336" spans="2:35" ht="285">
      <c r="B9336" s="1">
        <v>44960</v>
      </c>
      <c r="C9336" s="4">
        <v>44960.588194444441</v>
      </c>
      <c r="D9336" t="s">
        <v>1203</v>
      </c>
      <c r="E9336" t="s">
        <v>2547</v>
      </c>
      <c r="F9336">
        <v>11</v>
      </c>
      <c r="G9336" t="s">
        <v>1205</v>
      </c>
      <c r="H9336" t="s">
        <v>1317</v>
      </c>
      <c r="I9336" t="s">
        <v>40</v>
      </c>
      <c r="J9336" t="s">
        <v>109</v>
      </c>
      <c r="K9336" t="s">
        <v>42</v>
      </c>
      <c r="L9336" t="s">
        <v>204</v>
      </c>
      <c r="Q9336">
        <v>23261</v>
      </c>
      <c r="R9336" t="s">
        <v>95</v>
      </c>
      <c r="S9336" t="s">
        <v>1206</v>
      </c>
      <c r="T9336">
        <v>23</v>
      </c>
      <c r="U9336" s="2" t="s">
        <v>55857</v>
      </c>
      <c r="V9336" s="1">
        <v>44960</v>
      </c>
      <c r="W9336" t="s">
        <v>1292</v>
      </c>
      <c r="X9336">
        <v>839152</v>
      </c>
      <c r="Y9336" t="s">
        <v>1052</v>
      </c>
      <c r="Z9336" t="s">
        <v>2551</v>
      </c>
      <c r="AA9336" t="s">
        <v>55858</v>
      </c>
      <c r="AB9336" t="s">
        <v>55859</v>
      </c>
      <c r="AC9336" t="s">
        <v>55860</v>
      </c>
      <c r="AD9336" t="s">
        <v>1716</v>
      </c>
      <c r="AE9336" t="s">
        <v>1716</v>
      </c>
      <c r="AG9336" t="s">
        <v>55930</v>
      </c>
      <c r="AH9336" t="s">
        <v>23758</v>
      </c>
      <c r="AI9336" t="s">
        <v>55931</v>
      </c>
    </row>
    <row r="9337" spans="2:35" ht="300">
      <c r="B9337" s="1">
        <v>44960</v>
      </c>
      <c r="C9337" s="4">
        <v>44960.587500000001</v>
      </c>
      <c r="D9337" t="s">
        <v>31758</v>
      </c>
      <c r="E9337" t="s">
        <v>39244</v>
      </c>
      <c r="F9337" t="s">
        <v>148</v>
      </c>
      <c r="G9337" t="s">
        <v>406</v>
      </c>
      <c r="H9337" t="s">
        <v>39</v>
      </c>
      <c r="I9337" t="s">
        <v>40</v>
      </c>
      <c r="J9337" s="2" t="s">
        <v>62</v>
      </c>
      <c r="K9337" t="s">
        <v>42</v>
      </c>
      <c r="L9337" t="s">
        <v>55932</v>
      </c>
      <c r="Q9337">
        <v>23260</v>
      </c>
      <c r="R9337" t="s">
        <v>45</v>
      </c>
      <c r="S9337" t="s">
        <v>31748</v>
      </c>
      <c r="T9337">
        <v>24</v>
      </c>
      <c r="U9337" s="2" t="s">
        <v>55933</v>
      </c>
      <c r="W9337" t="s">
        <v>1139</v>
      </c>
      <c r="X9337">
        <v>804702</v>
      </c>
      <c r="Y9337" t="s">
        <v>55934</v>
      </c>
      <c r="Z9337" s="2" t="s">
        <v>55935</v>
      </c>
      <c r="AA9337" s="2" t="s">
        <v>55936</v>
      </c>
      <c r="AB9337" t="s">
        <v>70</v>
      </c>
      <c r="AG9337" t="s">
        <v>55937</v>
      </c>
      <c r="AH9337" t="s">
        <v>39250</v>
      </c>
      <c r="AI9337" t="s">
        <v>55938</v>
      </c>
    </row>
    <row r="9338" spans="2:35" ht="285">
      <c r="B9338" s="1">
        <v>44960</v>
      </c>
      <c r="C9338" s="4">
        <v>44960.45208333333</v>
      </c>
      <c r="D9338" t="s">
        <v>4197</v>
      </c>
      <c r="E9338" t="s">
        <v>50991</v>
      </c>
      <c r="F9338" t="s">
        <v>37</v>
      </c>
      <c r="G9338" t="s">
        <v>38</v>
      </c>
      <c r="H9338" t="s">
        <v>39</v>
      </c>
      <c r="I9338" t="s">
        <v>40</v>
      </c>
      <c r="J9338" s="2" t="s">
        <v>62</v>
      </c>
      <c r="K9338" t="s">
        <v>42</v>
      </c>
      <c r="L9338" t="s">
        <v>43</v>
      </c>
      <c r="Q9338">
        <v>23259</v>
      </c>
      <c r="R9338" t="s">
        <v>45</v>
      </c>
      <c r="S9338" t="s">
        <v>50992</v>
      </c>
      <c r="T9338">
        <v>23</v>
      </c>
      <c r="U9338" s="2" t="s">
        <v>55939</v>
      </c>
      <c r="W9338" t="s">
        <v>9792</v>
      </c>
      <c r="X9338">
        <v>838182</v>
      </c>
      <c r="Y9338" t="s">
        <v>1111</v>
      </c>
      <c r="Z9338" t="s">
        <v>1519</v>
      </c>
      <c r="AA9338" s="2" t="s">
        <v>38266</v>
      </c>
      <c r="AB9338" t="s">
        <v>55940</v>
      </c>
      <c r="AC9338" t="s">
        <v>55941</v>
      </c>
      <c r="AG9338" t="s">
        <v>55942</v>
      </c>
      <c r="AH9338" t="s">
        <v>117</v>
      </c>
      <c r="AI9338" t="s">
        <v>55943</v>
      </c>
    </row>
    <row r="9339" spans="2:35" ht="195">
      <c r="B9339" s="1">
        <v>44960</v>
      </c>
      <c r="C9339" s="4">
        <v>44959.49722222222</v>
      </c>
      <c r="D9339" t="s">
        <v>3669</v>
      </c>
      <c r="E9339" t="s">
        <v>55944</v>
      </c>
      <c r="F9339" t="s">
        <v>37</v>
      </c>
      <c r="G9339" t="s">
        <v>38</v>
      </c>
      <c r="H9339" t="s">
        <v>39</v>
      </c>
      <c r="I9339" t="s">
        <v>40</v>
      </c>
      <c r="J9339" t="s">
        <v>321</v>
      </c>
      <c r="K9339" t="s">
        <v>42</v>
      </c>
      <c r="L9339" t="s">
        <v>43</v>
      </c>
      <c r="Q9339">
        <v>23257</v>
      </c>
      <c r="R9339" t="s">
        <v>95</v>
      </c>
      <c r="S9339" t="s">
        <v>5580</v>
      </c>
      <c r="T9339">
        <v>23</v>
      </c>
      <c r="U9339" s="2" t="s">
        <v>55945</v>
      </c>
      <c r="W9339" t="s">
        <v>9792</v>
      </c>
      <c r="X9339">
        <v>110005265</v>
      </c>
      <c r="Y9339" t="s">
        <v>6010</v>
      </c>
      <c r="Z9339" t="s">
        <v>55946</v>
      </c>
      <c r="AA9339" s="2" t="s">
        <v>55947</v>
      </c>
      <c r="AB9339" t="s">
        <v>88</v>
      </c>
      <c r="AG9339" t="s">
        <v>55948</v>
      </c>
      <c r="AH9339" t="s">
        <v>12593</v>
      </c>
      <c r="AI9339" t="s">
        <v>55949</v>
      </c>
    </row>
    <row r="9340" spans="2:35" ht="225">
      <c r="B9340" s="1">
        <v>44960</v>
      </c>
      <c r="C9340" s="4">
        <v>44958.55</v>
      </c>
      <c r="D9340" t="s">
        <v>9958</v>
      </c>
      <c r="E9340" t="s">
        <v>55950</v>
      </c>
      <c r="F9340" t="s">
        <v>148</v>
      </c>
      <c r="G9340" t="s">
        <v>310</v>
      </c>
      <c r="H9340" t="s">
        <v>39</v>
      </c>
      <c r="I9340" t="s">
        <v>40</v>
      </c>
      <c r="J9340" t="s">
        <v>55951</v>
      </c>
      <c r="K9340" t="s">
        <v>2629</v>
      </c>
      <c r="L9340" t="s">
        <v>43</v>
      </c>
      <c r="Q9340">
        <v>23255</v>
      </c>
      <c r="R9340" t="s">
        <v>95</v>
      </c>
      <c r="S9340" t="s">
        <v>55952</v>
      </c>
      <c r="T9340">
        <v>26</v>
      </c>
      <c r="V9340" s="1">
        <v>44953</v>
      </c>
      <c r="W9340" t="s">
        <v>55953</v>
      </c>
      <c r="X9340">
        <v>3135010036</v>
      </c>
      <c r="Y9340" t="s">
        <v>55954</v>
      </c>
      <c r="Z9340" t="s">
        <v>55955</v>
      </c>
      <c r="AA9340" s="2" t="s">
        <v>55956</v>
      </c>
      <c r="AB9340" t="s">
        <v>88</v>
      </c>
      <c r="AD9340" t="s">
        <v>55957</v>
      </c>
      <c r="AE9340" t="s">
        <v>55958</v>
      </c>
      <c r="AG9340" t="s">
        <v>55959</v>
      </c>
      <c r="AH9340" t="s">
        <v>18035</v>
      </c>
      <c r="AI9340" t="s">
        <v>55960</v>
      </c>
    </row>
    <row r="9341" spans="2:35" ht="225">
      <c r="B9341" s="1">
        <v>44960</v>
      </c>
      <c r="C9341" s="4">
        <v>44958.415972222225</v>
      </c>
      <c r="D9341" t="s">
        <v>9958</v>
      </c>
      <c r="E9341" t="s">
        <v>55950</v>
      </c>
      <c r="F9341" t="s">
        <v>148</v>
      </c>
      <c r="G9341" t="s">
        <v>310</v>
      </c>
      <c r="H9341" t="s">
        <v>39</v>
      </c>
      <c r="I9341" t="s">
        <v>40</v>
      </c>
      <c r="J9341" t="s">
        <v>55951</v>
      </c>
      <c r="K9341" t="s">
        <v>2629</v>
      </c>
      <c r="L9341" t="s">
        <v>43</v>
      </c>
      <c r="Q9341">
        <v>23256</v>
      </c>
      <c r="R9341" t="s">
        <v>95</v>
      </c>
      <c r="S9341" t="s">
        <v>55952</v>
      </c>
      <c r="T9341">
        <v>26</v>
      </c>
      <c r="V9341" s="1">
        <v>44953</v>
      </c>
      <c r="W9341" t="s">
        <v>9964</v>
      </c>
      <c r="X9341">
        <v>3943010058</v>
      </c>
      <c r="Y9341" t="s">
        <v>55954</v>
      </c>
      <c r="Z9341" t="s">
        <v>55955</v>
      </c>
      <c r="AA9341" s="2" t="s">
        <v>55956</v>
      </c>
      <c r="AB9341" t="s">
        <v>88</v>
      </c>
      <c r="AD9341" t="s">
        <v>55957</v>
      </c>
      <c r="AE9341" t="s">
        <v>55958</v>
      </c>
      <c r="AG9341" t="s">
        <v>55961</v>
      </c>
      <c r="AH9341" t="s">
        <v>18035</v>
      </c>
      <c r="AI9341" t="s">
        <v>55962</v>
      </c>
    </row>
    <row r="9342" spans="2:35" ht="195">
      <c r="B9342" s="1">
        <v>44960</v>
      </c>
      <c r="C9342" s="4">
        <v>44960.436111111114</v>
      </c>
      <c r="D9342" t="s">
        <v>4197</v>
      </c>
      <c r="E9342" t="s">
        <v>50991</v>
      </c>
      <c r="F9342" t="s">
        <v>37</v>
      </c>
      <c r="G9342" t="s">
        <v>38</v>
      </c>
      <c r="H9342" t="s">
        <v>39</v>
      </c>
      <c r="I9342" t="s">
        <v>40</v>
      </c>
      <c r="J9342" t="s">
        <v>109</v>
      </c>
      <c r="K9342" t="s">
        <v>42</v>
      </c>
      <c r="L9342" t="s">
        <v>43</v>
      </c>
      <c r="Q9342">
        <v>23258</v>
      </c>
      <c r="R9342" t="s">
        <v>45</v>
      </c>
      <c r="S9342" t="s">
        <v>50992</v>
      </c>
      <c r="T9342">
        <v>23</v>
      </c>
      <c r="U9342" s="2" t="s">
        <v>55963</v>
      </c>
      <c r="W9342" t="s">
        <v>9792</v>
      </c>
      <c r="X9342">
        <v>804687</v>
      </c>
      <c r="Y9342" t="s">
        <v>19210</v>
      </c>
      <c r="Z9342" t="s">
        <v>122</v>
      </c>
      <c r="AA9342" s="2" t="s">
        <v>55964</v>
      </c>
      <c r="AB9342" t="s">
        <v>16412</v>
      </c>
      <c r="AG9342" t="s">
        <v>55965</v>
      </c>
      <c r="AH9342" t="s">
        <v>55966</v>
      </c>
      <c r="AI9342" t="s">
        <v>55967</v>
      </c>
    </row>
    <row r="9343" spans="2:35" ht="285">
      <c r="B9343" s="1">
        <v>44960</v>
      </c>
      <c r="C9343" s="4">
        <v>44960.446527777778</v>
      </c>
      <c r="D9343" t="s">
        <v>4197</v>
      </c>
      <c r="E9343" t="s">
        <v>50991</v>
      </c>
      <c r="F9343" t="s">
        <v>37</v>
      </c>
      <c r="G9343" t="s">
        <v>38</v>
      </c>
      <c r="H9343" t="s">
        <v>39</v>
      </c>
      <c r="I9343" t="s">
        <v>40</v>
      </c>
      <c r="J9343" s="2" t="s">
        <v>62</v>
      </c>
      <c r="K9343" t="s">
        <v>42</v>
      </c>
      <c r="L9343" t="s">
        <v>43</v>
      </c>
      <c r="Q9343">
        <v>23254</v>
      </c>
      <c r="R9343" t="s">
        <v>119</v>
      </c>
      <c r="S9343" t="s">
        <v>50992</v>
      </c>
      <c r="T9343">
        <v>23</v>
      </c>
      <c r="U9343" s="2" t="s">
        <v>55968</v>
      </c>
      <c r="V9343" s="1">
        <v>44946</v>
      </c>
      <c r="W9343" t="s">
        <v>9792</v>
      </c>
      <c r="X9343">
        <v>831623</v>
      </c>
      <c r="Y9343" t="s">
        <v>1111</v>
      </c>
      <c r="Z9343" t="s">
        <v>1519</v>
      </c>
      <c r="AA9343" s="2" t="s">
        <v>38266</v>
      </c>
      <c r="AB9343" t="s">
        <v>55969</v>
      </c>
      <c r="AC9343" t="s">
        <v>54237</v>
      </c>
      <c r="AD9343" t="s">
        <v>39229</v>
      </c>
      <c r="AE9343" t="s">
        <v>55970</v>
      </c>
      <c r="AG9343" t="s">
        <v>55971</v>
      </c>
      <c r="AH9343" t="s">
        <v>117</v>
      </c>
      <c r="AI9343" t="s">
        <v>55972</v>
      </c>
    </row>
    <row r="9344" spans="2:35" ht="315">
      <c r="B9344" s="1">
        <v>44960</v>
      </c>
      <c r="C9344" s="4">
        <v>44960.546527777777</v>
      </c>
      <c r="D9344" t="s">
        <v>1203</v>
      </c>
      <c r="E9344" t="s">
        <v>2547</v>
      </c>
      <c r="F9344">
        <v>11</v>
      </c>
      <c r="G9344" t="s">
        <v>1205</v>
      </c>
      <c r="H9344" t="s">
        <v>1317</v>
      </c>
      <c r="I9344" t="s">
        <v>40</v>
      </c>
      <c r="J9344" t="s">
        <v>109</v>
      </c>
      <c r="K9344" t="s">
        <v>42</v>
      </c>
      <c r="L9344" t="s">
        <v>204</v>
      </c>
      <c r="Q9344">
        <v>23253</v>
      </c>
      <c r="R9344" t="s">
        <v>45</v>
      </c>
      <c r="S9344" t="s">
        <v>1206</v>
      </c>
      <c r="T9344">
        <v>23.2</v>
      </c>
      <c r="U9344" s="2" t="s">
        <v>55973</v>
      </c>
      <c r="V9344" s="1">
        <v>44960</v>
      </c>
      <c r="W9344" t="s">
        <v>1292</v>
      </c>
      <c r="X9344">
        <v>808298</v>
      </c>
      <c r="Y9344" s="2" t="s">
        <v>55974</v>
      </c>
      <c r="Z9344" t="s">
        <v>2551</v>
      </c>
      <c r="AA9344" s="2" t="s">
        <v>1321</v>
      </c>
      <c r="AB9344" t="s">
        <v>55975</v>
      </c>
      <c r="AC9344" t="s">
        <v>55976</v>
      </c>
      <c r="AD9344" t="s">
        <v>54</v>
      </c>
      <c r="AE9344" t="s">
        <v>54</v>
      </c>
      <c r="AG9344" t="s">
        <v>55977</v>
      </c>
      <c r="AH9344" t="s">
        <v>23758</v>
      </c>
      <c r="AI9344" t="s">
        <v>55978</v>
      </c>
    </row>
    <row r="9345" spans="2:35" ht="105">
      <c r="B9345" s="1">
        <v>44960</v>
      </c>
      <c r="C9345" s="4">
        <v>44960.446527777778</v>
      </c>
      <c r="D9345" t="s">
        <v>55979</v>
      </c>
      <c r="E9345" t="s">
        <v>55980</v>
      </c>
      <c r="F9345" t="s">
        <v>511</v>
      </c>
      <c r="G9345" t="s">
        <v>512</v>
      </c>
      <c r="H9345" t="s">
        <v>39</v>
      </c>
      <c r="I9345" t="s">
        <v>40</v>
      </c>
      <c r="J9345" t="s">
        <v>79</v>
      </c>
      <c r="K9345" t="s">
        <v>42</v>
      </c>
      <c r="L9345" t="s">
        <v>80</v>
      </c>
      <c r="Q9345">
        <v>23252</v>
      </c>
      <c r="R9345" t="s">
        <v>45</v>
      </c>
      <c r="S9345" t="s">
        <v>1423</v>
      </c>
      <c r="T9345">
        <v>28</v>
      </c>
      <c r="U9345" s="2" t="s">
        <v>1509</v>
      </c>
      <c r="V9345" s="1">
        <v>44959</v>
      </c>
      <c r="W9345" t="s">
        <v>502</v>
      </c>
      <c r="X9345">
        <v>807621</v>
      </c>
      <c r="Y9345" t="s">
        <v>55981</v>
      </c>
      <c r="Z9345" t="s">
        <v>55982</v>
      </c>
      <c r="AA9345" t="s">
        <v>55983</v>
      </c>
      <c r="AB9345" t="s">
        <v>1188</v>
      </c>
      <c r="AD9345" t="s">
        <v>46823</v>
      </c>
      <c r="AE9345" t="s">
        <v>55984</v>
      </c>
      <c r="AG9345" t="s">
        <v>55985</v>
      </c>
      <c r="AH9345" t="s">
        <v>20477</v>
      </c>
      <c r="AI9345" t="s">
        <v>55986</v>
      </c>
    </row>
    <row r="9346" spans="2:35" ht="255">
      <c r="B9346" s="1">
        <v>44960</v>
      </c>
      <c r="C9346" s="4">
        <v>44960.320833333331</v>
      </c>
      <c r="D9346" t="s">
        <v>41830</v>
      </c>
      <c r="E9346" t="s">
        <v>510</v>
      </c>
      <c r="F9346" t="s">
        <v>511</v>
      </c>
      <c r="G9346" t="s">
        <v>512</v>
      </c>
      <c r="H9346" t="s">
        <v>39</v>
      </c>
      <c r="I9346" t="s">
        <v>40</v>
      </c>
      <c r="J9346" s="2" t="s">
        <v>41</v>
      </c>
      <c r="K9346" t="s">
        <v>42</v>
      </c>
      <c r="L9346" t="s">
        <v>80</v>
      </c>
      <c r="Q9346">
        <v>23251</v>
      </c>
      <c r="R9346" t="s">
        <v>45</v>
      </c>
      <c r="S9346" t="s">
        <v>23268</v>
      </c>
      <c r="T9346">
        <v>21</v>
      </c>
      <c r="U9346" s="2" t="s">
        <v>55987</v>
      </c>
      <c r="V9346" s="1">
        <v>44957</v>
      </c>
      <c r="W9346" t="s">
        <v>502</v>
      </c>
      <c r="X9346">
        <v>805212</v>
      </c>
      <c r="Y9346" t="s">
        <v>8731</v>
      </c>
      <c r="Z9346" t="s">
        <v>179</v>
      </c>
      <c r="AA9346" t="s">
        <v>55988</v>
      </c>
      <c r="AB9346" t="s">
        <v>55989</v>
      </c>
      <c r="AC9346" t="s">
        <v>301</v>
      </c>
      <c r="AD9346" t="s">
        <v>55990</v>
      </c>
      <c r="AE9346" t="s">
        <v>55991</v>
      </c>
      <c r="AG9346" t="s">
        <v>55992</v>
      </c>
      <c r="AH9346" t="s">
        <v>16579</v>
      </c>
      <c r="AI9346" t="s">
        <v>55993</v>
      </c>
    </row>
    <row r="9347" spans="2:35" ht="180">
      <c r="B9347" s="1">
        <v>44959</v>
      </c>
      <c r="C9347" s="4">
        <v>44959.49722222222</v>
      </c>
      <c r="D9347" t="s">
        <v>8748</v>
      </c>
      <c r="E9347" t="s">
        <v>55994</v>
      </c>
      <c r="F9347">
        <v>12</v>
      </c>
      <c r="G9347" t="s">
        <v>294</v>
      </c>
      <c r="H9347" t="s">
        <v>39</v>
      </c>
      <c r="I9347" t="s">
        <v>94</v>
      </c>
      <c r="J9347" t="s">
        <v>109</v>
      </c>
      <c r="K9347" t="s">
        <v>42</v>
      </c>
      <c r="L9347" t="s">
        <v>296</v>
      </c>
      <c r="Q9347">
        <v>23250</v>
      </c>
      <c r="R9347" t="s">
        <v>119</v>
      </c>
      <c r="S9347" t="s">
        <v>19855</v>
      </c>
      <c r="T9347">
        <v>27.3</v>
      </c>
      <c r="U9347" s="2" t="s">
        <v>55995</v>
      </c>
      <c r="W9347" t="s">
        <v>54487</v>
      </c>
      <c r="X9347">
        <v>838556</v>
      </c>
      <c r="Y9347" t="s">
        <v>54</v>
      </c>
      <c r="Z9347" t="s">
        <v>9161</v>
      </c>
      <c r="AA9347" t="s">
        <v>9161</v>
      </c>
      <c r="AB9347" t="s">
        <v>55996</v>
      </c>
      <c r="AG9347" t="s">
        <v>55997</v>
      </c>
      <c r="AH9347" t="s">
        <v>55998</v>
      </c>
      <c r="AI9347" t="s">
        <v>55999</v>
      </c>
    </row>
    <row r="9348" spans="2:35" ht="180">
      <c r="B9348" s="1">
        <v>44959</v>
      </c>
      <c r="C9348" s="4">
        <v>44959.661111111112</v>
      </c>
      <c r="D9348" t="s">
        <v>2883</v>
      </c>
      <c r="E9348" t="s">
        <v>23062</v>
      </c>
      <c r="F9348">
        <v>7</v>
      </c>
      <c r="G9348" t="s">
        <v>432</v>
      </c>
      <c r="H9348" t="s">
        <v>1498</v>
      </c>
      <c r="I9348" t="s">
        <v>94</v>
      </c>
      <c r="J9348" s="2" t="s">
        <v>62</v>
      </c>
      <c r="K9348" t="s">
        <v>42</v>
      </c>
      <c r="L9348" t="s">
        <v>343</v>
      </c>
      <c r="Q9348">
        <v>23249</v>
      </c>
      <c r="R9348" t="s">
        <v>45</v>
      </c>
      <c r="S9348" t="s">
        <v>23063</v>
      </c>
      <c r="T9348">
        <v>23.6</v>
      </c>
      <c r="U9348" s="2" t="s">
        <v>56000</v>
      </c>
      <c r="V9348" s="1">
        <v>44959</v>
      </c>
      <c r="W9348" t="s">
        <v>35955</v>
      </c>
      <c r="X9348">
        <v>835058</v>
      </c>
      <c r="Y9348" t="s">
        <v>1751</v>
      </c>
      <c r="Z9348" t="e">
        <f ca="1">-PERFORM Xpert Check on ALL two modules</f>
        <v>#NAME?</v>
      </c>
      <c r="AA9348" t="e">
        <f ca="1">-Preventive Maintenance</f>
        <v>#NAME?</v>
      </c>
      <c r="AB9348" t="s">
        <v>56001</v>
      </c>
      <c r="AC9348" t="s">
        <v>56002</v>
      </c>
      <c r="AD9348" t="s">
        <v>56003</v>
      </c>
      <c r="AE9348" t="s">
        <v>103</v>
      </c>
      <c r="AG9348" t="s">
        <v>56004</v>
      </c>
      <c r="AH9348" t="s">
        <v>23066</v>
      </c>
      <c r="AI9348" t="s">
        <v>56005</v>
      </c>
    </row>
    <row r="9349" spans="2:35" ht="90">
      <c r="B9349" s="1">
        <v>44959</v>
      </c>
      <c r="C9349" s="4">
        <v>44959.67083333333</v>
      </c>
      <c r="D9349" t="s">
        <v>38660</v>
      </c>
      <c r="E9349" t="s">
        <v>56006</v>
      </c>
      <c r="F9349" t="s">
        <v>148</v>
      </c>
      <c r="G9349" t="s">
        <v>2007</v>
      </c>
      <c r="H9349" t="s">
        <v>39</v>
      </c>
      <c r="I9349" t="s">
        <v>40</v>
      </c>
      <c r="J9349" t="s">
        <v>321</v>
      </c>
      <c r="K9349" t="s">
        <v>42</v>
      </c>
      <c r="L9349" t="s">
        <v>55932</v>
      </c>
      <c r="Q9349">
        <v>23248</v>
      </c>
      <c r="R9349" t="s">
        <v>45</v>
      </c>
      <c r="S9349" t="s">
        <v>43534</v>
      </c>
      <c r="T9349">
        <v>23.4</v>
      </c>
      <c r="U9349" s="2" t="s">
        <v>13799</v>
      </c>
      <c r="W9349" t="s">
        <v>1139</v>
      </c>
      <c r="X9349">
        <v>838875</v>
      </c>
      <c r="Y9349" t="s">
        <v>56007</v>
      </c>
      <c r="Z9349" t="s">
        <v>13110</v>
      </c>
      <c r="AA9349" t="s">
        <v>56008</v>
      </c>
      <c r="AB9349" t="s">
        <v>181</v>
      </c>
      <c r="AG9349" t="s">
        <v>56009</v>
      </c>
      <c r="AH9349" t="s">
        <v>43543</v>
      </c>
      <c r="AI9349" t="s">
        <v>56010</v>
      </c>
    </row>
    <row r="9350" spans="2:35" ht="195">
      <c r="B9350" s="1">
        <v>44959</v>
      </c>
      <c r="C9350" s="4">
        <v>44959.626388888886</v>
      </c>
      <c r="D9350" t="s">
        <v>8529</v>
      </c>
      <c r="E9350" t="s">
        <v>8530</v>
      </c>
      <c r="F9350">
        <v>7</v>
      </c>
      <c r="G9350" t="s">
        <v>432</v>
      </c>
      <c r="H9350" t="s">
        <v>56011</v>
      </c>
      <c r="I9350" t="s">
        <v>40</v>
      </c>
      <c r="J9350" s="2" t="s">
        <v>190</v>
      </c>
      <c r="K9350" t="s">
        <v>42</v>
      </c>
      <c r="L9350" t="s">
        <v>343</v>
      </c>
      <c r="Q9350">
        <v>23247</v>
      </c>
      <c r="R9350" t="s">
        <v>119</v>
      </c>
      <c r="S9350" t="s">
        <v>8531</v>
      </c>
      <c r="T9350">
        <v>24.1</v>
      </c>
      <c r="U9350" s="2" t="s">
        <v>56012</v>
      </c>
      <c r="W9350" t="s">
        <v>6105</v>
      </c>
      <c r="X9350">
        <v>838279</v>
      </c>
      <c r="Y9350" t="s">
        <v>56013</v>
      </c>
      <c r="Z9350" s="2" t="s">
        <v>56014</v>
      </c>
      <c r="AA9350" t="e">
        <f ca="1">-Preventive Maintenance</f>
        <v>#NAME?</v>
      </c>
      <c r="AB9350" t="s">
        <v>56015</v>
      </c>
      <c r="AC9350" t="s">
        <v>56016</v>
      </c>
      <c r="AG9350" t="s">
        <v>56017</v>
      </c>
      <c r="AH9350" t="s">
        <v>56018</v>
      </c>
      <c r="AI9350" t="s">
        <v>56019</v>
      </c>
    </row>
    <row r="9351" spans="2:35" ht="409.5">
      <c r="B9351" s="1">
        <v>44959</v>
      </c>
      <c r="C9351" s="4">
        <v>44959.598611111112</v>
      </c>
      <c r="D9351" t="s">
        <v>56020</v>
      </c>
      <c r="E9351" t="s">
        <v>31739</v>
      </c>
      <c r="F9351">
        <v>3</v>
      </c>
      <c r="G9351" t="s">
        <v>1722</v>
      </c>
      <c r="H9351" t="s">
        <v>39</v>
      </c>
      <c r="I9351" t="s">
        <v>40</v>
      </c>
      <c r="J9351" s="2" t="s">
        <v>1309</v>
      </c>
      <c r="K9351" t="s">
        <v>42</v>
      </c>
      <c r="L9351" t="s">
        <v>63</v>
      </c>
      <c r="Q9351">
        <v>23246</v>
      </c>
      <c r="R9351" t="s">
        <v>45</v>
      </c>
      <c r="S9351" t="s">
        <v>31740</v>
      </c>
      <c r="T9351">
        <v>29</v>
      </c>
      <c r="U9351" s="2" t="s">
        <v>56021</v>
      </c>
      <c r="V9351" s="1">
        <v>44959</v>
      </c>
      <c r="W9351" t="s">
        <v>26915</v>
      </c>
      <c r="X9351">
        <v>805107</v>
      </c>
      <c r="Y9351" t="s">
        <v>37890</v>
      </c>
      <c r="Z9351" t="s">
        <v>22976</v>
      </c>
      <c r="AA9351" s="2" t="s">
        <v>56022</v>
      </c>
      <c r="AB9351" t="s">
        <v>70</v>
      </c>
      <c r="AC9351" t="s">
        <v>56023</v>
      </c>
      <c r="AD9351" t="s">
        <v>5056</v>
      </c>
      <c r="AE9351" t="s">
        <v>1716</v>
      </c>
      <c r="AG9351" t="s">
        <v>56024</v>
      </c>
      <c r="AH9351" t="s">
        <v>56025</v>
      </c>
      <c r="AI9351" t="s">
        <v>56026</v>
      </c>
    </row>
    <row r="9352" spans="2:35" ht="195">
      <c r="B9352" s="1">
        <v>44959</v>
      </c>
      <c r="C9352" s="4">
        <v>44959.597916666666</v>
      </c>
      <c r="D9352" t="s">
        <v>43216</v>
      </c>
      <c r="E9352" t="s">
        <v>56027</v>
      </c>
      <c r="F9352" t="s">
        <v>37</v>
      </c>
      <c r="G9352" t="s">
        <v>189</v>
      </c>
      <c r="H9352" t="s">
        <v>39</v>
      </c>
      <c r="I9352" t="s">
        <v>40</v>
      </c>
      <c r="J9352" s="2" t="s">
        <v>62</v>
      </c>
      <c r="K9352" t="s">
        <v>42</v>
      </c>
      <c r="L9352" t="s">
        <v>1943</v>
      </c>
      <c r="Q9352">
        <v>23245</v>
      </c>
      <c r="R9352" t="s">
        <v>119</v>
      </c>
      <c r="S9352" t="s">
        <v>43218</v>
      </c>
      <c r="T9352">
        <v>28</v>
      </c>
      <c r="U9352" s="2" t="s">
        <v>56028</v>
      </c>
      <c r="V9352" s="1">
        <v>44943</v>
      </c>
      <c r="W9352" t="s">
        <v>84</v>
      </c>
      <c r="X9352">
        <v>820204</v>
      </c>
      <c r="Y9352" s="2" t="s">
        <v>56029</v>
      </c>
      <c r="Z9352" s="2" t="s">
        <v>47457</v>
      </c>
      <c r="AA9352" t="s">
        <v>3045</v>
      </c>
      <c r="AB9352" t="s">
        <v>56030</v>
      </c>
      <c r="AC9352" t="s">
        <v>56031</v>
      </c>
      <c r="AD9352" t="s">
        <v>11518</v>
      </c>
      <c r="AE9352" t="s">
        <v>56032</v>
      </c>
      <c r="AG9352" t="s">
        <v>56033</v>
      </c>
      <c r="AH9352" t="s">
        <v>56034</v>
      </c>
      <c r="AI9352" t="s">
        <v>56035</v>
      </c>
    </row>
    <row r="9353" spans="2:35" ht="90">
      <c r="B9353" s="1">
        <v>44959</v>
      </c>
      <c r="C9353" s="4">
        <v>44959.592361111114</v>
      </c>
      <c r="D9353" t="s">
        <v>37250</v>
      </c>
      <c r="E9353" t="s">
        <v>39052</v>
      </c>
      <c r="F9353">
        <v>7</v>
      </c>
      <c r="G9353" t="s">
        <v>432</v>
      </c>
      <c r="H9353" t="s">
        <v>44882</v>
      </c>
      <c r="I9353" t="s">
        <v>94</v>
      </c>
      <c r="J9353" s="2" t="s">
        <v>41</v>
      </c>
      <c r="K9353" t="s">
        <v>42</v>
      </c>
      <c r="L9353" t="s">
        <v>610</v>
      </c>
      <c r="Q9353">
        <v>23244</v>
      </c>
      <c r="R9353" t="s">
        <v>45</v>
      </c>
      <c r="S9353" t="s">
        <v>25240</v>
      </c>
      <c r="T9353">
        <v>23</v>
      </c>
      <c r="U9353" s="2" t="s">
        <v>56036</v>
      </c>
      <c r="V9353" s="1">
        <v>44959</v>
      </c>
      <c r="W9353" t="s">
        <v>502</v>
      </c>
      <c r="X9353">
        <v>815464</v>
      </c>
      <c r="Y9353" t="s">
        <v>56037</v>
      </c>
      <c r="Z9353" t="s">
        <v>56038</v>
      </c>
      <c r="AA9353" s="2" t="s">
        <v>56039</v>
      </c>
      <c r="AB9353" t="s">
        <v>56040</v>
      </c>
      <c r="AD9353" t="s">
        <v>4448</v>
      </c>
      <c r="AE9353" t="s">
        <v>4448</v>
      </c>
      <c r="AG9353" t="s">
        <v>56041</v>
      </c>
      <c r="AH9353" t="s">
        <v>56042</v>
      </c>
      <c r="AI9353" t="s">
        <v>56043</v>
      </c>
    </row>
    <row r="9354" spans="2:35" ht="409.5">
      <c r="B9354" s="1">
        <v>44959</v>
      </c>
      <c r="C9354" s="4">
        <v>44959.535416666666</v>
      </c>
      <c r="D9354" t="s">
        <v>4517</v>
      </c>
      <c r="E9354" t="s">
        <v>56044</v>
      </c>
      <c r="F9354">
        <v>1</v>
      </c>
      <c r="G9354" t="s">
        <v>1046</v>
      </c>
      <c r="H9354" t="s">
        <v>39</v>
      </c>
      <c r="I9354" t="s">
        <v>40</v>
      </c>
      <c r="J9354" s="2" t="s">
        <v>62</v>
      </c>
      <c r="K9354" t="s">
        <v>42</v>
      </c>
      <c r="L9354" t="s">
        <v>135</v>
      </c>
      <c r="Q9354">
        <v>23243</v>
      </c>
      <c r="R9354" t="s">
        <v>119</v>
      </c>
      <c r="S9354" t="s">
        <v>7992</v>
      </c>
      <c r="T9354">
        <v>29.8</v>
      </c>
      <c r="U9354" s="2" t="s">
        <v>56045</v>
      </c>
      <c r="W9354" t="s">
        <v>2680</v>
      </c>
      <c r="X9354">
        <v>838467</v>
      </c>
      <c r="Y9354" t="s">
        <v>1751</v>
      </c>
      <c r="Z9354" s="2" t="s">
        <v>56046</v>
      </c>
      <c r="AA9354" t="s">
        <v>54639</v>
      </c>
      <c r="AB9354" t="s">
        <v>181</v>
      </c>
      <c r="AC9354" t="s">
        <v>56047</v>
      </c>
      <c r="AG9354" t="s">
        <v>56048</v>
      </c>
      <c r="AH9354" t="s">
        <v>13014</v>
      </c>
      <c r="AI9354" t="s">
        <v>56049</v>
      </c>
    </row>
    <row r="9355" spans="2:35" ht="315">
      <c r="B9355" s="1">
        <v>44959</v>
      </c>
      <c r="C9355" s="4">
        <v>44959.55972222222</v>
      </c>
      <c r="D9355" t="s">
        <v>4206</v>
      </c>
      <c r="E9355" t="s">
        <v>14660</v>
      </c>
      <c r="F9355">
        <v>11</v>
      </c>
      <c r="G9355" t="s">
        <v>2836</v>
      </c>
      <c r="H9355" t="s">
        <v>202</v>
      </c>
      <c r="I9355" t="s">
        <v>40</v>
      </c>
      <c r="J9355" t="s">
        <v>109</v>
      </c>
      <c r="K9355" t="s">
        <v>42</v>
      </c>
      <c r="L9355" t="s">
        <v>204</v>
      </c>
      <c r="Q9355">
        <v>23242</v>
      </c>
      <c r="R9355" t="s">
        <v>119</v>
      </c>
      <c r="S9355" t="s">
        <v>4209</v>
      </c>
      <c r="T9355">
        <v>22.9</v>
      </c>
      <c r="U9355" s="2" t="s">
        <v>56050</v>
      </c>
      <c r="V9355" s="1">
        <v>44959</v>
      </c>
      <c r="W9355" t="s">
        <v>1292</v>
      </c>
      <c r="X9355">
        <v>838295</v>
      </c>
      <c r="Y9355" t="s">
        <v>1052</v>
      </c>
      <c r="Z9355" t="s">
        <v>2551</v>
      </c>
      <c r="AA9355" s="2" t="s">
        <v>8775</v>
      </c>
      <c r="AB9355" t="s">
        <v>56051</v>
      </c>
      <c r="AC9355" t="s">
        <v>56052</v>
      </c>
      <c r="AD9355" t="s">
        <v>54</v>
      </c>
      <c r="AE9355" t="s">
        <v>54</v>
      </c>
      <c r="AG9355" t="s">
        <v>56053</v>
      </c>
      <c r="AH9355" t="s">
        <v>56054</v>
      </c>
      <c r="AI9355" t="s">
        <v>56055</v>
      </c>
    </row>
    <row r="9356" spans="2:35" ht="195">
      <c r="B9356" s="1">
        <v>44959</v>
      </c>
      <c r="C9356" s="4">
        <v>44959.512499999997</v>
      </c>
      <c r="D9356" t="s">
        <v>187</v>
      </c>
      <c r="E9356" t="s">
        <v>188</v>
      </c>
      <c r="F9356" t="s">
        <v>37</v>
      </c>
      <c r="G9356" t="s">
        <v>189</v>
      </c>
      <c r="H9356" t="s">
        <v>39</v>
      </c>
      <c r="I9356" t="s">
        <v>40</v>
      </c>
      <c r="J9356" s="2" t="s">
        <v>62</v>
      </c>
      <c r="K9356" t="s">
        <v>42</v>
      </c>
      <c r="L9356" t="s">
        <v>1943</v>
      </c>
      <c r="Q9356">
        <v>23240</v>
      </c>
      <c r="R9356" t="s">
        <v>119</v>
      </c>
      <c r="S9356" t="s">
        <v>12000</v>
      </c>
      <c r="T9356">
        <v>29</v>
      </c>
      <c r="U9356" s="2" t="s">
        <v>56056</v>
      </c>
      <c r="V9356" s="1">
        <v>44943</v>
      </c>
      <c r="W9356" t="s">
        <v>84</v>
      </c>
      <c r="X9356">
        <v>821317</v>
      </c>
      <c r="Y9356" s="2" t="s">
        <v>3044</v>
      </c>
      <c r="Z9356" s="2" t="s">
        <v>47457</v>
      </c>
      <c r="AA9356" t="s">
        <v>3045</v>
      </c>
      <c r="AB9356" t="s">
        <v>56057</v>
      </c>
      <c r="AD9356" t="s">
        <v>11518</v>
      </c>
      <c r="AE9356" t="s">
        <v>56058</v>
      </c>
      <c r="AG9356" t="s">
        <v>56059</v>
      </c>
      <c r="AH9356" t="s">
        <v>12005</v>
      </c>
      <c r="AI9356" t="s">
        <v>56060</v>
      </c>
    </row>
    <row r="9357" spans="2:35" ht="390">
      <c r="B9357" s="1">
        <v>44959</v>
      </c>
      <c r="C9357" s="4">
        <v>44959.465277777781</v>
      </c>
      <c r="D9357" t="s">
        <v>56061</v>
      </c>
      <c r="E9357" t="s">
        <v>56062</v>
      </c>
      <c r="F9357" t="s">
        <v>148</v>
      </c>
      <c r="G9357" t="s">
        <v>406</v>
      </c>
      <c r="H9357" t="s">
        <v>39</v>
      </c>
      <c r="I9357" t="s">
        <v>40</v>
      </c>
      <c r="J9357" s="2" t="s">
        <v>62</v>
      </c>
      <c r="K9357" t="s">
        <v>42</v>
      </c>
      <c r="L9357" t="s">
        <v>55932</v>
      </c>
      <c r="Q9357">
        <v>23239</v>
      </c>
      <c r="R9357" t="s">
        <v>45</v>
      </c>
      <c r="S9357" t="s">
        <v>1997</v>
      </c>
      <c r="T9357">
        <v>24.2</v>
      </c>
      <c r="U9357" s="2" t="s">
        <v>56063</v>
      </c>
      <c r="W9357" t="s">
        <v>1139</v>
      </c>
      <c r="X9357">
        <v>838192</v>
      </c>
      <c r="Y9357" t="s">
        <v>56064</v>
      </c>
      <c r="Z9357" t="s">
        <v>8446</v>
      </c>
      <c r="AA9357" s="2" t="s">
        <v>56065</v>
      </c>
      <c r="AB9357" t="s">
        <v>181</v>
      </c>
      <c r="AG9357" t="s">
        <v>56066</v>
      </c>
      <c r="AH9357" t="s">
        <v>22999</v>
      </c>
      <c r="AI9357" t="s">
        <v>56067</v>
      </c>
    </row>
    <row r="9358" spans="2:35" ht="180">
      <c r="B9358" s="1">
        <v>44959</v>
      </c>
      <c r="C9358" s="4">
        <v>44959.417361111111</v>
      </c>
      <c r="D9358" t="s">
        <v>56068</v>
      </c>
      <c r="E9358" t="s">
        <v>56069</v>
      </c>
      <c r="F9358">
        <v>7</v>
      </c>
      <c r="G9358" t="s">
        <v>29983</v>
      </c>
      <c r="H9358" t="s">
        <v>56070</v>
      </c>
      <c r="I9358" t="s">
        <v>40</v>
      </c>
      <c r="J9358" t="s">
        <v>109</v>
      </c>
      <c r="K9358" t="s">
        <v>42</v>
      </c>
      <c r="L9358" t="s">
        <v>1288</v>
      </c>
      <c r="Q9358">
        <v>23238</v>
      </c>
      <c r="R9358" t="s">
        <v>45</v>
      </c>
      <c r="S9358" t="s">
        <v>56071</v>
      </c>
      <c r="T9358">
        <v>24</v>
      </c>
      <c r="U9358" s="2" t="s">
        <v>56072</v>
      </c>
      <c r="W9358" t="s">
        <v>4775</v>
      </c>
      <c r="X9358">
        <v>835056</v>
      </c>
      <c r="Y9358" t="s">
        <v>1529</v>
      </c>
      <c r="Z9358" t="e">
        <f ca="1">-PERFORM GX Preventive Maintenance _xludf.and Cleaning</f>
        <v>#NAME?</v>
      </c>
      <c r="AA9358" t="e">
        <f ca="1">-COLLECT IQR,system _xludf.Log,Assay stat</f>
        <v>#NAME?</v>
      </c>
      <c r="AB9358" t="s">
        <v>1293</v>
      </c>
      <c r="AG9358" t="s">
        <v>56073</v>
      </c>
      <c r="AH9358" t="s">
        <v>56074</v>
      </c>
      <c r="AI9358" t="s">
        <v>56075</v>
      </c>
    </row>
    <row r="9359" spans="2:35" ht="330">
      <c r="B9359" s="1">
        <v>44959</v>
      </c>
      <c r="C9359" s="4">
        <v>44959.40347222222</v>
      </c>
      <c r="D9359" t="s">
        <v>56068</v>
      </c>
      <c r="E9359" t="s">
        <v>56069</v>
      </c>
      <c r="F9359">
        <v>7</v>
      </c>
      <c r="G9359" t="s">
        <v>29983</v>
      </c>
      <c r="H9359" t="s">
        <v>56076</v>
      </c>
      <c r="I9359" t="s">
        <v>40</v>
      </c>
      <c r="J9359" t="s">
        <v>79</v>
      </c>
      <c r="K9359" t="s">
        <v>42</v>
      </c>
      <c r="L9359" t="s">
        <v>1288</v>
      </c>
      <c r="Q9359">
        <v>23237</v>
      </c>
      <c r="R9359" t="s">
        <v>45</v>
      </c>
      <c r="S9359" t="s">
        <v>56071</v>
      </c>
      <c r="T9359">
        <v>24</v>
      </c>
      <c r="U9359" s="2" t="s">
        <v>56077</v>
      </c>
      <c r="W9359" t="s">
        <v>1292</v>
      </c>
      <c r="X9359">
        <v>808638</v>
      </c>
      <c r="Y9359" t="s">
        <v>56078</v>
      </c>
      <c r="Z9359" s="2" t="s">
        <v>56079</v>
      </c>
      <c r="AA9359" t="e">
        <f ca="1">-PERFORM Preventive Maintenance
-COLLECT IQR, system _xludf.Log, ARCHIVE, _xludf.and Assay stat</f>
        <v>#NAME?</v>
      </c>
      <c r="AB9359" t="s">
        <v>1293</v>
      </c>
      <c r="AG9359" t="s">
        <v>56080</v>
      </c>
      <c r="AH9359" t="s">
        <v>56074</v>
      </c>
      <c r="AI9359" t="s">
        <v>56081</v>
      </c>
    </row>
    <row r="9360" spans="2:35" ht="409.5">
      <c r="B9360" s="1">
        <v>44959</v>
      </c>
      <c r="C9360" s="4">
        <v>44958.5625</v>
      </c>
      <c r="D9360" t="s">
        <v>2272</v>
      </c>
      <c r="E9360" t="s">
        <v>15790</v>
      </c>
      <c r="F9360" t="s">
        <v>148</v>
      </c>
      <c r="G9360" t="s">
        <v>310</v>
      </c>
      <c r="H9360" t="s">
        <v>5042</v>
      </c>
      <c r="I9360" t="s">
        <v>40</v>
      </c>
      <c r="J9360" s="2" t="s">
        <v>1808</v>
      </c>
      <c r="K9360" t="s">
        <v>42</v>
      </c>
      <c r="L9360" t="s">
        <v>1943</v>
      </c>
      <c r="Q9360">
        <v>23235</v>
      </c>
      <c r="R9360" t="s">
        <v>703</v>
      </c>
      <c r="S9360" t="s">
        <v>6830</v>
      </c>
      <c r="T9360">
        <v>25</v>
      </c>
      <c r="U9360" s="2" t="s">
        <v>56082</v>
      </c>
      <c r="W9360" t="s">
        <v>84</v>
      </c>
      <c r="X9360">
        <v>835604</v>
      </c>
      <c r="Y9360" s="2" t="s">
        <v>56083</v>
      </c>
      <c r="Z9360" s="2" t="s">
        <v>56084</v>
      </c>
      <c r="AA9360" t="s">
        <v>56085</v>
      </c>
      <c r="AB9360" t="s">
        <v>56086</v>
      </c>
      <c r="AG9360" t="s">
        <v>56087</v>
      </c>
      <c r="AH9360" t="s">
        <v>56088</v>
      </c>
      <c r="AI9360" t="s">
        <v>56089</v>
      </c>
    </row>
    <row r="9361" spans="2:35" ht="195">
      <c r="B9361" s="1">
        <v>44959</v>
      </c>
      <c r="C9361" s="4">
        <v>44958.638888888891</v>
      </c>
      <c r="D9361" t="s">
        <v>3719</v>
      </c>
      <c r="E9361" t="s">
        <v>33278</v>
      </c>
      <c r="F9361" t="s">
        <v>148</v>
      </c>
      <c r="G9361" t="s">
        <v>310</v>
      </c>
      <c r="H9361" t="s">
        <v>39</v>
      </c>
      <c r="I9361" t="s">
        <v>40</v>
      </c>
      <c r="J9361" s="2" t="s">
        <v>62</v>
      </c>
      <c r="K9361" t="s">
        <v>42</v>
      </c>
      <c r="L9361" t="s">
        <v>1943</v>
      </c>
      <c r="Q9361">
        <v>23236</v>
      </c>
      <c r="R9361" t="s">
        <v>119</v>
      </c>
      <c r="S9361" t="s">
        <v>3721</v>
      </c>
      <c r="T9361">
        <v>28</v>
      </c>
      <c r="U9361" s="2" t="s">
        <v>56090</v>
      </c>
      <c r="V9361" s="1">
        <v>44945</v>
      </c>
      <c r="W9361" t="s">
        <v>84</v>
      </c>
      <c r="X9361">
        <v>831644</v>
      </c>
      <c r="Y9361" s="2" t="s">
        <v>3044</v>
      </c>
      <c r="Z9361" s="2" t="s">
        <v>56091</v>
      </c>
      <c r="AA9361" t="s">
        <v>3045</v>
      </c>
      <c r="AB9361" t="s">
        <v>56092</v>
      </c>
      <c r="AD9361" t="s">
        <v>11518</v>
      </c>
      <c r="AE9361" t="s">
        <v>56093</v>
      </c>
      <c r="AG9361" t="s">
        <v>56094</v>
      </c>
      <c r="AH9361" t="s">
        <v>56095</v>
      </c>
      <c r="AI9361" t="s">
        <v>56096</v>
      </c>
    </row>
    <row r="9362" spans="2:35" ht="345">
      <c r="B9362" s="1">
        <v>44959</v>
      </c>
      <c r="C9362" s="4">
        <v>44957.350694444445</v>
      </c>
      <c r="D9362" t="s">
        <v>23134</v>
      </c>
      <c r="E9362" t="s">
        <v>27716</v>
      </c>
      <c r="F9362" t="s">
        <v>148</v>
      </c>
      <c r="G9362" t="s">
        <v>310</v>
      </c>
      <c r="H9362" t="s">
        <v>34954</v>
      </c>
      <c r="I9362" t="s">
        <v>40</v>
      </c>
      <c r="J9362" s="2" t="s">
        <v>62</v>
      </c>
      <c r="K9362" t="s">
        <v>42</v>
      </c>
      <c r="L9362" t="s">
        <v>1943</v>
      </c>
      <c r="Q9362">
        <v>23233</v>
      </c>
      <c r="R9362" t="s">
        <v>119</v>
      </c>
      <c r="S9362" t="s">
        <v>23136</v>
      </c>
      <c r="T9362">
        <v>25</v>
      </c>
      <c r="U9362" s="2" t="s">
        <v>56097</v>
      </c>
      <c r="V9362" s="1">
        <v>44940</v>
      </c>
      <c r="W9362" t="s">
        <v>84</v>
      </c>
      <c r="X9362">
        <v>831872</v>
      </c>
      <c r="Y9362" s="2" t="s">
        <v>3044</v>
      </c>
      <c r="Z9362" s="2" t="s">
        <v>47457</v>
      </c>
      <c r="AA9362" t="s">
        <v>3045</v>
      </c>
      <c r="AB9362" t="s">
        <v>56098</v>
      </c>
      <c r="AD9362" t="s">
        <v>11518</v>
      </c>
      <c r="AE9362" t="s">
        <v>56099</v>
      </c>
      <c r="AG9362" t="s">
        <v>56100</v>
      </c>
      <c r="AH9362" t="s">
        <v>25416</v>
      </c>
      <c r="AI9362" t="s">
        <v>56101</v>
      </c>
    </row>
    <row r="9363" spans="2:35" ht="285">
      <c r="B9363" s="1">
        <v>44959</v>
      </c>
      <c r="C9363" s="4">
        <v>44958.368055555555</v>
      </c>
      <c r="D9363" t="s">
        <v>56102</v>
      </c>
      <c r="E9363" t="s">
        <v>56103</v>
      </c>
      <c r="F9363" t="s">
        <v>148</v>
      </c>
      <c r="G9363" t="s">
        <v>310</v>
      </c>
      <c r="H9363" t="s">
        <v>39</v>
      </c>
      <c r="I9363" t="s">
        <v>40</v>
      </c>
      <c r="J9363" s="2" t="s">
        <v>62</v>
      </c>
      <c r="K9363" t="s">
        <v>42</v>
      </c>
      <c r="L9363" t="s">
        <v>1943</v>
      </c>
      <c r="Q9363">
        <v>23234</v>
      </c>
      <c r="R9363" t="s">
        <v>45</v>
      </c>
      <c r="S9363" t="s">
        <v>25213</v>
      </c>
      <c r="T9363">
        <v>29</v>
      </c>
      <c r="U9363" s="2" t="s">
        <v>56104</v>
      </c>
      <c r="V9363" s="1">
        <v>44958</v>
      </c>
      <c r="W9363" t="s">
        <v>84</v>
      </c>
      <c r="X9363">
        <v>805103</v>
      </c>
      <c r="Y9363" s="2" t="s">
        <v>56105</v>
      </c>
      <c r="Z9363" s="2" t="s">
        <v>56106</v>
      </c>
      <c r="AA9363" t="s">
        <v>56107</v>
      </c>
      <c r="AB9363" t="s">
        <v>56108</v>
      </c>
      <c r="AD9363" t="s">
        <v>11518</v>
      </c>
      <c r="AE9363" t="s">
        <v>1716</v>
      </c>
      <c r="AG9363" t="s">
        <v>56109</v>
      </c>
      <c r="AH9363" t="s">
        <v>56110</v>
      </c>
      <c r="AI9363" t="s">
        <v>56111</v>
      </c>
    </row>
    <row r="9364" spans="2:35" ht="195">
      <c r="B9364" s="1">
        <v>44959</v>
      </c>
      <c r="C9364" s="4">
        <v>44951.616666666669</v>
      </c>
      <c r="D9364" t="s">
        <v>56112</v>
      </c>
      <c r="E9364" t="s">
        <v>56113</v>
      </c>
      <c r="F9364" t="s">
        <v>37</v>
      </c>
      <c r="G9364" t="s">
        <v>189</v>
      </c>
      <c r="H9364" t="s">
        <v>39</v>
      </c>
      <c r="I9364" t="s">
        <v>40</v>
      </c>
      <c r="J9364" s="2" t="s">
        <v>62</v>
      </c>
      <c r="K9364" t="s">
        <v>42</v>
      </c>
      <c r="L9364" t="s">
        <v>1943</v>
      </c>
      <c r="Q9364">
        <v>23230</v>
      </c>
      <c r="R9364" t="s">
        <v>45</v>
      </c>
      <c r="S9364" t="s">
        <v>30252</v>
      </c>
      <c r="T9364">
        <v>25</v>
      </c>
      <c r="U9364" s="2" t="s">
        <v>56114</v>
      </c>
      <c r="V9364" s="1">
        <v>44951</v>
      </c>
      <c r="W9364" t="s">
        <v>84</v>
      </c>
      <c r="X9364">
        <v>812786</v>
      </c>
      <c r="Y9364" s="2" t="s">
        <v>56115</v>
      </c>
      <c r="Z9364" s="2" t="s">
        <v>47457</v>
      </c>
      <c r="AA9364" t="s">
        <v>3045</v>
      </c>
      <c r="AB9364" t="s">
        <v>56116</v>
      </c>
      <c r="AD9364" t="s">
        <v>11518</v>
      </c>
      <c r="AE9364" t="s">
        <v>1716</v>
      </c>
      <c r="AG9364" t="s">
        <v>56117</v>
      </c>
      <c r="AH9364" t="s">
        <v>41934</v>
      </c>
      <c r="AI9364" t="s">
        <v>56118</v>
      </c>
    </row>
    <row r="9365" spans="2:35" ht="270">
      <c r="B9365" s="1">
        <v>44959</v>
      </c>
      <c r="C9365" s="4">
        <v>44957.603472222225</v>
      </c>
      <c r="D9365" t="s">
        <v>26333</v>
      </c>
      <c r="E9365" t="s">
        <v>34254</v>
      </c>
      <c r="F9365" t="s">
        <v>148</v>
      </c>
      <c r="G9365" t="s">
        <v>310</v>
      </c>
      <c r="H9365" t="s">
        <v>39</v>
      </c>
      <c r="I9365" t="s">
        <v>40</v>
      </c>
      <c r="J9365" s="2" t="s">
        <v>1309</v>
      </c>
      <c r="K9365" t="s">
        <v>42</v>
      </c>
      <c r="L9365" t="s">
        <v>1943</v>
      </c>
      <c r="Q9365">
        <v>23232</v>
      </c>
      <c r="R9365" t="s">
        <v>119</v>
      </c>
      <c r="S9365" t="s">
        <v>34255</v>
      </c>
      <c r="T9365">
        <v>25</v>
      </c>
      <c r="U9365" s="2" t="s">
        <v>56119</v>
      </c>
      <c r="V9365" s="1">
        <v>44956</v>
      </c>
      <c r="W9365" t="s">
        <v>84</v>
      </c>
      <c r="X9365">
        <v>831871</v>
      </c>
      <c r="Y9365" s="2" t="s">
        <v>56120</v>
      </c>
      <c r="Z9365" s="2" t="s">
        <v>56121</v>
      </c>
      <c r="AA9365" t="s">
        <v>56122</v>
      </c>
      <c r="AB9365" t="s">
        <v>88</v>
      </c>
      <c r="AD9365" s="2" t="s">
        <v>56123</v>
      </c>
      <c r="AE9365" t="s">
        <v>56124</v>
      </c>
      <c r="AG9365" t="s">
        <v>56125</v>
      </c>
      <c r="AH9365" t="s">
        <v>34262</v>
      </c>
      <c r="AI9365" t="s">
        <v>56126</v>
      </c>
    </row>
    <row r="9366" spans="2:35" ht="409.5">
      <c r="B9366" s="1">
        <v>44959</v>
      </c>
      <c r="C9366" s="4">
        <v>44957.355555555558</v>
      </c>
      <c r="D9366" t="s">
        <v>23134</v>
      </c>
      <c r="E9366" t="s">
        <v>27716</v>
      </c>
      <c r="F9366" t="s">
        <v>148</v>
      </c>
      <c r="G9366" t="s">
        <v>310</v>
      </c>
      <c r="H9366" t="s">
        <v>34954</v>
      </c>
      <c r="I9366" t="s">
        <v>40</v>
      </c>
      <c r="J9366" s="2" t="s">
        <v>62</v>
      </c>
      <c r="K9366" t="s">
        <v>42</v>
      </c>
      <c r="L9366" t="s">
        <v>1943</v>
      </c>
      <c r="Q9366">
        <v>23231</v>
      </c>
      <c r="R9366" t="s">
        <v>45</v>
      </c>
      <c r="S9366" t="s">
        <v>23136</v>
      </c>
      <c r="T9366">
        <v>25</v>
      </c>
      <c r="U9366" s="2" t="s">
        <v>56127</v>
      </c>
      <c r="V9366" s="1">
        <v>44957</v>
      </c>
      <c r="W9366" t="s">
        <v>895</v>
      </c>
      <c r="X9366">
        <v>844121</v>
      </c>
      <c r="Y9366" s="2" t="s">
        <v>56128</v>
      </c>
      <c r="Z9366" s="2" t="s">
        <v>47457</v>
      </c>
      <c r="AA9366" t="s">
        <v>3045</v>
      </c>
      <c r="AB9366" t="s">
        <v>56129</v>
      </c>
      <c r="AD9366" t="s">
        <v>11518</v>
      </c>
      <c r="AE9366" t="s">
        <v>1716</v>
      </c>
      <c r="AG9366" t="s">
        <v>56130</v>
      </c>
      <c r="AH9366" t="s">
        <v>25416</v>
      </c>
      <c r="AI9366" t="s">
        <v>56131</v>
      </c>
    </row>
    <row r="9367" spans="2:35" ht="90">
      <c r="B9367" s="1">
        <v>44959</v>
      </c>
      <c r="C9367" s="4">
        <v>44959.384027777778</v>
      </c>
      <c r="D9367" t="s">
        <v>56132</v>
      </c>
      <c r="E9367" t="s">
        <v>56133</v>
      </c>
      <c r="F9367">
        <v>7</v>
      </c>
      <c r="G9367" t="s">
        <v>432</v>
      </c>
      <c r="H9367" t="s">
        <v>39</v>
      </c>
      <c r="I9367" t="s">
        <v>94</v>
      </c>
      <c r="J9367" s="2" t="s">
        <v>41</v>
      </c>
      <c r="K9367" t="s">
        <v>42</v>
      </c>
      <c r="L9367" t="s">
        <v>343</v>
      </c>
      <c r="Q9367">
        <v>23229</v>
      </c>
      <c r="R9367" t="s">
        <v>45</v>
      </c>
      <c r="S9367" t="s">
        <v>45681</v>
      </c>
      <c r="T9367">
        <v>23</v>
      </c>
      <c r="U9367" s="2" t="s">
        <v>56134</v>
      </c>
      <c r="V9367" s="1">
        <v>44959</v>
      </c>
      <c r="W9367" t="s">
        <v>35955</v>
      </c>
      <c r="X9367">
        <v>834813</v>
      </c>
      <c r="Y9367" t="s">
        <v>56135</v>
      </c>
      <c r="Z9367" t="s">
        <v>56136</v>
      </c>
      <c r="AA9367" t="s">
        <v>3128</v>
      </c>
      <c r="AB9367" t="s">
        <v>39370</v>
      </c>
      <c r="AC9367" t="s">
        <v>56137</v>
      </c>
      <c r="AD9367" t="s">
        <v>56138</v>
      </c>
      <c r="AE9367" t="s">
        <v>103</v>
      </c>
      <c r="AG9367" t="s">
        <v>56139</v>
      </c>
      <c r="AH9367" t="s">
        <v>56140</v>
      </c>
      <c r="AI9367" t="s">
        <v>56141</v>
      </c>
    </row>
    <row r="9368" spans="2:35" ht="90">
      <c r="B9368" s="1">
        <v>44959</v>
      </c>
      <c r="C9368" s="4">
        <v>44959.384027777778</v>
      </c>
      <c r="D9368" t="s">
        <v>56132</v>
      </c>
      <c r="E9368" t="s">
        <v>56133</v>
      </c>
      <c r="F9368">
        <v>7</v>
      </c>
      <c r="G9368" t="s">
        <v>432</v>
      </c>
      <c r="H9368" t="s">
        <v>39</v>
      </c>
      <c r="I9368" t="s">
        <v>94</v>
      </c>
      <c r="J9368" s="2" t="s">
        <v>41</v>
      </c>
      <c r="K9368" t="s">
        <v>42</v>
      </c>
      <c r="L9368" t="s">
        <v>343</v>
      </c>
      <c r="Q9368">
        <v>23228</v>
      </c>
      <c r="R9368" t="s">
        <v>45</v>
      </c>
      <c r="S9368" t="s">
        <v>45681</v>
      </c>
      <c r="T9368">
        <v>23</v>
      </c>
      <c r="U9368" s="2" t="s">
        <v>56134</v>
      </c>
      <c r="V9368" s="1">
        <v>44959</v>
      </c>
      <c r="W9368" t="s">
        <v>35955</v>
      </c>
      <c r="X9368">
        <v>834813</v>
      </c>
      <c r="Y9368" t="s">
        <v>56135</v>
      </c>
      <c r="Z9368" t="s">
        <v>56136</v>
      </c>
      <c r="AA9368" t="s">
        <v>3128</v>
      </c>
      <c r="AB9368" t="s">
        <v>39370</v>
      </c>
      <c r="AC9368" t="s">
        <v>56137</v>
      </c>
      <c r="AD9368" t="s">
        <v>56138</v>
      </c>
      <c r="AE9368" t="s">
        <v>103</v>
      </c>
      <c r="AG9368" t="s">
        <v>56142</v>
      </c>
      <c r="AH9368" t="s">
        <v>56140</v>
      </c>
      <c r="AI9368" t="s">
        <v>56143</v>
      </c>
    </row>
    <row r="9369" spans="2:35" ht="180">
      <c r="B9369" s="1">
        <v>44959</v>
      </c>
      <c r="C9369" s="4">
        <v>44959.371527777781</v>
      </c>
      <c r="D9369" t="s">
        <v>9469</v>
      </c>
      <c r="E9369" t="s">
        <v>9470</v>
      </c>
      <c r="F9369">
        <v>8</v>
      </c>
      <c r="G9369" t="s">
        <v>1663</v>
      </c>
      <c r="H9369" t="s">
        <v>39</v>
      </c>
      <c r="I9369" t="s">
        <v>40</v>
      </c>
      <c r="J9369" t="s">
        <v>109</v>
      </c>
      <c r="K9369" t="s">
        <v>42</v>
      </c>
      <c r="L9369" t="s">
        <v>259</v>
      </c>
      <c r="Q9369">
        <v>23227</v>
      </c>
      <c r="R9369" t="s">
        <v>119</v>
      </c>
      <c r="S9369" t="s">
        <v>9471</v>
      </c>
      <c r="T9369">
        <v>27</v>
      </c>
      <c r="U9369" s="2" t="s">
        <v>56144</v>
      </c>
      <c r="W9369" t="s">
        <v>84</v>
      </c>
      <c r="X9369">
        <v>838498</v>
      </c>
      <c r="Y9369" t="s">
        <v>1052</v>
      </c>
      <c r="Z9369" t="e">
        <f ca="1">-performed Preventive Maintenance
-cleaned FAN _xludf.filter
-Generate reports</f>
        <v>#NAME?</v>
      </c>
      <c r="AA9369" t="e">
        <f ca="1">-Preventive Maintenance</f>
        <v>#NAME?</v>
      </c>
      <c r="AB9369" t="s">
        <v>70</v>
      </c>
      <c r="AG9369" t="s">
        <v>56145</v>
      </c>
      <c r="AH9369" t="s">
        <v>56146</v>
      </c>
      <c r="AI9369" t="s">
        <v>56147</v>
      </c>
    </row>
    <row r="9370" spans="2:35" ht="195">
      <c r="B9370" s="1">
        <v>44959</v>
      </c>
      <c r="C9370" s="4">
        <v>44958.371527777781</v>
      </c>
      <c r="D9370" t="s">
        <v>56148</v>
      </c>
      <c r="E9370" t="s">
        <v>56149</v>
      </c>
      <c r="F9370" t="s">
        <v>148</v>
      </c>
      <c r="G9370" t="s">
        <v>447</v>
      </c>
      <c r="H9370" t="s">
        <v>39</v>
      </c>
      <c r="I9370" t="s">
        <v>40</v>
      </c>
      <c r="J9370" s="2" t="s">
        <v>41</v>
      </c>
      <c r="K9370" t="s">
        <v>42</v>
      </c>
      <c r="L9370" t="s">
        <v>448</v>
      </c>
      <c r="Q9370">
        <v>23226</v>
      </c>
      <c r="R9370" t="s">
        <v>45</v>
      </c>
      <c r="S9370" t="s">
        <v>1147</v>
      </c>
      <c r="T9370">
        <v>26</v>
      </c>
      <c r="U9370" s="2" t="s">
        <v>56150</v>
      </c>
      <c r="V9370" s="1">
        <v>44957</v>
      </c>
      <c r="W9370" t="s">
        <v>536</v>
      </c>
      <c r="X9370">
        <v>801080</v>
      </c>
      <c r="Y9370" t="s">
        <v>56151</v>
      </c>
      <c r="Z9370" t="s">
        <v>56152</v>
      </c>
      <c r="AA9370" t="s">
        <v>56153</v>
      </c>
      <c r="AB9370" t="s">
        <v>486</v>
      </c>
      <c r="AD9370" t="s">
        <v>53225</v>
      </c>
      <c r="AE9370" t="s">
        <v>56154</v>
      </c>
      <c r="AG9370" t="s">
        <v>56155</v>
      </c>
      <c r="AH9370" t="s">
        <v>1153</v>
      </c>
      <c r="AI9370" t="s">
        <v>56156</v>
      </c>
    </row>
    <row r="9371" spans="2:35" ht="195">
      <c r="B9371" s="1">
        <v>44959</v>
      </c>
      <c r="C9371" s="4">
        <v>44958.371527777781</v>
      </c>
      <c r="D9371" t="s">
        <v>56148</v>
      </c>
      <c r="E9371" t="s">
        <v>56149</v>
      </c>
      <c r="F9371" t="s">
        <v>148</v>
      </c>
      <c r="G9371" t="s">
        <v>447</v>
      </c>
      <c r="H9371" t="s">
        <v>39</v>
      </c>
      <c r="I9371" t="s">
        <v>40</v>
      </c>
      <c r="J9371" s="2" t="s">
        <v>41</v>
      </c>
      <c r="K9371" t="s">
        <v>42</v>
      </c>
      <c r="L9371" t="s">
        <v>448</v>
      </c>
      <c r="Q9371">
        <v>23225</v>
      </c>
      <c r="R9371" t="s">
        <v>45</v>
      </c>
      <c r="S9371" t="s">
        <v>1147</v>
      </c>
      <c r="T9371">
        <v>26</v>
      </c>
      <c r="U9371" s="2" t="s">
        <v>56150</v>
      </c>
      <c r="V9371" s="1">
        <v>44957</v>
      </c>
      <c r="W9371" t="s">
        <v>536</v>
      </c>
      <c r="X9371">
        <v>801080</v>
      </c>
      <c r="Y9371" t="s">
        <v>56151</v>
      </c>
      <c r="Z9371" t="s">
        <v>56152</v>
      </c>
      <c r="AA9371" t="s">
        <v>56153</v>
      </c>
      <c r="AB9371" t="s">
        <v>486</v>
      </c>
      <c r="AD9371" t="s">
        <v>53225</v>
      </c>
      <c r="AE9371" t="s">
        <v>56154</v>
      </c>
      <c r="AG9371" t="s">
        <v>56157</v>
      </c>
      <c r="AH9371" t="s">
        <v>1153</v>
      </c>
      <c r="AI9371" t="s">
        <v>56158</v>
      </c>
    </row>
    <row r="9372" spans="2:35" ht="375">
      <c r="B9372" s="1">
        <v>44959</v>
      </c>
      <c r="C9372" s="4">
        <v>44958.375694444447</v>
      </c>
      <c r="D9372" t="s">
        <v>42431</v>
      </c>
      <c r="E9372" t="s">
        <v>49558</v>
      </c>
      <c r="F9372" t="s">
        <v>148</v>
      </c>
      <c r="G9372" t="s">
        <v>447</v>
      </c>
      <c r="H9372" t="s">
        <v>39</v>
      </c>
      <c r="I9372" t="s">
        <v>40</v>
      </c>
      <c r="J9372" t="s">
        <v>109</v>
      </c>
      <c r="K9372" t="s">
        <v>42</v>
      </c>
      <c r="L9372" t="s">
        <v>448</v>
      </c>
      <c r="Q9372">
        <v>23224</v>
      </c>
      <c r="R9372" t="s">
        <v>45</v>
      </c>
      <c r="S9372" t="s">
        <v>1147</v>
      </c>
      <c r="T9372">
        <v>23</v>
      </c>
      <c r="U9372" s="2" t="s">
        <v>56159</v>
      </c>
      <c r="W9372" t="s">
        <v>502</v>
      </c>
      <c r="X9372">
        <v>804205</v>
      </c>
      <c r="Y9372" t="s">
        <v>121</v>
      </c>
      <c r="Z9372" t="s">
        <v>55308</v>
      </c>
      <c r="AA9372" t="s">
        <v>6997</v>
      </c>
      <c r="AB9372" t="s">
        <v>486</v>
      </c>
      <c r="AG9372" t="s">
        <v>56160</v>
      </c>
      <c r="AH9372" t="s">
        <v>1153</v>
      </c>
      <c r="AI9372" t="s">
        <v>56161</v>
      </c>
    </row>
    <row r="9373" spans="2:35" ht="375">
      <c r="B9373" s="1">
        <v>44959</v>
      </c>
      <c r="C9373" s="4">
        <v>44958.375694444447</v>
      </c>
      <c r="D9373" t="s">
        <v>42431</v>
      </c>
      <c r="E9373" t="s">
        <v>49558</v>
      </c>
      <c r="F9373" t="s">
        <v>148</v>
      </c>
      <c r="G9373" t="s">
        <v>447</v>
      </c>
      <c r="H9373" t="s">
        <v>39</v>
      </c>
      <c r="I9373" t="s">
        <v>40</v>
      </c>
      <c r="J9373" t="s">
        <v>109</v>
      </c>
      <c r="K9373" t="s">
        <v>42</v>
      </c>
      <c r="L9373" t="s">
        <v>448</v>
      </c>
      <c r="Q9373">
        <v>23223</v>
      </c>
      <c r="R9373" t="s">
        <v>45</v>
      </c>
      <c r="S9373" t="s">
        <v>1147</v>
      </c>
      <c r="T9373">
        <v>23</v>
      </c>
      <c r="U9373" s="2" t="s">
        <v>56159</v>
      </c>
      <c r="W9373" t="s">
        <v>502</v>
      </c>
      <c r="X9373">
        <v>804205</v>
      </c>
      <c r="Y9373" t="s">
        <v>121</v>
      </c>
      <c r="Z9373" t="s">
        <v>55308</v>
      </c>
      <c r="AA9373" t="s">
        <v>6997</v>
      </c>
      <c r="AB9373" t="s">
        <v>486</v>
      </c>
      <c r="AG9373" t="s">
        <v>56162</v>
      </c>
      <c r="AH9373" t="s">
        <v>1153</v>
      </c>
      <c r="AI9373" t="s">
        <v>56163</v>
      </c>
    </row>
    <row r="9374" spans="2:35" ht="409.5">
      <c r="B9374" s="1">
        <v>44959</v>
      </c>
      <c r="C9374" s="4">
        <v>44958.383333333331</v>
      </c>
      <c r="D9374" t="s">
        <v>42431</v>
      </c>
      <c r="E9374" t="s">
        <v>49558</v>
      </c>
      <c r="F9374" t="s">
        <v>148</v>
      </c>
      <c r="G9374" t="s">
        <v>447</v>
      </c>
      <c r="H9374" t="s">
        <v>39</v>
      </c>
      <c r="I9374" t="s">
        <v>40</v>
      </c>
      <c r="J9374" t="s">
        <v>109</v>
      </c>
      <c r="K9374" t="s">
        <v>42</v>
      </c>
      <c r="L9374" t="s">
        <v>448</v>
      </c>
      <c r="Q9374">
        <v>23222</v>
      </c>
      <c r="R9374" t="s">
        <v>322</v>
      </c>
      <c r="S9374" t="s">
        <v>1147</v>
      </c>
      <c r="T9374">
        <v>26</v>
      </c>
      <c r="U9374" s="2" t="s">
        <v>56164</v>
      </c>
      <c r="W9374" t="s">
        <v>1008</v>
      </c>
      <c r="X9374">
        <v>838837</v>
      </c>
      <c r="Y9374" t="s">
        <v>56165</v>
      </c>
      <c r="Z9374" t="s">
        <v>55308</v>
      </c>
      <c r="AA9374" t="s">
        <v>6997</v>
      </c>
      <c r="AB9374" t="s">
        <v>56166</v>
      </c>
      <c r="AG9374" t="s">
        <v>56167</v>
      </c>
      <c r="AH9374" t="s">
        <v>1153</v>
      </c>
      <c r="AI9374" t="s">
        <v>56168</v>
      </c>
    </row>
    <row r="9375" spans="2:35" ht="409.5">
      <c r="B9375" s="1">
        <v>44959</v>
      </c>
      <c r="C9375" s="4">
        <v>44958.383333333331</v>
      </c>
      <c r="D9375" t="s">
        <v>42431</v>
      </c>
      <c r="E9375" t="s">
        <v>49558</v>
      </c>
      <c r="F9375" t="s">
        <v>148</v>
      </c>
      <c r="G9375" t="s">
        <v>447</v>
      </c>
      <c r="H9375" t="s">
        <v>39</v>
      </c>
      <c r="I9375" t="s">
        <v>40</v>
      </c>
      <c r="J9375" t="s">
        <v>109</v>
      </c>
      <c r="K9375" t="s">
        <v>42</v>
      </c>
      <c r="L9375" t="s">
        <v>448</v>
      </c>
      <c r="Q9375">
        <v>23221</v>
      </c>
      <c r="R9375" t="s">
        <v>322</v>
      </c>
      <c r="S9375" t="s">
        <v>1147</v>
      </c>
      <c r="T9375">
        <v>26</v>
      </c>
      <c r="U9375" s="2" t="s">
        <v>56164</v>
      </c>
      <c r="W9375" t="s">
        <v>1008</v>
      </c>
      <c r="X9375">
        <v>838837</v>
      </c>
      <c r="Y9375" t="s">
        <v>56165</v>
      </c>
      <c r="Z9375" t="s">
        <v>55308</v>
      </c>
      <c r="AA9375" t="s">
        <v>6997</v>
      </c>
      <c r="AB9375" t="s">
        <v>56166</v>
      </c>
      <c r="AG9375" t="s">
        <v>56169</v>
      </c>
      <c r="AH9375" t="s">
        <v>1153</v>
      </c>
      <c r="AI9375" t="s">
        <v>56170</v>
      </c>
    </row>
    <row r="9376" spans="2:35" ht="90">
      <c r="B9376" s="1">
        <v>44959</v>
      </c>
      <c r="C9376" s="4">
        <v>44958.470833333333</v>
      </c>
      <c r="D9376" t="s">
        <v>56171</v>
      </c>
      <c r="E9376" t="s">
        <v>49558</v>
      </c>
      <c r="F9376" t="s">
        <v>148</v>
      </c>
      <c r="G9376" t="s">
        <v>447</v>
      </c>
      <c r="H9376" t="s">
        <v>46812</v>
      </c>
      <c r="I9376" t="s">
        <v>40</v>
      </c>
      <c r="J9376" s="2" t="s">
        <v>62</v>
      </c>
      <c r="K9376" t="s">
        <v>42</v>
      </c>
      <c r="L9376" t="s">
        <v>448</v>
      </c>
      <c r="Q9376">
        <v>23220</v>
      </c>
      <c r="R9376" t="s">
        <v>45</v>
      </c>
      <c r="S9376" t="s">
        <v>23333</v>
      </c>
      <c r="T9376">
        <v>28</v>
      </c>
      <c r="U9376" s="2" t="s">
        <v>13799</v>
      </c>
      <c r="V9376" s="1">
        <v>44958</v>
      </c>
      <c r="W9376" t="s">
        <v>56172</v>
      </c>
      <c r="X9376">
        <v>704584</v>
      </c>
      <c r="Y9376" t="s">
        <v>56173</v>
      </c>
      <c r="Z9376" t="s">
        <v>56174</v>
      </c>
      <c r="AA9376" t="s">
        <v>56175</v>
      </c>
      <c r="AB9376" t="s">
        <v>56176</v>
      </c>
      <c r="AC9376" t="s">
        <v>56177</v>
      </c>
      <c r="AD9376" t="s">
        <v>11518</v>
      </c>
      <c r="AE9376">
        <v>0</v>
      </c>
      <c r="AG9376" t="s">
        <v>56178</v>
      </c>
      <c r="AH9376" t="s">
        <v>56179</v>
      </c>
      <c r="AI9376" t="s">
        <v>56180</v>
      </c>
    </row>
    <row r="9377" spans="2:35" ht="90">
      <c r="B9377" s="1">
        <v>44959</v>
      </c>
      <c r="C9377" s="4">
        <v>44958.470833333333</v>
      </c>
      <c r="D9377" t="s">
        <v>56171</v>
      </c>
      <c r="E9377" t="s">
        <v>49558</v>
      </c>
      <c r="F9377" t="s">
        <v>148</v>
      </c>
      <c r="G9377" t="s">
        <v>447</v>
      </c>
      <c r="H9377" t="s">
        <v>46812</v>
      </c>
      <c r="I9377" t="s">
        <v>40</v>
      </c>
      <c r="J9377" s="2" t="s">
        <v>62</v>
      </c>
      <c r="K9377" t="s">
        <v>42</v>
      </c>
      <c r="L9377" t="s">
        <v>448</v>
      </c>
      <c r="Q9377">
        <v>23219</v>
      </c>
      <c r="R9377" t="s">
        <v>45</v>
      </c>
      <c r="S9377" t="s">
        <v>23333</v>
      </c>
      <c r="T9377">
        <v>28</v>
      </c>
      <c r="U9377" s="2" t="s">
        <v>13799</v>
      </c>
      <c r="V9377" s="1">
        <v>44958</v>
      </c>
      <c r="W9377" t="s">
        <v>56172</v>
      </c>
      <c r="X9377">
        <v>704584</v>
      </c>
      <c r="Y9377" t="s">
        <v>56173</v>
      </c>
      <c r="Z9377" t="s">
        <v>56174</v>
      </c>
      <c r="AA9377" t="s">
        <v>56175</v>
      </c>
      <c r="AB9377" t="s">
        <v>56176</v>
      </c>
      <c r="AC9377" t="s">
        <v>56177</v>
      </c>
      <c r="AD9377" t="s">
        <v>11518</v>
      </c>
      <c r="AE9377">
        <v>0</v>
      </c>
      <c r="AG9377" t="s">
        <v>56181</v>
      </c>
      <c r="AH9377" t="s">
        <v>56179</v>
      </c>
      <c r="AI9377" t="s">
        <v>56182</v>
      </c>
    </row>
    <row r="9378" spans="2:35" ht="180">
      <c r="B9378" s="1">
        <v>44959</v>
      </c>
      <c r="C9378" s="4">
        <v>44958.491666666669</v>
      </c>
      <c r="D9378" t="s">
        <v>42431</v>
      </c>
      <c r="E9378" t="s">
        <v>49558</v>
      </c>
      <c r="F9378" t="s">
        <v>148</v>
      </c>
      <c r="G9378" t="s">
        <v>447</v>
      </c>
      <c r="H9378" t="s">
        <v>46812</v>
      </c>
      <c r="I9378" t="s">
        <v>40</v>
      </c>
      <c r="J9378" s="2" t="s">
        <v>1444</v>
      </c>
      <c r="K9378" t="s">
        <v>42</v>
      </c>
      <c r="L9378" t="s">
        <v>448</v>
      </c>
      <c r="Q9378">
        <v>23218</v>
      </c>
      <c r="R9378" t="s">
        <v>45</v>
      </c>
      <c r="S9378" t="s">
        <v>23333</v>
      </c>
      <c r="T9378">
        <v>28</v>
      </c>
      <c r="U9378" s="2" t="s">
        <v>56183</v>
      </c>
      <c r="V9378" s="1">
        <v>44958</v>
      </c>
      <c r="W9378" t="s">
        <v>56172</v>
      </c>
      <c r="X9378">
        <v>707450</v>
      </c>
      <c r="Y9378" t="s">
        <v>50865</v>
      </c>
      <c r="Z9378" t="s">
        <v>56184</v>
      </c>
      <c r="AA9378" t="s">
        <v>28936</v>
      </c>
      <c r="AB9378" t="s">
        <v>56185</v>
      </c>
      <c r="AD9378" t="s">
        <v>11518</v>
      </c>
      <c r="AE9378">
        <v>0</v>
      </c>
      <c r="AG9378" t="s">
        <v>56186</v>
      </c>
      <c r="AH9378" t="s">
        <v>56179</v>
      </c>
      <c r="AI9378" t="s">
        <v>56187</v>
      </c>
    </row>
    <row r="9379" spans="2:35" ht="180">
      <c r="B9379" s="1">
        <v>44959</v>
      </c>
      <c r="C9379" s="4">
        <v>44958.491666666669</v>
      </c>
      <c r="D9379" t="s">
        <v>42431</v>
      </c>
      <c r="E9379" t="s">
        <v>49558</v>
      </c>
      <c r="F9379" t="s">
        <v>148</v>
      </c>
      <c r="G9379" t="s">
        <v>447</v>
      </c>
      <c r="H9379" t="s">
        <v>46812</v>
      </c>
      <c r="I9379" t="s">
        <v>40</v>
      </c>
      <c r="J9379" s="2" t="s">
        <v>1444</v>
      </c>
      <c r="K9379" t="s">
        <v>42</v>
      </c>
      <c r="L9379" t="s">
        <v>448</v>
      </c>
      <c r="Q9379">
        <v>23217</v>
      </c>
      <c r="R9379" t="s">
        <v>45</v>
      </c>
      <c r="S9379" t="s">
        <v>23333</v>
      </c>
      <c r="T9379">
        <v>28</v>
      </c>
      <c r="U9379" s="2" t="s">
        <v>56183</v>
      </c>
      <c r="V9379" s="1">
        <v>44958</v>
      </c>
      <c r="W9379" t="s">
        <v>56172</v>
      </c>
      <c r="X9379">
        <v>707450</v>
      </c>
      <c r="Y9379" t="s">
        <v>50865</v>
      </c>
      <c r="Z9379" t="s">
        <v>56184</v>
      </c>
      <c r="AA9379" t="s">
        <v>28936</v>
      </c>
      <c r="AB9379" t="s">
        <v>56185</v>
      </c>
      <c r="AD9379" t="s">
        <v>11518</v>
      </c>
      <c r="AE9379">
        <v>0</v>
      </c>
      <c r="AG9379" t="s">
        <v>56188</v>
      </c>
      <c r="AH9379" t="s">
        <v>56179</v>
      </c>
      <c r="AI9379" t="s">
        <v>56189</v>
      </c>
    </row>
    <row r="9380" spans="2:35" ht="90">
      <c r="B9380" s="1">
        <v>44959</v>
      </c>
      <c r="C9380" s="4">
        <v>44958.601388888892</v>
      </c>
      <c r="D9380" t="s">
        <v>52568</v>
      </c>
      <c r="E9380" t="s">
        <v>10433</v>
      </c>
      <c r="F9380" t="s">
        <v>148</v>
      </c>
      <c r="G9380" t="s">
        <v>447</v>
      </c>
      <c r="H9380" t="s">
        <v>39</v>
      </c>
      <c r="I9380" t="s">
        <v>40</v>
      </c>
      <c r="J9380" t="s">
        <v>109</v>
      </c>
      <c r="K9380" t="s">
        <v>42</v>
      </c>
      <c r="L9380" t="s">
        <v>448</v>
      </c>
      <c r="Q9380">
        <v>23216</v>
      </c>
      <c r="R9380" t="s">
        <v>95</v>
      </c>
      <c r="S9380" t="s">
        <v>2808</v>
      </c>
      <c r="T9380">
        <v>28</v>
      </c>
      <c r="U9380" s="2" t="s">
        <v>56190</v>
      </c>
      <c r="W9380" t="s">
        <v>502</v>
      </c>
      <c r="X9380">
        <v>807155</v>
      </c>
      <c r="Y9380" t="s">
        <v>121</v>
      </c>
      <c r="Z9380" t="s">
        <v>55308</v>
      </c>
      <c r="AA9380" t="s">
        <v>6997</v>
      </c>
      <c r="AB9380" t="s">
        <v>56191</v>
      </c>
      <c r="AG9380" t="s">
        <v>56192</v>
      </c>
      <c r="AH9380" t="s">
        <v>11567</v>
      </c>
      <c r="AI9380" t="s">
        <v>56193</v>
      </c>
    </row>
    <row r="9381" spans="2:35" ht="90">
      <c r="B9381" s="1">
        <v>44959</v>
      </c>
      <c r="C9381" s="4">
        <v>44958.601388888892</v>
      </c>
      <c r="D9381" t="s">
        <v>52568</v>
      </c>
      <c r="E9381" t="s">
        <v>10433</v>
      </c>
      <c r="F9381" t="s">
        <v>148</v>
      </c>
      <c r="G9381" t="s">
        <v>447</v>
      </c>
      <c r="H9381" t="s">
        <v>39</v>
      </c>
      <c r="I9381" t="s">
        <v>40</v>
      </c>
      <c r="J9381" t="s">
        <v>109</v>
      </c>
      <c r="K9381" t="s">
        <v>42</v>
      </c>
      <c r="L9381" t="s">
        <v>448</v>
      </c>
      <c r="Q9381">
        <v>23215</v>
      </c>
      <c r="R9381" t="s">
        <v>95</v>
      </c>
      <c r="S9381" t="s">
        <v>2808</v>
      </c>
      <c r="T9381">
        <v>28</v>
      </c>
      <c r="U9381" s="2" t="s">
        <v>56190</v>
      </c>
      <c r="W9381" t="s">
        <v>502</v>
      </c>
      <c r="X9381">
        <v>807155</v>
      </c>
      <c r="Y9381" t="s">
        <v>121</v>
      </c>
      <c r="Z9381" t="s">
        <v>55308</v>
      </c>
      <c r="AA9381" t="s">
        <v>6997</v>
      </c>
      <c r="AB9381" t="s">
        <v>56191</v>
      </c>
      <c r="AG9381" t="s">
        <v>56194</v>
      </c>
      <c r="AH9381" t="s">
        <v>11567</v>
      </c>
      <c r="AI9381" t="s">
        <v>56195</v>
      </c>
    </row>
    <row r="9382" spans="2:35" ht="330">
      <c r="B9382" s="1">
        <v>44959</v>
      </c>
      <c r="C9382" s="4">
        <v>44958.586805555555</v>
      </c>
      <c r="D9382" t="s">
        <v>52939</v>
      </c>
      <c r="E9382" t="s">
        <v>10433</v>
      </c>
      <c r="F9382" t="s">
        <v>148</v>
      </c>
      <c r="G9382" t="s">
        <v>447</v>
      </c>
      <c r="H9382" t="s">
        <v>150</v>
      </c>
      <c r="I9382" t="s">
        <v>40</v>
      </c>
      <c r="J9382" t="s">
        <v>109</v>
      </c>
      <c r="K9382" t="s">
        <v>42</v>
      </c>
      <c r="L9382" t="s">
        <v>448</v>
      </c>
      <c r="Q9382">
        <v>23214</v>
      </c>
      <c r="R9382" t="s">
        <v>95</v>
      </c>
      <c r="S9382" t="s">
        <v>2808</v>
      </c>
      <c r="T9382">
        <v>26</v>
      </c>
      <c r="U9382" s="2" t="s">
        <v>56196</v>
      </c>
      <c r="W9382" t="s">
        <v>502</v>
      </c>
      <c r="X9382">
        <v>839234</v>
      </c>
      <c r="Y9382" t="s">
        <v>56197</v>
      </c>
      <c r="Z9382" t="s">
        <v>55308</v>
      </c>
      <c r="AA9382" t="s">
        <v>6997</v>
      </c>
      <c r="AB9382" t="s">
        <v>56198</v>
      </c>
      <c r="AG9382" t="s">
        <v>56199</v>
      </c>
      <c r="AH9382" t="s">
        <v>11567</v>
      </c>
      <c r="AI9382" t="s">
        <v>56200</v>
      </c>
    </row>
    <row r="9383" spans="2:35" ht="330">
      <c r="B9383" s="1">
        <v>44959</v>
      </c>
      <c r="C9383" s="4">
        <v>44958.586805555555</v>
      </c>
      <c r="D9383" t="s">
        <v>52939</v>
      </c>
      <c r="E9383" t="s">
        <v>10433</v>
      </c>
      <c r="F9383" t="s">
        <v>148</v>
      </c>
      <c r="G9383" t="s">
        <v>447</v>
      </c>
      <c r="H9383" t="s">
        <v>150</v>
      </c>
      <c r="I9383" t="s">
        <v>40</v>
      </c>
      <c r="J9383" t="s">
        <v>109</v>
      </c>
      <c r="K9383" t="s">
        <v>42</v>
      </c>
      <c r="L9383" t="s">
        <v>448</v>
      </c>
      <c r="Q9383">
        <v>23213</v>
      </c>
      <c r="R9383" t="s">
        <v>95</v>
      </c>
      <c r="S9383" t="s">
        <v>2808</v>
      </c>
      <c r="T9383">
        <v>26</v>
      </c>
      <c r="U9383" s="2" t="s">
        <v>56196</v>
      </c>
      <c r="W9383" t="s">
        <v>502</v>
      </c>
      <c r="X9383">
        <v>839234</v>
      </c>
      <c r="Y9383" t="s">
        <v>56197</v>
      </c>
      <c r="Z9383" t="s">
        <v>55308</v>
      </c>
      <c r="AA9383" t="s">
        <v>6997</v>
      </c>
      <c r="AB9383" t="s">
        <v>56198</v>
      </c>
      <c r="AG9383" t="s">
        <v>56201</v>
      </c>
      <c r="AH9383" t="s">
        <v>11567</v>
      </c>
      <c r="AI9383" t="s">
        <v>56202</v>
      </c>
    </row>
    <row r="9384" spans="2:35" ht="270">
      <c r="B9384" s="1">
        <v>44959</v>
      </c>
      <c r="C9384" s="4">
        <v>44958.643055555556</v>
      </c>
      <c r="D9384" t="s">
        <v>42092</v>
      </c>
      <c r="E9384" t="s">
        <v>10433</v>
      </c>
      <c r="F9384" t="s">
        <v>148</v>
      </c>
      <c r="G9384" t="s">
        <v>447</v>
      </c>
      <c r="H9384" t="s">
        <v>56203</v>
      </c>
      <c r="I9384" t="s">
        <v>40</v>
      </c>
      <c r="J9384" s="2" t="s">
        <v>62</v>
      </c>
      <c r="K9384" t="s">
        <v>42</v>
      </c>
      <c r="L9384" t="s">
        <v>448</v>
      </c>
      <c r="Q9384">
        <v>23212</v>
      </c>
      <c r="R9384" t="s">
        <v>45</v>
      </c>
      <c r="S9384" t="s">
        <v>3987</v>
      </c>
      <c r="T9384">
        <v>26</v>
      </c>
      <c r="U9384" s="2" t="s">
        <v>56204</v>
      </c>
      <c r="V9384" s="1">
        <v>44958</v>
      </c>
      <c r="W9384" t="s">
        <v>502</v>
      </c>
      <c r="X9384">
        <v>803109</v>
      </c>
      <c r="Y9384" t="s">
        <v>56205</v>
      </c>
      <c r="Z9384" t="s">
        <v>56184</v>
      </c>
      <c r="AA9384" t="s">
        <v>56175</v>
      </c>
      <c r="AB9384" t="s">
        <v>56206</v>
      </c>
      <c r="AD9384" t="s">
        <v>3628</v>
      </c>
      <c r="AE9384">
        <v>0</v>
      </c>
      <c r="AG9384" t="s">
        <v>56207</v>
      </c>
      <c r="AH9384" t="s">
        <v>12852</v>
      </c>
      <c r="AI9384" t="s">
        <v>56208</v>
      </c>
    </row>
    <row r="9385" spans="2:35" ht="330">
      <c r="B9385" s="1">
        <v>44959</v>
      </c>
      <c r="C9385" s="4">
        <v>44958.63958333333</v>
      </c>
      <c r="D9385" t="s">
        <v>49293</v>
      </c>
      <c r="E9385" t="s">
        <v>10433</v>
      </c>
      <c r="F9385" t="s">
        <v>148</v>
      </c>
      <c r="G9385" t="s">
        <v>447</v>
      </c>
      <c r="H9385" t="s">
        <v>56203</v>
      </c>
      <c r="I9385" t="s">
        <v>40</v>
      </c>
      <c r="J9385" t="s">
        <v>109</v>
      </c>
      <c r="K9385" t="s">
        <v>42</v>
      </c>
      <c r="L9385" t="s">
        <v>448</v>
      </c>
      <c r="Q9385">
        <v>23212</v>
      </c>
      <c r="R9385" t="s">
        <v>322</v>
      </c>
      <c r="S9385" t="s">
        <v>3987</v>
      </c>
      <c r="T9385">
        <v>25</v>
      </c>
      <c r="U9385" s="2" t="s">
        <v>56209</v>
      </c>
      <c r="W9385" t="s">
        <v>56210</v>
      </c>
      <c r="X9385">
        <v>110014171</v>
      </c>
      <c r="Y9385" t="s">
        <v>121</v>
      </c>
      <c r="Z9385" t="s">
        <v>55308</v>
      </c>
      <c r="AA9385" t="s">
        <v>6997</v>
      </c>
      <c r="AB9385" t="s">
        <v>56211</v>
      </c>
      <c r="AG9385" t="s">
        <v>56212</v>
      </c>
      <c r="AH9385" t="s">
        <v>12852</v>
      </c>
      <c r="AI9385" t="s">
        <v>56213</v>
      </c>
    </row>
    <row r="9386" spans="2:35" ht="409.5">
      <c r="B9386" s="1">
        <v>44958</v>
      </c>
      <c r="C9386" s="4">
        <v>44958.686111111114</v>
      </c>
      <c r="D9386" t="s">
        <v>6305</v>
      </c>
      <c r="E9386" t="s">
        <v>56214</v>
      </c>
      <c r="F9386" t="s">
        <v>148</v>
      </c>
      <c r="G9386" t="s">
        <v>406</v>
      </c>
      <c r="H9386" t="s">
        <v>39</v>
      </c>
      <c r="I9386" t="s">
        <v>40</v>
      </c>
      <c r="J9386" s="2" t="s">
        <v>41</v>
      </c>
      <c r="K9386" t="s">
        <v>42</v>
      </c>
      <c r="L9386" t="s">
        <v>55932</v>
      </c>
      <c r="Q9386">
        <v>23211</v>
      </c>
      <c r="R9386" t="s">
        <v>322</v>
      </c>
      <c r="S9386" t="s">
        <v>56215</v>
      </c>
      <c r="T9386">
        <v>24.3</v>
      </c>
      <c r="U9386" s="2" t="s">
        <v>56216</v>
      </c>
      <c r="W9386" t="s">
        <v>1139</v>
      </c>
      <c r="X9386">
        <v>808411</v>
      </c>
      <c r="Y9386" t="s">
        <v>56217</v>
      </c>
      <c r="Z9386" s="2" t="s">
        <v>25003</v>
      </c>
      <c r="AA9386" s="2" t="s">
        <v>56218</v>
      </c>
      <c r="AB9386" t="s">
        <v>181</v>
      </c>
      <c r="AG9386" t="s">
        <v>56219</v>
      </c>
      <c r="AH9386" t="s">
        <v>56220</v>
      </c>
      <c r="AI9386" t="s">
        <v>56221</v>
      </c>
    </row>
    <row r="9387" spans="2:35" ht="409.5">
      <c r="B9387" s="1">
        <v>44958</v>
      </c>
      <c r="C9387" s="4">
        <v>44958.686111111114</v>
      </c>
      <c r="D9387" t="s">
        <v>6305</v>
      </c>
      <c r="E9387" t="s">
        <v>56214</v>
      </c>
      <c r="F9387" t="s">
        <v>148</v>
      </c>
      <c r="G9387" t="s">
        <v>406</v>
      </c>
      <c r="H9387" t="s">
        <v>39</v>
      </c>
      <c r="I9387" t="s">
        <v>40</v>
      </c>
      <c r="J9387" s="2" t="s">
        <v>41</v>
      </c>
      <c r="K9387" t="s">
        <v>42</v>
      </c>
      <c r="L9387" t="s">
        <v>55932</v>
      </c>
      <c r="Q9387">
        <v>23210</v>
      </c>
      <c r="R9387" t="s">
        <v>322</v>
      </c>
      <c r="S9387" t="s">
        <v>56215</v>
      </c>
      <c r="T9387">
        <v>24.3</v>
      </c>
      <c r="U9387" s="2" t="s">
        <v>56216</v>
      </c>
      <c r="W9387" t="s">
        <v>1139</v>
      </c>
      <c r="X9387">
        <v>808411</v>
      </c>
      <c r="Y9387" t="s">
        <v>56217</v>
      </c>
      <c r="Z9387" s="2" t="s">
        <v>25003</v>
      </c>
      <c r="AA9387" s="2" t="s">
        <v>56218</v>
      </c>
      <c r="AB9387" t="s">
        <v>181</v>
      </c>
      <c r="AG9387" t="s">
        <v>56222</v>
      </c>
      <c r="AH9387" t="s">
        <v>56220</v>
      </c>
      <c r="AI9387" t="s">
        <v>56223</v>
      </c>
    </row>
    <row r="9388" spans="2:35" ht="409.5">
      <c r="B9388" s="1">
        <v>44958</v>
      </c>
      <c r="C9388" s="4">
        <v>44958.693749999999</v>
      </c>
      <c r="D9388" t="s">
        <v>56224</v>
      </c>
      <c r="E9388" t="s">
        <v>56225</v>
      </c>
      <c r="F9388" t="s">
        <v>148</v>
      </c>
      <c r="G9388" t="s">
        <v>406</v>
      </c>
      <c r="H9388" t="s">
        <v>39</v>
      </c>
      <c r="I9388" t="s">
        <v>40</v>
      </c>
      <c r="J9388" s="2" t="s">
        <v>62</v>
      </c>
      <c r="K9388" t="s">
        <v>42</v>
      </c>
      <c r="L9388" t="s">
        <v>55932</v>
      </c>
      <c r="Q9388">
        <v>23209</v>
      </c>
      <c r="R9388" t="s">
        <v>95</v>
      </c>
      <c r="S9388" t="s">
        <v>56215</v>
      </c>
      <c r="T9388">
        <v>25</v>
      </c>
      <c r="U9388" s="2" t="s">
        <v>56226</v>
      </c>
      <c r="W9388" t="s">
        <v>1139</v>
      </c>
      <c r="X9388">
        <v>839231</v>
      </c>
      <c r="Y9388" t="s">
        <v>56064</v>
      </c>
      <c r="Z9388" s="2" t="s">
        <v>21826</v>
      </c>
      <c r="AA9388" s="2" t="s">
        <v>56227</v>
      </c>
      <c r="AB9388" t="s">
        <v>181</v>
      </c>
      <c r="AG9388" t="s">
        <v>56228</v>
      </c>
      <c r="AH9388" t="s">
        <v>56220</v>
      </c>
      <c r="AI9388" t="s">
        <v>56229</v>
      </c>
    </row>
    <row r="9389" spans="2:35" ht="285">
      <c r="B9389" s="1">
        <v>44958</v>
      </c>
      <c r="C9389" s="4">
        <v>44958.587500000001</v>
      </c>
      <c r="D9389" t="s">
        <v>5028</v>
      </c>
      <c r="E9389" t="s">
        <v>1472</v>
      </c>
      <c r="F9389">
        <v>12</v>
      </c>
      <c r="G9389" t="s">
        <v>978</v>
      </c>
      <c r="H9389" t="s">
        <v>39</v>
      </c>
      <c r="I9389" t="s">
        <v>94</v>
      </c>
      <c r="J9389" s="2" t="s">
        <v>41</v>
      </c>
      <c r="K9389" t="s">
        <v>42</v>
      </c>
      <c r="L9389" t="s">
        <v>296</v>
      </c>
      <c r="Q9389">
        <v>23208</v>
      </c>
      <c r="R9389" t="s">
        <v>45</v>
      </c>
      <c r="S9389" t="s">
        <v>5030</v>
      </c>
      <c r="T9389">
        <v>26.6</v>
      </c>
      <c r="U9389" s="2" t="s">
        <v>56230</v>
      </c>
      <c r="V9389" s="1">
        <v>44958</v>
      </c>
      <c r="W9389" t="s">
        <v>55165</v>
      </c>
      <c r="X9389">
        <v>815380</v>
      </c>
      <c r="Y9389" t="s">
        <v>56231</v>
      </c>
      <c r="Z9389" t="s">
        <v>56232</v>
      </c>
      <c r="AA9389" t="s">
        <v>56232</v>
      </c>
      <c r="AB9389" t="s">
        <v>55996</v>
      </c>
      <c r="AD9389" t="s">
        <v>56233</v>
      </c>
      <c r="AE9389" t="s">
        <v>19700</v>
      </c>
      <c r="AG9389" t="s">
        <v>56234</v>
      </c>
      <c r="AH9389" t="s">
        <v>38691</v>
      </c>
      <c r="AI9389" t="s">
        <v>56235</v>
      </c>
    </row>
    <row r="9390" spans="2:35" ht="409.5">
      <c r="B9390" s="1">
        <v>44958</v>
      </c>
      <c r="C9390" s="4">
        <v>44958.578472222223</v>
      </c>
      <c r="D9390" t="s">
        <v>4953</v>
      </c>
      <c r="E9390" t="s">
        <v>56236</v>
      </c>
      <c r="F9390">
        <v>1</v>
      </c>
      <c r="G9390" t="s">
        <v>1046</v>
      </c>
      <c r="H9390" t="s">
        <v>39</v>
      </c>
      <c r="I9390" t="s">
        <v>40</v>
      </c>
      <c r="J9390" s="2" t="s">
        <v>62</v>
      </c>
      <c r="K9390" t="s">
        <v>42</v>
      </c>
      <c r="L9390" t="s">
        <v>135</v>
      </c>
      <c r="Q9390">
        <v>23207</v>
      </c>
      <c r="R9390" t="s">
        <v>119</v>
      </c>
      <c r="S9390" t="s">
        <v>4955</v>
      </c>
      <c r="T9390">
        <v>28.3</v>
      </c>
      <c r="U9390" s="2" t="s">
        <v>56237</v>
      </c>
      <c r="V9390" s="1">
        <v>44958</v>
      </c>
      <c r="W9390" t="s">
        <v>2680</v>
      </c>
      <c r="X9390">
        <v>838437</v>
      </c>
      <c r="Y9390" t="s">
        <v>56238</v>
      </c>
      <c r="Z9390" s="2" t="s">
        <v>56239</v>
      </c>
      <c r="AA9390" t="s">
        <v>54639</v>
      </c>
      <c r="AB9390" t="s">
        <v>56240</v>
      </c>
      <c r="AC9390" t="s">
        <v>56241</v>
      </c>
      <c r="AD9390" t="s">
        <v>54444</v>
      </c>
      <c r="AE9390" t="s">
        <v>1716</v>
      </c>
      <c r="AG9390" t="s">
        <v>56242</v>
      </c>
      <c r="AH9390" t="s">
        <v>4958</v>
      </c>
      <c r="AI9390" t="s">
        <v>56243</v>
      </c>
    </row>
    <row r="9391" spans="2:35" ht="270">
      <c r="B9391" s="1">
        <v>44958</v>
      </c>
      <c r="C9391" s="4">
        <v>44958.572916666664</v>
      </c>
      <c r="D9391" t="s">
        <v>5546</v>
      </c>
      <c r="E9391" t="s">
        <v>1555</v>
      </c>
      <c r="F9391">
        <v>7</v>
      </c>
      <c r="G9391" t="s">
        <v>432</v>
      </c>
      <c r="H9391" t="s">
        <v>39</v>
      </c>
      <c r="I9391" t="s">
        <v>40</v>
      </c>
      <c r="J9391" s="2" t="s">
        <v>355</v>
      </c>
      <c r="K9391" t="s">
        <v>42</v>
      </c>
      <c r="L9391" t="s">
        <v>433</v>
      </c>
      <c r="Q9391">
        <v>23206</v>
      </c>
      <c r="R9391" t="s">
        <v>45</v>
      </c>
      <c r="S9391" t="s">
        <v>5548</v>
      </c>
      <c r="T9391">
        <v>28</v>
      </c>
      <c r="U9391" s="2" t="s">
        <v>56244</v>
      </c>
      <c r="W9391" t="s">
        <v>6776</v>
      </c>
      <c r="X9391">
        <v>804840</v>
      </c>
      <c r="Y9391" t="s">
        <v>56245</v>
      </c>
      <c r="Z9391" t="s">
        <v>56246</v>
      </c>
      <c r="AA9391" t="s">
        <v>56246</v>
      </c>
      <c r="AB9391" t="s">
        <v>1011</v>
      </c>
      <c r="AG9391" t="s">
        <v>56247</v>
      </c>
      <c r="AH9391" t="s">
        <v>23102</v>
      </c>
      <c r="AI9391" t="s">
        <v>56248</v>
      </c>
    </row>
    <row r="9392" spans="2:35" ht="210">
      <c r="B9392" s="1">
        <v>44958</v>
      </c>
      <c r="C9392" s="4">
        <v>44958.527777777781</v>
      </c>
      <c r="D9392" t="s">
        <v>42136</v>
      </c>
      <c r="E9392" t="s">
        <v>56249</v>
      </c>
      <c r="F9392">
        <v>11</v>
      </c>
      <c r="G9392" t="s">
        <v>1205</v>
      </c>
      <c r="H9392" t="s">
        <v>14623</v>
      </c>
      <c r="I9392" t="s">
        <v>40</v>
      </c>
      <c r="J9392" t="s">
        <v>996</v>
      </c>
      <c r="K9392" t="s">
        <v>42</v>
      </c>
      <c r="L9392" t="s">
        <v>204</v>
      </c>
      <c r="Q9392">
        <v>23205</v>
      </c>
      <c r="R9392" t="s">
        <v>322</v>
      </c>
      <c r="S9392" t="s">
        <v>1318</v>
      </c>
      <c r="T9392">
        <v>25.7</v>
      </c>
      <c r="U9392" s="2" t="s">
        <v>56250</v>
      </c>
      <c r="V9392" s="1">
        <v>44958</v>
      </c>
      <c r="W9392" t="s">
        <v>23237</v>
      </c>
      <c r="X9392">
        <v>839236</v>
      </c>
      <c r="Y9392" t="s">
        <v>6929</v>
      </c>
      <c r="Z9392" t="s">
        <v>56251</v>
      </c>
      <c r="AA9392" t="s">
        <v>56252</v>
      </c>
      <c r="AB9392" t="s">
        <v>15776</v>
      </c>
      <c r="AC9392" t="s">
        <v>56253</v>
      </c>
      <c r="AD9392" t="s">
        <v>5365</v>
      </c>
      <c r="AE9392" t="s">
        <v>54</v>
      </c>
      <c r="AG9392" t="s">
        <v>56254</v>
      </c>
      <c r="AH9392" t="s">
        <v>56255</v>
      </c>
      <c r="AI9392" t="s">
        <v>56256</v>
      </c>
    </row>
    <row r="9393" spans="2:35" ht="210">
      <c r="B9393" s="1">
        <v>44958</v>
      </c>
      <c r="C9393" s="4">
        <v>44958.527777777781</v>
      </c>
      <c r="D9393" t="s">
        <v>42136</v>
      </c>
      <c r="E9393" t="s">
        <v>56249</v>
      </c>
      <c r="F9393">
        <v>11</v>
      </c>
      <c r="G9393" t="s">
        <v>1205</v>
      </c>
      <c r="H9393" t="s">
        <v>14623</v>
      </c>
      <c r="I9393" t="s">
        <v>40</v>
      </c>
      <c r="J9393" t="s">
        <v>996</v>
      </c>
      <c r="K9393" t="s">
        <v>42</v>
      </c>
      <c r="L9393" t="s">
        <v>204</v>
      </c>
      <c r="Q9393">
        <v>23204</v>
      </c>
      <c r="R9393" t="s">
        <v>322</v>
      </c>
      <c r="S9393" t="s">
        <v>1318</v>
      </c>
      <c r="T9393">
        <v>25.7</v>
      </c>
      <c r="U9393" s="2" t="s">
        <v>56250</v>
      </c>
      <c r="V9393" s="1">
        <v>44958</v>
      </c>
      <c r="W9393" t="s">
        <v>23237</v>
      </c>
      <c r="X9393">
        <v>839236</v>
      </c>
      <c r="Y9393" t="s">
        <v>6929</v>
      </c>
      <c r="Z9393" t="s">
        <v>56251</v>
      </c>
      <c r="AA9393" t="s">
        <v>56252</v>
      </c>
      <c r="AB9393" t="s">
        <v>15776</v>
      </c>
      <c r="AC9393" t="s">
        <v>56253</v>
      </c>
      <c r="AD9393" t="s">
        <v>5365</v>
      </c>
      <c r="AE9393" t="s">
        <v>54</v>
      </c>
      <c r="AG9393" t="s">
        <v>56257</v>
      </c>
      <c r="AH9393" t="s">
        <v>56255</v>
      </c>
      <c r="AI9393" t="s">
        <v>56258</v>
      </c>
    </row>
    <row r="9394" spans="2:35" ht="255">
      <c r="B9394" s="1">
        <v>44958</v>
      </c>
      <c r="C9394" s="4">
        <v>44958.469444444447</v>
      </c>
      <c r="D9394" t="s">
        <v>1471</v>
      </c>
      <c r="E9394" t="s">
        <v>1472</v>
      </c>
      <c r="F9394">
        <v>12</v>
      </c>
      <c r="G9394" t="s">
        <v>978</v>
      </c>
      <c r="H9394" t="s">
        <v>39</v>
      </c>
      <c r="I9394" t="s">
        <v>94</v>
      </c>
      <c r="J9394" s="2" t="s">
        <v>41</v>
      </c>
      <c r="K9394" t="s">
        <v>42</v>
      </c>
      <c r="L9394" t="s">
        <v>296</v>
      </c>
      <c r="Q9394">
        <v>23203</v>
      </c>
      <c r="R9394" t="s">
        <v>45</v>
      </c>
      <c r="S9394" t="s">
        <v>1475</v>
      </c>
      <c r="T9394">
        <v>24.3</v>
      </c>
      <c r="U9394" s="2" t="s">
        <v>56259</v>
      </c>
      <c r="V9394" s="1">
        <v>44958</v>
      </c>
      <c r="W9394" t="s">
        <v>55165</v>
      </c>
      <c r="X9394">
        <v>707529</v>
      </c>
      <c r="Y9394" t="s">
        <v>56260</v>
      </c>
      <c r="Z9394" s="2" t="s">
        <v>56261</v>
      </c>
      <c r="AA9394" s="2" t="s">
        <v>56261</v>
      </c>
      <c r="AB9394" t="s">
        <v>55996</v>
      </c>
      <c r="AD9394" t="s">
        <v>56262</v>
      </c>
      <c r="AE9394" t="s">
        <v>10783</v>
      </c>
      <c r="AG9394" t="s">
        <v>56263</v>
      </c>
      <c r="AH9394" t="s">
        <v>56264</v>
      </c>
      <c r="AI9394" t="s">
        <v>56265</v>
      </c>
    </row>
    <row r="9395" spans="2:35" ht="270">
      <c r="B9395" s="1">
        <v>44958</v>
      </c>
      <c r="C9395" s="4">
        <v>44958.411805555559</v>
      </c>
      <c r="D9395" t="s">
        <v>12473</v>
      </c>
      <c r="E9395" t="s">
        <v>47713</v>
      </c>
      <c r="F9395">
        <v>13</v>
      </c>
      <c r="G9395" t="s">
        <v>931</v>
      </c>
      <c r="H9395" t="s">
        <v>2125</v>
      </c>
      <c r="I9395" t="s">
        <v>40</v>
      </c>
      <c r="J9395" t="s">
        <v>109</v>
      </c>
      <c r="K9395" t="s">
        <v>42</v>
      </c>
      <c r="L9395" t="s">
        <v>933</v>
      </c>
      <c r="Q9395">
        <v>23202</v>
      </c>
      <c r="R9395" t="s">
        <v>119</v>
      </c>
      <c r="S9395" t="s">
        <v>56266</v>
      </c>
      <c r="T9395">
        <v>30.14</v>
      </c>
      <c r="U9395" s="2" t="s">
        <v>56267</v>
      </c>
      <c r="W9395" t="s">
        <v>3662</v>
      </c>
      <c r="X9395">
        <v>838444</v>
      </c>
      <c r="Y9395" t="s">
        <v>56268</v>
      </c>
      <c r="Z9395" t="s">
        <v>301</v>
      </c>
      <c r="AA9395" s="2" t="s">
        <v>27971</v>
      </c>
      <c r="AB9395" t="s">
        <v>26084</v>
      </c>
      <c r="AC9395" t="s">
        <v>56269</v>
      </c>
      <c r="AG9395" t="s">
        <v>56270</v>
      </c>
      <c r="AH9395" t="s">
        <v>56271</v>
      </c>
      <c r="AI9395" t="s">
        <v>56272</v>
      </c>
    </row>
    <row r="9396" spans="2:35" ht="285">
      <c r="B9396" s="1">
        <v>44958</v>
      </c>
      <c r="C9396" s="4">
        <v>44958.361111111109</v>
      </c>
      <c r="D9396" t="s">
        <v>10967</v>
      </c>
      <c r="E9396">
        <v>838508</v>
      </c>
      <c r="F9396">
        <v>7</v>
      </c>
      <c r="G9396" t="s">
        <v>432</v>
      </c>
      <c r="H9396" t="s">
        <v>10969</v>
      </c>
      <c r="I9396" t="s">
        <v>40</v>
      </c>
      <c r="J9396" t="s">
        <v>56273</v>
      </c>
      <c r="K9396" t="s">
        <v>42</v>
      </c>
      <c r="L9396" t="s">
        <v>1288</v>
      </c>
      <c r="Q9396">
        <v>23201</v>
      </c>
      <c r="R9396" t="s">
        <v>119</v>
      </c>
      <c r="S9396" t="s">
        <v>33292</v>
      </c>
      <c r="T9396">
        <v>25</v>
      </c>
      <c r="U9396" s="2" t="s">
        <v>56274</v>
      </c>
      <c r="W9396" t="s">
        <v>1292</v>
      </c>
      <c r="X9396">
        <v>838508</v>
      </c>
      <c r="Y9396" s="2" t="s">
        <v>56275</v>
      </c>
      <c r="Z9396" t="s">
        <v>56276</v>
      </c>
      <c r="AA9396" t="s">
        <v>56277</v>
      </c>
      <c r="AB9396" t="s">
        <v>1303</v>
      </c>
      <c r="AG9396" t="s">
        <v>56278</v>
      </c>
      <c r="AH9396" t="s">
        <v>507</v>
      </c>
      <c r="AI9396" t="s">
        <v>56279</v>
      </c>
    </row>
    <row r="9397" spans="2:35" ht="285">
      <c r="B9397" s="1">
        <v>44957</v>
      </c>
      <c r="C9397" s="4">
        <v>44957.50277777778</v>
      </c>
      <c r="D9397" t="s">
        <v>556</v>
      </c>
      <c r="E9397" t="s">
        <v>56280</v>
      </c>
      <c r="F9397" t="s">
        <v>148</v>
      </c>
      <c r="G9397" t="s">
        <v>406</v>
      </c>
      <c r="H9397" t="s">
        <v>39</v>
      </c>
      <c r="I9397" t="s">
        <v>40</v>
      </c>
      <c r="J9397" s="2" t="s">
        <v>62</v>
      </c>
      <c r="K9397" t="s">
        <v>42</v>
      </c>
      <c r="L9397" t="s">
        <v>55932</v>
      </c>
      <c r="Q9397">
        <v>23200</v>
      </c>
      <c r="R9397" t="s">
        <v>119</v>
      </c>
      <c r="S9397" t="s">
        <v>56281</v>
      </c>
      <c r="T9397">
        <v>24.6</v>
      </c>
      <c r="U9397" s="2" t="s">
        <v>56282</v>
      </c>
      <c r="W9397" t="s">
        <v>1139</v>
      </c>
      <c r="X9397">
        <v>831638</v>
      </c>
      <c r="Y9397" t="s">
        <v>56064</v>
      </c>
      <c r="Z9397" s="2" t="s">
        <v>21826</v>
      </c>
      <c r="AA9397" s="2" t="s">
        <v>56283</v>
      </c>
      <c r="AB9397" t="s">
        <v>181</v>
      </c>
      <c r="AG9397" t="s">
        <v>56284</v>
      </c>
      <c r="AH9397" t="s">
        <v>56285</v>
      </c>
      <c r="AI9397" t="s">
        <v>56286</v>
      </c>
    </row>
    <row r="9398" spans="2:35" ht="285">
      <c r="B9398" s="1">
        <v>44957</v>
      </c>
      <c r="C9398" s="4">
        <v>44957.50277777778</v>
      </c>
      <c r="D9398" t="s">
        <v>556</v>
      </c>
      <c r="E9398" t="s">
        <v>56280</v>
      </c>
      <c r="F9398" t="s">
        <v>148</v>
      </c>
      <c r="G9398" t="s">
        <v>406</v>
      </c>
      <c r="H9398" t="s">
        <v>39</v>
      </c>
      <c r="I9398" t="s">
        <v>40</v>
      </c>
      <c r="J9398" s="2" t="s">
        <v>62</v>
      </c>
      <c r="K9398" t="s">
        <v>42</v>
      </c>
      <c r="L9398" t="s">
        <v>55932</v>
      </c>
      <c r="Q9398">
        <v>23199</v>
      </c>
      <c r="R9398" t="s">
        <v>119</v>
      </c>
      <c r="S9398" t="s">
        <v>56281</v>
      </c>
      <c r="T9398">
        <v>24.6</v>
      </c>
      <c r="U9398" s="2" t="s">
        <v>56282</v>
      </c>
      <c r="W9398" t="s">
        <v>1139</v>
      </c>
      <c r="X9398">
        <v>831638</v>
      </c>
      <c r="Y9398" t="s">
        <v>56064</v>
      </c>
      <c r="Z9398" s="2" t="s">
        <v>21826</v>
      </c>
      <c r="AA9398" s="2" t="s">
        <v>56283</v>
      </c>
      <c r="AB9398" t="s">
        <v>181</v>
      </c>
      <c r="AG9398" t="s">
        <v>56287</v>
      </c>
      <c r="AH9398" t="s">
        <v>56285</v>
      </c>
      <c r="AI9398" t="s">
        <v>56288</v>
      </c>
    </row>
    <row r="9399" spans="2:35" ht="315">
      <c r="B9399" s="1">
        <v>44957</v>
      </c>
      <c r="C9399" s="4">
        <v>44957.584027777775</v>
      </c>
      <c r="D9399" t="s">
        <v>2408</v>
      </c>
      <c r="E9399" t="s">
        <v>2409</v>
      </c>
      <c r="F9399">
        <v>3</v>
      </c>
      <c r="G9399" t="s">
        <v>730</v>
      </c>
      <c r="H9399" t="s">
        <v>39</v>
      </c>
      <c r="I9399" t="s">
        <v>40</v>
      </c>
      <c r="J9399" s="2" t="s">
        <v>41</v>
      </c>
      <c r="K9399" t="s">
        <v>42</v>
      </c>
      <c r="L9399" t="s">
        <v>135</v>
      </c>
      <c r="Q9399">
        <v>23198</v>
      </c>
      <c r="R9399" t="s">
        <v>45</v>
      </c>
      <c r="S9399" t="s">
        <v>2410</v>
      </c>
      <c r="T9399">
        <v>28.4</v>
      </c>
      <c r="U9399" s="2" t="s">
        <v>56289</v>
      </c>
      <c r="V9399" s="1">
        <v>44939</v>
      </c>
      <c r="W9399" t="s">
        <v>2680</v>
      </c>
      <c r="X9399">
        <v>807562</v>
      </c>
      <c r="Y9399" s="2" t="s">
        <v>56290</v>
      </c>
      <c r="Z9399" s="2" t="s">
        <v>56291</v>
      </c>
      <c r="AA9399" t="s">
        <v>55818</v>
      </c>
      <c r="AB9399" t="s">
        <v>56292</v>
      </c>
      <c r="AC9399" t="s">
        <v>56293</v>
      </c>
      <c r="AD9399" t="s">
        <v>56294</v>
      </c>
      <c r="AE9399">
        <v>38197</v>
      </c>
      <c r="AG9399" t="s">
        <v>56295</v>
      </c>
      <c r="AH9399" t="s">
        <v>51737</v>
      </c>
      <c r="AI9399" t="s">
        <v>56296</v>
      </c>
    </row>
    <row r="9400" spans="2:35" ht="315">
      <c r="B9400" s="1">
        <v>44957</v>
      </c>
      <c r="C9400" s="4">
        <v>44957.561805555553</v>
      </c>
      <c r="D9400" t="s">
        <v>8160</v>
      </c>
      <c r="E9400" t="s">
        <v>15636</v>
      </c>
      <c r="F9400">
        <v>11</v>
      </c>
      <c r="G9400" t="s">
        <v>1205</v>
      </c>
      <c r="H9400" t="s">
        <v>202</v>
      </c>
      <c r="I9400" t="s">
        <v>40</v>
      </c>
      <c r="J9400" t="s">
        <v>109</v>
      </c>
      <c r="K9400" t="s">
        <v>42</v>
      </c>
      <c r="L9400" t="s">
        <v>204</v>
      </c>
      <c r="Q9400">
        <v>23197</v>
      </c>
      <c r="R9400" t="s">
        <v>119</v>
      </c>
      <c r="S9400" t="s">
        <v>8162</v>
      </c>
      <c r="T9400">
        <v>28.7</v>
      </c>
      <c r="U9400" s="2" t="s">
        <v>56297</v>
      </c>
      <c r="V9400" s="1">
        <v>44957</v>
      </c>
      <c r="W9400" t="s">
        <v>1292</v>
      </c>
      <c r="X9400">
        <v>838401</v>
      </c>
      <c r="Y9400" t="s">
        <v>1052</v>
      </c>
      <c r="Z9400" t="s">
        <v>2551</v>
      </c>
      <c r="AA9400" s="2" t="s">
        <v>56298</v>
      </c>
      <c r="AB9400" t="s">
        <v>9590</v>
      </c>
      <c r="AC9400" t="s">
        <v>54</v>
      </c>
      <c r="AD9400" t="s">
        <v>54</v>
      </c>
      <c r="AE9400" t="s">
        <v>54</v>
      </c>
      <c r="AG9400" t="s">
        <v>56299</v>
      </c>
      <c r="AH9400" t="s">
        <v>56300</v>
      </c>
      <c r="AI9400" t="s">
        <v>56301</v>
      </c>
    </row>
    <row r="9401" spans="2:35" ht="315">
      <c r="B9401" s="1">
        <v>44957</v>
      </c>
      <c r="C9401" s="4">
        <v>44957.561805555553</v>
      </c>
      <c r="D9401" t="s">
        <v>8160</v>
      </c>
      <c r="E9401" t="s">
        <v>15636</v>
      </c>
      <c r="F9401">
        <v>11</v>
      </c>
      <c r="G9401" t="s">
        <v>1205</v>
      </c>
      <c r="H9401" t="s">
        <v>202</v>
      </c>
      <c r="I9401" t="s">
        <v>40</v>
      </c>
      <c r="J9401" t="s">
        <v>109</v>
      </c>
      <c r="K9401" t="s">
        <v>42</v>
      </c>
      <c r="L9401" t="s">
        <v>204</v>
      </c>
      <c r="Q9401">
        <v>23196</v>
      </c>
      <c r="R9401" t="s">
        <v>119</v>
      </c>
      <c r="S9401" t="s">
        <v>56302</v>
      </c>
      <c r="T9401">
        <v>28.7</v>
      </c>
      <c r="U9401" s="2" t="s">
        <v>56297</v>
      </c>
      <c r="V9401" s="1">
        <v>44957</v>
      </c>
      <c r="W9401" t="s">
        <v>1292</v>
      </c>
      <c r="X9401">
        <v>838401</v>
      </c>
      <c r="Y9401" t="s">
        <v>1052</v>
      </c>
      <c r="Z9401" t="s">
        <v>2551</v>
      </c>
      <c r="AA9401" s="2" t="s">
        <v>56298</v>
      </c>
      <c r="AB9401" t="s">
        <v>9590</v>
      </c>
      <c r="AC9401" t="s">
        <v>54</v>
      </c>
      <c r="AD9401" t="s">
        <v>54</v>
      </c>
      <c r="AE9401" t="s">
        <v>54</v>
      </c>
      <c r="AG9401" t="s">
        <v>56303</v>
      </c>
      <c r="AH9401" t="s">
        <v>56300</v>
      </c>
      <c r="AI9401" t="s">
        <v>56304</v>
      </c>
    </row>
    <row r="9402" spans="2:35" ht="180">
      <c r="B9402" s="1">
        <v>44957</v>
      </c>
      <c r="C9402" s="4">
        <v>44957.495138888888</v>
      </c>
      <c r="D9402" t="s">
        <v>7325</v>
      </c>
      <c r="E9402" t="s">
        <v>56305</v>
      </c>
      <c r="F9402">
        <v>12</v>
      </c>
      <c r="G9402" t="s">
        <v>978</v>
      </c>
      <c r="H9402" t="s">
        <v>39</v>
      </c>
      <c r="I9402" t="s">
        <v>94</v>
      </c>
      <c r="J9402" t="s">
        <v>109</v>
      </c>
      <c r="K9402" t="s">
        <v>42</v>
      </c>
      <c r="L9402" t="s">
        <v>296</v>
      </c>
      <c r="Q9402">
        <v>23195</v>
      </c>
      <c r="R9402" t="s">
        <v>119</v>
      </c>
      <c r="S9402" t="s">
        <v>7327</v>
      </c>
      <c r="T9402">
        <v>25.8</v>
      </c>
      <c r="U9402" s="2" t="s">
        <v>56306</v>
      </c>
      <c r="W9402" t="s">
        <v>54487</v>
      </c>
      <c r="X9402">
        <v>838265</v>
      </c>
      <c r="Y9402" t="s">
        <v>54</v>
      </c>
      <c r="Z9402" t="s">
        <v>9161</v>
      </c>
      <c r="AA9402" t="s">
        <v>9161</v>
      </c>
      <c r="AB9402" t="s">
        <v>55996</v>
      </c>
      <c r="AG9402" t="s">
        <v>56307</v>
      </c>
      <c r="AH9402" t="s">
        <v>12104</v>
      </c>
      <c r="AI9402" t="s">
        <v>56308</v>
      </c>
    </row>
    <row r="9403" spans="2:35" ht="195">
      <c r="B9403" s="1">
        <v>44957</v>
      </c>
      <c r="C9403" s="4">
        <v>44957.47152777778</v>
      </c>
      <c r="D9403" t="s">
        <v>8684</v>
      </c>
      <c r="E9403" t="s">
        <v>56309</v>
      </c>
      <c r="F9403">
        <v>13</v>
      </c>
      <c r="G9403" t="s">
        <v>931</v>
      </c>
      <c r="H9403" t="s">
        <v>2125</v>
      </c>
      <c r="I9403" t="s">
        <v>40</v>
      </c>
      <c r="J9403" s="2" t="s">
        <v>17874</v>
      </c>
      <c r="K9403" t="s">
        <v>42</v>
      </c>
      <c r="L9403" t="s">
        <v>933</v>
      </c>
      <c r="Q9403">
        <v>23194</v>
      </c>
      <c r="R9403" t="s">
        <v>45</v>
      </c>
      <c r="S9403" t="s">
        <v>36488</v>
      </c>
      <c r="T9403">
        <v>30</v>
      </c>
      <c r="U9403" s="2" t="s">
        <v>1509</v>
      </c>
      <c r="W9403" t="s">
        <v>23146</v>
      </c>
      <c r="X9403">
        <v>834833</v>
      </c>
      <c r="Y9403" t="s">
        <v>301</v>
      </c>
      <c r="Z9403" t="s">
        <v>301</v>
      </c>
      <c r="AA9403" s="2" t="s">
        <v>56310</v>
      </c>
      <c r="AB9403" t="s">
        <v>43442</v>
      </c>
      <c r="AC9403" t="s">
        <v>56311</v>
      </c>
      <c r="AG9403" t="s">
        <v>56312</v>
      </c>
      <c r="AH9403" t="s">
        <v>36493</v>
      </c>
      <c r="AI9403" t="s">
        <v>56313</v>
      </c>
    </row>
    <row r="9404" spans="2:35" ht="105">
      <c r="B9404" s="1">
        <v>44957</v>
      </c>
      <c r="C9404" s="4">
        <v>44957.458333333336</v>
      </c>
      <c r="D9404" t="s">
        <v>56314</v>
      </c>
      <c r="E9404" t="s">
        <v>56315</v>
      </c>
      <c r="F9404">
        <v>9</v>
      </c>
      <c r="G9404" t="s">
        <v>1628</v>
      </c>
      <c r="H9404" t="s">
        <v>39</v>
      </c>
      <c r="I9404" t="s">
        <v>40</v>
      </c>
      <c r="J9404" s="2" t="s">
        <v>56316</v>
      </c>
      <c r="K9404" t="s">
        <v>42</v>
      </c>
      <c r="L9404" t="s">
        <v>1257</v>
      </c>
      <c r="Q9404">
        <v>23193</v>
      </c>
      <c r="R9404" t="s">
        <v>45</v>
      </c>
      <c r="S9404" t="s">
        <v>1629</v>
      </c>
      <c r="T9404">
        <v>34</v>
      </c>
      <c r="U9404" s="2" t="s">
        <v>56317</v>
      </c>
      <c r="V9404" s="1">
        <v>44957</v>
      </c>
      <c r="W9404" t="s">
        <v>2384</v>
      </c>
      <c r="X9404">
        <v>808615</v>
      </c>
      <c r="Y9404" t="s">
        <v>56318</v>
      </c>
      <c r="Z9404" t="s">
        <v>4315</v>
      </c>
      <c r="AA9404" t="s">
        <v>56319</v>
      </c>
      <c r="AB9404" t="s">
        <v>56320</v>
      </c>
      <c r="AC9404" t="s">
        <v>56321</v>
      </c>
      <c r="AD9404" t="s">
        <v>54</v>
      </c>
      <c r="AE9404" t="s">
        <v>54</v>
      </c>
      <c r="AG9404" t="s">
        <v>56322</v>
      </c>
      <c r="AH9404" t="s">
        <v>24828</v>
      </c>
      <c r="AI9404" t="s">
        <v>56323</v>
      </c>
    </row>
    <row r="9405" spans="2:35" ht="285">
      <c r="B9405" s="1">
        <v>44957</v>
      </c>
      <c r="C9405" s="4">
        <v>44957.36041666667</v>
      </c>
      <c r="D9405" t="s">
        <v>10967</v>
      </c>
      <c r="E9405" t="s">
        <v>14481</v>
      </c>
      <c r="F9405">
        <v>7</v>
      </c>
      <c r="G9405" t="s">
        <v>432</v>
      </c>
      <c r="H9405" t="s">
        <v>10969</v>
      </c>
      <c r="I9405" t="s">
        <v>40</v>
      </c>
      <c r="J9405" s="2" t="s">
        <v>355</v>
      </c>
      <c r="K9405" t="s">
        <v>42</v>
      </c>
      <c r="L9405" t="s">
        <v>1288</v>
      </c>
      <c r="Q9405">
        <v>23192</v>
      </c>
      <c r="R9405" t="s">
        <v>45</v>
      </c>
      <c r="S9405" t="s">
        <v>33292</v>
      </c>
      <c r="T9405">
        <v>25</v>
      </c>
      <c r="U9405" s="2" t="s">
        <v>56324</v>
      </c>
      <c r="W9405" t="s">
        <v>1292</v>
      </c>
      <c r="X9405">
        <v>815275</v>
      </c>
      <c r="Y9405" t="s">
        <v>56325</v>
      </c>
      <c r="Z9405" t="e">
        <f ca="1">-Isolate with KNOWN-good VGA cable _xludf.and adapter
-Isolate with KNOWN-good display, confirm Reported issue</f>
        <v>#NAME?</v>
      </c>
      <c r="AA9405" t="e">
        <f ca="1">-PERFORM monitor Troubleshooting</f>
        <v>#NAME?</v>
      </c>
      <c r="AB9405" t="s">
        <v>56326</v>
      </c>
      <c r="AC9405" t="e">
        <f ca="1">-Install temporary monitor PROVIDED by facility</f>
        <v>#NAME?</v>
      </c>
      <c r="AG9405" t="s">
        <v>56327</v>
      </c>
      <c r="AH9405" t="s">
        <v>507</v>
      </c>
      <c r="AI9405" t="s">
        <v>56328</v>
      </c>
    </row>
    <row r="9406" spans="2:35" ht="285">
      <c r="B9406" s="1">
        <v>44956</v>
      </c>
      <c r="C9406" s="4">
        <v>44956.605555555558</v>
      </c>
      <c r="D9406" t="s">
        <v>5028</v>
      </c>
      <c r="E9406" t="s">
        <v>1472</v>
      </c>
      <c r="F9406">
        <v>12</v>
      </c>
      <c r="G9406" t="s">
        <v>978</v>
      </c>
      <c r="H9406" t="s">
        <v>39</v>
      </c>
      <c r="I9406" t="s">
        <v>94</v>
      </c>
      <c r="J9406" s="2" t="s">
        <v>62</v>
      </c>
      <c r="K9406" t="s">
        <v>42</v>
      </c>
      <c r="L9406" t="s">
        <v>296</v>
      </c>
      <c r="Q9406">
        <v>23191</v>
      </c>
      <c r="R9406" t="s">
        <v>45</v>
      </c>
      <c r="S9406" t="s">
        <v>5030</v>
      </c>
      <c r="T9406">
        <v>27.4</v>
      </c>
      <c r="U9406" s="2" t="s">
        <v>56329</v>
      </c>
      <c r="V9406" s="1">
        <v>44956</v>
      </c>
      <c r="W9406" t="s">
        <v>53244</v>
      </c>
      <c r="X9406">
        <v>815380</v>
      </c>
      <c r="Y9406" s="2" t="s">
        <v>56330</v>
      </c>
      <c r="Z9406" s="2" t="s">
        <v>51560</v>
      </c>
      <c r="AA9406" s="2" t="s">
        <v>51560</v>
      </c>
      <c r="AB9406" t="s">
        <v>56331</v>
      </c>
      <c r="AD9406" t="s">
        <v>52906</v>
      </c>
      <c r="AE9406" t="s">
        <v>56332</v>
      </c>
      <c r="AG9406" t="s">
        <v>56333</v>
      </c>
      <c r="AH9406" t="s">
        <v>53731</v>
      </c>
      <c r="AI9406" t="s">
        <v>56334</v>
      </c>
    </row>
    <row r="9407" spans="2:35" ht="210">
      <c r="B9407" s="1">
        <v>44956</v>
      </c>
      <c r="C9407" s="4">
        <v>44952.395833333336</v>
      </c>
      <c r="D9407" t="s">
        <v>2437</v>
      </c>
      <c r="E9407" t="s">
        <v>55378</v>
      </c>
      <c r="F9407" t="s">
        <v>37</v>
      </c>
      <c r="G9407" t="s">
        <v>748</v>
      </c>
      <c r="H9407" t="s">
        <v>39</v>
      </c>
      <c r="I9407" t="s">
        <v>40</v>
      </c>
      <c r="J9407" s="2" t="s">
        <v>41</v>
      </c>
      <c r="K9407" t="s">
        <v>42</v>
      </c>
      <c r="L9407" t="s">
        <v>1028</v>
      </c>
      <c r="Q9407">
        <v>23188</v>
      </c>
      <c r="R9407" t="s">
        <v>45</v>
      </c>
      <c r="S9407" t="s">
        <v>2439</v>
      </c>
      <c r="T9407">
        <v>26</v>
      </c>
      <c r="U9407" s="2" t="s">
        <v>56335</v>
      </c>
      <c r="V9407" s="1">
        <v>44949</v>
      </c>
      <c r="W9407" t="s">
        <v>36116</v>
      </c>
      <c r="X9407">
        <v>802860</v>
      </c>
      <c r="Y9407" t="s">
        <v>56336</v>
      </c>
      <c r="Z9407" t="s">
        <v>5712</v>
      </c>
      <c r="AA9407" s="2" t="s">
        <v>56337</v>
      </c>
      <c r="AB9407" t="s">
        <v>1263</v>
      </c>
      <c r="AC9407" t="s">
        <v>56338</v>
      </c>
      <c r="AD9407" t="s">
        <v>56339</v>
      </c>
      <c r="AE9407" t="s">
        <v>56340</v>
      </c>
      <c r="AG9407" t="s">
        <v>56341</v>
      </c>
      <c r="AH9407" t="s">
        <v>2447</v>
      </c>
      <c r="AI9407" t="s">
        <v>56342</v>
      </c>
    </row>
    <row r="9408" spans="2:35" ht="210">
      <c r="B9408" s="1">
        <v>44956</v>
      </c>
      <c r="C9408" s="4">
        <v>44953.449305555558</v>
      </c>
      <c r="D9408" t="s">
        <v>6619</v>
      </c>
      <c r="E9408" t="s">
        <v>40451</v>
      </c>
      <c r="F9408" t="s">
        <v>37</v>
      </c>
      <c r="G9408" t="s">
        <v>748</v>
      </c>
      <c r="H9408" t="s">
        <v>39</v>
      </c>
      <c r="I9408" t="s">
        <v>40</v>
      </c>
      <c r="J9408" t="s">
        <v>109</v>
      </c>
      <c r="K9408" t="s">
        <v>42</v>
      </c>
      <c r="L9408" t="s">
        <v>1028</v>
      </c>
      <c r="Q9408">
        <v>23189</v>
      </c>
      <c r="R9408" t="s">
        <v>119</v>
      </c>
      <c r="S9408" t="s">
        <v>56343</v>
      </c>
      <c r="T9408">
        <v>26</v>
      </c>
      <c r="U9408" s="2" t="s">
        <v>56344</v>
      </c>
      <c r="W9408" t="s">
        <v>2680</v>
      </c>
      <c r="X9408">
        <v>838535</v>
      </c>
      <c r="Y9408" t="s">
        <v>2692</v>
      </c>
      <c r="Z9408" t="s">
        <v>3128</v>
      </c>
      <c r="AA9408" s="2" t="s">
        <v>56345</v>
      </c>
      <c r="AB9408" t="s">
        <v>56346</v>
      </c>
      <c r="AG9408" t="s">
        <v>56347</v>
      </c>
      <c r="AH9408" t="s">
        <v>56348</v>
      </c>
      <c r="AI9408" t="s">
        <v>56349</v>
      </c>
    </row>
    <row r="9409" spans="2:35" ht="210">
      <c r="B9409" s="1">
        <v>44956</v>
      </c>
      <c r="C9409" s="4">
        <v>44953.506944444445</v>
      </c>
      <c r="D9409" t="s">
        <v>56350</v>
      </c>
      <c r="E9409" t="s">
        <v>56351</v>
      </c>
      <c r="F9409" t="s">
        <v>37</v>
      </c>
      <c r="G9409" t="s">
        <v>748</v>
      </c>
      <c r="H9409" t="s">
        <v>39</v>
      </c>
      <c r="I9409" t="s">
        <v>40</v>
      </c>
      <c r="J9409" s="2" t="s">
        <v>62</v>
      </c>
      <c r="K9409" t="s">
        <v>42</v>
      </c>
      <c r="L9409" t="s">
        <v>1028</v>
      </c>
      <c r="Q9409">
        <v>23190</v>
      </c>
      <c r="R9409" t="s">
        <v>45</v>
      </c>
      <c r="S9409" t="s">
        <v>33227</v>
      </c>
      <c r="T9409">
        <v>25</v>
      </c>
      <c r="U9409" s="2" t="s">
        <v>56352</v>
      </c>
      <c r="W9409" t="s">
        <v>2680</v>
      </c>
      <c r="X9409">
        <v>838139</v>
      </c>
      <c r="Y9409" t="s">
        <v>25444</v>
      </c>
      <c r="Z9409" s="2" t="s">
        <v>56353</v>
      </c>
      <c r="AA9409" s="2" t="s">
        <v>39033</v>
      </c>
      <c r="AB9409" t="s">
        <v>34763</v>
      </c>
      <c r="AG9409" t="s">
        <v>56354</v>
      </c>
      <c r="AH9409" t="s">
        <v>30280</v>
      </c>
      <c r="AI9409" t="s">
        <v>56355</v>
      </c>
    </row>
    <row r="9410" spans="2:35" ht="210">
      <c r="B9410" s="1">
        <v>44956</v>
      </c>
      <c r="C9410" s="4">
        <v>44950.459722222222</v>
      </c>
      <c r="D9410" t="s">
        <v>22263</v>
      </c>
      <c r="E9410" t="s">
        <v>53451</v>
      </c>
      <c r="F9410" t="s">
        <v>148</v>
      </c>
      <c r="G9410" t="s">
        <v>4786</v>
      </c>
      <c r="H9410" t="s">
        <v>39</v>
      </c>
      <c r="I9410" t="s">
        <v>40</v>
      </c>
      <c r="J9410" s="2" t="s">
        <v>1309</v>
      </c>
      <c r="K9410" t="s">
        <v>42</v>
      </c>
      <c r="L9410" t="s">
        <v>1028</v>
      </c>
      <c r="Q9410">
        <v>23183</v>
      </c>
      <c r="R9410" t="s">
        <v>45</v>
      </c>
      <c r="S9410" t="s">
        <v>22265</v>
      </c>
      <c r="T9410">
        <v>26</v>
      </c>
      <c r="U9410" s="2" t="s">
        <v>38504</v>
      </c>
      <c r="V9410" s="1">
        <v>44949</v>
      </c>
      <c r="W9410" t="s">
        <v>2680</v>
      </c>
      <c r="X9410">
        <v>838541</v>
      </c>
      <c r="Y9410" t="s">
        <v>56356</v>
      </c>
      <c r="Z9410" t="s">
        <v>2129</v>
      </c>
      <c r="AA9410" s="2" t="s">
        <v>51309</v>
      </c>
      <c r="AB9410" t="s">
        <v>56357</v>
      </c>
      <c r="AC9410" t="s">
        <v>56358</v>
      </c>
      <c r="AD9410" t="s">
        <v>56359</v>
      </c>
      <c r="AE9410" t="s">
        <v>56360</v>
      </c>
      <c r="AG9410" t="s">
        <v>56361</v>
      </c>
      <c r="AH9410" t="s">
        <v>56362</v>
      </c>
      <c r="AI9410" t="s">
        <v>56363</v>
      </c>
    </row>
    <row r="9411" spans="2:35" ht="210">
      <c r="B9411" s="1">
        <v>44956</v>
      </c>
      <c r="C9411" s="4">
        <v>44950.372916666667</v>
      </c>
      <c r="D9411" t="s">
        <v>32402</v>
      </c>
      <c r="E9411" t="s">
        <v>56364</v>
      </c>
      <c r="F9411" t="s">
        <v>148</v>
      </c>
      <c r="G9411" t="s">
        <v>4786</v>
      </c>
      <c r="H9411" t="s">
        <v>39</v>
      </c>
      <c r="I9411" t="s">
        <v>40</v>
      </c>
      <c r="J9411" s="2" t="s">
        <v>62</v>
      </c>
      <c r="K9411" t="s">
        <v>42</v>
      </c>
      <c r="L9411" t="s">
        <v>1028</v>
      </c>
      <c r="Q9411">
        <v>23184</v>
      </c>
      <c r="R9411" t="s">
        <v>45</v>
      </c>
      <c r="S9411" t="s">
        <v>56365</v>
      </c>
      <c r="T9411">
        <v>26</v>
      </c>
      <c r="U9411" s="2" t="s">
        <v>56366</v>
      </c>
      <c r="W9411" t="s">
        <v>2680</v>
      </c>
      <c r="X9411">
        <v>838183</v>
      </c>
      <c r="Y9411" t="s">
        <v>21527</v>
      </c>
      <c r="Z9411" s="2" t="s">
        <v>46035</v>
      </c>
      <c r="AA9411" s="2" t="s">
        <v>56367</v>
      </c>
      <c r="AB9411" s="2" t="s">
        <v>3143</v>
      </c>
      <c r="AG9411" t="s">
        <v>56368</v>
      </c>
      <c r="AH9411" t="s">
        <v>34758</v>
      </c>
      <c r="AI9411" t="s">
        <v>56369</v>
      </c>
    </row>
    <row r="9412" spans="2:35" ht="210">
      <c r="B9412" s="1">
        <v>44956</v>
      </c>
      <c r="C9412" s="4">
        <v>44951.556944444441</v>
      </c>
      <c r="D9412" t="s">
        <v>30266</v>
      </c>
      <c r="E9412" t="s">
        <v>56370</v>
      </c>
      <c r="F9412" t="s">
        <v>37</v>
      </c>
      <c r="G9412" t="s">
        <v>748</v>
      </c>
      <c r="H9412" t="s">
        <v>39</v>
      </c>
      <c r="I9412" t="s">
        <v>40</v>
      </c>
      <c r="J9412" s="2" t="s">
        <v>62</v>
      </c>
      <c r="K9412" t="s">
        <v>42</v>
      </c>
      <c r="L9412" t="s">
        <v>1028</v>
      </c>
      <c r="Q9412">
        <v>23185</v>
      </c>
      <c r="R9412" t="s">
        <v>45</v>
      </c>
      <c r="S9412" t="s">
        <v>56371</v>
      </c>
      <c r="T9412">
        <v>27</v>
      </c>
      <c r="U9412" s="2" t="s">
        <v>5879</v>
      </c>
      <c r="W9412" t="s">
        <v>2680</v>
      </c>
      <c r="X9412">
        <v>838137</v>
      </c>
      <c r="Y9412" t="s">
        <v>18140</v>
      </c>
      <c r="Z9412" s="2" t="s">
        <v>46035</v>
      </c>
      <c r="AA9412" s="2" t="s">
        <v>44751</v>
      </c>
      <c r="AB9412" t="s">
        <v>56372</v>
      </c>
      <c r="AG9412" t="s">
        <v>56373</v>
      </c>
      <c r="AH9412" t="s">
        <v>56374</v>
      </c>
      <c r="AI9412" t="s">
        <v>56375</v>
      </c>
    </row>
    <row r="9413" spans="2:35" ht="270">
      <c r="B9413" s="1">
        <v>44956</v>
      </c>
      <c r="C9413" s="4">
        <v>44951.470833333333</v>
      </c>
      <c r="D9413" t="s">
        <v>32327</v>
      </c>
      <c r="E9413" t="s">
        <v>56376</v>
      </c>
      <c r="F9413" t="s">
        <v>37</v>
      </c>
      <c r="G9413" t="s">
        <v>748</v>
      </c>
      <c r="H9413" t="s">
        <v>39</v>
      </c>
      <c r="I9413" t="s">
        <v>40</v>
      </c>
      <c r="J9413" s="2" t="s">
        <v>1309</v>
      </c>
      <c r="K9413" t="s">
        <v>42</v>
      </c>
      <c r="L9413" t="s">
        <v>1028</v>
      </c>
      <c r="Q9413">
        <v>23186</v>
      </c>
      <c r="R9413" t="s">
        <v>45</v>
      </c>
      <c r="S9413" t="s">
        <v>32329</v>
      </c>
      <c r="T9413">
        <v>28</v>
      </c>
      <c r="U9413" s="2" t="s">
        <v>8751</v>
      </c>
      <c r="V9413" s="1">
        <v>44942</v>
      </c>
      <c r="W9413" t="s">
        <v>2680</v>
      </c>
      <c r="X9413">
        <v>807567</v>
      </c>
      <c r="Y9413" t="s">
        <v>56377</v>
      </c>
      <c r="Z9413" t="s">
        <v>2129</v>
      </c>
      <c r="AA9413" s="2" t="s">
        <v>56378</v>
      </c>
      <c r="AB9413" t="s">
        <v>56379</v>
      </c>
      <c r="AC9413" t="s">
        <v>56380</v>
      </c>
      <c r="AD9413" t="s">
        <v>56359</v>
      </c>
      <c r="AE9413" t="s">
        <v>56381</v>
      </c>
      <c r="AG9413" t="s">
        <v>56382</v>
      </c>
      <c r="AH9413" t="s">
        <v>56383</v>
      </c>
      <c r="AI9413" t="s">
        <v>56384</v>
      </c>
    </row>
    <row r="9414" spans="2:35" ht="240">
      <c r="B9414" s="1">
        <v>44956</v>
      </c>
      <c r="C9414" s="4">
        <v>44951.477083333331</v>
      </c>
      <c r="D9414" t="s">
        <v>32327</v>
      </c>
      <c r="E9414" t="s">
        <v>56376</v>
      </c>
      <c r="F9414" t="s">
        <v>37</v>
      </c>
      <c r="G9414" t="s">
        <v>748</v>
      </c>
      <c r="H9414" t="s">
        <v>39</v>
      </c>
      <c r="I9414" t="s">
        <v>40</v>
      </c>
      <c r="J9414" s="2" t="s">
        <v>1309</v>
      </c>
      <c r="K9414" t="s">
        <v>42</v>
      </c>
      <c r="L9414" t="s">
        <v>1028</v>
      </c>
      <c r="Q9414">
        <v>23187</v>
      </c>
      <c r="R9414" t="s">
        <v>45</v>
      </c>
      <c r="S9414" t="s">
        <v>32329</v>
      </c>
      <c r="T9414">
        <v>28</v>
      </c>
      <c r="U9414" s="2" t="s">
        <v>8751</v>
      </c>
      <c r="V9414" s="1">
        <v>44951</v>
      </c>
      <c r="W9414" t="s">
        <v>2680</v>
      </c>
      <c r="X9414">
        <v>812006</v>
      </c>
      <c r="Y9414" t="s">
        <v>56385</v>
      </c>
      <c r="Z9414" t="s">
        <v>49596</v>
      </c>
      <c r="AA9414" s="2" t="s">
        <v>56386</v>
      </c>
      <c r="AB9414" t="s">
        <v>56387</v>
      </c>
      <c r="AD9414" t="s">
        <v>56388</v>
      </c>
      <c r="AE9414" t="s">
        <v>56389</v>
      </c>
      <c r="AG9414" t="s">
        <v>56390</v>
      </c>
      <c r="AH9414" t="s">
        <v>32338</v>
      </c>
      <c r="AI9414" t="s">
        <v>56391</v>
      </c>
    </row>
    <row r="9415" spans="2:35" ht="105">
      <c r="B9415" s="1">
        <v>44956</v>
      </c>
      <c r="C9415" s="4">
        <v>44956.569444444445</v>
      </c>
      <c r="D9415" t="s">
        <v>56392</v>
      </c>
      <c r="E9415" t="s">
        <v>56393</v>
      </c>
      <c r="F9415">
        <v>9</v>
      </c>
      <c r="G9415" t="s">
        <v>1628</v>
      </c>
      <c r="H9415" t="s">
        <v>39</v>
      </c>
      <c r="I9415" t="s">
        <v>40</v>
      </c>
      <c r="J9415" s="2" t="s">
        <v>190</v>
      </c>
      <c r="K9415" t="s">
        <v>42</v>
      </c>
      <c r="L9415" t="s">
        <v>1257</v>
      </c>
      <c r="Q9415">
        <v>23182</v>
      </c>
      <c r="R9415" t="s">
        <v>45</v>
      </c>
      <c r="S9415" t="s">
        <v>24845</v>
      </c>
      <c r="T9415">
        <v>27</v>
      </c>
      <c r="U9415" s="2" t="s">
        <v>1465</v>
      </c>
      <c r="V9415" s="1">
        <v>44956</v>
      </c>
      <c r="W9415" t="s">
        <v>2384</v>
      </c>
      <c r="X9415">
        <v>834831</v>
      </c>
      <c r="Y9415" t="s">
        <v>56394</v>
      </c>
      <c r="Z9415" t="s">
        <v>56395</v>
      </c>
      <c r="AA9415" t="s">
        <v>4315</v>
      </c>
      <c r="AB9415" t="s">
        <v>29359</v>
      </c>
      <c r="AC9415" t="s">
        <v>56396</v>
      </c>
      <c r="AD9415" t="s">
        <v>54</v>
      </c>
      <c r="AE9415" t="s">
        <v>54</v>
      </c>
      <c r="AG9415" t="s">
        <v>56397</v>
      </c>
      <c r="AH9415" t="s">
        <v>56398</v>
      </c>
      <c r="AI9415" t="s">
        <v>56399</v>
      </c>
    </row>
    <row r="9416" spans="2:35" ht="225">
      <c r="B9416" s="1">
        <v>44956</v>
      </c>
      <c r="C9416" s="4">
        <v>44956.502083333333</v>
      </c>
      <c r="D9416" t="s">
        <v>56400</v>
      </c>
      <c r="E9416" t="s">
        <v>56401</v>
      </c>
      <c r="F9416">
        <v>3</v>
      </c>
      <c r="G9416" t="s">
        <v>1722</v>
      </c>
      <c r="H9416" t="s">
        <v>39</v>
      </c>
      <c r="I9416" t="s">
        <v>40</v>
      </c>
      <c r="J9416" s="2" t="s">
        <v>62</v>
      </c>
      <c r="K9416" t="s">
        <v>42</v>
      </c>
      <c r="L9416" t="s">
        <v>63</v>
      </c>
      <c r="Q9416">
        <v>23181</v>
      </c>
      <c r="R9416" t="s">
        <v>45</v>
      </c>
      <c r="S9416" t="s">
        <v>31855</v>
      </c>
      <c r="T9416">
        <v>29</v>
      </c>
      <c r="U9416" s="2" t="s">
        <v>56402</v>
      </c>
      <c r="V9416" s="1">
        <v>44956</v>
      </c>
      <c r="W9416" t="s">
        <v>26915</v>
      </c>
      <c r="X9416">
        <v>838888</v>
      </c>
      <c r="Y9416" t="s">
        <v>1716</v>
      </c>
      <c r="Z9416" t="s">
        <v>1716</v>
      </c>
      <c r="AA9416" s="2" t="s">
        <v>56403</v>
      </c>
      <c r="AB9416" t="s">
        <v>70</v>
      </c>
      <c r="AC9416" t="s">
        <v>53615</v>
      </c>
      <c r="AD9416" t="s">
        <v>948</v>
      </c>
      <c r="AE9416" t="s">
        <v>1716</v>
      </c>
      <c r="AG9416" t="s">
        <v>56404</v>
      </c>
      <c r="AH9416" t="s">
        <v>56405</v>
      </c>
      <c r="AI9416" t="s">
        <v>56406</v>
      </c>
    </row>
    <row r="9417" spans="2:35" ht="330">
      <c r="B9417" s="1">
        <v>44956</v>
      </c>
      <c r="C9417" s="4">
        <v>44953.480555555558</v>
      </c>
      <c r="D9417" t="s">
        <v>56407</v>
      </c>
      <c r="E9417" t="s">
        <v>40162</v>
      </c>
      <c r="F9417">
        <v>3</v>
      </c>
      <c r="G9417" t="s">
        <v>134</v>
      </c>
      <c r="H9417" t="s">
        <v>39</v>
      </c>
      <c r="I9417" t="s">
        <v>40</v>
      </c>
      <c r="J9417" s="2" t="s">
        <v>62</v>
      </c>
      <c r="K9417" t="s">
        <v>42</v>
      </c>
      <c r="L9417" t="s">
        <v>135</v>
      </c>
      <c r="Q9417">
        <v>23180</v>
      </c>
      <c r="R9417" t="s">
        <v>45</v>
      </c>
      <c r="S9417" t="s">
        <v>56408</v>
      </c>
      <c r="T9417">
        <v>29.4</v>
      </c>
      <c r="U9417" s="2" t="s">
        <v>56409</v>
      </c>
      <c r="V9417" s="1">
        <v>44935</v>
      </c>
      <c r="W9417" t="s">
        <v>2680</v>
      </c>
      <c r="X9417">
        <v>838874</v>
      </c>
      <c r="Y9417" t="s">
        <v>53006</v>
      </c>
      <c r="Z9417" s="2" t="s">
        <v>56410</v>
      </c>
      <c r="AA9417" t="s">
        <v>56411</v>
      </c>
      <c r="AB9417" t="s">
        <v>181</v>
      </c>
      <c r="AC9417" t="s">
        <v>56412</v>
      </c>
      <c r="AD9417" t="s">
        <v>3628</v>
      </c>
      <c r="AE9417">
        <v>38013</v>
      </c>
      <c r="AG9417" t="s">
        <v>56413</v>
      </c>
      <c r="AH9417" t="s">
        <v>29543</v>
      </c>
      <c r="AI9417" t="s">
        <v>56414</v>
      </c>
    </row>
    <row r="9418" spans="2:35" ht="165">
      <c r="B9418" s="1">
        <v>44956</v>
      </c>
      <c r="C9418" s="4">
        <v>44953.477083333331</v>
      </c>
      <c r="D9418" t="s">
        <v>51190</v>
      </c>
      <c r="E9418" t="s">
        <v>420</v>
      </c>
      <c r="F9418" t="s">
        <v>148</v>
      </c>
      <c r="G9418" t="s">
        <v>421</v>
      </c>
      <c r="H9418" t="s">
        <v>39</v>
      </c>
      <c r="I9418" t="s">
        <v>40</v>
      </c>
      <c r="J9418" s="2" t="s">
        <v>62</v>
      </c>
      <c r="K9418" t="s">
        <v>42</v>
      </c>
      <c r="L9418" t="s">
        <v>175</v>
      </c>
      <c r="Q9418">
        <v>23178</v>
      </c>
      <c r="R9418" t="s">
        <v>45</v>
      </c>
      <c r="S9418" t="s">
        <v>56415</v>
      </c>
      <c r="T9418">
        <v>25</v>
      </c>
      <c r="U9418" s="2" t="s">
        <v>56416</v>
      </c>
      <c r="W9418" t="s">
        <v>6776</v>
      </c>
      <c r="X9418">
        <v>805009</v>
      </c>
      <c r="Y9418" t="s">
        <v>6777</v>
      </c>
      <c r="Z9418" t="s">
        <v>5230</v>
      </c>
      <c r="AA9418" t="e">
        <f ca="1">- checked &amp; cleaned cartridge bay, plunger rod, I CORE slot, _xludf.filter
- performed XpertCheck
- generated reports</f>
        <v>#NAME?</v>
      </c>
      <c r="AB9418" t="s">
        <v>56417</v>
      </c>
      <c r="AG9418" t="s">
        <v>56418</v>
      </c>
      <c r="AH9418" t="s">
        <v>56419</v>
      </c>
      <c r="AI9418" t="s">
        <v>56420</v>
      </c>
    </row>
    <row r="9419" spans="2:35">
      <c r="B9419" s="1">
        <v>44956</v>
      </c>
      <c r="C9419" s="4">
        <v>44952.535416666666</v>
      </c>
      <c r="D9419" t="s">
        <v>28161</v>
      </c>
      <c r="E9419" t="s">
        <v>56421</v>
      </c>
      <c r="F9419" t="s">
        <v>148</v>
      </c>
      <c r="G9419" t="s">
        <v>447</v>
      </c>
      <c r="H9419" t="s">
        <v>513</v>
      </c>
      <c r="I9419" t="s">
        <v>40</v>
      </c>
      <c r="J9419" t="s">
        <v>109</v>
      </c>
      <c r="K9419" t="s">
        <v>387</v>
      </c>
      <c r="L9419" t="s">
        <v>175</v>
      </c>
      <c r="Q9419">
        <v>23177</v>
      </c>
      <c r="R9419" t="s">
        <v>95</v>
      </c>
      <c r="S9419" t="s">
        <v>176</v>
      </c>
      <c r="T9419">
        <v>25</v>
      </c>
      <c r="W9419" t="s">
        <v>390</v>
      </c>
      <c r="X9419" t="s">
        <v>4307</v>
      </c>
      <c r="Y9419" t="s">
        <v>374</v>
      </c>
      <c r="Z9419" t="s">
        <v>122</v>
      </c>
      <c r="AA9419" t="e">
        <f ca="1">- checked rotor roller pumps
- checked CALIBRATION parameters
- performed self-test</f>
        <v>#NAME?</v>
      </c>
      <c r="AB9419" t="s">
        <v>88</v>
      </c>
      <c r="AG9419" t="s">
        <v>56422</v>
      </c>
      <c r="AH9419" t="s">
        <v>13479</v>
      </c>
      <c r="AI9419" t="s">
        <v>56423</v>
      </c>
    </row>
    <row r="9420" spans="2:35" ht="210">
      <c r="B9420" s="1">
        <v>44956</v>
      </c>
      <c r="C9420" s="4">
        <v>44953.525694444441</v>
      </c>
      <c r="D9420" t="s">
        <v>22944</v>
      </c>
      <c r="E9420" t="s">
        <v>22945</v>
      </c>
      <c r="F9420" t="s">
        <v>148</v>
      </c>
      <c r="G9420" t="s">
        <v>22765</v>
      </c>
      <c r="H9420" t="s">
        <v>5523</v>
      </c>
      <c r="I9420" t="s">
        <v>40</v>
      </c>
      <c r="J9420" s="2" t="s">
        <v>62</v>
      </c>
      <c r="K9420" t="s">
        <v>42</v>
      </c>
      <c r="L9420" t="s">
        <v>175</v>
      </c>
      <c r="Q9420">
        <v>23179</v>
      </c>
      <c r="R9420" t="s">
        <v>119</v>
      </c>
      <c r="S9420" t="s">
        <v>56424</v>
      </c>
      <c r="T9420">
        <v>25</v>
      </c>
      <c r="U9420" s="2" t="s">
        <v>56425</v>
      </c>
      <c r="W9420" t="s">
        <v>84</v>
      </c>
      <c r="X9420">
        <v>838880</v>
      </c>
      <c r="Y9420" t="s">
        <v>998</v>
      </c>
      <c r="Z9420" t="s">
        <v>999</v>
      </c>
      <c r="AA9420" t="e">
        <f ca="1">- checked &amp; cleaned cartridge bay, plunger rod, I CORE slot, _xludf.filter
- performed XpertCheck
- generated reports</f>
        <v>#NAME?</v>
      </c>
      <c r="AB9420" t="s">
        <v>56426</v>
      </c>
      <c r="AG9420" t="s">
        <v>56427</v>
      </c>
      <c r="AH9420" t="s">
        <v>56428</v>
      </c>
      <c r="AI9420" t="s">
        <v>56429</v>
      </c>
    </row>
    <row r="9421" spans="2:35" ht="180">
      <c r="B9421" s="1">
        <v>44956</v>
      </c>
      <c r="C9421" s="4">
        <v>44951.636111111111</v>
      </c>
      <c r="D9421" t="s">
        <v>49022</v>
      </c>
      <c r="E9421" t="s">
        <v>33049</v>
      </c>
      <c r="F9421">
        <v>3</v>
      </c>
      <c r="G9421" t="s">
        <v>174</v>
      </c>
      <c r="H9421" t="s">
        <v>39</v>
      </c>
      <c r="I9421" t="s">
        <v>40</v>
      </c>
      <c r="J9421" s="2" t="s">
        <v>62</v>
      </c>
      <c r="K9421" t="s">
        <v>42</v>
      </c>
      <c r="L9421" t="s">
        <v>175</v>
      </c>
      <c r="Q9421">
        <v>23176</v>
      </c>
      <c r="R9421" t="s">
        <v>45</v>
      </c>
      <c r="S9421" t="s">
        <v>1771</v>
      </c>
      <c r="T9421">
        <v>25</v>
      </c>
      <c r="U9421" s="2" t="s">
        <v>56430</v>
      </c>
      <c r="W9421" t="s">
        <v>84</v>
      </c>
      <c r="X9421">
        <v>838167</v>
      </c>
      <c r="Y9421" t="s">
        <v>56431</v>
      </c>
      <c r="Z9421" t="s">
        <v>34204</v>
      </c>
      <c r="AA9421" t="e">
        <f ca="1">- checked &amp; cleaned cartridge bay, plunger rod, I CORE slot, _xludf.filter
- performed XpertCheck except on B3 (module already Reported _xludf.For Replacement)
- generated reports
- performed functionality test</f>
        <v>#NAME?</v>
      </c>
      <c r="AB9421" t="s">
        <v>56432</v>
      </c>
      <c r="AG9421" t="s">
        <v>56433</v>
      </c>
      <c r="AH9421" t="s">
        <v>1773</v>
      </c>
      <c r="AI9421" t="s">
        <v>56434</v>
      </c>
    </row>
    <row r="9422" spans="2:35" ht="285">
      <c r="B9422" s="1">
        <v>44956</v>
      </c>
      <c r="C9422" s="4">
        <v>44950.578472222223</v>
      </c>
      <c r="D9422" t="s">
        <v>228</v>
      </c>
      <c r="E9422" t="s">
        <v>9436</v>
      </c>
      <c r="F9422" t="s">
        <v>148</v>
      </c>
      <c r="G9422" t="s">
        <v>230</v>
      </c>
      <c r="H9422" t="s">
        <v>39</v>
      </c>
      <c r="I9422" t="s">
        <v>40</v>
      </c>
      <c r="J9422" s="2" t="s">
        <v>190</v>
      </c>
      <c r="K9422" t="s">
        <v>42</v>
      </c>
      <c r="L9422" t="s">
        <v>175</v>
      </c>
      <c r="Q9422">
        <v>23175</v>
      </c>
      <c r="R9422" t="s">
        <v>119</v>
      </c>
      <c r="S9422" t="s">
        <v>23986</v>
      </c>
      <c r="T9422">
        <v>25</v>
      </c>
      <c r="U9422" s="2" t="s">
        <v>56435</v>
      </c>
      <c r="W9422" t="s">
        <v>12212</v>
      </c>
      <c r="X9422">
        <v>831596</v>
      </c>
      <c r="Y9422" t="s">
        <v>56436</v>
      </c>
      <c r="Z9422" t="s">
        <v>56437</v>
      </c>
      <c r="AA9422" t="e">
        <f ca="1">- checked &amp; cleaned cartridge bay,plunger rod, icore slot, _xludf.filter
- performed functionality test
- generated reports</f>
        <v>#NAME?</v>
      </c>
      <c r="AB9422" t="s">
        <v>56438</v>
      </c>
      <c r="AG9422" t="s">
        <v>56439</v>
      </c>
      <c r="AH9422" t="s">
        <v>12014</v>
      </c>
      <c r="AI9422" t="s">
        <v>56440</v>
      </c>
    </row>
    <row r="9423" spans="2:35" ht="180">
      <c r="B9423" s="1">
        <v>44956</v>
      </c>
      <c r="C9423" s="4">
        <v>44951.507638888892</v>
      </c>
      <c r="D9423" t="s">
        <v>24188</v>
      </c>
      <c r="E9423" t="s">
        <v>3140</v>
      </c>
      <c r="F9423">
        <v>3</v>
      </c>
      <c r="G9423" t="s">
        <v>174</v>
      </c>
      <c r="H9423" t="s">
        <v>39</v>
      </c>
      <c r="I9423" t="s">
        <v>40</v>
      </c>
      <c r="J9423" s="2" t="s">
        <v>62</v>
      </c>
      <c r="K9423" t="s">
        <v>42</v>
      </c>
      <c r="L9423" t="s">
        <v>175</v>
      </c>
      <c r="Q9423">
        <v>23172</v>
      </c>
      <c r="R9423" t="s">
        <v>719</v>
      </c>
      <c r="S9423" t="s">
        <v>56441</v>
      </c>
      <c r="T9423">
        <v>25</v>
      </c>
      <c r="U9423" s="2" t="s">
        <v>56442</v>
      </c>
      <c r="W9423" t="s">
        <v>84</v>
      </c>
      <c r="X9423">
        <v>838862</v>
      </c>
      <c r="Y9423" t="s">
        <v>998</v>
      </c>
      <c r="Z9423" t="s">
        <v>56443</v>
      </c>
      <c r="AA9423" t="e">
        <f ca="1">- checked &amp; cleaned cartridge bay, plunger rod, I CORE slot, _xludf.filter
- performed XpertCheck
- generated reports
- performed functionality test</f>
        <v>#NAME?</v>
      </c>
      <c r="AB9423" t="s">
        <v>56057</v>
      </c>
      <c r="AG9423" t="s">
        <v>56444</v>
      </c>
      <c r="AH9423" t="s">
        <v>56445</v>
      </c>
      <c r="AI9423" t="s">
        <v>56446</v>
      </c>
    </row>
    <row r="9424" spans="2:35" ht="285">
      <c r="B9424" s="1">
        <v>44956</v>
      </c>
      <c r="C9424" s="4">
        <v>44950.574305555558</v>
      </c>
      <c r="D9424" t="s">
        <v>56447</v>
      </c>
      <c r="E9424" t="s">
        <v>9436</v>
      </c>
      <c r="F9424" t="s">
        <v>148</v>
      </c>
      <c r="G9424" t="s">
        <v>230</v>
      </c>
      <c r="H9424" t="s">
        <v>39</v>
      </c>
      <c r="I9424" t="s">
        <v>40</v>
      </c>
      <c r="J9424" s="2" t="s">
        <v>1309</v>
      </c>
      <c r="K9424" t="s">
        <v>42</v>
      </c>
      <c r="L9424" t="s">
        <v>175</v>
      </c>
      <c r="Q9424">
        <v>23173</v>
      </c>
      <c r="R9424" t="s">
        <v>45</v>
      </c>
      <c r="S9424" t="s">
        <v>23986</v>
      </c>
      <c r="T9424">
        <v>25</v>
      </c>
      <c r="U9424" s="2" t="s">
        <v>56448</v>
      </c>
      <c r="V9424" s="1">
        <v>44949</v>
      </c>
      <c r="W9424" t="s">
        <v>6776</v>
      </c>
      <c r="X9424">
        <v>805062</v>
      </c>
      <c r="Y9424" t="e">
        <f ca="1">- Unit _xludf.For CALIBRATION
- module A2 _xludf.For Replacement</f>
        <v>#NAME?</v>
      </c>
      <c r="Z9424" t="s">
        <v>56449</v>
      </c>
      <c r="AA9424" t="e">
        <f ca="1">- replaced A2
- checked _xludf.and cleaned cartridge bay, plunger rod, icore slot, _xludf.filter
- performed XpertCheck
- generated reports</f>
        <v>#NAME?</v>
      </c>
      <c r="AB9424" t="s">
        <v>56450</v>
      </c>
      <c r="AD9424" t="s">
        <v>56451</v>
      </c>
      <c r="AE9424" t="s">
        <v>56452</v>
      </c>
      <c r="AG9424" t="s">
        <v>56453</v>
      </c>
      <c r="AH9424" t="s">
        <v>12014</v>
      </c>
      <c r="AI9424" t="s">
        <v>56454</v>
      </c>
    </row>
    <row r="9425" spans="2:35" ht="375">
      <c r="B9425" s="1">
        <v>44956</v>
      </c>
      <c r="C9425" s="4">
        <v>44952.521527777775</v>
      </c>
      <c r="D9425" t="s">
        <v>56455</v>
      </c>
      <c r="E9425" t="s">
        <v>7442</v>
      </c>
      <c r="F9425" t="s">
        <v>148</v>
      </c>
      <c r="G9425" t="s">
        <v>447</v>
      </c>
      <c r="H9425" t="s">
        <v>39</v>
      </c>
      <c r="I9425" t="s">
        <v>40</v>
      </c>
      <c r="J9425" t="s">
        <v>109</v>
      </c>
      <c r="K9425" t="s">
        <v>42</v>
      </c>
      <c r="L9425" t="s">
        <v>175</v>
      </c>
      <c r="Q9425">
        <v>23174</v>
      </c>
      <c r="R9425" t="s">
        <v>703</v>
      </c>
      <c r="S9425" t="s">
        <v>56456</v>
      </c>
      <c r="T9425">
        <v>23</v>
      </c>
      <c r="U9425" s="2" t="s">
        <v>56457</v>
      </c>
      <c r="W9425" t="s">
        <v>84</v>
      </c>
      <c r="X9425">
        <v>847578</v>
      </c>
      <c r="Y9425" t="s">
        <v>374</v>
      </c>
      <c r="Z9425" t="s">
        <v>122</v>
      </c>
      <c r="AA9425" t="e">
        <f ca="1">- checked &amp; cleaned cartridge bay, plunger rod, I CORE slot, _xludf.filter
- generated reports
- performed functionality test</f>
        <v>#NAME?</v>
      </c>
      <c r="AB9425" t="s">
        <v>56458</v>
      </c>
      <c r="AG9425" t="s">
        <v>56459</v>
      </c>
      <c r="AH9425" t="s">
        <v>3332</v>
      </c>
      <c r="AI9425" t="s">
        <v>56460</v>
      </c>
    </row>
    <row r="9426" spans="2:35" ht="195">
      <c r="B9426" s="1">
        <v>44956</v>
      </c>
      <c r="C9426" s="4">
        <v>44954.330555555556</v>
      </c>
      <c r="D9426" t="s">
        <v>837</v>
      </c>
      <c r="E9426" t="s">
        <v>27098</v>
      </c>
      <c r="F9426">
        <v>5</v>
      </c>
      <c r="G9426" t="s">
        <v>839</v>
      </c>
      <c r="H9426" t="s">
        <v>2274</v>
      </c>
      <c r="I9426" t="s">
        <v>40</v>
      </c>
      <c r="J9426" s="2" t="s">
        <v>62</v>
      </c>
      <c r="K9426" t="s">
        <v>387</v>
      </c>
      <c r="L9426" t="s">
        <v>43</v>
      </c>
      <c r="Q9426">
        <v>23171</v>
      </c>
      <c r="R9426" t="s">
        <v>95</v>
      </c>
      <c r="S9426" t="s">
        <v>10559</v>
      </c>
      <c r="T9426">
        <v>27</v>
      </c>
      <c r="W9426" t="s">
        <v>390</v>
      </c>
      <c r="X9426" t="s">
        <v>841</v>
      </c>
      <c r="Y9426" t="s">
        <v>121</v>
      </c>
      <c r="Z9426" t="s">
        <v>122</v>
      </c>
      <c r="AA9426" s="2" t="s">
        <v>56461</v>
      </c>
      <c r="AB9426" t="s">
        <v>181</v>
      </c>
      <c r="AG9426" t="s">
        <v>56462</v>
      </c>
      <c r="AH9426" t="s">
        <v>11837</v>
      </c>
      <c r="AI9426" t="s">
        <v>56463</v>
      </c>
    </row>
    <row r="9427" spans="2:35" ht="409.5">
      <c r="B9427" s="1">
        <v>44956</v>
      </c>
      <c r="C9427" s="4">
        <v>44954.304166666669</v>
      </c>
      <c r="D9427" t="s">
        <v>837</v>
      </c>
      <c r="E9427" t="s">
        <v>27098</v>
      </c>
      <c r="F9427">
        <v>5</v>
      </c>
      <c r="G9427" t="s">
        <v>839</v>
      </c>
      <c r="H9427" t="s">
        <v>39</v>
      </c>
      <c r="I9427" t="s">
        <v>40</v>
      </c>
      <c r="J9427" t="s">
        <v>109</v>
      </c>
      <c r="K9427" t="s">
        <v>42</v>
      </c>
      <c r="L9427" t="s">
        <v>43</v>
      </c>
      <c r="Q9427">
        <v>23168</v>
      </c>
      <c r="R9427" t="s">
        <v>45</v>
      </c>
      <c r="S9427" t="s">
        <v>56464</v>
      </c>
      <c r="T9427">
        <v>22</v>
      </c>
      <c r="U9427" s="2" t="s">
        <v>56465</v>
      </c>
      <c r="W9427" t="s">
        <v>40863</v>
      </c>
      <c r="X9427">
        <v>842225</v>
      </c>
      <c r="Y9427" t="s">
        <v>121</v>
      </c>
      <c r="Z9427" t="s">
        <v>122</v>
      </c>
      <c r="AA9427" s="2" t="s">
        <v>56466</v>
      </c>
      <c r="AB9427" t="s">
        <v>88</v>
      </c>
      <c r="AC9427" t="s">
        <v>56467</v>
      </c>
      <c r="AG9427" t="s">
        <v>56468</v>
      </c>
      <c r="AH9427" t="s">
        <v>56469</v>
      </c>
      <c r="AI9427" t="s">
        <v>56470</v>
      </c>
    </row>
    <row r="9428" spans="2:35" ht="270">
      <c r="B9428" s="1">
        <v>44956</v>
      </c>
      <c r="C9428" s="4">
        <v>44954.309027777781</v>
      </c>
      <c r="D9428" t="s">
        <v>837</v>
      </c>
      <c r="E9428" t="s">
        <v>27098</v>
      </c>
      <c r="F9428">
        <v>5</v>
      </c>
      <c r="G9428" t="s">
        <v>839</v>
      </c>
      <c r="H9428" t="s">
        <v>39</v>
      </c>
      <c r="I9428" t="s">
        <v>40</v>
      </c>
      <c r="J9428" t="s">
        <v>109</v>
      </c>
      <c r="K9428" t="s">
        <v>42</v>
      </c>
      <c r="L9428" t="s">
        <v>43</v>
      </c>
      <c r="Q9428">
        <v>23167</v>
      </c>
      <c r="R9428" t="s">
        <v>322</v>
      </c>
      <c r="S9428" t="s">
        <v>56464</v>
      </c>
      <c r="T9428">
        <v>22</v>
      </c>
      <c r="U9428" s="2" t="s">
        <v>56471</v>
      </c>
      <c r="W9428" t="s">
        <v>9792</v>
      </c>
      <c r="X9428">
        <v>110008458</v>
      </c>
      <c r="Y9428" t="s">
        <v>121</v>
      </c>
      <c r="Z9428" t="s">
        <v>122</v>
      </c>
      <c r="AA9428" s="2" t="s">
        <v>56472</v>
      </c>
      <c r="AB9428" t="s">
        <v>16412</v>
      </c>
      <c r="AG9428" t="s">
        <v>56473</v>
      </c>
      <c r="AH9428" t="s">
        <v>56474</v>
      </c>
      <c r="AI9428" t="s">
        <v>56475</v>
      </c>
    </row>
    <row r="9429" spans="2:35" ht="195">
      <c r="B9429" s="1">
        <v>44956</v>
      </c>
      <c r="C9429" s="4">
        <v>44954.328472222223</v>
      </c>
      <c r="D9429" t="s">
        <v>837</v>
      </c>
      <c r="E9429" t="s">
        <v>27098</v>
      </c>
      <c r="F9429">
        <v>5</v>
      </c>
      <c r="G9429" t="s">
        <v>839</v>
      </c>
      <c r="H9429" t="s">
        <v>2274</v>
      </c>
      <c r="I9429" t="s">
        <v>40</v>
      </c>
      <c r="J9429" s="2" t="s">
        <v>62</v>
      </c>
      <c r="K9429" t="s">
        <v>387</v>
      </c>
      <c r="L9429" t="s">
        <v>43</v>
      </c>
      <c r="Q9429">
        <v>23170</v>
      </c>
      <c r="R9429" t="s">
        <v>95</v>
      </c>
      <c r="S9429" t="s">
        <v>10559</v>
      </c>
      <c r="T9429">
        <v>27</v>
      </c>
      <c r="W9429" t="s">
        <v>390</v>
      </c>
      <c r="X9429" t="s">
        <v>847</v>
      </c>
      <c r="Y9429" t="s">
        <v>9934</v>
      </c>
      <c r="Z9429" t="s">
        <v>122</v>
      </c>
      <c r="AA9429" s="2" t="s">
        <v>56476</v>
      </c>
      <c r="AB9429" t="s">
        <v>88</v>
      </c>
      <c r="AG9429" t="s">
        <v>56477</v>
      </c>
      <c r="AH9429" t="s">
        <v>56478</v>
      </c>
      <c r="AI9429" t="s">
        <v>56479</v>
      </c>
    </row>
    <row r="9430" spans="2:35" ht="180">
      <c r="B9430" s="1">
        <v>44956</v>
      </c>
      <c r="C9430" s="4">
        <v>44953.606249999997</v>
      </c>
      <c r="D9430" t="s">
        <v>5807</v>
      </c>
      <c r="E9430" t="s">
        <v>43884</v>
      </c>
      <c r="F9430">
        <v>5</v>
      </c>
      <c r="G9430" t="s">
        <v>759</v>
      </c>
      <c r="H9430" t="s">
        <v>39</v>
      </c>
      <c r="I9430" t="s">
        <v>40</v>
      </c>
      <c r="J9430" s="2" t="s">
        <v>190</v>
      </c>
      <c r="K9430" t="s">
        <v>42</v>
      </c>
      <c r="L9430" t="s">
        <v>43</v>
      </c>
      <c r="Q9430">
        <v>23167</v>
      </c>
      <c r="R9430" t="s">
        <v>119</v>
      </c>
      <c r="S9430" t="s">
        <v>7099</v>
      </c>
      <c r="T9430">
        <v>22</v>
      </c>
      <c r="U9430" s="2" t="s">
        <v>56480</v>
      </c>
      <c r="W9430" t="s">
        <v>9792</v>
      </c>
      <c r="X9430">
        <v>838408</v>
      </c>
      <c r="Y9430" t="s">
        <v>56481</v>
      </c>
      <c r="Z9430" t="s">
        <v>999</v>
      </c>
      <c r="AA9430" s="2" t="s">
        <v>38266</v>
      </c>
      <c r="AB9430" t="s">
        <v>56482</v>
      </c>
      <c r="AG9430" t="s">
        <v>56483</v>
      </c>
      <c r="AH9430" t="s">
        <v>7107</v>
      </c>
      <c r="AI9430" t="s">
        <v>56484</v>
      </c>
    </row>
    <row r="9431" spans="2:35" ht="180">
      <c r="B9431" s="1">
        <v>44956</v>
      </c>
      <c r="C9431" s="4">
        <v>44953.535416666666</v>
      </c>
      <c r="D9431" t="s">
        <v>7529</v>
      </c>
      <c r="E9431" t="s">
        <v>56485</v>
      </c>
      <c r="F9431">
        <v>5</v>
      </c>
      <c r="G9431" t="s">
        <v>759</v>
      </c>
      <c r="H9431" t="s">
        <v>39</v>
      </c>
      <c r="I9431" t="s">
        <v>40</v>
      </c>
      <c r="J9431" s="2" t="s">
        <v>190</v>
      </c>
      <c r="K9431" t="s">
        <v>42</v>
      </c>
      <c r="L9431" t="s">
        <v>43</v>
      </c>
      <c r="Q9431">
        <v>23169</v>
      </c>
      <c r="R9431" t="s">
        <v>119</v>
      </c>
      <c r="S9431" t="s">
        <v>17907</v>
      </c>
      <c r="T9431">
        <v>22</v>
      </c>
      <c r="U9431" s="2" t="s">
        <v>56486</v>
      </c>
      <c r="W9431" t="s">
        <v>9792</v>
      </c>
      <c r="X9431">
        <v>838397</v>
      </c>
      <c r="Y9431" t="s">
        <v>56487</v>
      </c>
      <c r="Z9431" t="s">
        <v>1519</v>
      </c>
      <c r="AA9431" s="2" t="s">
        <v>38266</v>
      </c>
      <c r="AB9431" t="s">
        <v>56488</v>
      </c>
      <c r="AC9431" t="s">
        <v>56489</v>
      </c>
      <c r="AG9431" t="s">
        <v>56490</v>
      </c>
      <c r="AH9431" t="s">
        <v>15870</v>
      </c>
      <c r="AI9431" t="s">
        <v>56491</v>
      </c>
    </row>
    <row r="9432" spans="2:35" ht="105">
      <c r="B9432" s="1">
        <v>44954</v>
      </c>
      <c r="C9432" s="4">
        <v>44954.63958333333</v>
      </c>
      <c r="D9432" t="s">
        <v>56492</v>
      </c>
      <c r="E9432" t="s">
        <v>56493</v>
      </c>
      <c r="F9432">
        <v>7</v>
      </c>
      <c r="G9432" t="s">
        <v>6529</v>
      </c>
      <c r="H9432" t="s">
        <v>12698</v>
      </c>
      <c r="I9432" t="s">
        <v>94</v>
      </c>
      <c r="J9432" s="2" t="s">
        <v>1157</v>
      </c>
      <c r="K9432" t="s">
        <v>42</v>
      </c>
      <c r="L9432" t="s">
        <v>610</v>
      </c>
      <c r="Q9432">
        <v>23166</v>
      </c>
      <c r="R9432" t="s">
        <v>45</v>
      </c>
      <c r="S9432" t="s">
        <v>30507</v>
      </c>
      <c r="T9432">
        <v>28</v>
      </c>
      <c r="U9432" s="2" t="s">
        <v>56494</v>
      </c>
      <c r="V9432" s="1">
        <v>44954</v>
      </c>
      <c r="W9432" t="s">
        <v>502</v>
      </c>
      <c r="X9432">
        <v>820228</v>
      </c>
      <c r="Y9432" t="s">
        <v>49622</v>
      </c>
      <c r="Z9432" t="s">
        <v>56495</v>
      </c>
      <c r="AA9432" t="s">
        <v>56496</v>
      </c>
      <c r="AB9432" t="s">
        <v>56497</v>
      </c>
      <c r="AD9432" t="s">
        <v>103</v>
      </c>
      <c r="AE9432" t="s">
        <v>103</v>
      </c>
      <c r="AG9432" t="s">
        <v>56498</v>
      </c>
      <c r="AH9432" t="s">
        <v>56499</v>
      </c>
      <c r="AI9432" t="s">
        <v>56500</v>
      </c>
    </row>
    <row r="9433" spans="2:35" ht="90">
      <c r="B9433" s="1">
        <v>44954</v>
      </c>
      <c r="C9433" s="4">
        <v>44954.460416666669</v>
      </c>
      <c r="D9433" t="s">
        <v>56501</v>
      </c>
      <c r="E9433" t="s">
        <v>56502</v>
      </c>
      <c r="F9433">
        <v>7</v>
      </c>
      <c r="G9433" t="s">
        <v>6529</v>
      </c>
      <c r="H9433" t="s">
        <v>2581</v>
      </c>
      <c r="I9433" t="s">
        <v>94</v>
      </c>
      <c r="J9433" t="s">
        <v>996</v>
      </c>
      <c r="K9433" t="s">
        <v>42</v>
      </c>
      <c r="L9433" t="s">
        <v>610</v>
      </c>
      <c r="Q9433">
        <v>23165</v>
      </c>
      <c r="R9433" t="s">
        <v>119</v>
      </c>
      <c r="S9433" t="s">
        <v>27956</v>
      </c>
      <c r="T9433">
        <v>22</v>
      </c>
      <c r="U9433" s="2" t="s">
        <v>56503</v>
      </c>
      <c r="V9433" s="1">
        <v>44954</v>
      </c>
      <c r="W9433" t="s">
        <v>502</v>
      </c>
      <c r="X9433">
        <v>838394</v>
      </c>
      <c r="Y9433" t="s">
        <v>51624</v>
      </c>
      <c r="Z9433" t="s">
        <v>5230</v>
      </c>
      <c r="AA9433" t="s">
        <v>56504</v>
      </c>
      <c r="AB9433" t="s">
        <v>56505</v>
      </c>
      <c r="AD9433" t="s">
        <v>103</v>
      </c>
      <c r="AE9433" t="s">
        <v>103</v>
      </c>
      <c r="AG9433" t="s">
        <v>56506</v>
      </c>
      <c r="AH9433" t="s">
        <v>12989</v>
      </c>
      <c r="AI9433" t="s">
        <v>56507</v>
      </c>
    </row>
    <row r="9434" spans="2:35" ht="195">
      <c r="B9434" s="1">
        <v>44953</v>
      </c>
      <c r="C9434" s="4">
        <v>44951.616666666669</v>
      </c>
      <c r="D9434" t="s">
        <v>56112</v>
      </c>
      <c r="E9434" t="s">
        <v>56113</v>
      </c>
      <c r="F9434" t="s">
        <v>37</v>
      </c>
      <c r="G9434" t="s">
        <v>189</v>
      </c>
      <c r="H9434" t="s">
        <v>39</v>
      </c>
      <c r="I9434" t="s">
        <v>40</v>
      </c>
      <c r="J9434" s="2" t="s">
        <v>62</v>
      </c>
      <c r="K9434" t="s">
        <v>42</v>
      </c>
      <c r="L9434" t="s">
        <v>1943</v>
      </c>
      <c r="Q9434">
        <v>23164</v>
      </c>
      <c r="R9434" t="s">
        <v>45</v>
      </c>
      <c r="S9434" t="s">
        <v>30252</v>
      </c>
      <c r="T9434">
        <v>25</v>
      </c>
      <c r="U9434" s="2" t="s">
        <v>56114</v>
      </c>
      <c r="V9434" s="1">
        <v>44951</v>
      </c>
      <c r="W9434" t="s">
        <v>84</v>
      </c>
      <c r="X9434">
        <v>812786</v>
      </c>
      <c r="Y9434" s="2" t="s">
        <v>56115</v>
      </c>
      <c r="Z9434" s="2" t="s">
        <v>47457</v>
      </c>
      <c r="AA9434" t="s">
        <v>3045</v>
      </c>
      <c r="AB9434" t="s">
        <v>56116</v>
      </c>
      <c r="AD9434" t="s">
        <v>11518</v>
      </c>
      <c r="AE9434" t="s">
        <v>1716</v>
      </c>
      <c r="AG9434" t="s">
        <v>56508</v>
      </c>
      <c r="AH9434" t="s">
        <v>41934</v>
      </c>
      <c r="AI9434" t="s">
        <v>56509</v>
      </c>
    </row>
    <row r="9435" spans="2:35" ht="195">
      <c r="B9435" s="1">
        <v>44953</v>
      </c>
      <c r="C9435" s="4">
        <v>44951.616666666669</v>
      </c>
      <c r="D9435" t="s">
        <v>56112</v>
      </c>
      <c r="E9435" t="s">
        <v>56113</v>
      </c>
      <c r="F9435" t="s">
        <v>37</v>
      </c>
      <c r="G9435" t="s">
        <v>189</v>
      </c>
      <c r="H9435" t="s">
        <v>39</v>
      </c>
      <c r="I9435" t="s">
        <v>40</v>
      </c>
      <c r="J9435" s="2" t="s">
        <v>62</v>
      </c>
      <c r="K9435" t="s">
        <v>42</v>
      </c>
      <c r="L9435" t="s">
        <v>1943</v>
      </c>
      <c r="Q9435">
        <v>23163</v>
      </c>
      <c r="R9435" t="s">
        <v>45</v>
      </c>
      <c r="S9435" t="s">
        <v>30252</v>
      </c>
      <c r="T9435">
        <v>25</v>
      </c>
      <c r="U9435" s="2" t="s">
        <v>56114</v>
      </c>
      <c r="V9435" s="1">
        <v>44951</v>
      </c>
      <c r="W9435" t="s">
        <v>84</v>
      </c>
      <c r="X9435">
        <v>812786</v>
      </c>
      <c r="Y9435" s="2" t="s">
        <v>56115</v>
      </c>
      <c r="Z9435" s="2" t="s">
        <v>47457</v>
      </c>
      <c r="AA9435" t="s">
        <v>3045</v>
      </c>
      <c r="AB9435" t="s">
        <v>56116</v>
      </c>
      <c r="AD9435" t="s">
        <v>11518</v>
      </c>
      <c r="AE9435" t="s">
        <v>1716</v>
      </c>
      <c r="AG9435" t="s">
        <v>56510</v>
      </c>
      <c r="AH9435" t="s">
        <v>41934</v>
      </c>
      <c r="AI9435" t="s">
        <v>56511</v>
      </c>
    </row>
    <row r="9436" spans="2:35" ht="285">
      <c r="B9436" s="1">
        <v>44953</v>
      </c>
      <c r="C9436" s="4">
        <v>44952.480555555558</v>
      </c>
      <c r="D9436" t="s">
        <v>31886</v>
      </c>
      <c r="E9436" t="s">
        <v>56512</v>
      </c>
      <c r="F9436" t="s">
        <v>1181</v>
      </c>
      <c r="G9436" t="s">
        <v>7148</v>
      </c>
      <c r="H9436" t="s">
        <v>39</v>
      </c>
      <c r="I9436" t="s">
        <v>40</v>
      </c>
      <c r="J9436" s="2" t="s">
        <v>1309</v>
      </c>
      <c r="K9436" t="s">
        <v>42</v>
      </c>
      <c r="L9436" t="s">
        <v>1943</v>
      </c>
      <c r="Q9436">
        <v>23162</v>
      </c>
      <c r="R9436" t="s">
        <v>45</v>
      </c>
      <c r="S9436" t="s">
        <v>42657</v>
      </c>
      <c r="T9436">
        <v>27</v>
      </c>
      <c r="U9436" s="2" t="s">
        <v>56513</v>
      </c>
      <c r="V9436" s="1">
        <v>44952</v>
      </c>
      <c r="W9436" t="s">
        <v>84</v>
      </c>
      <c r="X9436">
        <v>812791</v>
      </c>
      <c r="Y9436" s="2" t="s">
        <v>56514</v>
      </c>
      <c r="Z9436" s="2" t="s">
        <v>56515</v>
      </c>
      <c r="AA9436" t="s">
        <v>54309</v>
      </c>
      <c r="AB9436" t="s">
        <v>8352</v>
      </c>
      <c r="AD9436" t="s">
        <v>56516</v>
      </c>
      <c r="AE9436" t="s">
        <v>1716</v>
      </c>
      <c r="AG9436" t="s">
        <v>56517</v>
      </c>
      <c r="AH9436" t="s">
        <v>45787</v>
      </c>
      <c r="AI9436" t="s">
        <v>56518</v>
      </c>
    </row>
    <row r="9437" spans="2:35" ht="90">
      <c r="B9437" s="1">
        <v>44953</v>
      </c>
      <c r="C9437" s="4">
        <v>44953.752083333333</v>
      </c>
      <c r="D9437" t="s">
        <v>10368</v>
      </c>
      <c r="E9437" t="s">
        <v>10369</v>
      </c>
      <c r="F9437">
        <v>7</v>
      </c>
      <c r="G9437" t="s">
        <v>6529</v>
      </c>
      <c r="H9437" t="s">
        <v>2290</v>
      </c>
      <c r="I9437" t="s">
        <v>94</v>
      </c>
      <c r="J9437" t="s">
        <v>996</v>
      </c>
      <c r="K9437" t="s">
        <v>42</v>
      </c>
      <c r="L9437" t="s">
        <v>610</v>
      </c>
      <c r="Q9437">
        <v>23161</v>
      </c>
      <c r="R9437" t="s">
        <v>119</v>
      </c>
      <c r="S9437" t="s">
        <v>10370</v>
      </c>
      <c r="T9437">
        <v>20</v>
      </c>
      <c r="U9437" s="2" t="s">
        <v>56519</v>
      </c>
      <c r="V9437" s="1">
        <v>44953</v>
      </c>
      <c r="W9437" t="s">
        <v>502</v>
      </c>
      <c r="X9437">
        <v>838203</v>
      </c>
      <c r="Y9437" t="s">
        <v>56520</v>
      </c>
      <c r="Z9437" t="s">
        <v>56521</v>
      </c>
      <c r="AA9437" t="s">
        <v>56522</v>
      </c>
      <c r="AB9437" t="s">
        <v>1263</v>
      </c>
      <c r="AD9437" t="s">
        <v>103</v>
      </c>
      <c r="AE9437" t="s">
        <v>103</v>
      </c>
      <c r="AG9437" t="s">
        <v>56523</v>
      </c>
      <c r="AH9437" t="s">
        <v>46396</v>
      </c>
      <c r="AI9437" t="s">
        <v>56524</v>
      </c>
    </row>
    <row r="9438" spans="2:35" ht="255">
      <c r="B9438" s="1">
        <v>44953</v>
      </c>
      <c r="C9438" s="4">
        <v>44953.658333333333</v>
      </c>
      <c r="D9438" t="s">
        <v>53201</v>
      </c>
      <c r="E9438" t="s">
        <v>56525</v>
      </c>
      <c r="F9438" t="s">
        <v>148</v>
      </c>
      <c r="G9438" t="s">
        <v>447</v>
      </c>
      <c r="H9438" t="s">
        <v>39</v>
      </c>
      <c r="I9438" t="s">
        <v>40</v>
      </c>
      <c r="J9438" s="2" t="s">
        <v>62</v>
      </c>
      <c r="K9438" t="s">
        <v>42</v>
      </c>
      <c r="L9438" t="s">
        <v>448</v>
      </c>
      <c r="Q9438">
        <v>23160</v>
      </c>
      <c r="R9438" t="s">
        <v>45</v>
      </c>
      <c r="S9438" t="s">
        <v>29952</v>
      </c>
      <c r="T9438">
        <v>29</v>
      </c>
      <c r="U9438" s="2" t="s">
        <v>56526</v>
      </c>
      <c r="V9438" s="1">
        <v>44953</v>
      </c>
      <c r="W9438" t="s">
        <v>502</v>
      </c>
      <c r="X9438">
        <v>805254</v>
      </c>
      <c r="Y9438" t="s">
        <v>56527</v>
      </c>
      <c r="Z9438" t="s">
        <v>56528</v>
      </c>
      <c r="AA9438" t="s">
        <v>56529</v>
      </c>
      <c r="AB9438" t="s">
        <v>56530</v>
      </c>
      <c r="AC9438" t="s">
        <v>56531</v>
      </c>
      <c r="AD9438" t="s">
        <v>11518</v>
      </c>
      <c r="AE9438">
        <v>0</v>
      </c>
      <c r="AG9438" t="s">
        <v>56532</v>
      </c>
      <c r="AH9438" t="s">
        <v>29957</v>
      </c>
      <c r="AI9438" t="s">
        <v>56533</v>
      </c>
    </row>
    <row r="9439" spans="2:35" ht="255">
      <c r="B9439" s="1">
        <v>44953</v>
      </c>
      <c r="C9439" s="4">
        <v>44953.658333333333</v>
      </c>
      <c r="D9439" t="s">
        <v>53201</v>
      </c>
      <c r="E9439" t="s">
        <v>56525</v>
      </c>
      <c r="F9439" t="s">
        <v>148</v>
      </c>
      <c r="G9439" t="s">
        <v>447</v>
      </c>
      <c r="H9439" t="s">
        <v>39</v>
      </c>
      <c r="I9439" t="s">
        <v>40</v>
      </c>
      <c r="J9439" s="2" t="s">
        <v>62</v>
      </c>
      <c r="K9439" t="s">
        <v>42</v>
      </c>
      <c r="L9439" t="s">
        <v>448</v>
      </c>
      <c r="Q9439">
        <v>23159</v>
      </c>
      <c r="R9439" t="s">
        <v>45</v>
      </c>
      <c r="S9439" t="s">
        <v>29952</v>
      </c>
      <c r="T9439">
        <v>29</v>
      </c>
      <c r="U9439" s="2" t="s">
        <v>56526</v>
      </c>
      <c r="V9439" s="1">
        <v>44953</v>
      </c>
      <c r="W9439" t="s">
        <v>502</v>
      </c>
      <c r="X9439">
        <v>805254</v>
      </c>
      <c r="Y9439" t="s">
        <v>56527</v>
      </c>
      <c r="Z9439" t="s">
        <v>56528</v>
      </c>
      <c r="AA9439" t="s">
        <v>56529</v>
      </c>
      <c r="AB9439" t="s">
        <v>56530</v>
      </c>
      <c r="AC9439" t="s">
        <v>56531</v>
      </c>
      <c r="AD9439" t="s">
        <v>11518</v>
      </c>
      <c r="AE9439">
        <v>0</v>
      </c>
      <c r="AG9439" t="s">
        <v>56534</v>
      </c>
      <c r="AH9439" t="s">
        <v>29957</v>
      </c>
      <c r="AI9439" t="s">
        <v>56535</v>
      </c>
    </row>
    <row r="9440" spans="2:35" ht="90">
      <c r="B9440" s="1">
        <v>44953</v>
      </c>
      <c r="C9440" s="4">
        <v>44953.544444444444</v>
      </c>
      <c r="D9440" t="s">
        <v>29688</v>
      </c>
      <c r="E9440" t="s">
        <v>56536</v>
      </c>
      <c r="F9440" t="s">
        <v>148</v>
      </c>
      <c r="G9440" t="s">
        <v>447</v>
      </c>
      <c r="H9440" t="s">
        <v>39</v>
      </c>
      <c r="I9440" t="s">
        <v>40</v>
      </c>
      <c r="J9440" t="s">
        <v>109</v>
      </c>
      <c r="K9440" t="s">
        <v>42</v>
      </c>
      <c r="L9440" t="s">
        <v>448</v>
      </c>
      <c r="Q9440">
        <v>23158</v>
      </c>
      <c r="R9440" t="s">
        <v>703</v>
      </c>
      <c r="S9440" t="s">
        <v>28440</v>
      </c>
      <c r="T9440">
        <v>26</v>
      </c>
      <c r="U9440" s="2" t="s">
        <v>13799</v>
      </c>
      <c r="W9440" t="s">
        <v>502</v>
      </c>
      <c r="X9440">
        <v>835603</v>
      </c>
      <c r="Y9440" t="s">
        <v>121</v>
      </c>
      <c r="Z9440" t="s">
        <v>55308</v>
      </c>
      <c r="AA9440" t="s">
        <v>6997</v>
      </c>
      <c r="AB9440" t="s">
        <v>486</v>
      </c>
      <c r="AG9440" t="s">
        <v>56537</v>
      </c>
      <c r="AH9440" t="s">
        <v>51118</v>
      </c>
      <c r="AI9440" t="s">
        <v>56538</v>
      </c>
    </row>
    <row r="9441" spans="2:35" ht="90">
      <c r="B9441" s="1">
        <v>44953</v>
      </c>
      <c r="C9441" s="4">
        <v>44953.544444444444</v>
      </c>
      <c r="D9441" t="s">
        <v>29688</v>
      </c>
      <c r="E9441" t="s">
        <v>56536</v>
      </c>
      <c r="F9441" t="s">
        <v>148</v>
      </c>
      <c r="G9441" t="s">
        <v>447</v>
      </c>
      <c r="H9441" t="s">
        <v>39</v>
      </c>
      <c r="I9441" t="s">
        <v>40</v>
      </c>
      <c r="J9441" t="s">
        <v>109</v>
      </c>
      <c r="K9441" t="s">
        <v>42</v>
      </c>
      <c r="L9441" t="s">
        <v>448</v>
      </c>
      <c r="Q9441">
        <v>23157</v>
      </c>
      <c r="R9441" t="s">
        <v>703</v>
      </c>
      <c r="S9441" t="s">
        <v>28440</v>
      </c>
      <c r="T9441">
        <v>26</v>
      </c>
      <c r="U9441" s="2" t="s">
        <v>13799</v>
      </c>
      <c r="W9441" t="s">
        <v>502</v>
      </c>
      <c r="X9441">
        <v>835603</v>
      </c>
      <c r="Y9441" t="s">
        <v>121</v>
      </c>
      <c r="Z9441" t="s">
        <v>55308</v>
      </c>
      <c r="AA9441" t="s">
        <v>6997</v>
      </c>
      <c r="AB9441" t="s">
        <v>486</v>
      </c>
      <c r="AG9441" t="s">
        <v>56539</v>
      </c>
      <c r="AH9441" t="s">
        <v>51118</v>
      </c>
      <c r="AI9441" t="s">
        <v>56540</v>
      </c>
    </row>
    <row r="9442" spans="2:35" ht="180">
      <c r="B9442" s="1">
        <v>44953</v>
      </c>
      <c r="C9442" s="4">
        <v>44953.379166666666</v>
      </c>
      <c r="D9442" t="s">
        <v>56541</v>
      </c>
      <c r="E9442" t="s">
        <v>56542</v>
      </c>
      <c r="F9442" t="s">
        <v>148</v>
      </c>
      <c r="G9442" t="s">
        <v>447</v>
      </c>
      <c r="H9442" t="s">
        <v>39</v>
      </c>
      <c r="I9442" t="s">
        <v>40</v>
      </c>
      <c r="J9442" s="2" t="s">
        <v>62</v>
      </c>
      <c r="K9442" t="s">
        <v>42</v>
      </c>
      <c r="L9442" t="s">
        <v>448</v>
      </c>
      <c r="Q9442">
        <v>23156</v>
      </c>
      <c r="R9442" t="s">
        <v>119</v>
      </c>
      <c r="S9442" t="s">
        <v>56543</v>
      </c>
      <c r="T9442">
        <v>28</v>
      </c>
      <c r="U9442" s="2" t="s">
        <v>56544</v>
      </c>
      <c r="V9442" s="1">
        <v>44946</v>
      </c>
      <c r="W9442" t="s">
        <v>502</v>
      </c>
      <c r="X9442">
        <v>831586</v>
      </c>
      <c r="Y9442" t="s">
        <v>56527</v>
      </c>
      <c r="Z9442" t="s">
        <v>56528</v>
      </c>
      <c r="AA9442" t="s">
        <v>56529</v>
      </c>
      <c r="AB9442" t="s">
        <v>56545</v>
      </c>
      <c r="AD9442" t="s">
        <v>3628</v>
      </c>
      <c r="AE9442">
        <v>9531</v>
      </c>
      <c r="AG9442" t="s">
        <v>56546</v>
      </c>
      <c r="AH9442" t="s">
        <v>56547</v>
      </c>
      <c r="AI9442" t="s">
        <v>56548</v>
      </c>
    </row>
    <row r="9443" spans="2:35" ht="180">
      <c r="B9443" s="1">
        <v>44953</v>
      </c>
      <c r="C9443" s="4">
        <v>44953.379166666666</v>
      </c>
      <c r="D9443" t="s">
        <v>56541</v>
      </c>
      <c r="E9443" t="s">
        <v>56542</v>
      </c>
      <c r="F9443" t="s">
        <v>148</v>
      </c>
      <c r="G9443" t="s">
        <v>447</v>
      </c>
      <c r="H9443" t="s">
        <v>39</v>
      </c>
      <c r="I9443" t="s">
        <v>40</v>
      </c>
      <c r="J9443" s="2" t="s">
        <v>62</v>
      </c>
      <c r="K9443" t="s">
        <v>42</v>
      </c>
      <c r="L9443" t="s">
        <v>448</v>
      </c>
      <c r="Q9443">
        <v>23155</v>
      </c>
      <c r="R9443" t="s">
        <v>119</v>
      </c>
      <c r="S9443" t="s">
        <v>56543</v>
      </c>
      <c r="T9443">
        <v>28</v>
      </c>
      <c r="U9443" s="2" t="s">
        <v>56544</v>
      </c>
      <c r="V9443" s="1">
        <v>44946</v>
      </c>
      <c r="W9443" t="s">
        <v>502</v>
      </c>
      <c r="X9443">
        <v>831586</v>
      </c>
      <c r="Y9443" t="s">
        <v>56527</v>
      </c>
      <c r="Z9443" t="s">
        <v>56528</v>
      </c>
      <c r="AA9443" t="s">
        <v>56529</v>
      </c>
      <c r="AB9443" t="s">
        <v>56545</v>
      </c>
      <c r="AD9443" t="s">
        <v>3628</v>
      </c>
      <c r="AE9443">
        <v>9531</v>
      </c>
      <c r="AG9443" t="s">
        <v>56549</v>
      </c>
      <c r="AH9443" t="s">
        <v>56547</v>
      </c>
      <c r="AI9443" t="s">
        <v>56550</v>
      </c>
    </row>
    <row r="9444" spans="2:35" ht="180">
      <c r="B9444" s="1">
        <v>44953</v>
      </c>
      <c r="C9444" s="4">
        <v>44952.648611111108</v>
      </c>
      <c r="D9444" t="s">
        <v>56551</v>
      </c>
      <c r="E9444" t="s">
        <v>56552</v>
      </c>
      <c r="F9444" t="s">
        <v>148</v>
      </c>
      <c r="G9444" t="s">
        <v>447</v>
      </c>
      <c r="H9444" t="s">
        <v>39</v>
      </c>
      <c r="I9444" t="s">
        <v>40</v>
      </c>
      <c r="J9444" s="2" t="s">
        <v>62</v>
      </c>
      <c r="K9444" t="s">
        <v>42</v>
      </c>
      <c r="L9444" t="s">
        <v>448</v>
      </c>
      <c r="Q9444">
        <v>23154</v>
      </c>
      <c r="R9444" t="s">
        <v>119</v>
      </c>
      <c r="S9444" t="s">
        <v>3078</v>
      </c>
      <c r="T9444">
        <v>28</v>
      </c>
      <c r="U9444" s="2" t="s">
        <v>56553</v>
      </c>
      <c r="V9444" s="1">
        <v>44946</v>
      </c>
      <c r="W9444" t="s">
        <v>360</v>
      </c>
      <c r="X9444">
        <v>831899</v>
      </c>
      <c r="Y9444" t="s">
        <v>44551</v>
      </c>
      <c r="Z9444" t="s">
        <v>56528</v>
      </c>
      <c r="AA9444" t="s">
        <v>56529</v>
      </c>
      <c r="AB9444" t="s">
        <v>56554</v>
      </c>
      <c r="AD9444" t="s">
        <v>3628</v>
      </c>
      <c r="AE9444">
        <v>9527</v>
      </c>
      <c r="AG9444" t="s">
        <v>56555</v>
      </c>
      <c r="AH9444" t="s">
        <v>24685</v>
      </c>
      <c r="AI9444" t="s">
        <v>56556</v>
      </c>
    </row>
    <row r="9445" spans="2:35" ht="180">
      <c r="B9445" s="1">
        <v>44953</v>
      </c>
      <c r="C9445" s="4">
        <v>44952.648611111108</v>
      </c>
      <c r="D9445" t="s">
        <v>56551</v>
      </c>
      <c r="E9445" t="s">
        <v>56552</v>
      </c>
      <c r="F9445" t="s">
        <v>148</v>
      </c>
      <c r="G9445" t="s">
        <v>447</v>
      </c>
      <c r="H9445" t="s">
        <v>39</v>
      </c>
      <c r="I9445" t="s">
        <v>40</v>
      </c>
      <c r="J9445" s="2" t="s">
        <v>62</v>
      </c>
      <c r="K9445" t="s">
        <v>42</v>
      </c>
      <c r="L9445" t="s">
        <v>448</v>
      </c>
      <c r="Q9445">
        <v>23153</v>
      </c>
      <c r="R9445" t="s">
        <v>119</v>
      </c>
      <c r="S9445" t="s">
        <v>3078</v>
      </c>
      <c r="T9445">
        <v>28</v>
      </c>
      <c r="U9445" s="2" t="s">
        <v>56553</v>
      </c>
      <c r="V9445" s="1">
        <v>44946</v>
      </c>
      <c r="W9445" t="s">
        <v>360</v>
      </c>
      <c r="X9445">
        <v>831899</v>
      </c>
      <c r="Y9445" t="s">
        <v>44551</v>
      </c>
      <c r="Z9445" t="s">
        <v>56528</v>
      </c>
      <c r="AA9445" t="s">
        <v>56529</v>
      </c>
      <c r="AB9445" t="s">
        <v>56554</v>
      </c>
      <c r="AD9445" t="s">
        <v>3628</v>
      </c>
      <c r="AE9445">
        <v>9527</v>
      </c>
      <c r="AG9445" t="s">
        <v>56557</v>
      </c>
      <c r="AH9445" t="s">
        <v>24685</v>
      </c>
      <c r="AI9445" t="s">
        <v>56558</v>
      </c>
    </row>
    <row r="9446" spans="2:35" ht="255">
      <c r="B9446" s="1">
        <v>44953</v>
      </c>
      <c r="C9446" s="4">
        <v>44952.513888888891</v>
      </c>
      <c r="D9446" t="s">
        <v>56559</v>
      </c>
      <c r="E9446" t="s">
        <v>56560</v>
      </c>
      <c r="F9446" t="s">
        <v>148</v>
      </c>
      <c r="G9446" t="s">
        <v>447</v>
      </c>
      <c r="H9446" t="s">
        <v>39</v>
      </c>
      <c r="I9446" t="s">
        <v>40</v>
      </c>
      <c r="J9446" s="2" t="s">
        <v>62</v>
      </c>
      <c r="K9446" t="s">
        <v>42</v>
      </c>
      <c r="L9446" t="s">
        <v>448</v>
      </c>
      <c r="Q9446">
        <v>23152</v>
      </c>
      <c r="R9446" t="s">
        <v>119</v>
      </c>
      <c r="S9446" t="s">
        <v>24625</v>
      </c>
      <c r="T9446">
        <v>27</v>
      </c>
      <c r="U9446" s="2" t="s">
        <v>56561</v>
      </c>
      <c r="V9446" s="1">
        <v>44946</v>
      </c>
      <c r="W9446" t="s">
        <v>360</v>
      </c>
      <c r="X9446">
        <v>831615</v>
      </c>
      <c r="Y9446" t="s">
        <v>56527</v>
      </c>
      <c r="Z9446" t="s">
        <v>56528</v>
      </c>
      <c r="AA9446" t="s">
        <v>56529</v>
      </c>
      <c r="AB9446" t="s">
        <v>56562</v>
      </c>
      <c r="AD9446" t="s">
        <v>3628</v>
      </c>
      <c r="AE9446">
        <v>9528</v>
      </c>
      <c r="AG9446" t="s">
        <v>56563</v>
      </c>
      <c r="AH9446" t="s">
        <v>45234</v>
      </c>
      <c r="AI9446" t="s">
        <v>56564</v>
      </c>
    </row>
    <row r="9447" spans="2:35" ht="255">
      <c r="B9447" s="1">
        <v>44953</v>
      </c>
      <c r="C9447" s="4">
        <v>44952.513888888891</v>
      </c>
      <c r="D9447" t="s">
        <v>56559</v>
      </c>
      <c r="E9447" t="s">
        <v>56560</v>
      </c>
      <c r="F9447" t="s">
        <v>148</v>
      </c>
      <c r="G9447" t="s">
        <v>447</v>
      </c>
      <c r="H9447" t="s">
        <v>39</v>
      </c>
      <c r="I9447" t="s">
        <v>40</v>
      </c>
      <c r="J9447" s="2" t="s">
        <v>62</v>
      </c>
      <c r="K9447" t="s">
        <v>42</v>
      </c>
      <c r="L9447" t="s">
        <v>448</v>
      </c>
      <c r="Q9447">
        <v>23151</v>
      </c>
      <c r="R9447" t="s">
        <v>119</v>
      </c>
      <c r="S9447" t="s">
        <v>24625</v>
      </c>
      <c r="T9447">
        <v>27</v>
      </c>
      <c r="U9447" s="2" t="s">
        <v>56561</v>
      </c>
      <c r="V9447" s="1">
        <v>44946</v>
      </c>
      <c r="W9447" t="s">
        <v>360</v>
      </c>
      <c r="X9447">
        <v>831615</v>
      </c>
      <c r="Y9447" t="s">
        <v>56527</v>
      </c>
      <c r="Z9447" t="s">
        <v>56528</v>
      </c>
      <c r="AA9447" t="s">
        <v>56529</v>
      </c>
      <c r="AB9447" t="s">
        <v>56562</v>
      </c>
      <c r="AD9447" t="s">
        <v>3628</v>
      </c>
      <c r="AE9447">
        <v>9528</v>
      </c>
      <c r="AG9447" t="s">
        <v>56565</v>
      </c>
      <c r="AH9447" t="s">
        <v>45234</v>
      </c>
      <c r="AI9447" t="s">
        <v>56566</v>
      </c>
    </row>
    <row r="9448" spans="2:35" ht="105">
      <c r="B9448" s="1">
        <v>44953</v>
      </c>
      <c r="C9448" s="4">
        <v>44952.369444444441</v>
      </c>
      <c r="D9448" t="s">
        <v>56567</v>
      </c>
      <c r="E9448" t="s">
        <v>56568</v>
      </c>
      <c r="F9448" t="s">
        <v>37</v>
      </c>
      <c r="G9448" t="s">
        <v>38</v>
      </c>
      <c r="H9448" t="s">
        <v>39</v>
      </c>
      <c r="I9448" t="s">
        <v>40</v>
      </c>
      <c r="J9448" s="2" t="s">
        <v>62</v>
      </c>
      <c r="K9448" t="s">
        <v>42</v>
      </c>
      <c r="L9448" t="s">
        <v>448</v>
      </c>
      <c r="Q9448">
        <v>23150</v>
      </c>
      <c r="R9448" t="s">
        <v>45</v>
      </c>
      <c r="S9448" t="s">
        <v>29181</v>
      </c>
      <c r="T9448">
        <v>26</v>
      </c>
      <c r="U9448" s="2" t="s">
        <v>56569</v>
      </c>
      <c r="W9448" t="s">
        <v>502</v>
      </c>
      <c r="X9448">
        <v>838161</v>
      </c>
      <c r="Y9448" t="s">
        <v>56570</v>
      </c>
      <c r="Z9448" t="s">
        <v>56528</v>
      </c>
      <c r="AA9448" t="s">
        <v>28936</v>
      </c>
      <c r="AB9448" t="s">
        <v>52426</v>
      </c>
      <c r="AG9448" t="s">
        <v>56571</v>
      </c>
      <c r="AH9448" t="s">
        <v>30321</v>
      </c>
      <c r="AI9448" t="s">
        <v>56572</v>
      </c>
    </row>
    <row r="9449" spans="2:35" ht="105">
      <c r="B9449" s="1">
        <v>44953</v>
      </c>
      <c r="C9449" s="4">
        <v>44952.369444444441</v>
      </c>
      <c r="D9449" t="s">
        <v>56567</v>
      </c>
      <c r="E9449" t="s">
        <v>56568</v>
      </c>
      <c r="F9449" t="s">
        <v>37</v>
      </c>
      <c r="G9449" t="s">
        <v>38</v>
      </c>
      <c r="H9449" t="s">
        <v>39</v>
      </c>
      <c r="I9449" t="s">
        <v>40</v>
      </c>
      <c r="J9449" s="2" t="s">
        <v>62</v>
      </c>
      <c r="K9449" t="s">
        <v>42</v>
      </c>
      <c r="L9449" t="s">
        <v>448</v>
      </c>
      <c r="Q9449">
        <v>23149</v>
      </c>
      <c r="R9449" t="s">
        <v>45</v>
      </c>
      <c r="S9449" t="s">
        <v>29181</v>
      </c>
      <c r="T9449">
        <v>26</v>
      </c>
      <c r="U9449" s="2" t="s">
        <v>56569</v>
      </c>
      <c r="W9449" t="s">
        <v>502</v>
      </c>
      <c r="X9449">
        <v>838161</v>
      </c>
      <c r="Y9449" t="s">
        <v>56570</v>
      </c>
      <c r="Z9449" t="s">
        <v>56528</v>
      </c>
      <c r="AA9449" t="s">
        <v>28936</v>
      </c>
      <c r="AB9449" t="s">
        <v>52426</v>
      </c>
      <c r="AG9449" t="s">
        <v>56573</v>
      </c>
      <c r="AH9449" t="s">
        <v>30321</v>
      </c>
      <c r="AI9449" t="s">
        <v>56574</v>
      </c>
    </row>
    <row r="9450" spans="2:35" ht="90">
      <c r="B9450" s="1">
        <v>44953</v>
      </c>
      <c r="C9450" s="4">
        <v>44953.613194444442</v>
      </c>
      <c r="D9450" t="s">
        <v>48917</v>
      </c>
      <c r="E9450" t="s">
        <v>23503</v>
      </c>
      <c r="F9450">
        <v>7</v>
      </c>
      <c r="G9450" t="s">
        <v>6529</v>
      </c>
      <c r="H9450" t="s">
        <v>2290</v>
      </c>
      <c r="I9450" t="s">
        <v>94</v>
      </c>
      <c r="J9450" s="2" t="s">
        <v>41</v>
      </c>
      <c r="K9450" t="s">
        <v>42</v>
      </c>
      <c r="L9450" t="s">
        <v>610</v>
      </c>
      <c r="Q9450">
        <v>23148</v>
      </c>
      <c r="R9450" t="s">
        <v>45</v>
      </c>
      <c r="S9450" t="s">
        <v>46367</v>
      </c>
      <c r="T9450">
        <v>24</v>
      </c>
      <c r="U9450" s="2" t="s">
        <v>56575</v>
      </c>
      <c r="V9450" s="1">
        <v>44953</v>
      </c>
      <c r="W9450" t="s">
        <v>502</v>
      </c>
      <c r="X9450">
        <v>807603</v>
      </c>
      <c r="Y9450">
        <v>4008</v>
      </c>
      <c r="Z9450" t="s">
        <v>4789</v>
      </c>
      <c r="AA9450" t="s">
        <v>26300</v>
      </c>
      <c r="AB9450" t="s">
        <v>48919</v>
      </c>
      <c r="AD9450" t="s">
        <v>48920</v>
      </c>
      <c r="AE9450" t="s">
        <v>4448</v>
      </c>
      <c r="AG9450" t="s">
        <v>56576</v>
      </c>
      <c r="AH9450" t="s">
        <v>48922</v>
      </c>
      <c r="AI9450" t="s">
        <v>56577</v>
      </c>
    </row>
    <row r="9451" spans="2:35" ht="90">
      <c r="B9451" s="1">
        <v>44953</v>
      </c>
      <c r="C9451" s="4">
        <v>44953.613194444442</v>
      </c>
      <c r="D9451" t="s">
        <v>48917</v>
      </c>
      <c r="E9451" t="s">
        <v>23503</v>
      </c>
      <c r="F9451">
        <v>7</v>
      </c>
      <c r="G9451" t="s">
        <v>6529</v>
      </c>
      <c r="H9451" t="s">
        <v>2290</v>
      </c>
      <c r="I9451" t="s">
        <v>94</v>
      </c>
      <c r="J9451" s="2" t="s">
        <v>41</v>
      </c>
      <c r="K9451" t="s">
        <v>42</v>
      </c>
      <c r="L9451" t="s">
        <v>610</v>
      </c>
      <c r="Q9451">
        <v>23147</v>
      </c>
      <c r="R9451" t="s">
        <v>45</v>
      </c>
      <c r="S9451" t="s">
        <v>46367</v>
      </c>
      <c r="T9451">
        <v>24</v>
      </c>
      <c r="U9451" s="2" t="s">
        <v>56575</v>
      </c>
      <c r="V9451" s="1">
        <v>44953</v>
      </c>
      <c r="W9451" t="s">
        <v>502</v>
      </c>
      <c r="X9451">
        <v>807603</v>
      </c>
      <c r="Y9451">
        <v>4008</v>
      </c>
      <c r="Z9451" t="s">
        <v>4789</v>
      </c>
      <c r="AA9451" t="s">
        <v>26300</v>
      </c>
      <c r="AB9451" t="s">
        <v>48919</v>
      </c>
      <c r="AD9451" t="s">
        <v>48920</v>
      </c>
      <c r="AE9451" t="s">
        <v>4448</v>
      </c>
      <c r="AG9451" t="s">
        <v>56578</v>
      </c>
      <c r="AH9451" t="s">
        <v>48922</v>
      </c>
      <c r="AI9451" t="s">
        <v>56579</v>
      </c>
    </row>
    <row r="9452" spans="2:35" ht="180">
      <c r="B9452" s="1">
        <v>44953</v>
      </c>
      <c r="C9452" s="4">
        <v>44953.586111111108</v>
      </c>
      <c r="D9452" t="s">
        <v>55916</v>
      </c>
      <c r="E9452" t="s">
        <v>27943</v>
      </c>
      <c r="F9452">
        <v>3</v>
      </c>
      <c r="G9452" t="s">
        <v>1722</v>
      </c>
      <c r="H9452" t="s">
        <v>39</v>
      </c>
      <c r="I9452" t="s">
        <v>40</v>
      </c>
      <c r="J9452" t="s">
        <v>109</v>
      </c>
      <c r="K9452" t="s">
        <v>42</v>
      </c>
      <c r="L9452" t="s">
        <v>63</v>
      </c>
      <c r="Q9452">
        <v>23146</v>
      </c>
      <c r="R9452" t="s">
        <v>119</v>
      </c>
      <c r="S9452" t="s">
        <v>56580</v>
      </c>
      <c r="T9452">
        <v>28</v>
      </c>
      <c r="U9452" s="2" t="s">
        <v>55918</v>
      </c>
      <c r="V9452" s="1">
        <v>44953</v>
      </c>
      <c r="W9452" t="s">
        <v>26915</v>
      </c>
      <c r="X9452">
        <v>831599</v>
      </c>
      <c r="Y9452" t="s">
        <v>1716</v>
      </c>
      <c r="Z9452" t="s">
        <v>1716</v>
      </c>
      <c r="AA9452" s="2" t="s">
        <v>1727</v>
      </c>
      <c r="AB9452" t="s">
        <v>70</v>
      </c>
      <c r="AC9452" t="s">
        <v>56581</v>
      </c>
      <c r="AD9452" t="s">
        <v>1716</v>
      </c>
      <c r="AE9452" t="s">
        <v>1716</v>
      </c>
      <c r="AG9452" t="s">
        <v>56582</v>
      </c>
      <c r="AH9452" t="s">
        <v>56583</v>
      </c>
      <c r="AI9452" t="s">
        <v>56584</v>
      </c>
    </row>
    <row r="9453" spans="2:35" ht="180">
      <c r="B9453" s="1">
        <v>44953</v>
      </c>
      <c r="C9453" s="4">
        <v>44953.51666666667</v>
      </c>
      <c r="D9453" t="s">
        <v>38215</v>
      </c>
      <c r="E9453" t="s">
        <v>56585</v>
      </c>
      <c r="F9453">
        <v>11</v>
      </c>
      <c r="G9453" t="s">
        <v>1205</v>
      </c>
      <c r="H9453" t="s">
        <v>202</v>
      </c>
      <c r="I9453" t="s">
        <v>40</v>
      </c>
      <c r="J9453" t="s">
        <v>996</v>
      </c>
      <c r="K9453" t="s">
        <v>42</v>
      </c>
      <c r="L9453" t="s">
        <v>204</v>
      </c>
      <c r="Q9453">
        <v>23145</v>
      </c>
      <c r="R9453" t="s">
        <v>45</v>
      </c>
      <c r="S9453" t="s">
        <v>38217</v>
      </c>
      <c r="T9453">
        <v>29.9</v>
      </c>
      <c r="U9453" s="2" t="s">
        <v>56586</v>
      </c>
      <c r="V9453" s="1">
        <v>44953</v>
      </c>
      <c r="W9453" t="s">
        <v>1292</v>
      </c>
      <c r="X9453">
        <v>838181</v>
      </c>
      <c r="Y9453" t="s">
        <v>6929</v>
      </c>
      <c r="Z9453" t="s">
        <v>28868</v>
      </c>
      <c r="AA9453" t="s">
        <v>56587</v>
      </c>
      <c r="AB9453" t="s">
        <v>56588</v>
      </c>
      <c r="AC9453" t="s">
        <v>56589</v>
      </c>
      <c r="AD9453" t="s">
        <v>18192</v>
      </c>
      <c r="AE9453" t="s">
        <v>1716</v>
      </c>
      <c r="AG9453" t="s">
        <v>56590</v>
      </c>
      <c r="AH9453" t="s">
        <v>50982</v>
      </c>
      <c r="AI9453" t="s">
        <v>56591</v>
      </c>
    </row>
    <row r="9454" spans="2:35" ht="75">
      <c r="B9454" s="1">
        <v>44953</v>
      </c>
      <c r="C9454" s="4">
        <v>44953.488888888889</v>
      </c>
      <c r="D9454" t="s">
        <v>56592</v>
      </c>
      <c r="E9454" t="s">
        <v>56593</v>
      </c>
      <c r="F9454">
        <v>7</v>
      </c>
      <c r="G9454" t="s">
        <v>269</v>
      </c>
      <c r="H9454" t="s">
        <v>39</v>
      </c>
      <c r="I9454" t="s">
        <v>94</v>
      </c>
      <c r="J9454" s="2" t="s">
        <v>56594</v>
      </c>
      <c r="K9454" t="s">
        <v>42</v>
      </c>
      <c r="L9454" t="s">
        <v>594</v>
      </c>
      <c r="Q9454">
        <v>23144</v>
      </c>
      <c r="R9454" t="s">
        <v>45</v>
      </c>
      <c r="S9454" t="s">
        <v>2482</v>
      </c>
      <c r="T9454">
        <v>28</v>
      </c>
      <c r="U9454" s="2" t="s">
        <v>56595</v>
      </c>
      <c r="V9454" s="1">
        <v>44953</v>
      </c>
      <c r="W9454" t="s">
        <v>360</v>
      </c>
      <c r="X9454">
        <v>835059</v>
      </c>
      <c r="Y9454" t="s">
        <v>56596</v>
      </c>
      <c r="Z9454" t="s">
        <v>56596</v>
      </c>
      <c r="AA9454" t="s">
        <v>17928</v>
      </c>
      <c r="AB9454" t="s">
        <v>13650</v>
      </c>
      <c r="AG9454" t="s">
        <v>56597</v>
      </c>
      <c r="AH9454" t="s">
        <v>56598</v>
      </c>
      <c r="AI9454" t="s">
        <v>56599</v>
      </c>
    </row>
    <row r="9455" spans="2:35" ht="330">
      <c r="B9455" s="1">
        <v>44953</v>
      </c>
      <c r="C9455" s="4">
        <v>44952.65</v>
      </c>
      <c r="D9455" t="s">
        <v>56600</v>
      </c>
      <c r="E9455" t="s">
        <v>56601</v>
      </c>
      <c r="F9455">
        <v>3</v>
      </c>
      <c r="G9455" t="s">
        <v>134</v>
      </c>
      <c r="H9455" t="s">
        <v>39</v>
      </c>
      <c r="I9455" t="s">
        <v>40</v>
      </c>
      <c r="J9455" s="2" t="s">
        <v>1157</v>
      </c>
      <c r="K9455" t="s">
        <v>42</v>
      </c>
      <c r="L9455" t="s">
        <v>63</v>
      </c>
      <c r="Q9455">
        <v>23143</v>
      </c>
      <c r="R9455" t="s">
        <v>45</v>
      </c>
      <c r="S9455" t="s">
        <v>37554</v>
      </c>
      <c r="T9455">
        <v>29</v>
      </c>
      <c r="U9455" s="2" t="s">
        <v>56602</v>
      </c>
      <c r="V9455" s="1">
        <v>44952</v>
      </c>
      <c r="W9455" t="s">
        <v>26915</v>
      </c>
      <c r="X9455">
        <v>804837</v>
      </c>
      <c r="Y9455" t="s">
        <v>56603</v>
      </c>
      <c r="Z9455" s="2" t="s">
        <v>56604</v>
      </c>
      <c r="AA9455" s="2" t="s">
        <v>56605</v>
      </c>
      <c r="AB9455" t="s">
        <v>70</v>
      </c>
      <c r="AC9455" t="s">
        <v>56606</v>
      </c>
      <c r="AD9455" t="s">
        <v>5056</v>
      </c>
      <c r="AE9455" t="s">
        <v>1716</v>
      </c>
      <c r="AG9455" t="s">
        <v>56607</v>
      </c>
      <c r="AH9455" t="s">
        <v>56608</v>
      </c>
      <c r="AI9455" t="s">
        <v>56609</v>
      </c>
    </row>
    <row r="9456" spans="2:35" ht="409.5">
      <c r="B9456" s="1">
        <v>44953</v>
      </c>
      <c r="C9456" s="4">
        <v>44953.383333333331</v>
      </c>
      <c r="D9456" t="s">
        <v>3010</v>
      </c>
      <c r="E9456" t="s">
        <v>56610</v>
      </c>
      <c r="F9456">
        <v>1</v>
      </c>
      <c r="G9456" t="s">
        <v>1046</v>
      </c>
      <c r="H9456" t="s">
        <v>2849</v>
      </c>
      <c r="I9456" t="s">
        <v>40</v>
      </c>
      <c r="J9456" s="2" t="s">
        <v>62</v>
      </c>
      <c r="K9456" t="s">
        <v>42</v>
      </c>
      <c r="L9456" t="s">
        <v>55932</v>
      </c>
      <c r="Q9456">
        <v>23142</v>
      </c>
      <c r="R9456" t="s">
        <v>45</v>
      </c>
      <c r="S9456" t="s">
        <v>3012</v>
      </c>
      <c r="T9456">
        <v>25.9</v>
      </c>
      <c r="U9456" s="2" t="s">
        <v>56611</v>
      </c>
      <c r="W9456" t="s">
        <v>895</v>
      </c>
      <c r="X9456">
        <v>738529</v>
      </c>
      <c r="Y9456" t="s">
        <v>55934</v>
      </c>
      <c r="Z9456" t="s">
        <v>8446</v>
      </c>
      <c r="AA9456" s="2" t="s">
        <v>56612</v>
      </c>
      <c r="AB9456" t="s">
        <v>181</v>
      </c>
      <c r="AG9456" t="s">
        <v>56613</v>
      </c>
      <c r="AH9456" t="s">
        <v>47004</v>
      </c>
      <c r="AI9456" t="s">
        <v>56614</v>
      </c>
    </row>
    <row r="9457" spans="2:35" ht="409.5">
      <c r="B9457" s="1">
        <v>44953</v>
      </c>
      <c r="C9457" s="4">
        <v>44953.385416666664</v>
      </c>
      <c r="D9457" t="s">
        <v>55932</v>
      </c>
      <c r="E9457" t="s">
        <v>56615</v>
      </c>
      <c r="F9457">
        <v>1</v>
      </c>
      <c r="G9457" t="s">
        <v>1046</v>
      </c>
      <c r="H9457" t="s">
        <v>56616</v>
      </c>
      <c r="I9457" t="s">
        <v>40</v>
      </c>
      <c r="J9457" s="2" t="s">
        <v>62</v>
      </c>
      <c r="K9457" t="s">
        <v>42</v>
      </c>
      <c r="L9457" t="s">
        <v>55932</v>
      </c>
      <c r="Q9457">
        <v>23141</v>
      </c>
      <c r="R9457" t="s">
        <v>45</v>
      </c>
      <c r="S9457" t="s">
        <v>3012</v>
      </c>
      <c r="T9457">
        <v>24.3</v>
      </c>
      <c r="U9457" s="2" t="s">
        <v>56617</v>
      </c>
      <c r="W9457" t="s">
        <v>1139</v>
      </c>
      <c r="X9457">
        <v>804726</v>
      </c>
      <c r="Y9457" t="s">
        <v>56064</v>
      </c>
      <c r="Z9457" t="s">
        <v>1560</v>
      </c>
      <c r="AA9457" s="2" t="s">
        <v>56618</v>
      </c>
      <c r="AB9457" t="s">
        <v>181</v>
      </c>
      <c r="AC9457" t="s">
        <v>56619</v>
      </c>
      <c r="AG9457" t="s">
        <v>56620</v>
      </c>
      <c r="AH9457" t="s">
        <v>56616</v>
      </c>
      <c r="AI9457" t="s">
        <v>56621</v>
      </c>
    </row>
    <row r="9458" spans="2:35" ht="409.5">
      <c r="B9458" s="1">
        <v>44953</v>
      </c>
      <c r="C9458" s="4">
        <v>44953.385416666664</v>
      </c>
      <c r="D9458" t="s">
        <v>55932</v>
      </c>
      <c r="E9458" t="s">
        <v>56615</v>
      </c>
      <c r="F9458">
        <v>1</v>
      </c>
      <c r="G9458" t="s">
        <v>1046</v>
      </c>
      <c r="H9458" t="s">
        <v>56616</v>
      </c>
      <c r="I9458" t="s">
        <v>40</v>
      </c>
      <c r="J9458" s="2" t="s">
        <v>62</v>
      </c>
      <c r="K9458" t="s">
        <v>42</v>
      </c>
      <c r="L9458" t="s">
        <v>55932</v>
      </c>
      <c r="Q9458">
        <v>23140</v>
      </c>
      <c r="R9458" t="s">
        <v>45</v>
      </c>
      <c r="S9458" t="s">
        <v>3012</v>
      </c>
      <c r="T9458">
        <v>24.3</v>
      </c>
      <c r="U9458" s="2" t="s">
        <v>56617</v>
      </c>
      <c r="W9458" t="s">
        <v>1139</v>
      </c>
      <c r="X9458">
        <v>804726</v>
      </c>
      <c r="Y9458" t="s">
        <v>56064</v>
      </c>
      <c r="Z9458" t="s">
        <v>1560</v>
      </c>
      <c r="AA9458" s="2" t="s">
        <v>56618</v>
      </c>
      <c r="AB9458" t="s">
        <v>181</v>
      </c>
      <c r="AC9458" t="s">
        <v>56619</v>
      </c>
      <c r="AG9458" t="s">
        <v>56622</v>
      </c>
      <c r="AH9458" t="s">
        <v>56616</v>
      </c>
      <c r="AI9458" t="s">
        <v>56623</v>
      </c>
    </row>
    <row r="9459" spans="2:35" ht="105">
      <c r="B9459" s="1">
        <v>44953</v>
      </c>
      <c r="C9459" s="4">
        <v>44953.334027777775</v>
      </c>
      <c r="D9459" t="s">
        <v>21957</v>
      </c>
      <c r="E9459" t="s">
        <v>56624</v>
      </c>
      <c r="F9459">
        <v>7</v>
      </c>
      <c r="G9459" t="s">
        <v>1234</v>
      </c>
      <c r="H9459" t="s">
        <v>39</v>
      </c>
      <c r="I9459" t="s">
        <v>40</v>
      </c>
      <c r="J9459" t="s">
        <v>109</v>
      </c>
      <c r="K9459" t="s">
        <v>42</v>
      </c>
      <c r="L9459" t="s">
        <v>594</v>
      </c>
      <c r="Q9459">
        <v>23139</v>
      </c>
      <c r="R9459" t="s">
        <v>119</v>
      </c>
      <c r="S9459" t="s">
        <v>56625</v>
      </c>
      <c r="T9459">
        <v>25</v>
      </c>
      <c r="U9459" s="2" t="s">
        <v>42746</v>
      </c>
      <c r="V9459" s="1">
        <v>44953</v>
      </c>
      <c r="W9459" t="s">
        <v>360</v>
      </c>
      <c r="X9459">
        <v>838482</v>
      </c>
      <c r="Y9459" t="s">
        <v>6997</v>
      </c>
      <c r="Z9459" t="s">
        <v>13318</v>
      </c>
      <c r="AA9459" t="s">
        <v>56626</v>
      </c>
      <c r="AB9459" t="s">
        <v>56627</v>
      </c>
      <c r="AG9459" t="s">
        <v>56628</v>
      </c>
      <c r="AH9459" t="s">
        <v>21964</v>
      </c>
      <c r="AI9459" t="s">
        <v>56629</v>
      </c>
    </row>
    <row r="9460" spans="2:35" ht="345">
      <c r="B9460" s="1">
        <v>44952</v>
      </c>
      <c r="C9460" s="4">
        <v>44952.818055555559</v>
      </c>
      <c r="D9460" t="s">
        <v>2608</v>
      </c>
      <c r="E9460" t="s">
        <v>56630</v>
      </c>
      <c r="F9460">
        <v>1</v>
      </c>
      <c r="G9460" t="s">
        <v>2599</v>
      </c>
      <c r="H9460" t="s">
        <v>39</v>
      </c>
      <c r="I9460" t="s">
        <v>40</v>
      </c>
      <c r="J9460" s="2" t="s">
        <v>1309</v>
      </c>
      <c r="K9460" t="s">
        <v>42</v>
      </c>
      <c r="L9460" t="s">
        <v>55932</v>
      </c>
      <c r="Q9460">
        <v>23138</v>
      </c>
      <c r="R9460" t="s">
        <v>45</v>
      </c>
      <c r="S9460" t="s">
        <v>6402</v>
      </c>
      <c r="T9460">
        <v>26.3</v>
      </c>
      <c r="U9460" s="2" t="s">
        <v>56631</v>
      </c>
      <c r="W9460" t="s">
        <v>12351</v>
      </c>
      <c r="X9460">
        <v>838168</v>
      </c>
      <c r="Y9460" s="2" t="s">
        <v>56632</v>
      </c>
      <c r="Z9460" t="s">
        <v>56633</v>
      </c>
      <c r="AA9460" s="2" t="s">
        <v>56634</v>
      </c>
      <c r="AB9460" t="s">
        <v>181</v>
      </c>
      <c r="AG9460" t="s">
        <v>56635</v>
      </c>
      <c r="AH9460" t="s">
        <v>56636</v>
      </c>
      <c r="AI9460" t="s">
        <v>56637</v>
      </c>
    </row>
    <row r="9461" spans="2:35" ht="345">
      <c r="B9461" s="1">
        <v>44952</v>
      </c>
      <c r="C9461" s="4">
        <v>44952.806250000001</v>
      </c>
      <c r="D9461" t="s">
        <v>56638</v>
      </c>
      <c r="E9461" t="s">
        <v>56630</v>
      </c>
      <c r="F9461">
        <v>1</v>
      </c>
      <c r="G9461" t="s">
        <v>2599</v>
      </c>
      <c r="H9461" t="s">
        <v>39</v>
      </c>
      <c r="I9461" t="s">
        <v>40</v>
      </c>
      <c r="J9461" t="s">
        <v>109</v>
      </c>
      <c r="K9461" t="s">
        <v>42</v>
      </c>
      <c r="L9461" t="s">
        <v>55932</v>
      </c>
      <c r="Q9461">
        <v>23137</v>
      </c>
      <c r="R9461" t="s">
        <v>119</v>
      </c>
      <c r="S9461" t="s">
        <v>6402</v>
      </c>
      <c r="T9461">
        <v>25.3</v>
      </c>
      <c r="U9461" s="2" t="s">
        <v>56639</v>
      </c>
      <c r="W9461" t="s">
        <v>1139</v>
      </c>
      <c r="X9461">
        <v>831908</v>
      </c>
      <c r="Y9461" t="s">
        <v>33606</v>
      </c>
      <c r="Z9461" t="s">
        <v>3128</v>
      </c>
      <c r="AA9461" s="2" t="s">
        <v>56640</v>
      </c>
      <c r="AB9461" t="s">
        <v>181</v>
      </c>
      <c r="AG9461" t="s">
        <v>56641</v>
      </c>
      <c r="AH9461" t="s">
        <v>56636</v>
      </c>
      <c r="AI9461" t="s">
        <v>56642</v>
      </c>
    </row>
    <row r="9462" spans="2:35" ht="409.5">
      <c r="B9462" s="1">
        <v>44952</v>
      </c>
      <c r="C9462" s="4">
        <v>44952.621527777781</v>
      </c>
      <c r="D9462" t="s">
        <v>56643</v>
      </c>
      <c r="E9462" t="s">
        <v>56644</v>
      </c>
      <c r="F9462">
        <v>11</v>
      </c>
      <c r="G9462" t="s">
        <v>1205</v>
      </c>
      <c r="H9462" t="s">
        <v>56645</v>
      </c>
      <c r="I9462" t="s">
        <v>40</v>
      </c>
      <c r="J9462" t="s">
        <v>996</v>
      </c>
      <c r="K9462" t="s">
        <v>42</v>
      </c>
      <c r="L9462" t="s">
        <v>204</v>
      </c>
      <c r="Q9462">
        <v>23136</v>
      </c>
      <c r="R9462" t="s">
        <v>45</v>
      </c>
      <c r="S9462" t="s">
        <v>25186</v>
      </c>
      <c r="T9462">
        <v>28.7</v>
      </c>
      <c r="U9462" s="2" t="s">
        <v>56646</v>
      </c>
      <c r="V9462" s="1">
        <v>44952</v>
      </c>
      <c r="W9462" t="s">
        <v>24154</v>
      </c>
      <c r="X9462">
        <v>838865</v>
      </c>
      <c r="Y9462" t="s">
        <v>19602</v>
      </c>
      <c r="Z9462" t="s">
        <v>56647</v>
      </c>
      <c r="AA9462" s="2" t="s">
        <v>56648</v>
      </c>
      <c r="AB9462" s="2" t="s">
        <v>56649</v>
      </c>
      <c r="AC9462" t="s">
        <v>56650</v>
      </c>
      <c r="AD9462" t="s">
        <v>18887</v>
      </c>
      <c r="AE9462" t="s">
        <v>1716</v>
      </c>
      <c r="AG9462" t="s">
        <v>56651</v>
      </c>
      <c r="AH9462" t="s">
        <v>56652</v>
      </c>
      <c r="AI9462" t="s">
        <v>56653</v>
      </c>
    </row>
    <row r="9463" spans="2:35" ht="409.5">
      <c r="B9463" s="1">
        <v>44952</v>
      </c>
      <c r="C9463" s="4">
        <v>44952.621527777781</v>
      </c>
      <c r="D9463" t="s">
        <v>56643</v>
      </c>
      <c r="E9463" t="s">
        <v>56644</v>
      </c>
      <c r="F9463">
        <v>11</v>
      </c>
      <c r="G9463" t="s">
        <v>1205</v>
      </c>
      <c r="H9463" t="s">
        <v>56645</v>
      </c>
      <c r="I9463" t="s">
        <v>40</v>
      </c>
      <c r="J9463" t="s">
        <v>996</v>
      </c>
      <c r="K9463" t="s">
        <v>42</v>
      </c>
      <c r="L9463" t="s">
        <v>204</v>
      </c>
      <c r="Q9463">
        <v>23135</v>
      </c>
      <c r="R9463" t="s">
        <v>45</v>
      </c>
      <c r="S9463" t="s">
        <v>25186</v>
      </c>
      <c r="T9463">
        <v>28.7</v>
      </c>
      <c r="U9463" s="2" t="s">
        <v>56646</v>
      </c>
      <c r="V9463" s="1">
        <v>44952</v>
      </c>
      <c r="W9463" t="s">
        <v>24154</v>
      </c>
      <c r="X9463">
        <v>838865</v>
      </c>
      <c r="Y9463" t="s">
        <v>19602</v>
      </c>
      <c r="Z9463" t="s">
        <v>56647</v>
      </c>
      <c r="AA9463" s="2" t="s">
        <v>56648</v>
      </c>
      <c r="AB9463" s="2" t="s">
        <v>56649</v>
      </c>
      <c r="AC9463" t="s">
        <v>56650</v>
      </c>
      <c r="AD9463" t="s">
        <v>18887</v>
      </c>
      <c r="AE9463" t="s">
        <v>1716</v>
      </c>
      <c r="AG9463" t="s">
        <v>56654</v>
      </c>
      <c r="AH9463" t="s">
        <v>56652</v>
      </c>
      <c r="AI9463" t="s">
        <v>56655</v>
      </c>
    </row>
    <row r="9464" spans="2:35" ht="409.5">
      <c r="B9464" s="1">
        <v>44952</v>
      </c>
      <c r="C9464" s="4">
        <v>44952.662499999999</v>
      </c>
      <c r="D9464" t="s">
        <v>56656</v>
      </c>
      <c r="E9464" t="s">
        <v>54421</v>
      </c>
      <c r="F9464">
        <v>6</v>
      </c>
      <c r="G9464" t="s">
        <v>1234</v>
      </c>
      <c r="H9464" t="s">
        <v>39</v>
      </c>
      <c r="I9464" t="s">
        <v>94</v>
      </c>
      <c r="J9464" t="s">
        <v>109</v>
      </c>
      <c r="K9464" t="s">
        <v>42</v>
      </c>
      <c r="L9464" t="s">
        <v>433</v>
      </c>
      <c r="Q9464">
        <v>23134</v>
      </c>
      <c r="R9464" t="s">
        <v>95</v>
      </c>
      <c r="S9464" t="s">
        <v>54423</v>
      </c>
      <c r="T9464">
        <v>20</v>
      </c>
      <c r="U9464" s="2" t="s">
        <v>56657</v>
      </c>
      <c r="W9464" t="s">
        <v>6776</v>
      </c>
      <c r="X9464">
        <v>110005268</v>
      </c>
      <c r="Y9464" t="s">
        <v>56658</v>
      </c>
      <c r="Z9464" t="s">
        <v>3128</v>
      </c>
      <c r="AA9464" t="s">
        <v>3128</v>
      </c>
      <c r="AB9464" t="s">
        <v>1011</v>
      </c>
      <c r="AG9464" t="s">
        <v>56659</v>
      </c>
      <c r="AH9464" t="s">
        <v>56660</v>
      </c>
      <c r="AI9464" t="s">
        <v>56661</v>
      </c>
    </row>
    <row r="9465" spans="2:35" ht="409.5">
      <c r="B9465" s="1">
        <v>44952</v>
      </c>
      <c r="C9465" s="4">
        <v>44952.623611111114</v>
      </c>
      <c r="D9465" t="s">
        <v>56662</v>
      </c>
      <c r="E9465" t="s">
        <v>29879</v>
      </c>
      <c r="F9465">
        <v>5</v>
      </c>
      <c r="G9465" t="s">
        <v>759</v>
      </c>
      <c r="H9465" t="s">
        <v>39</v>
      </c>
      <c r="I9465" t="s">
        <v>40</v>
      </c>
      <c r="J9465" t="s">
        <v>79</v>
      </c>
      <c r="K9465" t="s">
        <v>387</v>
      </c>
      <c r="L9465" t="s">
        <v>43</v>
      </c>
      <c r="Q9465">
        <v>23133</v>
      </c>
      <c r="R9465" t="s">
        <v>95</v>
      </c>
      <c r="S9465" t="s">
        <v>17459</v>
      </c>
      <c r="T9465">
        <v>23</v>
      </c>
      <c r="V9465" s="1">
        <v>44946</v>
      </c>
      <c r="W9465" t="s">
        <v>390</v>
      </c>
      <c r="X9465" t="s">
        <v>17461</v>
      </c>
      <c r="Y9465" t="s">
        <v>56663</v>
      </c>
      <c r="Z9465" t="s">
        <v>56664</v>
      </c>
      <c r="AA9465" s="2" t="s">
        <v>56665</v>
      </c>
      <c r="AB9465" t="s">
        <v>56666</v>
      </c>
      <c r="AC9465" t="s">
        <v>56667</v>
      </c>
      <c r="AD9465" t="s">
        <v>56668</v>
      </c>
      <c r="AE9465" t="s">
        <v>56669</v>
      </c>
      <c r="AG9465" t="s">
        <v>56670</v>
      </c>
      <c r="AH9465" t="s">
        <v>17465</v>
      </c>
      <c r="AI9465" t="s">
        <v>56671</v>
      </c>
    </row>
    <row r="9466" spans="2:35" ht="409.5">
      <c r="B9466" s="1">
        <v>44952</v>
      </c>
      <c r="C9466" s="4">
        <v>44952.583333333336</v>
      </c>
      <c r="D9466" t="s">
        <v>56672</v>
      </c>
      <c r="E9466" t="s">
        <v>27216</v>
      </c>
      <c r="F9466">
        <v>3</v>
      </c>
      <c r="G9466" t="s">
        <v>134</v>
      </c>
      <c r="H9466" t="s">
        <v>39</v>
      </c>
      <c r="I9466" t="s">
        <v>40</v>
      </c>
      <c r="J9466" s="2" t="s">
        <v>41</v>
      </c>
      <c r="K9466" t="s">
        <v>42</v>
      </c>
      <c r="L9466" t="s">
        <v>135</v>
      </c>
      <c r="Q9466">
        <v>23132</v>
      </c>
      <c r="R9466" t="s">
        <v>45</v>
      </c>
      <c r="S9466" t="s">
        <v>56673</v>
      </c>
      <c r="T9466">
        <v>28.3</v>
      </c>
      <c r="U9466" s="2" t="s">
        <v>3200</v>
      </c>
      <c r="V9466" s="1">
        <v>44937</v>
      </c>
      <c r="W9466" t="s">
        <v>2680</v>
      </c>
      <c r="X9466">
        <v>814378</v>
      </c>
      <c r="Y9466" t="s">
        <v>56674</v>
      </c>
      <c r="Z9466" s="2" t="s">
        <v>56675</v>
      </c>
      <c r="AA9466" t="s">
        <v>55818</v>
      </c>
      <c r="AB9466" t="s">
        <v>181</v>
      </c>
      <c r="AC9466" t="s">
        <v>56676</v>
      </c>
      <c r="AD9466" t="s">
        <v>56677</v>
      </c>
      <c r="AE9466">
        <v>38125</v>
      </c>
      <c r="AG9466" t="s">
        <v>56678</v>
      </c>
      <c r="AH9466" t="s">
        <v>37213</v>
      </c>
      <c r="AI9466" t="s">
        <v>56679</v>
      </c>
    </row>
    <row r="9467" spans="2:35">
      <c r="B9467" s="1">
        <v>44952</v>
      </c>
      <c r="C9467" s="4">
        <v>44952.618750000001</v>
      </c>
      <c r="D9467" t="s">
        <v>56680</v>
      </c>
      <c r="E9467" t="s">
        <v>56681</v>
      </c>
      <c r="F9467" t="s">
        <v>148</v>
      </c>
      <c r="G9467" t="s">
        <v>447</v>
      </c>
      <c r="H9467" t="s">
        <v>39</v>
      </c>
      <c r="I9467" t="s">
        <v>94</v>
      </c>
      <c r="J9467" t="s">
        <v>996</v>
      </c>
      <c r="K9467" t="s">
        <v>26778</v>
      </c>
      <c r="L9467" t="s">
        <v>857</v>
      </c>
      <c r="Q9467">
        <v>23131</v>
      </c>
      <c r="R9467" t="s">
        <v>95</v>
      </c>
      <c r="S9467" t="s">
        <v>35147</v>
      </c>
      <c r="T9467">
        <v>26</v>
      </c>
      <c r="W9467" t="s">
        <v>35148</v>
      </c>
      <c r="X9467">
        <v>6220.4121999999998</v>
      </c>
      <c r="Y9467" t="s">
        <v>56682</v>
      </c>
      <c r="Z9467" t="s">
        <v>56683</v>
      </c>
      <c r="AA9467" t="e">
        <f ca="1">-performed PM/CALIBRATION PROCEDURE
-performed functionality test</f>
        <v>#NAME?</v>
      </c>
      <c r="AB9467" t="s">
        <v>181</v>
      </c>
      <c r="AG9467" t="s">
        <v>56684</v>
      </c>
      <c r="AH9467" t="s">
        <v>56685</v>
      </c>
      <c r="AI9467" t="s">
        <v>56686</v>
      </c>
    </row>
    <row r="9468" spans="2:35">
      <c r="B9468" s="1">
        <v>44952</v>
      </c>
      <c r="C9468" s="4">
        <v>44952.618750000001</v>
      </c>
      <c r="D9468" t="s">
        <v>56680</v>
      </c>
      <c r="E9468" t="s">
        <v>56681</v>
      </c>
      <c r="F9468" t="s">
        <v>148</v>
      </c>
      <c r="G9468" t="s">
        <v>447</v>
      </c>
      <c r="H9468" t="s">
        <v>39</v>
      </c>
      <c r="I9468" t="s">
        <v>94</v>
      </c>
      <c r="J9468" t="s">
        <v>996</v>
      </c>
      <c r="K9468" t="s">
        <v>26778</v>
      </c>
      <c r="L9468" t="s">
        <v>857</v>
      </c>
      <c r="Q9468">
        <v>23130</v>
      </c>
      <c r="R9468" t="s">
        <v>95</v>
      </c>
      <c r="S9468" t="s">
        <v>35147</v>
      </c>
      <c r="T9468">
        <v>26</v>
      </c>
      <c r="W9468" t="s">
        <v>35148</v>
      </c>
      <c r="X9468">
        <v>6220.4121999999998</v>
      </c>
      <c r="Y9468" t="s">
        <v>56682</v>
      </c>
      <c r="Z9468" t="s">
        <v>56683</v>
      </c>
      <c r="AA9468" t="e">
        <f ca="1">-performed PM/CALIBRATION PROCEDURE
-performed functionality test</f>
        <v>#NAME?</v>
      </c>
      <c r="AB9468" t="s">
        <v>181</v>
      </c>
      <c r="AG9468" t="s">
        <v>56687</v>
      </c>
      <c r="AH9468" t="s">
        <v>56685</v>
      </c>
      <c r="AI9468" t="s">
        <v>56688</v>
      </c>
    </row>
    <row r="9469" spans="2:35" ht="90">
      <c r="B9469" s="1">
        <v>44952</v>
      </c>
      <c r="C9469" s="4">
        <v>44952.61041666667</v>
      </c>
      <c r="D9469" t="s">
        <v>1825</v>
      </c>
      <c r="E9469" t="s">
        <v>56689</v>
      </c>
      <c r="F9469">
        <v>7</v>
      </c>
      <c r="G9469" t="s">
        <v>432</v>
      </c>
      <c r="H9469" t="s">
        <v>2290</v>
      </c>
      <c r="I9469" t="s">
        <v>94</v>
      </c>
      <c r="J9469" t="s">
        <v>321</v>
      </c>
      <c r="K9469" t="s">
        <v>42</v>
      </c>
      <c r="L9469" t="s">
        <v>610</v>
      </c>
      <c r="Q9469">
        <v>23129</v>
      </c>
      <c r="R9469" t="s">
        <v>45</v>
      </c>
      <c r="S9469" t="s">
        <v>33139</v>
      </c>
      <c r="T9469">
        <v>22</v>
      </c>
      <c r="U9469" s="2" t="s">
        <v>56690</v>
      </c>
      <c r="V9469" s="1">
        <v>44952</v>
      </c>
      <c r="W9469" t="s">
        <v>502</v>
      </c>
      <c r="X9469" t="s">
        <v>56691</v>
      </c>
      <c r="Y9469" t="s">
        <v>56692</v>
      </c>
      <c r="Z9469" t="s">
        <v>56693</v>
      </c>
      <c r="AA9469" t="s">
        <v>56694</v>
      </c>
      <c r="AB9469" t="s">
        <v>486</v>
      </c>
      <c r="AD9469" t="s">
        <v>103</v>
      </c>
      <c r="AE9469" t="s">
        <v>103</v>
      </c>
      <c r="AG9469" t="s">
        <v>56695</v>
      </c>
      <c r="AH9469" t="s">
        <v>56696</v>
      </c>
      <c r="AI9469" t="s">
        <v>56697</v>
      </c>
    </row>
    <row r="9470" spans="2:35" ht="180">
      <c r="B9470" s="1">
        <v>44952</v>
      </c>
      <c r="C9470" s="4">
        <v>44952.588888888888</v>
      </c>
      <c r="D9470" t="s">
        <v>10983</v>
      </c>
      <c r="E9470" t="s">
        <v>21687</v>
      </c>
      <c r="F9470">
        <v>6</v>
      </c>
      <c r="G9470" t="s">
        <v>1234</v>
      </c>
      <c r="H9470" t="s">
        <v>39</v>
      </c>
      <c r="I9470" t="s">
        <v>94</v>
      </c>
      <c r="J9470" s="2" t="s">
        <v>56698</v>
      </c>
      <c r="K9470" t="s">
        <v>42</v>
      </c>
      <c r="L9470" t="s">
        <v>433</v>
      </c>
      <c r="Q9470">
        <v>23128</v>
      </c>
      <c r="R9470" t="s">
        <v>119</v>
      </c>
      <c r="S9470" t="s">
        <v>20399</v>
      </c>
      <c r="T9470">
        <v>27</v>
      </c>
      <c r="U9470" s="2" t="s">
        <v>56699</v>
      </c>
      <c r="W9470" t="s">
        <v>6776</v>
      </c>
      <c r="X9470">
        <v>838464</v>
      </c>
      <c r="Y9470" t="s">
        <v>51431</v>
      </c>
      <c r="Z9470" t="s">
        <v>3128</v>
      </c>
      <c r="AA9470" t="s">
        <v>56700</v>
      </c>
      <c r="AB9470" t="s">
        <v>1011</v>
      </c>
      <c r="AG9470" t="s">
        <v>56701</v>
      </c>
      <c r="AH9470" t="s">
        <v>20404</v>
      </c>
      <c r="AI9470" t="s">
        <v>56702</v>
      </c>
    </row>
    <row r="9471" spans="2:35" ht="180">
      <c r="B9471" s="1">
        <v>44952</v>
      </c>
      <c r="C9471" s="4">
        <v>44952.570138888892</v>
      </c>
      <c r="D9471" t="s">
        <v>26587</v>
      </c>
      <c r="E9471" t="s">
        <v>26588</v>
      </c>
      <c r="F9471">
        <v>3</v>
      </c>
      <c r="G9471" t="s">
        <v>134</v>
      </c>
      <c r="H9471" t="s">
        <v>39</v>
      </c>
      <c r="I9471" t="s">
        <v>40</v>
      </c>
      <c r="J9471" t="s">
        <v>109</v>
      </c>
      <c r="K9471" t="s">
        <v>42</v>
      </c>
      <c r="L9471" t="s">
        <v>63</v>
      </c>
      <c r="Q9471">
        <v>23127</v>
      </c>
      <c r="R9471" t="s">
        <v>119</v>
      </c>
      <c r="S9471" t="s">
        <v>26589</v>
      </c>
      <c r="T9471">
        <v>29</v>
      </c>
      <c r="U9471" s="2" t="s">
        <v>56703</v>
      </c>
      <c r="V9471" s="1">
        <v>44952</v>
      </c>
      <c r="W9471" t="s">
        <v>26915</v>
      </c>
      <c r="X9471">
        <v>831877</v>
      </c>
      <c r="Y9471" t="s">
        <v>1716</v>
      </c>
      <c r="Z9471" t="s">
        <v>1716</v>
      </c>
      <c r="AA9471" s="2" t="s">
        <v>1727</v>
      </c>
      <c r="AB9471" t="s">
        <v>56704</v>
      </c>
      <c r="AC9471" t="s">
        <v>56705</v>
      </c>
      <c r="AD9471" t="s">
        <v>1716</v>
      </c>
      <c r="AE9471" t="s">
        <v>1716</v>
      </c>
      <c r="AG9471" t="s">
        <v>56706</v>
      </c>
      <c r="AH9471" t="s">
        <v>34579</v>
      </c>
      <c r="AI9471" t="s">
        <v>56707</v>
      </c>
    </row>
    <row r="9472" spans="2:35" ht="60">
      <c r="B9472" s="1">
        <v>44952</v>
      </c>
      <c r="C9472" s="4">
        <v>44952.512499999997</v>
      </c>
      <c r="D9472" t="s">
        <v>56708</v>
      </c>
      <c r="E9472" t="s">
        <v>1298</v>
      </c>
      <c r="F9472">
        <v>6</v>
      </c>
      <c r="G9472" t="s">
        <v>1286</v>
      </c>
      <c r="H9472" t="s">
        <v>12018</v>
      </c>
      <c r="I9472" t="s">
        <v>40</v>
      </c>
      <c r="J9472" s="2" t="s">
        <v>62</v>
      </c>
      <c r="K9472" t="s">
        <v>387</v>
      </c>
      <c r="L9472" t="s">
        <v>1288</v>
      </c>
      <c r="Q9472">
        <v>23126</v>
      </c>
      <c r="R9472" t="s">
        <v>95</v>
      </c>
      <c r="S9472" t="s">
        <v>1299</v>
      </c>
      <c r="T9472">
        <v>25.3</v>
      </c>
      <c r="W9472" t="s">
        <v>390</v>
      </c>
      <c r="X9472" t="s">
        <v>1300</v>
      </c>
      <c r="Y9472" t="s">
        <v>10179</v>
      </c>
      <c r="Z9472" t="e">
        <f ca="1">-PERFORM CALIBRATION _xludf.and DIAGNOSTICS, passed</f>
        <v>#NAME?</v>
      </c>
      <c r="AA9472" t="e">
        <f ca="1">-PERFORM Cycle test</f>
        <v>#NAME?</v>
      </c>
      <c r="AB9472" t="s">
        <v>1293</v>
      </c>
      <c r="AC9472" t="s">
        <v>56709</v>
      </c>
      <c r="AG9472" t="s">
        <v>56710</v>
      </c>
      <c r="AH9472" t="s">
        <v>56711</v>
      </c>
      <c r="AI9472" t="s">
        <v>56712</v>
      </c>
    </row>
    <row r="9473" spans="2:35" ht="180">
      <c r="B9473" s="1">
        <v>44952</v>
      </c>
      <c r="C9473" s="4">
        <v>44952.476388888892</v>
      </c>
      <c r="D9473" t="s">
        <v>25059</v>
      </c>
      <c r="E9473" t="s">
        <v>56713</v>
      </c>
      <c r="F9473">
        <v>11</v>
      </c>
      <c r="G9473" t="s">
        <v>1205</v>
      </c>
      <c r="H9473" t="s">
        <v>202</v>
      </c>
      <c r="I9473" t="s">
        <v>40</v>
      </c>
      <c r="J9473" t="s">
        <v>996</v>
      </c>
      <c r="K9473" t="s">
        <v>42</v>
      </c>
      <c r="L9473" t="s">
        <v>204</v>
      </c>
      <c r="Q9473">
        <v>23125</v>
      </c>
      <c r="R9473" t="s">
        <v>45</v>
      </c>
      <c r="S9473" t="s">
        <v>53583</v>
      </c>
      <c r="T9473">
        <v>25.8</v>
      </c>
      <c r="U9473" s="2" t="s">
        <v>56714</v>
      </c>
      <c r="V9473" s="1">
        <v>44952</v>
      </c>
      <c r="W9473" t="s">
        <v>1292</v>
      </c>
      <c r="X9473">
        <v>838538</v>
      </c>
      <c r="Y9473" t="s">
        <v>6929</v>
      </c>
      <c r="Z9473" t="s">
        <v>39672</v>
      </c>
      <c r="AA9473" t="s">
        <v>39672</v>
      </c>
      <c r="AB9473" s="2" t="s">
        <v>56715</v>
      </c>
      <c r="AC9473" t="s">
        <v>1716</v>
      </c>
      <c r="AD9473" t="s">
        <v>56716</v>
      </c>
      <c r="AE9473" t="s">
        <v>1716</v>
      </c>
      <c r="AG9473" t="s">
        <v>56717</v>
      </c>
      <c r="AH9473" t="s">
        <v>53587</v>
      </c>
      <c r="AI9473" t="s">
        <v>56718</v>
      </c>
    </row>
    <row r="9474" spans="2:35" ht="180">
      <c r="B9474" s="1">
        <v>44952</v>
      </c>
      <c r="C9474" s="4">
        <v>44952.476388888892</v>
      </c>
      <c r="D9474" t="s">
        <v>25059</v>
      </c>
      <c r="E9474" t="s">
        <v>56713</v>
      </c>
      <c r="F9474">
        <v>11</v>
      </c>
      <c r="G9474" t="s">
        <v>1205</v>
      </c>
      <c r="H9474" t="s">
        <v>202</v>
      </c>
      <c r="I9474" t="s">
        <v>40</v>
      </c>
      <c r="J9474" t="s">
        <v>996</v>
      </c>
      <c r="K9474" t="s">
        <v>42</v>
      </c>
      <c r="L9474" t="s">
        <v>204</v>
      </c>
      <c r="Q9474">
        <v>23124</v>
      </c>
      <c r="R9474" t="s">
        <v>45</v>
      </c>
      <c r="S9474" t="s">
        <v>53583</v>
      </c>
      <c r="T9474">
        <v>25.8</v>
      </c>
      <c r="U9474" s="2" t="s">
        <v>56714</v>
      </c>
      <c r="V9474" s="1">
        <v>44952</v>
      </c>
      <c r="W9474" t="s">
        <v>1292</v>
      </c>
      <c r="X9474">
        <v>838538</v>
      </c>
      <c r="Y9474" t="s">
        <v>6929</v>
      </c>
      <c r="Z9474" t="s">
        <v>39672</v>
      </c>
      <c r="AA9474" t="s">
        <v>39672</v>
      </c>
      <c r="AB9474" s="2" t="s">
        <v>56715</v>
      </c>
      <c r="AC9474" t="s">
        <v>1716</v>
      </c>
      <c r="AD9474" t="s">
        <v>56716</v>
      </c>
      <c r="AE9474" t="s">
        <v>1716</v>
      </c>
      <c r="AG9474" t="s">
        <v>56719</v>
      </c>
      <c r="AH9474" t="s">
        <v>53587</v>
      </c>
      <c r="AI9474" t="s">
        <v>56720</v>
      </c>
    </row>
    <row r="9475" spans="2:35" ht="135">
      <c r="B9475" s="1">
        <v>44952</v>
      </c>
      <c r="C9475" s="4">
        <v>44952.460416666669</v>
      </c>
      <c r="D9475" t="s">
        <v>31107</v>
      </c>
      <c r="E9475" t="s">
        <v>1298</v>
      </c>
      <c r="F9475">
        <v>6</v>
      </c>
      <c r="G9475" t="s">
        <v>1286</v>
      </c>
      <c r="H9475" t="s">
        <v>12018</v>
      </c>
      <c r="I9475" t="s">
        <v>40</v>
      </c>
      <c r="J9475" s="2" t="s">
        <v>1309</v>
      </c>
      <c r="K9475" t="s">
        <v>387</v>
      </c>
      <c r="L9475" t="s">
        <v>1288</v>
      </c>
      <c r="Q9475">
        <v>23123</v>
      </c>
      <c r="R9475" t="s">
        <v>95</v>
      </c>
      <c r="S9475" t="s">
        <v>56721</v>
      </c>
      <c r="T9475">
        <v>25</v>
      </c>
      <c r="W9475" t="s">
        <v>390</v>
      </c>
      <c r="X9475" t="s">
        <v>14171</v>
      </c>
      <c r="Y9475" s="2" t="s">
        <v>56722</v>
      </c>
      <c r="Z9475" t="e">
        <f ca="1">-PERFORM Maintenance _xludf.and CALIBRATION</f>
        <v>#NAME?</v>
      </c>
      <c r="AA9475" t="e">
        <f ca="1">-PERFORM external Cleaning of APHERESIS EQUIPMENT
-PERFORM Cycle test</f>
        <v>#NAME?</v>
      </c>
      <c r="AB9475" t="s">
        <v>1293</v>
      </c>
      <c r="AG9475" t="s">
        <v>56723</v>
      </c>
      <c r="AH9475" t="s">
        <v>56724</v>
      </c>
      <c r="AI9475" t="s">
        <v>56725</v>
      </c>
    </row>
    <row r="9476" spans="2:35" ht="180">
      <c r="B9476" s="1">
        <v>44952</v>
      </c>
      <c r="C9476" s="4">
        <v>44952.381944444445</v>
      </c>
      <c r="D9476" t="s">
        <v>757</v>
      </c>
      <c r="E9476" t="s">
        <v>31265</v>
      </c>
      <c r="F9476">
        <v>5</v>
      </c>
      <c r="G9476" t="s">
        <v>759</v>
      </c>
      <c r="H9476" t="s">
        <v>39</v>
      </c>
      <c r="I9476" t="s">
        <v>40</v>
      </c>
      <c r="J9476" s="2" t="s">
        <v>190</v>
      </c>
      <c r="K9476" t="s">
        <v>42</v>
      </c>
      <c r="L9476" t="s">
        <v>43</v>
      </c>
      <c r="Q9476">
        <v>23122</v>
      </c>
      <c r="R9476" t="s">
        <v>45</v>
      </c>
      <c r="S9476" t="s">
        <v>4727</v>
      </c>
      <c r="T9476">
        <v>25</v>
      </c>
      <c r="U9476" s="2" t="s">
        <v>56726</v>
      </c>
      <c r="W9476" t="s">
        <v>9792</v>
      </c>
      <c r="X9476">
        <v>808280</v>
      </c>
      <c r="Y9476" t="s">
        <v>56727</v>
      </c>
      <c r="Z9476" t="s">
        <v>56728</v>
      </c>
      <c r="AA9476" s="2" t="s">
        <v>56729</v>
      </c>
      <c r="AB9476" t="s">
        <v>56730</v>
      </c>
      <c r="AG9476" t="s">
        <v>56731</v>
      </c>
      <c r="AH9476" t="s">
        <v>56732</v>
      </c>
      <c r="AI9476" t="s">
        <v>56733</v>
      </c>
    </row>
    <row r="9477" spans="2:35" ht="210">
      <c r="B9477" s="1">
        <v>44952</v>
      </c>
      <c r="C9477" s="4">
        <v>44951.753472222219</v>
      </c>
      <c r="D9477" t="s">
        <v>56662</v>
      </c>
      <c r="E9477" t="s">
        <v>56734</v>
      </c>
      <c r="F9477">
        <v>5</v>
      </c>
      <c r="G9477" t="s">
        <v>759</v>
      </c>
      <c r="H9477" t="s">
        <v>39</v>
      </c>
      <c r="I9477" t="s">
        <v>40</v>
      </c>
      <c r="J9477" t="s">
        <v>79</v>
      </c>
      <c r="K9477" t="s">
        <v>387</v>
      </c>
      <c r="L9477" t="s">
        <v>43</v>
      </c>
      <c r="Q9477">
        <v>23121</v>
      </c>
      <c r="R9477" t="s">
        <v>95</v>
      </c>
      <c r="S9477" t="s">
        <v>17459</v>
      </c>
      <c r="T9477">
        <v>25</v>
      </c>
      <c r="V9477" s="1">
        <v>44946</v>
      </c>
      <c r="W9477" t="s">
        <v>390</v>
      </c>
      <c r="X9477" t="s">
        <v>17461</v>
      </c>
      <c r="Y9477" t="s">
        <v>56735</v>
      </c>
      <c r="Z9477" t="s">
        <v>56736</v>
      </c>
      <c r="AA9477" s="2" t="s">
        <v>56737</v>
      </c>
      <c r="AB9477" t="s">
        <v>56738</v>
      </c>
      <c r="AC9477" t="s">
        <v>56739</v>
      </c>
      <c r="AD9477" t="s">
        <v>56740</v>
      </c>
      <c r="AE9477" t="s">
        <v>56669</v>
      </c>
      <c r="AG9477" t="s">
        <v>56741</v>
      </c>
      <c r="AH9477" t="s">
        <v>17465</v>
      </c>
      <c r="AI9477" t="s">
        <v>56742</v>
      </c>
    </row>
    <row r="9478" spans="2:35" ht="210">
      <c r="B9478" s="1">
        <v>44952</v>
      </c>
      <c r="C9478" s="4">
        <v>44951.584722222222</v>
      </c>
      <c r="D9478" t="s">
        <v>2990</v>
      </c>
      <c r="E9478" t="s">
        <v>31320</v>
      </c>
      <c r="F9478">
        <v>5</v>
      </c>
      <c r="G9478" t="s">
        <v>759</v>
      </c>
      <c r="H9478" t="s">
        <v>39</v>
      </c>
      <c r="I9478" t="s">
        <v>40</v>
      </c>
      <c r="J9478" s="2" t="s">
        <v>41</v>
      </c>
      <c r="K9478" t="s">
        <v>42</v>
      </c>
      <c r="L9478" t="s">
        <v>43</v>
      </c>
      <c r="Q9478">
        <v>23117</v>
      </c>
      <c r="R9478" t="s">
        <v>45</v>
      </c>
      <c r="S9478" t="s">
        <v>2992</v>
      </c>
      <c r="T9478">
        <v>24</v>
      </c>
      <c r="U9478" s="2" t="s">
        <v>56743</v>
      </c>
      <c r="W9478" t="s">
        <v>9792</v>
      </c>
      <c r="X9478">
        <v>804257</v>
      </c>
      <c r="Y9478" t="s">
        <v>56744</v>
      </c>
      <c r="Z9478" t="s">
        <v>56745</v>
      </c>
      <c r="AA9478" s="2" t="s">
        <v>56746</v>
      </c>
      <c r="AB9478" t="s">
        <v>56747</v>
      </c>
      <c r="AC9478" t="s">
        <v>56748</v>
      </c>
      <c r="AG9478" t="s">
        <v>56749</v>
      </c>
      <c r="AH9478" t="s">
        <v>31327</v>
      </c>
      <c r="AI9478" t="s">
        <v>56750</v>
      </c>
    </row>
    <row r="9479" spans="2:35" ht="255">
      <c r="B9479" s="1">
        <v>44952</v>
      </c>
      <c r="C9479" s="4">
        <v>44951.429861111108</v>
      </c>
      <c r="D9479" t="s">
        <v>4112</v>
      </c>
      <c r="E9479" t="s">
        <v>4076</v>
      </c>
      <c r="F9479">
        <v>5</v>
      </c>
      <c r="G9479" t="s">
        <v>814</v>
      </c>
      <c r="H9479" t="s">
        <v>39</v>
      </c>
      <c r="I9479" t="s">
        <v>40</v>
      </c>
      <c r="J9479" s="2" t="s">
        <v>190</v>
      </c>
      <c r="K9479" t="s">
        <v>42</v>
      </c>
      <c r="L9479" t="s">
        <v>43</v>
      </c>
      <c r="Q9479">
        <v>23118</v>
      </c>
      <c r="R9479" t="s">
        <v>45</v>
      </c>
      <c r="S9479" t="s">
        <v>31206</v>
      </c>
      <c r="T9479">
        <v>23</v>
      </c>
      <c r="U9479" s="2" t="s">
        <v>56751</v>
      </c>
      <c r="W9479" t="s">
        <v>56752</v>
      </c>
      <c r="X9479">
        <v>835213</v>
      </c>
      <c r="Y9479" t="s">
        <v>56753</v>
      </c>
      <c r="Z9479" t="s">
        <v>56754</v>
      </c>
      <c r="AA9479" s="2" t="s">
        <v>56755</v>
      </c>
      <c r="AB9479" t="s">
        <v>56756</v>
      </c>
      <c r="AC9479" t="s">
        <v>56757</v>
      </c>
      <c r="AG9479" t="s">
        <v>56758</v>
      </c>
      <c r="AH9479" t="s">
        <v>31210</v>
      </c>
      <c r="AI9479" t="s">
        <v>56759</v>
      </c>
    </row>
    <row r="9480" spans="2:35" ht="285">
      <c r="B9480" s="1">
        <v>44952</v>
      </c>
      <c r="C9480" s="4">
        <v>44951.372916666667</v>
      </c>
      <c r="D9480" t="s">
        <v>56760</v>
      </c>
      <c r="E9480" t="s">
        <v>4076</v>
      </c>
      <c r="F9480">
        <v>5</v>
      </c>
      <c r="G9480" t="s">
        <v>814</v>
      </c>
      <c r="H9480" t="s">
        <v>39</v>
      </c>
      <c r="I9480" t="s">
        <v>40</v>
      </c>
      <c r="J9480" s="2" t="s">
        <v>41</v>
      </c>
      <c r="K9480" t="s">
        <v>42</v>
      </c>
      <c r="L9480" t="s">
        <v>43</v>
      </c>
      <c r="Q9480">
        <v>23119</v>
      </c>
      <c r="R9480" t="s">
        <v>45</v>
      </c>
      <c r="S9480" t="s">
        <v>43115</v>
      </c>
      <c r="T9480">
        <v>25</v>
      </c>
      <c r="U9480" s="2" t="s">
        <v>56761</v>
      </c>
      <c r="W9480" t="s">
        <v>9792</v>
      </c>
      <c r="X9480">
        <v>707452</v>
      </c>
      <c r="Y9480" t="s">
        <v>56762</v>
      </c>
      <c r="Z9480" t="s">
        <v>8743</v>
      </c>
      <c r="AA9480" s="2" t="s">
        <v>56763</v>
      </c>
      <c r="AB9480" t="s">
        <v>56764</v>
      </c>
      <c r="AC9480" t="s">
        <v>56765</v>
      </c>
      <c r="AG9480" t="s">
        <v>56766</v>
      </c>
      <c r="AH9480" t="s">
        <v>43121</v>
      </c>
      <c r="AI9480" t="s">
        <v>56767</v>
      </c>
    </row>
    <row r="9481" spans="2:35" ht="345">
      <c r="B9481" s="1">
        <v>44952</v>
      </c>
      <c r="C9481" s="4">
        <v>44950.630555555559</v>
      </c>
      <c r="D9481" t="s">
        <v>56768</v>
      </c>
      <c r="E9481" t="s">
        <v>29879</v>
      </c>
      <c r="F9481">
        <v>5</v>
      </c>
      <c r="G9481" t="s">
        <v>759</v>
      </c>
      <c r="H9481" t="s">
        <v>39</v>
      </c>
      <c r="I9481" t="s">
        <v>40</v>
      </c>
      <c r="J9481" t="s">
        <v>109</v>
      </c>
      <c r="K9481" t="s">
        <v>42</v>
      </c>
      <c r="L9481" t="s">
        <v>43</v>
      </c>
      <c r="Q9481">
        <v>23120</v>
      </c>
      <c r="R9481" t="s">
        <v>45</v>
      </c>
      <c r="S9481" t="s">
        <v>4983</v>
      </c>
      <c r="T9481">
        <v>23</v>
      </c>
      <c r="U9481" s="2" t="s">
        <v>56769</v>
      </c>
      <c r="W9481" t="s">
        <v>9792</v>
      </c>
      <c r="X9481">
        <v>808636</v>
      </c>
      <c r="Y9481" t="s">
        <v>121</v>
      </c>
      <c r="Z9481" t="s">
        <v>122</v>
      </c>
      <c r="AA9481" s="2" t="s">
        <v>56770</v>
      </c>
      <c r="AB9481" t="s">
        <v>56771</v>
      </c>
      <c r="AG9481" t="s">
        <v>56772</v>
      </c>
      <c r="AH9481" t="s">
        <v>41876</v>
      </c>
      <c r="AI9481" t="s">
        <v>56773</v>
      </c>
    </row>
    <row r="9482" spans="2:35" ht="360">
      <c r="B9482" s="1">
        <v>44952</v>
      </c>
      <c r="C9482" s="4">
        <v>44950.668749999997</v>
      </c>
      <c r="D9482" t="s">
        <v>56768</v>
      </c>
      <c r="E9482" t="s">
        <v>29879</v>
      </c>
      <c r="F9482">
        <v>5</v>
      </c>
      <c r="G9482" t="s">
        <v>759</v>
      </c>
      <c r="H9482" t="s">
        <v>39</v>
      </c>
      <c r="I9482" t="s">
        <v>40</v>
      </c>
      <c r="J9482" t="s">
        <v>109</v>
      </c>
      <c r="K9482" t="s">
        <v>42</v>
      </c>
      <c r="L9482" t="s">
        <v>43</v>
      </c>
      <c r="Q9482">
        <v>23116</v>
      </c>
      <c r="R9482" t="s">
        <v>45</v>
      </c>
      <c r="S9482" t="s">
        <v>4983</v>
      </c>
      <c r="T9482">
        <v>23</v>
      </c>
      <c r="U9482" s="2" t="s">
        <v>56774</v>
      </c>
      <c r="W9482" t="s">
        <v>9792</v>
      </c>
      <c r="X9482">
        <v>807579</v>
      </c>
      <c r="Y9482" t="s">
        <v>121</v>
      </c>
      <c r="Z9482" t="s">
        <v>122</v>
      </c>
      <c r="AA9482" s="2" t="s">
        <v>56775</v>
      </c>
      <c r="AB9482" t="s">
        <v>16412</v>
      </c>
      <c r="AC9482" t="s">
        <v>56776</v>
      </c>
      <c r="AG9482" t="s">
        <v>56777</v>
      </c>
      <c r="AH9482" t="s">
        <v>41876</v>
      </c>
      <c r="AI9482" t="s">
        <v>56778</v>
      </c>
    </row>
    <row r="9483" spans="2:35" ht="90">
      <c r="B9483" s="1">
        <v>44952</v>
      </c>
      <c r="C9483" s="4">
        <v>44952.411805555559</v>
      </c>
      <c r="D9483" t="s">
        <v>11901</v>
      </c>
      <c r="E9483" t="s">
        <v>11902</v>
      </c>
      <c r="F9483">
        <v>6</v>
      </c>
      <c r="G9483" t="s">
        <v>1234</v>
      </c>
      <c r="H9483" t="s">
        <v>39</v>
      </c>
      <c r="I9483" t="s">
        <v>94</v>
      </c>
      <c r="J9483" t="s">
        <v>109</v>
      </c>
      <c r="K9483" t="s">
        <v>42</v>
      </c>
      <c r="L9483" t="s">
        <v>433</v>
      </c>
      <c r="Q9483">
        <v>23115</v>
      </c>
      <c r="R9483" t="s">
        <v>119</v>
      </c>
      <c r="S9483" t="s">
        <v>34236</v>
      </c>
      <c r="T9483">
        <v>25</v>
      </c>
      <c r="U9483" s="2" t="s">
        <v>56779</v>
      </c>
      <c r="W9483" t="s">
        <v>6776</v>
      </c>
      <c r="X9483">
        <v>837612</v>
      </c>
      <c r="Y9483" t="s">
        <v>56780</v>
      </c>
      <c r="Z9483" t="s">
        <v>56781</v>
      </c>
      <c r="AA9483" t="s">
        <v>56781</v>
      </c>
      <c r="AB9483" t="s">
        <v>441</v>
      </c>
      <c r="AG9483" t="s">
        <v>56782</v>
      </c>
      <c r="AH9483" t="s">
        <v>29197</v>
      </c>
      <c r="AI9483" t="s">
        <v>56783</v>
      </c>
    </row>
    <row r="9484" spans="2:35" ht="285">
      <c r="B9484" s="1">
        <v>44951</v>
      </c>
      <c r="C9484" s="4">
        <v>44951.379861111112</v>
      </c>
      <c r="D9484" t="s">
        <v>46204</v>
      </c>
      <c r="E9484" t="s">
        <v>56784</v>
      </c>
      <c r="F9484" t="s">
        <v>37</v>
      </c>
      <c r="G9484" t="s">
        <v>38</v>
      </c>
      <c r="H9484" t="s">
        <v>39</v>
      </c>
      <c r="I9484" t="s">
        <v>40</v>
      </c>
      <c r="J9484" s="2" t="s">
        <v>62</v>
      </c>
      <c r="K9484" t="s">
        <v>42</v>
      </c>
      <c r="L9484" t="s">
        <v>448</v>
      </c>
      <c r="Q9484">
        <v>23114</v>
      </c>
      <c r="R9484" t="s">
        <v>45</v>
      </c>
      <c r="S9484" t="s">
        <v>56785</v>
      </c>
      <c r="T9484">
        <v>27</v>
      </c>
      <c r="U9484" s="2" t="s">
        <v>56786</v>
      </c>
      <c r="V9484" s="1">
        <v>44949</v>
      </c>
      <c r="W9484" t="s">
        <v>502</v>
      </c>
      <c r="X9484">
        <v>838894</v>
      </c>
      <c r="Y9484" t="s">
        <v>56787</v>
      </c>
      <c r="Z9484" t="s">
        <v>56788</v>
      </c>
      <c r="AA9484" t="s">
        <v>56789</v>
      </c>
      <c r="AB9484" t="s">
        <v>56790</v>
      </c>
      <c r="AD9484" t="s">
        <v>53813</v>
      </c>
      <c r="AE9484" t="s">
        <v>56791</v>
      </c>
      <c r="AG9484" t="s">
        <v>56792</v>
      </c>
      <c r="AH9484" t="s">
        <v>38751</v>
      </c>
      <c r="AI9484" t="s">
        <v>56793</v>
      </c>
    </row>
    <row r="9485" spans="2:35" ht="285">
      <c r="B9485" s="1">
        <v>44951</v>
      </c>
      <c r="C9485" s="4">
        <v>44951.379861111112</v>
      </c>
      <c r="D9485" t="s">
        <v>46204</v>
      </c>
      <c r="E9485" t="s">
        <v>56784</v>
      </c>
      <c r="F9485" t="s">
        <v>37</v>
      </c>
      <c r="G9485" t="s">
        <v>38</v>
      </c>
      <c r="H9485" t="s">
        <v>39</v>
      </c>
      <c r="I9485" t="s">
        <v>40</v>
      </c>
      <c r="J9485" s="2" t="s">
        <v>62</v>
      </c>
      <c r="K9485" t="s">
        <v>42</v>
      </c>
      <c r="L9485" t="s">
        <v>448</v>
      </c>
      <c r="Q9485">
        <v>23113</v>
      </c>
      <c r="R9485" t="s">
        <v>45</v>
      </c>
      <c r="S9485" t="s">
        <v>56785</v>
      </c>
      <c r="T9485">
        <v>27</v>
      </c>
      <c r="U9485" s="2" t="s">
        <v>56786</v>
      </c>
      <c r="V9485" s="1">
        <v>44949</v>
      </c>
      <c r="W9485" t="s">
        <v>502</v>
      </c>
      <c r="X9485">
        <v>838894</v>
      </c>
      <c r="Y9485" t="s">
        <v>56787</v>
      </c>
      <c r="Z9485" t="s">
        <v>56788</v>
      </c>
      <c r="AA9485" t="s">
        <v>56789</v>
      </c>
      <c r="AB9485" t="s">
        <v>56790</v>
      </c>
      <c r="AD9485" t="s">
        <v>53813</v>
      </c>
      <c r="AE9485" t="s">
        <v>56791</v>
      </c>
      <c r="AG9485" t="s">
        <v>56794</v>
      </c>
      <c r="AH9485" t="s">
        <v>38751</v>
      </c>
      <c r="AI9485" t="s">
        <v>56795</v>
      </c>
    </row>
    <row r="9486" spans="2:35" ht="180">
      <c r="B9486" s="1">
        <v>44951</v>
      </c>
      <c r="C9486" s="4">
        <v>44951.387499999997</v>
      </c>
      <c r="D9486" t="s">
        <v>46204</v>
      </c>
      <c r="E9486" t="s">
        <v>56796</v>
      </c>
      <c r="F9486" t="s">
        <v>37</v>
      </c>
      <c r="G9486" t="s">
        <v>38</v>
      </c>
      <c r="H9486" t="s">
        <v>39</v>
      </c>
      <c r="I9486" t="s">
        <v>40</v>
      </c>
      <c r="J9486" s="2" t="s">
        <v>62</v>
      </c>
      <c r="K9486" t="s">
        <v>42</v>
      </c>
      <c r="L9486" t="s">
        <v>448</v>
      </c>
      <c r="Q9486">
        <v>23112</v>
      </c>
      <c r="R9486" t="s">
        <v>45</v>
      </c>
      <c r="S9486" t="s">
        <v>56785</v>
      </c>
      <c r="T9486">
        <v>28</v>
      </c>
      <c r="U9486" s="2" t="s">
        <v>56797</v>
      </c>
      <c r="W9486" t="s">
        <v>502</v>
      </c>
      <c r="X9486">
        <v>807580</v>
      </c>
      <c r="Y9486" t="s">
        <v>56527</v>
      </c>
      <c r="Z9486" t="s">
        <v>55341</v>
      </c>
      <c r="AA9486" t="s">
        <v>56529</v>
      </c>
      <c r="AB9486" t="s">
        <v>56798</v>
      </c>
      <c r="AG9486" t="s">
        <v>56799</v>
      </c>
      <c r="AH9486" t="s">
        <v>56800</v>
      </c>
      <c r="AI9486" t="s">
        <v>56801</v>
      </c>
    </row>
    <row r="9487" spans="2:35" ht="180">
      <c r="B9487" s="1">
        <v>44951</v>
      </c>
      <c r="C9487" s="4">
        <v>44951.387499999997</v>
      </c>
      <c r="D9487" t="s">
        <v>46204</v>
      </c>
      <c r="E9487" t="s">
        <v>56796</v>
      </c>
      <c r="F9487" t="s">
        <v>37</v>
      </c>
      <c r="G9487" t="s">
        <v>38</v>
      </c>
      <c r="H9487" t="s">
        <v>39</v>
      </c>
      <c r="I9487" t="s">
        <v>40</v>
      </c>
      <c r="J9487" s="2" t="s">
        <v>62</v>
      </c>
      <c r="K9487" t="s">
        <v>42</v>
      </c>
      <c r="L9487" t="s">
        <v>448</v>
      </c>
      <c r="Q9487">
        <v>23111</v>
      </c>
      <c r="R9487" t="s">
        <v>45</v>
      </c>
      <c r="S9487" t="s">
        <v>56785</v>
      </c>
      <c r="T9487">
        <v>28</v>
      </c>
      <c r="U9487" s="2" t="s">
        <v>56797</v>
      </c>
      <c r="W9487" t="s">
        <v>502</v>
      </c>
      <c r="X9487">
        <v>807580</v>
      </c>
      <c r="Y9487" t="s">
        <v>56527</v>
      </c>
      <c r="Z9487" t="s">
        <v>55341</v>
      </c>
      <c r="AA9487" t="s">
        <v>56529</v>
      </c>
      <c r="AB9487" t="s">
        <v>56798</v>
      </c>
      <c r="AG9487" t="s">
        <v>56802</v>
      </c>
      <c r="AH9487" t="s">
        <v>56800</v>
      </c>
      <c r="AI9487" t="s">
        <v>56803</v>
      </c>
    </row>
    <row r="9488" spans="2:35" ht="285">
      <c r="B9488" s="1">
        <v>44951</v>
      </c>
      <c r="C9488" s="4">
        <v>44951.570833333331</v>
      </c>
      <c r="D9488" t="s">
        <v>56804</v>
      </c>
      <c r="E9488" t="s">
        <v>56805</v>
      </c>
      <c r="F9488" t="s">
        <v>37</v>
      </c>
      <c r="G9488" t="s">
        <v>38</v>
      </c>
      <c r="H9488" t="s">
        <v>39</v>
      </c>
      <c r="I9488" t="s">
        <v>40</v>
      </c>
      <c r="J9488" s="2" t="s">
        <v>41</v>
      </c>
      <c r="K9488" t="s">
        <v>42</v>
      </c>
      <c r="L9488" t="s">
        <v>448</v>
      </c>
      <c r="Q9488">
        <v>23110</v>
      </c>
      <c r="R9488" t="s">
        <v>45</v>
      </c>
      <c r="S9488" t="s">
        <v>56806</v>
      </c>
      <c r="T9488">
        <v>26</v>
      </c>
      <c r="U9488" s="2" t="s">
        <v>56807</v>
      </c>
      <c r="V9488" s="1">
        <v>44949</v>
      </c>
      <c r="W9488" t="s">
        <v>502</v>
      </c>
      <c r="X9488">
        <v>808629</v>
      </c>
      <c r="Y9488" t="s">
        <v>56808</v>
      </c>
      <c r="Z9488" t="s">
        <v>56809</v>
      </c>
      <c r="AA9488" t="s">
        <v>56153</v>
      </c>
      <c r="AB9488" t="s">
        <v>486</v>
      </c>
      <c r="AD9488" t="s">
        <v>53813</v>
      </c>
      <c r="AE9488" t="s">
        <v>56810</v>
      </c>
      <c r="AG9488" t="s">
        <v>56811</v>
      </c>
      <c r="AH9488" t="s">
        <v>56812</v>
      </c>
      <c r="AI9488" t="s">
        <v>56813</v>
      </c>
    </row>
    <row r="9489" spans="2:35" ht="285">
      <c r="B9489" s="1">
        <v>44951</v>
      </c>
      <c r="C9489" s="4">
        <v>44951.570833333331</v>
      </c>
      <c r="D9489" t="s">
        <v>56804</v>
      </c>
      <c r="E9489" t="s">
        <v>56805</v>
      </c>
      <c r="F9489" t="s">
        <v>37</v>
      </c>
      <c r="G9489" t="s">
        <v>38</v>
      </c>
      <c r="H9489" t="s">
        <v>39</v>
      </c>
      <c r="I9489" t="s">
        <v>40</v>
      </c>
      <c r="J9489" s="2" t="s">
        <v>41</v>
      </c>
      <c r="K9489" t="s">
        <v>42</v>
      </c>
      <c r="L9489" t="s">
        <v>448</v>
      </c>
      <c r="Q9489">
        <v>23109</v>
      </c>
      <c r="R9489" t="s">
        <v>45</v>
      </c>
      <c r="S9489" t="s">
        <v>56806</v>
      </c>
      <c r="T9489">
        <v>26</v>
      </c>
      <c r="U9489" s="2" t="s">
        <v>56807</v>
      </c>
      <c r="V9489" s="1">
        <v>44949</v>
      </c>
      <c r="W9489" t="s">
        <v>502</v>
      </c>
      <c r="X9489">
        <v>808629</v>
      </c>
      <c r="Y9489" t="s">
        <v>56808</v>
      </c>
      <c r="Z9489" t="s">
        <v>56809</v>
      </c>
      <c r="AA9489" t="s">
        <v>56153</v>
      </c>
      <c r="AB9489" t="s">
        <v>486</v>
      </c>
      <c r="AD9489" t="s">
        <v>53813</v>
      </c>
      <c r="AE9489" t="s">
        <v>56810</v>
      </c>
      <c r="AG9489" t="s">
        <v>56814</v>
      </c>
      <c r="AH9489" t="s">
        <v>56812</v>
      </c>
      <c r="AI9489" t="s">
        <v>56815</v>
      </c>
    </row>
    <row r="9490" spans="2:35" ht="270">
      <c r="B9490" s="1">
        <v>44951</v>
      </c>
      <c r="C9490" s="4">
        <v>44951.73541666667</v>
      </c>
      <c r="D9490" t="s">
        <v>47402</v>
      </c>
      <c r="E9490" t="s">
        <v>56816</v>
      </c>
      <c r="F9490">
        <v>11</v>
      </c>
      <c r="G9490" t="s">
        <v>1205</v>
      </c>
      <c r="H9490" t="s">
        <v>39</v>
      </c>
      <c r="I9490" t="s">
        <v>40</v>
      </c>
      <c r="J9490" t="s">
        <v>996</v>
      </c>
      <c r="K9490" t="s">
        <v>42</v>
      </c>
      <c r="L9490" t="s">
        <v>204</v>
      </c>
      <c r="Q9490">
        <v>23108</v>
      </c>
      <c r="R9490" t="s">
        <v>45</v>
      </c>
      <c r="S9490" t="s">
        <v>29969</v>
      </c>
      <c r="T9490">
        <v>25.7</v>
      </c>
      <c r="U9490" s="2" t="s">
        <v>56817</v>
      </c>
      <c r="V9490" s="1">
        <v>44951</v>
      </c>
      <c r="W9490" t="s">
        <v>1292</v>
      </c>
      <c r="X9490">
        <v>838889</v>
      </c>
      <c r="Y9490" t="s">
        <v>6929</v>
      </c>
      <c r="Z9490" t="s">
        <v>56251</v>
      </c>
      <c r="AA9490" s="2" t="s">
        <v>56818</v>
      </c>
      <c r="AB9490" s="2" t="s">
        <v>56819</v>
      </c>
      <c r="AC9490" t="s">
        <v>56820</v>
      </c>
      <c r="AD9490" t="s">
        <v>18451</v>
      </c>
      <c r="AE9490" t="s">
        <v>54</v>
      </c>
      <c r="AG9490" t="s">
        <v>56821</v>
      </c>
      <c r="AH9490" t="s">
        <v>56822</v>
      </c>
      <c r="AI9490" t="s">
        <v>56823</v>
      </c>
    </row>
    <row r="9491" spans="2:35">
      <c r="B9491" s="1">
        <v>44951</v>
      </c>
      <c r="C9491" s="4">
        <v>44950.676388888889</v>
      </c>
      <c r="D9491" t="s">
        <v>56824</v>
      </c>
      <c r="E9491" t="s">
        <v>56825</v>
      </c>
      <c r="F9491" t="s">
        <v>148</v>
      </c>
      <c r="G9491" t="s">
        <v>447</v>
      </c>
      <c r="H9491" t="s">
        <v>39</v>
      </c>
      <c r="I9491" t="s">
        <v>40</v>
      </c>
      <c r="J9491" t="s">
        <v>109</v>
      </c>
      <c r="K9491" t="s">
        <v>387</v>
      </c>
      <c r="L9491" t="s">
        <v>448</v>
      </c>
      <c r="Q9491">
        <v>23107</v>
      </c>
      <c r="R9491" t="s">
        <v>322</v>
      </c>
      <c r="S9491" t="s">
        <v>9676</v>
      </c>
      <c r="T9491">
        <v>28</v>
      </c>
      <c r="W9491" t="s">
        <v>49610</v>
      </c>
      <c r="X9491" t="s">
        <v>5906</v>
      </c>
      <c r="Y9491" t="s">
        <v>121</v>
      </c>
      <c r="Z9491" t="s">
        <v>47610</v>
      </c>
      <c r="AA9491" t="s">
        <v>6997</v>
      </c>
      <c r="AB9491" t="s">
        <v>486</v>
      </c>
      <c r="AG9491" t="s">
        <v>56826</v>
      </c>
      <c r="AH9491" t="s">
        <v>27548</v>
      </c>
      <c r="AI9491" t="s">
        <v>56827</v>
      </c>
    </row>
    <row r="9492" spans="2:35">
      <c r="B9492" s="1">
        <v>44951</v>
      </c>
      <c r="C9492" s="4">
        <v>44950.676388888889</v>
      </c>
      <c r="D9492" t="s">
        <v>56824</v>
      </c>
      <c r="E9492" t="s">
        <v>56825</v>
      </c>
      <c r="F9492" t="s">
        <v>148</v>
      </c>
      <c r="G9492" t="s">
        <v>447</v>
      </c>
      <c r="H9492" t="s">
        <v>39</v>
      </c>
      <c r="I9492" t="s">
        <v>40</v>
      </c>
      <c r="J9492" t="s">
        <v>109</v>
      </c>
      <c r="K9492" t="s">
        <v>387</v>
      </c>
      <c r="L9492" t="s">
        <v>448</v>
      </c>
      <c r="Q9492">
        <v>23106</v>
      </c>
      <c r="R9492" t="s">
        <v>322</v>
      </c>
      <c r="S9492" t="s">
        <v>9676</v>
      </c>
      <c r="T9492">
        <v>28</v>
      </c>
      <c r="W9492" t="s">
        <v>49610</v>
      </c>
      <c r="X9492" t="s">
        <v>5906</v>
      </c>
      <c r="Y9492" t="s">
        <v>121</v>
      </c>
      <c r="Z9492" t="s">
        <v>47610</v>
      </c>
      <c r="AA9492" t="s">
        <v>6997</v>
      </c>
      <c r="AB9492" t="s">
        <v>486</v>
      </c>
      <c r="AG9492" t="s">
        <v>56828</v>
      </c>
      <c r="AH9492" t="s">
        <v>27548</v>
      </c>
      <c r="AI9492" t="s">
        <v>56829</v>
      </c>
    </row>
    <row r="9493" spans="2:35" ht="45">
      <c r="B9493" s="1">
        <v>44951</v>
      </c>
      <c r="C9493" s="4">
        <v>44951.654861111114</v>
      </c>
      <c r="D9493" t="s">
        <v>27644</v>
      </c>
      <c r="E9493" t="s">
        <v>6982</v>
      </c>
      <c r="F9493">
        <v>8</v>
      </c>
      <c r="G9493" t="s">
        <v>342</v>
      </c>
      <c r="H9493" t="s">
        <v>39</v>
      </c>
      <c r="I9493" t="s">
        <v>40</v>
      </c>
      <c r="J9493" s="2" t="s">
        <v>41</v>
      </c>
      <c r="K9493" t="s">
        <v>387</v>
      </c>
      <c r="L9493" t="s">
        <v>259</v>
      </c>
      <c r="Q9493">
        <v>23105</v>
      </c>
      <c r="R9493" t="s">
        <v>95</v>
      </c>
      <c r="S9493" t="s">
        <v>56830</v>
      </c>
      <c r="T9493">
        <v>24</v>
      </c>
      <c r="V9493" s="1">
        <v>44951</v>
      </c>
      <c r="W9493" t="s">
        <v>390</v>
      </c>
      <c r="X9493" t="s">
        <v>6986</v>
      </c>
      <c r="Y9493" t="s">
        <v>56831</v>
      </c>
      <c r="Z9493" t="e">
        <f ca="1">- replaced rubber roller
- performed Maintenance</f>
        <v>#NAME?</v>
      </c>
      <c r="AA9493" t="e">
        <f ca="1">- replaced rubber roller
- Maintenance</f>
        <v>#NAME?</v>
      </c>
      <c r="AB9493" t="s">
        <v>14406</v>
      </c>
      <c r="AD9493" t="s">
        <v>56832</v>
      </c>
      <c r="AE9493" t="s">
        <v>54</v>
      </c>
      <c r="AG9493" t="s">
        <v>56833</v>
      </c>
      <c r="AH9493" t="s">
        <v>56834</v>
      </c>
      <c r="AI9493" t="s">
        <v>56835</v>
      </c>
    </row>
    <row r="9494" spans="2:35" ht="45">
      <c r="B9494" s="1">
        <v>44951</v>
      </c>
      <c r="C9494" s="4">
        <v>44951.654861111114</v>
      </c>
      <c r="D9494" t="s">
        <v>27644</v>
      </c>
      <c r="E9494" t="s">
        <v>6982</v>
      </c>
      <c r="F9494">
        <v>8</v>
      </c>
      <c r="G9494" t="s">
        <v>342</v>
      </c>
      <c r="H9494" t="s">
        <v>39</v>
      </c>
      <c r="I9494" t="s">
        <v>40</v>
      </c>
      <c r="J9494" s="2" t="s">
        <v>41</v>
      </c>
      <c r="K9494" t="s">
        <v>387</v>
      </c>
      <c r="L9494" t="s">
        <v>259</v>
      </c>
      <c r="Q9494">
        <v>23104</v>
      </c>
      <c r="R9494" t="s">
        <v>95</v>
      </c>
      <c r="S9494" t="s">
        <v>56830</v>
      </c>
      <c r="T9494">
        <v>24</v>
      </c>
      <c r="V9494" s="1">
        <v>44951</v>
      </c>
      <c r="W9494" t="s">
        <v>390</v>
      </c>
      <c r="X9494" t="s">
        <v>6986</v>
      </c>
      <c r="Y9494" t="s">
        <v>56831</v>
      </c>
      <c r="Z9494" t="e">
        <f ca="1">- replaced rubber roller
- performed Maintenance</f>
        <v>#NAME?</v>
      </c>
      <c r="AA9494" t="e">
        <f ca="1">- replaced rubber roller
- Maintenance</f>
        <v>#NAME?</v>
      </c>
      <c r="AB9494" t="s">
        <v>14406</v>
      </c>
      <c r="AD9494" t="s">
        <v>56832</v>
      </c>
      <c r="AE9494" t="s">
        <v>54</v>
      </c>
      <c r="AG9494" t="s">
        <v>56836</v>
      </c>
      <c r="AH9494" t="s">
        <v>56834</v>
      </c>
      <c r="AI9494" t="s">
        <v>56837</v>
      </c>
    </row>
    <row r="9495" spans="2:35" ht="285">
      <c r="B9495" s="1">
        <v>44951</v>
      </c>
      <c r="C9495" s="4">
        <v>44951.625</v>
      </c>
      <c r="D9495" t="s">
        <v>56838</v>
      </c>
      <c r="E9495" t="s">
        <v>53923</v>
      </c>
      <c r="F9495">
        <v>3</v>
      </c>
      <c r="G9495" t="s">
        <v>134</v>
      </c>
      <c r="H9495" t="s">
        <v>39</v>
      </c>
      <c r="I9495" t="s">
        <v>40</v>
      </c>
      <c r="J9495" s="2" t="s">
        <v>62</v>
      </c>
      <c r="K9495" t="s">
        <v>42</v>
      </c>
      <c r="L9495" t="s">
        <v>135</v>
      </c>
      <c r="Q9495">
        <v>23103</v>
      </c>
      <c r="R9495" t="s">
        <v>45</v>
      </c>
      <c r="S9495" t="s">
        <v>25500</v>
      </c>
      <c r="T9495">
        <v>28.7</v>
      </c>
      <c r="U9495" s="2" t="s">
        <v>56839</v>
      </c>
      <c r="W9495" t="s">
        <v>2680</v>
      </c>
      <c r="X9495">
        <v>807564</v>
      </c>
      <c r="Y9495" s="2" t="s">
        <v>56840</v>
      </c>
      <c r="Z9495" t="s">
        <v>56841</v>
      </c>
      <c r="AA9495" t="s">
        <v>56842</v>
      </c>
      <c r="AB9495" t="s">
        <v>56843</v>
      </c>
      <c r="AG9495" t="s">
        <v>56844</v>
      </c>
      <c r="AH9495" t="s">
        <v>33632</v>
      </c>
      <c r="AI9495" t="s">
        <v>56845</v>
      </c>
    </row>
    <row r="9496" spans="2:35" ht="180">
      <c r="B9496" s="1">
        <v>44951</v>
      </c>
      <c r="C9496" s="4">
        <v>44951.617361111108</v>
      </c>
      <c r="D9496" t="s">
        <v>56846</v>
      </c>
      <c r="E9496" t="s">
        <v>12141</v>
      </c>
      <c r="F9496">
        <v>13</v>
      </c>
      <c r="G9496" t="s">
        <v>4484</v>
      </c>
      <c r="H9496" t="s">
        <v>2125</v>
      </c>
      <c r="I9496" t="s">
        <v>40</v>
      </c>
      <c r="J9496" t="s">
        <v>109</v>
      </c>
      <c r="K9496" t="s">
        <v>42</v>
      </c>
      <c r="L9496" t="s">
        <v>933</v>
      </c>
      <c r="Q9496">
        <v>23102</v>
      </c>
      <c r="R9496" t="s">
        <v>119</v>
      </c>
      <c r="S9496" t="s">
        <v>12142</v>
      </c>
      <c r="T9496">
        <v>23.73</v>
      </c>
      <c r="U9496" s="2" t="s">
        <v>56847</v>
      </c>
      <c r="W9496" t="s">
        <v>3662</v>
      </c>
      <c r="X9496">
        <v>837611</v>
      </c>
      <c r="Y9496" t="s">
        <v>301</v>
      </c>
      <c r="Z9496" t="s">
        <v>301</v>
      </c>
      <c r="AA9496" s="2" t="s">
        <v>27971</v>
      </c>
      <c r="AB9496" t="s">
        <v>43442</v>
      </c>
      <c r="AG9496" t="s">
        <v>56848</v>
      </c>
      <c r="AH9496" t="s">
        <v>19421</v>
      </c>
      <c r="AI9496" t="s">
        <v>56849</v>
      </c>
    </row>
    <row r="9497" spans="2:35" ht="375">
      <c r="B9497" s="1">
        <v>44951</v>
      </c>
      <c r="C9497" s="4">
        <v>44951.594444444447</v>
      </c>
      <c r="D9497" t="s">
        <v>56850</v>
      </c>
      <c r="E9497" t="s">
        <v>41428</v>
      </c>
      <c r="F9497">
        <v>3</v>
      </c>
      <c r="G9497" t="s">
        <v>1722</v>
      </c>
      <c r="H9497" t="s">
        <v>39</v>
      </c>
      <c r="I9497" t="s">
        <v>40</v>
      </c>
      <c r="J9497" s="2" t="s">
        <v>62</v>
      </c>
      <c r="K9497" t="s">
        <v>42</v>
      </c>
      <c r="L9497" t="s">
        <v>63</v>
      </c>
      <c r="Q9497">
        <v>23101</v>
      </c>
      <c r="R9497" t="s">
        <v>119</v>
      </c>
      <c r="S9497" t="s">
        <v>23689</v>
      </c>
      <c r="T9497">
        <v>28</v>
      </c>
      <c r="U9497" s="2" t="s">
        <v>56851</v>
      </c>
      <c r="V9497" s="1">
        <v>44951</v>
      </c>
      <c r="W9497" t="s">
        <v>56852</v>
      </c>
      <c r="X9497">
        <v>831592</v>
      </c>
      <c r="Y9497" t="s">
        <v>1716</v>
      </c>
      <c r="Z9497" t="s">
        <v>1716</v>
      </c>
      <c r="AA9497" s="2" t="s">
        <v>56853</v>
      </c>
      <c r="AB9497" t="s">
        <v>70</v>
      </c>
      <c r="AC9497" t="s">
        <v>56854</v>
      </c>
      <c r="AD9497" t="s">
        <v>5056</v>
      </c>
      <c r="AE9497" t="s">
        <v>1716</v>
      </c>
      <c r="AG9497" t="s">
        <v>56855</v>
      </c>
      <c r="AH9497" t="s">
        <v>23694</v>
      </c>
      <c r="AI9497" t="s">
        <v>56856</v>
      </c>
    </row>
    <row r="9498" spans="2:35" ht="180">
      <c r="B9498" s="1">
        <v>44951</v>
      </c>
      <c r="C9498" s="4">
        <v>44951.548611111109</v>
      </c>
      <c r="D9498" t="s">
        <v>9886</v>
      </c>
      <c r="E9498" t="s">
        <v>29011</v>
      </c>
      <c r="F9498">
        <v>12</v>
      </c>
      <c r="G9498" t="s">
        <v>5785</v>
      </c>
      <c r="H9498" t="s">
        <v>39</v>
      </c>
      <c r="I9498" t="s">
        <v>94</v>
      </c>
      <c r="J9498" t="s">
        <v>109</v>
      </c>
      <c r="K9498" t="s">
        <v>42</v>
      </c>
      <c r="L9498" t="s">
        <v>296</v>
      </c>
      <c r="Q9498">
        <v>23100</v>
      </c>
      <c r="R9498" t="s">
        <v>119</v>
      </c>
      <c r="S9498" t="s">
        <v>56857</v>
      </c>
      <c r="T9498">
        <v>25.9</v>
      </c>
      <c r="U9498" s="2" t="s">
        <v>56858</v>
      </c>
      <c r="W9498" t="s">
        <v>53244</v>
      </c>
      <c r="X9498">
        <v>838419</v>
      </c>
      <c r="Y9498" t="s">
        <v>56859</v>
      </c>
      <c r="Z9498" t="s">
        <v>9161</v>
      </c>
      <c r="AA9498" t="s">
        <v>9161</v>
      </c>
      <c r="AB9498" t="s">
        <v>56860</v>
      </c>
      <c r="AC9498" t="s">
        <v>56861</v>
      </c>
      <c r="AG9498" t="s">
        <v>56862</v>
      </c>
      <c r="AH9498" t="s">
        <v>56863</v>
      </c>
      <c r="AI9498" t="s">
        <v>56864</v>
      </c>
    </row>
    <row r="9499" spans="2:35" ht="180">
      <c r="B9499" s="1">
        <v>44951</v>
      </c>
      <c r="C9499" s="4">
        <v>44951.540277777778</v>
      </c>
      <c r="D9499" t="s">
        <v>23158</v>
      </c>
      <c r="E9499" t="s">
        <v>56865</v>
      </c>
      <c r="F9499">
        <v>6</v>
      </c>
      <c r="G9499" t="s">
        <v>1234</v>
      </c>
      <c r="H9499" t="s">
        <v>39</v>
      </c>
      <c r="I9499" t="s">
        <v>94</v>
      </c>
      <c r="J9499" t="s">
        <v>79</v>
      </c>
      <c r="K9499" t="s">
        <v>42</v>
      </c>
      <c r="L9499" t="s">
        <v>433</v>
      </c>
      <c r="Q9499">
        <v>23099</v>
      </c>
      <c r="R9499" t="s">
        <v>119</v>
      </c>
      <c r="S9499" t="s">
        <v>25372</v>
      </c>
      <c r="T9499">
        <v>20</v>
      </c>
      <c r="U9499" s="2" t="s">
        <v>56866</v>
      </c>
      <c r="W9499" t="s">
        <v>84</v>
      </c>
      <c r="X9499">
        <v>838141</v>
      </c>
      <c r="Y9499" t="s">
        <v>56867</v>
      </c>
      <c r="Z9499" t="s">
        <v>56868</v>
      </c>
      <c r="AA9499" t="s">
        <v>5712</v>
      </c>
      <c r="AB9499" t="s">
        <v>1011</v>
      </c>
      <c r="AG9499" t="s">
        <v>56869</v>
      </c>
      <c r="AH9499" t="s">
        <v>25377</v>
      </c>
      <c r="AI9499" t="s">
        <v>56870</v>
      </c>
    </row>
    <row r="9500" spans="2:35" ht="180">
      <c r="B9500" s="1">
        <v>44951</v>
      </c>
      <c r="C9500" s="4">
        <v>44951.472916666666</v>
      </c>
      <c r="D9500" t="s">
        <v>55599</v>
      </c>
      <c r="E9500" t="s">
        <v>56871</v>
      </c>
      <c r="F9500">
        <v>9</v>
      </c>
      <c r="G9500" t="s">
        <v>2197</v>
      </c>
      <c r="H9500" t="s">
        <v>39</v>
      </c>
      <c r="I9500" t="s">
        <v>40</v>
      </c>
      <c r="J9500" t="s">
        <v>2129</v>
      </c>
      <c r="K9500" t="s">
        <v>42</v>
      </c>
      <c r="L9500" t="s">
        <v>1257</v>
      </c>
      <c r="Q9500">
        <v>23098</v>
      </c>
      <c r="R9500" t="s">
        <v>45</v>
      </c>
      <c r="S9500" t="s">
        <v>31943</v>
      </c>
      <c r="T9500">
        <v>27</v>
      </c>
      <c r="U9500" s="2" t="s">
        <v>56872</v>
      </c>
      <c r="V9500" s="1">
        <v>44951</v>
      </c>
      <c r="W9500" t="s">
        <v>895</v>
      </c>
      <c r="X9500">
        <v>839309</v>
      </c>
      <c r="Y9500" t="s">
        <v>301</v>
      </c>
      <c r="Z9500" t="s">
        <v>2129</v>
      </c>
      <c r="AA9500" t="s">
        <v>56873</v>
      </c>
      <c r="AB9500" t="s">
        <v>56874</v>
      </c>
      <c r="AC9500" t="s">
        <v>301</v>
      </c>
      <c r="AD9500" t="s">
        <v>54</v>
      </c>
      <c r="AE9500" t="s">
        <v>54</v>
      </c>
      <c r="AG9500" t="s">
        <v>56875</v>
      </c>
      <c r="AH9500" t="s">
        <v>44973</v>
      </c>
      <c r="AI9500" t="s">
        <v>56876</v>
      </c>
    </row>
    <row r="9501" spans="2:35" ht="285">
      <c r="B9501" s="1">
        <v>44951</v>
      </c>
      <c r="C9501" s="4">
        <v>44951.411111111112</v>
      </c>
      <c r="D9501" t="s">
        <v>30022</v>
      </c>
      <c r="E9501" t="s">
        <v>54305</v>
      </c>
      <c r="F9501" t="s">
        <v>37</v>
      </c>
      <c r="G9501" t="s">
        <v>189</v>
      </c>
      <c r="H9501" t="s">
        <v>39</v>
      </c>
      <c r="I9501" t="s">
        <v>40</v>
      </c>
      <c r="J9501" s="2" t="s">
        <v>1309</v>
      </c>
      <c r="K9501" t="s">
        <v>42</v>
      </c>
      <c r="L9501" t="s">
        <v>1943</v>
      </c>
      <c r="Q9501">
        <v>23097</v>
      </c>
      <c r="R9501" t="s">
        <v>45</v>
      </c>
      <c r="S9501" t="s">
        <v>30024</v>
      </c>
      <c r="T9501">
        <v>22</v>
      </c>
      <c r="U9501" s="2" t="s">
        <v>54306</v>
      </c>
      <c r="V9501" s="1">
        <v>44949</v>
      </c>
      <c r="W9501" t="s">
        <v>84</v>
      </c>
      <c r="X9501">
        <v>838325</v>
      </c>
      <c r="Y9501" s="2" t="s">
        <v>54307</v>
      </c>
      <c r="Z9501" s="2" t="s">
        <v>54308</v>
      </c>
      <c r="AA9501" t="s">
        <v>54309</v>
      </c>
      <c r="AB9501" t="s">
        <v>88</v>
      </c>
      <c r="AD9501" t="s">
        <v>54310</v>
      </c>
      <c r="AE9501" t="s">
        <v>54311</v>
      </c>
      <c r="AG9501" t="s">
        <v>54312</v>
      </c>
      <c r="AH9501" t="s">
        <v>30027</v>
      </c>
      <c r="AI9501" t="s">
        <v>54313</v>
      </c>
    </row>
    <row r="9502" spans="2:35" ht="195">
      <c r="B9502" s="1">
        <v>44951</v>
      </c>
      <c r="C9502" s="4">
        <v>44951.475694444445</v>
      </c>
      <c r="D9502" t="s">
        <v>29989</v>
      </c>
      <c r="E9502" t="s">
        <v>29990</v>
      </c>
      <c r="F9502" t="s">
        <v>37</v>
      </c>
      <c r="G9502" t="s">
        <v>189</v>
      </c>
      <c r="H9502" t="s">
        <v>39</v>
      </c>
      <c r="I9502" t="s">
        <v>40</v>
      </c>
      <c r="J9502" s="2" t="s">
        <v>62</v>
      </c>
      <c r="K9502" t="s">
        <v>42</v>
      </c>
      <c r="L9502" t="s">
        <v>1943</v>
      </c>
      <c r="Q9502">
        <v>23096</v>
      </c>
      <c r="R9502" t="s">
        <v>45</v>
      </c>
      <c r="S9502" t="s">
        <v>29991</v>
      </c>
      <c r="T9502">
        <v>22</v>
      </c>
      <c r="U9502" s="2" t="s">
        <v>56877</v>
      </c>
      <c r="V9502" s="1">
        <v>44935</v>
      </c>
      <c r="W9502" t="s">
        <v>84</v>
      </c>
      <c r="X9502">
        <v>838191</v>
      </c>
      <c r="Y9502" s="2" t="s">
        <v>56878</v>
      </c>
      <c r="Z9502" s="2" t="s">
        <v>47457</v>
      </c>
      <c r="AA9502" t="s">
        <v>56879</v>
      </c>
      <c r="AB9502" t="s">
        <v>56057</v>
      </c>
      <c r="AD9502" t="s">
        <v>11518</v>
      </c>
      <c r="AE9502" t="s">
        <v>56880</v>
      </c>
      <c r="AG9502" t="s">
        <v>56881</v>
      </c>
      <c r="AH9502" t="s">
        <v>29995</v>
      </c>
      <c r="AI9502" t="s">
        <v>56882</v>
      </c>
    </row>
    <row r="9503" spans="2:35" ht="180">
      <c r="B9503" s="1">
        <v>44951</v>
      </c>
      <c r="C9503" s="4">
        <v>44951.40347222222</v>
      </c>
      <c r="D9503" t="s">
        <v>3912</v>
      </c>
      <c r="E9503" t="s">
        <v>56883</v>
      </c>
      <c r="F9503">
        <v>6</v>
      </c>
      <c r="G9503" t="s">
        <v>1234</v>
      </c>
      <c r="H9503" t="s">
        <v>39</v>
      </c>
      <c r="I9503" t="s">
        <v>40</v>
      </c>
      <c r="J9503" t="s">
        <v>56884</v>
      </c>
      <c r="K9503" t="s">
        <v>42</v>
      </c>
      <c r="L9503" t="s">
        <v>433</v>
      </c>
      <c r="Q9503">
        <v>23095</v>
      </c>
      <c r="R9503" t="s">
        <v>119</v>
      </c>
      <c r="S9503" t="s">
        <v>56885</v>
      </c>
      <c r="T9503">
        <v>20.9</v>
      </c>
      <c r="U9503" s="2" t="s">
        <v>56886</v>
      </c>
      <c r="W9503" t="s">
        <v>6776</v>
      </c>
      <c r="X9503">
        <v>838499</v>
      </c>
      <c r="Y9503" t="s">
        <v>56887</v>
      </c>
      <c r="Z9503" t="s">
        <v>56884</v>
      </c>
      <c r="AA9503" t="s">
        <v>56884</v>
      </c>
      <c r="AB9503" t="s">
        <v>56887</v>
      </c>
      <c r="AG9503" t="s">
        <v>56888</v>
      </c>
      <c r="AH9503" t="s">
        <v>3920</v>
      </c>
      <c r="AI9503" t="s">
        <v>56889</v>
      </c>
    </row>
    <row r="9504" spans="2:35" ht="300">
      <c r="B9504" s="1">
        <v>44951</v>
      </c>
      <c r="C9504" s="4">
        <v>44951.477777777778</v>
      </c>
      <c r="D9504" t="s">
        <v>9878</v>
      </c>
      <c r="E9504" t="s">
        <v>11921</v>
      </c>
      <c r="F9504">
        <v>12</v>
      </c>
      <c r="G9504" t="s">
        <v>5785</v>
      </c>
      <c r="H9504" t="s">
        <v>39</v>
      </c>
      <c r="I9504" t="s">
        <v>94</v>
      </c>
      <c r="J9504" s="2" t="s">
        <v>1157</v>
      </c>
      <c r="K9504" t="s">
        <v>42</v>
      </c>
      <c r="L9504" t="s">
        <v>296</v>
      </c>
      <c r="Q9504">
        <v>23093</v>
      </c>
      <c r="R9504" t="s">
        <v>119</v>
      </c>
      <c r="S9504" t="s">
        <v>9880</v>
      </c>
      <c r="T9504">
        <v>23.2</v>
      </c>
      <c r="U9504" s="2" t="s">
        <v>56890</v>
      </c>
      <c r="W9504" t="s">
        <v>53244</v>
      </c>
      <c r="X9504">
        <v>838542</v>
      </c>
      <c r="Y9504" s="2" t="s">
        <v>56891</v>
      </c>
      <c r="Z9504" s="2" t="s">
        <v>56892</v>
      </c>
      <c r="AA9504" s="2" t="s">
        <v>56892</v>
      </c>
      <c r="AB9504" t="s">
        <v>56860</v>
      </c>
      <c r="AG9504" t="s">
        <v>56893</v>
      </c>
      <c r="AH9504" t="s">
        <v>56894</v>
      </c>
      <c r="AI9504" t="s">
        <v>56895</v>
      </c>
    </row>
    <row r="9505" spans="2:35" ht="180">
      <c r="B9505" s="1">
        <v>44951</v>
      </c>
      <c r="C9505" s="4">
        <v>44951.449305555558</v>
      </c>
      <c r="D9505" t="s">
        <v>16504</v>
      </c>
      <c r="E9505" t="s">
        <v>56896</v>
      </c>
      <c r="F9505">
        <v>6</v>
      </c>
      <c r="G9505" t="s">
        <v>5216</v>
      </c>
      <c r="H9505" t="s">
        <v>56897</v>
      </c>
      <c r="I9505" t="s">
        <v>40</v>
      </c>
      <c r="J9505" s="2" t="s">
        <v>41</v>
      </c>
      <c r="K9505" t="s">
        <v>42</v>
      </c>
      <c r="L9505" t="s">
        <v>1288</v>
      </c>
      <c r="Q9505">
        <v>23092</v>
      </c>
      <c r="R9505" t="s">
        <v>45</v>
      </c>
      <c r="S9505" t="s">
        <v>10807</v>
      </c>
      <c r="T9505">
        <v>27</v>
      </c>
      <c r="U9505" s="2" t="s">
        <v>56898</v>
      </c>
      <c r="W9505" t="s">
        <v>1292</v>
      </c>
      <c r="X9505">
        <v>807984</v>
      </c>
      <c r="Y9505" t="e">
        <f ca="1">-_xludf.For module B4 Replacement</f>
        <v>#NAME?</v>
      </c>
      <c r="Z9505" t="s">
        <v>56899</v>
      </c>
      <c r="AA9505" t="e">
        <f ca="1">-PERFORM Preventive Maintenance
-COLLECT IQR, system _xludf.Log, _xludf.and Assay stat</f>
        <v>#NAME?</v>
      </c>
      <c r="AB9505" t="s">
        <v>1293</v>
      </c>
      <c r="AG9505" t="s">
        <v>56900</v>
      </c>
      <c r="AH9505" t="s">
        <v>16509</v>
      </c>
      <c r="AI9505" t="s">
        <v>56901</v>
      </c>
    </row>
    <row r="9506" spans="2:35" ht="255">
      <c r="B9506" s="1">
        <v>44951</v>
      </c>
      <c r="C9506" s="4">
        <v>44951.444444444445</v>
      </c>
      <c r="D9506" t="s">
        <v>16504</v>
      </c>
      <c r="E9506" t="s">
        <v>56902</v>
      </c>
      <c r="F9506">
        <v>6</v>
      </c>
      <c r="G9506" t="s">
        <v>5216</v>
      </c>
      <c r="H9506" t="s">
        <v>56897</v>
      </c>
      <c r="I9506" t="s">
        <v>40</v>
      </c>
      <c r="J9506" t="s">
        <v>109</v>
      </c>
      <c r="K9506" t="s">
        <v>42</v>
      </c>
      <c r="L9506" t="s">
        <v>1288</v>
      </c>
      <c r="Q9506">
        <v>23091</v>
      </c>
      <c r="R9506" t="s">
        <v>45</v>
      </c>
      <c r="S9506" t="s">
        <v>10807</v>
      </c>
      <c r="T9506">
        <v>27</v>
      </c>
      <c r="U9506" s="2" t="s">
        <v>56898</v>
      </c>
      <c r="W9506" t="s">
        <v>1292</v>
      </c>
      <c r="X9506">
        <v>838291</v>
      </c>
      <c r="Y9506" t="s">
        <v>56903</v>
      </c>
      <c r="Z9506" t="e">
        <f ca="1">-PERFORM Preventive Maintenance</f>
        <v>#NAME?</v>
      </c>
      <c r="AA9506" s="2" t="s">
        <v>56904</v>
      </c>
      <c r="AB9506" t="s">
        <v>1293</v>
      </c>
      <c r="AG9506" t="s">
        <v>56905</v>
      </c>
      <c r="AH9506" t="s">
        <v>16509</v>
      </c>
      <c r="AI9506" t="s">
        <v>56906</v>
      </c>
    </row>
    <row r="9507" spans="2:35" ht="180">
      <c r="B9507" s="1">
        <v>44951</v>
      </c>
      <c r="C9507" s="4">
        <v>44951.413194444445</v>
      </c>
      <c r="D9507" t="s">
        <v>16716</v>
      </c>
      <c r="E9507" t="s">
        <v>1128</v>
      </c>
      <c r="F9507">
        <v>8</v>
      </c>
      <c r="G9507" t="s">
        <v>342</v>
      </c>
      <c r="H9507" t="s">
        <v>202</v>
      </c>
      <c r="I9507" t="s">
        <v>40</v>
      </c>
      <c r="J9507" s="2" t="s">
        <v>62</v>
      </c>
      <c r="K9507" t="s">
        <v>42</v>
      </c>
      <c r="L9507" t="s">
        <v>259</v>
      </c>
      <c r="Q9507">
        <v>23090</v>
      </c>
      <c r="R9507" t="s">
        <v>119</v>
      </c>
      <c r="S9507" t="s">
        <v>17749</v>
      </c>
      <c r="T9507">
        <v>25</v>
      </c>
      <c r="U9507" s="2" t="s">
        <v>56907</v>
      </c>
      <c r="V9507" s="1">
        <v>44951</v>
      </c>
      <c r="W9507" t="s">
        <v>84</v>
      </c>
      <c r="X9507">
        <v>838421</v>
      </c>
      <c r="Y9507" t="s">
        <v>56908</v>
      </c>
      <c r="Z9507" t="e">
        <f ca="1">- Calibrate module B3
-performed Preventive Maintenance
-Generate reports</f>
        <v>#NAME?</v>
      </c>
      <c r="AA9507" t="e">
        <f ca="1">-CALIBRATION
-Preventive Maintenance</f>
        <v>#NAME?</v>
      </c>
      <c r="AB9507" t="e">
        <f ca="1">- module B2 _xludf.and B3 (disabled)
- module B1 _xludf.and B4 (operational)</f>
        <v>#NAME?</v>
      </c>
      <c r="AC9507" t="s">
        <v>47891</v>
      </c>
      <c r="AD9507" t="s">
        <v>39510</v>
      </c>
      <c r="AE9507" t="s">
        <v>56909</v>
      </c>
      <c r="AG9507" t="s">
        <v>56910</v>
      </c>
      <c r="AH9507" t="s">
        <v>41925</v>
      </c>
      <c r="AI9507" t="s">
        <v>56911</v>
      </c>
    </row>
    <row r="9508" spans="2:35" ht="225">
      <c r="B9508" s="1">
        <v>44950</v>
      </c>
      <c r="C9508" s="4">
        <v>44950.631944444445</v>
      </c>
      <c r="D9508" t="s">
        <v>56912</v>
      </c>
      <c r="E9508" t="s">
        <v>27446</v>
      </c>
      <c r="F9508">
        <v>3</v>
      </c>
      <c r="G9508" t="s">
        <v>134</v>
      </c>
      <c r="H9508" t="s">
        <v>39</v>
      </c>
      <c r="I9508" t="s">
        <v>40</v>
      </c>
      <c r="J9508" t="s">
        <v>109</v>
      </c>
      <c r="K9508" t="s">
        <v>42</v>
      </c>
      <c r="L9508" t="s">
        <v>63</v>
      </c>
      <c r="Q9508">
        <v>23089</v>
      </c>
      <c r="R9508" t="s">
        <v>119</v>
      </c>
      <c r="S9508" t="s">
        <v>27447</v>
      </c>
      <c r="T9508">
        <v>29</v>
      </c>
      <c r="U9508" s="2" t="s">
        <v>56913</v>
      </c>
      <c r="V9508" s="1">
        <v>44950</v>
      </c>
      <c r="W9508" t="s">
        <v>26915</v>
      </c>
      <c r="X9508">
        <v>831714</v>
      </c>
      <c r="Y9508" t="s">
        <v>1716</v>
      </c>
      <c r="Z9508" t="s">
        <v>1716</v>
      </c>
      <c r="AA9508" s="2" t="s">
        <v>56914</v>
      </c>
      <c r="AB9508" t="s">
        <v>70</v>
      </c>
      <c r="AC9508" t="s">
        <v>55499</v>
      </c>
      <c r="AD9508" t="s">
        <v>1716</v>
      </c>
      <c r="AE9508" t="s">
        <v>1716</v>
      </c>
      <c r="AG9508" t="s">
        <v>56915</v>
      </c>
      <c r="AH9508" t="s">
        <v>56916</v>
      </c>
      <c r="AI9508" t="s">
        <v>56917</v>
      </c>
    </row>
    <row r="9509" spans="2:35" ht="225">
      <c r="B9509" s="1">
        <v>44950</v>
      </c>
      <c r="C9509" s="4">
        <v>44950.631944444445</v>
      </c>
      <c r="D9509" t="s">
        <v>56912</v>
      </c>
      <c r="E9509" t="s">
        <v>27446</v>
      </c>
      <c r="F9509">
        <v>3</v>
      </c>
      <c r="G9509" t="s">
        <v>134</v>
      </c>
      <c r="H9509" t="s">
        <v>39</v>
      </c>
      <c r="I9509" t="s">
        <v>40</v>
      </c>
      <c r="J9509" t="s">
        <v>109</v>
      </c>
      <c r="K9509" t="s">
        <v>42</v>
      </c>
      <c r="L9509" t="s">
        <v>63</v>
      </c>
      <c r="Q9509">
        <v>23088</v>
      </c>
      <c r="R9509" t="s">
        <v>119</v>
      </c>
      <c r="S9509" t="s">
        <v>27447</v>
      </c>
      <c r="T9509">
        <v>29</v>
      </c>
      <c r="U9509" s="2" t="s">
        <v>56913</v>
      </c>
      <c r="V9509" s="1">
        <v>44950</v>
      </c>
      <c r="W9509" t="s">
        <v>26915</v>
      </c>
      <c r="X9509">
        <v>831714</v>
      </c>
      <c r="Y9509" t="s">
        <v>1716</v>
      </c>
      <c r="Z9509" t="s">
        <v>1716</v>
      </c>
      <c r="AA9509" s="2" t="s">
        <v>56914</v>
      </c>
      <c r="AB9509" t="s">
        <v>70</v>
      </c>
      <c r="AC9509" t="s">
        <v>55499</v>
      </c>
      <c r="AD9509" t="s">
        <v>1716</v>
      </c>
      <c r="AE9509" t="s">
        <v>1716</v>
      </c>
      <c r="AG9509" t="s">
        <v>56918</v>
      </c>
      <c r="AH9509" t="s">
        <v>56916</v>
      </c>
      <c r="AI9509" t="s">
        <v>56919</v>
      </c>
    </row>
    <row r="9510" spans="2:35" ht="180">
      <c r="B9510" s="1">
        <v>44950</v>
      </c>
      <c r="C9510" s="4">
        <v>44950.554861111108</v>
      </c>
      <c r="D9510" t="s">
        <v>2489</v>
      </c>
      <c r="E9510" t="s">
        <v>51169</v>
      </c>
      <c r="F9510">
        <v>8</v>
      </c>
      <c r="G9510" t="s">
        <v>342</v>
      </c>
      <c r="H9510" t="s">
        <v>56920</v>
      </c>
      <c r="I9510" t="s">
        <v>40</v>
      </c>
      <c r="J9510" s="2" t="s">
        <v>62</v>
      </c>
      <c r="K9510" t="s">
        <v>42</v>
      </c>
      <c r="L9510" t="s">
        <v>259</v>
      </c>
      <c r="Q9510">
        <v>23087</v>
      </c>
      <c r="R9510" t="s">
        <v>45</v>
      </c>
      <c r="S9510" t="s">
        <v>2492</v>
      </c>
      <c r="T9510">
        <v>24</v>
      </c>
      <c r="U9510" s="2" t="s">
        <v>56921</v>
      </c>
      <c r="V9510" s="1">
        <v>44950</v>
      </c>
      <c r="W9510" t="s">
        <v>84</v>
      </c>
      <c r="X9510">
        <v>838143</v>
      </c>
      <c r="Y9510" t="e">
        <f ca="1">-_xludf.For CALIBRATION _xludf.and Preventive Maintenance</f>
        <v>#NAME?</v>
      </c>
      <c r="Z9510" t="e">
        <f ca="1">-performed XpertCheck
-performed Preventive Maintenance
-Generate reports</f>
        <v>#NAME?</v>
      </c>
      <c r="AA9510" t="e">
        <f ca="1">- CALIBRATION
-Preventive Maintenance</f>
        <v>#NAME?</v>
      </c>
      <c r="AB9510" t="e">
        <f ca="1">-module B1,B2,B3 passed _xludf.For CALIBRATION
-module B4 service required</f>
        <v>#NAME?</v>
      </c>
      <c r="AD9510" t="s">
        <v>56922</v>
      </c>
      <c r="AE9510" t="s">
        <v>5255</v>
      </c>
      <c r="AG9510" t="s">
        <v>56923</v>
      </c>
      <c r="AH9510" t="s">
        <v>2495</v>
      </c>
      <c r="AI9510" t="s">
        <v>56924</v>
      </c>
    </row>
    <row r="9511" spans="2:35" ht="409.5">
      <c r="B9511" s="1">
        <v>44950</v>
      </c>
      <c r="C9511" s="4">
        <v>44950.660416666666</v>
      </c>
      <c r="D9511" t="s">
        <v>56925</v>
      </c>
      <c r="E9511" t="s">
        <v>56926</v>
      </c>
      <c r="F9511">
        <v>11</v>
      </c>
      <c r="G9511" t="s">
        <v>201</v>
      </c>
      <c r="H9511" t="s">
        <v>39</v>
      </c>
      <c r="I9511" t="s">
        <v>40</v>
      </c>
      <c r="J9511" s="2" t="s">
        <v>41</v>
      </c>
      <c r="K9511" t="s">
        <v>42</v>
      </c>
      <c r="L9511" t="s">
        <v>204</v>
      </c>
      <c r="Q9511">
        <v>23086</v>
      </c>
      <c r="R9511" t="s">
        <v>45</v>
      </c>
      <c r="S9511" t="s">
        <v>25381</v>
      </c>
      <c r="T9511">
        <v>21.5</v>
      </c>
      <c r="U9511" s="2" t="s">
        <v>56927</v>
      </c>
      <c r="V9511" s="1">
        <v>44950</v>
      </c>
      <c r="W9511" t="s">
        <v>56928</v>
      </c>
      <c r="X9511">
        <v>835221</v>
      </c>
      <c r="Y9511" s="2" t="s">
        <v>56929</v>
      </c>
      <c r="Z9511" s="2" t="s">
        <v>56930</v>
      </c>
      <c r="AA9511" s="2" t="s">
        <v>56931</v>
      </c>
      <c r="AB9511" t="s">
        <v>9590</v>
      </c>
      <c r="AC9511" t="s">
        <v>1716</v>
      </c>
      <c r="AD9511" t="s">
        <v>10253</v>
      </c>
      <c r="AE9511" t="s">
        <v>54</v>
      </c>
      <c r="AG9511" t="s">
        <v>56932</v>
      </c>
      <c r="AH9511" t="s">
        <v>56933</v>
      </c>
      <c r="AI9511" t="s">
        <v>56934</v>
      </c>
    </row>
    <row r="9512" spans="2:35" ht="409.5">
      <c r="B9512" s="1">
        <v>44950</v>
      </c>
      <c r="C9512" s="4">
        <v>44950.643055555556</v>
      </c>
      <c r="D9512" t="s">
        <v>56935</v>
      </c>
      <c r="E9512" t="s">
        <v>56936</v>
      </c>
      <c r="F9512" t="s">
        <v>148</v>
      </c>
      <c r="G9512" t="s">
        <v>406</v>
      </c>
      <c r="H9512" t="s">
        <v>39</v>
      </c>
      <c r="I9512" t="s">
        <v>40</v>
      </c>
      <c r="J9512" t="s">
        <v>525</v>
      </c>
      <c r="K9512" t="s">
        <v>42</v>
      </c>
      <c r="L9512" t="s">
        <v>55932</v>
      </c>
      <c r="Q9512">
        <v>23085</v>
      </c>
      <c r="R9512" t="s">
        <v>45</v>
      </c>
      <c r="S9512" t="s">
        <v>32878</v>
      </c>
      <c r="T9512">
        <v>26.2</v>
      </c>
      <c r="U9512" s="2" t="s">
        <v>56937</v>
      </c>
      <c r="W9512" t="s">
        <v>1139</v>
      </c>
      <c r="X9512">
        <v>807452</v>
      </c>
      <c r="Y9512" t="s">
        <v>56938</v>
      </c>
      <c r="Z9512" t="s">
        <v>56939</v>
      </c>
      <c r="AA9512" s="2" t="s">
        <v>56940</v>
      </c>
      <c r="AB9512" t="s">
        <v>181</v>
      </c>
      <c r="AG9512" t="s">
        <v>56941</v>
      </c>
      <c r="AH9512" t="s">
        <v>2362</v>
      </c>
      <c r="AI9512" t="s">
        <v>56942</v>
      </c>
    </row>
    <row r="9513" spans="2:35">
      <c r="B9513" s="1">
        <v>44950</v>
      </c>
      <c r="C9513" s="4">
        <v>44950.622916666667</v>
      </c>
      <c r="D9513" t="s">
        <v>56943</v>
      </c>
      <c r="E9513" t="s">
        <v>56944</v>
      </c>
      <c r="F9513" t="s">
        <v>148</v>
      </c>
      <c r="G9513" t="s">
        <v>310</v>
      </c>
      <c r="H9513" t="s">
        <v>56945</v>
      </c>
      <c r="I9513" t="s">
        <v>40</v>
      </c>
      <c r="J9513" t="s">
        <v>321</v>
      </c>
      <c r="K9513" t="s">
        <v>2629</v>
      </c>
      <c r="L9513" t="s">
        <v>857</v>
      </c>
      <c r="Q9513">
        <v>23084</v>
      </c>
      <c r="R9513" t="s">
        <v>95</v>
      </c>
      <c r="S9513" t="s">
        <v>56946</v>
      </c>
      <c r="T9513">
        <v>26</v>
      </c>
      <c r="W9513" t="s">
        <v>56947</v>
      </c>
      <c r="X9513">
        <v>3366001264</v>
      </c>
      <c r="Y9513" t="s">
        <v>56948</v>
      </c>
      <c r="Z9513" t="s">
        <v>301</v>
      </c>
      <c r="AA9513" t="e">
        <f ca="1">- Installled microscope _xludf.and PC workstation
- performed functionality test of microscope _xludf.and microscope camera</f>
        <v>#NAME?</v>
      </c>
      <c r="AB9513" t="s">
        <v>181</v>
      </c>
      <c r="AG9513" t="s">
        <v>56949</v>
      </c>
      <c r="AH9513" t="s">
        <v>56950</v>
      </c>
      <c r="AI9513" t="s">
        <v>56951</v>
      </c>
    </row>
    <row r="9514" spans="2:35" ht="255">
      <c r="B9514" s="1">
        <v>44950</v>
      </c>
      <c r="C9514" s="4">
        <v>44950.592361111114</v>
      </c>
      <c r="D9514" t="s">
        <v>1071</v>
      </c>
      <c r="E9514" t="s">
        <v>1555</v>
      </c>
      <c r="F9514">
        <v>7</v>
      </c>
      <c r="G9514" t="s">
        <v>432</v>
      </c>
      <c r="H9514" t="s">
        <v>932</v>
      </c>
      <c r="I9514" t="s">
        <v>40</v>
      </c>
      <c r="J9514" t="s">
        <v>109</v>
      </c>
      <c r="K9514" t="s">
        <v>42</v>
      </c>
      <c r="L9514" t="s">
        <v>343</v>
      </c>
      <c r="Q9514">
        <v>23082</v>
      </c>
      <c r="R9514" t="s">
        <v>119</v>
      </c>
      <c r="S9514" t="s">
        <v>8679</v>
      </c>
      <c r="T9514">
        <v>28</v>
      </c>
      <c r="U9514" s="2" t="s">
        <v>56952</v>
      </c>
      <c r="W9514" t="s">
        <v>6105</v>
      </c>
      <c r="X9514">
        <v>838285</v>
      </c>
      <c r="Y9514" t="s">
        <v>103</v>
      </c>
      <c r="Z9514" t="s">
        <v>103</v>
      </c>
      <c r="AA9514" t="e">
        <f ca="1">-Preventive Maintenance:
_xludf.Clean I-CORE slot
                                                                                                                                                                                                                                                                _xludf.Clean cartridge bay
                                                                                                                                                                                                                                                                Check external FAN _xludf.filter
-COLLECT recent Data on machine</f>
        <v>#NAME?</v>
      </c>
      <c r="AB9514" t="s">
        <v>54629</v>
      </c>
      <c r="AG9514" t="s">
        <v>56953</v>
      </c>
      <c r="AH9514" t="s">
        <v>16851</v>
      </c>
      <c r="AI9514" t="s">
        <v>56954</v>
      </c>
    </row>
    <row r="9515" spans="2:35" ht="255">
      <c r="B9515" s="1">
        <v>44950</v>
      </c>
      <c r="C9515" s="4">
        <v>44950.59652777778</v>
      </c>
      <c r="D9515" t="s">
        <v>1071</v>
      </c>
      <c r="E9515" t="s">
        <v>1555</v>
      </c>
      <c r="F9515">
        <v>7</v>
      </c>
      <c r="G9515" t="s">
        <v>432</v>
      </c>
      <c r="H9515" t="s">
        <v>150</v>
      </c>
      <c r="I9515" t="s">
        <v>40</v>
      </c>
      <c r="J9515" t="s">
        <v>109</v>
      </c>
      <c r="K9515" t="s">
        <v>42</v>
      </c>
      <c r="L9515" t="s">
        <v>343</v>
      </c>
      <c r="Q9515">
        <v>23083</v>
      </c>
      <c r="R9515" t="s">
        <v>119</v>
      </c>
      <c r="S9515" t="s">
        <v>8679</v>
      </c>
      <c r="T9515">
        <v>27.3</v>
      </c>
      <c r="U9515" s="2" t="s">
        <v>56955</v>
      </c>
      <c r="W9515" t="s">
        <v>6105</v>
      </c>
      <c r="X9515">
        <v>820206</v>
      </c>
      <c r="Y9515" t="s">
        <v>301</v>
      </c>
      <c r="Z9515" t="s">
        <v>301</v>
      </c>
      <c r="AA9515" t="e">
        <f ca="1">-Preventive Maintenance:
_xludf.Clean I-CORE slot
                                                                                                                                                                                                                                                                _xludf.Clean cartridge bay
                                                                                                                                                                                                                                                                Check external FAN _xludf.filter
-COLLECT recent Data on machine
-ARCHIVE tests _xludf.For the past _xludf.month</f>
        <v>#NAME?</v>
      </c>
      <c r="AB9515" t="s">
        <v>9638</v>
      </c>
      <c r="AG9515" t="s">
        <v>56956</v>
      </c>
      <c r="AH9515" t="s">
        <v>16851</v>
      </c>
      <c r="AI9515" t="s">
        <v>56957</v>
      </c>
    </row>
    <row r="9516" spans="2:35" ht="105">
      <c r="B9516" s="1">
        <v>44950</v>
      </c>
      <c r="C9516" s="4">
        <v>44950.581250000003</v>
      </c>
      <c r="D9516" t="s">
        <v>8357</v>
      </c>
      <c r="E9516" t="s">
        <v>48242</v>
      </c>
      <c r="F9516">
        <v>10</v>
      </c>
      <c r="G9516" t="s">
        <v>8359</v>
      </c>
      <c r="H9516" t="s">
        <v>1047</v>
      </c>
      <c r="I9516" t="s">
        <v>40</v>
      </c>
      <c r="J9516" t="s">
        <v>996</v>
      </c>
      <c r="K9516" t="s">
        <v>42</v>
      </c>
      <c r="L9516" t="s">
        <v>43100</v>
      </c>
      <c r="Q9516">
        <v>23081</v>
      </c>
      <c r="R9516" t="s">
        <v>119</v>
      </c>
      <c r="S9516" t="s">
        <v>54973</v>
      </c>
      <c r="T9516">
        <v>28</v>
      </c>
      <c r="U9516" s="2" t="s">
        <v>15346</v>
      </c>
      <c r="W9516" t="s">
        <v>43102</v>
      </c>
      <c r="X9516">
        <v>838566</v>
      </c>
      <c r="Y9516" t="s">
        <v>56958</v>
      </c>
      <c r="Z9516" t="s">
        <v>56959</v>
      </c>
      <c r="AA9516" t="s">
        <v>56960</v>
      </c>
      <c r="AB9516" t="s">
        <v>486</v>
      </c>
      <c r="AG9516" t="s">
        <v>56961</v>
      </c>
      <c r="AH9516" t="s">
        <v>54977</v>
      </c>
      <c r="AI9516" t="s">
        <v>56962</v>
      </c>
    </row>
    <row r="9517" spans="2:35" ht="315">
      <c r="B9517" s="1">
        <v>44950</v>
      </c>
      <c r="C9517" s="4">
        <v>44950.534722222219</v>
      </c>
      <c r="D9517" t="s">
        <v>1044</v>
      </c>
      <c r="E9517" t="s">
        <v>49594</v>
      </c>
      <c r="F9517">
        <v>1</v>
      </c>
      <c r="G9517" t="s">
        <v>1046</v>
      </c>
      <c r="H9517" t="s">
        <v>39</v>
      </c>
      <c r="I9517" t="s">
        <v>40</v>
      </c>
      <c r="J9517" s="2" t="s">
        <v>41</v>
      </c>
      <c r="K9517" t="s">
        <v>42</v>
      </c>
      <c r="L9517" t="s">
        <v>135</v>
      </c>
      <c r="Q9517">
        <v>23080</v>
      </c>
      <c r="R9517" t="s">
        <v>45</v>
      </c>
      <c r="S9517" t="s">
        <v>1050</v>
      </c>
      <c r="T9517">
        <v>21</v>
      </c>
      <c r="U9517" s="2" t="s">
        <v>56963</v>
      </c>
      <c r="V9517" s="1">
        <v>44935</v>
      </c>
      <c r="W9517" t="s">
        <v>2680</v>
      </c>
      <c r="X9517">
        <v>812830</v>
      </c>
      <c r="Y9517" t="s">
        <v>39092</v>
      </c>
      <c r="Z9517" s="2" t="s">
        <v>47997</v>
      </c>
      <c r="AA9517" t="s">
        <v>55818</v>
      </c>
      <c r="AB9517" t="s">
        <v>181</v>
      </c>
      <c r="AC9517" t="s">
        <v>181</v>
      </c>
      <c r="AD9517" t="s">
        <v>4669</v>
      </c>
      <c r="AE9517">
        <v>37919</v>
      </c>
      <c r="AG9517" t="s">
        <v>56964</v>
      </c>
      <c r="AH9517" t="s">
        <v>25352</v>
      </c>
      <c r="AI9517" t="s">
        <v>56965</v>
      </c>
    </row>
    <row r="9518" spans="2:35" ht="315">
      <c r="B9518" s="1">
        <v>44950</v>
      </c>
      <c r="C9518" s="4">
        <v>44950.534722222219</v>
      </c>
      <c r="D9518" t="s">
        <v>1044</v>
      </c>
      <c r="E9518" t="s">
        <v>49594</v>
      </c>
      <c r="F9518">
        <v>1</v>
      </c>
      <c r="G9518" t="s">
        <v>1046</v>
      </c>
      <c r="H9518" t="s">
        <v>39</v>
      </c>
      <c r="I9518" t="s">
        <v>40</v>
      </c>
      <c r="J9518" s="2" t="s">
        <v>41</v>
      </c>
      <c r="K9518" t="s">
        <v>42</v>
      </c>
      <c r="L9518" t="s">
        <v>135</v>
      </c>
      <c r="Q9518">
        <v>23079</v>
      </c>
      <c r="R9518" t="s">
        <v>45</v>
      </c>
      <c r="S9518" t="s">
        <v>1050</v>
      </c>
      <c r="T9518">
        <v>21</v>
      </c>
      <c r="U9518" s="2" t="s">
        <v>56963</v>
      </c>
      <c r="V9518" s="1">
        <v>44935</v>
      </c>
      <c r="W9518" t="s">
        <v>2680</v>
      </c>
      <c r="X9518">
        <v>812830</v>
      </c>
      <c r="Y9518" t="s">
        <v>39092</v>
      </c>
      <c r="Z9518" s="2" t="s">
        <v>47997</v>
      </c>
      <c r="AA9518" t="s">
        <v>55818</v>
      </c>
      <c r="AB9518" t="s">
        <v>181</v>
      </c>
      <c r="AC9518" t="s">
        <v>181</v>
      </c>
      <c r="AD9518" t="s">
        <v>4669</v>
      </c>
      <c r="AE9518">
        <v>37919</v>
      </c>
      <c r="AG9518" t="s">
        <v>56966</v>
      </c>
      <c r="AH9518" t="s">
        <v>25352</v>
      </c>
      <c r="AI9518" t="s">
        <v>56967</v>
      </c>
    </row>
    <row r="9519" spans="2:35" ht="409.5">
      <c r="B9519" s="1">
        <v>44950</v>
      </c>
      <c r="C9519" s="4">
        <v>44949.581250000003</v>
      </c>
      <c r="D9519" t="s">
        <v>56968</v>
      </c>
      <c r="E9519" t="s">
        <v>56969</v>
      </c>
      <c r="F9519">
        <v>11</v>
      </c>
      <c r="G9519" t="s">
        <v>1759</v>
      </c>
      <c r="H9519" t="s">
        <v>39</v>
      </c>
      <c r="I9519" t="s">
        <v>40</v>
      </c>
      <c r="J9519" s="2" t="s">
        <v>41</v>
      </c>
      <c r="K9519" t="s">
        <v>42</v>
      </c>
      <c r="L9519" t="s">
        <v>204</v>
      </c>
      <c r="Q9519">
        <v>23078</v>
      </c>
      <c r="R9519" t="s">
        <v>45</v>
      </c>
      <c r="S9519" t="s">
        <v>1760</v>
      </c>
      <c r="T9519">
        <v>27.6</v>
      </c>
      <c r="U9519" s="2" t="s">
        <v>56970</v>
      </c>
      <c r="V9519" s="1">
        <v>44949</v>
      </c>
      <c r="W9519" t="s">
        <v>1292</v>
      </c>
      <c r="X9519">
        <v>808624</v>
      </c>
      <c r="Y9519" s="2" t="s">
        <v>56971</v>
      </c>
      <c r="Z9519" t="s">
        <v>56972</v>
      </c>
      <c r="AA9519" s="2" t="s">
        <v>56973</v>
      </c>
      <c r="AB9519" t="s">
        <v>9590</v>
      </c>
      <c r="AC9519" t="s">
        <v>54</v>
      </c>
      <c r="AD9519" t="s">
        <v>10253</v>
      </c>
      <c r="AE9519" t="s">
        <v>1716</v>
      </c>
      <c r="AG9519" t="s">
        <v>56974</v>
      </c>
      <c r="AH9519" t="s">
        <v>56975</v>
      </c>
      <c r="AI9519" t="s">
        <v>56976</v>
      </c>
    </row>
    <row r="9520" spans="2:35" ht="180">
      <c r="B9520" s="1">
        <v>44950</v>
      </c>
      <c r="C9520" s="4">
        <v>44950.538888888892</v>
      </c>
      <c r="D9520" t="s">
        <v>2364</v>
      </c>
      <c r="E9520" t="s">
        <v>7483</v>
      </c>
      <c r="F9520">
        <v>12</v>
      </c>
      <c r="G9520" t="s">
        <v>978</v>
      </c>
      <c r="H9520" t="s">
        <v>39</v>
      </c>
      <c r="I9520" t="s">
        <v>94</v>
      </c>
      <c r="J9520" s="2" t="s">
        <v>1444</v>
      </c>
      <c r="K9520" t="s">
        <v>42</v>
      </c>
      <c r="L9520" t="s">
        <v>296</v>
      </c>
      <c r="Q9520">
        <v>23076</v>
      </c>
      <c r="R9520" t="s">
        <v>119</v>
      </c>
      <c r="S9520" t="s">
        <v>50380</v>
      </c>
      <c r="T9520">
        <v>25.7</v>
      </c>
      <c r="U9520" s="2" t="s">
        <v>56977</v>
      </c>
      <c r="W9520" t="s">
        <v>53244</v>
      </c>
      <c r="X9520">
        <v>838570</v>
      </c>
      <c r="Y9520" t="s">
        <v>56978</v>
      </c>
      <c r="Z9520" t="s">
        <v>56979</v>
      </c>
      <c r="AA9520" t="s">
        <v>56979</v>
      </c>
      <c r="AB9520" t="s">
        <v>56331</v>
      </c>
      <c r="AG9520" t="s">
        <v>56980</v>
      </c>
      <c r="AH9520" t="s">
        <v>56981</v>
      </c>
      <c r="AI9520" t="s">
        <v>56982</v>
      </c>
    </row>
    <row r="9521" spans="2:35" ht="105">
      <c r="B9521" s="1">
        <v>44950</v>
      </c>
      <c r="C9521" s="4">
        <v>44939.451388888891</v>
      </c>
      <c r="D9521" t="s">
        <v>2233</v>
      </c>
      <c r="E9521" t="s">
        <v>11234</v>
      </c>
      <c r="F9521">
        <v>7</v>
      </c>
      <c r="G9521" t="s">
        <v>432</v>
      </c>
      <c r="H9521" t="s">
        <v>39</v>
      </c>
      <c r="I9521" t="s">
        <v>94</v>
      </c>
      <c r="J9521" t="s">
        <v>109</v>
      </c>
      <c r="K9521" t="s">
        <v>42</v>
      </c>
      <c r="Q9521">
        <v>23075</v>
      </c>
      <c r="R9521" t="s">
        <v>119</v>
      </c>
      <c r="S9521" t="s">
        <v>9634</v>
      </c>
      <c r="T9521">
        <v>24</v>
      </c>
      <c r="U9521" s="2" t="s">
        <v>42604</v>
      </c>
      <c r="V9521" s="1">
        <v>44939</v>
      </c>
      <c r="W9521" t="s">
        <v>360</v>
      </c>
      <c r="X9521">
        <v>838231</v>
      </c>
      <c r="Y9521" t="s">
        <v>3128</v>
      </c>
      <c r="Z9521" t="s">
        <v>56983</v>
      </c>
      <c r="AA9521" t="s">
        <v>13318</v>
      </c>
      <c r="AB9521" t="s">
        <v>13650</v>
      </c>
      <c r="AF9521" t="s">
        <v>56984</v>
      </c>
      <c r="AG9521" t="s">
        <v>56985</v>
      </c>
      <c r="AH9521" t="s">
        <v>12809</v>
      </c>
      <c r="AI9521" t="s">
        <v>56986</v>
      </c>
    </row>
    <row r="9522" spans="2:35" ht="90">
      <c r="B9522" s="1">
        <v>44950</v>
      </c>
      <c r="C9522" s="4">
        <v>44950.465277777781</v>
      </c>
      <c r="D9522" t="s">
        <v>1825</v>
      </c>
      <c r="E9522" t="s">
        <v>1555</v>
      </c>
      <c r="F9522">
        <v>7</v>
      </c>
      <c r="G9522" t="s">
        <v>432</v>
      </c>
      <c r="H9522" t="s">
        <v>39</v>
      </c>
      <c r="I9522" t="s">
        <v>94</v>
      </c>
      <c r="J9522" t="s">
        <v>79</v>
      </c>
      <c r="K9522" t="s">
        <v>42</v>
      </c>
      <c r="L9522" t="s">
        <v>433</v>
      </c>
      <c r="Q9522">
        <v>23074</v>
      </c>
      <c r="R9522" t="s">
        <v>45</v>
      </c>
      <c r="S9522" t="s">
        <v>33139</v>
      </c>
      <c r="T9522">
        <v>28</v>
      </c>
      <c r="U9522" s="2" t="s">
        <v>56987</v>
      </c>
      <c r="W9522" t="s">
        <v>56988</v>
      </c>
      <c r="X9522">
        <v>806201</v>
      </c>
      <c r="Y9522" t="s">
        <v>56989</v>
      </c>
      <c r="Z9522" t="s">
        <v>56990</v>
      </c>
      <c r="AA9522" t="s">
        <v>56991</v>
      </c>
      <c r="AB9522" t="s">
        <v>1011</v>
      </c>
      <c r="AG9522" t="s">
        <v>56992</v>
      </c>
      <c r="AH9522" t="s">
        <v>33144</v>
      </c>
      <c r="AI9522" t="s">
        <v>56993</v>
      </c>
    </row>
    <row r="9523" spans="2:35" ht="270">
      <c r="B9523" s="1">
        <v>44950</v>
      </c>
      <c r="C9523" s="4">
        <v>44950.443749999999</v>
      </c>
      <c r="D9523" t="s">
        <v>1678</v>
      </c>
      <c r="E9523" t="s">
        <v>18818</v>
      </c>
      <c r="F9523" t="s">
        <v>148</v>
      </c>
      <c r="G9523" t="s">
        <v>785</v>
      </c>
      <c r="H9523" t="s">
        <v>39</v>
      </c>
      <c r="I9523" t="s">
        <v>40</v>
      </c>
      <c r="J9523" s="2" t="s">
        <v>41</v>
      </c>
      <c r="K9523" t="s">
        <v>42</v>
      </c>
      <c r="L9523" t="s">
        <v>55932</v>
      </c>
      <c r="Q9523">
        <v>23073</v>
      </c>
      <c r="R9523" t="s">
        <v>45</v>
      </c>
      <c r="S9523" t="s">
        <v>18437</v>
      </c>
      <c r="T9523">
        <v>26.3</v>
      </c>
      <c r="U9523" s="2" t="s">
        <v>56994</v>
      </c>
      <c r="V9523" s="1">
        <v>44949</v>
      </c>
      <c r="W9523" t="s">
        <v>1139</v>
      </c>
      <c r="X9523">
        <v>843924</v>
      </c>
      <c r="Y9523" t="s">
        <v>55365</v>
      </c>
      <c r="Z9523" s="2" t="s">
        <v>25003</v>
      </c>
      <c r="AA9523" s="2" t="s">
        <v>56995</v>
      </c>
      <c r="AB9523" t="s">
        <v>181</v>
      </c>
      <c r="AD9523" t="s">
        <v>56996</v>
      </c>
      <c r="AE9523" t="s">
        <v>56997</v>
      </c>
      <c r="AG9523" t="s">
        <v>56998</v>
      </c>
      <c r="AH9523" t="s">
        <v>1684</v>
      </c>
      <c r="AI9523" t="s">
        <v>56999</v>
      </c>
    </row>
    <row r="9524" spans="2:35" ht="240">
      <c r="B9524" s="1">
        <v>44950</v>
      </c>
      <c r="C9524" s="4">
        <v>44950.381944444445</v>
      </c>
      <c r="D9524" t="s">
        <v>57000</v>
      </c>
      <c r="E9524" t="s">
        <v>49580</v>
      </c>
      <c r="F9524">
        <v>8</v>
      </c>
      <c r="G9524" t="s">
        <v>2945</v>
      </c>
      <c r="H9524" t="s">
        <v>39</v>
      </c>
      <c r="I9524" t="s">
        <v>94</v>
      </c>
      <c r="J9524" s="2" t="s">
        <v>41</v>
      </c>
      <c r="K9524" t="s">
        <v>42</v>
      </c>
      <c r="L9524" t="s">
        <v>259</v>
      </c>
      <c r="Q9524">
        <v>23072</v>
      </c>
      <c r="R9524" t="s">
        <v>45</v>
      </c>
      <c r="S9524" t="s">
        <v>49581</v>
      </c>
      <c r="T9524">
        <v>25</v>
      </c>
      <c r="U9524" s="2" t="s">
        <v>57001</v>
      </c>
      <c r="V9524" s="1">
        <v>44950</v>
      </c>
      <c r="W9524" t="s">
        <v>84</v>
      </c>
      <c r="X9524">
        <v>804262</v>
      </c>
      <c r="Y9524" t="s">
        <v>57002</v>
      </c>
      <c r="Z9524" s="2" t="s">
        <v>57003</v>
      </c>
      <c r="AA9524" t="e">
        <f ca="1">-module Replacement
-Preventive Maintenance</f>
        <v>#NAME?</v>
      </c>
      <c r="AB9524" t="s">
        <v>486</v>
      </c>
      <c r="AD9524" t="s">
        <v>57004</v>
      </c>
      <c r="AE9524" t="s">
        <v>54</v>
      </c>
      <c r="AG9524" t="s">
        <v>57005</v>
      </c>
      <c r="AH9524" t="s">
        <v>57006</v>
      </c>
      <c r="AI9524" t="s">
        <v>57007</v>
      </c>
    </row>
    <row r="9525" spans="2:35" ht="255">
      <c r="B9525" s="1">
        <v>44949</v>
      </c>
      <c r="C9525" s="4">
        <v>44946.59097222222</v>
      </c>
      <c r="D9525" t="s">
        <v>44011</v>
      </c>
      <c r="E9525" t="s">
        <v>41822</v>
      </c>
      <c r="F9525" t="s">
        <v>148</v>
      </c>
      <c r="G9525" t="s">
        <v>447</v>
      </c>
      <c r="H9525" t="s">
        <v>2581</v>
      </c>
      <c r="I9525" t="s">
        <v>40</v>
      </c>
      <c r="J9525" s="2" t="s">
        <v>62</v>
      </c>
      <c r="K9525" t="s">
        <v>42</v>
      </c>
      <c r="L9525" t="s">
        <v>448</v>
      </c>
      <c r="Q9525">
        <v>23071</v>
      </c>
      <c r="R9525" t="s">
        <v>45</v>
      </c>
      <c r="S9525" t="s">
        <v>53220</v>
      </c>
      <c r="T9525">
        <v>29</v>
      </c>
      <c r="U9525" s="2" t="s">
        <v>57008</v>
      </c>
      <c r="V9525" s="1">
        <v>44946</v>
      </c>
      <c r="W9525" t="s">
        <v>1008</v>
      </c>
      <c r="X9525">
        <v>803087</v>
      </c>
      <c r="Y9525" t="s">
        <v>56570</v>
      </c>
      <c r="Z9525" t="s">
        <v>56528</v>
      </c>
      <c r="AA9525" t="s">
        <v>57009</v>
      </c>
      <c r="AB9525" t="s">
        <v>57010</v>
      </c>
      <c r="AC9525" t="s">
        <v>57011</v>
      </c>
      <c r="AD9525" t="s">
        <v>3628</v>
      </c>
      <c r="AE9525">
        <v>0</v>
      </c>
      <c r="AG9525" t="s">
        <v>57012</v>
      </c>
      <c r="AH9525" t="s">
        <v>53227</v>
      </c>
      <c r="AI9525" t="s">
        <v>57013</v>
      </c>
    </row>
    <row r="9526" spans="2:35" ht="255">
      <c r="B9526" s="1">
        <v>44949</v>
      </c>
      <c r="C9526" s="4">
        <v>44946.59097222222</v>
      </c>
      <c r="D9526" t="s">
        <v>44011</v>
      </c>
      <c r="E9526" t="s">
        <v>41822</v>
      </c>
      <c r="F9526" t="s">
        <v>148</v>
      </c>
      <c r="G9526" t="s">
        <v>447</v>
      </c>
      <c r="H9526" t="s">
        <v>2581</v>
      </c>
      <c r="I9526" t="s">
        <v>40</v>
      </c>
      <c r="J9526" s="2" t="s">
        <v>62</v>
      </c>
      <c r="K9526" t="s">
        <v>42</v>
      </c>
      <c r="L9526" t="s">
        <v>448</v>
      </c>
      <c r="Q9526">
        <v>23070</v>
      </c>
      <c r="R9526" t="s">
        <v>45</v>
      </c>
      <c r="S9526" t="s">
        <v>53220</v>
      </c>
      <c r="T9526">
        <v>29</v>
      </c>
      <c r="U9526" s="2" t="s">
        <v>57008</v>
      </c>
      <c r="V9526" s="1">
        <v>44946</v>
      </c>
      <c r="W9526" t="s">
        <v>1008</v>
      </c>
      <c r="X9526">
        <v>803087</v>
      </c>
      <c r="Y9526" t="s">
        <v>56570</v>
      </c>
      <c r="Z9526" t="s">
        <v>56528</v>
      </c>
      <c r="AA9526" t="s">
        <v>57009</v>
      </c>
      <c r="AB9526" t="s">
        <v>57010</v>
      </c>
      <c r="AC9526" t="s">
        <v>57011</v>
      </c>
      <c r="AD9526" t="s">
        <v>3628</v>
      </c>
      <c r="AE9526">
        <v>0</v>
      </c>
      <c r="AG9526" t="s">
        <v>57014</v>
      </c>
      <c r="AH9526" t="s">
        <v>53227</v>
      </c>
      <c r="AI9526" t="s">
        <v>57015</v>
      </c>
    </row>
    <row r="9527" spans="2:35" ht="165">
      <c r="B9527" s="1">
        <v>44949</v>
      </c>
      <c r="C9527" s="4">
        <v>44943.426388888889</v>
      </c>
      <c r="D9527" t="s">
        <v>25805</v>
      </c>
      <c r="E9527" t="s">
        <v>44767</v>
      </c>
      <c r="F9527" t="s">
        <v>148</v>
      </c>
      <c r="G9527" t="s">
        <v>774</v>
      </c>
      <c r="H9527" t="s">
        <v>39</v>
      </c>
      <c r="I9527" t="s">
        <v>40</v>
      </c>
      <c r="J9527" t="s">
        <v>996</v>
      </c>
      <c r="K9527" t="s">
        <v>42</v>
      </c>
      <c r="Q9527">
        <v>23069</v>
      </c>
      <c r="R9527" t="s">
        <v>45</v>
      </c>
      <c r="S9527" t="s">
        <v>35661</v>
      </c>
      <c r="T9527">
        <v>28</v>
      </c>
      <c r="U9527" s="2" t="s">
        <v>27992</v>
      </c>
      <c r="W9527" t="s">
        <v>2680</v>
      </c>
      <c r="X9527">
        <v>807606</v>
      </c>
      <c r="Y9527" t="s">
        <v>25444</v>
      </c>
      <c r="Z9527" t="s">
        <v>11518</v>
      </c>
      <c r="AA9527" s="2" t="s">
        <v>57016</v>
      </c>
      <c r="AB9527" t="s">
        <v>181</v>
      </c>
      <c r="AC9527" t="s">
        <v>57017</v>
      </c>
      <c r="AF9527" t="s">
        <v>57018</v>
      </c>
      <c r="AG9527" t="s">
        <v>57019</v>
      </c>
      <c r="AH9527" t="s">
        <v>57020</v>
      </c>
      <c r="AI9527" t="s">
        <v>57021</v>
      </c>
    </row>
    <row r="9528" spans="2:35" ht="165">
      <c r="B9528" s="1">
        <v>44949</v>
      </c>
      <c r="C9528" s="4">
        <v>44944.622916666667</v>
      </c>
      <c r="D9528" t="s">
        <v>2773</v>
      </c>
      <c r="E9528" t="s">
        <v>8394</v>
      </c>
      <c r="F9528">
        <v>3</v>
      </c>
      <c r="G9528" t="s">
        <v>2723</v>
      </c>
      <c r="H9528" t="s">
        <v>513</v>
      </c>
      <c r="I9528" t="s">
        <v>40</v>
      </c>
      <c r="J9528" s="2" t="s">
        <v>190</v>
      </c>
      <c r="K9528" t="s">
        <v>387</v>
      </c>
      <c r="Q9528">
        <v>23068</v>
      </c>
      <c r="R9528" t="s">
        <v>119</v>
      </c>
      <c r="S9528" t="s">
        <v>45040</v>
      </c>
      <c r="T9528">
        <v>28</v>
      </c>
      <c r="V9528" s="1">
        <v>44944</v>
      </c>
      <c r="W9528" t="s">
        <v>390</v>
      </c>
      <c r="X9528" t="s">
        <v>45041</v>
      </c>
      <c r="Y9528" t="s">
        <v>1716</v>
      </c>
      <c r="Z9528" s="2" t="s">
        <v>45042</v>
      </c>
      <c r="AA9528" t="s">
        <v>10275</v>
      </c>
      <c r="AB9528" t="s">
        <v>70</v>
      </c>
      <c r="AC9528" t="s">
        <v>57022</v>
      </c>
      <c r="AD9528" t="s">
        <v>45044</v>
      </c>
      <c r="AE9528" t="s">
        <v>1716</v>
      </c>
      <c r="AF9528" t="s">
        <v>63</v>
      </c>
      <c r="AG9528" t="s">
        <v>45045</v>
      </c>
      <c r="AH9528" t="s">
        <v>45046</v>
      </c>
      <c r="AI9528" t="s">
        <v>45047</v>
      </c>
    </row>
    <row r="9529" spans="2:35" ht="165">
      <c r="B9529" s="1">
        <v>44949</v>
      </c>
      <c r="C9529" s="4">
        <v>44949.589583333334</v>
      </c>
      <c r="D9529" t="s">
        <v>57023</v>
      </c>
      <c r="E9529" t="s">
        <v>57024</v>
      </c>
      <c r="F9529">
        <v>3</v>
      </c>
      <c r="G9529" t="s">
        <v>134</v>
      </c>
      <c r="H9529" t="s">
        <v>39</v>
      </c>
      <c r="I9529" t="s">
        <v>40</v>
      </c>
      <c r="J9529" s="2" t="s">
        <v>190</v>
      </c>
      <c r="K9529" t="s">
        <v>42</v>
      </c>
      <c r="L9529" t="s">
        <v>63</v>
      </c>
      <c r="Q9529">
        <v>23067</v>
      </c>
      <c r="R9529" t="s">
        <v>119</v>
      </c>
      <c r="S9529" t="s">
        <v>27476</v>
      </c>
      <c r="T9529">
        <v>29</v>
      </c>
      <c r="U9529" s="2" t="s">
        <v>57025</v>
      </c>
      <c r="V9529" s="1">
        <v>44949</v>
      </c>
      <c r="W9529" t="s">
        <v>26915</v>
      </c>
      <c r="X9529">
        <v>831873</v>
      </c>
      <c r="Y9529" t="s">
        <v>57026</v>
      </c>
      <c r="Z9529" t="s">
        <v>57027</v>
      </c>
      <c r="AA9529" s="2" t="s">
        <v>1727</v>
      </c>
      <c r="AB9529" t="s">
        <v>70</v>
      </c>
      <c r="AC9529" t="s">
        <v>57028</v>
      </c>
      <c r="AD9529" t="s">
        <v>32127</v>
      </c>
      <c r="AE9529" t="s">
        <v>1716</v>
      </c>
      <c r="AG9529" t="s">
        <v>57029</v>
      </c>
      <c r="AH9529" t="s">
        <v>51672</v>
      </c>
      <c r="AI9529" t="s">
        <v>57030</v>
      </c>
    </row>
    <row r="9530" spans="2:35" ht="180">
      <c r="B9530" s="1">
        <v>44949</v>
      </c>
      <c r="C9530" s="4">
        <v>44939.645833333336</v>
      </c>
      <c r="D9530" t="s">
        <v>55916</v>
      </c>
      <c r="E9530" t="s">
        <v>27943</v>
      </c>
      <c r="F9530">
        <v>3</v>
      </c>
      <c r="G9530" t="s">
        <v>1722</v>
      </c>
      <c r="H9530" t="s">
        <v>39</v>
      </c>
      <c r="I9530" t="s">
        <v>40</v>
      </c>
      <c r="J9530" t="s">
        <v>109</v>
      </c>
      <c r="K9530" t="s">
        <v>42</v>
      </c>
      <c r="Q9530">
        <v>23065</v>
      </c>
      <c r="R9530" t="s">
        <v>119</v>
      </c>
      <c r="S9530" t="s">
        <v>56580</v>
      </c>
      <c r="T9530">
        <v>28</v>
      </c>
      <c r="U9530" s="2" t="s">
        <v>57031</v>
      </c>
      <c r="V9530" s="1">
        <v>44939</v>
      </c>
      <c r="W9530" t="s">
        <v>26915</v>
      </c>
      <c r="X9530">
        <v>831599</v>
      </c>
      <c r="Y9530" t="s">
        <v>1716</v>
      </c>
      <c r="Z9530" t="s">
        <v>1716</v>
      </c>
      <c r="AA9530" s="2" t="s">
        <v>1727</v>
      </c>
      <c r="AB9530" t="s">
        <v>70</v>
      </c>
      <c r="AC9530" t="s">
        <v>1716</v>
      </c>
      <c r="AD9530" t="s">
        <v>1716</v>
      </c>
      <c r="AE9530" t="s">
        <v>1716</v>
      </c>
      <c r="AF9530" t="s">
        <v>63</v>
      </c>
      <c r="AG9530" t="s">
        <v>57032</v>
      </c>
      <c r="AH9530" t="s">
        <v>57033</v>
      </c>
      <c r="AI9530" t="s">
        <v>57034</v>
      </c>
    </row>
    <row r="9531" spans="2:35" ht="180">
      <c r="B9531" s="1">
        <v>44949</v>
      </c>
      <c r="C9531" s="4">
        <v>44942.643055555556</v>
      </c>
      <c r="D9531" t="s">
        <v>37671</v>
      </c>
      <c r="E9531" t="s">
        <v>57035</v>
      </c>
      <c r="F9531">
        <v>3</v>
      </c>
      <c r="G9531" t="s">
        <v>1722</v>
      </c>
      <c r="H9531" t="s">
        <v>39</v>
      </c>
      <c r="I9531" t="s">
        <v>40</v>
      </c>
      <c r="J9531" t="s">
        <v>109</v>
      </c>
      <c r="K9531" t="s">
        <v>42</v>
      </c>
      <c r="Q9531">
        <v>23066</v>
      </c>
      <c r="R9531" t="s">
        <v>119</v>
      </c>
      <c r="S9531" t="s">
        <v>57036</v>
      </c>
      <c r="T9531">
        <v>26</v>
      </c>
      <c r="U9531" s="2" t="s">
        <v>57037</v>
      </c>
      <c r="V9531" s="1">
        <v>44942</v>
      </c>
      <c r="W9531" t="s">
        <v>26915</v>
      </c>
      <c r="X9531">
        <v>831582</v>
      </c>
      <c r="Y9531" t="s">
        <v>1716</v>
      </c>
      <c r="Z9531" t="s">
        <v>1716</v>
      </c>
      <c r="AA9531" s="2" t="s">
        <v>1727</v>
      </c>
      <c r="AB9531" t="s">
        <v>70</v>
      </c>
      <c r="AC9531" t="s">
        <v>1716</v>
      </c>
      <c r="AD9531" t="s">
        <v>1716</v>
      </c>
      <c r="AE9531" t="s">
        <v>1716</v>
      </c>
      <c r="AF9531" t="s">
        <v>63</v>
      </c>
      <c r="AG9531" t="s">
        <v>57038</v>
      </c>
      <c r="AH9531" t="s">
        <v>29083</v>
      </c>
      <c r="AI9531" t="s">
        <v>57039</v>
      </c>
    </row>
    <row r="9532" spans="2:35" ht="180">
      <c r="B9532" s="1">
        <v>44949</v>
      </c>
      <c r="C9532" s="4">
        <v>44945.518055555556</v>
      </c>
      <c r="D9532" t="s">
        <v>22134</v>
      </c>
      <c r="E9532" t="s">
        <v>57040</v>
      </c>
      <c r="F9532" t="s">
        <v>37</v>
      </c>
      <c r="G9532" t="s">
        <v>2499</v>
      </c>
      <c r="H9532" t="s">
        <v>39</v>
      </c>
      <c r="I9532" t="s">
        <v>40</v>
      </c>
      <c r="J9532" s="2" t="s">
        <v>1592</v>
      </c>
      <c r="K9532" t="s">
        <v>42</v>
      </c>
      <c r="Q9532">
        <v>23063</v>
      </c>
      <c r="R9532" t="s">
        <v>119</v>
      </c>
      <c r="S9532" t="s">
        <v>22136</v>
      </c>
      <c r="T9532">
        <v>27</v>
      </c>
      <c r="U9532" s="2" t="s">
        <v>9839</v>
      </c>
      <c r="W9532" t="s">
        <v>2680</v>
      </c>
      <c r="X9532">
        <v>831636</v>
      </c>
      <c r="Y9532" s="2" t="s">
        <v>57041</v>
      </c>
      <c r="Z9532" s="2" t="s">
        <v>57042</v>
      </c>
      <c r="AA9532" s="2" t="s">
        <v>57043</v>
      </c>
      <c r="AB9532" t="s">
        <v>57044</v>
      </c>
      <c r="AC9532" t="s">
        <v>57045</v>
      </c>
      <c r="AF9532" t="s">
        <v>57018</v>
      </c>
      <c r="AG9532" t="s">
        <v>57046</v>
      </c>
      <c r="AH9532" t="s">
        <v>37533</v>
      </c>
      <c r="AI9532" t="s">
        <v>57047</v>
      </c>
    </row>
    <row r="9533" spans="2:35" ht="210">
      <c r="B9533" s="1">
        <v>44949</v>
      </c>
      <c r="C9533" s="4">
        <v>44944.488194444442</v>
      </c>
      <c r="D9533" t="s">
        <v>36563</v>
      </c>
      <c r="E9533" t="s">
        <v>22107</v>
      </c>
      <c r="F9533" t="s">
        <v>37</v>
      </c>
      <c r="G9533" t="s">
        <v>189</v>
      </c>
      <c r="H9533" t="s">
        <v>39</v>
      </c>
      <c r="I9533" t="s">
        <v>40</v>
      </c>
      <c r="J9533" s="2" t="s">
        <v>41</v>
      </c>
      <c r="K9533" t="s">
        <v>42</v>
      </c>
      <c r="Q9533">
        <v>23062</v>
      </c>
      <c r="R9533" t="s">
        <v>45</v>
      </c>
      <c r="S9533" t="s">
        <v>57048</v>
      </c>
      <c r="T9533">
        <v>27</v>
      </c>
      <c r="U9533" s="2" t="s">
        <v>25761</v>
      </c>
      <c r="V9533" s="1">
        <v>44942</v>
      </c>
      <c r="W9533" t="s">
        <v>57049</v>
      </c>
      <c r="X9533">
        <v>835179</v>
      </c>
      <c r="Y9533" t="s">
        <v>57050</v>
      </c>
      <c r="Z9533" t="s">
        <v>26847</v>
      </c>
      <c r="AA9533" s="2" t="s">
        <v>57051</v>
      </c>
      <c r="AB9533" t="s">
        <v>181</v>
      </c>
      <c r="AC9533" t="s">
        <v>57052</v>
      </c>
      <c r="AD9533" t="s">
        <v>57053</v>
      </c>
      <c r="AE9533" t="s">
        <v>57054</v>
      </c>
      <c r="AF9533" t="s">
        <v>57018</v>
      </c>
      <c r="AG9533" t="s">
        <v>57055</v>
      </c>
      <c r="AH9533" t="s">
        <v>36571</v>
      </c>
      <c r="AI9533" t="s">
        <v>57056</v>
      </c>
    </row>
    <row r="9534" spans="2:35" ht="210">
      <c r="B9534" s="1">
        <v>44949</v>
      </c>
      <c r="C9534" s="4">
        <v>44946.38958333333</v>
      </c>
      <c r="D9534" t="s">
        <v>57057</v>
      </c>
      <c r="E9534" t="s">
        <v>51284</v>
      </c>
      <c r="F9534" t="s">
        <v>37</v>
      </c>
      <c r="G9534" t="s">
        <v>748</v>
      </c>
      <c r="H9534" t="s">
        <v>39</v>
      </c>
      <c r="I9534" t="s">
        <v>40</v>
      </c>
      <c r="J9534" s="2" t="s">
        <v>62</v>
      </c>
      <c r="K9534" t="s">
        <v>42</v>
      </c>
      <c r="Q9534">
        <v>23064</v>
      </c>
      <c r="R9534" t="s">
        <v>45</v>
      </c>
      <c r="S9534" t="s">
        <v>31462</v>
      </c>
      <c r="T9534">
        <v>27</v>
      </c>
      <c r="U9534" s="2" t="s">
        <v>57058</v>
      </c>
      <c r="W9534" t="s">
        <v>2680</v>
      </c>
      <c r="X9534">
        <v>838893</v>
      </c>
      <c r="Y9534" t="s">
        <v>18140</v>
      </c>
      <c r="Z9534" t="s">
        <v>21244</v>
      </c>
      <c r="AA9534" s="2" t="s">
        <v>56367</v>
      </c>
      <c r="AB9534" t="s">
        <v>56057</v>
      </c>
      <c r="AC9534" t="s">
        <v>57059</v>
      </c>
      <c r="AF9534" t="s">
        <v>57018</v>
      </c>
      <c r="AG9534" t="s">
        <v>57060</v>
      </c>
      <c r="AH9534" t="s">
        <v>31468</v>
      </c>
      <c r="AI9534" t="s">
        <v>57061</v>
      </c>
    </row>
    <row r="9535" spans="2:35" ht="285">
      <c r="B9535" s="1">
        <v>44949</v>
      </c>
      <c r="C9535" s="4">
        <v>44949.445138888892</v>
      </c>
      <c r="D9535" t="s">
        <v>30972</v>
      </c>
      <c r="E9535" t="s">
        <v>54074</v>
      </c>
      <c r="F9535">
        <v>1</v>
      </c>
      <c r="G9535" t="s">
        <v>1046</v>
      </c>
      <c r="H9535" t="s">
        <v>39</v>
      </c>
      <c r="I9535" t="s">
        <v>40</v>
      </c>
      <c r="J9535" s="2" t="s">
        <v>62</v>
      </c>
      <c r="K9535" t="s">
        <v>42</v>
      </c>
      <c r="L9535" t="s">
        <v>135</v>
      </c>
      <c r="Q9535">
        <v>23061</v>
      </c>
      <c r="R9535" t="s">
        <v>45</v>
      </c>
      <c r="S9535" t="s">
        <v>30973</v>
      </c>
      <c r="T9535">
        <v>29</v>
      </c>
      <c r="U9535" s="2" t="s">
        <v>57062</v>
      </c>
      <c r="V9535" s="1">
        <v>44790</v>
      </c>
      <c r="W9535" t="s">
        <v>2680</v>
      </c>
      <c r="X9535">
        <v>805109</v>
      </c>
      <c r="Y9535" t="s">
        <v>57063</v>
      </c>
      <c r="Z9535" s="2" t="s">
        <v>51177</v>
      </c>
      <c r="AA9535" t="s">
        <v>54639</v>
      </c>
      <c r="AB9535" t="s">
        <v>57064</v>
      </c>
      <c r="AC9535" t="s">
        <v>57065</v>
      </c>
      <c r="AD9535" t="s">
        <v>57066</v>
      </c>
      <c r="AE9535">
        <v>34323</v>
      </c>
      <c r="AG9535" t="s">
        <v>57067</v>
      </c>
      <c r="AH9535" t="s">
        <v>30976</v>
      </c>
      <c r="AI9535" t="s">
        <v>57068</v>
      </c>
    </row>
    <row r="9536" spans="2:35" ht="195">
      <c r="B9536" s="1">
        <v>44949</v>
      </c>
      <c r="C9536" s="4">
        <v>44949.50277777778</v>
      </c>
      <c r="D9536" t="s">
        <v>3470</v>
      </c>
      <c r="E9536" t="s">
        <v>57069</v>
      </c>
      <c r="F9536">
        <v>12</v>
      </c>
      <c r="G9536" t="s">
        <v>294</v>
      </c>
      <c r="H9536" t="s">
        <v>39</v>
      </c>
      <c r="I9536" t="s">
        <v>94</v>
      </c>
      <c r="J9536" s="2" t="s">
        <v>62</v>
      </c>
      <c r="K9536" t="s">
        <v>42</v>
      </c>
      <c r="L9536" t="s">
        <v>296</v>
      </c>
      <c r="Q9536">
        <v>23060</v>
      </c>
      <c r="R9536" t="s">
        <v>45</v>
      </c>
      <c r="S9536" t="s">
        <v>57070</v>
      </c>
      <c r="T9536">
        <v>30</v>
      </c>
      <c r="U9536" s="2" t="s">
        <v>57071</v>
      </c>
      <c r="W9536" t="s">
        <v>53244</v>
      </c>
      <c r="X9536">
        <v>838159</v>
      </c>
      <c r="Y9536" t="s">
        <v>54</v>
      </c>
      <c r="Z9536" s="2" t="s">
        <v>57072</v>
      </c>
      <c r="AA9536" s="2" t="s">
        <v>57072</v>
      </c>
      <c r="AB9536" t="s">
        <v>57073</v>
      </c>
      <c r="AG9536" t="s">
        <v>57074</v>
      </c>
      <c r="AH9536" t="s">
        <v>42667</v>
      </c>
      <c r="AI9536" t="s">
        <v>57075</v>
      </c>
    </row>
    <row r="9537" spans="2:35" ht="375">
      <c r="B9537" s="1">
        <v>44949</v>
      </c>
      <c r="C9537" s="4">
        <v>44946.428472222222</v>
      </c>
      <c r="D9537" t="s">
        <v>3639</v>
      </c>
      <c r="E9537" t="s">
        <v>24319</v>
      </c>
      <c r="F9537" t="s">
        <v>148</v>
      </c>
      <c r="G9537" t="s">
        <v>310</v>
      </c>
      <c r="H9537" t="s">
        <v>39</v>
      </c>
      <c r="I9537" t="s">
        <v>40</v>
      </c>
      <c r="J9537" s="2" t="s">
        <v>62</v>
      </c>
      <c r="K9537" t="s">
        <v>42</v>
      </c>
      <c r="Q9537">
        <v>23059</v>
      </c>
      <c r="R9537" t="s">
        <v>45</v>
      </c>
      <c r="S9537" t="s">
        <v>57076</v>
      </c>
      <c r="T9537">
        <v>28</v>
      </c>
      <c r="U9537" s="2" t="s">
        <v>57077</v>
      </c>
      <c r="W9537" t="s">
        <v>536</v>
      </c>
      <c r="X9537">
        <v>839292</v>
      </c>
      <c r="Y9537" t="s">
        <v>56431</v>
      </c>
      <c r="Z9537" t="s">
        <v>5230</v>
      </c>
      <c r="AA9537" t="e">
        <f ca="1">- checked &amp; cleaned cartridge bay, plunger rod, I CORE slot
- performed XpertCheck
- generated reports
- performed functionality test</f>
        <v>#NAME?</v>
      </c>
      <c r="AB9537" t="s">
        <v>57078</v>
      </c>
      <c r="AF9537" t="s">
        <v>175</v>
      </c>
      <c r="AG9537" t="s">
        <v>57079</v>
      </c>
      <c r="AH9537" t="s">
        <v>50977</v>
      </c>
      <c r="AI9537" t="s">
        <v>57080</v>
      </c>
    </row>
    <row r="9538" spans="2:35" ht="375">
      <c r="B9538" s="1">
        <v>44949</v>
      </c>
      <c r="C9538" s="4">
        <v>44946.428472222222</v>
      </c>
      <c r="D9538" t="s">
        <v>3639</v>
      </c>
      <c r="E9538" t="s">
        <v>24319</v>
      </c>
      <c r="F9538" t="s">
        <v>148</v>
      </c>
      <c r="G9538" t="s">
        <v>310</v>
      </c>
      <c r="H9538" t="s">
        <v>39</v>
      </c>
      <c r="I9538" t="s">
        <v>40</v>
      </c>
      <c r="J9538" s="2" t="s">
        <v>62</v>
      </c>
      <c r="K9538" t="s">
        <v>42</v>
      </c>
      <c r="Q9538">
        <v>23058</v>
      </c>
      <c r="R9538" t="s">
        <v>45</v>
      </c>
      <c r="S9538" t="s">
        <v>57076</v>
      </c>
      <c r="T9538">
        <v>28</v>
      </c>
      <c r="U9538" s="2" t="s">
        <v>57077</v>
      </c>
      <c r="W9538" t="s">
        <v>536</v>
      </c>
      <c r="X9538">
        <v>839292</v>
      </c>
      <c r="Y9538" t="s">
        <v>56431</v>
      </c>
      <c r="Z9538" t="s">
        <v>5230</v>
      </c>
      <c r="AA9538" t="e">
        <f ca="1">- checked &amp; cleaned cartridge bay, plunger rod, I CORE slot
- performed XpertCheck
- generated reports
- performed functionality test</f>
        <v>#NAME?</v>
      </c>
      <c r="AB9538" t="s">
        <v>57078</v>
      </c>
      <c r="AF9538" t="s">
        <v>175</v>
      </c>
      <c r="AG9538" t="s">
        <v>57081</v>
      </c>
      <c r="AH9538" t="s">
        <v>50977</v>
      </c>
      <c r="AI9538" t="s">
        <v>57082</v>
      </c>
    </row>
    <row r="9539" spans="2:35" ht="285">
      <c r="B9539" s="1">
        <v>44949</v>
      </c>
      <c r="C9539" s="4">
        <v>44946.6</v>
      </c>
      <c r="D9539" t="s">
        <v>32367</v>
      </c>
      <c r="E9539" t="s">
        <v>57083</v>
      </c>
      <c r="F9539" t="s">
        <v>37</v>
      </c>
      <c r="G9539" t="s">
        <v>189</v>
      </c>
      <c r="H9539" t="s">
        <v>39</v>
      </c>
      <c r="I9539" t="s">
        <v>40</v>
      </c>
      <c r="J9539" s="2" t="s">
        <v>17874</v>
      </c>
      <c r="K9539" t="s">
        <v>42</v>
      </c>
      <c r="Q9539">
        <v>23057</v>
      </c>
      <c r="R9539" t="s">
        <v>45</v>
      </c>
      <c r="S9539" t="s">
        <v>32369</v>
      </c>
      <c r="T9539">
        <v>25</v>
      </c>
      <c r="U9539" s="2" t="s">
        <v>57084</v>
      </c>
      <c r="V9539" s="1">
        <v>44942</v>
      </c>
      <c r="W9539" t="s">
        <v>84</v>
      </c>
      <c r="X9539">
        <v>838867</v>
      </c>
      <c r="Y9539" s="2" t="s">
        <v>57085</v>
      </c>
      <c r="Z9539" s="2" t="s">
        <v>57086</v>
      </c>
      <c r="AA9539" t="s">
        <v>55015</v>
      </c>
      <c r="AB9539" t="s">
        <v>57087</v>
      </c>
      <c r="AD9539" t="s">
        <v>57088</v>
      </c>
      <c r="AE9539" t="s">
        <v>57089</v>
      </c>
      <c r="AF9539" t="s">
        <v>1943</v>
      </c>
      <c r="AG9539" t="s">
        <v>57090</v>
      </c>
      <c r="AH9539" t="s">
        <v>32372</v>
      </c>
      <c r="AI9539" t="s">
        <v>57091</v>
      </c>
    </row>
    <row r="9540" spans="2:35" ht="409.5">
      <c r="B9540" s="1">
        <v>44949</v>
      </c>
      <c r="C9540" s="4">
        <v>44946.513194444444</v>
      </c>
      <c r="D9540" t="s">
        <v>25621</v>
      </c>
      <c r="E9540" t="s">
        <v>188</v>
      </c>
      <c r="F9540" t="s">
        <v>37</v>
      </c>
      <c r="G9540" t="s">
        <v>189</v>
      </c>
      <c r="H9540" t="s">
        <v>34954</v>
      </c>
      <c r="I9540" t="s">
        <v>40</v>
      </c>
      <c r="J9540" s="2" t="s">
        <v>41</v>
      </c>
      <c r="K9540" t="s">
        <v>42</v>
      </c>
      <c r="Q9540">
        <v>23056</v>
      </c>
      <c r="R9540" t="s">
        <v>45</v>
      </c>
      <c r="S9540" t="s">
        <v>25623</v>
      </c>
      <c r="T9540">
        <v>27</v>
      </c>
      <c r="U9540" s="2" t="s">
        <v>57092</v>
      </c>
      <c r="V9540" s="1">
        <v>44942</v>
      </c>
      <c r="W9540" t="s">
        <v>895</v>
      </c>
      <c r="X9540">
        <v>844120</v>
      </c>
      <c r="Y9540" s="2" t="s">
        <v>57093</v>
      </c>
      <c r="Z9540" s="2" t="s">
        <v>57094</v>
      </c>
      <c r="AA9540" t="s">
        <v>1947</v>
      </c>
      <c r="AB9540" t="s">
        <v>57095</v>
      </c>
      <c r="AD9540" t="s">
        <v>57096</v>
      </c>
      <c r="AE9540" t="s">
        <v>57097</v>
      </c>
      <c r="AF9540" t="s">
        <v>1943</v>
      </c>
      <c r="AG9540" t="s">
        <v>57098</v>
      </c>
      <c r="AH9540" t="s">
        <v>30032</v>
      </c>
      <c r="AI9540" t="s">
        <v>57099</v>
      </c>
    </row>
    <row r="9541" spans="2:35" ht="330">
      <c r="B9541" s="1">
        <v>44949</v>
      </c>
      <c r="C9541" s="4">
        <v>44945.584722222222</v>
      </c>
      <c r="D9541" t="s">
        <v>159</v>
      </c>
      <c r="E9541" t="s">
        <v>5764</v>
      </c>
      <c r="F9541" t="s">
        <v>37</v>
      </c>
      <c r="G9541" t="s">
        <v>78</v>
      </c>
      <c r="H9541" t="s">
        <v>150</v>
      </c>
      <c r="I9541" t="s">
        <v>40</v>
      </c>
      <c r="J9541" s="2" t="s">
        <v>62</v>
      </c>
      <c r="K9541" t="s">
        <v>42</v>
      </c>
      <c r="Q9541">
        <v>23055</v>
      </c>
      <c r="R9541" t="s">
        <v>95</v>
      </c>
      <c r="S9541" t="s">
        <v>5766</v>
      </c>
      <c r="T9541">
        <v>29</v>
      </c>
      <c r="U9541" s="2" t="s">
        <v>57100</v>
      </c>
      <c r="V9541" s="1">
        <v>44945</v>
      </c>
      <c r="W9541" t="s">
        <v>5771</v>
      </c>
      <c r="X9541">
        <v>812916</v>
      </c>
      <c r="Y9541" s="2" t="s">
        <v>3044</v>
      </c>
      <c r="Z9541" s="2" t="s">
        <v>47457</v>
      </c>
      <c r="AA9541" t="s">
        <v>3045</v>
      </c>
      <c r="AB9541" t="s">
        <v>57101</v>
      </c>
      <c r="AD9541" t="s">
        <v>57102</v>
      </c>
      <c r="AE9541" t="s">
        <v>1716</v>
      </c>
      <c r="AF9541" t="s">
        <v>57103</v>
      </c>
      <c r="AG9541" t="s">
        <v>57104</v>
      </c>
      <c r="AH9541" t="s">
        <v>57105</v>
      </c>
      <c r="AI9541" t="s">
        <v>57106</v>
      </c>
    </row>
    <row r="9542" spans="2:35" ht="300">
      <c r="B9542" s="1">
        <v>44949</v>
      </c>
      <c r="C9542" s="4">
        <v>44945.429166666669</v>
      </c>
      <c r="D9542" t="s">
        <v>30476</v>
      </c>
      <c r="E9542" t="s">
        <v>55446</v>
      </c>
      <c r="F9542" t="s">
        <v>37</v>
      </c>
      <c r="G9542" t="s">
        <v>78</v>
      </c>
      <c r="H9542" t="s">
        <v>39</v>
      </c>
      <c r="I9542" t="s">
        <v>40</v>
      </c>
      <c r="J9542" s="2" t="s">
        <v>62</v>
      </c>
      <c r="K9542" t="s">
        <v>42</v>
      </c>
      <c r="Q9542">
        <v>23054</v>
      </c>
      <c r="R9542" t="s">
        <v>45</v>
      </c>
      <c r="S9542" t="s">
        <v>53736</v>
      </c>
      <c r="T9542">
        <v>27</v>
      </c>
      <c r="U9542" s="2" t="s">
        <v>57107</v>
      </c>
      <c r="V9542" s="1">
        <v>44937</v>
      </c>
      <c r="W9542" t="s">
        <v>84</v>
      </c>
      <c r="X9542">
        <v>812794</v>
      </c>
      <c r="Y9542" s="2" t="s">
        <v>57108</v>
      </c>
      <c r="Z9542" s="2" t="s">
        <v>57109</v>
      </c>
      <c r="AA9542" t="s">
        <v>57110</v>
      </c>
      <c r="AB9542" t="s">
        <v>57111</v>
      </c>
      <c r="AD9542" t="s">
        <v>11518</v>
      </c>
      <c r="AE9542" t="s">
        <v>1716</v>
      </c>
      <c r="AF9542" t="s">
        <v>1943</v>
      </c>
      <c r="AG9542" t="s">
        <v>57112</v>
      </c>
      <c r="AH9542" t="s">
        <v>30481</v>
      </c>
      <c r="AI9542" t="s">
        <v>57113</v>
      </c>
    </row>
    <row r="9543" spans="2:35" ht="195">
      <c r="B9543" s="1">
        <v>44949</v>
      </c>
      <c r="C9543" s="4">
        <v>44945.386805555558</v>
      </c>
      <c r="D9543" t="s">
        <v>37593</v>
      </c>
      <c r="E9543" t="s">
        <v>55446</v>
      </c>
      <c r="F9543" t="s">
        <v>37</v>
      </c>
      <c r="G9543" t="s">
        <v>78</v>
      </c>
      <c r="H9543" t="s">
        <v>39</v>
      </c>
      <c r="I9543" t="s">
        <v>40</v>
      </c>
      <c r="J9543" s="2" t="s">
        <v>62</v>
      </c>
      <c r="K9543" t="s">
        <v>42</v>
      </c>
      <c r="Q9543">
        <v>23049</v>
      </c>
      <c r="R9543" t="s">
        <v>119</v>
      </c>
      <c r="S9543" t="s">
        <v>57114</v>
      </c>
      <c r="T9543">
        <v>25</v>
      </c>
      <c r="U9543" s="2" t="s">
        <v>53918</v>
      </c>
      <c r="V9543" s="1">
        <v>44942</v>
      </c>
      <c r="W9543" t="s">
        <v>84</v>
      </c>
      <c r="X9543">
        <v>821003</v>
      </c>
      <c r="Y9543" s="2" t="s">
        <v>3044</v>
      </c>
      <c r="Z9543" s="2" t="s">
        <v>47457</v>
      </c>
      <c r="AA9543" t="s">
        <v>3045</v>
      </c>
      <c r="AB9543" t="s">
        <v>8352</v>
      </c>
      <c r="AD9543" t="s">
        <v>11518</v>
      </c>
      <c r="AE9543" t="s">
        <v>57115</v>
      </c>
      <c r="AF9543" t="s">
        <v>57116</v>
      </c>
      <c r="AG9543" t="s">
        <v>57117</v>
      </c>
      <c r="AH9543" t="s">
        <v>57118</v>
      </c>
      <c r="AI9543" t="s">
        <v>57119</v>
      </c>
    </row>
    <row r="9544" spans="2:35" ht="195">
      <c r="B9544" s="1">
        <v>44949</v>
      </c>
      <c r="C9544" s="4">
        <v>44944.388888888891</v>
      </c>
      <c r="D9544" t="s">
        <v>23619</v>
      </c>
      <c r="E9544" t="s">
        <v>32784</v>
      </c>
      <c r="F9544" t="s">
        <v>148</v>
      </c>
      <c r="G9544" t="s">
        <v>23621</v>
      </c>
      <c r="H9544" t="s">
        <v>39</v>
      </c>
      <c r="I9544" t="s">
        <v>40</v>
      </c>
      <c r="J9544" s="2" t="s">
        <v>62</v>
      </c>
      <c r="K9544" t="s">
        <v>42</v>
      </c>
      <c r="Q9544">
        <v>23051</v>
      </c>
      <c r="R9544" t="s">
        <v>45</v>
      </c>
      <c r="S9544" t="s">
        <v>24265</v>
      </c>
      <c r="T9544">
        <v>25</v>
      </c>
      <c r="U9544" s="2" t="s">
        <v>57120</v>
      </c>
      <c r="V9544" s="1">
        <v>44944</v>
      </c>
      <c r="W9544" t="s">
        <v>84</v>
      </c>
      <c r="X9544">
        <v>807592</v>
      </c>
      <c r="Y9544" s="2" t="s">
        <v>3044</v>
      </c>
      <c r="Z9544" s="2" t="s">
        <v>57121</v>
      </c>
      <c r="AA9544" t="s">
        <v>3045</v>
      </c>
      <c r="AB9544" t="s">
        <v>57122</v>
      </c>
      <c r="AD9544" t="s">
        <v>54729</v>
      </c>
      <c r="AE9544" t="s">
        <v>1716</v>
      </c>
      <c r="AF9544" t="s">
        <v>1943</v>
      </c>
      <c r="AG9544" t="s">
        <v>57123</v>
      </c>
      <c r="AH9544" t="s">
        <v>57124</v>
      </c>
      <c r="AI9544" t="s">
        <v>57125</v>
      </c>
    </row>
    <row r="9545" spans="2:35" ht="195">
      <c r="B9545" s="1">
        <v>44949</v>
      </c>
      <c r="C9545" s="4">
        <v>44944.385416666664</v>
      </c>
      <c r="D9545" t="s">
        <v>23619</v>
      </c>
      <c r="E9545" t="s">
        <v>32784</v>
      </c>
      <c r="F9545" t="s">
        <v>148</v>
      </c>
      <c r="G9545" t="s">
        <v>23621</v>
      </c>
      <c r="H9545" t="s">
        <v>39</v>
      </c>
      <c r="I9545" t="s">
        <v>40</v>
      </c>
      <c r="J9545" s="2" t="s">
        <v>62</v>
      </c>
      <c r="K9545" t="s">
        <v>42</v>
      </c>
      <c r="Q9545">
        <v>23050</v>
      </c>
      <c r="R9545" t="s">
        <v>119</v>
      </c>
      <c r="S9545" t="s">
        <v>24265</v>
      </c>
      <c r="T9545">
        <v>25</v>
      </c>
      <c r="U9545" s="2" t="s">
        <v>57120</v>
      </c>
      <c r="V9545" s="1">
        <v>44942</v>
      </c>
      <c r="W9545" t="s">
        <v>84</v>
      </c>
      <c r="X9545">
        <v>831626</v>
      </c>
      <c r="Y9545" s="2" t="s">
        <v>3044</v>
      </c>
      <c r="Z9545" s="2" t="s">
        <v>47457</v>
      </c>
      <c r="AA9545" t="s">
        <v>3045</v>
      </c>
      <c r="AB9545" t="s">
        <v>57126</v>
      </c>
      <c r="AD9545" t="s">
        <v>11518</v>
      </c>
      <c r="AE9545" t="s">
        <v>57127</v>
      </c>
      <c r="AF9545" t="s">
        <v>1943</v>
      </c>
      <c r="AG9545" t="s">
        <v>57128</v>
      </c>
      <c r="AH9545" t="s">
        <v>57124</v>
      </c>
      <c r="AI9545" t="s">
        <v>57129</v>
      </c>
    </row>
    <row r="9546" spans="2:35" ht="180">
      <c r="B9546" s="1">
        <v>44949</v>
      </c>
      <c r="C9546" s="4">
        <v>44943.379166666666</v>
      </c>
      <c r="D9546" t="s">
        <v>524</v>
      </c>
      <c r="E9546" t="s">
        <v>57130</v>
      </c>
      <c r="F9546" t="s">
        <v>148</v>
      </c>
      <c r="G9546" t="s">
        <v>371</v>
      </c>
      <c r="H9546" t="s">
        <v>39</v>
      </c>
      <c r="I9546" t="s">
        <v>40</v>
      </c>
      <c r="J9546" s="2" t="s">
        <v>62</v>
      </c>
      <c r="K9546" t="s">
        <v>42</v>
      </c>
      <c r="Q9546">
        <v>23053</v>
      </c>
      <c r="R9546" t="s">
        <v>119</v>
      </c>
      <c r="S9546" t="s">
        <v>526</v>
      </c>
      <c r="T9546">
        <v>25</v>
      </c>
      <c r="U9546" s="2" t="s">
        <v>57131</v>
      </c>
      <c r="V9546" s="1">
        <v>44942</v>
      </c>
      <c r="W9546" t="s">
        <v>84</v>
      </c>
      <c r="X9546">
        <v>831892</v>
      </c>
      <c r="Y9546" s="2" t="s">
        <v>23659</v>
      </c>
      <c r="Z9546" s="2" t="s">
        <v>57132</v>
      </c>
      <c r="AA9546" t="s">
        <v>3045</v>
      </c>
      <c r="AB9546" t="s">
        <v>57133</v>
      </c>
      <c r="AD9546" t="s">
        <v>5056</v>
      </c>
      <c r="AE9546" t="s">
        <v>57134</v>
      </c>
      <c r="AF9546" t="s">
        <v>1943</v>
      </c>
      <c r="AG9546" t="s">
        <v>57135</v>
      </c>
      <c r="AH9546" t="s">
        <v>4061</v>
      </c>
      <c r="AI9546" t="s">
        <v>57136</v>
      </c>
    </row>
    <row r="9547" spans="2:35" ht="195">
      <c r="B9547" s="1">
        <v>44949</v>
      </c>
      <c r="C9547" s="4">
        <v>44944.442361111112</v>
      </c>
      <c r="D9547" t="s">
        <v>1941</v>
      </c>
      <c r="E9547" t="s">
        <v>1942</v>
      </c>
      <c r="F9547" t="s">
        <v>148</v>
      </c>
      <c r="G9547" t="s">
        <v>310</v>
      </c>
      <c r="H9547" t="s">
        <v>39</v>
      </c>
      <c r="I9547" t="s">
        <v>40</v>
      </c>
      <c r="J9547" s="2" t="s">
        <v>62</v>
      </c>
      <c r="K9547" t="s">
        <v>42</v>
      </c>
      <c r="Q9547">
        <v>23052</v>
      </c>
      <c r="R9547" t="s">
        <v>45</v>
      </c>
      <c r="S9547" t="s">
        <v>23643</v>
      </c>
      <c r="T9547">
        <v>25</v>
      </c>
      <c r="U9547" s="2" t="s">
        <v>57137</v>
      </c>
      <c r="V9547" s="1">
        <v>44944</v>
      </c>
      <c r="W9547" t="s">
        <v>84</v>
      </c>
      <c r="X9547">
        <v>805060</v>
      </c>
      <c r="Y9547" s="2" t="s">
        <v>3044</v>
      </c>
      <c r="Z9547" s="2" t="s">
        <v>47457</v>
      </c>
      <c r="AA9547" t="s">
        <v>3045</v>
      </c>
      <c r="AB9547" t="s">
        <v>57138</v>
      </c>
      <c r="AD9547" t="s">
        <v>54729</v>
      </c>
      <c r="AE9547" t="s">
        <v>1716</v>
      </c>
      <c r="AF9547" t="s">
        <v>1943</v>
      </c>
      <c r="AG9547" t="s">
        <v>57139</v>
      </c>
      <c r="AH9547" t="s">
        <v>57140</v>
      </c>
      <c r="AI9547" t="s">
        <v>57141</v>
      </c>
    </row>
    <row r="9548" spans="2:35" ht="180">
      <c r="B9548" s="1">
        <v>44949</v>
      </c>
      <c r="C9548" s="4">
        <v>44938.65</v>
      </c>
      <c r="D9548" t="s">
        <v>1731</v>
      </c>
      <c r="E9548" t="s">
        <v>32468</v>
      </c>
      <c r="F9548" t="s">
        <v>148</v>
      </c>
      <c r="G9548" t="s">
        <v>371</v>
      </c>
      <c r="H9548" t="s">
        <v>39</v>
      </c>
      <c r="I9548" t="s">
        <v>40</v>
      </c>
      <c r="J9548" t="s">
        <v>109</v>
      </c>
      <c r="K9548" t="s">
        <v>42</v>
      </c>
      <c r="Q9548">
        <v>23048</v>
      </c>
      <c r="R9548" t="s">
        <v>45</v>
      </c>
      <c r="S9548" t="s">
        <v>32469</v>
      </c>
      <c r="T9548">
        <v>25</v>
      </c>
      <c r="U9548" s="2" t="s">
        <v>57142</v>
      </c>
      <c r="W9548" t="s">
        <v>84</v>
      </c>
      <c r="X9548">
        <v>838873</v>
      </c>
      <c r="Y9548" t="s">
        <v>374</v>
      </c>
      <c r="Z9548" t="s">
        <v>122</v>
      </c>
      <c r="AA9548" t="e">
        <f ca="1">- checked _xludf.and cleaned cartridge bay, plunger rod, I CORE slot, _xludf.filter
- generated reports
- performed functionality test</f>
        <v>#NAME?</v>
      </c>
      <c r="AB9548" t="s">
        <v>57143</v>
      </c>
      <c r="AF9548" t="s">
        <v>175</v>
      </c>
      <c r="AG9548" t="s">
        <v>57144</v>
      </c>
      <c r="AH9548" t="s">
        <v>57145</v>
      </c>
      <c r="AI9548" t="s">
        <v>57146</v>
      </c>
    </row>
    <row r="9549" spans="2:35" ht="240">
      <c r="B9549" s="1">
        <v>44949</v>
      </c>
      <c r="C9549" s="4">
        <v>44945.508333333331</v>
      </c>
      <c r="D9549" t="s">
        <v>25952</v>
      </c>
      <c r="E9549" t="s">
        <v>57147</v>
      </c>
      <c r="F9549" t="s">
        <v>148</v>
      </c>
      <c r="G9549" t="s">
        <v>447</v>
      </c>
      <c r="H9549" t="s">
        <v>39</v>
      </c>
      <c r="I9549" t="s">
        <v>40</v>
      </c>
      <c r="J9549" t="s">
        <v>525</v>
      </c>
      <c r="K9549" t="s">
        <v>42</v>
      </c>
      <c r="Q9549">
        <v>23047</v>
      </c>
      <c r="R9549" t="s">
        <v>119</v>
      </c>
      <c r="S9549" t="s">
        <v>25954</v>
      </c>
      <c r="T9549">
        <v>28</v>
      </c>
      <c r="U9549" s="2" t="s">
        <v>57148</v>
      </c>
      <c r="W9549" t="s">
        <v>84</v>
      </c>
      <c r="X9549">
        <v>831612</v>
      </c>
      <c r="Y9549" t="s">
        <v>57149</v>
      </c>
      <c r="Z9549" t="s">
        <v>999</v>
      </c>
      <c r="AA9549" t="e">
        <f ca="1">- checked system _xludf.Log
- performed XpertCheck on A1, A2, A3
- generated reports
- performed functionality test</f>
        <v>#NAME?</v>
      </c>
      <c r="AB9549" t="s">
        <v>57150</v>
      </c>
      <c r="AC9549" t="s">
        <v>57151</v>
      </c>
      <c r="AF9549" t="s">
        <v>175</v>
      </c>
      <c r="AG9549" t="s">
        <v>57152</v>
      </c>
      <c r="AH9549" t="s">
        <v>39272</v>
      </c>
      <c r="AI9549" t="s">
        <v>57153</v>
      </c>
    </row>
    <row r="9550" spans="2:35" ht="405">
      <c r="B9550" s="1">
        <v>44949</v>
      </c>
      <c r="C9550" s="4">
        <v>44944.54583333333</v>
      </c>
      <c r="D9550" t="s">
        <v>57154</v>
      </c>
      <c r="E9550" t="s">
        <v>2817</v>
      </c>
      <c r="F9550" t="s">
        <v>148</v>
      </c>
      <c r="G9550" t="s">
        <v>371</v>
      </c>
      <c r="H9550" t="s">
        <v>6955</v>
      </c>
      <c r="I9550" t="s">
        <v>40</v>
      </c>
      <c r="J9550" t="s">
        <v>321</v>
      </c>
      <c r="K9550" t="s">
        <v>42</v>
      </c>
      <c r="Q9550">
        <v>23044</v>
      </c>
      <c r="R9550" t="s">
        <v>95</v>
      </c>
      <c r="S9550" t="s">
        <v>5518</v>
      </c>
      <c r="T9550">
        <v>25</v>
      </c>
      <c r="U9550" s="2" t="s">
        <v>24107</v>
      </c>
      <c r="W9550" t="s">
        <v>84</v>
      </c>
      <c r="X9550">
        <v>110018008</v>
      </c>
      <c r="Y9550" t="s">
        <v>586</v>
      </c>
      <c r="Z9550" t="s">
        <v>587</v>
      </c>
      <c r="AA9550" s="2" t="s">
        <v>57155</v>
      </c>
      <c r="AB9550" t="s">
        <v>88</v>
      </c>
      <c r="AF9550" t="s">
        <v>175</v>
      </c>
      <c r="AG9550" t="s">
        <v>57156</v>
      </c>
      <c r="AH9550" t="s">
        <v>57157</v>
      </c>
      <c r="AI9550" t="s">
        <v>57158</v>
      </c>
    </row>
    <row r="9551" spans="2:35" ht="285">
      <c r="B9551" s="1">
        <v>44949</v>
      </c>
      <c r="C9551" s="4">
        <v>44944.59097222222</v>
      </c>
      <c r="D9551" t="s">
        <v>57159</v>
      </c>
      <c r="E9551" t="s">
        <v>57160</v>
      </c>
      <c r="F9551" t="s">
        <v>148</v>
      </c>
      <c r="G9551" t="s">
        <v>310</v>
      </c>
      <c r="H9551" t="s">
        <v>39</v>
      </c>
      <c r="I9551" t="s">
        <v>40</v>
      </c>
      <c r="J9551" s="2" t="s">
        <v>62</v>
      </c>
      <c r="K9551" t="s">
        <v>42</v>
      </c>
      <c r="Q9551">
        <v>23046</v>
      </c>
      <c r="R9551" t="s">
        <v>45</v>
      </c>
      <c r="S9551" t="s">
        <v>22766</v>
      </c>
      <c r="T9551">
        <v>25</v>
      </c>
      <c r="U9551" s="2" t="s">
        <v>57161</v>
      </c>
      <c r="W9551" t="s">
        <v>84</v>
      </c>
      <c r="X9551">
        <v>804715</v>
      </c>
      <c r="Y9551" t="s">
        <v>998</v>
      </c>
      <c r="Z9551" t="s">
        <v>5230</v>
      </c>
      <c r="AA9551" t="e">
        <f ca="1">- checked &amp; cleaned cartridge bay, plunger rod, icore slot, _xludf.filter
- performed XpertCheck
- generated reports
- performed functionality test</f>
        <v>#NAME?</v>
      </c>
      <c r="AB9551" t="s">
        <v>56426</v>
      </c>
      <c r="AF9551" t="s">
        <v>175</v>
      </c>
      <c r="AG9551" t="s">
        <v>57162</v>
      </c>
      <c r="AH9551" t="s">
        <v>22771</v>
      </c>
      <c r="AI9551" t="s">
        <v>57163</v>
      </c>
    </row>
    <row r="9552" spans="2:35" ht="180">
      <c r="B9552" s="1">
        <v>44949</v>
      </c>
      <c r="C9552" s="4">
        <v>44946.404166666667</v>
      </c>
      <c r="D9552" t="s">
        <v>57164</v>
      </c>
      <c r="E9552" t="s">
        <v>229</v>
      </c>
      <c r="F9552" t="s">
        <v>148</v>
      </c>
      <c r="G9552" t="s">
        <v>230</v>
      </c>
      <c r="H9552" t="s">
        <v>39</v>
      </c>
      <c r="I9552" t="s">
        <v>40</v>
      </c>
      <c r="J9552" s="2" t="s">
        <v>190</v>
      </c>
      <c r="K9552" t="s">
        <v>42</v>
      </c>
      <c r="Q9552">
        <v>23045</v>
      </c>
      <c r="R9552" t="s">
        <v>703</v>
      </c>
      <c r="S9552" t="s">
        <v>14741</v>
      </c>
      <c r="T9552">
        <v>28</v>
      </c>
      <c r="U9552" s="2" t="s">
        <v>57165</v>
      </c>
      <c r="W9552" t="s">
        <v>84</v>
      </c>
      <c r="X9552">
        <v>835600</v>
      </c>
      <c r="Y9552" t="s">
        <v>374</v>
      </c>
      <c r="Z9552" t="s">
        <v>122</v>
      </c>
      <c r="AA9552" t="e">
        <f ca="1">- checked &amp; cleaned cartridge bay, plunger rod, _xludf.filter
- generated reports
- generated ARCHIVE _xludf.files
- checked system _xludf.Log
- performed reliability test on module B3 (passed)
- performed functionality test</f>
        <v>#NAME?</v>
      </c>
      <c r="AB9552" t="s">
        <v>57166</v>
      </c>
      <c r="AC9552" t="s">
        <v>57167</v>
      </c>
      <c r="AF9552" t="s">
        <v>175</v>
      </c>
      <c r="AG9552" t="s">
        <v>57168</v>
      </c>
      <c r="AH9552" t="s">
        <v>14746</v>
      </c>
      <c r="AI9552" t="s">
        <v>57169</v>
      </c>
    </row>
    <row r="9553" spans="2:35" ht="90">
      <c r="B9553" s="1">
        <v>44949</v>
      </c>
      <c r="C9553" s="4">
        <v>44949.417361111111</v>
      </c>
      <c r="D9553" t="s">
        <v>57170</v>
      </c>
      <c r="E9553" t="s">
        <v>6250</v>
      </c>
      <c r="F9553">
        <v>7</v>
      </c>
      <c r="G9553" t="s">
        <v>432</v>
      </c>
      <c r="H9553" t="s">
        <v>39</v>
      </c>
      <c r="I9553" t="s">
        <v>40</v>
      </c>
      <c r="J9553" t="s">
        <v>525</v>
      </c>
      <c r="K9553" t="s">
        <v>42</v>
      </c>
      <c r="L9553" t="s">
        <v>433</v>
      </c>
      <c r="Q9553">
        <v>23043</v>
      </c>
      <c r="R9553" t="s">
        <v>45</v>
      </c>
      <c r="S9553" t="s">
        <v>5548</v>
      </c>
      <c r="T9553">
        <v>28</v>
      </c>
      <c r="U9553" s="2" t="s">
        <v>57171</v>
      </c>
      <c r="W9553" t="s">
        <v>56988</v>
      </c>
      <c r="X9553">
        <v>808620</v>
      </c>
      <c r="Y9553" t="s">
        <v>57172</v>
      </c>
      <c r="Z9553" t="s">
        <v>57173</v>
      </c>
      <c r="AA9553" t="s">
        <v>1011</v>
      </c>
      <c r="AB9553" t="s">
        <v>32813</v>
      </c>
      <c r="AG9553" t="s">
        <v>57174</v>
      </c>
      <c r="AH9553" t="s">
        <v>23102</v>
      </c>
      <c r="AI9553" t="s">
        <v>57175</v>
      </c>
    </row>
    <row r="9554" spans="2:35" ht="180">
      <c r="B9554" s="1">
        <v>44949</v>
      </c>
      <c r="C9554" s="4">
        <v>44946.463194444441</v>
      </c>
      <c r="D9554" t="s">
        <v>985</v>
      </c>
      <c r="E9554" t="s">
        <v>57176</v>
      </c>
      <c r="F9554" t="s">
        <v>148</v>
      </c>
      <c r="G9554" t="s">
        <v>785</v>
      </c>
      <c r="H9554" t="s">
        <v>39</v>
      </c>
      <c r="I9554" t="s">
        <v>40</v>
      </c>
      <c r="J9554" s="2" t="s">
        <v>41</v>
      </c>
      <c r="K9554" t="s">
        <v>42</v>
      </c>
      <c r="L9554" t="s">
        <v>43</v>
      </c>
      <c r="Q9554">
        <v>23041</v>
      </c>
      <c r="R9554" t="s">
        <v>45</v>
      </c>
      <c r="S9554" t="s">
        <v>46451</v>
      </c>
      <c r="T9554">
        <v>23</v>
      </c>
      <c r="U9554" s="2" t="s">
        <v>57177</v>
      </c>
      <c r="V9554" s="1">
        <v>44942</v>
      </c>
      <c r="W9554" t="s">
        <v>9792</v>
      </c>
      <c r="X9554">
        <v>805010</v>
      </c>
      <c r="Y9554" t="s">
        <v>2034</v>
      </c>
      <c r="Z9554" t="s">
        <v>712</v>
      </c>
      <c r="AA9554" s="2" t="s">
        <v>30924</v>
      </c>
      <c r="AB9554" t="s">
        <v>7543</v>
      </c>
      <c r="AD9554" s="2" t="s">
        <v>57178</v>
      </c>
      <c r="AE9554" t="s">
        <v>57179</v>
      </c>
      <c r="AG9554" t="s">
        <v>57180</v>
      </c>
      <c r="AH9554" t="s">
        <v>57181</v>
      </c>
      <c r="AI9554" t="s">
        <v>57182</v>
      </c>
    </row>
    <row r="9555" spans="2:35" ht="225">
      <c r="B9555" s="1">
        <v>44949</v>
      </c>
      <c r="C9555" s="4">
        <v>44945.55972222222</v>
      </c>
      <c r="D9555" t="s">
        <v>30909</v>
      </c>
      <c r="E9555" t="s">
        <v>57183</v>
      </c>
      <c r="F9555" t="s">
        <v>37</v>
      </c>
      <c r="G9555" t="s">
        <v>78</v>
      </c>
      <c r="H9555" t="s">
        <v>39</v>
      </c>
      <c r="I9555" t="s">
        <v>40</v>
      </c>
      <c r="J9555" t="s">
        <v>109</v>
      </c>
      <c r="K9555" t="s">
        <v>42</v>
      </c>
      <c r="L9555" t="s">
        <v>43</v>
      </c>
      <c r="Q9555">
        <v>23040</v>
      </c>
      <c r="R9555" t="s">
        <v>45</v>
      </c>
      <c r="S9555" t="s">
        <v>30912</v>
      </c>
      <c r="T9555">
        <v>27</v>
      </c>
      <c r="U9555" s="2" t="s">
        <v>57184</v>
      </c>
      <c r="W9555" t="s">
        <v>9792</v>
      </c>
      <c r="X9555">
        <v>807661</v>
      </c>
      <c r="Y9555" t="s">
        <v>121</v>
      </c>
      <c r="Z9555" t="s">
        <v>122</v>
      </c>
      <c r="AA9555" s="2" t="s">
        <v>57185</v>
      </c>
      <c r="AB9555" t="s">
        <v>16412</v>
      </c>
      <c r="AG9555" t="s">
        <v>57186</v>
      </c>
      <c r="AH9555" t="s">
        <v>57187</v>
      </c>
      <c r="AI9555" t="s">
        <v>57188</v>
      </c>
    </row>
    <row r="9556" spans="2:35" ht="285">
      <c r="B9556" s="1">
        <v>44949</v>
      </c>
      <c r="C9556" s="4">
        <v>44946.640972222223</v>
      </c>
      <c r="D9556" t="s">
        <v>3030</v>
      </c>
      <c r="E9556" t="s">
        <v>33344</v>
      </c>
      <c r="F9556" t="s">
        <v>37</v>
      </c>
      <c r="G9556" t="s">
        <v>38</v>
      </c>
      <c r="H9556" t="s">
        <v>39</v>
      </c>
      <c r="I9556" t="s">
        <v>40</v>
      </c>
      <c r="J9556" t="s">
        <v>109</v>
      </c>
      <c r="K9556" t="s">
        <v>42</v>
      </c>
      <c r="L9556" t="s">
        <v>43</v>
      </c>
      <c r="Q9556">
        <v>23042</v>
      </c>
      <c r="R9556" t="s">
        <v>45</v>
      </c>
      <c r="S9556" t="s">
        <v>3032</v>
      </c>
      <c r="T9556">
        <v>25</v>
      </c>
      <c r="U9556" s="2" t="s">
        <v>57189</v>
      </c>
      <c r="W9556" t="s">
        <v>40863</v>
      </c>
      <c r="X9556">
        <v>842226</v>
      </c>
      <c r="Y9556" t="s">
        <v>121</v>
      </c>
      <c r="Z9556" t="s">
        <v>122</v>
      </c>
      <c r="AA9556" s="2" t="s">
        <v>57190</v>
      </c>
      <c r="AB9556" t="s">
        <v>16412</v>
      </c>
      <c r="AC9556" t="s">
        <v>57191</v>
      </c>
      <c r="AG9556" t="s">
        <v>57192</v>
      </c>
      <c r="AH9556" t="s">
        <v>3035</v>
      </c>
      <c r="AI9556" t="s">
        <v>57193</v>
      </c>
    </row>
    <row r="9557" spans="2:35" ht="240">
      <c r="B9557" s="1">
        <v>44949</v>
      </c>
      <c r="C9557" s="4">
        <v>44945.486111111109</v>
      </c>
      <c r="D9557" t="s">
        <v>25324</v>
      </c>
      <c r="E9557" t="s">
        <v>27738</v>
      </c>
      <c r="F9557" t="s">
        <v>37</v>
      </c>
      <c r="G9557" t="s">
        <v>78</v>
      </c>
      <c r="H9557" t="s">
        <v>39</v>
      </c>
      <c r="I9557" t="s">
        <v>40</v>
      </c>
      <c r="J9557" s="2" t="s">
        <v>1157</v>
      </c>
      <c r="K9557" t="s">
        <v>42</v>
      </c>
      <c r="L9557" t="s">
        <v>43</v>
      </c>
      <c r="Q9557">
        <v>23038</v>
      </c>
      <c r="R9557" t="s">
        <v>119</v>
      </c>
      <c r="S9557" t="s">
        <v>27739</v>
      </c>
      <c r="T9557">
        <v>26</v>
      </c>
      <c r="U9557" s="2" t="s">
        <v>57194</v>
      </c>
      <c r="V9557" s="1">
        <v>44833</v>
      </c>
      <c r="W9557" t="s">
        <v>9792</v>
      </c>
      <c r="X9557">
        <v>821292</v>
      </c>
      <c r="Y9557" t="s">
        <v>57195</v>
      </c>
      <c r="Z9557" s="2" t="s">
        <v>57196</v>
      </c>
      <c r="AA9557" s="2" t="s">
        <v>57197</v>
      </c>
      <c r="AB9557" t="s">
        <v>57198</v>
      </c>
      <c r="AC9557" t="s">
        <v>57199</v>
      </c>
      <c r="AD9557" t="s">
        <v>39229</v>
      </c>
      <c r="AE9557" t="s">
        <v>57200</v>
      </c>
      <c r="AG9557" t="s">
        <v>57201</v>
      </c>
      <c r="AH9557" t="s">
        <v>57202</v>
      </c>
      <c r="AI9557" t="s">
        <v>57203</v>
      </c>
    </row>
    <row r="9558" spans="2:35" ht="180">
      <c r="B9558" s="1">
        <v>44949</v>
      </c>
      <c r="C9558" s="4">
        <v>44946.636805555558</v>
      </c>
      <c r="D9558" t="s">
        <v>3030</v>
      </c>
      <c r="E9558" t="s">
        <v>57204</v>
      </c>
      <c r="F9558" t="s">
        <v>37</v>
      </c>
      <c r="G9558" t="s">
        <v>38</v>
      </c>
      <c r="H9558" t="s">
        <v>39</v>
      </c>
      <c r="I9558" t="s">
        <v>40</v>
      </c>
      <c r="J9558" s="2" t="s">
        <v>41</v>
      </c>
      <c r="K9558" t="s">
        <v>42</v>
      </c>
      <c r="L9558" t="s">
        <v>43</v>
      </c>
      <c r="Q9558">
        <v>23039</v>
      </c>
      <c r="R9558" t="s">
        <v>45</v>
      </c>
      <c r="S9558" t="s">
        <v>3032</v>
      </c>
      <c r="T9558">
        <v>25</v>
      </c>
      <c r="U9558" s="2" t="s">
        <v>55945</v>
      </c>
      <c r="V9558" s="1">
        <v>44942</v>
      </c>
      <c r="W9558" t="s">
        <v>9792</v>
      </c>
      <c r="X9558">
        <v>808629</v>
      </c>
      <c r="Y9558" t="s">
        <v>57205</v>
      </c>
      <c r="Z9558" t="s">
        <v>51700</v>
      </c>
      <c r="AA9558" s="2" t="s">
        <v>57206</v>
      </c>
      <c r="AB9558" t="s">
        <v>57207</v>
      </c>
      <c r="AC9558" t="s">
        <v>57208</v>
      </c>
      <c r="AD9558" s="2" t="s">
        <v>57209</v>
      </c>
      <c r="AE9558" t="s">
        <v>57210</v>
      </c>
      <c r="AG9558" t="s">
        <v>57211</v>
      </c>
      <c r="AH9558" t="s">
        <v>3035</v>
      </c>
      <c r="AI9558" t="s">
        <v>57212</v>
      </c>
    </row>
    <row r="9559" spans="2:35">
      <c r="B9559" s="1">
        <v>44948</v>
      </c>
      <c r="C9559" s="4">
        <v>44948.920138888891</v>
      </c>
      <c r="D9559" t="s">
        <v>6044</v>
      </c>
      <c r="E9559" t="s">
        <v>57213</v>
      </c>
      <c r="F9559">
        <v>7</v>
      </c>
      <c r="G9559" t="s">
        <v>432</v>
      </c>
      <c r="H9559" t="s">
        <v>386</v>
      </c>
      <c r="I9559" t="s">
        <v>94</v>
      </c>
      <c r="J9559" t="s">
        <v>79</v>
      </c>
      <c r="K9559" t="s">
        <v>387</v>
      </c>
      <c r="L9559" t="s">
        <v>610</v>
      </c>
      <c r="Q9559">
        <v>23037</v>
      </c>
      <c r="R9559" t="s">
        <v>95</v>
      </c>
      <c r="S9559" t="s">
        <v>6039</v>
      </c>
      <c r="T9559">
        <v>24</v>
      </c>
      <c r="V9559" s="1">
        <v>44948</v>
      </c>
      <c r="W9559" t="s">
        <v>390</v>
      </c>
      <c r="X9559" t="s">
        <v>6040</v>
      </c>
      <c r="Y9559" t="s">
        <v>57214</v>
      </c>
      <c r="Z9559" t="s">
        <v>57215</v>
      </c>
      <c r="AA9559" t="s">
        <v>57216</v>
      </c>
      <c r="AB9559" t="s">
        <v>486</v>
      </c>
      <c r="AC9559" t="s">
        <v>103</v>
      </c>
      <c r="AD9559" t="s">
        <v>57217</v>
      </c>
      <c r="AE9559" t="s">
        <v>103</v>
      </c>
      <c r="AG9559" t="s">
        <v>57218</v>
      </c>
      <c r="AH9559" t="s">
        <v>57219</v>
      </c>
      <c r="AI9559" t="s">
        <v>57220</v>
      </c>
    </row>
    <row r="9560" spans="2:35" ht="240">
      <c r="B9560" s="1">
        <v>44946</v>
      </c>
      <c r="C9560" s="4">
        <v>44946.646527777775</v>
      </c>
      <c r="D9560" t="s">
        <v>57221</v>
      </c>
      <c r="E9560" t="s">
        <v>2689</v>
      </c>
      <c r="F9560">
        <v>2</v>
      </c>
      <c r="G9560" t="s">
        <v>2668</v>
      </c>
      <c r="H9560" t="s">
        <v>39</v>
      </c>
      <c r="I9560" t="s">
        <v>40</v>
      </c>
      <c r="J9560" s="2" t="s">
        <v>41</v>
      </c>
      <c r="K9560" t="s">
        <v>42</v>
      </c>
      <c r="L9560" t="s">
        <v>63</v>
      </c>
      <c r="Q9560">
        <v>23036</v>
      </c>
      <c r="R9560" t="s">
        <v>45</v>
      </c>
      <c r="S9560" t="s">
        <v>57222</v>
      </c>
      <c r="T9560">
        <v>28</v>
      </c>
      <c r="U9560" s="2" t="s">
        <v>57223</v>
      </c>
      <c r="V9560" s="1">
        <v>44945</v>
      </c>
      <c r="W9560" t="s">
        <v>26915</v>
      </c>
      <c r="X9560">
        <v>833385</v>
      </c>
      <c r="Y9560" t="s">
        <v>57224</v>
      </c>
      <c r="Z9560" t="s">
        <v>57225</v>
      </c>
      <c r="AA9560" s="2" t="s">
        <v>57226</v>
      </c>
      <c r="AB9560" t="s">
        <v>70</v>
      </c>
      <c r="AC9560" t="s">
        <v>11378</v>
      </c>
      <c r="AD9560" t="s">
        <v>57227</v>
      </c>
      <c r="AE9560" t="s">
        <v>1716</v>
      </c>
      <c r="AG9560" t="s">
        <v>57228</v>
      </c>
      <c r="AH9560" t="s">
        <v>57229</v>
      </c>
      <c r="AI9560" t="s">
        <v>57230</v>
      </c>
    </row>
    <row r="9561" spans="2:35" ht="165">
      <c r="B9561" s="1">
        <v>44946</v>
      </c>
      <c r="C9561" s="4">
        <v>44946.365972222222</v>
      </c>
      <c r="D9561" t="s">
        <v>2773</v>
      </c>
      <c r="E9561" t="s">
        <v>2774</v>
      </c>
      <c r="F9561">
        <v>2</v>
      </c>
      <c r="G9561" t="s">
        <v>2723</v>
      </c>
      <c r="H9561" t="s">
        <v>61</v>
      </c>
      <c r="I9561" t="s">
        <v>40</v>
      </c>
      <c r="J9561" t="s">
        <v>109</v>
      </c>
      <c r="K9561" t="s">
        <v>42</v>
      </c>
      <c r="L9561" t="s">
        <v>63</v>
      </c>
      <c r="Q9561">
        <v>23035</v>
      </c>
      <c r="R9561" t="s">
        <v>322</v>
      </c>
      <c r="S9561" t="s">
        <v>2775</v>
      </c>
      <c r="T9561">
        <v>28</v>
      </c>
      <c r="U9561" s="2" t="s">
        <v>57231</v>
      </c>
      <c r="V9561" s="1">
        <v>44946</v>
      </c>
      <c r="W9561" t="s">
        <v>26915</v>
      </c>
      <c r="X9561">
        <v>110008457</v>
      </c>
      <c r="Y9561" t="s">
        <v>1716</v>
      </c>
      <c r="Z9561" t="s">
        <v>1716</v>
      </c>
      <c r="AA9561" s="2" t="s">
        <v>1727</v>
      </c>
      <c r="AB9561" t="s">
        <v>70</v>
      </c>
      <c r="AC9561" t="s">
        <v>1716</v>
      </c>
      <c r="AD9561" t="s">
        <v>1716</v>
      </c>
      <c r="AE9561" t="s">
        <v>1716</v>
      </c>
      <c r="AG9561" t="s">
        <v>57232</v>
      </c>
      <c r="AH9561" t="s">
        <v>2779</v>
      </c>
      <c r="AI9561" t="s">
        <v>57233</v>
      </c>
    </row>
    <row r="9562" spans="2:35" ht="360">
      <c r="B9562" s="1">
        <v>44946</v>
      </c>
      <c r="C9562" s="4">
        <v>44946.388194444444</v>
      </c>
      <c r="D9562" t="s">
        <v>2773</v>
      </c>
      <c r="E9562" t="s">
        <v>2774</v>
      </c>
      <c r="F9562">
        <v>2</v>
      </c>
      <c r="G9562" t="s">
        <v>2723</v>
      </c>
      <c r="H9562" t="s">
        <v>39</v>
      </c>
      <c r="I9562" t="s">
        <v>40</v>
      </c>
      <c r="J9562" t="s">
        <v>109</v>
      </c>
      <c r="K9562" t="s">
        <v>42</v>
      </c>
      <c r="L9562" t="s">
        <v>63</v>
      </c>
      <c r="Q9562">
        <v>23034</v>
      </c>
      <c r="R9562" t="s">
        <v>119</v>
      </c>
      <c r="S9562" t="s">
        <v>2775</v>
      </c>
      <c r="T9562">
        <v>28</v>
      </c>
      <c r="U9562" s="2" t="s">
        <v>57234</v>
      </c>
      <c r="V9562" s="1">
        <v>44946</v>
      </c>
      <c r="W9562" t="s">
        <v>26915</v>
      </c>
      <c r="X9562">
        <v>831718</v>
      </c>
      <c r="Y9562" t="s">
        <v>1716</v>
      </c>
      <c r="Z9562" t="s">
        <v>1716</v>
      </c>
      <c r="AA9562" s="2" t="s">
        <v>1727</v>
      </c>
      <c r="AB9562" t="s">
        <v>70</v>
      </c>
      <c r="AC9562" t="s">
        <v>1716</v>
      </c>
      <c r="AD9562" t="s">
        <v>1716</v>
      </c>
      <c r="AE9562" t="s">
        <v>1716</v>
      </c>
      <c r="AG9562" t="s">
        <v>57235</v>
      </c>
      <c r="AH9562" t="s">
        <v>2779</v>
      </c>
      <c r="AI9562" t="s">
        <v>57236</v>
      </c>
    </row>
    <row r="9563" spans="2:35" ht="240">
      <c r="B9563" s="1">
        <v>44946</v>
      </c>
      <c r="C9563" s="4">
        <v>44946.640277777777</v>
      </c>
      <c r="D9563" t="s">
        <v>42736</v>
      </c>
      <c r="E9563" t="s">
        <v>15515</v>
      </c>
      <c r="F9563">
        <v>6</v>
      </c>
      <c r="G9563" t="s">
        <v>4457</v>
      </c>
      <c r="H9563" t="s">
        <v>6955</v>
      </c>
      <c r="I9563" t="s">
        <v>40</v>
      </c>
      <c r="J9563" s="2" t="s">
        <v>609</v>
      </c>
      <c r="K9563" t="s">
        <v>42</v>
      </c>
      <c r="L9563" t="s">
        <v>343</v>
      </c>
      <c r="Q9563">
        <v>23033</v>
      </c>
      <c r="R9563" t="s">
        <v>119</v>
      </c>
      <c r="S9563" t="s">
        <v>42737</v>
      </c>
      <c r="T9563">
        <v>27.22</v>
      </c>
      <c r="U9563" s="2" t="s">
        <v>57237</v>
      </c>
      <c r="V9563" s="1">
        <v>44946</v>
      </c>
      <c r="W9563" t="s">
        <v>6105</v>
      </c>
      <c r="X9563">
        <v>838457</v>
      </c>
      <c r="Y9563" t="s">
        <v>301</v>
      </c>
      <c r="Z9563" t="s">
        <v>301</v>
      </c>
      <c r="AA9563" s="2" t="s">
        <v>57238</v>
      </c>
      <c r="AB9563" t="s">
        <v>7886</v>
      </c>
      <c r="AC9563" t="s">
        <v>57239</v>
      </c>
      <c r="AD9563" t="s">
        <v>301</v>
      </c>
      <c r="AE9563" t="s">
        <v>301</v>
      </c>
      <c r="AG9563" t="s">
        <v>57240</v>
      </c>
      <c r="AH9563" t="s">
        <v>42742</v>
      </c>
      <c r="AI9563" t="s">
        <v>57241</v>
      </c>
    </row>
    <row r="9564" spans="2:35" ht="285">
      <c r="B9564" s="1">
        <v>44946</v>
      </c>
      <c r="C9564" s="4">
        <v>44946.59097222222</v>
      </c>
      <c r="D9564" t="s">
        <v>39417</v>
      </c>
      <c r="E9564" t="s">
        <v>57242</v>
      </c>
      <c r="F9564" t="s">
        <v>148</v>
      </c>
      <c r="G9564" t="s">
        <v>2007</v>
      </c>
      <c r="H9564" t="s">
        <v>258</v>
      </c>
      <c r="I9564" t="s">
        <v>40</v>
      </c>
      <c r="J9564" t="s">
        <v>109</v>
      </c>
      <c r="K9564" t="s">
        <v>42</v>
      </c>
      <c r="L9564" t="s">
        <v>55932</v>
      </c>
      <c r="Q9564">
        <v>23032</v>
      </c>
      <c r="R9564" t="s">
        <v>45</v>
      </c>
      <c r="S9564" t="s">
        <v>39921</v>
      </c>
      <c r="T9564">
        <v>26.4</v>
      </c>
      <c r="U9564" s="2" t="s">
        <v>57243</v>
      </c>
      <c r="W9564" t="s">
        <v>1139</v>
      </c>
      <c r="X9564">
        <v>807591</v>
      </c>
      <c r="Y9564" t="s">
        <v>33606</v>
      </c>
      <c r="Z9564" t="s">
        <v>3128</v>
      </c>
      <c r="AA9564" s="2" t="s">
        <v>57244</v>
      </c>
      <c r="AB9564" t="s">
        <v>70</v>
      </c>
      <c r="AG9564" t="s">
        <v>57245</v>
      </c>
      <c r="AH9564" t="s">
        <v>57246</v>
      </c>
      <c r="AI9564" t="s">
        <v>57247</v>
      </c>
    </row>
    <row r="9565" spans="2:35" ht="360">
      <c r="B9565" s="1">
        <v>44946</v>
      </c>
      <c r="C9565" s="4">
        <v>44946.579861111109</v>
      </c>
      <c r="D9565" t="s">
        <v>30612</v>
      </c>
      <c r="E9565" t="s">
        <v>57248</v>
      </c>
      <c r="F9565">
        <v>3</v>
      </c>
      <c r="G9565" t="s">
        <v>134</v>
      </c>
      <c r="H9565" t="s">
        <v>39</v>
      </c>
      <c r="I9565" t="s">
        <v>40</v>
      </c>
      <c r="J9565" s="2" t="s">
        <v>62</v>
      </c>
      <c r="K9565" t="s">
        <v>42</v>
      </c>
      <c r="L9565" t="s">
        <v>135</v>
      </c>
      <c r="Q9565">
        <v>23031</v>
      </c>
      <c r="R9565" t="s">
        <v>45</v>
      </c>
      <c r="S9565" t="s">
        <v>30614</v>
      </c>
      <c r="T9565">
        <v>29.5</v>
      </c>
      <c r="U9565" s="2" t="s">
        <v>57249</v>
      </c>
      <c r="V9565" s="1">
        <v>44935</v>
      </c>
      <c r="W9565" t="s">
        <v>2680</v>
      </c>
      <c r="X9565">
        <v>838895</v>
      </c>
      <c r="Y9565" t="s">
        <v>1751</v>
      </c>
      <c r="Z9565" s="2" t="s">
        <v>57250</v>
      </c>
      <c r="AA9565" t="s">
        <v>54639</v>
      </c>
      <c r="AB9565" t="s">
        <v>181</v>
      </c>
      <c r="AC9565" t="s">
        <v>57251</v>
      </c>
      <c r="AD9565" t="s">
        <v>57252</v>
      </c>
      <c r="AE9565">
        <v>38031</v>
      </c>
      <c r="AG9565" t="s">
        <v>57253</v>
      </c>
      <c r="AH9565" t="s">
        <v>57254</v>
      </c>
      <c r="AI9565" t="s">
        <v>57255</v>
      </c>
    </row>
    <row r="9566" spans="2:35" ht="409.5">
      <c r="B9566" s="1">
        <v>44946</v>
      </c>
      <c r="C9566" s="4">
        <v>44946.448611111111</v>
      </c>
      <c r="D9566" t="s">
        <v>38717</v>
      </c>
      <c r="E9566" t="s">
        <v>41822</v>
      </c>
      <c r="F9566" t="s">
        <v>148</v>
      </c>
      <c r="G9566" t="s">
        <v>447</v>
      </c>
      <c r="H9566" t="s">
        <v>662</v>
      </c>
      <c r="I9566" t="s">
        <v>40</v>
      </c>
      <c r="J9566" t="s">
        <v>525</v>
      </c>
      <c r="K9566" t="s">
        <v>42</v>
      </c>
      <c r="L9566" t="s">
        <v>448</v>
      </c>
      <c r="Q9566">
        <v>23030</v>
      </c>
      <c r="R9566" t="s">
        <v>322</v>
      </c>
      <c r="S9566" t="s">
        <v>5604</v>
      </c>
      <c r="T9566">
        <v>29</v>
      </c>
      <c r="U9566" s="2" t="s">
        <v>57256</v>
      </c>
      <c r="V9566" s="1">
        <v>44946</v>
      </c>
      <c r="W9566" t="s">
        <v>502</v>
      </c>
      <c r="X9566">
        <v>838524</v>
      </c>
      <c r="Y9566" t="s">
        <v>57257</v>
      </c>
      <c r="Z9566" t="s">
        <v>57258</v>
      </c>
      <c r="AA9566" t="s">
        <v>6992</v>
      </c>
      <c r="AB9566" t="s">
        <v>57259</v>
      </c>
      <c r="AD9566" t="s">
        <v>3628</v>
      </c>
      <c r="AE9566">
        <v>0</v>
      </c>
      <c r="AG9566" t="s">
        <v>57260</v>
      </c>
      <c r="AH9566" t="s">
        <v>57261</v>
      </c>
      <c r="AI9566" t="s">
        <v>57262</v>
      </c>
    </row>
    <row r="9567" spans="2:35">
      <c r="B9567" s="1">
        <v>44946</v>
      </c>
      <c r="C9567" s="4">
        <v>44946.541666666664</v>
      </c>
      <c r="D9567" t="s">
        <v>6044</v>
      </c>
      <c r="E9567" t="s">
        <v>46689</v>
      </c>
      <c r="F9567">
        <v>7</v>
      </c>
      <c r="G9567" t="s">
        <v>432</v>
      </c>
      <c r="H9567" t="s">
        <v>57263</v>
      </c>
      <c r="I9567" t="s">
        <v>94</v>
      </c>
      <c r="J9567" t="s">
        <v>79</v>
      </c>
      <c r="K9567" t="s">
        <v>387</v>
      </c>
      <c r="L9567" t="s">
        <v>610</v>
      </c>
      <c r="Q9567">
        <v>23029</v>
      </c>
      <c r="R9567" t="s">
        <v>95</v>
      </c>
      <c r="S9567" t="s">
        <v>6039</v>
      </c>
      <c r="T9567">
        <v>20</v>
      </c>
      <c r="V9567" s="1">
        <v>44946</v>
      </c>
      <c r="W9567" t="s">
        <v>390</v>
      </c>
      <c r="X9567" t="s">
        <v>6040</v>
      </c>
      <c r="Y9567" t="s">
        <v>57264</v>
      </c>
      <c r="Z9567" t="s">
        <v>57265</v>
      </c>
      <c r="AA9567" t="s">
        <v>57266</v>
      </c>
      <c r="AB9567" t="s">
        <v>57267</v>
      </c>
      <c r="AD9567" t="s">
        <v>57268</v>
      </c>
      <c r="AE9567" t="s">
        <v>57269</v>
      </c>
      <c r="AG9567" t="s">
        <v>57270</v>
      </c>
      <c r="AH9567" t="s">
        <v>27066</v>
      </c>
      <c r="AI9567" t="s">
        <v>57271</v>
      </c>
    </row>
    <row r="9568" spans="2:35" ht="360">
      <c r="B9568" s="1">
        <v>44946</v>
      </c>
      <c r="C9568" s="4">
        <v>44946.388194444444</v>
      </c>
      <c r="D9568" t="s">
        <v>2773</v>
      </c>
      <c r="E9568" t="s">
        <v>2774</v>
      </c>
      <c r="F9568">
        <v>2</v>
      </c>
      <c r="G9568" t="s">
        <v>2723</v>
      </c>
      <c r="H9568" t="s">
        <v>39</v>
      </c>
      <c r="I9568" t="s">
        <v>40</v>
      </c>
      <c r="J9568" t="s">
        <v>109</v>
      </c>
      <c r="K9568" t="s">
        <v>42</v>
      </c>
      <c r="L9568" t="s">
        <v>63</v>
      </c>
      <c r="Q9568">
        <v>23028</v>
      </c>
      <c r="R9568" t="s">
        <v>119</v>
      </c>
      <c r="S9568" t="s">
        <v>2775</v>
      </c>
      <c r="T9568">
        <v>28</v>
      </c>
      <c r="U9568" s="2" t="s">
        <v>57234</v>
      </c>
      <c r="V9568" s="1">
        <v>44946</v>
      </c>
      <c r="W9568" t="s">
        <v>26915</v>
      </c>
      <c r="X9568">
        <v>831718</v>
      </c>
      <c r="Y9568" t="s">
        <v>1716</v>
      </c>
      <c r="Z9568" t="s">
        <v>1716</v>
      </c>
      <c r="AA9568" s="2" t="s">
        <v>1727</v>
      </c>
      <c r="AB9568" t="s">
        <v>70</v>
      </c>
      <c r="AC9568" t="s">
        <v>1716</v>
      </c>
      <c r="AD9568" t="s">
        <v>1716</v>
      </c>
      <c r="AE9568" t="s">
        <v>1716</v>
      </c>
      <c r="AG9568" t="s">
        <v>57272</v>
      </c>
      <c r="AH9568" t="s">
        <v>2779</v>
      </c>
      <c r="AI9568" t="s">
        <v>57273</v>
      </c>
    </row>
    <row r="9569" spans="2:35" ht="195">
      <c r="B9569" s="1">
        <v>44946</v>
      </c>
      <c r="C9569" s="4">
        <v>44944.561111111114</v>
      </c>
      <c r="D9569" t="s">
        <v>57274</v>
      </c>
      <c r="E9569" t="s">
        <v>57275</v>
      </c>
      <c r="F9569">
        <v>2</v>
      </c>
      <c r="G9569" t="s">
        <v>2723</v>
      </c>
      <c r="H9569" t="s">
        <v>386</v>
      </c>
      <c r="I9569" t="s">
        <v>40</v>
      </c>
      <c r="J9569" s="2" t="s">
        <v>1808</v>
      </c>
      <c r="K9569" t="s">
        <v>387</v>
      </c>
      <c r="L9569" t="s">
        <v>63</v>
      </c>
      <c r="Q9569">
        <v>23027</v>
      </c>
      <c r="R9569" t="s">
        <v>119</v>
      </c>
      <c r="S9569" t="s">
        <v>57276</v>
      </c>
      <c r="T9569">
        <v>27</v>
      </c>
      <c r="V9569" s="1">
        <v>44944</v>
      </c>
      <c r="W9569" t="s">
        <v>390</v>
      </c>
      <c r="X9569" t="s">
        <v>57277</v>
      </c>
      <c r="Y9569" t="s">
        <v>1716</v>
      </c>
      <c r="Z9569" t="s">
        <v>1716</v>
      </c>
      <c r="AA9569" s="2" t="s">
        <v>57278</v>
      </c>
      <c r="AB9569" t="s">
        <v>181</v>
      </c>
      <c r="AC9569" t="s">
        <v>1716</v>
      </c>
      <c r="AD9569" t="s">
        <v>1716</v>
      </c>
      <c r="AE9569" t="s">
        <v>1716</v>
      </c>
      <c r="AG9569" t="s">
        <v>57279</v>
      </c>
      <c r="AH9569" t="s">
        <v>57280</v>
      </c>
      <c r="AI9569" t="s">
        <v>57281</v>
      </c>
    </row>
    <row r="9570" spans="2:35" ht="105">
      <c r="B9570" s="1">
        <v>44946</v>
      </c>
      <c r="C9570" s="4">
        <v>44946.362500000003</v>
      </c>
      <c r="D9570" t="s">
        <v>23524</v>
      </c>
      <c r="E9570" t="s">
        <v>57282</v>
      </c>
      <c r="F9570">
        <v>10</v>
      </c>
      <c r="G9570" t="s">
        <v>8359</v>
      </c>
      <c r="H9570" t="s">
        <v>39</v>
      </c>
      <c r="I9570" t="s">
        <v>94</v>
      </c>
      <c r="J9570" t="s">
        <v>2129</v>
      </c>
      <c r="K9570" t="s">
        <v>42</v>
      </c>
      <c r="L9570" t="s">
        <v>43100</v>
      </c>
      <c r="Q9570">
        <v>23026</v>
      </c>
      <c r="R9570" t="s">
        <v>45</v>
      </c>
      <c r="S9570" t="s">
        <v>29907</v>
      </c>
      <c r="T9570">
        <v>28</v>
      </c>
      <c r="U9570" s="2" t="s">
        <v>7479</v>
      </c>
      <c r="W9570" t="s">
        <v>43102</v>
      </c>
      <c r="X9570">
        <v>807625</v>
      </c>
      <c r="Y9570" t="s">
        <v>57283</v>
      </c>
      <c r="Z9570" t="s">
        <v>2129</v>
      </c>
      <c r="AA9570" s="2" t="s">
        <v>57284</v>
      </c>
      <c r="AB9570" t="s">
        <v>486</v>
      </c>
      <c r="AG9570" t="s">
        <v>57285</v>
      </c>
      <c r="AH9570" t="s">
        <v>57286</v>
      </c>
      <c r="AI9570" t="s">
        <v>57287</v>
      </c>
    </row>
    <row r="9571" spans="2:35" ht="180">
      <c r="B9571" s="1">
        <v>44946</v>
      </c>
      <c r="C9571" s="4">
        <v>44946.388888888891</v>
      </c>
      <c r="D9571" t="s">
        <v>56935</v>
      </c>
      <c r="E9571" t="s">
        <v>57288</v>
      </c>
      <c r="F9571" t="s">
        <v>148</v>
      </c>
      <c r="G9571" t="s">
        <v>406</v>
      </c>
      <c r="H9571" t="s">
        <v>39</v>
      </c>
      <c r="I9571" t="s">
        <v>40</v>
      </c>
      <c r="J9571" t="s">
        <v>109</v>
      </c>
      <c r="K9571" t="s">
        <v>42</v>
      </c>
      <c r="L9571" t="s">
        <v>55932</v>
      </c>
      <c r="Q9571">
        <v>23025</v>
      </c>
      <c r="R9571" t="s">
        <v>45</v>
      </c>
      <c r="S9571" t="s">
        <v>57289</v>
      </c>
      <c r="T9571">
        <v>26.3</v>
      </c>
      <c r="U9571" s="2" t="s">
        <v>57290</v>
      </c>
      <c r="W9571" t="s">
        <v>1139</v>
      </c>
      <c r="X9571">
        <v>807452</v>
      </c>
      <c r="Y9571" t="s">
        <v>33606</v>
      </c>
      <c r="Z9571" t="s">
        <v>3128</v>
      </c>
      <c r="AA9571" s="2" t="s">
        <v>56640</v>
      </c>
      <c r="AB9571" t="s">
        <v>70</v>
      </c>
      <c r="AG9571" t="s">
        <v>57291</v>
      </c>
      <c r="AH9571" t="s">
        <v>57292</v>
      </c>
      <c r="AI9571" t="s">
        <v>57293</v>
      </c>
    </row>
    <row r="9572" spans="2:35" ht="255">
      <c r="B9572" s="1">
        <v>44946</v>
      </c>
      <c r="C9572" s="4">
        <v>44946.373611111114</v>
      </c>
      <c r="D9572" t="s">
        <v>5932</v>
      </c>
      <c r="E9572" t="s">
        <v>57294</v>
      </c>
      <c r="F9572">
        <v>11</v>
      </c>
      <c r="G9572" t="s">
        <v>2836</v>
      </c>
      <c r="H9572" t="s">
        <v>57295</v>
      </c>
      <c r="I9572" t="s">
        <v>40</v>
      </c>
      <c r="J9572" t="s">
        <v>109</v>
      </c>
      <c r="K9572" t="s">
        <v>42</v>
      </c>
      <c r="L9572" t="s">
        <v>204</v>
      </c>
      <c r="Q9572">
        <v>23024</v>
      </c>
      <c r="R9572" t="s">
        <v>119</v>
      </c>
      <c r="S9572" t="s">
        <v>57296</v>
      </c>
      <c r="T9572">
        <v>27.6</v>
      </c>
      <c r="U9572" s="2" t="s">
        <v>57297</v>
      </c>
      <c r="V9572" s="1">
        <v>44946</v>
      </c>
      <c r="W9572" t="s">
        <v>1292</v>
      </c>
      <c r="X9572">
        <v>838553</v>
      </c>
      <c r="Y9572" t="s">
        <v>1052</v>
      </c>
      <c r="Z9572" t="s">
        <v>2551</v>
      </c>
      <c r="AA9572" s="2" t="s">
        <v>9722</v>
      </c>
      <c r="AB9572" t="s">
        <v>9590</v>
      </c>
      <c r="AC9572" t="s">
        <v>57298</v>
      </c>
      <c r="AD9572" t="s">
        <v>54</v>
      </c>
      <c r="AE9572" t="s">
        <v>103</v>
      </c>
      <c r="AG9572" t="s">
        <v>57299</v>
      </c>
      <c r="AH9572" t="s">
        <v>57300</v>
      </c>
      <c r="AI9572" t="s">
        <v>57301</v>
      </c>
    </row>
    <row r="9573" spans="2:35" ht="90">
      <c r="B9573" s="1">
        <v>44946</v>
      </c>
      <c r="C9573" s="4">
        <v>44946.340277777781</v>
      </c>
      <c r="D9573" t="s">
        <v>20104</v>
      </c>
      <c r="E9573" t="s">
        <v>57302</v>
      </c>
      <c r="F9573">
        <v>7</v>
      </c>
      <c r="G9573" t="s">
        <v>432</v>
      </c>
      <c r="H9573" t="s">
        <v>44882</v>
      </c>
      <c r="I9573" t="s">
        <v>94</v>
      </c>
      <c r="J9573" s="2" t="s">
        <v>760</v>
      </c>
      <c r="K9573" t="s">
        <v>42</v>
      </c>
      <c r="L9573" t="s">
        <v>610</v>
      </c>
      <c r="Q9573">
        <v>23023</v>
      </c>
      <c r="R9573" t="s">
        <v>119</v>
      </c>
      <c r="S9573" t="s">
        <v>612</v>
      </c>
      <c r="T9573">
        <v>22</v>
      </c>
      <c r="U9573" s="2" t="s">
        <v>57303</v>
      </c>
      <c r="V9573" s="1">
        <v>44946</v>
      </c>
      <c r="W9573" t="s">
        <v>360</v>
      </c>
      <c r="X9573">
        <v>838559</v>
      </c>
      <c r="Y9573" t="s">
        <v>57304</v>
      </c>
      <c r="Z9573" t="s">
        <v>57305</v>
      </c>
      <c r="AA9573" t="s">
        <v>57306</v>
      </c>
      <c r="AB9573" t="s">
        <v>1263</v>
      </c>
      <c r="AD9573" t="s">
        <v>4448</v>
      </c>
      <c r="AE9573" t="s">
        <v>4448</v>
      </c>
      <c r="AG9573" t="s">
        <v>57307</v>
      </c>
      <c r="AH9573" t="s">
        <v>54414</v>
      </c>
      <c r="AI9573" t="s">
        <v>57308</v>
      </c>
    </row>
    <row r="9574" spans="2:35" ht="90">
      <c r="B9574" s="1">
        <v>44946</v>
      </c>
      <c r="C9574" s="4">
        <v>44946.340277777781</v>
      </c>
      <c r="D9574" t="s">
        <v>20104</v>
      </c>
      <c r="E9574" t="s">
        <v>57302</v>
      </c>
      <c r="F9574">
        <v>7</v>
      </c>
      <c r="G9574" t="s">
        <v>432</v>
      </c>
      <c r="H9574" t="s">
        <v>44882</v>
      </c>
      <c r="I9574" t="s">
        <v>94</v>
      </c>
      <c r="J9574" s="2" t="s">
        <v>760</v>
      </c>
      <c r="K9574" t="s">
        <v>42</v>
      </c>
      <c r="L9574" t="s">
        <v>610</v>
      </c>
      <c r="Q9574">
        <v>23022</v>
      </c>
      <c r="R9574" t="s">
        <v>119</v>
      </c>
      <c r="S9574" t="s">
        <v>612</v>
      </c>
      <c r="T9574">
        <v>22</v>
      </c>
      <c r="U9574" s="2" t="s">
        <v>57303</v>
      </c>
      <c r="V9574" s="1">
        <v>44946</v>
      </c>
      <c r="W9574" t="s">
        <v>360</v>
      </c>
      <c r="X9574">
        <v>838559</v>
      </c>
      <c r="Y9574" t="s">
        <v>57304</v>
      </c>
      <c r="Z9574" t="s">
        <v>57305</v>
      </c>
      <c r="AA9574" t="s">
        <v>57306</v>
      </c>
      <c r="AB9574" t="s">
        <v>1263</v>
      </c>
      <c r="AD9574" t="s">
        <v>4448</v>
      </c>
      <c r="AE9574" t="s">
        <v>4448</v>
      </c>
      <c r="AG9574" t="s">
        <v>57309</v>
      </c>
      <c r="AH9574" t="s">
        <v>54414</v>
      </c>
      <c r="AI9574" t="s">
        <v>57310</v>
      </c>
    </row>
    <row r="9575" spans="2:35" ht="375">
      <c r="B9575" s="1">
        <v>44945</v>
      </c>
      <c r="C9575" s="4">
        <v>44945.80972222222</v>
      </c>
      <c r="D9575" t="s">
        <v>2834</v>
      </c>
      <c r="E9575" t="s">
        <v>2835</v>
      </c>
      <c r="F9575">
        <v>11</v>
      </c>
      <c r="G9575" t="s">
        <v>2836</v>
      </c>
      <c r="H9575" t="s">
        <v>61</v>
      </c>
      <c r="I9575" t="s">
        <v>40</v>
      </c>
      <c r="J9575" t="s">
        <v>109</v>
      </c>
      <c r="K9575" t="s">
        <v>42</v>
      </c>
      <c r="L9575" t="s">
        <v>204</v>
      </c>
      <c r="Q9575">
        <v>23021</v>
      </c>
      <c r="R9575" t="s">
        <v>45</v>
      </c>
      <c r="S9575" t="s">
        <v>2837</v>
      </c>
      <c r="T9575">
        <v>25.9</v>
      </c>
      <c r="U9575" s="2" t="s">
        <v>57311</v>
      </c>
      <c r="V9575" s="1">
        <v>44945</v>
      </c>
      <c r="W9575" t="s">
        <v>1292</v>
      </c>
      <c r="X9575">
        <v>834440</v>
      </c>
      <c r="Y9575" t="s">
        <v>1052</v>
      </c>
      <c r="Z9575" t="s">
        <v>2551</v>
      </c>
      <c r="AA9575" s="2" t="s">
        <v>8775</v>
      </c>
      <c r="AB9575" t="s">
        <v>9590</v>
      </c>
      <c r="AC9575" t="s">
        <v>1716</v>
      </c>
      <c r="AD9575" t="s">
        <v>1716</v>
      </c>
      <c r="AE9575" t="s">
        <v>1716</v>
      </c>
      <c r="AG9575" t="s">
        <v>57312</v>
      </c>
      <c r="AH9575" t="s">
        <v>57313</v>
      </c>
      <c r="AI9575" t="s">
        <v>57314</v>
      </c>
    </row>
    <row r="9576" spans="2:35" ht="375">
      <c r="B9576" s="1">
        <v>44945</v>
      </c>
      <c r="C9576" s="4">
        <v>44945.80972222222</v>
      </c>
      <c r="D9576" t="s">
        <v>2834</v>
      </c>
      <c r="E9576" t="s">
        <v>2835</v>
      </c>
      <c r="F9576">
        <v>11</v>
      </c>
      <c r="G9576" t="s">
        <v>2836</v>
      </c>
      <c r="H9576" t="s">
        <v>61</v>
      </c>
      <c r="I9576" t="s">
        <v>40</v>
      </c>
      <c r="J9576" t="s">
        <v>109</v>
      </c>
      <c r="K9576" t="s">
        <v>42</v>
      </c>
      <c r="L9576" t="s">
        <v>204</v>
      </c>
      <c r="Q9576">
        <v>23020</v>
      </c>
      <c r="R9576" t="s">
        <v>45</v>
      </c>
      <c r="S9576" t="s">
        <v>2837</v>
      </c>
      <c r="T9576">
        <v>25.9</v>
      </c>
      <c r="U9576" s="2" t="s">
        <v>57311</v>
      </c>
      <c r="V9576" s="1">
        <v>44945</v>
      </c>
      <c r="W9576" t="s">
        <v>1292</v>
      </c>
      <c r="X9576">
        <v>834440</v>
      </c>
      <c r="Y9576" t="s">
        <v>1052</v>
      </c>
      <c r="Z9576" t="s">
        <v>2551</v>
      </c>
      <c r="AA9576" s="2" t="s">
        <v>8775</v>
      </c>
      <c r="AB9576" t="s">
        <v>9590</v>
      </c>
      <c r="AC9576" t="s">
        <v>1716</v>
      </c>
      <c r="AD9576" t="s">
        <v>1716</v>
      </c>
      <c r="AE9576" t="s">
        <v>1716</v>
      </c>
      <c r="AG9576" t="s">
        <v>57315</v>
      </c>
      <c r="AH9576" t="s">
        <v>57313</v>
      </c>
      <c r="AI9576" t="s">
        <v>57316</v>
      </c>
    </row>
    <row r="9577" spans="2:35" ht="375">
      <c r="B9577" s="1">
        <v>44945</v>
      </c>
      <c r="C9577" s="4">
        <v>44945.807638888888</v>
      </c>
      <c r="D9577" t="s">
        <v>2834</v>
      </c>
      <c r="E9577" t="s">
        <v>2835</v>
      </c>
      <c r="F9577">
        <v>11</v>
      </c>
      <c r="G9577" t="s">
        <v>2836</v>
      </c>
      <c r="H9577" t="s">
        <v>61</v>
      </c>
      <c r="I9577" t="s">
        <v>40</v>
      </c>
      <c r="J9577" t="s">
        <v>109</v>
      </c>
      <c r="K9577" t="s">
        <v>42</v>
      </c>
      <c r="L9577" t="s">
        <v>204</v>
      </c>
      <c r="Q9577">
        <v>23019</v>
      </c>
      <c r="R9577" t="s">
        <v>45</v>
      </c>
      <c r="S9577" t="s">
        <v>2837</v>
      </c>
      <c r="T9577">
        <v>25.9</v>
      </c>
      <c r="U9577" s="2" t="s">
        <v>57317</v>
      </c>
      <c r="V9577" s="1">
        <v>44945</v>
      </c>
      <c r="W9577" t="s">
        <v>1292</v>
      </c>
      <c r="X9577">
        <v>805063</v>
      </c>
      <c r="Y9577" t="s">
        <v>1052</v>
      </c>
      <c r="Z9577" t="s">
        <v>2551</v>
      </c>
      <c r="AA9577" s="2" t="s">
        <v>9722</v>
      </c>
      <c r="AB9577" t="s">
        <v>9590</v>
      </c>
      <c r="AC9577" t="s">
        <v>103</v>
      </c>
      <c r="AD9577" t="s">
        <v>103</v>
      </c>
      <c r="AE9577" t="s">
        <v>103</v>
      </c>
      <c r="AG9577" t="s">
        <v>57318</v>
      </c>
      <c r="AH9577" t="s">
        <v>57319</v>
      </c>
      <c r="AI9577" t="s">
        <v>57320</v>
      </c>
    </row>
    <row r="9578" spans="2:35" ht="375">
      <c r="B9578" s="1">
        <v>44945</v>
      </c>
      <c r="C9578" s="4">
        <v>44945.807638888888</v>
      </c>
      <c r="D9578" t="s">
        <v>2834</v>
      </c>
      <c r="E9578" t="s">
        <v>2835</v>
      </c>
      <c r="F9578">
        <v>11</v>
      </c>
      <c r="G9578" t="s">
        <v>2836</v>
      </c>
      <c r="H9578" t="s">
        <v>61</v>
      </c>
      <c r="I9578" t="s">
        <v>40</v>
      </c>
      <c r="J9578" t="s">
        <v>109</v>
      </c>
      <c r="K9578" t="s">
        <v>42</v>
      </c>
      <c r="L9578" t="s">
        <v>204</v>
      </c>
      <c r="Q9578">
        <v>23018</v>
      </c>
      <c r="R9578" t="s">
        <v>45</v>
      </c>
      <c r="S9578" t="s">
        <v>2837</v>
      </c>
      <c r="T9578">
        <v>25.9</v>
      </c>
      <c r="U9578" s="2" t="s">
        <v>57317</v>
      </c>
      <c r="V9578" s="1">
        <v>44945</v>
      </c>
      <c r="W9578" t="s">
        <v>1292</v>
      </c>
      <c r="X9578">
        <v>805063</v>
      </c>
      <c r="Y9578" t="s">
        <v>1052</v>
      </c>
      <c r="Z9578" t="s">
        <v>2551</v>
      </c>
      <c r="AA9578" s="2" t="s">
        <v>9722</v>
      </c>
      <c r="AB9578" t="s">
        <v>9590</v>
      </c>
      <c r="AC9578" t="s">
        <v>103</v>
      </c>
      <c r="AD9578" t="s">
        <v>103</v>
      </c>
      <c r="AE9578" t="s">
        <v>103</v>
      </c>
      <c r="AG9578" t="s">
        <v>57321</v>
      </c>
      <c r="AH9578" t="s">
        <v>57319</v>
      </c>
      <c r="AI9578" t="s">
        <v>57322</v>
      </c>
    </row>
    <row r="9579" spans="2:35" ht="409.5">
      <c r="B9579" s="1">
        <v>44945</v>
      </c>
      <c r="C9579" s="4">
        <v>44945.804861111108</v>
      </c>
      <c r="D9579" t="s">
        <v>2834</v>
      </c>
      <c r="E9579" t="s">
        <v>2835</v>
      </c>
      <c r="F9579">
        <v>11</v>
      </c>
      <c r="G9579" t="s">
        <v>2836</v>
      </c>
      <c r="H9579" t="s">
        <v>61</v>
      </c>
      <c r="I9579" t="s">
        <v>40</v>
      </c>
      <c r="J9579" t="s">
        <v>79</v>
      </c>
      <c r="K9579" t="s">
        <v>42</v>
      </c>
      <c r="L9579" t="s">
        <v>204</v>
      </c>
      <c r="Q9579">
        <v>23017</v>
      </c>
      <c r="R9579" t="s">
        <v>45</v>
      </c>
      <c r="S9579" t="s">
        <v>2837</v>
      </c>
      <c r="T9579">
        <v>25.9</v>
      </c>
      <c r="U9579" s="2" t="s">
        <v>57317</v>
      </c>
      <c r="V9579" s="1">
        <v>44945</v>
      </c>
      <c r="W9579" t="s">
        <v>23237</v>
      </c>
      <c r="X9579">
        <v>834626</v>
      </c>
      <c r="Y9579" s="2" t="s">
        <v>57323</v>
      </c>
      <c r="Z9579" t="s">
        <v>56972</v>
      </c>
      <c r="AA9579" s="2" t="s">
        <v>57324</v>
      </c>
      <c r="AB9579" t="s">
        <v>57325</v>
      </c>
      <c r="AC9579" t="s">
        <v>54</v>
      </c>
      <c r="AD9579" t="s">
        <v>10253</v>
      </c>
      <c r="AE9579" t="s">
        <v>103</v>
      </c>
      <c r="AG9579" t="s">
        <v>57326</v>
      </c>
      <c r="AH9579" t="s">
        <v>2844</v>
      </c>
      <c r="AI9579" t="s">
        <v>57327</v>
      </c>
    </row>
    <row r="9580" spans="2:35" ht="409.5">
      <c r="B9580" s="1">
        <v>44945</v>
      </c>
      <c r="C9580" s="4">
        <v>44945.804861111108</v>
      </c>
      <c r="D9580" t="s">
        <v>2834</v>
      </c>
      <c r="E9580" t="s">
        <v>2835</v>
      </c>
      <c r="F9580">
        <v>11</v>
      </c>
      <c r="G9580" t="s">
        <v>2836</v>
      </c>
      <c r="H9580" t="s">
        <v>61</v>
      </c>
      <c r="I9580" t="s">
        <v>40</v>
      </c>
      <c r="J9580" t="s">
        <v>79</v>
      </c>
      <c r="K9580" t="s">
        <v>42</v>
      </c>
      <c r="L9580" t="s">
        <v>204</v>
      </c>
      <c r="Q9580">
        <v>23016</v>
      </c>
      <c r="R9580" t="s">
        <v>45</v>
      </c>
      <c r="S9580" t="s">
        <v>2837</v>
      </c>
      <c r="T9580">
        <v>25.9</v>
      </c>
      <c r="U9580" s="2" t="s">
        <v>57317</v>
      </c>
      <c r="V9580" s="1">
        <v>44945</v>
      </c>
      <c r="W9580" t="s">
        <v>23237</v>
      </c>
      <c r="X9580">
        <v>834626</v>
      </c>
      <c r="Y9580" s="2" t="s">
        <v>57323</v>
      </c>
      <c r="Z9580" t="s">
        <v>56972</v>
      </c>
      <c r="AA9580" s="2" t="s">
        <v>57324</v>
      </c>
      <c r="AB9580" t="s">
        <v>57325</v>
      </c>
      <c r="AC9580" t="s">
        <v>54</v>
      </c>
      <c r="AD9580" t="s">
        <v>10253</v>
      </c>
      <c r="AE9580" t="s">
        <v>103</v>
      </c>
      <c r="AG9580" t="s">
        <v>57328</v>
      </c>
      <c r="AH9580" t="s">
        <v>2844</v>
      </c>
      <c r="AI9580" t="s">
        <v>57329</v>
      </c>
    </row>
    <row r="9581" spans="2:35" ht="60">
      <c r="B9581" s="1">
        <v>44945</v>
      </c>
      <c r="C9581" s="4">
        <v>44945.849305555559</v>
      </c>
      <c r="D9581" t="s">
        <v>2834</v>
      </c>
      <c r="E9581" t="s">
        <v>2835</v>
      </c>
      <c r="F9581">
        <v>11</v>
      </c>
      <c r="G9581" t="s">
        <v>2836</v>
      </c>
      <c r="H9581" t="s">
        <v>61</v>
      </c>
      <c r="I9581" t="s">
        <v>40</v>
      </c>
      <c r="J9581" t="s">
        <v>79</v>
      </c>
      <c r="K9581" t="s">
        <v>42</v>
      </c>
      <c r="L9581" t="s">
        <v>204</v>
      </c>
      <c r="Q9581">
        <v>23015</v>
      </c>
      <c r="R9581" t="s">
        <v>45</v>
      </c>
      <c r="S9581" t="s">
        <v>2837</v>
      </c>
      <c r="T9581">
        <v>26.5</v>
      </c>
      <c r="U9581" s="2" t="s">
        <v>33554</v>
      </c>
      <c r="V9581" s="1">
        <v>44945</v>
      </c>
      <c r="W9581" t="s">
        <v>16722</v>
      </c>
      <c r="X9581">
        <v>838756</v>
      </c>
      <c r="Y9581" t="s">
        <v>57330</v>
      </c>
      <c r="Z9581" t="s">
        <v>57331</v>
      </c>
      <c r="AA9581" t="s">
        <v>57331</v>
      </c>
      <c r="AB9581" t="s">
        <v>57332</v>
      </c>
      <c r="AC9581" t="s">
        <v>57333</v>
      </c>
      <c r="AD9581" t="s">
        <v>54</v>
      </c>
      <c r="AE9581" t="s">
        <v>1716</v>
      </c>
      <c r="AG9581" t="s">
        <v>57334</v>
      </c>
      <c r="AH9581" t="s">
        <v>2844</v>
      </c>
      <c r="AI9581" t="s">
        <v>57335</v>
      </c>
    </row>
    <row r="9582" spans="2:35" ht="60">
      <c r="B9582" s="1">
        <v>44945</v>
      </c>
      <c r="C9582" s="4">
        <v>44945.849305555559</v>
      </c>
      <c r="D9582" t="s">
        <v>2834</v>
      </c>
      <c r="E9582" t="s">
        <v>2835</v>
      </c>
      <c r="F9582">
        <v>11</v>
      </c>
      <c r="G9582" t="s">
        <v>2836</v>
      </c>
      <c r="H9582" t="s">
        <v>61</v>
      </c>
      <c r="I9582" t="s">
        <v>40</v>
      </c>
      <c r="J9582" t="s">
        <v>79</v>
      </c>
      <c r="K9582" t="s">
        <v>42</v>
      </c>
      <c r="L9582" t="s">
        <v>204</v>
      </c>
      <c r="Q9582">
        <v>23014</v>
      </c>
      <c r="R9582" t="s">
        <v>45</v>
      </c>
      <c r="S9582" t="s">
        <v>2837</v>
      </c>
      <c r="T9582">
        <v>26.5</v>
      </c>
      <c r="U9582" s="2" t="s">
        <v>33554</v>
      </c>
      <c r="V9582" s="1">
        <v>44945</v>
      </c>
      <c r="W9582" t="s">
        <v>16722</v>
      </c>
      <c r="X9582">
        <v>838756</v>
      </c>
      <c r="Y9582" t="s">
        <v>57330</v>
      </c>
      <c r="Z9582" t="s">
        <v>57331</v>
      </c>
      <c r="AA9582" t="s">
        <v>57331</v>
      </c>
      <c r="AB9582" t="s">
        <v>57332</v>
      </c>
      <c r="AC9582" t="s">
        <v>57333</v>
      </c>
      <c r="AD9582" t="s">
        <v>54</v>
      </c>
      <c r="AE9582" t="s">
        <v>1716</v>
      </c>
      <c r="AG9582" t="s">
        <v>57336</v>
      </c>
      <c r="AH9582" t="s">
        <v>2844</v>
      </c>
      <c r="AI9582" t="s">
        <v>57337</v>
      </c>
    </row>
    <row r="9583" spans="2:35" ht="255">
      <c r="B9583" s="1">
        <v>44945</v>
      </c>
      <c r="C9583" s="4">
        <v>44945.609027777777</v>
      </c>
      <c r="D9583" t="s">
        <v>53165</v>
      </c>
      <c r="E9583" t="s">
        <v>53166</v>
      </c>
      <c r="F9583" t="s">
        <v>148</v>
      </c>
      <c r="G9583" t="s">
        <v>310</v>
      </c>
      <c r="H9583" t="s">
        <v>39</v>
      </c>
      <c r="I9583" t="s">
        <v>40</v>
      </c>
      <c r="J9583" t="s">
        <v>109</v>
      </c>
      <c r="K9583" t="s">
        <v>42</v>
      </c>
      <c r="L9583" t="s">
        <v>448</v>
      </c>
      <c r="Q9583">
        <v>23013</v>
      </c>
      <c r="R9583" t="s">
        <v>119</v>
      </c>
      <c r="S9583" t="s">
        <v>43942</v>
      </c>
      <c r="T9583">
        <v>28</v>
      </c>
      <c r="U9583" s="2" t="s">
        <v>57338</v>
      </c>
      <c r="W9583" t="s">
        <v>502</v>
      </c>
      <c r="X9583">
        <v>831891</v>
      </c>
      <c r="Y9583" t="s">
        <v>57339</v>
      </c>
      <c r="Z9583" t="s">
        <v>57340</v>
      </c>
      <c r="AA9583" t="s">
        <v>6997</v>
      </c>
      <c r="AB9583" t="s">
        <v>486</v>
      </c>
      <c r="AG9583" t="s">
        <v>57341</v>
      </c>
      <c r="AH9583" t="s">
        <v>57342</v>
      </c>
      <c r="AI9583" t="s">
        <v>57343</v>
      </c>
    </row>
    <row r="9584" spans="2:35" ht="255">
      <c r="B9584" s="1">
        <v>44945</v>
      </c>
      <c r="C9584" s="4">
        <v>44945.609027777777</v>
      </c>
      <c r="D9584" t="s">
        <v>53165</v>
      </c>
      <c r="E9584" t="s">
        <v>53166</v>
      </c>
      <c r="F9584" t="s">
        <v>148</v>
      </c>
      <c r="G9584" t="s">
        <v>310</v>
      </c>
      <c r="H9584" t="s">
        <v>39</v>
      </c>
      <c r="I9584" t="s">
        <v>40</v>
      </c>
      <c r="J9584" t="s">
        <v>109</v>
      </c>
      <c r="K9584" t="s">
        <v>42</v>
      </c>
      <c r="L9584" t="s">
        <v>448</v>
      </c>
      <c r="Q9584">
        <v>23012</v>
      </c>
      <c r="R9584" t="s">
        <v>119</v>
      </c>
      <c r="S9584" t="s">
        <v>43942</v>
      </c>
      <c r="T9584">
        <v>28</v>
      </c>
      <c r="U9584" s="2" t="s">
        <v>57338</v>
      </c>
      <c r="W9584" t="s">
        <v>502</v>
      </c>
      <c r="X9584">
        <v>831891</v>
      </c>
      <c r="Y9584" t="s">
        <v>57339</v>
      </c>
      <c r="Z9584" t="s">
        <v>57340</v>
      </c>
      <c r="AA9584" t="s">
        <v>6997</v>
      </c>
      <c r="AB9584" t="s">
        <v>486</v>
      </c>
      <c r="AG9584" t="s">
        <v>57344</v>
      </c>
      <c r="AH9584" t="s">
        <v>57342</v>
      </c>
      <c r="AI9584" t="s">
        <v>57345</v>
      </c>
    </row>
    <row r="9585" spans="2:35" ht="255">
      <c r="B9585" s="1">
        <v>44945</v>
      </c>
      <c r="C9585" s="4">
        <v>44945.609027777777</v>
      </c>
      <c r="D9585" t="s">
        <v>53165</v>
      </c>
      <c r="E9585" t="s">
        <v>53166</v>
      </c>
      <c r="F9585" t="s">
        <v>148</v>
      </c>
      <c r="G9585" t="s">
        <v>310</v>
      </c>
      <c r="H9585" t="s">
        <v>39</v>
      </c>
      <c r="I9585" t="s">
        <v>40</v>
      </c>
      <c r="J9585" t="s">
        <v>109</v>
      </c>
      <c r="K9585" t="s">
        <v>42</v>
      </c>
      <c r="L9585" t="s">
        <v>448</v>
      </c>
      <c r="Q9585">
        <v>23011</v>
      </c>
      <c r="R9585" t="s">
        <v>119</v>
      </c>
      <c r="S9585" t="s">
        <v>43942</v>
      </c>
      <c r="T9585">
        <v>28</v>
      </c>
      <c r="U9585" s="2" t="s">
        <v>57338</v>
      </c>
      <c r="W9585" t="s">
        <v>502</v>
      </c>
      <c r="X9585">
        <v>831891</v>
      </c>
      <c r="Y9585" t="s">
        <v>57339</v>
      </c>
      <c r="Z9585" t="s">
        <v>57340</v>
      </c>
      <c r="AA9585" t="s">
        <v>6997</v>
      </c>
      <c r="AB9585" t="s">
        <v>486</v>
      </c>
      <c r="AG9585" t="s">
        <v>57346</v>
      </c>
      <c r="AH9585" t="s">
        <v>57342</v>
      </c>
      <c r="AI9585" t="s">
        <v>57347</v>
      </c>
    </row>
    <row r="9586" spans="2:35" ht="285">
      <c r="B9586" s="1">
        <v>44945</v>
      </c>
      <c r="C9586" s="4">
        <v>44945.682638888888</v>
      </c>
      <c r="D9586" t="s">
        <v>57348</v>
      </c>
      <c r="E9586" t="s">
        <v>57349</v>
      </c>
      <c r="F9586" t="s">
        <v>148</v>
      </c>
      <c r="G9586" t="s">
        <v>447</v>
      </c>
      <c r="H9586" t="s">
        <v>39</v>
      </c>
      <c r="I9586" t="s">
        <v>40</v>
      </c>
      <c r="J9586" t="s">
        <v>109</v>
      </c>
      <c r="K9586" t="s">
        <v>42</v>
      </c>
      <c r="L9586" t="s">
        <v>448</v>
      </c>
      <c r="Q9586">
        <v>23010</v>
      </c>
      <c r="R9586" t="s">
        <v>322</v>
      </c>
      <c r="S9586" t="s">
        <v>57350</v>
      </c>
      <c r="T9586">
        <v>29</v>
      </c>
      <c r="U9586" s="2" t="s">
        <v>57351</v>
      </c>
      <c r="W9586" t="s">
        <v>19433</v>
      </c>
      <c r="X9586">
        <v>845446</v>
      </c>
      <c r="Y9586" t="s">
        <v>121</v>
      </c>
      <c r="Z9586" t="s">
        <v>55308</v>
      </c>
      <c r="AA9586" t="s">
        <v>6997</v>
      </c>
      <c r="AB9586" t="s">
        <v>486</v>
      </c>
      <c r="AG9586" t="s">
        <v>57352</v>
      </c>
      <c r="AH9586" t="s">
        <v>57353</v>
      </c>
      <c r="AI9586" t="s">
        <v>57354</v>
      </c>
    </row>
    <row r="9587" spans="2:35" ht="135">
      <c r="B9587" s="1">
        <v>44945</v>
      </c>
      <c r="C9587" s="4">
        <v>44945.650694444441</v>
      </c>
      <c r="D9587" t="s">
        <v>4482</v>
      </c>
      <c r="E9587" t="s">
        <v>57355</v>
      </c>
      <c r="F9587">
        <v>13</v>
      </c>
      <c r="G9587" t="s">
        <v>4484</v>
      </c>
      <c r="H9587" t="s">
        <v>61</v>
      </c>
      <c r="I9587" t="s">
        <v>40</v>
      </c>
      <c r="J9587" s="2" t="s">
        <v>190</v>
      </c>
      <c r="K9587" t="s">
        <v>42</v>
      </c>
      <c r="L9587" t="s">
        <v>933</v>
      </c>
      <c r="Q9587">
        <v>23009</v>
      </c>
      <c r="R9587" t="s">
        <v>95</v>
      </c>
      <c r="S9587" t="s">
        <v>8025</v>
      </c>
      <c r="T9587">
        <v>24.375</v>
      </c>
      <c r="U9587" s="2" t="s">
        <v>57356</v>
      </c>
      <c r="W9587" t="s">
        <v>3662</v>
      </c>
      <c r="X9587">
        <v>831292</v>
      </c>
      <c r="Y9587" s="2" t="s">
        <v>57357</v>
      </c>
      <c r="Z9587" s="2" t="s">
        <v>57358</v>
      </c>
      <c r="AA9587" s="2" t="s">
        <v>57359</v>
      </c>
      <c r="AB9587" s="2" t="s">
        <v>57360</v>
      </c>
      <c r="AG9587" t="s">
        <v>57361</v>
      </c>
      <c r="AH9587" t="s">
        <v>49016</v>
      </c>
      <c r="AI9587" t="s">
        <v>57362</v>
      </c>
    </row>
    <row r="9588" spans="2:35" ht="180">
      <c r="B9588" s="1">
        <v>44945</v>
      </c>
      <c r="C9588" s="4">
        <v>44944.568055555559</v>
      </c>
      <c r="D9588" t="s">
        <v>35771</v>
      </c>
      <c r="E9588" t="s">
        <v>6103</v>
      </c>
      <c r="F9588" t="s">
        <v>1255</v>
      </c>
      <c r="G9588" t="s">
        <v>4685</v>
      </c>
      <c r="H9588" t="s">
        <v>39</v>
      </c>
      <c r="I9588" t="s">
        <v>40</v>
      </c>
      <c r="J9588" t="s">
        <v>321</v>
      </c>
      <c r="K9588" t="s">
        <v>42</v>
      </c>
      <c r="L9588" t="s">
        <v>43100</v>
      </c>
      <c r="Q9588">
        <v>23008</v>
      </c>
      <c r="R9588" t="s">
        <v>119</v>
      </c>
      <c r="S9588" t="s">
        <v>37038</v>
      </c>
      <c r="T9588">
        <v>27</v>
      </c>
      <c r="U9588" s="2" t="s">
        <v>57363</v>
      </c>
      <c r="W9588" t="s">
        <v>43102</v>
      </c>
      <c r="X9588">
        <v>834444</v>
      </c>
      <c r="Y9588" t="s">
        <v>57364</v>
      </c>
      <c r="Z9588" t="s">
        <v>5712</v>
      </c>
      <c r="AA9588" s="2" t="s">
        <v>57365</v>
      </c>
      <c r="AB9588" t="s">
        <v>486</v>
      </c>
      <c r="AG9588" t="s">
        <v>57366</v>
      </c>
      <c r="AH9588" t="s">
        <v>57367</v>
      </c>
      <c r="AI9588" t="s">
        <v>57368</v>
      </c>
    </row>
    <row r="9589" spans="2:35" ht="180">
      <c r="B9589" s="1">
        <v>44945</v>
      </c>
      <c r="C9589" s="4">
        <v>44945.609722222223</v>
      </c>
      <c r="D9589" t="s">
        <v>57369</v>
      </c>
      <c r="E9589" t="s">
        <v>1555</v>
      </c>
      <c r="F9589">
        <v>7</v>
      </c>
      <c r="G9589" t="s">
        <v>432</v>
      </c>
      <c r="H9589" t="s">
        <v>39</v>
      </c>
      <c r="I9589" t="s">
        <v>40</v>
      </c>
      <c r="J9589" t="s">
        <v>109</v>
      </c>
      <c r="K9589" t="s">
        <v>42</v>
      </c>
      <c r="L9589" t="s">
        <v>594</v>
      </c>
      <c r="Q9589">
        <v>23007</v>
      </c>
      <c r="R9589" t="s">
        <v>95</v>
      </c>
      <c r="S9589" t="s">
        <v>47118</v>
      </c>
      <c r="T9589">
        <v>26</v>
      </c>
      <c r="U9589" s="2" t="s">
        <v>57370</v>
      </c>
      <c r="W9589" t="s">
        <v>502</v>
      </c>
      <c r="X9589">
        <v>814150</v>
      </c>
      <c r="Y9589" t="s">
        <v>3128</v>
      </c>
      <c r="Z9589" s="2" t="s">
        <v>57371</v>
      </c>
      <c r="AA9589" t="s">
        <v>56626</v>
      </c>
      <c r="AB9589" t="s">
        <v>13650</v>
      </c>
      <c r="AG9589" t="s">
        <v>57372</v>
      </c>
      <c r="AH9589" t="s">
        <v>57373</v>
      </c>
      <c r="AI9589" t="s">
        <v>57374</v>
      </c>
    </row>
    <row r="9590" spans="2:35" ht="60">
      <c r="B9590" s="1">
        <v>44945</v>
      </c>
      <c r="C9590" s="4">
        <v>44945.307638888888</v>
      </c>
      <c r="D9590" t="s">
        <v>45592</v>
      </c>
      <c r="E9590" t="s">
        <v>57375</v>
      </c>
      <c r="F9590" t="s">
        <v>148</v>
      </c>
      <c r="G9590" t="s">
        <v>310</v>
      </c>
      <c r="H9590" t="s">
        <v>386</v>
      </c>
      <c r="I9590" t="s">
        <v>40</v>
      </c>
      <c r="J9590" s="2" t="s">
        <v>62</v>
      </c>
      <c r="K9590" t="s">
        <v>387</v>
      </c>
      <c r="L9590" t="s">
        <v>448</v>
      </c>
      <c r="Q9590">
        <v>23006</v>
      </c>
      <c r="R9590" t="s">
        <v>95</v>
      </c>
      <c r="S9590" t="s">
        <v>16290</v>
      </c>
      <c r="T9590">
        <v>27</v>
      </c>
      <c r="W9590" t="s">
        <v>49610</v>
      </c>
      <c r="X9590" t="s">
        <v>922</v>
      </c>
      <c r="Y9590" t="s">
        <v>57376</v>
      </c>
      <c r="Z9590" t="s">
        <v>47610</v>
      </c>
      <c r="AA9590" t="s">
        <v>21123</v>
      </c>
      <c r="AB9590" t="s">
        <v>486</v>
      </c>
      <c r="AF9590" t="s">
        <v>57377</v>
      </c>
      <c r="AG9590" t="s">
        <v>57378</v>
      </c>
      <c r="AH9590" t="s">
        <v>45597</v>
      </c>
      <c r="AI9590" t="s">
        <v>57379</v>
      </c>
    </row>
    <row r="9591" spans="2:35" ht="285">
      <c r="B9591" s="1">
        <v>44945</v>
      </c>
      <c r="C9591" s="4">
        <v>44945.599999999999</v>
      </c>
      <c r="D9591" t="s">
        <v>32650</v>
      </c>
      <c r="E9591" t="s">
        <v>57380</v>
      </c>
      <c r="F9591" t="s">
        <v>148</v>
      </c>
      <c r="G9591" t="s">
        <v>20126</v>
      </c>
      <c r="H9591" t="s">
        <v>39</v>
      </c>
      <c r="I9591" t="s">
        <v>40</v>
      </c>
      <c r="J9591" s="2" t="s">
        <v>62</v>
      </c>
      <c r="K9591" t="s">
        <v>42</v>
      </c>
      <c r="L9591" t="s">
        <v>55932</v>
      </c>
      <c r="Q9591">
        <v>23005</v>
      </c>
      <c r="R9591" t="s">
        <v>45</v>
      </c>
      <c r="S9591" t="s">
        <v>32652</v>
      </c>
      <c r="T9591">
        <v>27.3</v>
      </c>
      <c r="U9591" s="2" t="s">
        <v>57381</v>
      </c>
      <c r="W9591" t="s">
        <v>1139</v>
      </c>
      <c r="X9591">
        <v>838886</v>
      </c>
      <c r="Y9591" t="s">
        <v>54186</v>
      </c>
      <c r="Z9591" t="s">
        <v>8446</v>
      </c>
      <c r="AA9591" s="2" t="s">
        <v>57382</v>
      </c>
      <c r="AB9591" t="s">
        <v>181</v>
      </c>
      <c r="AG9591" t="s">
        <v>57383</v>
      </c>
      <c r="AH9591" t="s">
        <v>57384</v>
      </c>
      <c r="AI9591" t="s">
        <v>57385</v>
      </c>
    </row>
    <row r="9592" spans="2:35" ht="210">
      <c r="B9592" s="1">
        <v>44945</v>
      </c>
      <c r="C9592" s="4">
        <v>44945.513194444444</v>
      </c>
      <c r="D9592" t="s">
        <v>22964</v>
      </c>
      <c r="E9592" t="s">
        <v>38490</v>
      </c>
      <c r="F9592">
        <v>12</v>
      </c>
      <c r="G9592" t="s">
        <v>2137</v>
      </c>
      <c r="H9592" t="s">
        <v>39</v>
      </c>
      <c r="I9592" t="s">
        <v>94</v>
      </c>
      <c r="J9592" s="2" t="s">
        <v>62</v>
      </c>
      <c r="K9592" t="s">
        <v>42</v>
      </c>
      <c r="L9592" t="s">
        <v>296</v>
      </c>
      <c r="Q9592">
        <v>23004</v>
      </c>
      <c r="R9592" t="s">
        <v>45</v>
      </c>
      <c r="S9592" t="s">
        <v>22966</v>
      </c>
      <c r="T9592">
        <v>28</v>
      </c>
      <c r="U9592" s="2" t="s">
        <v>26289</v>
      </c>
      <c r="W9592" t="s">
        <v>53244</v>
      </c>
      <c r="X9592">
        <v>815434</v>
      </c>
      <c r="Y9592" t="s">
        <v>57386</v>
      </c>
      <c r="Z9592" s="2" t="s">
        <v>57387</v>
      </c>
      <c r="AA9592" s="2" t="s">
        <v>57387</v>
      </c>
      <c r="AB9592" t="s">
        <v>57388</v>
      </c>
      <c r="AG9592" t="s">
        <v>57389</v>
      </c>
      <c r="AH9592" t="s">
        <v>57390</v>
      </c>
      <c r="AI9592" t="s">
        <v>57391</v>
      </c>
    </row>
    <row r="9593" spans="2:35" ht="105">
      <c r="B9593" s="1">
        <v>44945</v>
      </c>
      <c r="C9593" s="4">
        <v>44945.587500000001</v>
      </c>
      <c r="D9593" t="s">
        <v>24073</v>
      </c>
      <c r="E9593" t="s">
        <v>1555</v>
      </c>
      <c r="F9593">
        <v>7</v>
      </c>
      <c r="G9593" t="s">
        <v>432</v>
      </c>
      <c r="H9593" t="s">
        <v>39</v>
      </c>
      <c r="I9593" t="s">
        <v>40</v>
      </c>
      <c r="J9593" t="s">
        <v>583</v>
      </c>
      <c r="K9593" t="s">
        <v>42</v>
      </c>
      <c r="L9593" t="s">
        <v>433</v>
      </c>
      <c r="Q9593">
        <v>23003</v>
      </c>
      <c r="R9593" t="s">
        <v>45</v>
      </c>
      <c r="S9593" t="s">
        <v>1818</v>
      </c>
      <c r="T9593">
        <v>28</v>
      </c>
      <c r="U9593" s="2" t="s">
        <v>2501</v>
      </c>
      <c r="W9593" t="s">
        <v>6776</v>
      </c>
      <c r="X9593">
        <v>808620</v>
      </c>
      <c r="Y9593" t="s">
        <v>57392</v>
      </c>
      <c r="Z9593" t="s">
        <v>57393</v>
      </c>
      <c r="AA9593" t="s">
        <v>57394</v>
      </c>
      <c r="AB9593" t="s">
        <v>57395</v>
      </c>
      <c r="AG9593" t="s">
        <v>57396</v>
      </c>
      <c r="AH9593" t="s">
        <v>1823</v>
      </c>
      <c r="AI9593" t="s">
        <v>57397</v>
      </c>
    </row>
    <row r="9594" spans="2:35" ht="90">
      <c r="B9594" s="1">
        <v>44945</v>
      </c>
      <c r="C9594" s="4">
        <v>44945.580555555556</v>
      </c>
      <c r="D9594" t="s">
        <v>1825</v>
      </c>
      <c r="E9594" t="s">
        <v>1555</v>
      </c>
      <c r="F9594">
        <v>7</v>
      </c>
      <c r="G9594" t="s">
        <v>432</v>
      </c>
      <c r="H9594" t="s">
        <v>39</v>
      </c>
      <c r="I9594" t="s">
        <v>40</v>
      </c>
      <c r="J9594" t="s">
        <v>583</v>
      </c>
      <c r="K9594" t="s">
        <v>42</v>
      </c>
      <c r="L9594" t="s">
        <v>433</v>
      </c>
      <c r="Q9594">
        <v>23002</v>
      </c>
      <c r="R9594" t="s">
        <v>45</v>
      </c>
      <c r="S9594" t="s">
        <v>1818</v>
      </c>
      <c r="T9594">
        <v>28</v>
      </c>
      <c r="U9594" s="2" t="s">
        <v>56987</v>
      </c>
      <c r="W9594" t="s">
        <v>56988</v>
      </c>
      <c r="X9594">
        <v>808620</v>
      </c>
      <c r="Y9594" t="s">
        <v>57392</v>
      </c>
      <c r="Z9594" t="s">
        <v>57398</v>
      </c>
      <c r="AA9594" t="s">
        <v>57399</v>
      </c>
      <c r="AB9594" t="s">
        <v>57392</v>
      </c>
      <c r="AG9594" t="s">
        <v>57400</v>
      </c>
      <c r="AH9594" t="s">
        <v>47357</v>
      </c>
      <c r="AI9594" t="s">
        <v>57401</v>
      </c>
    </row>
    <row r="9595" spans="2:35" ht="255">
      <c r="B9595" s="1">
        <v>44945</v>
      </c>
      <c r="C9595" s="4">
        <v>44945.505555555559</v>
      </c>
      <c r="D9595" t="s">
        <v>9302</v>
      </c>
      <c r="E9595" t="s">
        <v>57402</v>
      </c>
      <c r="F9595">
        <v>3</v>
      </c>
      <c r="G9595" t="s">
        <v>730</v>
      </c>
      <c r="H9595" t="s">
        <v>662</v>
      </c>
      <c r="I9595" t="s">
        <v>40</v>
      </c>
      <c r="J9595" s="2" t="s">
        <v>57403</v>
      </c>
      <c r="K9595" t="s">
        <v>42</v>
      </c>
      <c r="L9595" t="s">
        <v>135</v>
      </c>
      <c r="Q9595">
        <v>23001</v>
      </c>
      <c r="R9595" t="s">
        <v>95</v>
      </c>
      <c r="S9595" t="s">
        <v>18459</v>
      </c>
      <c r="T9595">
        <v>17.100000000000001</v>
      </c>
      <c r="U9595" s="2" t="s">
        <v>57404</v>
      </c>
      <c r="W9595" t="s">
        <v>3418</v>
      </c>
      <c r="X9595">
        <v>830841</v>
      </c>
      <c r="Y9595" t="s">
        <v>28274</v>
      </c>
      <c r="Z9595" s="2" t="s">
        <v>57405</v>
      </c>
      <c r="AA9595" t="s">
        <v>57406</v>
      </c>
      <c r="AB9595" t="s">
        <v>181</v>
      </c>
      <c r="AG9595" t="s">
        <v>57407</v>
      </c>
      <c r="AH9595" t="s">
        <v>18462</v>
      </c>
      <c r="AI9595" t="s">
        <v>57408</v>
      </c>
    </row>
    <row r="9596" spans="2:35" ht="300">
      <c r="B9596" s="1">
        <v>44945</v>
      </c>
      <c r="C9596" s="4">
        <v>44945.432638888888</v>
      </c>
      <c r="D9596" t="s">
        <v>29843</v>
      </c>
      <c r="E9596" t="s">
        <v>57409</v>
      </c>
      <c r="F9596">
        <v>3</v>
      </c>
      <c r="G9596" t="s">
        <v>730</v>
      </c>
      <c r="H9596" t="s">
        <v>57410</v>
      </c>
      <c r="I9596" t="s">
        <v>40</v>
      </c>
      <c r="J9596" s="2" t="s">
        <v>62</v>
      </c>
      <c r="K9596" t="s">
        <v>42</v>
      </c>
      <c r="L9596" t="s">
        <v>135</v>
      </c>
      <c r="Q9596">
        <v>22999</v>
      </c>
      <c r="R9596" t="s">
        <v>45</v>
      </c>
      <c r="S9596" t="s">
        <v>29845</v>
      </c>
      <c r="T9596">
        <v>22.2</v>
      </c>
      <c r="U9596" s="2" t="s">
        <v>57411</v>
      </c>
      <c r="W9596" t="s">
        <v>2680</v>
      </c>
      <c r="X9596">
        <v>805108</v>
      </c>
      <c r="Y9596" s="2" t="s">
        <v>57412</v>
      </c>
      <c r="Z9596" s="2" t="s">
        <v>57413</v>
      </c>
      <c r="AA9596" t="s">
        <v>54639</v>
      </c>
      <c r="AB9596" t="s">
        <v>57414</v>
      </c>
      <c r="AC9596" t="s">
        <v>57415</v>
      </c>
      <c r="AG9596" t="s">
        <v>57416</v>
      </c>
      <c r="AH9596" t="s">
        <v>33882</v>
      </c>
      <c r="AI9596" t="s">
        <v>57417</v>
      </c>
    </row>
    <row r="9597" spans="2:35" ht="315">
      <c r="B9597" s="1">
        <v>44945</v>
      </c>
      <c r="C9597" s="4">
        <v>44945.465277777781</v>
      </c>
      <c r="D9597" t="s">
        <v>29843</v>
      </c>
      <c r="E9597" t="s">
        <v>57418</v>
      </c>
      <c r="F9597">
        <v>3</v>
      </c>
      <c r="G9597" t="s">
        <v>730</v>
      </c>
      <c r="H9597" t="s">
        <v>57419</v>
      </c>
      <c r="I9597" t="s">
        <v>40</v>
      </c>
      <c r="J9597" s="2" t="s">
        <v>62</v>
      </c>
      <c r="K9597" t="s">
        <v>42</v>
      </c>
      <c r="L9597" t="s">
        <v>135</v>
      </c>
      <c r="Q9597">
        <v>23000</v>
      </c>
      <c r="R9597" t="s">
        <v>45</v>
      </c>
      <c r="S9597" t="s">
        <v>29845</v>
      </c>
      <c r="T9597">
        <v>24</v>
      </c>
      <c r="U9597" s="2" t="s">
        <v>57420</v>
      </c>
      <c r="W9597" t="s">
        <v>2680</v>
      </c>
      <c r="X9597">
        <v>838142</v>
      </c>
      <c r="Y9597" t="s">
        <v>1751</v>
      </c>
      <c r="Z9597" s="2" t="s">
        <v>57421</v>
      </c>
      <c r="AA9597" t="s">
        <v>54639</v>
      </c>
      <c r="AB9597" t="s">
        <v>181</v>
      </c>
      <c r="AC9597" t="s">
        <v>57422</v>
      </c>
      <c r="AG9597" t="s">
        <v>57423</v>
      </c>
      <c r="AH9597" t="s">
        <v>33882</v>
      </c>
      <c r="AI9597" t="s">
        <v>57424</v>
      </c>
    </row>
    <row r="9598" spans="2:35" ht="300">
      <c r="B9598" s="1">
        <v>44945</v>
      </c>
      <c r="C9598" s="4">
        <v>44945.432638888888</v>
      </c>
      <c r="D9598" t="s">
        <v>29843</v>
      </c>
      <c r="E9598" t="s">
        <v>57409</v>
      </c>
      <c r="F9598">
        <v>3</v>
      </c>
      <c r="G9598" t="s">
        <v>730</v>
      </c>
      <c r="H9598" t="s">
        <v>57410</v>
      </c>
      <c r="I9598" t="s">
        <v>40</v>
      </c>
      <c r="J9598" s="2" t="s">
        <v>62</v>
      </c>
      <c r="K9598" t="s">
        <v>42</v>
      </c>
      <c r="L9598" t="s">
        <v>135</v>
      </c>
      <c r="Q9598">
        <v>22998</v>
      </c>
      <c r="R9598" t="s">
        <v>45</v>
      </c>
      <c r="S9598" t="s">
        <v>29845</v>
      </c>
      <c r="T9598">
        <v>22.2</v>
      </c>
      <c r="U9598" s="2" t="s">
        <v>57411</v>
      </c>
      <c r="W9598" t="s">
        <v>2680</v>
      </c>
      <c r="X9598">
        <v>805108</v>
      </c>
      <c r="Y9598" s="2" t="s">
        <v>57412</v>
      </c>
      <c r="Z9598" s="2" t="s">
        <v>57413</v>
      </c>
      <c r="AA9598" t="s">
        <v>54639</v>
      </c>
      <c r="AB9598" t="s">
        <v>57414</v>
      </c>
      <c r="AC9598" t="s">
        <v>57415</v>
      </c>
      <c r="AG9598" t="s">
        <v>57425</v>
      </c>
      <c r="AH9598" t="s">
        <v>33882</v>
      </c>
      <c r="AI9598" t="s">
        <v>57426</v>
      </c>
    </row>
    <row r="9599" spans="2:35" ht="315">
      <c r="B9599" s="1">
        <v>44945</v>
      </c>
      <c r="C9599" s="4">
        <v>44945.465277777781</v>
      </c>
      <c r="D9599" t="s">
        <v>29843</v>
      </c>
      <c r="E9599" t="s">
        <v>57418</v>
      </c>
      <c r="F9599">
        <v>3</v>
      </c>
      <c r="G9599" t="s">
        <v>730</v>
      </c>
      <c r="H9599" t="s">
        <v>57419</v>
      </c>
      <c r="I9599" t="s">
        <v>40</v>
      </c>
      <c r="J9599" s="2" t="s">
        <v>62</v>
      </c>
      <c r="K9599" t="s">
        <v>42</v>
      </c>
      <c r="L9599" t="s">
        <v>135</v>
      </c>
      <c r="Q9599">
        <v>22997</v>
      </c>
      <c r="R9599" t="s">
        <v>45</v>
      </c>
      <c r="S9599" t="s">
        <v>29845</v>
      </c>
      <c r="T9599">
        <v>24</v>
      </c>
      <c r="U9599" s="2" t="s">
        <v>57420</v>
      </c>
      <c r="W9599" t="s">
        <v>2680</v>
      </c>
      <c r="X9599">
        <v>838142</v>
      </c>
      <c r="Y9599" t="s">
        <v>1751</v>
      </c>
      <c r="Z9599" s="2" t="s">
        <v>57421</v>
      </c>
      <c r="AA9599" t="s">
        <v>54639</v>
      </c>
      <c r="AB9599" t="s">
        <v>181</v>
      </c>
      <c r="AC9599" t="s">
        <v>57422</v>
      </c>
      <c r="AG9599" t="s">
        <v>57427</v>
      </c>
      <c r="AH9599" t="s">
        <v>33882</v>
      </c>
      <c r="AI9599" t="s">
        <v>57428</v>
      </c>
    </row>
    <row r="9600" spans="2:35" ht="75">
      <c r="B9600" s="1">
        <v>44945</v>
      </c>
      <c r="C9600" s="4">
        <v>44945.466666666667</v>
      </c>
      <c r="D9600" t="s">
        <v>42786</v>
      </c>
      <c r="E9600" t="s">
        <v>42787</v>
      </c>
      <c r="F9600">
        <v>6</v>
      </c>
      <c r="G9600" t="s">
        <v>4457</v>
      </c>
      <c r="H9600" t="s">
        <v>1498</v>
      </c>
      <c r="I9600" t="s">
        <v>94</v>
      </c>
      <c r="J9600" s="2" t="s">
        <v>190</v>
      </c>
      <c r="K9600" t="s">
        <v>42</v>
      </c>
      <c r="L9600" t="s">
        <v>343</v>
      </c>
      <c r="Q9600">
        <v>22996</v>
      </c>
      <c r="R9600" t="s">
        <v>45</v>
      </c>
      <c r="S9600" t="s">
        <v>49616</v>
      </c>
      <c r="T9600">
        <v>24</v>
      </c>
      <c r="U9600" s="2" t="s">
        <v>29810</v>
      </c>
      <c r="W9600" t="s">
        <v>6105</v>
      </c>
      <c r="X9600">
        <v>815387</v>
      </c>
      <c r="Y9600" t="e">
        <f ca="1">-Computer _xludf.not turning on</f>
        <v>#NAME?</v>
      </c>
      <c r="Z9600" t="s">
        <v>301</v>
      </c>
      <c r="AA9600" t="e">
        <f ca="1">-Preventive Maintenance
-orient enduser with the Jotform monitoring _xludf.For future problems</f>
        <v>#NAME?</v>
      </c>
      <c r="AB9600" t="s">
        <v>57429</v>
      </c>
      <c r="AC9600" t="s">
        <v>57430</v>
      </c>
      <c r="AG9600" t="s">
        <v>57431</v>
      </c>
      <c r="AH9600" t="s">
        <v>55531</v>
      </c>
      <c r="AI9600" t="s">
        <v>57432</v>
      </c>
    </row>
    <row r="9601" spans="2:35" ht="225">
      <c r="B9601" s="1">
        <v>44945</v>
      </c>
      <c r="C9601" s="4">
        <v>44945.451388888891</v>
      </c>
      <c r="D9601" t="s">
        <v>44941</v>
      </c>
      <c r="E9601" t="s">
        <v>57433</v>
      </c>
      <c r="F9601" t="s">
        <v>148</v>
      </c>
      <c r="G9601" t="s">
        <v>20126</v>
      </c>
      <c r="H9601" t="s">
        <v>57434</v>
      </c>
      <c r="I9601" t="s">
        <v>40</v>
      </c>
      <c r="J9601" s="2" t="s">
        <v>62</v>
      </c>
      <c r="K9601" t="s">
        <v>42</v>
      </c>
      <c r="L9601" t="s">
        <v>55932</v>
      </c>
      <c r="Q9601">
        <v>22995</v>
      </c>
      <c r="R9601" t="s">
        <v>45</v>
      </c>
      <c r="S9601" t="s">
        <v>33837</v>
      </c>
      <c r="T9601">
        <v>24.3</v>
      </c>
      <c r="U9601" s="2" t="s">
        <v>57435</v>
      </c>
      <c r="W9601" t="s">
        <v>1139</v>
      </c>
      <c r="X9601">
        <v>812833</v>
      </c>
      <c r="Y9601" t="s">
        <v>57436</v>
      </c>
      <c r="Z9601" t="s">
        <v>8446</v>
      </c>
      <c r="AA9601" s="2" t="s">
        <v>57437</v>
      </c>
      <c r="AB9601" t="s">
        <v>181</v>
      </c>
      <c r="AC9601" t="s">
        <v>57438</v>
      </c>
      <c r="AG9601" t="s">
        <v>57439</v>
      </c>
      <c r="AH9601" t="s">
        <v>57440</v>
      </c>
      <c r="AI9601" t="s">
        <v>57441</v>
      </c>
    </row>
    <row r="9602" spans="2:35" ht="285">
      <c r="B9602" s="1">
        <v>44945</v>
      </c>
      <c r="C9602" s="4">
        <v>44945.447916666664</v>
      </c>
      <c r="D9602" t="s">
        <v>10967</v>
      </c>
      <c r="E9602" t="s">
        <v>10968</v>
      </c>
      <c r="F9602">
        <v>7</v>
      </c>
      <c r="G9602" t="s">
        <v>432</v>
      </c>
      <c r="H9602" t="s">
        <v>10969</v>
      </c>
      <c r="I9602" t="s">
        <v>40</v>
      </c>
      <c r="J9602" t="s">
        <v>996</v>
      </c>
      <c r="K9602" t="s">
        <v>42</v>
      </c>
      <c r="L9602" t="s">
        <v>1288</v>
      </c>
      <c r="Q9602">
        <v>22994</v>
      </c>
      <c r="R9602" t="s">
        <v>119</v>
      </c>
      <c r="S9602" t="s">
        <v>33292</v>
      </c>
      <c r="T9602">
        <v>24</v>
      </c>
      <c r="U9602" s="2" t="s">
        <v>57442</v>
      </c>
      <c r="W9602" t="s">
        <v>1292</v>
      </c>
      <c r="X9602">
        <v>838508</v>
      </c>
      <c r="Y9602" t="e">
        <f ca="1">-_xludf.For module B3 CALIBRATION</f>
        <v>#NAME?</v>
      </c>
      <c r="Z9602" t="s">
        <v>57443</v>
      </c>
      <c r="AA9602" t="e">
        <f ca="1">-PERFORM Preventive Maintenance
-COLLECT IQR,system _xludf.Log, _xludf.and Assay</f>
        <v>#NAME?</v>
      </c>
      <c r="AB9602" t="s">
        <v>57444</v>
      </c>
      <c r="AG9602" t="s">
        <v>57445</v>
      </c>
      <c r="AH9602" t="s">
        <v>57446</v>
      </c>
      <c r="AI9602" t="s">
        <v>57447</v>
      </c>
    </row>
    <row r="9603" spans="2:35" ht="210">
      <c r="B9603" s="1">
        <v>44945</v>
      </c>
      <c r="C9603" s="4">
        <v>44945.44027777778</v>
      </c>
      <c r="D9603" t="s">
        <v>29822</v>
      </c>
      <c r="E9603" t="s">
        <v>57448</v>
      </c>
      <c r="F9603">
        <v>12</v>
      </c>
      <c r="G9603" t="s">
        <v>2137</v>
      </c>
      <c r="H9603" t="s">
        <v>39</v>
      </c>
      <c r="I9603" t="s">
        <v>94</v>
      </c>
      <c r="J9603" s="2" t="s">
        <v>62</v>
      </c>
      <c r="K9603" t="s">
        <v>42</v>
      </c>
      <c r="L9603" t="s">
        <v>296</v>
      </c>
      <c r="Q9603">
        <v>22992</v>
      </c>
      <c r="R9603" t="s">
        <v>45</v>
      </c>
      <c r="S9603" t="s">
        <v>29824</v>
      </c>
      <c r="T9603">
        <v>29</v>
      </c>
      <c r="U9603" s="2" t="s">
        <v>15500</v>
      </c>
      <c r="V9603" s="1">
        <v>44943</v>
      </c>
      <c r="W9603" t="s">
        <v>57449</v>
      </c>
      <c r="X9603">
        <v>835181</v>
      </c>
      <c r="Y9603" t="s">
        <v>54</v>
      </c>
      <c r="Z9603" s="2" t="s">
        <v>57387</v>
      </c>
      <c r="AA9603" s="2" t="s">
        <v>57387</v>
      </c>
      <c r="AB9603" t="s">
        <v>56860</v>
      </c>
      <c r="AD9603">
        <v>1000378669</v>
      </c>
      <c r="AE9603" t="s">
        <v>52906</v>
      </c>
      <c r="AG9603" t="s">
        <v>57450</v>
      </c>
      <c r="AH9603" t="s">
        <v>57451</v>
      </c>
      <c r="AI9603" t="s">
        <v>57452</v>
      </c>
    </row>
    <row r="9604" spans="2:35" ht="285">
      <c r="B9604" s="1">
        <v>44945</v>
      </c>
      <c r="C9604" s="4">
        <v>44945.397916666669</v>
      </c>
      <c r="D9604" t="s">
        <v>4694</v>
      </c>
      <c r="E9604" t="s">
        <v>13697</v>
      </c>
      <c r="F9604">
        <v>12</v>
      </c>
      <c r="G9604" t="s">
        <v>2137</v>
      </c>
      <c r="H9604" t="s">
        <v>39</v>
      </c>
      <c r="I9604" t="s">
        <v>94</v>
      </c>
      <c r="J9604" s="2" t="s">
        <v>1157</v>
      </c>
      <c r="K9604" t="s">
        <v>42</v>
      </c>
      <c r="L9604" t="s">
        <v>296</v>
      </c>
      <c r="Q9604">
        <v>22991</v>
      </c>
      <c r="R9604" t="s">
        <v>119</v>
      </c>
      <c r="S9604" t="s">
        <v>38915</v>
      </c>
      <c r="T9604">
        <v>27.8</v>
      </c>
      <c r="U9604" s="2" t="s">
        <v>57453</v>
      </c>
      <c r="W9604" t="s">
        <v>53244</v>
      </c>
      <c r="X9604">
        <v>838545</v>
      </c>
      <c r="Y9604" s="2" t="s">
        <v>57454</v>
      </c>
      <c r="Z9604" s="2" t="s">
        <v>57455</v>
      </c>
      <c r="AA9604" s="2" t="s">
        <v>57455</v>
      </c>
      <c r="AB9604" t="s">
        <v>56860</v>
      </c>
      <c r="AC9604" t="s">
        <v>57456</v>
      </c>
      <c r="AG9604" t="s">
        <v>57457</v>
      </c>
      <c r="AH9604" t="s">
        <v>38917</v>
      </c>
      <c r="AI9604" t="s">
        <v>57458</v>
      </c>
    </row>
    <row r="9605" spans="2:35" ht="105">
      <c r="B9605" s="1">
        <v>44945</v>
      </c>
      <c r="C9605" s="4">
        <v>44945.413888888892</v>
      </c>
      <c r="D9605" t="s">
        <v>54479</v>
      </c>
      <c r="E9605" t="s">
        <v>57459</v>
      </c>
      <c r="F9605">
        <v>9</v>
      </c>
      <c r="G9605" t="s">
        <v>2197</v>
      </c>
      <c r="H9605" t="s">
        <v>39</v>
      </c>
      <c r="I9605" t="s">
        <v>40</v>
      </c>
      <c r="J9605" s="2" t="s">
        <v>17375</v>
      </c>
      <c r="K9605" t="s">
        <v>42</v>
      </c>
      <c r="L9605" t="s">
        <v>1257</v>
      </c>
      <c r="Q9605">
        <v>22990</v>
      </c>
      <c r="R9605" t="s">
        <v>45</v>
      </c>
      <c r="S9605" t="s">
        <v>57460</v>
      </c>
      <c r="T9605">
        <v>27</v>
      </c>
      <c r="U9605" s="2" t="s">
        <v>30357</v>
      </c>
      <c r="V9605" s="1">
        <v>44945</v>
      </c>
      <c r="W9605" t="s">
        <v>2384</v>
      </c>
      <c r="X9605">
        <v>815278</v>
      </c>
      <c r="Y9605" t="s">
        <v>29356</v>
      </c>
      <c r="Z9605" t="s">
        <v>57461</v>
      </c>
      <c r="AA9605" t="s">
        <v>57462</v>
      </c>
      <c r="AB9605" t="s">
        <v>37747</v>
      </c>
      <c r="AC9605" t="s">
        <v>301</v>
      </c>
      <c r="AD9605" t="s">
        <v>54</v>
      </c>
      <c r="AE9605" t="s">
        <v>54</v>
      </c>
      <c r="AG9605" t="s">
        <v>57463</v>
      </c>
      <c r="AH9605" t="s">
        <v>57464</v>
      </c>
      <c r="AI9605" t="s">
        <v>57465</v>
      </c>
    </row>
    <row r="9606" spans="2:35" ht="180">
      <c r="B9606" s="1">
        <v>44945</v>
      </c>
      <c r="C9606" s="4">
        <v>44945.336805555555</v>
      </c>
      <c r="D9606" t="s">
        <v>7465</v>
      </c>
      <c r="E9606" t="s">
        <v>7466</v>
      </c>
      <c r="F9606">
        <v>8</v>
      </c>
      <c r="G9606" t="s">
        <v>342</v>
      </c>
      <c r="H9606" t="s">
        <v>202</v>
      </c>
      <c r="I9606" t="s">
        <v>40</v>
      </c>
      <c r="J9606" t="s">
        <v>109</v>
      </c>
      <c r="K9606" t="s">
        <v>42</v>
      </c>
      <c r="L9606" t="s">
        <v>259</v>
      </c>
      <c r="Q9606">
        <v>22989</v>
      </c>
      <c r="R9606" t="s">
        <v>119</v>
      </c>
      <c r="S9606" t="s">
        <v>16053</v>
      </c>
      <c r="T9606">
        <v>26</v>
      </c>
      <c r="U9606" s="2" t="s">
        <v>57466</v>
      </c>
      <c r="W9606" t="s">
        <v>84</v>
      </c>
      <c r="X9606">
        <v>838551</v>
      </c>
      <c r="Y9606" t="s">
        <v>55835</v>
      </c>
      <c r="Z9606" t="e">
        <f ca="1">-performed Preventive Maintenance
-cleaned FAN _xludf.filter
-Generate reports</f>
        <v>#NAME?</v>
      </c>
      <c r="AA9606" t="s">
        <v>4315</v>
      </c>
      <c r="AB9606" t="s">
        <v>181</v>
      </c>
      <c r="AG9606" t="s">
        <v>57467</v>
      </c>
      <c r="AH9606" t="s">
        <v>7469</v>
      </c>
      <c r="AI9606" t="s">
        <v>57468</v>
      </c>
    </row>
    <row r="9607" spans="2:35" ht="180">
      <c r="B9607" s="1">
        <v>44945</v>
      </c>
      <c r="C9607" s="4">
        <v>44945.336805555555</v>
      </c>
      <c r="D9607" t="s">
        <v>7465</v>
      </c>
      <c r="E9607" t="s">
        <v>7466</v>
      </c>
      <c r="F9607">
        <v>8</v>
      </c>
      <c r="G9607" t="s">
        <v>342</v>
      </c>
      <c r="H9607" t="s">
        <v>202</v>
      </c>
      <c r="I9607" t="s">
        <v>40</v>
      </c>
      <c r="J9607" t="s">
        <v>109</v>
      </c>
      <c r="K9607" t="s">
        <v>42</v>
      </c>
      <c r="L9607" t="s">
        <v>259</v>
      </c>
      <c r="Q9607">
        <v>22988</v>
      </c>
      <c r="R9607" t="s">
        <v>119</v>
      </c>
      <c r="S9607" t="s">
        <v>16053</v>
      </c>
      <c r="T9607">
        <v>26</v>
      </c>
      <c r="U9607" s="2" t="s">
        <v>57466</v>
      </c>
      <c r="W9607" t="s">
        <v>84</v>
      </c>
      <c r="X9607">
        <v>838551</v>
      </c>
      <c r="Y9607" t="s">
        <v>55835</v>
      </c>
      <c r="Z9607" t="e">
        <f ca="1">-performed Preventive Maintenance
-cleaned FAN _xludf.filter
-Generate reports</f>
        <v>#NAME?</v>
      </c>
      <c r="AA9607" t="s">
        <v>4315</v>
      </c>
      <c r="AB9607" t="s">
        <v>181</v>
      </c>
      <c r="AG9607" t="s">
        <v>57469</v>
      </c>
      <c r="AH9607" t="s">
        <v>7469</v>
      </c>
      <c r="AI9607" t="s">
        <v>57470</v>
      </c>
    </row>
    <row r="9608" spans="2:35" ht="180">
      <c r="B9608" s="1">
        <v>44944</v>
      </c>
      <c r="C9608" s="4">
        <v>44944.911111111112</v>
      </c>
      <c r="D9608" t="s">
        <v>16716</v>
      </c>
      <c r="E9608" t="s">
        <v>1128</v>
      </c>
      <c r="F9608">
        <v>8</v>
      </c>
      <c r="G9608" t="s">
        <v>342</v>
      </c>
      <c r="H9608" t="s">
        <v>202</v>
      </c>
      <c r="I9608" t="s">
        <v>40</v>
      </c>
      <c r="J9608" t="s">
        <v>109</v>
      </c>
      <c r="K9608" t="s">
        <v>42</v>
      </c>
      <c r="L9608" t="s">
        <v>259</v>
      </c>
      <c r="Q9608">
        <v>22987</v>
      </c>
      <c r="R9608" t="s">
        <v>119</v>
      </c>
      <c r="S9608" t="s">
        <v>17749</v>
      </c>
      <c r="T9608">
        <v>25</v>
      </c>
      <c r="U9608" s="2" t="s">
        <v>57471</v>
      </c>
      <c r="V9608" s="1">
        <v>44942</v>
      </c>
      <c r="W9608" t="s">
        <v>84</v>
      </c>
      <c r="X9608">
        <v>838421</v>
      </c>
      <c r="Y9608" t="s">
        <v>55835</v>
      </c>
      <c r="Z9608" t="e">
        <f ca="1">-performed Preventive Maintenance
-cleaned FAN _xludf.filter
-Generate reports</f>
        <v>#NAME?</v>
      </c>
      <c r="AA9608" t="s">
        <v>4315</v>
      </c>
      <c r="AB9608" t="s">
        <v>57472</v>
      </c>
      <c r="AG9608" t="s">
        <v>57473</v>
      </c>
      <c r="AH9608" t="s">
        <v>41925</v>
      </c>
      <c r="AI9608" t="s">
        <v>57474</v>
      </c>
    </row>
    <row r="9609" spans="2:35" ht="180">
      <c r="B9609" s="1">
        <v>44944</v>
      </c>
      <c r="C9609" s="4">
        <v>44944.911111111112</v>
      </c>
      <c r="D9609" t="s">
        <v>16716</v>
      </c>
      <c r="E9609" t="s">
        <v>1128</v>
      </c>
      <c r="F9609">
        <v>8</v>
      </c>
      <c r="G9609" t="s">
        <v>342</v>
      </c>
      <c r="H9609" t="s">
        <v>202</v>
      </c>
      <c r="I9609" t="s">
        <v>40</v>
      </c>
      <c r="J9609" t="s">
        <v>109</v>
      </c>
      <c r="K9609" t="s">
        <v>42</v>
      </c>
      <c r="L9609" t="s">
        <v>259</v>
      </c>
      <c r="Q9609">
        <v>22986</v>
      </c>
      <c r="R9609" t="s">
        <v>119</v>
      </c>
      <c r="S9609" t="s">
        <v>17749</v>
      </c>
      <c r="T9609">
        <v>25</v>
      </c>
      <c r="U9609" s="2" t="s">
        <v>57471</v>
      </c>
      <c r="V9609" s="1">
        <v>44942</v>
      </c>
      <c r="W9609" t="s">
        <v>84</v>
      </c>
      <c r="X9609">
        <v>838421</v>
      </c>
      <c r="Y9609" t="s">
        <v>55835</v>
      </c>
      <c r="Z9609" t="e">
        <f ca="1">-performed Preventive Maintenance
-cleaned FAN _xludf.filter
-Generate reports</f>
        <v>#NAME?</v>
      </c>
      <c r="AA9609" t="s">
        <v>4315</v>
      </c>
      <c r="AB9609" t="s">
        <v>57472</v>
      </c>
      <c r="AG9609" t="s">
        <v>57475</v>
      </c>
      <c r="AH9609" t="s">
        <v>41925</v>
      </c>
      <c r="AI9609" t="s">
        <v>57476</v>
      </c>
    </row>
    <row r="9610" spans="2:35" ht="270">
      <c r="B9610" s="1">
        <v>44944</v>
      </c>
      <c r="C9610" s="4">
        <v>44944.686111111114</v>
      </c>
      <c r="D9610" t="s">
        <v>57477</v>
      </c>
      <c r="E9610" t="s">
        <v>8394</v>
      </c>
      <c r="F9610">
        <v>2</v>
      </c>
      <c r="G9610" t="s">
        <v>2723</v>
      </c>
      <c r="H9610" t="s">
        <v>39</v>
      </c>
      <c r="I9610" t="s">
        <v>40</v>
      </c>
      <c r="J9610" t="s">
        <v>109</v>
      </c>
      <c r="K9610" t="s">
        <v>42</v>
      </c>
      <c r="L9610" t="s">
        <v>63</v>
      </c>
      <c r="Q9610">
        <v>22984</v>
      </c>
      <c r="R9610" t="s">
        <v>119</v>
      </c>
      <c r="S9610" t="s">
        <v>57478</v>
      </c>
      <c r="T9610">
        <v>27</v>
      </c>
      <c r="U9610" s="2" t="s">
        <v>57479</v>
      </c>
      <c r="V9610" s="1">
        <v>44944</v>
      </c>
      <c r="W9610" t="s">
        <v>29795</v>
      </c>
      <c r="X9610">
        <v>842894</v>
      </c>
      <c r="Y9610" t="s">
        <v>1716</v>
      </c>
      <c r="Z9610" t="s">
        <v>1716</v>
      </c>
      <c r="AA9610" s="2" t="s">
        <v>1727</v>
      </c>
      <c r="AB9610" t="s">
        <v>70</v>
      </c>
      <c r="AC9610" t="s">
        <v>57480</v>
      </c>
      <c r="AD9610" t="s">
        <v>1716</v>
      </c>
      <c r="AE9610" t="s">
        <v>1716</v>
      </c>
      <c r="AG9610" t="s">
        <v>57481</v>
      </c>
      <c r="AH9610" t="s">
        <v>57482</v>
      </c>
      <c r="AI9610" t="s">
        <v>57483</v>
      </c>
    </row>
    <row r="9611" spans="2:35" ht="270">
      <c r="B9611" s="1">
        <v>44944</v>
      </c>
      <c r="C9611" s="4">
        <v>44944.686111111114</v>
      </c>
      <c r="D9611" t="s">
        <v>57477</v>
      </c>
      <c r="E9611" t="s">
        <v>8394</v>
      </c>
      <c r="F9611">
        <v>2</v>
      </c>
      <c r="G9611" t="s">
        <v>2723</v>
      </c>
      <c r="H9611" t="s">
        <v>39</v>
      </c>
      <c r="I9611" t="s">
        <v>40</v>
      </c>
      <c r="J9611" t="s">
        <v>109</v>
      </c>
      <c r="K9611" t="s">
        <v>42</v>
      </c>
      <c r="L9611" t="s">
        <v>63</v>
      </c>
      <c r="Q9611">
        <v>22985</v>
      </c>
      <c r="R9611" t="s">
        <v>119</v>
      </c>
      <c r="S9611" t="s">
        <v>57478</v>
      </c>
      <c r="T9611">
        <v>27</v>
      </c>
      <c r="U9611" s="2" t="s">
        <v>57479</v>
      </c>
      <c r="V9611" s="1">
        <v>44944</v>
      </c>
      <c r="W9611" t="s">
        <v>29795</v>
      </c>
      <c r="X9611">
        <v>842894</v>
      </c>
      <c r="Y9611" t="s">
        <v>1716</v>
      </c>
      <c r="Z9611" t="s">
        <v>1716</v>
      </c>
      <c r="AA9611" s="2" t="s">
        <v>1727</v>
      </c>
      <c r="AB9611" t="s">
        <v>70</v>
      </c>
      <c r="AC9611" t="s">
        <v>57480</v>
      </c>
      <c r="AD9611" t="s">
        <v>1716</v>
      </c>
      <c r="AE9611" t="s">
        <v>1716</v>
      </c>
      <c r="AG9611" t="s">
        <v>57484</v>
      </c>
      <c r="AH9611" t="s">
        <v>57482</v>
      </c>
      <c r="AI9611" t="s">
        <v>57485</v>
      </c>
    </row>
    <row r="9612" spans="2:35" ht="270">
      <c r="B9612" s="1">
        <v>44944</v>
      </c>
      <c r="C9612" s="4">
        <v>44944.689583333333</v>
      </c>
      <c r="D9612" t="s">
        <v>57477</v>
      </c>
      <c r="E9612" t="s">
        <v>8394</v>
      </c>
      <c r="F9612">
        <v>2</v>
      </c>
      <c r="G9612" t="s">
        <v>2723</v>
      </c>
      <c r="H9612" t="s">
        <v>39</v>
      </c>
      <c r="I9612" t="s">
        <v>40</v>
      </c>
      <c r="J9612" t="s">
        <v>109</v>
      </c>
      <c r="K9612" t="s">
        <v>42</v>
      </c>
      <c r="L9612" t="s">
        <v>63</v>
      </c>
      <c r="Q9612">
        <v>22983</v>
      </c>
      <c r="R9612" t="s">
        <v>45</v>
      </c>
      <c r="S9612" t="s">
        <v>57478</v>
      </c>
      <c r="T9612">
        <v>28</v>
      </c>
      <c r="U9612" s="2" t="s">
        <v>57486</v>
      </c>
      <c r="V9612" s="1">
        <v>44944</v>
      </c>
      <c r="W9612" t="s">
        <v>26915</v>
      </c>
      <c r="X9612">
        <v>834434</v>
      </c>
      <c r="Y9612" t="s">
        <v>1716</v>
      </c>
      <c r="Z9612" t="s">
        <v>1716</v>
      </c>
      <c r="AA9612" s="2" t="s">
        <v>1727</v>
      </c>
      <c r="AB9612" t="s">
        <v>70</v>
      </c>
      <c r="AC9612" t="s">
        <v>27457</v>
      </c>
      <c r="AD9612" t="s">
        <v>1716</v>
      </c>
      <c r="AE9612" t="s">
        <v>1716</v>
      </c>
      <c r="AG9612" t="s">
        <v>57487</v>
      </c>
      <c r="AH9612" t="s">
        <v>57482</v>
      </c>
      <c r="AI9612" t="s">
        <v>57488</v>
      </c>
    </row>
    <row r="9613" spans="2:35" ht="270">
      <c r="B9613" s="1">
        <v>44944</v>
      </c>
      <c r="C9613" s="4">
        <v>44944.689583333333</v>
      </c>
      <c r="D9613" t="s">
        <v>57477</v>
      </c>
      <c r="E9613" t="s">
        <v>8394</v>
      </c>
      <c r="F9613">
        <v>2</v>
      </c>
      <c r="G9613" t="s">
        <v>2723</v>
      </c>
      <c r="H9613" t="s">
        <v>39</v>
      </c>
      <c r="I9613" t="s">
        <v>40</v>
      </c>
      <c r="J9613" t="s">
        <v>109</v>
      </c>
      <c r="K9613" t="s">
        <v>42</v>
      </c>
      <c r="L9613" t="s">
        <v>63</v>
      </c>
      <c r="Q9613">
        <v>22982</v>
      </c>
      <c r="R9613" t="s">
        <v>45</v>
      </c>
      <c r="S9613" t="s">
        <v>57478</v>
      </c>
      <c r="T9613">
        <v>28</v>
      </c>
      <c r="U9613" s="2" t="s">
        <v>57486</v>
      </c>
      <c r="V9613" s="1">
        <v>44944</v>
      </c>
      <c r="W9613" t="s">
        <v>26915</v>
      </c>
      <c r="X9613">
        <v>834434</v>
      </c>
      <c r="Y9613" t="s">
        <v>1716</v>
      </c>
      <c r="Z9613" t="s">
        <v>1716</v>
      </c>
      <c r="AA9613" s="2" t="s">
        <v>1727</v>
      </c>
      <c r="AB9613" t="s">
        <v>70</v>
      </c>
      <c r="AC9613" t="s">
        <v>27457</v>
      </c>
      <c r="AD9613" t="s">
        <v>1716</v>
      </c>
      <c r="AE9613" t="s">
        <v>1716</v>
      </c>
      <c r="AG9613" t="s">
        <v>57489</v>
      </c>
      <c r="AH9613" t="s">
        <v>57482</v>
      </c>
      <c r="AI9613" t="s">
        <v>57490</v>
      </c>
    </row>
    <row r="9614" spans="2:35" ht="270">
      <c r="B9614" s="1">
        <v>44944</v>
      </c>
      <c r="C9614" s="4">
        <v>44944.691666666666</v>
      </c>
      <c r="D9614" t="s">
        <v>57477</v>
      </c>
      <c r="E9614" t="s">
        <v>8394</v>
      </c>
      <c r="F9614">
        <v>2</v>
      </c>
      <c r="G9614" t="s">
        <v>2723</v>
      </c>
      <c r="H9614" t="s">
        <v>39</v>
      </c>
      <c r="I9614" t="s">
        <v>40</v>
      </c>
      <c r="J9614" t="s">
        <v>109</v>
      </c>
      <c r="K9614" t="s">
        <v>42</v>
      </c>
      <c r="L9614" t="s">
        <v>63</v>
      </c>
      <c r="Q9614">
        <v>22981</v>
      </c>
      <c r="R9614" t="s">
        <v>45</v>
      </c>
      <c r="S9614" t="s">
        <v>57478</v>
      </c>
      <c r="T9614">
        <v>27</v>
      </c>
      <c r="U9614" s="2" t="s">
        <v>57486</v>
      </c>
      <c r="V9614" s="1">
        <v>44944</v>
      </c>
      <c r="W9614" t="s">
        <v>26915</v>
      </c>
      <c r="X9614">
        <v>808628</v>
      </c>
      <c r="Y9614" t="s">
        <v>1716</v>
      </c>
      <c r="Z9614" t="s">
        <v>1716</v>
      </c>
      <c r="AA9614" s="2" t="s">
        <v>1727</v>
      </c>
      <c r="AB9614" t="s">
        <v>70</v>
      </c>
      <c r="AC9614" t="s">
        <v>1716</v>
      </c>
      <c r="AD9614" t="s">
        <v>1716</v>
      </c>
      <c r="AE9614" t="s">
        <v>1716</v>
      </c>
      <c r="AG9614" t="s">
        <v>57491</v>
      </c>
      <c r="AH9614" t="s">
        <v>57482</v>
      </c>
      <c r="AI9614" t="s">
        <v>57492</v>
      </c>
    </row>
    <row r="9615" spans="2:35" ht="285">
      <c r="B9615" s="1">
        <v>44944</v>
      </c>
      <c r="C9615" s="4">
        <v>44944.648611111108</v>
      </c>
      <c r="D9615" t="s">
        <v>8131</v>
      </c>
      <c r="E9615" t="s">
        <v>8132</v>
      </c>
      <c r="F9615">
        <v>6</v>
      </c>
      <c r="G9615" t="s">
        <v>4457</v>
      </c>
      <c r="H9615" t="s">
        <v>39</v>
      </c>
      <c r="I9615" t="s">
        <v>94</v>
      </c>
      <c r="J9615" s="2" t="s">
        <v>1444</v>
      </c>
      <c r="K9615" t="s">
        <v>42</v>
      </c>
      <c r="L9615" t="s">
        <v>343</v>
      </c>
      <c r="Q9615">
        <v>22980</v>
      </c>
      <c r="R9615" t="s">
        <v>45</v>
      </c>
      <c r="S9615" t="s">
        <v>18851</v>
      </c>
      <c r="T9615">
        <v>25</v>
      </c>
      <c r="U9615" s="2" t="s">
        <v>57493</v>
      </c>
      <c r="V9615" s="1">
        <v>44944</v>
      </c>
      <c r="W9615" t="s">
        <v>6105</v>
      </c>
      <c r="X9615">
        <v>804680</v>
      </c>
      <c r="Y9615" t="s">
        <v>57494</v>
      </c>
      <c r="Z9615" t="e">
        <f ca="1">-run XpertCheck to module D2</f>
        <v>#NAME?</v>
      </c>
      <c r="AA9615" t="e">
        <f ca="1">-swap D1 &amp; D4 module location
-COLLECT IQR _xludf.and system _xludf.Log before _xludf.and after swapping modules</f>
        <v>#NAME?</v>
      </c>
      <c r="AB9615" t="s">
        <v>57495</v>
      </c>
      <c r="AC9615" t="s">
        <v>57496</v>
      </c>
      <c r="AD9615" t="s">
        <v>57497</v>
      </c>
      <c r="AE9615" t="s">
        <v>103</v>
      </c>
      <c r="AG9615" t="s">
        <v>57498</v>
      </c>
      <c r="AH9615" t="s">
        <v>38143</v>
      </c>
      <c r="AI9615" t="s">
        <v>57499</v>
      </c>
    </row>
    <row r="9616" spans="2:35" ht="210">
      <c r="B9616" s="1">
        <v>44944</v>
      </c>
      <c r="C9616" s="4">
        <v>44944.636805555558</v>
      </c>
      <c r="D9616" t="s">
        <v>8123</v>
      </c>
      <c r="E9616" t="s">
        <v>8124</v>
      </c>
      <c r="F9616">
        <v>13</v>
      </c>
      <c r="G9616" t="s">
        <v>4484</v>
      </c>
      <c r="H9616" t="s">
        <v>2125</v>
      </c>
      <c r="I9616" t="s">
        <v>40</v>
      </c>
      <c r="J9616" s="2" t="s">
        <v>62</v>
      </c>
      <c r="K9616" t="s">
        <v>42</v>
      </c>
      <c r="L9616" t="s">
        <v>933</v>
      </c>
      <c r="Q9616">
        <v>22979</v>
      </c>
      <c r="R9616" t="s">
        <v>119</v>
      </c>
      <c r="S9616" t="s">
        <v>8125</v>
      </c>
      <c r="T9616">
        <v>28.75</v>
      </c>
      <c r="U9616" s="2" t="s">
        <v>57500</v>
      </c>
      <c r="W9616" t="s">
        <v>3662</v>
      </c>
      <c r="X9616">
        <v>838554</v>
      </c>
      <c r="Y9616" t="s">
        <v>57501</v>
      </c>
      <c r="Z9616" t="s">
        <v>39376</v>
      </c>
      <c r="AA9616" s="2" t="s">
        <v>57502</v>
      </c>
      <c r="AB9616" t="s">
        <v>57503</v>
      </c>
      <c r="AG9616" t="s">
        <v>57504</v>
      </c>
      <c r="AH9616" t="s">
        <v>8129</v>
      </c>
      <c r="AI9616" t="s">
        <v>57505</v>
      </c>
    </row>
    <row r="9617" spans="2:35" ht="90">
      <c r="B9617" s="1">
        <v>44944</v>
      </c>
      <c r="C9617" s="4">
        <v>44944.636805555558</v>
      </c>
      <c r="D9617" t="s">
        <v>13723</v>
      </c>
      <c r="E9617" t="s">
        <v>1555</v>
      </c>
      <c r="F9617">
        <v>7</v>
      </c>
      <c r="G9617" t="s">
        <v>432</v>
      </c>
      <c r="H9617" t="s">
        <v>9774</v>
      </c>
      <c r="I9617" t="s">
        <v>40</v>
      </c>
      <c r="J9617" t="s">
        <v>44648</v>
      </c>
      <c r="K9617" t="s">
        <v>42</v>
      </c>
      <c r="L9617" t="s">
        <v>1288</v>
      </c>
      <c r="Q9617">
        <v>22978</v>
      </c>
      <c r="R9617" t="s">
        <v>95</v>
      </c>
      <c r="S9617" t="s">
        <v>57506</v>
      </c>
      <c r="T9617">
        <v>25</v>
      </c>
      <c r="U9617" s="2" t="s">
        <v>40498</v>
      </c>
      <c r="W9617" t="s">
        <v>1292</v>
      </c>
      <c r="X9617">
        <v>110008524</v>
      </c>
      <c r="Y9617" t="s">
        <v>44648</v>
      </c>
      <c r="Z9617" t="e">
        <f ca="1">-transfer GX EQUIPMENT FROM TB DOTS to MOLECULAR Lab</f>
        <v>#NAME?</v>
      </c>
      <c r="AA9617" t="e">
        <f ca="1">-COLLECT IQR
-Install GX _xludf.and PERFORM BASICo operation training</f>
        <v>#NAME?</v>
      </c>
      <c r="AB9617" t="s">
        <v>1293</v>
      </c>
      <c r="AG9617" t="s">
        <v>57507</v>
      </c>
      <c r="AH9617" t="s">
        <v>57508</v>
      </c>
      <c r="AI9617" t="s">
        <v>57509</v>
      </c>
    </row>
    <row r="9618" spans="2:35" ht="315">
      <c r="B9618" s="1">
        <v>44944</v>
      </c>
      <c r="C9618" s="4">
        <v>44944.624305555553</v>
      </c>
      <c r="D9618" t="s">
        <v>57510</v>
      </c>
      <c r="E9618" t="s">
        <v>34617</v>
      </c>
      <c r="F9618">
        <v>11</v>
      </c>
      <c r="G9618" t="s">
        <v>1205</v>
      </c>
      <c r="H9618" t="s">
        <v>16831</v>
      </c>
      <c r="I9618" t="s">
        <v>40</v>
      </c>
      <c r="J9618" t="s">
        <v>109</v>
      </c>
      <c r="K9618" t="s">
        <v>42</v>
      </c>
      <c r="L9618" t="s">
        <v>204</v>
      </c>
      <c r="Q9618">
        <v>22977</v>
      </c>
      <c r="R9618" t="s">
        <v>119</v>
      </c>
      <c r="S9618" t="s">
        <v>1318</v>
      </c>
      <c r="T9618">
        <v>25.8</v>
      </c>
      <c r="U9618" s="2" t="s">
        <v>57511</v>
      </c>
      <c r="V9618" s="1">
        <v>44944</v>
      </c>
      <c r="W9618" t="s">
        <v>23237</v>
      </c>
      <c r="X9618">
        <v>838262</v>
      </c>
      <c r="Y9618" t="s">
        <v>1052</v>
      </c>
      <c r="Z9618" t="s">
        <v>2551</v>
      </c>
      <c r="AA9618" s="2" t="s">
        <v>1321</v>
      </c>
      <c r="AB9618" t="s">
        <v>1428</v>
      </c>
      <c r="AC9618" t="s">
        <v>54</v>
      </c>
      <c r="AD9618" t="s">
        <v>54</v>
      </c>
      <c r="AE9618" t="s">
        <v>54</v>
      </c>
      <c r="AG9618" t="s">
        <v>57512</v>
      </c>
      <c r="AH9618" t="s">
        <v>57513</v>
      </c>
      <c r="AI9618" t="s">
        <v>57514</v>
      </c>
    </row>
    <row r="9619" spans="2:35" ht="315">
      <c r="B9619" s="1">
        <v>44944</v>
      </c>
      <c r="C9619" s="4">
        <v>44944.624305555553</v>
      </c>
      <c r="D9619" t="s">
        <v>57510</v>
      </c>
      <c r="E9619" t="s">
        <v>34617</v>
      </c>
      <c r="F9619">
        <v>11</v>
      </c>
      <c r="G9619" t="s">
        <v>1205</v>
      </c>
      <c r="H9619" t="s">
        <v>16831</v>
      </c>
      <c r="I9619" t="s">
        <v>40</v>
      </c>
      <c r="J9619" t="s">
        <v>109</v>
      </c>
      <c r="K9619" t="s">
        <v>42</v>
      </c>
      <c r="L9619" t="s">
        <v>204</v>
      </c>
      <c r="Q9619">
        <v>22976</v>
      </c>
      <c r="R9619" t="s">
        <v>119</v>
      </c>
      <c r="S9619" t="s">
        <v>1318</v>
      </c>
      <c r="T9619">
        <v>25.8</v>
      </c>
      <c r="U9619" s="2" t="s">
        <v>57511</v>
      </c>
      <c r="V9619" s="1">
        <v>44944</v>
      </c>
      <c r="W9619" t="s">
        <v>23237</v>
      </c>
      <c r="X9619">
        <v>838262</v>
      </c>
      <c r="Y9619" t="s">
        <v>1052</v>
      </c>
      <c r="Z9619" t="s">
        <v>2551</v>
      </c>
      <c r="AA9619" s="2" t="s">
        <v>1321</v>
      </c>
      <c r="AB9619" t="s">
        <v>1428</v>
      </c>
      <c r="AC9619" t="s">
        <v>54</v>
      </c>
      <c r="AD9619" t="s">
        <v>54</v>
      </c>
      <c r="AE9619" t="s">
        <v>54</v>
      </c>
      <c r="AG9619" t="s">
        <v>57515</v>
      </c>
      <c r="AH9619" t="s">
        <v>57513</v>
      </c>
      <c r="AI9619" t="s">
        <v>57516</v>
      </c>
    </row>
    <row r="9620" spans="2:35" ht="315">
      <c r="B9620" s="1">
        <v>44944</v>
      </c>
      <c r="C9620" s="4">
        <v>44944.619444444441</v>
      </c>
      <c r="D9620" t="s">
        <v>57510</v>
      </c>
      <c r="E9620" t="s">
        <v>57517</v>
      </c>
      <c r="F9620">
        <v>11</v>
      </c>
      <c r="G9620" t="s">
        <v>1205</v>
      </c>
      <c r="H9620" t="s">
        <v>16831</v>
      </c>
      <c r="I9620" t="s">
        <v>40</v>
      </c>
      <c r="J9620" t="s">
        <v>109</v>
      </c>
      <c r="K9620" t="s">
        <v>42</v>
      </c>
      <c r="L9620" t="s">
        <v>204</v>
      </c>
      <c r="Q9620">
        <v>22975</v>
      </c>
      <c r="R9620" t="s">
        <v>322</v>
      </c>
      <c r="S9620" t="s">
        <v>57518</v>
      </c>
      <c r="T9620">
        <v>24.9</v>
      </c>
      <c r="U9620" s="2" t="s">
        <v>57519</v>
      </c>
      <c r="V9620" s="1">
        <v>44944</v>
      </c>
      <c r="W9620" t="s">
        <v>23237</v>
      </c>
      <c r="X9620">
        <v>839236</v>
      </c>
      <c r="Y9620" s="2" t="s">
        <v>57520</v>
      </c>
      <c r="Z9620" t="s">
        <v>2551</v>
      </c>
      <c r="AA9620" s="2" t="s">
        <v>1321</v>
      </c>
      <c r="AB9620" t="s">
        <v>57521</v>
      </c>
      <c r="AC9620" t="s">
        <v>57522</v>
      </c>
      <c r="AD9620" t="s">
        <v>54</v>
      </c>
      <c r="AE9620" t="s">
        <v>54</v>
      </c>
      <c r="AG9620" t="s">
        <v>57523</v>
      </c>
      <c r="AH9620" t="s">
        <v>57513</v>
      </c>
      <c r="AI9620" t="s">
        <v>57524</v>
      </c>
    </row>
    <row r="9621" spans="2:35" ht="315">
      <c r="B9621" s="1">
        <v>44944</v>
      </c>
      <c r="C9621" s="4">
        <v>44944.619444444441</v>
      </c>
      <c r="D9621" t="s">
        <v>57510</v>
      </c>
      <c r="E9621" t="s">
        <v>57517</v>
      </c>
      <c r="F9621">
        <v>11</v>
      </c>
      <c r="G9621" t="s">
        <v>1205</v>
      </c>
      <c r="H9621" t="s">
        <v>16831</v>
      </c>
      <c r="I9621" t="s">
        <v>40</v>
      </c>
      <c r="J9621" t="s">
        <v>109</v>
      </c>
      <c r="K9621" t="s">
        <v>42</v>
      </c>
      <c r="L9621" t="s">
        <v>204</v>
      </c>
      <c r="Q9621">
        <v>22974</v>
      </c>
      <c r="R9621" t="s">
        <v>322</v>
      </c>
      <c r="S9621" t="s">
        <v>57518</v>
      </c>
      <c r="T9621">
        <v>24.9</v>
      </c>
      <c r="U9621" s="2" t="s">
        <v>57519</v>
      </c>
      <c r="V9621" s="1">
        <v>44944</v>
      </c>
      <c r="W9621" t="s">
        <v>23237</v>
      </c>
      <c r="X9621">
        <v>839236</v>
      </c>
      <c r="Y9621" s="2" t="s">
        <v>57520</v>
      </c>
      <c r="Z9621" t="s">
        <v>2551</v>
      </c>
      <c r="AA9621" s="2" t="s">
        <v>1321</v>
      </c>
      <c r="AB9621" t="s">
        <v>57521</v>
      </c>
      <c r="AC9621" t="s">
        <v>57522</v>
      </c>
      <c r="AD9621" t="s">
        <v>54</v>
      </c>
      <c r="AE9621" t="s">
        <v>54</v>
      </c>
      <c r="AG9621" t="s">
        <v>57525</v>
      </c>
      <c r="AH9621" t="s">
        <v>57513</v>
      </c>
      <c r="AI9621" t="s">
        <v>57526</v>
      </c>
    </row>
    <row r="9622" spans="2:35" ht="225">
      <c r="B9622" s="1">
        <v>44944</v>
      </c>
      <c r="C9622" s="4">
        <v>44944.622916666667</v>
      </c>
      <c r="D9622" t="s">
        <v>1686</v>
      </c>
      <c r="E9622" t="s">
        <v>57527</v>
      </c>
      <c r="F9622" t="s">
        <v>148</v>
      </c>
      <c r="G9622" t="s">
        <v>785</v>
      </c>
      <c r="H9622" t="s">
        <v>39</v>
      </c>
      <c r="I9622" t="s">
        <v>40</v>
      </c>
      <c r="J9622" s="2" t="s">
        <v>2170</v>
      </c>
      <c r="K9622" t="s">
        <v>42</v>
      </c>
      <c r="L9622" t="s">
        <v>43</v>
      </c>
      <c r="Q9622">
        <v>22973</v>
      </c>
      <c r="R9622" t="s">
        <v>45</v>
      </c>
      <c r="S9622" t="s">
        <v>1688</v>
      </c>
      <c r="T9622">
        <v>23</v>
      </c>
      <c r="U9622" s="2" t="s">
        <v>57528</v>
      </c>
      <c r="V9622" s="1">
        <v>44942</v>
      </c>
      <c r="W9622" t="s">
        <v>9792</v>
      </c>
      <c r="X9622">
        <v>838898</v>
      </c>
      <c r="Y9622" t="s">
        <v>57529</v>
      </c>
      <c r="Z9622" t="s">
        <v>57530</v>
      </c>
      <c r="AA9622" s="2" t="s">
        <v>50229</v>
      </c>
      <c r="AB9622" t="s">
        <v>7543</v>
      </c>
      <c r="AD9622" s="2" t="s">
        <v>57531</v>
      </c>
      <c r="AE9622" t="s">
        <v>57532</v>
      </c>
      <c r="AG9622" t="s">
        <v>57533</v>
      </c>
      <c r="AH9622" t="s">
        <v>8273</v>
      </c>
      <c r="AI9622" t="s">
        <v>57534</v>
      </c>
    </row>
    <row r="9623" spans="2:35" ht="270">
      <c r="B9623" s="1">
        <v>44944</v>
      </c>
      <c r="C9623" s="4">
        <v>44944.615972222222</v>
      </c>
      <c r="D9623" t="s">
        <v>4795</v>
      </c>
      <c r="E9623" t="s">
        <v>4796</v>
      </c>
      <c r="F9623">
        <v>10</v>
      </c>
      <c r="G9623" t="s">
        <v>2392</v>
      </c>
      <c r="H9623" t="s">
        <v>39</v>
      </c>
      <c r="I9623" t="s">
        <v>94</v>
      </c>
      <c r="J9623" t="s">
        <v>321</v>
      </c>
      <c r="K9623" t="s">
        <v>42</v>
      </c>
      <c r="L9623" t="s">
        <v>43100</v>
      </c>
      <c r="Q9623">
        <v>22972</v>
      </c>
      <c r="R9623" t="s">
        <v>45</v>
      </c>
      <c r="S9623" t="s">
        <v>57535</v>
      </c>
      <c r="T9623">
        <v>25</v>
      </c>
      <c r="U9623" s="2" t="s">
        <v>57536</v>
      </c>
      <c r="W9623" t="s">
        <v>43102</v>
      </c>
      <c r="X9623">
        <v>707842</v>
      </c>
      <c r="Y9623" t="s">
        <v>57537</v>
      </c>
      <c r="Z9623" t="s">
        <v>57538</v>
      </c>
      <c r="AA9623" s="2" t="s">
        <v>57539</v>
      </c>
      <c r="AB9623" t="s">
        <v>486</v>
      </c>
      <c r="AG9623" t="s">
        <v>57540</v>
      </c>
      <c r="AH9623" t="s">
        <v>57541</v>
      </c>
      <c r="AI9623" t="s">
        <v>57542</v>
      </c>
    </row>
    <row r="9624" spans="2:35" ht="180">
      <c r="B9624" s="1">
        <v>44944</v>
      </c>
      <c r="C9624" s="4">
        <v>44944.612500000003</v>
      </c>
      <c r="D9624" t="s">
        <v>26257</v>
      </c>
      <c r="E9624" t="s">
        <v>29611</v>
      </c>
      <c r="F9624">
        <v>12</v>
      </c>
      <c r="G9624" t="s">
        <v>2137</v>
      </c>
      <c r="H9624" t="s">
        <v>39</v>
      </c>
      <c r="I9624" t="s">
        <v>94</v>
      </c>
      <c r="J9624" t="s">
        <v>109</v>
      </c>
      <c r="K9624" t="s">
        <v>42</v>
      </c>
      <c r="L9624" t="s">
        <v>296</v>
      </c>
      <c r="Q9624">
        <v>22971</v>
      </c>
      <c r="R9624" t="s">
        <v>45</v>
      </c>
      <c r="S9624" t="s">
        <v>26260</v>
      </c>
      <c r="T9624">
        <v>26</v>
      </c>
      <c r="U9624" s="2" t="s">
        <v>57543</v>
      </c>
      <c r="W9624" t="s">
        <v>57544</v>
      </c>
      <c r="X9624">
        <v>835182</v>
      </c>
      <c r="Y9624" t="s">
        <v>54</v>
      </c>
      <c r="Z9624" t="s">
        <v>303</v>
      </c>
      <c r="AA9624" t="s">
        <v>303</v>
      </c>
      <c r="AB9624" t="s">
        <v>56860</v>
      </c>
      <c r="AG9624" t="s">
        <v>57545</v>
      </c>
      <c r="AH9624" t="s">
        <v>45846</v>
      </c>
      <c r="AI9624" t="s">
        <v>57546</v>
      </c>
    </row>
    <row r="9625" spans="2:35" ht="315">
      <c r="B9625" s="1">
        <v>44944</v>
      </c>
      <c r="C9625" s="4">
        <v>44944.554861111108</v>
      </c>
      <c r="D9625" t="s">
        <v>41452</v>
      </c>
      <c r="E9625" t="s">
        <v>32530</v>
      </c>
      <c r="F9625">
        <v>3</v>
      </c>
      <c r="G9625" t="s">
        <v>730</v>
      </c>
      <c r="H9625" t="s">
        <v>39</v>
      </c>
      <c r="I9625" t="s">
        <v>94</v>
      </c>
      <c r="J9625" s="2" t="s">
        <v>1309</v>
      </c>
      <c r="K9625" t="s">
        <v>42</v>
      </c>
      <c r="L9625" t="s">
        <v>135</v>
      </c>
      <c r="Q9625">
        <v>22970</v>
      </c>
      <c r="R9625" t="s">
        <v>45</v>
      </c>
      <c r="S9625" t="s">
        <v>32531</v>
      </c>
      <c r="T9625">
        <v>29.4</v>
      </c>
      <c r="U9625" s="2" t="s">
        <v>57547</v>
      </c>
      <c r="V9625" s="1">
        <v>44943</v>
      </c>
      <c r="W9625" t="s">
        <v>2680</v>
      </c>
      <c r="X9625">
        <v>812792</v>
      </c>
      <c r="Y9625" t="s">
        <v>57548</v>
      </c>
      <c r="Z9625" s="2" t="s">
        <v>57549</v>
      </c>
      <c r="AA9625" t="s">
        <v>14834</v>
      </c>
      <c r="AB9625" t="s">
        <v>181</v>
      </c>
      <c r="AC9625" t="s">
        <v>34421</v>
      </c>
      <c r="AD9625" t="s">
        <v>4669</v>
      </c>
      <c r="AE9625">
        <v>38195</v>
      </c>
      <c r="AF9625" t="s">
        <v>135</v>
      </c>
      <c r="AG9625" t="s">
        <v>57550</v>
      </c>
      <c r="AH9625" t="s">
        <v>32535</v>
      </c>
      <c r="AI9625" t="s">
        <v>57551</v>
      </c>
    </row>
    <row r="9626" spans="2:35" ht="315">
      <c r="B9626" s="1">
        <v>44944</v>
      </c>
      <c r="C9626" s="4">
        <v>44944.554861111108</v>
      </c>
      <c r="D9626" t="s">
        <v>41452</v>
      </c>
      <c r="E9626" t="s">
        <v>32530</v>
      </c>
      <c r="F9626">
        <v>3</v>
      </c>
      <c r="G9626" t="s">
        <v>730</v>
      </c>
      <c r="H9626" t="s">
        <v>39</v>
      </c>
      <c r="I9626" t="s">
        <v>94</v>
      </c>
      <c r="J9626" s="2" t="s">
        <v>1309</v>
      </c>
      <c r="K9626" t="s">
        <v>42</v>
      </c>
      <c r="L9626" t="s">
        <v>135</v>
      </c>
      <c r="Q9626">
        <v>22969</v>
      </c>
      <c r="R9626" t="s">
        <v>45</v>
      </c>
      <c r="S9626" t="s">
        <v>32531</v>
      </c>
      <c r="T9626">
        <v>29.4</v>
      </c>
      <c r="U9626" s="2" t="s">
        <v>57547</v>
      </c>
      <c r="V9626" s="1">
        <v>44943</v>
      </c>
      <c r="W9626" t="s">
        <v>2680</v>
      </c>
      <c r="X9626">
        <v>812792</v>
      </c>
      <c r="Y9626" t="s">
        <v>57548</v>
      </c>
      <c r="Z9626" s="2" t="s">
        <v>57549</v>
      </c>
      <c r="AA9626" t="s">
        <v>14834</v>
      </c>
      <c r="AB9626" t="s">
        <v>181</v>
      </c>
      <c r="AC9626" t="s">
        <v>34421</v>
      </c>
      <c r="AD9626" t="s">
        <v>4669</v>
      </c>
      <c r="AE9626">
        <v>38195</v>
      </c>
      <c r="AF9626" t="s">
        <v>135</v>
      </c>
      <c r="AG9626" t="s">
        <v>57552</v>
      </c>
      <c r="AH9626" t="s">
        <v>32535</v>
      </c>
      <c r="AI9626" t="s">
        <v>57553</v>
      </c>
    </row>
    <row r="9627" spans="2:35" ht="90">
      <c r="B9627" s="1">
        <v>44944</v>
      </c>
      <c r="C9627" s="4">
        <v>44944.573611111111</v>
      </c>
      <c r="D9627" t="s">
        <v>14403</v>
      </c>
      <c r="E9627" t="s">
        <v>57554</v>
      </c>
      <c r="F9627">
        <v>7</v>
      </c>
      <c r="G9627" t="s">
        <v>432</v>
      </c>
      <c r="H9627" t="s">
        <v>608</v>
      </c>
      <c r="I9627" t="s">
        <v>94</v>
      </c>
      <c r="J9627" t="s">
        <v>79</v>
      </c>
      <c r="K9627" t="s">
        <v>42</v>
      </c>
      <c r="L9627" t="s">
        <v>610</v>
      </c>
      <c r="Q9627">
        <v>22968</v>
      </c>
      <c r="R9627" t="s">
        <v>45</v>
      </c>
      <c r="S9627" t="s">
        <v>16307</v>
      </c>
      <c r="T9627">
        <v>20</v>
      </c>
      <c r="U9627" s="2" t="s">
        <v>57555</v>
      </c>
      <c r="V9627" s="1">
        <v>44944</v>
      </c>
      <c r="W9627" t="s">
        <v>502</v>
      </c>
      <c r="X9627">
        <v>808637</v>
      </c>
      <c r="Y9627" t="s">
        <v>57556</v>
      </c>
      <c r="Z9627" t="s">
        <v>57557</v>
      </c>
      <c r="AA9627" t="s">
        <v>57558</v>
      </c>
      <c r="AB9627" t="s">
        <v>57559</v>
      </c>
      <c r="AD9627" t="s">
        <v>103</v>
      </c>
      <c r="AE9627" t="s">
        <v>103</v>
      </c>
      <c r="AG9627" t="s">
        <v>57560</v>
      </c>
      <c r="AH9627" t="s">
        <v>14408</v>
      </c>
      <c r="AI9627" t="s">
        <v>57561</v>
      </c>
    </row>
    <row r="9628" spans="2:35" ht="180">
      <c r="B9628" s="1">
        <v>44944</v>
      </c>
      <c r="C9628" s="4">
        <v>44944.484027777777</v>
      </c>
      <c r="D9628" t="s">
        <v>10647</v>
      </c>
      <c r="E9628" t="s">
        <v>10648</v>
      </c>
      <c r="F9628">
        <v>12</v>
      </c>
      <c r="G9628" t="s">
        <v>2137</v>
      </c>
      <c r="H9628" t="s">
        <v>39</v>
      </c>
      <c r="I9628" t="s">
        <v>94</v>
      </c>
      <c r="J9628" t="s">
        <v>109</v>
      </c>
      <c r="K9628" t="s">
        <v>42</v>
      </c>
      <c r="L9628" t="s">
        <v>296</v>
      </c>
      <c r="Q9628">
        <v>22967</v>
      </c>
      <c r="R9628" t="s">
        <v>45</v>
      </c>
      <c r="S9628" t="s">
        <v>22425</v>
      </c>
      <c r="T9628">
        <v>29.5</v>
      </c>
      <c r="U9628" s="2" t="s">
        <v>57562</v>
      </c>
      <c r="W9628" t="s">
        <v>53244</v>
      </c>
      <c r="X9628">
        <v>807623</v>
      </c>
      <c r="Y9628" t="s">
        <v>57563</v>
      </c>
      <c r="Z9628" t="s">
        <v>303</v>
      </c>
      <c r="AA9628" t="s">
        <v>303</v>
      </c>
      <c r="AB9628" t="s">
        <v>57073</v>
      </c>
      <c r="AG9628" t="s">
        <v>57564</v>
      </c>
      <c r="AH9628" t="s">
        <v>10654</v>
      </c>
      <c r="AI9628" t="s">
        <v>57565</v>
      </c>
    </row>
    <row r="9629" spans="2:35" ht="180">
      <c r="B9629" s="1">
        <v>44944</v>
      </c>
      <c r="C9629" s="4">
        <v>44944.477083333331</v>
      </c>
      <c r="D9629" t="s">
        <v>22809</v>
      </c>
      <c r="E9629" t="s">
        <v>57566</v>
      </c>
      <c r="F9629" t="s">
        <v>148</v>
      </c>
      <c r="G9629" t="s">
        <v>544</v>
      </c>
      <c r="H9629" t="s">
        <v>39</v>
      </c>
      <c r="I9629" t="s">
        <v>40</v>
      </c>
      <c r="J9629" t="s">
        <v>79</v>
      </c>
      <c r="K9629" t="s">
        <v>42</v>
      </c>
      <c r="L9629" t="s">
        <v>43</v>
      </c>
      <c r="Q9629">
        <v>22966</v>
      </c>
      <c r="R9629" t="s">
        <v>45</v>
      </c>
      <c r="S9629" t="s">
        <v>22810</v>
      </c>
      <c r="T9629">
        <v>25</v>
      </c>
      <c r="U9629" s="2" t="s">
        <v>57567</v>
      </c>
      <c r="V9629" s="1">
        <v>44942</v>
      </c>
      <c r="W9629" t="s">
        <v>40863</v>
      </c>
      <c r="X9629">
        <v>844113</v>
      </c>
      <c r="Y9629" t="s">
        <v>57568</v>
      </c>
      <c r="Z9629" t="s">
        <v>40723</v>
      </c>
      <c r="AA9629" s="2" t="s">
        <v>40689</v>
      </c>
      <c r="AB9629" t="s">
        <v>7543</v>
      </c>
      <c r="AD9629" s="2" t="s">
        <v>57569</v>
      </c>
      <c r="AE9629" t="s">
        <v>57570</v>
      </c>
      <c r="AG9629" t="s">
        <v>57571</v>
      </c>
      <c r="AH9629" t="s">
        <v>57572</v>
      </c>
      <c r="AI9629" t="s">
        <v>57573</v>
      </c>
    </row>
    <row r="9630" spans="2:35" ht="180">
      <c r="B9630" s="1">
        <v>44944</v>
      </c>
      <c r="C9630" s="4">
        <v>44944.469444444447</v>
      </c>
      <c r="D9630" t="s">
        <v>22809</v>
      </c>
      <c r="E9630" t="s">
        <v>57574</v>
      </c>
      <c r="F9630" t="s">
        <v>148</v>
      </c>
      <c r="G9630" t="s">
        <v>544</v>
      </c>
      <c r="H9630" t="s">
        <v>39</v>
      </c>
      <c r="I9630" t="s">
        <v>40</v>
      </c>
      <c r="J9630" t="s">
        <v>109</v>
      </c>
      <c r="K9630" t="s">
        <v>42</v>
      </c>
      <c r="L9630" t="s">
        <v>43</v>
      </c>
      <c r="Q9630">
        <v>22965</v>
      </c>
      <c r="R9630" t="s">
        <v>45</v>
      </c>
      <c r="S9630" t="s">
        <v>57575</v>
      </c>
      <c r="T9630">
        <v>25</v>
      </c>
      <c r="U9630" s="2" t="s">
        <v>57576</v>
      </c>
      <c r="W9630" t="s">
        <v>9792</v>
      </c>
      <c r="X9630">
        <v>807982</v>
      </c>
      <c r="Y9630" t="s">
        <v>57577</v>
      </c>
      <c r="Z9630" t="s">
        <v>122</v>
      </c>
      <c r="AA9630" s="2" t="s">
        <v>57578</v>
      </c>
      <c r="AB9630" t="s">
        <v>57579</v>
      </c>
      <c r="AC9630" t="s">
        <v>57580</v>
      </c>
      <c r="AG9630" t="s">
        <v>57581</v>
      </c>
      <c r="AH9630" t="s">
        <v>57582</v>
      </c>
      <c r="AI9630" t="s">
        <v>57583</v>
      </c>
    </row>
    <row r="9631" spans="2:35" ht="195">
      <c r="B9631" s="1">
        <v>44944</v>
      </c>
      <c r="C9631" s="4">
        <v>44944.425000000003</v>
      </c>
      <c r="D9631" t="s">
        <v>29932</v>
      </c>
      <c r="E9631" t="s">
        <v>10648</v>
      </c>
      <c r="F9631">
        <v>12</v>
      </c>
      <c r="G9631" t="s">
        <v>2137</v>
      </c>
      <c r="H9631" t="s">
        <v>39</v>
      </c>
      <c r="I9631" t="s">
        <v>94</v>
      </c>
      <c r="J9631" s="2" t="s">
        <v>62</v>
      </c>
      <c r="K9631" t="s">
        <v>42</v>
      </c>
      <c r="L9631" t="s">
        <v>296</v>
      </c>
      <c r="Q9631">
        <v>22964</v>
      </c>
      <c r="R9631" t="s">
        <v>45</v>
      </c>
      <c r="S9631" t="s">
        <v>57584</v>
      </c>
      <c r="T9631">
        <v>26.3</v>
      </c>
      <c r="U9631" s="2" t="s">
        <v>57585</v>
      </c>
      <c r="V9631" s="1">
        <v>44944</v>
      </c>
      <c r="W9631" t="s">
        <v>57586</v>
      </c>
      <c r="X9631">
        <v>835183</v>
      </c>
      <c r="Y9631" t="s">
        <v>57587</v>
      </c>
      <c r="Z9631" s="2" t="s">
        <v>57588</v>
      </c>
      <c r="AA9631" s="2" t="s">
        <v>57588</v>
      </c>
      <c r="AB9631" t="s">
        <v>56860</v>
      </c>
      <c r="AD9631">
        <v>1000378669</v>
      </c>
      <c r="AE9631" t="s">
        <v>57589</v>
      </c>
      <c r="AG9631" t="s">
        <v>57590</v>
      </c>
      <c r="AH9631" t="s">
        <v>57591</v>
      </c>
      <c r="AI9631" t="s">
        <v>57592</v>
      </c>
    </row>
    <row r="9632" spans="2:35" ht="195">
      <c r="B9632" s="1">
        <v>44944</v>
      </c>
      <c r="C9632" s="4">
        <v>44944.425000000003</v>
      </c>
      <c r="D9632" t="s">
        <v>8067</v>
      </c>
      <c r="E9632" t="s">
        <v>8068</v>
      </c>
      <c r="F9632">
        <v>8</v>
      </c>
      <c r="G9632" t="s">
        <v>257</v>
      </c>
      <c r="H9632" t="s">
        <v>202</v>
      </c>
      <c r="I9632" t="s">
        <v>40</v>
      </c>
      <c r="J9632" t="s">
        <v>109</v>
      </c>
      <c r="K9632" t="s">
        <v>42</v>
      </c>
      <c r="L9632" t="s">
        <v>259</v>
      </c>
      <c r="Q9632">
        <v>22963</v>
      </c>
      <c r="R9632" t="s">
        <v>119</v>
      </c>
      <c r="S9632" t="s">
        <v>8069</v>
      </c>
      <c r="T9632">
        <v>25</v>
      </c>
      <c r="U9632" s="2" t="s">
        <v>57593</v>
      </c>
      <c r="W9632" t="s">
        <v>84</v>
      </c>
      <c r="X9632">
        <v>838406</v>
      </c>
      <c r="Y9632" t="s">
        <v>55835</v>
      </c>
      <c r="Z9632" t="e">
        <f ca="1">-performed Preventive Maintenance
-cleaned FAN _xludf.filter
-Generate reports</f>
        <v>#NAME?</v>
      </c>
      <c r="AA9632" t="s">
        <v>4315</v>
      </c>
      <c r="AB9632" t="s">
        <v>57594</v>
      </c>
      <c r="AG9632" t="s">
        <v>57595</v>
      </c>
      <c r="AH9632" t="s">
        <v>14469</v>
      </c>
      <c r="AI9632" t="s">
        <v>57596</v>
      </c>
    </row>
    <row r="9633" spans="2:35" ht="195">
      <c r="B9633" s="1">
        <v>44944</v>
      </c>
      <c r="C9633" s="4">
        <v>44944.425000000003</v>
      </c>
      <c r="D9633" t="s">
        <v>8067</v>
      </c>
      <c r="E9633" t="s">
        <v>8068</v>
      </c>
      <c r="F9633">
        <v>8</v>
      </c>
      <c r="G9633" t="s">
        <v>257</v>
      </c>
      <c r="H9633" t="s">
        <v>202</v>
      </c>
      <c r="I9633" t="s">
        <v>40</v>
      </c>
      <c r="J9633" t="s">
        <v>109</v>
      </c>
      <c r="K9633" t="s">
        <v>42</v>
      </c>
      <c r="L9633" t="s">
        <v>259</v>
      </c>
      <c r="Q9633">
        <v>22962</v>
      </c>
      <c r="R9633" t="s">
        <v>119</v>
      </c>
      <c r="S9633" t="s">
        <v>8069</v>
      </c>
      <c r="T9633">
        <v>25</v>
      </c>
      <c r="U9633" s="2" t="s">
        <v>57593</v>
      </c>
      <c r="W9633" t="s">
        <v>84</v>
      </c>
      <c r="X9633">
        <v>838406</v>
      </c>
      <c r="Y9633" t="s">
        <v>55835</v>
      </c>
      <c r="Z9633" t="e">
        <f ca="1">-performed Preventive Maintenance
-cleaned FAN _xludf.filter
-Generate reports</f>
        <v>#NAME?</v>
      </c>
      <c r="AA9633" t="s">
        <v>4315</v>
      </c>
      <c r="AB9633" t="s">
        <v>57594</v>
      </c>
      <c r="AG9633" t="s">
        <v>57597</v>
      </c>
      <c r="AH9633" t="s">
        <v>14469</v>
      </c>
      <c r="AI9633" t="s">
        <v>57598</v>
      </c>
    </row>
    <row r="9634" spans="2:35" ht="315">
      <c r="B9634" s="1">
        <v>44943</v>
      </c>
      <c r="C9634" s="4">
        <v>44943.583333333336</v>
      </c>
      <c r="D9634" t="s">
        <v>21401</v>
      </c>
      <c r="E9634" t="s">
        <v>7811</v>
      </c>
      <c r="F9634">
        <v>11</v>
      </c>
      <c r="G9634" t="s">
        <v>1205</v>
      </c>
      <c r="H9634" t="s">
        <v>57295</v>
      </c>
      <c r="I9634" t="s">
        <v>40</v>
      </c>
      <c r="J9634" t="s">
        <v>109</v>
      </c>
      <c r="K9634" t="s">
        <v>42</v>
      </c>
      <c r="L9634" t="s">
        <v>204</v>
      </c>
      <c r="Q9634">
        <v>22961</v>
      </c>
      <c r="R9634" t="s">
        <v>119</v>
      </c>
      <c r="S9634" t="s">
        <v>57599</v>
      </c>
      <c r="T9634">
        <v>27.5</v>
      </c>
      <c r="U9634" s="2" t="s">
        <v>57600</v>
      </c>
      <c r="V9634" s="1">
        <v>44943</v>
      </c>
      <c r="W9634" t="s">
        <v>23237</v>
      </c>
      <c r="X9634">
        <v>838232</v>
      </c>
      <c r="Y9634" t="s">
        <v>1052</v>
      </c>
      <c r="Z9634" t="s">
        <v>2551</v>
      </c>
      <c r="AA9634" s="2" t="s">
        <v>8775</v>
      </c>
      <c r="AB9634" t="s">
        <v>9590</v>
      </c>
      <c r="AC9634" t="s">
        <v>54</v>
      </c>
      <c r="AD9634" t="s">
        <v>54</v>
      </c>
      <c r="AE9634" t="s">
        <v>54</v>
      </c>
      <c r="AG9634" t="s">
        <v>57601</v>
      </c>
      <c r="AH9634" t="s">
        <v>57602</v>
      </c>
      <c r="AI9634" t="s">
        <v>57603</v>
      </c>
    </row>
    <row r="9635" spans="2:35" ht="210">
      <c r="B9635" s="1">
        <v>44943</v>
      </c>
      <c r="C9635" s="4">
        <v>44943.586805555555</v>
      </c>
      <c r="D9635" t="s">
        <v>57554</v>
      </c>
      <c r="E9635" t="s">
        <v>57604</v>
      </c>
      <c r="F9635">
        <v>7</v>
      </c>
      <c r="G9635" t="s">
        <v>432</v>
      </c>
      <c r="H9635" t="s">
        <v>608</v>
      </c>
      <c r="I9635" t="s">
        <v>94</v>
      </c>
      <c r="J9635" t="s">
        <v>525</v>
      </c>
      <c r="K9635" t="s">
        <v>42</v>
      </c>
      <c r="L9635" t="s">
        <v>610</v>
      </c>
      <c r="Q9635">
        <v>22960</v>
      </c>
      <c r="R9635" t="s">
        <v>45</v>
      </c>
      <c r="S9635" t="s">
        <v>57605</v>
      </c>
      <c r="T9635">
        <v>23</v>
      </c>
      <c r="U9635" s="2" t="s">
        <v>57606</v>
      </c>
      <c r="V9635" s="1">
        <v>44943</v>
      </c>
      <c r="W9635" t="s">
        <v>502</v>
      </c>
      <c r="X9635">
        <v>808637</v>
      </c>
      <c r="Y9635" s="2" t="s">
        <v>57607</v>
      </c>
      <c r="Z9635" t="s">
        <v>57608</v>
      </c>
      <c r="AA9635" s="2" t="s">
        <v>57609</v>
      </c>
      <c r="AB9635" t="s">
        <v>57610</v>
      </c>
      <c r="AC9635" t="s">
        <v>57611</v>
      </c>
      <c r="AD9635" t="s">
        <v>103</v>
      </c>
      <c r="AE9635" t="s">
        <v>4448</v>
      </c>
      <c r="AG9635" t="s">
        <v>57612</v>
      </c>
      <c r="AH9635" t="s">
        <v>35321</v>
      </c>
      <c r="AI9635" t="s">
        <v>57613</v>
      </c>
    </row>
    <row r="9636" spans="2:35" ht="90">
      <c r="B9636" s="1">
        <v>44943</v>
      </c>
      <c r="C9636" s="4">
        <v>44943.581944444442</v>
      </c>
      <c r="D9636" t="s">
        <v>57554</v>
      </c>
      <c r="E9636" t="s">
        <v>57614</v>
      </c>
      <c r="F9636">
        <v>7</v>
      </c>
      <c r="G9636" t="s">
        <v>432</v>
      </c>
      <c r="H9636" t="s">
        <v>608</v>
      </c>
      <c r="I9636" t="s">
        <v>94</v>
      </c>
      <c r="J9636" t="s">
        <v>109</v>
      </c>
      <c r="K9636" t="s">
        <v>42</v>
      </c>
      <c r="L9636" t="s">
        <v>610</v>
      </c>
      <c r="Q9636">
        <v>22959</v>
      </c>
      <c r="R9636" t="s">
        <v>119</v>
      </c>
      <c r="S9636" t="s">
        <v>57615</v>
      </c>
      <c r="T9636">
        <v>23</v>
      </c>
      <c r="U9636" s="2" t="s">
        <v>57616</v>
      </c>
      <c r="V9636" s="1">
        <v>44943</v>
      </c>
      <c r="W9636" t="s">
        <v>360</v>
      </c>
      <c r="X9636">
        <v>837661</v>
      </c>
      <c r="Y9636" t="s">
        <v>57617</v>
      </c>
      <c r="Z9636" t="s">
        <v>57618</v>
      </c>
      <c r="AA9636" t="s">
        <v>57619</v>
      </c>
      <c r="AB9636" t="s">
        <v>486</v>
      </c>
      <c r="AD9636" t="s">
        <v>4448</v>
      </c>
      <c r="AE9636" t="s">
        <v>4448</v>
      </c>
      <c r="AG9636" t="s">
        <v>57620</v>
      </c>
      <c r="AH9636" t="s">
        <v>57621</v>
      </c>
      <c r="AI9636" t="s">
        <v>57622</v>
      </c>
    </row>
    <row r="9637" spans="2:35" ht="180">
      <c r="B9637" s="1">
        <v>44943</v>
      </c>
      <c r="C9637" s="4">
        <v>44943.53125</v>
      </c>
      <c r="D9637" t="s">
        <v>8654</v>
      </c>
      <c r="E9637" t="s">
        <v>8655</v>
      </c>
      <c r="F9637">
        <v>8</v>
      </c>
      <c r="G9637" t="s">
        <v>257</v>
      </c>
      <c r="H9637" t="s">
        <v>34739</v>
      </c>
      <c r="I9637" t="s">
        <v>40</v>
      </c>
      <c r="J9637" t="s">
        <v>109</v>
      </c>
      <c r="K9637" t="s">
        <v>42</v>
      </c>
      <c r="L9637" t="s">
        <v>259</v>
      </c>
      <c r="Q9637">
        <v>22958</v>
      </c>
      <c r="R9637" t="s">
        <v>119</v>
      </c>
      <c r="S9637" t="s">
        <v>8656</v>
      </c>
      <c r="T9637">
        <v>27</v>
      </c>
      <c r="U9637" s="2" t="s">
        <v>57623</v>
      </c>
      <c r="W9637" t="s">
        <v>84</v>
      </c>
      <c r="X9637">
        <v>838409</v>
      </c>
      <c r="Y9637" t="s">
        <v>57624</v>
      </c>
      <c r="Z9637" t="e">
        <f ca="1">-performed Preventive Maintenance
-cleaned FAN _xludf.filter
-Generate reports</f>
        <v>#NAME?</v>
      </c>
      <c r="AA9637" t="s">
        <v>4315</v>
      </c>
      <c r="AB9637" t="s">
        <v>181</v>
      </c>
      <c r="AG9637" t="s">
        <v>57625</v>
      </c>
      <c r="AH9637" t="s">
        <v>13563</v>
      </c>
      <c r="AI9637" t="s">
        <v>57626</v>
      </c>
    </row>
    <row r="9638" spans="2:35" ht="180">
      <c r="B9638" s="1">
        <v>44943</v>
      </c>
      <c r="C9638" s="4">
        <v>44943.513888888891</v>
      </c>
      <c r="D9638" t="s">
        <v>57627</v>
      </c>
      <c r="E9638" t="s">
        <v>50032</v>
      </c>
      <c r="F9638">
        <v>10</v>
      </c>
      <c r="G9638" t="s">
        <v>1395</v>
      </c>
      <c r="H9638" t="s">
        <v>202</v>
      </c>
      <c r="I9638" t="s">
        <v>40</v>
      </c>
      <c r="J9638" t="s">
        <v>109</v>
      </c>
      <c r="K9638" t="s">
        <v>42</v>
      </c>
      <c r="L9638" t="s">
        <v>933</v>
      </c>
      <c r="Q9638">
        <v>22957</v>
      </c>
      <c r="R9638" t="s">
        <v>119</v>
      </c>
      <c r="S9638" t="s">
        <v>9174</v>
      </c>
      <c r="T9638">
        <v>25.5</v>
      </c>
      <c r="U9638" s="2" t="s">
        <v>57628</v>
      </c>
      <c r="W9638" t="s">
        <v>3662</v>
      </c>
      <c r="X9638">
        <v>838557</v>
      </c>
      <c r="Y9638" t="s">
        <v>301</v>
      </c>
      <c r="Z9638" t="s">
        <v>2396</v>
      </c>
      <c r="AA9638" s="2" t="s">
        <v>57629</v>
      </c>
      <c r="AB9638" t="s">
        <v>43442</v>
      </c>
      <c r="AG9638" t="s">
        <v>57630</v>
      </c>
      <c r="AH9638" t="s">
        <v>10469</v>
      </c>
      <c r="AI9638" t="s">
        <v>57631</v>
      </c>
    </row>
    <row r="9639" spans="2:35" ht="105">
      <c r="B9639" s="1">
        <v>44943</v>
      </c>
      <c r="C9639" s="4">
        <v>44943.509027777778</v>
      </c>
      <c r="D9639" t="s">
        <v>3154</v>
      </c>
      <c r="E9639" t="s">
        <v>10891</v>
      </c>
      <c r="F9639">
        <v>9</v>
      </c>
      <c r="G9639" t="s">
        <v>2197</v>
      </c>
      <c r="H9639" t="s">
        <v>39</v>
      </c>
      <c r="I9639" t="s">
        <v>40</v>
      </c>
      <c r="J9639" s="2" t="s">
        <v>62</v>
      </c>
      <c r="K9639" t="s">
        <v>42</v>
      </c>
      <c r="L9639" t="s">
        <v>1257</v>
      </c>
      <c r="Q9639">
        <v>22956</v>
      </c>
      <c r="R9639" t="s">
        <v>45</v>
      </c>
      <c r="S9639" t="s">
        <v>57632</v>
      </c>
      <c r="T9639">
        <v>27</v>
      </c>
      <c r="U9639" s="2" t="s">
        <v>9765</v>
      </c>
      <c r="V9639" s="1">
        <v>44943</v>
      </c>
      <c r="W9639" t="s">
        <v>2384</v>
      </c>
      <c r="X9639">
        <v>838128</v>
      </c>
      <c r="Y9639" t="s">
        <v>39376</v>
      </c>
      <c r="Z9639" t="s">
        <v>57633</v>
      </c>
      <c r="AA9639" t="s">
        <v>57634</v>
      </c>
      <c r="AB9639" t="s">
        <v>7411</v>
      </c>
      <c r="AC9639" t="s">
        <v>57635</v>
      </c>
      <c r="AD9639" t="s">
        <v>54</v>
      </c>
      <c r="AE9639" t="s">
        <v>54</v>
      </c>
      <c r="AG9639" t="s">
        <v>57636</v>
      </c>
      <c r="AH9639" t="s">
        <v>52999</v>
      </c>
      <c r="AI9639" t="s">
        <v>57637</v>
      </c>
    </row>
    <row r="9640" spans="2:35" ht="105">
      <c r="B9640" s="1">
        <v>44943</v>
      </c>
      <c r="C9640" s="4">
        <v>44943.48541666667</v>
      </c>
      <c r="D9640" t="s">
        <v>3154</v>
      </c>
      <c r="E9640" t="s">
        <v>10891</v>
      </c>
      <c r="F9640">
        <v>9</v>
      </c>
      <c r="G9640" t="s">
        <v>2197</v>
      </c>
      <c r="H9640" t="s">
        <v>39</v>
      </c>
      <c r="I9640" t="s">
        <v>40</v>
      </c>
      <c r="J9640" s="2" t="s">
        <v>41</v>
      </c>
      <c r="K9640" t="s">
        <v>42</v>
      </c>
      <c r="L9640" t="s">
        <v>1257</v>
      </c>
      <c r="Q9640">
        <v>22955</v>
      </c>
      <c r="R9640" t="s">
        <v>45</v>
      </c>
      <c r="S9640" t="s">
        <v>57638</v>
      </c>
      <c r="T9640">
        <v>24</v>
      </c>
      <c r="U9640" s="2" t="s">
        <v>15016</v>
      </c>
      <c r="V9640" s="1">
        <v>44943</v>
      </c>
      <c r="W9640" t="s">
        <v>2384</v>
      </c>
      <c r="X9640">
        <v>818902</v>
      </c>
      <c r="Y9640" t="s">
        <v>57639</v>
      </c>
      <c r="Z9640" t="s">
        <v>57640</v>
      </c>
      <c r="AA9640" t="s">
        <v>57641</v>
      </c>
      <c r="AB9640" t="s">
        <v>37747</v>
      </c>
      <c r="AC9640" t="s">
        <v>57642</v>
      </c>
      <c r="AD9640" t="s">
        <v>54</v>
      </c>
      <c r="AE9640" t="s">
        <v>54</v>
      </c>
      <c r="AG9640" t="s">
        <v>57643</v>
      </c>
      <c r="AH9640" t="s">
        <v>52999</v>
      </c>
      <c r="AI9640" t="s">
        <v>57644</v>
      </c>
    </row>
    <row r="9641" spans="2:35" ht="105">
      <c r="B9641" s="1">
        <v>44943</v>
      </c>
      <c r="C9641" s="4">
        <v>44943.509027777778</v>
      </c>
      <c r="D9641" t="s">
        <v>3154</v>
      </c>
      <c r="E9641" t="s">
        <v>10891</v>
      </c>
      <c r="F9641">
        <v>9</v>
      </c>
      <c r="G9641" t="s">
        <v>2197</v>
      </c>
      <c r="H9641" t="s">
        <v>39</v>
      </c>
      <c r="I9641" t="s">
        <v>40</v>
      </c>
      <c r="J9641" s="2" t="s">
        <v>62</v>
      </c>
      <c r="K9641" t="s">
        <v>42</v>
      </c>
      <c r="L9641" t="s">
        <v>1257</v>
      </c>
      <c r="Q9641">
        <v>22954</v>
      </c>
      <c r="R9641" t="s">
        <v>45</v>
      </c>
      <c r="S9641" t="s">
        <v>57632</v>
      </c>
      <c r="T9641">
        <v>27</v>
      </c>
      <c r="U9641" s="2" t="s">
        <v>9765</v>
      </c>
      <c r="V9641" s="1">
        <v>44943</v>
      </c>
      <c r="W9641" t="s">
        <v>2384</v>
      </c>
      <c r="X9641">
        <v>838128</v>
      </c>
      <c r="Y9641" t="s">
        <v>39376</v>
      </c>
      <c r="Z9641" t="s">
        <v>57633</v>
      </c>
      <c r="AA9641" t="s">
        <v>57634</v>
      </c>
      <c r="AB9641" t="s">
        <v>7411</v>
      </c>
      <c r="AC9641" t="s">
        <v>57635</v>
      </c>
      <c r="AD9641" t="s">
        <v>54</v>
      </c>
      <c r="AE9641" t="s">
        <v>54</v>
      </c>
      <c r="AG9641" t="s">
        <v>57645</v>
      </c>
      <c r="AH9641" t="s">
        <v>52999</v>
      </c>
      <c r="AI9641" t="s">
        <v>57646</v>
      </c>
    </row>
    <row r="9642" spans="2:35" ht="300">
      <c r="B9642" s="1">
        <v>44943</v>
      </c>
      <c r="C9642" s="4">
        <v>44943.50277777778</v>
      </c>
      <c r="D9642" t="s">
        <v>1057</v>
      </c>
      <c r="E9642" t="s">
        <v>54074</v>
      </c>
      <c r="F9642">
        <v>1</v>
      </c>
      <c r="G9642" t="s">
        <v>1046</v>
      </c>
      <c r="H9642" t="s">
        <v>39</v>
      </c>
      <c r="I9642" t="s">
        <v>40</v>
      </c>
      <c r="J9642" t="s">
        <v>109</v>
      </c>
      <c r="K9642" t="s">
        <v>42</v>
      </c>
      <c r="L9642" t="s">
        <v>135</v>
      </c>
      <c r="Q9642">
        <v>22953</v>
      </c>
      <c r="R9642" t="s">
        <v>95</v>
      </c>
      <c r="S9642" t="s">
        <v>57647</v>
      </c>
      <c r="T9642">
        <v>27.9</v>
      </c>
      <c r="U9642" s="2" t="s">
        <v>57648</v>
      </c>
      <c r="W9642" t="s">
        <v>3418</v>
      </c>
      <c r="X9642">
        <v>820303</v>
      </c>
      <c r="Y9642" t="s">
        <v>485</v>
      </c>
      <c r="Z9642" s="2" t="s">
        <v>57649</v>
      </c>
      <c r="AA9642" t="s">
        <v>4315</v>
      </c>
      <c r="AB9642" t="s">
        <v>181</v>
      </c>
      <c r="AG9642" t="s">
        <v>57650</v>
      </c>
      <c r="AH9642" t="s">
        <v>3393</v>
      </c>
      <c r="AI9642" t="s">
        <v>57651</v>
      </c>
    </row>
    <row r="9643" spans="2:35" ht="409.5">
      <c r="B9643" s="1">
        <v>44943</v>
      </c>
      <c r="C9643" s="4">
        <v>44943.463888888888</v>
      </c>
      <c r="D9643" t="s">
        <v>57652</v>
      </c>
      <c r="E9643" t="s">
        <v>50015</v>
      </c>
      <c r="F9643">
        <v>11</v>
      </c>
      <c r="G9643" t="s">
        <v>1205</v>
      </c>
      <c r="H9643" t="s">
        <v>57653</v>
      </c>
      <c r="I9643" t="s">
        <v>40</v>
      </c>
      <c r="J9643" s="2" t="s">
        <v>41</v>
      </c>
      <c r="K9643" t="s">
        <v>42</v>
      </c>
      <c r="L9643" t="s">
        <v>204</v>
      </c>
      <c r="Q9643">
        <v>22952</v>
      </c>
      <c r="R9643" t="s">
        <v>119</v>
      </c>
      <c r="S9643" t="s">
        <v>7745</v>
      </c>
      <c r="T9643">
        <v>28.9</v>
      </c>
      <c r="U9643" s="2" t="s">
        <v>57654</v>
      </c>
      <c r="V9643" s="1">
        <v>44943</v>
      </c>
      <c r="W9643" t="s">
        <v>23237</v>
      </c>
      <c r="X9643">
        <v>838492</v>
      </c>
      <c r="Y9643" s="2" t="s">
        <v>57655</v>
      </c>
      <c r="Z9643" t="s">
        <v>57656</v>
      </c>
      <c r="AA9643" s="2" t="s">
        <v>57657</v>
      </c>
      <c r="AB9643" t="s">
        <v>57658</v>
      </c>
      <c r="AC9643" t="s">
        <v>57659</v>
      </c>
      <c r="AD9643" t="s">
        <v>54</v>
      </c>
      <c r="AE9643" t="s">
        <v>103</v>
      </c>
      <c r="AG9643" t="s">
        <v>57660</v>
      </c>
      <c r="AH9643" t="s">
        <v>50019</v>
      </c>
      <c r="AI9643" t="s">
        <v>57661</v>
      </c>
    </row>
    <row r="9644" spans="2:35" ht="195">
      <c r="B9644" s="1">
        <v>44943</v>
      </c>
      <c r="C9644" s="4">
        <v>44943.388194444444</v>
      </c>
      <c r="D9644" t="s">
        <v>6044</v>
      </c>
      <c r="E9644" t="s">
        <v>57662</v>
      </c>
      <c r="F9644">
        <v>7</v>
      </c>
      <c r="G9644" t="s">
        <v>432</v>
      </c>
      <c r="H9644" t="s">
        <v>386</v>
      </c>
      <c r="I9644" t="s">
        <v>94</v>
      </c>
      <c r="J9644" t="s">
        <v>79</v>
      </c>
      <c r="K9644" t="s">
        <v>387</v>
      </c>
      <c r="L9644" t="s">
        <v>610</v>
      </c>
      <c r="Q9644">
        <v>22951</v>
      </c>
      <c r="R9644" t="s">
        <v>95</v>
      </c>
      <c r="S9644" t="s">
        <v>6039</v>
      </c>
      <c r="T9644">
        <v>21</v>
      </c>
      <c r="V9644" s="1">
        <v>44943</v>
      </c>
      <c r="W9644" t="s">
        <v>390</v>
      </c>
      <c r="X9644" t="s">
        <v>6040</v>
      </c>
      <c r="Y9644" s="2" t="s">
        <v>57663</v>
      </c>
      <c r="Z9644" t="s">
        <v>57664</v>
      </c>
      <c r="AA9644" s="2" t="s">
        <v>57665</v>
      </c>
      <c r="AB9644" t="s">
        <v>57666</v>
      </c>
      <c r="AD9644" t="s">
        <v>103</v>
      </c>
      <c r="AE9644" t="s">
        <v>103</v>
      </c>
      <c r="AG9644" t="s">
        <v>57667</v>
      </c>
      <c r="AH9644" t="s">
        <v>57668</v>
      </c>
      <c r="AI9644" t="s">
        <v>57669</v>
      </c>
    </row>
    <row r="9645" spans="2:35" ht="90">
      <c r="B9645" s="1">
        <v>44942</v>
      </c>
      <c r="C9645" s="4">
        <v>44942.612500000003</v>
      </c>
      <c r="D9645" t="s">
        <v>8592</v>
      </c>
      <c r="E9645" t="s">
        <v>1555</v>
      </c>
      <c r="F9645">
        <v>7</v>
      </c>
      <c r="G9645" t="s">
        <v>432</v>
      </c>
      <c r="H9645" t="s">
        <v>39</v>
      </c>
      <c r="I9645" t="s">
        <v>94</v>
      </c>
      <c r="J9645" t="s">
        <v>321</v>
      </c>
      <c r="K9645" t="s">
        <v>42</v>
      </c>
      <c r="L9645" t="s">
        <v>433</v>
      </c>
      <c r="Q9645">
        <v>22950</v>
      </c>
      <c r="R9645" t="s">
        <v>119</v>
      </c>
      <c r="S9645" t="s">
        <v>33139</v>
      </c>
      <c r="T9645">
        <v>28</v>
      </c>
      <c r="U9645" s="2" t="s">
        <v>57670</v>
      </c>
      <c r="W9645" t="s">
        <v>6776</v>
      </c>
      <c r="X9645">
        <v>838263</v>
      </c>
      <c r="Y9645" t="s">
        <v>57671</v>
      </c>
      <c r="Z9645" t="s">
        <v>57671</v>
      </c>
      <c r="AA9645" t="s">
        <v>57671</v>
      </c>
      <c r="AB9645" t="s">
        <v>1011</v>
      </c>
      <c r="AG9645" t="s">
        <v>57672</v>
      </c>
      <c r="AH9645" t="s">
        <v>33144</v>
      </c>
      <c r="AI9645" t="s">
        <v>57673</v>
      </c>
    </row>
    <row r="9646" spans="2:35" ht="105">
      <c r="B9646" s="1">
        <v>44942</v>
      </c>
      <c r="C9646" s="4">
        <v>44942.61041666667</v>
      </c>
      <c r="D9646" t="s">
        <v>24073</v>
      </c>
      <c r="E9646" t="s">
        <v>1555</v>
      </c>
      <c r="F9646">
        <v>7</v>
      </c>
      <c r="G9646" t="s">
        <v>432</v>
      </c>
      <c r="H9646" t="s">
        <v>39</v>
      </c>
      <c r="I9646" t="s">
        <v>40</v>
      </c>
      <c r="J9646" t="s">
        <v>321</v>
      </c>
      <c r="K9646" t="s">
        <v>42</v>
      </c>
      <c r="L9646" t="s">
        <v>433</v>
      </c>
      <c r="Q9646">
        <v>22949</v>
      </c>
      <c r="R9646" t="s">
        <v>45</v>
      </c>
      <c r="S9646" t="s">
        <v>33139</v>
      </c>
      <c r="T9646">
        <v>28</v>
      </c>
      <c r="U9646" s="2" t="s">
        <v>27748</v>
      </c>
      <c r="W9646" t="s">
        <v>12212</v>
      </c>
      <c r="X9646">
        <v>838882</v>
      </c>
      <c r="Y9646" t="s">
        <v>57671</v>
      </c>
      <c r="Z9646" t="s">
        <v>57671</v>
      </c>
      <c r="AA9646" t="s">
        <v>57671</v>
      </c>
      <c r="AB9646" t="s">
        <v>1011</v>
      </c>
      <c r="AG9646" t="s">
        <v>57674</v>
      </c>
      <c r="AH9646" t="s">
        <v>33144</v>
      </c>
      <c r="AI9646" t="s">
        <v>57675</v>
      </c>
    </row>
    <row r="9647" spans="2:35" ht="105">
      <c r="B9647" s="1">
        <v>44942</v>
      </c>
      <c r="C9647" s="4">
        <v>44942.604861111111</v>
      </c>
      <c r="D9647" t="s">
        <v>1825</v>
      </c>
      <c r="E9647" t="s">
        <v>1555</v>
      </c>
      <c r="F9647">
        <v>7</v>
      </c>
      <c r="G9647" t="s">
        <v>432</v>
      </c>
      <c r="H9647" t="s">
        <v>39</v>
      </c>
      <c r="I9647" t="s">
        <v>40</v>
      </c>
      <c r="J9647" t="s">
        <v>321</v>
      </c>
      <c r="K9647" t="s">
        <v>42</v>
      </c>
      <c r="L9647" t="s">
        <v>433</v>
      </c>
      <c r="Q9647">
        <v>22948</v>
      </c>
      <c r="R9647" t="s">
        <v>45</v>
      </c>
      <c r="S9647" t="s">
        <v>33139</v>
      </c>
      <c r="T9647">
        <v>28</v>
      </c>
      <c r="U9647" s="2" t="s">
        <v>27748</v>
      </c>
      <c r="W9647" t="s">
        <v>6776</v>
      </c>
      <c r="X9647">
        <v>806201</v>
      </c>
      <c r="Y9647" t="s">
        <v>57671</v>
      </c>
      <c r="Z9647" t="s">
        <v>57671</v>
      </c>
      <c r="AA9647" t="s">
        <v>57671</v>
      </c>
      <c r="AB9647" t="s">
        <v>57676</v>
      </c>
      <c r="AG9647" t="s">
        <v>57677</v>
      </c>
      <c r="AH9647" t="s">
        <v>33144</v>
      </c>
      <c r="AI9647" t="s">
        <v>57678</v>
      </c>
    </row>
    <row r="9648" spans="2:35" ht="255">
      <c r="B9648" s="1">
        <v>44942</v>
      </c>
      <c r="C9648" s="4">
        <v>44942.559027777781</v>
      </c>
      <c r="D9648" t="s">
        <v>1471</v>
      </c>
      <c r="E9648" t="s">
        <v>1472</v>
      </c>
      <c r="F9648">
        <v>12</v>
      </c>
      <c r="G9648" t="s">
        <v>978</v>
      </c>
      <c r="H9648" t="s">
        <v>39</v>
      </c>
      <c r="I9648" t="s">
        <v>94</v>
      </c>
      <c r="J9648" s="2" t="s">
        <v>41</v>
      </c>
      <c r="K9648" t="s">
        <v>42</v>
      </c>
      <c r="Q9648">
        <v>22947</v>
      </c>
      <c r="R9648" t="s">
        <v>45</v>
      </c>
      <c r="S9648" t="s">
        <v>1475</v>
      </c>
      <c r="T9648">
        <v>23.1</v>
      </c>
      <c r="U9648" s="2" t="s">
        <v>57679</v>
      </c>
      <c r="V9648" s="1">
        <v>44942</v>
      </c>
      <c r="W9648" t="s">
        <v>53244</v>
      </c>
      <c r="X9648">
        <v>707529</v>
      </c>
      <c r="Y9648" t="s">
        <v>57680</v>
      </c>
      <c r="Z9648" s="2" t="s">
        <v>57681</v>
      </c>
      <c r="AA9648" s="2" t="s">
        <v>57681</v>
      </c>
      <c r="AB9648" t="s">
        <v>57388</v>
      </c>
      <c r="AD9648" t="s">
        <v>10783</v>
      </c>
      <c r="AE9648" t="s">
        <v>22232</v>
      </c>
      <c r="AF9648" t="s">
        <v>296</v>
      </c>
      <c r="AG9648" t="s">
        <v>57682</v>
      </c>
      <c r="AH9648" t="s">
        <v>56264</v>
      </c>
      <c r="AI9648" t="s">
        <v>57683</v>
      </c>
    </row>
    <row r="9649" spans="2:35" ht="345">
      <c r="B9649" s="1">
        <v>44942</v>
      </c>
      <c r="C9649" s="4">
        <v>44942.484027777777</v>
      </c>
      <c r="D9649" t="s">
        <v>18493</v>
      </c>
      <c r="E9649" t="s">
        <v>57684</v>
      </c>
      <c r="F9649">
        <v>11</v>
      </c>
      <c r="G9649" t="s">
        <v>1205</v>
      </c>
      <c r="H9649" t="s">
        <v>39</v>
      </c>
      <c r="I9649" t="s">
        <v>40</v>
      </c>
      <c r="J9649" t="s">
        <v>109</v>
      </c>
      <c r="K9649" t="s">
        <v>42</v>
      </c>
      <c r="Q9649">
        <v>22946</v>
      </c>
      <c r="R9649" t="s">
        <v>119</v>
      </c>
      <c r="S9649" t="s">
        <v>57685</v>
      </c>
      <c r="T9649">
        <v>26.9</v>
      </c>
      <c r="U9649" s="2" t="s">
        <v>57686</v>
      </c>
      <c r="V9649" s="1">
        <v>44942</v>
      </c>
      <c r="W9649" t="s">
        <v>23237</v>
      </c>
      <c r="X9649">
        <v>838505</v>
      </c>
      <c r="Y9649" t="s">
        <v>1052</v>
      </c>
      <c r="Z9649" t="s">
        <v>2551</v>
      </c>
      <c r="AA9649" s="2" t="s">
        <v>6895</v>
      </c>
      <c r="AB9649" t="s">
        <v>9590</v>
      </c>
      <c r="AC9649" t="s">
        <v>54</v>
      </c>
      <c r="AD9649" t="s">
        <v>54</v>
      </c>
      <c r="AE9649" t="s">
        <v>54</v>
      </c>
      <c r="AF9649" t="s">
        <v>57687</v>
      </c>
      <c r="AG9649" t="s">
        <v>57688</v>
      </c>
      <c r="AH9649" t="s">
        <v>57689</v>
      </c>
      <c r="AI9649" t="s">
        <v>57690</v>
      </c>
    </row>
    <row r="9650" spans="2:35" ht="345">
      <c r="B9650" s="1">
        <v>44942</v>
      </c>
      <c r="C9650" s="4">
        <v>44939.59375</v>
      </c>
      <c r="D9650" t="s">
        <v>1026</v>
      </c>
      <c r="E9650" t="s">
        <v>44767</v>
      </c>
      <c r="F9650" t="s">
        <v>148</v>
      </c>
      <c r="G9650" t="s">
        <v>774</v>
      </c>
      <c r="H9650" t="s">
        <v>61</v>
      </c>
      <c r="I9650" t="s">
        <v>40</v>
      </c>
      <c r="J9650" s="2" t="s">
        <v>190</v>
      </c>
      <c r="K9650" t="s">
        <v>42</v>
      </c>
      <c r="Q9650">
        <v>22942</v>
      </c>
      <c r="R9650" t="s">
        <v>322</v>
      </c>
      <c r="S9650" t="s">
        <v>55612</v>
      </c>
      <c r="T9650">
        <v>24</v>
      </c>
      <c r="U9650" s="2" t="s">
        <v>57691</v>
      </c>
      <c r="W9650" t="s">
        <v>36116</v>
      </c>
      <c r="X9650">
        <v>803869</v>
      </c>
      <c r="Y9650" t="s">
        <v>57692</v>
      </c>
      <c r="Z9650" t="s">
        <v>10920</v>
      </c>
      <c r="AA9650" s="2" t="s">
        <v>57693</v>
      </c>
      <c r="AB9650" t="s">
        <v>57694</v>
      </c>
      <c r="AC9650" t="s">
        <v>57695</v>
      </c>
      <c r="AF9650" t="s">
        <v>57018</v>
      </c>
      <c r="AG9650" t="s">
        <v>57696</v>
      </c>
      <c r="AH9650" t="s">
        <v>55620</v>
      </c>
      <c r="AI9650" t="s">
        <v>57697</v>
      </c>
    </row>
    <row r="9651" spans="2:35" ht="210">
      <c r="B9651" s="1">
        <v>44942</v>
      </c>
      <c r="C9651" s="4">
        <v>44938.467361111114</v>
      </c>
      <c r="D9651" t="s">
        <v>57698</v>
      </c>
      <c r="E9651" t="s">
        <v>57699</v>
      </c>
      <c r="F9651" t="s">
        <v>37</v>
      </c>
      <c r="G9651" t="s">
        <v>748</v>
      </c>
      <c r="H9651" t="s">
        <v>39</v>
      </c>
      <c r="I9651" t="s">
        <v>40</v>
      </c>
      <c r="J9651" s="2" t="s">
        <v>41</v>
      </c>
      <c r="K9651" t="s">
        <v>42</v>
      </c>
      <c r="Q9651">
        <v>22944</v>
      </c>
      <c r="R9651" t="s">
        <v>119</v>
      </c>
      <c r="S9651" t="s">
        <v>25157</v>
      </c>
      <c r="T9651">
        <v>24</v>
      </c>
      <c r="U9651" s="2" t="s">
        <v>57700</v>
      </c>
      <c r="W9651" t="s">
        <v>2680</v>
      </c>
      <c r="X9651">
        <v>821221</v>
      </c>
      <c r="Y9651" t="s">
        <v>57701</v>
      </c>
      <c r="Z9651" t="s">
        <v>26847</v>
      </c>
      <c r="AA9651" s="2" t="s">
        <v>57702</v>
      </c>
      <c r="AB9651" t="s">
        <v>181</v>
      </c>
      <c r="AC9651" t="s">
        <v>57703</v>
      </c>
      <c r="AF9651" t="s">
        <v>57704</v>
      </c>
      <c r="AG9651" t="s">
        <v>57705</v>
      </c>
      <c r="AH9651" t="s">
        <v>25162</v>
      </c>
      <c r="AI9651" t="s">
        <v>57706</v>
      </c>
    </row>
    <row r="9652" spans="2:35" ht="180">
      <c r="B9652" s="1">
        <v>44942</v>
      </c>
      <c r="C9652" s="4">
        <v>44939.424305555556</v>
      </c>
      <c r="D9652" t="s">
        <v>5158</v>
      </c>
      <c r="E9652" t="s">
        <v>57707</v>
      </c>
      <c r="F9652" t="s">
        <v>148</v>
      </c>
      <c r="G9652" t="s">
        <v>310</v>
      </c>
      <c r="H9652" t="s">
        <v>39</v>
      </c>
      <c r="I9652" t="s">
        <v>40</v>
      </c>
      <c r="J9652" t="s">
        <v>79</v>
      </c>
      <c r="K9652" t="s">
        <v>42</v>
      </c>
      <c r="Q9652">
        <v>22943</v>
      </c>
      <c r="R9652" t="s">
        <v>322</v>
      </c>
      <c r="S9652" t="s">
        <v>14635</v>
      </c>
      <c r="T9652">
        <v>26</v>
      </c>
      <c r="U9652" s="2" t="s">
        <v>57708</v>
      </c>
      <c r="W9652" t="s">
        <v>36557</v>
      </c>
      <c r="X9652">
        <v>110013856</v>
      </c>
      <c r="Y9652" t="s">
        <v>57709</v>
      </c>
      <c r="Z9652" t="s">
        <v>48932</v>
      </c>
      <c r="AA9652" s="2" t="s">
        <v>57710</v>
      </c>
      <c r="AB9652" t="s">
        <v>57711</v>
      </c>
      <c r="AC9652" t="s">
        <v>57712</v>
      </c>
      <c r="AF9652" t="s">
        <v>57018</v>
      </c>
      <c r="AG9652" t="s">
        <v>57713</v>
      </c>
      <c r="AH9652" t="s">
        <v>5165</v>
      </c>
      <c r="AI9652" t="s">
        <v>57714</v>
      </c>
    </row>
    <row r="9653" spans="2:35" ht="210">
      <c r="B9653" s="1">
        <v>44942</v>
      </c>
      <c r="C9653" s="4">
        <v>44939.477083333331</v>
      </c>
      <c r="D9653" t="s">
        <v>57715</v>
      </c>
      <c r="E9653" t="s">
        <v>57716</v>
      </c>
      <c r="F9653" t="s">
        <v>148</v>
      </c>
      <c r="G9653" t="s">
        <v>544</v>
      </c>
      <c r="H9653" t="s">
        <v>39</v>
      </c>
      <c r="I9653" t="s">
        <v>40</v>
      </c>
      <c r="J9653" t="s">
        <v>109</v>
      </c>
      <c r="K9653" t="s">
        <v>42</v>
      </c>
      <c r="Q9653">
        <v>22939</v>
      </c>
      <c r="R9653" t="s">
        <v>703</v>
      </c>
      <c r="S9653" t="s">
        <v>57717</v>
      </c>
      <c r="T9653">
        <v>25</v>
      </c>
      <c r="U9653" s="2" t="s">
        <v>57718</v>
      </c>
      <c r="W9653" t="s">
        <v>9792</v>
      </c>
      <c r="X9653">
        <v>110008418</v>
      </c>
      <c r="Y9653" t="s">
        <v>19210</v>
      </c>
      <c r="Z9653" t="s">
        <v>122</v>
      </c>
      <c r="AA9653" s="2" t="s">
        <v>57719</v>
      </c>
      <c r="AB9653" t="s">
        <v>7543</v>
      </c>
      <c r="AF9653" t="s">
        <v>57720</v>
      </c>
      <c r="AG9653" t="s">
        <v>57721</v>
      </c>
      <c r="AH9653" t="s">
        <v>45678</v>
      </c>
      <c r="AI9653" t="s">
        <v>57722</v>
      </c>
    </row>
    <row r="9654" spans="2:35" ht="195">
      <c r="B9654" s="1">
        <v>44942</v>
      </c>
      <c r="C9654" s="4">
        <v>44938.626388888886</v>
      </c>
      <c r="D9654" t="s">
        <v>1678</v>
      </c>
      <c r="E9654" t="s">
        <v>53768</v>
      </c>
      <c r="F9654" t="s">
        <v>148</v>
      </c>
      <c r="G9654" t="s">
        <v>785</v>
      </c>
      <c r="H9654" t="s">
        <v>39</v>
      </c>
      <c r="I9654" t="s">
        <v>40</v>
      </c>
      <c r="J9654" t="s">
        <v>79</v>
      </c>
      <c r="K9654" t="s">
        <v>42</v>
      </c>
      <c r="Q9654">
        <v>22940</v>
      </c>
      <c r="R9654" t="s">
        <v>719</v>
      </c>
      <c r="S9654" t="s">
        <v>18437</v>
      </c>
      <c r="T9654">
        <v>25</v>
      </c>
      <c r="U9654" s="2" t="s">
        <v>57723</v>
      </c>
      <c r="W9654" t="s">
        <v>9792</v>
      </c>
      <c r="X9654">
        <v>843924</v>
      </c>
      <c r="Y9654" t="s">
        <v>40773</v>
      </c>
      <c r="Z9654" t="s">
        <v>8743</v>
      </c>
      <c r="AA9654" s="2" t="s">
        <v>57724</v>
      </c>
      <c r="AB9654" t="s">
        <v>57725</v>
      </c>
      <c r="AF9654" t="s">
        <v>57720</v>
      </c>
      <c r="AG9654" t="s">
        <v>57726</v>
      </c>
      <c r="AH9654" t="s">
        <v>1684</v>
      </c>
      <c r="AI9654" t="s">
        <v>57727</v>
      </c>
    </row>
    <row r="9655" spans="2:35" ht="210">
      <c r="B9655" s="1">
        <v>44942</v>
      </c>
      <c r="C9655" s="4">
        <v>44939.571527777778</v>
      </c>
      <c r="D9655" t="s">
        <v>6595</v>
      </c>
      <c r="E9655" t="s">
        <v>34601</v>
      </c>
      <c r="F9655" t="s">
        <v>148</v>
      </c>
      <c r="G9655" t="s">
        <v>785</v>
      </c>
      <c r="H9655" t="s">
        <v>39</v>
      </c>
      <c r="I9655" t="s">
        <v>40</v>
      </c>
      <c r="J9655" t="s">
        <v>109</v>
      </c>
      <c r="K9655" t="s">
        <v>42</v>
      </c>
      <c r="Q9655">
        <v>22941</v>
      </c>
      <c r="R9655" t="s">
        <v>322</v>
      </c>
      <c r="S9655" t="s">
        <v>57728</v>
      </c>
      <c r="T9655">
        <v>26</v>
      </c>
      <c r="U9655" s="2" t="s">
        <v>57729</v>
      </c>
      <c r="W9655" t="s">
        <v>41381</v>
      </c>
      <c r="X9655">
        <v>821648</v>
      </c>
      <c r="Y9655" t="s">
        <v>57730</v>
      </c>
      <c r="Z9655" t="s">
        <v>122</v>
      </c>
      <c r="AA9655" s="2" t="s">
        <v>57731</v>
      </c>
      <c r="AB9655" t="s">
        <v>57732</v>
      </c>
      <c r="AC9655" t="s">
        <v>57733</v>
      </c>
      <c r="AF9655" t="s">
        <v>57720</v>
      </c>
      <c r="AG9655" t="s">
        <v>57734</v>
      </c>
      <c r="AH9655" t="s">
        <v>810</v>
      </c>
      <c r="AI9655" t="s">
        <v>57735</v>
      </c>
    </row>
    <row r="9656" spans="2:35" ht="225">
      <c r="B9656" s="1">
        <v>44942</v>
      </c>
      <c r="C9656" s="4">
        <v>44939.474999999999</v>
      </c>
      <c r="D9656" t="s">
        <v>702</v>
      </c>
      <c r="E9656" t="s">
        <v>57716</v>
      </c>
      <c r="F9656" t="s">
        <v>148</v>
      </c>
      <c r="G9656" t="s">
        <v>544</v>
      </c>
      <c r="H9656" t="s">
        <v>39</v>
      </c>
      <c r="I9656" t="s">
        <v>40</v>
      </c>
      <c r="J9656" t="s">
        <v>109</v>
      </c>
      <c r="K9656" t="s">
        <v>42</v>
      </c>
      <c r="Q9656">
        <v>22938</v>
      </c>
      <c r="R9656" t="s">
        <v>45</v>
      </c>
      <c r="S9656" t="s">
        <v>57717</v>
      </c>
      <c r="T9656">
        <v>25</v>
      </c>
      <c r="U9656" s="2" t="s">
        <v>55945</v>
      </c>
      <c r="W9656" t="s">
        <v>41381</v>
      </c>
      <c r="X9656">
        <v>805211</v>
      </c>
      <c r="Y9656" t="s">
        <v>121</v>
      </c>
      <c r="Z9656" t="s">
        <v>122</v>
      </c>
      <c r="AA9656" s="2" t="s">
        <v>57736</v>
      </c>
      <c r="AB9656" t="s">
        <v>16412</v>
      </c>
      <c r="AF9656" t="s">
        <v>57720</v>
      </c>
      <c r="AG9656" t="s">
        <v>57737</v>
      </c>
      <c r="AH9656" t="s">
        <v>45678</v>
      </c>
      <c r="AI9656" t="s">
        <v>57738</v>
      </c>
    </row>
    <row r="9657" spans="2:35" ht="330">
      <c r="B9657" s="1">
        <v>44939</v>
      </c>
      <c r="C9657" s="4">
        <v>44939.700694444444</v>
      </c>
      <c r="D9657" t="s">
        <v>57739</v>
      </c>
      <c r="E9657" t="s">
        <v>57740</v>
      </c>
      <c r="F9657" t="s">
        <v>148</v>
      </c>
      <c r="G9657" t="s">
        <v>310</v>
      </c>
      <c r="H9657" t="s">
        <v>39</v>
      </c>
      <c r="I9657" t="s">
        <v>40</v>
      </c>
      <c r="J9657" s="2" t="s">
        <v>41</v>
      </c>
      <c r="K9657" t="s">
        <v>42</v>
      </c>
      <c r="Q9657">
        <v>22937</v>
      </c>
      <c r="R9657" t="s">
        <v>322</v>
      </c>
      <c r="S9657" t="s">
        <v>859</v>
      </c>
      <c r="T9657">
        <v>21.4</v>
      </c>
      <c r="U9657" s="2" t="s">
        <v>57741</v>
      </c>
      <c r="V9657" s="1">
        <v>44937</v>
      </c>
      <c r="W9657" t="s">
        <v>57742</v>
      </c>
      <c r="X9657">
        <v>809643</v>
      </c>
      <c r="Y9657" s="2" t="s">
        <v>57743</v>
      </c>
      <c r="Z9657" t="s">
        <v>2129</v>
      </c>
      <c r="AA9657" s="2" t="s">
        <v>57744</v>
      </c>
      <c r="AB9657" t="s">
        <v>57745</v>
      </c>
      <c r="AD9657" s="2" t="s">
        <v>57746</v>
      </c>
      <c r="AE9657" t="s">
        <v>57747</v>
      </c>
      <c r="AF9657" t="s">
        <v>55932</v>
      </c>
      <c r="AG9657" t="s">
        <v>57748</v>
      </c>
      <c r="AH9657" t="s">
        <v>53257</v>
      </c>
      <c r="AI9657" t="s">
        <v>57749</v>
      </c>
    </row>
    <row r="9658" spans="2:35" ht="180">
      <c r="B9658" s="1">
        <v>44939</v>
      </c>
      <c r="C9658" s="4">
        <v>44939.572222222225</v>
      </c>
      <c r="D9658" t="s">
        <v>5546</v>
      </c>
      <c r="E9658" t="s">
        <v>1555</v>
      </c>
      <c r="F9658">
        <v>7</v>
      </c>
      <c r="G9658" t="s">
        <v>432</v>
      </c>
      <c r="H9658" t="s">
        <v>39</v>
      </c>
      <c r="I9658" t="s">
        <v>94</v>
      </c>
      <c r="J9658" t="s">
        <v>321</v>
      </c>
      <c r="K9658" t="s">
        <v>42</v>
      </c>
      <c r="Q9658">
        <v>22936</v>
      </c>
      <c r="R9658" t="s">
        <v>45</v>
      </c>
      <c r="S9658" t="s">
        <v>5548</v>
      </c>
      <c r="T9658">
        <v>28</v>
      </c>
      <c r="U9658" s="2" t="s">
        <v>57750</v>
      </c>
      <c r="W9658" t="s">
        <v>6776</v>
      </c>
      <c r="X9658">
        <v>808620</v>
      </c>
      <c r="Y9658" t="s">
        <v>57751</v>
      </c>
      <c r="Z9658" t="s">
        <v>13110</v>
      </c>
      <c r="AA9658" t="s">
        <v>13110</v>
      </c>
      <c r="AB9658" t="s">
        <v>51522</v>
      </c>
      <c r="AF9658" t="s">
        <v>57752</v>
      </c>
      <c r="AG9658" t="s">
        <v>57753</v>
      </c>
      <c r="AH9658" t="s">
        <v>23102</v>
      </c>
      <c r="AI9658" t="s">
        <v>57754</v>
      </c>
    </row>
    <row r="9659" spans="2:35" ht="300">
      <c r="B9659" s="1">
        <v>44939</v>
      </c>
      <c r="C9659" s="4">
        <v>44939.54791666667</v>
      </c>
      <c r="D9659" t="s">
        <v>10170</v>
      </c>
      <c r="E9659" t="s">
        <v>57755</v>
      </c>
      <c r="F9659">
        <v>7</v>
      </c>
      <c r="G9659" t="s">
        <v>432</v>
      </c>
      <c r="H9659" t="s">
        <v>258</v>
      </c>
      <c r="I9659" t="s">
        <v>94</v>
      </c>
      <c r="J9659" t="s">
        <v>109</v>
      </c>
      <c r="K9659" t="s">
        <v>42</v>
      </c>
      <c r="Q9659">
        <v>22935</v>
      </c>
      <c r="R9659" t="s">
        <v>119</v>
      </c>
      <c r="S9659" t="s">
        <v>6211</v>
      </c>
      <c r="T9659">
        <v>24</v>
      </c>
      <c r="U9659" s="2" t="s">
        <v>57756</v>
      </c>
      <c r="V9659" s="1">
        <v>44939</v>
      </c>
      <c r="W9659" t="s">
        <v>360</v>
      </c>
      <c r="X9659">
        <v>838534</v>
      </c>
      <c r="Y9659" t="s">
        <v>57617</v>
      </c>
      <c r="Z9659" s="2" t="s">
        <v>57757</v>
      </c>
      <c r="AA9659" t="s">
        <v>57758</v>
      </c>
      <c r="AB9659" t="s">
        <v>1263</v>
      </c>
      <c r="AC9659" t="s">
        <v>103</v>
      </c>
      <c r="AD9659" t="s">
        <v>4448</v>
      </c>
      <c r="AE9659" t="s">
        <v>4448</v>
      </c>
      <c r="AF9659" t="s">
        <v>610</v>
      </c>
      <c r="AG9659" t="s">
        <v>57759</v>
      </c>
      <c r="AH9659" t="s">
        <v>39363</v>
      </c>
      <c r="AI9659" t="s">
        <v>57760</v>
      </c>
    </row>
    <row r="9660" spans="2:35" ht="195">
      <c r="B9660" s="1">
        <v>44939</v>
      </c>
      <c r="C9660" s="4">
        <v>44939.567361111112</v>
      </c>
      <c r="D9660" t="s">
        <v>5546</v>
      </c>
      <c r="E9660" t="s">
        <v>1555</v>
      </c>
      <c r="F9660">
        <v>7</v>
      </c>
      <c r="G9660" t="s">
        <v>432</v>
      </c>
      <c r="H9660" t="s">
        <v>39</v>
      </c>
      <c r="I9660" t="s">
        <v>94</v>
      </c>
      <c r="J9660" t="s">
        <v>321</v>
      </c>
      <c r="K9660" t="s">
        <v>42</v>
      </c>
      <c r="Q9660">
        <v>22934</v>
      </c>
      <c r="R9660" t="s">
        <v>119</v>
      </c>
      <c r="S9660" t="s">
        <v>5548</v>
      </c>
      <c r="T9660">
        <v>29</v>
      </c>
      <c r="U9660" s="2" t="s">
        <v>57761</v>
      </c>
      <c r="W9660" t="s">
        <v>12212</v>
      </c>
      <c r="X9660">
        <v>838527</v>
      </c>
      <c r="Y9660" t="s">
        <v>57751</v>
      </c>
      <c r="Z9660" t="s">
        <v>13110</v>
      </c>
      <c r="AA9660" t="s">
        <v>13110</v>
      </c>
      <c r="AB9660" t="s">
        <v>57762</v>
      </c>
      <c r="AF9660" t="s">
        <v>433</v>
      </c>
      <c r="AG9660" t="s">
        <v>57763</v>
      </c>
      <c r="AH9660" t="s">
        <v>44979</v>
      </c>
      <c r="AI9660" t="s">
        <v>57764</v>
      </c>
    </row>
    <row r="9661" spans="2:35" ht="180">
      <c r="B9661" s="1">
        <v>44939</v>
      </c>
      <c r="C9661" s="4">
        <v>44939.552777777775</v>
      </c>
      <c r="D9661" t="s">
        <v>2364</v>
      </c>
      <c r="E9661" t="s">
        <v>7483</v>
      </c>
      <c r="F9661">
        <v>12</v>
      </c>
      <c r="G9661" t="s">
        <v>978</v>
      </c>
      <c r="H9661" t="s">
        <v>39</v>
      </c>
      <c r="I9661" t="s">
        <v>94</v>
      </c>
      <c r="J9661" t="s">
        <v>109</v>
      </c>
      <c r="K9661" t="s">
        <v>42</v>
      </c>
      <c r="Q9661">
        <v>22933</v>
      </c>
      <c r="R9661" t="s">
        <v>119</v>
      </c>
      <c r="S9661" t="s">
        <v>50380</v>
      </c>
      <c r="T9661">
        <v>25.3</v>
      </c>
      <c r="U9661" s="2" t="s">
        <v>57765</v>
      </c>
      <c r="W9661" t="s">
        <v>53244</v>
      </c>
      <c r="X9661">
        <v>838570</v>
      </c>
      <c r="Y9661" t="s">
        <v>57766</v>
      </c>
      <c r="Z9661" t="s">
        <v>303</v>
      </c>
      <c r="AA9661" t="s">
        <v>303</v>
      </c>
      <c r="AB9661" t="s">
        <v>57388</v>
      </c>
      <c r="AF9661" t="s">
        <v>296</v>
      </c>
      <c r="AG9661" t="s">
        <v>57767</v>
      </c>
      <c r="AH9661" t="s">
        <v>56981</v>
      </c>
      <c r="AI9661" t="s">
        <v>57768</v>
      </c>
    </row>
    <row r="9662" spans="2:35" ht="180">
      <c r="B9662" s="1">
        <v>44939</v>
      </c>
      <c r="C9662" s="4">
        <v>44939.548611111109</v>
      </c>
      <c r="D9662" t="s">
        <v>2364</v>
      </c>
      <c r="E9662" t="s">
        <v>7483</v>
      </c>
      <c r="F9662">
        <v>12</v>
      </c>
      <c r="G9662" t="s">
        <v>978</v>
      </c>
      <c r="H9662" t="s">
        <v>39</v>
      </c>
      <c r="I9662" t="s">
        <v>94</v>
      </c>
      <c r="J9662" t="s">
        <v>109</v>
      </c>
      <c r="K9662" t="s">
        <v>42</v>
      </c>
      <c r="Q9662">
        <v>22932</v>
      </c>
      <c r="R9662" t="s">
        <v>45</v>
      </c>
      <c r="S9662" t="s">
        <v>50380</v>
      </c>
      <c r="T9662">
        <v>24.7</v>
      </c>
      <c r="U9662" s="2" t="s">
        <v>57769</v>
      </c>
      <c r="W9662" t="s">
        <v>53244</v>
      </c>
      <c r="X9662">
        <v>815428</v>
      </c>
      <c r="Y9662" t="s">
        <v>54</v>
      </c>
      <c r="Z9662" t="s">
        <v>303</v>
      </c>
      <c r="AA9662" t="s">
        <v>303</v>
      </c>
      <c r="AB9662" t="s">
        <v>57073</v>
      </c>
      <c r="AF9662" t="s">
        <v>296</v>
      </c>
      <c r="AG9662" t="s">
        <v>57770</v>
      </c>
      <c r="AH9662" t="s">
        <v>56981</v>
      </c>
      <c r="AI9662" t="s">
        <v>57771</v>
      </c>
    </row>
    <row r="9663" spans="2:35" ht="285">
      <c r="B9663" s="1">
        <v>44939</v>
      </c>
      <c r="C9663" s="4">
        <v>44939.52847222222</v>
      </c>
      <c r="D9663" t="s">
        <v>24830</v>
      </c>
      <c r="E9663" t="s">
        <v>24831</v>
      </c>
      <c r="F9663" t="s">
        <v>37</v>
      </c>
      <c r="G9663" t="s">
        <v>78</v>
      </c>
      <c r="H9663" t="s">
        <v>39</v>
      </c>
      <c r="I9663" t="s">
        <v>40</v>
      </c>
      <c r="J9663" s="2" t="s">
        <v>4373</v>
      </c>
      <c r="K9663" t="s">
        <v>42</v>
      </c>
      <c r="Q9663">
        <v>22931</v>
      </c>
      <c r="R9663" t="s">
        <v>45</v>
      </c>
      <c r="S9663" t="s">
        <v>24832</v>
      </c>
      <c r="T9663">
        <v>25</v>
      </c>
      <c r="U9663" s="2" t="s">
        <v>57772</v>
      </c>
      <c r="V9663" s="1">
        <v>44937</v>
      </c>
      <c r="W9663" t="s">
        <v>84</v>
      </c>
      <c r="X9663">
        <v>812780</v>
      </c>
      <c r="Y9663" s="2" t="s">
        <v>57773</v>
      </c>
      <c r="Z9663" s="2" t="s">
        <v>57774</v>
      </c>
      <c r="AA9663" t="s">
        <v>57775</v>
      </c>
      <c r="AB9663" t="s">
        <v>57776</v>
      </c>
      <c r="AD9663" t="s">
        <v>57777</v>
      </c>
      <c r="AE9663" t="s">
        <v>57778</v>
      </c>
      <c r="AF9663" t="s">
        <v>1943</v>
      </c>
      <c r="AG9663" t="s">
        <v>57779</v>
      </c>
      <c r="AH9663" t="s">
        <v>24836</v>
      </c>
      <c r="AI9663" t="s">
        <v>57780</v>
      </c>
    </row>
    <row r="9664" spans="2:35" ht="360">
      <c r="B9664" s="1">
        <v>44939</v>
      </c>
      <c r="C9664" s="4">
        <v>44939.496527777781</v>
      </c>
      <c r="D9664" t="s">
        <v>57781</v>
      </c>
      <c r="E9664" t="s">
        <v>30676</v>
      </c>
      <c r="F9664">
        <v>3</v>
      </c>
      <c r="G9664" t="s">
        <v>134</v>
      </c>
      <c r="H9664" t="s">
        <v>39</v>
      </c>
      <c r="I9664" t="s">
        <v>40</v>
      </c>
      <c r="J9664" s="2" t="s">
        <v>62</v>
      </c>
      <c r="K9664" t="s">
        <v>42</v>
      </c>
      <c r="Q9664">
        <v>22930</v>
      </c>
      <c r="R9664" t="s">
        <v>45</v>
      </c>
      <c r="S9664" t="s">
        <v>30677</v>
      </c>
      <c r="T9664">
        <v>26.7</v>
      </c>
      <c r="U9664" s="2" t="s">
        <v>57782</v>
      </c>
      <c r="W9664" t="s">
        <v>2680</v>
      </c>
      <c r="X9664">
        <v>838879</v>
      </c>
      <c r="Y9664" t="s">
        <v>4143</v>
      </c>
      <c r="Z9664" s="2" t="s">
        <v>57783</v>
      </c>
      <c r="AA9664" t="s">
        <v>54639</v>
      </c>
      <c r="AB9664" t="s">
        <v>181</v>
      </c>
      <c r="AC9664" t="s">
        <v>34421</v>
      </c>
      <c r="AF9664" t="s">
        <v>57784</v>
      </c>
      <c r="AG9664" t="s">
        <v>57785</v>
      </c>
      <c r="AH9664" t="s">
        <v>57786</v>
      </c>
      <c r="AI9664" t="s">
        <v>57787</v>
      </c>
    </row>
    <row r="9665" spans="2:35" ht="180">
      <c r="B9665" s="1">
        <v>44939</v>
      </c>
      <c r="C9665" s="4">
        <v>44939.452777777777</v>
      </c>
      <c r="D9665" t="s">
        <v>7172</v>
      </c>
      <c r="E9665" t="s">
        <v>57788</v>
      </c>
      <c r="F9665" t="s">
        <v>148</v>
      </c>
      <c r="G9665" t="s">
        <v>310</v>
      </c>
      <c r="H9665" t="s">
        <v>39</v>
      </c>
      <c r="I9665" t="s">
        <v>40</v>
      </c>
      <c r="J9665" t="s">
        <v>109</v>
      </c>
      <c r="K9665" t="s">
        <v>42</v>
      </c>
      <c r="Q9665">
        <v>22929</v>
      </c>
      <c r="R9665" t="s">
        <v>703</v>
      </c>
      <c r="S9665" t="s">
        <v>57789</v>
      </c>
      <c r="T9665">
        <v>25</v>
      </c>
      <c r="U9665" s="2" t="s">
        <v>57790</v>
      </c>
      <c r="W9665" t="s">
        <v>1139</v>
      </c>
      <c r="X9665">
        <v>835540</v>
      </c>
      <c r="Y9665" t="s">
        <v>33606</v>
      </c>
      <c r="Z9665" t="s">
        <v>3128</v>
      </c>
      <c r="AA9665" s="2" t="s">
        <v>57791</v>
      </c>
      <c r="AB9665" s="2" t="s">
        <v>57792</v>
      </c>
      <c r="AF9665" t="s">
        <v>55932</v>
      </c>
      <c r="AG9665" t="s">
        <v>57793</v>
      </c>
      <c r="AH9665" t="s">
        <v>57794</v>
      </c>
      <c r="AI9665" t="s">
        <v>57795</v>
      </c>
    </row>
    <row r="9666" spans="2:35" ht="360">
      <c r="B9666" s="1">
        <v>44939</v>
      </c>
      <c r="C9666" s="4">
        <v>44939.424305555556</v>
      </c>
      <c r="D9666" t="s">
        <v>23182</v>
      </c>
      <c r="E9666" t="s">
        <v>57796</v>
      </c>
      <c r="F9666" t="s">
        <v>37</v>
      </c>
      <c r="G9666" t="s">
        <v>78</v>
      </c>
      <c r="H9666" t="s">
        <v>39</v>
      </c>
      <c r="I9666" t="s">
        <v>40</v>
      </c>
      <c r="J9666" s="2" t="s">
        <v>1808</v>
      </c>
      <c r="K9666" t="s">
        <v>42</v>
      </c>
      <c r="Q9666">
        <v>22928</v>
      </c>
      <c r="R9666" t="s">
        <v>119</v>
      </c>
      <c r="S9666" t="s">
        <v>57797</v>
      </c>
      <c r="T9666">
        <v>27</v>
      </c>
      <c r="U9666" s="2" t="s">
        <v>57798</v>
      </c>
      <c r="V9666" s="1">
        <v>44935</v>
      </c>
      <c r="W9666" t="s">
        <v>84</v>
      </c>
      <c r="X9666">
        <v>821189</v>
      </c>
      <c r="Y9666" s="2" t="s">
        <v>57799</v>
      </c>
      <c r="Z9666" s="2" t="s">
        <v>57800</v>
      </c>
      <c r="AA9666" t="s">
        <v>29208</v>
      </c>
      <c r="AB9666" t="s">
        <v>57801</v>
      </c>
      <c r="AD9666" t="s">
        <v>57802</v>
      </c>
      <c r="AE9666" t="s">
        <v>57803</v>
      </c>
      <c r="AF9666" t="s">
        <v>1943</v>
      </c>
      <c r="AG9666" t="s">
        <v>57804</v>
      </c>
      <c r="AH9666" t="s">
        <v>57805</v>
      </c>
      <c r="AI9666" t="s">
        <v>57806</v>
      </c>
    </row>
    <row r="9667" spans="2:35" ht="180">
      <c r="B9667" s="1">
        <v>44939</v>
      </c>
      <c r="C9667" s="4">
        <v>44938.626388888886</v>
      </c>
      <c r="D9667" t="s">
        <v>25356</v>
      </c>
      <c r="E9667" t="s">
        <v>57807</v>
      </c>
      <c r="F9667">
        <v>11</v>
      </c>
      <c r="G9667" t="s">
        <v>201</v>
      </c>
      <c r="H9667" t="s">
        <v>39</v>
      </c>
      <c r="I9667" t="s">
        <v>40</v>
      </c>
      <c r="J9667" t="s">
        <v>79</v>
      </c>
      <c r="K9667" t="s">
        <v>42</v>
      </c>
      <c r="Q9667">
        <v>22927</v>
      </c>
      <c r="R9667" t="s">
        <v>45</v>
      </c>
      <c r="S9667" t="s">
        <v>57808</v>
      </c>
      <c r="T9667">
        <v>24</v>
      </c>
      <c r="U9667" s="2" t="s">
        <v>57809</v>
      </c>
      <c r="V9667" s="1">
        <v>44938</v>
      </c>
      <c r="W9667" t="s">
        <v>23237</v>
      </c>
      <c r="X9667">
        <v>804693</v>
      </c>
      <c r="Y9667" t="s">
        <v>57810</v>
      </c>
      <c r="Z9667" s="2" t="s">
        <v>25003</v>
      </c>
      <c r="AA9667" t="s">
        <v>57811</v>
      </c>
      <c r="AB9667" t="s">
        <v>9590</v>
      </c>
      <c r="AC9667" t="s">
        <v>54</v>
      </c>
      <c r="AD9667" t="s">
        <v>10253</v>
      </c>
      <c r="AE9667" t="s">
        <v>1716</v>
      </c>
      <c r="AF9667" t="s">
        <v>2754</v>
      </c>
      <c r="AG9667" t="s">
        <v>57812</v>
      </c>
      <c r="AH9667" t="s">
        <v>57813</v>
      </c>
      <c r="AI9667" t="s">
        <v>57814</v>
      </c>
    </row>
    <row r="9668" spans="2:35" ht="285">
      <c r="B9668" s="1">
        <v>44938</v>
      </c>
      <c r="C9668" s="4">
        <v>44938.842361111114</v>
      </c>
      <c r="D9668" t="s">
        <v>556</v>
      </c>
      <c r="E9668" t="s">
        <v>57815</v>
      </c>
      <c r="F9668" t="s">
        <v>148</v>
      </c>
      <c r="G9668" t="s">
        <v>406</v>
      </c>
      <c r="H9668" t="s">
        <v>39</v>
      </c>
      <c r="I9668" t="s">
        <v>40</v>
      </c>
      <c r="J9668" t="s">
        <v>109</v>
      </c>
      <c r="K9668" t="s">
        <v>42</v>
      </c>
      <c r="Q9668">
        <v>22926</v>
      </c>
      <c r="R9668" t="s">
        <v>119</v>
      </c>
      <c r="S9668" t="s">
        <v>57816</v>
      </c>
      <c r="T9668">
        <v>25</v>
      </c>
      <c r="U9668" s="2" t="s">
        <v>57817</v>
      </c>
      <c r="W9668" t="s">
        <v>1139</v>
      </c>
      <c r="X9668">
        <v>831638</v>
      </c>
      <c r="Y9668" t="s">
        <v>33606</v>
      </c>
      <c r="Z9668" t="s">
        <v>3128</v>
      </c>
      <c r="AA9668" s="2" t="s">
        <v>57818</v>
      </c>
      <c r="AB9668" t="s">
        <v>57819</v>
      </c>
      <c r="AF9668" t="s">
        <v>55932</v>
      </c>
      <c r="AG9668" t="s">
        <v>57820</v>
      </c>
      <c r="AH9668" t="s">
        <v>57821</v>
      </c>
      <c r="AI9668" t="s">
        <v>57822</v>
      </c>
    </row>
    <row r="9669" spans="2:35" ht="285">
      <c r="B9669" s="1">
        <v>44938</v>
      </c>
      <c r="C9669" s="4">
        <v>44938.842361111114</v>
      </c>
      <c r="D9669" t="s">
        <v>556</v>
      </c>
      <c r="E9669" t="s">
        <v>57815</v>
      </c>
      <c r="F9669" t="s">
        <v>148</v>
      </c>
      <c r="G9669" t="s">
        <v>406</v>
      </c>
      <c r="H9669" t="s">
        <v>39</v>
      </c>
      <c r="I9669" t="s">
        <v>40</v>
      </c>
      <c r="J9669" t="s">
        <v>109</v>
      </c>
      <c r="K9669" t="s">
        <v>42</v>
      </c>
      <c r="Q9669">
        <v>22925</v>
      </c>
      <c r="R9669" t="s">
        <v>119</v>
      </c>
      <c r="S9669" t="s">
        <v>57816</v>
      </c>
      <c r="T9669">
        <v>25</v>
      </c>
      <c r="U9669" s="2" t="s">
        <v>57817</v>
      </c>
      <c r="W9669" t="s">
        <v>1139</v>
      </c>
      <c r="X9669">
        <v>831638</v>
      </c>
      <c r="Y9669" t="s">
        <v>33606</v>
      </c>
      <c r="Z9669" t="s">
        <v>3128</v>
      </c>
      <c r="AA9669" s="2" t="s">
        <v>57818</v>
      </c>
      <c r="AB9669" t="s">
        <v>57819</v>
      </c>
      <c r="AF9669" t="s">
        <v>55932</v>
      </c>
      <c r="AG9669" t="s">
        <v>57823</v>
      </c>
      <c r="AH9669" t="s">
        <v>57821</v>
      </c>
      <c r="AI9669" t="s">
        <v>57824</v>
      </c>
    </row>
    <row r="9670" spans="2:35" ht="90">
      <c r="B9670" s="1">
        <v>44938</v>
      </c>
      <c r="C9670" s="4">
        <v>44938.643750000003</v>
      </c>
      <c r="D9670" t="s">
        <v>5546</v>
      </c>
      <c r="E9670" t="s">
        <v>1555</v>
      </c>
      <c r="F9670">
        <v>7</v>
      </c>
      <c r="G9670" t="s">
        <v>432</v>
      </c>
      <c r="H9670" t="s">
        <v>39</v>
      </c>
      <c r="I9670" t="s">
        <v>94</v>
      </c>
      <c r="J9670" t="s">
        <v>321</v>
      </c>
      <c r="K9670" t="s">
        <v>42</v>
      </c>
      <c r="Q9670">
        <v>22924</v>
      </c>
      <c r="R9670" t="s">
        <v>45</v>
      </c>
      <c r="S9670" t="s">
        <v>5548</v>
      </c>
      <c r="T9670">
        <v>28</v>
      </c>
      <c r="U9670" s="2" t="s">
        <v>57825</v>
      </c>
      <c r="W9670" t="s">
        <v>6776</v>
      </c>
      <c r="X9670">
        <v>804840</v>
      </c>
      <c r="Y9670" t="s">
        <v>13110</v>
      </c>
      <c r="Z9670" t="s">
        <v>13110</v>
      </c>
      <c r="AA9670" t="s">
        <v>13110</v>
      </c>
      <c r="AB9670" t="s">
        <v>1011</v>
      </c>
      <c r="AF9670" t="s">
        <v>433</v>
      </c>
      <c r="AG9670" t="s">
        <v>57826</v>
      </c>
      <c r="AH9670" t="s">
        <v>44979</v>
      </c>
      <c r="AI9670" t="s">
        <v>57827</v>
      </c>
    </row>
    <row r="9671" spans="2:35" ht="180">
      <c r="B9671" s="1">
        <v>44938</v>
      </c>
      <c r="C9671" s="4">
        <v>44937.587500000001</v>
      </c>
      <c r="D9671" t="s">
        <v>54529</v>
      </c>
      <c r="E9671" t="s">
        <v>39538</v>
      </c>
      <c r="F9671">
        <v>3</v>
      </c>
      <c r="G9671" t="s">
        <v>1722</v>
      </c>
      <c r="H9671" t="s">
        <v>39</v>
      </c>
      <c r="I9671" t="s">
        <v>40</v>
      </c>
      <c r="J9671" t="s">
        <v>109</v>
      </c>
      <c r="K9671" t="s">
        <v>42</v>
      </c>
      <c r="Q9671">
        <v>22923</v>
      </c>
      <c r="R9671" t="s">
        <v>119</v>
      </c>
      <c r="S9671" t="s">
        <v>22450</v>
      </c>
      <c r="T9671">
        <v>26</v>
      </c>
      <c r="U9671" s="2" t="s">
        <v>57828</v>
      </c>
      <c r="V9671" s="1">
        <v>44937</v>
      </c>
      <c r="W9671" t="s">
        <v>26915</v>
      </c>
      <c r="X9671">
        <v>831695</v>
      </c>
      <c r="Y9671" t="s">
        <v>1716</v>
      </c>
      <c r="Z9671" t="s">
        <v>1716</v>
      </c>
      <c r="AA9671" s="2" t="s">
        <v>2673</v>
      </c>
      <c r="AB9671" t="s">
        <v>70</v>
      </c>
      <c r="AC9671" t="s">
        <v>57829</v>
      </c>
      <c r="AD9671" t="s">
        <v>1716</v>
      </c>
      <c r="AE9671" t="s">
        <v>1716</v>
      </c>
      <c r="AF9671" t="s">
        <v>63</v>
      </c>
      <c r="AG9671" t="s">
        <v>57830</v>
      </c>
      <c r="AH9671" t="s">
        <v>22453</v>
      </c>
      <c r="AI9671" t="s">
        <v>57831</v>
      </c>
    </row>
    <row r="9672" spans="2:35" ht="180">
      <c r="B9672" s="1">
        <v>44938</v>
      </c>
      <c r="C9672" s="4">
        <v>44938.597222222219</v>
      </c>
      <c r="D9672" t="s">
        <v>56850</v>
      </c>
      <c r="E9672" t="s">
        <v>57832</v>
      </c>
      <c r="F9672">
        <v>3</v>
      </c>
      <c r="G9672" t="s">
        <v>1722</v>
      </c>
      <c r="H9672" t="s">
        <v>39</v>
      </c>
      <c r="I9672" t="s">
        <v>40</v>
      </c>
      <c r="J9672" t="s">
        <v>109</v>
      </c>
      <c r="K9672" t="s">
        <v>42</v>
      </c>
      <c r="Q9672">
        <v>22922</v>
      </c>
      <c r="R9672" t="s">
        <v>119</v>
      </c>
      <c r="S9672" t="s">
        <v>23689</v>
      </c>
      <c r="T9672">
        <v>29</v>
      </c>
      <c r="U9672" s="2" t="s">
        <v>57833</v>
      </c>
      <c r="V9672" s="1">
        <v>44938</v>
      </c>
      <c r="W9672" t="s">
        <v>26915</v>
      </c>
      <c r="X9672">
        <v>831592</v>
      </c>
      <c r="Y9672" t="s">
        <v>1716</v>
      </c>
      <c r="Z9672" t="s">
        <v>1716</v>
      </c>
      <c r="AA9672" s="2" t="s">
        <v>1727</v>
      </c>
      <c r="AB9672" t="s">
        <v>38198</v>
      </c>
      <c r="AC9672" t="s">
        <v>56064</v>
      </c>
      <c r="AD9672" t="s">
        <v>1716</v>
      </c>
      <c r="AE9672" t="s">
        <v>1716</v>
      </c>
      <c r="AF9672" t="s">
        <v>63</v>
      </c>
      <c r="AG9672" t="s">
        <v>57834</v>
      </c>
      <c r="AH9672" t="s">
        <v>57835</v>
      </c>
      <c r="AI9672" t="s">
        <v>57836</v>
      </c>
    </row>
    <row r="9673" spans="2:35" ht="315">
      <c r="B9673" s="1">
        <v>44938</v>
      </c>
      <c r="C9673" s="4">
        <v>44938.59375</v>
      </c>
      <c r="D9673" t="s">
        <v>27250</v>
      </c>
      <c r="E9673" t="s">
        <v>27251</v>
      </c>
      <c r="F9673">
        <v>3</v>
      </c>
      <c r="G9673" t="s">
        <v>134</v>
      </c>
      <c r="H9673" t="s">
        <v>39</v>
      </c>
      <c r="I9673" t="s">
        <v>40</v>
      </c>
      <c r="J9673" s="2" t="s">
        <v>62</v>
      </c>
      <c r="K9673" t="s">
        <v>42</v>
      </c>
      <c r="Q9673">
        <v>22921</v>
      </c>
      <c r="R9673" t="s">
        <v>119</v>
      </c>
      <c r="S9673" t="s">
        <v>27252</v>
      </c>
      <c r="T9673">
        <v>20.3</v>
      </c>
      <c r="U9673" s="2" t="s">
        <v>57837</v>
      </c>
      <c r="V9673" s="1">
        <v>44915</v>
      </c>
      <c r="W9673" t="s">
        <v>2680</v>
      </c>
      <c r="X9673">
        <v>831893</v>
      </c>
      <c r="Y9673" t="s">
        <v>57838</v>
      </c>
      <c r="Z9673" s="2" t="s">
        <v>57839</v>
      </c>
      <c r="AA9673" t="s">
        <v>54639</v>
      </c>
      <c r="AB9673" t="s">
        <v>57840</v>
      </c>
      <c r="AC9673" t="s">
        <v>57841</v>
      </c>
      <c r="AD9673" t="s">
        <v>55757</v>
      </c>
      <c r="AE9673">
        <v>9410</v>
      </c>
      <c r="AF9673" t="s">
        <v>57784</v>
      </c>
      <c r="AG9673" t="s">
        <v>57842</v>
      </c>
      <c r="AH9673" t="s">
        <v>51426</v>
      </c>
      <c r="AI9673" t="s">
        <v>57843</v>
      </c>
    </row>
    <row r="9674" spans="2:35" ht="75">
      <c r="B9674" s="1">
        <v>44938</v>
      </c>
      <c r="C9674" s="4">
        <v>44938.414583333331</v>
      </c>
      <c r="D9674" t="s">
        <v>57844</v>
      </c>
      <c r="E9674" t="s">
        <v>57845</v>
      </c>
      <c r="F9674">
        <v>9</v>
      </c>
      <c r="G9674" t="s">
        <v>2197</v>
      </c>
      <c r="H9674" t="s">
        <v>12018</v>
      </c>
      <c r="I9674" t="s">
        <v>40</v>
      </c>
      <c r="J9674" s="2" t="s">
        <v>1309</v>
      </c>
      <c r="K9674" t="s">
        <v>387</v>
      </c>
      <c r="Q9674">
        <v>22920</v>
      </c>
      <c r="R9674" t="s">
        <v>95</v>
      </c>
      <c r="S9674" t="s">
        <v>7052</v>
      </c>
      <c r="T9674">
        <v>28</v>
      </c>
      <c r="W9674" t="s">
        <v>390</v>
      </c>
      <c r="X9674" t="s">
        <v>7053</v>
      </c>
      <c r="Y9674" t="e">
        <f ca="1">-_xludf.For UNINTERRUPTIBLE _xludf.Power SUPPLY(UPS) battery Replacement
-_xludf.For MCS DIAGNOSIS _xludf.and CALIBRATION</f>
        <v>#NAME?</v>
      </c>
      <c r="Z9674" t="e">
        <f ca="1">-_xludf.Replace UPS battery _xludf.and test functionality, passed</f>
        <v>#NAME?</v>
      </c>
      <c r="AA9674" t="e">
        <f ca="1">-PERFORM DIAGNOSIS _xludf.and CALIBRATION, passed
-PERFORM external Cleaning of APHERESIS EQUIPMENT</f>
        <v>#NAME?</v>
      </c>
      <c r="AB9674" t="e">
        <f ca="1">-EQUIPMENT is operational</f>
        <v>#NAME?</v>
      </c>
      <c r="AF9674" t="s">
        <v>57846</v>
      </c>
      <c r="AG9674" t="s">
        <v>57847</v>
      </c>
      <c r="AH9674" t="s">
        <v>21343</v>
      </c>
      <c r="AI9674" t="s">
        <v>57848</v>
      </c>
    </row>
    <row r="9675" spans="2:35" ht="180">
      <c r="B9675" s="1">
        <v>44937</v>
      </c>
      <c r="C9675" s="4">
        <v>44936.625</v>
      </c>
      <c r="D9675" t="s">
        <v>50876</v>
      </c>
      <c r="E9675" t="s">
        <v>57849</v>
      </c>
      <c r="F9675" t="s">
        <v>148</v>
      </c>
      <c r="G9675" t="s">
        <v>310</v>
      </c>
      <c r="H9675" t="s">
        <v>39</v>
      </c>
      <c r="I9675" t="s">
        <v>40</v>
      </c>
      <c r="J9675" t="s">
        <v>525</v>
      </c>
      <c r="K9675" t="s">
        <v>42</v>
      </c>
      <c r="Q9675">
        <v>22918</v>
      </c>
      <c r="R9675" t="s">
        <v>119</v>
      </c>
      <c r="S9675" t="s">
        <v>57850</v>
      </c>
      <c r="T9675">
        <v>29</v>
      </c>
      <c r="U9675" s="2" t="s">
        <v>57851</v>
      </c>
      <c r="V9675" s="1">
        <v>44936</v>
      </c>
      <c r="W9675" t="s">
        <v>502</v>
      </c>
      <c r="X9675">
        <v>831527</v>
      </c>
      <c r="Y9675" t="s">
        <v>57852</v>
      </c>
      <c r="Z9675" t="s">
        <v>57853</v>
      </c>
      <c r="AA9675" t="s">
        <v>57854</v>
      </c>
      <c r="AB9675" t="s">
        <v>57855</v>
      </c>
      <c r="AC9675" t="s">
        <v>57856</v>
      </c>
      <c r="AD9675" t="s">
        <v>3628</v>
      </c>
      <c r="AE9675">
        <v>0</v>
      </c>
      <c r="AF9675" t="s">
        <v>49366</v>
      </c>
      <c r="AG9675" t="s">
        <v>57857</v>
      </c>
      <c r="AH9675" t="s">
        <v>53180</v>
      </c>
      <c r="AI9675" t="s">
        <v>57858</v>
      </c>
    </row>
    <row r="9676" spans="2:35">
      <c r="B9676" s="1">
        <v>44937</v>
      </c>
      <c r="C9676" s="4">
        <v>44936.695138888892</v>
      </c>
      <c r="D9676" t="s">
        <v>57859</v>
      </c>
      <c r="E9676" t="s">
        <v>57860</v>
      </c>
      <c r="F9676" t="s">
        <v>148</v>
      </c>
      <c r="G9676" t="s">
        <v>447</v>
      </c>
      <c r="H9676" t="s">
        <v>386</v>
      </c>
      <c r="I9676" t="s">
        <v>40</v>
      </c>
      <c r="J9676" t="s">
        <v>525</v>
      </c>
      <c r="K9676" t="s">
        <v>387</v>
      </c>
      <c r="Q9676">
        <v>22919</v>
      </c>
      <c r="R9676" t="s">
        <v>95</v>
      </c>
      <c r="S9676" t="s">
        <v>57861</v>
      </c>
      <c r="T9676">
        <v>0</v>
      </c>
      <c r="W9676" t="s">
        <v>57862</v>
      </c>
      <c r="X9676" t="s">
        <v>4307</v>
      </c>
      <c r="Y9676" t="s">
        <v>7355</v>
      </c>
      <c r="Z9676" t="s">
        <v>57863</v>
      </c>
      <c r="AA9676" t="s">
        <v>4487</v>
      </c>
      <c r="AB9676" t="s">
        <v>486</v>
      </c>
      <c r="AF9676" t="s">
        <v>49366</v>
      </c>
      <c r="AG9676" t="s">
        <v>57864</v>
      </c>
      <c r="AH9676" t="s">
        <v>57865</v>
      </c>
      <c r="AI9676" t="s">
        <v>57866</v>
      </c>
    </row>
    <row r="9677" spans="2:35" ht="180">
      <c r="B9677" s="1">
        <v>44937</v>
      </c>
      <c r="C9677" s="4">
        <v>44937.587500000001</v>
      </c>
      <c r="D9677" t="s">
        <v>54529</v>
      </c>
      <c r="E9677" t="s">
        <v>39538</v>
      </c>
      <c r="F9677">
        <v>3</v>
      </c>
      <c r="G9677" t="s">
        <v>1722</v>
      </c>
      <c r="H9677" t="s">
        <v>39</v>
      </c>
      <c r="I9677" t="s">
        <v>40</v>
      </c>
      <c r="J9677" t="s">
        <v>109</v>
      </c>
      <c r="K9677" t="s">
        <v>42</v>
      </c>
      <c r="Q9677">
        <v>22917</v>
      </c>
      <c r="R9677" t="s">
        <v>119</v>
      </c>
      <c r="S9677" t="s">
        <v>22450</v>
      </c>
      <c r="T9677">
        <v>26</v>
      </c>
      <c r="U9677" s="2" t="s">
        <v>57828</v>
      </c>
      <c r="V9677" s="1">
        <v>44937</v>
      </c>
      <c r="W9677" t="s">
        <v>26915</v>
      </c>
      <c r="X9677">
        <v>831695</v>
      </c>
      <c r="Y9677" t="s">
        <v>1716</v>
      </c>
      <c r="Z9677" t="s">
        <v>1716</v>
      </c>
      <c r="AA9677" s="2" t="s">
        <v>2673</v>
      </c>
      <c r="AB9677" t="s">
        <v>70</v>
      </c>
      <c r="AC9677" t="s">
        <v>57829</v>
      </c>
      <c r="AD9677" t="s">
        <v>1716</v>
      </c>
      <c r="AE9677" t="s">
        <v>1716</v>
      </c>
      <c r="AF9677" t="s">
        <v>63</v>
      </c>
      <c r="AG9677" t="s">
        <v>57867</v>
      </c>
      <c r="AH9677" t="s">
        <v>22453</v>
      </c>
      <c r="AI9677" t="s">
        <v>57868</v>
      </c>
    </row>
    <row r="9678" spans="2:35" ht="409.5">
      <c r="B9678" s="1">
        <v>44937</v>
      </c>
      <c r="C9678" s="4">
        <v>44937.60833333333</v>
      </c>
      <c r="D9678" t="s">
        <v>42756</v>
      </c>
      <c r="E9678" t="s">
        <v>57869</v>
      </c>
      <c r="F9678">
        <v>11</v>
      </c>
      <c r="G9678" t="s">
        <v>2836</v>
      </c>
      <c r="H9678" t="s">
        <v>39</v>
      </c>
      <c r="I9678" t="s">
        <v>40</v>
      </c>
      <c r="J9678" t="s">
        <v>79</v>
      </c>
      <c r="K9678" t="s">
        <v>42</v>
      </c>
      <c r="Q9678">
        <v>22916</v>
      </c>
      <c r="R9678" t="s">
        <v>45</v>
      </c>
      <c r="S9678" t="s">
        <v>42758</v>
      </c>
      <c r="T9678">
        <v>26.7</v>
      </c>
      <c r="U9678" s="2" t="s">
        <v>57870</v>
      </c>
      <c r="V9678" s="1">
        <v>44937</v>
      </c>
      <c r="W9678" t="s">
        <v>26281</v>
      </c>
      <c r="X9678">
        <v>835216</v>
      </c>
      <c r="Y9678" t="s">
        <v>57871</v>
      </c>
      <c r="Z9678" s="2" t="s">
        <v>25003</v>
      </c>
      <c r="AA9678" s="2" t="s">
        <v>57872</v>
      </c>
      <c r="AB9678" t="s">
        <v>9590</v>
      </c>
      <c r="AC9678" t="s">
        <v>54</v>
      </c>
      <c r="AD9678" t="s">
        <v>10253</v>
      </c>
      <c r="AE9678" t="s">
        <v>1716</v>
      </c>
      <c r="AF9678" t="s">
        <v>57687</v>
      </c>
      <c r="AG9678" t="s">
        <v>57873</v>
      </c>
      <c r="AH9678" t="s">
        <v>42761</v>
      </c>
      <c r="AI9678" t="s">
        <v>57874</v>
      </c>
    </row>
    <row r="9679" spans="2:35" ht="180">
      <c r="B9679" s="1">
        <v>44937</v>
      </c>
      <c r="C9679" s="4">
        <v>44937.559027777781</v>
      </c>
      <c r="D9679" t="s">
        <v>5563</v>
      </c>
      <c r="E9679" t="s">
        <v>12328</v>
      </c>
      <c r="F9679">
        <v>7</v>
      </c>
      <c r="G9679" t="s">
        <v>432</v>
      </c>
      <c r="H9679" t="s">
        <v>932</v>
      </c>
      <c r="I9679" t="s">
        <v>40</v>
      </c>
      <c r="J9679" t="s">
        <v>109</v>
      </c>
      <c r="K9679" t="s">
        <v>42</v>
      </c>
      <c r="Q9679">
        <v>22915</v>
      </c>
      <c r="R9679" t="s">
        <v>119</v>
      </c>
      <c r="S9679" t="s">
        <v>5564</v>
      </c>
      <c r="T9679">
        <v>24.8</v>
      </c>
      <c r="U9679" s="2" t="s">
        <v>57875</v>
      </c>
      <c r="W9679" t="s">
        <v>6105</v>
      </c>
      <c r="X9679">
        <v>838561</v>
      </c>
      <c r="Y9679" t="s">
        <v>7415</v>
      </c>
      <c r="Z9679" t="e">
        <f ca="1">-Check FAN _xludf.filter
-Brush I-CORE slot
-_xludf.Clean cartridge bay _xludf.and plunger rod
-_xludf.Clean GeneXpert workstation</f>
        <v>#NAME?</v>
      </c>
      <c r="AA9679" t="s">
        <v>54</v>
      </c>
      <c r="AB9679" t="s">
        <v>57876</v>
      </c>
      <c r="AF9679" t="s">
        <v>343</v>
      </c>
      <c r="AG9679" t="s">
        <v>57877</v>
      </c>
      <c r="AH9679" t="s">
        <v>14800</v>
      </c>
      <c r="AI9679" t="s">
        <v>57878</v>
      </c>
    </row>
    <row r="9680" spans="2:35" ht="180">
      <c r="B9680" s="1">
        <v>44937</v>
      </c>
      <c r="C9680" s="4">
        <v>44937.556944444441</v>
      </c>
      <c r="D9680" t="s">
        <v>4413</v>
      </c>
      <c r="E9680" t="s">
        <v>57879</v>
      </c>
      <c r="F9680">
        <v>12</v>
      </c>
      <c r="G9680" t="s">
        <v>978</v>
      </c>
      <c r="H9680" t="s">
        <v>39</v>
      </c>
      <c r="I9680" t="s">
        <v>94</v>
      </c>
      <c r="J9680" t="s">
        <v>109</v>
      </c>
      <c r="K9680" t="s">
        <v>42</v>
      </c>
      <c r="Q9680">
        <v>22914</v>
      </c>
      <c r="R9680" t="s">
        <v>119</v>
      </c>
      <c r="S9680" t="s">
        <v>4415</v>
      </c>
      <c r="T9680">
        <v>27.2</v>
      </c>
      <c r="U9680" s="2" t="s">
        <v>57880</v>
      </c>
      <c r="W9680" t="s">
        <v>53244</v>
      </c>
      <c r="X9680">
        <v>838544</v>
      </c>
      <c r="Y9680" t="s">
        <v>54</v>
      </c>
      <c r="Z9680" t="s">
        <v>303</v>
      </c>
      <c r="AA9680" t="s">
        <v>303</v>
      </c>
      <c r="AB9680" t="s">
        <v>57073</v>
      </c>
      <c r="AF9680" t="s">
        <v>296</v>
      </c>
      <c r="AG9680" t="s">
        <v>57881</v>
      </c>
      <c r="AH9680" t="s">
        <v>34130</v>
      </c>
      <c r="AI9680" t="s">
        <v>57882</v>
      </c>
    </row>
    <row r="9681" spans="2:35" ht="285">
      <c r="B9681" s="1">
        <v>44937</v>
      </c>
      <c r="C9681" s="4">
        <v>44937.518750000003</v>
      </c>
      <c r="D9681" t="s">
        <v>8684</v>
      </c>
      <c r="E9681" t="s">
        <v>27512</v>
      </c>
      <c r="F9681">
        <v>3</v>
      </c>
      <c r="G9681" t="s">
        <v>284</v>
      </c>
      <c r="H9681" t="s">
        <v>39</v>
      </c>
      <c r="I9681" t="s">
        <v>40</v>
      </c>
      <c r="J9681" t="s">
        <v>109</v>
      </c>
      <c r="K9681" t="s">
        <v>42</v>
      </c>
      <c r="Q9681">
        <v>22913</v>
      </c>
      <c r="R9681" t="s">
        <v>119</v>
      </c>
      <c r="S9681" t="s">
        <v>27513</v>
      </c>
      <c r="T9681">
        <v>26.4</v>
      </c>
      <c r="U9681" s="2" t="s">
        <v>57883</v>
      </c>
      <c r="W9681" t="s">
        <v>2680</v>
      </c>
      <c r="X9681">
        <v>831613</v>
      </c>
      <c r="Y9681" t="s">
        <v>485</v>
      </c>
      <c r="Z9681" s="2" t="s">
        <v>57884</v>
      </c>
      <c r="AA9681" t="s">
        <v>4315</v>
      </c>
      <c r="AB9681" t="s">
        <v>57885</v>
      </c>
      <c r="AF9681" t="s">
        <v>135</v>
      </c>
      <c r="AG9681" t="s">
        <v>57886</v>
      </c>
      <c r="AH9681" t="s">
        <v>33660</v>
      </c>
      <c r="AI9681" t="s">
        <v>57887</v>
      </c>
    </row>
    <row r="9682" spans="2:35" ht="285">
      <c r="B9682" s="1">
        <v>44937</v>
      </c>
      <c r="C9682" s="4">
        <v>44937.518750000003</v>
      </c>
      <c r="D9682" t="s">
        <v>8684</v>
      </c>
      <c r="E9682" t="s">
        <v>27512</v>
      </c>
      <c r="F9682">
        <v>3</v>
      </c>
      <c r="G9682" t="s">
        <v>284</v>
      </c>
      <c r="H9682" t="s">
        <v>39</v>
      </c>
      <c r="I9682" t="s">
        <v>40</v>
      </c>
      <c r="J9682" t="s">
        <v>109</v>
      </c>
      <c r="K9682" t="s">
        <v>42</v>
      </c>
      <c r="Q9682">
        <v>22912</v>
      </c>
      <c r="R9682" t="s">
        <v>119</v>
      </c>
      <c r="S9682" t="s">
        <v>27513</v>
      </c>
      <c r="T9682">
        <v>26.4</v>
      </c>
      <c r="U9682" s="2" t="s">
        <v>57883</v>
      </c>
      <c r="W9682" t="s">
        <v>2680</v>
      </c>
      <c r="X9682">
        <v>831613</v>
      </c>
      <c r="Y9682" t="s">
        <v>485</v>
      </c>
      <c r="Z9682" s="2" t="s">
        <v>57884</v>
      </c>
      <c r="AA9682" t="s">
        <v>4315</v>
      </c>
      <c r="AB9682" t="s">
        <v>57885</v>
      </c>
      <c r="AF9682" t="s">
        <v>135</v>
      </c>
      <c r="AG9682" t="s">
        <v>57888</v>
      </c>
      <c r="AH9682" t="s">
        <v>33660</v>
      </c>
      <c r="AI9682" t="s">
        <v>57889</v>
      </c>
    </row>
    <row r="9683" spans="2:35" ht="409.5">
      <c r="B9683" s="1">
        <v>44937</v>
      </c>
      <c r="C9683" s="4">
        <v>44937.446527777778</v>
      </c>
      <c r="D9683" t="s">
        <v>7881</v>
      </c>
      <c r="E9683" t="s">
        <v>57890</v>
      </c>
      <c r="F9683">
        <v>7</v>
      </c>
      <c r="G9683" t="s">
        <v>432</v>
      </c>
      <c r="H9683" t="s">
        <v>2290</v>
      </c>
      <c r="I9683" t="s">
        <v>94</v>
      </c>
      <c r="J9683" t="s">
        <v>109</v>
      </c>
      <c r="K9683" t="s">
        <v>42</v>
      </c>
      <c r="Q9683">
        <v>22911</v>
      </c>
      <c r="R9683" t="s">
        <v>119</v>
      </c>
      <c r="S9683" t="s">
        <v>13419</v>
      </c>
      <c r="T9683">
        <v>24</v>
      </c>
      <c r="U9683" s="2" t="s">
        <v>57891</v>
      </c>
      <c r="V9683" s="1">
        <v>44937</v>
      </c>
      <c r="W9683" t="s">
        <v>84</v>
      </c>
      <c r="X9683">
        <v>838512</v>
      </c>
      <c r="Y9683" s="2" t="s">
        <v>57892</v>
      </c>
      <c r="Z9683" t="s">
        <v>57893</v>
      </c>
      <c r="AA9683" s="2" t="s">
        <v>57894</v>
      </c>
      <c r="AB9683" t="s">
        <v>1263</v>
      </c>
      <c r="AD9683" t="s">
        <v>57895</v>
      </c>
      <c r="AE9683" t="s">
        <v>57895</v>
      </c>
      <c r="AF9683" t="s">
        <v>610</v>
      </c>
      <c r="AG9683" t="s">
        <v>57896</v>
      </c>
      <c r="AH9683" t="s">
        <v>20221</v>
      </c>
      <c r="AI9683" t="s">
        <v>57897</v>
      </c>
    </row>
    <row r="9684" spans="2:35" ht="409.5">
      <c r="B9684" s="1">
        <v>44937</v>
      </c>
      <c r="C9684" s="4">
        <v>44937.430555555555</v>
      </c>
      <c r="D9684" t="s">
        <v>57898</v>
      </c>
      <c r="E9684" t="s">
        <v>57899</v>
      </c>
      <c r="F9684">
        <v>7</v>
      </c>
      <c r="G9684" t="s">
        <v>432</v>
      </c>
      <c r="H9684" t="s">
        <v>608</v>
      </c>
      <c r="I9684" t="s">
        <v>94</v>
      </c>
      <c r="J9684" t="s">
        <v>109</v>
      </c>
      <c r="K9684" t="s">
        <v>42</v>
      </c>
      <c r="Q9684">
        <v>22910</v>
      </c>
      <c r="R9684" t="s">
        <v>119</v>
      </c>
      <c r="S9684" t="s">
        <v>13419</v>
      </c>
      <c r="T9684">
        <v>24</v>
      </c>
      <c r="U9684" s="2" t="s">
        <v>57891</v>
      </c>
      <c r="V9684" s="1">
        <v>44937</v>
      </c>
      <c r="W9684" t="s">
        <v>84</v>
      </c>
      <c r="X9684">
        <v>838512</v>
      </c>
      <c r="Y9684" t="s">
        <v>57900</v>
      </c>
      <c r="Z9684" t="s">
        <v>1529</v>
      </c>
      <c r="AA9684" s="2" t="s">
        <v>57901</v>
      </c>
      <c r="AB9684" t="s">
        <v>1211</v>
      </c>
      <c r="AD9684" t="s">
        <v>57902</v>
      </c>
      <c r="AE9684" t="s">
        <v>57902</v>
      </c>
      <c r="AF9684" t="s">
        <v>610</v>
      </c>
      <c r="AG9684" t="s">
        <v>57903</v>
      </c>
      <c r="AH9684" t="s">
        <v>13425</v>
      </c>
      <c r="AI9684" t="s">
        <v>57904</v>
      </c>
    </row>
    <row r="9685" spans="2:35" ht="105">
      <c r="B9685" s="1">
        <v>44937</v>
      </c>
      <c r="C9685" s="4">
        <v>44937.440972222219</v>
      </c>
      <c r="D9685" t="s">
        <v>8592</v>
      </c>
      <c r="E9685" t="s">
        <v>6250</v>
      </c>
      <c r="F9685">
        <v>7</v>
      </c>
      <c r="G9685" t="s">
        <v>432</v>
      </c>
      <c r="H9685" t="s">
        <v>39</v>
      </c>
      <c r="I9685" t="s">
        <v>94</v>
      </c>
      <c r="J9685" t="s">
        <v>16223</v>
      </c>
      <c r="K9685" t="s">
        <v>42</v>
      </c>
      <c r="Q9685">
        <v>22909</v>
      </c>
      <c r="R9685" t="s">
        <v>119</v>
      </c>
      <c r="S9685" t="s">
        <v>1818</v>
      </c>
      <c r="T9685">
        <v>28</v>
      </c>
      <c r="U9685" s="2" t="s">
        <v>39779</v>
      </c>
      <c r="W9685" t="s">
        <v>12212</v>
      </c>
      <c r="X9685">
        <v>838527</v>
      </c>
      <c r="Y9685" t="s">
        <v>16223</v>
      </c>
      <c r="Z9685" t="s">
        <v>16223</v>
      </c>
      <c r="AA9685" t="s">
        <v>16223</v>
      </c>
      <c r="AB9685" t="s">
        <v>1011</v>
      </c>
      <c r="AF9685" t="s">
        <v>433</v>
      </c>
      <c r="AG9685" t="s">
        <v>57905</v>
      </c>
      <c r="AH9685" t="s">
        <v>1823</v>
      </c>
      <c r="AI9685" t="s">
        <v>57906</v>
      </c>
    </row>
    <row r="9686" spans="2:35" ht="105">
      <c r="B9686" s="1">
        <v>44937</v>
      </c>
      <c r="C9686" s="4">
        <v>44937.4375</v>
      </c>
      <c r="D9686" t="s">
        <v>24073</v>
      </c>
      <c r="E9686" t="s">
        <v>6250</v>
      </c>
      <c r="F9686">
        <v>7</v>
      </c>
      <c r="G9686" t="s">
        <v>432</v>
      </c>
      <c r="H9686" t="s">
        <v>39</v>
      </c>
      <c r="I9686" t="s">
        <v>94</v>
      </c>
      <c r="J9686" t="s">
        <v>16223</v>
      </c>
      <c r="K9686" t="s">
        <v>42</v>
      </c>
      <c r="Q9686">
        <v>22908</v>
      </c>
      <c r="R9686" t="s">
        <v>45</v>
      </c>
      <c r="S9686" t="s">
        <v>1818</v>
      </c>
      <c r="T9686">
        <v>28</v>
      </c>
      <c r="U9686" s="2" t="s">
        <v>39779</v>
      </c>
      <c r="W9686" t="s">
        <v>56988</v>
      </c>
      <c r="X9686">
        <v>804840</v>
      </c>
      <c r="Y9686" t="s">
        <v>16223</v>
      </c>
      <c r="Z9686" t="s">
        <v>16223</v>
      </c>
      <c r="AA9686" t="s">
        <v>16223</v>
      </c>
      <c r="AB9686" t="s">
        <v>1011</v>
      </c>
      <c r="AF9686" t="s">
        <v>433</v>
      </c>
      <c r="AG9686" t="s">
        <v>57907</v>
      </c>
      <c r="AH9686" t="s">
        <v>1823</v>
      </c>
      <c r="AI9686" t="s">
        <v>57908</v>
      </c>
    </row>
    <row r="9687" spans="2:35" ht="255">
      <c r="B9687" s="1">
        <v>44937</v>
      </c>
      <c r="C9687" s="4">
        <v>44936.551388888889</v>
      </c>
      <c r="D9687" t="s">
        <v>38660</v>
      </c>
      <c r="E9687" t="s">
        <v>57909</v>
      </c>
      <c r="F9687" t="s">
        <v>148</v>
      </c>
      <c r="G9687" t="s">
        <v>2007</v>
      </c>
      <c r="H9687" t="s">
        <v>39</v>
      </c>
      <c r="I9687" t="s">
        <v>40</v>
      </c>
      <c r="J9687" s="2" t="s">
        <v>190</v>
      </c>
      <c r="K9687" t="s">
        <v>42</v>
      </c>
      <c r="Q9687">
        <v>22906</v>
      </c>
      <c r="R9687" t="s">
        <v>119</v>
      </c>
      <c r="S9687" t="s">
        <v>57910</v>
      </c>
      <c r="T9687">
        <v>21</v>
      </c>
      <c r="U9687" s="2" t="s">
        <v>10635</v>
      </c>
      <c r="W9687" t="s">
        <v>9792</v>
      </c>
      <c r="X9687">
        <v>831712</v>
      </c>
      <c r="Y9687" t="s">
        <v>57911</v>
      </c>
      <c r="Z9687" t="s">
        <v>999</v>
      </c>
      <c r="AA9687" s="2" t="s">
        <v>57912</v>
      </c>
      <c r="AB9687" t="s">
        <v>57913</v>
      </c>
      <c r="AF9687" t="s">
        <v>57720</v>
      </c>
      <c r="AG9687" t="s">
        <v>57914</v>
      </c>
      <c r="AH9687" t="s">
        <v>57915</v>
      </c>
      <c r="AI9687" t="s">
        <v>57916</v>
      </c>
    </row>
    <row r="9688" spans="2:35" ht="285">
      <c r="B9688" s="1">
        <v>44937</v>
      </c>
      <c r="C9688" s="4">
        <v>44936.450694444444</v>
      </c>
      <c r="D9688" t="s">
        <v>32053</v>
      </c>
      <c r="E9688" t="s">
        <v>57917</v>
      </c>
      <c r="F9688" t="s">
        <v>148</v>
      </c>
      <c r="G9688" t="s">
        <v>32055</v>
      </c>
      <c r="H9688" t="s">
        <v>39</v>
      </c>
      <c r="I9688" t="s">
        <v>40</v>
      </c>
      <c r="J9688" s="2" t="s">
        <v>41</v>
      </c>
      <c r="K9688" t="s">
        <v>42</v>
      </c>
      <c r="Q9688">
        <v>22907</v>
      </c>
      <c r="R9688" t="s">
        <v>45</v>
      </c>
      <c r="S9688" t="s">
        <v>32056</v>
      </c>
      <c r="T9688">
        <v>21</v>
      </c>
      <c r="U9688" s="2" t="s">
        <v>57918</v>
      </c>
      <c r="W9688" t="s">
        <v>56752</v>
      </c>
      <c r="X9688">
        <v>834803</v>
      </c>
      <c r="Y9688" t="s">
        <v>33830</v>
      </c>
      <c r="Z9688" t="s">
        <v>8743</v>
      </c>
      <c r="AA9688" s="2" t="s">
        <v>57919</v>
      </c>
      <c r="AB9688" t="s">
        <v>88</v>
      </c>
      <c r="AF9688" t="s">
        <v>57720</v>
      </c>
      <c r="AG9688" t="s">
        <v>57920</v>
      </c>
      <c r="AH9688" t="s">
        <v>57921</v>
      </c>
      <c r="AI9688" t="s">
        <v>57922</v>
      </c>
    </row>
    <row r="9689" spans="2:35" ht="165">
      <c r="B9689" s="1">
        <v>44937</v>
      </c>
      <c r="C9689" s="4">
        <v>44936.51666666667</v>
      </c>
      <c r="D9689" t="s">
        <v>18135</v>
      </c>
      <c r="E9689" t="s">
        <v>6028</v>
      </c>
      <c r="F9689" t="s">
        <v>148</v>
      </c>
      <c r="G9689" t="s">
        <v>310</v>
      </c>
      <c r="H9689" t="s">
        <v>39</v>
      </c>
      <c r="I9689" t="s">
        <v>40</v>
      </c>
      <c r="J9689" t="s">
        <v>109</v>
      </c>
      <c r="K9689" t="s">
        <v>42</v>
      </c>
      <c r="Q9689">
        <v>22904</v>
      </c>
      <c r="R9689" t="s">
        <v>322</v>
      </c>
      <c r="S9689" t="s">
        <v>18136</v>
      </c>
      <c r="T9689">
        <v>22</v>
      </c>
      <c r="U9689" s="2" t="s">
        <v>57923</v>
      </c>
      <c r="W9689" t="s">
        <v>2680</v>
      </c>
      <c r="X9689">
        <v>838836</v>
      </c>
      <c r="Y9689" t="s">
        <v>3127</v>
      </c>
      <c r="Z9689" t="s">
        <v>6997</v>
      </c>
      <c r="AA9689" s="2" t="s">
        <v>57924</v>
      </c>
      <c r="AB9689" t="s">
        <v>181</v>
      </c>
      <c r="AF9689" t="s">
        <v>57018</v>
      </c>
      <c r="AG9689" t="s">
        <v>57925</v>
      </c>
      <c r="AH9689" t="s">
        <v>18142</v>
      </c>
      <c r="AI9689" t="s">
        <v>57926</v>
      </c>
    </row>
    <row r="9690" spans="2:35" ht="285">
      <c r="B9690" s="1">
        <v>44937</v>
      </c>
      <c r="C9690" s="4">
        <v>44936.37777777778</v>
      </c>
      <c r="D9690" t="s">
        <v>7219</v>
      </c>
      <c r="E9690" t="s">
        <v>57927</v>
      </c>
      <c r="F9690" t="s">
        <v>148</v>
      </c>
      <c r="G9690" t="s">
        <v>310</v>
      </c>
      <c r="H9690" t="s">
        <v>39</v>
      </c>
      <c r="I9690" t="s">
        <v>40</v>
      </c>
      <c r="J9690" t="s">
        <v>109</v>
      </c>
      <c r="K9690" t="s">
        <v>42</v>
      </c>
      <c r="Q9690">
        <v>22902</v>
      </c>
      <c r="R9690" t="s">
        <v>45</v>
      </c>
      <c r="S9690" t="s">
        <v>55358</v>
      </c>
      <c r="T9690">
        <v>26</v>
      </c>
      <c r="U9690" s="2" t="s">
        <v>57928</v>
      </c>
      <c r="W9690" t="s">
        <v>2680</v>
      </c>
      <c r="X9690">
        <v>804766</v>
      </c>
      <c r="Y9690" t="s">
        <v>3127</v>
      </c>
      <c r="Z9690" t="s">
        <v>6997</v>
      </c>
      <c r="AA9690" s="2" t="s">
        <v>57929</v>
      </c>
      <c r="AB9690" t="s">
        <v>88</v>
      </c>
      <c r="AF9690" t="s">
        <v>57018</v>
      </c>
      <c r="AG9690" t="s">
        <v>57930</v>
      </c>
      <c r="AH9690" t="s">
        <v>55363</v>
      </c>
      <c r="AI9690" t="s">
        <v>57931</v>
      </c>
    </row>
    <row r="9691" spans="2:35" ht="285">
      <c r="B9691" s="1">
        <v>44937</v>
      </c>
      <c r="C9691" s="4">
        <v>44936.380555555559</v>
      </c>
      <c r="D9691" t="s">
        <v>7219</v>
      </c>
      <c r="E9691" t="s">
        <v>57927</v>
      </c>
      <c r="F9691" t="s">
        <v>148</v>
      </c>
      <c r="G9691" t="s">
        <v>310</v>
      </c>
      <c r="H9691" t="s">
        <v>39</v>
      </c>
      <c r="I9691" t="s">
        <v>40</v>
      </c>
      <c r="J9691" t="s">
        <v>109</v>
      </c>
      <c r="K9691" t="s">
        <v>42</v>
      </c>
      <c r="Q9691">
        <v>22903</v>
      </c>
      <c r="R9691" t="s">
        <v>45</v>
      </c>
      <c r="S9691" t="s">
        <v>55358</v>
      </c>
      <c r="T9691">
        <v>23</v>
      </c>
      <c r="U9691" s="2" t="s">
        <v>57928</v>
      </c>
      <c r="W9691" t="s">
        <v>2680</v>
      </c>
      <c r="X9691">
        <v>707843</v>
      </c>
      <c r="Y9691" t="s">
        <v>57932</v>
      </c>
      <c r="Z9691" t="s">
        <v>6997</v>
      </c>
      <c r="AA9691" s="2" t="s">
        <v>57929</v>
      </c>
      <c r="AB9691" t="s">
        <v>181</v>
      </c>
      <c r="AF9691" t="s">
        <v>57018</v>
      </c>
      <c r="AG9691" t="s">
        <v>57933</v>
      </c>
      <c r="AH9691" t="s">
        <v>55363</v>
      </c>
      <c r="AI9691" t="s">
        <v>57934</v>
      </c>
    </row>
    <row r="9692" spans="2:35" ht="180">
      <c r="B9692" s="1">
        <v>44937</v>
      </c>
      <c r="C9692" s="4">
        <v>44936.51458333333</v>
      </c>
      <c r="D9692" t="s">
        <v>18135</v>
      </c>
      <c r="E9692" t="s">
        <v>6028</v>
      </c>
      <c r="F9692" t="s">
        <v>148</v>
      </c>
      <c r="G9692" t="s">
        <v>310</v>
      </c>
      <c r="H9692" t="s">
        <v>39</v>
      </c>
      <c r="I9692" t="s">
        <v>40</v>
      </c>
      <c r="J9692" t="s">
        <v>109</v>
      </c>
      <c r="K9692" t="s">
        <v>42</v>
      </c>
      <c r="Q9692">
        <v>22905</v>
      </c>
      <c r="R9692" t="s">
        <v>322</v>
      </c>
      <c r="S9692" t="s">
        <v>18136</v>
      </c>
      <c r="T9692">
        <v>25</v>
      </c>
      <c r="U9692" s="2" t="s">
        <v>57935</v>
      </c>
      <c r="W9692" t="s">
        <v>36557</v>
      </c>
      <c r="X9692">
        <v>838777</v>
      </c>
      <c r="Y9692" t="s">
        <v>3127</v>
      </c>
      <c r="Z9692" t="s">
        <v>6997</v>
      </c>
      <c r="AA9692" s="2" t="s">
        <v>57936</v>
      </c>
      <c r="AB9692" t="s">
        <v>70</v>
      </c>
      <c r="AF9692" t="s">
        <v>57018</v>
      </c>
      <c r="AG9692" t="s">
        <v>57937</v>
      </c>
      <c r="AH9692" t="s">
        <v>18142</v>
      </c>
      <c r="AI9692" t="s">
        <v>57938</v>
      </c>
    </row>
    <row r="9693" spans="2:35" ht="285">
      <c r="B9693" s="1">
        <v>44936</v>
      </c>
      <c r="C9693" s="4">
        <v>44936.52847222222</v>
      </c>
      <c r="D9693" t="s">
        <v>57939</v>
      </c>
      <c r="E9693" t="s">
        <v>3466</v>
      </c>
      <c r="F9693">
        <v>3</v>
      </c>
      <c r="G9693" t="s">
        <v>284</v>
      </c>
      <c r="H9693" t="s">
        <v>39</v>
      </c>
      <c r="I9693" t="s">
        <v>40</v>
      </c>
      <c r="J9693" t="s">
        <v>109</v>
      </c>
      <c r="K9693" t="s">
        <v>42</v>
      </c>
      <c r="Q9693">
        <v>22901</v>
      </c>
      <c r="R9693" t="s">
        <v>119</v>
      </c>
      <c r="S9693" t="s">
        <v>28621</v>
      </c>
      <c r="T9693">
        <v>27.8</v>
      </c>
      <c r="U9693" s="2" t="s">
        <v>57940</v>
      </c>
      <c r="W9693" t="s">
        <v>2680</v>
      </c>
      <c r="X9693">
        <v>831729</v>
      </c>
      <c r="Y9693" t="s">
        <v>485</v>
      </c>
      <c r="Z9693" s="2" t="s">
        <v>57941</v>
      </c>
      <c r="AA9693" t="s">
        <v>4315</v>
      </c>
      <c r="AB9693" t="s">
        <v>57942</v>
      </c>
      <c r="AF9693" t="s">
        <v>135</v>
      </c>
      <c r="AG9693" t="s">
        <v>57943</v>
      </c>
      <c r="AH9693" t="s">
        <v>28627</v>
      </c>
      <c r="AI9693" t="s">
        <v>57944</v>
      </c>
    </row>
    <row r="9694" spans="2:35" ht="409.5">
      <c r="B9694" s="1">
        <v>44936</v>
      </c>
      <c r="C9694" s="4">
        <v>44936.48541666667</v>
      </c>
      <c r="D9694" t="s">
        <v>5517</v>
      </c>
      <c r="E9694" t="s">
        <v>57945</v>
      </c>
      <c r="F9694" t="s">
        <v>148</v>
      </c>
      <c r="G9694" t="s">
        <v>371</v>
      </c>
      <c r="H9694" t="s">
        <v>6955</v>
      </c>
      <c r="I9694" t="s">
        <v>40</v>
      </c>
      <c r="J9694" t="s">
        <v>321</v>
      </c>
      <c r="K9694" t="s">
        <v>42</v>
      </c>
      <c r="Q9694">
        <v>22900</v>
      </c>
      <c r="R9694" t="s">
        <v>703</v>
      </c>
      <c r="S9694" t="s">
        <v>5518</v>
      </c>
      <c r="T9694">
        <v>25</v>
      </c>
      <c r="U9694" s="2" t="s">
        <v>53572</v>
      </c>
      <c r="W9694" t="s">
        <v>84</v>
      </c>
      <c r="X9694">
        <v>110018008</v>
      </c>
      <c r="Y9694" t="s">
        <v>8338</v>
      </c>
      <c r="Z9694" s="2" t="s">
        <v>57946</v>
      </c>
      <c r="AA9694" s="2" t="s">
        <v>57947</v>
      </c>
      <c r="AB9694" t="s">
        <v>57948</v>
      </c>
      <c r="AC9694" t="s">
        <v>57949</v>
      </c>
      <c r="AF9694" t="s">
        <v>175</v>
      </c>
      <c r="AG9694" t="s">
        <v>57950</v>
      </c>
      <c r="AH9694" t="s">
        <v>57157</v>
      </c>
      <c r="AI9694" t="s">
        <v>57951</v>
      </c>
    </row>
    <row r="9695" spans="2:35" ht="105">
      <c r="B9695" s="1">
        <v>44936</v>
      </c>
      <c r="C9695" s="4">
        <v>44936.67291666667</v>
      </c>
      <c r="D9695" t="s">
        <v>3897</v>
      </c>
      <c r="E9695" t="s">
        <v>3140</v>
      </c>
      <c r="F9695">
        <v>3</v>
      </c>
      <c r="G9695" t="s">
        <v>174</v>
      </c>
      <c r="H9695" t="s">
        <v>39</v>
      </c>
      <c r="I9695" t="s">
        <v>40</v>
      </c>
      <c r="J9695" s="2" t="s">
        <v>190</v>
      </c>
      <c r="K9695" t="s">
        <v>42</v>
      </c>
      <c r="Q9695">
        <v>22899</v>
      </c>
      <c r="R9695" t="s">
        <v>95</v>
      </c>
      <c r="S9695" t="s">
        <v>3898</v>
      </c>
      <c r="T9695">
        <v>22</v>
      </c>
      <c r="U9695" s="2" t="s">
        <v>20819</v>
      </c>
      <c r="W9695" t="s">
        <v>57952</v>
      </c>
      <c r="X9695">
        <v>110008530</v>
      </c>
      <c r="Y9695" t="s">
        <v>57953</v>
      </c>
      <c r="Z9695" t="s">
        <v>122</v>
      </c>
      <c r="AA9695" t="e">
        <f ca="1">- checked _xludf.and cleaned cartridge bay ,_xludf.filter
- checked system _xludf.Log _xludf.For errors
- generated ARCHIVE file _xludf.and reports
- performed functionality test</f>
        <v>#NAME?</v>
      </c>
      <c r="AB9695" t="s">
        <v>57954</v>
      </c>
      <c r="AC9695" t="s">
        <v>4800</v>
      </c>
      <c r="AF9695" t="s">
        <v>175</v>
      </c>
      <c r="AG9695" t="s">
        <v>57955</v>
      </c>
      <c r="AH9695" t="s">
        <v>8887</v>
      </c>
      <c r="AI9695" t="s">
        <v>57956</v>
      </c>
    </row>
    <row r="9696" spans="2:35" ht="210">
      <c r="B9696" s="1">
        <v>44936</v>
      </c>
      <c r="C9696" s="4">
        <v>44936.640277777777</v>
      </c>
      <c r="D9696" t="s">
        <v>11265</v>
      </c>
      <c r="E9696" t="s">
        <v>57957</v>
      </c>
      <c r="F9696">
        <v>3</v>
      </c>
      <c r="G9696" t="s">
        <v>1722</v>
      </c>
      <c r="H9696" t="s">
        <v>39</v>
      </c>
      <c r="I9696" t="s">
        <v>40</v>
      </c>
      <c r="J9696" t="s">
        <v>109</v>
      </c>
      <c r="K9696" t="s">
        <v>42</v>
      </c>
      <c r="Q9696">
        <v>22898</v>
      </c>
      <c r="R9696" t="s">
        <v>322</v>
      </c>
      <c r="S9696" t="s">
        <v>55298</v>
      </c>
      <c r="T9696">
        <v>27</v>
      </c>
      <c r="U9696" s="2" t="s">
        <v>57958</v>
      </c>
      <c r="V9696" s="1">
        <v>44936</v>
      </c>
      <c r="W9696" t="s">
        <v>26915</v>
      </c>
      <c r="X9696">
        <v>110013773</v>
      </c>
      <c r="Y9696" t="s">
        <v>1716</v>
      </c>
      <c r="Z9696" t="s">
        <v>1716</v>
      </c>
      <c r="AA9696" s="2" t="s">
        <v>1727</v>
      </c>
      <c r="AB9696" t="s">
        <v>181</v>
      </c>
      <c r="AC9696" t="s">
        <v>1716</v>
      </c>
      <c r="AD9696" t="s">
        <v>1716</v>
      </c>
      <c r="AE9696" t="s">
        <v>1716</v>
      </c>
      <c r="AF9696" t="s">
        <v>63</v>
      </c>
      <c r="AG9696" t="s">
        <v>57959</v>
      </c>
      <c r="AH9696" t="s">
        <v>45261</v>
      </c>
      <c r="AI9696" t="s">
        <v>57960</v>
      </c>
    </row>
    <row r="9697" spans="2:35" ht="210">
      <c r="B9697" s="1">
        <v>44936</v>
      </c>
      <c r="C9697" s="4">
        <v>44936.640277777777</v>
      </c>
      <c r="D9697" t="s">
        <v>11265</v>
      </c>
      <c r="E9697" t="s">
        <v>57957</v>
      </c>
      <c r="F9697">
        <v>3</v>
      </c>
      <c r="G9697" t="s">
        <v>1722</v>
      </c>
      <c r="H9697" t="s">
        <v>39</v>
      </c>
      <c r="I9697" t="s">
        <v>40</v>
      </c>
      <c r="J9697" t="s">
        <v>109</v>
      </c>
      <c r="K9697" t="s">
        <v>42</v>
      </c>
      <c r="Q9697">
        <v>22897</v>
      </c>
      <c r="R9697" t="s">
        <v>322</v>
      </c>
      <c r="S9697" t="s">
        <v>55298</v>
      </c>
      <c r="T9697">
        <v>27</v>
      </c>
      <c r="U9697" s="2" t="s">
        <v>57958</v>
      </c>
      <c r="V9697" s="1">
        <v>44936</v>
      </c>
      <c r="W9697" t="s">
        <v>26915</v>
      </c>
      <c r="X9697">
        <v>110013773</v>
      </c>
      <c r="Y9697" t="s">
        <v>1716</v>
      </c>
      <c r="Z9697" t="s">
        <v>1716</v>
      </c>
      <c r="AA9697" s="2" t="s">
        <v>1727</v>
      </c>
      <c r="AB9697" t="s">
        <v>181</v>
      </c>
      <c r="AC9697" t="s">
        <v>1716</v>
      </c>
      <c r="AD9697" t="s">
        <v>1716</v>
      </c>
      <c r="AE9697" t="s">
        <v>1716</v>
      </c>
      <c r="AF9697" t="s">
        <v>63</v>
      </c>
      <c r="AG9697" t="s">
        <v>57961</v>
      </c>
      <c r="AH9697" t="s">
        <v>45261</v>
      </c>
      <c r="AI9697" t="s">
        <v>57962</v>
      </c>
    </row>
    <row r="9698" spans="2:35" ht="270">
      <c r="B9698" s="1">
        <v>44936</v>
      </c>
      <c r="C9698" s="4">
        <v>44936.595833333333</v>
      </c>
      <c r="D9698" t="s">
        <v>26665</v>
      </c>
      <c r="E9698" t="s">
        <v>57963</v>
      </c>
      <c r="F9698">
        <v>11</v>
      </c>
      <c r="G9698" t="s">
        <v>1205</v>
      </c>
      <c r="H9698" t="s">
        <v>258</v>
      </c>
      <c r="I9698" t="s">
        <v>40</v>
      </c>
      <c r="J9698" t="s">
        <v>109</v>
      </c>
      <c r="K9698" t="s">
        <v>42</v>
      </c>
      <c r="Q9698">
        <v>22896</v>
      </c>
      <c r="R9698" t="s">
        <v>719</v>
      </c>
      <c r="S9698" t="s">
        <v>26667</v>
      </c>
      <c r="T9698">
        <v>24.3</v>
      </c>
      <c r="U9698" s="2" t="s">
        <v>57964</v>
      </c>
      <c r="V9698" s="1">
        <v>44936</v>
      </c>
      <c r="W9698" t="s">
        <v>57965</v>
      </c>
      <c r="X9698">
        <v>848248</v>
      </c>
      <c r="Y9698" t="s">
        <v>1052</v>
      </c>
      <c r="Z9698" t="s">
        <v>28265</v>
      </c>
      <c r="AA9698" s="2" t="s">
        <v>12047</v>
      </c>
      <c r="AB9698" t="s">
        <v>9590</v>
      </c>
      <c r="AC9698" t="s">
        <v>57966</v>
      </c>
      <c r="AD9698" t="s">
        <v>1716</v>
      </c>
      <c r="AE9698" t="s">
        <v>54</v>
      </c>
      <c r="AF9698" t="s">
        <v>2754</v>
      </c>
      <c r="AG9698" t="s">
        <v>57967</v>
      </c>
      <c r="AH9698" t="s">
        <v>48410</v>
      </c>
      <c r="AI9698" t="s">
        <v>57968</v>
      </c>
    </row>
    <row r="9699" spans="2:35" ht="300">
      <c r="B9699" s="1">
        <v>44936</v>
      </c>
      <c r="C9699" s="4">
        <v>44936.59097222222</v>
      </c>
      <c r="D9699" t="s">
        <v>26665</v>
      </c>
      <c r="E9699" t="s">
        <v>57969</v>
      </c>
      <c r="F9699">
        <v>11</v>
      </c>
      <c r="G9699" t="s">
        <v>1205</v>
      </c>
      <c r="H9699" t="s">
        <v>258</v>
      </c>
      <c r="I9699" t="s">
        <v>40</v>
      </c>
      <c r="J9699" t="s">
        <v>109</v>
      </c>
      <c r="K9699" t="s">
        <v>42</v>
      </c>
      <c r="Q9699">
        <v>22895</v>
      </c>
      <c r="R9699" t="s">
        <v>45</v>
      </c>
      <c r="S9699" t="s">
        <v>26667</v>
      </c>
      <c r="T9699">
        <v>24.3</v>
      </c>
      <c r="U9699" s="2" t="s">
        <v>24014</v>
      </c>
      <c r="V9699" s="1">
        <v>44936</v>
      </c>
      <c r="W9699" t="s">
        <v>57970</v>
      </c>
      <c r="X9699">
        <v>707513</v>
      </c>
      <c r="Y9699" t="s">
        <v>57971</v>
      </c>
      <c r="Z9699" t="s">
        <v>2551</v>
      </c>
      <c r="AA9699" s="2" t="s">
        <v>57972</v>
      </c>
      <c r="AB9699" t="s">
        <v>57973</v>
      </c>
      <c r="AC9699" t="s">
        <v>54</v>
      </c>
      <c r="AD9699" t="s">
        <v>1716</v>
      </c>
      <c r="AE9699" t="s">
        <v>1716</v>
      </c>
      <c r="AF9699" t="s">
        <v>57687</v>
      </c>
      <c r="AG9699" t="s">
        <v>57974</v>
      </c>
      <c r="AH9699" t="s">
        <v>48410</v>
      </c>
      <c r="AI9699" t="s">
        <v>57975</v>
      </c>
    </row>
    <row r="9700" spans="2:35" ht="375">
      <c r="B9700" s="1">
        <v>44936</v>
      </c>
      <c r="C9700" s="4">
        <v>44936.656944444447</v>
      </c>
      <c r="D9700" t="s">
        <v>57976</v>
      </c>
      <c r="E9700" t="s">
        <v>57845</v>
      </c>
      <c r="F9700">
        <v>9</v>
      </c>
      <c r="G9700" t="s">
        <v>2197</v>
      </c>
      <c r="H9700" t="s">
        <v>13481</v>
      </c>
      <c r="I9700" t="s">
        <v>40</v>
      </c>
      <c r="J9700" s="2" t="s">
        <v>41</v>
      </c>
      <c r="K9700" t="s">
        <v>42</v>
      </c>
      <c r="Q9700">
        <v>22893</v>
      </c>
      <c r="R9700" t="s">
        <v>45</v>
      </c>
      <c r="S9700" t="s">
        <v>42491</v>
      </c>
      <c r="T9700">
        <v>23.3</v>
      </c>
      <c r="U9700" s="2" t="s">
        <v>57977</v>
      </c>
      <c r="W9700" t="s">
        <v>16722</v>
      </c>
      <c r="X9700">
        <v>839309</v>
      </c>
      <c r="Y9700" t="e">
        <f ca="1">-_xludf.For module C1 Replacement</f>
        <v>#NAME?</v>
      </c>
      <c r="Z9700" t="s">
        <v>57978</v>
      </c>
      <c r="AA9700" t="e">
        <f ca="1">-PERFORM Preventive Maintenance
-COLLECT IQR system _xludf.Log _xludf.and Backup</f>
        <v>#NAME?</v>
      </c>
      <c r="AB9700" t="e">
        <f ca="1">-EQUIPMENT is operational</f>
        <v>#NAME?</v>
      </c>
      <c r="AC9700" t="e">
        <f ca="1">-module D1, D4, _xludf.and B3 _xludf.For Reporting</f>
        <v>#NAME?</v>
      </c>
      <c r="AF9700" t="s">
        <v>57846</v>
      </c>
      <c r="AG9700" t="s">
        <v>57979</v>
      </c>
      <c r="AH9700" t="s">
        <v>57980</v>
      </c>
      <c r="AI9700" t="s">
        <v>57981</v>
      </c>
    </row>
    <row r="9701" spans="2:35" ht="105">
      <c r="B9701" s="1">
        <v>44936</v>
      </c>
      <c r="C9701" s="4">
        <v>44936.640277777777</v>
      </c>
      <c r="D9701" t="s">
        <v>57982</v>
      </c>
      <c r="E9701" t="s">
        <v>6250</v>
      </c>
      <c r="F9701">
        <v>7</v>
      </c>
      <c r="G9701" t="s">
        <v>432</v>
      </c>
      <c r="H9701" t="s">
        <v>39</v>
      </c>
      <c r="I9701" t="s">
        <v>94</v>
      </c>
      <c r="J9701" t="s">
        <v>57983</v>
      </c>
      <c r="K9701" t="s">
        <v>42</v>
      </c>
      <c r="Q9701">
        <v>22892</v>
      </c>
      <c r="R9701" t="s">
        <v>45</v>
      </c>
      <c r="S9701" t="s">
        <v>1818</v>
      </c>
      <c r="T9701">
        <v>28</v>
      </c>
      <c r="U9701" s="2" t="s">
        <v>16541</v>
      </c>
      <c r="W9701" t="s">
        <v>56988</v>
      </c>
      <c r="X9701">
        <v>808620</v>
      </c>
      <c r="Y9701" t="s">
        <v>57984</v>
      </c>
      <c r="Z9701" t="s">
        <v>57984</v>
      </c>
      <c r="AA9701" t="s">
        <v>57984</v>
      </c>
      <c r="AB9701" t="s">
        <v>57985</v>
      </c>
      <c r="AF9701" t="s">
        <v>57986</v>
      </c>
      <c r="AG9701" t="s">
        <v>57987</v>
      </c>
      <c r="AH9701" t="s">
        <v>1823</v>
      </c>
      <c r="AI9701" t="s">
        <v>57988</v>
      </c>
    </row>
    <row r="9702" spans="2:35" ht="409.5">
      <c r="B9702" s="1">
        <v>44936</v>
      </c>
      <c r="C9702" s="4">
        <v>44936.630555555559</v>
      </c>
      <c r="D9702" t="s">
        <v>16407</v>
      </c>
      <c r="E9702" t="s">
        <v>57989</v>
      </c>
      <c r="F9702">
        <v>7</v>
      </c>
      <c r="G9702" t="s">
        <v>432</v>
      </c>
      <c r="H9702" t="s">
        <v>2290</v>
      </c>
      <c r="I9702" t="s">
        <v>94</v>
      </c>
      <c r="J9702" t="s">
        <v>109</v>
      </c>
      <c r="K9702" t="s">
        <v>42</v>
      </c>
      <c r="Q9702">
        <v>22891</v>
      </c>
      <c r="R9702" t="s">
        <v>119</v>
      </c>
      <c r="S9702" t="s">
        <v>16409</v>
      </c>
      <c r="T9702">
        <v>22</v>
      </c>
      <c r="U9702" s="2" t="s">
        <v>57990</v>
      </c>
      <c r="V9702" s="1">
        <v>44936</v>
      </c>
      <c r="W9702" t="s">
        <v>6776</v>
      </c>
      <c r="X9702">
        <v>838513</v>
      </c>
      <c r="Y9702" t="s">
        <v>57991</v>
      </c>
      <c r="Z9702" t="s">
        <v>3128</v>
      </c>
      <c r="AA9702" s="2" t="s">
        <v>57992</v>
      </c>
      <c r="AB9702" t="s">
        <v>1263</v>
      </c>
      <c r="AD9702" t="s">
        <v>103</v>
      </c>
      <c r="AE9702" t="s">
        <v>57993</v>
      </c>
      <c r="AF9702" t="s">
        <v>610</v>
      </c>
      <c r="AG9702" t="s">
        <v>57994</v>
      </c>
      <c r="AH9702" t="s">
        <v>57995</v>
      </c>
      <c r="AI9702" t="s">
        <v>57996</v>
      </c>
    </row>
    <row r="9703" spans="2:35" ht="285">
      <c r="B9703" s="1">
        <v>44936</v>
      </c>
      <c r="C9703" s="4">
        <v>44936.62222222222</v>
      </c>
      <c r="D9703" t="s">
        <v>1941</v>
      </c>
      <c r="E9703" t="s">
        <v>57997</v>
      </c>
      <c r="F9703" t="s">
        <v>148</v>
      </c>
      <c r="G9703" t="s">
        <v>310</v>
      </c>
      <c r="H9703" t="s">
        <v>39</v>
      </c>
      <c r="I9703" t="s">
        <v>40</v>
      </c>
      <c r="J9703" s="2" t="s">
        <v>190</v>
      </c>
      <c r="K9703" t="s">
        <v>42</v>
      </c>
      <c r="Q9703">
        <v>22890</v>
      </c>
      <c r="R9703" t="s">
        <v>119</v>
      </c>
      <c r="S9703" t="s">
        <v>23643</v>
      </c>
      <c r="T9703">
        <v>25</v>
      </c>
      <c r="U9703" s="2" t="s">
        <v>20174</v>
      </c>
      <c r="W9703" t="s">
        <v>1139</v>
      </c>
      <c r="X9703">
        <v>805060</v>
      </c>
      <c r="Y9703" s="2" t="s">
        <v>57998</v>
      </c>
      <c r="Z9703" s="2" t="s">
        <v>27815</v>
      </c>
      <c r="AA9703" s="2" t="s">
        <v>57999</v>
      </c>
      <c r="AB9703" t="s">
        <v>181</v>
      </c>
      <c r="AC9703" t="s">
        <v>58000</v>
      </c>
      <c r="AF9703" t="s">
        <v>58001</v>
      </c>
      <c r="AG9703" t="s">
        <v>58002</v>
      </c>
      <c r="AH9703" t="s">
        <v>58003</v>
      </c>
      <c r="AI9703" t="s">
        <v>58004</v>
      </c>
    </row>
    <row r="9704" spans="2:35" ht="285">
      <c r="B9704" s="1">
        <v>44936</v>
      </c>
      <c r="C9704" s="4">
        <v>44936.62222222222</v>
      </c>
      <c r="D9704" t="s">
        <v>1941</v>
      </c>
      <c r="E9704" t="s">
        <v>57997</v>
      </c>
      <c r="F9704" t="s">
        <v>148</v>
      </c>
      <c r="G9704" t="s">
        <v>310</v>
      </c>
      <c r="H9704" t="s">
        <v>39</v>
      </c>
      <c r="I9704" t="s">
        <v>40</v>
      </c>
      <c r="J9704" s="2" t="s">
        <v>190</v>
      </c>
      <c r="K9704" t="s">
        <v>42</v>
      </c>
      <c r="Q9704">
        <v>22889</v>
      </c>
      <c r="R9704" t="s">
        <v>119</v>
      </c>
      <c r="S9704" t="s">
        <v>23643</v>
      </c>
      <c r="T9704">
        <v>25</v>
      </c>
      <c r="U9704" s="2" t="s">
        <v>20174</v>
      </c>
      <c r="W9704" t="s">
        <v>1139</v>
      </c>
      <c r="X9704">
        <v>805060</v>
      </c>
      <c r="Y9704" s="2" t="s">
        <v>57998</v>
      </c>
      <c r="Z9704" s="2" t="s">
        <v>27815</v>
      </c>
      <c r="AA9704" s="2" t="s">
        <v>57999</v>
      </c>
      <c r="AB9704" t="s">
        <v>181</v>
      </c>
      <c r="AC9704" t="s">
        <v>58000</v>
      </c>
      <c r="AF9704" t="s">
        <v>58001</v>
      </c>
      <c r="AG9704" t="s">
        <v>58005</v>
      </c>
      <c r="AH9704" t="s">
        <v>58003</v>
      </c>
      <c r="AI9704" t="s">
        <v>58006</v>
      </c>
    </row>
    <row r="9705" spans="2:35" ht="285">
      <c r="B9705" s="1">
        <v>44936</v>
      </c>
      <c r="C9705" s="4">
        <v>44936.62222222222</v>
      </c>
      <c r="D9705" t="s">
        <v>1941</v>
      </c>
      <c r="E9705" t="s">
        <v>57997</v>
      </c>
      <c r="F9705" t="s">
        <v>148</v>
      </c>
      <c r="G9705" t="s">
        <v>310</v>
      </c>
      <c r="H9705" t="s">
        <v>39</v>
      </c>
      <c r="I9705" t="s">
        <v>40</v>
      </c>
      <c r="J9705" t="s">
        <v>525</v>
      </c>
      <c r="K9705" t="s">
        <v>42</v>
      </c>
      <c r="Q9705">
        <v>22888</v>
      </c>
      <c r="R9705" t="s">
        <v>119</v>
      </c>
      <c r="S9705" t="s">
        <v>23643</v>
      </c>
      <c r="T9705">
        <v>25</v>
      </c>
      <c r="U9705" s="2" t="s">
        <v>20174</v>
      </c>
      <c r="W9705" t="s">
        <v>1139</v>
      </c>
      <c r="X9705">
        <v>805060</v>
      </c>
      <c r="Y9705" s="2" t="s">
        <v>57998</v>
      </c>
      <c r="Z9705" s="2" t="s">
        <v>27815</v>
      </c>
      <c r="AA9705" s="2" t="s">
        <v>57999</v>
      </c>
      <c r="AB9705" t="s">
        <v>181</v>
      </c>
      <c r="AC9705" t="s">
        <v>58000</v>
      </c>
      <c r="AF9705" t="s">
        <v>58001</v>
      </c>
      <c r="AG9705" t="s">
        <v>58007</v>
      </c>
      <c r="AH9705" t="s">
        <v>58003</v>
      </c>
      <c r="AI9705" t="s">
        <v>58008</v>
      </c>
    </row>
    <row r="9706" spans="2:35" ht="180">
      <c r="B9706" s="1">
        <v>44936</v>
      </c>
      <c r="C9706" s="4">
        <v>44936.587500000001</v>
      </c>
      <c r="D9706" t="s">
        <v>58009</v>
      </c>
      <c r="E9706" t="s">
        <v>12226</v>
      </c>
      <c r="F9706">
        <v>12</v>
      </c>
      <c r="G9706" t="s">
        <v>978</v>
      </c>
      <c r="H9706" t="s">
        <v>39</v>
      </c>
      <c r="I9706" t="s">
        <v>94</v>
      </c>
      <c r="J9706" t="s">
        <v>109</v>
      </c>
      <c r="K9706" t="s">
        <v>42</v>
      </c>
      <c r="Q9706">
        <v>22887</v>
      </c>
      <c r="R9706" t="s">
        <v>119</v>
      </c>
      <c r="S9706" t="s">
        <v>7202</v>
      </c>
      <c r="T9706">
        <v>25.6</v>
      </c>
      <c r="U9706" s="2" t="s">
        <v>58010</v>
      </c>
      <c r="W9706" t="s">
        <v>53244</v>
      </c>
      <c r="X9706">
        <v>838504</v>
      </c>
      <c r="Y9706" t="s">
        <v>54</v>
      </c>
      <c r="Z9706" t="s">
        <v>303</v>
      </c>
      <c r="AA9706" t="s">
        <v>303</v>
      </c>
      <c r="AB9706" t="s">
        <v>58011</v>
      </c>
      <c r="AF9706" t="s">
        <v>58012</v>
      </c>
      <c r="AG9706" t="s">
        <v>58013</v>
      </c>
      <c r="AH9706" t="s">
        <v>58014</v>
      </c>
      <c r="AI9706" t="s">
        <v>58015</v>
      </c>
    </row>
    <row r="9707" spans="2:35" ht="345">
      <c r="B9707" s="1">
        <v>44936</v>
      </c>
      <c r="C9707" s="4">
        <v>44936.368055555555</v>
      </c>
      <c r="D9707" t="s">
        <v>5951</v>
      </c>
      <c r="E9707" t="s">
        <v>3823</v>
      </c>
      <c r="F9707" t="s">
        <v>148</v>
      </c>
      <c r="G9707" t="s">
        <v>310</v>
      </c>
      <c r="H9707" t="s">
        <v>2274</v>
      </c>
      <c r="I9707" t="s">
        <v>40</v>
      </c>
      <c r="J9707" t="s">
        <v>109</v>
      </c>
      <c r="K9707" t="s">
        <v>387</v>
      </c>
      <c r="Q9707">
        <v>22886</v>
      </c>
      <c r="R9707" t="s">
        <v>95</v>
      </c>
      <c r="S9707" t="s">
        <v>9747</v>
      </c>
      <c r="T9707">
        <v>27</v>
      </c>
      <c r="W9707" t="s">
        <v>390</v>
      </c>
      <c r="X9707" t="s">
        <v>4180</v>
      </c>
      <c r="Y9707" t="s">
        <v>2099</v>
      </c>
      <c r="Z9707" s="2" t="s">
        <v>58016</v>
      </c>
      <c r="AA9707" t="s">
        <v>2100</v>
      </c>
      <c r="AB9707" t="s">
        <v>88</v>
      </c>
      <c r="AF9707" t="s">
        <v>1943</v>
      </c>
      <c r="AG9707" t="s">
        <v>58017</v>
      </c>
      <c r="AH9707" t="s">
        <v>10576</v>
      </c>
      <c r="AI9707" t="s">
        <v>58018</v>
      </c>
    </row>
    <row r="9708" spans="2:35" ht="255">
      <c r="B9708" s="1">
        <v>44936</v>
      </c>
      <c r="C9708" s="4">
        <v>44936.469444444447</v>
      </c>
      <c r="D9708" t="s">
        <v>23134</v>
      </c>
      <c r="E9708" t="s">
        <v>58019</v>
      </c>
      <c r="F9708" t="s">
        <v>148</v>
      </c>
      <c r="G9708" t="s">
        <v>310</v>
      </c>
      <c r="H9708" t="s">
        <v>39</v>
      </c>
      <c r="I9708" t="s">
        <v>40</v>
      </c>
      <c r="J9708" s="2" t="s">
        <v>62</v>
      </c>
      <c r="K9708" t="s">
        <v>42</v>
      </c>
      <c r="Q9708">
        <v>22885</v>
      </c>
      <c r="R9708" t="s">
        <v>322</v>
      </c>
      <c r="S9708" t="s">
        <v>23136</v>
      </c>
      <c r="T9708">
        <v>24.6</v>
      </c>
      <c r="U9708" s="2" t="s">
        <v>58020</v>
      </c>
      <c r="W9708" t="s">
        <v>1139</v>
      </c>
      <c r="X9708">
        <v>831872</v>
      </c>
      <c r="Y9708" s="2" t="s">
        <v>58021</v>
      </c>
      <c r="Z9708" s="2" t="s">
        <v>21826</v>
      </c>
      <c r="AA9708" s="2" t="s">
        <v>58022</v>
      </c>
      <c r="AB9708" t="s">
        <v>181</v>
      </c>
      <c r="AF9708" t="s">
        <v>58001</v>
      </c>
      <c r="AG9708" t="s">
        <v>58023</v>
      </c>
      <c r="AH9708" t="s">
        <v>25416</v>
      </c>
      <c r="AI9708" t="s">
        <v>58024</v>
      </c>
    </row>
    <row r="9709" spans="2:35" ht="345">
      <c r="B9709" s="1">
        <v>44936</v>
      </c>
      <c r="C9709" s="4">
        <v>44936.460416666669</v>
      </c>
      <c r="D9709" t="s">
        <v>23134</v>
      </c>
      <c r="E9709" t="s">
        <v>58025</v>
      </c>
      <c r="F9709" t="s">
        <v>148</v>
      </c>
      <c r="G9709" t="s">
        <v>310</v>
      </c>
      <c r="H9709" t="s">
        <v>39</v>
      </c>
      <c r="I9709" t="s">
        <v>40</v>
      </c>
      <c r="J9709" t="s">
        <v>109</v>
      </c>
      <c r="K9709" t="s">
        <v>42</v>
      </c>
      <c r="Q9709">
        <v>22884</v>
      </c>
      <c r="R9709" t="s">
        <v>322</v>
      </c>
      <c r="S9709" t="s">
        <v>58026</v>
      </c>
      <c r="T9709">
        <v>24.6</v>
      </c>
      <c r="U9709" s="2" t="s">
        <v>58027</v>
      </c>
      <c r="W9709" t="s">
        <v>895</v>
      </c>
      <c r="X9709">
        <v>740011</v>
      </c>
      <c r="Y9709" t="s">
        <v>33606</v>
      </c>
      <c r="Z9709" t="s">
        <v>3128</v>
      </c>
      <c r="AA9709" s="2" t="s">
        <v>56640</v>
      </c>
      <c r="AB9709" t="s">
        <v>181</v>
      </c>
      <c r="AF9709" t="s">
        <v>58001</v>
      </c>
      <c r="AG9709" t="s">
        <v>58028</v>
      </c>
      <c r="AH9709" t="s">
        <v>25416</v>
      </c>
      <c r="AI9709" t="s">
        <v>58029</v>
      </c>
    </row>
    <row r="9710" spans="2:35" ht="345">
      <c r="B9710" s="1">
        <v>44936</v>
      </c>
      <c r="C9710" s="4">
        <v>44936.460416666669</v>
      </c>
      <c r="D9710" t="s">
        <v>23134</v>
      </c>
      <c r="E9710" t="s">
        <v>58025</v>
      </c>
      <c r="F9710" t="s">
        <v>148</v>
      </c>
      <c r="G9710" t="s">
        <v>310</v>
      </c>
      <c r="H9710" t="s">
        <v>39</v>
      </c>
      <c r="I9710" t="s">
        <v>40</v>
      </c>
      <c r="J9710" t="s">
        <v>109</v>
      </c>
      <c r="K9710" t="s">
        <v>42</v>
      </c>
      <c r="Q9710">
        <v>22883</v>
      </c>
      <c r="R9710" t="s">
        <v>322</v>
      </c>
      <c r="S9710" t="s">
        <v>58026</v>
      </c>
      <c r="T9710">
        <v>24.6</v>
      </c>
      <c r="U9710" s="2" t="s">
        <v>58027</v>
      </c>
      <c r="W9710" t="s">
        <v>895</v>
      </c>
      <c r="X9710">
        <v>740011</v>
      </c>
      <c r="Y9710" t="s">
        <v>33606</v>
      </c>
      <c r="Z9710" t="s">
        <v>3128</v>
      </c>
      <c r="AA9710" s="2" t="s">
        <v>56640</v>
      </c>
      <c r="AB9710" t="s">
        <v>181</v>
      </c>
      <c r="AF9710" t="s">
        <v>58001</v>
      </c>
      <c r="AG9710" t="s">
        <v>58030</v>
      </c>
      <c r="AH9710" t="s">
        <v>25416</v>
      </c>
      <c r="AI9710" t="s">
        <v>58031</v>
      </c>
    </row>
    <row r="9711" spans="2:35" ht="180">
      <c r="B9711" s="1">
        <v>44936</v>
      </c>
      <c r="C9711" s="4">
        <v>44935.503472222219</v>
      </c>
      <c r="D9711" t="s">
        <v>58032</v>
      </c>
      <c r="E9711" t="s">
        <v>26638</v>
      </c>
      <c r="F9711">
        <v>3</v>
      </c>
      <c r="G9711" t="s">
        <v>1722</v>
      </c>
      <c r="H9711" t="s">
        <v>39</v>
      </c>
      <c r="I9711" t="s">
        <v>40</v>
      </c>
      <c r="J9711" s="2" t="s">
        <v>41</v>
      </c>
      <c r="K9711" t="s">
        <v>42</v>
      </c>
      <c r="Q9711">
        <v>22882</v>
      </c>
      <c r="R9711" t="s">
        <v>119</v>
      </c>
      <c r="S9711" t="s">
        <v>51234</v>
      </c>
      <c r="T9711">
        <v>30</v>
      </c>
      <c r="U9711" s="2" t="s">
        <v>58033</v>
      </c>
      <c r="V9711" s="1">
        <v>44935</v>
      </c>
      <c r="W9711" t="s">
        <v>26915</v>
      </c>
      <c r="X9711">
        <v>831672</v>
      </c>
      <c r="Y9711" t="s">
        <v>1716</v>
      </c>
      <c r="Z9711" t="s">
        <v>1716</v>
      </c>
      <c r="AA9711" s="2" t="s">
        <v>58034</v>
      </c>
      <c r="AB9711" t="s">
        <v>70</v>
      </c>
      <c r="AC9711" t="s">
        <v>1716</v>
      </c>
      <c r="AD9711" t="s">
        <v>58035</v>
      </c>
      <c r="AE9711" t="s">
        <v>1716</v>
      </c>
      <c r="AF9711" t="s">
        <v>63</v>
      </c>
      <c r="AG9711" t="s">
        <v>58036</v>
      </c>
      <c r="AH9711" t="s">
        <v>58037</v>
      </c>
      <c r="AI9711" t="s">
        <v>58038</v>
      </c>
    </row>
    <row r="9712" spans="2:35" ht="105">
      <c r="B9712" s="1">
        <v>44936</v>
      </c>
      <c r="C9712" s="4">
        <v>44936.396527777775</v>
      </c>
      <c r="D9712" t="s">
        <v>2883</v>
      </c>
      <c r="E9712" t="s">
        <v>58039</v>
      </c>
      <c r="F9712">
        <v>13</v>
      </c>
      <c r="G9712" t="s">
        <v>931</v>
      </c>
      <c r="H9712" t="s">
        <v>2125</v>
      </c>
      <c r="I9712" t="s">
        <v>40</v>
      </c>
      <c r="J9712" s="2" t="s">
        <v>41</v>
      </c>
      <c r="K9712" t="s">
        <v>42</v>
      </c>
      <c r="Q9712">
        <v>22881</v>
      </c>
      <c r="R9712" t="s">
        <v>45</v>
      </c>
      <c r="S9712" t="s">
        <v>58040</v>
      </c>
      <c r="T9712">
        <v>27.1</v>
      </c>
      <c r="U9712" s="2" t="s">
        <v>35479</v>
      </c>
      <c r="W9712" t="s">
        <v>23146</v>
      </c>
      <c r="X9712">
        <v>835175</v>
      </c>
      <c r="Y9712" t="s">
        <v>301</v>
      </c>
      <c r="Z9712" t="s">
        <v>301</v>
      </c>
      <c r="AA9712" t="s">
        <v>58041</v>
      </c>
      <c r="AB9712" t="s">
        <v>52832</v>
      </c>
      <c r="AF9712" t="s">
        <v>58042</v>
      </c>
      <c r="AG9712" t="s">
        <v>58043</v>
      </c>
      <c r="AH9712" t="s">
        <v>58044</v>
      </c>
      <c r="AI9712" t="s">
        <v>58045</v>
      </c>
    </row>
    <row r="9713" spans="2:35" ht="409.5">
      <c r="B9713" s="1">
        <v>44936</v>
      </c>
      <c r="C9713" s="4">
        <v>44935.628472222219</v>
      </c>
      <c r="D9713" t="s">
        <v>36713</v>
      </c>
      <c r="E9713" t="s">
        <v>42404</v>
      </c>
      <c r="F9713" t="s">
        <v>148</v>
      </c>
      <c r="G9713" t="s">
        <v>2007</v>
      </c>
      <c r="H9713" t="s">
        <v>662</v>
      </c>
      <c r="I9713" t="s">
        <v>40</v>
      </c>
      <c r="J9713" t="s">
        <v>525</v>
      </c>
      <c r="K9713" t="s">
        <v>42</v>
      </c>
      <c r="Q9713">
        <v>22880</v>
      </c>
      <c r="R9713" t="s">
        <v>95</v>
      </c>
      <c r="S9713" t="s">
        <v>58046</v>
      </c>
      <c r="T9713">
        <v>27</v>
      </c>
      <c r="U9713" s="2" t="s">
        <v>58047</v>
      </c>
      <c r="W9713" t="s">
        <v>58048</v>
      </c>
      <c r="X9713">
        <v>110001647</v>
      </c>
      <c r="Y9713" t="s">
        <v>58049</v>
      </c>
      <c r="Z9713" t="s">
        <v>58050</v>
      </c>
      <c r="AA9713" t="s">
        <v>4487</v>
      </c>
      <c r="AB9713" t="s">
        <v>486</v>
      </c>
      <c r="AC9713" t="s">
        <v>58051</v>
      </c>
      <c r="AF9713" t="s">
        <v>49366</v>
      </c>
      <c r="AG9713" t="s">
        <v>58052</v>
      </c>
      <c r="AH9713" t="s">
        <v>58053</v>
      </c>
      <c r="AI9713" t="s">
        <v>58054</v>
      </c>
    </row>
    <row r="9714" spans="2:35" ht="330">
      <c r="B9714" s="1">
        <v>44935</v>
      </c>
      <c r="C9714" s="4">
        <v>44932.479861111111</v>
      </c>
      <c r="D9714" t="s">
        <v>32961</v>
      </c>
      <c r="E9714" t="s">
        <v>43178</v>
      </c>
      <c r="F9714" t="s">
        <v>37</v>
      </c>
      <c r="G9714" t="s">
        <v>189</v>
      </c>
      <c r="H9714" t="s">
        <v>39</v>
      </c>
      <c r="I9714" t="s">
        <v>40</v>
      </c>
      <c r="J9714" s="2" t="s">
        <v>62</v>
      </c>
      <c r="K9714" t="s">
        <v>42</v>
      </c>
      <c r="Q9714">
        <v>22879</v>
      </c>
      <c r="R9714" t="s">
        <v>119</v>
      </c>
      <c r="S9714" t="s">
        <v>41233</v>
      </c>
      <c r="T9714">
        <v>25</v>
      </c>
      <c r="U9714" s="2" t="s">
        <v>58055</v>
      </c>
      <c r="V9714" s="1">
        <v>44916</v>
      </c>
      <c r="W9714" t="s">
        <v>84</v>
      </c>
      <c r="X9714">
        <v>821299</v>
      </c>
      <c r="Y9714" s="2" t="s">
        <v>58056</v>
      </c>
      <c r="Z9714" s="2" t="s">
        <v>58057</v>
      </c>
      <c r="AA9714" t="s">
        <v>58058</v>
      </c>
      <c r="AB9714" t="s">
        <v>58059</v>
      </c>
      <c r="AD9714" t="s">
        <v>58060</v>
      </c>
      <c r="AE9714" t="s">
        <v>58061</v>
      </c>
      <c r="AF9714" t="s">
        <v>1943</v>
      </c>
      <c r="AG9714" t="s">
        <v>58062</v>
      </c>
      <c r="AH9714" t="s">
        <v>32966</v>
      </c>
      <c r="AI9714" t="s">
        <v>58063</v>
      </c>
    </row>
    <row r="9715" spans="2:35" ht="210">
      <c r="B9715" s="1">
        <v>44935</v>
      </c>
      <c r="C9715" s="4">
        <v>44932.415972222225</v>
      </c>
      <c r="D9715" t="s">
        <v>2250</v>
      </c>
      <c r="E9715" t="s">
        <v>2251</v>
      </c>
      <c r="F9715" t="s">
        <v>37</v>
      </c>
      <c r="G9715" t="s">
        <v>189</v>
      </c>
      <c r="H9715" t="s">
        <v>39</v>
      </c>
      <c r="I9715" t="s">
        <v>40</v>
      </c>
      <c r="J9715" s="2" t="s">
        <v>62</v>
      </c>
      <c r="K9715" t="s">
        <v>42</v>
      </c>
      <c r="Q9715">
        <v>22878</v>
      </c>
      <c r="R9715" t="s">
        <v>119</v>
      </c>
      <c r="S9715" t="s">
        <v>41273</v>
      </c>
      <c r="T9715">
        <v>25</v>
      </c>
      <c r="U9715" s="2" t="s">
        <v>58064</v>
      </c>
      <c r="V9715" s="1">
        <v>44916</v>
      </c>
      <c r="W9715" t="s">
        <v>84</v>
      </c>
      <c r="X9715">
        <v>820201</v>
      </c>
      <c r="Y9715" s="2" t="s">
        <v>58065</v>
      </c>
      <c r="Z9715" s="2" t="s">
        <v>58066</v>
      </c>
      <c r="AA9715" t="s">
        <v>3045</v>
      </c>
      <c r="AB9715" t="s">
        <v>58067</v>
      </c>
      <c r="AD9715" t="s">
        <v>11518</v>
      </c>
      <c r="AE9715" t="s">
        <v>58061</v>
      </c>
      <c r="AF9715" t="s">
        <v>1943</v>
      </c>
      <c r="AG9715" t="s">
        <v>58068</v>
      </c>
      <c r="AH9715" t="s">
        <v>58069</v>
      </c>
      <c r="AI9715" t="s">
        <v>58070</v>
      </c>
    </row>
    <row r="9716" spans="2:35" ht="180">
      <c r="B9716" s="1">
        <v>44935</v>
      </c>
      <c r="C9716" s="4">
        <v>44931.550694444442</v>
      </c>
      <c r="D9716" t="s">
        <v>58071</v>
      </c>
      <c r="E9716" t="s">
        <v>25968</v>
      </c>
      <c r="F9716">
        <v>3</v>
      </c>
      <c r="G9716" t="s">
        <v>174</v>
      </c>
      <c r="H9716" t="s">
        <v>39</v>
      </c>
      <c r="I9716" t="s">
        <v>40</v>
      </c>
      <c r="J9716" s="2" t="s">
        <v>62</v>
      </c>
      <c r="K9716" t="s">
        <v>42</v>
      </c>
      <c r="Q9716">
        <v>22876</v>
      </c>
      <c r="R9716" t="s">
        <v>119</v>
      </c>
      <c r="S9716" t="s">
        <v>25969</v>
      </c>
      <c r="T9716">
        <v>27</v>
      </c>
      <c r="U9716" s="2" t="s">
        <v>58072</v>
      </c>
      <c r="W9716" t="s">
        <v>84</v>
      </c>
      <c r="X9716">
        <v>831691</v>
      </c>
      <c r="Y9716" t="s">
        <v>58073</v>
      </c>
      <c r="Z9716" t="s">
        <v>58074</v>
      </c>
      <c r="AA9716" t="e">
        <f ca="1">- checked amd cleaned cartridge bay, plunger rod, I CORE slot, _xludf.filter
- performed XpertCheck
- generated reports
- performed functionality test</f>
        <v>#NAME?</v>
      </c>
      <c r="AB9716" t="s">
        <v>58075</v>
      </c>
      <c r="AF9716" t="s">
        <v>58076</v>
      </c>
      <c r="AG9716" t="s">
        <v>58077</v>
      </c>
      <c r="AH9716" t="s">
        <v>25971</v>
      </c>
      <c r="AI9716" t="s">
        <v>58078</v>
      </c>
    </row>
    <row r="9717" spans="2:35" ht="105">
      <c r="B9717" s="1">
        <v>44935</v>
      </c>
      <c r="C9717" s="4">
        <v>44932.626388888886</v>
      </c>
      <c r="D9717" t="s">
        <v>22725</v>
      </c>
      <c r="E9717" t="s">
        <v>58079</v>
      </c>
      <c r="F9717">
        <v>3</v>
      </c>
      <c r="G9717" t="s">
        <v>1046</v>
      </c>
      <c r="H9717" t="s">
        <v>39</v>
      </c>
      <c r="I9717" t="s">
        <v>40</v>
      </c>
      <c r="J9717" s="2" t="s">
        <v>41</v>
      </c>
      <c r="K9717" t="s">
        <v>42</v>
      </c>
      <c r="Q9717">
        <v>22877</v>
      </c>
      <c r="R9717" t="s">
        <v>45</v>
      </c>
      <c r="S9717" t="s">
        <v>25095</v>
      </c>
      <c r="T9717">
        <v>26</v>
      </c>
      <c r="U9717" s="2" t="s">
        <v>58080</v>
      </c>
      <c r="W9717" t="s">
        <v>84</v>
      </c>
      <c r="X9717">
        <v>815394</v>
      </c>
      <c r="Y9717" t="s">
        <v>58081</v>
      </c>
      <c r="Z9717" t="s">
        <v>33749</v>
      </c>
      <c r="AA9717" t="e">
        <f ca="1">- backed up database &amp; archived tests
- installed new CPU
- generated reports
- imported ADF (MTB ultra)
- Created new user Accounts
- installed printer driver
- imported archived tests
- performed functionality test
- pulled Out Back up Laptop (model: Lenovo , SN: CPH1019F03266)</f>
        <v>#NAME?</v>
      </c>
      <c r="AB9717" t="s">
        <v>48367</v>
      </c>
      <c r="AC9717" t="s">
        <v>58082</v>
      </c>
      <c r="AF9717" t="s">
        <v>175</v>
      </c>
      <c r="AG9717" t="s">
        <v>58083</v>
      </c>
      <c r="AH9717" t="s">
        <v>58084</v>
      </c>
      <c r="AI9717" t="s">
        <v>58085</v>
      </c>
    </row>
    <row r="9718" spans="2:35" ht="409.5">
      <c r="B9718" s="1">
        <v>44935</v>
      </c>
      <c r="C9718" s="4">
        <v>44935.59375</v>
      </c>
      <c r="D9718" t="s">
        <v>47402</v>
      </c>
      <c r="E9718" t="s">
        <v>29968</v>
      </c>
      <c r="F9718">
        <v>11</v>
      </c>
      <c r="G9718" t="s">
        <v>1205</v>
      </c>
      <c r="H9718" t="s">
        <v>39</v>
      </c>
      <c r="I9718" t="s">
        <v>40</v>
      </c>
      <c r="J9718" s="2" t="s">
        <v>41</v>
      </c>
      <c r="K9718" t="s">
        <v>42</v>
      </c>
      <c r="Q9718">
        <v>22874</v>
      </c>
      <c r="R9718" t="s">
        <v>45</v>
      </c>
      <c r="S9718" t="s">
        <v>29969</v>
      </c>
      <c r="T9718">
        <v>27.6</v>
      </c>
      <c r="U9718" s="2" t="s">
        <v>58086</v>
      </c>
      <c r="V9718" s="1">
        <v>44935</v>
      </c>
      <c r="W9718" t="s">
        <v>23237</v>
      </c>
      <c r="X9718">
        <v>838889</v>
      </c>
      <c r="Y9718" s="2" t="s">
        <v>58087</v>
      </c>
      <c r="Z9718" t="s">
        <v>58088</v>
      </c>
      <c r="AA9718" s="2" t="s">
        <v>58089</v>
      </c>
      <c r="AB9718" t="s">
        <v>21102</v>
      </c>
      <c r="AC9718" t="s">
        <v>58090</v>
      </c>
      <c r="AD9718" t="s">
        <v>10253</v>
      </c>
      <c r="AE9718" t="s">
        <v>1716</v>
      </c>
      <c r="AF9718" t="s">
        <v>2754</v>
      </c>
      <c r="AG9718" t="s">
        <v>58091</v>
      </c>
      <c r="AH9718" t="s">
        <v>58092</v>
      </c>
      <c r="AI9718" t="s">
        <v>58093</v>
      </c>
    </row>
    <row r="9719" spans="2:35" ht="225">
      <c r="B9719" s="1">
        <v>44935</v>
      </c>
      <c r="C9719" s="4">
        <v>44935.584027777775</v>
      </c>
      <c r="D9719" t="s">
        <v>33813</v>
      </c>
      <c r="E9719" t="s">
        <v>49194</v>
      </c>
      <c r="F9719">
        <v>3</v>
      </c>
      <c r="G9719" t="s">
        <v>1722</v>
      </c>
      <c r="H9719" t="s">
        <v>58094</v>
      </c>
      <c r="I9719" t="s">
        <v>40</v>
      </c>
      <c r="J9719" s="2" t="s">
        <v>62</v>
      </c>
      <c r="K9719" t="s">
        <v>42</v>
      </c>
      <c r="Q9719">
        <v>22873</v>
      </c>
      <c r="R9719" t="s">
        <v>45</v>
      </c>
      <c r="S9719" t="s">
        <v>33815</v>
      </c>
      <c r="T9719">
        <v>29</v>
      </c>
      <c r="U9719" s="2" t="s">
        <v>58095</v>
      </c>
      <c r="V9719" s="1">
        <v>44935</v>
      </c>
      <c r="W9719" t="s">
        <v>26915</v>
      </c>
      <c r="X9719">
        <v>807560</v>
      </c>
      <c r="Y9719" t="s">
        <v>1716</v>
      </c>
      <c r="Z9719" t="s">
        <v>1716</v>
      </c>
      <c r="AA9719" s="2" t="s">
        <v>54702</v>
      </c>
      <c r="AB9719" t="s">
        <v>70</v>
      </c>
      <c r="AC9719" t="s">
        <v>58096</v>
      </c>
      <c r="AD9719" t="s">
        <v>1716</v>
      </c>
      <c r="AE9719" t="s">
        <v>1716</v>
      </c>
      <c r="AF9719" t="s">
        <v>63</v>
      </c>
      <c r="AG9719" t="s">
        <v>58097</v>
      </c>
      <c r="AH9719" t="s">
        <v>58098</v>
      </c>
      <c r="AI9719" t="s">
        <v>58099</v>
      </c>
    </row>
    <row r="9720" spans="2:35" ht="180">
      <c r="B9720" s="1">
        <v>44935</v>
      </c>
      <c r="C9720" s="4">
        <v>44935.559027777781</v>
      </c>
      <c r="D9720" t="s">
        <v>976</v>
      </c>
      <c r="E9720" t="s">
        <v>58100</v>
      </c>
      <c r="F9720">
        <v>12</v>
      </c>
      <c r="G9720" t="s">
        <v>978</v>
      </c>
      <c r="H9720" t="s">
        <v>39</v>
      </c>
      <c r="I9720" t="s">
        <v>94</v>
      </c>
      <c r="J9720" t="s">
        <v>109</v>
      </c>
      <c r="K9720" t="s">
        <v>42</v>
      </c>
      <c r="Q9720">
        <v>22872</v>
      </c>
      <c r="R9720" t="s">
        <v>119</v>
      </c>
      <c r="S9720" t="s">
        <v>51949</v>
      </c>
      <c r="T9720">
        <v>24.7</v>
      </c>
      <c r="U9720" s="2" t="s">
        <v>58101</v>
      </c>
      <c r="W9720" t="s">
        <v>58102</v>
      </c>
      <c r="X9720">
        <v>838543</v>
      </c>
      <c r="Y9720" t="s">
        <v>54</v>
      </c>
      <c r="Z9720" t="s">
        <v>303</v>
      </c>
      <c r="AA9720" t="s">
        <v>303</v>
      </c>
      <c r="AB9720" t="s">
        <v>58011</v>
      </c>
      <c r="AF9720" t="s">
        <v>296</v>
      </c>
      <c r="AG9720" t="s">
        <v>58103</v>
      </c>
      <c r="AH9720" t="s">
        <v>58104</v>
      </c>
      <c r="AI9720" t="s">
        <v>58105</v>
      </c>
    </row>
    <row r="9721" spans="2:35" ht="315">
      <c r="B9721" s="1">
        <v>44935</v>
      </c>
      <c r="C9721" s="4">
        <v>44935.505555555559</v>
      </c>
      <c r="D9721" t="s">
        <v>27198</v>
      </c>
      <c r="E9721" t="s">
        <v>27199</v>
      </c>
      <c r="F9721">
        <v>3</v>
      </c>
      <c r="G9721" t="s">
        <v>284</v>
      </c>
      <c r="H9721" t="s">
        <v>39</v>
      </c>
      <c r="I9721" t="s">
        <v>40</v>
      </c>
      <c r="J9721" t="s">
        <v>109</v>
      </c>
      <c r="K9721" t="s">
        <v>42</v>
      </c>
      <c r="Q9721">
        <v>22871</v>
      </c>
      <c r="R9721" t="s">
        <v>119</v>
      </c>
      <c r="S9721" t="s">
        <v>1801</v>
      </c>
      <c r="T9721">
        <v>26.4</v>
      </c>
      <c r="U9721" s="2" t="s">
        <v>58106</v>
      </c>
      <c r="W9721" t="s">
        <v>2680</v>
      </c>
      <c r="X9721">
        <v>831645</v>
      </c>
      <c r="Y9721" t="s">
        <v>485</v>
      </c>
      <c r="Z9721" s="2" t="s">
        <v>58107</v>
      </c>
      <c r="AA9721" t="s">
        <v>4315</v>
      </c>
      <c r="AB9721" t="s">
        <v>181</v>
      </c>
      <c r="AF9721" t="s">
        <v>57784</v>
      </c>
      <c r="AG9721" t="s">
        <v>58108</v>
      </c>
      <c r="AH9721" t="s">
        <v>27203</v>
      </c>
      <c r="AI9721" t="s">
        <v>58109</v>
      </c>
    </row>
    <row r="9722" spans="2:35" ht="180">
      <c r="B9722" s="1">
        <v>44935</v>
      </c>
      <c r="C9722" s="4">
        <v>44882.713194444441</v>
      </c>
      <c r="D9722" t="s">
        <v>58110</v>
      </c>
      <c r="E9722" t="s">
        <v>25947</v>
      </c>
      <c r="F9722">
        <v>5</v>
      </c>
      <c r="G9722" t="s">
        <v>759</v>
      </c>
      <c r="H9722" t="s">
        <v>39</v>
      </c>
      <c r="I9722" t="s">
        <v>40</v>
      </c>
      <c r="J9722" t="s">
        <v>79</v>
      </c>
      <c r="K9722" t="s">
        <v>42</v>
      </c>
      <c r="Q9722">
        <v>22870</v>
      </c>
      <c r="R9722" t="s">
        <v>45</v>
      </c>
      <c r="S9722" t="s">
        <v>58111</v>
      </c>
      <c r="T9722">
        <v>25</v>
      </c>
      <c r="U9722" s="2" t="s">
        <v>58112</v>
      </c>
      <c r="V9722" s="1">
        <v>44882</v>
      </c>
      <c r="W9722" t="s">
        <v>58113</v>
      </c>
      <c r="X9722">
        <v>808636</v>
      </c>
      <c r="Y9722" t="s">
        <v>58114</v>
      </c>
      <c r="Z9722" t="s">
        <v>1372</v>
      </c>
      <c r="AA9722" s="2" t="s">
        <v>58115</v>
      </c>
      <c r="AB9722" t="s">
        <v>181</v>
      </c>
      <c r="AD9722" t="s">
        <v>58116</v>
      </c>
      <c r="AE9722" t="s">
        <v>45</v>
      </c>
      <c r="AF9722" t="s">
        <v>58001</v>
      </c>
      <c r="AG9722" t="s">
        <v>58117</v>
      </c>
      <c r="AH9722" t="s">
        <v>58118</v>
      </c>
      <c r="AI9722" t="s">
        <v>58119</v>
      </c>
    </row>
    <row r="9723" spans="2:35" ht="180">
      <c r="B9723" s="1">
        <v>44935</v>
      </c>
      <c r="C9723" s="4">
        <v>44882.713194444441</v>
      </c>
      <c r="D9723" t="s">
        <v>58110</v>
      </c>
      <c r="E9723" t="s">
        <v>25947</v>
      </c>
      <c r="F9723">
        <v>5</v>
      </c>
      <c r="G9723" t="s">
        <v>759</v>
      </c>
      <c r="H9723" t="s">
        <v>39</v>
      </c>
      <c r="I9723" t="s">
        <v>40</v>
      </c>
      <c r="J9723" t="s">
        <v>79</v>
      </c>
      <c r="K9723" t="s">
        <v>42</v>
      </c>
      <c r="Q9723">
        <v>22869</v>
      </c>
      <c r="R9723" t="s">
        <v>45</v>
      </c>
      <c r="S9723" t="s">
        <v>58111</v>
      </c>
      <c r="T9723">
        <v>25</v>
      </c>
      <c r="U9723" s="2" t="s">
        <v>58112</v>
      </c>
      <c r="V9723" s="1">
        <v>44882</v>
      </c>
      <c r="W9723" t="s">
        <v>58113</v>
      </c>
      <c r="X9723">
        <v>808636</v>
      </c>
      <c r="Y9723" t="s">
        <v>58114</v>
      </c>
      <c r="Z9723" t="s">
        <v>1372</v>
      </c>
      <c r="AA9723" s="2" t="s">
        <v>58115</v>
      </c>
      <c r="AB9723" t="s">
        <v>181</v>
      </c>
      <c r="AD9723" t="s">
        <v>58116</v>
      </c>
      <c r="AE9723" t="s">
        <v>45</v>
      </c>
      <c r="AF9723" t="s">
        <v>58001</v>
      </c>
      <c r="AG9723" t="s">
        <v>58120</v>
      </c>
      <c r="AH9723" t="s">
        <v>58118</v>
      </c>
      <c r="AI9723" t="s">
        <v>58121</v>
      </c>
    </row>
    <row r="9724" spans="2:35" ht="255">
      <c r="B9724" s="1">
        <v>44935</v>
      </c>
      <c r="C9724" s="4">
        <v>44932.493055555555</v>
      </c>
      <c r="D9724" t="s">
        <v>32327</v>
      </c>
      <c r="E9724" t="s">
        <v>58122</v>
      </c>
      <c r="F9724" t="s">
        <v>37</v>
      </c>
      <c r="G9724" t="s">
        <v>748</v>
      </c>
      <c r="H9724" t="s">
        <v>39</v>
      </c>
      <c r="I9724" t="s">
        <v>40</v>
      </c>
      <c r="J9724" s="2" t="s">
        <v>190</v>
      </c>
      <c r="K9724" t="s">
        <v>42</v>
      </c>
      <c r="Q9724">
        <v>22864</v>
      </c>
      <c r="R9724" t="s">
        <v>45</v>
      </c>
      <c r="S9724" t="s">
        <v>32329</v>
      </c>
      <c r="T9724">
        <v>28</v>
      </c>
      <c r="U9724" s="2" t="s">
        <v>7499</v>
      </c>
      <c r="W9724" t="s">
        <v>2680</v>
      </c>
      <c r="X9724">
        <v>812006</v>
      </c>
      <c r="Y9724" t="s">
        <v>58123</v>
      </c>
      <c r="Z9724" t="s">
        <v>58124</v>
      </c>
      <c r="AA9724" s="2" t="s">
        <v>58125</v>
      </c>
      <c r="AB9724" t="s">
        <v>58126</v>
      </c>
      <c r="AF9724" t="s">
        <v>57018</v>
      </c>
      <c r="AG9724" t="s">
        <v>58127</v>
      </c>
      <c r="AH9724" t="s">
        <v>32338</v>
      </c>
      <c r="AI9724" t="s">
        <v>58128</v>
      </c>
    </row>
    <row r="9725" spans="2:35" ht="225">
      <c r="B9725" s="1">
        <v>44935</v>
      </c>
      <c r="C9725" s="4">
        <v>44931.518750000003</v>
      </c>
      <c r="D9725" t="s">
        <v>2257</v>
      </c>
      <c r="E9725" t="s">
        <v>58129</v>
      </c>
      <c r="F9725" t="s">
        <v>37</v>
      </c>
      <c r="G9725" t="s">
        <v>748</v>
      </c>
      <c r="H9725" t="s">
        <v>39</v>
      </c>
      <c r="I9725" t="s">
        <v>40</v>
      </c>
      <c r="J9725" s="2" t="s">
        <v>190</v>
      </c>
      <c r="K9725" t="s">
        <v>42</v>
      </c>
      <c r="L9725" t="s">
        <v>1028</v>
      </c>
      <c r="Q9725">
        <v>22866</v>
      </c>
      <c r="R9725" t="s">
        <v>119</v>
      </c>
      <c r="S9725" t="s">
        <v>8974</v>
      </c>
      <c r="T9725">
        <v>25</v>
      </c>
      <c r="U9725" s="2" t="s">
        <v>58130</v>
      </c>
      <c r="W9725" t="s">
        <v>2680</v>
      </c>
      <c r="X9725">
        <v>838537</v>
      </c>
      <c r="Y9725" s="2" t="s">
        <v>58131</v>
      </c>
      <c r="Z9725" s="2" t="s">
        <v>58132</v>
      </c>
      <c r="AA9725" s="2" t="s">
        <v>58133</v>
      </c>
      <c r="AB9725" t="s">
        <v>58134</v>
      </c>
      <c r="AF9725" t="s">
        <v>57018</v>
      </c>
      <c r="AG9725" t="s">
        <v>58135</v>
      </c>
      <c r="AH9725" t="s">
        <v>8978</v>
      </c>
      <c r="AI9725" t="s">
        <v>58136</v>
      </c>
    </row>
    <row r="9726" spans="2:35" ht="180">
      <c r="B9726" s="1">
        <v>44935</v>
      </c>
      <c r="C9726" s="4">
        <v>44930.479166666664</v>
      </c>
      <c r="D9726" t="s">
        <v>58137</v>
      </c>
      <c r="E9726" t="s">
        <v>58138</v>
      </c>
      <c r="F9726" t="s">
        <v>148</v>
      </c>
      <c r="G9726" t="s">
        <v>310</v>
      </c>
      <c r="H9726" t="s">
        <v>39</v>
      </c>
      <c r="I9726" t="s">
        <v>40</v>
      </c>
      <c r="J9726" s="2" t="s">
        <v>190</v>
      </c>
      <c r="K9726" t="s">
        <v>42</v>
      </c>
      <c r="Q9726">
        <v>22865</v>
      </c>
      <c r="R9726" t="s">
        <v>119</v>
      </c>
      <c r="S9726" t="s">
        <v>40103</v>
      </c>
      <c r="T9726">
        <v>25</v>
      </c>
      <c r="U9726" s="2" t="s">
        <v>58139</v>
      </c>
      <c r="W9726" t="s">
        <v>2680</v>
      </c>
      <c r="X9726">
        <v>831684</v>
      </c>
      <c r="Y9726" t="s">
        <v>58140</v>
      </c>
      <c r="Z9726" s="2" t="s">
        <v>58141</v>
      </c>
      <c r="AA9726" s="2" t="s">
        <v>58142</v>
      </c>
      <c r="AB9726" t="s">
        <v>58143</v>
      </c>
      <c r="AF9726" t="s">
        <v>57018</v>
      </c>
      <c r="AG9726" t="s">
        <v>58144</v>
      </c>
      <c r="AH9726" t="s">
        <v>25423</v>
      </c>
      <c r="AI9726" t="s">
        <v>58145</v>
      </c>
    </row>
    <row r="9727" spans="2:35" ht="180">
      <c r="B9727" s="1">
        <v>44935</v>
      </c>
      <c r="C9727" s="4">
        <v>44930.402083333334</v>
      </c>
      <c r="D9727" t="s">
        <v>53427</v>
      </c>
      <c r="E9727" t="s">
        <v>58146</v>
      </c>
      <c r="F9727" t="s">
        <v>148</v>
      </c>
      <c r="G9727" t="s">
        <v>310</v>
      </c>
      <c r="H9727" t="s">
        <v>39</v>
      </c>
      <c r="I9727" t="s">
        <v>40</v>
      </c>
      <c r="J9727" s="2" t="s">
        <v>190</v>
      </c>
      <c r="K9727" t="s">
        <v>42</v>
      </c>
      <c r="Q9727">
        <v>22867</v>
      </c>
      <c r="R9727" t="s">
        <v>322</v>
      </c>
      <c r="S9727" t="s">
        <v>1545</v>
      </c>
      <c r="T9727">
        <v>28</v>
      </c>
      <c r="U9727" s="2" t="s">
        <v>58147</v>
      </c>
      <c r="W9727" t="s">
        <v>58148</v>
      </c>
      <c r="X9727">
        <v>848262</v>
      </c>
      <c r="Y9727" t="s">
        <v>58149</v>
      </c>
      <c r="Z9727" t="s">
        <v>58150</v>
      </c>
      <c r="AA9727" s="2" t="s">
        <v>58151</v>
      </c>
      <c r="AB9727" t="s">
        <v>58152</v>
      </c>
      <c r="AC9727" t="s">
        <v>58153</v>
      </c>
      <c r="AF9727" t="s">
        <v>57018</v>
      </c>
      <c r="AG9727" t="s">
        <v>58154</v>
      </c>
      <c r="AH9727" t="s">
        <v>1552</v>
      </c>
      <c r="AI9727" t="s">
        <v>58155</v>
      </c>
    </row>
    <row r="9728" spans="2:35" ht="180">
      <c r="B9728" s="1">
        <v>44935</v>
      </c>
      <c r="C9728" s="4">
        <v>44931.599305555559</v>
      </c>
      <c r="D9728" t="s">
        <v>3782</v>
      </c>
      <c r="E9728" t="s">
        <v>58156</v>
      </c>
      <c r="F9728" t="s">
        <v>37</v>
      </c>
      <c r="G9728" t="s">
        <v>748</v>
      </c>
      <c r="H9728" t="s">
        <v>39</v>
      </c>
      <c r="I9728" t="s">
        <v>40</v>
      </c>
      <c r="J9728" s="2" t="s">
        <v>190</v>
      </c>
      <c r="K9728" t="s">
        <v>42</v>
      </c>
      <c r="Q9728">
        <v>22868</v>
      </c>
      <c r="R9728" t="s">
        <v>45</v>
      </c>
      <c r="S9728" t="s">
        <v>3785</v>
      </c>
      <c r="T9728">
        <v>26</v>
      </c>
      <c r="U9728" s="2" t="s">
        <v>27957</v>
      </c>
      <c r="W9728" t="s">
        <v>2680</v>
      </c>
      <c r="X9728">
        <v>804691</v>
      </c>
      <c r="Y9728" t="s">
        <v>13021</v>
      </c>
      <c r="Z9728" t="s">
        <v>58157</v>
      </c>
      <c r="AA9728" s="2" t="s">
        <v>58158</v>
      </c>
      <c r="AB9728" t="s">
        <v>58159</v>
      </c>
      <c r="AF9728" t="s">
        <v>57018</v>
      </c>
      <c r="AG9728" t="s">
        <v>58160</v>
      </c>
      <c r="AH9728" t="s">
        <v>8229</v>
      </c>
      <c r="AI9728" t="s">
        <v>58161</v>
      </c>
    </row>
    <row r="9729" spans="2:35" ht="135">
      <c r="B9729" s="1">
        <v>44935</v>
      </c>
      <c r="C9729" s="4">
        <v>44930.473611111112</v>
      </c>
      <c r="D9729" t="s">
        <v>1670</v>
      </c>
      <c r="E9729" t="s">
        <v>58138</v>
      </c>
      <c r="F9729" t="s">
        <v>148</v>
      </c>
      <c r="G9729" t="s">
        <v>310</v>
      </c>
      <c r="H9729" t="s">
        <v>39</v>
      </c>
      <c r="I9729" t="s">
        <v>40</v>
      </c>
      <c r="J9729" s="2" t="s">
        <v>41</v>
      </c>
      <c r="K9729" t="s">
        <v>42</v>
      </c>
      <c r="Q9729">
        <v>22863</v>
      </c>
      <c r="R9729" t="s">
        <v>45</v>
      </c>
      <c r="S9729" t="s">
        <v>40103</v>
      </c>
      <c r="T9729">
        <v>27</v>
      </c>
      <c r="U9729" s="2" t="s">
        <v>24107</v>
      </c>
      <c r="W9729" t="s">
        <v>2680</v>
      </c>
      <c r="X9729">
        <v>812829</v>
      </c>
      <c r="Y9729" t="s">
        <v>7194</v>
      </c>
      <c r="Z9729" s="2" t="s">
        <v>58162</v>
      </c>
      <c r="AA9729" s="2" t="s">
        <v>58163</v>
      </c>
      <c r="AB9729" t="s">
        <v>181</v>
      </c>
      <c r="AF9729" t="s">
        <v>57018</v>
      </c>
      <c r="AG9729" t="s">
        <v>58164</v>
      </c>
      <c r="AH9729" t="s">
        <v>25423</v>
      </c>
      <c r="AI9729" t="s">
        <v>58165</v>
      </c>
    </row>
    <row r="9730" spans="2:35" ht="150">
      <c r="B9730" s="1">
        <v>44935</v>
      </c>
      <c r="C9730" s="4">
        <v>44932.568055555559</v>
      </c>
      <c r="D9730" t="s">
        <v>4757</v>
      </c>
      <c r="E9730" t="s">
        <v>42951</v>
      </c>
      <c r="F9730" t="s">
        <v>148</v>
      </c>
      <c r="G9730" t="s">
        <v>785</v>
      </c>
      <c r="H9730" t="s">
        <v>39</v>
      </c>
      <c r="I9730" t="s">
        <v>40</v>
      </c>
      <c r="J9730" s="2" t="s">
        <v>62</v>
      </c>
      <c r="K9730" t="s">
        <v>42</v>
      </c>
      <c r="Q9730">
        <v>22862</v>
      </c>
      <c r="R9730" t="s">
        <v>119</v>
      </c>
      <c r="S9730" t="s">
        <v>35707</v>
      </c>
      <c r="T9730">
        <v>25</v>
      </c>
      <c r="U9730" s="2" t="s">
        <v>1617</v>
      </c>
      <c r="V9730" s="1">
        <v>44833</v>
      </c>
      <c r="W9730" t="s">
        <v>9792</v>
      </c>
      <c r="X9730">
        <v>831905</v>
      </c>
      <c r="Y9730" s="2" t="s">
        <v>58166</v>
      </c>
      <c r="Z9730" t="s">
        <v>1519</v>
      </c>
      <c r="AA9730" s="2" t="s">
        <v>38266</v>
      </c>
      <c r="AB9730" t="s">
        <v>58167</v>
      </c>
      <c r="AC9730" t="s">
        <v>58168</v>
      </c>
      <c r="AD9730" t="s">
        <v>39229</v>
      </c>
      <c r="AE9730" t="s">
        <v>58169</v>
      </c>
      <c r="AF9730" t="s">
        <v>57720</v>
      </c>
      <c r="AG9730" t="s">
        <v>58170</v>
      </c>
      <c r="AH9730" t="s">
        <v>58171</v>
      </c>
      <c r="AI9730" t="s">
        <v>58172</v>
      </c>
    </row>
    <row r="9731" spans="2:35" ht="210">
      <c r="B9731" s="1">
        <v>44935</v>
      </c>
      <c r="C9731" s="4">
        <v>44932.439583333333</v>
      </c>
      <c r="D9731" t="s">
        <v>6595</v>
      </c>
      <c r="E9731" t="s">
        <v>807</v>
      </c>
      <c r="F9731" t="s">
        <v>148</v>
      </c>
      <c r="G9731" t="s">
        <v>785</v>
      </c>
      <c r="H9731" t="s">
        <v>39</v>
      </c>
      <c r="I9731" t="s">
        <v>40</v>
      </c>
      <c r="J9731" s="2" t="s">
        <v>190</v>
      </c>
      <c r="K9731" t="s">
        <v>42</v>
      </c>
      <c r="Q9731">
        <v>22861</v>
      </c>
      <c r="R9731" t="s">
        <v>322</v>
      </c>
      <c r="S9731" t="s">
        <v>58173</v>
      </c>
      <c r="T9731">
        <v>28</v>
      </c>
      <c r="U9731" s="2" t="s">
        <v>58174</v>
      </c>
      <c r="W9731" t="s">
        <v>41381</v>
      </c>
      <c r="X9731">
        <v>821648</v>
      </c>
      <c r="Y9731" t="s">
        <v>58175</v>
      </c>
      <c r="Z9731" t="s">
        <v>58176</v>
      </c>
      <c r="AA9731" s="2" t="s">
        <v>58177</v>
      </c>
      <c r="AB9731" t="s">
        <v>88</v>
      </c>
      <c r="AC9731" t="s">
        <v>58178</v>
      </c>
      <c r="AF9731" t="s">
        <v>57720</v>
      </c>
      <c r="AG9731" t="s">
        <v>58179</v>
      </c>
      <c r="AH9731" t="s">
        <v>810</v>
      </c>
      <c r="AI9731" t="s">
        <v>58180</v>
      </c>
    </row>
    <row r="9732" spans="2:35" ht="210">
      <c r="B9732" s="1">
        <v>44935</v>
      </c>
      <c r="C9732" s="4">
        <v>44931.393750000003</v>
      </c>
      <c r="D9732" t="s">
        <v>4197</v>
      </c>
      <c r="E9732" t="s">
        <v>108</v>
      </c>
      <c r="F9732" t="s">
        <v>37</v>
      </c>
      <c r="G9732" t="s">
        <v>38</v>
      </c>
      <c r="H9732" t="s">
        <v>39</v>
      </c>
      <c r="I9732" t="s">
        <v>40</v>
      </c>
      <c r="J9732" t="s">
        <v>109</v>
      </c>
      <c r="K9732" t="s">
        <v>42</v>
      </c>
      <c r="Q9732">
        <v>22856</v>
      </c>
      <c r="R9732" t="s">
        <v>119</v>
      </c>
      <c r="S9732" t="s">
        <v>44707</v>
      </c>
      <c r="T9732">
        <v>25</v>
      </c>
      <c r="U9732" s="2" t="s">
        <v>58181</v>
      </c>
      <c r="W9732" t="s">
        <v>58182</v>
      </c>
      <c r="X9732">
        <v>831623</v>
      </c>
      <c r="Y9732" t="s">
        <v>121</v>
      </c>
      <c r="Z9732" t="s">
        <v>122</v>
      </c>
      <c r="AA9732" s="2" t="s">
        <v>58183</v>
      </c>
      <c r="AB9732" t="s">
        <v>88</v>
      </c>
      <c r="AC9732" t="s">
        <v>58184</v>
      </c>
      <c r="AF9732" t="s">
        <v>57720</v>
      </c>
      <c r="AG9732" t="s">
        <v>58185</v>
      </c>
      <c r="AH9732" t="s">
        <v>58186</v>
      </c>
      <c r="AI9732" t="s">
        <v>58187</v>
      </c>
    </row>
    <row r="9733" spans="2:35" ht="345">
      <c r="B9733" s="1">
        <v>44935</v>
      </c>
      <c r="C9733" s="4">
        <v>44931.572916666664</v>
      </c>
      <c r="D9733" t="s">
        <v>542</v>
      </c>
      <c r="E9733" t="s">
        <v>16438</v>
      </c>
      <c r="F9733" t="s">
        <v>148</v>
      </c>
      <c r="G9733" t="s">
        <v>544</v>
      </c>
      <c r="H9733" t="s">
        <v>39</v>
      </c>
      <c r="I9733" t="s">
        <v>40</v>
      </c>
      <c r="J9733" s="2" t="s">
        <v>190</v>
      </c>
      <c r="K9733" t="s">
        <v>42</v>
      </c>
      <c r="Q9733">
        <v>22859</v>
      </c>
      <c r="R9733" t="s">
        <v>119</v>
      </c>
      <c r="S9733" t="s">
        <v>15929</v>
      </c>
      <c r="T9733">
        <v>25</v>
      </c>
      <c r="U9733" s="2" t="s">
        <v>58188</v>
      </c>
      <c r="W9733" t="s">
        <v>9792</v>
      </c>
      <c r="X9733">
        <v>831588</v>
      </c>
      <c r="Y9733" t="s">
        <v>58189</v>
      </c>
      <c r="Z9733" t="s">
        <v>58190</v>
      </c>
      <c r="AA9733" s="2" t="s">
        <v>58191</v>
      </c>
      <c r="AB9733" t="s">
        <v>58192</v>
      </c>
      <c r="AC9733" t="s">
        <v>58193</v>
      </c>
      <c r="AF9733" t="s">
        <v>57720</v>
      </c>
      <c r="AG9733" t="s">
        <v>58194</v>
      </c>
      <c r="AH9733" t="s">
        <v>15931</v>
      </c>
      <c r="AI9733" t="s">
        <v>58195</v>
      </c>
    </row>
    <row r="9734" spans="2:35" ht="210">
      <c r="B9734" s="1">
        <v>44935</v>
      </c>
      <c r="C9734" s="4">
        <v>44931.402777777781</v>
      </c>
      <c r="D9734" t="s">
        <v>58196</v>
      </c>
      <c r="E9734" t="s">
        <v>58197</v>
      </c>
      <c r="F9734" t="s">
        <v>37</v>
      </c>
      <c r="G9734" t="s">
        <v>38</v>
      </c>
      <c r="H9734" t="s">
        <v>39</v>
      </c>
      <c r="I9734" t="s">
        <v>40</v>
      </c>
      <c r="J9734" t="s">
        <v>109</v>
      </c>
      <c r="K9734" t="s">
        <v>42</v>
      </c>
      <c r="Q9734">
        <v>22860</v>
      </c>
      <c r="R9734" t="s">
        <v>45</v>
      </c>
      <c r="S9734" t="s">
        <v>44707</v>
      </c>
      <c r="T9734">
        <v>25</v>
      </c>
      <c r="U9734" s="2" t="s">
        <v>58198</v>
      </c>
      <c r="W9734" t="s">
        <v>9792</v>
      </c>
      <c r="X9734">
        <v>838182</v>
      </c>
      <c r="Y9734" t="s">
        <v>19210</v>
      </c>
      <c r="Z9734" t="s">
        <v>10275</v>
      </c>
      <c r="AA9734" s="2" t="s">
        <v>58199</v>
      </c>
      <c r="AB9734" t="s">
        <v>58200</v>
      </c>
      <c r="AC9734" t="s">
        <v>58201</v>
      </c>
      <c r="AF9734" t="s">
        <v>57720</v>
      </c>
      <c r="AG9734" t="s">
        <v>58202</v>
      </c>
      <c r="AH9734" t="s">
        <v>58203</v>
      </c>
      <c r="AI9734" t="s">
        <v>58204</v>
      </c>
    </row>
    <row r="9735" spans="2:35" ht="210">
      <c r="B9735" s="1">
        <v>44935</v>
      </c>
      <c r="C9735" s="4">
        <v>44931.57708333333</v>
      </c>
      <c r="D9735" t="s">
        <v>542</v>
      </c>
      <c r="E9735" t="s">
        <v>16438</v>
      </c>
      <c r="F9735" t="s">
        <v>148</v>
      </c>
      <c r="G9735" t="s">
        <v>544</v>
      </c>
      <c r="H9735" t="s">
        <v>39</v>
      </c>
      <c r="I9735" t="s">
        <v>40</v>
      </c>
      <c r="J9735" t="s">
        <v>109</v>
      </c>
      <c r="K9735" t="s">
        <v>42</v>
      </c>
      <c r="Q9735">
        <v>22858</v>
      </c>
      <c r="R9735" t="s">
        <v>45</v>
      </c>
      <c r="S9735" t="s">
        <v>15929</v>
      </c>
      <c r="T9735">
        <v>25</v>
      </c>
      <c r="U9735" s="2" t="s">
        <v>58205</v>
      </c>
      <c r="W9735" t="s">
        <v>9792</v>
      </c>
      <c r="X9735">
        <v>804254</v>
      </c>
      <c r="Y9735" t="s">
        <v>19210</v>
      </c>
      <c r="Z9735" t="s">
        <v>122</v>
      </c>
      <c r="AA9735" s="2" t="s">
        <v>58206</v>
      </c>
      <c r="AB9735" t="s">
        <v>88</v>
      </c>
      <c r="AC9735" t="s">
        <v>58207</v>
      </c>
      <c r="AF9735" t="s">
        <v>57720</v>
      </c>
      <c r="AG9735" t="s">
        <v>58208</v>
      </c>
      <c r="AH9735" t="s">
        <v>15931</v>
      </c>
      <c r="AI9735" t="s">
        <v>58209</v>
      </c>
    </row>
    <row r="9736" spans="2:35" ht="210">
      <c r="B9736" s="1">
        <v>44935</v>
      </c>
      <c r="C9736" s="4">
        <v>44931.398611111108</v>
      </c>
      <c r="D9736" t="s">
        <v>58210</v>
      </c>
      <c r="E9736" t="s">
        <v>108</v>
      </c>
      <c r="F9736" t="s">
        <v>37</v>
      </c>
      <c r="G9736" t="s">
        <v>38</v>
      </c>
      <c r="H9736" t="s">
        <v>39</v>
      </c>
      <c r="I9736" t="s">
        <v>40</v>
      </c>
      <c r="J9736" t="s">
        <v>109</v>
      </c>
      <c r="K9736" t="s">
        <v>42</v>
      </c>
      <c r="Q9736">
        <v>22857</v>
      </c>
      <c r="R9736" t="s">
        <v>45</v>
      </c>
      <c r="S9736" t="s">
        <v>44707</v>
      </c>
      <c r="T9736">
        <v>25</v>
      </c>
      <c r="U9736" s="2" t="s">
        <v>18993</v>
      </c>
      <c r="W9736" t="s">
        <v>9792</v>
      </c>
      <c r="X9736">
        <v>804687</v>
      </c>
      <c r="Y9736" t="s">
        <v>58211</v>
      </c>
      <c r="Z9736" t="s">
        <v>10275</v>
      </c>
      <c r="AA9736" s="2" t="s">
        <v>58212</v>
      </c>
      <c r="AB9736" t="s">
        <v>16412</v>
      </c>
      <c r="AF9736" t="s">
        <v>57720</v>
      </c>
      <c r="AG9736" t="s">
        <v>58213</v>
      </c>
      <c r="AH9736" t="s">
        <v>58186</v>
      </c>
      <c r="AI9736" t="s">
        <v>58214</v>
      </c>
    </row>
    <row r="9737" spans="2:35" ht="60">
      <c r="B9737" s="1">
        <v>44935</v>
      </c>
      <c r="C9737" s="4">
        <v>44935.426388888889</v>
      </c>
      <c r="D9737" t="s">
        <v>58215</v>
      </c>
      <c r="E9737" t="s">
        <v>58216</v>
      </c>
      <c r="F9737">
        <v>8</v>
      </c>
      <c r="G9737" t="s">
        <v>342</v>
      </c>
      <c r="H9737" t="s">
        <v>12018</v>
      </c>
      <c r="I9737" t="s">
        <v>40</v>
      </c>
      <c r="J9737" s="2" t="s">
        <v>62</v>
      </c>
      <c r="K9737" t="s">
        <v>387</v>
      </c>
      <c r="Q9737">
        <v>22855</v>
      </c>
      <c r="R9737" t="s">
        <v>95</v>
      </c>
      <c r="S9737" t="s">
        <v>58217</v>
      </c>
      <c r="T9737">
        <v>23</v>
      </c>
      <c r="W9737" t="s">
        <v>390</v>
      </c>
      <c r="X9737" t="s">
        <v>6986</v>
      </c>
      <c r="Y9737" t="e">
        <f ca="1">-Reported line sensor
-_xludf.For Maintenance _xludf.and CALIBRATION</f>
        <v>#NAME?</v>
      </c>
      <c r="Z9737" t="e">
        <f ca="1">-ADJUST line sensor _xludf.and bowl optics _xludf.value
-PERFORM Maintenance _xludf.and CALIBRATION</f>
        <v>#NAME?</v>
      </c>
      <c r="AA9737" t="e">
        <f ca="1">-PERFORM functionality test _xludf.and Cycle test, passed</f>
        <v>#NAME?</v>
      </c>
      <c r="AB9737" t="e">
        <f ca="1">-EQUIPMENT is operational</f>
        <v>#NAME?</v>
      </c>
      <c r="AC9737" t="e">
        <f ca="1">-_xludf.For blood Pump _xludf.and transfer Pump rubber roller Replacement</f>
        <v>#NAME?</v>
      </c>
      <c r="AF9737" t="s">
        <v>58218</v>
      </c>
      <c r="AG9737" t="s">
        <v>58219</v>
      </c>
      <c r="AH9737" t="s">
        <v>58220</v>
      </c>
      <c r="AI9737" t="s">
        <v>58221</v>
      </c>
    </row>
    <row r="9738" spans="2:35" ht="180">
      <c r="B9738" s="1">
        <v>44933</v>
      </c>
      <c r="C9738" s="4">
        <v>44932.46875</v>
      </c>
      <c r="D9738" t="s">
        <v>58222</v>
      </c>
      <c r="E9738" t="s">
        <v>58223</v>
      </c>
      <c r="F9738" t="s">
        <v>148</v>
      </c>
      <c r="G9738" t="s">
        <v>20126</v>
      </c>
      <c r="H9738" t="s">
        <v>39</v>
      </c>
      <c r="I9738" t="s">
        <v>40</v>
      </c>
      <c r="J9738" t="s">
        <v>79</v>
      </c>
      <c r="K9738" t="s">
        <v>42</v>
      </c>
      <c r="Q9738">
        <v>22853</v>
      </c>
      <c r="R9738" t="s">
        <v>45</v>
      </c>
      <c r="S9738" t="s">
        <v>22337</v>
      </c>
      <c r="T9738">
        <v>32</v>
      </c>
      <c r="U9738" s="2" t="s">
        <v>58224</v>
      </c>
      <c r="V9738" s="1">
        <v>44914</v>
      </c>
      <c r="W9738" t="s">
        <v>502</v>
      </c>
      <c r="X9738">
        <v>805106</v>
      </c>
      <c r="Y9738" t="s">
        <v>58225</v>
      </c>
      <c r="Z9738" t="s">
        <v>58226</v>
      </c>
      <c r="AA9738" t="s">
        <v>58227</v>
      </c>
      <c r="AB9738" t="s">
        <v>486</v>
      </c>
      <c r="AD9738" t="s">
        <v>53813</v>
      </c>
      <c r="AE9738" t="s">
        <v>58228</v>
      </c>
      <c r="AF9738" t="s">
        <v>58229</v>
      </c>
      <c r="AG9738" t="s">
        <v>58230</v>
      </c>
      <c r="AH9738" t="s">
        <v>22342</v>
      </c>
      <c r="AI9738" t="s">
        <v>58231</v>
      </c>
    </row>
    <row r="9739" spans="2:35" ht="60">
      <c r="B9739" s="1">
        <v>44933</v>
      </c>
      <c r="C9739" s="4">
        <v>44932.620138888888</v>
      </c>
      <c r="D9739" t="s">
        <v>58232</v>
      </c>
      <c r="E9739" t="s">
        <v>42404</v>
      </c>
      <c r="F9739" t="s">
        <v>148</v>
      </c>
      <c r="G9739" t="s">
        <v>2007</v>
      </c>
      <c r="H9739" t="s">
        <v>386</v>
      </c>
      <c r="I9739" t="s">
        <v>40</v>
      </c>
      <c r="J9739" s="2" t="s">
        <v>62</v>
      </c>
      <c r="K9739" t="s">
        <v>387</v>
      </c>
      <c r="Q9739">
        <v>22854</v>
      </c>
      <c r="R9739" t="s">
        <v>95</v>
      </c>
      <c r="S9739" t="s">
        <v>16098</v>
      </c>
      <c r="T9739">
        <v>0</v>
      </c>
      <c r="W9739" t="s">
        <v>49610</v>
      </c>
      <c r="X9739" t="s">
        <v>5488</v>
      </c>
      <c r="Y9739" t="s">
        <v>4143</v>
      </c>
      <c r="Z9739" t="s">
        <v>47610</v>
      </c>
      <c r="AA9739" t="s">
        <v>58233</v>
      </c>
      <c r="AB9739" t="s">
        <v>486</v>
      </c>
      <c r="AF9739" t="s">
        <v>58234</v>
      </c>
      <c r="AG9739" t="s">
        <v>58235</v>
      </c>
      <c r="AH9739" t="s">
        <v>58236</v>
      </c>
      <c r="AI9739" t="s">
        <v>58237</v>
      </c>
    </row>
    <row r="9740" spans="2:35" ht="90">
      <c r="B9740" s="1">
        <v>44932</v>
      </c>
      <c r="C9740" s="4">
        <v>44932.775000000001</v>
      </c>
      <c r="D9740" t="s">
        <v>36713</v>
      </c>
      <c r="E9740" t="s">
        <v>58238</v>
      </c>
      <c r="F9740" t="s">
        <v>148</v>
      </c>
      <c r="G9740" t="s">
        <v>2007</v>
      </c>
      <c r="H9740" t="s">
        <v>662</v>
      </c>
      <c r="I9740" t="s">
        <v>40</v>
      </c>
      <c r="J9740" t="s">
        <v>7032</v>
      </c>
      <c r="K9740" t="s">
        <v>42</v>
      </c>
      <c r="Q9740">
        <v>22852</v>
      </c>
      <c r="R9740" t="s">
        <v>95</v>
      </c>
      <c r="S9740" t="s">
        <v>14456</v>
      </c>
      <c r="T9740">
        <v>28</v>
      </c>
      <c r="U9740" s="2" t="s">
        <v>13799</v>
      </c>
      <c r="W9740" t="s">
        <v>1008</v>
      </c>
      <c r="X9740">
        <v>805365</v>
      </c>
      <c r="Y9740" t="s">
        <v>58239</v>
      </c>
      <c r="Z9740" t="s">
        <v>7032</v>
      </c>
      <c r="AA9740" t="s">
        <v>7032</v>
      </c>
      <c r="AB9740" t="s">
        <v>7032</v>
      </c>
      <c r="AF9740" t="s">
        <v>448</v>
      </c>
      <c r="AG9740" t="s">
        <v>58240</v>
      </c>
      <c r="AH9740" t="s">
        <v>36713</v>
      </c>
      <c r="AI9740" t="s">
        <v>58241</v>
      </c>
    </row>
    <row r="9741" spans="2:35" ht="409.5">
      <c r="B9741" s="1">
        <v>44932</v>
      </c>
      <c r="C9741" s="4">
        <v>44932.73333333333</v>
      </c>
      <c r="D9741" t="s">
        <v>58232</v>
      </c>
      <c r="E9741" t="s">
        <v>42404</v>
      </c>
      <c r="F9741" t="s">
        <v>148</v>
      </c>
      <c r="G9741" t="s">
        <v>2007</v>
      </c>
      <c r="H9741" t="s">
        <v>662</v>
      </c>
      <c r="I9741" t="s">
        <v>40</v>
      </c>
      <c r="J9741" t="s">
        <v>525</v>
      </c>
      <c r="K9741" t="s">
        <v>42</v>
      </c>
      <c r="Q9741">
        <v>22851</v>
      </c>
      <c r="R9741" t="s">
        <v>95</v>
      </c>
      <c r="S9741" t="s">
        <v>14456</v>
      </c>
      <c r="T9741">
        <v>28</v>
      </c>
      <c r="U9741" s="2" t="s">
        <v>58242</v>
      </c>
      <c r="W9741" t="s">
        <v>502</v>
      </c>
      <c r="X9741">
        <v>110001647</v>
      </c>
      <c r="Y9741" t="s">
        <v>58243</v>
      </c>
      <c r="Z9741" t="s">
        <v>58244</v>
      </c>
      <c r="AA9741" t="s">
        <v>3589</v>
      </c>
      <c r="AB9741" t="s">
        <v>58245</v>
      </c>
      <c r="AF9741" t="s">
        <v>49366</v>
      </c>
      <c r="AG9741" t="s">
        <v>58246</v>
      </c>
      <c r="AH9741" t="s">
        <v>58247</v>
      </c>
      <c r="AI9741" t="s">
        <v>58248</v>
      </c>
    </row>
    <row r="9742" spans="2:35" ht="300">
      <c r="B9742" s="1">
        <v>44932</v>
      </c>
      <c r="C9742" s="4">
        <v>44932.550694444442</v>
      </c>
      <c r="D9742" t="s">
        <v>58249</v>
      </c>
      <c r="E9742" t="s">
        <v>27934</v>
      </c>
      <c r="F9742">
        <v>3</v>
      </c>
      <c r="G9742" t="s">
        <v>284</v>
      </c>
      <c r="H9742" t="s">
        <v>39</v>
      </c>
      <c r="I9742" t="s">
        <v>40</v>
      </c>
      <c r="J9742" s="2" t="s">
        <v>62</v>
      </c>
      <c r="K9742" t="s">
        <v>42</v>
      </c>
      <c r="Q9742">
        <v>22850</v>
      </c>
      <c r="R9742" t="s">
        <v>119</v>
      </c>
      <c r="S9742" t="s">
        <v>58250</v>
      </c>
      <c r="T9742">
        <v>29.5</v>
      </c>
      <c r="U9742" s="2" t="s">
        <v>58251</v>
      </c>
      <c r="V9742" s="1">
        <v>44915</v>
      </c>
      <c r="W9742" t="s">
        <v>2680</v>
      </c>
      <c r="X9742">
        <v>831878</v>
      </c>
      <c r="Y9742" t="s">
        <v>58252</v>
      </c>
      <c r="Z9742" s="2" t="s">
        <v>58253</v>
      </c>
      <c r="AA9742" t="s">
        <v>54639</v>
      </c>
      <c r="AB9742" t="s">
        <v>58254</v>
      </c>
      <c r="AC9742" t="s">
        <v>58255</v>
      </c>
      <c r="AD9742" t="s">
        <v>54444</v>
      </c>
      <c r="AE9742">
        <v>9410</v>
      </c>
      <c r="AF9742" t="s">
        <v>135</v>
      </c>
      <c r="AG9742" t="s">
        <v>58256</v>
      </c>
      <c r="AH9742" t="s">
        <v>53638</v>
      </c>
      <c r="AI9742" t="s">
        <v>58257</v>
      </c>
    </row>
    <row r="9743" spans="2:35" ht="180">
      <c r="B9743" s="1">
        <v>44932</v>
      </c>
      <c r="C9743" s="4">
        <v>44932.451388888891</v>
      </c>
      <c r="D9743" t="s">
        <v>26865</v>
      </c>
      <c r="E9743" t="s">
        <v>26866</v>
      </c>
      <c r="F9743">
        <v>3</v>
      </c>
      <c r="G9743" t="s">
        <v>1722</v>
      </c>
      <c r="H9743" t="s">
        <v>39</v>
      </c>
      <c r="I9743" t="s">
        <v>40</v>
      </c>
      <c r="J9743" t="s">
        <v>109</v>
      </c>
      <c r="K9743" t="s">
        <v>42</v>
      </c>
      <c r="Q9743">
        <v>22849</v>
      </c>
      <c r="R9743" t="s">
        <v>119</v>
      </c>
      <c r="S9743" t="s">
        <v>58258</v>
      </c>
      <c r="T9743">
        <v>26</v>
      </c>
      <c r="U9743" s="2" t="s">
        <v>58259</v>
      </c>
      <c r="V9743" s="1">
        <v>44931</v>
      </c>
      <c r="W9743" t="s">
        <v>26915</v>
      </c>
      <c r="X9743">
        <v>831562</v>
      </c>
      <c r="Y9743" t="s">
        <v>58260</v>
      </c>
      <c r="Z9743" t="s">
        <v>58261</v>
      </c>
      <c r="AA9743" s="2" t="s">
        <v>1727</v>
      </c>
      <c r="AB9743" t="s">
        <v>70</v>
      </c>
      <c r="AC9743" t="s">
        <v>58262</v>
      </c>
      <c r="AD9743" t="s">
        <v>58263</v>
      </c>
      <c r="AE9743" t="s">
        <v>1716</v>
      </c>
      <c r="AF9743" t="s">
        <v>63</v>
      </c>
      <c r="AG9743" t="s">
        <v>58264</v>
      </c>
      <c r="AH9743" t="s">
        <v>36367</v>
      </c>
      <c r="AI9743" t="s">
        <v>58265</v>
      </c>
    </row>
    <row r="9744" spans="2:35" ht="285">
      <c r="B9744" s="1">
        <v>44932</v>
      </c>
      <c r="C9744" s="4">
        <v>44932.595138888886</v>
      </c>
      <c r="D9744" t="s">
        <v>38215</v>
      </c>
      <c r="E9744" t="s">
        <v>58266</v>
      </c>
      <c r="F9744">
        <v>11</v>
      </c>
      <c r="G9744" t="s">
        <v>1205</v>
      </c>
      <c r="H9744" t="s">
        <v>39</v>
      </c>
      <c r="I9744" t="s">
        <v>40</v>
      </c>
      <c r="J9744" t="s">
        <v>109</v>
      </c>
      <c r="K9744" t="s">
        <v>42</v>
      </c>
      <c r="Q9744">
        <v>22848</v>
      </c>
      <c r="R9744" t="s">
        <v>45</v>
      </c>
      <c r="S9744" t="s">
        <v>38217</v>
      </c>
      <c r="T9744">
        <v>27.4</v>
      </c>
      <c r="U9744" s="2" t="s">
        <v>58267</v>
      </c>
      <c r="V9744" s="1">
        <v>44932</v>
      </c>
      <c r="W9744" t="s">
        <v>23237</v>
      </c>
      <c r="X9744">
        <v>838181</v>
      </c>
      <c r="Y9744" t="s">
        <v>1052</v>
      </c>
      <c r="Z9744" t="s">
        <v>2551</v>
      </c>
      <c r="AA9744" s="2" t="s">
        <v>58268</v>
      </c>
      <c r="AB9744" t="s">
        <v>58269</v>
      </c>
      <c r="AC9744" t="s">
        <v>58270</v>
      </c>
      <c r="AD9744" t="s">
        <v>54</v>
      </c>
      <c r="AE9744" t="s">
        <v>54</v>
      </c>
      <c r="AF9744" t="s">
        <v>2754</v>
      </c>
      <c r="AG9744" t="s">
        <v>58271</v>
      </c>
      <c r="AH9744" t="s">
        <v>58272</v>
      </c>
      <c r="AI9744" t="s">
        <v>58273</v>
      </c>
    </row>
    <row r="9745" spans="2:35" ht="105">
      <c r="B9745" s="1">
        <v>44932</v>
      </c>
      <c r="C9745" s="4">
        <v>44932.482638888891</v>
      </c>
      <c r="D9745" t="s">
        <v>58274</v>
      </c>
      <c r="E9745" t="s">
        <v>58275</v>
      </c>
      <c r="F9745">
        <v>10</v>
      </c>
      <c r="G9745" t="s">
        <v>1395</v>
      </c>
      <c r="H9745" t="s">
        <v>39</v>
      </c>
      <c r="I9745" t="s">
        <v>40</v>
      </c>
      <c r="J9745" t="s">
        <v>58276</v>
      </c>
      <c r="K9745" t="s">
        <v>42</v>
      </c>
      <c r="Q9745">
        <v>22847</v>
      </c>
      <c r="R9745" t="s">
        <v>119</v>
      </c>
      <c r="S9745" t="s">
        <v>10159</v>
      </c>
      <c r="T9745">
        <v>29</v>
      </c>
      <c r="U9745" s="2" t="s">
        <v>18843</v>
      </c>
      <c r="W9745" t="s">
        <v>43102</v>
      </c>
      <c r="X9745">
        <v>838435</v>
      </c>
      <c r="Y9745" t="s">
        <v>54</v>
      </c>
      <c r="Z9745" t="s">
        <v>54</v>
      </c>
      <c r="AA9745" t="s">
        <v>58277</v>
      </c>
      <c r="AB9745" t="s">
        <v>486</v>
      </c>
      <c r="AF9745" t="s">
        <v>43100</v>
      </c>
      <c r="AG9745" t="s">
        <v>58278</v>
      </c>
      <c r="AH9745" t="s">
        <v>58279</v>
      </c>
      <c r="AI9745" t="s">
        <v>58280</v>
      </c>
    </row>
    <row r="9746" spans="2:35" ht="105">
      <c r="B9746" s="1">
        <v>44932</v>
      </c>
      <c r="C9746" s="4">
        <v>44932.486111111109</v>
      </c>
      <c r="D9746" t="s">
        <v>10158</v>
      </c>
      <c r="E9746" t="s">
        <v>4655</v>
      </c>
      <c r="F9746">
        <v>10</v>
      </c>
      <c r="G9746" t="s">
        <v>1395</v>
      </c>
      <c r="H9746" t="s">
        <v>1047</v>
      </c>
      <c r="I9746" t="s">
        <v>40</v>
      </c>
      <c r="J9746" t="s">
        <v>321</v>
      </c>
      <c r="K9746" t="s">
        <v>42</v>
      </c>
      <c r="Q9746">
        <v>22846</v>
      </c>
      <c r="R9746" t="s">
        <v>119</v>
      </c>
      <c r="S9746" t="s">
        <v>10159</v>
      </c>
      <c r="T9746">
        <v>26</v>
      </c>
      <c r="U9746" s="2" t="s">
        <v>18843</v>
      </c>
      <c r="W9746" t="s">
        <v>43102</v>
      </c>
      <c r="X9746">
        <v>838441</v>
      </c>
      <c r="Y9746" t="s">
        <v>54</v>
      </c>
      <c r="Z9746" t="s">
        <v>54</v>
      </c>
      <c r="AA9746" t="s">
        <v>58281</v>
      </c>
      <c r="AB9746" t="s">
        <v>58282</v>
      </c>
      <c r="AF9746" t="s">
        <v>43100</v>
      </c>
      <c r="AG9746" t="s">
        <v>58283</v>
      </c>
      <c r="AH9746" t="s">
        <v>58279</v>
      </c>
      <c r="AI9746" t="s">
        <v>58284</v>
      </c>
    </row>
    <row r="9747" spans="2:35" ht="285">
      <c r="B9747" s="1">
        <v>44932</v>
      </c>
      <c r="C9747" s="4">
        <v>44932.472222222219</v>
      </c>
      <c r="D9747" t="s">
        <v>45903</v>
      </c>
      <c r="E9747" t="s">
        <v>15186</v>
      </c>
      <c r="F9747">
        <v>3</v>
      </c>
      <c r="G9747" t="s">
        <v>284</v>
      </c>
      <c r="H9747" t="s">
        <v>8015</v>
      </c>
      <c r="I9747" t="s">
        <v>40</v>
      </c>
      <c r="J9747" s="2" t="s">
        <v>62</v>
      </c>
      <c r="K9747" t="s">
        <v>42</v>
      </c>
      <c r="Q9747">
        <v>22845</v>
      </c>
      <c r="R9747" t="s">
        <v>322</v>
      </c>
      <c r="S9747" t="s">
        <v>11281</v>
      </c>
      <c r="T9747">
        <v>27.35</v>
      </c>
      <c r="U9747" s="2" t="s">
        <v>58285</v>
      </c>
      <c r="V9747" s="1">
        <v>44915</v>
      </c>
      <c r="W9747" t="s">
        <v>2680</v>
      </c>
      <c r="X9747">
        <v>829390</v>
      </c>
      <c r="Y9747" t="s">
        <v>58286</v>
      </c>
      <c r="Z9747" s="2" t="s">
        <v>58287</v>
      </c>
      <c r="AA9747" t="s">
        <v>54639</v>
      </c>
      <c r="AB9747" t="s">
        <v>58288</v>
      </c>
      <c r="AC9747" t="s">
        <v>58289</v>
      </c>
      <c r="AD9747" t="s">
        <v>11518</v>
      </c>
      <c r="AE9747">
        <v>9410</v>
      </c>
      <c r="AF9747" t="s">
        <v>57784</v>
      </c>
      <c r="AG9747" t="s">
        <v>58290</v>
      </c>
      <c r="AH9747" t="s">
        <v>45910</v>
      </c>
      <c r="AI9747" t="s">
        <v>58291</v>
      </c>
    </row>
    <row r="9748" spans="2:35" ht="120">
      <c r="B9748" s="1">
        <v>44932</v>
      </c>
      <c r="C9748" s="4">
        <v>44932.491666666669</v>
      </c>
      <c r="D9748" t="s">
        <v>5546</v>
      </c>
      <c r="E9748" t="s">
        <v>1555</v>
      </c>
      <c r="F9748">
        <v>7</v>
      </c>
      <c r="G9748" t="s">
        <v>432</v>
      </c>
      <c r="H9748" t="s">
        <v>39</v>
      </c>
      <c r="I9748" t="s">
        <v>40</v>
      </c>
      <c r="J9748" t="s">
        <v>109</v>
      </c>
      <c r="K9748" t="s">
        <v>42</v>
      </c>
      <c r="Q9748">
        <v>22844</v>
      </c>
      <c r="R9748" t="s">
        <v>95</v>
      </c>
      <c r="S9748" t="s">
        <v>28609</v>
      </c>
      <c r="T9748">
        <v>25</v>
      </c>
      <c r="U9748" s="2" t="s">
        <v>58292</v>
      </c>
      <c r="W9748" t="s">
        <v>6776</v>
      </c>
      <c r="X9748">
        <v>829419</v>
      </c>
      <c r="Y9748" t="s">
        <v>301</v>
      </c>
      <c r="Z9748" t="s">
        <v>301</v>
      </c>
      <c r="AA9748" t="s">
        <v>17928</v>
      </c>
      <c r="AB9748" t="s">
        <v>32813</v>
      </c>
      <c r="AF9748" t="s">
        <v>433</v>
      </c>
      <c r="AG9748" t="s">
        <v>58293</v>
      </c>
      <c r="AH9748" t="s">
        <v>58294</v>
      </c>
      <c r="AI9748" t="s">
        <v>58295</v>
      </c>
    </row>
    <row r="9749" spans="2:35" ht="105">
      <c r="B9749" s="1">
        <v>44932</v>
      </c>
      <c r="C9749" s="4">
        <v>44932.491666666669</v>
      </c>
      <c r="D9749" t="s">
        <v>10158</v>
      </c>
      <c r="E9749" t="s">
        <v>4655</v>
      </c>
      <c r="F9749">
        <v>10</v>
      </c>
      <c r="G9749" t="s">
        <v>1395</v>
      </c>
      <c r="H9749" t="s">
        <v>1047</v>
      </c>
      <c r="I9749" t="s">
        <v>40</v>
      </c>
      <c r="J9749" s="2" t="s">
        <v>58296</v>
      </c>
      <c r="K9749" t="s">
        <v>42</v>
      </c>
      <c r="Q9749">
        <v>22843</v>
      </c>
      <c r="R9749" t="s">
        <v>119</v>
      </c>
      <c r="S9749" t="s">
        <v>10159</v>
      </c>
      <c r="T9749">
        <v>29</v>
      </c>
      <c r="U9749" s="2" t="s">
        <v>18843</v>
      </c>
      <c r="W9749" t="s">
        <v>43102</v>
      </c>
      <c r="X9749">
        <v>838435</v>
      </c>
      <c r="Y9749" t="s">
        <v>54</v>
      </c>
      <c r="Z9749" t="s">
        <v>54</v>
      </c>
      <c r="AA9749" t="s">
        <v>58297</v>
      </c>
      <c r="AB9749" t="s">
        <v>58298</v>
      </c>
      <c r="AF9749" t="s">
        <v>43100</v>
      </c>
      <c r="AG9749" t="s">
        <v>58299</v>
      </c>
      <c r="AH9749" t="s">
        <v>58279</v>
      </c>
      <c r="AI9749" t="s">
        <v>58300</v>
      </c>
    </row>
    <row r="9750" spans="2:35" ht="180">
      <c r="B9750" s="1">
        <v>44932</v>
      </c>
      <c r="C9750" s="4">
        <v>44932.448611111111</v>
      </c>
      <c r="D9750" t="s">
        <v>23143</v>
      </c>
      <c r="E9750" t="s">
        <v>58301</v>
      </c>
      <c r="F9750">
        <v>13</v>
      </c>
      <c r="G9750" t="s">
        <v>8524</v>
      </c>
      <c r="H9750" t="s">
        <v>2125</v>
      </c>
      <c r="I9750" t="s">
        <v>40</v>
      </c>
      <c r="J9750" t="s">
        <v>79</v>
      </c>
      <c r="K9750" t="s">
        <v>42</v>
      </c>
      <c r="Q9750">
        <v>22842</v>
      </c>
      <c r="R9750" t="s">
        <v>45</v>
      </c>
      <c r="S9750" t="s">
        <v>23145</v>
      </c>
      <c r="T9750">
        <v>24.9</v>
      </c>
      <c r="U9750" s="2" t="s">
        <v>58302</v>
      </c>
      <c r="W9750" t="s">
        <v>23146</v>
      </c>
      <c r="X9750">
        <v>835174</v>
      </c>
      <c r="Y9750" t="s">
        <v>301</v>
      </c>
      <c r="Z9750" t="s">
        <v>301</v>
      </c>
      <c r="AA9750" t="s">
        <v>58303</v>
      </c>
      <c r="AB9750" t="s">
        <v>52832</v>
      </c>
      <c r="AF9750" t="s">
        <v>58042</v>
      </c>
      <c r="AG9750" t="s">
        <v>58304</v>
      </c>
      <c r="AH9750" t="s">
        <v>23150</v>
      </c>
      <c r="AI9750" t="s">
        <v>58305</v>
      </c>
    </row>
    <row r="9751" spans="2:35" ht="180">
      <c r="B9751" s="1">
        <v>44932</v>
      </c>
      <c r="C9751" s="4">
        <v>44932.438888888886</v>
      </c>
      <c r="D9751" t="s">
        <v>58306</v>
      </c>
      <c r="E9751" t="s">
        <v>49468</v>
      </c>
      <c r="F9751">
        <v>12</v>
      </c>
      <c r="G9751" t="s">
        <v>978</v>
      </c>
      <c r="H9751" t="s">
        <v>39</v>
      </c>
      <c r="I9751" t="s">
        <v>94</v>
      </c>
      <c r="J9751" t="s">
        <v>109</v>
      </c>
      <c r="K9751" t="s">
        <v>42</v>
      </c>
      <c r="Q9751">
        <v>22841</v>
      </c>
      <c r="R9751" t="s">
        <v>119</v>
      </c>
      <c r="S9751" t="s">
        <v>5019</v>
      </c>
      <c r="T9751">
        <v>25.7</v>
      </c>
      <c r="U9751" s="2" t="s">
        <v>58307</v>
      </c>
      <c r="W9751" t="s">
        <v>53244</v>
      </c>
      <c r="X9751">
        <v>838569</v>
      </c>
      <c r="Y9751" t="s">
        <v>54</v>
      </c>
      <c r="Z9751" t="s">
        <v>303</v>
      </c>
      <c r="AA9751" t="s">
        <v>303</v>
      </c>
      <c r="AB9751" t="s">
        <v>58308</v>
      </c>
      <c r="AF9751" t="s">
        <v>296</v>
      </c>
      <c r="AG9751" t="s">
        <v>58309</v>
      </c>
      <c r="AH9751" t="s">
        <v>7713</v>
      </c>
      <c r="AI9751" t="s">
        <v>58310</v>
      </c>
    </row>
    <row r="9752" spans="2:35" ht="105">
      <c r="B9752" s="1">
        <v>44932</v>
      </c>
      <c r="C9752" s="4">
        <v>44932.40625</v>
      </c>
      <c r="D9752" t="s">
        <v>8707</v>
      </c>
      <c r="E9752" t="s">
        <v>58311</v>
      </c>
      <c r="F9752">
        <v>9</v>
      </c>
      <c r="G9752" t="s">
        <v>4484</v>
      </c>
      <c r="H9752" t="s">
        <v>39</v>
      </c>
      <c r="I9752" t="s">
        <v>40</v>
      </c>
      <c r="J9752" s="2" t="s">
        <v>17375</v>
      </c>
      <c r="K9752" t="s">
        <v>42</v>
      </c>
      <c r="Q9752">
        <v>22840</v>
      </c>
      <c r="R9752" t="s">
        <v>45</v>
      </c>
      <c r="S9752" t="s">
        <v>58312</v>
      </c>
      <c r="T9752">
        <v>24</v>
      </c>
      <c r="U9752" s="2" t="s">
        <v>33379</v>
      </c>
      <c r="V9752" s="1">
        <v>44932</v>
      </c>
      <c r="W9752" t="s">
        <v>2384</v>
      </c>
      <c r="X9752">
        <v>834449</v>
      </c>
      <c r="Y9752" t="s">
        <v>301</v>
      </c>
      <c r="Z9752" t="s">
        <v>58313</v>
      </c>
      <c r="AA9752" t="s">
        <v>58313</v>
      </c>
      <c r="AB9752" t="s">
        <v>45403</v>
      </c>
      <c r="AC9752" t="s">
        <v>301</v>
      </c>
      <c r="AD9752" t="s">
        <v>54</v>
      </c>
      <c r="AE9752" t="s">
        <v>54</v>
      </c>
      <c r="AF9752" t="s">
        <v>1257</v>
      </c>
      <c r="AG9752" t="s">
        <v>58314</v>
      </c>
      <c r="AH9752" t="s">
        <v>58315</v>
      </c>
      <c r="AI9752" t="s">
        <v>58316</v>
      </c>
    </row>
    <row r="9753" spans="2:35" ht="240">
      <c r="B9753" s="1">
        <v>44932</v>
      </c>
      <c r="C9753" s="4">
        <v>44932.413888888892</v>
      </c>
      <c r="D9753" t="s">
        <v>58317</v>
      </c>
      <c r="E9753" t="s">
        <v>58318</v>
      </c>
      <c r="F9753">
        <v>11</v>
      </c>
      <c r="G9753" t="s">
        <v>2836</v>
      </c>
      <c r="H9753" t="s">
        <v>39</v>
      </c>
      <c r="I9753" t="s">
        <v>94</v>
      </c>
      <c r="J9753" s="2" t="s">
        <v>1309</v>
      </c>
      <c r="K9753" t="s">
        <v>42</v>
      </c>
      <c r="Q9753">
        <v>22839</v>
      </c>
      <c r="R9753" t="s">
        <v>45</v>
      </c>
      <c r="S9753" t="s">
        <v>24417</v>
      </c>
      <c r="T9753">
        <v>23</v>
      </c>
      <c r="U9753" s="2" t="s">
        <v>58319</v>
      </c>
      <c r="W9753" t="s">
        <v>6105</v>
      </c>
      <c r="X9753">
        <v>815383</v>
      </c>
      <c r="Y9753" s="2" t="s">
        <v>58320</v>
      </c>
      <c r="Z9753" s="2" t="s">
        <v>58321</v>
      </c>
      <c r="AA9753" t="s">
        <v>4315</v>
      </c>
      <c r="AB9753" t="s">
        <v>58322</v>
      </c>
      <c r="AC9753" t="s">
        <v>58323</v>
      </c>
      <c r="AF9753" t="s">
        <v>343</v>
      </c>
      <c r="AG9753" t="s">
        <v>58324</v>
      </c>
      <c r="AH9753" t="s">
        <v>58325</v>
      </c>
      <c r="AI9753" t="s">
        <v>58326</v>
      </c>
    </row>
    <row r="9754" spans="2:35" ht="240">
      <c r="B9754" s="1">
        <v>44932</v>
      </c>
      <c r="C9754" s="4">
        <v>44931.638888888891</v>
      </c>
      <c r="D9754" t="s">
        <v>2390</v>
      </c>
      <c r="E9754" t="s">
        <v>58327</v>
      </c>
      <c r="F9754">
        <v>10</v>
      </c>
      <c r="G9754" t="s">
        <v>1395</v>
      </c>
      <c r="H9754" t="s">
        <v>1047</v>
      </c>
      <c r="I9754" t="s">
        <v>94</v>
      </c>
      <c r="J9754" s="2" t="s">
        <v>19694</v>
      </c>
      <c r="K9754" t="s">
        <v>42</v>
      </c>
      <c r="Q9754">
        <v>22838</v>
      </c>
      <c r="R9754" t="s">
        <v>45</v>
      </c>
      <c r="S9754" t="s">
        <v>2393</v>
      </c>
      <c r="T9754">
        <v>29</v>
      </c>
      <c r="U9754" s="2" t="s">
        <v>57120</v>
      </c>
      <c r="W9754" t="s">
        <v>43102</v>
      </c>
      <c r="X9754">
        <v>815272</v>
      </c>
      <c r="Y9754" s="2" t="s">
        <v>58328</v>
      </c>
      <c r="Z9754" s="2" t="s">
        <v>48114</v>
      </c>
      <c r="AA9754" s="2" t="s">
        <v>58329</v>
      </c>
      <c r="AB9754" t="s">
        <v>486</v>
      </c>
      <c r="AF9754" t="s">
        <v>43100</v>
      </c>
      <c r="AG9754" t="s">
        <v>58330</v>
      </c>
      <c r="AH9754" t="s">
        <v>2400</v>
      </c>
      <c r="AI9754" t="s">
        <v>58331</v>
      </c>
    </row>
    <row r="9755" spans="2:35" ht="409.5">
      <c r="B9755" s="1">
        <v>44931</v>
      </c>
      <c r="C9755" s="4">
        <v>44931.672222222223</v>
      </c>
      <c r="D9755" t="s">
        <v>38717</v>
      </c>
      <c r="E9755" t="s">
        <v>58332</v>
      </c>
      <c r="F9755" t="s">
        <v>148</v>
      </c>
      <c r="G9755" t="s">
        <v>447</v>
      </c>
      <c r="H9755" t="s">
        <v>56203</v>
      </c>
      <c r="I9755" t="s">
        <v>40</v>
      </c>
      <c r="J9755" t="s">
        <v>79</v>
      </c>
      <c r="K9755" t="s">
        <v>42</v>
      </c>
      <c r="Q9755">
        <v>22836</v>
      </c>
      <c r="R9755" t="s">
        <v>322</v>
      </c>
      <c r="S9755" t="s">
        <v>5604</v>
      </c>
      <c r="T9755">
        <v>24</v>
      </c>
      <c r="U9755" s="2" t="s">
        <v>58333</v>
      </c>
      <c r="V9755" s="1">
        <v>44931</v>
      </c>
      <c r="W9755" t="s">
        <v>53141</v>
      </c>
      <c r="X9755">
        <v>110005587</v>
      </c>
      <c r="Y9755" t="s">
        <v>58334</v>
      </c>
      <c r="Z9755" t="s">
        <v>58335</v>
      </c>
      <c r="AA9755" t="s">
        <v>58227</v>
      </c>
      <c r="AB9755" t="s">
        <v>486</v>
      </c>
      <c r="AD9755" t="s">
        <v>53813</v>
      </c>
      <c r="AE9755" t="s">
        <v>58336</v>
      </c>
      <c r="AF9755" t="s">
        <v>448</v>
      </c>
      <c r="AG9755" t="s">
        <v>58337</v>
      </c>
      <c r="AH9755" t="s">
        <v>5609</v>
      </c>
      <c r="AI9755" t="s">
        <v>58338</v>
      </c>
    </row>
    <row r="9756" spans="2:35" ht="270">
      <c r="B9756" s="1">
        <v>44931</v>
      </c>
      <c r="C9756" s="4">
        <v>44931.551388888889</v>
      </c>
      <c r="D9756" t="s">
        <v>58339</v>
      </c>
      <c r="E9756" t="s">
        <v>2499</v>
      </c>
      <c r="F9756" t="s">
        <v>148</v>
      </c>
      <c r="G9756" t="s">
        <v>447</v>
      </c>
      <c r="H9756" t="s">
        <v>39</v>
      </c>
      <c r="I9756" t="s">
        <v>40</v>
      </c>
      <c r="J9756" t="s">
        <v>525</v>
      </c>
      <c r="K9756" t="s">
        <v>42</v>
      </c>
      <c r="Q9756">
        <v>22837</v>
      </c>
      <c r="R9756" t="s">
        <v>119</v>
      </c>
      <c r="S9756" t="s">
        <v>40191</v>
      </c>
      <c r="T9756">
        <v>26</v>
      </c>
      <c r="U9756" s="2" t="s">
        <v>58340</v>
      </c>
      <c r="W9756" t="s">
        <v>502</v>
      </c>
      <c r="X9756">
        <v>831597</v>
      </c>
      <c r="Y9756" t="s">
        <v>58341</v>
      </c>
      <c r="Z9756" s="2" t="s">
        <v>58342</v>
      </c>
      <c r="AA9756" t="s">
        <v>4487</v>
      </c>
      <c r="AB9756" t="s">
        <v>58343</v>
      </c>
      <c r="AF9756" t="s">
        <v>49366</v>
      </c>
      <c r="AG9756" t="s">
        <v>58344</v>
      </c>
      <c r="AH9756" t="s">
        <v>58345</v>
      </c>
      <c r="AI9756" t="s">
        <v>58346</v>
      </c>
    </row>
    <row r="9757" spans="2:35" ht="180">
      <c r="B9757" s="1">
        <v>44931</v>
      </c>
      <c r="C9757" s="4">
        <v>44931.606944444444</v>
      </c>
      <c r="D9757" t="s">
        <v>9302</v>
      </c>
      <c r="E9757" t="s">
        <v>58347</v>
      </c>
      <c r="F9757">
        <v>3</v>
      </c>
      <c r="G9757" t="s">
        <v>730</v>
      </c>
      <c r="H9757" t="s">
        <v>61</v>
      </c>
      <c r="I9757" t="s">
        <v>40</v>
      </c>
      <c r="J9757" s="2" t="s">
        <v>1370</v>
      </c>
      <c r="K9757" t="s">
        <v>42</v>
      </c>
      <c r="Q9757">
        <v>22835</v>
      </c>
      <c r="R9757" t="s">
        <v>95</v>
      </c>
      <c r="S9757" t="s">
        <v>18459</v>
      </c>
      <c r="T9757">
        <v>20</v>
      </c>
      <c r="U9757" s="2" t="s">
        <v>58348</v>
      </c>
      <c r="W9757" t="s">
        <v>2680</v>
      </c>
      <c r="X9757">
        <v>830841</v>
      </c>
      <c r="Y9757" t="s">
        <v>38785</v>
      </c>
      <c r="Z9757" s="2" t="s">
        <v>58349</v>
      </c>
      <c r="AA9757" t="s">
        <v>58350</v>
      </c>
      <c r="AB9757" t="s">
        <v>52971</v>
      </c>
      <c r="AC9757" t="s">
        <v>58351</v>
      </c>
      <c r="AF9757" t="s">
        <v>135</v>
      </c>
      <c r="AG9757" t="s">
        <v>58352</v>
      </c>
      <c r="AH9757" t="s">
        <v>18462</v>
      </c>
      <c r="AI9757" t="s">
        <v>58353</v>
      </c>
    </row>
    <row r="9758" spans="2:35" ht="75">
      <c r="B9758" s="1">
        <v>44931</v>
      </c>
      <c r="C9758" s="4">
        <v>44931.606944444444</v>
      </c>
      <c r="D9758" t="s">
        <v>22836</v>
      </c>
      <c r="E9758" t="s">
        <v>58354</v>
      </c>
      <c r="F9758" t="s">
        <v>148</v>
      </c>
      <c r="G9758" t="s">
        <v>447</v>
      </c>
      <c r="H9758" t="s">
        <v>6357</v>
      </c>
      <c r="I9758" t="s">
        <v>40</v>
      </c>
      <c r="J9758" t="s">
        <v>79</v>
      </c>
      <c r="K9758" t="s">
        <v>42</v>
      </c>
      <c r="Q9758">
        <v>22834</v>
      </c>
      <c r="R9758" t="s">
        <v>45</v>
      </c>
      <c r="S9758" t="s">
        <v>22838</v>
      </c>
      <c r="T9758">
        <v>25</v>
      </c>
      <c r="U9758" s="2" t="s">
        <v>2367</v>
      </c>
      <c r="V9758" s="1">
        <v>44931</v>
      </c>
      <c r="W9758" t="s">
        <v>1139</v>
      </c>
      <c r="X9758">
        <v>803088</v>
      </c>
      <c r="Y9758" t="s">
        <v>58355</v>
      </c>
      <c r="Z9758" t="s">
        <v>58356</v>
      </c>
      <c r="AA9758" t="s">
        <v>58357</v>
      </c>
      <c r="AB9758" t="s">
        <v>181</v>
      </c>
      <c r="AD9758" t="s">
        <v>58358</v>
      </c>
      <c r="AE9758" t="s">
        <v>58359</v>
      </c>
      <c r="AF9758" t="s">
        <v>56616</v>
      </c>
      <c r="AG9758" t="s">
        <v>58360</v>
      </c>
      <c r="AH9758" t="s">
        <v>58361</v>
      </c>
      <c r="AI9758" t="s">
        <v>58362</v>
      </c>
    </row>
    <row r="9759" spans="2:35" ht="330">
      <c r="B9759" s="1">
        <v>44931</v>
      </c>
      <c r="C9759" s="4">
        <v>44931.581944444442</v>
      </c>
      <c r="D9759" t="s">
        <v>308</v>
      </c>
      <c r="E9759" t="s">
        <v>3829</v>
      </c>
      <c r="F9759" t="s">
        <v>148</v>
      </c>
      <c r="G9759" t="s">
        <v>310</v>
      </c>
      <c r="H9759" t="s">
        <v>39</v>
      </c>
      <c r="I9759" t="s">
        <v>40</v>
      </c>
      <c r="J9759" s="2" t="s">
        <v>62</v>
      </c>
      <c r="K9759" t="s">
        <v>42</v>
      </c>
      <c r="Q9759">
        <v>22833</v>
      </c>
      <c r="R9759" t="s">
        <v>119</v>
      </c>
      <c r="S9759" t="s">
        <v>311</v>
      </c>
      <c r="T9759">
        <v>23</v>
      </c>
      <c r="U9759" s="2" t="s">
        <v>58363</v>
      </c>
      <c r="V9759" s="1">
        <v>44929</v>
      </c>
      <c r="W9759" t="s">
        <v>84</v>
      </c>
      <c r="X9759">
        <v>831534</v>
      </c>
      <c r="Y9759" s="2" t="s">
        <v>58364</v>
      </c>
      <c r="Z9759" s="2" t="s">
        <v>58365</v>
      </c>
      <c r="AA9759" t="s">
        <v>13466</v>
      </c>
      <c r="AB9759" s="2" t="s">
        <v>58366</v>
      </c>
      <c r="AD9759" t="s">
        <v>58367</v>
      </c>
      <c r="AE9759" t="s">
        <v>58061</v>
      </c>
      <c r="AF9759" t="s">
        <v>1943</v>
      </c>
      <c r="AG9759" t="s">
        <v>58368</v>
      </c>
      <c r="AH9759" t="s">
        <v>317</v>
      </c>
      <c r="AI9759" t="s">
        <v>58369</v>
      </c>
    </row>
    <row r="9760" spans="2:35" ht="180">
      <c r="B9760" s="1">
        <v>44931</v>
      </c>
      <c r="C9760" s="4">
        <v>44931.577777777777</v>
      </c>
      <c r="D9760" t="s">
        <v>2883</v>
      </c>
      <c r="E9760" t="s">
        <v>58370</v>
      </c>
      <c r="F9760">
        <v>13</v>
      </c>
      <c r="G9760" t="s">
        <v>7763</v>
      </c>
      <c r="H9760" t="s">
        <v>2125</v>
      </c>
      <c r="I9760" t="s">
        <v>40</v>
      </c>
      <c r="J9760" t="s">
        <v>79</v>
      </c>
      <c r="K9760" t="s">
        <v>42</v>
      </c>
      <c r="Q9760">
        <v>22832</v>
      </c>
      <c r="R9760" t="s">
        <v>45</v>
      </c>
      <c r="S9760" t="s">
        <v>24698</v>
      </c>
      <c r="T9760">
        <v>27.5</v>
      </c>
      <c r="U9760" s="2" t="s">
        <v>58371</v>
      </c>
      <c r="W9760" t="s">
        <v>23146</v>
      </c>
      <c r="X9760">
        <v>835078</v>
      </c>
      <c r="Y9760" t="s">
        <v>301</v>
      </c>
      <c r="Z9760" t="s">
        <v>301</v>
      </c>
      <c r="AA9760" t="s">
        <v>58372</v>
      </c>
      <c r="AB9760" t="s">
        <v>52832</v>
      </c>
      <c r="AF9760" t="s">
        <v>58042</v>
      </c>
      <c r="AG9760" t="s">
        <v>58373</v>
      </c>
      <c r="AH9760" t="s">
        <v>58374</v>
      </c>
      <c r="AI9760" t="s">
        <v>58375</v>
      </c>
    </row>
    <row r="9761" spans="2:35" ht="315">
      <c r="B9761" s="1">
        <v>44931</v>
      </c>
      <c r="C9761" s="4">
        <v>44931.365972222222</v>
      </c>
      <c r="D9761" t="s">
        <v>5645</v>
      </c>
      <c r="E9761" t="s">
        <v>58376</v>
      </c>
      <c r="F9761" t="s">
        <v>1255</v>
      </c>
      <c r="G9761" t="s">
        <v>1887</v>
      </c>
      <c r="H9761" t="s">
        <v>39</v>
      </c>
      <c r="I9761" t="s">
        <v>40</v>
      </c>
      <c r="J9761" t="s">
        <v>109</v>
      </c>
      <c r="K9761" t="s">
        <v>42</v>
      </c>
      <c r="Q9761">
        <v>22831</v>
      </c>
      <c r="R9761" t="s">
        <v>119</v>
      </c>
      <c r="S9761" t="s">
        <v>11535</v>
      </c>
      <c r="T9761">
        <v>20.9</v>
      </c>
      <c r="U9761" s="2" t="s">
        <v>58377</v>
      </c>
      <c r="V9761" s="1">
        <v>44931</v>
      </c>
      <c r="W9761" t="s">
        <v>58378</v>
      </c>
      <c r="X9761">
        <v>838528</v>
      </c>
      <c r="Y9761" t="s">
        <v>1052</v>
      </c>
      <c r="Z9761" t="s">
        <v>2551</v>
      </c>
      <c r="AA9761" s="2" t="s">
        <v>58379</v>
      </c>
      <c r="AB9761" t="s">
        <v>9590</v>
      </c>
      <c r="AC9761" t="s">
        <v>54</v>
      </c>
      <c r="AD9761" t="s">
        <v>54</v>
      </c>
      <c r="AE9761" t="s">
        <v>1716</v>
      </c>
      <c r="AF9761" t="s">
        <v>2754</v>
      </c>
      <c r="AG9761" t="s">
        <v>58380</v>
      </c>
      <c r="AH9761" t="s">
        <v>58381</v>
      </c>
      <c r="AI9761" t="s">
        <v>58382</v>
      </c>
    </row>
    <row r="9762" spans="2:35" ht="390">
      <c r="B9762" s="1">
        <v>44930</v>
      </c>
      <c r="C9762" s="4">
        <v>44930.326388888891</v>
      </c>
      <c r="D9762" t="s">
        <v>3696</v>
      </c>
      <c r="E9762" t="s">
        <v>58383</v>
      </c>
      <c r="F9762" t="s">
        <v>148</v>
      </c>
      <c r="G9762" t="s">
        <v>447</v>
      </c>
      <c r="H9762" t="s">
        <v>39</v>
      </c>
      <c r="I9762" t="s">
        <v>40</v>
      </c>
      <c r="J9762" s="2" t="s">
        <v>190</v>
      </c>
      <c r="K9762" t="s">
        <v>42</v>
      </c>
      <c r="Q9762">
        <v>22830</v>
      </c>
      <c r="R9762" t="s">
        <v>703</v>
      </c>
      <c r="S9762" t="s">
        <v>16923</v>
      </c>
      <c r="T9762">
        <v>27</v>
      </c>
      <c r="U9762" s="2" t="s">
        <v>58384</v>
      </c>
      <c r="W9762" t="s">
        <v>84</v>
      </c>
      <c r="X9762">
        <v>835602</v>
      </c>
      <c r="Y9762" s="2" t="s">
        <v>58385</v>
      </c>
      <c r="Z9762" s="2" t="s">
        <v>58386</v>
      </c>
      <c r="AA9762" t="s">
        <v>58387</v>
      </c>
      <c r="AB9762" t="s">
        <v>58388</v>
      </c>
      <c r="AF9762" t="s">
        <v>1943</v>
      </c>
      <c r="AG9762" t="s">
        <v>58389</v>
      </c>
      <c r="AH9762" t="s">
        <v>58390</v>
      </c>
      <c r="AI9762" t="s">
        <v>58391</v>
      </c>
    </row>
    <row r="9763" spans="2:35" ht="255">
      <c r="B9763" s="1">
        <v>44930</v>
      </c>
      <c r="C9763" s="4">
        <v>44931.40902777778</v>
      </c>
      <c r="D9763" t="s">
        <v>23635</v>
      </c>
      <c r="E9763" t="s">
        <v>33278</v>
      </c>
      <c r="F9763" t="s">
        <v>148</v>
      </c>
      <c r="G9763" t="s">
        <v>310</v>
      </c>
      <c r="H9763" t="s">
        <v>39</v>
      </c>
      <c r="I9763" t="s">
        <v>40</v>
      </c>
      <c r="J9763" s="2" t="s">
        <v>62</v>
      </c>
      <c r="K9763" t="s">
        <v>42</v>
      </c>
      <c r="Q9763">
        <v>22828</v>
      </c>
      <c r="R9763" t="s">
        <v>119</v>
      </c>
      <c r="S9763" t="s">
        <v>47898</v>
      </c>
      <c r="T9763">
        <v>25</v>
      </c>
      <c r="U9763" s="2" t="s">
        <v>58392</v>
      </c>
      <c r="V9763" s="1">
        <v>44929</v>
      </c>
      <c r="W9763" t="s">
        <v>84</v>
      </c>
      <c r="X9763">
        <v>831620</v>
      </c>
      <c r="Y9763" s="2" t="s">
        <v>13465</v>
      </c>
      <c r="Z9763" s="2" t="s">
        <v>58393</v>
      </c>
      <c r="AA9763" t="s">
        <v>13466</v>
      </c>
      <c r="AB9763" t="s">
        <v>58394</v>
      </c>
      <c r="AD9763" t="s">
        <v>58395</v>
      </c>
      <c r="AE9763" t="s">
        <v>58061</v>
      </c>
      <c r="AF9763" t="s">
        <v>1943</v>
      </c>
      <c r="AG9763" t="s">
        <v>58396</v>
      </c>
      <c r="AH9763" t="s">
        <v>32712</v>
      </c>
      <c r="AI9763" t="s">
        <v>58397</v>
      </c>
    </row>
    <row r="9764" spans="2:35" ht="195">
      <c r="B9764" s="1">
        <v>44930</v>
      </c>
      <c r="C9764" s="4">
        <v>44930.59097222222</v>
      </c>
      <c r="D9764" t="s">
        <v>26333</v>
      </c>
      <c r="E9764" t="s">
        <v>34254</v>
      </c>
      <c r="F9764" t="s">
        <v>148</v>
      </c>
      <c r="G9764" t="s">
        <v>310</v>
      </c>
      <c r="H9764" t="s">
        <v>39</v>
      </c>
      <c r="I9764" t="s">
        <v>40</v>
      </c>
      <c r="J9764" t="s">
        <v>79</v>
      </c>
      <c r="K9764" t="s">
        <v>42</v>
      </c>
      <c r="Q9764">
        <v>22829</v>
      </c>
      <c r="R9764" t="s">
        <v>119</v>
      </c>
      <c r="S9764" t="s">
        <v>34255</v>
      </c>
      <c r="T9764">
        <v>28</v>
      </c>
      <c r="U9764" s="2" t="s">
        <v>58398</v>
      </c>
      <c r="V9764" s="1">
        <v>44929</v>
      </c>
      <c r="W9764" t="s">
        <v>84</v>
      </c>
      <c r="X9764">
        <v>831871</v>
      </c>
      <c r="Y9764" s="2" t="s">
        <v>58399</v>
      </c>
      <c r="Z9764" s="2" t="s">
        <v>58400</v>
      </c>
      <c r="AA9764" t="s">
        <v>58401</v>
      </c>
      <c r="AB9764" t="s">
        <v>58402</v>
      </c>
      <c r="AD9764" t="s">
        <v>58403</v>
      </c>
      <c r="AE9764" t="s">
        <v>1716</v>
      </c>
      <c r="AF9764" t="s">
        <v>1943</v>
      </c>
      <c r="AG9764" t="s">
        <v>58404</v>
      </c>
      <c r="AH9764" t="s">
        <v>34262</v>
      </c>
      <c r="AI9764" t="s">
        <v>58405</v>
      </c>
    </row>
    <row r="9765" spans="2:35" ht="195">
      <c r="B9765" s="1">
        <v>44930</v>
      </c>
      <c r="C9765" s="4">
        <v>44930.331944444442</v>
      </c>
      <c r="D9765" t="s">
        <v>7449</v>
      </c>
      <c r="E9765" t="s">
        <v>13153</v>
      </c>
      <c r="F9765" t="s">
        <v>148</v>
      </c>
      <c r="G9765" t="s">
        <v>447</v>
      </c>
      <c r="H9765" t="s">
        <v>39</v>
      </c>
      <c r="I9765" t="s">
        <v>40</v>
      </c>
      <c r="J9765" t="s">
        <v>109</v>
      </c>
      <c r="K9765" t="s">
        <v>42</v>
      </c>
      <c r="Q9765">
        <v>22827</v>
      </c>
      <c r="R9765" t="s">
        <v>703</v>
      </c>
      <c r="S9765" t="s">
        <v>16923</v>
      </c>
      <c r="T9765">
        <v>27</v>
      </c>
      <c r="U9765" s="2" t="s">
        <v>58406</v>
      </c>
      <c r="W9765" t="s">
        <v>84</v>
      </c>
      <c r="X9765">
        <v>835601</v>
      </c>
      <c r="Y9765" t="s">
        <v>58407</v>
      </c>
      <c r="Z9765" s="2" t="s">
        <v>58408</v>
      </c>
      <c r="AA9765" t="s">
        <v>3128</v>
      </c>
      <c r="AB9765" t="s">
        <v>58409</v>
      </c>
      <c r="AF9765" t="s">
        <v>1943</v>
      </c>
      <c r="AG9765" t="s">
        <v>58410</v>
      </c>
      <c r="AH9765" t="s">
        <v>58390</v>
      </c>
      <c r="AI9765" t="s">
        <v>58411</v>
      </c>
    </row>
    <row r="9766" spans="2:35" ht="375">
      <c r="B9766" s="1">
        <v>44930</v>
      </c>
      <c r="C9766" s="4">
        <v>44930.640972222223</v>
      </c>
      <c r="D9766" t="s">
        <v>33579</v>
      </c>
      <c r="E9766" t="s">
        <v>58412</v>
      </c>
      <c r="F9766" t="s">
        <v>1255</v>
      </c>
      <c r="G9766" t="s">
        <v>1887</v>
      </c>
      <c r="H9766" t="s">
        <v>39</v>
      </c>
      <c r="I9766" t="s">
        <v>94</v>
      </c>
      <c r="J9766" s="2" t="s">
        <v>41</v>
      </c>
      <c r="K9766" t="s">
        <v>42</v>
      </c>
      <c r="Q9766">
        <v>22826</v>
      </c>
      <c r="R9766" t="s">
        <v>45</v>
      </c>
      <c r="S9766" t="s">
        <v>23452</v>
      </c>
      <c r="T9766">
        <v>24</v>
      </c>
      <c r="U9766" s="2" t="s">
        <v>58413</v>
      </c>
      <c r="V9766" s="1">
        <v>44930</v>
      </c>
      <c r="W9766" t="s">
        <v>58102</v>
      </c>
      <c r="X9766">
        <v>815277</v>
      </c>
      <c r="Y9766" t="s">
        <v>58414</v>
      </c>
      <c r="Z9766" s="2" t="s">
        <v>58415</v>
      </c>
      <c r="AA9766" s="2" t="s">
        <v>58415</v>
      </c>
      <c r="AB9766" t="s">
        <v>57073</v>
      </c>
      <c r="AD9766" t="s">
        <v>10783</v>
      </c>
      <c r="AE9766" t="s">
        <v>54</v>
      </c>
      <c r="AF9766" t="s">
        <v>58416</v>
      </c>
      <c r="AG9766" t="s">
        <v>58417</v>
      </c>
      <c r="AH9766" t="s">
        <v>23457</v>
      </c>
      <c r="AI9766" t="s">
        <v>58418</v>
      </c>
    </row>
    <row r="9767" spans="2:35" ht="315">
      <c r="B9767" s="1">
        <v>44930</v>
      </c>
      <c r="C9767" s="4">
        <v>44930.557638888888</v>
      </c>
      <c r="D9767" t="s">
        <v>23828</v>
      </c>
      <c r="E9767" t="s">
        <v>55710</v>
      </c>
      <c r="F9767">
        <v>3</v>
      </c>
      <c r="G9767" t="s">
        <v>730</v>
      </c>
      <c r="H9767" t="s">
        <v>39</v>
      </c>
      <c r="I9767" t="s">
        <v>40</v>
      </c>
      <c r="J9767" s="2" t="s">
        <v>1370</v>
      </c>
      <c r="K9767" t="s">
        <v>42</v>
      </c>
      <c r="Q9767">
        <v>22825</v>
      </c>
      <c r="R9767" t="s">
        <v>119</v>
      </c>
      <c r="S9767" t="s">
        <v>23830</v>
      </c>
      <c r="T9767">
        <v>28</v>
      </c>
      <c r="U9767" s="2" t="s">
        <v>58419</v>
      </c>
      <c r="V9767" s="1">
        <v>44915</v>
      </c>
      <c r="W9767" t="s">
        <v>2680</v>
      </c>
      <c r="X9767">
        <v>831697</v>
      </c>
      <c r="Y9767" t="s">
        <v>58420</v>
      </c>
      <c r="Z9767" s="2" t="s">
        <v>58421</v>
      </c>
      <c r="AA9767" t="s">
        <v>58422</v>
      </c>
      <c r="AB9767" t="s">
        <v>181</v>
      </c>
      <c r="AC9767" t="s">
        <v>58423</v>
      </c>
      <c r="AD9767" t="s">
        <v>9432</v>
      </c>
      <c r="AE9767">
        <v>9409</v>
      </c>
      <c r="AF9767" t="s">
        <v>135</v>
      </c>
      <c r="AG9767" t="s">
        <v>58424</v>
      </c>
      <c r="AH9767" t="s">
        <v>23836</v>
      </c>
      <c r="AI9767" t="s">
        <v>58425</v>
      </c>
    </row>
    <row r="9768" spans="2:35" ht="90">
      <c r="B9768" s="1">
        <v>44930</v>
      </c>
      <c r="C9768" s="4">
        <v>44930.622916666667</v>
      </c>
      <c r="D9768" t="s">
        <v>12016</v>
      </c>
      <c r="E9768" t="s">
        <v>12017</v>
      </c>
      <c r="F9768">
        <v>7</v>
      </c>
      <c r="G9768" t="s">
        <v>432</v>
      </c>
      <c r="H9768" t="s">
        <v>12018</v>
      </c>
      <c r="I9768" t="s">
        <v>40</v>
      </c>
      <c r="J9768" s="2" t="s">
        <v>355</v>
      </c>
      <c r="K9768" t="s">
        <v>387</v>
      </c>
      <c r="Q9768">
        <v>22824</v>
      </c>
      <c r="R9768" t="s">
        <v>95</v>
      </c>
      <c r="S9768" t="s">
        <v>37738</v>
      </c>
      <c r="T9768">
        <v>30</v>
      </c>
      <c r="W9768" t="s">
        <v>390</v>
      </c>
      <c r="X9768" t="s">
        <v>1557</v>
      </c>
      <c r="Y9768" t="e">
        <f ca="1">-No _xludf.Power issue</f>
        <v>#NAME?</v>
      </c>
      <c r="Z9768" t="e">
        <f ca="1">-PERFORM Fuse Replacement
-Check Connections, No ISSUES found</f>
        <v>#NAME?</v>
      </c>
      <c r="AA9768" t="e">
        <f ca="1">-PERFORM DIAGNOSTICS _xludf.and Cycle test, passed</f>
        <v>#NAME?</v>
      </c>
      <c r="AB9768" t="e">
        <f ca="1">-EQUIPMENT is operational</f>
        <v>#NAME?</v>
      </c>
      <c r="AF9768" t="s">
        <v>58218</v>
      </c>
      <c r="AG9768" t="s">
        <v>58426</v>
      </c>
      <c r="AH9768" t="s">
        <v>58427</v>
      </c>
      <c r="AI9768" t="s">
        <v>58428</v>
      </c>
    </row>
    <row r="9769" spans="2:35" ht="360">
      <c r="B9769" s="1">
        <v>44930</v>
      </c>
      <c r="C9769" s="4">
        <v>44930.601388888892</v>
      </c>
      <c r="D9769" t="s">
        <v>36903</v>
      </c>
      <c r="E9769" t="s">
        <v>58429</v>
      </c>
      <c r="F9769">
        <v>3</v>
      </c>
      <c r="G9769" t="s">
        <v>134</v>
      </c>
      <c r="H9769" t="s">
        <v>39</v>
      </c>
      <c r="I9769" t="s">
        <v>40</v>
      </c>
      <c r="J9769" t="s">
        <v>109</v>
      </c>
      <c r="K9769" t="s">
        <v>42</v>
      </c>
      <c r="Q9769">
        <v>22823</v>
      </c>
      <c r="R9769" t="s">
        <v>95</v>
      </c>
      <c r="S9769" t="s">
        <v>9097</v>
      </c>
      <c r="T9769">
        <v>25</v>
      </c>
      <c r="U9769" s="2" t="s">
        <v>58430</v>
      </c>
      <c r="V9769" s="1">
        <v>44930</v>
      </c>
      <c r="W9769" t="s">
        <v>26915</v>
      </c>
      <c r="X9769">
        <v>839235</v>
      </c>
      <c r="Y9769" t="s">
        <v>1716</v>
      </c>
      <c r="Z9769" t="s">
        <v>1716</v>
      </c>
      <c r="AA9769" s="2" t="s">
        <v>58431</v>
      </c>
      <c r="AB9769" t="s">
        <v>70</v>
      </c>
      <c r="AC9769" t="s">
        <v>1716</v>
      </c>
      <c r="AD9769" t="s">
        <v>1716</v>
      </c>
      <c r="AE9769" t="s">
        <v>1716</v>
      </c>
      <c r="AF9769" t="s">
        <v>63</v>
      </c>
      <c r="AG9769" t="s">
        <v>58432</v>
      </c>
      <c r="AH9769" t="s">
        <v>58433</v>
      </c>
      <c r="AI9769" t="s">
        <v>58434</v>
      </c>
    </row>
    <row r="9770" spans="2:35" ht="240">
      <c r="B9770" s="1">
        <v>44930</v>
      </c>
      <c r="C9770" s="4">
        <v>44930.568055555559</v>
      </c>
      <c r="D9770" t="s">
        <v>50767</v>
      </c>
      <c r="E9770" t="s">
        <v>58435</v>
      </c>
      <c r="F9770">
        <v>13</v>
      </c>
      <c r="G9770" t="s">
        <v>8524</v>
      </c>
      <c r="H9770" t="s">
        <v>2125</v>
      </c>
      <c r="I9770" t="s">
        <v>40</v>
      </c>
      <c r="J9770" t="s">
        <v>79</v>
      </c>
      <c r="K9770" t="s">
        <v>42</v>
      </c>
      <c r="Q9770">
        <v>22822</v>
      </c>
      <c r="R9770" t="s">
        <v>45</v>
      </c>
      <c r="S9770" t="s">
        <v>58436</v>
      </c>
      <c r="T9770">
        <v>23.69</v>
      </c>
      <c r="U9770" s="2" t="s">
        <v>21760</v>
      </c>
      <c r="W9770" t="s">
        <v>3662</v>
      </c>
      <c r="X9770">
        <v>805280</v>
      </c>
      <c r="Y9770" t="s">
        <v>301</v>
      </c>
      <c r="Z9770" t="s">
        <v>301</v>
      </c>
      <c r="AA9770" s="2" t="s">
        <v>58437</v>
      </c>
      <c r="AB9770" t="s">
        <v>58438</v>
      </c>
      <c r="AF9770" t="s">
        <v>58439</v>
      </c>
      <c r="AG9770" t="s">
        <v>58440</v>
      </c>
      <c r="AH9770" t="s">
        <v>50773</v>
      </c>
      <c r="AI9770" t="s">
        <v>58441</v>
      </c>
    </row>
    <row r="9771" spans="2:35" ht="180">
      <c r="B9771" s="1">
        <v>44929</v>
      </c>
      <c r="C9771" s="4">
        <v>44917.572916666664</v>
      </c>
      <c r="D9771" t="s">
        <v>5563</v>
      </c>
      <c r="E9771" t="s">
        <v>1555</v>
      </c>
      <c r="F9771">
        <v>7</v>
      </c>
      <c r="G9771" t="s">
        <v>432</v>
      </c>
      <c r="H9771" t="s">
        <v>150</v>
      </c>
      <c r="I9771" t="s">
        <v>40</v>
      </c>
      <c r="J9771" t="s">
        <v>109</v>
      </c>
      <c r="K9771" t="s">
        <v>42</v>
      </c>
      <c r="Q9771">
        <v>22821</v>
      </c>
      <c r="R9771" t="s">
        <v>119</v>
      </c>
      <c r="S9771" t="s">
        <v>5564</v>
      </c>
      <c r="T9771">
        <v>27.5</v>
      </c>
      <c r="U9771" s="2" t="s">
        <v>58442</v>
      </c>
      <c r="W9771" t="s">
        <v>6105</v>
      </c>
      <c r="X9771">
        <v>838561</v>
      </c>
      <c r="Y9771" t="s">
        <v>7415</v>
      </c>
      <c r="Z9771" t="s">
        <v>3128</v>
      </c>
      <c r="AA9771" t="s">
        <v>103</v>
      </c>
      <c r="AB9771" t="s">
        <v>58443</v>
      </c>
      <c r="AF9771" t="s">
        <v>343</v>
      </c>
      <c r="AG9771" t="s">
        <v>58444</v>
      </c>
      <c r="AH9771" t="s">
        <v>58445</v>
      </c>
      <c r="AI9771" t="s">
        <v>58446</v>
      </c>
    </row>
    <row r="9772" spans="2:35" ht="240">
      <c r="B9772" s="1">
        <v>44929</v>
      </c>
      <c r="C9772" s="4">
        <v>44929.384722222225</v>
      </c>
      <c r="D9772" t="s">
        <v>58447</v>
      </c>
      <c r="E9772" t="s">
        <v>58448</v>
      </c>
      <c r="F9772">
        <v>9</v>
      </c>
      <c r="G9772" t="s">
        <v>2903</v>
      </c>
      <c r="H9772" t="s">
        <v>1047</v>
      </c>
      <c r="I9772" t="s">
        <v>40</v>
      </c>
      <c r="J9772" s="2" t="s">
        <v>41</v>
      </c>
      <c r="K9772" t="s">
        <v>42</v>
      </c>
      <c r="Q9772">
        <v>22820</v>
      </c>
      <c r="R9772" t="s">
        <v>45</v>
      </c>
      <c r="S9772" t="s">
        <v>37743</v>
      </c>
      <c r="T9772">
        <v>25</v>
      </c>
      <c r="U9772" s="2" t="s">
        <v>58449</v>
      </c>
      <c r="W9772" t="s">
        <v>1292</v>
      </c>
      <c r="X9772">
        <v>815285</v>
      </c>
      <c r="Y9772" s="2" t="s">
        <v>58450</v>
      </c>
      <c r="Z9772" s="2" t="s">
        <v>58451</v>
      </c>
      <c r="AA9772" t="e">
        <f ca="1">-PERFORM Preventive Maintenance
-COLLECT IQR, system _xludf.Log,  _xludf.and ARCHIVE</f>
        <v>#NAME?</v>
      </c>
      <c r="AB9772" t="e">
        <f ca="1">-EQUIPMENT is operational</f>
        <v>#NAME?</v>
      </c>
      <c r="AC9772" t="e">
        <f ca="1">-module B4 _xludf.For Reporting</f>
        <v>#NAME?</v>
      </c>
      <c r="AF9772" t="s">
        <v>58218</v>
      </c>
      <c r="AG9772" t="s">
        <v>58452</v>
      </c>
      <c r="AH9772" t="s">
        <v>58453</v>
      </c>
      <c r="AI9772" t="s">
        <v>58454</v>
      </c>
    </row>
    <row r="9773" spans="2:35" ht="210">
      <c r="B9773" s="1">
        <v>44929</v>
      </c>
      <c r="C9773" s="4">
        <v>44929.368750000001</v>
      </c>
      <c r="D9773" t="s">
        <v>58455</v>
      </c>
      <c r="E9773" t="s">
        <v>58448</v>
      </c>
      <c r="F9773">
        <v>9</v>
      </c>
      <c r="G9773" t="s">
        <v>2903</v>
      </c>
      <c r="H9773" t="s">
        <v>1047</v>
      </c>
      <c r="I9773" t="s">
        <v>40</v>
      </c>
      <c r="J9773" t="s">
        <v>79</v>
      </c>
      <c r="K9773" t="s">
        <v>42</v>
      </c>
      <c r="Q9773">
        <v>22819</v>
      </c>
      <c r="R9773" t="s">
        <v>45</v>
      </c>
      <c r="S9773" t="s">
        <v>6477</v>
      </c>
      <c r="T9773">
        <v>23</v>
      </c>
      <c r="U9773" s="2" t="s">
        <v>58456</v>
      </c>
      <c r="W9773" t="s">
        <v>4775</v>
      </c>
      <c r="X9773">
        <v>834826</v>
      </c>
      <c r="Y9773" t="s">
        <v>25383</v>
      </c>
      <c r="Z9773" s="2" t="s">
        <v>58457</v>
      </c>
      <c r="AA9773" t="e">
        <f ca="1">-PERFORM Preventive Maintenance
-COLLECT IQR, system _xludf.Log, _xludf.and Assay statistics</f>
        <v>#NAME?</v>
      </c>
      <c r="AB9773" t="e">
        <f ca="1">-EQUIPMENT is operational</f>
        <v>#NAME?</v>
      </c>
      <c r="AF9773" t="s">
        <v>58218</v>
      </c>
      <c r="AG9773" t="s">
        <v>58458</v>
      </c>
      <c r="AH9773" t="s">
        <v>58459</v>
      </c>
      <c r="AI9773" t="s">
        <v>58460</v>
      </c>
    </row>
    <row r="9774" spans="2:35" ht="180">
      <c r="B9774" s="1">
        <v>44924</v>
      </c>
      <c r="C9774" s="4">
        <v>44924.380555555559</v>
      </c>
      <c r="D9774" t="s">
        <v>58461</v>
      </c>
      <c r="E9774" t="s">
        <v>58462</v>
      </c>
      <c r="F9774">
        <v>5</v>
      </c>
      <c r="G9774" t="s">
        <v>839</v>
      </c>
      <c r="H9774" t="s">
        <v>39</v>
      </c>
      <c r="I9774" t="s">
        <v>40</v>
      </c>
      <c r="J9774" t="s">
        <v>79</v>
      </c>
      <c r="K9774" t="s">
        <v>42</v>
      </c>
      <c r="Q9774">
        <v>22818</v>
      </c>
      <c r="R9774" t="s">
        <v>45</v>
      </c>
      <c r="S9774" t="s">
        <v>36930</v>
      </c>
      <c r="T9774">
        <v>26</v>
      </c>
      <c r="U9774" s="2" t="s">
        <v>58463</v>
      </c>
      <c r="V9774" s="1">
        <v>44924</v>
      </c>
      <c r="W9774" t="s">
        <v>502</v>
      </c>
      <c r="X9774">
        <v>812774</v>
      </c>
      <c r="Y9774" t="s">
        <v>58464</v>
      </c>
      <c r="Z9774" t="s">
        <v>58465</v>
      </c>
      <c r="AA9774" t="s">
        <v>38317</v>
      </c>
      <c r="AB9774" t="s">
        <v>486</v>
      </c>
      <c r="AD9774" t="s">
        <v>53813</v>
      </c>
      <c r="AE9774">
        <v>0</v>
      </c>
      <c r="AF9774" t="s">
        <v>448</v>
      </c>
      <c r="AG9774" t="s">
        <v>58466</v>
      </c>
      <c r="AH9774" t="s">
        <v>36935</v>
      </c>
      <c r="AI9774" t="s">
        <v>58467</v>
      </c>
    </row>
    <row r="9775" spans="2:35" ht="330">
      <c r="B9775" s="1">
        <v>44924</v>
      </c>
      <c r="C9775" s="4">
        <v>44924.359027777777</v>
      </c>
      <c r="D9775" t="s">
        <v>58468</v>
      </c>
      <c r="E9775" t="s">
        <v>22556</v>
      </c>
      <c r="F9775">
        <v>3</v>
      </c>
      <c r="G9775" t="s">
        <v>219</v>
      </c>
      <c r="H9775" t="s">
        <v>39</v>
      </c>
      <c r="I9775" t="s">
        <v>40</v>
      </c>
      <c r="J9775" s="2" t="s">
        <v>41</v>
      </c>
      <c r="K9775" t="s">
        <v>42</v>
      </c>
      <c r="Q9775">
        <v>22817</v>
      </c>
      <c r="R9775" t="s">
        <v>45</v>
      </c>
      <c r="S9775" t="s">
        <v>25766</v>
      </c>
      <c r="T9775">
        <v>28.6</v>
      </c>
      <c r="U9775" s="2" t="s">
        <v>58469</v>
      </c>
      <c r="V9775" s="1">
        <v>44907</v>
      </c>
      <c r="W9775" t="s">
        <v>2680</v>
      </c>
      <c r="X9775">
        <v>805070</v>
      </c>
      <c r="Y9775" t="s">
        <v>58470</v>
      </c>
      <c r="Z9775" s="2" t="s">
        <v>58471</v>
      </c>
      <c r="AA9775" t="s">
        <v>55818</v>
      </c>
      <c r="AB9775" t="s">
        <v>9323</v>
      </c>
      <c r="AC9775" t="s">
        <v>58472</v>
      </c>
      <c r="AD9775" t="s">
        <v>58473</v>
      </c>
      <c r="AE9775">
        <v>37723</v>
      </c>
      <c r="AF9775" t="s">
        <v>135</v>
      </c>
      <c r="AG9775" t="s">
        <v>58474</v>
      </c>
      <c r="AH9775" t="s">
        <v>25772</v>
      </c>
      <c r="AI9775" t="s">
        <v>58475</v>
      </c>
    </row>
    <row r="9776" spans="2:35" ht="180">
      <c r="B9776" s="1">
        <v>44923</v>
      </c>
      <c r="C9776" s="4">
        <v>44923.674305555556</v>
      </c>
      <c r="D9776" t="s">
        <v>26865</v>
      </c>
      <c r="E9776" t="s">
        <v>26866</v>
      </c>
      <c r="F9776">
        <v>3</v>
      </c>
      <c r="G9776" t="s">
        <v>1722</v>
      </c>
      <c r="H9776" t="s">
        <v>39</v>
      </c>
      <c r="I9776" t="s">
        <v>40</v>
      </c>
      <c r="J9776" s="2" t="s">
        <v>190</v>
      </c>
      <c r="K9776" t="s">
        <v>42</v>
      </c>
      <c r="Q9776">
        <v>22816</v>
      </c>
      <c r="R9776" t="s">
        <v>119</v>
      </c>
      <c r="S9776" t="s">
        <v>58476</v>
      </c>
      <c r="T9776">
        <v>29</v>
      </c>
      <c r="U9776" s="2" t="s">
        <v>58477</v>
      </c>
      <c r="V9776" s="1">
        <v>44923</v>
      </c>
      <c r="W9776" t="s">
        <v>26915</v>
      </c>
      <c r="X9776">
        <v>841562</v>
      </c>
      <c r="Y9776" t="s">
        <v>58478</v>
      </c>
      <c r="Z9776" t="s">
        <v>58479</v>
      </c>
      <c r="AA9776" s="2" t="s">
        <v>2673</v>
      </c>
      <c r="AB9776" t="s">
        <v>70</v>
      </c>
      <c r="AC9776" t="s">
        <v>58480</v>
      </c>
      <c r="AD9776" t="s">
        <v>32127</v>
      </c>
      <c r="AE9776" t="s">
        <v>1716</v>
      </c>
      <c r="AF9776" t="s">
        <v>63</v>
      </c>
      <c r="AG9776" t="s">
        <v>58481</v>
      </c>
      <c r="AH9776" t="s">
        <v>58482</v>
      </c>
      <c r="AI9776" t="s">
        <v>58483</v>
      </c>
    </row>
    <row r="9777" spans="2:35" ht="270">
      <c r="B9777" s="1">
        <v>44923</v>
      </c>
      <c r="C9777" s="4">
        <v>44923.690972222219</v>
      </c>
      <c r="D9777" t="s">
        <v>54328</v>
      </c>
      <c r="E9777" t="s">
        <v>31097</v>
      </c>
      <c r="F9777">
        <v>5</v>
      </c>
      <c r="G9777" t="s">
        <v>839</v>
      </c>
      <c r="H9777" t="s">
        <v>5042</v>
      </c>
      <c r="I9777" t="s">
        <v>40</v>
      </c>
      <c r="J9777" t="s">
        <v>79</v>
      </c>
      <c r="K9777" t="s">
        <v>42</v>
      </c>
      <c r="Q9777">
        <v>22815</v>
      </c>
      <c r="R9777" t="s">
        <v>322</v>
      </c>
      <c r="S9777" t="s">
        <v>58484</v>
      </c>
      <c r="T9777">
        <v>22</v>
      </c>
      <c r="U9777" s="2" t="s">
        <v>58485</v>
      </c>
      <c r="V9777" s="1">
        <v>44922</v>
      </c>
      <c r="W9777" t="s">
        <v>502</v>
      </c>
      <c r="X9777">
        <v>110008458</v>
      </c>
      <c r="Y9777" t="s">
        <v>58486</v>
      </c>
      <c r="Z9777" t="s">
        <v>58487</v>
      </c>
      <c r="AA9777" t="s">
        <v>58227</v>
      </c>
      <c r="AB9777" t="s">
        <v>486</v>
      </c>
      <c r="AD9777" t="s">
        <v>53813</v>
      </c>
      <c r="AE9777" t="s">
        <v>58488</v>
      </c>
      <c r="AF9777" t="s">
        <v>448</v>
      </c>
      <c r="AG9777" t="s">
        <v>58489</v>
      </c>
      <c r="AH9777" t="s">
        <v>58490</v>
      </c>
      <c r="AI9777" t="s">
        <v>58491</v>
      </c>
    </row>
    <row r="9778" spans="2:35" ht="255">
      <c r="B9778" s="1">
        <v>44923</v>
      </c>
      <c r="C9778" s="4">
        <v>44923.59375</v>
      </c>
      <c r="D9778" t="s">
        <v>58492</v>
      </c>
      <c r="E9778" t="s">
        <v>58493</v>
      </c>
      <c r="F9778" t="s">
        <v>37</v>
      </c>
      <c r="G9778" t="s">
        <v>2499</v>
      </c>
      <c r="H9778" t="s">
        <v>61</v>
      </c>
      <c r="I9778" t="s">
        <v>40</v>
      </c>
      <c r="J9778" t="s">
        <v>321</v>
      </c>
      <c r="K9778" t="s">
        <v>42</v>
      </c>
      <c r="Q9778">
        <v>22814</v>
      </c>
      <c r="R9778" t="s">
        <v>322</v>
      </c>
      <c r="S9778" t="s">
        <v>58494</v>
      </c>
      <c r="T9778">
        <v>23.9</v>
      </c>
      <c r="U9778" s="2" t="s">
        <v>29810</v>
      </c>
      <c r="V9778" s="1">
        <v>44922</v>
      </c>
      <c r="W9778" t="s">
        <v>58495</v>
      </c>
      <c r="X9778">
        <v>110015847</v>
      </c>
      <c r="Y9778" t="s">
        <v>301</v>
      </c>
      <c r="Z9778" t="s">
        <v>301</v>
      </c>
      <c r="AA9778" s="2" t="s">
        <v>58496</v>
      </c>
      <c r="AB9778" t="s">
        <v>58497</v>
      </c>
      <c r="AD9778" t="s">
        <v>58498</v>
      </c>
      <c r="AE9778" t="s">
        <v>58499</v>
      </c>
      <c r="AF9778" t="s">
        <v>58500</v>
      </c>
      <c r="AG9778" t="s">
        <v>58501</v>
      </c>
      <c r="AH9778" t="s">
        <v>58502</v>
      </c>
      <c r="AI9778" t="s">
        <v>58503</v>
      </c>
    </row>
    <row r="9779" spans="2:35" ht="285">
      <c r="B9779" s="1">
        <v>44923</v>
      </c>
      <c r="C9779" s="4">
        <v>44923.59097222222</v>
      </c>
      <c r="D9779" t="s">
        <v>3470</v>
      </c>
      <c r="E9779" t="s">
        <v>58504</v>
      </c>
      <c r="F9779">
        <v>12</v>
      </c>
      <c r="G9779" t="s">
        <v>294</v>
      </c>
      <c r="H9779" t="s">
        <v>39</v>
      </c>
      <c r="I9779" t="s">
        <v>40</v>
      </c>
      <c r="J9779" t="s">
        <v>109</v>
      </c>
      <c r="K9779" t="s">
        <v>42</v>
      </c>
      <c r="Q9779">
        <v>22813</v>
      </c>
      <c r="R9779" t="s">
        <v>45</v>
      </c>
      <c r="S9779" t="s">
        <v>3472</v>
      </c>
      <c r="T9779">
        <v>29.7</v>
      </c>
      <c r="U9779" s="2" t="s">
        <v>58505</v>
      </c>
      <c r="V9779" s="1">
        <v>44893</v>
      </c>
      <c r="W9779" t="s">
        <v>58506</v>
      </c>
      <c r="X9779">
        <v>838159</v>
      </c>
      <c r="Y9779" t="s">
        <v>1052</v>
      </c>
      <c r="Z9779" t="s">
        <v>820</v>
      </c>
      <c r="AA9779" s="2" t="s">
        <v>58507</v>
      </c>
      <c r="AB9779" t="s">
        <v>21102</v>
      </c>
      <c r="AC9779" t="s">
        <v>54</v>
      </c>
      <c r="AD9779" t="s">
        <v>54</v>
      </c>
      <c r="AE9779" t="s">
        <v>1716</v>
      </c>
      <c r="AF9779" t="s">
        <v>2754</v>
      </c>
      <c r="AG9779" t="s">
        <v>58508</v>
      </c>
      <c r="AH9779" t="s">
        <v>58509</v>
      </c>
      <c r="AI9779" t="s">
        <v>58510</v>
      </c>
    </row>
    <row r="9780" spans="2:35" ht="180">
      <c r="B9780" s="1">
        <v>44923</v>
      </c>
      <c r="C9780" s="4">
        <v>44923.584027777775</v>
      </c>
      <c r="D9780" t="s">
        <v>58511</v>
      </c>
      <c r="E9780" t="s">
        <v>58512</v>
      </c>
      <c r="F9780">
        <v>5</v>
      </c>
      <c r="G9780" t="s">
        <v>839</v>
      </c>
      <c r="H9780" t="s">
        <v>39</v>
      </c>
      <c r="I9780" t="s">
        <v>40</v>
      </c>
      <c r="J9780" t="s">
        <v>79</v>
      </c>
      <c r="K9780" t="s">
        <v>42</v>
      </c>
      <c r="Q9780">
        <v>22812</v>
      </c>
      <c r="R9780" t="s">
        <v>45</v>
      </c>
      <c r="S9780" t="s">
        <v>43586</v>
      </c>
      <c r="T9780">
        <v>27</v>
      </c>
      <c r="U9780" s="2" t="s">
        <v>58513</v>
      </c>
      <c r="V9780" s="1">
        <v>44923</v>
      </c>
      <c r="W9780" t="s">
        <v>502</v>
      </c>
      <c r="X9780">
        <v>808285</v>
      </c>
      <c r="Y9780" t="s">
        <v>58514</v>
      </c>
      <c r="Z9780" t="s">
        <v>58515</v>
      </c>
      <c r="AA9780" t="s">
        <v>58227</v>
      </c>
      <c r="AB9780" t="s">
        <v>486</v>
      </c>
      <c r="AD9780" t="s">
        <v>53225</v>
      </c>
      <c r="AE9780">
        <v>0</v>
      </c>
      <c r="AF9780" t="s">
        <v>448</v>
      </c>
      <c r="AG9780" t="s">
        <v>58516</v>
      </c>
      <c r="AH9780" t="s">
        <v>58517</v>
      </c>
      <c r="AI9780" t="s">
        <v>58518</v>
      </c>
    </row>
    <row r="9781" spans="2:35" ht="255">
      <c r="B9781" s="1">
        <v>44923</v>
      </c>
      <c r="C9781" s="4">
        <v>44923.515972222223</v>
      </c>
      <c r="D9781" t="s">
        <v>3220</v>
      </c>
      <c r="E9781" t="s">
        <v>3221</v>
      </c>
      <c r="F9781" t="s">
        <v>37</v>
      </c>
      <c r="G9781" t="s">
        <v>2499</v>
      </c>
      <c r="H9781" t="s">
        <v>1047</v>
      </c>
      <c r="I9781" t="s">
        <v>40</v>
      </c>
      <c r="J9781" s="2" t="s">
        <v>41</v>
      </c>
      <c r="K9781" t="s">
        <v>42</v>
      </c>
      <c r="Q9781">
        <v>22811</v>
      </c>
      <c r="R9781" t="s">
        <v>45</v>
      </c>
      <c r="S9781" t="s">
        <v>3222</v>
      </c>
      <c r="T9781">
        <v>26.5</v>
      </c>
      <c r="U9781" s="2" t="s">
        <v>58519</v>
      </c>
      <c r="V9781" s="1">
        <v>44923</v>
      </c>
      <c r="W9781" t="s">
        <v>84</v>
      </c>
      <c r="X9781">
        <v>814375</v>
      </c>
      <c r="Y9781" t="s">
        <v>58520</v>
      </c>
      <c r="Z9781" t="s">
        <v>58521</v>
      </c>
      <c r="AA9781" t="s">
        <v>58522</v>
      </c>
      <c r="AB9781" t="s">
        <v>58523</v>
      </c>
      <c r="AD9781" t="s">
        <v>58524</v>
      </c>
      <c r="AE9781" t="s">
        <v>54</v>
      </c>
      <c r="AF9781" t="s">
        <v>58525</v>
      </c>
      <c r="AG9781" t="s">
        <v>58526</v>
      </c>
      <c r="AH9781" t="s">
        <v>3226</v>
      </c>
      <c r="AI9781" t="s">
        <v>58527</v>
      </c>
    </row>
    <row r="9782" spans="2:35" ht="180">
      <c r="B9782" s="1">
        <v>44923</v>
      </c>
      <c r="C9782" s="4">
        <v>44923.481249999997</v>
      </c>
      <c r="D9782" t="s">
        <v>58528</v>
      </c>
      <c r="E9782" t="s">
        <v>21846</v>
      </c>
      <c r="F9782">
        <v>3</v>
      </c>
      <c r="G9782" t="s">
        <v>219</v>
      </c>
      <c r="H9782" t="s">
        <v>39</v>
      </c>
      <c r="I9782" t="s">
        <v>40</v>
      </c>
      <c r="J9782" t="s">
        <v>109</v>
      </c>
      <c r="K9782" t="s">
        <v>42</v>
      </c>
      <c r="Q9782">
        <v>22810</v>
      </c>
      <c r="R9782" t="s">
        <v>119</v>
      </c>
      <c r="S9782" t="s">
        <v>37229</v>
      </c>
      <c r="T9782">
        <v>25.2</v>
      </c>
      <c r="U9782" s="2" t="s">
        <v>58529</v>
      </c>
      <c r="W9782" t="s">
        <v>2680</v>
      </c>
      <c r="X9782">
        <v>831608</v>
      </c>
      <c r="Y9782" t="s">
        <v>58530</v>
      </c>
      <c r="Z9782" t="e">
        <f ca="1">-performed surface Cleaning
-performed Cleaning of cartridge bay,icore,plunger rod _xludf.and _xludf.filter
-Generate reports
-archived test results
-performed functionality test</f>
        <v>#NAME?</v>
      </c>
      <c r="AA9782" t="s">
        <v>4315</v>
      </c>
      <c r="AB9782" t="s">
        <v>58531</v>
      </c>
      <c r="AF9782" t="s">
        <v>135</v>
      </c>
      <c r="AG9782" t="s">
        <v>58532</v>
      </c>
      <c r="AH9782" t="s">
        <v>58533</v>
      </c>
      <c r="AI9782" t="s">
        <v>58534</v>
      </c>
    </row>
    <row r="9783" spans="2:35" ht="180">
      <c r="B9783" s="1">
        <v>44923</v>
      </c>
      <c r="C9783" s="4">
        <v>44923.477777777778</v>
      </c>
      <c r="D9783" t="s">
        <v>58535</v>
      </c>
      <c r="E9783" t="s">
        <v>58536</v>
      </c>
      <c r="F9783">
        <v>5</v>
      </c>
      <c r="G9783" t="s">
        <v>839</v>
      </c>
      <c r="H9783" t="s">
        <v>39</v>
      </c>
      <c r="I9783" t="s">
        <v>40</v>
      </c>
      <c r="J9783" t="s">
        <v>79</v>
      </c>
      <c r="K9783" t="s">
        <v>42</v>
      </c>
      <c r="Q9783">
        <v>22809</v>
      </c>
      <c r="R9783" t="s">
        <v>45</v>
      </c>
      <c r="S9783" t="s">
        <v>31839</v>
      </c>
      <c r="T9783">
        <v>25</v>
      </c>
      <c r="U9783" s="2" t="s">
        <v>58537</v>
      </c>
      <c r="V9783" s="1">
        <v>44923</v>
      </c>
      <c r="W9783" t="s">
        <v>45570</v>
      </c>
      <c r="X9783">
        <v>834808</v>
      </c>
      <c r="Y9783" t="s">
        <v>58538</v>
      </c>
      <c r="Z9783" t="s">
        <v>58539</v>
      </c>
      <c r="AA9783" t="s">
        <v>5712</v>
      </c>
      <c r="AB9783" t="s">
        <v>486</v>
      </c>
      <c r="AD9783" t="s">
        <v>58540</v>
      </c>
      <c r="AE9783">
        <v>0</v>
      </c>
      <c r="AF9783" t="s">
        <v>448</v>
      </c>
      <c r="AG9783" t="s">
        <v>58541</v>
      </c>
      <c r="AH9783" t="s">
        <v>31844</v>
      </c>
      <c r="AI9783" t="s">
        <v>58542</v>
      </c>
    </row>
    <row r="9784" spans="2:35" ht="90">
      <c r="B9784" s="1">
        <v>44923</v>
      </c>
      <c r="C9784" s="4">
        <v>44923.349305555559</v>
      </c>
      <c r="D9784" t="s">
        <v>58543</v>
      </c>
      <c r="E9784" t="s">
        <v>58544</v>
      </c>
      <c r="F9784">
        <v>8</v>
      </c>
      <c r="G9784" t="s">
        <v>1663</v>
      </c>
      <c r="H9784" t="s">
        <v>39</v>
      </c>
      <c r="I9784" t="s">
        <v>94</v>
      </c>
      <c r="J9784" s="2" t="s">
        <v>1592</v>
      </c>
      <c r="K9784" t="s">
        <v>42</v>
      </c>
      <c r="Q9784">
        <v>22808</v>
      </c>
      <c r="R9784" t="s">
        <v>45</v>
      </c>
      <c r="S9784" t="s">
        <v>58545</v>
      </c>
      <c r="T9784">
        <v>28</v>
      </c>
      <c r="U9784" s="2" t="s">
        <v>58546</v>
      </c>
      <c r="V9784" s="1">
        <v>44923</v>
      </c>
      <c r="W9784" t="s">
        <v>58547</v>
      </c>
      <c r="X9784">
        <v>815276</v>
      </c>
      <c r="Y9784" t="s">
        <v>58548</v>
      </c>
      <c r="Z9784" t="e">
        <f ca="1">-Troubleshoot
-Preventive Maintenance</f>
        <v>#NAME?</v>
      </c>
      <c r="AA9784" t="e">
        <f ca="1">-Troubleshoot main board
-Changed CMOS battery
-performed PM
-Generate reports</f>
        <v>#NAME?</v>
      </c>
      <c r="AB9784" t="s">
        <v>7675</v>
      </c>
      <c r="AD9784" t="s">
        <v>58549</v>
      </c>
      <c r="AE9784" t="s">
        <v>58550</v>
      </c>
      <c r="AF9784" t="s">
        <v>259</v>
      </c>
      <c r="AG9784" t="s">
        <v>58551</v>
      </c>
      <c r="AH9784" t="s">
        <v>58552</v>
      </c>
      <c r="AI9784" t="s">
        <v>58553</v>
      </c>
    </row>
    <row r="9785" spans="2:35" ht="195">
      <c r="B9785" s="1">
        <v>44922</v>
      </c>
      <c r="C9785" s="4">
        <v>44915.438194444447</v>
      </c>
      <c r="D9785" t="s">
        <v>55461</v>
      </c>
      <c r="E9785" t="s">
        <v>58554</v>
      </c>
      <c r="F9785" t="s">
        <v>148</v>
      </c>
      <c r="G9785" t="s">
        <v>447</v>
      </c>
      <c r="H9785" t="s">
        <v>150</v>
      </c>
      <c r="I9785" t="s">
        <v>40</v>
      </c>
      <c r="J9785" t="s">
        <v>79</v>
      </c>
      <c r="K9785" t="s">
        <v>42</v>
      </c>
      <c r="Q9785">
        <v>22807</v>
      </c>
      <c r="R9785" t="s">
        <v>45</v>
      </c>
      <c r="S9785" t="s">
        <v>58555</v>
      </c>
      <c r="T9785">
        <v>27</v>
      </c>
      <c r="U9785" s="2" t="s">
        <v>58556</v>
      </c>
      <c r="V9785" s="1">
        <v>44914</v>
      </c>
      <c r="W9785" t="s">
        <v>325</v>
      </c>
      <c r="X9785">
        <v>801080</v>
      </c>
      <c r="Y9785" t="s">
        <v>58557</v>
      </c>
      <c r="Z9785" t="s">
        <v>58558</v>
      </c>
      <c r="AA9785" t="s">
        <v>5712</v>
      </c>
      <c r="AB9785" t="s">
        <v>58559</v>
      </c>
      <c r="AD9785" t="s">
        <v>48920</v>
      </c>
      <c r="AE9785" t="s">
        <v>58560</v>
      </c>
      <c r="AF9785" t="s">
        <v>448</v>
      </c>
      <c r="AG9785" t="s">
        <v>58561</v>
      </c>
      <c r="AH9785" t="s">
        <v>58562</v>
      </c>
      <c r="AI9785" t="s">
        <v>58563</v>
      </c>
    </row>
    <row r="9786" spans="2:35" ht="330">
      <c r="B9786" s="1">
        <v>44922</v>
      </c>
      <c r="C9786" s="4">
        <v>44915.65</v>
      </c>
      <c r="D9786" t="s">
        <v>38422</v>
      </c>
      <c r="E9786" t="s">
        <v>58564</v>
      </c>
      <c r="F9786" t="s">
        <v>148</v>
      </c>
      <c r="G9786" t="s">
        <v>447</v>
      </c>
      <c r="H9786" t="s">
        <v>58565</v>
      </c>
      <c r="I9786" t="s">
        <v>40</v>
      </c>
      <c r="J9786" t="s">
        <v>79</v>
      </c>
      <c r="K9786" t="s">
        <v>42</v>
      </c>
      <c r="Q9786">
        <v>22806</v>
      </c>
      <c r="R9786" t="s">
        <v>45</v>
      </c>
      <c r="S9786" t="s">
        <v>17810</v>
      </c>
      <c r="T9786">
        <v>23</v>
      </c>
      <c r="U9786" s="2" t="s">
        <v>58566</v>
      </c>
      <c r="V9786" s="1">
        <v>44914</v>
      </c>
      <c r="W9786" t="s">
        <v>360</v>
      </c>
      <c r="X9786">
        <v>834443</v>
      </c>
      <c r="Y9786" t="s">
        <v>58567</v>
      </c>
      <c r="Z9786" t="s">
        <v>58568</v>
      </c>
      <c r="AA9786" t="s">
        <v>5712</v>
      </c>
      <c r="AB9786" t="s">
        <v>58569</v>
      </c>
      <c r="AD9786" t="s">
        <v>53813</v>
      </c>
      <c r="AE9786" t="s">
        <v>58570</v>
      </c>
      <c r="AF9786" t="s">
        <v>49366</v>
      </c>
      <c r="AG9786" t="s">
        <v>58571</v>
      </c>
      <c r="AH9786" t="s">
        <v>39860</v>
      </c>
      <c r="AI9786" t="s">
        <v>58572</v>
      </c>
    </row>
    <row r="9787" spans="2:35" ht="180">
      <c r="B9787" s="1">
        <v>44922</v>
      </c>
      <c r="C9787" s="4">
        <v>44916.635416666664</v>
      </c>
      <c r="D9787" t="s">
        <v>58573</v>
      </c>
      <c r="E9787" t="s">
        <v>58574</v>
      </c>
      <c r="F9787">
        <v>1</v>
      </c>
      <c r="G9787" t="s">
        <v>1046</v>
      </c>
      <c r="H9787" t="s">
        <v>2210</v>
      </c>
      <c r="I9787" t="s">
        <v>40</v>
      </c>
      <c r="J9787" t="s">
        <v>79</v>
      </c>
      <c r="K9787" t="s">
        <v>42</v>
      </c>
      <c r="Q9787">
        <v>22805</v>
      </c>
      <c r="R9787" t="s">
        <v>45</v>
      </c>
      <c r="S9787" t="s">
        <v>26247</v>
      </c>
      <c r="T9787">
        <v>28</v>
      </c>
      <c r="U9787" s="2" t="s">
        <v>58575</v>
      </c>
      <c r="V9787" s="1">
        <v>44916</v>
      </c>
      <c r="W9787" t="s">
        <v>360</v>
      </c>
      <c r="X9787">
        <v>807598</v>
      </c>
      <c r="Y9787" t="s">
        <v>58576</v>
      </c>
      <c r="Z9787" t="s">
        <v>58577</v>
      </c>
      <c r="AA9787" t="s">
        <v>58227</v>
      </c>
      <c r="AB9787" t="s">
        <v>486</v>
      </c>
      <c r="AD9787" t="s">
        <v>53813</v>
      </c>
      <c r="AE9787">
        <v>0</v>
      </c>
      <c r="AF9787" t="s">
        <v>49366</v>
      </c>
      <c r="AG9787" t="s">
        <v>58578</v>
      </c>
      <c r="AH9787" t="s">
        <v>58579</v>
      </c>
      <c r="AI9787" t="s">
        <v>58580</v>
      </c>
    </row>
    <row r="9788" spans="2:35" ht="180">
      <c r="B9788" s="1">
        <v>44922</v>
      </c>
      <c r="C9788" s="4">
        <v>44922.651388888888</v>
      </c>
      <c r="D9788" t="s">
        <v>58581</v>
      </c>
      <c r="E9788" t="s">
        <v>58582</v>
      </c>
      <c r="F9788">
        <v>5</v>
      </c>
      <c r="G9788" t="s">
        <v>5795</v>
      </c>
      <c r="H9788" t="s">
        <v>39</v>
      </c>
      <c r="I9788" t="s">
        <v>40</v>
      </c>
      <c r="J9788" t="s">
        <v>79</v>
      </c>
      <c r="K9788" t="s">
        <v>42</v>
      </c>
      <c r="Q9788">
        <v>22804</v>
      </c>
      <c r="R9788" t="s">
        <v>45</v>
      </c>
      <c r="S9788" t="s">
        <v>58583</v>
      </c>
      <c r="T9788">
        <v>28</v>
      </c>
      <c r="U9788" s="2" t="s">
        <v>58584</v>
      </c>
      <c r="V9788" s="1">
        <v>44922</v>
      </c>
      <c r="W9788" t="s">
        <v>502</v>
      </c>
      <c r="X9788">
        <v>807600</v>
      </c>
      <c r="Y9788" t="s">
        <v>58585</v>
      </c>
      <c r="Z9788" t="s">
        <v>58586</v>
      </c>
      <c r="AA9788" t="s">
        <v>5712</v>
      </c>
      <c r="AB9788" t="s">
        <v>58587</v>
      </c>
      <c r="AD9788" t="s">
        <v>53225</v>
      </c>
      <c r="AE9788">
        <v>0</v>
      </c>
      <c r="AF9788" t="s">
        <v>448</v>
      </c>
      <c r="AG9788" t="s">
        <v>58588</v>
      </c>
      <c r="AH9788" t="s">
        <v>58589</v>
      </c>
      <c r="AI9788" t="s">
        <v>58590</v>
      </c>
    </row>
    <row r="9789" spans="2:35" ht="195">
      <c r="B9789" s="1">
        <v>44922</v>
      </c>
      <c r="C9789" s="4">
        <v>44922.643750000003</v>
      </c>
      <c r="D9789" t="s">
        <v>55692</v>
      </c>
      <c r="E9789" t="s">
        <v>40816</v>
      </c>
      <c r="F9789">
        <v>3</v>
      </c>
      <c r="G9789" t="s">
        <v>1722</v>
      </c>
      <c r="H9789" t="s">
        <v>39</v>
      </c>
      <c r="I9789" t="s">
        <v>40</v>
      </c>
      <c r="J9789" t="s">
        <v>109</v>
      </c>
      <c r="K9789" t="s">
        <v>42</v>
      </c>
      <c r="Q9789">
        <v>22803</v>
      </c>
      <c r="R9789" t="s">
        <v>119</v>
      </c>
      <c r="S9789" t="s">
        <v>4220</v>
      </c>
      <c r="T9789">
        <v>25</v>
      </c>
      <c r="U9789" s="2" t="s">
        <v>58591</v>
      </c>
      <c r="V9789" s="1">
        <v>44922</v>
      </c>
      <c r="W9789" t="s">
        <v>26915</v>
      </c>
      <c r="X9789">
        <v>831637</v>
      </c>
      <c r="Y9789" t="s">
        <v>1716</v>
      </c>
      <c r="Z9789" t="s">
        <v>1716</v>
      </c>
      <c r="AA9789" s="2" t="s">
        <v>58592</v>
      </c>
      <c r="AB9789" t="s">
        <v>70</v>
      </c>
      <c r="AC9789" t="s">
        <v>1716</v>
      </c>
      <c r="AD9789" t="s">
        <v>1716</v>
      </c>
      <c r="AE9789" t="s">
        <v>1716</v>
      </c>
      <c r="AF9789" t="s">
        <v>63</v>
      </c>
      <c r="AG9789" t="s">
        <v>58593</v>
      </c>
      <c r="AH9789" t="s">
        <v>58594</v>
      </c>
      <c r="AI9789" t="s">
        <v>58595</v>
      </c>
    </row>
    <row r="9790" spans="2:35" ht="270">
      <c r="B9790" s="1">
        <v>44922</v>
      </c>
      <c r="C9790" s="4">
        <v>44922.609722222223</v>
      </c>
      <c r="D9790" t="s">
        <v>58596</v>
      </c>
      <c r="E9790" t="s">
        <v>58597</v>
      </c>
      <c r="F9790">
        <v>2</v>
      </c>
      <c r="G9790" t="s">
        <v>2723</v>
      </c>
      <c r="H9790" t="s">
        <v>39</v>
      </c>
      <c r="I9790" t="s">
        <v>40</v>
      </c>
      <c r="J9790" s="2" t="s">
        <v>41</v>
      </c>
      <c r="K9790" t="s">
        <v>42</v>
      </c>
      <c r="Q9790">
        <v>22802</v>
      </c>
      <c r="R9790" t="s">
        <v>45</v>
      </c>
      <c r="S9790" t="s">
        <v>57478</v>
      </c>
      <c r="T9790">
        <v>23</v>
      </c>
      <c r="U9790" s="2" t="s">
        <v>58598</v>
      </c>
      <c r="W9790" t="s">
        <v>1139</v>
      </c>
      <c r="X9790">
        <v>834434</v>
      </c>
      <c r="Y9790" t="s">
        <v>55365</v>
      </c>
      <c r="Z9790" t="s">
        <v>2129</v>
      </c>
      <c r="AA9790" s="2" t="s">
        <v>58599</v>
      </c>
      <c r="AB9790" t="s">
        <v>181</v>
      </c>
      <c r="AF9790" t="s">
        <v>58001</v>
      </c>
      <c r="AG9790" t="s">
        <v>58600</v>
      </c>
      <c r="AH9790" t="s">
        <v>57482</v>
      </c>
      <c r="AI9790" t="s">
        <v>58601</v>
      </c>
    </row>
    <row r="9791" spans="2:35" ht="345">
      <c r="B9791" s="1">
        <v>44922</v>
      </c>
      <c r="C9791" s="4">
        <v>44918.525000000001</v>
      </c>
      <c r="D9791" t="s">
        <v>8429</v>
      </c>
      <c r="E9791" t="s">
        <v>17697</v>
      </c>
      <c r="F9791">
        <v>11</v>
      </c>
      <c r="G9791" t="s">
        <v>1205</v>
      </c>
      <c r="H9791" t="s">
        <v>39</v>
      </c>
      <c r="I9791" t="s">
        <v>40</v>
      </c>
      <c r="J9791" t="s">
        <v>109</v>
      </c>
      <c r="K9791" t="s">
        <v>42</v>
      </c>
      <c r="Q9791">
        <v>22801</v>
      </c>
      <c r="R9791" t="s">
        <v>119</v>
      </c>
      <c r="S9791" t="s">
        <v>58602</v>
      </c>
      <c r="T9791">
        <v>28.7</v>
      </c>
      <c r="U9791" s="2" t="s">
        <v>58603</v>
      </c>
      <c r="V9791" s="1">
        <v>44918</v>
      </c>
      <c r="W9791" t="s">
        <v>58604</v>
      </c>
      <c r="X9791">
        <v>838456</v>
      </c>
      <c r="Y9791" t="s">
        <v>1052</v>
      </c>
      <c r="Z9791" t="s">
        <v>2551</v>
      </c>
      <c r="AA9791" s="2" t="s">
        <v>58605</v>
      </c>
      <c r="AB9791" t="s">
        <v>9590</v>
      </c>
      <c r="AC9791" t="s">
        <v>58606</v>
      </c>
      <c r="AD9791" t="s">
        <v>54</v>
      </c>
      <c r="AE9791" t="s">
        <v>54</v>
      </c>
      <c r="AF9791" t="s">
        <v>57687</v>
      </c>
      <c r="AG9791" t="s">
        <v>58607</v>
      </c>
      <c r="AH9791" t="s">
        <v>11819</v>
      </c>
      <c r="AI9791" t="s">
        <v>58608</v>
      </c>
    </row>
    <row r="9792" spans="2:35" ht="315">
      <c r="B9792" s="1">
        <v>44922</v>
      </c>
      <c r="C9792" s="4">
        <v>44922.555555555555</v>
      </c>
      <c r="D9792" t="s">
        <v>3423</v>
      </c>
      <c r="E9792" t="s">
        <v>12017</v>
      </c>
      <c r="F9792">
        <v>7</v>
      </c>
      <c r="G9792" t="s">
        <v>432</v>
      </c>
      <c r="H9792" t="s">
        <v>12018</v>
      </c>
      <c r="I9792" t="s">
        <v>40</v>
      </c>
      <c r="J9792" s="2" t="s">
        <v>41</v>
      </c>
      <c r="K9792" t="s">
        <v>387</v>
      </c>
      <c r="Q9792">
        <v>22800</v>
      </c>
      <c r="R9792" t="s">
        <v>95</v>
      </c>
      <c r="S9792" t="s">
        <v>58609</v>
      </c>
      <c r="T9792">
        <v>20</v>
      </c>
      <c r="V9792" s="1">
        <v>44918</v>
      </c>
      <c r="W9792" t="s">
        <v>390</v>
      </c>
      <c r="X9792" t="s">
        <v>10711</v>
      </c>
      <c r="Y9792" t="s">
        <v>58610</v>
      </c>
      <c r="Z9792" t="e">
        <f ca="1">-PERFORM Cleaning of centrifuge, bowl optic sensor, _xludf.and SPILL DETECTOR sensor
- ADJUST line sensor _xludf.value</f>
        <v>#NAME?</v>
      </c>
      <c r="AA9792" s="2" t="s">
        <v>58611</v>
      </c>
      <c r="AB9792" t="e">
        <f ca="1">-EQUIPMENT is operational</f>
        <v>#NAME?</v>
      </c>
      <c r="AD9792" t="s">
        <v>54</v>
      </c>
      <c r="AE9792" t="s">
        <v>54</v>
      </c>
      <c r="AF9792" t="s">
        <v>58218</v>
      </c>
      <c r="AG9792" t="s">
        <v>58612</v>
      </c>
      <c r="AH9792" t="s">
        <v>58613</v>
      </c>
      <c r="AI9792" t="s">
        <v>58614</v>
      </c>
    </row>
    <row r="9793" spans="2:35" ht="375">
      <c r="B9793" s="1">
        <v>44922</v>
      </c>
      <c r="C9793" s="4">
        <v>44922.572916666664</v>
      </c>
      <c r="D9793" t="s">
        <v>12505</v>
      </c>
      <c r="E9793" t="s">
        <v>22556</v>
      </c>
      <c r="F9793">
        <v>3</v>
      </c>
      <c r="G9793" t="s">
        <v>219</v>
      </c>
      <c r="H9793" t="s">
        <v>61</v>
      </c>
      <c r="I9793" t="s">
        <v>40</v>
      </c>
      <c r="J9793" s="2" t="s">
        <v>41</v>
      </c>
      <c r="K9793" t="s">
        <v>42</v>
      </c>
      <c r="Q9793">
        <v>22799</v>
      </c>
      <c r="R9793" t="s">
        <v>45</v>
      </c>
      <c r="S9793" t="s">
        <v>12507</v>
      </c>
      <c r="T9793">
        <v>29.75</v>
      </c>
      <c r="U9793" s="2" t="s">
        <v>58615</v>
      </c>
      <c r="V9793" s="1">
        <v>44922</v>
      </c>
      <c r="W9793" t="s">
        <v>2680</v>
      </c>
      <c r="X9793">
        <v>834622</v>
      </c>
      <c r="Y9793" t="s">
        <v>58616</v>
      </c>
      <c r="Z9793" s="2" t="s">
        <v>58617</v>
      </c>
      <c r="AA9793" t="s">
        <v>55818</v>
      </c>
      <c r="AB9793" t="s">
        <v>9323</v>
      </c>
      <c r="AC9793" t="s">
        <v>58618</v>
      </c>
      <c r="AD9793" t="s">
        <v>58619</v>
      </c>
      <c r="AE9793" t="s">
        <v>1716</v>
      </c>
      <c r="AF9793" t="s">
        <v>135</v>
      </c>
      <c r="AG9793" t="s">
        <v>58620</v>
      </c>
      <c r="AH9793" t="s">
        <v>21843</v>
      </c>
      <c r="AI9793" t="s">
        <v>58621</v>
      </c>
    </row>
    <row r="9794" spans="2:35" ht="195">
      <c r="B9794" s="1">
        <v>44922</v>
      </c>
      <c r="C9794" s="4">
        <v>44922.548611111109</v>
      </c>
      <c r="D9794" t="s">
        <v>55932</v>
      </c>
      <c r="E9794" t="s">
        <v>58597</v>
      </c>
      <c r="F9794">
        <v>2</v>
      </c>
      <c r="G9794" t="s">
        <v>2723</v>
      </c>
      <c r="H9794" t="s">
        <v>61</v>
      </c>
      <c r="I9794" t="s">
        <v>40</v>
      </c>
      <c r="J9794" t="s">
        <v>79</v>
      </c>
      <c r="K9794" t="s">
        <v>42</v>
      </c>
      <c r="Q9794">
        <v>22798</v>
      </c>
      <c r="R9794" t="s">
        <v>322</v>
      </c>
      <c r="S9794" t="s">
        <v>58622</v>
      </c>
      <c r="T9794">
        <v>25.4</v>
      </c>
      <c r="U9794" s="2" t="s">
        <v>58623</v>
      </c>
      <c r="V9794" s="1">
        <v>44922</v>
      </c>
      <c r="W9794" t="s">
        <v>1139</v>
      </c>
      <c r="X9794">
        <v>110008457</v>
      </c>
      <c r="Y9794" t="s">
        <v>55365</v>
      </c>
      <c r="Z9794" t="s">
        <v>2129</v>
      </c>
      <c r="AA9794" s="2" t="s">
        <v>58624</v>
      </c>
      <c r="AB9794" t="s">
        <v>181</v>
      </c>
      <c r="AD9794" s="2" t="s">
        <v>58625</v>
      </c>
      <c r="AE9794" t="s">
        <v>58626</v>
      </c>
      <c r="AF9794" t="s">
        <v>58001</v>
      </c>
      <c r="AG9794" t="s">
        <v>58627</v>
      </c>
      <c r="AH9794" t="s">
        <v>2779</v>
      </c>
      <c r="AI9794" t="s">
        <v>58628</v>
      </c>
    </row>
    <row r="9795" spans="2:35" ht="180">
      <c r="B9795" s="1">
        <v>44922</v>
      </c>
      <c r="C9795" s="4">
        <v>44922.479166666664</v>
      </c>
      <c r="D9795" t="s">
        <v>58629</v>
      </c>
      <c r="E9795" t="s">
        <v>58630</v>
      </c>
      <c r="F9795" t="s">
        <v>37</v>
      </c>
      <c r="G9795" t="s">
        <v>2499</v>
      </c>
      <c r="H9795" t="s">
        <v>39</v>
      </c>
      <c r="I9795" t="s">
        <v>40</v>
      </c>
      <c r="J9795" t="s">
        <v>996</v>
      </c>
      <c r="K9795" t="s">
        <v>42</v>
      </c>
      <c r="Q9795">
        <v>22797</v>
      </c>
      <c r="R9795" t="s">
        <v>119</v>
      </c>
      <c r="S9795" t="s">
        <v>2522</v>
      </c>
      <c r="T9795">
        <v>25</v>
      </c>
      <c r="U9795" s="2" t="s">
        <v>58631</v>
      </c>
      <c r="V9795" s="1">
        <v>44922</v>
      </c>
      <c r="W9795" t="s">
        <v>502</v>
      </c>
      <c r="X9795">
        <v>831910</v>
      </c>
      <c r="Y9795" t="s">
        <v>58632</v>
      </c>
      <c r="Z9795" t="s">
        <v>58633</v>
      </c>
      <c r="AA9795" t="s">
        <v>58634</v>
      </c>
      <c r="AB9795" t="s">
        <v>23347</v>
      </c>
      <c r="AC9795" t="s">
        <v>58635</v>
      </c>
      <c r="AD9795" t="s">
        <v>58636</v>
      </c>
      <c r="AE9795">
        <v>0</v>
      </c>
      <c r="AF9795" t="s">
        <v>448</v>
      </c>
      <c r="AG9795" t="s">
        <v>58637</v>
      </c>
      <c r="AH9795" t="s">
        <v>58638</v>
      </c>
      <c r="AI9795" t="s">
        <v>58639</v>
      </c>
    </row>
    <row r="9796" spans="2:35" ht="345">
      <c r="B9796" s="1">
        <v>44922</v>
      </c>
      <c r="C9796" s="4">
        <v>44922.456250000003</v>
      </c>
      <c r="D9796" t="s">
        <v>41684</v>
      </c>
      <c r="E9796" t="s">
        <v>58640</v>
      </c>
      <c r="F9796">
        <v>3</v>
      </c>
      <c r="G9796" t="s">
        <v>219</v>
      </c>
      <c r="H9796" t="s">
        <v>39</v>
      </c>
      <c r="I9796" t="s">
        <v>40</v>
      </c>
      <c r="J9796" s="2" t="s">
        <v>41</v>
      </c>
      <c r="K9796" t="s">
        <v>42</v>
      </c>
      <c r="Q9796">
        <v>22796</v>
      </c>
      <c r="R9796" t="s">
        <v>45</v>
      </c>
      <c r="S9796" t="s">
        <v>41686</v>
      </c>
      <c r="T9796">
        <v>24</v>
      </c>
      <c r="U9796" s="2" t="s">
        <v>58641</v>
      </c>
      <c r="W9796" t="s">
        <v>2680</v>
      </c>
      <c r="X9796">
        <v>812788</v>
      </c>
      <c r="Y9796" t="s">
        <v>58642</v>
      </c>
      <c r="Z9796" s="2" t="s">
        <v>58643</v>
      </c>
      <c r="AA9796" t="s">
        <v>55818</v>
      </c>
      <c r="AB9796" t="s">
        <v>181</v>
      </c>
      <c r="AF9796" t="s">
        <v>135</v>
      </c>
      <c r="AG9796" t="s">
        <v>58644</v>
      </c>
      <c r="AH9796" t="s">
        <v>41690</v>
      </c>
      <c r="AI9796" t="s">
        <v>58645</v>
      </c>
    </row>
    <row r="9797" spans="2:35" ht="345">
      <c r="B9797" s="1">
        <v>44922</v>
      </c>
      <c r="C9797" s="4">
        <v>44922.367361111108</v>
      </c>
      <c r="D9797" t="s">
        <v>25621</v>
      </c>
      <c r="E9797" t="s">
        <v>188</v>
      </c>
      <c r="F9797" t="s">
        <v>37</v>
      </c>
      <c r="G9797" t="s">
        <v>189</v>
      </c>
      <c r="H9797" t="s">
        <v>34954</v>
      </c>
      <c r="I9797" t="s">
        <v>40</v>
      </c>
      <c r="J9797" s="2" t="s">
        <v>1592</v>
      </c>
      <c r="K9797" t="s">
        <v>42</v>
      </c>
      <c r="Q9797">
        <v>22795</v>
      </c>
      <c r="R9797" t="s">
        <v>45</v>
      </c>
      <c r="S9797" t="s">
        <v>25623</v>
      </c>
      <c r="T9797">
        <v>25</v>
      </c>
      <c r="U9797" s="2" t="s">
        <v>58646</v>
      </c>
      <c r="V9797" s="1">
        <v>44914</v>
      </c>
      <c r="W9797" t="s">
        <v>84</v>
      </c>
      <c r="X9797">
        <v>834627</v>
      </c>
      <c r="Y9797" s="2" t="s">
        <v>58647</v>
      </c>
      <c r="Z9797" s="2" t="s">
        <v>58648</v>
      </c>
      <c r="AA9797" t="s">
        <v>58649</v>
      </c>
      <c r="AB9797" t="s">
        <v>58650</v>
      </c>
      <c r="AC9797" t="s">
        <v>58651</v>
      </c>
      <c r="AD9797" t="s">
        <v>58652</v>
      </c>
      <c r="AE9797" t="s">
        <v>58653</v>
      </c>
      <c r="AF9797" t="s">
        <v>1943</v>
      </c>
      <c r="AG9797" t="s">
        <v>58654</v>
      </c>
      <c r="AH9797" t="s">
        <v>30032</v>
      </c>
      <c r="AI9797" t="s">
        <v>58655</v>
      </c>
    </row>
    <row r="9798" spans="2:35" ht="180">
      <c r="B9798" s="1">
        <v>44922</v>
      </c>
      <c r="C9798" s="4">
        <v>44922.37777777778</v>
      </c>
      <c r="D9798" t="s">
        <v>15729</v>
      </c>
      <c r="E9798" t="s">
        <v>58656</v>
      </c>
      <c r="F9798" t="s">
        <v>511</v>
      </c>
      <c r="G9798" t="s">
        <v>15731</v>
      </c>
      <c r="H9798" t="s">
        <v>6357</v>
      </c>
      <c r="I9798" t="s">
        <v>40</v>
      </c>
      <c r="J9798" t="s">
        <v>109</v>
      </c>
      <c r="K9798" t="s">
        <v>42</v>
      </c>
      <c r="Q9798">
        <v>22794</v>
      </c>
      <c r="R9798" t="s">
        <v>119</v>
      </c>
      <c r="S9798" t="s">
        <v>47321</v>
      </c>
      <c r="T9798">
        <v>22.7</v>
      </c>
      <c r="U9798" s="2" t="s">
        <v>58657</v>
      </c>
      <c r="W9798" t="s">
        <v>1139</v>
      </c>
      <c r="X9798">
        <v>838466</v>
      </c>
      <c r="Y9798" t="s">
        <v>33606</v>
      </c>
      <c r="Z9798" t="s">
        <v>3128</v>
      </c>
      <c r="AA9798" s="2" t="s">
        <v>57818</v>
      </c>
      <c r="AB9798" t="s">
        <v>181</v>
      </c>
      <c r="AF9798" t="s">
        <v>55932</v>
      </c>
      <c r="AG9798" t="s">
        <v>58658</v>
      </c>
      <c r="AH9798" t="s">
        <v>47319</v>
      </c>
      <c r="AI9798" t="s">
        <v>58659</v>
      </c>
    </row>
    <row r="9799" spans="2:35" ht="330">
      <c r="B9799" s="1">
        <v>44922</v>
      </c>
      <c r="C9799" s="4">
        <v>44922.37222222222</v>
      </c>
      <c r="D9799" t="s">
        <v>15729</v>
      </c>
      <c r="E9799" t="s">
        <v>58656</v>
      </c>
      <c r="F9799" t="s">
        <v>511</v>
      </c>
      <c r="G9799" t="s">
        <v>15731</v>
      </c>
      <c r="H9799" t="s">
        <v>6357</v>
      </c>
      <c r="I9799" t="s">
        <v>40</v>
      </c>
      <c r="J9799" t="s">
        <v>79</v>
      </c>
      <c r="K9799" t="s">
        <v>42</v>
      </c>
      <c r="Q9799">
        <v>22793</v>
      </c>
      <c r="R9799" t="s">
        <v>45</v>
      </c>
      <c r="S9799" t="s">
        <v>58660</v>
      </c>
      <c r="T9799">
        <v>24.3</v>
      </c>
      <c r="U9799" s="2" t="s">
        <v>58661</v>
      </c>
      <c r="W9799" t="s">
        <v>1139</v>
      </c>
      <c r="X9799">
        <v>807622</v>
      </c>
      <c r="Y9799" t="s">
        <v>55365</v>
      </c>
      <c r="Z9799" t="s">
        <v>2129</v>
      </c>
      <c r="AA9799" s="2" t="s">
        <v>58662</v>
      </c>
      <c r="AB9799" t="s">
        <v>70</v>
      </c>
      <c r="AF9799" t="s">
        <v>56616</v>
      </c>
      <c r="AG9799" t="s">
        <v>58663</v>
      </c>
      <c r="AH9799" t="s">
        <v>58664</v>
      </c>
      <c r="AI9799" t="s">
        <v>58665</v>
      </c>
    </row>
    <row r="9800" spans="2:35" ht="255">
      <c r="B9800" s="1">
        <v>44921</v>
      </c>
      <c r="C9800" s="4">
        <v>44921.575694444444</v>
      </c>
      <c r="D9800" t="s">
        <v>4379</v>
      </c>
      <c r="E9800" t="s">
        <v>807</v>
      </c>
      <c r="F9800" t="s">
        <v>148</v>
      </c>
      <c r="G9800" t="s">
        <v>785</v>
      </c>
      <c r="H9800" t="s">
        <v>39</v>
      </c>
      <c r="I9800" t="s">
        <v>40</v>
      </c>
      <c r="J9800" t="s">
        <v>109</v>
      </c>
      <c r="K9800" t="s">
        <v>42</v>
      </c>
      <c r="Q9800">
        <v>22792</v>
      </c>
      <c r="R9800" t="s">
        <v>322</v>
      </c>
      <c r="S9800" t="s">
        <v>4382</v>
      </c>
      <c r="T9800">
        <v>22</v>
      </c>
      <c r="U9800" s="2" t="s">
        <v>58666</v>
      </c>
      <c r="W9800" t="s">
        <v>58667</v>
      </c>
      <c r="X9800">
        <v>838627</v>
      </c>
      <c r="Y9800" t="s">
        <v>121</v>
      </c>
      <c r="Z9800" t="s">
        <v>122</v>
      </c>
      <c r="AA9800" s="2" t="s">
        <v>58668</v>
      </c>
      <c r="AB9800" t="s">
        <v>88</v>
      </c>
      <c r="AC9800" t="s">
        <v>58669</v>
      </c>
      <c r="AD9800" t="s">
        <v>54041</v>
      </c>
      <c r="AF9800" t="s">
        <v>43</v>
      </c>
      <c r="AG9800" t="s">
        <v>58670</v>
      </c>
      <c r="AH9800" t="s">
        <v>58671</v>
      </c>
      <c r="AI9800" t="s">
        <v>58672</v>
      </c>
    </row>
    <row r="9801" spans="2:35" ht="375">
      <c r="B9801" s="1">
        <v>44921</v>
      </c>
      <c r="C9801" s="4">
        <v>44921.578472222223</v>
      </c>
      <c r="D9801" t="s">
        <v>4379</v>
      </c>
      <c r="E9801" t="s">
        <v>807</v>
      </c>
      <c r="F9801" t="s">
        <v>148</v>
      </c>
      <c r="G9801" t="s">
        <v>785</v>
      </c>
      <c r="H9801" t="s">
        <v>39</v>
      </c>
      <c r="I9801" t="s">
        <v>40</v>
      </c>
      <c r="J9801" t="s">
        <v>109</v>
      </c>
      <c r="K9801" t="s">
        <v>42</v>
      </c>
      <c r="Q9801">
        <v>22791</v>
      </c>
      <c r="R9801" t="s">
        <v>45</v>
      </c>
      <c r="S9801" t="s">
        <v>4382</v>
      </c>
      <c r="T9801">
        <v>25</v>
      </c>
      <c r="U9801" s="2" t="s">
        <v>58673</v>
      </c>
      <c r="W9801" t="s">
        <v>9792</v>
      </c>
      <c r="X9801">
        <v>814374</v>
      </c>
      <c r="Y9801" t="s">
        <v>121</v>
      </c>
      <c r="Z9801" t="s">
        <v>122</v>
      </c>
      <c r="AA9801" s="2" t="s">
        <v>58668</v>
      </c>
      <c r="AB9801" t="s">
        <v>88</v>
      </c>
      <c r="AC9801" t="s">
        <v>58674</v>
      </c>
      <c r="AF9801" t="s">
        <v>43</v>
      </c>
      <c r="AG9801" t="s">
        <v>58675</v>
      </c>
      <c r="AH9801" t="s">
        <v>58671</v>
      </c>
      <c r="AI9801" t="s">
        <v>58676</v>
      </c>
    </row>
    <row r="9802" spans="2:35" ht="180">
      <c r="B9802" s="1">
        <v>44921</v>
      </c>
      <c r="C9802" s="4">
        <v>44921.456250000003</v>
      </c>
      <c r="D9802" t="s">
        <v>58677</v>
      </c>
      <c r="E9802" t="s">
        <v>796</v>
      </c>
      <c r="F9802" t="s">
        <v>148</v>
      </c>
      <c r="G9802" t="s">
        <v>406</v>
      </c>
      <c r="H9802" t="s">
        <v>39</v>
      </c>
      <c r="I9802" t="s">
        <v>40</v>
      </c>
      <c r="J9802" s="2" t="s">
        <v>41</v>
      </c>
      <c r="K9802" t="s">
        <v>42</v>
      </c>
      <c r="Q9802">
        <v>22790</v>
      </c>
      <c r="R9802" t="s">
        <v>45</v>
      </c>
      <c r="S9802" t="s">
        <v>32878</v>
      </c>
      <c r="T9802">
        <v>25</v>
      </c>
      <c r="U9802" s="2" t="s">
        <v>58678</v>
      </c>
      <c r="V9802" s="1">
        <v>44914</v>
      </c>
      <c r="W9802" t="s">
        <v>58679</v>
      </c>
      <c r="X9802">
        <v>807452</v>
      </c>
      <c r="Y9802" t="s">
        <v>8731</v>
      </c>
      <c r="Z9802" t="s">
        <v>179</v>
      </c>
      <c r="AA9802" s="2" t="s">
        <v>40689</v>
      </c>
      <c r="AB9802" t="s">
        <v>88</v>
      </c>
      <c r="AC9802" t="s">
        <v>58680</v>
      </c>
      <c r="AD9802" s="2" t="s">
        <v>58681</v>
      </c>
      <c r="AE9802" t="s">
        <v>58682</v>
      </c>
      <c r="AF9802" t="s">
        <v>43</v>
      </c>
      <c r="AG9802" t="s">
        <v>58683</v>
      </c>
      <c r="AH9802" t="s">
        <v>2362</v>
      </c>
      <c r="AI9802" t="s">
        <v>58684</v>
      </c>
    </row>
    <row r="9803" spans="2:35">
      <c r="B9803" s="1">
        <v>44918</v>
      </c>
      <c r="C9803" s="4">
        <v>44918.729861111111</v>
      </c>
      <c r="D9803" t="s">
        <v>3679</v>
      </c>
      <c r="E9803" t="s">
        <v>46198</v>
      </c>
      <c r="F9803" t="s">
        <v>148</v>
      </c>
      <c r="G9803" t="s">
        <v>447</v>
      </c>
      <c r="H9803" t="s">
        <v>58685</v>
      </c>
      <c r="I9803" t="s">
        <v>40</v>
      </c>
      <c r="J9803" t="s">
        <v>79</v>
      </c>
      <c r="K9803" t="s">
        <v>387</v>
      </c>
      <c r="Q9803">
        <v>22789</v>
      </c>
      <c r="R9803" t="s">
        <v>95</v>
      </c>
      <c r="S9803" t="s">
        <v>58686</v>
      </c>
      <c r="T9803">
        <v>28</v>
      </c>
      <c r="V9803" s="1">
        <v>44916</v>
      </c>
      <c r="W9803" t="s">
        <v>390</v>
      </c>
      <c r="X9803" t="s">
        <v>46492</v>
      </c>
      <c r="Y9803" t="s">
        <v>2789</v>
      </c>
      <c r="Z9803" t="s">
        <v>38785</v>
      </c>
      <c r="AA9803" t="s">
        <v>58687</v>
      </c>
      <c r="AB9803" t="s">
        <v>88</v>
      </c>
      <c r="AC9803" t="s">
        <v>301</v>
      </c>
      <c r="AD9803" t="s">
        <v>28469</v>
      </c>
      <c r="AE9803" t="s">
        <v>58688</v>
      </c>
      <c r="AF9803" t="s">
        <v>80</v>
      </c>
      <c r="AG9803" t="s">
        <v>58689</v>
      </c>
      <c r="AH9803" t="s">
        <v>58690</v>
      </c>
      <c r="AI9803" t="s">
        <v>58691</v>
      </c>
    </row>
    <row r="9804" spans="2:35" ht="360">
      <c r="B9804" s="1">
        <v>44918</v>
      </c>
      <c r="C9804" s="4">
        <v>44918.581250000003</v>
      </c>
      <c r="D9804" t="s">
        <v>45903</v>
      </c>
      <c r="E9804" t="s">
        <v>15186</v>
      </c>
      <c r="F9804">
        <v>3</v>
      </c>
      <c r="G9804" t="s">
        <v>284</v>
      </c>
      <c r="H9804" t="s">
        <v>22288</v>
      </c>
      <c r="I9804" t="s">
        <v>40</v>
      </c>
      <c r="J9804" s="2" t="s">
        <v>41</v>
      </c>
      <c r="K9804" t="s">
        <v>42</v>
      </c>
      <c r="Q9804">
        <v>22788</v>
      </c>
      <c r="R9804" t="s">
        <v>45</v>
      </c>
      <c r="S9804" t="s">
        <v>58692</v>
      </c>
      <c r="T9804">
        <v>27.65</v>
      </c>
      <c r="U9804" s="2" t="s">
        <v>58693</v>
      </c>
      <c r="V9804" s="1">
        <v>44915</v>
      </c>
      <c r="W9804" t="s">
        <v>2680</v>
      </c>
      <c r="X9804">
        <v>805124</v>
      </c>
      <c r="Y9804" t="s">
        <v>58694</v>
      </c>
      <c r="Z9804" s="2" t="s">
        <v>58695</v>
      </c>
      <c r="AA9804" t="s">
        <v>55818</v>
      </c>
      <c r="AB9804" t="s">
        <v>181</v>
      </c>
      <c r="AD9804" s="2" t="s">
        <v>58696</v>
      </c>
      <c r="AE9804" t="s">
        <v>58697</v>
      </c>
      <c r="AF9804" t="s">
        <v>135</v>
      </c>
      <c r="AG9804" t="s">
        <v>58698</v>
      </c>
      <c r="AH9804" t="s">
        <v>41639</v>
      </c>
      <c r="AI9804" t="s">
        <v>58699</v>
      </c>
    </row>
    <row r="9805" spans="2:35">
      <c r="B9805" s="1">
        <v>44918</v>
      </c>
      <c r="C9805" s="4">
        <v>44918.586805555555</v>
      </c>
      <c r="D9805" t="s">
        <v>58232</v>
      </c>
      <c r="E9805" t="s">
        <v>58700</v>
      </c>
      <c r="F9805" t="s">
        <v>148</v>
      </c>
      <c r="G9805" t="s">
        <v>2007</v>
      </c>
      <c r="H9805" t="s">
        <v>58701</v>
      </c>
      <c r="I9805" t="s">
        <v>94</v>
      </c>
      <c r="J9805" t="s">
        <v>109</v>
      </c>
      <c r="K9805" t="s">
        <v>408</v>
      </c>
      <c r="P9805" t="s">
        <v>35291</v>
      </c>
      <c r="Q9805">
        <v>22787</v>
      </c>
      <c r="R9805" t="s">
        <v>95</v>
      </c>
      <c r="S9805" t="s">
        <v>16098</v>
      </c>
      <c r="T9805">
        <v>0</v>
      </c>
      <c r="W9805" t="s">
        <v>5480</v>
      </c>
      <c r="X9805">
        <v>797</v>
      </c>
      <c r="Y9805" t="s">
        <v>121</v>
      </c>
      <c r="Z9805" t="s">
        <v>58702</v>
      </c>
      <c r="AA9805" t="s">
        <v>6997</v>
      </c>
      <c r="AB9805" t="s">
        <v>486</v>
      </c>
      <c r="AF9805" t="s">
        <v>448</v>
      </c>
      <c r="AG9805" t="s">
        <v>58703</v>
      </c>
      <c r="AH9805" t="s">
        <v>58704</v>
      </c>
      <c r="AI9805" t="s">
        <v>58705</v>
      </c>
    </row>
    <row r="9806" spans="2:35" ht="180">
      <c r="B9806" s="1">
        <v>44918</v>
      </c>
      <c r="C9806" s="4">
        <v>44918.490972222222</v>
      </c>
      <c r="D9806" t="s">
        <v>26116</v>
      </c>
      <c r="E9806" t="s">
        <v>58706</v>
      </c>
      <c r="F9806">
        <v>3</v>
      </c>
      <c r="G9806" t="s">
        <v>1640</v>
      </c>
      <c r="H9806" t="s">
        <v>58707</v>
      </c>
      <c r="I9806" t="s">
        <v>40</v>
      </c>
      <c r="J9806" t="s">
        <v>109</v>
      </c>
      <c r="K9806" t="s">
        <v>42</v>
      </c>
      <c r="Q9806">
        <v>22786</v>
      </c>
      <c r="R9806" t="s">
        <v>119</v>
      </c>
      <c r="S9806" t="s">
        <v>38116</v>
      </c>
      <c r="T9806">
        <v>30</v>
      </c>
      <c r="U9806" s="2" t="s">
        <v>58708</v>
      </c>
      <c r="V9806" s="1">
        <v>44918</v>
      </c>
      <c r="W9806" t="s">
        <v>26915</v>
      </c>
      <c r="X9806">
        <v>831621</v>
      </c>
      <c r="Y9806" t="s">
        <v>1716</v>
      </c>
      <c r="Z9806" t="s">
        <v>1716</v>
      </c>
      <c r="AA9806" s="2" t="s">
        <v>1727</v>
      </c>
      <c r="AB9806" t="s">
        <v>38198</v>
      </c>
      <c r="AC9806" t="s">
        <v>1716</v>
      </c>
      <c r="AD9806" t="s">
        <v>1716</v>
      </c>
      <c r="AE9806" t="s">
        <v>1716</v>
      </c>
      <c r="AF9806" t="s">
        <v>63</v>
      </c>
      <c r="AG9806" t="s">
        <v>58709</v>
      </c>
      <c r="AH9806" t="s">
        <v>38123</v>
      </c>
      <c r="AI9806" t="s">
        <v>58710</v>
      </c>
    </row>
    <row r="9807" spans="2:35" ht="180">
      <c r="B9807" s="1">
        <v>44918</v>
      </c>
      <c r="C9807" s="4">
        <v>44918.473611111112</v>
      </c>
      <c r="D9807" t="s">
        <v>1607</v>
      </c>
      <c r="E9807" t="s">
        <v>44458</v>
      </c>
      <c r="F9807" t="s">
        <v>148</v>
      </c>
      <c r="G9807" t="s">
        <v>371</v>
      </c>
      <c r="H9807" t="s">
        <v>39</v>
      </c>
      <c r="I9807" t="s">
        <v>40</v>
      </c>
      <c r="J9807" t="s">
        <v>79</v>
      </c>
      <c r="K9807" t="s">
        <v>42</v>
      </c>
      <c r="Q9807">
        <v>22785</v>
      </c>
      <c r="R9807" t="s">
        <v>45</v>
      </c>
      <c r="S9807" t="s">
        <v>47646</v>
      </c>
      <c r="T9807">
        <v>27</v>
      </c>
      <c r="U9807" s="2" t="s">
        <v>58711</v>
      </c>
      <c r="V9807" s="1">
        <v>44914</v>
      </c>
      <c r="W9807" t="s">
        <v>84</v>
      </c>
      <c r="X9807">
        <v>815395</v>
      </c>
      <c r="Y9807" t="s">
        <v>58712</v>
      </c>
      <c r="Z9807" t="s">
        <v>58713</v>
      </c>
      <c r="AA9807" t="e">
        <f ca="1">- generated PRE reports
- replaced B1, B3
- generated post reports
- performed functionality test</f>
        <v>#NAME?</v>
      </c>
      <c r="AB9807" t="s">
        <v>58714</v>
      </c>
      <c r="AC9807" t="s">
        <v>58715</v>
      </c>
      <c r="AD9807" s="2" t="s">
        <v>58716</v>
      </c>
      <c r="AE9807" t="s">
        <v>58717</v>
      </c>
      <c r="AF9807" t="s">
        <v>175</v>
      </c>
      <c r="AG9807" t="s">
        <v>58718</v>
      </c>
      <c r="AH9807" t="s">
        <v>58719</v>
      </c>
      <c r="AI9807" t="s">
        <v>58720</v>
      </c>
    </row>
    <row r="9808" spans="2:35" ht="180">
      <c r="B9808" s="1">
        <v>44918</v>
      </c>
      <c r="C9808" s="4">
        <v>44918.462500000001</v>
      </c>
      <c r="D9808" t="s">
        <v>30751</v>
      </c>
      <c r="E9808" t="s">
        <v>58721</v>
      </c>
      <c r="F9808" t="s">
        <v>37</v>
      </c>
      <c r="G9808" t="s">
        <v>2499</v>
      </c>
      <c r="H9808" t="s">
        <v>39</v>
      </c>
      <c r="I9808" t="s">
        <v>40</v>
      </c>
      <c r="J9808" s="2" t="s">
        <v>41</v>
      </c>
      <c r="K9808" t="s">
        <v>42</v>
      </c>
      <c r="Q9808">
        <v>22784</v>
      </c>
      <c r="R9808" t="s">
        <v>45</v>
      </c>
      <c r="S9808" t="s">
        <v>58722</v>
      </c>
      <c r="T9808">
        <v>22.5</v>
      </c>
      <c r="U9808" s="2" t="s">
        <v>58723</v>
      </c>
      <c r="V9808" s="1">
        <v>44918</v>
      </c>
      <c r="W9808" t="s">
        <v>84</v>
      </c>
      <c r="X9808">
        <v>838899</v>
      </c>
      <c r="Y9808" t="s">
        <v>58724</v>
      </c>
      <c r="Z9808" t="s">
        <v>58725</v>
      </c>
      <c r="AA9808" t="s">
        <v>58726</v>
      </c>
      <c r="AB9808" t="s">
        <v>1188</v>
      </c>
      <c r="AC9808" t="s">
        <v>301</v>
      </c>
      <c r="AD9808" t="s">
        <v>58727</v>
      </c>
      <c r="AE9808" t="s">
        <v>301</v>
      </c>
      <c r="AF9808" t="s">
        <v>38091</v>
      </c>
      <c r="AG9808" t="s">
        <v>58728</v>
      </c>
      <c r="AH9808" t="s">
        <v>58729</v>
      </c>
      <c r="AI9808" t="s">
        <v>58730</v>
      </c>
    </row>
    <row r="9809" spans="2:35" ht="180">
      <c r="B9809" s="1">
        <v>44918</v>
      </c>
      <c r="C9809" s="4">
        <v>44918.434027777781</v>
      </c>
      <c r="D9809" t="s">
        <v>26058</v>
      </c>
      <c r="E9809" t="s">
        <v>26059</v>
      </c>
      <c r="F9809" t="s">
        <v>148</v>
      </c>
      <c r="G9809" t="s">
        <v>371</v>
      </c>
      <c r="H9809" t="s">
        <v>39</v>
      </c>
      <c r="I9809" t="s">
        <v>40</v>
      </c>
      <c r="J9809" s="2" t="s">
        <v>1808</v>
      </c>
      <c r="K9809" t="s">
        <v>42</v>
      </c>
      <c r="Q9809">
        <v>22783</v>
      </c>
      <c r="R9809" t="s">
        <v>45</v>
      </c>
      <c r="S9809" t="s">
        <v>26060</v>
      </c>
      <c r="T9809">
        <v>27</v>
      </c>
      <c r="U9809" s="2" t="s">
        <v>58731</v>
      </c>
      <c r="W9809" t="s">
        <v>84</v>
      </c>
      <c r="X9809">
        <v>838856</v>
      </c>
      <c r="Y9809" t="s">
        <v>8338</v>
      </c>
      <c r="Z9809" t="s">
        <v>6430</v>
      </c>
      <c r="AA9809" t="e">
        <f ca="1">- installed Unit
- generated reports
- performed functionality test</f>
        <v>#NAME?</v>
      </c>
      <c r="AB9809" t="s">
        <v>31229</v>
      </c>
      <c r="AC9809" t="s">
        <v>58732</v>
      </c>
      <c r="AF9809" t="s">
        <v>175</v>
      </c>
      <c r="AG9809" t="s">
        <v>58733</v>
      </c>
      <c r="AH9809" t="s">
        <v>58734</v>
      </c>
      <c r="AI9809" t="s">
        <v>58735</v>
      </c>
    </row>
    <row r="9810" spans="2:35" ht="315">
      <c r="B9810" s="1">
        <v>44918</v>
      </c>
      <c r="C9810" s="4">
        <v>44918.415277777778</v>
      </c>
      <c r="D9810" t="s">
        <v>40257</v>
      </c>
      <c r="E9810" t="s">
        <v>40258</v>
      </c>
      <c r="F9810">
        <v>8</v>
      </c>
      <c r="G9810" t="s">
        <v>342</v>
      </c>
      <c r="H9810" t="s">
        <v>202</v>
      </c>
      <c r="I9810" t="s">
        <v>94</v>
      </c>
      <c r="J9810" s="2" t="s">
        <v>41</v>
      </c>
      <c r="K9810" t="s">
        <v>42</v>
      </c>
      <c r="Q9810">
        <v>22782</v>
      </c>
      <c r="R9810" t="s">
        <v>45</v>
      </c>
      <c r="S9810" t="s">
        <v>58736</v>
      </c>
      <c r="T9810">
        <v>27</v>
      </c>
      <c r="U9810" s="2" t="s">
        <v>58737</v>
      </c>
      <c r="V9810" s="1">
        <v>44918</v>
      </c>
      <c r="W9810" t="s">
        <v>6105</v>
      </c>
      <c r="X9810">
        <v>807619</v>
      </c>
      <c r="Y9810" t="s">
        <v>58738</v>
      </c>
      <c r="Z9810" t="s">
        <v>58739</v>
      </c>
      <c r="AA9810" s="2" t="s">
        <v>58740</v>
      </c>
      <c r="AB9810" t="s">
        <v>58741</v>
      </c>
      <c r="AC9810" t="s">
        <v>58742</v>
      </c>
      <c r="AD9810" t="s">
        <v>10783</v>
      </c>
      <c r="AE9810" t="s">
        <v>58743</v>
      </c>
      <c r="AF9810" t="s">
        <v>259</v>
      </c>
      <c r="AG9810" t="s">
        <v>58744</v>
      </c>
      <c r="AH9810" t="s">
        <v>58745</v>
      </c>
      <c r="AI9810" t="s">
        <v>58746</v>
      </c>
    </row>
    <row r="9811" spans="2:35" ht="210">
      <c r="B9811" s="1">
        <v>44918</v>
      </c>
      <c r="C9811" s="4">
        <v>44916.495138888888</v>
      </c>
      <c r="D9811" t="s">
        <v>30657</v>
      </c>
      <c r="E9811" t="s">
        <v>58747</v>
      </c>
      <c r="F9811" t="s">
        <v>37</v>
      </c>
      <c r="G9811" t="s">
        <v>748</v>
      </c>
      <c r="H9811" t="s">
        <v>39</v>
      </c>
      <c r="I9811" t="s">
        <v>40</v>
      </c>
      <c r="J9811" s="2" t="s">
        <v>41</v>
      </c>
      <c r="K9811" t="s">
        <v>42</v>
      </c>
      <c r="Q9811">
        <v>22780</v>
      </c>
      <c r="R9811" t="s">
        <v>45</v>
      </c>
      <c r="S9811" t="s">
        <v>58748</v>
      </c>
      <c r="T9811">
        <v>28</v>
      </c>
      <c r="U9811" s="2" t="s">
        <v>58749</v>
      </c>
      <c r="V9811" s="1">
        <v>44914</v>
      </c>
      <c r="W9811" t="s">
        <v>2680</v>
      </c>
      <c r="X9811">
        <v>814168</v>
      </c>
      <c r="Y9811" t="s">
        <v>58750</v>
      </c>
      <c r="Z9811" t="s">
        <v>4789</v>
      </c>
      <c r="AA9811" s="2" t="s">
        <v>58751</v>
      </c>
      <c r="AB9811" t="s">
        <v>58752</v>
      </c>
      <c r="AD9811" t="s">
        <v>10783</v>
      </c>
      <c r="AE9811" t="s">
        <v>58753</v>
      </c>
      <c r="AF9811" t="s">
        <v>1028</v>
      </c>
      <c r="AG9811" t="s">
        <v>58754</v>
      </c>
      <c r="AH9811" t="s">
        <v>30663</v>
      </c>
      <c r="AI9811" t="s">
        <v>58755</v>
      </c>
    </row>
    <row r="9812" spans="2:35" ht="180">
      <c r="B9812" s="1">
        <v>44918</v>
      </c>
      <c r="C9812" s="4">
        <v>44917.447916666664</v>
      </c>
      <c r="D9812" t="s">
        <v>30233</v>
      </c>
      <c r="E9812" t="s">
        <v>58756</v>
      </c>
      <c r="F9812" t="s">
        <v>37</v>
      </c>
      <c r="G9812" t="s">
        <v>748</v>
      </c>
      <c r="H9812" t="s">
        <v>39</v>
      </c>
      <c r="I9812" t="s">
        <v>40</v>
      </c>
      <c r="J9812" s="2" t="s">
        <v>41</v>
      </c>
      <c r="K9812" t="s">
        <v>42</v>
      </c>
      <c r="Q9812">
        <v>22781</v>
      </c>
      <c r="R9812" t="s">
        <v>45</v>
      </c>
      <c r="S9812" t="s">
        <v>37309</v>
      </c>
      <c r="T9812">
        <v>28</v>
      </c>
      <c r="U9812" s="2" t="s">
        <v>58757</v>
      </c>
      <c r="V9812" s="1">
        <v>44914</v>
      </c>
      <c r="W9812" t="s">
        <v>2680</v>
      </c>
      <c r="X9812">
        <v>812835</v>
      </c>
      <c r="Y9812" t="s">
        <v>58750</v>
      </c>
      <c r="Z9812" t="s">
        <v>5712</v>
      </c>
      <c r="AA9812" s="2" t="s">
        <v>58758</v>
      </c>
      <c r="AB9812" t="s">
        <v>48040</v>
      </c>
      <c r="AD9812" t="s">
        <v>56359</v>
      </c>
      <c r="AE9812" t="s">
        <v>58759</v>
      </c>
      <c r="AF9812" t="s">
        <v>1028</v>
      </c>
      <c r="AG9812" t="s">
        <v>58760</v>
      </c>
      <c r="AH9812" t="s">
        <v>37313</v>
      </c>
      <c r="AI9812" t="s">
        <v>58761</v>
      </c>
    </row>
    <row r="9813" spans="2:35" ht="285">
      <c r="B9813" s="1">
        <v>44918</v>
      </c>
      <c r="C9813" s="4">
        <v>44918.392361111109</v>
      </c>
      <c r="D9813" t="s">
        <v>2437</v>
      </c>
      <c r="E9813" t="s">
        <v>58762</v>
      </c>
      <c r="F9813" t="s">
        <v>37</v>
      </c>
      <c r="G9813" t="s">
        <v>748</v>
      </c>
      <c r="H9813" t="s">
        <v>39</v>
      </c>
      <c r="I9813" t="s">
        <v>40</v>
      </c>
      <c r="J9813" s="2" t="s">
        <v>41</v>
      </c>
      <c r="K9813" t="s">
        <v>42</v>
      </c>
      <c r="Q9813">
        <v>22777</v>
      </c>
      <c r="R9813" t="s">
        <v>45</v>
      </c>
      <c r="S9813" t="s">
        <v>2439</v>
      </c>
      <c r="T9813">
        <v>26</v>
      </c>
      <c r="U9813" s="2" t="s">
        <v>58763</v>
      </c>
      <c r="V9813" s="1">
        <v>44914</v>
      </c>
      <c r="W9813" t="s">
        <v>36116</v>
      </c>
      <c r="X9813">
        <v>802860</v>
      </c>
      <c r="Y9813" t="s">
        <v>35729</v>
      </c>
      <c r="Z9813" t="s">
        <v>4789</v>
      </c>
      <c r="AA9813" s="2" t="s">
        <v>58764</v>
      </c>
      <c r="AB9813" t="s">
        <v>58765</v>
      </c>
      <c r="AD9813" t="s">
        <v>58766</v>
      </c>
      <c r="AE9813" t="s">
        <v>58767</v>
      </c>
      <c r="AF9813" t="s">
        <v>57018</v>
      </c>
      <c r="AG9813" t="s">
        <v>58768</v>
      </c>
      <c r="AH9813" t="s">
        <v>36119</v>
      </c>
      <c r="AI9813" t="s">
        <v>58769</v>
      </c>
    </row>
    <row r="9814" spans="2:35" ht="255">
      <c r="B9814" s="1">
        <v>44918</v>
      </c>
      <c r="C9814" s="4">
        <v>44915.636805555558</v>
      </c>
      <c r="D9814" t="s">
        <v>34781</v>
      </c>
      <c r="E9814" t="s">
        <v>58770</v>
      </c>
      <c r="F9814" t="s">
        <v>148</v>
      </c>
      <c r="G9814" t="s">
        <v>774</v>
      </c>
      <c r="H9814" t="s">
        <v>39</v>
      </c>
      <c r="I9814" t="s">
        <v>40</v>
      </c>
      <c r="J9814" t="s">
        <v>109</v>
      </c>
      <c r="K9814" t="s">
        <v>42</v>
      </c>
      <c r="Q9814">
        <v>22778</v>
      </c>
      <c r="R9814" t="s">
        <v>45</v>
      </c>
      <c r="S9814" t="s">
        <v>36124</v>
      </c>
      <c r="T9814">
        <v>28</v>
      </c>
      <c r="U9814" s="2" t="s">
        <v>58771</v>
      </c>
      <c r="W9814" t="s">
        <v>2680</v>
      </c>
      <c r="X9814">
        <v>834690</v>
      </c>
      <c r="Y9814" t="s">
        <v>11545</v>
      </c>
      <c r="Z9814" t="s">
        <v>40723</v>
      </c>
      <c r="AA9814" s="2" t="s">
        <v>58772</v>
      </c>
      <c r="AB9814" t="s">
        <v>1263</v>
      </c>
      <c r="AF9814" t="s">
        <v>1028</v>
      </c>
      <c r="AG9814" t="s">
        <v>58773</v>
      </c>
      <c r="AH9814" t="s">
        <v>58774</v>
      </c>
      <c r="AI9814" t="s">
        <v>58775</v>
      </c>
    </row>
    <row r="9815" spans="2:35" ht="285">
      <c r="B9815" s="1">
        <v>44918</v>
      </c>
      <c r="C9815" s="4">
        <v>44916.567361111112</v>
      </c>
      <c r="D9815" t="s">
        <v>31460</v>
      </c>
      <c r="E9815" t="s">
        <v>58776</v>
      </c>
      <c r="F9815" t="s">
        <v>37</v>
      </c>
      <c r="G9815" t="s">
        <v>748</v>
      </c>
      <c r="H9815" t="s">
        <v>39</v>
      </c>
      <c r="I9815" t="s">
        <v>40</v>
      </c>
      <c r="J9815" s="2" t="s">
        <v>41</v>
      </c>
      <c r="K9815" t="s">
        <v>42</v>
      </c>
      <c r="Q9815">
        <v>22779</v>
      </c>
      <c r="R9815" t="s">
        <v>45</v>
      </c>
      <c r="S9815" t="s">
        <v>31462</v>
      </c>
      <c r="T9815">
        <v>25</v>
      </c>
      <c r="U9815" s="2" t="s">
        <v>58777</v>
      </c>
      <c r="V9815" s="1">
        <v>44914</v>
      </c>
      <c r="W9815" t="s">
        <v>2680</v>
      </c>
      <c r="X9815">
        <v>838893</v>
      </c>
      <c r="Y9815" t="s">
        <v>58750</v>
      </c>
      <c r="Z9815" t="s">
        <v>58778</v>
      </c>
      <c r="AA9815" s="2" t="s">
        <v>58779</v>
      </c>
      <c r="AB9815" t="s">
        <v>1263</v>
      </c>
      <c r="AD9815" t="s">
        <v>10783</v>
      </c>
      <c r="AE9815" t="s">
        <v>58780</v>
      </c>
      <c r="AF9815" t="s">
        <v>57018</v>
      </c>
      <c r="AG9815" t="s">
        <v>58781</v>
      </c>
      <c r="AH9815" t="s">
        <v>31468</v>
      </c>
      <c r="AI9815" t="s">
        <v>58782</v>
      </c>
    </row>
    <row r="9816" spans="2:35" ht="180">
      <c r="B9816" s="1">
        <v>44917</v>
      </c>
      <c r="C9816" s="4">
        <v>44917.633333333331</v>
      </c>
      <c r="D9816" t="s">
        <v>4112</v>
      </c>
      <c r="E9816" t="s">
        <v>4076</v>
      </c>
      <c r="F9816">
        <v>5</v>
      </c>
      <c r="G9816" t="s">
        <v>814</v>
      </c>
      <c r="H9816" t="s">
        <v>1047</v>
      </c>
      <c r="I9816" t="s">
        <v>40</v>
      </c>
      <c r="J9816" s="2" t="s">
        <v>2170</v>
      </c>
      <c r="K9816" t="s">
        <v>42</v>
      </c>
      <c r="Q9816">
        <v>22776</v>
      </c>
      <c r="R9816" t="s">
        <v>45</v>
      </c>
      <c r="S9816" t="s">
        <v>31206</v>
      </c>
      <c r="T9816">
        <v>22</v>
      </c>
      <c r="U9816" s="2" t="s">
        <v>58783</v>
      </c>
      <c r="V9816" s="1">
        <v>44907</v>
      </c>
      <c r="W9816" t="s">
        <v>84</v>
      </c>
      <c r="X9816">
        <v>835213</v>
      </c>
      <c r="Y9816" t="s">
        <v>2034</v>
      </c>
      <c r="Z9816" t="s">
        <v>58784</v>
      </c>
      <c r="AA9816" t="s">
        <v>58785</v>
      </c>
      <c r="AB9816" t="s">
        <v>58786</v>
      </c>
      <c r="AD9816" t="s">
        <v>58787</v>
      </c>
      <c r="AE9816" t="s">
        <v>58788</v>
      </c>
      <c r="AF9816" t="s">
        <v>857</v>
      </c>
      <c r="AG9816" t="s">
        <v>58789</v>
      </c>
      <c r="AH9816" t="s">
        <v>58790</v>
      </c>
      <c r="AI9816" t="s">
        <v>58791</v>
      </c>
    </row>
    <row r="9817" spans="2:35" ht="345">
      <c r="B9817" s="1">
        <v>44917</v>
      </c>
      <c r="C9817" s="4">
        <v>44917.584722222222</v>
      </c>
      <c r="D9817" t="s">
        <v>2608</v>
      </c>
      <c r="E9817" t="s">
        <v>58792</v>
      </c>
      <c r="F9817">
        <v>1</v>
      </c>
      <c r="G9817" t="s">
        <v>2599</v>
      </c>
      <c r="H9817" t="s">
        <v>39</v>
      </c>
      <c r="I9817" t="s">
        <v>40</v>
      </c>
      <c r="J9817" t="s">
        <v>109</v>
      </c>
      <c r="K9817" t="s">
        <v>42</v>
      </c>
      <c r="Q9817">
        <v>22775</v>
      </c>
      <c r="R9817" t="s">
        <v>119</v>
      </c>
      <c r="S9817" t="s">
        <v>6402</v>
      </c>
      <c r="T9817">
        <v>24.3</v>
      </c>
      <c r="U9817" s="2" t="s">
        <v>58793</v>
      </c>
      <c r="W9817" t="s">
        <v>1139</v>
      </c>
      <c r="X9817">
        <v>831908</v>
      </c>
      <c r="Y9817" t="s">
        <v>33606</v>
      </c>
      <c r="Z9817" t="s">
        <v>3128</v>
      </c>
      <c r="AA9817" s="2" t="s">
        <v>56640</v>
      </c>
      <c r="AB9817" t="s">
        <v>181</v>
      </c>
      <c r="AF9817" t="s">
        <v>55932</v>
      </c>
      <c r="AG9817" t="s">
        <v>58794</v>
      </c>
      <c r="AH9817" t="s">
        <v>58795</v>
      </c>
      <c r="AI9817" t="s">
        <v>58796</v>
      </c>
    </row>
    <row r="9818" spans="2:35" ht="345">
      <c r="B9818" s="1">
        <v>44917</v>
      </c>
      <c r="C9818" s="4">
        <v>44917.578472222223</v>
      </c>
      <c r="D9818" t="s">
        <v>2608</v>
      </c>
      <c r="E9818" t="s">
        <v>58797</v>
      </c>
      <c r="F9818">
        <v>1</v>
      </c>
      <c r="G9818" t="s">
        <v>2599</v>
      </c>
      <c r="H9818" t="s">
        <v>39</v>
      </c>
      <c r="I9818" t="s">
        <v>40</v>
      </c>
      <c r="J9818" s="2" t="s">
        <v>41</v>
      </c>
      <c r="K9818" t="s">
        <v>42</v>
      </c>
      <c r="Q9818">
        <v>22774</v>
      </c>
      <c r="R9818" t="s">
        <v>45</v>
      </c>
      <c r="S9818" t="s">
        <v>6402</v>
      </c>
      <c r="T9818">
        <v>23.4</v>
      </c>
      <c r="U9818" s="2" t="s">
        <v>58798</v>
      </c>
      <c r="W9818" t="s">
        <v>1139</v>
      </c>
      <c r="X9818">
        <v>838168</v>
      </c>
      <c r="Y9818" t="s">
        <v>56217</v>
      </c>
      <c r="Z9818" t="s">
        <v>2129</v>
      </c>
      <c r="AA9818" s="2" t="s">
        <v>58799</v>
      </c>
      <c r="AB9818" t="s">
        <v>58800</v>
      </c>
      <c r="AF9818" t="s">
        <v>56616</v>
      </c>
      <c r="AG9818" t="s">
        <v>58801</v>
      </c>
      <c r="AH9818" t="s">
        <v>58795</v>
      </c>
      <c r="AI9818" t="s">
        <v>58802</v>
      </c>
    </row>
    <row r="9819" spans="2:35" ht="180">
      <c r="B9819" s="1">
        <v>44917</v>
      </c>
      <c r="C9819" s="4">
        <v>44917.588194444441</v>
      </c>
      <c r="D9819" t="s">
        <v>47993</v>
      </c>
      <c r="E9819" t="s">
        <v>2678</v>
      </c>
      <c r="F9819">
        <v>3</v>
      </c>
      <c r="G9819" t="s">
        <v>134</v>
      </c>
      <c r="H9819" t="s">
        <v>39</v>
      </c>
      <c r="I9819" t="s">
        <v>40</v>
      </c>
      <c r="J9819" s="2" t="s">
        <v>41</v>
      </c>
      <c r="K9819" t="s">
        <v>42</v>
      </c>
      <c r="Q9819">
        <v>22773</v>
      </c>
      <c r="R9819" t="s">
        <v>45</v>
      </c>
      <c r="S9819" t="s">
        <v>2679</v>
      </c>
      <c r="T9819">
        <v>28.2</v>
      </c>
      <c r="U9819" s="2" t="s">
        <v>58803</v>
      </c>
      <c r="W9819" t="s">
        <v>2680</v>
      </c>
      <c r="X9819">
        <v>812834</v>
      </c>
      <c r="Y9819" t="s">
        <v>58804</v>
      </c>
      <c r="Z9819" t="e">
        <f ca="1">-performed surface Cleaning
-performed Cleaning of cartridge bay,icore,plunger rod _xludf.and _xludf.filter
-Generate reports
-archived test results
-replaced defective module
-performed functionality test</f>
        <v>#NAME?</v>
      </c>
      <c r="AA9819" t="s">
        <v>55818</v>
      </c>
      <c r="AB9819" t="s">
        <v>181</v>
      </c>
      <c r="AF9819" t="s">
        <v>135</v>
      </c>
      <c r="AG9819" t="s">
        <v>58805</v>
      </c>
      <c r="AH9819" t="s">
        <v>2686</v>
      </c>
      <c r="AI9819" t="s">
        <v>58806</v>
      </c>
    </row>
    <row r="9820" spans="2:35" ht="210">
      <c r="B9820" s="1">
        <v>44917</v>
      </c>
      <c r="C9820" s="4">
        <v>44917.561111111114</v>
      </c>
      <c r="D9820" t="s">
        <v>44579</v>
      </c>
      <c r="E9820" t="s">
        <v>58807</v>
      </c>
      <c r="F9820">
        <v>10</v>
      </c>
      <c r="G9820" t="s">
        <v>8359</v>
      </c>
      <c r="H9820" t="s">
        <v>39</v>
      </c>
      <c r="I9820" t="s">
        <v>94</v>
      </c>
      <c r="J9820" t="s">
        <v>2129</v>
      </c>
      <c r="K9820" t="s">
        <v>42</v>
      </c>
      <c r="Q9820">
        <v>22772</v>
      </c>
      <c r="R9820" t="s">
        <v>45</v>
      </c>
      <c r="S9820" t="s">
        <v>58808</v>
      </c>
      <c r="T9820">
        <v>29</v>
      </c>
      <c r="U9820" s="2" t="s">
        <v>58809</v>
      </c>
      <c r="W9820" t="s">
        <v>43102</v>
      </c>
      <c r="X9820">
        <v>804708</v>
      </c>
      <c r="Y9820" t="s">
        <v>58810</v>
      </c>
      <c r="Z9820" t="s">
        <v>2129</v>
      </c>
      <c r="AA9820" s="2" t="s">
        <v>58811</v>
      </c>
      <c r="AB9820" t="s">
        <v>486</v>
      </c>
      <c r="AF9820" t="s">
        <v>43100</v>
      </c>
      <c r="AG9820" t="s">
        <v>58812</v>
      </c>
      <c r="AH9820" t="s">
        <v>44586</v>
      </c>
      <c r="AI9820" t="s">
        <v>58813</v>
      </c>
    </row>
    <row r="9821" spans="2:35" ht="60">
      <c r="B9821" s="1">
        <v>44917</v>
      </c>
      <c r="C9821" s="4">
        <v>44917.531944444447</v>
      </c>
      <c r="D9821" t="s">
        <v>1155</v>
      </c>
      <c r="E9821" t="s">
        <v>58814</v>
      </c>
      <c r="F9821" t="s">
        <v>148</v>
      </c>
      <c r="G9821" t="s">
        <v>230</v>
      </c>
      <c r="H9821" t="s">
        <v>39</v>
      </c>
      <c r="I9821" t="s">
        <v>40</v>
      </c>
      <c r="J9821" s="2" t="s">
        <v>62</v>
      </c>
      <c r="K9821" t="s">
        <v>2629</v>
      </c>
      <c r="Q9821">
        <v>22771</v>
      </c>
      <c r="R9821" t="s">
        <v>95</v>
      </c>
      <c r="S9821" t="s">
        <v>1159</v>
      </c>
      <c r="T9821">
        <v>25</v>
      </c>
      <c r="W9821" t="s">
        <v>18040</v>
      </c>
      <c r="X9821">
        <v>3134003748</v>
      </c>
      <c r="Y9821" t="s">
        <v>50967</v>
      </c>
      <c r="Z9821" t="s">
        <v>58815</v>
      </c>
      <c r="AA9821" t="e">
        <f ca="1">- Cleaning microscope body, condenser lens, objectives
- performed functionality test</f>
        <v>#NAME?</v>
      </c>
      <c r="AB9821" t="s">
        <v>181</v>
      </c>
      <c r="AC9821" t="s">
        <v>58816</v>
      </c>
      <c r="AF9821" t="s">
        <v>58817</v>
      </c>
      <c r="AG9821" t="s">
        <v>58818</v>
      </c>
      <c r="AH9821" t="s">
        <v>58819</v>
      </c>
      <c r="AI9821" t="s">
        <v>58820</v>
      </c>
    </row>
    <row r="9822" spans="2:35" ht="60">
      <c r="B9822" s="1">
        <v>44917</v>
      </c>
      <c r="C9822" s="4">
        <v>44917.531944444447</v>
      </c>
      <c r="D9822" t="s">
        <v>1155</v>
      </c>
      <c r="E9822" t="s">
        <v>58814</v>
      </c>
      <c r="F9822" t="s">
        <v>148</v>
      </c>
      <c r="G9822" t="s">
        <v>230</v>
      </c>
      <c r="H9822" t="s">
        <v>39</v>
      </c>
      <c r="I9822" t="s">
        <v>40</v>
      </c>
      <c r="J9822" s="2" t="s">
        <v>62</v>
      </c>
      <c r="K9822" t="s">
        <v>2629</v>
      </c>
      <c r="Q9822">
        <v>22770</v>
      </c>
      <c r="R9822" t="s">
        <v>95</v>
      </c>
      <c r="S9822" t="s">
        <v>1159</v>
      </c>
      <c r="T9822">
        <v>25</v>
      </c>
      <c r="W9822" t="s">
        <v>18040</v>
      </c>
      <c r="X9822">
        <v>3134003748</v>
      </c>
      <c r="Y9822" t="s">
        <v>50967</v>
      </c>
      <c r="Z9822" t="s">
        <v>58815</v>
      </c>
      <c r="AA9822" t="e">
        <f ca="1">- Cleaning microscope body, condenser lens, objectives
- performed functionality test</f>
        <v>#NAME?</v>
      </c>
      <c r="AB9822" t="s">
        <v>181</v>
      </c>
      <c r="AC9822" t="s">
        <v>58816</v>
      </c>
      <c r="AF9822" t="s">
        <v>58817</v>
      </c>
      <c r="AG9822" t="s">
        <v>58821</v>
      </c>
      <c r="AH9822" t="s">
        <v>58819</v>
      </c>
      <c r="AI9822" t="s">
        <v>58822</v>
      </c>
    </row>
    <row r="9823" spans="2:35" ht="180">
      <c r="B9823" s="1">
        <v>44917</v>
      </c>
      <c r="C9823" s="4">
        <v>44916.519444444442</v>
      </c>
      <c r="D9823" t="s">
        <v>58823</v>
      </c>
      <c r="E9823" t="s">
        <v>58824</v>
      </c>
      <c r="F9823" t="s">
        <v>37</v>
      </c>
      <c r="G9823" t="s">
        <v>78</v>
      </c>
      <c r="H9823" t="s">
        <v>58825</v>
      </c>
      <c r="I9823" t="s">
        <v>40</v>
      </c>
      <c r="J9823" s="2" t="s">
        <v>41</v>
      </c>
      <c r="K9823" t="s">
        <v>42</v>
      </c>
      <c r="Q9823">
        <v>22769</v>
      </c>
      <c r="R9823" t="s">
        <v>45</v>
      </c>
      <c r="S9823" t="s">
        <v>58826</v>
      </c>
      <c r="T9823">
        <v>28</v>
      </c>
      <c r="U9823" s="2" t="s">
        <v>58827</v>
      </c>
      <c r="V9823" s="1">
        <v>44914</v>
      </c>
      <c r="W9823" t="s">
        <v>84</v>
      </c>
      <c r="X9823">
        <v>814156</v>
      </c>
      <c r="Y9823" s="2" t="s">
        <v>58828</v>
      </c>
      <c r="Z9823" s="2" t="s">
        <v>58829</v>
      </c>
      <c r="AA9823" t="s">
        <v>58830</v>
      </c>
      <c r="AB9823" t="s">
        <v>58831</v>
      </c>
      <c r="AD9823" t="s">
        <v>58832</v>
      </c>
      <c r="AE9823" t="s">
        <v>58833</v>
      </c>
      <c r="AF9823" t="s">
        <v>1943</v>
      </c>
      <c r="AG9823" t="s">
        <v>58834</v>
      </c>
      <c r="AH9823" t="s">
        <v>58835</v>
      </c>
      <c r="AI9823" t="s">
        <v>58836</v>
      </c>
    </row>
    <row r="9824" spans="2:35" ht="285">
      <c r="B9824" s="1">
        <v>44917</v>
      </c>
      <c r="C9824" s="4">
        <v>44917.487500000003</v>
      </c>
      <c r="D9824" t="s">
        <v>1343</v>
      </c>
      <c r="E9824" t="s">
        <v>50116</v>
      </c>
      <c r="F9824">
        <v>8</v>
      </c>
      <c r="G9824" t="s">
        <v>342</v>
      </c>
      <c r="H9824" t="s">
        <v>39</v>
      </c>
      <c r="I9824" t="s">
        <v>94</v>
      </c>
      <c r="J9824" s="2" t="s">
        <v>41</v>
      </c>
      <c r="K9824" t="s">
        <v>42</v>
      </c>
      <c r="Q9824">
        <v>22768</v>
      </c>
      <c r="R9824" t="s">
        <v>45</v>
      </c>
      <c r="S9824" t="s">
        <v>58837</v>
      </c>
      <c r="T9824">
        <v>28</v>
      </c>
      <c r="U9824" s="2" t="s">
        <v>58838</v>
      </c>
      <c r="V9824" s="1">
        <v>44917</v>
      </c>
      <c r="W9824" t="s">
        <v>58839</v>
      </c>
      <c r="X9824">
        <v>815267</v>
      </c>
      <c r="Y9824" t="e">
        <f ca="1">-_xludf.For module Replacement (B4)</f>
        <v>#NAME?</v>
      </c>
      <c r="Z9824" t="e">
        <f ca="1">-module Replacement
-Preventive Maintenance</f>
        <v>#NAME?</v>
      </c>
      <c r="AA9824" s="2" t="s">
        <v>58840</v>
      </c>
      <c r="AB9824" t="s">
        <v>58841</v>
      </c>
      <c r="AD9824" t="s">
        <v>10783</v>
      </c>
      <c r="AE9824" t="s">
        <v>58842</v>
      </c>
      <c r="AF9824" t="s">
        <v>259</v>
      </c>
      <c r="AG9824" t="s">
        <v>58843</v>
      </c>
      <c r="AH9824" t="s">
        <v>58844</v>
      </c>
      <c r="AI9824" t="s">
        <v>58845</v>
      </c>
    </row>
    <row r="9825" spans="2:35" ht="409.5">
      <c r="B9825" s="1">
        <v>44917</v>
      </c>
      <c r="C9825" s="4">
        <v>44915.607638888891</v>
      </c>
      <c r="D9825" t="s">
        <v>1533</v>
      </c>
      <c r="E9825" t="s">
        <v>1534</v>
      </c>
      <c r="F9825">
        <v>8</v>
      </c>
      <c r="G9825" t="s">
        <v>630</v>
      </c>
      <c r="H9825" t="s">
        <v>1047</v>
      </c>
      <c r="I9825" t="s">
        <v>94</v>
      </c>
      <c r="J9825" s="2" t="s">
        <v>41</v>
      </c>
      <c r="K9825" t="s">
        <v>42</v>
      </c>
      <c r="Q9825">
        <v>22767</v>
      </c>
      <c r="R9825" t="s">
        <v>45</v>
      </c>
      <c r="S9825" t="s">
        <v>58846</v>
      </c>
      <c r="T9825">
        <v>26</v>
      </c>
      <c r="U9825" s="2" t="s">
        <v>58847</v>
      </c>
      <c r="V9825" s="1">
        <v>44915</v>
      </c>
      <c r="W9825" t="s">
        <v>58547</v>
      </c>
      <c r="X9825">
        <v>804256</v>
      </c>
      <c r="Y9825" t="s">
        <v>58848</v>
      </c>
      <c r="Z9825" t="e">
        <f ca="1">-module Replacement</f>
        <v>#NAME?</v>
      </c>
      <c r="AA9825" s="2" t="s">
        <v>58849</v>
      </c>
      <c r="AB9825" t="s">
        <v>58850</v>
      </c>
      <c r="AD9825" t="s">
        <v>58851</v>
      </c>
      <c r="AE9825" t="s">
        <v>10783</v>
      </c>
      <c r="AF9825" t="s">
        <v>259</v>
      </c>
      <c r="AG9825" t="s">
        <v>58852</v>
      </c>
      <c r="AH9825" t="s">
        <v>1539</v>
      </c>
      <c r="AI9825" t="s">
        <v>58853</v>
      </c>
    </row>
    <row r="9826" spans="2:35" ht="240">
      <c r="B9826" s="1">
        <v>44917</v>
      </c>
      <c r="C9826" s="4">
        <v>44917.464583333334</v>
      </c>
      <c r="D9826" t="s">
        <v>1471</v>
      </c>
      <c r="E9826" t="s">
        <v>1472</v>
      </c>
      <c r="F9826">
        <v>12</v>
      </c>
      <c r="G9826" t="s">
        <v>978</v>
      </c>
      <c r="H9826" t="s">
        <v>39</v>
      </c>
      <c r="I9826" t="s">
        <v>94</v>
      </c>
      <c r="J9826" s="2" t="s">
        <v>41</v>
      </c>
      <c r="K9826" t="s">
        <v>42</v>
      </c>
      <c r="Q9826">
        <v>22766</v>
      </c>
      <c r="R9826" t="s">
        <v>45</v>
      </c>
      <c r="S9826" t="s">
        <v>1475</v>
      </c>
      <c r="T9826">
        <v>23.4</v>
      </c>
      <c r="U9826" s="2" t="s">
        <v>58854</v>
      </c>
      <c r="V9826" s="1">
        <v>44917</v>
      </c>
      <c r="W9826" t="s">
        <v>53244</v>
      </c>
      <c r="X9826">
        <v>707529</v>
      </c>
      <c r="Y9826" t="s">
        <v>58855</v>
      </c>
      <c r="Z9826" s="2" t="s">
        <v>58856</v>
      </c>
      <c r="AA9826" s="2" t="s">
        <v>58856</v>
      </c>
      <c r="AB9826" t="s">
        <v>58857</v>
      </c>
      <c r="AC9826" t="s">
        <v>58858</v>
      </c>
      <c r="AF9826" t="s">
        <v>58416</v>
      </c>
      <c r="AG9826" t="s">
        <v>58859</v>
      </c>
      <c r="AH9826" t="s">
        <v>56264</v>
      </c>
      <c r="AI9826" t="s">
        <v>58860</v>
      </c>
    </row>
    <row r="9827" spans="2:35" ht="240">
      <c r="B9827" s="1">
        <v>44917</v>
      </c>
      <c r="C9827" s="4">
        <v>44917.45</v>
      </c>
      <c r="D9827" t="s">
        <v>25805</v>
      </c>
      <c r="E9827" t="s">
        <v>58861</v>
      </c>
      <c r="F9827" t="s">
        <v>148</v>
      </c>
      <c r="G9827" t="s">
        <v>774</v>
      </c>
      <c r="H9827" t="s">
        <v>258</v>
      </c>
      <c r="I9827" t="s">
        <v>40</v>
      </c>
      <c r="J9827" s="2" t="s">
        <v>41</v>
      </c>
      <c r="K9827" t="s">
        <v>42</v>
      </c>
      <c r="Q9827">
        <v>22765</v>
      </c>
      <c r="R9827" t="s">
        <v>45</v>
      </c>
      <c r="S9827" t="s">
        <v>58862</v>
      </c>
      <c r="T9827">
        <v>25</v>
      </c>
      <c r="U9827" s="2" t="s">
        <v>58863</v>
      </c>
      <c r="V9827" s="1">
        <v>44917</v>
      </c>
      <c r="W9827" t="s">
        <v>423</v>
      </c>
      <c r="X9827">
        <v>848244</v>
      </c>
      <c r="Y9827" t="s">
        <v>58864</v>
      </c>
      <c r="Z9827" t="s">
        <v>58865</v>
      </c>
      <c r="AA9827" t="s">
        <v>10275</v>
      </c>
      <c r="AB9827" t="s">
        <v>58866</v>
      </c>
      <c r="AC9827" t="s">
        <v>58867</v>
      </c>
      <c r="AD9827" t="s">
        <v>58868</v>
      </c>
      <c r="AE9827" t="s">
        <v>58869</v>
      </c>
      <c r="AF9827" t="s">
        <v>29841</v>
      </c>
      <c r="AG9827" t="s">
        <v>58870</v>
      </c>
      <c r="AH9827" t="s">
        <v>58871</v>
      </c>
      <c r="AI9827" t="s">
        <v>58872</v>
      </c>
    </row>
    <row r="9828" spans="2:35" ht="375">
      <c r="B9828" s="1">
        <v>44917</v>
      </c>
      <c r="C9828" s="4">
        <v>44917.420138888891</v>
      </c>
      <c r="D9828" t="s">
        <v>58873</v>
      </c>
      <c r="E9828" t="s">
        <v>420</v>
      </c>
      <c r="F9828" t="s">
        <v>148</v>
      </c>
      <c r="G9828" t="s">
        <v>421</v>
      </c>
      <c r="H9828" t="s">
        <v>39</v>
      </c>
      <c r="I9828" t="s">
        <v>40</v>
      </c>
      <c r="J9828" t="s">
        <v>79</v>
      </c>
      <c r="K9828" t="s">
        <v>42</v>
      </c>
      <c r="Q9828">
        <v>22764</v>
      </c>
      <c r="R9828" t="s">
        <v>45</v>
      </c>
      <c r="S9828" t="s">
        <v>58874</v>
      </c>
      <c r="T9828">
        <v>28</v>
      </c>
      <c r="U9828" s="2" t="s">
        <v>58875</v>
      </c>
      <c r="V9828" s="1">
        <v>44914</v>
      </c>
      <c r="W9828" t="s">
        <v>84</v>
      </c>
      <c r="X9828">
        <v>805045</v>
      </c>
      <c r="Y9828" t="s">
        <v>8731</v>
      </c>
      <c r="Z9828" t="s">
        <v>179</v>
      </c>
      <c r="AA9828" s="2" t="s">
        <v>58876</v>
      </c>
      <c r="AB9828" t="s">
        <v>32359</v>
      </c>
      <c r="AC9828" t="s">
        <v>103</v>
      </c>
      <c r="AD9828" t="s">
        <v>58877</v>
      </c>
      <c r="AE9828" t="s">
        <v>58878</v>
      </c>
      <c r="AF9828" t="s">
        <v>175</v>
      </c>
      <c r="AG9828" t="s">
        <v>58879</v>
      </c>
      <c r="AH9828" t="s">
        <v>58880</v>
      </c>
      <c r="AI9828" t="s">
        <v>58881</v>
      </c>
    </row>
    <row r="9829" spans="2:35" ht="210">
      <c r="B9829" s="1">
        <v>44917</v>
      </c>
      <c r="C9829" s="4">
        <v>44917.381249999999</v>
      </c>
      <c r="D9829" t="s">
        <v>23524</v>
      </c>
      <c r="E9829" t="s">
        <v>58882</v>
      </c>
      <c r="F9829">
        <v>10</v>
      </c>
      <c r="G9829" t="s">
        <v>8359</v>
      </c>
      <c r="H9829" t="s">
        <v>39</v>
      </c>
      <c r="I9829" t="s">
        <v>94</v>
      </c>
      <c r="J9829" t="s">
        <v>2129</v>
      </c>
      <c r="K9829" t="s">
        <v>42</v>
      </c>
      <c r="Q9829">
        <v>22763</v>
      </c>
      <c r="R9829" t="s">
        <v>45</v>
      </c>
      <c r="S9829" t="s">
        <v>29907</v>
      </c>
      <c r="T9829">
        <v>28</v>
      </c>
      <c r="U9829" s="2" t="s">
        <v>3524</v>
      </c>
      <c r="W9829" t="s">
        <v>43102</v>
      </c>
      <c r="X9829">
        <v>807625</v>
      </c>
      <c r="Y9829" t="s">
        <v>58883</v>
      </c>
      <c r="Z9829" t="s">
        <v>5712</v>
      </c>
      <c r="AA9829" t="s">
        <v>48932</v>
      </c>
      <c r="AB9829" s="2" t="s">
        <v>58884</v>
      </c>
      <c r="AF9829" t="s">
        <v>43100</v>
      </c>
      <c r="AG9829" t="s">
        <v>58885</v>
      </c>
      <c r="AH9829" t="s">
        <v>58886</v>
      </c>
      <c r="AI9829" t="s">
        <v>58887</v>
      </c>
    </row>
    <row r="9830" spans="2:35" ht="270">
      <c r="B9830" s="1">
        <v>44917</v>
      </c>
      <c r="C9830" s="4">
        <v>44917.380555555559</v>
      </c>
      <c r="D9830" t="s">
        <v>1678</v>
      </c>
      <c r="E9830" t="s">
        <v>1679</v>
      </c>
      <c r="F9830" t="s">
        <v>148</v>
      </c>
      <c r="G9830" t="s">
        <v>785</v>
      </c>
      <c r="H9830" t="s">
        <v>39</v>
      </c>
      <c r="I9830" t="s">
        <v>40</v>
      </c>
      <c r="J9830" t="s">
        <v>79</v>
      </c>
      <c r="K9830" t="s">
        <v>42</v>
      </c>
      <c r="Q9830">
        <v>22762</v>
      </c>
      <c r="R9830" t="s">
        <v>719</v>
      </c>
      <c r="S9830" t="s">
        <v>18437</v>
      </c>
      <c r="T9830">
        <v>25</v>
      </c>
      <c r="U9830" s="2" t="s">
        <v>58888</v>
      </c>
      <c r="V9830" s="1">
        <v>44914</v>
      </c>
      <c r="W9830" t="s">
        <v>58679</v>
      </c>
      <c r="X9830">
        <v>843924</v>
      </c>
      <c r="Y9830" t="s">
        <v>30047</v>
      </c>
      <c r="Z9830" t="s">
        <v>58889</v>
      </c>
      <c r="AA9830" s="2" t="s">
        <v>40865</v>
      </c>
      <c r="AB9830" t="s">
        <v>88</v>
      </c>
      <c r="AC9830" t="s">
        <v>58890</v>
      </c>
      <c r="AD9830" s="2" t="s">
        <v>58891</v>
      </c>
      <c r="AE9830" t="s">
        <v>58892</v>
      </c>
      <c r="AF9830" t="s">
        <v>43</v>
      </c>
      <c r="AG9830" t="s">
        <v>58893</v>
      </c>
      <c r="AH9830" t="s">
        <v>58894</v>
      </c>
      <c r="AI9830" t="s">
        <v>58895</v>
      </c>
    </row>
    <row r="9831" spans="2:35" ht="300">
      <c r="B9831" s="1">
        <v>44917</v>
      </c>
      <c r="C9831" s="4">
        <v>44917.371527777781</v>
      </c>
      <c r="D9831" t="s">
        <v>5306</v>
      </c>
      <c r="E9831" t="s">
        <v>5307</v>
      </c>
      <c r="F9831">
        <v>2</v>
      </c>
      <c r="G9831" t="s">
        <v>2668</v>
      </c>
      <c r="H9831" t="s">
        <v>39</v>
      </c>
      <c r="I9831" t="s">
        <v>40</v>
      </c>
      <c r="J9831" s="2" t="s">
        <v>1592</v>
      </c>
      <c r="K9831" t="s">
        <v>42</v>
      </c>
      <c r="Q9831">
        <v>22761</v>
      </c>
      <c r="R9831" t="s">
        <v>45</v>
      </c>
      <c r="S9831" t="s">
        <v>5308</v>
      </c>
      <c r="T9831">
        <v>29</v>
      </c>
      <c r="U9831" s="2" t="s">
        <v>20486</v>
      </c>
      <c r="V9831" s="1">
        <v>44917</v>
      </c>
      <c r="W9831" t="s">
        <v>26915</v>
      </c>
      <c r="X9831">
        <v>814373</v>
      </c>
      <c r="Y9831" t="s">
        <v>58896</v>
      </c>
      <c r="Z9831" t="s">
        <v>58897</v>
      </c>
      <c r="AA9831" s="2" t="s">
        <v>58898</v>
      </c>
      <c r="AB9831" t="s">
        <v>70</v>
      </c>
      <c r="AC9831" t="s">
        <v>1716</v>
      </c>
      <c r="AD9831" t="s">
        <v>58899</v>
      </c>
      <c r="AE9831" t="s">
        <v>1716</v>
      </c>
      <c r="AF9831" t="s">
        <v>63</v>
      </c>
      <c r="AG9831" t="s">
        <v>58900</v>
      </c>
      <c r="AH9831" t="s">
        <v>58901</v>
      </c>
      <c r="AI9831" t="s">
        <v>58902</v>
      </c>
    </row>
    <row r="9832" spans="2:35" ht="105">
      <c r="B9832" s="1">
        <v>44916</v>
      </c>
      <c r="C9832" s="4">
        <v>44916.500694444447</v>
      </c>
      <c r="D9832" t="s">
        <v>21829</v>
      </c>
      <c r="E9832" t="s">
        <v>58903</v>
      </c>
      <c r="F9832">
        <v>3</v>
      </c>
      <c r="G9832" t="s">
        <v>174</v>
      </c>
      <c r="H9832" t="s">
        <v>61</v>
      </c>
      <c r="I9832" t="s">
        <v>40</v>
      </c>
      <c r="J9832" t="s">
        <v>321</v>
      </c>
      <c r="K9832" t="s">
        <v>42</v>
      </c>
      <c r="Q9832">
        <v>22760</v>
      </c>
      <c r="R9832" t="s">
        <v>95</v>
      </c>
      <c r="S9832" t="s">
        <v>58904</v>
      </c>
      <c r="T9832">
        <v>22</v>
      </c>
      <c r="U9832" s="2" t="s">
        <v>11398</v>
      </c>
      <c r="W9832" t="s">
        <v>84</v>
      </c>
      <c r="X9832">
        <v>110008530</v>
      </c>
      <c r="Y9832" t="s">
        <v>301</v>
      </c>
      <c r="Z9832" t="s">
        <v>301</v>
      </c>
      <c r="AA9832" t="s">
        <v>58905</v>
      </c>
      <c r="AB9832" t="s">
        <v>88</v>
      </c>
      <c r="AC9832" t="s">
        <v>301</v>
      </c>
      <c r="AF9832" t="s">
        <v>80</v>
      </c>
      <c r="AG9832" t="s">
        <v>58906</v>
      </c>
      <c r="AH9832" t="s">
        <v>8887</v>
      </c>
      <c r="AI9832" t="s">
        <v>58907</v>
      </c>
    </row>
    <row r="9833" spans="2:35" ht="105">
      <c r="B9833" s="1">
        <v>44916</v>
      </c>
      <c r="C9833" s="4">
        <v>44916.595833333333</v>
      </c>
      <c r="D9833" t="s">
        <v>31279</v>
      </c>
      <c r="E9833" t="s">
        <v>58908</v>
      </c>
      <c r="F9833" t="s">
        <v>148</v>
      </c>
      <c r="G9833" t="s">
        <v>447</v>
      </c>
      <c r="H9833" t="s">
        <v>6150</v>
      </c>
      <c r="I9833" t="s">
        <v>94</v>
      </c>
      <c r="J9833" t="s">
        <v>321</v>
      </c>
      <c r="K9833" t="s">
        <v>2629</v>
      </c>
      <c r="Q9833">
        <v>22759</v>
      </c>
      <c r="R9833" t="s">
        <v>95</v>
      </c>
      <c r="S9833" t="s">
        <v>58909</v>
      </c>
      <c r="T9833">
        <v>25</v>
      </c>
      <c r="V9833" s="1">
        <v>44916</v>
      </c>
      <c r="W9833" t="s">
        <v>58910</v>
      </c>
      <c r="X9833">
        <v>3185001467</v>
      </c>
      <c r="Y9833" t="s">
        <v>6010</v>
      </c>
      <c r="Z9833" t="s">
        <v>8004</v>
      </c>
      <c r="AA9833" s="2" t="s">
        <v>58911</v>
      </c>
      <c r="AB9833" t="s">
        <v>88</v>
      </c>
      <c r="AE9833" t="s">
        <v>58912</v>
      </c>
      <c r="AF9833" t="s">
        <v>58913</v>
      </c>
      <c r="AG9833" t="s">
        <v>58914</v>
      </c>
      <c r="AH9833" t="s">
        <v>58915</v>
      </c>
      <c r="AI9833" t="s">
        <v>58916</v>
      </c>
    </row>
    <row r="9834" spans="2:35" ht="409.5">
      <c r="B9834" s="1">
        <v>44916</v>
      </c>
      <c r="C9834" s="4">
        <v>44916.563888888886</v>
      </c>
      <c r="D9834" t="s">
        <v>1065</v>
      </c>
      <c r="E9834" t="s">
        <v>58917</v>
      </c>
      <c r="F9834">
        <v>1</v>
      </c>
      <c r="G9834" t="s">
        <v>1046</v>
      </c>
      <c r="H9834" t="s">
        <v>39</v>
      </c>
      <c r="I9834" t="s">
        <v>40</v>
      </c>
      <c r="J9834" s="2" t="s">
        <v>62</v>
      </c>
      <c r="K9834" t="s">
        <v>42</v>
      </c>
      <c r="Q9834">
        <v>22758</v>
      </c>
      <c r="R9834" t="s">
        <v>119</v>
      </c>
      <c r="S9834" t="s">
        <v>58918</v>
      </c>
      <c r="T9834">
        <v>25.4</v>
      </c>
      <c r="U9834" s="2" t="s">
        <v>58919</v>
      </c>
      <c r="W9834" t="s">
        <v>2680</v>
      </c>
      <c r="X9834">
        <v>838284</v>
      </c>
      <c r="Y9834" t="s">
        <v>58920</v>
      </c>
      <c r="Z9834" s="2" t="s">
        <v>58921</v>
      </c>
      <c r="AA9834" t="s">
        <v>56411</v>
      </c>
      <c r="AB9834" t="s">
        <v>58922</v>
      </c>
      <c r="AC9834" t="s">
        <v>54642</v>
      </c>
      <c r="AF9834" t="s">
        <v>135</v>
      </c>
      <c r="AG9834" t="s">
        <v>58923</v>
      </c>
      <c r="AH9834" t="s">
        <v>58924</v>
      </c>
      <c r="AI9834" t="s">
        <v>58925</v>
      </c>
    </row>
    <row r="9835" spans="2:35" ht="180">
      <c r="B9835" s="1">
        <v>44916</v>
      </c>
      <c r="C9835" s="4">
        <v>44916.56527777778</v>
      </c>
      <c r="D9835" t="s">
        <v>35746</v>
      </c>
      <c r="E9835" t="s">
        <v>58926</v>
      </c>
      <c r="F9835">
        <v>1</v>
      </c>
      <c r="G9835" t="s">
        <v>1909</v>
      </c>
      <c r="H9835" t="s">
        <v>39</v>
      </c>
      <c r="I9835" t="s">
        <v>40</v>
      </c>
      <c r="J9835" t="s">
        <v>109</v>
      </c>
      <c r="K9835" t="s">
        <v>42</v>
      </c>
      <c r="Q9835">
        <v>22757</v>
      </c>
      <c r="R9835" t="s">
        <v>45</v>
      </c>
      <c r="S9835" t="s">
        <v>58927</v>
      </c>
      <c r="T9835">
        <v>25.2</v>
      </c>
      <c r="U9835" s="2" t="s">
        <v>58928</v>
      </c>
      <c r="W9835" t="s">
        <v>1139</v>
      </c>
      <c r="X9835">
        <v>707400</v>
      </c>
      <c r="Y9835" t="s">
        <v>58929</v>
      </c>
      <c r="Z9835" t="s">
        <v>3128</v>
      </c>
      <c r="AA9835" s="2" t="s">
        <v>58930</v>
      </c>
      <c r="AB9835" t="s">
        <v>181</v>
      </c>
      <c r="AF9835" t="s">
        <v>56616</v>
      </c>
      <c r="AG9835" t="s">
        <v>58931</v>
      </c>
      <c r="AH9835" t="s">
        <v>58932</v>
      </c>
      <c r="AI9835" t="s">
        <v>58933</v>
      </c>
    </row>
    <row r="9836" spans="2:35" ht="225">
      <c r="B9836" s="1">
        <v>44916</v>
      </c>
      <c r="C9836" s="4">
        <v>44916.525694444441</v>
      </c>
      <c r="D9836" t="s">
        <v>22809</v>
      </c>
      <c r="E9836" t="s">
        <v>57716</v>
      </c>
      <c r="F9836" t="s">
        <v>148</v>
      </c>
      <c r="G9836" t="s">
        <v>544</v>
      </c>
      <c r="H9836" t="s">
        <v>39</v>
      </c>
      <c r="I9836" t="s">
        <v>40</v>
      </c>
      <c r="J9836" t="s">
        <v>79</v>
      </c>
      <c r="K9836" t="s">
        <v>42</v>
      </c>
      <c r="Q9836">
        <v>22756</v>
      </c>
      <c r="R9836" t="s">
        <v>45</v>
      </c>
      <c r="S9836" t="s">
        <v>22810</v>
      </c>
      <c r="T9836">
        <v>25</v>
      </c>
      <c r="U9836" s="2" t="s">
        <v>58934</v>
      </c>
      <c r="V9836" s="1">
        <v>44914</v>
      </c>
      <c r="W9836" t="s">
        <v>58935</v>
      </c>
      <c r="X9836">
        <v>844113</v>
      </c>
      <c r="Y9836" t="s">
        <v>58936</v>
      </c>
      <c r="Z9836" t="s">
        <v>7399</v>
      </c>
      <c r="AA9836" s="2" t="s">
        <v>40865</v>
      </c>
      <c r="AB9836" t="s">
        <v>16412</v>
      </c>
      <c r="AD9836" s="2" t="s">
        <v>58937</v>
      </c>
      <c r="AE9836" t="s">
        <v>58938</v>
      </c>
      <c r="AF9836" t="s">
        <v>58939</v>
      </c>
      <c r="AG9836" t="s">
        <v>58940</v>
      </c>
      <c r="AH9836" t="s">
        <v>58941</v>
      </c>
      <c r="AI9836" t="s">
        <v>58942</v>
      </c>
    </row>
    <row r="9837" spans="2:35" ht="180">
      <c r="B9837" s="1">
        <v>44916</v>
      </c>
      <c r="C9837" s="4">
        <v>44916.508333333331</v>
      </c>
      <c r="D9837" t="s">
        <v>58943</v>
      </c>
      <c r="E9837" t="s">
        <v>58944</v>
      </c>
      <c r="F9837">
        <v>1</v>
      </c>
      <c r="G9837" t="s">
        <v>1046</v>
      </c>
      <c r="H9837" t="s">
        <v>39</v>
      </c>
      <c r="I9837" t="s">
        <v>40</v>
      </c>
      <c r="J9837" t="s">
        <v>79</v>
      </c>
      <c r="K9837" t="s">
        <v>42</v>
      </c>
      <c r="Q9837">
        <v>22755</v>
      </c>
      <c r="R9837" t="s">
        <v>45</v>
      </c>
      <c r="S9837" t="s">
        <v>58945</v>
      </c>
      <c r="T9837">
        <v>27</v>
      </c>
      <c r="U9837" s="2" t="s">
        <v>58946</v>
      </c>
      <c r="V9837" s="1">
        <v>44916</v>
      </c>
      <c r="W9837" t="s">
        <v>360</v>
      </c>
      <c r="X9837">
        <v>834837</v>
      </c>
      <c r="Y9837" t="s">
        <v>58947</v>
      </c>
      <c r="Z9837" t="s">
        <v>58948</v>
      </c>
      <c r="AA9837" t="s">
        <v>38317</v>
      </c>
      <c r="AB9837" t="s">
        <v>58949</v>
      </c>
      <c r="AD9837" t="s">
        <v>53225</v>
      </c>
      <c r="AE9837">
        <v>0</v>
      </c>
      <c r="AF9837" t="s">
        <v>448</v>
      </c>
      <c r="AG9837" t="s">
        <v>58950</v>
      </c>
      <c r="AH9837" t="s">
        <v>48785</v>
      </c>
      <c r="AI9837" t="s">
        <v>58951</v>
      </c>
    </row>
    <row r="9838" spans="2:35" ht="330">
      <c r="B9838" s="1">
        <v>44916</v>
      </c>
      <c r="C9838" s="4">
        <v>44915.65</v>
      </c>
      <c r="D9838" t="s">
        <v>38422</v>
      </c>
      <c r="E9838" t="s">
        <v>58564</v>
      </c>
      <c r="F9838" t="s">
        <v>148</v>
      </c>
      <c r="G9838" t="s">
        <v>447</v>
      </c>
      <c r="H9838" t="s">
        <v>662</v>
      </c>
      <c r="I9838" t="s">
        <v>40</v>
      </c>
      <c r="J9838" t="s">
        <v>79</v>
      </c>
      <c r="K9838" t="s">
        <v>42</v>
      </c>
      <c r="Q9838">
        <v>22754</v>
      </c>
      <c r="R9838" t="s">
        <v>322</v>
      </c>
      <c r="S9838" t="s">
        <v>17810</v>
      </c>
      <c r="T9838">
        <v>26</v>
      </c>
      <c r="U9838" s="2" t="s">
        <v>58952</v>
      </c>
      <c r="V9838" s="1">
        <v>44915</v>
      </c>
      <c r="W9838" t="s">
        <v>325</v>
      </c>
      <c r="X9838">
        <v>838655</v>
      </c>
      <c r="Y9838" t="s">
        <v>58953</v>
      </c>
      <c r="Z9838" t="s">
        <v>58954</v>
      </c>
      <c r="AA9838" t="s">
        <v>5712</v>
      </c>
      <c r="AB9838" t="s">
        <v>58955</v>
      </c>
      <c r="AD9838" t="s">
        <v>53813</v>
      </c>
      <c r="AE9838" t="s">
        <v>58956</v>
      </c>
      <c r="AF9838" t="s">
        <v>49366</v>
      </c>
      <c r="AG9838" t="s">
        <v>58957</v>
      </c>
      <c r="AH9838" t="s">
        <v>39860</v>
      </c>
      <c r="AI9838" t="s">
        <v>58958</v>
      </c>
    </row>
    <row r="9839" spans="2:35" ht="375">
      <c r="B9839" s="1">
        <v>44916</v>
      </c>
      <c r="C9839" s="4">
        <v>44916.481249999997</v>
      </c>
      <c r="D9839" t="s">
        <v>1907</v>
      </c>
      <c r="E9839" t="s">
        <v>58959</v>
      </c>
      <c r="F9839">
        <v>1</v>
      </c>
      <c r="G9839" t="s">
        <v>1909</v>
      </c>
      <c r="H9839" t="s">
        <v>39</v>
      </c>
      <c r="I9839" t="s">
        <v>40</v>
      </c>
      <c r="J9839" s="2" t="s">
        <v>41</v>
      </c>
      <c r="K9839" t="s">
        <v>42</v>
      </c>
      <c r="Q9839">
        <v>22753</v>
      </c>
      <c r="R9839" t="s">
        <v>45</v>
      </c>
      <c r="S9839" t="s">
        <v>58960</v>
      </c>
      <c r="T9839">
        <v>24.1</v>
      </c>
      <c r="U9839" s="2" t="s">
        <v>58961</v>
      </c>
      <c r="W9839" t="s">
        <v>8499</v>
      </c>
      <c r="X9839">
        <v>707524</v>
      </c>
      <c r="Y9839" t="s">
        <v>55365</v>
      </c>
      <c r="Z9839" t="s">
        <v>2129</v>
      </c>
      <c r="AA9839" s="2" t="s">
        <v>58962</v>
      </c>
      <c r="AB9839" t="s">
        <v>70</v>
      </c>
      <c r="AF9839" t="s">
        <v>55932</v>
      </c>
      <c r="AG9839" t="s">
        <v>58963</v>
      </c>
      <c r="AH9839" t="s">
        <v>58964</v>
      </c>
      <c r="AI9839" t="s">
        <v>58965</v>
      </c>
    </row>
    <row r="9840" spans="2:35" ht="180">
      <c r="B9840" s="1">
        <v>44916</v>
      </c>
      <c r="C9840" s="4">
        <v>44916.47152777778</v>
      </c>
      <c r="D9840" t="s">
        <v>48542</v>
      </c>
      <c r="E9840" t="s">
        <v>58966</v>
      </c>
      <c r="F9840">
        <v>3</v>
      </c>
      <c r="G9840" t="s">
        <v>730</v>
      </c>
      <c r="H9840" t="s">
        <v>39</v>
      </c>
      <c r="I9840" t="s">
        <v>40</v>
      </c>
      <c r="J9840" t="s">
        <v>109</v>
      </c>
      <c r="K9840" t="s">
        <v>42</v>
      </c>
      <c r="Q9840">
        <v>22752</v>
      </c>
      <c r="R9840" t="s">
        <v>45</v>
      </c>
      <c r="S9840" t="s">
        <v>23720</v>
      </c>
      <c r="T9840">
        <v>28.6</v>
      </c>
      <c r="U9840" s="2" t="s">
        <v>58967</v>
      </c>
      <c r="W9840" t="s">
        <v>2680</v>
      </c>
      <c r="X9840">
        <v>812838</v>
      </c>
      <c r="Y9840" t="s">
        <v>485</v>
      </c>
      <c r="Z9840" t="e">
        <f ca="1">-performed surface Cleaning
-performed Cleaning of cartridge bay,icore,plunger rod _xludf.and _xludf.filter
-Generate reports
-archived test results
-performed functionality test</f>
        <v>#NAME?</v>
      </c>
      <c r="AA9840" t="s">
        <v>4315</v>
      </c>
      <c r="AB9840" t="s">
        <v>181</v>
      </c>
      <c r="AF9840" t="s">
        <v>135</v>
      </c>
      <c r="AG9840" t="s">
        <v>58968</v>
      </c>
      <c r="AH9840" t="s">
        <v>58969</v>
      </c>
      <c r="AI9840" t="s">
        <v>58970</v>
      </c>
    </row>
    <row r="9841" spans="2:35" ht="300">
      <c r="B9841" s="1">
        <v>44916</v>
      </c>
      <c r="C9841" s="4">
        <v>44916.454861111109</v>
      </c>
      <c r="D9841" t="s">
        <v>2666</v>
      </c>
      <c r="E9841" t="s">
        <v>2667</v>
      </c>
      <c r="F9841">
        <v>2</v>
      </c>
      <c r="G9841" t="s">
        <v>2668</v>
      </c>
      <c r="H9841" t="s">
        <v>39</v>
      </c>
      <c r="I9841" t="s">
        <v>40</v>
      </c>
      <c r="J9841" s="2" t="s">
        <v>1592</v>
      </c>
      <c r="K9841" t="s">
        <v>42</v>
      </c>
      <c r="Q9841">
        <v>22751</v>
      </c>
      <c r="R9841" t="s">
        <v>45</v>
      </c>
      <c r="S9841" t="s">
        <v>2669</v>
      </c>
      <c r="T9841">
        <v>29</v>
      </c>
      <c r="U9841" s="2" t="s">
        <v>58971</v>
      </c>
      <c r="V9841" s="1">
        <v>44916</v>
      </c>
      <c r="W9841" t="s">
        <v>58972</v>
      </c>
      <c r="X9841">
        <v>808635</v>
      </c>
      <c r="Y9841" s="2" t="s">
        <v>58973</v>
      </c>
      <c r="Z9841" t="s">
        <v>57225</v>
      </c>
      <c r="AA9841" s="2" t="s">
        <v>58974</v>
      </c>
      <c r="AB9841" t="s">
        <v>38198</v>
      </c>
      <c r="AC9841" t="s">
        <v>58975</v>
      </c>
      <c r="AD9841" t="s">
        <v>58976</v>
      </c>
      <c r="AE9841" t="s">
        <v>1716</v>
      </c>
      <c r="AF9841" t="s">
        <v>63</v>
      </c>
      <c r="AG9841" t="s">
        <v>58977</v>
      </c>
      <c r="AH9841" t="s">
        <v>24149</v>
      </c>
      <c r="AI9841" t="s">
        <v>58978</v>
      </c>
    </row>
    <row r="9842" spans="2:35" ht="360">
      <c r="B9842" s="1">
        <v>44916</v>
      </c>
      <c r="C9842" s="4">
        <v>44916.384722222225</v>
      </c>
      <c r="D9842" t="s">
        <v>92</v>
      </c>
      <c r="E9842" t="s">
        <v>14462</v>
      </c>
      <c r="F9842" t="s">
        <v>37</v>
      </c>
      <c r="G9842" t="s">
        <v>78</v>
      </c>
      <c r="H9842" t="s">
        <v>39</v>
      </c>
      <c r="I9842" t="s">
        <v>40</v>
      </c>
      <c r="J9842" t="s">
        <v>109</v>
      </c>
      <c r="K9842" t="s">
        <v>42</v>
      </c>
      <c r="Q9842">
        <v>22750</v>
      </c>
      <c r="R9842" t="s">
        <v>95</v>
      </c>
      <c r="S9842" t="s">
        <v>58979</v>
      </c>
      <c r="T9842">
        <v>25</v>
      </c>
      <c r="U9842" s="2" t="s">
        <v>58980</v>
      </c>
      <c r="W9842" t="s">
        <v>84</v>
      </c>
      <c r="X9842">
        <v>839233</v>
      </c>
      <c r="Y9842" t="s">
        <v>18216</v>
      </c>
      <c r="Z9842" s="2" t="s">
        <v>58981</v>
      </c>
      <c r="AA9842" t="s">
        <v>1548</v>
      </c>
      <c r="AB9842" t="s">
        <v>88</v>
      </c>
      <c r="AF9842" t="s">
        <v>1943</v>
      </c>
      <c r="AG9842" t="s">
        <v>58982</v>
      </c>
      <c r="AH9842" t="s">
        <v>58983</v>
      </c>
      <c r="AI9842" t="s">
        <v>58984</v>
      </c>
    </row>
    <row r="9843" spans="2:35" ht="180">
      <c r="B9843" s="1">
        <v>44916</v>
      </c>
      <c r="C9843" s="4">
        <v>44916.384722222225</v>
      </c>
      <c r="D9843" t="s">
        <v>26545</v>
      </c>
      <c r="E9843" t="s">
        <v>39317</v>
      </c>
      <c r="F9843">
        <v>13</v>
      </c>
      <c r="G9843" t="s">
        <v>7763</v>
      </c>
      <c r="H9843" t="s">
        <v>2125</v>
      </c>
      <c r="I9843" t="s">
        <v>40</v>
      </c>
      <c r="J9843" t="s">
        <v>79</v>
      </c>
      <c r="K9843" t="s">
        <v>42</v>
      </c>
      <c r="Q9843">
        <v>22749</v>
      </c>
      <c r="R9843" t="s">
        <v>45</v>
      </c>
      <c r="S9843" t="s">
        <v>58985</v>
      </c>
      <c r="T9843">
        <v>25</v>
      </c>
      <c r="U9843" s="2" t="s">
        <v>58986</v>
      </c>
      <c r="W9843" t="s">
        <v>3662</v>
      </c>
      <c r="X9843">
        <v>815391</v>
      </c>
      <c r="Y9843" t="s">
        <v>301</v>
      </c>
      <c r="Z9843" t="s">
        <v>301</v>
      </c>
      <c r="AA9843" s="2" t="s">
        <v>58987</v>
      </c>
      <c r="AB9843" t="s">
        <v>58988</v>
      </c>
      <c r="AF9843" t="s">
        <v>58989</v>
      </c>
      <c r="AG9843" t="s">
        <v>58990</v>
      </c>
      <c r="AH9843" t="s">
        <v>26553</v>
      </c>
      <c r="AI9843" t="s">
        <v>58991</v>
      </c>
    </row>
    <row r="9844" spans="2:35" ht="180">
      <c r="B9844" s="1">
        <v>44916</v>
      </c>
      <c r="C9844" s="4">
        <v>44916.397222222222</v>
      </c>
      <c r="D9844" t="s">
        <v>4694</v>
      </c>
      <c r="E9844" t="s">
        <v>7904</v>
      </c>
      <c r="F9844">
        <v>12</v>
      </c>
      <c r="G9844" t="s">
        <v>2137</v>
      </c>
      <c r="H9844" t="s">
        <v>39</v>
      </c>
      <c r="I9844" t="s">
        <v>94</v>
      </c>
      <c r="J9844" t="s">
        <v>109</v>
      </c>
      <c r="K9844" t="s">
        <v>42</v>
      </c>
      <c r="Q9844">
        <v>22748</v>
      </c>
      <c r="R9844" t="s">
        <v>119</v>
      </c>
      <c r="S9844" t="s">
        <v>7905</v>
      </c>
      <c r="T9844">
        <v>23.7</v>
      </c>
      <c r="U9844" s="2" t="s">
        <v>58992</v>
      </c>
      <c r="V9844" s="1">
        <v>44916</v>
      </c>
      <c r="W9844" t="s">
        <v>58993</v>
      </c>
      <c r="X9844">
        <v>838545</v>
      </c>
      <c r="Y9844" t="s">
        <v>58994</v>
      </c>
      <c r="Z9844" t="s">
        <v>58995</v>
      </c>
      <c r="AA9844" t="s">
        <v>58995</v>
      </c>
      <c r="AB9844" t="s">
        <v>56860</v>
      </c>
      <c r="AF9844" t="s">
        <v>296</v>
      </c>
      <c r="AG9844" t="s">
        <v>58996</v>
      </c>
      <c r="AH9844" t="s">
        <v>58997</v>
      </c>
      <c r="AI9844" t="s">
        <v>58998</v>
      </c>
    </row>
    <row r="9845" spans="2:35" ht="375">
      <c r="B9845" s="1">
        <v>44916</v>
      </c>
      <c r="C9845" s="4">
        <v>44915.530555555553</v>
      </c>
      <c r="D9845" t="s">
        <v>3853</v>
      </c>
      <c r="E9845" t="s">
        <v>58999</v>
      </c>
      <c r="F9845">
        <v>12</v>
      </c>
      <c r="G9845" t="s">
        <v>2137</v>
      </c>
      <c r="H9845" t="s">
        <v>39</v>
      </c>
      <c r="I9845" t="s">
        <v>94</v>
      </c>
      <c r="J9845" s="2" t="s">
        <v>2170</v>
      </c>
      <c r="K9845" t="s">
        <v>42</v>
      </c>
      <c r="Q9845">
        <v>22747</v>
      </c>
      <c r="R9845" t="s">
        <v>45</v>
      </c>
      <c r="S9845" t="s">
        <v>59000</v>
      </c>
      <c r="T9845">
        <v>27.5</v>
      </c>
      <c r="U9845" s="2" t="s">
        <v>12860</v>
      </c>
      <c r="V9845" s="1">
        <v>44915</v>
      </c>
      <c r="W9845" t="s">
        <v>53244</v>
      </c>
      <c r="X9845">
        <v>807615</v>
      </c>
      <c r="Y9845" t="s">
        <v>59001</v>
      </c>
      <c r="Z9845" s="2" t="s">
        <v>59002</v>
      </c>
      <c r="AA9845" s="2" t="s">
        <v>59002</v>
      </c>
      <c r="AB9845" t="s">
        <v>59003</v>
      </c>
      <c r="AC9845" t="s">
        <v>57073</v>
      </c>
      <c r="AF9845" t="s">
        <v>58416</v>
      </c>
      <c r="AG9845" t="s">
        <v>59004</v>
      </c>
      <c r="AH9845" t="s">
        <v>59005</v>
      </c>
      <c r="AI9845" t="s">
        <v>59006</v>
      </c>
    </row>
    <row r="9846" spans="2:35" ht="180">
      <c r="B9846" s="1">
        <v>44916</v>
      </c>
      <c r="C9846" s="4">
        <v>44916.365972222222</v>
      </c>
      <c r="D9846" t="s">
        <v>3139</v>
      </c>
      <c r="E9846" t="s">
        <v>3140</v>
      </c>
      <c r="F9846">
        <v>3</v>
      </c>
      <c r="G9846" t="s">
        <v>174</v>
      </c>
      <c r="H9846" t="s">
        <v>39</v>
      </c>
      <c r="I9846" t="s">
        <v>40</v>
      </c>
      <c r="J9846" t="s">
        <v>525</v>
      </c>
      <c r="K9846" t="s">
        <v>42</v>
      </c>
      <c r="Q9846">
        <v>22746</v>
      </c>
      <c r="R9846" t="s">
        <v>45</v>
      </c>
      <c r="S9846" t="s">
        <v>59007</v>
      </c>
      <c r="T9846">
        <v>22</v>
      </c>
      <c r="U9846" s="2" t="s">
        <v>59008</v>
      </c>
      <c r="W9846" t="s">
        <v>84</v>
      </c>
      <c r="X9846">
        <v>805112</v>
      </c>
      <c r="Y9846" t="s">
        <v>59009</v>
      </c>
      <c r="Z9846" t="s">
        <v>59010</v>
      </c>
      <c r="AA9846" t="e">
        <f ca="1">- Disassembled Unit
- taken a picture of Gateway board
- Assembled Unit</f>
        <v>#NAME?</v>
      </c>
      <c r="AB9846" t="s">
        <v>88</v>
      </c>
      <c r="AC9846" t="s">
        <v>59011</v>
      </c>
      <c r="AF9846" t="s">
        <v>175</v>
      </c>
      <c r="AG9846" t="s">
        <v>59012</v>
      </c>
      <c r="AH9846" t="s">
        <v>59013</v>
      </c>
      <c r="AI9846" t="s">
        <v>59014</v>
      </c>
    </row>
    <row r="9847" spans="2:35">
      <c r="B9847" s="1">
        <v>44915</v>
      </c>
      <c r="C9847" s="4">
        <v>44915.473611111112</v>
      </c>
      <c r="D9847" t="s">
        <v>12016</v>
      </c>
      <c r="E9847" t="s">
        <v>59015</v>
      </c>
      <c r="F9847">
        <v>7</v>
      </c>
      <c r="G9847" t="s">
        <v>432</v>
      </c>
      <c r="H9847" t="s">
        <v>12018</v>
      </c>
      <c r="I9847" t="s">
        <v>94</v>
      </c>
      <c r="J9847" t="s">
        <v>79</v>
      </c>
      <c r="K9847" t="s">
        <v>387</v>
      </c>
      <c r="Q9847">
        <v>22744</v>
      </c>
      <c r="R9847" t="s">
        <v>95</v>
      </c>
      <c r="S9847" t="s">
        <v>37738</v>
      </c>
      <c r="T9847">
        <v>24</v>
      </c>
      <c r="V9847" s="1">
        <v>44910</v>
      </c>
      <c r="W9847" t="s">
        <v>390</v>
      </c>
      <c r="X9847" t="s">
        <v>1557</v>
      </c>
      <c r="Y9847" t="s">
        <v>59016</v>
      </c>
      <c r="Z9847" t="e">
        <f ca="1">-PERFORM line sensor assembly Replacement
-PERFORM line sensor _xludf.value adjustment</f>
        <v>#NAME?</v>
      </c>
      <c r="AA9847" t="e">
        <f ca="1">-PULL Out service PART
-PERFORM Cycle test, No ISSUES encountered</f>
        <v>#NAME?</v>
      </c>
      <c r="AB9847" t="e">
        <f ca="1">-EQUIPMENT is operational</f>
        <v>#NAME?</v>
      </c>
      <c r="AD9847" t="s">
        <v>59017</v>
      </c>
      <c r="AE9847" t="s">
        <v>59018</v>
      </c>
      <c r="AF9847" t="s">
        <v>58218</v>
      </c>
      <c r="AG9847" t="s">
        <v>59019</v>
      </c>
      <c r="AH9847" t="s">
        <v>59020</v>
      </c>
      <c r="AI9847" t="s">
        <v>59021</v>
      </c>
    </row>
    <row r="9848" spans="2:35" ht="360">
      <c r="B9848" s="1">
        <v>44915</v>
      </c>
      <c r="C9848" s="4">
        <v>44915.6875</v>
      </c>
      <c r="D9848" t="s">
        <v>3139</v>
      </c>
      <c r="E9848" t="s">
        <v>3140</v>
      </c>
      <c r="F9848">
        <v>3</v>
      </c>
      <c r="G9848" t="s">
        <v>174</v>
      </c>
      <c r="H9848" t="s">
        <v>150</v>
      </c>
      <c r="I9848" t="s">
        <v>40</v>
      </c>
      <c r="J9848" t="s">
        <v>109</v>
      </c>
      <c r="K9848" t="s">
        <v>42</v>
      </c>
      <c r="Q9848">
        <v>22743</v>
      </c>
      <c r="R9848" t="s">
        <v>45</v>
      </c>
      <c r="S9848" t="s">
        <v>59007</v>
      </c>
      <c r="T9848">
        <v>21</v>
      </c>
      <c r="U9848" s="2" t="s">
        <v>59022</v>
      </c>
      <c r="W9848" t="s">
        <v>84</v>
      </c>
      <c r="X9848">
        <v>807466</v>
      </c>
      <c r="Y9848" t="s">
        <v>374</v>
      </c>
      <c r="Z9848" t="s">
        <v>103</v>
      </c>
      <c r="AA9848" t="e">
        <f ca="1">- checked _xludf.and cleaned cartridge bay, plunger rod, _xludf.filter
- generated reports
- performed functionality test</f>
        <v>#NAME?</v>
      </c>
      <c r="AB9848" t="s">
        <v>59023</v>
      </c>
      <c r="AC9848" t="s">
        <v>59024</v>
      </c>
      <c r="AF9848" t="s">
        <v>175</v>
      </c>
      <c r="AG9848" t="s">
        <v>59025</v>
      </c>
      <c r="AH9848" t="s">
        <v>54888</v>
      </c>
      <c r="AI9848" t="s">
        <v>59026</v>
      </c>
    </row>
    <row r="9849" spans="2:35" ht="180">
      <c r="B9849" s="1">
        <v>44915</v>
      </c>
      <c r="C9849" s="4">
        <v>44915.629861111112</v>
      </c>
      <c r="D9849" t="s">
        <v>37565</v>
      </c>
      <c r="E9849" t="s">
        <v>25517</v>
      </c>
      <c r="F9849">
        <v>13</v>
      </c>
      <c r="G9849" t="s">
        <v>931</v>
      </c>
      <c r="H9849" t="s">
        <v>2125</v>
      </c>
      <c r="I9849" t="s">
        <v>40</v>
      </c>
      <c r="J9849" t="s">
        <v>996</v>
      </c>
      <c r="K9849" t="s">
        <v>42</v>
      </c>
      <c r="Q9849">
        <v>22742</v>
      </c>
      <c r="R9849" t="s">
        <v>45</v>
      </c>
      <c r="S9849" t="s">
        <v>25518</v>
      </c>
      <c r="T9849">
        <v>27</v>
      </c>
      <c r="U9849" s="2" t="s">
        <v>59027</v>
      </c>
      <c r="W9849" t="s">
        <v>3662</v>
      </c>
      <c r="X9849">
        <v>807602</v>
      </c>
      <c r="Y9849" t="s">
        <v>59028</v>
      </c>
      <c r="Z9849" t="s">
        <v>301</v>
      </c>
      <c r="AA9849" t="s">
        <v>59029</v>
      </c>
      <c r="AB9849" t="s">
        <v>59030</v>
      </c>
      <c r="AF9849" t="s">
        <v>58989</v>
      </c>
      <c r="AG9849" t="s">
        <v>59031</v>
      </c>
      <c r="AH9849" t="s">
        <v>52242</v>
      </c>
      <c r="AI9849" t="s">
        <v>59032</v>
      </c>
    </row>
    <row r="9850" spans="2:35" ht="360">
      <c r="B9850" s="1">
        <v>44915</v>
      </c>
      <c r="C9850" s="4">
        <v>44915.620138888888</v>
      </c>
      <c r="D9850" t="s">
        <v>37565</v>
      </c>
      <c r="E9850" t="s">
        <v>25517</v>
      </c>
      <c r="F9850">
        <v>13</v>
      </c>
      <c r="G9850" t="s">
        <v>931</v>
      </c>
      <c r="H9850" t="s">
        <v>2125</v>
      </c>
      <c r="I9850" t="s">
        <v>40</v>
      </c>
      <c r="J9850" s="2" t="s">
        <v>41</v>
      </c>
      <c r="K9850" t="s">
        <v>42</v>
      </c>
      <c r="Q9850">
        <v>22741</v>
      </c>
      <c r="R9850" t="s">
        <v>45</v>
      </c>
      <c r="S9850" t="s">
        <v>25518</v>
      </c>
      <c r="T9850">
        <v>27</v>
      </c>
      <c r="U9850" s="2" t="s">
        <v>59033</v>
      </c>
      <c r="W9850" t="s">
        <v>54940</v>
      </c>
      <c r="X9850">
        <v>815489</v>
      </c>
      <c r="Y9850" t="s">
        <v>59034</v>
      </c>
      <c r="Z9850" t="s">
        <v>59035</v>
      </c>
      <c r="AA9850" s="2" t="s">
        <v>59036</v>
      </c>
      <c r="AB9850" t="s">
        <v>52832</v>
      </c>
      <c r="AF9850" t="s">
        <v>58042</v>
      </c>
      <c r="AG9850" t="s">
        <v>59037</v>
      </c>
      <c r="AH9850" t="s">
        <v>52242</v>
      </c>
      <c r="AI9850" t="s">
        <v>59038</v>
      </c>
    </row>
    <row r="9851" spans="2:35" ht="195">
      <c r="B9851" s="1">
        <v>44915</v>
      </c>
      <c r="C9851" s="4">
        <v>44915.517361111109</v>
      </c>
      <c r="D9851" t="s">
        <v>35</v>
      </c>
      <c r="E9851" t="s">
        <v>36</v>
      </c>
      <c r="F9851" t="s">
        <v>37</v>
      </c>
      <c r="G9851" t="s">
        <v>38</v>
      </c>
      <c r="H9851" t="s">
        <v>39</v>
      </c>
      <c r="I9851" t="s">
        <v>40</v>
      </c>
      <c r="J9851" s="2" t="s">
        <v>41</v>
      </c>
      <c r="K9851" t="s">
        <v>42</v>
      </c>
      <c r="Q9851">
        <v>22740</v>
      </c>
      <c r="R9851" t="s">
        <v>45</v>
      </c>
      <c r="S9851" t="s">
        <v>37509</v>
      </c>
      <c r="T9851">
        <v>25</v>
      </c>
      <c r="U9851" s="2" t="s">
        <v>59039</v>
      </c>
      <c r="V9851" s="1">
        <v>44914</v>
      </c>
      <c r="W9851" t="s">
        <v>58679</v>
      </c>
      <c r="X9851">
        <v>807593</v>
      </c>
      <c r="Y9851" t="s">
        <v>570</v>
      </c>
      <c r="Z9851" t="s">
        <v>571</v>
      </c>
      <c r="AA9851" s="2" t="s">
        <v>59040</v>
      </c>
      <c r="AB9851" t="s">
        <v>16412</v>
      </c>
      <c r="AC9851" t="s">
        <v>59041</v>
      </c>
      <c r="AD9851" s="2" t="s">
        <v>59042</v>
      </c>
      <c r="AE9851" t="s">
        <v>59043</v>
      </c>
      <c r="AF9851" t="s">
        <v>43</v>
      </c>
      <c r="AG9851" t="s">
        <v>59044</v>
      </c>
      <c r="AH9851" t="s">
        <v>56</v>
      </c>
      <c r="AI9851" t="s">
        <v>59045</v>
      </c>
    </row>
    <row r="9852" spans="2:35" ht="195">
      <c r="B9852" s="1">
        <v>44915</v>
      </c>
      <c r="C9852" s="4">
        <v>44915.561805555553</v>
      </c>
      <c r="D9852" t="s">
        <v>9302</v>
      </c>
      <c r="E9852" t="s">
        <v>57402</v>
      </c>
      <c r="F9852">
        <v>3</v>
      </c>
      <c r="G9852" t="s">
        <v>730</v>
      </c>
      <c r="H9852" t="s">
        <v>61</v>
      </c>
      <c r="I9852" t="s">
        <v>94</v>
      </c>
      <c r="J9852" s="2" t="s">
        <v>190</v>
      </c>
      <c r="K9852" t="s">
        <v>42</v>
      </c>
      <c r="Q9852">
        <v>22739</v>
      </c>
      <c r="R9852" t="s">
        <v>95</v>
      </c>
      <c r="S9852" t="s">
        <v>59046</v>
      </c>
      <c r="T9852">
        <v>20</v>
      </c>
      <c r="U9852" s="2" t="s">
        <v>59047</v>
      </c>
      <c r="W9852" t="s">
        <v>2680</v>
      </c>
      <c r="X9852">
        <v>830841</v>
      </c>
      <c r="Y9852" t="s">
        <v>59048</v>
      </c>
      <c r="Z9852" s="2" t="s">
        <v>59049</v>
      </c>
      <c r="AA9852" s="2" t="s">
        <v>59050</v>
      </c>
      <c r="AB9852" t="s">
        <v>59051</v>
      </c>
      <c r="AC9852" t="s">
        <v>59052</v>
      </c>
      <c r="AF9852" t="s">
        <v>59053</v>
      </c>
      <c r="AG9852" t="s">
        <v>59054</v>
      </c>
      <c r="AH9852" t="s">
        <v>59055</v>
      </c>
      <c r="AI9852" t="s">
        <v>59056</v>
      </c>
    </row>
    <row r="9853" spans="2:35" ht="180">
      <c r="B9853" s="1">
        <v>44915</v>
      </c>
      <c r="C9853" s="4">
        <v>44915.551388888889</v>
      </c>
      <c r="D9853" t="s">
        <v>32616</v>
      </c>
      <c r="E9853" t="s">
        <v>29745</v>
      </c>
      <c r="F9853">
        <v>3</v>
      </c>
      <c r="G9853" t="s">
        <v>174</v>
      </c>
      <c r="H9853" t="s">
        <v>39</v>
      </c>
      <c r="I9853" t="s">
        <v>40</v>
      </c>
      <c r="J9853" s="2" t="s">
        <v>41</v>
      </c>
      <c r="K9853" t="s">
        <v>42</v>
      </c>
      <c r="Q9853">
        <v>22738</v>
      </c>
      <c r="R9853" t="s">
        <v>45</v>
      </c>
      <c r="S9853" t="s">
        <v>46969</v>
      </c>
      <c r="T9853">
        <v>28</v>
      </c>
      <c r="U9853" s="2" t="s">
        <v>59057</v>
      </c>
      <c r="V9853" s="1">
        <v>44914</v>
      </c>
      <c r="W9853" t="s">
        <v>84</v>
      </c>
      <c r="X9853">
        <v>805252</v>
      </c>
      <c r="Y9853" t="s">
        <v>59058</v>
      </c>
      <c r="Z9853" t="s">
        <v>335</v>
      </c>
      <c r="AA9853" t="e">
        <f ca="1">- generated PRE reports
- replaced module A3
- generated post reports
- checked _xludf.and cleaned cartridge bay, plunger rod, _xludf.filter
- performed functionality test</f>
        <v>#NAME?</v>
      </c>
      <c r="AB9853" t="s">
        <v>37589</v>
      </c>
      <c r="AD9853" t="s">
        <v>59059</v>
      </c>
      <c r="AE9853" t="s">
        <v>59060</v>
      </c>
      <c r="AF9853" t="s">
        <v>59061</v>
      </c>
      <c r="AG9853" t="s">
        <v>59062</v>
      </c>
      <c r="AH9853" t="s">
        <v>46974</v>
      </c>
      <c r="AI9853" t="s">
        <v>59063</v>
      </c>
    </row>
    <row r="9854" spans="2:35" ht="285">
      <c r="B9854" s="1">
        <v>44915</v>
      </c>
      <c r="C9854" s="4">
        <v>44915.525000000001</v>
      </c>
      <c r="D9854" t="s">
        <v>22463</v>
      </c>
      <c r="E9854" t="s">
        <v>59064</v>
      </c>
      <c r="F9854" t="s">
        <v>148</v>
      </c>
      <c r="G9854" t="s">
        <v>310</v>
      </c>
      <c r="H9854" t="s">
        <v>39</v>
      </c>
      <c r="I9854" t="s">
        <v>40</v>
      </c>
      <c r="J9854" s="2" t="s">
        <v>41</v>
      </c>
      <c r="K9854" t="s">
        <v>42</v>
      </c>
      <c r="Q9854">
        <v>22737</v>
      </c>
      <c r="R9854" t="s">
        <v>45</v>
      </c>
      <c r="S9854" t="s">
        <v>59065</v>
      </c>
      <c r="T9854">
        <v>25</v>
      </c>
      <c r="U9854" s="2" t="s">
        <v>59066</v>
      </c>
      <c r="V9854" s="1">
        <v>44914</v>
      </c>
      <c r="W9854" t="s">
        <v>84</v>
      </c>
      <c r="X9854">
        <v>814376</v>
      </c>
      <c r="Y9854" s="2" t="s">
        <v>59067</v>
      </c>
      <c r="Z9854" s="2" t="s">
        <v>59068</v>
      </c>
      <c r="AA9854" t="s">
        <v>22330</v>
      </c>
      <c r="AB9854" t="s">
        <v>88</v>
      </c>
      <c r="AD9854" t="s">
        <v>59069</v>
      </c>
      <c r="AE9854" t="s">
        <v>59070</v>
      </c>
      <c r="AF9854" t="s">
        <v>1943</v>
      </c>
      <c r="AG9854" t="s">
        <v>59071</v>
      </c>
      <c r="AH9854" t="s">
        <v>59072</v>
      </c>
      <c r="AI9854" t="s">
        <v>59073</v>
      </c>
    </row>
    <row r="9855" spans="2:35" ht="180">
      <c r="B9855" s="1">
        <v>44915</v>
      </c>
      <c r="C9855" s="4">
        <v>44915.538194444445</v>
      </c>
      <c r="D9855" t="s">
        <v>29159</v>
      </c>
      <c r="E9855" t="s">
        <v>44767</v>
      </c>
      <c r="F9855" t="s">
        <v>148</v>
      </c>
      <c r="G9855" t="s">
        <v>774</v>
      </c>
      <c r="H9855" t="s">
        <v>39</v>
      </c>
      <c r="I9855" t="s">
        <v>40</v>
      </c>
      <c r="J9855" s="2" t="s">
        <v>190</v>
      </c>
      <c r="K9855" t="s">
        <v>42</v>
      </c>
      <c r="Q9855">
        <v>22736</v>
      </c>
      <c r="R9855" t="s">
        <v>45</v>
      </c>
      <c r="S9855" t="s">
        <v>35661</v>
      </c>
      <c r="T9855">
        <v>28</v>
      </c>
      <c r="U9855" s="2" t="s">
        <v>59074</v>
      </c>
      <c r="W9855" t="s">
        <v>2680</v>
      </c>
      <c r="X9855">
        <v>707512</v>
      </c>
      <c r="Y9855" t="s">
        <v>59075</v>
      </c>
      <c r="Z9855" t="s">
        <v>59076</v>
      </c>
      <c r="AA9855" s="2" t="s">
        <v>59077</v>
      </c>
      <c r="AB9855" t="s">
        <v>59078</v>
      </c>
      <c r="AF9855" t="s">
        <v>57018</v>
      </c>
      <c r="AG9855" t="s">
        <v>59079</v>
      </c>
      <c r="AH9855" t="s">
        <v>35665</v>
      </c>
      <c r="AI9855" t="s">
        <v>59080</v>
      </c>
    </row>
    <row r="9856" spans="2:35" ht="255">
      <c r="B9856" s="1">
        <v>44915</v>
      </c>
      <c r="C9856" s="4">
        <v>44915.509027777778</v>
      </c>
      <c r="D9856" t="s">
        <v>59081</v>
      </c>
      <c r="E9856" t="s">
        <v>59082</v>
      </c>
      <c r="F9856" t="s">
        <v>511</v>
      </c>
      <c r="G9856" t="s">
        <v>512</v>
      </c>
      <c r="H9856" t="s">
        <v>39</v>
      </c>
      <c r="I9856" t="s">
        <v>40</v>
      </c>
      <c r="J9856" s="2" t="s">
        <v>62</v>
      </c>
      <c r="K9856" t="s">
        <v>42</v>
      </c>
      <c r="Q9856">
        <v>22735</v>
      </c>
      <c r="R9856" t="s">
        <v>119</v>
      </c>
      <c r="S9856" t="s">
        <v>6920</v>
      </c>
      <c r="T9856">
        <v>20</v>
      </c>
      <c r="U9856" s="2" t="s">
        <v>59083</v>
      </c>
      <c r="W9856" t="s">
        <v>84</v>
      </c>
      <c r="X9856">
        <v>838281</v>
      </c>
      <c r="Y9856" s="2" t="s">
        <v>59084</v>
      </c>
      <c r="Z9856" t="s">
        <v>59085</v>
      </c>
      <c r="AA9856" s="2" t="s">
        <v>59086</v>
      </c>
      <c r="AB9856" t="s">
        <v>181</v>
      </c>
      <c r="AF9856" t="s">
        <v>56616</v>
      </c>
      <c r="AG9856" t="s">
        <v>59087</v>
      </c>
      <c r="AH9856" t="s">
        <v>6925</v>
      </c>
      <c r="AI9856" t="s">
        <v>59088</v>
      </c>
    </row>
    <row r="9857" spans="2:35" ht="375">
      <c r="B9857" s="1">
        <v>44915</v>
      </c>
      <c r="C9857" s="4">
        <v>44915.50277777778</v>
      </c>
      <c r="D9857" t="s">
        <v>31830</v>
      </c>
      <c r="E9857" t="s">
        <v>4655</v>
      </c>
      <c r="F9857">
        <v>10</v>
      </c>
      <c r="G9857" t="s">
        <v>1395</v>
      </c>
      <c r="H9857" t="s">
        <v>39</v>
      </c>
      <c r="I9857" t="s">
        <v>94</v>
      </c>
      <c r="J9857" t="s">
        <v>2129</v>
      </c>
      <c r="K9857" t="s">
        <v>42</v>
      </c>
      <c r="Q9857">
        <v>22734</v>
      </c>
      <c r="R9857" t="s">
        <v>45</v>
      </c>
      <c r="S9857" t="s">
        <v>59089</v>
      </c>
      <c r="T9857">
        <v>30</v>
      </c>
      <c r="U9857" s="2" t="s">
        <v>59090</v>
      </c>
      <c r="V9857" s="1">
        <v>44914</v>
      </c>
      <c r="W9857" t="s">
        <v>43102</v>
      </c>
      <c r="X9857">
        <v>844118</v>
      </c>
      <c r="Y9857" t="s">
        <v>59091</v>
      </c>
      <c r="Z9857" t="s">
        <v>2129</v>
      </c>
      <c r="AA9857" s="2" t="s">
        <v>59092</v>
      </c>
      <c r="AB9857" t="s">
        <v>486</v>
      </c>
      <c r="AC9857" t="s">
        <v>59093</v>
      </c>
      <c r="AD9857" t="s">
        <v>59094</v>
      </c>
      <c r="AE9857" t="s">
        <v>54</v>
      </c>
      <c r="AF9857" t="s">
        <v>43100</v>
      </c>
      <c r="AG9857" t="s">
        <v>59095</v>
      </c>
      <c r="AH9857" t="s">
        <v>59096</v>
      </c>
      <c r="AI9857" t="s">
        <v>59097</v>
      </c>
    </row>
    <row r="9858" spans="2:35" ht="255">
      <c r="B9858" s="1">
        <v>44915</v>
      </c>
      <c r="C9858" s="4">
        <v>44915.456944444442</v>
      </c>
      <c r="D9858" t="s">
        <v>26581</v>
      </c>
      <c r="E9858" t="s">
        <v>59098</v>
      </c>
      <c r="F9858" t="s">
        <v>148</v>
      </c>
      <c r="G9858" t="s">
        <v>310</v>
      </c>
      <c r="H9858" t="s">
        <v>39</v>
      </c>
      <c r="I9858" t="s">
        <v>40</v>
      </c>
      <c r="J9858" t="s">
        <v>79</v>
      </c>
      <c r="K9858" t="s">
        <v>42</v>
      </c>
      <c r="Q9858">
        <v>22733</v>
      </c>
      <c r="R9858" t="s">
        <v>45</v>
      </c>
      <c r="S9858" t="s">
        <v>26576</v>
      </c>
      <c r="T9858">
        <v>25</v>
      </c>
      <c r="U9858" s="2" t="s">
        <v>59099</v>
      </c>
      <c r="V9858" s="1">
        <v>44914</v>
      </c>
      <c r="W9858" t="s">
        <v>84</v>
      </c>
      <c r="X9858">
        <v>707072</v>
      </c>
      <c r="Y9858" s="2" t="s">
        <v>59100</v>
      </c>
      <c r="Z9858" s="2" t="s">
        <v>59101</v>
      </c>
      <c r="AA9858" t="s">
        <v>51654</v>
      </c>
      <c r="AB9858" t="s">
        <v>88</v>
      </c>
      <c r="AD9858" t="s">
        <v>59102</v>
      </c>
      <c r="AE9858" t="s">
        <v>59103</v>
      </c>
      <c r="AF9858" t="s">
        <v>1943</v>
      </c>
      <c r="AG9858" t="s">
        <v>59104</v>
      </c>
      <c r="AH9858" t="s">
        <v>26585</v>
      </c>
      <c r="AI9858" t="s">
        <v>59105</v>
      </c>
    </row>
    <row r="9859" spans="2:35" ht="255">
      <c r="B9859" s="1">
        <v>44915</v>
      </c>
      <c r="C9859" s="4">
        <v>44915.387499999997</v>
      </c>
      <c r="D9859" t="s">
        <v>9805</v>
      </c>
      <c r="E9859" t="s">
        <v>59106</v>
      </c>
      <c r="F9859" t="s">
        <v>511</v>
      </c>
      <c r="G9859" t="s">
        <v>512</v>
      </c>
      <c r="H9859" t="s">
        <v>13481</v>
      </c>
      <c r="I9859" t="s">
        <v>40</v>
      </c>
      <c r="J9859" t="s">
        <v>109</v>
      </c>
      <c r="K9859" t="s">
        <v>42</v>
      </c>
      <c r="Q9859">
        <v>22732</v>
      </c>
      <c r="R9859" t="s">
        <v>45</v>
      </c>
      <c r="S9859" t="s">
        <v>29628</v>
      </c>
      <c r="T9859">
        <v>24.3</v>
      </c>
      <c r="U9859" s="2" t="s">
        <v>59107</v>
      </c>
      <c r="W9859" t="s">
        <v>84</v>
      </c>
      <c r="X9859">
        <v>834685</v>
      </c>
      <c r="Y9859" t="s">
        <v>33606</v>
      </c>
      <c r="Z9859" t="s">
        <v>3128</v>
      </c>
      <c r="AA9859" s="2" t="s">
        <v>59108</v>
      </c>
      <c r="AB9859" t="s">
        <v>181</v>
      </c>
      <c r="AF9859" t="s">
        <v>55932</v>
      </c>
      <c r="AG9859" t="s">
        <v>59109</v>
      </c>
      <c r="AH9859" t="s">
        <v>43692</v>
      </c>
      <c r="AI9859" t="s">
        <v>59110</v>
      </c>
    </row>
    <row r="9860" spans="2:35" ht="255">
      <c r="B9860" s="1">
        <v>44915</v>
      </c>
      <c r="C9860" s="4">
        <v>44915.381249999999</v>
      </c>
      <c r="D9860" t="s">
        <v>9805</v>
      </c>
      <c r="E9860" t="s">
        <v>59111</v>
      </c>
      <c r="F9860" t="s">
        <v>511</v>
      </c>
      <c r="G9860" t="s">
        <v>512</v>
      </c>
      <c r="H9860" t="s">
        <v>13481</v>
      </c>
      <c r="I9860" t="s">
        <v>40</v>
      </c>
      <c r="J9860" s="2" t="s">
        <v>41</v>
      </c>
      <c r="K9860" t="s">
        <v>42</v>
      </c>
      <c r="Q9860">
        <v>22731</v>
      </c>
      <c r="R9860" t="s">
        <v>45</v>
      </c>
      <c r="S9860" t="s">
        <v>29628</v>
      </c>
      <c r="T9860">
        <v>23.4</v>
      </c>
      <c r="U9860" s="2" t="s">
        <v>59112</v>
      </c>
      <c r="V9860" s="1">
        <v>44915</v>
      </c>
      <c r="W9860" t="s">
        <v>84</v>
      </c>
      <c r="X9860">
        <v>805212</v>
      </c>
      <c r="Y9860" t="s">
        <v>59113</v>
      </c>
      <c r="Z9860" t="s">
        <v>2129</v>
      </c>
      <c r="AA9860" s="2" t="s">
        <v>59114</v>
      </c>
      <c r="AB9860" t="s">
        <v>181</v>
      </c>
      <c r="AD9860" s="2" t="s">
        <v>59115</v>
      </c>
      <c r="AE9860" t="s">
        <v>45</v>
      </c>
      <c r="AF9860" t="s">
        <v>55932</v>
      </c>
      <c r="AG9860" t="s">
        <v>59116</v>
      </c>
      <c r="AH9860" t="s">
        <v>43692</v>
      </c>
      <c r="AI9860" t="s">
        <v>59117</v>
      </c>
    </row>
    <row r="9861" spans="2:35" ht="285">
      <c r="B9861" s="1">
        <v>44914</v>
      </c>
      <c r="C9861" s="4">
        <v>44914.446527777778</v>
      </c>
      <c r="D9861" t="s">
        <v>2417</v>
      </c>
      <c r="E9861" t="s">
        <v>55394</v>
      </c>
      <c r="F9861" t="s">
        <v>148</v>
      </c>
      <c r="G9861" t="s">
        <v>774</v>
      </c>
      <c r="H9861" t="s">
        <v>39</v>
      </c>
      <c r="I9861" t="s">
        <v>40</v>
      </c>
      <c r="J9861" t="s">
        <v>525</v>
      </c>
      <c r="K9861" t="s">
        <v>42</v>
      </c>
      <c r="Q9861">
        <v>22730</v>
      </c>
      <c r="R9861" t="s">
        <v>45</v>
      </c>
      <c r="S9861" t="s">
        <v>59118</v>
      </c>
      <c r="T9861">
        <v>28</v>
      </c>
      <c r="U9861" s="2" t="s">
        <v>59119</v>
      </c>
      <c r="W9861" t="s">
        <v>2680</v>
      </c>
      <c r="X9861">
        <v>807613</v>
      </c>
      <c r="Y9861" t="s">
        <v>59120</v>
      </c>
      <c r="Z9861" t="s">
        <v>59121</v>
      </c>
      <c r="AA9861" s="2" t="s">
        <v>59122</v>
      </c>
      <c r="AB9861" t="s">
        <v>59123</v>
      </c>
      <c r="AC9861" t="s">
        <v>59124</v>
      </c>
      <c r="AF9861" t="s">
        <v>1028</v>
      </c>
      <c r="AG9861" t="s">
        <v>59125</v>
      </c>
      <c r="AH9861" t="s">
        <v>59126</v>
      </c>
      <c r="AI9861" t="s">
        <v>59127</v>
      </c>
    </row>
    <row r="9862" spans="2:35">
      <c r="B9862" s="1">
        <v>44914</v>
      </c>
      <c r="C9862" s="4">
        <v>44914.688194444447</v>
      </c>
      <c r="D9862" t="s">
        <v>38422</v>
      </c>
      <c r="E9862" t="s">
        <v>59128</v>
      </c>
      <c r="F9862" t="s">
        <v>148</v>
      </c>
      <c r="G9862" t="s">
        <v>447</v>
      </c>
      <c r="H9862" t="s">
        <v>386</v>
      </c>
      <c r="I9862" t="s">
        <v>40</v>
      </c>
      <c r="J9862" t="s">
        <v>59129</v>
      </c>
      <c r="K9862" t="s">
        <v>387</v>
      </c>
      <c r="Q9862">
        <v>22729</v>
      </c>
      <c r="R9862" t="s">
        <v>322</v>
      </c>
      <c r="S9862" t="s">
        <v>59130</v>
      </c>
      <c r="T9862">
        <v>26</v>
      </c>
      <c r="V9862" s="1">
        <v>44846</v>
      </c>
      <c r="W9862" t="s">
        <v>49610</v>
      </c>
      <c r="X9862" t="s">
        <v>46492</v>
      </c>
      <c r="Y9862" t="s">
        <v>59131</v>
      </c>
      <c r="Z9862" t="s">
        <v>59132</v>
      </c>
      <c r="AA9862" t="s">
        <v>59133</v>
      </c>
      <c r="AB9862" t="s">
        <v>59134</v>
      </c>
      <c r="AD9862" t="s">
        <v>59135</v>
      </c>
      <c r="AE9862">
        <v>9281</v>
      </c>
      <c r="AF9862" t="s">
        <v>448</v>
      </c>
      <c r="AG9862" t="s">
        <v>59136</v>
      </c>
      <c r="AH9862" t="s">
        <v>59137</v>
      </c>
      <c r="AI9862" t="s">
        <v>59138</v>
      </c>
    </row>
    <row r="9863" spans="2:35">
      <c r="B9863" s="1">
        <v>44914</v>
      </c>
      <c r="C9863" s="4">
        <v>44914.690972222219</v>
      </c>
      <c r="D9863" t="s">
        <v>38422</v>
      </c>
      <c r="E9863" t="s">
        <v>59128</v>
      </c>
      <c r="F9863" t="s">
        <v>148</v>
      </c>
      <c r="G9863" t="s">
        <v>447</v>
      </c>
      <c r="H9863" t="s">
        <v>386</v>
      </c>
      <c r="I9863" t="s">
        <v>40</v>
      </c>
      <c r="J9863" t="s">
        <v>59129</v>
      </c>
      <c r="K9863" t="s">
        <v>387</v>
      </c>
      <c r="Q9863">
        <v>22728</v>
      </c>
      <c r="R9863" t="s">
        <v>322</v>
      </c>
      <c r="S9863" t="s">
        <v>59130</v>
      </c>
      <c r="T9863">
        <v>26</v>
      </c>
      <c r="V9863" s="1">
        <v>44846</v>
      </c>
      <c r="W9863" t="s">
        <v>436</v>
      </c>
      <c r="X9863" t="s">
        <v>17815</v>
      </c>
      <c r="Y9863" t="s">
        <v>59139</v>
      </c>
      <c r="Z9863" t="s">
        <v>59140</v>
      </c>
      <c r="AA9863" t="s">
        <v>59129</v>
      </c>
      <c r="AB9863" t="s">
        <v>486</v>
      </c>
      <c r="AD9863" t="s">
        <v>59141</v>
      </c>
      <c r="AE9863">
        <v>9280</v>
      </c>
      <c r="AF9863" t="s">
        <v>448</v>
      </c>
      <c r="AG9863" t="s">
        <v>59142</v>
      </c>
      <c r="AH9863" t="s">
        <v>59137</v>
      </c>
      <c r="AI9863" t="s">
        <v>59143</v>
      </c>
    </row>
    <row r="9864" spans="2:35" ht="285">
      <c r="B9864" s="1">
        <v>44914</v>
      </c>
      <c r="C9864" s="4">
        <v>44914.473611111112</v>
      </c>
      <c r="D9864" t="s">
        <v>56020</v>
      </c>
      <c r="E9864" t="s">
        <v>31739</v>
      </c>
      <c r="F9864">
        <v>3</v>
      </c>
      <c r="G9864" t="s">
        <v>1722</v>
      </c>
      <c r="H9864" t="s">
        <v>39</v>
      </c>
      <c r="I9864" t="s">
        <v>40</v>
      </c>
      <c r="J9864" s="2" t="s">
        <v>1592</v>
      </c>
      <c r="K9864" t="s">
        <v>42</v>
      </c>
      <c r="Q9864">
        <v>22727</v>
      </c>
      <c r="R9864" t="s">
        <v>45</v>
      </c>
      <c r="S9864" t="s">
        <v>31740</v>
      </c>
      <c r="T9864">
        <v>28</v>
      </c>
      <c r="U9864" s="2" t="s">
        <v>59144</v>
      </c>
      <c r="V9864" s="1">
        <v>44914</v>
      </c>
      <c r="W9864" t="s">
        <v>26915</v>
      </c>
      <c r="X9864">
        <v>805107</v>
      </c>
      <c r="Y9864" t="s">
        <v>59145</v>
      </c>
      <c r="Z9864" t="s">
        <v>57225</v>
      </c>
      <c r="AA9864" s="2" t="s">
        <v>59146</v>
      </c>
      <c r="AB9864" t="s">
        <v>38043</v>
      </c>
      <c r="AC9864" t="s">
        <v>59147</v>
      </c>
      <c r="AD9864" t="s">
        <v>10783</v>
      </c>
      <c r="AE9864" t="s">
        <v>1716</v>
      </c>
      <c r="AF9864" t="s">
        <v>63</v>
      </c>
      <c r="AG9864" t="s">
        <v>59148</v>
      </c>
      <c r="AH9864" t="s">
        <v>41994</v>
      </c>
      <c r="AI9864" t="s">
        <v>59149</v>
      </c>
    </row>
    <row r="9865" spans="2:35" ht="330">
      <c r="B9865" s="1">
        <v>44914</v>
      </c>
      <c r="C9865" s="4">
        <v>44904.606249999997</v>
      </c>
      <c r="D9865" t="s">
        <v>36245</v>
      </c>
      <c r="E9865" t="s">
        <v>36246</v>
      </c>
      <c r="F9865">
        <v>3</v>
      </c>
      <c r="G9865" t="s">
        <v>174</v>
      </c>
      <c r="H9865" t="s">
        <v>36247</v>
      </c>
      <c r="I9865" t="s">
        <v>94</v>
      </c>
      <c r="J9865" s="2" t="s">
        <v>62</v>
      </c>
      <c r="K9865" t="s">
        <v>2629</v>
      </c>
      <c r="Q9865">
        <v>22726</v>
      </c>
      <c r="R9865" t="s">
        <v>95</v>
      </c>
      <c r="S9865" t="s">
        <v>36249</v>
      </c>
      <c r="T9865">
        <v>25</v>
      </c>
      <c r="W9865" t="s">
        <v>59150</v>
      </c>
      <c r="X9865">
        <v>3321001650</v>
      </c>
      <c r="Y9865" t="s">
        <v>55835</v>
      </c>
      <c r="Z9865" t="s">
        <v>6279</v>
      </c>
      <c r="AA9865" s="2" t="s">
        <v>59151</v>
      </c>
      <c r="AB9865" t="s">
        <v>59152</v>
      </c>
      <c r="AC9865" t="s">
        <v>59153</v>
      </c>
      <c r="AF9865" t="s">
        <v>59154</v>
      </c>
      <c r="AG9865" t="s">
        <v>59155</v>
      </c>
      <c r="AH9865" t="s">
        <v>36256</v>
      </c>
      <c r="AI9865" t="s">
        <v>59156</v>
      </c>
    </row>
    <row r="9866" spans="2:35" ht="255">
      <c r="B9866" s="1">
        <v>44908</v>
      </c>
      <c r="C9866" s="4">
        <v>44908.385416666664</v>
      </c>
      <c r="D9866" t="s">
        <v>59157</v>
      </c>
      <c r="E9866" t="s">
        <v>59158</v>
      </c>
      <c r="F9866" t="s">
        <v>148</v>
      </c>
      <c r="G9866" t="s">
        <v>310</v>
      </c>
      <c r="H9866" t="s">
        <v>39</v>
      </c>
      <c r="I9866" t="s">
        <v>40</v>
      </c>
      <c r="J9866" t="s">
        <v>525</v>
      </c>
      <c r="K9866" t="s">
        <v>42</v>
      </c>
      <c r="Q9866">
        <v>22725</v>
      </c>
      <c r="R9866" t="s">
        <v>322</v>
      </c>
      <c r="S9866" t="s">
        <v>859</v>
      </c>
      <c r="T9866">
        <v>25</v>
      </c>
      <c r="U9866" s="2" t="s">
        <v>59159</v>
      </c>
      <c r="W9866" t="s">
        <v>59160</v>
      </c>
      <c r="X9866">
        <v>809643</v>
      </c>
      <c r="Y9866" t="s">
        <v>59161</v>
      </c>
      <c r="Z9866" t="s">
        <v>59162</v>
      </c>
      <c r="AA9866" t="s">
        <v>59163</v>
      </c>
      <c r="AB9866" t="s">
        <v>59164</v>
      </c>
      <c r="AF9866" t="s">
        <v>857</v>
      </c>
      <c r="AG9866" t="s">
        <v>59165</v>
      </c>
      <c r="AH9866" t="s">
        <v>6908</v>
      </c>
      <c r="AI9866" t="s">
        <v>59166</v>
      </c>
    </row>
    <row r="9867" spans="2:35" ht="180">
      <c r="B9867" s="1">
        <v>44904</v>
      </c>
      <c r="C9867" s="4">
        <v>44904.62222222222</v>
      </c>
      <c r="D9867" t="s">
        <v>58222</v>
      </c>
      <c r="E9867" t="s">
        <v>59167</v>
      </c>
      <c r="F9867" t="s">
        <v>148</v>
      </c>
      <c r="G9867" t="s">
        <v>20126</v>
      </c>
      <c r="H9867" t="s">
        <v>39</v>
      </c>
      <c r="I9867" t="s">
        <v>40</v>
      </c>
      <c r="J9867" t="s">
        <v>109</v>
      </c>
      <c r="K9867" t="s">
        <v>42</v>
      </c>
      <c r="Q9867">
        <v>22724</v>
      </c>
      <c r="R9867" t="s">
        <v>45</v>
      </c>
      <c r="S9867" t="s">
        <v>22337</v>
      </c>
      <c r="T9867">
        <v>32</v>
      </c>
      <c r="U9867" s="2" t="s">
        <v>59168</v>
      </c>
      <c r="W9867" t="s">
        <v>1008</v>
      </c>
      <c r="X9867">
        <v>805106</v>
      </c>
      <c r="Y9867" t="s">
        <v>121</v>
      </c>
      <c r="Z9867" t="s">
        <v>59169</v>
      </c>
      <c r="AA9867" t="s">
        <v>6997</v>
      </c>
      <c r="AB9867" t="s">
        <v>59170</v>
      </c>
      <c r="AF9867" t="s">
        <v>448</v>
      </c>
      <c r="AG9867" t="s">
        <v>59171</v>
      </c>
      <c r="AH9867" t="s">
        <v>448</v>
      </c>
      <c r="AI9867" t="s">
        <v>59172</v>
      </c>
    </row>
    <row r="9868" spans="2:35" ht="180">
      <c r="B9868" s="1">
        <v>44904</v>
      </c>
      <c r="C9868" s="4">
        <v>44904.499305555553</v>
      </c>
      <c r="D9868" t="s">
        <v>50855</v>
      </c>
      <c r="E9868" t="s">
        <v>59173</v>
      </c>
      <c r="F9868" t="s">
        <v>148</v>
      </c>
      <c r="G9868" t="s">
        <v>20126</v>
      </c>
      <c r="H9868" t="s">
        <v>39</v>
      </c>
      <c r="I9868" t="s">
        <v>40</v>
      </c>
      <c r="J9868" t="s">
        <v>109</v>
      </c>
      <c r="K9868" t="s">
        <v>42</v>
      </c>
      <c r="Q9868">
        <v>22723</v>
      </c>
      <c r="R9868" t="s">
        <v>119</v>
      </c>
      <c r="S9868" t="s">
        <v>33009</v>
      </c>
      <c r="T9868">
        <v>29</v>
      </c>
      <c r="U9868" s="2" t="s">
        <v>59174</v>
      </c>
      <c r="W9868" t="s">
        <v>502</v>
      </c>
      <c r="X9868">
        <v>831700</v>
      </c>
      <c r="Y9868" t="s">
        <v>121</v>
      </c>
      <c r="Z9868" t="s">
        <v>59175</v>
      </c>
      <c r="AA9868" t="s">
        <v>6997</v>
      </c>
      <c r="AB9868" t="s">
        <v>486</v>
      </c>
      <c r="AF9868" t="s">
        <v>49366</v>
      </c>
      <c r="AG9868" t="s">
        <v>59176</v>
      </c>
      <c r="AH9868" t="s">
        <v>50862</v>
      </c>
      <c r="AI9868" t="s">
        <v>59177</v>
      </c>
    </row>
    <row r="9869" spans="2:35" ht="165">
      <c r="B9869" s="1">
        <v>44904</v>
      </c>
      <c r="C9869" s="4">
        <v>44904.65347222222</v>
      </c>
      <c r="D9869" t="s">
        <v>55916</v>
      </c>
      <c r="E9869" t="s">
        <v>59178</v>
      </c>
      <c r="F9869">
        <v>3</v>
      </c>
      <c r="G9869" t="s">
        <v>1722</v>
      </c>
      <c r="H9869" t="s">
        <v>39</v>
      </c>
      <c r="I9869" t="s">
        <v>40</v>
      </c>
      <c r="J9869" t="s">
        <v>109</v>
      </c>
      <c r="K9869" t="s">
        <v>42</v>
      </c>
      <c r="Q9869">
        <v>22722</v>
      </c>
      <c r="R9869" t="s">
        <v>119</v>
      </c>
      <c r="S9869" t="s">
        <v>59179</v>
      </c>
      <c r="T9869">
        <v>25</v>
      </c>
      <c r="U9869" s="2" t="s">
        <v>40628</v>
      </c>
      <c r="V9869" s="1">
        <v>44904</v>
      </c>
      <c r="W9869" t="s">
        <v>26915</v>
      </c>
      <c r="X9869">
        <v>831599</v>
      </c>
      <c r="Y9869" t="s">
        <v>1716</v>
      </c>
      <c r="Z9869" t="s">
        <v>1716</v>
      </c>
      <c r="AA9869" s="2" t="s">
        <v>1727</v>
      </c>
      <c r="AB9869" t="s">
        <v>181</v>
      </c>
      <c r="AC9869" t="s">
        <v>1716</v>
      </c>
      <c r="AD9869" t="s">
        <v>1716</v>
      </c>
      <c r="AE9869" t="s">
        <v>1716</v>
      </c>
      <c r="AF9869" t="s">
        <v>63</v>
      </c>
      <c r="AG9869" t="s">
        <v>59180</v>
      </c>
      <c r="AH9869" t="s">
        <v>59181</v>
      </c>
      <c r="AI9869" t="s">
        <v>59182</v>
      </c>
    </row>
    <row r="9870" spans="2:35" ht="315">
      <c r="B9870" s="1">
        <v>44904</v>
      </c>
      <c r="C9870" s="4">
        <v>44904.620138888888</v>
      </c>
      <c r="D9870" t="s">
        <v>4206</v>
      </c>
      <c r="E9870" t="s">
        <v>59183</v>
      </c>
      <c r="F9870">
        <v>11</v>
      </c>
      <c r="G9870" t="s">
        <v>2836</v>
      </c>
      <c r="H9870" t="s">
        <v>39</v>
      </c>
      <c r="I9870" t="s">
        <v>40</v>
      </c>
      <c r="J9870" t="s">
        <v>109</v>
      </c>
      <c r="K9870" t="s">
        <v>42</v>
      </c>
      <c r="Q9870">
        <v>22721</v>
      </c>
      <c r="R9870" t="s">
        <v>119</v>
      </c>
      <c r="S9870" t="s">
        <v>4209</v>
      </c>
      <c r="T9870">
        <v>21.5</v>
      </c>
      <c r="U9870" s="2" t="s">
        <v>30357</v>
      </c>
      <c r="V9870" s="1">
        <v>44904</v>
      </c>
      <c r="W9870" t="s">
        <v>59184</v>
      </c>
      <c r="X9870">
        <v>838295</v>
      </c>
      <c r="Y9870" t="s">
        <v>1052</v>
      </c>
      <c r="Z9870" t="s">
        <v>2551</v>
      </c>
      <c r="AA9870" s="2" t="s">
        <v>59185</v>
      </c>
      <c r="AB9870" s="2" t="s">
        <v>59186</v>
      </c>
      <c r="AC9870" t="s">
        <v>59187</v>
      </c>
      <c r="AD9870" t="s">
        <v>54</v>
      </c>
      <c r="AE9870" t="s">
        <v>54</v>
      </c>
      <c r="AF9870" t="s">
        <v>57687</v>
      </c>
      <c r="AG9870" t="s">
        <v>59188</v>
      </c>
      <c r="AH9870" t="s">
        <v>59189</v>
      </c>
      <c r="AI9870" t="s">
        <v>59190</v>
      </c>
    </row>
    <row r="9871" spans="2:35" ht="240">
      <c r="B9871" s="1">
        <v>44904</v>
      </c>
      <c r="C9871" s="4">
        <v>44904.612500000003</v>
      </c>
      <c r="D9871" t="s">
        <v>12198</v>
      </c>
      <c r="E9871" t="s">
        <v>59191</v>
      </c>
      <c r="F9871" t="s">
        <v>148</v>
      </c>
      <c r="G9871" t="s">
        <v>310</v>
      </c>
      <c r="H9871" t="s">
        <v>39</v>
      </c>
      <c r="I9871" t="s">
        <v>40</v>
      </c>
      <c r="J9871" s="2" t="s">
        <v>41</v>
      </c>
      <c r="K9871" t="s">
        <v>42</v>
      </c>
      <c r="Q9871">
        <v>22720</v>
      </c>
      <c r="R9871" t="s">
        <v>119</v>
      </c>
      <c r="S9871" t="s">
        <v>59192</v>
      </c>
      <c r="T9871">
        <v>25.8</v>
      </c>
      <c r="U9871" s="2" t="s">
        <v>59193</v>
      </c>
      <c r="W9871" t="s">
        <v>895</v>
      </c>
      <c r="X9871">
        <v>844975</v>
      </c>
      <c r="Y9871" s="2" t="s">
        <v>59194</v>
      </c>
      <c r="Z9871" t="s">
        <v>59195</v>
      </c>
      <c r="AA9871" s="2" t="s">
        <v>59196</v>
      </c>
      <c r="AB9871" t="s">
        <v>181</v>
      </c>
      <c r="AF9871" t="s">
        <v>58001</v>
      </c>
      <c r="AG9871" t="s">
        <v>59197</v>
      </c>
      <c r="AH9871" t="s">
        <v>59198</v>
      </c>
      <c r="AI9871" t="s">
        <v>59199</v>
      </c>
    </row>
    <row r="9872" spans="2:35" ht="180">
      <c r="B9872" s="1">
        <v>44904</v>
      </c>
      <c r="C9872" s="4">
        <v>44904.572916666664</v>
      </c>
      <c r="D9872" t="s">
        <v>23828</v>
      </c>
      <c r="E9872" t="s">
        <v>55710</v>
      </c>
      <c r="F9872">
        <v>3</v>
      </c>
      <c r="G9872" t="s">
        <v>730</v>
      </c>
      <c r="H9872" t="s">
        <v>39</v>
      </c>
      <c r="I9872" t="s">
        <v>40</v>
      </c>
      <c r="J9872" s="2" t="s">
        <v>59200</v>
      </c>
      <c r="K9872" t="s">
        <v>42</v>
      </c>
      <c r="Q9872">
        <v>22719</v>
      </c>
      <c r="R9872" t="s">
        <v>119</v>
      </c>
      <c r="S9872" t="s">
        <v>59201</v>
      </c>
      <c r="T9872">
        <v>25</v>
      </c>
      <c r="U9872" s="2" t="s">
        <v>59202</v>
      </c>
      <c r="W9872" t="s">
        <v>2680</v>
      </c>
      <c r="X9872">
        <v>831697</v>
      </c>
      <c r="Y9872" t="s">
        <v>59203</v>
      </c>
      <c r="Z9872" t="e">
        <f ca="1">-performed surface Cleaning
-performed Cleaning of cartridge bay,icore,plunger rod _xludf.and _xludf.filter
-Check monitor
-Generate reports
-archived test results
-performed functionality test</f>
        <v>#NAME?</v>
      </c>
      <c r="AA9872" t="s">
        <v>56842</v>
      </c>
      <c r="AB9872" t="s">
        <v>59204</v>
      </c>
      <c r="AF9872" t="s">
        <v>135</v>
      </c>
      <c r="AG9872" t="s">
        <v>59205</v>
      </c>
      <c r="AH9872" t="s">
        <v>59206</v>
      </c>
      <c r="AI9872" t="s">
        <v>59207</v>
      </c>
    </row>
    <row r="9873" spans="2:35" ht="240">
      <c r="B9873" s="1">
        <v>44904</v>
      </c>
      <c r="C9873" s="4">
        <v>44904.505555555559</v>
      </c>
      <c r="D9873" t="s">
        <v>1484</v>
      </c>
      <c r="E9873" t="s">
        <v>47249</v>
      </c>
      <c r="F9873">
        <v>12</v>
      </c>
      <c r="G9873" t="s">
        <v>978</v>
      </c>
      <c r="H9873" t="s">
        <v>39</v>
      </c>
      <c r="I9873" t="s">
        <v>94</v>
      </c>
      <c r="J9873" s="2" t="s">
        <v>41</v>
      </c>
      <c r="K9873" t="s">
        <v>42</v>
      </c>
      <c r="Q9873">
        <v>22718</v>
      </c>
      <c r="R9873" t="s">
        <v>45</v>
      </c>
      <c r="S9873" t="s">
        <v>1486</v>
      </c>
      <c r="T9873">
        <v>22.1</v>
      </c>
      <c r="U9873" s="2" t="s">
        <v>59208</v>
      </c>
      <c r="V9873" s="1">
        <v>44904</v>
      </c>
      <c r="W9873" t="s">
        <v>53244</v>
      </c>
      <c r="X9873">
        <v>815432</v>
      </c>
      <c r="Y9873" t="s">
        <v>59209</v>
      </c>
      <c r="Z9873" s="2" t="s">
        <v>59210</v>
      </c>
      <c r="AA9873" s="2" t="s">
        <v>59210</v>
      </c>
      <c r="AB9873" t="s">
        <v>59003</v>
      </c>
      <c r="AF9873" t="s">
        <v>58416</v>
      </c>
      <c r="AG9873" t="s">
        <v>59211</v>
      </c>
      <c r="AH9873" t="s">
        <v>24276</v>
      </c>
      <c r="AI9873" t="s">
        <v>59212</v>
      </c>
    </row>
    <row r="9874" spans="2:35" ht="409.5">
      <c r="B9874" s="1">
        <v>44904</v>
      </c>
      <c r="C9874" s="4">
        <v>44904.445138888892</v>
      </c>
      <c r="D9874" t="s">
        <v>23182</v>
      </c>
      <c r="E9874" t="s">
        <v>59213</v>
      </c>
      <c r="F9874" t="s">
        <v>37</v>
      </c>
      <c r="G9874" t="s">
        <v>78</v>
      </c>
      <c r="H9874" t="s">
        <v>39</v>
      </c>
      <c r="I9874" t="s">
        <v>40</v>
      </c>
      <c r="J9874" s="2" t="s">
        <v>62</v>
      </c>
      <c r="K9874" t="s">
        <v>42</v>
      </c>
      <c r="Q9874">
        <v>22717</v>
      </c>
      <c r="R9874" t="s">
        <v>119</v>
      </c>
      <c r="S9874" t="s">
        <v>28030</v>
      </c>
      <c r="T9874">
        <v>26</v>
      </c>
      <c r="U9874" s="2" t="s">
        <v>59214</v>
      </c>
      <c r="W9874" t="s">
        <v>84</v>
      </c>
      <c r="X9874">
        <v>821189</v>
      </c>
      <c r="Y9874" s="2" t="s">
        <v>59215</v>
      </c>
      <c r="Z9874" s="2" t="s">
        <v>59216</v>
      </c>
      <c r="AA9874" t="s">
        <v>59217</v>
      </c>
      <c r="AB9874" s="2" t="s">
        <v>59218</v>
      </c>
      <c r="AF9874" t="s">
        <v>1943</v>
      </c>
      <c r="AG9874" t="s">
        <v>59219</v>
      </c>
      <c r="AH9874" t="s">
        <v>51385</v>
      </c>
      <c r="AI9874" t="s">
        <v>59220</v>
      </c>
    </row>
    <row r="9875" spans="2:35" ht="180">
      <c r="B9875" s="1">
        <v>44904</v>
      </c>
      <c r="C9875" s="4">
        <v>44904.447222222225</v>
      </c>
      <c r="D9875" t="s">
        <v>23619</v>
      </c>
      <c r="E9875" t="s">
        <v>59221</v>
      </c>
      <c r="F9875" t="s">
        <v>148</v>
      </c>
      <c r="G9875" t="s">
        <v>23621</v>
      </c>
      <c r="H9875" t="s">
        <v>39</v>
      </c>
      <c r="I9875" t="s">
        <v>40</v>
      </c>
      <c r="J9875" t="s">
        <v>109</v>
      </c>
      <c r="K9875" t="s">
        <v>42</v>
      </c>
      <c r="Q9875">
        <v>22716</v>
      </c>
      <c r="R9875" t="s">
        <v>45</v>
      </c>
      <c r="S9875" t="s">
        <v>23622</v>
      </c>
      <c r="T9875">
        <v>26.3</v>
      </c>
      <c r="U9875" s="2" t="s">
        <v>33571</v>
      </c>
      <c r="W9875" t="s">
        <v>1139</v>
      </c>
      <c r="X9875">
        <v>807592</v>
      </c>
      <c r="Y9875" t="s">
        <v>33606</v>
      </c>
      <c r="Z9875" t="s">
        <v>3128</v>
      </c>
      <c r="AA9875" s="2" t="s">
        <v>59222</v>
      </c>
      <c r="AB9875" t="s">
        <v>88</v>
      </c>
      <c r="AF9875" t="s">
        <v>58001</v>
      </c>
      <c r="AG9875" t="s">
        <v>59223</v>
      </c>
      <c r="AH9875" t="s">
        <v>23626</v>
      </c>
      <c r="AI9875" t="s">
        <v>59224</v>
      </c>
    </row>
    <row r="9876" spans="2:35" ht="180">
      <c r="B9876" s="1">
        <v>44904</v>
      </c>
      <c r="C9876" s="4">
        <v>44904.440972222219</v>
      </c>
      <c r="D9876" t="s">
        <v>23619</v>
      </c>
      <c r="E9876" t="s">
        <v>59225</v>
      </c>
      <c r="F9876" t="s">
        <v>148</v>
      </c>
      <c r="G9876" t="s">
        <v>23621</v>
      </c>
      <c r="H9876" t="s">
        <v>39</v>
      </c>
      <c r="I9876" t="s">
        <v>40</v>
      </c>
      <c r="J9876" t="s">
        <v>109</v>
      </c>
      <c r="K9876" t="s">
        <v>42</v>
      </c>
      <c r="Q9876">
        <v>22715</v>
      </c>
      <c r="R9876" t="s">
        <v>119</v>
      </c>
      <c r="S9876" t="s">
        <v>23622</v>
      </c>
      <c r="T9876">
        <v>26.25</v>
      </c>
      <c r="U9876" s="2" t="s">
        <v>33571</v>
      </c>
      <c r="W9876" t="s">
        <v>1139</v>
      </c>
      <c r="X9876">
        <v>831626</v>
      </c>
      <c r="Y9876" t="s">
        <v>33606</v>
      </c>
      <c r="Z9876" t="s">
        <v>3128</v>
      </c>
      <c r="AA9876" s="2" t="s">
        <v>59108</v>
      </c>
      <c r="AB9876" t="s">
        <v>181</v>
      </c>
      <c r="AF9876" t="s">
        <v>58001</v>
      </c>
      <c r="AG9876" t="s">
        <v>59226</v>
      </c>
      <c r="AH9876" t="s">
        <v>23626</v>
      </c>
      <c r="AI9876" t="s">
        <v>59227</v>
      </c>
    </row>
    <row r="9877" spans="2:35" ht="180">
      <c r="B9877" s="1">
        <v>44904</v>
      </c>
      <c r="C9877" s="4">
        <v>44904.431944444441</v>
      </c>
      <c r="D9877" t="s">
        <v>44303</v>
      </c>
      <c r="E9877" t="s">
        <v>59228</v>
      </c>
      <c r="F9877">
        <v>7</v>
      </c>
      <c r="G9877" t="s">
        <v>432</v>
      </c>
      <c r="H9877" t="s">
        <v>10969</v>
      </c>
      <c r="I9877" t="s">
        <v>40</v>
      </c>
      <c r="J9877" t="s">
        <v>109</v>
      </c>
      <c r="K9877" t="s">
        <v>42</v>
      </c>
      <c r="Q9877">
        <v>22714</v>
      </c>
      <c r="R9877" t="s">
        <v>119</v>
      </c>
      <c r="S9877" t="s">
        <v>16307</v>
      </c>
      <c r="T9877">
        <v>21</v>
      </c>
      <c r="U9877" s="2" t="s">
        <v>59229</v>
      </c>
      <c r="W9877" t="s">
        <v>1292</v>
      </c>
      <c r="X9877">
        <v>837661</v>
      </c>
      <c r="Y9877" t="e">
        <f ca="1">-_xludf.For Preventive Maintenance</f>
        <v>#NAME?</v>
      </c>
      <c r="Z9877" t="s">
        <v>54</v>
      </c>
      <c r="AA9877" t="e">
        <f ca="1">-PERFORM Preventive Maintenance
-COLLECT IQR, system _xludf.Log, _xludf.and ARCHIVE</f>
        <v>#NAME?</v>
      </c>
      <c r="AB9877" t="e">
        <f ca="1">-ALL modules operational</f>
        <v>#NAME?</v>
      </c>
      <c r="AF9877" t="s">
        <v>58218</v>
      </c>
      <c r="AG9877" t="s">
        <v>59230</v>
      </c>
      <c r="AH9877" t="s">
        <v>59231</v>
      </c>
      <c r="AI9877" t="s">
        <v>59232</v>
      </c>
    </row>
    <row r="9878" spans="2:35" ht="180">
      <c r="B9878" s="1">
        <v>44904</v>
      </c>
      <c r="C9878" s="4">
        <v>44904.42083333333</v>
      </c>
      <c r="D9878" t="s">
        <v>44303</v>
      </c>
      <c r="E9878" t="s">
        <v>59228</v>
      </c>
      <c r="F9878">
        <v>7</v>
      </c>
      <c r="G9878" t="s">
        <v>432</v>
      </c>
      <c r="H9878" t="s">
        <v>10969</v>
      </c>
      <c r="I9878" t="s">
        <v>40</v>
      </c>
      <c r="J9878" s="2" t="s">
        <v>62</v>
      </c>
      <c r="K9878" t="s">
        <v>42</v>
      </c>
      <c r="Q9878">
        <v>22713</v>
      </c>
      <c r="R9878" t="s">
        <v>45</v>
      </c>
      <c r="S9878" t="s">
        <v>16307</v>
      </c>
      <c r="T9878">
        <v>22</v>
      </c>
      <c r="U9878" s="2" t="s">
        <v>59233</v>
      </c>
      <c r="W9878" t="s">
        <v>1292</v>
      </c>
      <c r="X9878">
        <v>808637</v>
      </c>
      <c r="Y9878" t="e">
        <f ca="1">-module B3 _xludf.error/ABORTED test
-_xludf.For XpertCheck</f>
        <v>#NAME?</v>
      </c>
      <c r="Z9878" t="s">
        <v>59234</v>
      </c>
      <c r="AA9878" t="e">
        <f ca="1">-COLLECT IQR, system _xludf.Log, _xludf.and ARCHIVE
-PERFORM Preventive Maintenance
-PERFORM XpertCheck :
B2-Retry THEN service , B3-Retry, B4-Retry</f>
        <v>#NAME?</v>
      </c>
      <c r="AB9878" t="e">
        <f ca="1">-ALL modules available, module B3 is _xludf.not used by the end user DUE to Reported _xludf.error</f>
        <v>#NAME?</v>
      </c>
      <c r="AC9878" t="e">
        <f ca="1">-pending module B1</f>
        <v>#NAME?</v>
      </c>
      <c r="AF9878" t="s">
        <v>58218</v>
      </c>
      <c r="AG9878" t="s">
        <v>59235</v>
      </c>
      <c r="AH9878" t="s">
        <v>59231</v>
      </c>
      <c r="AI9878" t="s">
        <v>59236</v>
      </c>
    </row>
    <row r="9879" spans="2:35" ht="240">
      <c r="B9879" s="1">
        <v>44902</v>
      </c>
      <c r="C9879" s="4">
        <v>44902.578472222223</v>
      </c>
      <c r="D9879" t="s">
        <v>59237</v>
      </c>
      <c r="E9879" t="s">
        <v>59238</v>
      </c>
      <c r="F9879">
        <v>11</v>
      </c>
      <c r="G9879" t="s">
        <v>201</v>
      </c>
      <c r="H9879" t="s">
        <v>39</v>
      </c>
      <c r="I9879" t="s">
        <v>40</v>
      </c>
      <c r="J9879" t="s">
        <v>109</v>
      </c>
      <c r="K9879" t="s">
        <v>42</v>
      </c>
      <c r="Q9879">
        <v>22712</v>
      </c>
      <c r="R9879" t="s">
        <v>45</v>
      </c>
      <c r="S9879" t="s">
        <v>59239</v>
      </c>
      <c r="T9879">
        <v>27.6</v>
      </c>
      <c r="U9879" s="2" t="s">
        <v>59240</v>
      </c>
      <c r="V9879" s="1">
        <v>44902</v>
      </c>
      <c r="W9879" t="s">
        <v>59241</v>
      </c>
      <c r="X9879">
        <v>807432</v>
      </c>
      <c r="Y9879" t="s">
        <v>1052</v>
      </c>
      <c r="Z9879" t="s">
        <v>2551</v>
      </c>
      <c r="AA9879" s="2" t="s">
        <v>59242</v>
      </c>
      <c r="AB9879" t="s">
        <v>59243</v>
      </c>
      <c r="AC9879" t="s">
        <v>54</v>
      </c>
      <c r="AD9879" t="s">
        <v>54</v>
      </c>
      <c r="AE9879" t="s">
        <v>54</v>
      </c>
      <c r="AF9879" t="s">
        <v>2754</v>
      </c>
      <c r="AG9879" t="s">
        <v>59244</v>
      </c>
      <c r="AH9879" t="s">
        <v>59245</v>
      </c>
      <c r="AI9879" t="s">
        <v>59246</v>
      </c>
    </row>
    <row r="9880" spans="2:35" ht="120">
      <c r="B9880" s="1">
        <v>44902</v>
      </c>
      <c r="C9880" s="4">
        <v>44902.406944444447</v>
      </c>
      <c r="D9880" t="s">
        <v>59247</v>
      </c>
      <c r="E9880" t="s">
        <v>59248</v>
      </c>
      <c r="F9880">
        <v>11</v>
      </c>
      <c r="G9880" t="s">
        <v>201</v>
      </c>
      <c r="H9880" t="s">
        <v>39</v>
      </c>
      <c r="I9880" t="s">
        <v>40</v>
      </c>
      <c r="J9880" s="2" t="s">
        <v>41</v>
      </c>
      <c r="K9880" t="s">
        <v>42</v>
      </c>
      <c r="Q9880">
        <v>22711</v>
      </c>
      <c r="R9880" t="s">
        <v>45</v>
      </c>
      <c r="S9880" t="s">
        <v>59249</v>
      </c>
      <c r="T9880">
        <v>26.9</v>
      </c>
      <c r="U9880" s="2" t="s">
        <v>59250</v>
      </c>
      <c r="V9880" s="1">
        <v>44902</v>
      </c>
      <c r="W9880" t="s">
        <v>59251</v>
      </c>
      <c r="X9880">
        <v>835217</v>
      </c>
      <c r="Y9880" t="s">
        <v>59252</v>
      </c>
      <c r="Z9880" s="2" t="s">
        <v>59253</v>
      </c>
      <c r="AA9880" t="s">
        <v>59254</v>
      </c>
      <c r="AB9880" t="s">
        <v>21102</v>
      </c>
      <c r="AC9880" t="s">
        <v>54</v>
      </c>
      <c r="AD9880" t="s">
        <v>10253</v>
      </c>
      <c r="AE9880" t="s">
        <v>59255</v>
      </c>
      <c r="AF9880" t="s">
        <v>57687</v>
      </c>
      <c r="AG9880" t="s">
        <v>59256</v>
      </c>
      <c r="AH9880" t="s">
        <v>59257</v>
      </c>
      <c r="AI9880" t="s">
        <v>59258</v>
      </c>
    </row>
    <row r="9881" spans="2:35" ht="165">
      <c r="B9881" s="1">
        <v>44902</v>
      </c>
      <c r="C9881" s="4">
        <v>44902.684027777781</v>
      </c>
      <c r="D9881" t="s">
        <v>56850</v>
      </c>
      <c r="E9881" t="s">
        <v>59259</v>
      </c>
      <c r="F9881">
        <v>3</v>
      </c>
      <c r="G9881" t="s">
        <v>1722</v>
      </c>
      <c r="H9881" t="s">
        <v>39</v>
      </c>
      <c r="I9881" t="s">
        <v>40</v>
      </c>
      <c r="J9881" t="s">
        <v>109</v>
      </c>
      <c r="K9881" t="s">
        <v>42</v>
      </c>
      <c r="Q9881">
        <v>22710</v>
      </c>
      <c r="R9881" t="s">
        <v>119</v>
      </c>
      <c r="S9881" t="s">
        <v>59260</v>
      </c>
      <c r="T9881">
        <v>30</v>
      </c>
      <c r="U9881" s="2" t="s">
        <v>40628</v>
      </c>
      <c r="V9881" s="1">
        <v>44902</v>
      </c>
      <c r="W9881" t="s">
        <v>26915</v>
      </c>
      <c r="X9881">
        <v>831592</v>
      </c>
      <c r="Y9881" t="s">
        <v>1716</v>
      </c>
      <c r="Z9881" t="s">
        <v>1716</v>
      </c>
      <c r="AA9881" s="2" t="s">
        <v>59261</v>
      </c>
      <c r="AB9881" t="s">
        <v>181</v>
      </c>
      <c r="AC9881" t="s">
        <v>1716</v>
      </c>
      <c r="AD9881" t="s">
        <v>1716</v>
      </c>
      <c r="AE9881" t="s">
        <v>1716</v>
      </c>
      <c r="AF9881" t="s">
        <v>63</v>
      </c>
      <c r="AG9881" t="s">
        <v>59262</v>
      </c>
      <c r="AH9881" t="s">
        <v>59263</v>
      </c>
      <c r="AI9881" t="s">
        <v>59264</v>
      </c>
    </row>
    <row r="9882" spans="2:35" ht="210">
      <c r="B9882" s="1">
        <v>44902</v>
      </c>
      <c r="C9882" s="4">
        <v>44902.576388888891</v>
      </c>
      <c r="D9882" t="s">
        <v>3357</v>
      </c>
      <c r="E9882" t="s">
        <v>27224</v>
      </c>
      <c r="F9882">
        <v>3</v>
      </c>
      <c r="G9882" t="s">
        <v>134</v>
      </c>
      <c r="H9882" t="s">
        <v>39</v>
      </c>
      <c r="I9882" t="s">
        <v>40</v>
      </c>
      <c r="J9882" s="2" t="s">
        <v>62</v>
      </c>
      <c r="K9882" t="s">
        <v>42</v>
      </c>
      <c r="Q9882">
        <v>22709</v>
      </c>
      <c r="R9882" t="s">
        <v>119</v>
      </c>
      <c r="S9882" t="s">
        <v>3359</v>
      </c>
      <c r="T9882">
        <v>22</v>
      </c>
      <c r="U9882" s="2" t="s">
        <v>59265</v>
      </c>
      <c r="W9882" t="s">
        <v>2680</v>
      </c>
      <c r="X9882">
        <v>831912</v>
      </c>
      <c r="Y9882" t="s">
        <v>59266</v>
      </c>
      <c r="Z9882" s="2" t="s">
        <v>59267</v>
      </c>
      <c r="AA9882" t="s">
        <v>56411</v>
      </c>
      <c r="AB9882" t="s">
        <v>53270</v>
      </c>
      <c r="AC9882" t="s">
        <v>59268</v>
      </c>
      <c r="AF9882" t="s">
        <v>135</v>
      </c>
      <c r="AG9882" t="s">
        <v>59269</v>
      </c>
      <c r="AH9882" t="s">
        <v>44180</v>
      </c>
      <c r="AI9882" t="s">
        <v>59270</v>
      </c>
    </row>
    <row r="9883" spans="2:35" ht="210">
      <c r="B9883" s="1">
        <v>44902</v>
      </c>
      <c r="C9883" s="4">
        <v>44901.61041666667</v>
      </c>
      <c r="D9883" t="s">
        <v>56925</v>
      </c>
      <c r="E9883" t="s">
        <v>59271</v>
      </c>
      <c r="F9883">
        <v>11</v>
      </c>
      <c r="G9883" t="s">
        <v>201</v>
      </c>
      <c r="H9883" t="s">
        <v>39</v>
      </c>
      <c r="I9883" t="s">
        <v>40</v>
      </c>
      <c r="J9883" s="2" t="s">
        <v>41</v>
      </c>
      <c r="K9883" t="s">
        <v>42</v>
      </c>
      <c r="Q9883">
        <v>22708</v>
      </c>
      <c r="R9883" t="s">
        <v>45</v>
      </c>
      <c r="S9883" t="s">
        <v>59272</v>
      </c>
      <c r="T9883">
        <v>27.1</v>
      </c>
      <c r="U9883" s="2" t="s">
        <v>59273</v>
      </c>
      <c r="V9883" s="1">
        <v>44901</v>
      </c>
      <c r="W9883" t="s">
        <v>59274</v>
      </c>
      <c r="X9883">
        <v>835221</v>
      </c>
      <c r="Y9883" t="s">
        <v>59275</v>
      </c>
      <c r="Z9883" t="s">
        <v>59276</v>
      </c>
      <c r="AA9883" s="2" t="s">
        <v>59277</v>
      </c>
      <c r="AB9883" t="s">
        <v>59278</v>
      </c>
      <c r="AC9883" t="s">
        <v>59279</v>
      </c>
      <c r="AD9883" t="s">
        <v>5255</v>
      </c>
      <c r="AE9883" t="s">
        <v>54</v>
      </c>
      <c r="AF9883" t="s">
        <v>57687</v>
      </c>
      <c r="AG9883" t="s">
        <v>59280</v>
      </c>
      <c r="AH9883" t="s">
        <v>59281</v>
      </c>
      <c r="AI9883" t="s">
        <v>59282</v>
      </c>
    </row>
    <row r="9884" spans="2:35" ht="285">
      <c r="B9884" s="1">
        <v>44902</v>
      </c>
      <c r="C9884" s="4">
        <v>44902.536805555559</v>
      </c>
      <c r="D9884" t="s">
        <v>6619</v>
      </c>
      <c r="E9884" t="s">
        <v>59283</v>
      </c>
      <c r="F9884" t="s">
        <v>37</v>
      </c>
      <c r="G9884" t="s">
        <v>748</v>
      </c>
      <c r="H9884" t="s">
        <v>39</v>
      </c>
      <c r="I9884" t="s">
        <v>40</v>
      </c>
      <c r="J9884" t="s">
        <v>109</v>
      </c>
      <c r="K9884" t="s">
        <v>42</v>
      </c>
      <c r="Q9884">
        <v>22707</v>
      </c>
      <c r="R9884" t="s">
        <v>119</v>
      </c>
      <c r="S9884" t="s">
        <v>5176</v>
      </c>
      <c r="T9884">
        <v>28</v>
      </c>
      <c r="U9884" s="2" t="s">
        <v>59284</v>
      </c>
      <c r="W9884" t="s">
        <v>59285</v>
      </c>
      <c r="X9884">
        <v>838535</v>
      </c>
      <c r="Y9884" t="s">
        <v>59286</v>
      </c>
      <c r="Z9884" t="s">
        <v>59287</v>
      </c>
      <c r="AA9884" s="2" t="s">
        <v>59288</v>
      </c>
      <c r="AB9884" t="s">
        <v>59289</v>
      </c>
      <c r="AC9884" t="s">
        <v>59290</v>
      </c>
      <c r="AF9884" t="s">
        <v>1028</v>
      </c>
      <c r="AG9884" t="s">
        <v>59291</v>
      </c>
      <c r="AH9884" t="s">
        <v>5181</v>
      </c>
      <c r="AI9884" t="s">
        <v>59292</v>
      </c>
    </row>
    <row r="9885" spans="2:35" ht="180">
      <c r="B9885" s="1">
        <v>44902</v>
      </c>
      <c r="C9885" s="4">
        <v>44902.501388888886</v>
      </c>
      <c r="D9885" t="s">
        <v>59293</v>
      </c>
      <c r="E9885" t="s">
        <v>59294</v>
      </c>
      <c r="F9885" t="s">
        <v>148</v>
      </c>
      <c r="G9885" t="s">
        <v>447</v>
      </c>
      <c r="H9885" t="s">
        <v>39</v>
      </c>
      <c r="I9885" t="s">
        <v>40</v>
      </c>
      <c r="J9885" t="s">
        <v>525</v>
      </c>
      <c r="K9885" t="s">
        <v>42</v>
      </c>
      <c r="Q9885">
        <v>22706</v>
      </c>
      <c r="R9885" t="s">
        <v>119</v>
      </c>
      <c r="S9885" t="s">
        <v>59295</v>
      </c>
      <c r="T9885">
        <v>25</v>
      </c>
      <c r="U9885" s="2" t="s">
        <v>59296</v>
      </c>
      <c r="W9885" t="s">
        <v>502</v>
      </c>
      <c r="X9885">
        <v>831610</v>
      </c>
      <c r="Y9885" t="s">
        <v>59297</v>
      </c>
      <c r="Z9885" t="s">
        <v>59298</v>
      </c>
      <c r="AA9885" t="s">
        <v>59299</v>
      </c>
      <c r="AB9885" t="s">
        <v>59300</v>
      </c>
      <c r="AF9885" t="s">
        <v>448</v>
      </c>
      <c r="AG9885" t="s">
        <v>59301</v>
      </c>
      <c r="AH9885" t="s">
        <v>24186</v>
      </c>
      <c r="AI9885" t="s">
        <v>59302</v>
      </c>
    </row>
    <row r="9886" spans="2:35" ht="195">
      <c r="B9886" s="1">
        <v>44902</v>
      </c>
      <c r="C9886" s="4">
        <v>44902.504166666666</v>
      </c>
      <c r="D9886" t="s">
        <v>59303</v>
      </c>
      <c r="E9886" t="s">
        <v>2797</v>
      </c>
      <c r="F9886">
        <v>12</v>
      </c>
      <c r="G9886" t="s">
        <v>978</v>
      </c>
      <c r="H9886" t="s">
        <v>39</v>
      </c>
      <c r="I9886" t="s">
        <v>94</v>
      </c>
      <c r="J9886" t="s">
        <v>109</v>
      </c>
      <c r="K9886" t="s">
        <v>42</v>
      </c>
      <c r="Q9886">
        <v>22705</v>
      </c>
      <c r="R9886" t="s">
        <v>95</v>
      </c>
      <c r="S9886" t="s">
        <v>59304</v>
      </c>
      <c r="T9886">
        <v>22.6</v>
      </c>
      <c r="U9886" s="2" t="s">
        <v>59305</v>
      </c>
      <c r="V9886" s="1">
        <v>44902</v>
      </c>
      <c r="W9886" t="s">
        <v>59306</v>
      </c>
      <c r="X9886">
        <v>110003713</v>
      </c>
      <c r="Y9886" t="s">
        <v>59307</v>
      </c>
      <c r="Z9886" t="s">
        <v>58995</v>
      </c>
      <c r="AA9886" t="s">
        <v>58995</v>
      </c>
      <c r="AB9886" t="s">
        <v>58857</v>
      </c>
      <c r="AC9886" t="s">
        <v>59308</v>
      </c>
      <c r="AF9886" t="s">
        <v>58416</v>
      </c>
      <c r="AG9886" t="s">
        <v>59309</v>
      </c>
      <c r="AH9886" t="s">
        <v>59310</v>
      </c>
      <c r="AI9886" t="s">
        <v>59311</v>
      </c>
    </row>
    <row r="9887" spans="2:35" ht="195">
      <c r="B9887" s="1">
        <v>44902</v>
      </c>
      <c r="C9887" s="4">
        <v>44902.500694444447</v>
      </c>
      <c r="D9887" t="s">
        <v>59312</v>
      </c>
      <c r="E9887" t="s">
        <v>2797</v>
      </c>
      <c r="F9887">
        <v>12</v>
      </c>
      <c r="G9887" t="s">
        <v>978</v>
      </c>
      <c r="H9887" t="s">
        <v>39</v>
      </c>
      <c r="I9887" t="s">
        <v>94</v>
      </c>
      <c r="J9887" t="s">
        <v>109</v>
      </c>
      <c r="K9887" t="s">
        <v>42</v>
      </c>
      <c r="Q9887">
        <v>22704</v>
      </c>
      <c r="R9887" t="s">
        <v>95</v>
      </c>
      <c r="S9887" t="s">
        <v>59304</v>
      </c>
      <c r="T9887">
        <v>26.3</v>
      </c>
      <c r="U9887" s="2" t="s">
        <v>59313</v>
      </c>
      <c r="V9887" s="1">
        <v>44902</v>
      </c>
      <c r="W9887" t="s">
        <v>53244</v>
      </c>
      <c r="X9887">
        <v>831313</v>
      </c>
      <c r="Y9887" t="s">
        <v>59314</v>
      </c>
      <c r="Z9887" t="s">
        <v>58995</v>
      </c>
      <c r="AA9887" t="s">
        <v>58995</v>
      </c>
      <c r="AB9887" t="s">
        <v>58857</v>
      </c>
      <c r="AC9887" t="s">
        <v>59315</v>
      </c>
      <c r="AF9887" t="s">
        <v>58416</v>
      </c>
      <c r="AG9887" t="s">
        <v>59316</v>
      </c>
      <c r="AH9887" t="s">
        <v>59310</v>
      </c>
      <c r="AI9887" t="s">
        <v>59317</v>
      </c>
    </row>
    <row r="9888" spans="2:35" ht="210">
      <c r="B9888" s="1">
        <v>44901</v>
      </c>
      <c r="C9888" s="4">
        <v>44901.550694444442</v>
      </c>
      <c r="D9888" t="s">
        <v>39417</v>
      </c>
      <c r="E9888" t="s">
        <v>59318</v>
      </c>
      <c r="F9888" t="s">
        <v>148</v>
      </c>
      <c r="G9888" t="s">
        <v>2007</v>
      </c>
      <c r="H9888" t="s">
        <v>39</v>
      </c>
      <c r="I9888" t="s">
        <v>40</v>
      </c>
      <c r="J9888" t="s">
        <v>109</v>
      </c>
      <c r="K9888" t="s">
        <v>42</v>
      </c>
      <c r="Q9888">
        <v>22703</v>
      </c>
      <c r="R9888" t="s">
        <v>45</v>
      </c>
      <c r="S9888" t="s">
        <v>39419</v>
      </c>
      <c r="T9888">
        <v>25</v>
      </c>
      <c r="U9888" s="2" t="s">
        <v>59319</v>
      </c>
      <c r="W9888" t="s">
        <v>9792</v>
      </c>
      <c r="X9888">
        <v>807591</v>
      </c>
      <c r="Y9888" t="s">
        <v>121</v>
      </c>
      <c r="Z9888" t="s">
        <v>122</v>
      </c>
      <c r="AA9888" s="2" t="s">
        <v>33688</v>
      </c>
      <c r="AB9888" t="s">
        <v>88</v>
      </c>
      <c r="AF9888" t="s">
        <v>43</v>
      </c>
      <c r="AG9888" t="s">
        <v>59320</v>
      </c>
      <c r="AH9888" t="s">
        <v>39425</v>
      </c>
      <c r="AI9888" t="s">
        <v>59321</v>
      </c>
    </row>
    <row r="9889" spans="2:35" ht="180">
      <c r="B9889" s="1">
        <v>44901</v>
      </c>
      <c r="C9889" s="4">
        <v>44901.627083333333</v>
      </c>
      <c r="D9889" t="s">
        <v>44011</v>
      </c>
      <c r="E9889" t="s">
        <v>58564</v>
      </c>
      <c r="F9889" t="s">
        <v>148</v>
      </c>
      <c r="G9889" t="s">
        <v>447</v>
      </c>
      <c r="H9889" t="s">
        <v>6500</v>
      </c>
      <c r="I9889" t="s">
        <v>40</v>
      </c>
      <c r="J9889" t="s">
        <v>525</v>
      </c>
      <c r="K9889" t="s">
        <v>42</v>
      </c>
      <c r="Q9889">
        <v>22702</v>
      </c>
      <c r="R9889" t="s">
        <v>322</v>
      </c>
      <c r="S9889" t="s">
        <v>3086</v>
      </c>
      <c r="T9889">
        <v>24</v>
      </c>
      <c r="U9889" s="2" t="s">
        <v>59322</v>
      </c>
      <c r="W9889" t="s">
        <v>19433</v>
      </c>
      <c r="X9889">
        <v>110014085</v>
      </c>
      <c r="Y9889" t="s">
        <v>59323</v>
      </c>
      <c r="Z9889" t="s">
        <v>59324</v>
      </c>
      <c r="AA9889" t="s">
        <v>32947</v>
      </c>
      <c r="AB9889" t="s">
        <v>59325</v>
      </c>
      <c r="AC9889" t="s">
        <v>56293</v>
      </c>
      <c r="AF9889" t="s">
        <v>49366</v>
      </c>
      <c r="AG9889" t="s">
        <v>59326</v>
      </c>
      <c r="AH9889" t="s">
        <v>59327</v>
      </c>
      <c r="AI9889" t="s">
        <v>59328</v>
      </c>
    </row>
    <row r="9890" spans="2:35">
      <c r="B9890" s="1">
        <v>44901</v>
      </c>
      <c r="C9890" s="4">
        <v>44901.557638888888</v>
      </c>
      <c r="D9890" t="s">
        <v>38422</v>
      </c>
      <c r="E9890" t="s">
        <v>58564</v>
      </c>
      <c r="F9890" t="s">
        <v>148</v>
      </c>
      <c r="G9890" t="s">
        <v>447</v>
      </c>
      <c r="H9890" t="s">
        <v>2274</v>
      </c>
      <c r="I9890" t="s">
        <v>40</v>
      </c>
      <c r="J9890" t="s">
        <v>525</v>
      </c>
      <c r="K9890" t="s">
        <v>387</v>
      </c>
      <c r="Q9890">
        <v>22701</v>
      </c>
      <c r="R9890" t="s">
        <v>322</v>
      </c>
      <c r="S9890" t="s">
        <v>37391</v>
      </c>
      <c r="T9890">
        <v>0</v>
      </c>
      <c r="W9890" t="s">
        <v>436</v>
      </c>
      <c r="X9890" t="s">
        <v>46492</v>
      </c>
      <c r="Y9890" t="s">
        <v>59329</v>
      </c>
      <c r="Z9890" t="s">
        <v>59330</v>
      </c>
      <c r="AA9890" t="s">
        <v>59331</v>
      </c>
      <c r="AB9890" t="s">
        <v>3094</v>
      </c>
      <c r="AC9890" t="s">
        <v>5454</v>
      </c>
      <c r="AF9890" t="s">
        <v>49366</v>
      </c>
      <c r="AG9890" t="s">
        <v>59332</v>
      </c>
      <c r="AH9890" t="s">
        <v>37395</v>
      </c>
      <c r="AI9890" t="s">
        <v>59333</v>
      </c>
    </row>
    <row r="9891" spans="2:35" ht="255">
      <c r="B9891" s="1">
        <v>44901</v>
      </c>
      <c r="C9891" s="4">
        <v>44901.638888888891</v>
      </c>
      <c r="D9891" t="s">
        <v>59334</v>
      </c>
      <c r="E9891" t="s">
        <v>59335</v>
      </c>
      <c r="F9891">
        <v>3</v>
      </c>
      <c r="G9891" t="s">
        <v>1722</v>
      </c>
      <c r="H9891" t="s">
        <v>39</v>
      </c>
      <c r="I9891" t="s">
        <v>40</v>
      </c>
      <c r="J9891" s="2" t="s">
        <v>190</v>
      </c>
      <c r="K9891" t="s">
        <v>42</v>
      </c>
      <c r="Q9891">
        <v>22700</v>
      </c>
      <c r="R9891" t="s">
        <v>119</v>
      </c>
      <c r="S9891" t="s">
        <v>59336</v>
      </c>
      <c r="T9891">
        <v>20</v>
      </c>
      <c r="U9891" s="2" t="s">
        <v>40628</v>
      </c>
      <c r="V9891" s="1">
        <v>44901</v>
      </c>
      <c r="W9891" t="s">
        <v>26915</v>
      </c>
      <c r="X9891">
        <v>831673</v>
      </c>
      <c r="Y9891" t="s">
        <v>59337</v>
      </c>
      <c r="Z9891" t="s">
        <v>59338</v>
      </c>
      <c r="AA9891" s="2" t="s">
        <v>59339</v>
      </c>
      <c r="AB9891" t="s">
        <v>181</v>
      </c>
      <c r="AC9891" t="s">
        <v>59340</v>
      </c>
      <c r="AD9891" t="s">
        <v>59341</v>
      </c>
      <c r="AE9891" t="s">
        <v>1716</v>
      </c>
      <c r="AF9891" t="s">
        <v>63</v>
      </c>
      <c r="AG9891" t="s">
        <v>59342</v>
      </c>
      <c r="AH9891" t="s">
        <v>59343</v>
      </c>
      <c r="AI9891" t="s">
        <v>59344</v>
      </c>
    </row>
    <row r="9892" spans="2:35" ht="180">
      <c r="B9892" s="1">
        <v>44901</v>
      </c>
      <c r="C9892" s="4">
        <v>44901.586805555555</v>
      </c>
      <c r="D9892" t="s">
        <v>6844</v>
      </c>
      <c r="E9892" t="s">
        <v>54389</v>
      </c>
      <c r="F9892">
        <v>12</v>
      </c>
      <c r="G9892" t="s">
        <v>978</v>
      </c>
      <c r="H9892" t="s">
        <v>39</v>
      </c>
      <c r="I9892" t="s">
        <v>94</v>
      </c>
      <c r="J9892" t="s">
        <v>109</v>
      </c>
      <c r="K9892" t="s">
        <v>42</v>
      </c>
      <c r="Q9892">
        <v>22699</v>
      </c>
      <c r="R9892" t="s">
        <v>119</v>
      </c>
      <c r="S9892" t="s">
        <v>6846</v>
      </c>
      <c r="T9892">
        <v>27.3</v>
      </c>
      <c r="U9892" s="2" t="s">
        <v>59345</v>
      </c>
      <c r="V9892" s="1">
        <v>44901</v>
      </c>
      <c r="W9892" t="s">
        <v>53244</v>
      </c>
      <c r="X9892">
        <v>838261</v>
      </c>
      <c r="Y9892" t="s">
        <v>54</v>
      </c>
      <c r="Z9892" t="s">
        <v>59346</v>
      </c>
      <c r="AA9892" t="s">
        <v>59346</v>
      </c>
      <c r="AB9892" t="s">
        <v>59346</v>
      </c>
      <c r="AF9892" t="s">
        <v>58416</v>
      </c>
      <c r="AG9892" t="s">
        <v>59347</v>
      </c>
      <c r="AH9892" t="s">
        <v>9125</v>
      </c>
      <c r="AI9892" t="s">
        <v>59348</v>
      </c>
    </row>
    <row r="9893" spans="2:35" ht="180">
      <c r="B9893" s="1">
        <v>44901</v>
      </c>
      <c r="C9893" s="4">
        <v>44901.563888888886</v>
      </c>
      <c r="D9893" t="s">
        <v>1216</v>
      </c>
      <c r="E9893" t="s">
        <v>26986</v>
      </c>
      <c r="F9893">
        <v>3</v>
      </c>
      <c r="G9893" t="s">
        <v>174</v>
      </c>
      <c r="H9893" t="s">
        <v>39</v>
      </c>
      <c r="I9893" t="s">
        <v>40</v>
      </c>
      <c r="J9893" t="s">
        <v>525</v>
      </c>
      <c r="K9893" t="s">
        <v>42</v>
      </c>
      <c r="Q9893">
        <v>22698</v>
      </c>
      <c r="R9893" t="s">
        <v>119</v>
      </c>
      <c r="S9893" t="s">
        <v>1218</v>
      </c>
      <c r="T9893">
        <v>28</v>
      </c>
      <c r="U9893" s="2" t="s">
        <v>59349</v>
      </c>
      <c r="W9893" t="s">
        <v>6776</v>
      </c>
      <c r="X9893">
        <v>831874</v>
      </c>
      <c r="Y9893" t="s">
        <v>59350</v>
      </c>
      <c r="Z9893" t="s">
        <v>54864</v>
      </c>
      <c r="AA9893" t="e">
        <f ca="1">- checked _xludf.and cleaned cartridge bay, plunger rod, _xludf.filter
- generated reports
- performed XpertCheck
- performed functionality test
- disabled B4</f>
        <v>#NAME?</v>
      </c>
      <c r="AB9893" t="s">
        <v>59351</v>
      </c>
      <c r="AC9893" t="s">
        <v>59352</v>
      </c>
      <c r="AF9893" t="s">
        <v>175</v>
      </c>
      <c r="AG9893" t="s">
        <v>59353</v>
      </c>
      <c r="AH9893" t="s">
        <v>1220</v>
      </c>
      <c r="AI9893" t="s">
        <v>59354</v>
      </c>
    </row>
    <row r="9894" spans="2:35" ht="285">
      <c r="B9894" s="1">
        <v>44901</v>
      </c>
      <c r="C9894" s="4">
        <v>44901.55972222222</v>
      </c>
      <c r="D9894" t="s">
        <v>26425</v>
      </c>
      <c r="E9894" t="s">
        <v>59355</v>
      </c>
      <c r="F9894" t="s">
        <v>148</v>
      </c>
      <c r="G9894" t="s">
        <v>4786</v>
      </c>
      <c r="H9894" t="s">
        <v>39</v>
      </c>
      <c r="I9894" t="s">
        <v>40</v>
      </c>
      <c r="J9894" s="2" t="s">
        <v>41</v>
      </c>
      <c r="K9894" t="s">
        <v>42</v>
      </c>
      <c r="Q9894">
        <v>22697</v>
      </c>
      <c r="R9894" t="s">
        <v>119</v>
      </c>
      <c r="S9894" t="s">
        <v>59356</v>
      </c>
      <c r="T9894">
        <v>27.5</v>
      </c>
      <c r="U9894" s="2" t="s">
        <v>59357</v>
      </c>
      <c r="W9894" t="s">
        <v>59285</v>
      </c>
      <c r="X9894">
        <v>831918</v>
      </c>
      <c r="Y9894" t="s">
        <v>59358</v>
      </c>
      <c r="Z9894" t="s">
        <v>5712</v>
      </c>
      <c r="AA9894" s="2" t="s">
        <v>59359</v>
      </c>
      <c r="AB9894" t="s">
        <v>59360</v>
      </c>
      <c r="AC9894" t="s">
        <v>59361</v>
      </c>
      <c r="AF9894" t="s">
        <v>1028</v>
      </c>
      <c r="AG9894" t="s">
        <v>59362</v>
      </c>
      <c r="AH9894" t="s">
        <v>59363</v>
      </c>
      <c r="AI9894" t="s">
        <v>59364</v>
      </c>
    </row>
    <row r="9895" spans="2:35" ht="285">
      <c r="B9895" s="1">
        <v>44901</v>
      </c>
      <c r="C9895" s="4">
        <v>44901.526388888888</v>
      </c>
      <c r="D9895" t="s">
        <v>2408</v>
      </c>
      <c r="E9895" t="s">
        <v>2409</v>
      </c>
      <c r="F9895">
        <v>3</v>
      </c>
      <c r="G9895" t="s">
        <v>730</v>
      </c>
      <c r="H9895" t="s">
        <v>463</v>
      </c>
      <c r="I9895" t="s">
        <v>40</v>
      </c>
      <c r="J9895" t="s">
        <v>3589</v>
      </c>
      <c r="K9895" t="s">
        <v>42</v>
      </c>
      <c r="Q9895">
        <v>22696</v>
      </c>
      <c r="R9895" t="s">
        <v>45</v>
      </c>
      <c r="S9895" t="s">
        <v>2410</v>
      </c>
      <c r="T9895">
        <v>18</v>
      </c>
      <c r="U9895" s="2" t="s">
        <v>59365</v>
      </c>
      <c r="W9895" t="s">
        <v>2680</v>
      </c>
      <c r="X9895">
        <v>807562</v>
      </c>
      <c r="Y9895" s="2" t="s">
        <v>59366</v>
      </c>
      <c r="Z9895" t="e">
        <f ca="1">-checked Reported errors
-performed Preventive Maintenance
-gathered reports
-performed functionality test</f>
        <v>#NAME?</v>
      </c>
      <c r="AA9895" t="s">
        <v>56842</v>
      </c>
      <c r="AB9895" t="s">
        <v>59367</v>
      </c>
      <c r="AF9895" t="s">
        <v>135</v>
      </c>
      <c r="AG9895" t="s">
        <v>59368</v>
      </c>
      <c r="AH9895" t="s">
        <v>59369</v>
      </c>
      <c r="AI9895" t="s">
        <v>59370</v>
      </c>
    </row>
    <row r="9896" spans="2:35" ht="180">
      <c r="B9896" s="1">
        <v>44901</v>
      </c>
      <c r="C9896" s="4">
        <v>44901.48541666667</v>
      </c>
      <c r="D9896" t="s">
        <v>38660</v>
      </c>
      <c r="E9896" t="s">
        <v>43533</v>
      </c>
      <c r="F9896" t="s">
        <v>148</v>
      </c>
      <c r="G9896" t="s">
        <v>2007</v>
      </c>
      <c r="H9896" t="s">
        <v>39</v>
      </c>
      <c r="I9896" t="s">
        <v>40</v>
      </c>
      <c r="J9896" s="2" t="s">
        <v>190</v>
      </c>
      <c r="K9896" t="s">
        <v>42</v>
      </c>
      <c r="Q9896">
        <v>22695</v>
      </c>
      <c r="R9896" t="s">
        <v>45</v>
      </c>
      <c r="S9896" t="s">
        <v>38661</v>
      </c>
      <c r="T9896">
        <v>25</v>
      </c>
      <c r="U9896" s="2" t="s">
        <v>59371</v>
      </c>
      <c r="W9896" t="s">
        <v>9792</v>
      </c>
      <c r="X9896">
        <v>831712</v>
      </c>
      <c r="Y9896" t="s">
        <v>59372</v>
      </c>
      <c r="Z9896" t="s">
        <v>35933</v>
      </c>
      <c r="AA9896" s="2" t="s">
        <v>59373</v>
      </c>
      <c r="AB9896" t="s">
        <v>88</v>
      </c>
      <c r="AC9896" t="s">
        <v>59374</v>
      </c>
      <c r="AF9896" t="s">
        <v>43</v>
      </c>
      <c r="AG9896" t="s">
        <v>59375</v>
      </c>
      <c r="AH9896" t="s">
        <v>50233</v>
      </c>
      <c r="AI9896" t="s">
        <v>59376</v>
      </c>
    </row>
    <row r="9897" spans="2:35" ht="180">
      <c r="B9897" s="1">
        <v>44901</v>
      </c>
      <c r="C9897" s="4">
        <v>44900.61041666667</v>
      </c>
      <c r="D9897" t="s">
        <v>59377</v>
      </c>
      <c r="E9897" t="s">
        <v>59378</v>
      </c>
      <c r="F9897">
        <v>3</v>
      </c>
      <c r="G9897" t="s">
        <v>730</v>
      </c>
      <c r="H9897" t="s">
        <v>39</v>
      </c>
      <c r="I9897" t="s">
        <v>40</v>
      </c>
      <c r="J9897" s="2" t="s">
        <v>59379</v>
      </c>
      <c r="K9897" t="s">
        <v>42</v>
      </c>
      <c r="Q9897">
        <v>22694</v>
      </c>
      <c r="R9897" t="s">
        <v>119</v>
      </c>
      <c r="S9897" t="s">
        <v>27303</v>
      </c>
      <c r="T9897">
        <v>20</v>
      </c>
      <c r="U9897" s="2" t="s">
        <v>59380</v>
      </c>
      <c r="W9897" t="s">
        <v>2680</v>
      </c>
      <c r="X9897">
        <v>831587</v>
      </c>
      <c r="Y9897" t="s">
        <v>54</v>
      </c>
      <c r="Z9897" t="e">
        <f ca="1">-checked-up _xludf.For CPU errors
-performed surface Cleaning
-performed Cleaning of cartridge bay,icore,plunger rod _xludf.and _xludf.filter
-Generate reports
-archived test results
-performed functionality test</f>
        <v>#NAME?</v>
      </c>
      <c r="AA9897" t="s">
        <v>56842</v>
      </c>
      <c r="AB9897" t="s">
        <v>181</v>
      </c>
      <c r="AF9897" t="s">
        <v>135</v>
      </c>
      <c r="AG9897" t="s">
        <v>59381</v>
      </c>
      <c r="AH9897" t="s">
        <v>59382</v>
      </c>
      <c r="AI9897" t="s">
        <v>59383</v>
      </c>
    </row>
    <row r="9898" spans="2:35" ht="180">
      <c r="B9898" s="1">
        <v>44901</v>
      </c>
      <c r="C9898" s="4">
        <v>44901.405555555553</v>
      </c>
      <c r="D9898" t="s">
        <v>5158</v>
      </c>
      <c r="E9898" t="s">
        <v>59384</v>
      </c>
      <c r="F9898" t="s">
        <v>148</v>
      </c>
      <c r="G9898" t="s">
        <v>310</v>
      </c>
      <c r="H9898" t="s">
        <v>39</v>
      </c>
      <c r="I9898" t="s">
        <v>40</v>
      </c>
      <c r="J9898" t="s">
        <v>109</v>
      </c>
      <c r="K9898" t="s">
        <v>42</v>
      </c>
      <c r="Q9898">
        <v>22691</v>
      </c>
      <c r="R9898" t="s">
        <v>322</v>
      </c>
      <c r="S9898" t="s">
        <v>14635</v>
      </c>
      <c r="T9898">
        <v>28</v>
      </c>
      <c r="U9898" s="2" t="s">
        <v>59385</v>
      </c>
      <c r="W9898" t="s">
        <v>36557</v>
      </c>
      <c r="X9898">
        <v>110013856</v>
      </c>
      <c r="Y9898" t="s">
        <v>485</v>
      </c>
      <c r="Z9898" t="s">
        <v>10275</v>
      </c>
      <c r="AA9898" s="2" t="s">
        <v>59386</v>
      </c>
      <c r="AB9898" t="s">
        <v>1263</v>
      </c>
      <c r="AC9898" t="s">
        <v>59387</v>
      </c>
      <c r="AF9898" t="s">
        <v>1028</v>
      </c>
      <c r="AG9898" t="s">
        <v>59388</v>
      </c>
      <c r="AH9898" t="s">
        <v>5165</v>
      </c>
      <c r="AI9898" t="s">
        <v>59389</v>
      </c>
    </row>
    <row r="9899" spans="2:35" ht="180">
      <c r="B9899" s="1">
        <v>44901</v>
      </c>
      <c r="C9899" s="4">
        <v>44901.416666666664</v>
      </c>
      <c r="D9899" t="s">
        <v>5158</v>
      </c>
      <c r="E9899" t="s">
        <v>55402</v>
      </c>
      <c r="F9899" t="s">
        <v>148</v>
      </c>
      <c r="G9899" t="s">
        <v>310</v>
      </c>
      <c r="H9899" t="s">
        <v>39</v>
      </c>
      <c r="I9899" t="s">
        <v>40</v>
      </c>
      <c r="J9899" t="s">
        <v>109</v>
      </c>
      <c r="K9899" t="s">
        <v>42</v>
      </c>
      <c r="Q9899">
        <v>22692</v>
      </c>
      <c r="R9899" t="s">
        <v>119</v>
      </c>
      <c r="S9899" t="s">
        <v>14635</v>
      </c>
      <c r="T9899">
        <v>28</v>
      </c>
      <c r="U9899" s="2" t="s">
        <v>59390</v>
      </c>
      <c r="W9899" t="s">
        <v>59285</v>
      </c>
      <c r="X9899">
        <v>831530</v>
      </c>
      <c r="Y9899" t="s">
        <v>2692</v>
      </c>
      <c r="Z9899" t="s">
        <v>10275</v>
      </c>
      <c r="AA9899" s="2" t="s">
        <v>59386</v>
      </c>
      <c r="AB9899" t="s">
        <v>1263</v>
      </c>
      <c r="AF9899" t="s">
        <v>1028</v>
      </c>
      <c r="AG9899" t="s">
        <v>59391</v>
      </c>
      <c r="AH9899" t="s">
        <v>5165</v>
      </c>
      <c r="AI9899" t="s">
        <v>59392</v>
      </c>
    </row>
    <row r="9900" spans="2:35" ht="180">
      <c r="B9900" s="1">
        <v>44901</v>
      </c>
      <c r="C9900" s="4">
        <v>44901.414583333331</v>
      </c>
      <c r="D9900" t="s">
        <v>5158</v>
      </c>
      <c r="E9900" t="s">
        <v>59384</v>
      </c>
      <c r="F9900" t="s">
        <v>148</v>
      </c>
      <c r="G9900" t="s">
        <v>310</v>
      </c>
      <c r="H9900" t="s">
        <v>39</v>
      </c>
      <c r="I9900" t="s">
        <v>40</v>
      </c>
      <c r="J9900" t="s">
        <v>109</v>
      </c>
      <c r="K9900" t="s">
        <v>42</v>
      </c>
      <c r="Q9900">
        <v>22693</v>
      </c>
      <c r="R9900" t="s">
        <v>322</v>
      </c>
      <c r="S9900" t="s">
        <v>14635</v>
      </c>
      <c r="T9900">
        <v>26</v>
      </c>
      <c r="U9900" s="2" t="s">
        <v>59393</v>
      </c>
      <c r="W9900" t="s">
        <v>59394</v>
      </c>
      <c r="X9900">
        <v>110014099</v>
      </c>
      <c r="Y9900" t="s">
        <v>485</v>
      </c>
      <c r="Z9900" t="s">
        <v>122</v>
      </c>
      <c r="AA9900" s="2" t="s">
        <v>59395</v>
      </c>
      <c r="AB9900" t="s">
        <v>1263</v>
      </c>
      <c r="AF9900" t="s">
        <v>1028</v>
      </c>
      <c r="AG9900" t="s">
        <v>59396</v>
      </c>
      <c r="AH9900" t="s">
        <v>5165</v>
      </c>
      <c r="AI9900" t="s">
        <v>59397</v>
      </c>
    </row>
    <row r="9901" spans="2:35" ht="330">
      <c r="B9901" s="1">
        <v>44901</v>
      </c>
      <c r="C9901" s="4">
        <v>44901.384027777778</v>
      </c>
      <c r="D9901" t="s">
        <v>59398</v>
      </c>
      <c r="E9901" t="s">
        <v>53801</v>
      </c>
      <c r="F9901" t="s">
        <v>148</v>
      </c>
      <c r="G9901" t="s">
        <v>447</v>
      </c>
      <c r="H9901" t="s">
        <v>150</v>
      </c>
      <c r="I9901" t="s">
        <v>40</v>
      </c>
      <c r="J9901" t="s">
        <v>3589</v>
      </c>
      <c r="K9901" t="s">
        <v>42</v>
      </c>
      <c r="Q9901">
        <v>22690</v>
      </c>
      <c r="R9901" t="s">
        <v>95</v>
      </c>
      <c r="S9901" t="s">
        <v>2808</v>
      </c>
      <c r="T9901">
        <v>26</v>
      </c>
      <c r="U9901" s="2" t="s">
        <v>59399</v>
      </c>
      <c r="W9901" t="s">
        <v>1008</v>
      </c>
      <c r="X9901">
        <v>839234</v>
      </c>
      <c r="Y9901" t="s">
        <v>3891</v>
      </c>
      <c r="Z9901" t="s">
        <v>59400</v>
      </c>
      <c r="AA9901" t="s">
        <v>32947</v>
      </c>
      <c r="AB9901" t="s">
        <v>30351</v>
      </c>
      <c r="AF9901" t="s">
        <v>49366</v>
      </c>
      <c r="AG9901" t="s">
        <v>59401</v>
      </c>
      <c r="AH9901" t="s">
        <v>11567</v>
      </c>
      <c r="AI9901" t="s">
        <v>59402</v>
      </c>
    </row>
    <row r="9902" spans="2:35" ht="285">
      <c r="B9902" s="1">
        <v>44901</v>
      </c>
      <c r="C9902" s="4">
        <v>44901.393750000003</v>
      </c>
      <c r="D9902" t="s">
        <v>7219</v>
      </c>
      <c r="E9902" t="s">
        <v>59403</v>
      </c>
      <c r="F9902" t="s">
        <v>148</v>
      </c>
      <c r="G9902" t="s">
        <v>310</v>
      </c>
      <c r="H9902" t="s">
        <v>258</v>
      </c>
      <c r="I9902" t="s">
        <v>40</v>
      </c>
      <c r="J9902" t="s">
        <v>109</v>
      </c>
      <c r="K9902" t="s">
        <v>42</v>
      </c>
      <c r="Q9902">
        <v>22689</v>
      </c>
      <c r="R9902" t="s">
        <v>45</v>
      </c>
      <c r="S9902" t="s">
        <v>35366</v>
      </c>
      <c r="T9902">
        <v>26.2</v>
      </c>
      <c r="U9902" s="2" t="s">
        <v>59404</v>
      </c>
      <c r="W9902" t="s">
        <v>59405</v>
      </c>
      <c r="X9902">
        <v>707843</v>
      </c>
      <c r="Y9902" t="s">
        <v>33606</v>
      </c>
      <c r="Z9902" t="s">
        <v>3128</v>
      </c>
      <c r="AA9902" s="2" t="s">
        <v>57818</v>
      </c>
      <c r="AB9902" t="s">
        <v>181</v>
      </c>
      <c r="AF9902" t="s">
        <v>58001</v>
      </c>
      <c r="AG9902" t="s">
        <v>59406</v>
      </c>
      <c r="AH9902" t="s">
        <v>30248</v>
      </c>
      <c r="AI9902" t="s">
        <v>59407</v>
      </c>
    </row>
    <row r="9903" spans="2:35" ht="240">
      <c r="B9903" s="1">
        <v>44901</v>
      </c>
      <c r="C9903" s="4">
        <v>44901.386111111111</v>
      </c>
      <c r="D9903" t="s">
        <v>7219</v>
      </c>
      <c r="E9903" t="s">
        <v>59408</v>
      </c>
      <c r="F9903" t="s">
        <v>148</v>
      </c>
      <c r="G9903" t="s">
        <v>310</v>
      </c>
      <c r="H9903" t="s">
        <v>59409</v>
      </c>
      <c r="I9903" t="s">
        <v>40</v>
      </c>
      <c r="J9903" s="2" t="s">
        <v>41</v>
      </c>
      <c r="K9903" t="s">
        <v>42</v>
      </c>
      <c r="Q9903">
        <v>22688</v>
      </c>
      <c r="R9903" t="s">
        <v>45</v>
      </c>
      <c r="S9903" t="s">
        <v>35366</v>
      </c>
      <c r="T9903">
        <v>26.7</v>
      </c>
      <c r="U9903" s="2" t="s">
        <v>59410</v>
      </c>
      <c r="W9903" t="s">
        <v>1139</v>
      </c>
      <c r="X9903">
        <v>804766</v>
      </c>
      <c r="Y9903" t="s">
        <v>28958</v>
      </c>
      <c r="Z9903" t="s">
        <v>59411</v>
      </c>
      <c r="AA9903" s="2" t="s">
        <v>59412</v>
      </c>
      <c r="AB9903" s="2" t="s">
        <v>59413</v>
      </c>
      <c r="AF9903" t="s">
        <v>56616</v>
      </c>
      <c r="AG9903" t="s">
        <v>59414</v>
      </c>
      <c r="AH9903" t="s">
        <v>30248</v>
      </c>
      <c r="AI9903" t="s">
        <v>59415</v>
      </c>
    </row>
    <row r="9904" spans="2:35" ht="255">
      <c r="B9904" s="1">
        <v>44901</v>
      </c>
      <c r="C9904" s="4">
        <v>44896.706944444442</v>
      </c>
      <c r="D9904" t="s">
        <v>59416</v>
      </c>
      <c r="E9904" t="s">
        <v>59417</v>
      </c>
      <c r="F9904" t="s">
        <v>37</v>
      </c>
      <c r="G9904" t="s">
        <v>189</v>
      </c>
      <c r="H9904" t="s">
        <v>39</v>
      </c>
      <c r="I9904" t="s">
        <v>40</v>
      </c>
      <c r="J9904" s="2" t="s">
        <v>41</v>
      </c>
      <c r="K9904" t="s">
        <v>42</v>
      </c>
      <c r="Q9904">
        <v>22687</v>
      </c>
      <c r="R9904" t="s">
        <v>45</v>
      </c>
      <c r="S9904" t="s">
        <v>59418</v>
      </c>
      <c r="T9904">
        <v>25</v>
      </c>
      <c r="U9904" s="2" t="s">
        <v>59419</v>
      </c>
      <c r="V9904" s="1">
        <v>44890</v>
      </c>
      <c r="W9904" t="s">
        <v>1139</v>
      </c>
      <c r="X9904">
        <v>804685</v>
      </c>
      <c r="Y9904" t="s">
        <v>59420</v>
      </c>
      <c r="Z9904" t="s">
        <v>2129</v>
      </c>
      <c r="AA9904" s="2" t="s">
        <v>59421</v>
      </c>
      <c r="AB9904" t="s">
        <v>70</v>
      </c>
      <c r="AD9904" t="s">
        <v>59422</v>
      </c>
      <c r="AE9904" t="s">
        <v>45</v>
      </c>
      <c r="AF9904" t="s">
        <v>58001</v>
      </c>
      <c r="AG9904" t="s">
        <v>59423</v>
      </c>
      <c r="AH9904" t="s">
        <v>59424</v>
      </c>
      <c r="AI9904" t="s">
        <v>59425</v>
      </c>
    </row>
    <row r="9905" spans="2:35" ht="180">
      <c r="B9905" s="1">
        <v>44900</v>
      </c>
      <c r="C9905" s="4">
        <v>44900.338888888888</v>
      </c>
      <c r="D9905" t="s">
        <v>25805</v>
      </c>
      <c r="E9905" t="s">
        <v>44767</v>
      </c>
      <c r="F9905" t="s">
        <v>148</v>
      </c>
      <c r="G9905" t="s">
        <v>774</v>
      </c>
      <c r="H9905" t="s">
        <v>39</v>
      </c>
      <c r="I9905" t="s">
        <v>40</v>
      </c>
      <c r="J9905" s="2" t="s">
        <v>62</v>
      </c>
      <c r="K9905" t="s">
        <v>42</v>
      </c>
      <c r="Q9905">
        <v>22686</v>
      </c>
      <c r="R9905" t="s">
        <v>45</v>
      </c>
      <c r="S9905" t="s">
        <v>35661</v>
      </c>
      <c r="T9905">
        <v>28</v>
      </c>
      <c r="U9905" s="2" t="s">
        <v>59426</v>
      </c>
      <c r="W9905" t="s">
        <v>54185</v>
      </c>
      <c r="X9905">
        <v>707512</v>
      </c>
      <c r="Y9905" t="s">
        <v>2060</v>
      </c>
      <c r="Z9905" t="s">
        <v>999</v>
      </c>
      <c r="AA9905" s="2" t="s">
        <v>59427</v>
      </c>
      <c r="AB9905" t="s">
        <v>59428</v>
      </c>
      <c r="AC9905" t="s">
        <v>59429</v>
      </c>
      <c r="AF9905" t="s">
        <v>57018</v>
      </c>
      <c r="AG9905" t="s">
        <v>59430</v>
      </c>
      <c r="AH9905" t="s">
        <v>35665</v>
      </c>
      <c r="AI9905" t="s">
        <v>59431</v>
      </c>
    </row>
    <row r="9906" spans="2:35" ht="285">
      <c r="B9906" s="1">
        <v>44900</v>
      </c>
      <c r="C9906" s="4">
        <v>44900.581944444442</v>
      </c>
      <c r="D9906" t="s">
        <v>5028</v>
      </c>
      <c r="E9906" t="s">
        <v>1472</v>
      </c>
      <c r="F9906">
        <v>12</v>
      </c>
      <c r="G9906" t="s">
        <v>978</v>
      </c>
      <c r="H9906" t="s">
        <v>39</v>
      </c>
      <c r="I9906" t="s">
        <v>94</v>
      </c>
      <c r="J9906" t="s">
        <v>79</v>
      </c>
      <c r="K9906" t="s">
        <v>42</v>
      </c>
      <c r="Q9906">
        <v>22685</v>
      </c>
      <c r="R9906" t="s">
        <v>45</v>
      </c>
      <c r="S9906" t="s">
        <v>5030</v>
      </c>
      <c r="T9906">
        <v>27.2</v>
      </c>
      <c r="U9906" s="2" t="s">
        <v>59432</v>
      </c>
      <c r="V9906" s="1">
        <v>44900</v>
      </c>
      <c r="W9906" t="s">
        <v>53244</v>
      </c>
      <c r="X9906">
        <v>815380</v>
      </c>
      <c r="Y9906" t="s">
        <v>59433</v>
      </c>
      <c r="Z9906" s="2" t="s">
        <v>59434</v>
      </c>
      <c r="AA9906" s="2" t="s">
        <v>59434</v>
      </c>
      <c r="AB9906" t="s">
        <v>59435</v>
      </c>
      <c r="AC9906" t="s">
        <v>54</v>
      </c>
      <c r="AF9906" t="s">
        <v>58416</v>
      </c>
      <c r="AG9906" t="s">
        <v>59436</v>
      </c>
      <c r="AH9906" t="s">
        <v>29445</v>
      </c>
      <c r="AI9906" t="s">
        <v>59437</v>
      </c>
    </row>
    <row r="9907" spans="2:35" ht="285">
      <c r="B9907" s="1">
        <v>44900</v>
      </c>
      <c r="C9907" s="4">
        <v>44900.581944444442</v>
      </c>
      <c r="D9907" t="s">
        <v>37671</v>
      </c>
      <c r="E9907" t="s">
        <v>37671</v>
      </c>
      <c r="F9907">
        <v>3</v>
      </c>
      <c r="G9907" t="s">
        <v>1722</v>
      </c>
      <c r="H9907" t="s">
        <v>39</v>
      </c>
      <c r="I9907" t="s">
        <v>40</v>
      </c>
      <c r="J9907" s="2" t="s">
        <v>609</v>
      </c>
      <c r="K9907" t="s">
        <v>42</v>
      </c>
      <c r="Q9907">
        <v>22684</v>
      </c>
      <c r="R9907" t="s">
        <v>119</v>
      </c>
      <c r="S9907" t="s">
        <v>59438</v>
      </c>
      <c r="T9907">
        <v>27</v>
      </c>
      <c r="U9907" s="2" t="s">
        <v>40628</v>
      </c>
      <c r="V9907" s="1">
        <v>44900</v>
      </c>
      <c r="W9907" t="s">
        <v>26915</v>
      </c>
      <c r="X9907">
        <v>831582</v>
      </c>
      <c r="Y9907" t="s">
        <v>1716</v>
      </c>
      <c r="Z9907" t="s">
        <v>1716</v>
      </c>
      <c r="AA9907" s="2" t="s">
        <v>59439</v>
      </c>
      <c r="AB9907" t="s">
        <v>181</v>
      </c>
      <c r="AC9907" t="s">
        <v>1716</v>
      </c>
      <c r="AD9907" t="s">
        <v>1716</v>
      </c>
      <c r="AE9907" t="s">
        <v>1716</v>
      </c>
      <c r="AF9907" t="s">
        <v>63</v>
      </c>
      <c r="AG9907" t="s">
        <v>59440</v>
      </c>
      <c r="AH9907" t="s">
        <v>59441</v>
      </c>
      <c r="AI9907" t="s">
        <v>59442</v>
      </c>
    </row>
    <row r="9908" spans="2:35" ht="270">
      <c r="B9908" s="1">
        <v>44900</v>
      </c>
      <c r="C9908" s="4">
        <v>44900.502083333333</v>
      </c>
      <c r="D9908" t="s">
        <v>5028</v>
      </c>
      <c r="E9908" t="s">
        <v>1472</v>
      </c>
      <c r="F9908">
        <v>12</v>
      </c>
      <c r="G9908" t="s">
        <v>978</v>
      </c>
      <c r="H9908" t="s">
        <v>61</v>
      </c>
      <c r="I9908" t="s">
        <v>94</v>
      </c>
      <c r="J9908" s="2" t="s">
        <v>1157</v>
      </c>
      <c r="K9908" t="s">
        <v>42</v>
      </c>
      <c r="Q9908">
        <v>22683</v>
      </c>
      <c r="R9908" t="s">
        <v>95</v>
      </c>
      <c r="S9908" t="s">
        <v>59443</v>
      </c>
      <c r="T9908">
        <v>22.4</v>
      </c>
      <c r="U9908" s="2" t="s">
        <v>59444</v>
      </c>
      <c r="V9908" s="1">
        <v>44900</v>
      </c>
      <c r="W9908" t="s">
        <v>59445</v>
      </c>
      <c r="X9908">
        <v>839314</v>
      </c>
      <c r="Y9908" t="s">
        <v>59446</v>
      </c>
      <c r="Z9908" s="2" t="s">
        <v>59447</v>
      </c>
      <c r="AA9908" s="2" t="s">
        <v>59447</v>
      </c>
      <c r="AB9908" t="s">
        <v>59448</v>
      </c>
      <c r="AC9908" t="s">
        <v>59449</v>
      </c>
      <c r="AF9908" t="s">
        <v>58416</v>
      </c>
      <c r="AG9908" t="s">
        <v>59450</v>
      </c>
      <c r="AH9908" t="s">
        <v>59451</v>
      </c>
      <c r="AI9908" t="s">
        <v>59452</v>
      </c>
    </row>
    <row r="9909" spans="2:35" ht="165">
      <c r="B9909" s="1">
        <v>44897</v>
      </c>
      <c r="C9909" s="4">
        <v>44897.680555555555</v>
      </c>
      <c r="D9909" t="s">
        <v>59334</v>
      </c>
      <c r="E9909" t="s">
        <v>59335</v>
      </c>
      <c r="F9909">
        <v>3</v>
      </c>
      <c r="G9909" t="s">
        <v>1722</v>
      </c>
      <c r="H9909" t="s">
        <v>39</v>
      </c>
      <c r="I9909" t="s">
        <v>40</v>
      </c>
      <c r="J9909" t="s">
        <v>109</v>
      </c>
      <c r="K9909" t="s">
        <v>42</v>
      </c>
      <c r="Q9909">
        <v>22682</v>
      </c>
      <c r="R9909" t="s">
        <v>119</v>
      </c>
      <c r="S9909" t="s">
        <v>59336</v>
      </c>
      <c r="T9909">
        <v>30</v>
      </c>
      <c r="U9909" s="2" t="s">
        <v>40628</v>
      </c>
      <c r="V9909" s="1">
        <v>44897</v>
      </c>
      <c r="W9909" t="s">
        <v>26915</v>
      </c>
      <c r="X9909">
        <v>831673</v>
      </c>
      <c r="Y9909" t="s">
        <v>51236</v>
      </c>
      <c r="Z9909" t="s">
        <v>1716</v>
      </c>
      <c r="AA9909" s="2" t="s">
        <v>1727</v>
      </c>
      <c r="AB9909" t="s">
        <v>181</v>
      </c>
      <c r="AC9909" t="s">
        <v>59453</v>
      </c>
      <c r="AD9909" t="s">
        <v>1716</v>
      </c>
      <c r="AE9909" t="s">
        <v>1716</v>
      </c>
      <c r="AF9909" t="s">
        <v>63</v>
      </c>
      <c r="AG9909" t="s">
        <v>59454</v>
      </c>
      <c r="AH9909" t="s">
        <v>59343</v>
      </c>
      <c r="AI9909" t="s">
        <v>59455</v>
      </c>
    </row>
    <row r="9910" spans="2:35" ht="180">
      <c r="B9910" s="1">
        <v>44897</v>
      </c>
      <c r="C9910" s="4">
        <v>44897.612500000003</v>
      </c>
      <c r="D9910" t="s">
        <v>24348</v>
      </c>
      <c r="E9910" t="s">
        <v>59456</v>
      </c>
      <c r="F9910" t="s">
        <v>1181</v>
      </c>
      <c r="G9910" t="s">
        <v>1182</v>
      </c>
      <c r="H9910" t="s">
        <v>1498</v>
      </c>
      <c r="I9910" t="s">
        <v>94</v>
      </c>
      <c r="J9910" t="s">
        <v>109</v>
      </c>
      <c r="K9910" t="s">
        <v>42</v>
      </c>
      <c r="Q9910">
        <v>22681</v>
      </c>
      <c r="R9910" t="s">
        <v>45</v>
      </c>
      <c r="S9910" t="s">
        <v>24350</v>
      </c>
      <c r="T9910">
        <v>27</v>
      </c>
      <c r="U9910" s="2" t="s">
        <v>59457</v>
      </c>
      <c r="W9910" t="s">
        <v>6105</v>
      </c>
      <c r="X9910">
        <v>807612</v>
      </c>
      <c r="Y9910" t="s">
        <v>485</v>
      </c>
      <c r="Z9910" t="s">
        <v>3128</v>
      </c>
      <c r="AA9910" t="e">
        <f ca="1">-ARCHIVE _xludf.files</f>
        <v>#NAME?</v>
      </c>
      <c r="AB9910" t="s">
        <v>59458</v>
      </c>
      <c r="AF9910" t="s">
        <v>343</v>
      </c>
      <c r="AG9910" t="s">
        <v>59459</v>
      </c>
      <c r="AH9910" t="s">
        <v>343</v>
      </c>
      <c r="AI9910" t="s">
        <v>59460</v>
      </c>
    </row>
    <row r="9911" spans="2:35" ht="270">
      <c r="B9911" s="1">
        <v>44897</v>
      </c>
      <c r="C9911" s="4">
        <v>44897.61041666667</v>
      </c>
      <c r="D9911" t="s">
        <v>59461</v>
      </c>
      <c r="E9911" t="s">
        <v>59462</v>
      </c>
      <c r="F9911" t="s">
        <v>1181</v>
      </c>
      <c r="G9911" t="s">
        <v>1182</v>
      </c>
      <c r="H9911" t="s">
        <v>61</v>
      </c>
      <c r="I9911" t="s">
        <v>40</v>
      </c>
      <c r="J9911" s="2" t="s">
        <v>62</v>
      </c>
      <c r="K9911" t="s">
        <v>42</v>
      </c>
      <c r="Q9911">
        <v>22680</v>
      </c>
      <c r="R9911" t="s">
        <v>45</v>
      </c>
      <c r="S9911" t="s">
        <v>54601</v>
      </c>
      <c r="T9911">
        <v>24.2</v>
      </c>
      <c r="U9911" s="2" t="s">
        <v>59463</v>
      </c>
      <c r="W9911" t="s">
        <v>35955</v>
      </c>
      <c r="X9911">
        <v>835101</v>
      </c>
      <c r="Y9911" t="s">
        <v>59464</v>
      </c>
      <c r="Z9911" t="s">
        <v>301</v>
      </c>
      <c r="AA9911" t="e">
        <f ca="1">-PM
-run Dummy test in module A2
-run XpertCheck in ALL modules</f>
        <v>#NAME?</v>
      </c>
      <c r="AB9911" t="s">
        <v>59465</v>
      </c>
      <c r="AF9911" t="s">
        <v>343</v>
      </c>
      <c r="AG9911" t="s">
        <v>59466</v>
      </c>
      <c r="AH9911" t="s">
        <v>59467</v>
      </c>
      <c r="AI9911" t="s">
        <v>59468</v>
      </c>
    </row>
    <row r="9912" spans="2:35" ht="270">
      <c r="B9912" s="1">
        <v>44897</v>
      </c>
      <c r="C9912" s="4">
        <v>44897.457638888889</v>
      </c>
      <c r="D9912" t="s">
        <v>59461</v>
      </c>
      <c r="E9912" t="s">
        <v>59462</v>
      </c>
      <c r="F9912" t="s">
        <v>1181</v>
      </c>
      <c r="G9912" t="s">
        <v>1182</v>
      </c>
      <c r="H9912" t="s">
        <v>61</v>
      </c>
      <c r="I9912" t="s">
        <v>40</v>
      </c>
      <c r="J9912" t="s">
        <v>79</v>
      </c>
      <c r="K9912" t="s">
        <v>42</v>
      </c>
      <c r="Q9912">
        <v>22679</v>
      </c>
      <c r="R9912" t="s">
        <v>119</v>
      </c>
      <c r="S9912" t="s">
        <v>54601</v>
      </c>
      <c r="T9912">
        <v>24.2</v>
      </c>
      <c r="U9912" s="2" t="s">
        <v>59469</v>
      </c>
      <c r="V9912" s="1">
        <v>44886</v>
      </c>
      <c r="W9912" t="s">
        <v>6105</v>
      </c>
      <c r="X9912">
        <v>847725</v>
      </c>
      <c r="Y9912" t="s">
        <v>59470</v>
      </c>
      <c r="Z9912" t="s">
        <v>59471</v>
      </c>
      <c r="AA9912" t="s">
        <v>3128</v>
      </c>
      <c r="AB9912" t="s">
        <v>51916</v>
      </c>
      <c r="AD9912" t="s">
        <v>59472</v>
      </c>
      <c r="AE9912" t="s">
        <v>59473</v>
      </c>
      <c r="AF9912" t="s">
        <v>343</v>
      </c>
      <c r="AG9912" t="s">
        <v>59474</v>
      </c>
      <c r="AH9912" t="s">
        <v>59467</v>
      </c>
      <c r="AI9912" t="s">
        <v>59475</v>
      </c>
    </row>
    <row r="9913" spans="2:35" ht="105">
      <c r="B9913" s="1">
        <v>44897</v>
      </c>
      <c r="C9913" s="4">
        <v>44897.595833333333</v>
      </c>
      <c r="D9913" t="s">
        <v>10149</v>
      </c>
      <c r="E9913" t="s">
        <v>59476</v>
      </c>
      <c r="F9913">
        <v>10</v>
      </c>
      <c r="G9913" t="s">
        <v>1395</v>
      </c>
      <c r="H9913" t="s">
        <v>1047</v>
      </c>
      <c r="I9913" t="s">
        <v>94</v>
      </c>
      <c r="J9913" t="s">
        <v>79</v>
      </c>
      <c r="K9913" t="s">
        <v>42</v>
      </c>
      <c r="Q9913">
        <v>22678</v>
      </c>
      <c r="R9913" t="s">
        <v>119</v>
      </c>
      <c r="S9913" t="s">
        <v>59477</v>
      </c>
      <c r="T9913">
        <v>27</v>
      </c>
      <c r="U9913" s="2" t="s">
        <v>13744</v>
      </c>
      <c r="W9913" t="s">
        <v>43102</v>
      </c>
      <c r="X9913">
        <v>838269</v>
      </c>
      <c r="Y9913" t="s">
        <v>41597</v>
      </c>
      <c r="Z9913" t="s">
        <v>59478</v>
      </c>
      <c r="AA9913" t="s">
        <v>59479</v>
      </c>
      <c r="AB9913" t="s">
        <v>57985</v>
      </c>
      <c r="AF9913" t="s">
        <v>43100</v>
      </c>
      <c r="AG9913" t="s">
        <v>59480</v>
      </c>
      <c r="AH9913" t="s">
        <v>22208</v>
      </c>
      <c r="AI9913" t="s">
        <v>59481</v>
      </c>
    </row>
    <row r="9914" spans="2:35" ht="180">
      <c r="B9914" s="1">
        <v>44897</v>
      </c>
      <c r="C9914" s="4">
        <v>44897.588888888888</v>
      </c>
      <c r="D9914" t="s">
        <v>23423</v>
      </c>
      <c r="E9914" t="s">
        <v>59482</v>
      </c>
      <c r="F9914">
        <v>3</v>
      </c>
      <c r="G9914" t="s">
        <v>134</v>
      </c>
      <c r="H9914" t="s">
        <v>39</v>
      </c>
      <c r="I9914" t="s">
        <v>40</v>
      </c>
      <c r="J9914" t="s">
        <v>109</v>
      </c>
      <c r="K9914" t="s">
        <v>42</v>
      </c>
      <c r="Q9914">
        <v>22677</v>
      </c>
      <c r="R9914" t="s">
        <v>119</v>
      </c>
      <c r="S9914" t="s">
        <v>27447</v>
      </c>
      <c r="T9914">
        <v>20</v>
      </c>
      <c r="U9914" s="2" t="s">
        <v>59483</v>
      </c>
      <c r="W9914" t="s">
        <v>59484</v>
      </c>
      <c r="X9914">
        <v>831714</v>
      </c>
      <c r="Y9914" t="s">
        <v>121</v>
      </c>
      <c r="Z9914" t="e">
        <f ca="1">-performed surface Cleaning
-performed Cleaning of cartridge bay,icore,plunger rod _xludf.and _xludf.filter
-Generate reports
-archived test results
-performed functionality test</f>
        <v>#NAME?</v>
      </c>
      <c r="AA9914" t="s">
        <v>4315</v>
      </c>
      <c r="AB9914" t="s">
        <v>181</v>
      </c>
      <c r="AF9914" t="s">
        <v>135</v>
      </c>
      <c r="AG9914" t="s">
        <v>59485</v>
      </c>
      <c r="AH9914" t="s">
        <v>59486</v>
      </c>
      <c r="AI9914" t="s">
        <v>59487</v>
      </c>
    </row>
    <row r="9915" spans="2:35" ht="180">
      <c r="B9915" s="1">
        <v>44897</v>
      </c>
      <c r="C9915" s="4">
        <v>44897.554166666669</v>
      </c>
      <c r="D9915" t="s">
        <v>30287</v>
      </c>
      <c r="E9915" t="s">
        <v>59488</v>
      </c>
      <c r="F9915" t="s">
        <v>37</v>
      </c>
      <c r="G9915" t="s">
        <v>78</v>
      </c>
      <c r="H9915" t="s">
        <v>39</v>
      </c>
      <c r="I9915" t="s">
        <v>40</v>
      </c>
      <c r="J9915" s="2" t="s">
        <v>190</v>
      </c>
      <c r="K9915" t="s">
        <v>42</v>
      </c>
      <c r="Q9915">
        <v>22676</v>
      </c>
      <c r="R9915" t="s">
        <v>45</v>
      </c>
      <c r="S9915" t="s">
        <v>30289</v>
      </c>
      <c r="T9915">
        <v>27</v>
      </c>
      <c r="U9915" s="2" t="s">
        <v>59489</v>
      </c>
      <c r="W9915" t="s">
        <v>9792</v>
      </c>
      <c r="X9915">
        <v>838148</v>
      </c>
      <c r="Y9915" t="s">
        <v>59490</v>
      </c>
      <c r="Z9915" t="s">
        <v>15934</v>
      </c>
      <c r="AA9915" s="2" t="s">
        <v>57578</v>
      </c>
      <c r="AB9915" t="s">
        <v>59491</v>
      </c>
      <c r="AF9915" t="s">
        <v>43</v>
      </c>
      <c r="AG9915" t="s">
        <v>59492</v>
      </c>
      <c r="AH9915" t="s">
        <v>51711</v>
      </c>
      <c r="AI9915" t="s">
        <v>59493</v>
      </c>
    </row>
    <row r="9916" spans="2:35" ht="240">
      <c r="B9916" s="1">
        <v>44897</v>
      </c>
      <c r="C9916" s="4">
        <v>44897.470833333333</v>
      </c>
      <c r="D9916" t="s">
        <v>25324</v>
      </c>
      <c r="E9916" t="s">
        <v>25325</v>
      </c>
      <c r="F9916" t="s">
        <v>37</v>
      </c>
      <c r="G9916" t="s">
        <v>78</v>
      </c>
      <c r="H9916" t="s">
        <v>39</v>
      </c>
      <c r="I9916" t="s">
        <v>40</v>
      </c>
      <c r="J9916" s="2" t="s">
        <v>62</v>
      </c>
      <c r="K9916" t="s">
        <v>42</v>
      </c>
      <c r="Q9916">
        <v>22675</v>
      </c>
      <c r="R9916" t="s">
        <v>119</v>
      </c>
      <c r="S9916" t="s">
        <v>27739</v>
      </c>
      <c r="T9916">
        <v>25</v>
      </c>
      <c r="U9916" s="2" t="s">
        <v>59494</v>
      </c>
      <c r="W9916" t="s">
        <v>9792</v>
      </c>
      <c r="X9916">
        <v>821292</v>
      </c>
      <c r="Y9916" t="s">
        <v>59495</v>
      </c>
      <c r="Z9916" t="s">
        <v>59496</v>
      </c>
      <c r="AA9916" s="2" t="s">
        <v>59497</v>
      </c>
      <c r="AB9916" t="s">
        <v>59498</v>
      </c>
      <c r="AC9916" t="s">
        <v>59499</v>
      </c>
      <c r="AF9916" t="s">
        <v>43</v>
      </c>
      <c r="AG9916" t="s">
        <v>59500</v>
      </c>
      <c r="AH9916" t="s">
        <v>57202</v>
      </c>
      <c r="AI9916" t="s">
        <v>59501</v>
      </c>
    </row>
    <row r="9917" spans="2:35" ht="105">
      <c r="B9917" s="1">
        <v>44897</v>
      </c>
      <c r="C9917" s="4">
        <v>44897.436805555553</v>
      </c>
      <c r="D9917" t="s">
        <v>14718</v>
      </c>
      <c r="E9917" t="s">
        <v>59502</v>
      </c>
      <c r="F9917" t="s">
        <v>148</v>
      </c>
      <c r="G9917" t="s">
        <v>310</v>
      </c>
      <c r="H9917" t="s">
        <v>59503</v>
      </c>
      <c r="I9917" t="s">
        <v>40</v>
      </c>
      <c r="J9917" t="s">
        <v>996</v>
      </c>
      <c r="K9917" t="s">
        <v>42</v>
      </c>
      <c r="Q9917">
        <v>22674</v>
      </c>
      <c r="R9917" t="s">
        <v>95</v>
      </c>
      <c r="S9917" t="s">
        <v>14719</v>
      </c>
      <c r="T9917">
        <v>28</v>
      </c>
      <c r="U9917" s="2" t="s">
        <v>59504</v>
      </c>
      <c r="W9917" t="s">
        <v>536</v>
      </c>
      <c r="X9917">
        <v>844418</v>
      </c>
      <c r="Y9917" t="s">
        <v>50967</v>
      </c>
      <c r="Z9917" t="s">
        <v>999</v>
      </c>
      <c r="AA9917" t="e">
        <f ca="1">- Check _xludf.and cleaned cartridge bay, plunger rod, _xludf.filter, icore slot
- performed XpertCheck
- generated reports
- performed functionality test</f>
        <v>#NAME?</v>
      </c>
      <c r="AB9917" t="s">
        <v>59505</v>
      </c>
      <c r="AC9917" t="s">
        <v>59506</v>
      </c>
      <c r="AF9917" t="s">
        <v>175</v>
      </c>
      <c r="AG9917" t="s">
        <v>59507</v>
      </c>
      <c r="AH9917" t="s">
        <v>27282</v>
      </c>
      <c r="AI9917" t="s">
        <v>59508</v>
      </c>
    </row>
    <row r="9918" spans="2:35" ht="60">
      <c r="B9918" s="1">
        <v>44897</v>
      </c>
      <c r="C9918" s="4">
        <v>44897.459722222222</v>
      </c>
      <c r="D9918" t="s">
        <v>1071</v>
      </c>
      <c r="E9918" t="s">
        <v>1072</v>
      </c>
      <c r="F9918">
        <v>7</v>
      </c>
      <c r="G9918" t="s">
        <v>432</v>
      </c>
      <c r="H9918" t="s">
        <v>386</v>
      </c>
      <c r="I9918" t="s">
        <v>94</v>
      </c>
      <c r="J9918" s="2" t="s">
        <v>62</v>
      </c>
      <c r="K9918" t="s">
        <v>387</v>
      </c>
      <c r="Q9918">
        <v>22673</v>
      </c>
      <c r="R9918" t="s">
        <v>95</v>
      </c>
      <c r="S9918" t="s">
        <v>59509</v>
      </c>
      <c r="T9918">
        <v>24</v>
      </c>
      <c r="W9918" t="s">
        <v>390</v>
      </c>
      <c r="X9918" t="s">
        <v>1074</v>
      </c>
      <c r="Y9918" t="s">
        <v>59510</v>
      </c>
      <c r="Z9918" t="s">
        <v>59511</v>
      </c>
      <c r="AA9918" t="s">
        <v>59512</v>
      </c>
      <c r="AB9918" t="s">
        <v>59513</v>
      </c>
      <c r="AF9918" t="s">
        <v>59514</v>
      </c>
      <c r="AG9918" t="s">
        <v>59515</v>
      </c>
      <c r="AH9918" t="s">
        <v>59516</v>
      </c>
      <c r="AI9918" t="s">
        <v>59517</v>
      </c>
    </row>
    <row r="9919" spans="2:35" ht="180">
      <c r="B9919" s="1">
        <v>44897</v>
      </c>
      <c r="C9919" s="4">
        <v>44897.449305555558</v>
      </c>
      <c r="D9919" t="s">
        <v>23305</v>
      </c>
      <c r="E9919" t="s">
        <v>59518</v>
      </c>
      <c r="F9919" t="s">
        <v>1181</v>
      </c>
      <c r="G9919" t="s">
        <v>1182</v>
      </c>
      <c r="H9919" t="s">
        <v>39</v>
      </c>
      <c r="I9919" t="s">
        <v>94</v>
      </c>
      <c r="J9919" t="s">
        <v>79</v>
      </c>
      <c r="K9919" t="s">
        <v>42</v>
      </c>
      <c r="Q9919">
        <v>22672</v>
      </c>
      <c r="R9919" t="s">
        <v>45</v>
      </c>
      <c r="S9919" t="s">
        <v>59519</v>
      </c>
      <c r="T9919">
        <v>20</v>
      </c>
      <c r="U9919" s="2" t="s">
        <v>59520</v>
      </c>
      <c r="W9919" t="s">
        <v>29896</v>
      </c>
      <c r="X9919">
        <v>804271</v>
      </c>
      <c r="Y9919" t="s">
        <v>59521</v>
      </c>
      <c r="Z9919" t="s">
        <v>59522</v>
      </c>
      <c r="AA9919" t="s">
        <v>3128</v>
      </c>
      <c r="AB9919" t="s">
        <v>51916</v>
      </c>
      <c r="AF9919" t="s">
        <v>343</v>
      </c>
      <c r="AG9919" t="s">
        <v>59523</v>
      </c>
      <c r="AH9919" t="s">
        <v>59524</v>
      </c>
      <c r="AI9919" t="s">
        <v>59525</v>
      </c>
    </row>
    <row r="9920" spans="2:35" ht="240">
      <c r="B9920" s="1">
        <v>44897</v>
      </c>
      <c r="C9920" s="4">
        <v>44897.38958333333</v>
      </c>
      <c r="D9920" t="s">
        <v>5207</v>
      </c>
      <c r="E9920" t="s">
        <v>54282</v>
      </c>
      <c r="F9920" t="s">
        <v>148</v>
      </c>
      <c r="G9920" t="s">
        <v>310</v>
      </c>
      <c r="H9920" t="s">
        <v>39</v>
      </c>
      <c r="I9920" t="s">
        <v>40</v>
      </c>
      <c r="J9920" s="2" t="s">
        <v>41</v>
      </c>
      <c r="K9920" t="s">
        <v>42</v>
      </c>
      <c r="Q9920">
        <v>22671</v>
      </c>
      <c r="R9920" t="s">
        <v>322</v>
      </c>
      <c r="S9920" t="s">
        <v>1944</v>
      </c>
      <c r="T9920">
        <v>25</v>
      </c>
      <c r="U9920" s="2" t="s">
        <v>59526</v>
      </c>
      <c r="W9920" t="s">
        <v>6776</v>
      </c>
      <c r="X9920">
        <v>110001650</v>
      </c>
      <c r="Y9920" t="s">
        <v>59527</v>
      </c>
      <c r="Z9920" t="s">
        <v>59528</v>
      </c>
      <c r="AA9920" t="e">
        <f ca="1">- generated PRE-IQR
- replaced module A2
- Check _xludf.and cleaned cartridge bay, plunger rod, _xludf.filter
- generated reports
- performed functionality test</f>
        <v>#NAME?</v>
      </c>
      <c r="AB9920" t="s">
        <v>59529</v>
      </c>
      <c r="AC9920" t="s">
        <v>103</v>
      </c>
      <c r="AF9920" t="s">
        <v>175</v>
      </c>
      <c r="AG9920" t="s">
        <v>59530</v>
      </c>
      <c r="AH9920" t="s">
        <v>59531</v>
      </c>
      <c r="AI9920" t="s">
        <v>59532</v>
      </c>
    </row>
    <row r="9921" spans="2:35" ht="180">
      <c r="B9921" s="1">
        <v>44897</v>
      </c>
      <c r="C9921" s="4">
        <v>44896.478472222225</v>
      </c>
      <c r="D9921" t="s">
        <v>29494</v>
      </c>
      <c r="E9921" t="s">
        <v>25960</v>
      </c>
      <c r="F9921">
        <v>3</v>
      </c>
      <c r="G9921" t="s">
        <v>174</v>
      </c>
      <c r="H9921" t="s">
        <v>39</v>
      </c>
      <c r="I9921" t="s">
        <v>40</v>
      </c>
      <c r="J9921" t="s">
        <v>109</v>
      </c>
      <c r="K9921" t="s">
        <v>42</v>
      </c>
      <c r="Q9921">
        <v>22670</v>
      </c>
      <c r="R9921" t="s">
        <v>119</v>
      </c>
      <c r="S9921" t="s">
        <v>59533</v>
      </c>
      <c r="T9921">
        <v>27</v>
      </c>
      <c r="U9921" s="2" t="s">
        <v>59534</v>
      </c>
      <c r="W9921" t="s">
        <v>6776</v>
      </c>
      <c r="X9921">
        <v>831711</v>
      </c>
      <c r="Y9921" t="s">
        <v>59535</v>
      </c>
      <c r="Z9921" t="s">
        <v>59536</v>
      </c>
      <c r="AA9921" t="e">
        <f ca="1">- checked _xludf.and cleaned cartridge bay, plunger rod, _xludf.filter
- checked system _xludf.Log _xludf.For hardware errors (_xludf.NA)
- generated reports
- performed functionality test</f>
        <v>#NAME?</v>
      </c>
      <c r="AB9921" t="s">
        <v>59537</v>
      </c>
      <c r="AC9921" t="s">
        <v>103</v>
      </c>
      <c r="AF9921" t="s">
        <v>58076</v>
      </c>
      <c r="AG9921" t="s">
        <v>59538</v>
      </c>
      <c r="AH9921" t="s">
        <v>25965</v>
      </c>
      <c r="AI9921" t="s">
        <v>59539</v>
      </c>
    </row>
    <row r="9922" spans="2:35" ht="165">
      <c r="B9922" s="1">
        <v>44896</v>
      </c>
      <c r="C9922" s="4">
        <v>44896.634722222225</v>
      </c>
      <c r="D9922" t="s">
        <v>702</v>
      </c>
      <c r="E9922" t="s">
        <v>57716</v>
      </c>
      <c r="F9922" t="s">
        <v>148</v>
      </c>
      <c r="G9922" t="s">
        <v>544</v>
      </c>
      <c r="H9922" t="s">
        <v>39</v>
      </c>
      <c r="I9922" t="s">
        <v>40</v>
      </c>
      <c r="J9922" s="2" t="s">
        <v>59540</v>
      </c>
      <c r="K9922" t="s">
        <v>42</v>
      </c>
      <c r="Q9922">
        <v>22669</v>
      </c>
      <c r="R9922" t="s">
        <v>45</v>
      </c>
      <c r="S9922" t="s">
        <v>35787</v>
      </c>
      <c r="T9922">
        <v>25</v>
      </c>
      <c r="U9922" s="2" t="s">
        <v>55945</v>
      </c>
      <c r="W9922" t="s">
        <v>9792</v>
      </c>
      <c r="X9922">
        <v>805211</v>
      </c>
      <c r="Y9922" t="s">
        <v>121</v>
      </c>
      <c r="Z9922" t="s">
        <v>122</v>
      </c>
      <c r="AA9922" s="2" t="s">
        <v>59541</v>
      </c>
      <c r="AB9922" t="s">
        <v>59542</v>
      </c>
      <c r="AC9922" t="s">
        <v>59543</v>
      </c>
      <c r="AF9922" t="s">
        <v>43</v>
      </c>
      <c r="AG9922" t="s">
        <v>59544</v>
      </c>
      <c r="AH9922" t="s">
        <v>35792</v>
      </c>
      <c r="AI9922" t="s">
        <v>59545</v>
      </c>
    </row>
    <row r="9923" spans="2:35" ht="330">
      <c r="B9923" s="1">
        <v>44896</v>
      </c>
      <c r="C9923" s="4">
        <v>44896.656944444447</v>
      </c>
      <c r="D9923" t="s">
        <v>38422</v>
      </c>
      <c r="E9923" t="s">
        <v>58564</v>
      </c>
      <c r="F9923" t="s">
        <v>148</v>
      </c>
      <c r="G9923" t="s">
        <v>447</v>
      </c>
      <c r="H9923" t="s">
        <v>662</v>
      </c>
      <c r="I9923" t="s">
        <v>40</v>
      </c>
      <c r="J9923" t="s">
        <v>996</v>
      </c>
      <c r="K9923" t="s">
        <v>42</v>
      </c>
      <c r="Q9923">
        <v>22668</v>
      </c>
      <c r="R9923" t="s">
        <v>322</v>
      </c>
      <c r="S9923" t="s">
        <v>6492</v>
      </c>
      <c r="T9923">
        <v>26</v>
      </c>
      <c r="U9923" s="2" t="s">
        <v>59546</v>
      </c>
      <c r="W9923" t="s">
        <v>325</v>
      </c>
      <c r="X9923">
        <v>838655</v>
      </c>
      <c r="Y9923" t="s">
        <v>59547</v>
      </c>
      <c r="Z9923" t="s">
        <v>59548</v>
      </c>
      <c r="AA9923" t="s">
        <v>59549</v>
      </c>
      <c r="AB9923" t="s">
        <v>59550</v>
      </c>
      <c r="AC9923" t="s">
        <v>59551</v>
      </c>
      <c r="AF9923" t="s">
        <v>448</v>
      </c>
      <c r="AG9923" t="s">
        <v>59552</v>
      </c>
      <c r="AH9923" t="s">
        <v>59553</v>
      </c>
      <c r="AI9923" t="s">
        <v>59554</v>
      </c>
    </row>
    <row r="9924" spans="2:35" ht="165">
      <c r="B9924" s="1">
        <v>44896</v>
      </c>
      <c r="C9924" s="4">
        <v>44896.6</v>
      </c>
      <c r="D9924" t="s">
        <v>58032</v>
      </c>
      <c r="E9924" t="s">
        <v>26638</v>
      </c>
      <c r="F9924">
        <v>3</v>
      </c>
      <c r="G9924" t="s">
        <v>1722</v>
      </c>
      <c r="H9924" t="s">
        <v>500</v>
      </c>
      <c r="I9924" t="s">
        <v>40</v>
      </c>
      <c r="J9924" t="s">
        <v>109</v>
      </c>
      <c r="K9924" t="s">
        <v>42</v>
      </c>
      <c r="Q9924">
        <v>22667</v>
      </c>
      <c r="R9924" t="s">
        <v>119</v>
      </c>
      <c r="S9924" t="s">
        <v>51234</v>
      </c>
      <c r="T9924">
        <v>30</v>
      </c>
      <c r="U9924" s="2" t="s">
        <v>40628</v>
      </c>
      <c r="V9924" s="1">
        <v>44896</v>
      </c>
      <c r="W9924" t="s">
        <v>26915</v>
      </c>
      <c r="X9924">
        <v>831672</v>
      </c>
      <c r="Y9924" t="s">
        <v>59555</v>
      </c>
      <c r="Z9924" t="s">
        <v>59556</v>
      </c>
      <c r="AA9924" s="2" t="s">
        <v>20659</v>
      </c>
      <c r="AB9924" t="s">
        <v>181</v>
      </c>
      <c r="AC9924" t="s">
        <v>59557</v>
      </c>
      <c r="AD9924" t="s">
        <v>1716</v>
      </c>
      <c r="AE9924" t="s">
        <v>1716</v>
      </c>
      <c r="AF9924" t="s">
        <v>63</v>
      </c>
      <c r="AG9924" t="s">
        <v>59558</v>
      </c>
      <c r="AH9924" t="s">
        <v>59559</v>
      </c>
      <c r="AI9924" t="s">
        <v>59560</v>
      </c>
    </row>
    <row r="9925" spans="2:35" ht="315">
      <c r="B9925" s="1">
        <v>44896</v>
      </c>
      <c r="C9925" s="4">
        <v>44896.597916666666</v>
      </c>
      <c r="D9925" t="s">
        <v>37874</v>
      </c>
      <c r="E9925" t="s">
        <v>59561</v>
      </c>
      <c r="F9925" t="s">
        <v>1255</v>
      </c>
      <c r="G9925" t="s">
        <v>17856</v>
      </c>
      <c r="H9925" t="s">
        <v>10969</v>
      </c>
      <c r="I9925" t="s">
        <v>40</v>
      </c>
      <c r="J9925" s="2" t="s">
        <v>41</v>
      </c>
      <c r="K9925" t="s">
        <v>42</v>
      </c>
      <c r="Q9925">
        <v>22666</v>
      </c>
      <c r="R9925" t="s">
        <v>45</v>
      </c>
      <c r="S9925" t="s">
        <v>35584</v>
      </c>
      <c r="T9925">
        <v>25</v>
      </c>
      <c r="U9925" s="2" t="s">
        <v>59562</v>
      </c>
      <c r="W9925" t="s">
        <v>1292</v>
      </c>
      <c r="X9925">
        <v>808643</v>
      </c>
      <c r="Y9925" s="2" t="s">
        <v>59563</v>
      </c>
      <c r="Z9925" s="2" t="s">
        <v>59564</v>
      </c>
      <c r="AA9925" t="e">
        <f ca="1">- COLLECT GX Data: IQR, system _xludf.Log, _xludf.and ARCHIVE.</f>
        <v>#NAME?</v>
      </c>
      <c r="AB9925" t="e">
        <f ca="1">-module B2 operational after new module Replacement
-module B4 _xludf.For Reporting</f>
        <v>#NAME?</v>
      </c>
      <c r="AC9925" t="e">
        <f ca="1">-EQUIPMENT is operational</f>
        <v>#NAME?</v>
      </c>
      <c r="AF9925" t="s">
        <v>58218</v>
      </c>
      <c r="AG9925" t="s">
        <v>59565</v>
      </c>
      <c r="AH9925" t="s">
        <v>59566</v>
      </c>
      <c r="AI9925" t="s">
        <v>59567</v>
      </c>
    </row>
    <row r="9926" spans="2:35" ht="60">
      <c r="B9926" s="1">
        <v>44896</v>
      </c>
      <c r="C9926" s="4">
        <v>44896.546527777777</v>
      </c>
      <c r="D9926" t="s">
        <v>36812</v>
      </c>
      <c r="E9926" t="s">
        <v>10968</v>
      </c>
      <c r="F9926">
        <v>7</v>
      </c>
      <c r="G9926" t="s">
        <v>432</v>
      </c>
      <c r="H9926" t="s">
        <v>12018</v>
      </c>
      <c r="I9926" t="s">
        <v>40</v>
      </c>
      <c r="J9926" s="2" t="s">
        <v>62</v>
      </c>
      <c r="K9926" t="s">
        <v>387</v>
      </c>
      <c r="Q9926">
        <v>22665</v>
      </c>
      <c r="R9926" t="s">
        <v>95</v>
      </c>
      <c r="S9926" t="s">
        <v>36813</v>
      </c>
      <c r="T9926">
        <v>22</v>
      </c>
      <c r="W9926" t="s">
        <v>390</v>
      </c>
      <c r="X9926" t="s">
        <v>437</v>
      </c>
      <c r="Y9926" t="e">
        <f ca="1">-line sensor issue
-Protocol Card door is LOOSE
-_xludf.For CALIBRATION</f>
        <v>#NAME?</v>
      </c>
      <c r="Z9926" t="e">
        <f ca="1">-ADJUST line sensor _xludf.value, _xludf.value is within range
- _xludf.Clean Protocol Card door assembly</f>
        <v>#NAME?</v>
      </c>
      <c r="AA9926" t="e">
        <f ca="1">- PERFORM DIAGNOSTICS _xludf.and CALIBRATION, passed</f>
        <v>#NAME?</v>
      </c>
      <c r="AB9926" t="s">
        <v>1293</v>
      </c>
      <c r="AF9926" t="s">
        <v>58218</v>
      </c>
      <c r="AG9926" t="s">
        <v>59568</v>
      </c>
      <c r="AH9926" t="s">
        <v>59569</v>
      </c>
      <c r="AI9926" t="s">
        <v>59570</v>
      </c>
    </row>
    <row r="9927" spans="2:35" ht="240">
      <c r="B9927" s="1">
        <v>44896</v>
      </c>
      <c r="C9927" s="4">
        <v>44896.532638888886</v>
      </c>
      <c r="D9927" t="s">
        <v>1614</v>
      </c>
      <c r="E9927" t="s">
        <v>59571</v>
      </c>
      <c r="F9927">
        <v>11</v>
      </c>
      <c r="G9927" t="s">
        <v>1205</v>
      </c>
      <c r="H9927" t="s">
        <v>39</v>
      </c>
      <c r="I9927" t="s">
        <v>40</v>
      </c>
      <c r="J9927" t="s">
        <v>109</v>
      </c>
      <c r="K9927" t="s">
        <v>42</v>
      </c>
      <c r="Q9927">
        <v>22664</v>
      </c>
      <c r="R9927" t="s">
        <v>719</v>
      </c>
      <c r="S9927" t="s">
        <v>24975</v>
      </c>
      <c r="T9927">
        <v>28.5</v>
      </c>
      <c r="U9927" s="2" t="s">
        <v>59572</v>
      </c>
      <c r="V9927" s="1">
        <v>44896</v>
      </c>
      <c r="W9927" t="s">
        <v>59573</v>
      </c>
      <c r="X9927">
        <v>847256</v>
      </c>
      <c r="Y9927" t="s">
        <v>1052</v>
      </c>
      <c r="Z9927" t="s">
        <v>59574</v>
      </c>
      <c r="AA9927" s="2" t="s">
        <v>59575</v>
      </c>
      <c r="AB9927" t="s">
        <v>9590</v>
      </c>
      <c r="AC9927" t="s">
        <v>54</v>
      </c>
      <c r="AD9927" t="s">
        <v>54</v>
      </c>
      <c r="AE9927" t="s">
        <v>1716</v>
      </c>
      <c r="AF9927" t="s">
        <v>57687</v>
      </c>
      <c r="AG9927" t="s">
        <v>59576</v>
      </c>
      <c r="AH9927" t="s">
        <v>24981</v>
      </c>
      <c r="AI9927" t="s">
        <v>59577</v>
      </c>
    </row>
    <row r="9928" spans="2:35" ht="180">
      <c r="B9928" s="1">
        <v>44896</v>
      </c>
      <c r="C9928" s="4">
        <v>44896.515277777777</v>
      </c>
      <c r="D9928" t="s">
        <v>27250</v>
      </c>
      <c r="E9928" t="s">
        <v>27251</v>
      </c>
      <c r="F9928">
        <v>3</v>
      </c>
      <c r="G9928" t="s">
        <v>134</v>
      </c>
      <c r="H9928" t="s">
        <v>39</v>
      </c>
      <c r="I9928" t="s">
        <v>40</v>
      </c>
      <c r="J9928" t="s">
        <v>109</v>
      </c>
      <c r="K9928" t="s">
        <v>42</v>
      </c>
      <c r="Q9928">
        <v>22663</v>
      </c>
      <c r="R9928" t="s">
        <v>119</v>
      </c>
      <c r="S9928" t="s">
        <v>27252</v>
      </c>
      <c r="T9928">
        <v>20</v>
      </c>
      <c r="U9928" s="2" t="s">
        <v>59578</v>
      </c>
      <c r="W9928" t="s">
        <v>2680</v>
      </c>
      <c r="X9928">
        <v>831893</v>
      </c>
      <c r="Y9928" t="s">
        <v>59579</v>
      </c>
      <c r="Z9928" t="e">
        <f ca="1">-performed surface Cleaning
-performed Cleaning of cartridge bay,icore,plunger rod _xludf.and _xludf.filter
-Generate reports
-archived test results
-performed functionality test</f>
        <v>#NAME?</v>
      </c>
      <c r="AA9928" t="s">
        <v>4315</v>
      </c>
      <c r="AB9928" t="s">
        <v>59580</v>
      </c>
      <c r="AF9928" t="s">
        <v>135</v>
      </c>
      <c r="AG9928" t="s">
        <v>59581</v>
      </c>
      <c r="AH9928" t="s">
        <v>51426</v>
      </c>
      <c r="AI9928" t="s">
        <v>59582</v>
      </c>
    </row>
    <row r="9929" spans="2:35" ht="300">
      <c r="B9929" s="1">
        <v>44896</v>
      </c>
      <c r="C9929" s="4">
        <v>44896.513194444444</v>
      </c>
      <c r="D9929" t="s">
        <v>3752</v>
      </c>
      <c r="E9929" t="s">
        <v>59583</v>
      </c>
      <c r="F9929" t="s">
        <v>1181</v>
      </c>
      <c r="G9929" t="s">
        <v>3753</v>
      </c>
      <c r="H9929" t="s">
        <v>34954</v>
      </c>
      <c r="I9929" t="s">
        <v>40</v>
      </c>
      <c r="J9929" s="2" t="s">
        <v>41</v>
      </c>
      <c r="K9929" t="s">
        <v>42</v>
      </c>
      <c r="Q9929">
        <v>22662</v>
      </c>
      <c r="R9929" t="s">
        <v>45</v>
      </c>
      <c r="S9929" t="s">
        <v>52139</v>
      </c>
      <c r="T9929">
        <v>25</v>
      </c>
      <c r="U9929" s="2" t="s">
        <v>59584</v>
      </c>
      <c r="V9929" s="1">
        <v>44896</v>
      </c>
      <c r="W9929" t="s">
        <v>84</v>
      </c>
      <c r="X9929">
        <v>834446</v>
      </c>
      <c r="Y9929" s="2" t="s">
        <v>59585</v>
      </c>
      <c r="Z9929" s="2" t="s">
        <v>59586</v>
      </c>
      <c r="AA9929" t="s">
        <v>51654</v>
      </c>
      <c r="AB9929" t="s">
        <v>58831</v>
      </c>
      <c r="AD9929" t="s">
        <v>59587</v>
      </c>
      <c r="AE9929" t="s">
        <v>54</v>
      </c>
      <c r="AF9929" t="s">
        <v>1943</v>
      </c>
      <c r="AG9929" t="s">
        <v>59588</v>
      </c>
      <c r="AH9929" t="s">
        <v>59589</v>
      </c>
      <c r="AI9929" t="s">
        <v>59590</v>
      </c>
    </row>
    <row r="9930" spans="2:35" ht="195">
      <c r="B9930" s="1">
        <v>44896</v>
      </c>
      <c r="C9930" s="4">
        <v>44896.515972222223</v>
      </c>
      <c r="D9930" t="s">
        <v>3752</v>
      </c>
      <c r="E9930" t="s">
        <v>59591</v>
      </c>
      <c r="F9930" t="s">
        <v>1181</v>
      </c>
      <c r="G9930" t="s">
        <v>3753</v>
      </c>
      <c r="H9930" t="s">
        <v>34954</v>
      </c>
      <c r="I9930" t="s">
        <v>40</v>
      </c>
      <c r="J9930" s="2" t="s">
        <v>41</v>
      </c>
      <c r="K9930" t="s">
        <v>42</v>
      </c>
      <c r="Q9930">
        <v>22661</v>
      </c>
      <c r="R9930" t="s">
        <v>45</v>
      </c>
      <c r="S9930" t="s">
        <v>52139</v>
      </c>
      <c r="T9930">
        <v>25</v>
      </c>
      <c r="U9930" s="2" t="s">
        <v>59592</v>
      </c>
      <c r="V9930" s="1">
        <v>44896</v>
      </c>
      <c r="W9930" t="s">
        <v>895</v>
      </c>
      <c r="X9930">
        <v>842229</v>
      </c>
      <c r="Y9930" s="2" t="s">
        <v>59593</v>
      </c>
      <c r="Z9930" s="2" t="s">
        <v>59594</v>
      </c>
      <c r="AA9930" t="s">
        <v>51654</v>
      </c>
      <c r="AB9930" t="s">
        <v>59595</v>
      </c>
      <c r="AD9930" t="s">
        <v>59596</v>
      </c>
      <c r="AE9930" t="s">
        <v>54</v>
      </c>
      <c r="AF9930" t="s">
        <v>1943</v>
      </c>
      <c r="AG9930" t="s">
        <v>59597</v>
      </c>
      <c r="AH9930" t="s">
        <v>59598</v>
      </c>
      <c r="AI9930" t="s">
        <v>59599</v>
      </c>
    </row>
    <row r="9931" spans="2:35" ht="315">
      <c r="B9931" s="1">
        <v>44894</v>
      </c>
      <c r="C9931" s="4">
        <v>44894.68472222222</v>
      </c>
      <c r="D9931" t="s">
        <v>37671</v>
      </c>
      <c r="E9931" t="s">
        <v>59600</v>
      </c>
      <c r="F9931">
        <v>3</v>
      </c>
      <c r="G9931" t="s">
        <v>1722</v>
      </c>
      <c r="H9931" t="s">
        <v>39</v>
      </c>
      <c r="I9931" t="s">
        <v>40</v>
      </c>
      <c r="J9931" t="s">
        <v>109</v>
      </c>
      <c r="K9931" t="s">
        <v>42</v>
      </c>
      <c r="Q9931">
        <v>22660</v>
      </c>
      <c r="R9931" t="s">
        <v>119</v>
      </c>
      <c r="S9931" t="s">
        <v>29077</v>
      </c>
      <c r="T9931">
        <v>27</v>
      </c>
      <c r="U9931" s="2" t="s">
        <v>40628</v>
      </c>
      <c r="V9931" s="1">
        <v>44894</v>
      </c>
      <c r="W9931" t="s">
        <v>26915</v>
      </c>
      <c r="X9931">
        <v>831582</v>
      </c>
      <c r="Y9931" t="s">
        <v>1716</v>
      </c>
      <c r="Z9931" t="s">
        <v>1716</v>
      </c>
      <c r="AA9931" s="2" t="s">
        <v>59601</v>
      </c>
      <c r="AB9931" t="s">
        <v>70</v>
      </c>
      <c r="AC9931" t="s">
        <v>1716</v>
      </c>
      <c r="AD9931" t="s">
        <v>1716</v>
      </c>
      <c r="AE9931" t="s">
        <v>1716</v>
      </c>
      <c r="AF9931" t="s">
        <v>63</v>
      </c>
      <c r="AG9931" t="s">
        <v>59602</v>
      </c>
      <c r="AH9931" t="s">
        <v>59603</v>
      </c>
      <c r="AI9931" t="s">
        <v>59604</v>
      </c>
    </row>
    <row r="9932" spans="2:35" ht="180">
      <c r="B9932" s="1">
        <v>44894</v>
      </c>
      <c r="C9932" s="4">
        <v>44894.52847222222</v>
      </c>
      <c r="D9932" t="s">
        <v>59605</v>
      </c>
      <c r="E9932" t="s">
        <v>28472</v>
      </c>
      <c r="F9932">
        <v>3</v>
      </c>
      <c r="G9932" t="s">
        <v>730</v>
      </c>
      <c r="H9932" t="s">
        <v>39</v>
      </c>
      <c r="I9932" t="s">
        <v>40</v>
      </c>
      <c r="J9932" t="s">
        <v>109</v>
      </c>
      <c r="K9932" t="s">
        <v>42</v>
      </c>
      <c r="Q9932">
        <v>22659</v>
      </c>
      <c r="R9932" t="s">
        <v>119</v>
      </c>
      <c r="S9932" t="s">
        <v>22433</v>
      </c>
      <c r="T9932">
        <v>20</v>
      </c>
      <c r="U9932" s="2" t="s">
        <v>59606</v>
      </c>
      <c r="W9932" t="s">
        <v>2680</v>
      </c>
      <c r="X9932">
        <v>831917</v>
      </c>
      <c r="Y9932" t="s">
        <v>54</v>
      </c>
      <c r="Z9932" t="e">
        <f ca="1">-performed surface Cleaning
-performed Cleaning of cartridge bay,icore,plunger rod _xludf.and _xludf.filter
-Generate reports
-archived test results
-performed functionality test</f>
        <v>#NAME?</v>
      </c>
      <c r="AA9932" t="s">
        <v>4315</v>
      </c>
      <c r="AB9932" t="s">
        <v>181</v>
      </c>
      <c r="AF9932" t="s">
        <v>135</v>
      </c>
      <c r="AG9932" t="s">
        <v>59607</v>
      </c>
      <c r="AH9932" t="s">
        <v>59608</v>
      </c>
      <c r="AI9932" t="s">
        <v>59609</v>
      </c>
    </row>
    <row r="9933" spans="2:35" ht="409.5">
      <c r="B9933" s="1">
        <v>44893</v>
      </c>
      <c r="C9933" s="4">
        <v>44893.678472222222</v>
      </c>
      <c r="D9933" t="s">
        <v>38717</v>
      </c>
      <c r="E9933" t="s">
        <v>59610</v>
      </c>
      <c r="F9933" t="s">
        <v>148</v>
      </c>
      <c r="G9933" t="s">
        <v>447</v>
      </c>
      <c r="H9933" t="s">
        <v>662</v>
      </c>
      <c r="I9933" t="s">
        <v>40</v>
      </c>
      <c r="J9933" t="s">
        <v>79</v>
      </c>
      <c r="K9933" t="s">
        <v>42</v>
      </c>
      <c r="Q9933">
        <v>22658</v>
      </c>
      <c r="R9933" t="s">
        <v>322</v>
      </c>
      <c r="S9933" t="s">
        <v>5604</v>
      </c>
      <c r="T9933">
        <v>25</v>
      </c>
      <c r="U9933" s="2" t="s">
        <v>59611</v>
      </c>
      <c r="V9933" s="1">
        <v>44893</v>
      </c>
      <c r="W9933" t="s">
        <v>325</v>
      </c>
      <c r="X9933">
        <v>110005587</v>
      </c>
      <c r="Y9933" t="s">
        <v>59612</v>
      </c>
      <c r="Z9933" t="s">
        <v>59613</v>
      </c>
      <c r="AA9933" t="s">
        <v>5712</v>
      </c>
      <c r="AB9933" t="s">
        <v>59614</v>
      </c>
      <c r="AD9933" t="s">
        <v>13296</v>
      </c>
      <c r="AE9933" t="s">
        <v>59615</v>
      </c>
      <c r="AF9933" t="s">
        <v>59616</v>
      </c>
      <c r="AG9933" t="s">
        <v>59617</v>
      </c>
      <c r="AH9933" t="s">
        <v>59618</v>
      </c>
      <c r="AI9933" t="s">
        <v>59619</v>
      </c>
    </row>
    <row r="9934" spans="2:35" ht="165">
      <c r="B9934" s="1">
        <v>44893</v>
      </c>
      <c r="C9934" s="4">
        <v>44893.65902777778</v>
      </c>
      <c r="D9934" t="s">
        <v>11265</v>
      </c>
      <c r="E9934" t="s">
        <v>59620</v>
      </c>
      <c r="F9934">
        <v>3</v>
      </c>
      <c r="G9934" t="s">
        <v>1722</v>
      </c>
      <c r="H9934" t="s">
        <v>39</v>
      </c>
      <c r="I9934" t="s">
        <v>40</v>
      </c>
      <c r="J9934" t="s">
        <v>109</v>
      </c>
      <c r="K9934" t="s">
        <v>42</v>
      </c>
      <c r="Q9934">
        <v>22657</v>
      </c>
      <c r="R9934" t="s">
        <v>119</v>
      </c>
      <c r="S9934" t="s">
        <v>11267</v>
      </c>
      <c r="T9934">
        <v>27</v>
      </c>
      <c r="U9934" s="2" t="s">
        <v>59621</v>
      </c>
      <c r="V9934" s="1">
        <v>44893</v>
      </c>
      <c r="W9934" t="s">
        <v>26915</v>
      </c>
      <c r="X9934">
        <v>110013773</v>
      </c>
      <c r="Y9934" t="s">
        <v>1716</v>
      </c>
      <c r="Z9934" t="s">
        <v>1716</v>
      </c>
      <c r="AA9934" s="2" t="s">
        <v>1727</v>
      </c>
      <c r="AB9934" t="s">
        <v>181</v>
      </c>
      <c r="AC9934" t="s">
        <v>70</v>
      </c>
      <c r="AD9934" t="s">
        <v>1716</v>
      </c>
      <c r="AE9934" t="s">
        <v>1716</v>
      </c>
      <c r="AF9934" t="s">
        <v>63</v>
      </c>
      <c r="AG9934" t="s">
        <v>59622</v>
      </c>
      <c r="AH9934" t="s">
        <v>32973</v>
      </c>
      <c r="AI9934" t="s">
        <v>59623</v>
      </c>
    </row>
    <row r="9935" spans="2:35" ht="195">
      <c r="B9935" s="1">
        <v>44893</v>
      </c>
      <c r="C9935" s="4">
        <v>44893.572916666664</v>
      </c>
      <c r="D9935" t="s">
        <v>1107</v>
      </c>
      <c r="E9935" t="s">
        <v>59624</v>
      </c>
      <c r="F9935" t="s">
        <v>37</v>
      </c>
      <c r="G9935" t="s">
        <v>38</v>
      </c>
      <c r="H9935" t="s">
        <v>39</v>
      </c>
      <c r="I9935" t="s">
        <v>40</v>
      </c>
      <c r="J9935" t="s">
        <v>109</v>
      </c>
      <c r="K9935" t="s">
        <v>42</v>
      </c>
      <c r="Q9935">
        <v>22656</v>
      </c>
      <c r="R9935" t="s">
        <v>119</v>
      </c>
      <c r="S9935" t="s">
        <v>1109</v>
      </c>
      <c r="T9935">
        <v>25</v>
      </c>
      <c r="U9935" s="2" t="s">
        <v>59625</v>
      </c>
      <c r="W9935" t="s">
        <v>9792</v>
      </c>
      <c r="X9935">
        <v>819864</v>
      </c>
      <c r="Y9935" t="s">
        <v>121</v>
      </c>
      <c r="Z9935" t="s">
        <v>122</v>
      </c>
      <c r="AA9935" s="2" t="s">
        <v>59626</v>
      </c>
      <c r="AB9935" t="s">
        <v>59627</v>
      </c>
      <c r="AF9935" t="s">
        <v>43</v>
      </c>
      <c r="AG9935" t="s">
        <v>59628</v>
      </c>
      <c r="AH9935" t="s">
        <v>1115</v>
      </c>
      <c r="AI9935" t="s">
        <v>59629</v>
      </c>
    </row>
    <row r="9936" spans="2:35" ht="255">
      <c r="B9936" s="1">
        <v>44893</v>
      </c>
      <c r="C9936" s="4">
        <v>44893.595833333333</v>
      </c>
      <c r="D9936" t="s">
        <v>23635</v>
      </c>
      <c r="E9936" t="s">
        <v>46913</v>
      </c>
      <c r="F9936" t="s">
        <v>148</v>
      </c>
      <c r="G9936" t="s">
        <v>310</v>
      </c>
      <c r="H9936" t="s">
        <v>39</v>
      </c>
      <c r="I9936" t="s">
        <v>40</v>
      </c>
      <c r="J9936" s="2" t="s">
        <v>6210</v>
      </c>
      <c r="K9936" t="s">
        <v>42</v>
      </c>
      <c r="Q9936">
        <v>22655</v>
      </c>
      <c r="R9936" t="s">
        <v>119</v>
      </c>
      <c r="S9936" t="s">
        <v>27717</v>
      </c>
      <c r="T9936">
        <v>25</v>
      </c>
      <c r="U9936" s="2" t="s">
        <v>59630</v>
      </c>
      <c r="V9936" s="1">
        <v>44893</v>
      </c>
      <c r="W9936" t="s">
        <v>84</v>
      </c>
      <c r="X9936">
        <v>831620</v>
      </c>
      <c r="Y9936" s="2" t="s">
        <v>59631</v>
      </c>
      <c r="Z9936" s="2" t="s">
        <v>59632</v>
      </c>
      <c r="AA9936" s="2" t="s">
        <v>59633</v>
      </c>
      <c r="AB9936" t="s">
        <v>59634</v>
      </c>
      <c r="AD9936" t="s">
        <v>59635</v>
      </c>
      <c r="AE9936" t="s">
        <v>59636</v>
      </c>
      <c r="AF9936" t="s">
        <v>1943</v>
      </c>
      <c r="AG9936" t="s">
        <v>59637</v>
      </c>
      <c r="AH9936" t="s">
        <v>59638</v>
      </c>
      <c r="AI9936" t="s">
        <v>59639</v>
      </c>
    </row>
    <row r="9937" spans="2:35" ht="180">
      <c r="B9937" s="1">
        <v>44893</v>
      </c>
      <c r="C9937" s="4">
        <v>44893.57708333333</v>
      </c>
      <c r="D9937" t="s">
        <v>308</v>
      </c>
      <c r="E9937" t="s">
        <v>3829</v>
      </c>
      <c r="F9937" t="s">
        <v>148</v>
      </c>
      <c r="G9937" t="s">
        <v>310</v>
      </c>
      <c r="H9937" t="s">
        <v>39</v>
      </c>
      <c r="I9937" t="s">
        <v>40</v>
      </c>
      <c r="J9937" t="s">
        <v>525</v>
      </c>
      <c r="K9937" t="s">
        <v>42</v>
      </c>
      <c r="Q9937">
        <v>22654</v>
      </c>
      <c r="R9937" t="s">
        <v>45</v>
      </c>
      <c r="S9937" t="s">
        <v>59640</v>
      </c>
      <c r="T9937">
        <v>25</v>
      </c>
      <c r="U9937" s="2" t="s">
        <v>59641</v>
      </c>
      <c r="W9937" t="s">
        <v>84</v>
      </c>
      <c r="X9937">
        <v>812561</v>
      </c>
      <c r="Y9937" t="s">
        <v>59642</v>
      </c>
      <c r="Z9937" s="2" t="s">
        <v>59643</v>
      </c>
      <c r="AA9937" t="s">
        <v>3775</v>
      </c>
      <c r="AB9937" t="s">
        <v>59644</v>
      </c>
      <c r="AF9937" t="s">
        <v>1943</v>
      </c>
      <c r="AG9937" t="s">
        <v>59645</v>
      </c>
      <c r="AH9937" t="s">
        <v>59646</v>
      </c>
      <c r="AI9937" t="s">
        <v>59647</v>
      </c>
    </row>
    <row r="9938" spans="2:35" ht="180">
      <c r="B9938" s="1">
        <v>44893</v>
      </c>
      <c r="C9938" s="4">
        <v>44890.586805555555</v>
      </c>
      <c r="D9938" t="s">
        <v>3547</v>
      </c>
      <c r="E9938" t="s">
        <v>59648</v>
      </c>
      <c r="F9938" t="s">
        <v>37</v>
      </c>
      <c r="G9938" t="s">
        <v>38</v>
      </c>
      <c r="H9938" t="s">
        <v>39</v>
      </c>
      <c r="I9938" t="s">
        <v>40</v>
      </c>
      <c r="J9938" s="2" t="s">
        <v>62</v>
      </c>
      <c r="K9938" t="s">
        <v>42</v>
      </c>
      <c r="Q9938">
        <v>22653</v>
      </c>
      <c r="R9938" t="s">
        <v>119</v>
      </c>
      <c r="S9938" t="s">
        <v>59649</v>
      </c>
      <c r="T9938">
        <v>25</v>
      </c>
      <c r="U9938" s="2" t="s">
        <v>59650</v>
      </c>
      <c r="W9938" t="s">
        <v>9792</v>
      </c>
      <c r="X9938">
        <v>820184</v>
      </c>
      <c r="Y9938" t="s">
        <v>1111</v>
      </c>
      <c r="Z9938" t="s">
        <v>999</v>
      </c>
      <c r="AA9938" s="2" t="s">
        <v>37058</v>
      </c>
      <c r="AB9938" t="s">
        <v>16412</v>
      </c>
      <c r="AC9938" t="s">
        <v>3966</v>
      </c>
      <c r="AF9938" t="s">
        <v>43</v>
      </c>
      <c r="AG9938" t="s">
        <v>59651</v>
      </c>
      <c r="AH9938" t="s">
        <v>59652</v>
      </c>
      <c r="AI9938" t="s">
        <v>59653</v>
      </c>
    </row>
    <row r="9939" spans="2:35" ht="180">
      <c r="B9939" s="1">
        <v>44893</v>
      </c>
      <c r="C9939" s="4">
        <v>44893.563888888886</v>
      </c>
      <c r="D9939" t="s">
        <v>3357</v>
      </c>
      <c r="E9939" t="s">
        <v>27224</v>
      </c>
      <c r="F9939">
        <v>3</v>
      </c>
      <c r="G9939" t="s">
        <v>134</v>
      </c>
      <c r="H9939" t="s">
        <v>39</v>
      </c>
      <c r="I9939" t="s">
        <v>40</v>
      </c>
      <c r="J9939" s="2" t="s">
        <v>62</v>
      </c>
      <c r="K9939" t="s">
        <v>42</v>
      </c>
      <c r="Q9939">
        <v>22652</v>
      </c>
      <c r="R9939" t="s">
        <v>119</v>
      </c>
      <c r="S9939" t="s">
        <v>3359</v>
      </c>
      <c r="T9939">
        <v>18</v>
      </c>
      <c r="U9939" s="2" t="s">
        <v>59654</v>
      </c>
      <c r="W9939" t="s">
        <v>2680</v>
      </c>
      <c r="X9939">
        <v>831912</v>
      </c>
      <c r="Y9939" s="2" t="s">
        <v>59655</v>
      </c>
      <c r="Z9939" t="e">
        <f ca="1">-performed surface Cleaning
-performed Cleaning of cartridge bay,icore,plunger rod _xludf.and _xludf.filter
-performed XpertCheck (A1 _xludf.and A3)
-Generate reports
-archived test results
-performed functionality test</f>
        <v>#NAME?</v>
      </c>
      <c r="AA9939" t="s">
        <v>56411</v>
      </c>
      <c r="AB9939" t="s">
        <v>59656</v>
      </c>
      <c r="AC9939" t="s">
        <v>59657</v>
      </c>
      <c r="AF9939" t="s">
        <v>135</v>
      </c>
      <c r="AG9939" t="s">
        <v>59658</v>
      </c>
      <c r="AH9939" t="s">
        <v>3362</v>
      </c>
      <c r="AI9939" t="s">
        <v>59659</v>
      </c>
    </row>
    <row r="9940" spans="2:35" ht="225">
      <c r="B9940" s="1">
        <v>44893</v>
      </c>
      <c r="C9940" s="4">
        <v>44893.552083333336</v>
      </c>
      <c r="D9940" t="s">
        <v>7459</v>
      </c>
      <c r="E9940" t="s">
        <v>59660</v>
      </c>
      <c r="F9940">
        <v>11</v>
      </c>
      <c r="G9940" t="s">
        <v>1205</v>
      </c>
      <c r="H9940" t="s">
        <v>39</v>
      </c>
      <c r="I9940" t="s">
        <v>40</v>
      </c>
      <c r="J9940" t="s">
        <v>109</v>
      </c>
      <c r="K9940" t="s">
        <v>42</v>
      </c>
      <c r="Q9940">
        <v>22651</v>
      </c>
      <c r="R9940" t="s">
        <v>119</v>
      </c>
      <c r="S9940" t="s">
        <v>48507</v>
      </c>
      <c r="T9940">
        <v>27.5</v>
      </c>
      <c r="U9940" s="2" t="s">
        <v>59661</v>
      </c>
      <c r="V9940" s="1">
        <v>44893</v>
      </c>
      <c r="W9940" t="s">
        <v>23237</v>
      </c>
      <c r="X9940">
        <v>838511</v>
      </c>
      <c r="Y9940" t="s">
        <v>59662</v>
      </c>
      <c r="Z9940" t="s">
        <v>28265</v>
      </c>
      <c r="AA9940" s="2" t="s">
        <v>59663</v>
      </c>
      <c r="AB9940" t="s">
        <v>21102</v>
      </c>
      <c r="AC9940" t="s">
        <v>54</v>
      </c>
      <c r="AD9940" t="s">
        <v>54</v>
      </c>
      <c r="AE9940" t="s">
        <v>54</v>
      </c>
      <c r="AF9940" t="s">
        <v>57687</v>
      </c>
      <c r="AG9940" t="s">
        <v>59664</v>
      </c>
      <c r="AH9940" t="s">
        <v>59665</v>
      </c>
      <c r="AI9940" t="s">
        <v>59666</v>
      </c>
    </row>
    <row r="9941" spans="2:35" ht="240">
      <c r="B9941" s="1">
        <v>44893</v>
      </c>
      <c r="C9941" s="4">
        <v>44893.52847222222</v>
      </c>
      <c r="D9941" t="s">
        <v>9886</v>
      </c>
      <c r="E9941" t="s">
        <v>59667</v>
      </c>
      <c r="F9941">
        <v>12</v>
      </c>
      <c r="G9941" t="s">
        <v>5785</v>
      </c>
      <c r="H9941" t="s">
        <v>39</v>
      </c>
      <c r="I9941" t="s">
        <v>94</v>
      </c>
      <c r="J9941" s="2" t="s">
        <v>190</v>
      </c>
      <c r="K9941" t="s">
        <v>42</v>
      </c>
      <c r="Q9941">
        <v>22650</v>
      </c>
      <c r="R9941" t="s">
        <v>119</v>
      </c>
      <c r="S9941" t="s">
        <v>59668</v>
      </c>
      <c r="T9941">
        <v>29.1</v>
      </c>
      <c r="U9941" s="2" t="s">
        <v>59669</v>
      </c>
      <c r="V9941" s="1">
        <v>44893</v>
      </c>
      <c r="W9941" t="s">
        <v>3662</v>
      </c>
      <c r="X9941">
        <v>838419</v>
      </c>
      <c r="Y9941" t="s">
        <v>59670</v>
      </c>
      <c r="Z9941" s="2" t="s">
        <v>59671</v>
      </c>
      <c r="AA9941" s="2" t="s">
        <v>59671</v>
      </c>
      <c r="AB9941" t="s">
        <v>56860</v>
      </c>
      <c r="AC9941" t="s">
        <v>59672</v>
      </c>
      <c r="AF9941" t="s">
        <v>58416</v>
      </c>
      <c r="AG9941" t="s">
        <v>59673</v>
      </c>
      <c r="AH9941" t="s">
        <v>59674</v>
      </c>
      <c r="AI9941" t="s">
        <v>59675</v>
      </c>
    </row>
    <row r="9942" spans="2:35" ht="180">
      <c r="B9942" s="1">
        <v>44893</v>
      </c>
      <c r="C9942" s="4">
        <v>44893.526388888888</v>
      </c>
      <c r="D9942" t="s">
        <v>27150</v>
      </c>
      <c r="E9942" t="s">
        <v>27151</v>
      </c>
      <c r="F9942">
        <v>3</v>
      </c>
      <c r="G9942" t="s">
        <v>174</v>
      </c>
      <c r="H9942" t="s">
        <v>39</v>
      </c>
      <c r="I9942" t="s">
        <v>40</v>
      </c>
      <c r="J9942" t="s">
        <v>109</v>
      </c>
      <c r="K9942" t="s">
        <v>42</v>
      </c>
      <c r="Q9942">
        <v>22649</v>
      </c>
      <c r="R9942" t="s">
        <v>119</v>
      </c>
      <c r="S9942" t="s">
        <v>27152</v>
      </c>
      <c r="T9942">
        <v>29</v>
      </c>
      <c r="U9942" s="2" t="s">
        <v>59676</v>
      </c>
      <c r="W9942" t="s">
        <v>6776</v>
      </c>
      <c r="X9942">
        <v>831915</v>
      </c>
      <c r="Y9942" t="s">
        <v>374</v>
      </c>
      <c r="Z9942" t="s">
        <v>103</v>
      </c>
      <c r="AA9942" t="e">
        <f ca="1">- checked _xludf.and cleaned cartridge bay, plunger rod, _xludf.filter
- checked _xludf.and generated reports
- performed functionality test</f>
        <v>#NAME?</v>
      </c>
      <c r="AB9942" t="s">
        <v>59677</v>
      </c>
      <c r="AC9942" t="s">
        <v>103</v>
      </c>
      <c r="AF9942" t="s">
        <v>175</v>
      </c>
      <c r="AG9942" t="s">
        <v>59678</v>
      </c>
      <c r="AH9942" t="s">
        <v>59679</v>
      </c>
      <c r="AI9942" t="s">
        <v>59680</v>
      </c>
    </row>
    <row r="9943" spans="2:35" ht="135">
      <c r="B9943" s="1">
        <v>44893</v>
      </c>
      <c r="C9943" s="4">
        <v>44893.492361111108</v>
      </c>
      <c r="D9943" t="s">
        <v>39786</v>
      </c>
      <c r="E9943" t="s">
        <v>59681</v>
      </c>
      <c r="F9943" t="s">
        <v>37</v>
      </c>
      <c r="G9943" t="s">
        <v>748</v>
      </c>
      <c r="H9943" t="s">
        <v>39</v>
      </c>
      <c r="I9943" t="s">
        <v>40</v>
      </c>
      <c r="J9943" s="2" t="s">
        <v>41</v>
      </c>
      <c r="K9943" t="s">
        <v>42</v>
      </c>
      <c r="Q9943">
        <v>22648</v>
      </c>
      <c r="R9943" t="s">
        <v>45</v>
      </c>
      <c r="S9943" t="s">
        <v>52369</v>
      </c>
      <c r="T9943">
        <v>27</v>
      </c>
      <c r="U9943" s="2" t="s">
        <v>7041</v>
      </c>
      <c r="W9943" t="s">
        <v>36116</v>
      </c>
      <c r="X9943">
        <v>707514</v>
      </c>
      <c r="Y9943" t="s">
        <v>59682</v>
      </c>
      <c r="Z9943" t="s">
        <v>36629</v>
      </c>
      <c r="AA9943" s="2" t="s">
        <v>59683</v>
      </c>
      <c r="AB9943" t="s">
        <v>1263</v>
      </c>
      <c r="AC9943" t="s">
        <v>59684</v>
      </c>
      <c r="AF9943" t="s">
        <v>57018</v>
      </c>
      <c r="AG9943" t="s">
        <v>59685</v>
      </c>
      <c r="AH9943" t="s">
        <v>59686</v>
      </c>
      <c r="AI9943" t="s">
        <v>59687</v>
      </c>
    </row>
    <row r="9944" spans="2:35" ht="180">
      <c r="B9944" s="1">
        <v>44893</v>
      </c>
      <c r="C9944" s="4">
        <v>44890.402777777781</v>
      </c>
      <c r="D9944" t="s">
        <v>27463</v>
      </c>
      <c r="E9944" t="s">
        <v>59688</v>
      </c>
      <c r="F9944" t="s">
        <v>148</v>
      </c>
      <c r="G9944" t="s">
        <v>310</v>
      </c>
      <c r="H9944" t="s">
        <v>39</v>
      </c>
      <c r="I9944" t="s">
        <v>40</v>
      </c>
      <c r="J9944" s="2" t="s">
        <v>190</v>
      </c>
      <c r="K9944" t="s">
        <v>42</v>
      </c>
      <c r="Q9944">
        <v>22647</v>
      </c>
      <c r="R9944" t="s">
        <v>119</v>
      </c>
      <c r="S9944" t="s">
        <v>27465</v>
      </c>
      <c r="T9944">
        <v>27</v>
      </c>
      <c r="U9944" s="2" t="s">
        <v>59689</v>
      </c>
      <c r="W9944" t="s">
        <v>2680</v>
      </c>
      <c r="X9944">
        <v>831843</v>
      </c>
      <c r="Y9944" t="s">
        <v>59690</v>
      </c>
      <c r="Z9944" t="s">
        <v>59691</v>
      </c>
      <c r="AA9944" s="2" t="s">
        <v>59692</v>
      </c>
      <c r="AB9944" t="s">
        <v>59693</v>
      </c>
      <c r="AC9944" t="s">
        <v>59694</v>
      </c>
      <c r="AF9944" t="s">
        <v>1028</v>
      </c>
      <c r="AG9944" t="s">
        <v>59695</v>
      </c>
      <c r="AH9944" t="s">
        <v>27472</v>
      </c>
      <c r="AI9944" t="s">
        <v>59696</v>
      </c>
    </row>
    <row r="9945" spans="2:35" ht="165">
      <c r="B9945" s="1">
        <v>44893</v>
      </c>
      <c r="C9945" s="4">
        <v>44890.688194444447</v>
      </c>
      <c r="D9945" t="s">
        <v>55916</v>
      </c>
      <c r="E9945" t="s">
        <v>59178</v>
      </c>
      <c r="F9945">
        <v>3</v>
      </c>
      <c r="G9945" t="s">
        <v>1722</v>
      </c>
      <c r="H9945" t="s">
        <v>39</v>
      </c>
      <c r="I9945" t="s">
        <v>40</v>
      </c>
      <c r="J9945" t="s">
        <v>109</v>
      </c>
      <c r="K9945" t="s">
        <v>42</v>
      </c>
      <c r="Q9945">
        <v>22646</v>
      </c>
      <c r="R9945" t="s">
        <v>119</v>
      </c>
      <c r="S9945" t="s">
        <v>59697</v>
      </c>
      <c r="T9945">
        <v>30</v>
      </c>
      <c r="U9945" s="2" t="s">
        <v>40628</v>
      </c>
      <c r="V9945" s="1">
        <v>44890</v>
      </c>
      <c r="W9945" t="s">
        <v>26915</v>
      </c>
      <c r="X9945">
        <v>831599</v>
      </c>
      <c r="Y9945" t="s">
        <v>1716</v>
      </c>
      <c r="Z9945" t="s">
        <v>1716</v>
      </c>
      <c r="AA9945" s="2" t="s">
        <v>1727</v>
      </c>
      <c r="AB9945" t="s">
        <v>70</v>
      </c>
      <c r="AC9945" t="s">
        <v>1716</v>
      </c>
      <c r="AD9945" t="s">
        <v>1716</v>
      </c>
      <c r="AE9945" t="s">
        <v>1716</v>
      </c>
      <c r="AF9945" t="s">
        <v>63</v>
      </c>
      <c r="AG9945" t="s">
        <v>59698</v>
      </c>
      <c r="AH9945" t="s">
        <v>59699</v>
      </c>
      <c r="AI9945" t="s">
        <v>59700</v>
      </c>
    </row>
    <row r="9946" spans="2:35" ht="409.5">
      <c r="B9946" s="1">
        <v>44890</v>
      </c>
      <c r="C9946" s="4">
        <v>44890.640277777777</v>
      </c>
      <c r="D9946" t="s">
        <v>38717</v>
      </c>
      <c r="E9946" t="s">
        <v>59128</v>
      </c>
      <c r="F9946" t="s">
        <v>148</v>
      </c>
      <c r="G9946" t="s">
        <v>447</v>
      </c>
      <c r="H9946" t="s">
        <v>662</v>
      </c>
      <c r="I9946" t="s">
        <v>40</v>
      </c>
      <c r="J9946" t="s">
        <v>109</v>
      </c>
      <c r="K9946" t="s">
        <v>42</v>
      </c>
      <c r="Q9946">
        <v>22645</v>
      </c>
      <c r="R9946" t="s">
        <v>322</v>
      </c>
      <c r="S9946" t="s">
        <v>5604</v>
      </c>
      <c r="T9946">
        <v>23</v>
      </c>
      <c r="U9946" s="2" t="s">
        <v>59701</v>
      </c>
      <c r="W9946" t="s">
        <v>325</v>
      </c>
      <c r="X9946">
        <v>110005587</v>
      </c>
      <c r="Y9946" t="s">
        <v>59702</v>
      </c>
      <c r="Z9946" t="s">
        <v>59703</v>
      </c>
      <c r="AA9946" t="s">
        <v>6997</v>
      </c>
      <c r="AB9946" t="s">
        <v>59704</v>
      </c>
      <c r="AF9946" t="s">
        <v>49366</v>
      </c>
      <c r="AG9946" t="s">
        <v>59705</v>
      </c>
      <c r="AH9946" t="s">
        <v>5609</v>
      </c>
      <c r="AI9946" t="s">
        <v>59706</v>
      </c>
    </row>
    <row r="9947" spans="2:35" ht="409.5">
      <c r="B9947" s="1">
        <v>44890</v>
      </c>
      <c r="C9947" s="4">
        <v>44890.668749999997</v>
      </c>
      <c r="D9947" t="s">
        <v>59707</v>
      </c>
      <c r="E9947" t="s">
        <v>59708</v>
      </c>
      <c r="F9947" t="s">
        <v>148</v>
      </c>
      <c r="G9947" t="s">
        <v>447</v>
      </c>
      <c r="H9947" t="s">
        <v>56616</v>
      </c>
      <c r="I9947" t="s">
        <v>40</v>
      </c>
      <c r="J9947" t="s">
        <v>109</v>
      </c>
      <c r="K9947" t="s">
        <v>42</v>
      </c>
      <c r="Q9947">
        <v>22644</v>
      </c>
      <c r="R9947" t="s">
        <v>322</v>
      </c>
      <c r="S9947" t="s">
        <v>5604</v>
      </c>
      <c r="T9947">
        <v>25.3</v>
      </c>
      <c r="U9947" s="2" t="s">
        <v>59709</v>
      </c>
      <c r="W9947" t="s">
        <v>1139</v>
      </c>
      <c r="X9947">
        <v>838524</v>
      </c>
      <c r="Y9947" t="s">
        <v>59710</v>
      </c>
      <c r="Z9947" t="s">
        <v>3128</v>
      </c>
      <c r="AA9947" s="2" t="s">
        <v>59711</v>
      </c>
      <c r="AB9947" t="s">
        <v>181</v>
      </c>
      <c r="AF9947" t="s">
        <v>56616</v>
      </c>
      <c r="AG9947" t="s">
        <v>59712</v>
      </c>
      <c r="AH9947" t="s">
        <v>16382</v>
      </c>
      <c r="AI9947" t="s">
        <v>59713</v>
      </c>
    </row>
    <row r="9948" spans="2:35" ht="105">
      <c r="B9948" s="1">
        <v>44890</v>
      </c>
      <c r="C9948" s="4">
        <v>44890.580555555556</v>
      </c>
      <c r="D9948" t="s">
        <v>54861</v>
      </c>
      <c r="E9948" t="s">
        <v>25968</v>
      </c>
      <c r="F9948">
        <v>3</v>
      </c>
      <c r="G9948" t="s">
        <v>174</v>
      </c>
      <c r="H9948" t="s">
        <v>39</v>
      </c>
      <c r="I9948" t="s">
        <v>40</v>
      </c>
      <c r="J9948" t="s">
        <v>109</v>
      </c>
      <c r="K9948" t="s">
        <v>42</v>
      </c>
      <c r="Q9948">
        <v>22643</v>
      </c>
      <c r="R9948" t="s">
        <v>119</v>
      </c>
      <c r="S9948" t="s">
        <v>59714</v>
      </c>
      <c r="T9948">
        <v>28</v>
      </c>
      <c r="U9948" s="2" t="s">
        <v>23857</v>
      </c>
      <c r="W9948" t="s">
        <v>6776</v>
      </c>
      <c r="X9948">
        <v>831691</v>
      </c>
      <c r="Y9948" t="s">
        <v>48803</v>
      </c>
      <c r="Z9948" t="s">
        <v>103</v>
      </c>
      <c r="AA9948" t="e">
        <f ca="1">- checked _xludf.and cleaned cartridge bay, plunger rod, _xludf.filter
- generated reports
- performed functionality test</f>
        <v>#NAME?</v>
      </c>
      <c r="AB9948" t="s">
        <v>59715</v>
      </c>
      <c r="AC9948" t="s">
        <v>59716</v>
      </c>
      <c r="AF9948" t="s">
        <v>175</v>
      </c>
      <c r="AG9948" t="s">
        <v>59717</v>
      </c>
      <c r="AH9948" t="s">
        <v>59718</v>
      </c>
      <c r="AI9948" t="s">
        <v>59719</v>
      </c>
    </row>
    <row r="9949" spans="2:35" ht="285">
      <c r="B9949" s="1">
        <v>44890</v>
      </c>
      <c r="C9949" s="4">
        <v>44890.484027777777</v>
      </c>
      <c r="D9949" t="s">
        <v>3030</v>
      </c>
      <c r="E9949" t="s">
        <v>22213</v>
      </c>
      <c r="F9949" t="s">
        <v>37</v>
      </c>
      <c r="G9949" t="s">
        <v>38</v>
      </c>
      <c r="H9949" t="s">
        <v>39</v>
      </c>
      <c r="I9949" t="s">
        <v>40</v>
      </c>
      <c r="J9949" s="2" t="s">
        <v>41</v>
      </c>
      <c r="K9949" t="s">
        <v>42</v>
      </c>
      <c r="Q9949">
        <v>22642</v>
      </c>
      <c r="R9949" t="s">
        <v>45</v>
      </c>
      <c r="S9949" t="s">
        <v>3032</v>
      </c>
      <c r="T9949">
        <v>25</v>
      </c>
      <c r="U9949" s="2" t="s">
        <v>59720</v>
      </c>
      <c r="V9949" s="1">
        <v>44889</v>
      </c>
      <c r="W9949" t="s">
        <v>9792</v>
      </c>
      <c r="X9949">
        <v>804691</v>
      </c>
      <c r="Y9949" t="s">
        <v>52733</v>
      </c>
      <c r="Z9949" t="s">
        <v>7399</v>
      </c>
      <c r="AA9949" s="2" t="s">
        <v>40865</v>
      </c>
      <c r="AB9949" t="s">
        <v>16412</v>
      </c>
      <c r="AD9949" s="2" t="s">
        <v>59721</v>
      </c>
      <c r="AE9949" t="s">
        <v>59722</v>
      </c>
      <c r="AF9949" t="s">
        <v>43</v>
      </c>
      <c r="AG9949" t="s">
        <v>59723</v>
      </c>
      <c r="AH9949" t="s">
        <v>3035</v>
      </c>
      <c r="AI9949" t="s">
        <v>59724</v>
      </c>
    </row>
    <row r="9950" spans="2:35" ht="285">
      <c r="B9950" s="1">
        <v>44890</v>
      </c>
      <c r="C9950" s="4">
        <v>44890.495833333334</v>
      </c>
      <c r="D9950" t="s">
        <v>29913</v>
      </c>
      <c r="E9950" t="s">
        <v>1344</v>
      </c>
      <c r="F9950">
        <v>8</v>
      </c>
      <c r="G9950" t="s">
        <v>342</v>
      </c>
      <c r="H9950" t="s">
        <v>39</v>
      </c>
      <c r="I9950" t="s">
        <v>94</v>
      </c>
      <c r="J9950" s="2" t="s">
        <v>1808</v>
      </c>
      <c r="K9950" t="s">
        <v>42</v>
      </c>
      <c r="Q9950">
        <v>22641</v>
      </c>
      <c r="R9950" t="s">
        <v>45</v>
      </c>
      <c r="S9950" t="s">
        <v>25575</v>
      </c>
      <c r="T9950">
        <v>28</v>
      </c>
      <c r="U9950" s="2" t="s">
        <v>59725</v>
      </c>
      <c r="V9950" s="1">
        <v>44609</v>
      </c>
      <c r="W9950" t="s">
        <v>6105</v>
      </c>
      <c r="X9950">
        <v>707521</v>
      </c>
      <c r="Y9950" t="s">
        <v>59726</v>
      </c>
      <c r="Z9950" s="2" t="s">
        <v>59727</v>
      </c>
      <c r="AA9950" s="2" t="s">
        <v>59728</v>
      </c>
      <c r="AB9950" t="s">
        <v>57985</v>
      </c>
      <c r="AD9950" t="s">
        <v>59729</v>
      </c>
      <c r="AE9950" t="s">
        <v>59730</v>
      </c>
      <c r="AF9950" t="s">
        <v>259</v>
      </c>
      <c r="AG9950" t="s">
        <v>59731</v>
      </c>
      <c r="AH9950" t="s">
        <v>29915</v>
      </c>
      <c r="AI9950" t="s">
        <v>59732</v>
      </c>
    </row>
    <row r="9951" spans="2:35" ht="360">
      <c r="B9951" s="1">
        <v>44890</v>
      </c>
      <c r="C9951" s="4">
        <v>44890.513194444444</v>
      </c>
      <c r="D9951" t="s">
        <v>3139</v>
      </c>
      <c r="E9951" t="s">
        <v>3140</v>
      </c>
      <c r="F9951">
        <v>3</v>
      </c>
      <c r="G9951" t="s">
        <v>174</v>
      </c>
      <c r="H9951" t="s">
        <v>150</v>
      </c>
      <c r="I9951" t="s">
        <v>40</v>
      </c>
      <c r="J9951" s="2" t="s">
        <v>190</v>
      </c>
      <c r="K9951" t="s">
        <v>42</v>
      </c>
      <c r="Q9951">
        <v>22640</v>
      </c>
      <c r="R9951" t="s">
        <v>45</v>
      </c>
      <c r="S9951" t="s">
        <v>59733</v>
      </c>
      <c r="T9951">
        <v>28</v>
      </c>
      <c r="U9951" s="2" t="s">
        <v>59734</v>
      </c>
      <c r="W9951" t="s">
        <v>6776</v>
      </c>
      <c r="X9951">
        <v>805112</v>
      </c>
      <c r="Y9951" s="2" t="s">
        <v>59735</v>
      </c>
      <c r="Z9951" t="s">
        <v>59736</v>
      </c>
      <c r="AA9951" t="e">
        <f ca="1">- checked _xludf.and analyzed system _xludf.Log
- generated reports
- visual INSPECTION of machine
- performed functionality test</f>
        <v>#NAME?</v>
      </c>
      <c r="AB9951" t="s">
        <v>59737</v>
      </c>
      <c r="AC9951" t="s">
        <v>59738</v>
      </c>
      <c r="AF9951" t="s">
        <v>175</v>
      </c>
      <c r="AG9951" t="s">
        <v>59739</v>
      </c>
      <c r="AH9951" t="s">
        <v>59740</v>
      </c>
      <c r="AI9951" t="s">
        <v>59741</v>
      </c>
    </row>
    <row r="9952" spans="2:35" ht="180">
      <c r="B9952" s="1">
        <v>44890</v>
      </c>
      <c r="C9952" s="4">
        <v>44890.447916666664</v>
      </c>
      <c r="D9952" t="s">
        <v>2834</v>
      </c>
      <c r="E9952" t="s">
        <v>59742</v>
      </c>
      <c r="F9952">
        <v>11</v>
      </c>
      <c r="G9952" t="s">
        <v>2836</v>
      </c>
      <c r="H9952" t="s">
        <v>47497</v>
      </c>
      <c r="I9952" t="s">
        <v>94</v>
      </c>
      <c r="J9952" t="s">
        <v>109</v>
      </c>
      <c r="K9952" t="s">
        <v>8838</v>
      </c>
      <c r="Q9952">
        <v>22639</v>
      </c>
      <c r="R9952" t="s">
        <v>95</v>
      </c>
      <c r="S9952" t="s">
        <v>59743</v>
      </c>
      <c r="T9952">
        <v>27</v>
      </c>
      <c r="V9952" s="1">
        <v>44890</v>
      </c>
      <c r="W9952" t="s">
        <v>59744</v>
      </c>
      <c r="X9952">
        <v>11263</v>
      </c>
      <c r="Y9952" t="s">
        <v>1052</v>
      </c>
      <c r="Z9952" t="s">
        <v>2551</v>
      </c>
      <c r="AA9952" s="2" t="s">
        <v>59745</v>
      </c>
      <c r="AB9952" t="s">
        <v>59746</v>
      </c>
      <c r="AC9952" t="s">
        <v>59747</v>
      </c>
      <c r="AD9952" t="s">
        <v>103</v>
      </c>
      <c r="AE9952" t="s">
        <v>103</v>
      </c>
      <c r="AF9952" t="s">
        <v>2754</v>
      </c>
      <c r="AG9952" t="s">
        <v>59748</v>
      </c>
      <c r="AH9952" t="s">
        <v>59749</v>
      </c>
      <c r="AI9952" t="s">
        <v>59750</v>
      </c>
    </row>
    <row r="9953" spans="2:35" ht="180">
      <c r="B9953" s="1">
        <v>44890</v>
      </c>
      <c r="C9953" s="4">
        <v>44890.447916666664</v>
      </c>
      <c r="D9953" t="s">
        <v>2834</v>
      </c>
      <c r="E9953" t="s">
        <v>59742</v>
      </c>
      <c r="F9953">
        <v>11</v>
      </c>
      <c r="G9953" t="s">
        <v>2836</v>
      </c>
      <c r="H9953" t="s">
        <v>47497</v>
      </c>
      <c r="I9953" t="s">
        <v>94</v>
      </c>
      <c r="J9953" t="s">
        <v>109</v>
      </c>
      <c r="K9953" t="s">
        <v>8838</v>
      </c>
      <c r="Q9953">
        <v>22638</v>
      </c>
      <c r="R9953" t="s">
        <v>95</v>
      </c>
      <c r="S9953" t="s">
        <v>59743</v>
      </c>
      <c r="T9953">
        <v>27</v>
      </c>
      <c r="V9953" s="1">
        <v>44890</v>
      </c>
      <c r="W9953" t="s">
        <v>59744</v>
      </c>
      <c r="X9953">
        <v>11263</v>
      </c>
      <c r="Y9953" t="s">
        <v>1052</v>
      </c>
      <c r="Z9953" t="s">
        <v>2551</v>
      </c>
      <c r="AA9953" s="2" t="s">
        <v>59745</v>
      </c>
      <c r="AB9953" t="s">
        <v>59746</v>
      </c>
      <c r="AC9953" t="s">
        <v>59747</v>
      </c>
      <c r="AD9953" t="s">
        <v>103</v>
      </c>
      <c r="AE9953" t="s">
        <v>103</v>
      </c>
      <c r="AF9953" t="s">
        <v>2754</v>
      </c>
      <c r="AG9953" t="s">
        <v>59751</v>
      </c>
      <c r="AH9953" t="s">
        <v>59749</v>
      </c>
      <c r="AI9953" t="s">
        <v>59752</v>
      </c>
    </row>
    <row r="9954" spans="2:35">
      <c r="B9954" s="1">
        <v>44890</v>
      </c>
      <c r="C9954" s="4">
        <v>44890.363888888889</v>
      </c>
      <c r="D9954" t="s">
        <v>2834</v>
      </c>
      <c r="E9954" t="s">
        <v>59742</v>
      </c>
      <c r="F9954">
        <v>11</v>
      </c>
      <c r="G9954" t="s">
        <v>2836</v>
      </c>
      <c r="H9954" t="s">
        <v>47497</v>
      </c>
      <c r="I9954" t="s">
        <v>94</v>
      </c>
      <c r="J9954" t="s">
        <v>109</v>
      </c>
      <c r="K9954" t="s">
        <v>8838</v>
      </c>
      <c r="Q9954">
        <v>22637</v>
      </c>
      <c r="R9954" t="s">
        <v>95</v>
      </c>
      <c r="S9954" t="s">
        <v>59743</v>
      </c>
      <c r="T9954">
        <v>26</v>
      </c>
      <c r="V9954" s="1">
        <v>44890</v>
      </c>
      <c r="W9954" t="s">
        <v>47498</v>
      </c>
      <c r="X9954" t="s">
        <v>47499</v>
      </c>
      <c r="Y9954" t="s">
        <v>59753</v>
      </c>
      <c r="Z9954" t="s">
        <v>2551</v>
      </c>
      <c r="AA9954" t="s">
        <v>28265</v>
      </c>
      <c r="AB9954" t="s">
        <v>59754</v>
      </c>
      <c r="AC9954" t="s">
        <v>59755</v>
      </c>
      <c r="AD9954" t="s">
        <v>1716</v>
      </c>
      <c r="AE9954" t="s">
        <v>54</v>
      </c>
      <c r="AF9954" t="s">
        <v>57687</v>
      </c>
      <c r="AG9954" t="s">
        <v>59756</v>
      </c>
      <c r="AH9954" t="s">
        <v>59757</v>
      </c>
      <c r="AI9954" t="s">
        <v>59758</v>
      </c>
    </row>
    <row r="9955" spans="2:35" ht="270">
      <c r="B9955" s="1">
        <v>44890</v>
      </c>
      <c r="C9955" s="4">
        <v>44890.40347222222</v>
      </c>
      <c r="D9955" t="s">
        <v>22836</v>
      </c>
      <c r="E9955" t="s">
        <v>59759</v>
      </c>
      <c r="F9955" t="s">
        <v>148</v>
      </c>
      <c r="G9955" t="s">
        <v>447</v>
      </c>
      <c r="H9955" t="s">
        <v>39</v>
      </c>
      <c r="I9955" t="s">
        <v>40</v>
      </c>
      <c r="J9955" s="2" t="s">
        <v>41</v>
      </c>
      <c r="K9955" t="s">
        <v>42</v>
      </c>
      <c r="Q9955">
        <v>22636</v>
      </c>
      <c r="R9955" t="s">
        <v>45</v>
      </c>
      <c r="S9955" t="s">
        <v>22838</v>
      </c>
      <c r="T9955">
        <v>25</v>
      </c>
      <c r="U9955" s="2" t="s">
        <v>59760</v>
      </c>
      <c r="V9955" s="1">
        <v>44889</v>
      </c>
      <c r="W9955" t="s">
        <v>84</v>
      </c>
      <c r="X9955">
        <v>803088</v>
      </c>
      <c r="Y9955" s="2" t="s">
        <v>59761</v>
      </c>
      <c r="Z9955" s="2" t="s">
        <v>59762</v>
      </c>
      <c r="AA9955" t="s">
        <v>59763</v>
      </c>
      <c r="AB9955" t="s">
        <v>88</v>
      </c>
      <c r="AD9955" t="s">
        <v>59764</v>
      </c>
      <c r="AE9955" t="s">
        <v>59765</v>
      </c>
      <c r="AF9955" t="s">
        <v>1943</v>
      </c>
      <c r="AG9955" t="s">
        <v>59766</v>
      </c>
      <c r="AH9955" t="s">
        <v>59767</v>
      </c>
      <c r="AI9955" t="s">
        <v>59768</v>
      </c>
    </row>
    <row r="9956" spans="2:35" ht="180">
      <c r="B9956" s="1">
        <v>44890</v>
      </c>
      <c r="C9956" s="4">
        <v>44889.634722222225</v>
      </c>
      <c r="D9956" t="s">
        <v>38734</v>
      </c>
      <c r="E9956" t="s">
        <v>42426</v>
      </c>
      <c r="F9956" t="s">
        <v>148</v>
      </c>
      <c r="G9956" t="s">
        <v>2007</v>
      </c>
      <c r="H9956" t="s">
        <v>39</v>
      </c>
      <c r="I9956" t="s">
        <v>94</v>
      </c>
      <c r="J9956" s="2" t="s">
        <v>62</v>
      </c>
      <c r="K9956" t="s">
        <v>42</v>
      </c>
      <c r="Q9956">
        <v>22635</v>
      </c>
      <c r="R9956" t="s">
        <v>95</v>
      </c>
      <c r="S9956" t="s">
        <v>50850</v>
      </c>
      <c r="T9956">
        <v>24</v>
      </c>
      <c r="U9956" s="2" t="s">
        <v>59769</v>
      </c>
      <c r="V9956" s="1">
        <v>44889</v>
      </c>
      <c r="W9956" t="s">
        <v>502</v>
      </c>
      <c r="X9956">
        <v>812560</v>
      </c>
      <c r="Y9956" t="s">
        <v>59770</v>
      </c>
      <c r="Z9956" t="s">
        <v>59771</v>
      </c>
      <c r="AA9956" t="s">
        <v>59772</v>
      </c>
      <c r="AB9956" t="s">
        <v>5243</v>
      </c>
      <c r="AD9956" t="s">
        <v>59773</v>
      </c>
      <c r="AE9956">
        <v>94356</v>
      </c>
      <c r="AF9956" t="s">
        <v>49366</v>
      </c>
      <c r="AG9956" t="s">
        <v>59774</v>
      </c>
      <c r="AH9956" t="s">
        <v>50853</v>
      </c>
      <c r="AI9956" t="s">
        <v>59775</v>
      </c>
    </row>
    <row r="9957" spans="2:35" ht="180">
      <c r="B9957" s="1">
        <v>44890</v>
      </c>
      <c r="C9957" s="4">
        <v>44889.472222222219</v>
      </c>
      <c r="D9957" t="s">
        <v>38734</v>
      </c>
      <c r="E9957" t="s">
        <v>42404</v>
      </c>
      <c r="F9957" t="s">
        <v>148</v>
      </c>
      <c r="G9957" t="s">
        <v>2007</v>
      </c>
      <c r="H9957" t="s">
        <v>39</v>
      </c>
      <c r="I9957" t="s">
        <v>94</v>
      </c>
      <c r="J9957" t="s">
        <v>79</v>
      </c>
      <c r="K9957" t="s">
        <v>42</v>
      </c>
      <c r="Q9957">
        <v>22634</v>
      </c>
      <c r="R9957" t="s">
        <v>95</v>
      </c>
      <c r="S9957" t="s">
        <v>50850</v>
      </c>
      <c r="T9957">
        <v>28</v>
      </c>
      <c r="U9957" s="2" t="s">
        <v>59776</v>
      </c>
      <c r="V9957" s="1">
        <v>44889</v>
      </c>
      <c r="W9957" t="s">
        <v>50428</v>
      </c>
      <c r="X9957">
        <v>705175</v>
      </c>
      <c r="Y9957" t="s">
        <v>59777</v>
      </c>
      <c r="Z9957" t="s">
        <v>59778</v>
      </c>
      <c r="AA9957" t="s">
        <v>59779</v>
      </c>
      <c r="AB9957" t="s">
        <v>486</v>
      </c>
      <c r="AD9957" t="s">
        <v>34321</v>
      </c>
      <c r="AE9957">
        <v>94356</v>
      </c>
      <c r="AF9957" t="s">
        <v>49366</v>
      </c>
      <c r="AG9957" t="s">
        <v>59780</v>
      </c>
      <c r="AH9957" t="s">
        <v>50853</v>
      </c>
      <c r="AI9957" t="s">
        <v>59781</v>
      </c>
    </row>
    <row r="9958" spans="2:35" ht="150">
      <c r="B9958" s="1">
        <v>44890</v>
      </c>
      <c r="C9958" s="4">
        <v>44890.400694444441</v>
      </c>
      <c r="D9958" t="s">
        <v>56680</v>
      </c>
      <c r="E9958" t="s">
        <v>33498</v>
      </c>
      <c r="F9958" t="s">
        <v>148</v>
      </c>
      <c r="G9958" t="s">
        <v>447</v>
      </c>
      <c r="H9958" t="s">
        <v>39</v>
      </c>
      <c r="I9958" t="s">
        <v>40</v>
      </c>
      <c r="J9958" t="s">
        <v>59782</v>
      </c>
      <c r="K9958" t="s">
        <v>26778</v>
      </c>
      <c r="Q9958">
        <v>22633</v>
      </c>
      <c r="R9958" t="s">
        <v>95</v>
      </c>
      <c r="S9958" t="s">
        <v>59783</v>
      </c>
      <c r="T9958">
        <v>25</v>
      </c>
      <c r="W9958" t="s">
        <v>35148</v>
      </c>
      <c r="X9958">
        <v>6220.4121999999998</v>
      </c>
      <c r="Y9958" t="s">
        <v>59784</v>
      </c>
      <c r="Z9958" t="s">
        <v>59785</v>
      </c>
      <c r="AA9958" s="2" t="s">
        <v>59786</v>
      </c>
      <c r="AB9958" t="s">
        <v>181</v>
      </c>
      <c r="AF9958" t="s">
        <v>857</v>
      </c>
      <c r="AG9958" t="s">
        <v>59787</v>
      </c>
      <c r="AH9958" t="s">
        <v>356</v>
      </c>
      <c r="AI9958" t="s">
        <v>59788</v>
      </c>
    </row>
    <row r="9959" spans="2:35" ht="180">
      <c r="B9959" s="1">
        <v>44890</v>
      </c>
      <c r="C9959" s="4">
        <v>44888.451388888891</v>
      </c>
      <c r="D9959" t="s">
        <v>54672</v>
      </c>
      <c r="E9959" t="s">
        <v>51284</v>
      </c>
      <c r="F9959" t="s">
        <v>37</v>
      </c>
      <c r="G9959" t="s">
        <v>748</v>
      </c>
      <c r="H9959" t="s">
        <v>39</v>
      </c>
      <c r="I9959" t="s">
        <v>40</v>
      </c>
      <c r="J9959" s="2" t="s">
        <v>190</v>
      </c>
      <c r="K9959" t="s">
        <v>42</v>
      </c>
      <c r="Q9959">
        <v>22632</v>
      </c>
      <c r="R9959" t="s">
        <v>703</v>
      </c>
      <c r="S9959" t="s">
        <v>52369</v>
      </c>
      <c r="T9959">
        <v>28</v>
      </c>
      <c r="U9959" s="2" t="s">
        <v>22210</v>
      </c>
      <c r="W9959" t="s">
        <v>2680</v>
      </c>
      <c r="X9959">
        <v>812380</v>
      </c>
      <c r="Y9959" t="s">
        <v>59789</v>
      </c>
      <c r="Z9959" t="s">
        <v>59790</v>
      </c>
      <c r="AA9959" s="2" t="s">
        <v>59791</v>
      </c>
      <c r="AB9959" t="s">
        <v>59792</v>
      </c>
      <c r="AF9959" t="s">
        <v>1028</v>
      </c>
      <c r="AG9959" t="s">
        <v>59793</v>
      </c>
      <c r="AH9959" t="s">
        <v>23787</v>
      </c>
      <c r="AI9959" t="s">
        <v>59794</v>
      </c>
    </row>
    <row r="9960" spans="2:35" ht="285">
      <c r="B9960" s="1">
        <v>44890</v>
      </c>
      <c r="C9960" s="4">
        <v>44887.506944444445</v>
      </c>
      <c r="D9960" t="s">
        <v>26425</v>
      </c>
      <c r="E9960" t="s">
        <v>59795</v>
      </c>
      <c r="F9960" t="s">
        <v>148</v>
      </c>
      <c r="G9960" t="s">
        <v>4786</v>
      </c>
      <c r="H9960" t="s">
        <v>39</v>
      </c>
      <c r="I9960" t="s">
        <v>40</v>
      </c>
      <c r="J9960" s="2" t="s">
        <v>190</v>
      </c>
      <c r="K9960" t="s">
        <v>42</v>
      </c>
      <c r="Q9960">
        <v>22631</v>
      </c>
      <c r="R9960" t="s">
        <v>119</v>
      </c>
      <c r="S9960" t="s">
        <v>26427</v>
      </c>
      <c r="T9960">
        <v>26</v>
      </c>
      <c r="U9960" s="2" t="s">
        <v>59796</v>
      </c>
      <c r="W9960" t="s">
        <v>2680</v>
      </c>
      <c r="X9960">
        <v>831918</v>
      </c>
      <c r="Y9960" t="s">
        <v>59797</v>
      </c>
      <c r="Z9960" t="s">
        <v>59798</v>
      </c>
      <c r="AA9960" s="2" t="s">
        <v>59799</v>
      </c>
      <c r="AB9960" t="s">
        <v>59800</v>
      </c>
      <c r="AC9960" t="s">
        <v>59801</v>
      </c>
      <c r="AF9960" t="s">
        <v>57018</v>
      </c>
      <c r="AG9960" t="s">
        <v>59802</v>
      </c>
      <c r="AH9960" t="s">
        <v>59803</v>
      </c>
      <c r="AI9960" t="s">
        <v>59804</v>
      </c>
    </row>
    <row r="9961" spans="2:35" ht="285">
      <c r="B9961" s="1">
        <v>44889</v>
      </c>
      <c r="C9961" s="4">
        <v>44889.715277777781</v>
      </c>
      <c r="D9961" t="s">
        <v>59805</v>
      </c>
      <c r="E9961" t="s">
        <v>59806</v>
      </c>
      <c r="F9961" t="s">
        <v>148</v>
      </c>
      <c r="G9961" t="s">
        <v>230</v>
      </c>
      <c r="H9961" t="s">
        <v>39</v>
      </c>
      <c r="I9961" t="s">
        <v>40</v>
      </c>
      <c r="J9961" t="s">
        <v>79</v>
      </c>
      <c r="K9961" t="s">
        <v>42</v>
      </c>
      <c r="Q9961">
        <v>22630</v>
      </c>
      <c r="R9961" t="s">
        <v>322</v>
      </c>
      <c r="S9961" t="s">
        <v>1159</v>
      </c>
      <c r="T9961">
        <v>25</v>
      </c>
      <c r="U9961" s="2" t="s">
        <v>59807</v>
      </c>
      <c r="V9961" s="1">
        <v>44879</v>
      </c>
      <c r="W9961" t="s">
        <v>8499</v>
      </c>
      <c r="X9961">
        <v>807112</v>
      </c>
      <c r="Y9961" t="s">
        <v>59113</v>
      </c>
      <c r="Z9961" t="s">
        <v>2129</v>
      </c>
      <c r="AA9961" s="2" t="s">
        <v>59808</v>
      </c>
      <c r="AB9961" t="s">
        <v>181</v>
      </c>
      <c r="AD9961" s="2" t="s">
        <v>59809</v>
      </c>
      <c r="AE9961">
        <v>9344</v>
      </c>
      <c r="AF9961" t="s">
        <v>58001</v>
      </c>
      <c r="AG9961" t="s">
        <v>59810</v>
      </c>
      <c r="AH9961" t="s">
        <v>59811</v>
      </c>
      <c r="AI9961" t="s">
        <v>59812</v>
      </c>
    </row>
    <row r="9962" spans="2:35" ht="240">
      <c r="B9962" s="1">
        <v>44889</v>
      </c>
      <c r="C9962" s="4">
        <v>44889.56527777778</v>
      </c>
      <c r="D9962" t="s">
        <v>59813</v>
      </c>
      <c r="E9962" t="s">
        <v>59814</v>
      </c>
      <c r="F9962">
        <v>3</v>
      </c>
      <c r="G9962" t="s">
        <v>1722</v>
      </c>
      <c r="H9962" t="s">
        <v>39</v>
      </c>
      <c r="I9962" t="s">
        <v>40</v>
      </c>
      <c r="J9962" s="2" t="s">
        <v>59815</v>
      </c>
      <c r="K9962" t="s">
        <v>42</v>
      </c>
      <c r="Q9962">
        <v>22629</v>
      </c>
      <c r="R9962" t="s">
        <v>45</v>
      </c>
      <c r="S9962" t="s">
        <v>22483</v>
      </c>
      <c r="T9962">
        <v>32</v>
      </c>
      <c r="U9962" s="2" t="s">
        <v>40628</v>
      </c>
      <c r="V9962" s="1">
        <v>44889</v>
      </c>
      <c r="W9962" t="s">
        <v>26915</v>
      </c>
      <c r="X9962">
        <v>814182</v>
      </c>
      <c r="Y9962" t="s">
        <v>1716</v>
      </c>
      <c r="Z9962" t="s">
        <v>1716</v>
      </c>
      <c r="AA9962" s="2" t="s">
        <v>59816</v>
      </c>
      <c r="AB9962" t="s">
        <v>70</v>
      </c>
      <c r="AC9962" t="s">
        <v>1716</v>
      </c>
      <c r="AD9962" t="s">
        <v>1716</v>
      </c>
      <c r="AE9962" t="s">
        <v>1716</v>
      </c>
      <c r="AF9962" t="s">
        <v>63</v>
      </c>
      <c r="AG9962" t="s">
        <v>59817</v>
      </c>
      <c r="AH9962" t="s">
        <v>59818</v>
      </c>
      <c r="AI9962" t="s">
        <v>59819</v>
      </c>
    </row>
    <row r="9963" spans="2:35" ht="180">
      <c r="B9963" s="1">
        <v>44889</v>
      </c>
      <c r="C9963" s="4">
        <v>44889.561111111114</v>
      </c>
      <c r="D9963" t="s">
        <v>25396</v>
      </c>
      <c r="E9963" t="s">
        <v>25397</v>
      </c>
      <c r="F9963">
        <v>3</v>
      </c>
      <c r="G9963" t="s">
        <v>284</v>
      </c>
      <c r="H9963" t="s">
        <v>39</v>
      </c>
      <c r="I9963" t="s">
        <v>40</v>
      </c>
      <c r="J9963" t="s">
        <v>109</v>
      </c>
      <c r="K9963" t="s">
        <v>42</v>
      </c>
      <c r="Q9963">
        <v>22628</v>
      </c>
      <c r="R9963" t="s">
        <v>119</v>
      </c>
      <c r="S9963" t="s">
        <v>59820</v>
      </c>
      <c r="T9963">
        <v>19</v>
      </c>
      <c r="U9963" s="2" t="s">
        <v>59821</v>
      </c>
      <c r="W9963" t="s">
        <v>2680</v>
      </c>
      <c r="X9963">
        <v>831668</v>
      </c>
      <c r="Y9963" t="s">
        <v>59822</v>
      </c>
      <c r="Z9963" t="e">
        <f ca="1">-performed surface Cleaning
-performed Cleaning of cartridge bay,icore,plunger rod _xludf.and _xludf.filter
-Generate reports
-archived test results
-performed functionality test</f>
        <v>#NAME?</v>
      </c>
      <c r="AA9963" t="s">
        <v>4315</v>
      </c>
      <c r="AB9963" t="s">
        <v>181</v>
      </c>
      <c r="AF9963" t="s">
        <v>135</v>
      </c>
      <c r="AG9963" t="s">
        <v>59823</v>
      </c>
      <c r="AH9963" t="s">
        <v>25402</v>
      </c>
      <c r="AI9963" t="s">
        <v>59824</v>
      </c>
    </row>
    <row r="9964" spans="2:35" ht="105">
      <c r="B9964" s="1">
        <v>44889</v>
      </c>
      <c r="C9964" s="4">
        <v>44889.507638888892</v>
      </c>
      <c r="D9964" t="s">
        <v>2834</v>
      </c>
      <c r="E9964" t="s">
        <v>59742</v>
      </c>
      <c r="F9964">
        <v>11</v>
      </c>
      <c r="G9964" t="s">
        <v>2836</v>
      </c>
      <c r="H9964" t="s">
        <v>61</v>
      </c>
      <c r="I9964" t="s">
        <v>40</v>
      </c>
      <c r="J9964" t="s">
        <v>79</v>
      </c>
      <c r="K9964" t="s">
        <v>42</v>
      </c>
      <c r="Q9964">
        <v>22627</v>
      </c>
      <c r="R9964" t="s">
        <v>45</v>
      </c>
      <c r="S9964" t="s">
        <v>59825</v>
      </c>
      <c r="T9964">
        <v>25.7</v>
      </c>
      <c r="U9964" s="2" t="s">
        <v>42730</v>
      </c>
      <c r="V9964" s="1">
        <v>44889</v>
      </c>
      <c r="W9964" t="s">
        <v>59826</v>
      </c>
      <c r="X9964">
        <v>838756</v>
      </c>
      <c r="Y9964" t="s">
        <v>559</v>
      </c>
      <c r="Z9964" t="s">
        <v>5712</v>
      </c>
      <c r="AA9964" t="s">
        <v>59827</v>
      </c>
      <c r="AB9964" t="s">
        <v>59828</v>
      </c>
      <c r="AC9964" t="s">
        <v>59829</v>
      </c>
      <c r="AD9964" t="s">
        <v>10253</v>
      </c>
      <c r="AE9964" t="s">
        <v>1716</v>
      </c>
      <c r="AF9964" t="s">
        <v>57687</v>
      </c>
      <c r="AG9964" t="s">
        <v>59830</v>
      </c>
      <c r="AH9964" t="s">
        <v>59831</v>
      </c>
      <c r="AI9964" t="s">
        <v>59832</v>
      </c>
    </row>
    <row r="9965" spans="2:35" ht="180">
      <c r="B9965" s="1">
        <v>44889</v>
      </c>
      <c r="C9965" s="4">
        <v>44889.423611111109</v>
      </c>
      <c r="D9965" t="s">
        <v>4190</v>
      </c>
      <c r="E9965" t="s">
        <v>4191</v>
      </c>
      <c r="F9965" t="s">
        <v>37</v>
      </c>
      <c r="G9965" t="s">
        <v>38</v>
      </c>
      <c r="H9965" t="s">
        <v>39</v>
      </c>
      <c r="I9965" t="s">
        <v>40</v>
      </c>
      <c r="J9965" s="2" t="s">
        <v>62</v>
      </c>
      <c r="K9965" t="s">
        <v>42</v>
      </c>
      <c r="Q9965">
        <v>22626</v>
      </c>
      <c r="R9965" t="s">
        <v>119</v>
      </c>
      <c r="S9965" t="s">
        <v>4192</v>
      </c>
      <c r="T9965">
        <v>25</v>
      </c>
      <c r="U9965" s="2" t="s">
        <v>59833</v>
      </c>
      <c r="V9965" s="1">
        <v>44833</v>
      </c>
      <c r="W9965" t="s">
        <v>9792</v>
      </c>
      <c r="X9965">
        <v>821293</v>
      </c>
      <c r="Y9965" t="s">
        <v>1111</v>
      </c>
      <c r="Z9965" t="s">
        <v>999</v>
      </c>
      <c r="AA9965" s="2" t="s">
        <v>37058</v>
      </c>
      <c r="AB9965" t="s">
        <v>1521</v>
      </c>
      <c r="AD9965" t="s">
        <v>20036</v>
      </c>
      <c r="AE9965" t="s">
        <v>59834</v>
      </c>
      <c r="AF9965" t="s">
        <v>43</v>
      </c>
      <c r="AG9965" t="s">
        <v>59835</v>
      </c>
      <c r="AH9965" t="s">
        <v>50223</v>
      </c>
      <c r="AI9965" t="s">
        <v>59836</v>
      </c>
    </row>
    <row r="9966" spans="2:35" ht="105">
      <c r="B9966" s="1">
        <v>44889</v>
      </c>
      <c r="C9966" s="4">
        <v>44889.397916666669</v>
      </c>
      <c r="D9966" t="s">
        <v>461</v>
      </c>
      <c r="E9966" t="s">
        <v>582</v>
      </c>
      <c r="F9966" t="s">
        <v>148</v>
      </c>
      <c r="G9966" t="s">
        <v>447</v>
      </c>
      <c r="H9966" t="s">
        <v>39</v>
      </c>
      <c r="I9966" t="s">
        <v>40</v>
      </c>
      <c r="J9966" t="s">
        <v>321</v>
      </c>
      <c r="K9966" t="s">
        <v>42</v>
      </c>
      <c r="Q9966">
        <v>22625</v>
      </c>
      <c r="R9966" t="s">
        <v>45</v>
      </c>
      <c r="S9966" t="s">
        <v>46711</v>
      </c>
      <c r="T9966">
        <v>25</v>
      </c>
      <c r="U9966" s="2" t="s">
        <v>38189</v>
      </c>
      <c r="V9966" s="1">
        <v>44889</v>
      </c>
      <c r="W9966" t="s">
        <v>84</v>
      </c>
      <c r="X9966">
        <v>814160</v>
      </c>
      <c r="Y9966" t="s">
        <v>59837</v>
      </c>
      <c r="Z9966" t="s">
        <v>59838</v>
      </c>
      <c r="AA9966" t="s">
        <v>59839</v>
      </c>
      <c r="AB9966" t="s">
        <v>59840</v>
      </c>
      <c r="AC9966" t="s">
        <v>59841</v>
      </c>
      <c r="AD9966" t="s">
        <v>59842</v>
      </c>
      <c r="AE9966" t="s">
        <v>59843</v>
      </c>
      <c r="AF9966" t="s">
        <v>1943</v>
      </c>
      <c r="AG9966" t="s">
        <v>59844</v>
      </c>
      <c r="AH9966" t="s">
        <v>37542</v>
      </c>
      <c r="AI9966" t="s">
        <v>59845</v>
      </c>
    </row>
    <row r="9967" spans="2:35" ht="375">
      <c r="B9967" s="1">
        <v>44888</v>
      </c>
      <c r="C9967" s="4">
        <v>44874.60833333333</v>
      </c>
      <c r="D9967" t="s">
        <v>55461</v>
      </c>
      <c r="E9967" t="s">
        <v>59846</v>
      </c>
      <c r="F9967" t="s">
        <v>148</v>
      </c>
      <c r="G9967" t="s">
        <v>447</v>
      </c>
      <c r="H9967" t="s">
        <v>150</v>
      </c>
      <c r="I9967" t="s">
        <v>40</v>
      </c>
      <c r="J9967" t="s">
        <v>525</v>
      </c>
      <c r="K9967" t="s">
        <v>42</v>
      </c>
      <c r="Q9967">
        <v>22624</v>
      </c>
      <c r="R9967" t="s">
        <v>322</v>
      </c>
      <c r="S9967" t="s">
        <v>1147</v>
      </c>
      <c r="T9967">
        <v>25.6</v>
      </c>
      <c r="U9967" s="2" t="s">
        <v>59847</v>
      </c>
      <c r="V9967" s="1">
        <v>44874</v>
      </c>
      <c r="W9967" t="s">
        <v>2384</v>
      </c>
      <c r="X9967">
        <v>838837</v>
      </c>
      <c r="Y9967" t="s">
        <v>59848</v>
      </c>
      <c r="Z9967" t="s">
        <v>59849</v>
      </c>
      <c r="AA9967" t="s">
        <v>59850</v>
      </c>
      <c r="AB9967" t="s">
        <v>59851</v>
      </c>
      <c r="AD9967" t="s">
        <v>3628</v>
      </c>
      <c r="AE9967" t="s">
        <v>1716</v>
      </c>
      <c r="AF9967" t="s">
        <v>49366</v>
      </c>
      <c r="AG9967" t="s">
        <v>59852</v>
      </c>
      <c r="AH9967" t="s">
        <v>59853</v>
      </c>
      <c r="AI9967" t="s">
        <v>59854</v>
      </c>
    </row>
    <row r="9968" spans="2:35" ht="330">
      <c r="B9968" s="1">
        <v>44888</v>
      </c>
      <c r="C9968" s="4">
        <v>44888.663194444445</v>
      </c>
      <c r="D9968" t="s">
        <v>38422</v>
      </c>
      <c r="E9968" t="s">
        <v>59855</v>
      </c>
      <c r="F9968" t="s">
        <v>148</v>
      </c>
      <c r="G9968" t="s">
        <v>447</v>
      </c>
      <c r="H9968" t="s">
        <v>662</v>
      </c>
      <c r="I9968" t="s">
        <v>40</v>
      </c>
      <c r="J9968" t="s">
        <v>525</v>
      </c>
      <c r="K9968" t="s">
        <v>42</v>
      </c>
      <c r="Q9968">
        <v>22623</v>
      </c>
      <c r="R9968" t="s">
        <v>322</v>
      </c>
      <c r="S9968" t="s">
        <v>6492</v>
      </c>
      <c r="T9968">
        <v>25.6</v>
      </c>
      <c r="U9968" s="2" t="s">
        <v>59856</v>
      </c>
      <c r="W9968" t="s">
        <v>325</v>
      </c>
      <c r="X9968">
        <v>838655</v>
      </c>
      <c r="Y9968" t="s">
        <v>59857</v>
      </c>
      <c r="Z9968" t="s">
        <v>59858</v>
      </c>
      <c r="AA9968" t="s">
        <v>32947</v>
      </c>
      <c r="AB9968" t="s">
        <v>59859</v>
      </c>
      <c r="AC9968" t="s">
        <v>59860</v>
      </c>
      <c r="AF9968" t="s">
        <v>49366</v>
      </c>
      <c r="AG9968" t="s">
        <v>59861</v>
      </c>
      <c r="AH9968" t="s">
        <v>39860</v>
      </c>
      <c r="AI9968" t="s">
        <v>59862</v>
      </c>
    </row>
    <row r="9969" spans="2:35" ht="285">
      <c r="B9969" s="1">
        <v>44888</v>
      </c>
      <c r="C9969" s="4">
        <v>44888.560416666667</v>
      </c>
      <c r="D9969" t="s">
        <v>4553</v>
      </c>
      <c r="E9969" t="s">
        <v>59863</v>
      </c>
      <c r="F9969" t="s">
        <v>148</v>
      </c>
      <c r="G9969" t="s">
        <v>149</v>
      </c>
      <c r="H9969" t="s">
        <v>39</v>
      </c>
      <c r="I9969" t="s">
        <v>40</v>
      </c>
      <c r="J9969" s="2" t="s">
        <v>190</v>
      </c>
      <c r="K9969" t="s">
        <v>42</v>
      </c>
      <c r="Q9969">
        <v>22622</v>
      </c>
      <c r="R9969" t="s">
        <v>119</v>
      </c>
      <c r="S9969" t="s">
        <v>59864</v>
      </c>
      <c r="T9969">
        <v>25</v>
      </c>
      <c r="U9969" s="2" t="s">
        <v>59865</v>
      </c>
      <c r="W9969" t="s">
        <v>9792</v>
      </c>
      <c r="X9969">
        <v>831598</v>
      </c>
      <c r="Y9969" t="s">
        <v>59866</v>
      </c>
      <c r="Z9969" t="s">
        <v>58176</v>
      </c>
      <c r="AA9969" s="2" t="s">
        <v>59867</v>
      </c>
      <c r="AB9969" t="s">
        <v>59868</v>
      </c>
      <c r="AC9969" t="s">
        <v>59869</v>
      </c>
      <c r="AF9969" t="s">
        <v>43</v>
      </c>
      <c r="AG9969" t="s">
        <v>59870</v>
      </c>
      <c r="AH9969" t="s">
        <v>27358</v>
      </c>
      <c r="AI9969" t="s">
        <v>59871</v>
      </c>
    </row>
    <row r="9970" spans="2:35" ht="240">
      <c r="B9970" s="1">
        <v>44888</v>
      </c>
      <c r="C9970" s="4">
        <v>44888.577777777777</v>
      </c>
      <c r="D9970" t="s">
        <v>26116</v>
      </c>
      <c r="E9970" t="s">
        <v>26117</v>
      </c>
      <c r="F9970">
        <v>3</v>
      </c>
      <c r="G9970" t="s">
        <v>1640</v>
      </c>
      <c r="H9970" t="s">
        <v>39</v>
      </c>
      <c r="I9970" t="s">
        <v>40</v>
      </c>
      <c r="J9970" s="2" t="s">
        <v>62</v>
      </c>
      <c r="K9970" t="s">
        <v>42</v>
      </c>
      <c r="Q9970">
        <v>22621</v>
      </c>
      <c r="R9970" t="s">
        <v>119</v>
      </c>
      <c r="S9970" t="s">
        <v>38116</v>
      </c>
      <c r="T9970">
        <v>30</v>
      </c>
      <c r="U9970" s="2" t="s">
        <v>40628</v>
      </c>
      <c r="V9970" s="1">
        <v>44888</v>
      </c>
      <c r="W9970" t="s">
        <v>26915</v>
      </c>
      <c r="X9970">
        <v>831621</v>
      </c>
      <c r="Y9970" t="s">
        <v>1716</v>
      </c>
      <c r="Z9970" t="s">
        <v>1716</v>
      </c>
      <c r="AA9970" s="2" t="s">
        <v>59872</v>
      </c>
      <c r="AB9970" t="s">
        <v>70</v>
      </c>
      <c r="AC9970" t="s">
        <v>1716</v>
      </c>
      <c r="AD9970" t="s">
        <v>5056</v>
      </c>
      <c r="AE9970" t="s">
        <v>1716</v>
      </c>
      <c r="AF9970" t="s">
        <v>63</v>
      </c>
      <c r="AG9970" t="s">
        <v>59873</v>
      </c>
      <c r="AH9970" t="s">
        <v>59874</v>
      </c>
      <c r="AI9970" t="s">
        <v>59875</v>
      </c>
    </row>
    <row r="9971" spans="2:35" ht="180">
      <c r="B9971" s="1">
        <v>44888</v>
      </c>
      <c r="C9971" s="4">
        <v>44888.507638888892</v>
      </c>
      <c r="D9971" t="s">
        <v>23946</v>
      </c>
      <c r="E9971" t="s">
        <v>23947</v>
      </c>
      <c r="F9971" t="s">
        <v>148</v>
      </c>
      <c r="G9971" t="s">
        <v>421</v>
      </c>
      <c r="H9971" t="s">
        <v>39</v>
      </c>
      <c r="I9971" t="s">
        <v>40</v>
      </c>
      <c r="J9971" t="s">
        <v>109</v>
      </c>
      <c r="K9971" t="s">
        <v>42</v>
      </c>
      <c r="Q9971">
        <v>22620</v>
      </c>
      <c r="R9971" t="s">
        <v>119</v>
      </c>
      <c r="S9971" t="s">
        <v>3747</v>
      </c>
      <c r="T9971">
        <v>29</v>
      </c>
      <c r="U9971" s="2" t="s">
        <v>59876</v>
      </c>
      <c r="W9971" t="s">
        <v>6776</v>
      </c>
      <c r="X9971">
        <v>831696</v>
      </c>
      <c r="Y9971" t="s">
        <v>374</v>
      </c>
      <c r="Z9971" t="s">
        <v>103</v>
      </c>
      <c r="AA9971" t="e">
        <f ca="1">- cleaned FAN _xludf.filter
- generated reports
- checked system _xludf.Log
- performed functionality test</f>
        <v>#NAME?</v>
      </c>
      <c r="AB9971" t="s">
        <v>59877</v>
      </c>
      <c r="AC9971" t="s">
        <v>59878</v>
      </c>
      <c r="AF9971" t="s">
        <v>175</v>
      </c>
      <c r="AG9971" t="s">
        <v>59879</v>
      </c>
      <c r="AH9971" t="s">
        <v>59880</v>
      </c>
      <c r="AI9971" t="s">
        <v>59881</v>
      </c>
    </row>
    <row r="9972" spans="2:35" ht="180">
      <c r="B9972" s="1">
        <v>44888</v>
      </c>
      <c r="C9972" s="4">
        <v>44888.502083333333</v>
      </c>
      <c r="D9972" t="s">
        <v>38003</v>
      </c>
      <c r="E9972" t="s">
        <v>48221</v>
      </c>
      <c r="F9972">
        <v>12</v>
      </c>
      <c r="G9972" t="s">
        <v>978</v>
      </c>
      <c r="H9972" t="s">
        <v>39</v>
      </c>
      <c r="I9972" t="s">
        <v>94</v>
      </c>
      <c r="J9972" s="2" t="s">
        <v>62</v>
      </c>
      <c r="K9972" t="s">
        <v>42</v>
      </c>
      <c r="Q9972">
        <v>22619</v>
      </c>
      <c r="R9972" t="s">
        <v>45</v>
      </c>
      <c r="S9972" t="s">
        <v>38005</v>
      </c>
      <c r="T9972">
        <v>23.4</v>
      </c>
      <c r="U9972" s="2" t="s">
        <v>59882</v>
      </c>
      <c r="V9972" s="1">
        <v>44888</v>
      </c>
      <c r="W9972" t="s">
        <v>59883</v>
      </c>
      <c r="X9972">
        <v>835184</v>
      </c>
      <c r="Y9972" t="s">
        <v>54</v>
      </c>
      <c r="Z9972" s="2" t="s">
        <v>59884</v>
      </c>
      <c r="AA9972" s="2" t="s">
        <v>59884</v>
      </c>
      <c r="AB9972" t="s">
        <v>59885</v>
      </c>
      <c r="AC9972" t="s">
        <v>59886</v>
      </c>
      <c r="AE9972" t="s">
        <v>18451</v>
      </c>
      <c r="AF9972" t="s">
        <v>58416</v>
      </c>
      <c r="AG9972" t="s">
        <v>59887</v>
      </c>
      <c r="AH9972" t="s">
        <v>38013</v>
      </c>
      <c r="AI9972" t="s">
        <v>59888</v>
      </c>
    </row>
    <row r="9973" spans="2:35" ht="180">
      <c r="B9973" s="1">
        <v>44888</v>
      </c>
      <c r="C9973" s="4">
        <v>44888.477777777778</v>
      </c>
      <c r="D9973" t="s">
        <v>1351</v>
      </c>
      <c r="E9973" t="s">
        <v>27934</v>
      </c>
      <c r="F9973">
        <v>3</v>
      </c>
      <c r="G9973" t="s">
        <v>284</v>
      </c>
      <c r="H9973" t="s">
        <v>39</v>
      </c>
      <c r="I9973" t="s">
        <v>94</v>
      </c>
      <c r="J9973" s="2" t="s">
        <v>62</v>
      </c>
      <c r="K9973" t="s">
        <v>42</v>
      </c>
      <c r="Q9973">
        <v>22618</v>
      </c>
      <c r="R9973" t="s">
        <v>119</v>
      </c>
      <c r="S9973" t="s">
        <v>285</v>
      </c>
      <c r="T9973">
        <v>21</v>
      </c>
      <c r="U9973" s="2" t="s">
        <v>59889</v>
      </c>
      <c r="W9973" t="s">
        <v>2680</v>
      </c>
      <c r="X9973">
        <v>831878</v>
      </c>
      <c r="Y9973" s="2" t="s">
        <v>59890</v>
      </c>
      <c r="Z9973" t="e">
        <f ca="1">-performed surface Cleaning
-performed Cleaning of cartridge bay,icore,plunger rod _xludf.and _xludf.filter
-Generate reports
-archived test results
-performed XpertCheck
-performed functionality test</f>
        <v>#NAME?</v>
      </c>
      <c r="AA9973" t="s">
        <v>17677</v>
      </c>
      <c r="AB9973" t="s">
        <v>59891</v>
      </c>
      <c r="AC9973" t="s">
        <v>59892</v>
      </c>
      <c r="AF9973" t="s">
        <v>135</v>
      </c>
      <c r="AG9973" t="s">
        <v>59893</v>
      </c>
      <c r="AH9973" t="s">
        <v>290</v>
      </c>
      <c r="AI9973" t="s">
        <v>59894</v>
      </c>
    </row>
    <row r="9974" spans="2:35" ht="255">
      <c r="B9974" s="1">
        <v>44887</v>
      </c>
      <c r="C9974" s="4">
        <v>44887.541666666664</v>
      </c>
      <c r="D9974" t="s">
        <v>23635</v>
      </c>
      <c r="E9974" t="s">
        <v>46913</v>
      </c>
      <c r="F9974" t="s">
        <v>148</v>
      </c>
      <c r="G9974" t="s">
        <v>310</v>
      </c>
      <c r="H9974" t="s">
        <v>39</v>
      </c>
      <c r="I9974" t="s">
        <v>40</v>
      </c>
      <c r="J9974" t="s">
        <v>109</v>
      </c>
      <c r="K9974" t="s">
        <v>42</v>
      </c>
      <c r="Q9974">
        <v>22617</v>
      </c>
      <c r="R9974" t="s">
        <v>119</v>
      </c>
      <c r="S9974" t="s">
        <v>27717</v>
      </c>
      <c r="T9974">
        <v>25</v>
      </c>
      <c r="U9974" s="2" t="s">
        <v>59895</v>
      </c>
      <c r="W9974" t="s">
        <v>84</v>
      </c>
      <c r="X9974">
        <v>831620</v>
      </c>
      <c r="Y9974" t="s">
        <v>28970</v>
      </c>
      <c r="Z9974" s="2" t="s">
        <v>59896</v>
      </c>
      <c r="AA9974" t="s">
        <v>1548</v>
      </c>
      <c r="AB9974" t="s">
        <v>59897</v>
      </c>
      <c r="AF9974" t="s">
        <v>1943</v>
      </c>
      <c r="AG9974" t="s">
        <v>59898</v>
      </c>
      <c r="AH9974" t="s">
        <v>32712</v>
      </c>
      <c r="AI9974" t="s">
        <v>59899</v>
      </c>
    </row>
    <row r="9975" spans="2:35" ht="285">
      <c r="B9975" s="1">
        <v>44887</v>
      </c>
      <c r="C9975" s="4">
        <v>44887.525000000001</v>
      </c>
      <c r="D9975" t="s">
        <v>7522</v>
      </c>
      <c r="E9975" t="s">
        <v>59900</v>
      </c>
      <c r="F9975">
        <v>11</v>
      </c>
      <c r="G9975" t="s">
        <v>1759</v>
      </c>
      <c r="H9975" t="s">
        <v>39</v>
      </c>
      <c r="I9975" t="s">
        <v>40</v>
      </c>
      <c r="J9975" t="s">
        <v>109</v>
      </c>
      <c r="K9975" t="s">
        <v>42</v>
      </c>
      <c r="Q9975">
        <v>22616</v>
      </c>
      <c r="R9975" t="s">
        <v>119</v>
      </c>
      <c r="S9975" t="s">
        <v>59901</v>
      </c>
      <c r="T9975">
        <v>28</v>
      </c>
      <c r="U9975" s="2" t="s">
        <v>59902</v>
      </c>
      <c r="V9975" s="1">
        <v>44887</v>
      </c>
      <c r="W9975" t="s">
        <v>58604</v>
      </c>
      <c r="X9975">
        <v>838500</v>
      </c>
      <c r="Y9975" t="s">
        <v>1052</v>
      </c>
      <c r="Z9975" t="s">
        <v>2551</v>
      </c>
      <c r="AA9975" s="2" t="s">
        <v>59903</v>
      </c>
      <c r="AB9975" t="s">
        <v>9590</v>
      </c>
      <c r="AC9975" t="s">
        <v>301</v>
      </c>
      <c r="AD9975" t="s">
        <v>54</v>
      </c>
      <c r="AE9975" t="s">
        <v>1716</v>
      </c>
      <c r="AF9975" t="s">
        <v>57687</v>
      </c>
      <c r="AG9975" t="s">
        <v>59904</v>
      </c>
      <c r="AH9975" t="s">
        <v>20385</v>
      </c>
      <c r="AI9975" t="s">
        <v>59905</v>
      </c>
    </row>
    <row r="9976" spans="2:35" ht="180">
      <c r="B9976" s="1">
        <v>44887</v>
      </c>
      <c r="C9976" s="4">
        <v>44887.465277777781</v>
      </c>
      <c r="D9976" t="s">
        <v>3719</v>
      </c>
      <c r="E9976" t="s">
        <v>46913</v>
      </c>
      <c r="F9976" t="s">
        <v>148</v>
      </c>
      <c r="G9976" t="s">
        <v>310</v>
      </c>
      <c r="H9976" t="s">
        <v>39</v>
      </c>
      <c r="I9976" t="s">
        <v>40</v>
      </c>
      <c r="J9976" t="s">
        <v>109</v>
      </c>
      <c r="K9976" t="s">
        <v>42</v>
      </c>
      <c r="Q9976">
        <v>22615</v>
      </c>
      <c r="R9976" t="s">
        <v>119</v>
      </c>
      <c r="S9976" t="s">
        <v>3721</v>
      </c>
      <c r="T9976">
        <v>25</v>
      </c>
      <c r="U9976" s="2" t="s">
        <v>59906</v>
      </c>
      <c r="W9976" t="s">
        <v>84</v>
      </c>
      <c r="X9976">
        <v>831644</v>
      </c>
      <c r="Y9976" t="s">
        <v>28970</v>
      </c>
      <c r="Z9976" t="s">
        <v>59907</v>
      </c>
      <c r="AA9976" t="s">
        <v>1548</v>
      </c>
      <c r="AB9976" t="s">
        <v>88</v>
      </c>
      <c r="AF9976" t="s">
        <v>1943</v>
      </c>
      <c r="AG9976" t="s">
        <v>59908</v>
      </c>
      <c r="AH9976" t="s">
        <v>45014</v>
      </c>
      <c r="AI9976" t="s">
        <v>59909</v>
      </c>
    </row>
    <row r="9977" spans="2:35" ht="180">
      <c r="B9977" s="1">
        <v>44887</v>
      </c>
      <c r="C9977" s="4">
        <v>44887.436805555553</v>
      </c>
      <c r="D9977" t="s">
        <v>4528</v>
      </c>
      <c r="E9977" t="s">
        <v>47037</v>
      </c>
      <c r="F9977">
        <v>1</v>
      </c>
      <c r="G9977" t="s">
        <v>1046</v>
      </c>
      <c r="H9977" t="s">
        <v>39</v>
      </c>
      <c r="I9977" t="s">
        <v>40</v>
      </c>
      <c r="J9977" t="s">
        <v>109</v>
      </c>
      <c r="K9977" t="s">
        <v>42</v>
      </c>
      <c r="Q9977">
        <v>22614</v>
      </c>
      <c r="R9977" t="s">
        <v>119</v>
      </c>
      <c r="S9977" t="s">
        <v>4530</v>
      </c>
      <c r="T9977">
        <v>20</v>
      </c>
      <c r="U9977" s="2" t="s">
        <v>59910</v>
      </c>
      <c r="W9977" t="s">
        <v>2680</v>
      </c>
      <c r="X9977">
        <v>838472</v>
      </c>
      <c r="Y9977" t="s">
        <v>19210</v>
      </c>
      <c r="Z9977" t="e">
        <f ca="1">-performed surface Cleaning
-performed Cleaning of cartridge bay,icore,plunger rod _xludf.and _xludf.filter
-Generate reports
-archived test results
-performed surface Cleaning</f>
        <v>#NAME?</v>
      </c>
      <c r="AA9977" t="s">
        <v>3128</v>
      </c>
      <c r="AB9977" t="s">
        <v>39431</v>
      </c>
      <c r="AF9977" t="s">
        <v>135</v>
      </c>
      <c r="AG9977" t="s">
        <v>59911</v>
      </c>
      <c r="AH9977" t="s">
        <v>59912</v>
      </c>
      <c r="AI9977" t="s">
        <v>59913</v>
      </c>
    </row>
    <row r="9978" spans="2:35" ht="285">
      <c r="B9978" s="1">
        <v>44886</v>
      </c>
      <c r="C9978" s="4">
        <v>44886.574305555558</v>
      </c>
      <c r="D9978" t="s">
        <v>23894</v>
      </c>
      <c r="E9978" t="s">
        <v>59914</v>
      </c>
      <c r="F9978">
        <v>11</v>
      </c>
      <c r="G9978" t="s">
        <v>1205</v>
      </c>
      <c r="H9978" t="s">
        <v>39</v>
      </c>
      <c r="I9978" t="s">
        <v>40</v>
      </c>
      <c r="J9978" t="s">
        <v>109</v>
      </c>
      <c r="K9978" t="s">
        <v>42</v>
      </c>
      <c r="Q9978">
        <v>22613</v>
      </c>
      <c r="R9978" t="s">
        <v>45</v>
      </c>
      <c r="S9978" t="s">
        <v>22411</v>
      </c>
      <c r="T9978">
        <v>24.7</v>
      </c>
      <c r="U9978" s="2" t="s">
        <v>59915</v>
      </c>
      <c r="V9978" s="1">
        <v>44886</v>
      </c>
      <c r="W9978" t="s">
        <v>59241</v>
      </c>
      <c r="X9978">
        <v>804835</v>
      </c>
      <c r="Y9978" t="s">
        <v>1052</v>
      </c>
      <c r="Z9978" t="s">
        <v>2551</v>
      </c>
      <c r="AA9978" s="2" t="s">
        <v>59916</v>
      </c>
      <c r="AB9978" t="s">
        <v>9590</v>
      </c>
      <c r="AC9978" t="s">
        <v>54</v>
      </c>
      <c r="AD9978" t="s">
        <v>54</v>
      </c>
      <c r="AE9978" t="s">
        <v>54</v>
      </c>
      <c r="AF9978" t="s">
        <v>57687</v>
      </c>
      <c r="AG9978" t="s">
        <v>59917</v>
      </c>
      <c r="AH9978" t="s">
        <v>59918</v>
      </c>
      <c r="AI9978" t="s">
        <v>59919</v>
      </c>
    </row>
    <row r="9979" spans="2:35" ht="180">
      <c r="B9979" s="1">
        <v>44886</v>
      </c>
      <c r="C9979" s="4">
        <v>44886.602777777778</v>
      </c>
      <c r="D9979" t="s">
        <v>59920</v>
      </c>
      <c r="E9979" t="s">
        <v>47562</v>
      </c>
      <c r="F9979">
        <v>3</v>
      </c>
      <c r="G9979" t="s">
        <v>730</v>
      </c>
      <c r="H9979" t="s">
        <v>39</v>
      </c>
      <c r="I9979" t="s">
        <v>40</v>
      </c>
      <c r="J9979" t="s">
        <v>525</v>
      </c>
      <c r="K9979" t="s">
        <v>42</v>
      </c>
      <c r="Q9979">
        <v>22612</v>
      </c>
      <c r="R9979" t="s">
        <v>119</v>
      </c>
      <c r="S9979" t="s">
        <v>1018</v>
      </c>
      <c r="T9979">
        <v>18</v>
      </c>
      <c r="U9979" s="2" t="s">
        <v>59921</v>
      </c>
      <c r="V9979" s="1">
        <v>44886</v>
      </c>
      <c r="W9979" t="s">
        <v>2680</v>
      </c>
      <c r="X9979">
        <v>831587</v>
      </c>
      <c r="Y9979" t="e">
        <f ca="1">-Flickering _xludf.and Lag during test THEN shutdown
-Blue screen of death</f>
        <v>#NAME?</v>
      </c>
      <c r="Z9979" t="e">
        <f ca="1">-checked _xludf.error _xludf.Log (kernel _xludf.Power)
-performed test ( Reported _xludf.error _xludf.not encountered)
-Generate reports
-performed functionality test</f>
        <v>#NAME?</v>
      </c>
      <c r="AA9979" t="s">
        <v>4487</v>
      </c>
      <c r="AB9979" t="s">
        <v>59922</v>
      </c>
      <c r="AC9979" t="s">
        <v>59923</v>
      </c>
      <c r="AD9979" t="s">
        <v>54</v>
      </c>
      <c r="AE9979" t="s">
        <v>54</v>
      </c>
      <c r="AF9979" t="s">
        <v>135</v>
      </c>
      <c r="AG9979" t="s">
        <v>59924</v>
      </c>
      <c r="AH9979" t="s">
        <v>1024</v>
      </c>
      <c r="AI9979" t="s">
        <v>59925</v>
      </c>
    </row>
    <row r="9980" spans="2:35" ht="60">
      <c r="B9980" s="1">
        <v>44886</v>
      </c>
      <c r="C9980" s="4">
        <v>44886.59652777778</v>
      </c>
      <c r="D9980" t="s">
        <v>7465</v>
      </c>
      <c r="E9980" t="s">
        <v>7466</v>
      </c>
      <c r="F9980">
        <v>8</v>
      </c>
      <c r="G9980" t="s">
        <v>342</v>
      </c>
      <c r="H9980" t="s">
        <v>202</v>
      </c>
      <c r="I9980" t="s">
        <v>94</v>
      </c>
      <c r="J9980" t="s">
        <v>109</v>
      </c>
      <c r="K9980" t="s">
        <v>42</v>
      </c>
      <c r="Q9980">
        <v>22611</v>
      </c>
      <c r="R9980" t="s">
        <v>119</v>
      </c>
      <c r="S9980" t="s">
        <v>13482</v>
      </c>
      <c r="T9980">
        <v>28</v>
      </c>
      <c r="U9980" s="2" t="s">
        <v>21798</v>
      </c>
      <c r="W9980" t="s">
        <v>6105</v>
      </c>
      <c r="X9980">
        <v>838551</v>
      </c>
      <c r="Y9980" t="s">
        <v>54</v>
      </c>
      <c r="Z9980" t="s">
        <v>59926</v>
      </c>
      <c r="AA9980" t="s">
        <v>3128</v>
      </c>
      <c r="AB9980" t="s">
        <v>57985</v>
      </c>
      <c r="AF9980" t="s">
        <v>259</v>
      </c>
      <c r="AG9980" t="s">
        <v>59927</v>
      </c>
      <c r="AH9980" t="s">
        <v>34842</v>
      </c>
      <c r="AI9980" t="s">
        <v>59928</v>
      </c>
    </row>
    <row r="9981" spans="2:35" ht="210">
      <c r="B9981" s="1">
        <v>44886</v>
      </c>
      <c r="C9981" s="4">
        <v>44886.580555555556</v>
      </c>
      <c r="D9981" t="s">
        <v>4795</v>
      </c>
      <c r="E9981" t="s">
        <v>4796</v>
      </c>
      <c r="F9981">
        <v>10</v>
      </c>
      <c r="G9981" t="s">
        <v>2392</v>
      </c>
      <c r="H9981" t="s">
        <v>39</v>
      </c>
      <c r="I9981" t="s">
        <v>94</v>
      </c>
      <c r="J9981" t="s">
        <v>7755</v>
      </c>
      <c r="K9981" t="s">
        <v>42</v>
      </c>
      <c r="Q9981">
        <v>22610</v>
      </c>
      <c r="R9981" t="s">
        <v>45</v>
      </c>
      <c r="S9981" t="s">
        <v>57535</v>
      </c>
      <c r="T9981">
        <v>30</v>
      </c>
      <c r="U9981" s="2" t="s">
        <v>59929</v>
      </c>
      <c r="V9981" s="1">
        <v>44823</v>
      </c>
      <c r="W9981" t="s">
        <v>43102</v>
      </c>
      <c r="X9981">
        <v>805090</v>
      </c>
      <c r="Y9981" t="s">
        <v>7765</v>
      </c>
      <c r="Z9981" t="s">
        <v>9431</v>
      </c>
      <c r="AA9981" s="2" t="s">
        <v>59930</v>
      </c>
      <c r="AB9981" t="s">
        <v>57985</v>
      </c>
      <c r="AC9981" t="s">
        <v>42687</v>
      </c>
      <c r="AD9981" t="s">
        <v>59931</v>
      </c>
      <c r="AE9981" t="s">
        <v>59932</v>
      </c>
      <c r="AF9981" t="s">
        <v>43100</v>
      </c>
      <c r="AG9981" t="s">
        <v>59933</v>
      </c>
      <c r="AH9981" t="s">
        <v>57541</v>
      </c>
      <c r="AI9981" t="s">
        <v>59934</v>
      </c>
    </row>
    <row r="9982" spans="2:35" ht="180">
      <c r="B9982" s="1">
        <v>44886</v>
      </c>
      <c r="C9982" s="4">
        <v>44883.572222222225</v>
      </c>
      <c r="D9982" t="s">
        <v>25923</v>
      </c>
      <c r="E9982" t="s">
        <v>51760</v>
      </c>
      <c r="F9982" t="s">
        <v>37</v>
      </c>
      <c r="G9982" t="s">
        <v>748</v>
      </c>
      <c r="H9982" t="s">
        <v>39</v>
      </c>
      <c r="I9982" t="s">
        <v>40</v>
      </c>
      <c r="J9982" s="2" t="s">
        <v>190</v>
      </c>
      <c r="K9982" t="s">
        <v>42</v>
      </c>
      <c r="Q9982">
        <v>22608</v>
      </c>
      <c r="R9982" t="s">
        <v>119</v>
      </c>
      <c r="S9982" t="s">
        <v>25925</v>
      </c>
      <c r="T9982">
        <v>25</v>
      </c>
      <c r="U9982" s="2" t="s">
        <v>59935</v>
      </c>
      <c r="W9982" t="s">
        <v>2680</v>
      </c>
      <c r="X9982">
        <v>821284</v>
      </c>
      <c r="Y9982" t="s">
        <v>59936</v>
      </c>
      <c r="Z9982" t="s">
        <v>59937</v>
      </c>
      <c r="AA9982" s="2" t="s">
        <v>59938</v>
      </c>
      <c r="AB9982" t="s">
        <v>59939</v>
      </c>
      <c r="AC9982" t="s">
        <v>59940</v>
      </c>
      <c r="AF9982" t="s">
        <v>57018</v>
      </c>
      <c r="AG9982" t="s">
        <v>59941</v>
      </c>
      <c r="AH9982" t="s">
        <v>25928</v>
      </c>
      <c r="AI9982" t="s">
        <v>59942</v>
      </c>
    </row>
    <row r="9983" spans="2:35" ht="105">
      <c r="B9983" s="1">
        <v>44886</v>
      </c>
      <c r="C9983" s="4">
        <v>44880.397916666669</v>
      </c>
      <c r="D9983" t="s">
        <v>29434</v>
      </c>
      <c r="E9983" t="s">
        <v>59943</v>
      </c>
      <c r="F9983" t="s">
        <v>148</v>
      </c>
      <c r="G9983" t="s">
        <v>310</v>
      </c>
      <c r="H9983" t="s">
        <v>662</v>
      </c>
      <c r="I9983" t="s">
        <v>40</v>
      </c>
      <c r="J9983" t="s">
        <v>109</v>
      </c>
      <c r="K9983" t="s">
        <v>42</v>
      </c>
      <c r="Q9983">
        <v>22607</v>
      </c>
      <c r="R9983" t="s">
        <v>322</v>
      </c>
      <c r="S9983" t="s">
        <v>14776</v>
      </c>
      <c r="T9983">
        <v>26</v>
      </c>
      <c r="U9983" s="2" t="s">
        <v>59944</v>
      </c>
      <c r="W9983" t="s">
        <v>36116</v>
      </c>
      <c r="X9983">
        <v>834953</v>
      </c>
      <c r="Y9983" t="s">
        <v>2692</v>
      </c>
      <c r="Z9983" t="s">
        <v>59945</v>
      </c>
      <c r="AA9983" s="2" t="s">
        <v>59946</v>
      </c>
      <c r="AB9983" t="s">
        <v>59947</v>
      </c>
      <c r="AF9983" t="s">
        <v>1028</v>
      </c>
      <c r="AG9983" t="s">
        <v>59948</v>
      </c>
      <c r="AH9983" t="s">
        <v>59949</v>
      </c>
      <c r="AI9983" t="s">
        <v>59950</v>
      </c>
    </row>
    <row r="9984" spans="2:35" ht="180">
      <c r="B9984" s="1">
        <v>44886</v>
      </c>
      <c r="C9984" s="4">
        <v>44882.48333333333</v>
      </c>
      <c r="D9984" t="s">
        <v>26808</v>
      </c>
      <c r="E9984" t="s">
        <v>59951</v>
      </c>
      <c r="F9984" t="s">
        <v>37</v>
      </c>
      <c r="G9984" t="s">
        <v>748</v>
      </c>
      <c r="H9984" t="s">
        <v>39</v>
      </c>
      <c r="I9984" t="s">
        <v>40</v>
      </c>
      <c r="J9984" s="2" t="s">
        <v>190</v>
      </c>
      <c r="K9984" t="s">
        <v>42</v>
      </c>
      <c r="Q9984">
        <v>22609</v>
      </c>
      <c r="R9984" t="s">
        <v>119</v>
      </c>
      <c r="S9984" t="s">
        <v>59952</v>
      </c>
      <c r="T9984">
        <v>26</v>
      </c>
      <c r="U9984" s="2" t="s">
        <v>59953</v>
      </c>
      <c r="W9984" t="s">
        <v>2680</v>
      </c>
      <c r="X9984">
        <v>820705</v>
      </c>
      <c r="Y9984" t="s">
        <v>59954</v>
      </c>
      <c r="Z9984" t="s">
        <v>59955</v>
      </c>
      <c r="AA9984" s="2" t="s">
        <v>59956</v>
      </c>
      <c r="AB9984" t="s">
        <v>59957</v>
      </c>
      <c r="AC9984" t="s">
        <v>59958</v>
      </c>
      <c r="AF9984" t="s">
        <v>1028</v>
      </c>
      <c r="AG9984" t="s">
        <v>59959</v>
      </c>
      <c r="AH9984" t="s">
        <v>33261</v>
      </c>
      <c r="AI9984" t="s">
        <v>59960</v>
      </c>
    </row>
    <row r="9985" spans="2:35" ht="105">
      <c r="B9985" s="1">
        <v>44884</v>
      </c>
      <c r="C9985" s="4">
        <v>44883.556944444441</v>
      </c>
      <c r="D9985" t="s">
        <v>59961</v>
      </c>
      <c r="E9985" t="s">
        <v>59962</v>
      </c>
      <c r="F9985">
        <v>5</v>
      </c>
      <c r="G9985" t="s">
        <v>839</v>
      </c>
      <c r="H9985" t="s">
        <v>39</v>
      </c>
      <c r="I9985" t="s">
        <v>40</v>
      </c>
      <c r="J9985" t="s">
        <v>79</v>
      </c>
      <c r="K9985" t="s">
        <v>42</v>
      </c>
      <c r="Q9985">
        <v>22606</v>
      </c>
      <c r="R9985" t="s">
        <v>45</v>
      </c>
      <c r="S9985" t="s">
        <v>59963</v>
      </c>
      <c r="T9985">
        <v>30.5</v>
      </c>
      <c r="U9985" s="2" t="s">
        <v>8650</v>
      </c>
      <c r="V9985" s="1">
        <v>44883</v>
      </c>
      <c r="W9985" t="s">
        <v>502</v>
      </c>
      <c r="X9985">
        <v>805260</v>
      </c>
      <c r="Y9985" t="s">
        <v>59964</v>
      </c>
      <c r="Z9985" t="s">
        <v>59965</v>
      </c>
      <c r="AA9985" t="s">
        <v>59966</v>
      </c>
      <c r="AB9985" t="s">
        <v>486</v>
      </c>
      <c r="AD9985" t="s">
        <v>59967</v>
      </c>
      <c r="AE9985">
        <v>0</v>
      </c>
      <c r="AF9985" t="s">
        <v>49366</v>
      </c>
      <c r="AG9985" t="s">
        <v>59968</v>
      </c>
      <c r="AH9985" t="s">
        <v>59969</v>
      </c>
      <c r="AI9985" t="s">
        <v>59970</v>
      </c>
    </row>
    <row r="9986" spans="2:35" ht="45">
      <c r="B9986" s="1">
        <v>44883</v>
      </c>
      <c r="C9986" s="4">
        <v>44883.703472222223</v>
      </c>
      <c r="D9986" t="s">
        <v>855</v>
      </c>
      <c r="E9986" t="s">
        <v>59158</v>
      </c>
      <c r="F9986" t="s">
        <v>148</v>
      </c>
      <c r="G9986" t="s">
        <v>310</v>
      </c>
      <c r="H9986" t="s">
        <v>39</v>
      </c>
      <c r="I9986" t="s">
        <v>40</v>
      </c>
      <c r="J9986" t="s">
        <v>525</v>
      </c>
      <c r="K9986" t="s">
        <v>42</v>
      </c>
      <c r="Q9986">
        <v>22605</v>
      </c>
      <c r="R9986" t="s">
        <v>95</v>
      </c>
      <c r="S9986" t="s">
        <v>859</v>
      </c>
      <c r="T9986">
        <v>24</v>
      </c>
      <c r="U9986" s="2" t="s">
        <v>34665</v>
      </c>
      <c r="W9986" t="s">
        <v>59971</v>
      </c>
      <c r="X9986">
        <v>809643</v>
      </c>
      <c r="Y9986" t="s">
        <v>59972</v>
      </c>
      <c r="Z9986" t="s">
        <v>768</v>
      </c>
      <c r="AA9986" t="s">
        <v>59973</v>
      </c>
      <c r="AB9986" t="s">
        <v>59974</v>
      </c>
      <c r="AF9986" t="s">
        <v>857</v>
      </c>
      <c r="AG9986" t="s">
        <v>59975</v>
      </c>
      <c r="AH9986" t="s">
        <v>6908</v>
      </c>
      <c r="AI9986" t="s">
        <v>59976</v>
      </c>
    </row>
    <row r="9987" spans="2:35" ht="180">
      <c r="B9987" s="1">
        <v>44883</v>
      </c>
      <c r="C9987" s="4">
        <v>44883.634722222225</v>
      </c>
      <c r="D9987" t="s">
        <v>8123</v>
      </c>
      <c r="E9987" t="s">
        <v>59977</v>
      </c>
      <c r="F9987">
        <v>13</v>
      </c>
      <c r="G9987" t="s">
        <v>4484</v>
      </c>
      <c r="H9987" t="s">
        <v>2125</v>
      </c>
      <c r="I9987" t="s">
        <v>40</v>
      </c>
      <c r="J9987" s="2" t="s">
        <v>1592</v>
      </c>
      <c r="K9987" t="s">
        <v>42</v>
      </c>
      <c r="Q9987">
        <v>22604</v>
      </c>
      <c r="R9987" t="s">
        <v>119</v>
      </c>
      <c r="S9987" t="s">
        <v>8125</v>
      </c>
      <c r="T9987">
        <v>27.9</v>
      </c>
      <c r="U9987" s="2" t="s">
        <v>59978</v>
      </c>
      <c r="V9987" s="1">
        <v>44879</v>
      </c>
      <c r="W9987" t="s">
        <v>54940</v>
      </c>
      <c r="X9987">
        <v>838554</v>
      </c>
      <c r="Y9987" t="s">
        <v>59979</v>
      </c>
      <c r="Z9987" t="s">
        <v>15030</v>
      </c>
      <c r="AA9987" s="2" t="s">
        <v>59980</v>
      </c>
      <c r="AB9987" t="s">
        <v>59981</v>
      </c>
      <c r="AC9987" t="s">
        <v>301</v>
      </c>
      <c r="AD9987" t="s">
        <v>59982</v>
      </c>
      <c r="AE9987" t="s">
        <v>59983</v>
      </c>
      <c r="AF9987" t="s">
        <v>58989</v>
      </c>
      <c r="AG9987" t="s">
        <v>59984</v>
      </c>
      <c r="AH9987" t="s">
        <v>8129</v>
      </c>
      <c r="AI9987" t="s">
        <v>59985</v>
      </c>
    </row>
    <row r="9988" spans="2:35" ht="180">
      <c r="B9988" s="1">
        <v>44883</v>
      </c>
      <c r="C9988" s="4">
        <v>44883.634722222225</v>
      </c>
      <c r="D9988" t="s">
        <v>8123</v>
      </c>
      <c r="E9988" t="s">
        <v>59977</v>
      </c>
      <c r="F9988">
        <v>13</v>
      </c>
      <c r="G9988" t="s">
        <v>4484</v>
      </c>
      <c r="H9988" t="s">
        <v>2125</v>
      </c>
      <c r="I9988" t="s">
        <v>40</v>
      </c>
      <c r="J9988" s="2" t="s">
        <v>1592</v>
      </c>
      <c r="K9988" t="s">
        <v>42</v>
      </c>
      <c r="Q9988">
        <v>22603</v>
      </c>
      <c r="R9988" t="s">
        <v>119</v>
      </c>
      <c r="S9988" t="s">
        <v>8125</v>
      </c>
      <c r="T9988">
        <v>27.9</v>
      </c>
      <c r="U9988" s="2" t="s">
        <v>59978</v>
      </c>
      <c r="V9988" s="1">
        <v>44879</v>
      </c>
      <c r="W9988" t="s">
        <v>54940</v>
      </c>
      <c r="X9988">
        <v>838554</v>
      </c>
      <c r="Y9988" t="s">
        <v>59979</v>
      </c>
      <c r="Z9988" t="s">
        <v>15030</v>
      </c>
      <c r="AA9988" s="2" t="s">
        <v>59980</v>
      </c>
      <c r="AB9988" t="s">
        <v>59986</v>
      </c>
      <c r="AC9988" t="s">
        <v>301</v>
      </c>
      <c r="AD9988" t="s">
        <v>59982</v>
      </c>
      <c r="AE9988" t="s">
        <v>59983</v>
      </c>
      <c r="AF9988" t="s">
        <v>58989</v>
      </c>
      <c r="AG9988" t="s">
        <v>59987</v>
      </c>
      <c r="AH9988" t="s">
        <v>8129</v>
      </c>
      <c r="AI9988" t="s">
        <v>59988</v>
      </c>
    </row>
    <row r="9989" spans="2:35" ht="180">
      <c r="B9989" s="1">
        <v>44883</v>
      </c>
      <c r="C9989" s="4">
        <v>44883.638194444444</v>
      </c>
      <c r="D9989" t="s">
        <v>55916</v>
      </c>
      <c r="E9989" t="s">
        <v>59178</v>
      </c>
      <c r="F9989">
        <v>3</v>
      </c>
      <c r="G9989" t="s">
        <v>1722</v>
      </c>
      <c r="H9989" t="s">
        <v>39</v>
      </c>
      <c r="I9989" t="s">
        <v>40</v>
      </c>
      <c r="J9989" t="s">
        <v>109</v>
      </c>
      <c r="K9989" t="s">
        <v>42</v>
      </c>
      <c r="Q9989">
        <v>22602</v>
      </c>
      <c r="R9989" t="s">
        <v>119</v>
      </c>
      <c r="S9989" t="s">
        <v>59989</v>
      </c>
      <c r="T9989">
        <v>27</v>
      </c>
      <c r="U9989" s="2" t="s">
        <v>40628</v>
      </c>
      <c r="V9989" s="1">
        <v>44883</v>
      </c>
      <c r="W9989" t="s">
        <v>59990</v>
      </c>
      <c r="X9989">
        <v>831599</v>
      </c>
      <c r="Y9989" t="s">
        <v>1716</v>
      </c>
      <c r="Z9989" t="s">
        <v>1716</v>
      </c>
      <c r="AA9989" s="2" t="s">
        <v>59991</v>
      </c>
      <c r="AB9989" t="s">
        <v>181</v>
      </c>
      <c r="AC9989" t="s">
        <v>1716</v>
      </c>
      <c r="AD9989" t="s">
        <v>1716</v>
      </c>
      <c r="AE9989" t="s">
        <v>1716</v>
      </c>
      <c r="AF9989" t="s">
        <v>63</v>
      </c>
      <c r="AG9989" t="s">
        <v>59992</v>
      </c>
      <c r="AH9989" t="s">
        <v>59993</v>
      </c>
      <c r="AI9989" t="s">
        <v>59994</v>
      </c>
    </row>
    <row r="9990" spans="2:35" ht="165">
      <c r="B9990" s="1">
        <v>44883</v>
      </c>
      <c r="C9990" s="4">
        <v>44883.59652777778</v>
      </c>
      <c r="D9990" t="s">
        <v>22725</v>
      </c>
      <c r="E9990" t="s">
        <v>1046</v>
      </c>
      <c r="F9990">
        <v>1</v>
      </c>
      <c r="G9990" t="s">
        <v>1046</v>
      </c>
      <c r="H9990" t="s">
        <v>39</v>
      </c>
      <c r="I9990" t="s">
        <v>40</v>
      </c>
      <c r="J9990" s="2" t="s">
        <v>41</v>
      </c>
      <c r="K9990" t="s">
        <v>42</v>
      </c>
      <c r="Q9990">
        <v>22601</v>
      </c>
      <c r="R9990" t="s">
        <v>45</v>
      </c>
      <c r="S9990" t="s">
        <v>25095</v>
      </c>
      <c r="T9990">
        <v>27</v>
      </c>
      <c r="U9990" s="2" t="s">
        <v>50962</v>
      </c>
      <c r="V9990" s="1">
        <v>44879</v>
      </c>
      <c r="W9990" t="s">
        <v>6776</v>
      </c>
      <c r="X9990">
        <v>815394</v>
      </c>
      <c r="Y9990" t="e">
        <f ca="1">- modules D1, D2 _xludf.For Replacement
- Desktop _xludf.For Replacement</f>
        <v>#NAME?</v>
      </c>
      <c r="Z9990" t="e">
        <f ca="1">- installed new Laptop
- replaced modules D1, D2</f>
        <v>#NAME?</v>
      </c>
      <c r="AA9990" t="e">
        <f ca="1">- installed new Laptop (Created new users)
- replaced modules D1, D2
- generated reports
- performed functionality test</f>
        <v>#NAME?</v>
      </c>
      <c r="AB9990" t="s">
        <v>59995</v>
      </c>
      <c r="AC9990" t="s">
        <v>59996</v>
      </c>
      <c r="AD9990" s="2" t="s">
        <v>59997</v>
      </c>
      <c r="AE9990" t="s">
        <v>59998</v>
      </c>
      <c r="AF9990" t="s">
        <v>175</v>
      </c>
      <c r="AG9990" t="s">
        <v>59999</v>
      </c>
      <c r="AH9990" t="s">
        <v>60000</v>
      </c>
      <c r="AI9990" t="s">
        <v>60001</v>
      </c>
    </row>
    <row r="9991" spans="2:35" ht="409.5">
      <c r="B9991" s="1">
        <v>44883</v>
      </c>
      <c r="C9991" s="4">
        <v>44883.584027777775</v>
      </c>
      <c r="D9991" t="s">
        <v>1081</v>
      </c>
      <c r="E9991" t="s">
        <v>18818</v>
      </c>
      <c r="F9991" t="s">
        <v>148</v>
      </c>
      <c r="G9991" t="s">
        <v>785</v>
      </c>
      <c r="H9991" t="s">
        <v>39</v>
      </c>
      <c r="I9991" t="s">
        <v>40</v>
      </c>
      <c r="J9991" s="2" t="s">
        <v>41</v>
      </c>
      <c r="K9991" t="s">
        <v>42</v>
      </c>
      <c r="Q9991">
        <v>22600</v>
      </c>
      <c r="R9991" t="s">
        <v>95</v>
      </c>
      <c r="S9991" t="s">
        <v>2016</v>
      </c>
      <c r="T9991">
        <v>25</v>
      </c>
      <c r="U9991" s="2" t="s">
        <v>60002</v>
      </c>
      <c r="V9991" s="1">
        <v>44879</v>
      </c>
      <c r="W9991" t="s">
        <v>41381</v>
      </c>
      <c r="X9991">
        <v>802630</v>
      </c>
      <c r="Y9991" t="s">
        <v>60003</v>
      </c>
      <c r="Z9991" t="s">
        <v>60004</v>
      </c>
      <c r="AA9991" s="2" t="s">
        <v>40689</v>
      </c>
      <c r="AB9991" t="s">
        <v>16412</v>
      </c>
      <c r="AD9991" s="2" t="s">
        <v>60005</v>
      </c>
      <c r="AE9991" t="s">
        <v>60006</v>
      </c>
      <c r="AF9991" t="s">
        <v>43</v>
      </c>
      <c r="AG9991" t="s">
        <v>60007</v>
      </c>
      <c r="AH9991" t="s">
        <v>14989</v>
      </c>
      <c r="AI9991" t="s">
        <v>60008</v>
      </c>
    </row>
    <row r="9992" spans="2:35" ht="409.5">
      <c r="B9992" s="1">
        <v>44883</v>
      </c>
      <c r="C9992" s="4">
        <v>44883.584027777775</v>
      </c>
      <c r="D9992" t="s">
        <v>1081</v>
      </c>
      <c r="E9992" t="s">
        <v>17305</v>
      </c>
      <c r="F9992" t="s">
        <v>148</v>
      </c>
      <c r="G9992" t="s">
        <v>785</v>
      </c>
      <c r="H9992" t="s">
        <v>39</v>
      </c>
      <c r="I9992" t="s">
        <v>40</v>
      </c>
      <c r="J9992" s="2" t="s">
        <v>41</v>
      </c>
      <c r="K9992" t="s">
        <v>42</v>
      </c>
      <c r="Q9992">
        <v>22599</v>
      </c>
      <c r="R9992" t="s">
        <v>95</v>
      </c>
      <c r="S9992" t="s">
        <v>2016</v>
      </c>
      <c r="T9992">
        <v>25</v>
      </c>
      <c r="U9992" s="2" t="s">
        <v>60009</v>
      </c>
      <c r="V9992" s="1">
        <v>44879</v>
      </c>
      <c r="W9992" t="s">
        <v>84</v>
      </c>
      <c r="X9992">
        <v>802117</v>
      </c>
      <c r="Y9992" t="s">
        <v>60010</v>
      </c>
      <c r="Z9992" s="2" t="s">
        <v>60011</v>
      </c>
      <c r="AA9992" t="s">
        <v>28293</v>
      </c>
      <c r="AB9992" t="s">
        <v>3777</v>
      </c>
      <c r="AD9992" t="s">
        <v>60012</v>
      </c>
      <c r="AE9992" t="s">
        <v>60013</v>
      </c>
      <c r="AF9992" t="s">
        <v>1943</v>
      </c>
      <c r="AG9992" t="s">
        <v>60014</v>
      </c>
      <c r="AH9992" t="s">
        <v>14989</v>
      </c>
      <c r="AI9992" t="s">
        <v>60015</v>
      </c>
    </row>
    <row r="9993" spans="2:35" ht="180">
      <c r="B9993" s="1">
        <v>44883</v>
      </c>
      <c r="C9993" s="4">
        <v>44882.646527777775</v>
      </c>
      <c r="D9993" t="s">
        <v>23735</v>
      </c>
      <c r="E9993" t="s">
        <v>60016</v>
      </c>
      <c r="F9993" t="s">
        <v>37</v>
      </c>
      <c r="G9993" t="s">
        <v>78</v>
      </c>
      <c r="H9993" t="s">
        <v>2274</v>
      </c>
      <c r="I9993" t="s">
        <v>40</v>
      </c>
      <c r="J9993" t="s">
        <v>525</v>
      </c>
      <c r="K9993" t="s">
        <v>387</v>
      </c>
      <c r="Q9993">
        <v>22598</v>
      </c>
      <c r="R9993" t="s">
        <v>322</v>
      </c>
      <c r="S9993" t="s">
        <v>5953</v>
      </c>
      <c r="T9993">
        <v>25</v>
      </c>
      <c r="W9993" t="s">
        <v>60017</v>
      </c>
      <c r="X9993" t="s">
        <v>5954</v>
      </c>
      <c r="Y9993" t="s">
        <v>21857</v>
      </c>
      <c r="Z9993" t="s">
        <v>60018</v>
      </c>
      <c r="AA9993" s="2" t="s">
        <v>60019</v>
      </c>
      <c r="AB9993" t="s">
        <v>60020</v>
      </c>
      <c r="AF9993" t="s">
        <v>43</v>
      </c>
      <c r="AG9993" t="s">
        <v>60021</v>
      </c>
      <c r="AH9993" t="s">
        <v>60022</v>
      </c>
      <c r="AI9993" t="s">
        <v>60023</v>
      </c>
    </row>
    <row r="9994" spans="2:35" ht="225">
      <c r="B9994" s="1">
        <v>44883</v>
      </c>
      <c r="C9994" s="4">
        <v>44883.551388888889</v>
      </c>
      <c r="D9994" t="s">
        <v>41452</v>
      </c>
      <c r="E9994" t="s">
        <v>32530</v>
      </c>
      <c r="F9994">
        <v>3</v>
      </c>
      <c r="G9994" t="s">
        <v>730</v>
      </c>
      <c r="H9994" t="s">
        <v>39</v>
      </c>
      <c r="I9994" t="s">
        <v>40</v>
      </c>
      <c r="J9994" s="2" t="s">
        <v>60024</v>
      </c>
      <c r="K9994" t="s">
        <v>42</v>
      </c>
      <c r="Q9994">
        <v>22597</v>
      </c>
      <c r="R9994" t="s">
        <v>45</v>
      </c>
      <c r="S9994" t="s">
        <v>32531</v>
      </c>
      <c r="T9994">
        <v>18</v>
      </c>
      <c r="U9994" s="2" t="s">
        <v>60025</v>
      </c>
      <c r="V9994" s="1">
        <v>44884</v>
      </c>
      <c r="W9994" t="s">
        <v>2680</v>
      </c>
      <c r="X9994">
        <v>812792</v>
      </c>
      <c r="Y9994" t="s">
        <v>60026</v>
      </c>
      <c r="Z9994" s="2" t="s">
        <v>60027</v>
      </c>
      <c r="AA9994" s="2" t="s">
        <v>60028</v>
      </c>
      <c r="AB9994" t="s">
        <v>60029</v>
      </c>
      <c r="AC9994" t="s">
        <v>60030</v>
      </c>
      <c r="AD9994" t="s">
        <v>54</v>
      </c>
      <c r="AE9994" t="s">
        <v>54</v>
      </c>
      <c r="AF9994" t="s">
        <v>135</v>
      </c>
      <c r="AG9994" t="s">
        <v>60031</v>
      </c>
      <c r="AH9994" t="s">
        <v>32535</v>
      </c>
      <c r="AI9994" t="s">
        <v>60032</v>
      </c>
    </row>
    <row r="9995" spans="2:35" ht="225">
      <c r="B9995" s="1">
        <v>44883</v>
      </c>
      <c r="C9995" s="4">
        <v>44883.505555555559</v>
      </c>
      <c r="D9995" t="s">
        <v>60033</v>
      </c>
      <c r="E9995" t="s">
        <v>60034</v>
      </c>
      <c r="F9995">
        <v>5</v>
      </c>
      <c r="G9995" t="s">
        <v>759</v>
      </c>
      <c r="H9995" t="s">
        <v>39</v>
      </c>
      <c r="I9995" t="s">
        <v>40</v>
      </c>
      <c r="J9995" t="s">
        <v>38542</v>
      </c>
      <c r="K9995" t="s">
        <v>42</v>
      </c>
      <c r="Q9995">
        <v>22596</v>
      </c>
      <c r="R9995" t="s">
        <v>45</v>
      </c>
      <c r="S9995" t="s">
        <v>2992</v>
      </c>
      <c r="T9995">
        <v>24</v>
      </c>
      <c r="U9995" s="2" t="s">
        <v>60035</v>
      </c>
      <c r="W9995" t="s">
        <v>58113</v>
      </c>
      <c r="X9995">
        <v>804257</v>
      </c>
      <c r="Y9995" t="s">
        <v>38543</v>
      </c>
      <c r="Z9995" t="s">
        <v>60036</v>
      </c>
      <c r="AA9995" s="2" t="s">
        <v>60037</v>
      </c>
      <c r="AB9995" t="s">
        <v>181</v>
      </c>
      <c r="AF9995" t="s">
        <v>58001</v>
      </c>
      <c r="AG9995" t="s">
        <v>60038</v>
      </c>
      <c r="AH9995" t="s">
        <v>60039</v>
      </c>
      <c r="AI9995" t="s">
        <v>60040</v>
      </c>
    </row>
    <row r="9996" spans="2:35" ht="300">
      <c r="B9996" s="1">
        <v>44883</v>
      </c>
      <c r="C9996" s="4">
        <v>44883.476388888892</v>
      </c>
      <c r="D9996" t="s">
        <v>32537</v>
      </c>
      <c r="E9996" t="s">
        <v>60041</v>
      </c>
      <c r="F9996">
        <v>11</v>
      </c>
      <c r="G9996" t="s">
        <v>1205</v>
      </c>
      <c r="H9996" t="s">
        <v>39</v>
      </c>
      <c r="I9996" t="s">
        <v>40</v>
      </c>
      <c r="J9996" t="s">
        <v>79</v>
      </c>
      <c r="K9996" t="s">
        <v>42</v>
      </c>
      <c r="Q9996">
        <v>22595</v>
      </c>
      <c r="R9996" t="s">
        <v>45</v>
      </c>
      <c r="S9996" t="s">
        <v>32539</v>
      </c>
      <c r="T9996">
        <v>27</v>
      </c>
      <c r="U9996" s="2" t="s">
        <v>60042</v>
      </c>
      <c r="V9996" s="1">
        <v>44883</v>
      </c>
      <c r="W9996" t="s">
        <v>60043</v>
      </c>
      <c r="X9996">
        <v>815385</v>
      </c>
      <c r="Y9996" t="s">
        <v>60044</v>
      </c>
      <c r="Z9996" t="s">
        <v>60045</v>
      </c>
      <c r="AA9996" s="2" t="s">
        <v>60046</v>
      </c>
      <c r="AB9996" t="s">
        <v>60047</v>
      </c>
      <c r="AC9996" t="s">
        <v>60048</v>
      </c>
      <c r="AD9996" t="s">
        <v>4448</v>
      </c>
      <c r="AE9996" t="s">
        <v>4448</v>
      </c>
      <c r="AF9996" t="s">
        <v>57687</v>
      </c>
      <c r="AG9996" t="s">
        <v>60049</v>
      </c>
      <c r="AH9996" t="s">
        <v>60050</v>
      </c>
      <c r="AI9996" t="s">
        <v>60051</v>
      </c>
    </row>
    <row r="9997" spans="2:35" ht="180">
      <c r="B9997" s="1">
        <v>44883</v>
      </c>
      <c r="C9997" s="4">
        <v>44883.37222222222</v>
      </c>
      <c r="D9997" t="s">
        <v>8067</v>
      </c>
      <c r="E9997" t="s">
        <v>8068</v>
      </c>
      <c r="F9997">
        <v>8</v>
      </c>
      <c r="G9997" t="s">
        <v>257</v>
      </c>
      <c r="H9997" t="s">
        <v>60052</v>
      </c>
      <c r="I9997" t="s">
        <v>94</v>
      </c>
      <c r="J9997" t="s">
        <v>109</v>
      </c>
      <c r="K9997" t="s">
        <v>42</v>
      </c>
      <c r="Q9997">
        <v>22594</v>
      </c>
      <c r="R9997" t="s">
        <v>119</v>
      </c>
      <c r="S9997" t="s">
        <v>8069</v>
      </c>
      <c r="T9997">
        <v>24</v>
      </c>
      <c r="U9997" s="2" t="s">
        <v>60053</v>
      </c>
      <c r="W9997" t="s">
        <v>6105</v>
      </c>
      <c r="X9997">
        <v>838406</v>
      </c>
      <c r="Y9997" t="s">
        <v>54</v>
      </c>
      <c r="Z9997" t="s">
        <v>54</v>
      </c>
      <c r="AA9997" t="e">
        <f ca="1">-Preventive Maintenance
-Generate IQR _xludf.and system _xludf.Log</f>
        <v>#NAME?</v>
      </c>
      <c r="AB9997" t="s">
        <v>60054</v>
      </c>
      <c r="AF9997" t="s">
        <v>259</v>
      </c>
      <c r="AG9997" t="s">
        <v>60055</v>
      </c>
      <c r="AH9997" t="s">
        <v>27179</v>
      </c>
      <c r="AI9997" t="s">
        <v>60056</v>
      </c>
    </row>
    <row r="9998" spans="2:35" ht="390">
      <c r="B9998" s="1">
        <v>44883</v>
      </c>
      <c r="C9998" s="4">
        <v>44882.517361111109</v>
      </c>
      <c r="D9998" t="s">
        <v>2106</v>
      </c>
      <c r="E9998" t="s">
        <v>60057</v>
      </c>
      <c r="F9998">
        <v>8</v>
      </c>
      <c r="G9998" t="s">
        <v>1663</v>
      </c>
      <c r="H9998" t="s">
        <v>28951</v>
      </c>
      <c r="I9998" t="s">
        <v>94</v>
      </c>
      <c r="J9998" s="2" t="s">
        <v>62</v>
      </c>
      <c r="K9998" t="s">
        <v>42</v>
      </c>
      <c r="Q9998">
        <v>22593</v>
      </c>
      <c r="R9998" t="s">
        <v>45</v>
      </c>
      <c r="S9998" t="s">
        <v>60058</v>
      </c>
      <c r="T9998">
        <v>27</v>
      </c>
      <c r="U9998" s="2" t="s">
        <v>60059</v>
      </c>
      <c r="V9998" s="1">
        <v>45333</v>
      </c>
      <c r="W9998" t="s">
        <v>23118</v>
      </c>
      <c r="X9998">
        <v>834809</v>
      </c>
      <c r="Y9998" t="s">
        <v>54</v>
      </c>
      <c r="Z9998" t="s">
        <v>54</v>
      </c>
      <c r="AA9998" s="2" t="s">
        <v>60060</v>
      </c>
      <c r="AB9998" t="s">
        <v>57985</v>
      </c>
      <c r="AD9998" t="s">
        <v>53871</v>
      </c>
      <c r="AE9998" t="s">
        <v>52907</v>
      </c>
      <c r="AF9998" t="s">
        <v>259</v>
      </c>
      <c r="AG9998" t="s">
        <v>60061</v>
      </c>
      <c r="AH9998" t="s">
        <v>60062</v>
      </c>
      <c r="AI9998" t="s">
        <v>60063</v>
      </c>
    </row>
    <row r="9999" spans="2:35" ht="180">
      <c r="B9999" s="1">
        <v>44882</v>
      </c>
      <c r="C9999" s="4">
        <v>44882.713194444441</v>
      </c>
      <c r="D9999" t="s">
        <v>58110</v>
      </c>
      <c r="E9999" t="s">
        <v>25947</v>
      </c>
      <c r="F9999">
        <v>5</v>
      </c>
      <c r="G9999" t="s">
        <v>759</v>
      </c>
      <c r="H9999" t="s">
        <v>39</v>
      </c>
      <c r="I9999" t="s">
        <v>40</v>
      </c>
      <c r="J9999" s="2" t="s">
        <v>60064</v>
      </c>
      <c r="K9999" t="s">
        <v>42</v>
      </c>
      <c r="Q9999">
        <v>22592</v>
      </c>
      <c r="R9999" t="s">
        <v>45</v>
      </c>
      <c r="S9999" t="s">
        <v>58111</v>
      </c>
      <c r="T9999">
        <v>25</v>
      </c>
      <c r="U9999" s="2" t="s">
        <v>58112</v>
      </c>
      <c r="V9999" s="1">
        <v>44882</v>
      </c>
      <c r="W9999" t="s">
        <v>58113</v>
      </c>
      <c r="X9999">
        <v>808636</v>
      </c>
      <c r="Y9999" t="s">
        <v>58114</v>
      </c>
      <c r="Z9999" t="s">
        <v>1372</v>
      </c>
      <c r="AA9999" s="2" t="s">
        <v>58115</v>
      </c>
      <c r="AB9999" t="s">
        <v>181</v>
      </c>
      <c r="AD9999" t="s">
        <v>58116</v>
      </c>
      <c r="AE9999" t="s">
        <v>45</v>
      </c>
      <c r="AF9999" t="s">
        <v>58001</v>
      </c>
      <c r="AG9999" t="s">
        <v>60065</v>
      </c>
      <c r="AH9999" t="s">
        <v>58118</v>
      </c>
      <c r="AI9999" t="s">
        <v>60066</v>
      </c>
    </row>
    <row r="10000" spans="2:35" ht="180">
      <c r="B10000" s="1">
        <v>44882</v>
      </c>
      <c r="C10000" s="4">
        <v>44882.713194444441</v>
      </c>
      <c r="D10000" t="s">
        <v>58110</v>
      </c>
      <c r="E10000" t="s">
        <v>25947</v>
      </c>
      <c r="F10000">
        <v>5</v>
      </c>
      <c r="G10000" t="s">
        <v>759</v>
      </c>
      <c r="H10000" t="s">
        <v>39</v>
      </c>
      <c r="I10000" t="s">
        <v>40</v>
      </c>
      <c r="J10000" t="s">
        <v>60067</v>
      </c>
      <c r="K10000" t="s">
        <v>42</v>
      </c>
      <c r="Q10000">
        <v>22591</v>
      </c>
      <c r="R10000" t="s">
        <v>45</v>
      </c>
      <c r="S10000" t="s">
        <v>58111</v>
      </c>
      <c r="T10000">
        <v>25</v>
      </c>
      <c r="U10000" s="2" t="s">
        <v>58112</v>
      </c>
      <c r="V10000" s="1">
        <v>44882</v>
      </c>
      <c r="W10000" t="s">
        <v>58113</v>
      </c>
      <c r="X10000">
        <v>808636</v>
      </c>
      <c r="Y10000" t="s">
        <v>58114</v>
      </c>
      <c r="Z10000" t="s">
        <v>1372</v>
      </c>
      <c r="AA10000" s="2" t="s">
        <v>58115</v>
      </c>
      <c r="AB10000" t="s">
        <v>181</v>
      </c>
      <c r="AD10000" t="s">
        <v>58116</v>
      </c>
      <c r="AE10000" t="s">
        <v>45</v>
      </c>
      <c r="AF10000" t="s">
        <v>58001</v>
      </c>
      <c r="AG10000" t="s">
        <v>60068</v>
      </c>
      <c r="AH10000" t="s">
        <v>58118</v>
      </c>
      <c r="AI10000" t="s">
        <v>60069</v>
      </c>
    </row>
    <row r="10001" spans="2:35" ht="180">
      <c r="B10001" s="1">
        <v>44882</v>
      </c>
      <c r="C10001" s="4">
        <v>44882.47152777778</v>
      </c>
      <c r="D10001" t="s">
        <v>7600</v>
      </c>
      <c r="E10001" t="s">
        <v>5952</v>
      </c>
      <c r="F10001" t="s">
        <v>37</v>
      </c>
      <c r="G10001" t="s">
        <v>78</v>
      </c>
      <c r="H10001" t="s">
        <v>39</v>
      </c>
      <c r="I10001" t="s">
        <v>40</v>
      </c>
      <c r="J10001" s="2" t="s">
        <v>62</v>
      </c>
      <c r="K10001" t="s">
        <v>42</v>
      </c>
      <c r="Q10001">
        <v>22590</v>
      </c>
      <c r="R10001" t="s">
        <v>119</v>
      </c>
      <c r="S10001" t="s">
        <v>60070</v>
      </c>
      <c r="T10001">
        <v>25</v>
      </c>
      <c r="U10001" s="2" t="s">
        <v>60071</v>
      </c>
      <c r="V10001" s="1">
        <v>44833</v>
      </c>
      <c r="W10001" t="s">
        <v>9792</v>
      </c>
      <c r="X10001">
        <v>820229</v>
      </c>
      <c r="Y10001" t="s">
        <v>1111</v>
      </c>
      <c r="Z10001" t="s">
        <v>1519</v>
      </c>
      <c r="AA10001" s="2" t="s">
        <v>37058</v>
      </c>
      <c r="AB10001" t="s">
        <v>60072</v>
      </c>
      <c r="AC10001" t="s">
        <v>3966</v>
      </c>
      <c r="AD10001" t="s">
        <v>20036</v>
      </c>
      <c r="AE10001" t="s">
        <v>60073</v>
      </c>
      <c r="AF10001" t="s">
        <v>43</v>
      </c>
      <c r="AG10001" t="s">
        <v>60074</v>
      </c>
      <c r="AH10001" t="s">
        <v>60075</v>
      </c>
      <c r="AI10001" t="s">
        <v>60076</v>
      </c>
    </row>
    <row r="10002" spans="2:35" ht="285">
      <c r="B10002" s="1">
        <v>44882</v>
      </c>
      <c r="C10002" s="4">
        <v>44882.61041666667</v>
      </c>
      <c r="D10002" t="s">
        <v>1885</v>
      </c>
      <c r="E10002" t="s">
        <v>5652</v>
      </c>
      <c r="F10002" t="s">
        <v>1255</v>
      </c>
      <c r="G10002" t="s">
        <v>1887</v>
      </c>
      <c r="H10002" t="s">
        <v>39</v>
      </c>
      <c r="I10002" t="s">
        <v>94</v>
      </c>
      <c r="J10002" s="2" t="s">
        <v>41</v>
      </c>
      <c r="K10002" t="s">
        <v>42</v>
      </c>
      <c r="Q10002">
        <v>22589</v>
      </c>
      <c r="R10002" t="s">
        <v>45</v>
      </c>
      <c r="S10002" t="s">
        <v>60077</v>
      </c>
      <c r="T10002">
        <v>22.8</v>
      </c>
      <c r="U10002" s="2" t="s">
        <v>60078</v>
      </c>
      <c r="V10002" s="1">
        <v>44882</v>
      </c>
      <c r="W10002" t="s">
        <v>3662</v>
      </c>
      <c r="X10002">
        <v>807463</v>
      </c>
      <c r="Y10002" t="s">
        <v>55698</v>
      </c>
      <c r="Z10002" s="2" t="s">
        <v>60079</v>
      </c>
      <c r="AA10002" s="2" t="s">
        <v>60079</v>
      </c>
      <c r="AB10002" t="s">
        <v>60080</v>
      </c>
      <c r="AC10002" t="s">
        <v>60081</v>
      </c>
      <c r="AE10002" t="s">
        <v>60082</v>
      </c>
      <c r="AF10002" t="s">
        <v>58416</v>
      </c>
      <c r="AG10002" t="s">
        <v>60083</v>
      </c>
      <c r="AH10002" t="s">
        <v>60084</v>
      </c>
      <c r="AI10002" t="s">
        <v>60085</v>
      </c>
    </row>
    <row r="10003" spans="2:35" ht="270">
      <c r="B10003" s="1">
        <v>44882</v>
      </c>
      <c r="C10003" s="4">
        <v>44882.602777777778</v>
      </c>
      <c r="D10003" t="s">
        <v>56850</v>
      </c>
      <c r="E10003" t="s">
        <v>60086</v>
      </c>
      <c r="F10003">
        <v>3</v>
      </c>
      <c r="G10003" t="s">
        <v>1722</v>
      </c>
      <c r="H10003" t="s">
        <v>39</v>
      </c>
      <c r="I10003" t="s">
        <v>40</v>
      </c>
      <c r="J10003" t="s">
        <v>109</v>
      </c>
      <c r="K10003" t="s">
        <v>42</v>
      </c>
      <c r="Q10003">
        <v>22588</v>
      </c>
      <c r="R10003" t="s">
        <v>119</v>
      </c>
      <c r="S10003" t="s">
        <v>23689</v>
      </c>
      <c r="T10003">
        <v>31</v>
      </c>
      <c r="U10003" s="2" t="s">
        <v>40628</v>
      </c>
      <c r="V10003" s="1">
        <v>44882</v>
      </c>
      <c r="W10003" t="s">
        <v>26915</v>
      </c>
      <c r="X10003">
        <v>831592</v>
      </c>
      <c r="Y10003" t="s">
        <v>1716</v>
      </c>
      <c r="Z10003" s="2" t="s">
        <v>60087</v>
      </c>
      <c r="AA10003" s="2" t="s">
        <v>60088</v>
      </c>
      <c r="AB10003" t="s">
        <v>181</v>
      </c>
      <c r="AC10003" t="s">
        <v>1716</v>
      </c>
      <c r="AD10003" t="s">
        <v>1716</v>
      </c>
      <c r="AE10003" t="s">
        <v>1716</v>
      </c>
      <c r="AF10003" t="s">
        <v>63</v>
      </c>
      <c r="AG10003" t="s">
        <v>60089</v>
      </c>
      <c r="AH10003" t="s">
        <v>60090</v>
      </c>
      <c r="AI10003" t="s">
        <v>60091</v>
      </c>
    </row>
    <row r="10004" spans="2:35" ht="240">
      <c r="B10004" s="1">
        <v>44882</v>
      </c>
      <c r="C10004" s="4">
        <v>44882.571527777778</v>
      </c>
      <c r="D10004" t="s">
        <v>57652</v>
      </c>
      <c r="E10004" t="s">
        <v>12915</v>
      </c>
      <c r="F10004">
        <v>11</v>
      </c>
      <c r="G10004" t="s">
        <v>1205</v>
      </c>
      <c r="H10004" t="s">
        <v>39</v>
      </c>
      <c r="I10004" t="s">
        <v>40</v>
      </c>
      <c r="J10004" t="s">
        <v>109</v>
      </c>
      <c r="K10004" t="s">
        <v>42</v>
      </c>
      <c r="Q10004">
        <v>22587</v>
      </c>
      <c r="R10004" t="s">
        <v>119</v>
      </c>
      <c r="S10004" t="s">
        <v>7745</v>
      </c>
      <c r="T10004">
        <v>31.4</v>
      </c>
      <c r="U10004" s="2" t="s">
        <v>60092</v>
      </c>
      <c r="V10004" s="1">
        <v>44882</v>
      </c>
      <c r="W10004" t="s">
        <v>60093</v>
      </c>
      <c r="X10004">
        <v>838492</v>
      </c>
      <c r="Y10004" t="s">
        <v>1052</v>
      </c>
      <c r="Z10004" t="s">
        <v>28265</v>
      </c>
      <c r="AA10004" s="2" t="s">
        <v>60094</v>
      </c>
      <c r="AB10004" t="s">
        <v>9590</v>
      </c>
      <c r="AC10004" t="s">
        <v>41291</v>
      </c>
      <c r="AD10004" t="s">
        <v>1716</v>
      </c>
      <c r="AE10004" t="s">
        <v>1716</v>
      </c>
      <c r="AF10004" t="s">
        <v>57687</v>
      </c>
      <c r="AG10004" t="s">
        <v>60095</v>
      </c>
      <c r="AH10004" t="s">
        <v>41625</v>
      </c>
      <c r="AI10004" t="s">
        <v>60096</v>
      </c>
    </row>
    <row r="10005" spans="2:35" ht="105">
      <c r="B10005" s="1">
        <v>44882</v>
      </c>
      <c r="C10005" s="4">
        <v>44880.666666666664</v>
      </c>
      <c r="D10005" t="s">
        <v>54563</v>
      </c>
      <c r="E10005" t="s">
        <v>60097</v>
      </c>
      <c r="F10005">
        <v>9</v>
      </c>
      <c r="G10005" t="s">
        <v>1628</v>
      </c>
      <c r="H10005" t="s">
        <v>39</v>
      </c>
      <c r="I10005" t="s">
        <v>40</v>
      </c>
      <c r="J10005" t="s">
        <v>2129</v>
      </c>
      <c r="K10005" t="s">
        <v>42</v>
      </c>
      <c r="Q10005">
        <v>22586</v>
      </c>
      <c r="R10005" t="s">
        <v>45</v>
      </c>
      <c r="S10005" t="s">
        <v>54565</v>
      </c>
      <c r="T10005">
        <v>25.8</v>
      </c>
      <c r="U10005" s="2" t="s">
        <v>54566</v>
      </c>
      <c r="V10005" s="1">
        <v>44852</v>
      </c>
      <c r="W10005" t="s">
        <v>6776</v>
      </c>
      <c r="X10005">
        <v>815304</v>
      </c>
      <c r="Y10005" t="s">
        <v>11328</v>
      </c>
      <c r="Z10005" t="s">
        <v>60098</v>
      </c>
      <c r="AA10005" t="s">
        <v>2129</v>
      </c>
      <c r="AB10005" t="s">
        <v>60099</v>
      </c>
      <c r="AC10005" t="s">
        <v>60100</v>
      </c>
      <c r="AD10005" t="s">
        <v>10783</v>
      </c>
      <c r="AE10005" t="s">
        <v>60101</v>
      </c>
      <c r="AF10005" t="s">
        <v>1257</v>
      </c>
      <c r="AG10005" t="s">
        <v>60102</v>
      </c>
      <c r="AH10005" t="s">
        <v>54570</v>
      </c>
      <c r="AI10005" t="s">
        <v>60103</v>
      </c>
    </row>
    <row r="10006" spans="2:35" ht="180">
      <c r="B10006" s="1">
        <v>44882</v>
      </c>
      <c r="C10006" s="4">
        <v>44882.567361111112</v>
      </c>
      <c r="D10006" t="s">
        <v>60104</v>
      </c>
      <c r="E10006" t="s">
        <v>60105</v>
      </c>
      <c r="F10006">
        <v>5</v>
      </c>
      <c r="G10006" t="s">
        <v>839</v>
      </c>
      <c r="H10006" t="s">
        <v>39</v>
      </c>
      <c r="I10006" t="s">
        <v>40</v>
      </c>
      <c r="J10006" t="s">
        <v>525</v>
      </c>
      <c r="K10006" t="s">
        <v>42</v>
      </c>
      <c r="Q10006">
        <v>22585</v>
      </c>
      <c r="R10006" t="s">
        <v>45</v>
      </c>
      <c r="S10006" t="s">
        <v>33770</v>
      </c>
      <c r="T10006">
        <v>28.3</v>
      </c>
      <c r="U10006" s="2" t="s">
        <v>60106</v>
      </c>
      <c r="W10006" t="s">
        <v>502</v>
      </c>
      <c r="X10006">
        <v>834620</v>
      </c>
      <c r="Y10006" t="s">
        <v>60107</v>
      </c>
      <c r="Z10006" t="s">
        <v>60108</v>
      </c>
      <c r="AA10006" t="s">
        <v>3589</v>
      </c>
      <c r="AB10006" t="s">
        <v>486</v>
      </c>
      <c r="AF10006" t="s">
        <v>448</v>
      </c>
      <c r="AG10006" t="s">
        <v>60109</v>
      </c>
      <c r="AH10006" t="s">
        <v>60110</v>
      </c>
      <c r="AI10006" t="s">
        <v>60111</v>
      </c>
    </row>
    <row r="10007" spans="2:35" ht="105">
      <c r="B10007" s="1">
        <v>44882</v>
      </c>
      <c r="C10007" s="4">
        <v>44882.54583333333</v>
      </c>
      <c r="D10007" t="s">
        <v>14718</v>
      </c>
      <c r="E10007" t="s">
        <v>3713</v>
      </c>
      <c r="F10007" t="s">
        <v>148</v>
      </c>
      <c r="G10007" t="s">
        <v>310</v>
      </c>
      <c r="H10007" t="s">
        <v>39</v>
      </c>
      <c r="I10007" t="s">
        <v>40</v>
      </c>
      <c r="J10007" t="s">
        <v>109</v>
      </c>
      <c r="K10007" t="s">
        <v>42</v>
      </c>
      <c r="Q10007">
        <v>22584</v>
      </c>
      <c r="R10007" t="s">
        <v>95</v>
      </c>
      <c r="S10007" t="s">
        <v>14719</v>
      </c>
      <c r="T10007">
        <v>25</v>
      </c>
      <c r="U10007" s="2" t="s">
        <v>60112</v>
      </c>
      <c r="W10007" t="s">
        <v>895</v>
      </c>
      <c r="X10007">
        <v>844418</v>
      </c>
      <c r="Y10007" t="s">
        <v>28970</v>
      </c>
      <c r="Z10007" t="s">
        <v>59907</v>
      </c>
      <c r="AA10007" t="s">
        <v>3128</v>
      </c>
      <c r="AB10007" t="s">
        <v>88</v>
      </c>
      <c r="AF10007" t="s">
        <v>1943</v>
      </c>
      <c r="AG10007" t="s">
        <v>60113</v>
      </c>
      <c r="AH10007" t="s">
        <v>27282</v>
      </c>
      <c r="AI10007" t="s">
        <v>60114</v>
      </c>
    </row>
    <row r="10008" spans="2:35" ht="285">
      <c r="B10008" s="1">
        <v>44882</v>
      </c>
      <c r="C10008" s="4">
        <v>44882.534722222219</v>
      </c>
      <c r="D10008" t="s">
        <v>60115</v>
      </c>
      <c r="E10008" t="s">
        <v>60116</v>
      </c>
      <c r="F10008">
        <v>3</v>
      </c>
      <c r="G10008" t="s">
        <v>134</v>
      </c>
      <c r="H10008" t="s">
        <v>39</v>
      </c>
      <c r="I10008" t="s">
        <v>40</v>
      </c>
      <c r="J10008" s="2" t="s">
        <v>1808</v>
      </c>
      <c r="K10008" t="s">
        <v>42</v>
      </c>
      <c r="Q10008">
        <v>22582</v>
      </c>
      <c r="R10008" t="s">
        <v>45</v>
      </c>
      <c r="S10008" t="s">
        <v>46112</v>
      </c>
      <c r="T10008">
        <v>18</v>
      </c>
      <c r="U10008" s="2" t="s">
        <v>60117</v>
      </c>
      <c r="V10008" s="1">
        <v>44875</v>
      </c>
      <c r="W10008" t="s">
        <v>2680</v>
      </c>
      <c r="X10008">
        <v>812790</v>
      </c>
      <c r="Y10008" t="s">
        <v>60118</v>
      </c>
      <c r="Z10008" t="e">
        <f ca="1">-replaced deffective CPU
-Setup user
-performed Preventive Maintenance
-performed functionality test</f>
        <v>#NAME?</v>
      </c>
      <c r="AA10008" t="e">
        <f ca="1">-Installation
-Maintenace</f>
        <v>#NAME?</v>
      </c>
      <c r="AB10008" t="s">
        <v>181</v>
      </c>
      <c r="AC10008" t="s">
        <v>60119</v>
      </c>
      <c r="AD10008" t="s">
        <v>21193</v>
      </c>
      <c r="AE10008" t="s">
        <v>60120</v>
      </c>
      <c r="AF10008" t="s">
        <v>135</v>
      </c>
      <c r="AG10008" t="s">
        <v>60121</v>
      </c>
      <c r="AH10008" t="s">
        <v>60122</v>
      </c>
      <c r="AI10008" t="s">
        <v>60123</v>
      </c>
    </row>
    <row r="10009" spans="2:35" ht="60">
      <c r="B10009" s="1">
        <v>44882</v>
      </c>
      <c r="C10009" s="4">
        <v>44882.436805555553</v>
      </c>
      <c r="D10009" t="s">
        <v>3712</v>
      </c>
      <c r="E10009" t="s">
        <v>3713</v>
      </c>
      <c r="F10009" t="s">
        <v>148</v>
      </c>
      <c r="G10009" t="s">
        <v>310</v>
      </c>
      <c r="H10009" t="s">
        <v>513</v>
      </c>
      <c r="I10009" t="s">
        <v>40</v>
      </c>
      <c r="J10009" s="2" t="s">
        <v>62</v>
      </c>
      <c r="K10009" t="s">
        <v>387</v>
      </c>
      <c r="Q10009">
        <v>22581</v>
      </c>
      <c r="R10009" t="s">
        <v>322</v>
      </c>
      <c r="S10009" t="s">
        <v>17444</v>
      </c>
      <c r="T10009">
        <v>25</v>
      </c>
      <c r="W10009" t="s">
        <v>390</v>
      </c>
      <c r="X10009" t="s">
        <v>4180</v>
      </c>
      <c r="Y10009" t="s">
        <v>60124</v>
      </c>
      <c r="Z10009" t="s">
        <v>60125</v>
      </c>
      <c r="AA10009" t="s">
        <v>60126</v>
      </c>
      <c r="AB10009" t="s">
        <v>181</v>
      </c>
      <c r="AF10009" t="s">
        <v>1943</v>
      </c>
      <c r="AG10009" t="s">
        <v>60127</v>
      </c>
      <c r="AH10009" t="s">
        <v>60128</v>
      </c>
      <c r="AI10009" t="s">
        <v>60129</v>
      </c>
    </row>
    <row r="10010" spans="2:35" ht="60">
      <c r="B10010" s="1">
        <v>44882</v>
      </c>
      <c r="C10010" s="4">
        <v>44882.438888888886</v>
      </c>
      <c r="D10010" t="s">
        <v>3712</v>
      </c>
      <c r="E10010" t="s">
        <v>3713</v>
      </c>
      <c r="F10010" t="s">
        <v>148</v>
      </c>
      <c r="G10010" t="s">
        <v>310</v>
      </c>
      <c r="H10010" t="s">
        <v>513</v>
      </c>
      <c r="I10010" t="s">
        <v>40</v>
      </c>
      <c r="J10010" s="2" t="s">
        <v>62</v>
      </c>
      <c r="K10010" t="s">
        <v>387</v>
      </c>
      <c r="Q10010">
        <v>22580</v>
      </c>
      <c r="R10010" t="s">
        <v>322</v>
      </c>
      <c r="S10010" t="s">
        <v>17444</v>
      </c>
      <c r="T10010">
        <v>25</v>
      </c>
      <c r="W10010" t="s">
        <v>390</v>
      </c>
      <c r="X10010" t="s">
        <v>20133</v>
      </c>
      <c r="Y10010" t="s">
        <v>60130</v>
      </c>
      <c r="Z10010" t="s">
        <v>60125</v>
      </c>
      <c r="AA10010" t="s">
        <v>60126</v>
      </c>
      <c r="AB10010" t="s">
        <v>88</v>
      </c>
      <c r="AF10010" t="s">
        <v>1943</v>
      </c>
      <c r="AG10010" t="s">
        <v>60131</v>
      </c>
      <c r="AH10010" t="s">
        <v>60128</v>
      </c>
      <c r="AI10010" t="s">
        <v>60132</v>
      </c>
    </row>
    <row r="10011" spans="2:35" ht="345">
      <c r="B10011" s="1">
        <v>44882</v>
      </c>
      <c r="C10011" s="4">
        <v>44882.436805555553</v>
      </c>
      <c r="D10011" t="s">
        <v>54328</v>
      </c>
      <c r="E10011" t="s">
        <v>60133</v>
      </c>
      <c r="F10011">
        <v>5</v>
      </c>
      <c r="G10011" t="s">
        <v>839</v>
      </c>
      <c r="H10011" t="s">
        <v>39</v>
      </c>
      <c r="I10011" t="s">
        <v>40</v>
      </c>
      <c r="J10011" t="s">
        <v>79</v>
      </c>
      <c r="K10011" t="s">
        <v>42</v>
      </c>
      <c r="Q10011">
        <v>22579</v>
      </c>
      <c r="R10011" t="s">
        <v>45</v>
      </c>
      <c r="S10011" t="s">
        <v>21302</v>
      </c>
      <c r="T10011">
        <v>21.5</v>
      </c>
      <c r="U10011" s="2" t="s">
        <v>60134</v>
      </c>
      <c r="V10011" s="1">
        <v>44882</v>
      </c>
      <c r="W10011" t="s">
        <v>40976</v>
      </c>
      <c r="X10011">
        <v>842225</v>
      </c>
      <c r="Y10011" t="s">
        <v>60135</v>
      </c>
      <c r="Z10011" t="s">
        <v>60136</v>
      </c>
      <c r="AA10011" t="s">
        <v>60137</v>
      </c>
      <c r="AB10011" t="s">
        <v>486</v>
      </c>
      <c r="AD10011" t="s">
        <v>60138</v>
      </c>
      <c r="AE10011" t="s">
        <v>38419</v>
      </c>
      <c r="AF10011" t="s">
        <v>448</v>
      </c>
      <c r="AG10011" t="s">
        <v>60139</v>
      </c>
      <c r="AH10011" t="s">
        <v>60140</v>
      </c>
      <c r="AI10011" t="s">
        <v>60141</v>
      </c>
    </row>
    <row r="10012" spans="2:35" ht="285">
      <c r="B10012" s="1">
        <v>44881</v>
      </c>
      <c r="C10012" s="4">
        <v>44881.763194444444</v>
      </c>
      <c r="D10012" t="s">
        <v>1432</v>
      </c>
      <c r="E10012" t="s">
        <v>60142</v>
      </c>
      <c r="F10012">
        <v>5</v>
      </c>
      <c r="G10012" t="s">
        <v>827</v>
      </c>
      <c r="H10012" t="s">
        <v>39</v>
      </c>
      <c r="I10012" t="s">
        <v>40</v>
      </c>
      <c r="J10012" s="2" t="s">
        <v>6210</v>
      </c>
      <c r="K10012" t="s">
        <v>42</v>
      </c>
      <c r="Q10012">
        <v>22578</v>
      </c>
      <c r="R10012" t="s">
        <v>45</v>
      </c>
      <c r="S10012" t="s">
        <v>1434</v>
      </c>
      <c r="T10012">
        <v>25</v>
      </c>
      <c r="U10012" s="2" t="s">
        <v>47221</v>
      </c>
      <c r="V10012" s="1">
        <v>44881</v>
      </c>
      <c r="W10012" t="s">
        <v>58113</v>
      </c>
      <c r="X10012">
        <v>812793</v>
      </c>
      <c r="Y10012" s="2" t="s">
        <v>60143</v>
      </c>
      <c r="Z10012" s="2" t="s">
        <v>60144</v>
      </c>
      <c r="AA10012" s="2" t="s">
        <v>60145</v>
      </c>
      <c r="AB10012" t="s">
        <v>181</v>
      </c>
      <c r="AD10012" s="2" t="s">
        <v>60146</v>
      </c>
      <c r="AE10012" t="s">
        <v>45</v>
      </c>
      <c r="AF10012" t="s">
        <v>56616</v>
      </c>
      <c r="AG10012" t="s">
        <v>60147</v>
      </c>
      <c r="AH10012" t="s">
        <v>56616</v>
      </c>
      <c r="AI10012" t="s">
        <v>60148</v>
      </c>
    </row>
    <row r="10013" spans="2:35" ht="270">
      <c r="B10013" s="1">
        <v>44881</v>
      </c>
      <c r="C10013" s="4">
        <v>44881.685416666667</v>
      </c>
      <c r="D10013" t="s">
        <v>47402</v>
      </c>
      <c r="E10013" t="s">
        <v>29968</v>
      </c>
      <c r="F10013">
        <v>11</v>
      </c>
      <c r="G10013" t="s">
        <v>1205</v>
      </c>
      <c r="H10013" t="s">
        <v>39</v>
      </c>
      <c r="I10013" t="s">
        <v>40</v>
      </c>
      <c r="J10013" t="s">
        <v>79</v>
      </c>
      <c r="K10013" t="s">
        <v>42</v>
      </c>
      <c r="Q10013">
        <v>22577</v>
      </c>
      <c r="R10013" t="s">
        <v>45</v>
      </c>
      <c r="S10013" t="s">
        <v>29969</v>
      </c>
      <c r="T10013">
        <v>20.100000000000001</v>
      </c>
      <c r="U10013" s="2" t="s">
        <v>60149</v>
      </c>
      <c r="V10013" s="1">
        <v>44881</v>
      </c>
      <c r="W10013" t="s">
        <v>59241</v>
      </c>
      <c r="X10013">
        <v>838889</v>
      </c>
      <c r="Y10013" t="s">
        <v>60150</v>
      </c>
      <c r="Z10013" t="s">
        <v>60151</v>
      </c>
      <c r="AA10013" s="2" t="s">
        <v>60152</v>
      </c>
      <c r="AB10013" t="s">
        <v>60153</v>
      </c>
      <c r="AC10013" t="s">
        <v>60154</v>
      </c>
      <c r="AD10013" t="s">
        <v>54</v>
      </c>
      <c r="AE10013" t="s">
        <v>54</v>
      </c>
      <c r="AF10013" t="s">
        <v>57687</v>
      </c>
      <c r="AG10013" t="s">
        <v>60155</v>
      </c>
      <c r="AH10013" t="s">
        <v>60156</v>
      </c>
      <c r="AI10013" t="s">
        <v>60157</v>
      </c>
    </row>
    <row r="10014" spans="2:35" ht="240">
      <c r="B10014" s="1">
        <v>44881</v>
      </c>
      <c r="C10014" s="4">
        <v>44881.665277777778</v>
      </c>
      <c r="D10014" t="s">
        <v>55692</v>
      </c>
      <c r="E10014" t="s">
        <v>60158</v>
      </c>
      <c r="F10014">
        <v>3</v>
      </c>
      <c r="G10014" t="s">
        <v>1722</v>
      </c>
      <c r="H10014" t="s">
        <v>39</v>
      </c>
      <c r="I10014" t="s">
        <v>40</v>
      </c>
      <c r="J10014" t="s">
        <v>109</v>
      </c>
      <c r="K10014" t="s">
        <v>42</v>
      </c>
      <c r="Q10014">
        <v>22576</v>
      </c>
      <c r="R10014" t="s">
        <v>119</v>
      </c>
      <c r="S10014" t="s">
        <v>38833</v>
      </c>
      <c r="T10014">
        <v>30</v>
      </c>
      <c r="U10014" s="2" t="s">
        <v>2367</v>
      </c>
      <c r="V10014" s="1">
        <v>44881</v>
      </c>
      <c r="W10014" t="s">
        <v>26915</v>
      </c>
      <c r="X10014">
        <v>831637</v>
      </c>
      <c r="Y10014" t="s">
        <v>60159</v>
      </c>
      <c r="Z10014" t="s">
        <v>60160</v>
      </c>
      <c r="AA10014" s="2" t="s">
        <v>60161</v>
      </c>
      <c r="AB10014" t="s">
        <v>181</v>
      </c>
      <c r="AC10014" t="s">
        <v>60162</v>
      </c>
      <c r="AD10014" t="s">
        <v>32127</v>
      </c>
      <c r="AE10014" t="s">
        <v>1716</v>
      </c>
      <c r="AF10014" t="s">
        <v>63</v>
      </c>
      <c r="AG10014" t="s">
        <v>60163</v>
      </c>
      <c r="AH10014" t="s">
        <v>23747</v>
      </c>
      <c r="AI10014" t="s">
        <v>60164</v>
      </c>
    </row>
    <row r="10015" spans="2:35" ht="180">
      <c r="B10015" s="1">
        <v>44881</v>
      </c>
      <c r="C10015" s="4">
        <v>44881.574305555558</v>
      </c>
      <c r="D10015" t="s">
        <v>60165</v>
      </c>
      <c r="E10015" t="s">
        <v>60166</v>
      </c>
      <c r="F10015">
        <v>3</v>
      </c>
      <c r="G10015" t="s">
        <v>134</v>
      </c>
      <c r="H10015" t="s">
        <v>39</v>
      </c>
      <c r="I10015" t="s">
        <v>40</v>
      </c>
      <c r="J10015" s="2" t="s">
        <v>190</v>
      </c>
      <c r="K10015" t="s">
        <v>42</v>
      </c>
      <c r="Q10015">
        <v>22575</v>
      </c>
      <c r="R10015" t="s">
        <v>119</v>
      </c>
      <c r="S10015" t="s">
        <v>27217</v>
      </c>
      <c r="T10015">
        <v>25</v>
      </c>
      <c r="U10015" s="2" t="s">
        <v>60167</v>
      </c>
      <c r="V10015" s="1">
        <v>44881</v>
      </c>
      <c r="W10015" t="s">
        <v>2680</v>
      </c>
      <c r="X10015">
        <v>831911</v>
      </c>
      <c r="Y10015" s="2" t="s">
        <v>60168</v>
      </c>
      <c r="Z10015" t="e">
        <f ca="1">-performed surface Cleaning
-Cleaning of cartridge bay, icore,plunger rod, _xludf.and _xludf.filter
-performed reliability test
-Generate reports
-performed functionality test</f>
        <v>#NAME?</v>
      </c>
      <c r="AA10015" t="s">
        <v>6992</v>
      </c>
      <c r="AB10015" t="s">
        <v>181</v>
      </c>
      <c r="AC10015" t="s">
        <v>60169</v>
      </c>
      <c r="AD10015" t="s">
        <v>54</v>
      </c>
      <c r="AE10015" t="s">
        <v>54</v>
      </c>
      <c r="AF10015" t="s">
        <v>135</v>
      </c>
      <c r="AG10015" t="s">
        <v>60170</v>
      </c>
      <c r="AH10015" t="s">
        <v>27222</v>
      </c>
      <c r="AI10015" t="s">
        <v>60171</v>
      </c>
    </row>
    <row r="10016" spans="2:35" ht="180">
      <c r="B10016" s="1">
        <v>44881</v>
      </c>
      <c r="C10016" s="4">
        <v>44881.477777777778</v>
      </c>
      <c r="D10016" t="s">
        <v>6672</v>
      </c>
      <c r="E10016" t="s">
        <v>60172</v>
      </c>
      <c r="F10016">
        <v>8</v>
      </c>
      <c r="G10016" t="s">
        <v>1663</v>
      </c>
      <c r="H10016" t="s">
        <v>39</v>
      </c>
      <c r="I10016" t="s">
        <v>94</v>
      </c>
      <c r="J10016" t="s">
        <v>109</v>
      </c>
      <c r="K10016" t="s">
        <v>42</v>
      </c>
      <c r="Q10016">
        <v>22574</v>
      </c>
      <c r="R10016" t="s">
        <v>119</v>
      </c>
      <c r="S10016" t="s">
        <v>41127</v>
      </c>
      <c r="T10016">
        <v>29</v>
      </c>
      <c r="U10016" s="2" t="s">
        <v>60173</v>
      </c>
      <c r="W10016" t="s">
        <v>6105</v>
      </c>
      <c r="X10016">
        <v>838202</v>
      </c>
      <c r="Y10016" t="s">
        <v>54</v>
      </c>
      <c r="Z10016" t="s">
        <v>54</v>
      </c>
      <c r="AA10016" t="s">
        <v>3128</v>
      </c>
      <c r="AB10016" t="s">
        <v>57985</v>
      </c>
      <c r="AF10016" t="s">
        <v>259</v>
      </c>
      <c r="AG10016" t="s">
        <v>60174</v>
      </c>
      <c r="AH10016" t="s">
        <v>60175</v>
      </c>
      <c r="AI10016" t="s">
        <v>60176</v>
      </c>
    </row>
    <row r="10017" spans="2:35" ht="105">
      <c r="B10017" s="1">
        <v>44881</v>
      </c>
      <c r="C10017" s="4">
        <v>44881.40902777778</v>
      </c>
      <c r="D10017" t="s">
        <v>2901</v>
      </c>
      <c r="E10017" t="s">
        <v>33017</v>
      </c>
      <c r="F10017">
        <v>9</v>
      </c>
      <c r="G10017" t="s">
        <v>2903</v>
      </c>
      <c r="H10017" t="s">
        <v>56011</v>
      </c>
      <c r="I10017" t="s">
        <v>94</v>
      </c>
      <c r="J10017" t="s">
        <v>79</v>
      </c>
      <c r="K10017" t="s">
        <v>42</v>
      </c>
      <c r="Q10017">
        <v>22573</v>
      </c>
      <c r="R10017" t="s">
        <v>45</v>
      </c>
      <c r="S10017" t="s">
        <v>25857</v>
      </c>
      <c r="T10017">
        <v>24</v>
      </c>
      <c r="U10017" s="2" t="s">
        <v>60177</v>
      </c>
      <c r="W10017" t="s">
        <v>6105</v>
      </c>
      <c r="X10017">
        <v>804698</v>
      </c>
      <c r="Y10017" t="s">
        <v>60178</v>
      </c>
      <c r="Z10017" t="s">
        <v>60179</v>
      </c>
      <c r="AA10017" t="s">
        <v>60180</v>
      </c>
      <c r="AB10017" t="s">
        <v>45625</v>
      </c>
      <c r="AC10017" t="s">
        <v>60181</v>
      </c>
      <c r="AF10017" t="s">
        <v>343</v>
      </c>
      <c r="AG10017" t="s">
        <v>60182</v>
      </c>
      <c r="AH10017" t="s">
        <v>38056</v>
      </c>
      <c r="AI10017" t="s">
        <v>60183</v>
      </c>
    </row>
    <row r="10018" spans="2:35" ht="165">
      <c r="B10018" s="1">
        <v>44881</v>
      </c>
      <c r="C10018" s="4">
        <v>44881.404861111114</v>
      </c>
      <c r="D10018" t="s">
        <v>60184</v>
      </c>
      <c r="E10018" t="s">
        <v>32982</v>
      </c>
      <c r="F10018">
        <v>9</v>
      </c>
      <c r="G10018" t="s">
        <v>2903</v>
      </c>
      <c r="H10018" t="s">
        <v>56011</v>
      </c>
      <c r="I10018" t="s">
        <v>94</v>
      </c>
      <c r="J10018" t="s">
        <v>996</v>
      </c>
      <c r="K10018" t="s">
        <v>42</v>
      </c>
      <c r="Q10018">
        <v>22572</v>
      </c>
      <c r="R10018" t="s">
        <v>45</v>
      </c>
      <c r="S10018" t="s">
        <v>37743</v>
      </c>
      <c r="T10018">
        <v>23.2</v>
      </c>
      <c r="U10018" s="2" t="s">
        <v>30981</v>
      </c>
      <c r="W10018" t="s">
        <v>6105</v>
      </c>
      <c r="X10018">
        <v>815285</v>
      </c>
      <c r="Y10018" t="e">
        <f ca="1">-DUE _xludf.For CALIBRATION
-module B4 Temp _xludf.error</f>
        <v>#NAME?</v>
      </c>
      <c r="Z10018" t="s">
        <v>60185</v>
      </c>
      <c r="AA10018" t="s">
        <v>3128</v>
      </c>
      <c r="AB10018" s="2" t="s">
        <v>60186</v>
      </c>
      <c r="AF10018" t="s">
        <v>343</v>
      </c>
      <c r="AG10018" t="s">
        <v>60187</v>
      </c>
      <c r="AH10018" t="s">
        <v>60188</v>
      </c>
      <c r="AI10018" t="s">
        <v>60189</v>
      </c>
    </row>
    <row r="10019" spans="2:35" ht="210">
      <c r="B10019" s="1">
        <v>44881</v>
      </c>
      <c r="C10019" s="4">
        <v>44881.397916666669</v>
      </c>
      <c r="D10019" t="s">
        <v>5636</v>
      </c>
      <c r="E10019" t="s">
        <v>32982</v>
      </c>
      <c r="F10019">
        <v>9</v>
      </c>
      <c r="G10019" t="s">
        <v>2903</v>
      </c>
      <c r="H10019" t="s">
        <v>56011</v>
      </c>
      <c r="I10019" t="s">
        <v>94</v>
      </c>
      <c r="J10019" t="s">
        <v>996</v>
      </c>
      <c r="K10019" t="s">
        <v>42</v>
      </c>
      <c r="Q10019">
        <v>22571</v>
      </c>
      <c r="R10019" t="s">
        <v>45</v>
      </c>
      <c r="S10019" t="s">
        <v>6477</v>
      </c>
      <c r="T10019">
        <v>28</v>
      </c>
      <c r="U10019" s="2" t="s">
        <v>60190</v>
      </c>
      <c r="W10019" t="s">
        <v>6105</v>
      </c>
      <c r="X10019">
        <v>834826</v>
      </c>
      <c r="Y10019" t="s">
        <v>25444</v>
      </c>
      <c r="Z10019" t="s">
        <v>60191</v>
      </c>
      <c r="AA10019" t="s">
        <v>3128</v>
      </c>
      <c r="AB10019" t="s">
        <v>60192</v>
      </c>
      <c r="AF10019" t="s">
        <v>343</v>
      </c>
      <c r="AG10019" t="s">
        <v>60193</v>
      </c>
      <c r="AH10019" t="s">
        <v>60194</v>
      </c>
      <c r="AI10019" t="s">
        <v>60195</v>
      </c>
    </row>
    <row r="10020" spans="2:35" ht="240">
      <c r="B10020" s="1">
        <v>44881</v>
      </c>
      <c r="C10020" s="4">
        <v>44881.38958333333</v>
      </c>
      <c r="D10020" t="s">
        <v>3696</v>
      </c>
      <c r="E10020" t="s">
        <v>60196</v>
      </c>
      <c r="F10020" t="s">
        <v>148</v>
      </c>
      <c r="G10020" t="s">
        <v>447</v>
      </c>
      <c r="H10020" t="s">
        <v>39</v>
      </c>
      <c r="I10020" t="s">
        <v>40</v>
      </c>
      <c r="J10020" t="s">
        <v>109</v>
      </c>
      <c r="K10020" t="s">
        <v>42</v>
      </c>
      <c r="Q10020">
        <v>22570</v>
      </c>
      <c r="R10020" t="s">
        <v>703</v>
      </c>
      <c r="S10020" t="s">
        <v>16923</v>
      </c>
      <c r="T10020">
        <v>25</v>
      </c>
      <c r="U10020" s="2" t="s">
        <v>60197</v>
      </c>
      <c r="W10020" t="s">
        <v>84</v>
      </c>
      <c r="X10020">
        <v>835602</v>
      </c>
      <c r="Y10020" t="s">
        <v>28970</v>
      </c>
      <c r="Z10020" t="s">
        <v>60198</v>
      </c>
      <c r="AA10020" t="s">
        <v>3128</v>
      </c>
      <c r="AB10020" t="s">
        <v>60199</v>
      </c>
      <c r="AC10020" t="s">
        <v>60200</v>
      </c>
      <c r="AF10020" t="s">
        <v>1943</v>
      </c>
      <c r="AG10020" t="s">
        <v>60201</v>
      </c>
      <c r="AH10020" t="s">
        <v>7452</v>
      </c>
      <c r="AI10020" t="s">
        <v>60202</v>
      </c>
    </row>
    <row r="10021" spans="2:35" ht="180">
      <c r="B10021" s="1">
        <v>44881</v>
      </c>
      <c r="C10021" s="4">
        <v>44881.393055555556</v>
      </c>
      <c r="D10021" t="s">
        <v>3696</v>
      </c>
      <c r="E10021" t="s">
        <v>60196</v>
      </c>
      <c r="F10021" t="s">
        <v>148</v>
      </c>
      <c r="G10021" t="s">
        <v>447</v>
      </c>
      <c r="H10021" t="s">
        <v>39</v>
      </c>
      <c r="I10021" t="s">
        <v>40</v>
      </c>
      <c r="J10021" t="s">
        <v>109</v>
      </c>
      <c r="K10021" t="s">
        <v>42</v>
      </c>
      <c r="Q10021">
        <v>22569</v>
      </c>
      <c r="R10021" t="s">
        <v>703</v>
      </c>
      <c r="S10021" t="s">
        <v>16923</v>
      </c>
      <c r="T10021">
        <v>25</v>
      </c>
      <c r="U10021" s="2" t="s">
        <v>60203</v>
      </c>
      <c r="W10021" t="s">
        <v>84</v>
      </c>
      <c r="X10021">
        <v>835601</v>
      </c>
      <c r="Y10021" t="s">
        <v>28970</v>
      </c>
      <c r="Z10021" t="s">
        <v>60198</v>
      </c>
      <c r="AA10021" t="s">
        <v>1548</v>
      </c>
      <c r="AB10021" t="s">
        <v>60204</v>
      </c>
      <c r="AC10021" t="s">
        <v>60205</v>
      </c>
      <c r="AF10021" t="s">
        <v>1943</v>
      </c>
      <c r="AG10021" t="s">
        <v>60206</v>
      </c>
      <c r="AH10021" t="s">
        <v>60207</v>
      </c>
      <c r="AI10021" t="s">
        <v>60208</v>
      </c>
    </row>
    <row r="10022" spans="2:35" ht="105">
      <c r="B10022" s="1">
        <v>44881</v>
      </c>
      <c r="C10022" s="4">
        <v>44881.393055555556</v>
      </c>
      <c r="D10022" t="s">
        <v>52878</v>
      </c>
      <c r="E10022" t="s">
        <v>60209</v>
      </c>
      <c r="F10022">
        <v>9</v>
      </c>
      <c r="G10022" t="s">
        <v>2903</v>
      </c>
      <c r="H10022" t="s">
        <v>56011</v>
      </c>
      <c r="I10022" t="s">
        <v>94</v>
      </c>
      <c r="J10022" t="s">
        <v>79</v>
      </c>
      <c r="K10022" t="s">
        <v>42</v>
      </c>
      <c r="Q10022">
        <v>22568</v>
      </c>
      <c r="R10022" t="s">
        <v>45</v>
      </c>
      <c r="S10022" t="s">
        <v>52880</v>
      </c>
      <c r="T10022">
        <v>27</v>
      </c>
      <c r="U10022" s="2" t="s">
        <v>31897</v>
      </c>
      <c r="W10022" t="s">
        <v>6105</v>
      </c>
      <c r="X10022">
        <v>807596</v>
      </c>
      <c r="Y10022" t="s">
        <v>60210</v>
      </c>
      <c r="Z10022" t="s">
        <v>60211</v>
      </c>
      <c r="AA10022" t="s">
        <v>3128</v>
      </c>
      <c r="AB10022" t="s">
        <v>13650</v>
      </c>
      <c r="AF10022" t="s">
        <v>343</v>
      </c>
      <c r="AG10022" t="s">
        <v>60212</v>
      </c>
      <c r="AH10022" t="s">
        <v>60213</v>
      </c>
      <c r="AI10022" t="s">
        <v>60214</v>
      </c>
    </row>
    <row r="10023" spans="2:35" ht="180">
      <c r="B10023" s="1">
        <v>44881</v>
      </c>
      <c r="C10023" s="4">
        <v>44881.372916666667</v>
      </c>
      <c r="D10023" t="s">
        <v>60215</v>
      </c>
      <c r="E10023" t="s">
        <v>9470</v>
      </c>
      <c r="F10023">
        <v>8</v>
      </c>
      <c r="G10023" t="s">
        <v>1663</v>
      </c>
      <c r="H10023" t="s">
        <v>39</v>
      </c>
      <c r="I10023" t="s">
        <v>94</v>
      </c>
      <c r="J10023" t="s">
        <v>109</v>
      </c>
      <c r="K10023" t="s">
        <v>42</v>
      </c>
      <c r="Q10023">
        <v>22567</v>
      </c>
      <c r="R10023" t="s">
        <v>119</v>
      </c>
      <c r="S10023" t="s">
        <v>9471</v>
      </c>
      <c r="T10023">
        <v>27</v>
      </c>
      <c r="U10023" s="2" t="s">
        <v>60216</v>
      </c>
      <c r="W10023" t="s">
        <v>58547</v>
      </c>
      <c r="X10023">
        <v>838498</v>
      </c>
      <c r="Y10023" t="s">
        <v>60217</v>
      </c>
      <c r="Z10023" t="s">
        <v>54</v>
      </c>
      <c r="AA10023" t="s">
        <v>3128</v>
      </c>
      <c r="AB10023" t="s">
        <v>57985</v>
      </c>
      <c r="AF10023" t="s">
        <v>259</v>
      </c>
      <c r="AG10023" t="s">
        <v>60218</v>
      </c>
      <c r="AH10023" t="s">
        <v>56146</v>
      </c>
      <c r="AI10023" t="s">
        <v>60219</v>
      </c>
    </row>
    <row r="10024" spans="2:35" ht="255">
      <c r="B10024" s="1">
        <v>44880</v>
      </c>
      <c r="C10024" s="4">
        <v>44880.65625</v>
      </c>
      <c r="D10024" t="s">
        <v>55562</v>
      </c>
      <c r="E10024" t="s">
        <v>60220</v>
      </c>
      <c r="F10024" t="s">
        <v>148</v>
      </c>
      <c r="G10024" t="s">
        <v>447</v>
      </c>
      <c r="H10024" t="s">
        <v>39</v>
      </c>
      <c r="I10024" t="s">
        <v>40</v>
      </c>
      <c r="J10024" t="s">
        <v>79</v>
      </c>
      <c r="K10024" t="s">
        <v>42</v>
      </c>
      <c r="Q10024">
        <v>22566</v>
      </c>
      <c r="R10024" t="s">
        <v>119</v>
      </c>
      <c r="S10024" t="s">
        <v>40191</v>
      </c>
      <c r="T10024">
        <v>25.6</v>
      </c>
      <c r="U10024" s="2" t="s">
        <v>60221</v>
      </c>
      <c r="V10024" s="1">
        <v>44880</v>
      </c>
      <c r="W10024" t="s">
        <v>502</v>
      </c>
      <c r="X10024">
        <v>831597</v>
      </c>
      <c r="Y10024" t="s">
        <v>60222</v>
      </c>
      <c r="Z10024" t="s">
        <v>60223</v>
      </c>
      <c r="AA10024" t="s">
        <v>20643</v>
      </c>
      <c r="AB10024" t="s">
        <v>60224</v>
      </c>
      <c r="AD10024" t="s">
        <v>60225</v>
      </c>
      <c r="AE10024">
        <v>9341</v>
      </c>
      <c r="AF10024" t="s">
        <v>49366</v>
      </c>
      <c r="AG10024" t="s">
        <v>60226</v>
      </c>
      <c r="AH10024" t="s">
        <v>60227</v>
      </c>
      <c r="AI10024" t="s">
        <v>60228</v>
      </c>
    </row>
    <row r="10025" spans="2:35" ht="270">
      <c r="B10025" s="1">
        <v>44880</v>
      </c>
      <c r="C10025" s="4">
        <v>44880.624305555553</v>
      </c>
      <c r="D10025" t="s">
        <v>1678</v>
      </c>
      <c r="E10025" t="s">
        <v>1679</v>
      </c>
      <c r="F10025" t="s">
        <v>148</v>
      </c>
      <c r="G10025" t="s">
        <v>785</v>
      </c>
      <c r="H10025" t="s">
        <v>39</v>
      </c>
      <c r="I10025" t="s">
        <v>40</v>
      </c>
      <c r="J10025" s="2" t="s">
        <v>190</v>
      </c>
      <c r="K10025" t="s">
        <v>42</v>
      </c>
      <c r="Q10025">
        <v>22565</v>
      </c>
      <c r="R10025" t="s">
        <v>719</v>
      </c>
      <c r="S10025" t="s">
        <v>60229</v>
      </c>
      <c r="T10025">
        <v>25</v>
      </c>
      <c r="U10025" s="2" t="s">
        <v>58888</v>
      </c>
      <c r="W10025" t="s">
        <v>9792</v>
      </c>
      <c r="X10025">
        <v>843924</v>
      </c>
      <c r="Y10025" t="s">
        <v>60230</v>
      </c>
      <c r="Z10025" t="s">
        <v>60231</v>
      </c>
      <c r="AA10025" s="2" t="s">
        <v>60232</v>
      </c>
      <c r="AB10025" t="s">
        <v>60233</v>
      </c>
      <c r="AF10025" t="s">
        <v>43</v>
      </c>
      <c r="AG10025" t="s">
        <v>60234</v>
      </c>
      <c r="AH10025" t="s">
        <v>1684</v>
      </c>
      <c r="AI10025" t="s">
        <v>60235</v>
      </c>
    </row>
    <row r="10026" spans="2:35" ht="300">
      <c r="B10026" s="1">
        <v>44880</v>
      </c>
      <c r="C10026" s="4">
        <v>44880.62222222222</v>
      </c>
      <c r="D10026" t="s">
        <v>19677</v>
      </c>
      <c r="E10026" t="s">
        <v>19678</v>
      </c>
      <c r="F10026">
        <v>7</v>
      </c>
      <c r="G10026" t="s">
        <v>6529</v>
      </c>
      <c r="H10026" t="s">
        <v>10969</v>
      </c>
      <c r="I10026" t="s">
        <v>40</v>
      </c>
      <c r="J10026" t="s">
        <v>79</v>
      </c>
      <c r="K10026" t="s">
        <v>42</v>
      </c>
      <c r="Q10026">
        <v>22564</v>
      </c>
      <c r="R10026" t="s">
        <v>119</v>
      </c>
      <c r="S10026" t="s">
        <v>10220</v>
      </c>
      <c r="T10026">
        <v>30</v>
      </c>
      <c r="U10026" s="2" t="s">
        <v>60236</v>
      </c>
      <c r="V10026" s="1">
        <v>44875</v>
      </c>
      <c r="W10026" t="s">
        <v>1292</v>
      </c>
      <c r="X10026">
        <v>838396</v>
      </c>
      <c r="Y10026" t="s">
        <v>60237</v>
      </c>
      <c r="Z10026" s="2" t="s">
        <v>60238</v>
      </c>
      <c r="AA10026" s="2" t="s">
        <v>60239</v>
      </c>
      <c r="AB10026" t="s">
        <v>60240</v>
      </c>
      <c r="AC10026" t="e">
        <f ca="1">-Observe _xludf.and monitor LABORATORY line voltage</f>
        <v>#NAME?</v>
      </c>
      <c r="AD10026" t="s">
        <v>54</v>
      </c>
      <c r="AE10026" t="s">
        <v>54</v>
      </c>
      <c r="AF10026" t="s">
        <v>58218</v>
      </c>
      <c r="AG10026" t="s">
        <v>60241</v>
      </c>
      <c r="AH10026" t="s">
        <v>19684</v>
      </c>
      <c r="AI10026" t="s">
        <v>60242</v>
      </c>
    </row>
    <row r="10027" spans="2:35" ht="105">
      <c r="B10027" s="1">
        <v>44880</v>
      </c>
      <c r="C10027" s="4">
        <v>44880.621527777781</v>
      </c>
      <c r="D10027" t="s">
        <v>2834</v>
      </c>
      <c r="E10027" t="s">
        <v>2835</v>
      </c>
      <c r="F10027">
        <v>11</v>
      </c>
      <c r="G10027" t="s">
        <v>2836</v>
      </c>
      <c r="H10027" t="s">
        <v>61</v>
      </c>
      <c r="I10027" t="s">
        <v>40</v>
      </c>
      <c r="J10027" t="s">
        <v>79</v>
      </c>
      <c r="K10027" t="s">
        <v>42</v>
      </c>
      <c r="Q10027">
        <v>22563</v>
      </c>
      <c r="R10027" t="s">
        <v>45</v>
      </c>
      <c r="S10027" t="s">
        <v>60243</v>
      </c>
      <c r="T10027">
        <v>25.8</v>
      </c>
      <c r="U10027" s="2" t="s">
        <v>19936</v>
      </c>
      <c r="V10027" s="1">
        <v>44729</v>
      </c>
      <c r="W10027" t="s">
        <v>23237</v>
      </c>
      <c r="X10027">
        <v>834626</v>
      </c>
      <c r="Y10027" t="s">
        <v>60244</v>
      </c>
      <c r="Z10027" t="s">
        <v>2129</v>
      </c>
      <c r="AA10027" t="s">
        <v>60245</v>
      </c>
      <c r="AB10027" t="s">
        <v>9590</v>
      </c>
      <c r="AC10027" t="s">
        <v>60246</v>
      </c>
      <c r="AD10027" t="s">
        <v>60247</v>
      </c>
      <c r="AE10027">
        <v>4604</v>
      </c>
      <c r="AF10027" t="s">
        <v>57687</v>
      </c>
      <c r="AG10027" t="s">
        <v>60248</v>
      </c>
      <c r="AH10027" t="s">
        <v>60249</v>
      </c>
      <c r="AI10027" t="s">
        <v>60250</v>
      </c>
    </row>
    <row r="10028" spans="2:35" ht="195">
      <c r="B10028" s="1">
        <v>44880</v>
      </c>
      <c r="C10028" s="4">
        <v>44880.620833333334</v>
      </c>
      <c r="D10028" t="s">
        <v>54777</v>
      </c>
      <c r="E10028" t="s">
        <v>60251</v>
      </c>
      <c r="F10028">
        <v>11</v>
      </c>
      <c r="G10028" t="s">
        <v>2836</v>
      </c>
      <c r="H10028" t="s">
        <v>39</v>
      </c>
      <c r="I10028" t="s">
        <v>94</v>
      </c>
      <c r="J10028" t="s">
        <v>79</v>
      </c>
      <c r="K10028" t="s">
        <v>42</v>
      </c>
      <c r="Q10028">
        <v>22562</v>
      </c>
      <c r="R10028" t="s">
        <v>45</v>
      </c>
      <c r="S10028" t="s">
        <v>60243</v>
      </c>
      <c r="T10028">
        <v>25.8</v>
      </c>
      <c r="U10028" s="2" t="s">
        <v>60252</v>
      </c>
      <c r="V10028" s="1">
        <v>44880</v>
      </c>
      <c r="W10028" t="s">
        <v>34485</v>
      </c>
      <c r="X10028">
        <v>838756</v>
      </c>
      <c r="Y10028" t="s">
        <v>60253</v>
      </c>
      <c r="Z10028" t="s">
        <v>60254</v>
      </c>
      <c r="AA10028" t="s">
        <v>60254</v>
      </c>
      <c r="AB10028" t="s">
        <v>60255</v>
      </c>
      <c r="AC10028" t="s">
        <v>60256</v>
      </c>
      <c r="AD10028" t="s">
        <v>54</v>
      </c>
      <c r="AE10028" t="s">
        <v>54</v>
      </c>
      <c r="AF10028" t="s">
        <v>58416</v>
      </c>
      <c r="AG10028" t="s">
        <v>60257</v>
      </c>
      <c r="AH10028" t="s">
        <v>60249</v>
      </c>
      <c r="AI10028" t="s">
        <v>60258</v>
      </c>
    </row>
    <row r="10029" spans="2:35" ht="285">
      <c r="B10029" s="1">
        <v>44880</v>
      </c>
      <c r="C10029" s="4">
        <v>44880.607638888891</v>
      </c>
      <c r="D10029" t="s">
        <v>43927</v>
      </c>
      <c r="E10029" t="s">
        <v>3706</v>
      </c>
      <c r="F10029">
        <v>3</v>
      </c>
      <c r="G10029" t="s">
        <v>174</v>
      </c>
      <c r="H10029" t="s">
        <v>39</v>
      </c>
      <c r="I10029" t="s">
        <v>40</v>
      </c>
      <c r="J10029" t="s">
        <v>3589</v>
      </c>
      <c r="K10029" t="s">
        <v>42</v>
      </c>
      <c r="Q10029">
        <v>22561</v>
      </c>
      <c r="R10029" t="s">
        <v>119</v>
      </c>
      <c r="S10029" t="s">
        <v>48516</v>
      </c>
      <c r="T10029">
        <v>27</v>
      </c>
      <c r="U10029" s="2" t="s">
        <v>60259</v>
      </c>
      <c r="W10029" t="s">
        <v>6776</v>
      </c>
      <c r="X10029">
        <v>831897</v>
      </c>
      <c r="Y10029" t="s">
        <v>60260</v>
      </c>
      <c r="Z10029" t="s">
        <v>103</v>
      </c>
      <c r="AA10029" t="e">
        <f ca="1">- checked system _xludf.Log _xludf.For Temp _xludf.error logs
- checked test reports errors FROM module A1
- generated reports
- cleaned _xludf.filter</f>
        <v>#NAME?</v>
      </c>
      <c r="AB10029" t="s">
        <v>60261</v>
      </c>
      <c r="AC10029" t="s">
        <v>60262</v>
      </c>
      <c r="AF10029" t="s">
        <v>175</v>
      </c>
      <c r="AG10029" t="s">
        <v>60263</v>
      </c>
      <c r="AH10029" t="s">
        <v>52554</v>
      </c>
      <c r="AI10029" t="s">
        <v>60264</v>
      </c>
    </row>
    <row r="10030" spans="2:35" ht="180">
      <c r="B10030" s="1">
        <v>44880</v>
      </c>
      <c r="C10030" s="4">
        <v>44880.619444444441</v>
      </c>
      <c r="D10030" t="s">
        <v>46365</v>
      </c>
      <c r="E10030" t="s">
        <v>60265</v>
      </c>
      <c r="F10030">
        <v>7</v>
      </c>
      <c r="G10030" t="s">
        <v>6529</v>
      </c>
      <c r="H10030" t="s">
        <v>10969</v>
      </c>
      <c r="I10030" t="s">
        <v>40</v>
      </c>
      <c r="J10030" t="s">
        <v>583</v>
      </c>
      <c r="K10030" t="s">
        <v>42</v>
      </c>
      <c r="Q10030">
        <v>22560</v>
      </c>
      <c r="R10030" t="s">
        <v>45</v>
      </c>
      <c r="S10030" t="s">
        <v>60266</v>
      </c>
      <c r="T10030">
        <v>29</v>
      </c>
      <c r="U10030" s="2" t="s">
        <v>60267</v>
      </c>
      <c r="V10030" s="1">
        <v>44874</v>
      </c>
      <c r="W10030" t="s">
        <v>1292</v>
      </c>
      <c r="X10030">
        <v>807603</v>
      </c>
      <c r="Y10030" t="s">
        <v>60268</v>
      </c>
      <c r="Z10030" t="s">
        <v>60269</v>
      </c>
      <c r="AA10030" t="s">
        <v>60270</v>
      </c>
      <c r="AB10030" t="s">
        <v>60271</v>
      </c>
      <c r="AC10030" t="s">
        <v>54</v>
      </c>
      <c r="AD10030" t="s">
        <v>54</v>
      </c>
      <c r="AE10030" t="s">
        <v>54</v>
      </c>
      <c r="AF10030" t="s">
        <v>58218</v>
      </c>
      <c r="AG10030" t="s">
        <v>60272</v>
      </c>
      <c r="AH10030" t="s">
        <v>60273</v>
      </c>
      <c r="AI10030" t="s">
        <v>60274</v>
      </c>
    </row>
    <row r="10031" spans="2:35" ht="180">
      <c r="B10031" s="1">
        <v>44880</v>
      </c>
      <c r="C10031" s="4">
        <v>44880.6</v>
      </c>
      <c r="D10031" t="s">
        <v>23143</v>
      </c>
      <c r="E10031" t="s">
        <v>58301</v>
      </c>
      <c r="F10031">
        <v>13</v>
      </c>
      <c r="G10031" t="s">
        <v>8524</v>
      </c>
      <c r="H10031" t="s">
        <v>60275</v>
      </c>
      <c r="I10031" t="s">
        <v>40</v>
      </c>
      <c r="J10031" s="2" t="s">
        <v>62</v>
      </c>
      <c r="K10031" t="s">
        <v>42</v>
      </c>
      <c r="Q10031">
        <v>22559</v>
      </c>
      <c r="R10031" t="s">
        <v>45</v>
      </c>
      <c r="S10031" t="s">
        <v>23145</v>
      </c>
      <c r="T10031">
        <v>27</v>
      </c>
      <c r="U10031" s="2" t="s">
        <v>60276</v>
      </c>
      <c r="W10031" t="s">
        <v>60277</v>
      </c>
      <c r="X10031">
        <v>835174</v>
      </c>
      <c r="Y10031" t="s">
        <v>60278</v>
      </c>
      <c r="Z10031" t="s">
        <v>301</v>
      </c>
      <c r="AA10031" t="s">
        <v>5663</v>
      </c>
      <c r="AB10031" t="s">
        <v>60279</v>
      </c>
      <c r="AC10031" t="s">
        <v>54</v>
      </c>
      <c r="AF10031" t="s">
        <v>58042</v>
      </c>
      <c r="AG10031" t="s">
        <v>60280</v>
      </c>
      <c r="AH10031" t="s">
        <v>23150</v>
      </c>
      <c r="AI10031" t="s">
        <v>60281</v>
      </c>
    </row>
    <row r="10032" spans="2:35" ht="270">
      <c r="B10032" s="1">
        <v>44880</v>
      </c>
      <c r="C10032" s="4">
        <v>44880.584027777775</v>
      </c>
      <c r="D10032" t="s">
        <v>26116</v>
      </c>
      <c r="E10032" t="s">
        <v>60282</v>
      </c>
      <c r="F10032">
        <v>3</v>
      </c>
      <c r="G10032" t="s">
        <v>1640</v>
      </c>
      <c r="H10032" t="s">
        <v>39</v>
      </c>
      <c r="I10032" t="s">
        <v>40</v>
      </c>
      <c r="J10032" t="s">
        <v>109</v>
      </c>
      <c r="K10032" t="s">
        <v>42</v>
      </c>
      <c r="Q10032">
        <v>22558</v>
      </c>
      <c r="R10032" t="s">
        <v>119</v>
      </c>
      <c r="S10032" t="s">
        <v>38116</v>
      </c>
      <c r="T10032">
        <v>33</v>
      </c>
      <c r="U10032" s="2" t="s">
        <v>2367</v>
      </c>
      <c r="V10032" s="1">
        <v>44880</v>
      </c>
      <c r="W10032" t="s">
        <v>60283</v>
      </c>
      <c r="X10032">
        <v>831621</v>
      </c>
      <c r="Y10032" t="s">
        <v>60284</v>
      </c>
      <c r="Z10032" t="s">
        <v>22976</v>
      </c>
      <c r="AA10032" s="2" t="s">
        <v>60285</v>
      </c>
      <c r="AB10032" t="s">
        <v>70</v>
      </c>
      <c r="AC10032" t="s">
        <v>1716</v>
      </c>
      <c r="AD10032" t="s">
        <v>1716</v>
      </c>
      <c r="AE10032" t="s">
        <v>1716</v>
      </c>
      <c r="AF10032" t="s">
        <v>63</v>
      </c>
      <c r="AG10032" t="s">
        <v>60286</v>
      </c>
      <c r="AH10032" t="s">
        <v>38123</v>
      </c>
      <c r="AI10032" t="s">
        <v>60287</v>
      </c>
    </row>
    <row r="10033" spans="2:35" ht="409.5">
      <c r="B10033" s="1">
        <v>44880</v>
      </c>
      <c r="C10033" s="4">
        <v>44880.569444444445</v>
      </c>
      <c r="D10033" t="s">
        <v>1015</v>
      </c>
      <c r="E10033" t="s">
        <v>60288</v>
      </c>
      <c r="F10033">
        <v>3</v>
      </c>
      <c r="G10033" t="s">
        <v>730</v>
      </c>
      <c r="H10033" t="s">
        <v>39</v>
      </c>
      <c r="I10033" t="s">
        <v>40</v>
      </c>
      <c r="J10033" t="s">
        <v>525</v>
      </c>
      <c r="K10033" t="s">
        <v>42</v>
      </c>
      <c r="Q10033">
        <v>22557</v>
      </c>
      <c r="R10033" t="s">
        <v>119</v>
      </c>
      <c r="S10033" t="s">
        <v>27303</v>
      </c>
      <c r="T10033">
        <v>18</v>
      </c>
      <c r="U10033" s="2" t="s">
        <v>60289</v>
      </c>
      <c r="V10033" s="1">
        <v>44880</v>
      </c>
      <c r="W10033" t="s">
        <v>2680</v>
      </c>
      <c r="X10033">
        <v>831587</v>
      </c>
      <c r="Y10033" t="e">
        <f ca="1">-Flickering screen _xludf.and lagging
-Sudden shutdown _xludf.while performing test</f>
        <v>#NAME?</v>
      </c>
      <c r="Z10033" s="2" t="s">
        <v>60290</v>
      </c>
      <c r="AA10033" t="s">
        <v>4487</v>
      </c>
      <c r="AB10033" t="s">
        <v>181</v>
      </c>
      <c r="AC10033" t="s">
        <v>36480</v>
      </c>
      <c r="AD10033" t="s">
        <v>54</v>
      </c>
      <c r="AE10033" t="s">
        <v>54</v>
      </c>
      <c r="AF10033" t="s">
        <v>135</v>
      </c>
      <c r="AG10033" t="s">
        <v>60291</v>
      </c>
      <c r="AH10033" t="s">
        <v>59382</v>
      </c>
      <c r="AI10033" t="s">
        <v>60292</v>
      </c>
    </row>
    <row r="10034" spans="2:35" ht="105">
      <c r="B10034" s="1">
        <v>44880</v>
      </c>
      <c r="C10034" s="4">
        <v>44880.572222222225</v>
      </c>
      <c r="D10034" t="s">
        <v>461</v>
      </c>
      <c r="E10034" t="s">
        <v>60293</v>
      </c>
      <c r="F10034" t="s">
        <v>148</v>
      </c>
      <c r="G10034" t="s">
        <v>447</v>
      </c>
      <c r="H10034" t="s">
        <v>39</v>
      </c>
      <c r="I10034" t="s">
        <v>40</v>
      </c>
      <c r="J10034" s="2" t="s">
        <v>1808</v>
      </c>
      <c r="K10034" t="s">
        <v>42</v>
      </c>
      <c r="Q10034">
        <v>22556</v>
      </c>
      <c r="R10034" t="s">
        <v>45</v>
      </c>
      <c r="S10034" t="s">
        <v>464</v>
      </c>
      <c r="T10034">
        <v>28</v>
      </c>
      <c r="U10034" s="2" t="s">
        <v>1509</v>
      </c>
      <c r="V10034" s="1">
        <v>44880</v>
      </c>
      <c r="W10034" t="s">
        <v>84</v>
      </c>
      <c r="X10034">
        <v>814160</v>
      </c>
      <c r="Y10034" t="s">
        <v>60294</v>
      </c>
      <c r="Z10034" t="s">
        <v>60295</v>
      </c>
      <c r="AA10034" t="s">
        <v>60295</v>
      </c>
      <c r="AB10034" t="s">
        <v>88</v>
      </c>
      <c r="AD10034" t="s">
        <v>60296</v>
      </c>
      <c r="AE10034" t="s">
        <v>54</v>
      </c>
      <c r="AF10034" t="s">
        <v>1943</v>
      </c>
      <c r="AG10034" t="s">
        <v>60297</v>
      </c>
      <c r="AH10034" t="s">
        <v>470</v>
      </c>
      <c r="AI10034" t="s">
        <v>60298</v>
      </c>
    </row>
    <row r="10035" spans="2:35" ht="285">
      <c r="B10035" s="1">
        <v>44880</v>
      </c>
      <c r="C10035" s="4">
        <v>44880.54791666667</v>
      </c>
      <c r="D10035" t="s">
        <v>25980</v>
      </c>
      <c r="E10035" t="s">
        <v>3234</v>
      </c>
      <c r="F10035">
        <v>3</v>
      </c>
      <c r="G10035" t="s">
        <v>174</v>
      </c>
      <c r="H10035" t="s">
        <v>39</v>
      </c>
      <c r="I10035" t="s">
        <v>40</v>
      </c>
      <c r="J10035" t="s">
        <v>109</v>
      </c>
      <c r="K10035" t="s">
        <v>42</v>
      </c>
      <c r="Q10035">
        <v>22555</v>
      </c>
      <c r="R10035" t="s">
        <v>119</v>
      </c>
      <c r="S10035" t="s">
        <v>3235</v>
      </c>
      <c r="T10035">
        <v>28</v>
      </c>
      <c r="U10035" s="2" t="s">
        <v>60299</v>
      </c>
      <c r="W10035" t="s">
        <v>6776</v>
      </c>
      <c r="X10035">
        <v>831904</v>
      </c>
      <c r="Y10035" t="s">
        <v>48803</v>
      </c>
      <c r="Z10035" t="s">
        <v>103</v>
      </c>
      <c r="AA10035" t="e">
        <f ca="1">- checked _xludf.and cleaned, cartridge bay, plunger rod, _xludf.filter
- generated reports
- performed functionality test</f>
        <v>#NAME?</v>
      </c>
      <c r="AB10035" t="s">
        <v>60300</v>
      </c>
      <c r="AC10035" t="s">
        <v>60301</v>
      </c>
      <c r="AF10035" t="s">
        <v>175</v>
      </c>
      <c r="AG10035" t="s">
        <v>60302</v>
      </c>
      <c r="AH10035" t="s">
        <v>60303</v>
      </c>
      <c r="AI10035" t="s">
        <v>60304</v>
      </c>
    </row>
    <row r="10036" spans="2:35" ht="285">
      <c r="B10036" s="1">
        <v>44880</v>
      </c>
      <c r="C10036" s="4">
        <v>44880.444444444445</v>
      </c>
      <c r="D10036" t="s">
        <v>3030</v>
      </c>
      <c r="E10036" t="s">
        <v>22213</v>
      </c>
      <c r="F10036" t="s">
        <v>37</v>
      </c>
      <c r="G10036" t="s">
        <v>38</v>
      </c>
      <c r="H10036" t="s">
        <v>39</v>
      </c>
      <c r="I10036" t="s">
        <v>40</v>
      </c>
      <c r="J10036" t="s">
        <v>321</v>
      </c>
      <c r="K10036" t="s">
        <v>42</v>
      </c>
      <c r="Q10036">
        <v>22554</v>
      </c>
      <c r="R10036" t="s">
        <v>45</v>
      </c>
      <c r="S10036" t="s">
        <v>3032</v>
      </c>
      <c r="T10036">
        <v>25</v>
      </c>
      <c r="U10036" s="2" t="s">
        <v>60305</v>
      </c>
      <c r="W10036" t="s">
        <v>16722</v>
      </c>
      <c r="X10036">
        <v>842226</v>
      </c>
      <c r="Y10036" t="s">
        <v>750</v>
      </c>
      <c r="Z10036" t="s">
        <v>38549</v>
      </c>
      <c r="AA10036" s="2" t="s">
        <v>60306</v>
      </c>
      <c r="AB10036" t="s">
        <v>88</v>
      </c>
      <c r="AC10036" t="s">
        <v>60307</v>
      </c>
      <c r="AF10036" t="s">
        <v>43</v>
      </c>
      <c r="AG10036" t="s">
        <v>60308</v>
      </c>
      <c r="AH10036" t="s">
        <v>10902</v>
      </c>
      <c r="AI10036" t="s">
        <v>60309</v>
      </c>
    </row>
    <row r="10037" spans="2:35" ht="210">
      <c r="B10037" s="1">
        <v>44879</v>
      </c>
      <c r="C10037" s="4">
        <v>44879.619444444441</v>
      </c>
      <c r="D10037" t="s">
        <v>60310</v>
      </c>
      <c r="E10037" t="s">
        <v>60311</v>
      </c>
      <c r="F10037">
        <v>3</v>
      </c>
      <c r="G10037" t="s">
        <v>1722</v>
      </c>
      <c r="H10037" t="s">
        <v>39</v>
      </c>
      <c r="I10037" t="s">
        <v>40</v>
      </c>
      <c r="J10037" t="s">
        <v>109</v>
      </c>
      <c r="K10037" t="s">
        <v>42</v>
      </c>
      <c r="Q10037">
        <v>22553</v>
      </c>
      <c r="R10037" t="s">
        <v>45</v>
      </c>
      <c r="S10037" t="s">
        <v>52203</v>
      </c>
      <c r="T10037">
        <v>29</v>
      </c>
      <c r="U10037" s="2" t="s">
        <v>2367</v>
      </c>
      <c r="V10037" s="1">
        <v>44879</v>
      </c>
      <c r="W10037" t="s">
        <v>60283</v>
      </c>
      <c r="X10037">
        <v>805107</v>
      </c>
      <c r="Y10037" t="s">
        <v>19672</v>
      </c>
      <c r="Z10037" t="s">
        <v>60312</v>
      </c>
      <c r="AA10037" s="2" t="s">
        <v>60313</v>
      </c>
      <c r="AB10037" t="s">
        <v>70</v>
      </c>
      <c r="AC10037" t="s">
        <v>1716</v>
      </c>
      <c r="AD10037" t="s">
        <v>1716</v>
      </c>
      <c r="AE10037" t="s">
        <v>1716</v>
      </c>
      <c r="AF10037" t="s">
        <v>63</v>
      </c>
      <c r="AG10037" t="s">
        <v>60314</v>
      </c>
      <c r="AH10037" t="s">
        <v>60315</v>
      </c>
      <c r="AI10037" t="s">
        <v>60316</v>
      </c>
    </row>
    <row r="10038" spans="2:35" ht="180">
      <c r="B10038" s="1">
        <v>44879</v>
      </c>
      <c r="C10038" s="4">
        <v>44876.55</v>
      </c>
      <c r="D10038" t="s">
        <v>60317</v>
      </c>
      <c r="E10038" t="s">
        <v>55378</v>
      </c>
      <c r="F10038" t="s">
        <v>37</v>
      </c>
      <c r="G10038" t="s">
        <v>748</v>
      </c>
      <c r="H10038" t="s">
        <v>39</v>
      </c>
      <c r="I10038" t="s">
        <v>40</v>
      </c>
      <c r="J10038" s="2" t="s">
        <v>190</v>
      </c>
      <c r="K10038" t="s">
        <v>42</v>
      </c>
      <c r="Q10038">
        <v>22549</v>
      </c>
      <c r="R10038" t="s">
        <v>45</v>
      </c>
      <c r="S10038" t="s">
        <v>2439</v>
      </c>
      <c r="T10038">
        <v>26</v>
      </c>
      <c r="U10038" s="2" t="s">
        <v>60318</v>
      </c>
      <c r="W10038" t="s">
        <v>36116</v>
      </c>
      <c r="X10038">
        <v>802860</v>
      </c>
      <c r="Y10038" s="2" t="s">
        <v>60319</v>
      </c>
      <c r="Z10038" s="2" t="s">
        <v>60320</v>
      </c>
      <c r="AA10038" s="2" t="s">
        <v>60321</v>
      </c>
      <c r="AB10038" t="s">
        <v>60322</v>
      </c>
      <c r="AC10038" t="s">
        <v>60323</v>
      </c>
      <c r="AF10038" t="s">
        <v>1028</v>
      </c>
      <c r="AG10038" t="s">
        <v>60324</v>
      </c>
      <c r="AH10038" t="s">
        <v>36119</v>
      </c>
      <c r="AI10038" t="s">
        <v>60325</v>
      </c>
    </row>
    <row r="10039" spans="2:35" ht="105">
      <c r="B10039" s="1">
        <v>44879</v>
      </c>
      <c r="C10039" s="4">
        <v>44874.567361111112</v>
      </c>
      <c r="D10039" t="s">
        <v>49823</v>
      </c>
      <c r="E10039" t="s">
        <v>60326</v>
      </c>
      <c r="F10039" t="s">
        <v>37</v>
      </c>
      <c r="G10039" t="s">
        <v>2499</v>
      </c>
      <c r="H10039" t="s">
        <v>39</v>
      </c>
      <c r="I10039" t="s">
        <v>40</v>
      </c>
      <c r="J10039" s="2" t="s">
        <v>62</v>
      </c>
      <c r="K10039" t="s">
        <v>42</v>
      </c>
      <c r="Q10039">
        <v>22551</v>
      </c>
      <c r="R10039" t="s">
        <v>119</v>
      </c>
      <c r="S10039" t="s">
        <v>36961</v>
      </c>
      <c r="T10039">
        <v>25</v>
      </c>
      <c r="U10039" s="2" t="s">
        <v>39700</v>
      </c>
      <c r="W10039" t="s">
        <v>2680</v>
      </c>
      <c r="X10039">
        <v>831614</v>
      </c>
      <c r="Y10039" t="s">
        <v>2060</v>
      </c>
      <c r="Z10039" t="s">
        <v>999</v>
      </c>
      <c r="AA10039" s="2" t="s">
        <v>46035</v>
      </c>
      <c r="AB10039" t="s">
        <v>60327</v>
      </c>
      <c r="AC10039" t="s">
        <v>60328</v>
      </c>
      <c r="AF10039" t="s">
        <v>1028</v>
      </c>
      <c r="AG10039" t="s">
        <v>60329</v>
      </c>
      <c r="AH10039" t="s">
        <v>60330</v>
      </c>
      <c r="AI10039" t="s">
        <v>60331</v>
      </c>
    </row>
    <row r="10040" spans="2:35" ht="285">
      <c r="B10040" s="1">
        <v>44879</v>
      </c>
      <c r="C10040" s="4">
        <v>44876.46597222222</v>
      </c>
      <c r="D10040" t="s">
        <v>6619</v>
      </c>
      <c r="E10040" t="s">
        <v>60332</v>
      </c>
      <c r="F10040" t="s">
        <v>37</v>
      </c>
      <c r="G10040" t="s">
        <v>748</v>
      </c>
      <c r="H10040" t="s">
        <v>39</v>
      </c>
      <c r="I10040" t="s">
        <v>40</v>
      </c>
      <c r="J10040" s="2" t="s">
        <v>190</v>
      </c>
      <c r="K10040" t="s">
        <v>42</v>
      </c>
      <c r="Q10040">
        <v>22550</v>
      </c>
      <c r="R10040" t="s">
        <v>119</v>
      </c>
      <c r="S10040" t="s">
        <v>60333</v>
      </c>
      <c r="T10040">
        <v>26</v>
      </c>
      <c r="U10040" s="2" t="s">
        <v>60334</v>
      </c>
      <c r="W10040" t="s">
        <v>2680</v>
      </c>
      <c r="X10040">
        <v>838535</v>
      </c>
      <c r="Y10040" t="s">
        <v>60335</v>
      </c>
      <c r="Z10040" t="s">
        <v>60336</v>
      </c>
      <c r="AA10040" s="2" t="s">
        <v>60337</v>
      </c>
      <c r="AB10040" t="s">
        <v>60322</v>
      </c>
      <c r="AC10040" t="s">
        <v>60338</v>
      </c>
      <c r="AF10040" t="s">
        <v>1028</v>
      </c>
      <c r="AG10040" t="s">
        <v>60339</v>
      </c>
      <c r="AH10040" t="s">
        <v>14038</v>
      </c>
      <c r="AI10040" t="s">
        <v>60340</v>
      </c>
    </row>
    <row r="10041" spans="2:35" ht="285">
      <c r="B10041" s="1">
        <v>44879</v>
      </c>
      <c r="C10041" s="4">
        <v>44875.401388888888</v>
      </c>
      <c r="D10041" t="s">
        <v>2529</v>
      </c>
      <c r="E10041" t="s">
        <v>49835</v>
      </c>
      <c r="F10041" t="s">
        <v>37</v>
      </c>
      <c r="G10041" t="s">
        <v>2499</v>
      </c>
      <c r="H10041" t="s">
        <v>39</v>
      </c>
      <c r="I10041" t="s">
        <v>40</v>
      </c>
      <c r="J10041" s="2" t="s">
        <v>41</v>
      </c>
      <c r="K10041" t="s">
        <v>42</v>
      </c>
      <c r="Q10041">
        <v>22552</v>
      </c>
      <c r="R10041" t="s">
        <v>45</v>
      </c>
      <c r="S10041" t="s">
        <v>36873</v>
      </c>
      <c r="T10041">
        <v>25</v>
      </c>
      <c r="U10041" s="2" t="s">
        <v>60341</v>
      </c>
      <c r="W10041" t="s">
        <v>2680</v>
      </c>
      <c r="X10041">
        <v>804692</v>
      </c>
      <c r="Y10041" t="s">
        <v>60342</v>
      </c>
      <c r="Z10041" t="s">
        <v>58778</v>
      </c>
      <c r="AA10041" s="2" t="s">
        <v>60343</v>
      </c>
      <c r="AB10041" t="s">
        <v>60344</v>
      </c>
      <c r="AF10041" t="s">
        <v>1028</v>
      </c>
      <c r="AG10041" t="s">
        <v>60345</v>
      </c>
      <c r="AH10041" t="s">
        <v>60346</v>
      </c>
      <c r="AI10041" t="s">
        <v>60347</v>
      </c>
    </row>
    <row r="10042" spans="2:35" ht="285">
      <c r="B10042" s="1">
        <v>44879</v>
      </c>
      <c r="C10042" s="4">
        <v>44876.611805555556</v>
      </c>
      <c r="D10042" t="s">
        <v>16430</v>
      </c>
      <c r="E10042" t="s">
        <v>16438</v>
      </c>
      <c r="F10042" t="s">
        <v>148</v>
      </c>
      <c r="G10042" t="s">
        <v>544</v>
      </c>
      <c r="H10042" t="s">
        <v>39</v>
      </c>
      <c r="I10042" t="s">
        <v>40</v>
      </c>
      <c r="J10042" s="2" t="s">
        <v>190</v>
      </c>
      <c r="K10042" t="s">
        <v>42</v>
      </c>
      <c r="Q10042">
        <v>22548</v>
      </c>
      <c r="R10042" t="s">
        <v>119</v>
      </c>
      <c r="S10042" t="s">
        <v>15929</v>
      </c>
      <c r="T10042">
        <v>24</v>
      </c>
      <c r="U10042" s="2" t="s">
        <v>60348</v>
      </c>
      <c r="W10042" t="s">
        <v>9792</v>
      </c>
      <c r="X10042">
        <v>831588</v>
      </c>
      <c r="Y10042" t="s">
        <v>60349</v>
      </c>
      <c r="Z10042" t="s">
        <v>58190</v>
      </c>
      <c r="AA10042" s="2" t="s">
        <v>60350</v>
      </c>
      <c r="AB10042" t="s">
        <v>88</v>
      </c>
      <c r="AC10042" t="s">
        <v>60351</v>
      </c>
      <c r="AF10042" t="s">
        <v>43</v>
      </c>
      <c r="AG10042" t="s">
        <v>60352</v>
      </c>
      <c r="AH10042" t="s">
        <v>15931</v>
      </c>
      <c r="AI10042" t="s">
        <v>60353</v>
      </c>
    </row>
    <row r="10043" spans="2:35" ht="180">
      <c r="B10043" s="1">
        <v>44879</v>
      </c>
      <c r="C10043" s="4">
        <v>44879.575694444444</v>
      </c>
      <c r="D10043" t="s">
        <v>46365</v>
      </c>
      <c r="E10043" t="s">
        <v>60265</v>
      </c>
      <c r="F10043">
        <v>7</v>
      </c>
      <c r="G10043" t="s">
        <v>6529</v>
      </c>
      <c r="H10043" t="s">
        <v>10969</v>
      </c>
      <c r="I10043" t="s">
        <v>40</v>
      </c>
      <c r="J10043" s="2" t="s">
        <v>355</v>
      </c>
      <c r="K10043" t="s">
        <v>42</v>
      </c>
      <c r="Q10043">
        <v>22547</v>
      </c>
      <c r="R10043" t="s">
        <v>45</v>
      </c>
      <c r="S10043" t="s">
        <v>60266</v>
      </c>
      <c r="T10043">
        <v>30</v>
      </c>
      <c r="U10043" s="2" t="s">
        <v>60267</v>
      </c>
      <c r="V10043" s="1">
        <v>44874</v>
      </c>
      <c r="W10043" t="s">
        <v>1292</v>
      </c>
      <c r="X10043">
        <v>807603</v>
      </c>
      <c r="Y10043" t="s">
        <v>60268</v>
      </c>
      <c r="Z10043" t="s">
        <v>16600</v>
      </c>
      <c r="AA10043" t="s">
        <v>60354</v>
      </c>
      <c r="AB10043" t="s">
        <v>60355</v>
      </c>
      <c r="AD10043" t="s">
        <v>54</v>
      </c>
      <c r="AE10043" t="s">
        <v>54</v>
      </c>
      <c r="AF10043" t="s">
        <v>58218</v>
      </c>
      <c r="AG10043" t="s">
        <v>60356</v>
      </c>
      <c r="AH10043" t="s">
        <v>60273</v>
      </c>
      <c r="AI10043" t="s">
        <v>60357</v>
      </c>
    </row>
    <row r="10044" spans="2:35" ht="180">
      <c r="B10044" s="1">
        <v>44879</v>
      </c>
      <c r="C10044" s="4">
        <v>44879.441666666666</v>
      </c>
      <c r="D10044" t="s">
        <v>46365</v>
      </c>
      <c r="E10044" t="s">
        <v>60265</v>
      </c>
      <c r="F10044">
        <v>7</v>
      </c>
      <c r="G10044" t="s">
        <v>6529</v>
      </c>
      <c r="H10044" t="s">
        <v>10969</v>
      </c>
      <c r="I10044" t="s">
        <v>40</v>
      </c>
      <c r="J10044" s="2" t="s">
        <v>355</v>
      </c>
      <c r="K10044" t="s">
        <v>42</v>
      </c>
      <c r="Q10044">
        <v>22546</v>
      </c>
      <c r="R10044" t="s">
        <v>45</v>
      </c>
      <c r="S10044" t="s">
        <v>60266</v>
      </c>
      <c r="T10044">
        <v>30</v>
      </c>
      <c r="U10044" s="2" t="s">
        <v>60267</v>
      </c>
      <c r="V10044" s="1">
        <v>44874</v>
      </c>
      <c r="W10044" t="s">
        <v>1292</v>
      </c>
      <c r="X10044">
        <v>807603</v>
      </c>
      <c r="Y10044" t="s">
        <v>60268</v>
      </c>
      <c r="Z10044" t="s">
        <v>16600</v>
      </c>
      <c r="AA10044" t="s">
        <v>60354</v>
      </c>
      <c r="AB10044" t="s">
        <v>60355</v>
      </c>
      <c r="AD10044" t="s">
        <v>54</v>
      </c>
      <c r="AE10044" t="s">
        <v>54</v>
      </c>
      <c r="AF10044" t="s">
        <v>58218</v>
      </c>
      <c r="AG10044" t="s">
        <v>60358</v>
      </c>
      <c r="AH10044" t="s">
        <v>60273</v>
      </c>
      <c r="AI10044" t="s">
        <v>60359</v>
      </c>
    </row>
    <row r="10045" spans="2:35" ht="285">
      <c r="B10045" s="1">
        <v>44879</v>
      </c>
      <c r="C10045" s="4">
        <v>44875.401388888888</v>
      </c>
      <c r="D10045" t="s">
        <v>2529</v>
      </c>
      <c r="E10045" t="s">
        <v>49835</v>
      </c>
      <c r="F10045" t="s">
        <v>37</v>
      </c>
      <c r="G10045" t="s">
        <v>2499</v>
      </c>
      <c r="H10045" t="s">
        <v>39</v>
      </c>
      <c r="I10045" t="s">
        <v>40</v>
      </c>
      <c r="J10045" s="2" t="s">
        <v>41</v>
      </c>
      <c r="K10045" t="s">
        <v>42</v>
      </c>
      <c r="Q10045">
        <v>22545</v>
      </c>
      <c r="R10045" t="s">
        <v>45</v>
      </c>
      <c r="S10045" t="s">
        <v>36873</v>
      </c>
      <c r="T10045">
        <v>25</v>
      </c>
      <c r="U10045" s="2" t="s">
        <v>60341</v>
      </c>
      <c r="W10045" t="s">
        <v>2680</v>
      </c>
      <c r="X10045">
        <v>804692</v>
      </c>
      <c r="Y10045" t="s">
        <v>60342</v>
      </c>
      <c r="Z10045" t="s">
        <v>58778</v>
      </c>
      <c r="AA10045" s="2" t="s">
        <v>60343</v>
      </c>
      <c r="AB10045" t="s">
        <v>60344</v>
      </c>
      <c r="AF10045" t="s">
        <v>1028</v>
      </c>
      <c r="AG10045" t="s">
        <v>60360</v>
      </c>
      <c r="AH10045" t="s">
        <v>60346</v>
      </c>
      <c r="AI10045" t="s">
        <v>60361</v>
      </c>
    </row>
    <row r="10046" spans="2:35" ht="270">
      <c r="B10046" s="1">
        <v>44877</v>
      </c>
      <c r="C10046" s="4">
        <v>44875.770833333336</v>
      </c>
      <c r="D10046" t="s">
        <v>2024</v>
      </c>
      <c r="E10046" t="s">
        <v>51590</v>
      </c>
      <c r="F10046">
        <v>8</v>
      </c>
      <c r="G10046" t="s">
        <v>630</v>
      </c>
      <c r="H10046" t="s">
        <v>39</v>
      </c>
      <c r="I10046" t="s">
        <v>94</v>
      </c>
      <c r="J10046" s="2" t="s">
        <v>190</v>
      </c>
      <c r="K10046" t="s">
        <v>42</v>
      </c>
      <c r="Q10046">
        <v>22539</v>
      </c>
      <c r="R10046" t="s">
        <v>45</v>
      </c>
      <c r="S10046" t="s">
        <v>47277</v>
      </c>
      <c r="T10046">
        <v>27</v>
      </c>
      <c r="U10046" s="2" t="s">
        <v>60362</v>
      </c>
      <c r="W10046" t="s">
        <v>58547</v>
      </c>
      <c r="X10046">
        <v>8152711</v>
      </c>
      <c r="Y10046" t="s">
        <v>6973</v>
      </c>
      <c r="Z10046" t="s">
        <v>60363</v>
      </c>
      <c r="AA10046" s="2" t="s">
        <v>60364</v>
      </c>
      <c r="AB10046" t="s">
        <v>60365</v>
      </c>
      <c r="AF10046" t="s">
        <v>259</v>
      </c>
      <c r="AG10046" t="s">
        <v>60366</v>
      </c>
      <c r="AH10046" t="s">
        <v>60367</v>
      </c>
      <c r="AI10046" t="s">
        <v>60368</v>
      </c>
    </row>
    <row r="10047" spans="2:35" ht="270">
      <c r="B10047" s="1">
        <v>44877</v>
      </c>
      <c r="C10047" s="4">
        <v>44875.770833333336</v>
      </c>
      <c r="D10047" t="s">
        <v>2024</v>
      </c>
      <c r="E10047" t="s">
        <v>51590</v>
      </c>
      <c r="F10047">
        <v>8</v>
      </c>
      <c r="G10047" t="s">
        <v>630</v>
      </c>
      <c r="H10047" t="s">
        <v>39</v>
      </c>
      <c r="I10047" t="s">
        <v>94</v>
      </c>
      <c r="J10047" s="2" t="s">
        <v>190</v>
      </c>
      <c r="K10047" t="s">
        <v>42</v>
      </c>
      <c r="Q10047">
        <v>22538</v>
      </c>
      <c r="R10047" t="s">
        <v>45</v>
      </c>
      <c r="S10047" t="s">
        <v>47277</v>
      </c>
      <c r="T10047">
        <v>27</v>
      </c>
      <c r="U10047" s="2" t="s">
        <v>60362</v>
      </c>
      <c r="W10047" t="s">
        <v>58547</v>
      </c>
      <c r="X10047">
        <v>8152711</v>
      </c>
      <c r="Y10047" t="s">
        <v>6973</v>
      </c>
      <c r="Z10047" t="s">
        <v>60363</v>
      </c>
      <c r="AA10047" s="2" t="s">
        <v>60364</v>
      </c>
      <c r="AB10047" t="s">
        <v>60365</v>
      </c>
      <c r="AF10047" t="s">
        <v>259</v>
      </c>
      <c r="AG10047" t="s">
        <v>60369</v>
      </c>
      <c r="AH10047" t="s">
        <v>60367</v>
      </c>
      <c r="AI10047" t="s">
        <v>60370</v>
      </c>
    </row>
    <row r="10048" spans="2:35" ht="225">
      <c r="B10048" s="1">
        <v>44876</v>
      </c>
      <c r="C10048" s="4">
        <v>44876.6875</v>
      </c>
      <c r="D10048" t="s">
        <v>60371</v>
      </c>
      <c r="E10048" t="s">
        <v>60372</v>
      </c>
      <c r="F10048" t="s">
        <v>148</v>
      </c>
      <c r="G10048" t="s">
        <v>310</v>
      </c>
      <c r="H10048" t="s">
        <v>10969</v>
      </c>
      <c r="I10048" t="s">
        <v>40</v>
      </c>
      <c r="J10048" t="s">
        <v>79</v>
      </c>
      <c r="K10048" t="s">
        <v>42</v>
      </c>
      <c r="Q10048">
        <v>22537</v>
      </c>
      <c r="R10048" t="s">
        <v>95</v>
      </c>
      <c r="S10048" t="s">
        <v>859</v>
      </c>
      <c r="T10048">
        <v>21.6</v>
      </c>
      <c r="U10048" s="2" t="s">
        <v>60373</v>
      </c>
      <c r="V10048" s="1">
        <v>44876</v>
      </c>
      <c r="W10048" t="s">
        <v>60374</v>
      </c>
      <c r="X10048">
        <v>809643</v>
      </c>
      <c r="Y10048" t="s">
        <v>60375</v>
      </c>
      <c r="Z10048" t="s">
        <v>60376</v>
      </c>
      <c r="AA10048" s="2" t="s">
        <v>60377</v>
      </c>
      <c r="AB10048" s="2" t="s">
        <v>60378</v>
      </c>
      <c r="AD10048" s="2" t="s">
        <v>60379</v>
      </c>
      <c r="AE10048">
        <v>9326</v>
      </c>
      <c r="AF10048" t="s">
        <v>60380</v>
      </c>
      <c r="AG10048" t="s">
        <v>60381</v>
      </c>
      <c r="AH10048" t="s">
        <v>866</v>
      </c>
      <c r="AI10048" t="s">
        <v>60382</v>
      </c>
    </row>
    <row r="10049" spans="2:35" ht="180">
      <c r="B10049" s="1">
        <v>44876</v>
      </c>
      <c r="C10049" s="4">
        <v>44876.578472222223</v>
      </c>
      <c r="D10049" t="s">
        <v>60383</v>
      </c>
      <c r="E10049" t="s">
        <v>108</v>
      </c>
      <c r="F10049" t="s">
        <v>37</v>
      </c>
      <c r="G10049" t="s">
        <v>38</v>
      </c>
      <c r="H10049" t="s">
        <v>39</v>
      </c>
      <c r="I10049" t="s">
        <v>40</v>
      </c>
      <c r="J10049" t="s">
        <v>79</v>
      </c>
      <c r="K10049" t="s">
        <v>42</v>
      </c>
      <c r="Q10049">
        <v>22536</v>
      </c>
      <c r="R10049" t="s">
        <v>45</v>
      </c>
      <c r="S10049" t="s">
        <v>44</v>
      </c>
      <c r="T10049">
        <v>25</v>
      </c>
      <c r="U10049" s="2" t="s">
        <v>60384</v>
      </c>
      <c r="V10049" s="1">
        <v>44872</v>
      </c>
      <c r="W10049" t="s">
        <v>9792</v>
      </c>
      <c r="X10049">
        <v>804687</v>
      </c>
      <c r="Y10049" t="s">
        <v>2034</v>
      </c>
      <c r="Z10049" t="s">
        <v>712</v>
      </c>
      <c r="AA10049" s="2" t="s">
        <v>40689</v>
      </c>
      <c r="AB10049" t="s">
        <v>181</v>
      </c>
      <c r="AC10049" t="s">
        <v>60385</v>
      </c>
      <c r="AD10049" t="s">
        <v>19681</v>
      </c>
      <c r="AE10049" t="s">
        <v>60386</v>
      </c>
      <c r="AF10049" t="s">
        <v>43</v>
      </c>
      <c r="AG10049" t="s">
        <v>60387</v>
      </c>
      <c r="AH10049" t="s">
        <v>44714</v>
      </c>
      <c r="AI10049" t="s">
        <v>60388</v>
      </c>
    </row>
    <row r="10050" spans="2:35" ht="315">
      <c r="B10050" s="1">
        <v>44876</v>
      </c>
      <c r="C10050" s="4">
        <v>44876.574999999997</v>
      </c>
      <c r="D10050" t="s">
        <v>25636</v>
      </c>
      <c r="E10050" t="s">
        <v>60389</v>
      </c>
      <c r="F10050">
        <v>2</v>
      </c>
      <c r="G10050" t="s">
        <v>2668</v>
      </c>
      <c r="H10050" t="s">
        <v>5452</v>
      </c>
      <c r="I10050" t="s">
        <v>40</v>
      </c>
      <c r="J10050" s="2" t="s">
        <v>1592</v>
      </c>
      <c r="K10050" t="s">
        <v>42</v>
      </c>
      <c r="Q10050">
        <v>22535</v>
      </c>
      <c r="R10050" t="s">
        <v>45</v>
      </c>
      <c r="S10050" t="s">
        <v>60390</v>
      </c>
      <c r="T10050">
        <v>29</v>
      </c>
      <c r="U10050" s="2" t="s">
        <v>2367</v>
      </c>
      <c r="V10050" s="1">
        <v>44876</v>
      </c>
      <c r="W10050" t="s">
        <v>60283</v>
      </c>
      <c r="X10050">
        <v>805104</v>
      </c>
      <c r="Y10050" t="s">
        <v>60391</v>
      </c>
      <c r="Z10050" s="2" t="s">
        <v>60392</v>
      </c>
      <c r="AA10050" s="2" t="s">
        <v>60393</v>
      </c>
      <c r="AB10050" t="s">
        <v>70</v>
      </c>
      <c r="AC10050" t="s">
        <v>1716</v>
      </c>
      <c r="AD10050" t="s">
        <v>1716</v>
      </c>
      <c r="AE10050" t="s">
        <v>1716</v>
      </c>
      <c r="AF10050" t="s">
        <v>63</v>
      </c>
      <c r="AG10050" t="s">
        <v>60394</v>
      </c>
      <c r="AH10050" t="s">
        <v>60395</v>
      </c>
      <c r="AI10050" t="s">
        <v>60396</v>
      </c>
    </row>
    <row r="10051" spans="2:35" ht="180">
      <c r="B10051" s="1">
        <v>44876</v>
      </c>
      <c r="C10051" s="4">
        <v>44876.548611111109</v>
      </c>
      <c r="D10051" t="s">
        <v>29744</v>
      </c>
      <c r="E10051" t="s">
        <v>29745</v>
      </c>
      <c r="F10051">
        <v>3</v>
      </c>
      <c r="G10051" t="s">
        <v>174</v>
      </c>
      <c r="H10051" t="s">
        <v>39</v>
      </c>
      <c r="I10051" t="s">
        <v>40</v>
      </c>
      <c r="J10051" t="s">
        <v>79</v>
      </c>
      <c r="K10051" t="s">
        <v>42</v>
      </c>
      <c r="Q10051">
        <v>22534</v>
      </c>
      <c r="R10051" t="s">
        <v>45</v>
      </c>
      <c r="S10051" t="s">
        <v>60397</v>
      </c>
      <c r="T10051">
        <v>29</v>
      </c>
      <c r="U10051" s="2" t="s">
        <v>60398</v>
      </c>
      <c r="V10051" s="1">
        <v>44872</v>
      </c>
      <c r="W10051" t="s">
        <v>6776</v>
      </c>
      <c r="X10051">
        <v>805252</v>
      </c>
      <c r="Y10051" t="s">
        <v>60399</v>
      </c>
      <c r="Z10051" t="s">
        <v>60400</v>
      </c>
      <c r="AA10051" t="e">
        <f ca="1">- replaced monitor
- generated reports
- performed monitor functionality test</f>
        <v>#NAME?</v>
      </c>
      <c r="AB10051" t="s">
        <v>88</v>
      </c>
      <c r="AC10051" t="s">
        <v>103</v>
      </c>
      <c r="AD10051" t="s">
        <v>60401</v>
      </c>
      <c r="AE10051" t="s">
        <v>60402</v>
      </c>
      <c r="AF10051" t="s">
        <v>175</v>
      </c>
      <c r="AG10051" t="s">
        <v>60403</v>
      </c>
      <c r="AH10051" t="s">
        <v>60404</v>
      </c>
      <c r="AI10051" t="s">
        <v>60405</v>
      </c>
    </row>
    <row r="10052" spans="2:35" ht="255">
      <c r="B10052" s="1">
        <v>44876</v>
      </c>
      <c r="C10052" s="4">
        <v>44876.552777777775</v>
      </c>
      <c r="D10052" t="s">
        <v>53165</v>
      </c>
      <c r="E10052" t="s">
        <v>60406</v>
      </c>
      <c r="F10052" t="s">
        <v>148</v>
      </c>
      <c r="G10052" t="s">
        <v>310</v>
      </c>
      <c r="H10052" t="s">
        <v>2210</v>
      </c>
      <c r="I10052" t="s">
        <v>40</v>
      </c>
      <c r="J10052" t="s">
        <v>109</v>
      </c>
      <c r="K10052" t="s">
        <v>42</v>
      </c>
      <c r="Q10052">
        <v>22533</v>
      </c>
      <c r="R10052" t="s">
        <v>119</v>
      </c>
      <c r="S10052" t="s">
        <v>60407</v>
      </c>
      <c r="T10052">
        <v>28</v>
      </c>
      <c r="U10052" s="2" t="s">
        <v>60408</v>
      </c>
      <c r="W10052" t="s">
        <v>502</v>
      </c>
      <c r="X10052">
        <v>831891</v>
      </c>
      <c r="Y10052" t="s">
        <v>1716</v>
      </c>
      <c r="Z10052" t="s">
        <v>60409</v>
      </c>
      <c r="AA10052" t="s">
        <v>6997</v>
      </c>
      <c r="AB10052" t="s">
        <v>486</v>
      </c>
      <c r="AF10052" t="s">
        <v>49366</v>
      </c>
      <c r="AG10052" t="s">
        <v>60410</v>
      </c>
      <c r="AH10052" t="s">
        <v>60411</v>
      </c>
      <c r="AI10052" t="s">
        <v>60412</v>
      </c>
    </row>
    <row r="10053" spans="2:35" ht="360">
      <c r="B10053" s="1">
        <v>44876</v>
      </c>
      <c r="C10053" s="4">
        <v>44876.521527777775</v>
      </c>
      <c r="D10053" t="s">
        <v>25621</v>
      </c>
      <c r="E10053" t="s">
        <v>32269</v>
      </c>
      <c r="F10053" t="s">
        <v>37</v>
      </c>
      <c r="G10053" t="s">
        <v>189</v>
      </c>
      <c r="H10053" t="s">
        <v>39</v>
      </c>
      <c r="I10053" t="s">
        <v>40</v>
      </c>
      <c r="J10053" s="2" t="s">
        <v>60413</v>
      </c>
      <c r="K10053" t="s">
        <v>42</v>
      </c>
      <c r="Q10053">
        <v>22532</v>
      </c>
      <c r="R10053" t="s">
        <v>45</v>
      </c>
      <c r="S10053" t="s">
        <v>60414</v>
      </c>
      <c r="T10053">
        <v>21</v>
      </c>
      <c r="U10053" s="2" t="s">
        <v>60415</v>
      </c>
      <c r="V10053" s="1">
        <v>44875</v>
      </c>
      <c r="W10053" t="s">
        <v>1139</v>
      </c>
      <c r="X10053">
        <v>834627</v>
      </c>
      <c r="Y10053" t="s">
        <v>60416</v>
      </c>
      <c r="Z10053" t="s">
        <v>60417</v>
      </c>
      <c r="AA10053" t="s">
        <v>60418</v>
      </c>
      <c r="AB10053" t="s">
        <v>60419</v>
      </c>
      <c r="AD10053" t="s">
        <v>60420</v>
      </c>
      <c r="AE10053" t="s">
        <v>60421</v>
      </c>
      <c r="AF10053" t="s">
        <v>56616</v>
      </c>
      <c r="AG10053" t="s">
        <v>60422</v>
      </c>
      <c r="AH10053" t="s">
        <v>56616</v>
      </c>
      <c r="AI10053" t="s">
        <v>60423</v>
      </c>
    </row>
    <row r="10054" spans="2:35" ht="105">
      <c r="B10054" s="1">
        <v>44876</v>
      </c>
      <c r="C10054" s="4">
        <v>44875.51458333333</v>
      </c>
      <c r="D10054" t="s">
        <v>3154</v>
      </c>
      <c r="E10054" t="s">
        <v>52995</v>
      </c>
      <c r="F10054">
        <v>9</v>
      </c>
      <c r="G10054" t="s">
        <v>2197</v>
      </c>
      <c r="H10054" t="s">
        <v>39</v>
      </c>
      <c r="I10054" t="s">
        <v>40</v>
      </c>
      <c r="J10054" t="s">
        <v>2129</v>
      </c>
      <c r="K10054" t="s">
        <v>42</v>
      </c>
      <c r="Q10054">
        <v>22531</v>
      </c>
      <c r="R10054" t="s">
        <v>45</v>
      </c>
      <c r="S10054" t="s">
        <v>52996</v>
      </c>
      <c r="T10054">
        <v>23.3</v>
      </c>
      <c r="U10054" s="2" t="s">
        <v>60424</v>
      </c>
      <c r="V10054" s="1">
        <v>44875</v>
      </c>
      <c r="W10054" t="s">
        <v>6776</v>
      </c>
      <c r="X10054">
        <v>807599</v>
      </c>
      <c r="Y10054" t="s">
        <v>301</v>
      </c>
      <c r="Z10054" t="s">
        <v>2129</v>
      </c>
      <c r="AA10054" t="s">
        <v>45118</v>
      </c>
      <c r="AB10054" t="s">
        <v>60425</v>
      </c>
      <c r="AC10054" t="s">
        <v>60426</v>
      </c>
      <c r="AD10054" t="s">
        <v>54</v>
      </c>
      <c r="AE10054" t="s">
        <v>54</v>
      </c>
      <c r="AF10054" t="s">
        <v>1257</v>
      </c>
      <c r="AG10054" t="s">
        <v>60427</v>
      </c>
      <c r="AH10054" t="s">
        <v>52999</v>
      </c>
      <c r="AI10054" t="s">
        <v>60428</v>
      </c>
    </row>
    <row r="10055" spans="2:35" ht="255">
      <c r="B10055" s="1">
        <v>44876</v>
      </c>
      <c r="C10055" s="4">
        <v>44876.447222222225</v>
      </c>
      <c r="D10055" t="s">
        <v>25356</v>
      </c>
      <c r="E10055" t="s">
        <v>60429</v>
      </c>
      <c r="F10055">
        <v>11</v>
      </c>
      <c r="G10055" t="s">
        <v>201</v>
      </c>
      <c r="H10055" t="s">
        <v>39</v>
      </c>
      <c r="I10055" t="s">
        <v>40</v>
      </c>
      <c r="J10055" s="2" t="s">
        <v>41</v>
      </c>
      <c r="K10055" t="s">
        <v>42</v>
      </c>
      <c r="Q10055">
        <v>22530</v>
      </c>
      <c r="R10055" t="s">
        <v>45</v>
      </c>
      <c r="S10055" t="s">
        <v>25358</v>
      </c>
      <c r="T10055">
        <v>29.9</v>
      </c>
      <c r="U10055" s="2" t="s">
        <v>60430</v>
      </c>
      <c r="W10055" t="s">
        <v>60431</v>
      </c>
      <c r="X10055">
        <v>804693</v>
      </c>
      <c r="Y10055" t="s">
        <v>60432</v>
      </c>
      <c r="Z10055" s="2" t="s">
        <v>60433</v>
      </c>
      <c r="AA10055" s="2" t="s">
        <v>60434</v>
      </c>
      <c r="AB10055" s="2" t="s">
        <v>60435</v>
      </c>
      <c r="AF10055" t="s">
        <v>57687</v>
      </c>
      <c r="AG10055" t="s">
        <v>60436</v>
      </c>
      <c r="AH10055" t="s">
        <v>25361</v>
      </c>
      <c r="AI10055" t="s">
        <v>60437</v>
      </c>
    </row>
    <row r="10056" spans="2:35" ht="240">
      <c r="B10056" s="1">
        <v>44876</v>
      </c>
      <c r="C10056" s="4">
        <v>44876.425694444442</v>
      </c>
      <c r="D10056" t="s">
        <v>60438</v>
      </c>
      <c r="E10056" t="s">
        <v>60439</v>
      </c>
      <c r="F10056" t="s">
        <v>1255</v>
      </c>
      <c r="G10056" t="s">
        <v>1887</v>
      </c>
      <c r="H10056" t="s">
        <v>39</v>
      </c>
      <c r="I10056" t="s">
        <v>94</v>
      </c>
      <c r="J10056" s="2" t="s">
        <v>41</v>
      </c>
      <c r="K10056" t="s">
        <v>42</v>
      </c>
      <c r="Q10056">
        <v>22529</v>
      </c>
      <c r="R10056" t="s">
        <v>45</v>
      </c>
      <c r="S10056" t="s">
        <v>52903</v>
      </c>
      <c r="T10056">
        <v>25</v>
      </c>
      <c r="U10056" s="2" t="s">
        <v>60440</v>
      </c>
      <c r="V10056" s="1">
        <v>44876</v>
      </c>
      <c r="W10056" t="s">
        <v>53244</v>
      </c>
      <c r="X10056">
        <v>838135</v>
      </c>
      <c r="Y10056" t="s">
        <v>60441</v>
      </c>
      <c r="Z10056" s="2" t="s">
        <v>60442</v>
      </c>
      <c r="AA10056" s="2" t="s">
        <v>60442</v>
      </c>
      <c r="AB10056" t="s">
        <v>60443</v>
      </c>
      <c r="AC10056" t="s">
        <v>54</v>
      </c>
      <c r="AD10056" t="s">
        <v>54</v>
      </c>
      <c r="AE10056" t="s">
        <v>10783</v>
      </c>
      <c r="AF10056" t="s">
        <v>58416</v>
      </c>
      <c r="AG10056" t="s">
        <v>60444</v>
      </c>
      <c r="AH10056" t="s">
        <v>60445</v>
      </c>
      <c r="AI10056" t="s">
        <v>60446</v>
      </c>
    </row>
    <row r="10057" spans="2:35" ht="285">
      <c r="B10057" s="1">
        <v>44876</v>
      </c>
      <c r="C10057" s="4">
        <v>44876.425000000003</v>
      </c>
      <c r="D10057" t="s">
        <v>60447</v>
      </c>
      <c r="E10057" t="s">
        <v>60448</v>
      </c>
      <c r="F10057">
        <v>3</v>
      </c>
      <c r="G10057" t="s">
        <v>134</v>
      </c>
      <c r="H10057" t="s">
        <v>39</v>
      </c>
      <c r="I10057" t="s">
        <v>40</v>
      </c>
      <c r="J10057" t="s">
        <v>79</v>
      </c>
      <c r="K10057" t="s">
        <v>42</v>
      </c>
      <c r="Q10057">
        <v>22528</v>
      </c>
      <c r="R10057" t="s">
        <v>45</v>
      </c>
      <c r="S10057" t="s">
        <v>25500</v>
      </c>
      <c r="T10057">
        <v>23</v>
      </c>
      <c r="U10057" s="2" t="s">
        <v>60449</v>
      </c>
      <c r="V10057" s="1">
        <v>44872</v>
      </c>
      <c r="W10057" t="s">
        <v>6776</v>
      </c>
      <c r="X10057">
        <v>835104</v>
      </c>
      <c r="Y10057" t="s">
        <v>60450</v>
      </c>
      <c r="Z10057" t="s">
        <v>60451</v>
      </c>
      <c r="AA10057" t="e">
        <f ca="1">- generated PRE-Replacement reports
- replaced module B2
- generated new reports
- performed functionality test</f>
        <v>#NAME?</v>
      </c>
      <c r="AB10057" t="s">
        <v>60452</v>
      </c>
      <c r="AC10057" t="s">
        <v>103</v>
      </c>
      <c r="AD10057" t="s">
        <v>182</v>
      </c>
      <c r="AE10057" t="s">
        <v>60453</v>
      </c>
      <c r="AF10057" t="s">
        <v>175</v>
      </c>
      <c r="AG10057" t="s">
        <v>60454</v>
      </c>
      <c r="AH10057" t="s">
        <v>33632</v>
      </c>
      <c r="AI10057" t="s">
        <v>60455</v>
      </c>
    </row>
    <row r="10058" spans="2:35" ht="285">
      <c r="B10058" s="1">
        <v>44876</v>
      </c>
      <c r="C10058" s="4">
        <v>44876.4</v>
      </c>
      <c r="D10058" t="s">
        <v>34900</v>
      </c>
      <c r="E10058" t="s">
        <v>22213</v>
      </c>
      <c r="F10058" t="s">
        <v>37</v>
      </c>
      <c r="G10058" t="s">
        <v>38</v>
      </c>
      <c r="H10058" t="s">
        <v>39</v>
      </c>
      <c r="I10058" t="s">
        <v>40</v>
      </c>
      <c r="J10058" t="s">
        <v>79</v>
      </c>
      <c r="K10058" t="s">
        <v>42</v>
      </c>
      <c r="Q10058">
        <v>22527</v>
      </c>
      <c r="R10058" t="s">
        <v>45</v>
      </c>
      <c r="S10058" t="s">
        <v>3032</v>
      </c>
      <c r="T10058">
        <v>25</v>
      </c>
      <c r="U10058" s="2" t="s">
        <v>60456</v>
      </c>
      <c r="V10058" s="1">
        <v>44872</v>
      </c>
      <c r="W10058" t="s">
        <v>9792</v>
      </c>
      <c r="X10058">
        <v>812006</v>
      </c>
      <c r="Y10058" t="s">
        <v>30755</v>
      </c>
      <c r="Z10058" t="s">
        <v>7399</v>
      </c>
      <c r="AA10058" s="2" t="s">
        <v>60457</v>
      </c>
      <c r="AB10058" t="s">
        <v>88</v>
      </c>
      <c r="AC10058" t="s">
        <v>60458</v>
      </c>
      <c r="AD10058" t="s">
        <v>60459</v>
      </c>
      <c r="AE10058" t="s">
        <v>60460</v>
      </c>
      <c r="AF10058" t="s">
        <v>43</v>
      </c>
      <c r="AG10058" t="s">
        <v>60461</v>
      </c>
      <c r="AH10058" t="s">
        <v>10902</v>
      </c>
      <c r="AI10058" t="s">
        <v>60462</v>
      </c>
    </row>
    <row r="10059" spans="2:35" ht="180">
      <c r="B10059" s="1">
        <v>44876</v>
      </c>
      <c r="C10059" s="4">
        <v>44875.464583333334</v>
      </c>
      <c r="D10059" t="s">
        <v>60463</v>
      </c>
      <c r="E10059" t="s">
        <v>2511</v>
      </c>
      <c r="F10059" t="s">
        <v>37</v>
      </c>
      <c r="G10059" t="s">
        <v>2499</v>
      </c>
      <c r="H10059" t="s">
        <v>39</v>
      </c>
      <c r="I10059" t="s">
        <v>40</v>
      </c>
      <c r="J10059" t="s">
        <v>996</v>
      </c>
      <c r="K10059" t="s">
        <v>42</v>
      </c>
      <c r="Q10059">
        <v>22526</v>
      </c>
      <c r="R10059" t="s">
        <v>119</v>
      </c>
      <c r="S10059" t="s">
        <v>35012</v>
      </c>
      <c r="T10059">
        <v>24</v>
      </c>
      <c r="U10059" s="2" t="s">
        <v>60464</v>
      </c>
      <c r="W10059" t="s">
        <v>9792</v>
      </c>
      <c r="X10059">
        <v>831890</v>
      </c>
      <c r="Y10059" t="s">
        <v>1111</v>
      </c>
      <c r="Z10059" t="s">
        <v>999</v>
      </c>
      <c r="AA10059" s="2" t="s">
        <v>37058</v>
      </c>
      <c r="AB10059" t="s">
        <v>88</v>
      </c>
      <c r="AC10059" t="s">
        <v>60465</v>
      </c>
      <c r="AF10059" t="s">
        <v>43</v>
      </c>
      <c r="AG10059" t="s">
        <v>60466</v>
      </c>
      <c r="AH10059" t="s">
        <v>37482</v>
      </c>
      <c r="AI10059" t="s">
        <v>60467</v>
      </c>
    </row>
    <row r="10060" spans="2:35" ht="180">
      <c r="B10060" s="1">
        <v>44876</v>
      </c>
      <c r="C10060" s="4">
        <v>44876.372916666667</v>
      </c>
      <c r="D10060" t="s">
        <v>50876</v>
      </c>
      <c r="E10060" t="s">
        <v>60468</v>
      </c>
      <c r="F10060" t="s">
        <v>148</v>
      </c>
      <c r="G10060" t="s">
        <v>310</v>
      </c>
      <c r="H10060" t="s">
        <v>39</v>
      </c>
      <c r="I10060" t="s">
        <v>40</v>
      </c>
      <c r="J10060" t="s">
        <v>79</v>
      </c>
      <c r="K10060" t="s">
        <v>42</v>
      </c>
      <c r="Q10060">
        <v>22525</v>
      </c>
      <c r="R10060" t="s">
        <v>119</v>
      </c>
      <c r="S10060" t="s">
        <v>34536</v>
      </c>
      <c r="T10060">
        <v>32</v>
      </c>
      <c r="U10060" s="2" t="s">
        <v>60469</v>
      </c>
      <c r="V10060" s="1">
        <v>44872</v>
      </c>
      <c r="W10060" t="s">
        <v>502</v>
      </c>
      <c r="X10060">
        <v>831527</v>
      </c>
      <c r="Y10060" t="s">
        <v>58420</v>
      </c>
      <c r="Z10060" t="s">
        <v>60470</v>
      </c>
      <c r="AA10060" t="s">
        <v>9749</v>
      </c>
      <c r="AB10060" t="s">
        <v>60471</v>
      </c>
      <c r="AD10060" t="s">
        <v>9432</v>
      </c>
      <c r="AE10060" t="s">
        <v>60472</v>
      </c>
      <c r="AF10060" t="s">
        <v>448</v>
      </c>
      <c r="AG10060" t="s">
        <v>60473</v>
      </c>
      <c r="AH10060" t="s">
        <v>448</v>
      </c>
      <c r="AI10060" t="s">
        <v>60474</v>
      </c>
    </row>
    <row r="10061" spans="2:35" ht="409.5">
      <c r="B10061" s="1">
        <v>44875</v>
      </c>
      <c r="C10061" s="4">
        <v>44875.6875</v>
      </c>
      <c r="D10061" t="s">
        <v>56925</v>
      </c>
      <c r="E10061" t="s">
        <v>60429</v>
      </c>
      <c r="F10061">
        <v>11</v>
      </c>
      <c r="G10061" t="s">
        <v>201</v>
      </c>
      <c r="H10061" t="s">
        <v>39</v>
      </c>
      <c r="I10061" t="s">
        <v>40</v>
      </c>
      <c r="J10061" s="2" t="s">
        <v>41</v>
      </c>
      <c r="K10061" t="s">
        <v>42</v>
      </c>
      <c r="Q10061">
        <v>22524</v>
      </c>
      <c r="R10061" t="s">
        <v>45</v>
      </c>
      <c r="S10061" t="s">
        <v>59272</v>
      </c>
      <c r="T10061">
        <v>20.7</v>
      </c>
      <c r="U10061" s="2" t="s">
        <v>60475</v>
      </c>
      <c r="V10061" s="1">
        <v>44875</v>
      </c>
      <c r="W10061" t="s">
        <v>26281</v>
      </c>
      <c r="X10061">
        <v>835221</v>
      </c>
      <c r="Y10061" t="s">
        <v>60476</v>
      </c>
      <c r="Z10061" t="s">
        <v>2129</v>
      </c>
      <c r="AA10061" s="2" t="s">
        <v>60477</v>
      </c>
      <c r="AB10061" t="s">
        <v>9590</v>
      </c>
      <c r="AD10061" t="s">
        <v>10253</v>
      </c>
      <c r="AE10061">
        <v>0</v>
      </c>
      <c r="AF10061" t="s">
        <v>57687</v>
      </c>
      <c r="AG10061" t="s">
        <v>60478</v>
      </c>
      <c r="AH10061" t="s">
        <v>60479</v>
      </c>
      <c r="AI10061" t="s">
        <v>60480</v>
      </c>
    </row>
    <row r="10062" spans="2:35">
      <c r="B10062" s="1">
        <v>44875</v>
      </c>
      <c r="C10062" s="4">
        <v>44875.601388888892</v>
      </c>
      <c r="D10062" t="s">
        <v>48991</v>
      </c>
      <c r="E10062" t="s">
        <v>60481</v>
      </c>
      <c r="F10062" t="s">
        <v>148</v>
      </c>
      <c r="G10062" t="s">
        <v>774</v>
      </c>
      <c r="H10062" t="s">
        <v>386</v>
      </c>
      <c r="I10062" t="s">
        <v>40</v>
      </c>
      <c r="J10062" t="s">
        <v>109</v>
      </c>
      <c r="K10062" t="s">
        <v>387</v>
      </c>
      <c r="Q10062">
        <v>22523</v>
      </c>
      <c r="R10062" t="s">
        <v>95</v>
      </c>
      <c r="S10062" t="s">
        <v>60482</v>
      </c>
      <c r="T10062">
        <v>26</v>
      </c>
      <c r="W10062" t="s">
        <v>49610</v>
      </c>
      <c r="X10062" t="s">
        <v>3773</v>
      </c>
      <c r="Y10062" t="s">
        <v>60483</v>
      </c>
      <c r="Z10062" t="s">
        <v>60484</v>
      </c>
      <c r="AA10062" t="s">
        <v>60485</v>
      </c>
      <c r="AB10062" t="s">
        <v>486</v>
      </c>
      <c r="AF10062" t="s">
        <v>448</v>
      </c>
      <c r="AG10062" t="s">
        <v>60486</v>
      </c>
      <c r="AH10062" t="s">
        <v>448</v>
      </c>
      <c r="AI10062" t="s">
        <v>60487</v>
      </c>
    </row>
    <row r="10063" spans="2:35" ht="285">
      <c r="B10063" s="1">
        <v>44875</v>
      </c>
      <c r="C10063" s="4">
        <v>44875.629166666666</v>
      </c>
      <c r="D10063" t="s">
        <v>60488</v>
      </c>
      <c r="E10063" t="s">
        <v>60489</v>
      </c>
      <c r="F10063" t="s">
        <v>148</v>
      </c>
      <c r="G10063" t="s">
        <v>230</v>
      </c>
      <c r="H10063" t="s">
        <v>39</v>
      </c>
      <c r="I10063" t="s">
        <v>40</v>
      </c>
      <c r="J10063" s="2" t="s">
        <v>10778</v>
      </c>
      <c r="K10063" t="s">
        <v>42</v>
      </c>
      <c r="Q10063">
        <v>22522</v>
      </c>
      <c r="R10063" t="s">
        <v>45</v>
      </c>
      <c r="S10063" t="s">
        <v>60490</v>
      </c>
      <c r="T10063">
        <v>21</v>
      </c>
      <c r="U10063" s="2" t="s">
        <v>60491</v>
      </c>
      <c r="V10063" s="1">
        <v>44875</v>
      </c>
      <c r="W10063" t="s">
        <v>1139</v>
      </c>
      <c r="X10063">
        <v>805062</v>
      </c>
      <c r="Y10063" t="s">
        <v>60492</v>
      </c>
      <c r="Z10063" t="s">
        <v>2129</v>
      </c>
      <c r="AA10063" t="s">
        <v>1926</v>
      </c>
      <c r="AB10063" t="s">
        <v>181</v>
      </c>
      <c r="AD10063" t="s">
        <v>60493</v>
      </c>
      <c r="AE10063" t="s">
        <v>60494</v>
      </c>
      <c r="AF10063" t="s">
        <v>55932</v>
      </c>
      <c r="AG10063" t="s">
        <v>60495</v>
      </c>
      <c r="AH10063" t="s">
        <v>60496</v>
      </c>
      <c r="AI10063" t="s">
        <v>60497</v>
      </c>
    </row>
    <row r="10064" spans="2:35" ht="105">
      <c r="B10064" s="1">
        <v>44875</v>
      </c>
      <c r="C10064" s="4">
        <v>44875.597222222219</v>
      </c>
      <c r="D10064" t="s">
        <v>50767</v>
      </c>
      <c r="E10064" t="s">
        <v>60498</v>
      </c>
      <c r="F10064">
        <v>13</v>
      </c>
      <c r="G10064" t="s">
        <v>8524</v>
      </c>
      <c r="H10064" t="s">
        <v>2125</v>
      </c>
      <c r="I10064" t="s">
        <v>40</v>
      </c>
      <c r="J10064" s="2" t="s">
        <v>6210</v>
      </c>
      <c r="K10064" t="s">
        <v>42</v>
      </c>
      <c r="Q10064">
        <v>22521</v>
      </c>
      <c r="R10064" t="s">
        <v>45</v>
      </c>
      <c r="S10064" t="s">
        <v>50769</v>
      </c>
      <c r="T10064">
        <v>23</v>
      </c>
      <c r="U10064" s="2" t="s">
        <v>37560</v>
      </c>
      <c r="V10064" s="1">
        <v>44855</v>
      </c>
      <c r="W10064" t="s">
        <v>54940</v>
      </c>
      <c r="X10064">
        <v>805280</v>
      </c>
      <c r="Y10064" t="s">
        <v>60499</v>
      </c>
      <c r="Z10064" t="s">
        <v>8446</v>
      </c>
      <c r="AA10064" t="s">
        <v>60500</v>
      </c>
      <c r="AB10064" t="s">
        <v>60501</v>
      </c>
      <c r="AD10064" t="s">
        <v>60502</v>
      </c>
      <c r="AE10064">
        <v>36242</v>
      </c>
      <c r="AF10064" t="s">
        <v>58042</v>
      </c>
      <c r="AG10064" t="s">
        <v>60503</v>
      </c>
      <c r="AH10064" t="s">
        <v>42256</v>
      </c>
      <c r="AI10064" t="s">
        <v>60504</v>
      </c>
    </row>
    <row r="10065" spans="2:35" ht="270">
      <c r="B10065" s="1">
        <v>44875</v>
      </c>
      <c r="C10065" s="4">
        <v>44874.401388888888</v>
      </c>
      <c r="D10065" t="s">
        <v>60505</v>
      </c>
      <c r="E10065" t="s">
        <v>60506</v>
      </c>
      <c r="F10065">
        <v>8</v>
      </c>
      <c r="G10065" t="s">
        <v>2945</v>
      </c>
      <c r="H10065" t="s">
        <v>39</v>
      </c>
      <c r="I10065" t="s">
        <v>94</v>
      </c>
      <c r="J10065" s="2" t="s">
        <v>31863</v>
      </c>
      <c r="K10065" t="s">
        <v>42</v>
      </c>
      <c r="Q10065">
        <v>22520</v>
      </c>
      <c r="R10065" t="s">
        <v>45</v>
      </c>
      <c r="S10065" t="s">
        <v>60507</v>
      </c>
      <c r="T10065">
        <v>27</v>
      </c>
      <c r="U10065" s="2" t="s">
        <v>60508</v>
      </c>
      <c r="V10065" s="1">
        <v>44796</v>
      </c>
      <c r="W10065" t="s">
        <v>58547</v>
      </c>
      <c r="X10065">
        <v>804262</v>
      </c>
      <c r="Y10065" s="2" t="s">
        <v>60509</v>
      </c>
      <c r="Z10065" t="e">
        <f ca="1">-Preventive Maintenance
- performed self test on module B3</f>
        <v>#NAME?</v>
      </c>
      <c r="AA10065" s="2" t="s">
        <v>60510</v>
      </c>
      <c r="AB10065" t="s">
        <v>47891</v>
      </c>
      <c r="AD10065" t="s">
        <v>60511</v>
      </c>
      <c r="AE10065" t="s">
        <v>60512</v>
      </c>
      <c r="AF10065" t="s">
        <v>60513</v>
      </c>
      <c r="AG10065" t="s">
        <v>60514</v>
      </c>
      <c r="AH10065" t="s">
        <v>60515</v>
      </c>
      <c r="AI10065" t="s">
        <v>60516</v>
      </c>
    </row>
    <row r="10066" spans="2:35" ht="90">
      <c r="B10066" s="1">
        <v>44875</v>
      </c>
      <c r="C10066" s="4">
        <v>44875.447222222225</v>
      </c>
      <c r="D10066" t="s">
        <v>40257</v>
      </c>
      <c r="E10066" t="s">
        <v>40258</v>
      </c>
      <c r="F10066">
        <v>8</v>
      </c>
      <c r="G10066" t="s">
        <v>342</v>
      </c>
      <c r="H10066" t="s">
        <v>1047</v>
      </c>
      <c r="I10066" t="s">
        <v>94</v>
      </c>
      <c r="J10066" s="2" t="s">
        <v>62</v>
      </c>
      <c r="K10066" t="s">
        <v>42</v>
      </c>
      <c r="Q10066">
        <v>22519</v>
      </c>
      <c r="R10066" t="s">
        <v>45</v>
      </c>
      <c r="S10066" t="s">
        <v>60517</v>
      </c>
      <c r="T10066">
        <v>30</v>
      </c>
      <c r="U10066" s="2" t="s">
        <v>60518</v>
      </c>
      <c r="V10066" s="1">
        <v>44875</v>
      </c>
      <c r="W10066" t="s">
        <v>58547</v>
      </c>
      <c r="X10066">
        <v>807619</v>
      </c>
      <c r="Y10066" t="s">
        <v>60519</v>
      </c>
      <c r="Z10066" t="s">
        <v>60520</v>
      </c>
      <c r="AA10066" t="e">
        <f ca="1">-Preventive Maintenance
-XpertCheck CALIBRATION module (A3,A4)</f>
        <v>#NAME?</v>
      </c>
      <c r="AB10066" t="s">
        <v>60521</v>
      </c>
      <c r="AC10066" t="e">
        <f ca="1">-Observe module (A3, A4) _xludf.For module _xludf.error</f>
        <v>#NAME?</v>
      </c>
      <c r="AD10066" t="s">
        <v>60522</v>
      </c>
      <c r="AE10066" t="s">
        <v>60523</v>
      </c>
      <c r="AF10066" t="s">
        <v>259</v>
      </c>
      <c r="AG10066" t="s">
        <v>60524</v>
      </c>
      <c r="AH10066" t="s">
        <v>60525</v>
      </c>
      <c r="AI10066" t="s">
        <v>60526</v>
      </c>
    </row>
    <row r="10067" spans="2:35" ht="180">
      <c r="B10067" s="1">
        <v>44875</v>
      </c>
      <c r="C10067" s="4">
        <v>44875.424305555556</v>
      </c>
      <c r="D10067" t="s">
        <v>60527</v>
      </c>
      <c r="E10067" t="s">
        <v>60528</v>
      </c>
      <c r="F10067" t="s">
        <v>148</v>
      </c>
      <c r="G10067" t="s">
        <v>310</v>
      </c>
      <c r="H10067" t="s">
        <v>2210</v>
      </c>
      <c r="I10067" t="s">
        <v>40</v>
      </c>
      <c r="J10067" t="s">
        <v>525</v>
      </c>
      <c r="K10067" t="s">
        <v>42</v>
      </c>
      <c r="Q10067">
        <v>22518</v>
      </c>
      <c r="R10067" t="s">
        <v>119</v>
      </c>
      <c r="S10067" t="s">
        <v>40103</v>
      </c>
      <c r="T10067">
        <v>27.8</v>
      </c>
      <c r="U10067" s="2" t="s">
        <v>60529</v>
      </c>
      <c r="W10067" t="s">
        <v>502</v>
      </c>
      <c r="X10067">
        <v>831684</v>
      </c>
      <c r="Y10067" t="s">
        <v>60530</v>
      </c>
      <c r="Z10067" t="s">
        <v>60531</v>
      </c>
      <c r="AA10067" t="s">
        <v>32947</v>
      </c>
      <c r="AB10067" t="s">
        <v>60532</v>
      </c>
      <c r="AC10067" t="s">
        <v>60533</v>
      </c>
      <c r="AF10067" t="s">
        <v>448</v>
      </c>
      <c r="AG10067" t="s">
        <v>60534</v>
      </c>
      <c r="AH10067" t="s">
        <v>448</v>
      </c>
      <c r="AI10067" t="s">
        <v>60535</v>
      </c>
    </row>
    <row r="10068" spans="2:35" ht="180">
      <c r="B10068" s="1">
        <v>44875</v>
      </c>
      <c r="C10068" s="4">
        <v>44875.404166666667</v>
      </c>
      <c r="D10068" t="s">
        <v>31886</v>
      </c>
      <c r="E10068" t="s">
        <v>31887</v>
      </c>
      <c r="F10068" t="s">
        <v>1181</v>
      </c>
      <c r="G10068" t="s">
        <v>7148</v>
      </c>
      <c r="H10068" t="s">
        <v>39</v>
      </c>
      <c r="I10068" t="s">
        <v>40</v>
      </c>
      <c r="J10068" s="2" t="s">
        <v>17375</v>
      </c>
      <c r="K10068" t="s">
        <v>42</v>
      </c>
      <c r="Q10068">
        <v>22517</v>
      </c>
      <c r="R10068" t="s">
        <v>45</v>
      </c>
      <c r="S10068" t="s">
        <v>60536</v>
      </c>
      <c r="T10068">
        <v>25</v>
      </c>
      <c r="U10068" s="2" t="s">
        <v>60537</v>
      </c>
      <c r="V10068" s="1">
        <v>44852</v>
      </c>
      <c r="W10068" t="s">
        <v>84</v>
      </c>
      <c r="X10068">
        <v>812791</v>
      </c>
      <c r="Y10068" t="s">
        <v>60538</v>
      </c>
      <c r="Z10068" t="s">
        <v>60539</v>
      </c>
      <c r="AA10068" t="s">
        <v>51654</v>
      </c>
      <c r="AB10068" t="s">
        <v>88</v>
      </c>
      <c r="AC10068" t="s">
        <v>60540</v>
      </c>
      <c r="AD10068" t="s">
        <v>18642</v>
      </c>
      <c r="AE10068" t="s">
        <v>60541</v>
      </c>
      <c r="AF10068" t="s">
        <v>1943</v>
      </c>
      <c r="AG10068" t="s">
        <v>60542</v>
      </c>
      <c r="AH10068" t="s">
        <v>60543</v>
      </c>
      <c r="AI10068" t="s">
        <v>60544</v>
      </c>
    </row>
    <row r="10069" spans="2:35" ht="315">
      <c r="B10069" s="1">
        <v>44874</v>
      </c>
      <c r="C10069" s="4">
        <v>44874.793749999997</v>
      </c>
      <c r="D10069" t="s">
        <v>60545</v>
      </c>
      <c r="E10069" t="s">
        <v>1908</v>
      </c>
      <c r="F10069">
        <v>1</v>
      </c>
      <c r="G10069" t="s">
        <v>1922</v>
      </c>
      <c r="H10069" t="s">
        <v>39</v>
      </c>
      <c r="I10069" t="s">
        <v>40</v>
      </c>
      <c r="J10069" s="2" t="s">
        <v>60546</v>
      </c>
      <c r="K10069" t="s">
        <v>42</v>
      </c>
      <c r="Q10069">
        <v>22516</v>
      </c>
      <c r="R10069" t="s">
        <v>45</v>
      </c>
      <c r="S10069" t="s">
        <v>1911</v>
      </c>
      <c r="T10069">
        <v>23</v>
      </c>
      <c r="U10069" s="2" t="s">
        <v>60547</v>
      </c>
      <c r="W10069" t="s">
        <v>6776</v>
      </c>
      <c r="X10069">
        <v>707524</v>
      </c>
      <c r="Y10069" t="s">
        <v>60548</v>
      </c>
      <c r="Z10069" t="s">
        <v>60549</v>
      </c>
      <c r="AA10069" t="e">
        <f ca="1">- installed new Laptop
- Back up database, ARCHIVE, Previous tests
- copied _xludf.files FROM Back up Laptop to new Laptop
- imported database
- adjusted _xludf.Date _xludf.and _xludf.time
- performed functionality test
- pulled Out Back up Laptop (model: Lenovo, SN: CPH1019F03266)</f>
        <v>#NAME?</v>
      </c>
      <c r="AB10069" t="s">
        <v>181</v>
      </c>
      <c r="AC10069" t="s">
        <v>103</v>
      </c>
      <c r="AF10069" t="s">
        <v>175</v>
      </c>
      <c r="AG10069" t="s">
        <v>60550</v>
      </c>
      <c r="AH10069" t="s">
        <v>54217</v>
      </c>
      <c r="AI10069" t="s">
        <v>60551</v>
      </c>
    </row>
    <row r="10070" spans="2:35" ht="270">
      <c r="B10070" s="1">
        <v>44874</v>
      </c>
      <c r="C10070" s="4">
        <v>44874.678472222222</v>
      </c>
      <c r="D10070" t="s">
        <v>60552</v>
      </c>
      <c r="E10070" t="s">
        <v>24588</v>
      </c>
      <c r="F10070">
        <v>1</v>
      </c>
      <c r="G10070" t="s">
        <v>1922</v>
      </c>
      <c r="H10070" t="s">
        <v>39</v>
      </c>
      <c r="I10070" t="s">
        <v>40</v>
      </c>
      <c r="J10070" t="s">
        <v>79</v>
      </c>
      <c r="K10070" t="s">
        <v>42</v>
      </c>
      <c r="Q10070">
        <v>22515</v>
      </c>
      <c r="R10070" t="s">
        <v>45</v>
      </c>
      <c r="S10070" t="s">
        <v>60553</v>
      </c>
      <c r="T10070">
        <v>25</v>
      </c>
      <c r="U10070" s="2" t="s">
        <v>60554</v>
      </c>
      <c r="W10070" t="s">
        <v>6776</v>
      </c>
      <c r="X10070">
        <v>808622</v>
      </c>
      <c r="Y10070" t="s">
        <v>60555</v>
      </c>
      <c r="Z10070" t="s">
        <v>712</v>
      </c>
      <c r="AA10070" s="2" t="s">
        <v>60556</v>
      </c>
      <c r="AB10070" t="s">
        <v>88</v>
      </c>
      <c r="AC10070" t="s">
        <v>103</v>
      </c>
      <c r="AF10070" t="s">
        <v>175</v>
      </c>
      <c r="AG10070" t="s">
        <v>60557</v>
      </c>
      <c r="AH10070" t="s">
        <v>60558</v>
      </c>
      <c r="AI10070" t="s">
        <v>60559</v>
      </c>
    </row>
    <row r="10071" spans="2:35" ht="270">
      <c r="B10071" s="1">
        <v>44874</v>
      </c>
      <c r="C10071" s="4">
        <v>44874.579861111109</v>
      </c>
      <c r="D10071" t="s">
        <v>47402</v>
      </c>
      <c r="E10071" t="s">
        <v>29968</v>
      </c>
      <c r="F10071">
        <v>11</v>
      </c>
      <c r="G10071" t="s">
        <v>1205</v>
      </c>
      <c r="H10071" t="s">
        <v>39</v>
      </c>
      <c r="I10071" t="s">
        <v>40</v>
      </c>
      <c r="J10071" s="2" t="s">
        <v>62</v>
      </c>
      <c r="K10071" t="s">
        <v>42</v>
      </c>
      <c r="Q10071">
        <v>22514</v>
      </c>
      <c r="R10071" t="s">
        <v>45</v>
      </c>
      <c r="S10071" t="s">
        <v>47404</v>
      </c>
      <c r="T10071">
        <v>29.6</v>
      </c>
      <c r="U10071" s="2" t="s">
        <v>60560</v>
      </c>
      <c r="V10071" s="1">
        <v>44874</v>
      </c>
      <c r="W10071" t="s">
        <v>58604</v>
      </c>
      <c r="X10071">
        <v>838889</v>
      </c>
      <c r="Y10071" t="s">
        <v>60561</v>
      </c>
      <c r="Z10071" t="s">
        <v>2551</v>
      </c>
      <c r="AA10071" s="2" t="s">
        <v>60562</v>
      </c>
      <c r="AB10071" t="s">
        <v>46441</v>
      </c>
      <c r="AC10071" t="s">
        <v>60563</v>
      </c>
      <c r="AD10071" t="s">
        <v>60564</v>
      </c>
      <c r="AE10071">
        <v>0</v>
      </c>
      <c r="AF10071" t="s">
        <v>57687</v>
      </c>
      <c r="AG10071" t="s">
        <v>60565</v>
      </c>
      <c r="AH10071" t="s">
        <v>60566</v>
      </c>
      <c r="AI10071" t="s">
        <v>60567</v>
      </c>
    </row>
    <row r="10072" spans="2:35" ht="375">
      <c r="B10072" s="1">
        <v>44874</v>
      </c>
      <c r="C10072" s="4">
        <v>44874.60833333333</v>
      </c>
      <c r="D10072" t="s">
        <v>55461</v>
      </c>
      <c r="E10072" t="s">
        <v>59846</v>
      </c>
      <c r="F10072" t="s">
        <v>148</v>
      </c>
      <c r="G10072" t="s">
        <v>447</v>
      </c>
      <c r="H10072" t="s">
        <v>150</v>
      </c>
      <c r="I10072" t="s">
        <v>40</v>
      </c>
      <c r="J10072" t="s">
        <v>58634</v>
      </c>
      <c r="K10072" t="s">
        <v>42</v>
      </c>
      <c r="Q10072">
        <v>22513</v>
      </c>
      <c r="R10072" t="s">
        <v>322</v>
      </c>
      <c r="S10072" t="s">
        <v>1147</v>
      </c>
      <c r="T10072">
        <v>25.6</v>
      </c>
      <c r="U10072" s="2" t="s">
        <v>59847</v>
      </c>
      <c r="V10072" s="1">
        <v>44874</v>
      </c>
      <c r="W10072" t="s">
        <v>2384</v>
      </c>
      <c r="X10072">
        <v>838837</v>
      </c>
      <c r="Y10072" t="s">
        <v>59848</v>
      </c>
      <c r="Z10072" t="s">
        <v>59849</v>
      </c>
      <c r="AA10072" t="s">
        <v>59850</v>
      </c>
      <c r="AB10072" t="s">
        <v>59851</v>
      </c>
      <c r="AD10072" t="s">
        <v>3628</v>
      </c>
      <c r="AE10072" t="s">
        <v>1716</v>
      </c>
      <c r="AF10072" t="s">
        <v>49366</v>
      </c>
      <c r="AG10072" t="s">
        <v>59852</v>
      </c>
      <c r="AH10072" t="s">
        <v>59853</v>
      </c>
      <c r="AI10072" t="s">
        <v>59854</v>
      </c>
    </row>
    <row r="10073" spans="2:35" ht="105">
      <c r="B10073" s="1">
        <v>44874</v>
      </c>
      <c r="C10073" s="4">
        <v>44874.50277777778</v>
      </c>
      <c r="D10073" t="s">
        <v>30233</v>
      </c>
      <c r="E10073" t="s">
        <v>60568</v>
      </c>
      <c r="F10073" t="s">
        <v>37</v>
      </c>
      <c r="G10073" t="s">
        <v>748</v>
      </c>
      <c r="H10073" t="s">
        <v>39</v>
      </c>
      <c r="I10073" t="s">
        <v>40</v>
      </c>
      <c r="J10073" s="2" t="s">
        <v>60569</v>
      </c>
      <c r="K10073" t="s">
        <v>42</v>
      </c>
      <c r="Q10073">
        <v>22512</v>
      </c>
      <c r="R10073" t="s">
        <v>45</v>
      </c>
      <c r="S10073" t="s">
        <v>37309</v>
      </c>
      <c r="T10073">
        <v>25</v>
      </c>
      <c r="U10073" s="2" t="s">
        <v>4337</v>
      </c>
      <c r="V10073" s="1">
        <v>44872</v>
      </c>
      <c r="W10073" t="s">
        <v>84</v>
      </c>
      <c r="X10073">
        <v>812835</v>
      </c>
      <c r="Y10073" t="s">
        <v>60570</v>
      </c>
      <c r="Z10073" t="s">
        <v>60539</v>
      </c>
      <c r="AA10073" t="s">
        <v>51654</v>
      </c>
      <c r="AB10073" t="s">
        <v>181</v>
      </c>
      <c r="AC10073" t="s">
        <v>60571</v>
      </c>
      <c r="AD10073" t="s">
        <v>18642</v>
      </c>
      <c r="AE10073" t="s">
        <v>60572</v>
      </c>
      <c r="AF10073" t="s">
        <v>60573</v>
      </c>
      <c r="AG10073" t="s">
        <v>60574</v>
      </c>
      <c r="AH10073" t="s">
        <v>60575</v>
      </c>
      <c r="AI10073" t="s">
        <v>60576</v>
      </c>
    </row>
    <row r="10074" spans="2:35" ht="345">
      <c r="B10074" s="1">
        <v>44874</v>
      </c>
      <c r="C10074" s="4">
        <v>44874.425694444442</v>
      </c>
      <c r="D10074" t="s">
        <v>60577</v>
      </c>
      <c r="E10074" t="s">
        <v>2598</v>
      </c>
      <c r="F10074">
        <v>1</v>
      </c>
      <c r="G10074" t="s">
        <v>2599</v>
      </c>
      <c r="H10074" t="s">
        <v>60578</v>
      </c>
      <c r="I10074" t="s">
        <v>40</v>
      </c>
      <c r="J10074" s="2" t="s">
        <v>2170</v>
      </c>
      <c r="K10074" t="s">
        <v>42</v>
      </c>
      <c r="Q10074">
        <v>22511</v>
      </c>
      <c r="R10074" t="s">
        <v>119</v>
      </c>
      <c r="S10074" t="s">
        <v>29376</v>
      </c>
      <c r="T10074">
        <v>25</v>
      </c>
      <c r="U10074" s="2" t="s">
        <v>60579</v>
      </c>
      <c r="V10074" s="1">
        <v>44872</v>
      </c>
      <c r="W10074" t="s">
        <v>6776</v>
      </c>
      <c r="X10074">
        <v>831908</v>
      </c>
      <c r="Y10074" t="s">
        <v>6777</v>
      </c>
      <c r="Z10074" t="s">
        <v>58778</v>
      </c>
      <c r="AA10074" s="2" t="s">
        <v>60580</v>
      </c>
      <c r="AB10074" t="s">
        <v>88</v>
      </c>
      <c r="AC10074" t="s">
        <v>60581</v>
      </c>
      <c r="AD10074" t="s">
        <v>182</v>
      </c>
      <c r="AE10074">
        <v>9320</v>
      </c>
      <c r="AF10074" t="s">
        <v>60582</v>
      </c>
      <c r="AG10074" t="s">
        <v>60583</v>
      </c>
      <c r="AH10074" t="s">
        <v>29406</v>
      </c>
      <c r="AI10074" t="s">
        <v>60584</v>
      </c>
    </row>
    <row r="10075" spans="2:35" ht="255">
      <c r="B10075" s="1">
        <v>44874</v>
      </c>
      <c r="C10075" s="4">
        <v>44874.40625</v>
      </c>
      <c r="D10075" t="s">
        <v>60577</v>
      </c>
      <c r="E10075" t="s">
        <v>2598</v>
      </c>
      <c r="F10075">
        <v>1</v>
      </c>
      <c r="G10075" t="s">
        <v>2599</v>
      </c>
      <c r="H10075" t="s">
        <v>60578</v>
      </c>
      <c r="I10075" t="s">
        <v>40</v>
      </c>
      <c r="J10075" t="s">
        <v>109</v>
      </c>
      <c r="K10075" t="s">
        <v>42</v>
      </c>
      <c r="Q10075">
        <v>22510</v>
      </c>
      <c r="R10075" t="s">
        <v>45</v>
      </c>
      <c r="S10075" t="s">
        <v>29376</v>
      </c>
      <c r="T10075">
        <v>25</v>
      </c>
      <c r="U10075" s="2" t="s">
        <v>60585</v>
      </c>
      <c r="V10075" s="1">
        <v>44874</v>
      </c>
      <c r="W10075" t="s">
        <v>6776</v>
      </c>
      <c r="X10075">
        <v>838168</v>
      </c>
      <c r="Y10075" t="s">
        <v>374</v>
      </c>
      <c r="Z10075" t="s">
        <v>60586</v>
      </c>
      <c r="AA10075" s="2" t="s">
        <v>60587</v>
      </c>
      <c r="AB10075" t="s">
        <v>60588</v>
      </c>
      <c r="AC10075" t="s">
        <v>60589</v>
      </c>
      <c r="AD10075" t="s">
        <v>103</v>
      </c>
      <c r="AE10075" t="s">
        <v>103</v>
      </c>
      <c r="AF10075" t="s">
        <v>60582</v>
      </c>
      <c r="AG10075" t="s">
        <v>60590</v>
      </c>
      <c r="AH10075" t="s">
        <v>29406</v>
      </c>
      <c r="AI10075" t="s">
        <v>60591</v>
      </c>
    </row>
    <row r="10076" spans="2:35" ht="180">
      <c r="B10076" s="1">
        <v>44874</v>
      </c>
      <c r="C10076" s="4">
        <v>44874.349305555559</v>
      </c>
      <c r="D10076" t="s">
        <v>60592</v>
      </c>
      <c r="E10076" t="s">
        <v>60593</v>
      </c>
      <c r="F10076" t="s">
        <v>37</v>
      </c>
      <c r="G10076" t="s">
        <v>2499</v>
      </c>
      <c r="H10076" t="s">
        <v>39</v>
      </c>
      <c r="I10076" t="s">
        <v>40</v>
      </c>
      <c r="J10076" s="2" t="s">
        <v>190</v>
      </c>
      <c r="K10076" t="s">
        <v>42</v>
      </c>
      <c r="Q10076">
        <v>22509</v>
      </c>
      <c r="R10076" t="s">
        <v>119</v>
      </c>
      <c r="S10076" t="s">
        <v>33456</v>
      </c>
      <c r="T10076">
        <v>23</v>
      </c>
      <c r="U10076" s="2" t="s">
        <v>60594</v>
      </c>
      <c r="W10076" t="s">
        <v>9792</v>
      </c>
      <c r="X10076">
        <v>831889</v>
      </c>
      <c r="Y10076" t="s">
        <v>60595</v>
      </c>
      <c r="Z10076" t="s">
        <v>60596</v>
      </c>
      <c r="AA10076" s="2" t="s">
        <v>60597</v>
      </c>
      <c r="AB10076" t="s">
        <v>60598</v>
      </c>
      <c r="AC10076" t="s">
        <v>60599</v>
      </c>
      <c r="AF10076" t="s">
        <v>43</v>
      </c>
      <c r="AG10076" t="s">
        <v>60600</v>
      </c>
      <c r="AH10076" t="s">
        <v>33461</v>
      </c>
      <c r="AI10076" t="s">
        <v>60601</v>
      </c>
    </row>
    <row r="10077" spans="2:35" ht="180">
      <c r="B10077" s="1">
        <v>44874</v>
      </c>
      <c r="C10077" s="4">
        <v>44873.626388888886</v>
      </c>
      <c r="D10077" t="s">
        <v>2520</v>
      </c>
      <c r="E10077" t="s">
        <v>60602</v>
      </c>
      <c r="F10077" t="s">
        <v>37</v>
      </c>
      <c r="G10077" t="s">
        <v>2499</v>
      </c>
      <c r="H10077" t="s">
        <v>39</v>
      </c>
      <c r="I10077" t="s">
        <v>40</v>
      </c>
      <c r="J10077" s="2" t="s">
        <v>41</v>
      </c>
      <c r="K10077" t="s">
        <v>42</v>
      </c>
      <c r="Q10077">
        <v>22508</v>
      </c>
      <c r="R10077" t="s">
        <v>119</v>
      </c>
      <c r="S10077" t="s">
        <v>60603</v>
      </c>
      <c r="T10077">
        <v>28</v>
      </c>
      <c r="U10077" s="2" t="s">
        <v>60604</v>
      </c>
      <c r="V10077" s="1">
        <v>44838</v>
      </c>
      <c r="W10077" t="s">
        <v>2680</v>
      </c>
      <c r="X10077">
        <v>831910</v>
      </c>
      <c r="Y10077" t="s">
        <v>11545</v>
      </c>
      <c r="Z10077" t="s">
        <v>60605</v>
      </c>
      <c r="AA10077" s="2" t="s">
        <v>60343</v>
      </c>
      <c r="AB10077" t="s">
        <v>1263</v>
      </c>
      <c r="AD10077" t="s">
        <v>40789</v>
      </c>
      <c r="AE10077" t="s">
        <v>60606</v>
      </c>
      <c r="AF10077" t="s">
        <v>1028</v>
      </c>
      <c r="AG10077" t="s">
        <v>60607</v>
      </c>
      <c r="AH10077" t="s">
        <v>60608</v>
      </c>
      <c r="AI10077" t="s">
        <v>60609</v>
      </c>
    </row>
    <row r="10078" spans="2:35" ht="285">
      <c r="B10078" s="1">
        <v>44873</v>
      </c>
      <c r="C10078" s="4">
        <v>44873.665972222225</v>
      </c>
      <c r="D10078" t="s">
        <v>1203</v>
      </c>
      <c r="E10078" t="s">
        <v>2547</v>
      </c>
      <c r="F10078">
        <v>11</v>
      </c>
      <c r="G10078" t="s">
        <v>1205</v>
      </c>
      <c r="H10078" t="s">
        <v>30643</v>
      </c>
      <c r="I10078" t="s">
        <v>40</v>
      </c>
      <c r="J10078" t="s">
        <v>79</v>
      </c>
      <c r="K10078" t="s">
        <v>42</v>
      </c>
      <c r="Q10078">
        <v>22507</v>
      </c>
      <c r="R10078" t="s">
        <v>45</v>
      </c>
      <c r="S10078" t="s">
        <v>1206</v>
      </c>
      <c r="T10078">
        <v>28.9</v>
      </c>
      <c r="U10078" s="2" t="s">
        <v>60610</v>
      </c>
      <c r="V10078" s="1">
        <v>44873</v>
      </c>
      <c r="W10078" t="s">
        <v>60611</v>
      </c>
      <c r="X10078">
        <v>808298</v>
      </c>
      <c r="Y10078" t="s">
        <v>60612</v>
      </c>
      <c r="Z10078" t="s">
        <v>60613</v>
      </c>
      <c r="AA10078" t="s">
        <v>60614</v>
      </c>
      <c r="AB10078" t="s">
        <v>60615</v>
      </c>
      <c r="AD10078" t="s">
        <v>10783</v>
      </c>
      <c r="AE10078">
        <v>0</v>
      </c>
      <c r="AF10078" t="s">
        <v>60616</v>
      </c>
      <c r="AG10078" t="s">
        <v>60617</v>
      </c>
      <c r="AH10078" t="s">
        <v>13968</v>
      </c>
      <c r="AI10078" t="s">
        <v>60618</v>
      </c>
    </row>
    <row r="10079" spans="2:35" ht="195">
      <c r="B10079" s="1">
        <v>44873</v>
      </c>
      <c r="C10079" s="4">
        <v>44873.51666666667</v>
      </c>
      <c r="D10079" t="s">
        <v>2825</v>
      </c>
      <c r="E10079" t="s">
        <v>2826</v>
      </c>
      <c r="F10079" t="s">
        <v>37</v>
      </c>
      <c r="G10079" t="s">
        <v>2499</v>
      </c>
      <c r="H10079" t="s">
        <v>39</v>
      </c>
      <c r="I10079" t="s">
        <v>40</v>
      </c>
      <c r="J10079" s="2" t="s">
        <v>60619</v>
      </c>
      <c r="K10079" t="s">
        <v>42</v>
      </c>
      <c r="Q10079">
        <v>22506</v>
      </c>
      <c r="R10079" t="s">
        <v>45</v>
      </c>
      <c r="S10079" t="s">
        <v>60620</v>
      </c>
      <c r="T10079">
        <v>25</v>
      </c>
      <c r="U10079" s="2" t="s">
        <v>60621</v>
      </c>
      <c r="W10079" t="s">
        <v>41381</v>
      </c>
      <c r="X10079">
        <v>805339</v>
      </c>
      <c r="Y10079" t="s">
        <v>60622</v>
      </c>
      <c r="Z10079" t="s">
        <v>60623</v>
      </c>
      <c r="AA10079" s="2" t="s">
        <v>60624</v>
      </c>
      <c r="AB10079" t="s">
        <v>60625</v>
      </c>
      <c r="AF10079" t="s">
        <v>43</v>
      </c>
      <c r="AG10079" t="s">
        <v>60626</v>
      </c>
      <c r="AH10079" t="s">
        <v>38604</v>
      </c>
      <c r="AI10079" t="s">
        <v>60627</v>
      </c>
    </row>
    <row r="10080" spans="2:35" ht="180">
      <c r="B10080" s="1">
        <v>44873</v>
      </c>
      <c r="C10080" s="4">
        <v>44873.447222222225</v>
      </c>
      <c r="D10080" t="s">
        <v>60628</v>
      </c>
      <c r="E10080" t="s">
        <v>60629</v>
      </c>
      <c r="F10080" t="s">
        <v>37</v>
      </c>
      <c r="G10080" t="s">
        <v>78</v>
      </c>
      <c r="H10080" t="s">
        <v>39</v>
      </c>
      <c r="I10080" t="s">
        <v>40</v>
      </c>
      <c r="J10080" s="2" t="s">
        <v>17375</v>
      </c>
      <c r="K10080" t="s">
        <v>42</v>
      </c>
      <c r="Q10080">
        <v>22505</v>
      </c>
      <c r="R10080" t="s">
        <v>45</v>
      </c>
      <c r="S10080" t="s">
        <v>60630</v>
      </c>
      <c r="T10080">
        <v>25</v>
      </c>
      <c r="U10080" s="2" t="s">
        <v>60631</v>
      </c>
      <c r="V10080" s="1">
        <v>44872</v>
      </c>
      <c r="W10080" t="s">
        <v>84</v>
      </c>
      <c r="X10080">
        <v>814156</v>
      </c>
      <c r="Y10080" t="s">
        <v>60632</v>
      </c>
      <c r="Z10080" t="s">
        <v>60633</v>
      </c>
      <c r="AA10080" t="s">
        <v>15276</v>
      </c>
      <c r="AB10080" t="s">
        <v>70</v>
      </c>
      <c r="AC10080" t="s">
        <v>60634</v>
      </c>
      <c r="AD10080" t="s">
        <v>19681</v>
      </c>
      <c r="AE10080" t="s">
        <v>60635</v>
      </c>
      <c r="AF10080" t="s">
        <v>1943</v>
      </c>
      <c r="AG10080" t="s">
        <v>60636</v>
      </c>
      <c r="AH10080" t="s">
        <v>60637</v>
      </c>
      <c r="AI10080" t="s">
        <v>60638</v>
      </c>
    </row>
    <row r="10081" spans="2:35" ht="180">
      <c r="B10081" s="1">
        <v>44873</v>
      </c>
      <c r="C10081" s="4">
        <v>44873.441666666666</v>
      </c>
      <c r="D10081" t="s">
        <v>22134</v>
      </c>
      <c r="E10081" t="s">
        <v>57040</v>
      </c>
      <c r="F10081" t="s">
        <v>37</v>
      </c>
      <c r="G10081" t="s">
        <v>2499</v>
      </c>
      <c r="H10081" t="s">
        <v>39</v>
      </c>
      <c r="I10081" t="s">
        <v>40</v>
      </c>
      <c r="J10081" s="2" t="s">
        <v>41</v>
      </c>
      <c r="K10081" t="s">
        <v>42</v>
      </c>
      <c r="Q10081">
        <v>22504</v>
      </c>
      <c r="R10081" t="s">
        <v>119</v>
      </c>
      <c r="S10081" t="s">
        <v>22136</v>
      </c>
      <c r="T10081">
        <v>28</v>
      </c>
      <c r="U10081" s="2" t="s">
        <v>60639</v>
      </c>
      <c r="V10081" s="1">
        <v>44838</v>
      </c>
      <c r="W10081" t="s">
        <v>2680</v>
      </c>
      <c r="X10081">
        <v>831636</v>
      </c>
      <c r="Y10081" t="s">
        <v>1924</v>
      </c>
      <c r="Z10081" t="s">
        <v>60605</v>
      </c>
      <c r="AA10081" s="2" t="s">
        <v>25003</v>
      </c>
      <c r="AB10081" t="s">
        <v>1211</v>
      </c>
      <c r="AD10081" t="s">
        <v>60640</v>
      </c>
      <c r="AE10081" t="s">
        <v>60641</v>
      </c>
      <c r="AF10081" t="s">
        <v>57018</v>
      </c>
      <c r="AG10081" t="s">
        <v>60642</v>
      </c>
      <c r="AH10081" t="s">
        <v>37533</v>
      </c>
      <c r="AI10081" t="s">
        <v>60643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2026-04-20T06:03:23Z</dcterms:created>
  <dcterms:modified xsi:type="dcterms:W3CDTF">2026-04-20T06:04:15Z</dcterms:modified>
  <cp:category/>
  <cp:contentStatus/>
</cp:coreProperties>
</file>